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codeName="ThisWorkbook"/>
  <mc:AlternateContent xmlns:mc="http://schemas.openxmlformats.org/markup-compatibility/2006">
    <mc:Choice Requires="x15">
      <x15ac:absPath xmlns:x15ac="http://schemas.microsoft.com/office/spreadsheetml/2010/11/ac" url="https://d.docs.live.net/047783881afef846/My Documents/Excel/Income Tax Spreadsheet/25_1040/"/>
    </mc:Choice>
  </mc:AlternateContent>
  <xr:revisionPtr revIDLastSave="0" documentId="8_{16014C74-550F-43BD-8CEA-D17FF2C73882}" xr6:coauthVersionLast="47" xr6:coauthVersionMax="47" xr10:uidLastSave="{00000000-0000-0000-0000-000000000000}"/>
  <bookViews>
    <workbookView xWindow="25425" yWindow="1260" windowWidth="26175" windowHeight="20160" tabRatio="837" xr2:uid="{00000000-000D-0000-FFFF-FFFF00000000}"/>
  </bookViews>
  <sheets>
    <sheet name="Coversheet" sheetId="51" r:id="rId1"/>
    <sheet name="Table of Contents" sheetId="89" r:id="rId2"/>
    <sheet name="Instructions" sheetId="72" r:id="rId3"/>
    <sheet name="W-2s" sheetId="1" r:id="rId4"/>
    <sheet name="1099-INT" sheetId="69" r:id="rId5"/>
    <sheet name="1099-DIV" sheetId="70" r:id="rId6"/>
    <sheet name="1099-G" sheetId="87" r:id="rId7"/>
    <sheet name="1099-MISC" sheetId="75" r:id="rId8"/>
    <sheet name="1099-NEC" sheetId="115" r:id="rId9"/>
    <sheet name="1099-R" sheetId="30" r:id="rId10"/>
    <sheet name="Lines 4ab (IRA Dist.)" sheetId="100" r:id="rId11"/>
    <sheet name="SSA-1099" sheetId="40" r:id="rId12"/>
    <sheet name="1040" sheetId="2" r:id="rId13"/>
    <sheet name="Dependents" sheetId="95" r:id="rId14"/>
    <sheet name="Sch. 1" sheetId="78" r:id="rId15"/>
    <sheet name="Sch. 1-A" sheetId="109" r:id="rId16"/>
    <sheet name="Sch 1, Line 1 (SALT)" sheetId="12" r:id="rId17"/>
    <sheet name="Sch. 1, Line 20 (IRA)" sheetId="15" r:id="rId18"/>
    <sheet name="Sch. 1, Line 21 (Stu Loan)" sheetId="63" r:id="rId19"/>
    <sheet name="Sch. 2" sheetId="79" r:id="rId20"/>
    <sheet name="Sch. 3" sheetId="80" r:id="rId21"/>
    <sheet name="Earned Inc WS" sheetId="67" r:id="rId22"/>
    <sheet name="Lines 5ab (Simplified Meth WS)" sheetId="13" r:id="rId23"/>
    <sheet name="Line 6ab (SS Bene)" sheetId="14" r:id="rId24"/>
    <sheet name="Line 12e (SD Depnts)" sheetId="65" r:id="rId25"/>
    <sheet name="Line 16 (QDCG Tax)" sheetId="98" r:id="rId26"/>
    <sheet name="Line 27a (EIC)" sheetId="60" r:id="rId27"/>
    <sheet name="Sch. A" sheetId="3" r:id="rId28"/>
    <sheet name="Sch. B" sheetId="4" r:id="rId29"/>
    <sheet name="Sch. C" sheetId="5" r:id="rId30"/>
    <sheet name="Sch. D" sheetId="6" r:id="rId31"/>
    <sheet name="Sch. D WS" sheetId="37" r:id="rId32"/>
    <sheet name="Sch. E" sheetId="84" r:id="rId33"/>
    <sheet name="Sch. E (2)" sheetId="96" r:id="rId34"/>
    <sheet name="Sch. F" sheetId="56" r:id="rId35"/>
    <sheet name="Sch. R" sheetId="86" r:id="rId36"/>
    <sheet name="Sch. SE" sheetId="23" r:id="rId37"/>
    <sheet name="1116" sheetId="74" r:id="rId38"/>
    <sheet name="2210" sheetId="68" r:id="rId39"/>
    <sheet name="2441" sheetId="59" r:id="rId40"/>
    <sheet name="2555" sheetId="62" r:id="rId41"/>
    <sheet name="4137" sheetId="114" r:id="rId42"/>
    <sheet name="4562" sheetId="93" r:id="rId43"/>
    <sheet name="5695" sheetId="105" r:id="rId44"/>
    <sheet name="6251" sheetId="33" r:id="rId45"/>
    <sheet name="8283" sheetId="103" r:id="rId46"/>
    <sheet name="8582" sheetId="102" r:id="rId47"/>
    <sheet name="8606" sheetId="91" r:id="rId48"/>
    <sheet name="8801" sheetId="108" r:id="rId49"/>
    <sheet name="8812" sheetId="76" r:id="rId50"/>
    <sheet name="8829" sheetId="97" r:id="rId51"/>
    <sheet name="8863" sheetId="90" r:id="rId52"/>
    <sheet name="8880" sheetId="99" r:id="rId53"/>
    <sheet name="8889" sheetId="71" r:id="rId54"/>
    <sheet name="8919" sheetId="113" r:id="rId55"/>
    <sheet name="8949A" sheetId="43" r:id="rId56"/>
    <sheet name="8949B" sheetId="110" r:id="rId57"/>
    <sheet name="8949C" sheetId="111" r:id="rId58"/>
    <sheet name="8949D" sheetId="112" r:id="rId59"/>
    <sheet name="8959" sheetId="52" r:id="rId60"/>
    <sheet name="8960" sheetId="53" r:id="rId61"/>
    <sheet name="8962" sheetId="58" r:id="rId62"/>
    <sheet name="8995" sheetId="82" r:id="rId63"/>
    <sheet name="EIC Table" sheetId="107" r:id="rId64"/>
    <sheet name="Tax Table" sheetId="36" r:id="rId65"/>
    <sheet name="Changes" sheetId="55" r:id="rId66"/>
  </sheets>
  <definedNames>
    <definedName name="Add_SALT">'Sch. A'!$AI$37</definedName>
    <definedName name="Additional_Income">'Sch. 1'!$AC$56</definedName>
    <definedName name="AdditionalCTC">'8812'!$AL$85</definedName>
    <definedName name="Address">'1040'!$B$13</definedName>
    <definedName name="Adj_Gross_Inc">'1040'!$AL$79</definedName>
    <definedName name="Adj_Gross_Inc_Pg2">'1040'!$AL$82</definedName>
    <definedName name="AdjustToIncome">'Sch. 1'!$AC$100</definedName>
    <definedName name="AdoptCredit">'Sch. 3'!$W$20</definedName>
    <definedName name="AgPMT_Disaster">'1099-G'!$J$31</definedName>
    <definedName name="AgPMT_Other">'1099-G'!$J$32</definedName>
    <definedName name="Alaska">'1040'!$BN$10</definedName>
    <definedName name="Alien_Spouse">'1040'!$F$27</definedName>
    <definedName name="AlienSpouseName">'1040'!$AA$28</definedName>
    <definedName name="AlimonyPaid">'Sch. 1'!$AJ$70</definedName>
    <definedName name="AlimonyRcvd">'Sch. 1'!$AC$16</definedName>
    <definedName name="AltMinTaxInc">'6251'!$M$39</definedName>
    <definedName name="AMT">'6251'!$R$64</definedName>
    <definedName name="AMTExemption">'6251'!$AC$172</definedName>
    <definedName name="AMTExemptionFlag">'6251'!$AH$80</definedName>
    <definedName name="AO_Credit">'8863'!$AE$33</definedName>
    <definedName name="AOC_1">'8863'!$AE$110</definedName>
    <definedName name="AOC_2">'8863'!$AE$168</definedName>
    <definedName name="AOC_3">'8863'!$AE$226</definedName>
    <definedName name="AOC_4">'8863'!$AE$284</definedName>
    <definedName name="Apt_No.">'1040'!$AD$13</definedName>
    <definedName name="ArcherMSADeduct">'Sch. 1'!$AC$77</definedName>
    <definedName name="BadBirthdate_Spouse">'1040'!$BK$144</definedName>
    <definedName name="BadBirthdate_Yours">'1040'!$BK$123</definedName>
    <definedName name="BadDeathDate">'1040'!$BR$144</definedName>
    <definedName name="BASE_A1">'Tax Table'!$U$7</definedName>
    <definedName name="BASE_A2">'Tax Table'!$U$8</definedName>
    <definedName name="BASE_A3">'Tax Table'!$U$9</definedName>
    <definedName name="BASE_A4">'Tax Table'!$U$10</definedName>
    <definedName name="BASE_A5">'Tax Table'!$U$11</definedName>
    <definedName name="BASE_A6">'Tax Table'!$U$12</definedName>
    <definedName name="BASE_A7">'Tax Table'!$U$13</definedName>
    <definedName name="BASE_B1">'Tax Table'!$U$17</definedName>
    <definedName name="BASE_B2">'Tax Table'!$U$18</definedName>
    <definedName name="BASE_B3">'Tax Table'!$U$19</definedName>
    <definedName name="BASE_B4">'Tax Table'!$U$20</definedName>
    <definedName name="BASE_B5">'Tax Table'!$U$21</definedName>
    <definedName name="BASE_B6">'Tax Table'!$U$22</definedName>
    <definedName name="BASE_B7">'Tax Table'!$U$23</definedName>
    <definedName name="BASE_C1">'Tax Table'!$U$27</definedName>
    <definedName name="BASE_C2">'Tax Table'!$U$28</definedName>
    <definedName name="BASE_C3">'Tax Table'!$U$29</definedName>
    <definedName name="BASE_C4">'Tax Table'!$U$30</definedName>
    <definedName name="BASE_C5">'Tax Table'!$U$31</definedName>
    <definedName name="BASE_C6">'Tax Table'!$U$32</definedName>
    <definedName name="BASE_C7">'Tax Table'!$U$33</definedName>
    <definedName name="BASE_D1">'Tax Table'!$U$38</definedName>
    <definedName name="BASE_D2">'Tax Table'!$U$39</definedName>
    <definedName name="BASE_D3">'Tax Table'!$U$40</definedName>
    <definedName name="BASE_D4">'Tax Table'!$U$41</definedName>
    <definedName name="BASE_D5">'Tax Table'!$U$42</definedName>
    <definedName name="BASE_D6">'Tax Table'!$U$43</definedName>
    <definedName name="BASE_D7">'Tax Table'!$U$44</definedName>
    <definedName name="BeginningOfTaxYear">'1040'!$BI$2</definedName>
    <definedName name="Birthday_Needed">'1040'!$BI$136</definedName>
    <definedName name="BOTT_A1">'Tax Table'!$T$7</definedName>
    <definedName name="BOTT_A2">'Tax Table'!$T$8</definedName>
    <definedName name="BOTT_A3">'Tax Table'!$T$9</definedName>
    <definedName name="BOTT_A4">'Tax Table'!$T$10</definedName>
    <definedName name="BOTT_A5">'Tax Table'!$T$11</definedName>
    <definedName name="BOTT_A6">'Tax Table'!$T$12</definedName>
    <definedName name="BOTT_A7">'Tax Table'!$T$13</definedName>
    <definedName name="BOTT_B1">'Tax Table'!$T$17</definedName>
    <definedName name="BOTT_B2">'Tax Table'!$T$18</definedName>
    <definedName name="BOTT_B3">'Tax Table'!$T$19</definedName>
    <definedName name="BOTT_B4">'Tax Table'!$T$20</definedName>
    <definedName name="BOTT_B5">'Tax Table'!$T$21</definedName>
    <definedName name="BOTT_B6">'Tax Table'!$T$22</definedName>
    <definedName name="BOTT_B7">'Tax Table'!$T$23</definedName>
    <definedName name="BOTT_C1">'Tax Table'!$T$27</definedName>
    <definedName name="BOTT_C2">'Tax Table'!$T$28</definedName>
    <definedName name="BOTT_C3">'Tax Table'!$T$29</definedName>
    <definedName name="BOTT_C4">'Tax Table'!$T$30</definedName>
    <definedName name="BOTT_C5">'Tax Table'!$T$31</definedName>
    <definedName name="BOTT_C6">'Tax Table'!$T$32</definedName>
    <definedName name="BOTT_C7">'Tax Table'!$T$33</definedName>
    <definedName name="BOTT_D1">'Tax Table'!$T$38</definedName>
    <definedName name="BOTT_D2">'Tax Table'!$T$39</definedName>
    <definedName name="BOTT_D3">'Tax Table'!$T$40</definedName>
    <definedName name="BOTT_D4">'Tax Table'!$T$41</definedName>
    <definedName name="BOTT_D5">'Tax Table'!$T$42</definedName>
    <definedName name="BOTT_D6">'Tax Table'!$T$43</definedName>
    <definedName name="BOTT_D7">'Tax Table'!$T$44</definedName>
    <definedName name="Business_Profit">'Sch. C'!$Y$67</definedName>
    <definedName name="BusinessIncomeLoss">'Sch. 1'!$AC$18</definedName>
    <definedName name="CapitalGains">'1040'!$AL$74</definedName>
    <definedName name="Care_Expenses">'Sch. 3'!$AC$12</definedName>
    <definedName name="CertainBusinessExp">'Sch. 1'!$AJ$62</definedName>
    <definedName name="CFOD_Other_Depend">Dependents!$BF$43</definedName>
    <definedName name="CFOD_QC_Under_17">Dependents!$BF$38</definedName>
    <definedName name="CGTW">'Line 16 (QDCG Tax)'!$R$10</definedName>
    <definedName name="CGTW_Line1">'Line 16 (QDCG Tax)'!$L$32</definedName>
    <definedName name="CGTW_Line13_HOH">'Line 16 (QDCG Tax)'!$N$56</definedName>
    <definedName name="CGTW_Line13_MFJQW">'Line 16 (QDCG Tax)'!$N$55</definedName>
    <definedName name="CGTW_Line13_MFS">'Line 16 (QDCG Tax)'!$N$54</definedName>
    <definedName name="CGTW_Line13_Single">'Line 16 (QDCG Tax)'!$N$53</definedName>
    <definedName name="CGTW_Line18_PCT">'Line 16 (QDCG Tax)'!$N$60</definedName>
    <definedName name="CGTW_Line21_PCT">'Line 16 (QDCG Tax)'!$N$63</definedName>
    <definedName name="CGTW_Line23">'Line 16 (QDCG Tax)'!$N$68</definedName>
    <definedName name="CGTW_Line24">'Line 16 (QDCG Tax)'!$N$71</definedName>
    <definedName name="CGTW_Line5">'Line 16 (QDCG Tax)'!$L$41</definedName>
    <definedName name="CGTW_Line6_HOH">'Line 16 (QDCG Tax)'!$N$45</definedName>
    <definedName name="CGTW_Line6_MFJQW">'Line 16 (QDCG Tax)'!$N$44</definedName>
    <definedName name="CGTW_Line6_SMFS">'Line 16 (QDCG Tax)'!$N$43</definedName>
    <definedName name="CGTW_Tax">'Line 16 (QDCG Tax)'!$N$75</definedName>
    <definedName name="Child_Tax_Credit">'8812'!$AL$21</definedName>
    <definedName name="ChildDepend_TaxCredit">'1040'!$AL$99</definedName>
    <definedName name="ChildUnder24">'6251'!$O$42</definedName>
    <definedName name="ChurchEmployee1">'Sch. SE'!$AE$12</definedName>
    <definedName name="ChurchEmployee2">'Sch. SE'!$AE$72</definedName>
    <definedName name="ChurchEmployeeInc1">'Sch. SE'!$AK$23</definedName>
    <definedName name="ChurchEmployeeInc2">'Sch. SE'!$AK$83</definedName>
    <definedName name="ChurchEmployeeIncome1">'Sch. SE'!$S$28</definedName>
    <definedName name="ChurchEmployeeIncome2">'Sch. SE'!$S$88</definedName>
    <definedName name="City_State_Zip">'1040'!$B$15</definedName>
    <definedName name="CombatPayNoTax">'1040'!$AG$59</definedName>
    <definedName name="CONV_FedTaxWH">'1099-R'!$F$62</definedName>
    <definedName name="CONV2ROTH">'1099-R'!$F$58</definedName>
    <definedName name="CopyWrite">'1040'!$AH$2</definedName>
    <definedName name="CredLimitWS_Line15">'8812'!$AK$223</definedName>
    <definedName name="CTC_AgeLimit">Dependents!$BZ$4</definedName>
    <definedName name="CTCorCOD">'8812'!$AL$41</definedName>
    <definedName name="DaysInTaxYear">'1040'!$BL$2</definedName>
    <definedName name="Deduct_Age_Bonus">'1040'!$BD$125</definedName>
    <definedName name="Deduct_New_AutoLoan_Interest">'1040'!$BC$150</definedName>
    <definedName name="Deduct_OT_Income">'1040'!$BC$141</definedName>
    <definedName name="Deduct_Tip_Income">'1040'!$BC$132</definedName>
    <definedName name="Deduction">'1040'!$AU$91</definedName>
    <definedName name="DeductionForSeniors">'Sch. 1-A'!$AD$102</definedName>
    <definedName name="Deductions">'1040'!$AL$91</definedName>
    <definedName name="DeferredIncomeNQ">'Earned Inc WS'!#REF!</definedName>
    <definedName name="DependCareBenefits">'W-2s'!$C$84</definedName>
    <definedName name="Dependent_Care">'2441'!$V$103</definedName>
    <definedName name="DependentCount">Dependents!$BK$45</definedName>
    <definedName name="DependentsGT4">Dependents!$BF$52</definedName>
    <definedName name="DependentSPOUSE">'1040'!$X$84</definedName>
    <definedName name="DependentYOU">'1040'!$O$84</definedName>
    <definedName name="DependOther">Dependents!$BF$48</definedName>
    <definedName name="DependUnder17SSN">Dependents!$BR$37</definedName>
    <definedName name="DigitalAsset_No">'1040'!$AQ$31</definedName>
    <definedName name="DigitalAsset_Yes">'1040'!$AM$31</definedName>
    <definedName name="Dividend_Inc">'Sch. B'!$I$66</definedName>
    <definedName name="Draft">'1040'!$BK$1</definedName>
    <definedName name="Dual_Status_Alien">'1040'!$X$86</definedName>
    <definedName name="Earned_Income">'Earned Inc WS'!$J$83</definedName>
    <definedName name="EarnedIncomeCredit">'Line 27a (EIC)'!$O$506</definedName>
    <definedName name="EarnedIncomeWSB">'Line 27a (EIC)'!$O$428</definedName>
    <definedName name="Education">'Sch. 3'!$AC$13</definedName>
    <definedName name="EducationCredits_NR">'8863'!$AE$55</definedName>
    <definedName name="EducatorExpenses">'Sch. 1'!$AJ$60</definedName>
    <definedName name="EEHI_CL_WKST">'5695'!$AE$321</definedName>
    <definedName name="EEHI_Credit">'5695'!$AD$240</definedName>
    <definedName name="EIC">'1040'!$AF$113</definedName>
    <definedName name="EIC_Check">'Line 27a (EIC)'!$A$41</definedName>
    <definedName name="EIC_EarnedIncome">'Line 27a (EIC)'!$K$270</definedName>
    <definedName name="EIC_Max_MFJ_NoChildren">'EIC Table'!$R$6</definedName>
    <definedName name="EIC_Max_MFJ_OneChild">'EIC Table'!$S$6</definedName>
    <definedName name="EIC_Max_MFJ_ThreeChildren">'EIC Table'!$U$6</definedName>
    <definedName name="EIC_Max_MFJ_TwoChildren">'EIC Table'!$T$6</definedName>
    <definedName name="EIC_Max_NoChildren">'EIC Table'!$N$6</definedName>
    <definedName name="EIC_Max_OneChild">'EIC Table'!$O$6</definedName>
    <definedName name="EIC_Max_ThreeChildren">'EIC Table'!$Q$6</definedName>
    <definedName name="EIC_Max_TwoChildren">'EIC Table'!$P$6</definedName>
    <definedName name="EIC_No">'Line 27a (EIC)'!$N$1</definedName>
    <definedName name="EIC_No_Box">'Line 27a (EIC)'!$O$1</definedName>
    <definedName name="EIC_Started">'Line 27a (EIC)'!$A$39</definedName>
    <definedName name="EIC_Step3_Line3_Yes">'Line 27a (EIC)'!$B$157</definedName>
    <definedName name="EIC_trigger">'Line 27a (EIC)'!$M$34</definedName>
    <definedName name="EIC_WB_Part5_Line7">'Line 27a (EIC)'!$O$462</definedName>
    <definedName name="EIC_WSA_Part3">'Line 27a (EIC)'!$N$354</definedName>
    <definedName name="EIC_WSB_Part7">'Line 27a (EIC)'!$O$496</definedName>
    <definedName name="EICNumQualChild">'Line 27a (EIC)'!$B$112</definedName>
    <definedName name="Elderly_Credit">'Sch. 3'!$AC$21</definedName>
    <definedName name="Elect_Def_to_501c18D">'W-2s'!$C$88</definedName>
    <definedName name="Elect_Def_to_501c18D_Spouse">'W-2s'!$I$52</definedName>
    <definedName name="Elect_Def_to_501c18D_You">'W-2s'!$I$15</definedName>
    <definedName name="Elect_Def_to_SIMPLE_Spouse">'W-2s'!$I$58</definedName>
    <definedName name="Elect_Def_to_SIMPLE_You">'W-2s'!$I$21</definedName>
    <definedName name="Emp_Contr_HSA_Spouse">'W-2s'!$I$59</definedName>
    <definedName name="Emp_Contr_HSA_You">'W-2s'!$I$22</definedName>
    <definedName name="EmployerCountSpouse">'W-2s'!$I$70</definedName>
    <definedName name="EmployerCountYou">'W-2s'!$I$33</definedName>
    <definedName name="EndOfTaxYear">'1040'!$BK$2</definedName>
    <definedName name="EstimatedTaxPayments">'1040'!$AL$110</definedName>
    <definedName name="Exception_QDCG_TW_SchD_TW">'Sch. D WS'!$AC$63</definedName>
    <definedName name="ExcessSSTax">'Sch. 3'!$AC$39</definedName>
    <definedName name="ExciseTaxGoldParachute">'W-2s'!$C$89</definedName>
    <definedName name="Exempt_Interest_DIV">'1099-DIV'!$H$108</definedName>
    <definedName name="F1040_Line1z">'1040'!$AL$60</definedName>
    <definedName name="F1099_FedTaxWH">'1040'!$AF$107</definedName>
    <definedName name="F1099DIV_FedTaxWH">'1099-DIV'!$H$100</definedName>
    <definedName name="F1099DIV_SPABI">'1099-DIV'!$H$109</definedName>
    <definedName name="F1099G_FedTaxWH">'1099-G'!$J$28</definedName>
    <definedName name="F1099G_MktGain">'1099-G'!$J$34</definedName>
    <definedName name="F1099G_StateTaxWH">'1099-G'!$J$37</definedName>
    <definedName name="F1099G_TaxGrants">'1099-G'!$J$30</definedName>
    <definedName name="F1099INT_FedTaxWH">'1099-INT'!$I$69</definedName>
    <definedName name="F1099INT_SPABI">'1099-INT'!$I$74</definedName>
    <definedName name="F1099NEC_FedTaxWH">'1099-NEC'!$J$22</definedName>
    <definedName name="F1099NEC_StateTaxWH">'1099-NEC'!$J$23</definedName>
    <definedName name="F1099R_CodeDTaxes">'1099-R'!$E$77</definedName>
    <definedName name="F2441_NonRefund">'2441'!$V$64</definedName>
    <definedName name="F2441_Refundable">'2441'!$V$61</definedName>
    <definedName name="F2555_Line43_Sp">'2555'!$AE$174</definedName>
    <definedName name="F2555_Line43_You">'2555'!$AE$173</definedName>
    <definedName name="F2555_Line45_1">'2555'!$AE$175</definedName>
    <definedName name="F2555_Line45_2">'2555'!$AE$364</definedName>
    <definedName name="F2555_Line45_Spouse">'2555'!$AO$393</definedName>
    <definedName name="F2555_Line45_Total">'2555'!$AM$394</definedName>
    <definedName name="F2555_Line45_You">'2555'!$AM$393</definedName>
    <definedName name="F2555_Line50_NotZero">'2555'!$AM$401</definedName>
    <definedName name="F4137_Line13_Spouse">'4137'!$AE$86</definedName>
    <definedName name="F4137_Line13_Total">'4137'!$AM$87</definedName>
    <definedName name="F4137_Line13_You">'4137'!$AE$43</definedName>
    <definedName name="F4952_Line_4g">'Sch. D WS'!$R$79</definedName>
    <definedName name="F5695_Line15">'5695'!$AD$65</definedName>
    <definedName name="F6251_Needed">'6251'!$P$1</definedName>
    <definedName name="F6251_PIII">'6251'!$R$54</definedName>
    <definedName name="F8582_Line9">'8582'!$AE$39</definedName>
    <definedName name="F8582_MAGI">'8582'!$AU$35</definedName>
    <definedName name="F8801_MinimumTaxCredit">'8801'!$AE$148</definedName>
    <definedName name="F8812_NoAdditionalCTC">'8812'!$AL$84</definedName>
    <definedName name="F8812_Skip_Part_II_A">'8812'!$AV$54</definedName>
    <definedName name="F8812_Skip_Part_II_B">'8812'!$AL$70</definedName>
    <definedName name="F8829_Deduction">'8829'!$AE$55</definedName>
    <definedName name="F8829_SchC_1">'8829'!$AS$24</definedName>
    <definedName name="F8829_SchC_2">'8829'!$AS$25</definedName>
    <definedName name="F8880_Credit">'8880'!$AE$48</definedName>
    <definedName name="F8889_Line1">'8889'!$Q$17</definedName>
    <definedName name="F8889_Line13">'8889'!$K$133</definedName>
    <definedName name="F8889_Line16">'8889'!$K$136</definedName>
    <definedName name="F8889_Line17b">'8889'!$K$139</definedName>
    <definedName name="F8889_Line20">'8889'!$K$142</definedName>
    <definedName name="F8889_Line21">'8889'!$K$145</definedName>
    <definedName name="F8919_Line13_Both">'8919'!$AN$119</definedName>
    <definedName name="F8919_Line6_Both">'8919'!$AN$108</definedName>
    <definedName name="F8949ALBOXD">'8949A'!$C$75</definedName>
    <definedName name="F8949ALBOXE">'8949A'!$C$77</definedName>
    <definedName name="F8949ALBOXF">'8949A'!$C$79</definedName>
    <definedName name="F8949ALBOXJ">'8949A'!$C$81</definedName>
    <definedName name="F8949ALBOXK">'8949A'!$C$83</definedName>
    <definedName name="F8949ALBOXL">'8949A'!$C$85</definedName>
    <definedName name="F8949ALT">'8949A'!$A$102</definedName>
    <definedName name="F8949ALTD">'8949A'!$Q$102</definedName>
    <definedName name="F8949ALTE">'8949A'!$U$102</definedName>
    <definedName name="F8949ALTG">'8949A'!$AA$102</definedName>
    <definedName name="F8949ALTH">'8949A'!$AC$102</definedName>
    <definedName name="F8949ASBOXA">'8949A'!$C$25</definedName>
    <definedName name="F8949ASBOXB">'8949A'!$C$27</definedName>
    <definedName name="F8949ASBOXC">'8949A'!$C$29</definedName>
    <definedName name="F8949ASBOXG">'8949A'!$C$31</definedName>
    <definedName name="F8949ASBOXH">'8949A'!$C$33</definedName>
    <definedName name="F8949ASBOXI">'8949A'!$C$35</definedName>
    <definedName name="F8949AST">'8949A'!$A$52</definedName>
    <definedName name="F8949ASTD">'8949A'!$Q$52</definedName>
    <definedName name="F8949ASTE">'8949A'!$U$52</definedName>
    <definedName name="F8949ASTG">'8949A'!$AA$52</definedName>
    <definedName name="F8949ASTH">'8949A'!$AC$52</definedName>
    <definedName name="F8949BLBOXD">'8949B'!$C$75</definedName>
    <definedName name="F8949BLBOXE">'8949B'!$C$77</definedName>
    <definedName name="F8949BLBOXF">'8949B'!$C$79</definedName>
    <definedName name="F8949BLBOXJ">'8949B'!$C$81</definedName>
    <definedName name="F8949BLBOXK">'8949B'!$C$83</definedName>
    <definedName name="F8949BLBOXL">'8949B'!$C$85</definedName>
    <definedName name="F8949BLT">'8949B'!$A$102</definedName>
    <definedName name="F8949BLTD">'8949B'!$Q$102</definedName>
    <definedName name="F8949BLTE">'8949B'!$U$102</definedName>
    <definedName name="F8949BLTG">'8949B'!$AA$102</definedName>
    <definedName name="F8949BLTH">'8949B'!$AC$102</definedName>
    <definedName name="F8949BSBOXA">'8949B'!$C$25</definedName>
    <definedName name="F8949BSBOXB">'8949B'!$C$27</definedName>
    <definedName name="F8949BSBOXC">'8949B'!$C$29</definedName>
    <definedName name="F8949BSBOXG">'8949B'!$C$31</definedName>
    <definedName name="F8949BSBOXH">'8949B'!$C$33</definedName>
    <definedName name="F8949BSBOXI">'8949B'!$C$35</definedName>
    <definedName name="F8949BST">'8949B'!$A$52</definedName>
    <definedName name="F8949BSTD">'8949B'!$Q$52</definedName>
    <definedName name="F8949BSTE">'8949B'!$U$52</definedName>
    <definedName name="F8949BSTG">'8949B'!$AA$52</definedName>
    <definedName name="F8949BSTH">'8949B'!$AC$52</definedName>
    <definedName name="F8949CBOXL">'8949C'!$C$85</definedName>
    <definedName name="F8949CLBOXD">'8949C'!$C$75</definedName>
    <definedName name="F8949CLBOXE">'8949C'!$C$77</definedName>
    <definedName name="F8949CLBOXF">'8949C'!$C$79</definedName>
    <definedName name="F8949CLBOXJ">'8949C'!$C$81</definedName>
    <definedName name="F8949CLBOXK">'8949C'!$C$83</definedName>
    <definedName name="F8949CLBOXL">'8949C'!$C$85</definedName>
    <definedName name="F8949CLT">'8949C'!$A$102</definedName>
    <definedName name="F8949CLTD">'8949C'!$Q$102</definedName>
    <definedName name="F8949CLTE">'8949C'!$U$102</definedName>
    <definedName name="F8949CLTG">'8949C'!$AA$102</definedName>
    <definedName name="F8949CLTH">'8949C'!$AC$102</definedName>
    <definedName name="F8949CSBOXA">'8949C'!$C$25</definedName>
    <definedName name="F8949CSBOXB">'8949C'!$C$27</definedName>
    <definedName name="F8949CSBOXC">'8949C'!$C$29</definedName>
    <definedName name="F8949CSBOXG">'8949C'!$C$31</definedName>
    <definedName name="F8949CSBOXH">'8949C'!$C$33</definedName>
    <definedName name="F8949CSBOXI">'8949C'!$C$35</definedName>
    <definedName name="F8949CST">'8949C'!$A$52</definedName>
    <definedName name="F8949CSTD">'8949C'!$Q$52</definedName>
    <definedName name="F8949CSTE">'8949C'!$U$52</definedName>
    <definedName name="F8949CSTG">'8949C'!$AA$52</definedName>
    <definedName name="F8949CSTH">'8949C'!$AC$52</definedName>
    <definedName name="F8949DLBOXD">'8949D'!$C$75</definedName>
    <definedName name="F8949DLBOXE">'8949D'!$C$77</definedName>
    <definedName name="F8949DLBOXF">'8949D'!$C$79</definedName>
    <definedName name="F8949DLBOXJ">'8949D'!$C$81</definedName>
    <definedName name="F8949DLBOXK">'8949D'!$C$83</definedName>
    <definedName name="F8949DLBOXL">'8949D'!$C$85</definedName>
    <definedName name="F8949DLT">'8949D'!$A$102</definedName>
    <definedName name="F8949DLTD">'8949D'!$Q$102</definedName>
    <definedName name="F8949DLTE">'8949D'!$U$102</definedName>
    <definedName name="F8949DLTG">'8949D'!$AA$102</definedName>
    <definedName name="F8949DLTH">'8949D'!$AC$102</definedName>
    <definedName name="F8949DSBOXA">'8949D'!$C$25</definedName>
    <definedName name="F8949DSBOXB">'8949D'!$C$27</definedName>
    <definedName name="F8949DSBOXC">'8949D'!$C$29</definedName>
    <definedName name="F8949DSBOXG">'8949D'!$C$31</definedName>
    <definedName name="F8949DSBOXH">'8949D'!$C$33</definedName>
    <definedName name="F8949DSBOXI">'8949D'!$C$35</definedName>
    <definedName name="F8949DST">'8949D'!$A$52</definedName>
    <definedName name="F8949DSTD">'8949D'!$Q$52</definedName>
    <definedName name="F8949DSTE">'8949D'!$U$52</definedName>
    <definedName name="F8949DSTG">'8949D'!$AA$52</definedName>
    <definedName name="F8949DSTH">'8949D'!$AC$52</definedName>
    <definedName name="F8959_Reqd">'8959'!$P$7</definedName>
    <definedName name="F8959_Tax">'8959'!$M$52</definedName>
    <definedName name="F8959_WH">'8959'!$M$65</definedName>
    <definedName name="F8960_Applicable">'8960'!$Q$2</definedName>
    <definedName name="F8960_Tax">'8960'!$N$48</definedName>
    <definedName name="F8978_Credit">'Sch. 3'!$W$29</definedName>
    <definedName name="FarmIncomeLoss">'Sch. 1'!$AC$21</definedName>
    <definedName name="FarmOptMeth1">'Sch. SE'!$X$51</definedName>
    <definedName name="FarmOptMeth2">'Sch. SE'!$X$111</definedName>
    <definedName name="FarmProfitNet">'Sch. F'!$AB$55</definedName>
    <definedName name="Fed_Inc_Tax_WH_Line_25d">'1040'!$AL$109</definedName>
    <definedName name="FedFuelTaxCredit">'Sch. 3'!$AC$40</definedName>
    <definedName name="FEI_Exclusion_Limit">'2555'!$AE$159</definedName>
    <definedName name="FEI_Exclusion_Max">'2555'!$AE$159</definedName>
    <definedName name="FEI_HousingDeduction">'2555'!$AO$405</definedName>
    <definedName name="FEI_HousingDeduction1">'2555'!$AE$189</definedName>
    <definedName name="FEI_HousingDeduction2">'2555'!$AE$378</definedName>
    <definedName name="FEI_HousingExclusion">'2555'!$AO$404</definedName>
    <definedName name="FEI_HousingExclusion1">'2555'!$AE$155</definedName>
    <definedName name="FEI_HousingExclusion2">'2555'!$AE$344</definedName>
    <definedName name="FEI_Tax_Worksheet">'Line 16 (QDCG Tax)'!$R$79</definedName>
    <definedName name="FEI_Tax_WS_Required">'2555'!$AO$406</definedName>
    <definedName name="FEI_TW_Line2c">'Line 16 (QDCG Tax)'!$N$87</definedName>
    <definedName name="FEI_TW_Line3">'Line 16 (QDCG Tax)'!$N$89</definedName>
    <definedName name="File_Head">'1040'!$AB$20</definedName>
    <definedName name="File_Marr_Joint">'1040'!$F$22</definedName>
    <definedName name="File_Marr_Sep">'1040'!$F$24</definedName>
    <definedName name="File_Qual_Widow">'1040'!$AB$22</definedName>
    <definedName name="File_Single">'1040'!$F$20</definedName>
    <definedName name="File8960">'8960'!$Q$3</definedName>
    <definedName name="FilingScheduleD">'Line 16 (QDCG Tax)'!$J$34</definedName>
    <definedName name="FilingStatusError">'1040'!$AU$11</definedName>
    <definedName name="Foreign_Tax_Credit">'Sch. 3'!$AC$11</definedName>
    <definedName name="ForeignCountry">'1040'!$B$17</definedName>
    <definedName name="ForeignEarnedIncome">'2555'!$AO$324</definedName>
    <definedName name="ForeignEarnedIncome1">'2555'!$AO$134</definedName>
    <definedName name="ForeignEarnedIncome2">'2555'!$AO$323</definedName>
    <definedName name="ForeignHousingDeduction1">'2555'!$AO$189</definedName>
    <definedName name="ForeignHousingDeduction2">'2555'!$AO$378</definedName>
    <definedName name="ForeignHousingDeductionSpouse">'2555'!$AO$399</definedName>
    <definedName name="ForeignHousingDeductionTotal">'2555'!$AM$400</definedName>
    <definedName name="ForeignHousingDeductionYou">'2555'!$AM$399</definedName>
    <definedName name="ForeignIncExclusion">'2555'!$AE$168</definedName>
    <definedName name="ForeignIncExclusion1">'2555'!$AE$168</definedName>
    <definedName name="ForeignIncExclusion2">'2555'!$AE$357</definedName>
    <definedName name="ForeignIncExclusionSpouse">'2555'!$AO$387</definedName>
    <definedName name="ForeignIncExclusionTotal">'2555'!$AM$388</definedName>
    <definedName name="ForeignIncExclusionYou">'2555'!$AM$387</definedName>
    <definedName name="ForeignPostalCode">'1040'!$AC$17</definedName>
    <definedName name="ForeignProvince">'1040'!$S$17</definedName>
    <definedName name="ForeignTaxCredit_1">'1116'!$AL$132</definedName>
    <definedName name="ForeignTaxCredit_2">'1116'!$AL$253</definedName>
    <definedName name="ForeignTaxCredit_3">'1116'!$AL$376</definedName>
    <definedName name="ForeignTaxPaid">'1116'!$AO$10</definedName>
    <definedName name="ForeignTaxPaid_DIV">'1099-DIV'!$H$103</definedName>
    <definedName name="ForeignTaxPaid_F1116">'1116'!$AQ$11</definedName>
    <definedName name="ForeignTaxPaid_INT">'1099-INT'!$I$71</definedName>
    <definedName name="ForeignTaxPaid_INT_DIV">'1099-DIV'!$I$92</definedName>
    <definedName name="ForeignTaxThreshold">'1116'!$AQ$10</definedName>
    <definedName name="Form2210_Line7">'2210'!$U$45</definedName>
    <definedName name="Form2555_Used">'2555'!$AM$190</definedName>
    <definedName name="Form4952_Filed">'Sch. D'!$P$78</definedName>
    <definedName name="Form4952_Line4e">'Sch. D WS'!$J$79</definedName>
    <definedName name="Form4952_Line4g">'Sch. D WS'!$J$78</definedName>
    <definedName name="Form8863">'1040'!$L$110</definedName>
    <definedName name="Form8960_Threshhold">'8960'!$N$45</definedName>
    <definedName name="Hawaii">'1040'!$BO$10</definedName>
    <definedName name="HSA_Deduct">'Sch. 1'!$AJ$63</definedName>
    <definedName name="InmateIncome">'Sch. 1'!$W$48</definedName>
    <definedName name="Interest_Inc">'Sch. B'!$I$43</definedName>
    <definedName name="InvExpDIV">'1099-DIV'!$H$102</definedName>
    <definedName name="InvExpINT">'1099-INT'!$I$70</definedName>
    <definedName name="IRA_CONV_SPOUSE">'1099-R'!$O$31</definedName>
    <definedName name="IRA_CONV_TAXABLE_SPOUSE">'1099-R'!$O$32</definedName>
    <definedName name="IRA_CONV_TAXABLE_YOU">'1099-R'!$O$5</definedName>
    <definedName name="IRA_CONV_YOU">'1099-R'!$O$4</definedName>
    <definedName name="IRA_Deduction">'Sch. 1, Line 20 (IRA)'!$L$100</definedName>
    <definedName name="IRA_Dist_SPOUSE">'1099-R'!$M$31</definedName>
    <definedName name="IRA_Dist_YOU">'1099-R'!$M$4</definedName>
    <definedName name="IRA_FedTaxWH">'1099-R'!$D$62</definedName>
    <definedName name="IRA_Gross">'1099-R'!$D$58</definedName>
    <definedName name="IRA_HFD">'Lines 4ab (IRA Dist.)'!$A$64</definedName>
    <definedName name="IRA_QCD">'Lines 4ab (IRA Dist.)'!$A$46</definedName>
    <definedName name="IRA_Rollover">'Lines 4ab (IRA Dist.)'!$A$13</definedName>
    <definedName name="IRA_Taxable">'1040'!$AL$65</definedName>
    <definedName name="IRA_Taxable_1099R">'1099-R'!$D$59</definedName>
    <definedName name="IRA_Taxable_Spouse">'1099-R'!$M$32</definedName>
    <definedName name="IRA_Taxable_You">'1099-R'!$M$5</definedName>
    <definedName name="IRAContrib_Taxable1">'8606'!$AE$72</definedName>
    <definedName name="IRAContrib_Taxable2">'8606'!$AE$184</definedName>
    <definedName name="IRAConvert_Taxable1">'8606'!$AM$82</definedName>
    <definedName name="IRAConvert_Taxable2">'8606'!$AM$194</definedName>
    <definedName name="IRADeduct">'Sch. 1'!$AC$74</definedName>
    <definedName name="Item_Deduct_Wks_L9">'Sch. A'!$AI$199</definedName>
    <definedName name="ItemizeAnyway">'Sch. A'!$B$66</definedName>
    <definedName name="ItemizedDeduct">'1040'!$BJ$65</definedName>
    <definedName name="LastYear">'1040'!$BF$3</definedName>
    <definedName name="LeapYear">'1040'!$BJ$2</definedName>
    <definedName name="Line33_NOT">'Sch. 1, Line 21 (Stu Loan)'!$L$9</definedName>
    <definedName name="LivedApart">'1040'!$BB$8</definedName>
    <definedName name="LivedApartAnswered">'1040'!$BB$7</definedName>
    <definedName name="LLC_1">'8863'!$AE$113</definedName>
    <definedName name="LLC_2">'8863'!$AE$171</definedName>
    <definedName name="LLC_3">'8863'!$AE$229</definedName>
    <definedName name="LLC_4">'8863'!$AE$287</definedName>
    <definedName name="LocalTaxIRA">'1099-R'!$D$76</definedName>
    <definedName name="LocalTaxPA">'1099-R'!$E$76</definedName>
    <definedName name="LocalTaxW2">'W-2s'!$C$104</definedName>
    <definedName name="MAGI_OBBBA">'1040'!$BD$91</definedName>
    <definedName name="MarketDiscount">'1099-INT'!$I$76</definedName>
    <definedName name="MaxSSTax">'W-2s'!$L$1</definedName>
    <definedName name="MaxSSTaxEarnings">'W-2s'!$G$1</definedName>
    <definedName name="MedCare_Tax_Withheld">'W-2s'!$C$81</definedName>
    <definedName name="MedCare_wages">'W-2s'!$C$80</definedName>
    <definedName name="MedicareTaxRate">'8959'!$K$57</definedName>
    <definedName name="MFS_Spouse_NotFiling">'1040'!$AV$9</definedName>
    <definedName name="ModAdjGrossInc">'8960'!$AC$76</definedName>
    <definedName name="MovExp_ArmedForces">'Sch. 1'!$AC$65</definedName>
    <definedName name="Name_1st_Sp">'1040'!$B$11</definedName>
    <definedName name="Name_1st_Yours">'1040'!$B$9</definedName>
    <definedName name="Name_Last_Sp">'1040'!$R$11</definedName>
    <definedName name="Name_Last_Yours">'1040'!$R$9</definedName>
    <definedName name="Names">'1040'!$BG$11</definedName>
    <definedName name="NameSpouse">'1040'!$BI$13</definedName>
    <definedName name="NameYours">'1040'!$BG$13</definedName>
    <definedName name="Needs_SALT">'Sch 1, Line 1 (SALT)'!$L$74</definedName>
    <definedName name="NetCapitalGain">'8995'!$AC$39</definedName>
    <definedName name="NextYear">'1040'!$BF$4</definedName>
    <definedName name="NoColor">'1040'!$BA$2</definedName>
    <definedName name="NoEICredit">'Line 27a (EIC)'!$A$1</definedName>
    <definedName name="NonEmployeeComp_Both">'1099-NEC'!$J$19</definedName>
    <definedName name="NonEmployeeComp_Spouse">'1099-NEC'!$I$19</definedName>
    <definedName name="NonEmployeeComp_You">'1099-NEC'!$J$6</definedName>
    <definedName name="NonFarmOptMeth1">'Sch. SE'!$X$57</definedName>
    <definedName name="NonFarmOptMeth2">'Sch. SE'!$X$117</definedName>
    <definedName name="NonQualAnnuity">'1099-R'!$E$65</definedName>
    <definedName name="NoOnLine66a">'Line 27a (EIC)'!$B$1</definedName>
    <definedName name="NoSSN">'1040'!$BA$3</definedName>
    <definedName name="NOT_MFJ">'1040'!$BL$142</definedName>
    <definedName name="NQDisasterLoss">'Sch. A'!$R$58</definedName>
    <definedName name="NumFileStatusBoxes">'1040'!$AU$10</definedName>
    <definedName name="OPRC">'Sch. 3'!$AC$51</definedName>
    <definedName name="OrdinaryDividends">'1040'!$AL$62</definedName>
    <definedName name="OtherGainsLosses">'Sch. 1'!$AJ$19</definedName>
    <definedName name="OtherIncome">'Sch. 1'!$AC$54</definedName>
    <definedName name="OtherIncome1040">'1040'!$AL$76</definedName>
    <definedName name="Over_65_or_Blind">'1040'!$BF$20</definedName>
    <definedName name="Overpaid">'1040'!$AL$125</definedName>
    <definedName name="PA_FedTaxWH">'1099-R'!$E$62</definedName>
    <definedName name="PA_Gross">'1099-R'!$E$58</definedName>
    <definedName name="PA_Taxable">'1040'!$AL$68</definedName>
    <definedName name="PA_Taxable_1099R">'1099-R'!$E$59</definedName>
    <definedName name="PA_Taxable_Spouse">'1099-R'!$N$32</definedName>
    <definedName name="PA_Taxable_You">'1099-R'!$N$5</definedName>
    <definedName name="Part_III_Completed">'8801'!$AM$175</definedName>
    <definedName name="PassiveIncomeLoss">'8582'!$AE$24</definedName>
    <definedName name="pc28RateGainWS">'Sch. D WS'!$O$51</definedName>
    <definedName name="PEC_Spouse">'1040'!$AQ$17</definedName>
    <definedName name="PEC_You">'1040'!$AM$17</definedName>
    <definedName name="Penalty4EW">'1099-INT'!$I$66</definedName>
    <definedName name="PenaltyEarlyWithdraw">'Sch. 1'!$AJ$69</definedName>
    <definedName name="PenaltyOwedFlag">'2210'!$W$48</definedName>
    <definedName name="Pension_taxable">'Lines 5ab (Simplified Meth WS)'!$L$62</definedName>
    <definedName name="Pension_total">'1099-R'!$I$58</definedName>
    <definedName name="PensionsAnnuities">'1040'!$S$68</definedName>
    <definedName name="POCV_Credit">'Sch. 3'!$AC$30</definedName>
    <definedName name="_xlnm.Print_Area" localSheetId="12">'1040'!$B$3:$AS$150</definedName>
    <definedName name="_xlnm.Print_Area" localSheetId="5">'1099-DIV'!$A$1:$J$113</definedName>
    <definedName name="_xlnm.Print_Area" localSheetId="6">'1099-G'!$A$1:$L$38</definedName>
    <definedName name="_xlnm.Print_Area" localSheetId="4">'1099-INT'!$A$1:$J$83</definedName>
    <definedName name="_xlnm.Print_Area" localSheetId="7">'1099-MISC'!$B$2:$N$40</definedName>
    <definedName name="_xlnm.Print_Area" localSheetId="9">'1099-R'!$A$1:$P$78</definedName>
    <definedName name="_xlnm.Print_Area" localSheetId="37">'1116'!$B$12:$AO$377</definedName>
    <definedName name="_xlnm.Print_Area" localSheetId="38">'2210'!$B$6:$W$169</definedName>
    <definedName name="_xlnm.Print_Area" localSheetId="39">'2441'!$B$3:$W$240</definedName>
    <definedName name="_xlnm.Print_Area" localSheetId="40">'2555'!$B$2:$AJ$190</definedName>
    <definedName name="_xlnm.Print_Area" localSheetId="41">'4137'!$B$2:$AJ$44</definedName>
    <definedName name="_xlnm.Print_Area" localSheetId="42">'4562'!$B$2:$AJ$131</definedName>
    <definedName name="_xlnm.Print_Area" localSheetId="43">'5695'!$B$2:$AJ$322</definedName>
    <definedName name="_xlnm.Print_Area" localSheetId="44">'6251'!$B$4:$M$127</definedName>
    <definedName name="_xlnm.Print_Area" localSheetId="45">'8283'!$B$2:$AO$132</definedName>
    <definedName name="_xlnm.Print_Area" localSheetId="46">'8582'!$B$2:$AJ$140</definedName>
    <definedName name="_xlnm.Print_Area" localSheetId="47">'8606'!$B$7:$AJ$230</definedName>
    <definedName name="_xlnm.Print_Area" localSheetId="48">'8801'!$B$1:$AJ$258</definedName>
    <definedName name="_xlnm.Print_Area" localSheetId="49">'8812'!$B$4:$AP$228</definedName>
    <definedName name="_xlnm.Print_Area" localSheetId="50">'8829'!$B$2:$AJ$66</definedName>
    <definedName name="_xlnm.Print_Area" localSheetId="51">'8863'!$B$2:$AJ$288</definedName>
    <definedName name="_xlnm.Print_Area" localSheetId="52">'8880'!$B$2:$AJ$52</definedName>
    <definedName name="_xlnm.Print_Area" localSheetId="53">'8889'!$B$4:$M$123</definedName>
    <definedName name="_xlnm.Print_Area" localSheetId="54">'8919'!$B$2:$AJ$119</definedName>
    <definedName name="_xlnm.Print_Area" localSheetId="55">'8949A'!$B$4:$AF$108</definedName>
    <definedName name="_xlnm.Print_Area" localSheetId="56">'8949B'!$B$4:$AF$108</definedName>
    <definedName name="_xlnm.Print_Area" localSheetId="57">'8949C'!$B$4:$AF$108</definedName>
    <definedName name="_xlnm.Print_Area" localSheetId="58">'8949D'!$B$4:$AF$108</definedName>
    <definedName name="_xlnm.Print_Area" localSheetId="59">'8959'!$B$8:$M$66</definedName>
    <definedName name="_xlnm.Print_Area" localSheetId="60">'8960'!$B$5:$N$61</definedName>
    <definedName name="_xlnm.Print_Area" localSheetId="61">'8962'!$B$4:$AJ$123</definedName>
    <definedName name="_xlnm.Print_Area" localSheetId="62">'8995'!$B$2:$AG$47</definedName>
    <definedName name="_xlnm.Print_Area" localSheetId="0">Coversheet!$B$2:$K$71</definedName>
    <definedName name="_xlnm.Print_Area" localSheetId="13">Dependents!$B$4:$BL$30</definedName>
    <definedName name="_xlnm.Print_Area" localSheetId="21">'Earned Inc WS'!$B$2:$K$92</definedName>
    <definedName name="_xlnm.Print_Area" localSheetId="2">Instructions!$A:$L</definedName>
    <definedName name="_xlnm.Print_Area" localSheetId="24">'Line 12e (SD Depnts)'!$B$2:$O$37</definedName>
    <definedName name="_xlnm.Print_Area" localSheetId="25">'Line 16 (QDCG Tax)'!$B$23:$O$122</definedName>
    <definedName name="_xlnm.Print_Area" localSheetId="26">'Line 27a (EIC)'!$A$1:$Y$507</definedName>
    <definedName name="_xlnm.Print_Area" localSheetId="23">'Line 6ab (SS Bene)'!$B$2:$M$52</definedName>
    <definedName name="_xlnm.Print_Area" localSheetId="10">'Lines 4ab (IRA Dist.)'!$B$2:$X$93</definedName>
    <definedName name="_xlnm.Print_Area" localSheetId="22">'Lines 5ab (Simplified Meth WS)'!$B$32:$M$94</definedName>
    <definedName name="_xlnm.Print_Area" localSheetId="16">'Sch 1, Line 1 (SALT)'!$B$22:$M$80</definedName>
    <definedName name="_xlnm.Print_Area" localSheetId="14">'Sch. 1'!$B$2:$AG$102</definedName>
    <definedName name="_xlnm.Print_Area" localSheetId="17">'Sch. 1, Line 20 (IRA)'!$B$2:$T$101</definedName>
    <definedName name="_xlnm.Print_Area" localSheetId="18">'Sch. 1, Line 21 (Stu Loan)'!$B$2:$M$35</definedName>
    <definedName name="_xlnm.Print_Area" localSheetId="15">'Sch. 1-A'!$B$2:$AH$106</definedName>
    <definedName name="_xlnm.Print_Area" localSheetId="19">'Sch. 2'!$B$2:$AH$92</definedName>
    <definedName name="_xlnm.Print_Area" localSheetId="20">'Sch. 3'!$B$2:$AG$52</definedName>
    <definedName name="_xlnm.Print_Area" localSheetId="27">'Sch. A'!$B$9:$P$67</definedName>
    <definedName name="_xlnm.Print_Area" localSheetId="28">'Sch. B'!$B$14:$O$85</definedName>
    <definedName name="_xlnm.Print_Area" localSheetId="29">'Sch. C'!$B$2:$U$229</definedName>
    <definedName name="_xlnm.Print_Area" localSheetId="30">'Sch. D'!$B$2:$Q$98</definedName>
    <definedName name="_xlnm.Print_Area" localSheetId="31">'Sch. D WS'!$B$1:$S$146</definedName>
    <definedName name="_xlnm.Print_Area" localSheetId="32">'Sch. E'!$B$2:$AO$265</definedName>
    <definedName name="_xlnm.Print_Area" localSheetId="33">'Sch. E (2)'!$B$2:$AO$265</definedName>
    <definedName name="_xlnm.Print_Area" localSheetId="34">'Sch. F'!$B$3:$AE$122</definedName>
    <definedName name="_xlnm.Print_Area" localSheetId="35">'Sch. R'!$B$13:$AB$126</definedName>
    <definedName name="_xlnm.Print_Area" localSheetId="36">'Sch. SE'!$B$2:$Z$121</definedName>
    <definedName name="_xlnm.Print_Area" localSheetId="11">'SSA-1099'!$A$1:$K$36</definedName>
    <definedName name="_xlnm.Print_Area" localSheetId="1">'Table of Contents'!$B$2:$C$72</definedName>
    <definedName name="_xlnm.Print_Area" localSheetId="64">'Tax Table'!$B$1:$G$2063</definedName>
    <definedName name="_xlnm.Print_Area" localSheetId="3">'W-2s'!$A$1:$M$104</definedName>
    <definedName name="_xlnm.Print_Titles" localSheetId="1">'Table of Contents'!$1:$1</definedName>
    <definedName name="_xlnm.Print_Titles" localSheetId="64">'Tax Table'!$1:$1</definedName>
    <definedName name="PTC_Excess">'8962'!$AE$72</definedName>
    <definedName name="PTC_ExcessAdv">'Sch. 2'!$Z$12</definedName>
    <definedName name="PTC_Net">'8962'!$AE$68</definedName>
    <definedName name="PTCNet">'Sch. 3'!$AC$37</definedName>
    <definedName name="PuertoRicoResident">'8812'!$AS$3</definedName>
    <definedName name="QBID">'8995'!$AC$43</definedName>
    <definedName name="QBID_1040">'1040'!$AL$92</definedName>
    <definedName name="QBID_Income2High">'8995'!$AL$10</definedName>
    <definedName name="QPIMV_Credit">'Sch. 3'!$AC$23</definedName>
    <definedName name="Qual_Child_Count">Dependents!$BK$39</definedName>
    <definedName name="Qual_Child_Name">'1040'!$T$25</definedName>
    <definedName name="Qual_Child_Number_EIC">Dependents!$BF$56</definedName>
    <definedName name="Qual_Childen_Under_17">Dependents!$BF$37</definedName>
    <definedName name="QualDiv_1099DIV">'1099-DIV'!$H$94</definedName>
    <definedName name="Qualified_Dividends">'1040'!$S$62</definedName>
    <definedName name="QualifiedTipsDeduction">'Sch. 1-A'!$AD$46</definedName>
    <definedName name="RATE_A1">'Tax Table'!$S$7</definedName>
    <definedName name="RATE_A2">'Tax Table'!$S$8</definedName>
    <definedName name="RATE_A3">'Tax Table'!$S$9</definedName>
    <definedName name="RATE_A4">'Tax Table'!$S$10</definedName>
    <definedName name="RATE_A5">'Tax Table'!$S$11</definedName>
    <definedName name="RATE_A6">'Tax Table'!$S$12</definedName>
    <definedName name="RATE_A7">'Tax Table'!$S$13</definedName>
    <definedName name="RATE_B1">'Tax Table'!$S$17</definedName>
    <definedName name="RATE_B2">'Tax Table'!$S$18</definedName>
    <definedName name="RATE_B3">'Tax Table'!$S$19</definedName>
    <definedName name="RATE_B4">'Tax Table'!$S$20</definedName>
    <definedName name="RATE_B5">'Tax Table'!$S$21</definedName>
    <definedName name="RATE_B6">'Tax Table'!$S$22</definedName>
    <definedName name="RATE_B7">'Tax Table'!$S$23</definedName>
    <definedName name="RATE_C1">'Tax Table'!$S$27</definedName>
    <definedName name="RATE_C2">'Tax Table'!$S$28</definedName>
    <definedName name="RATE_C3">'Tax Table'!$S$29</definedName>
    <definedName name="RATE_C4">'Tax Table'!$S$30</definedName>
    <definedName name="RATE_C5">'Tax Table'!$S$31</definedName>
    <definedName name="RATE_C6">'Tax Table'!$S$32</definedName>
    <definedName name="RATE_C7">'Tax Table'!$S$33</definedName>
    <definedName name="RATE_D1">'Tax Table'!$S$38</definedName>
    <definedName name="RATE_D2">'Tax Table'!$S$39</definedName>
    <definedName name="RATE_D3">'Tax Table'!$S$40</definedName>
    <definedName name="RATE_D4">'Tax Table'!$S$41</definedName>
    <definedName name="RATE_D5">'Tax Table'!$S$42</definedName>
    <definedName name="RATE_D6">'Tax Table'!$S$43</definedName>
    <definedName name="RATE_D7">'Tax Table'!$S$44</definedName>
    <definedName name="RCE_CL_WKST">'5695'!$AE$288</definedName>
    <definedName name="ResNRGCredit">'Sch. 3'!$AL$15</definedName>
    <definedName name="Retirement_Savings">'Sch. 3'!$AC$14</definedName>
    <definedName name="RevDateTime">Changes!$F$1</definedName>
    <definedName name="RothIRADist_Taxable1">'8606'!$AE$106</definedName>
    <definedName name="RothIRADist_Taxable2">'8606'!$AE$218</definedName>
    <definedName name="RRTA_Compensation">'W-2s'!$C$98</definedName>
    <definedName name="RRTA_TaxWH">'W-2s'!$C$99</definedName>
    <definedName name="RTAApayments">'1099-G'!$J$29</definedName>
    <definedName name="SALT_Deduct_Limit">'Sch. A'!$P$22</definedName>
    <definedName name="SALT_Limited">'Sch. A'!$P$33</definedName>
    <definedName name="SALT_Refund">'1099-G'!$J$26</definedName>
    <definedName name="Sch.B_Reqd">'1099-DIV'!$I$119</definedName>
    <definedName name="Sch1_Line1">'Sch. 1'!$AC$15</definedName>
    <definedName name="Sch1_Line11_19a">'Sch. 1'!$AJ$71</definedName>
    <definedName name="Sch1_Line8s">'Sch. 1'!$X$45</definedName>
    <definedName name="Sch1A_Deductions">'1040'!$AL$93</definedName>
    <definedName name="Sch2_Line1z">'Sch. 2'!$AD$33</definedName>
    <definedName name="Sch3_Line6d">'Sch. 3'!$W$21</definedName>
    <definedName name="Sch3_Line6f">'Sch. 3'!$W$23</definedName>
    <definedName name="Sch3_Line6g">'Sch. 3'!$W$24</definedName>
    <definedName name="Sch3_Line6h">'Sch. 3'!$W$25</definedName>
    <definedName name="Sch3_Line6m">'Sch. 3'!$W$30</definedName>
    <definedName name="Sch3_NonRefundCredits">'Sch. 3'!$AC$35</definedName>
    <definedName name="SchA_Blank">'Sch. A'!$P$74</definedName>
    <definedName name="SchA_Filed">'Sch. A'!$R$9</definedName>
    <definedName name="SchC_ProfitLoss1">'Sch. C'!$T$56</definedName>
    <definedName name="SchC_ProfitLoss2">'Sch. C'!$T$170</definedName>
    <definedName name="SchC_Sp_StatEmp_Inc">'Sch. C'!$Y$139</definedName>
    <definedName name="SchC_StatEmp_Inc">'Sch. C'!$Y$141</definedName>
    <definedName name="SchC_StatutoryEmp_1">'Sch. C'!$Q$23</definedName>
    <definedName name="SchC_StatutoryEmp_2">'Sch. C'!$Q$137</definedName>
    <definedName name="SchC_TentativeProfit1">'Sch. C'!$T$48</definedName>
    <definedName name="SchC_TentativeProfit2">'Sch. C'!$T$162</definedName>
    <definedName name="SchC_You_StatEmp_Inc">'Sch. C'!$Y$140</definedName>
    <definedName name="SchD_Line1516_GT_0">'Sch. D WS'!$AC$55</definedName>
    <definedName name="SchD_Line1819_GT_0">'Sch. D WS'!$AC$54</definedName>
    <definedName name="SchD_NotReqd">'1040'!$AY$75</definedName>
    <definedName name="SchD_Used">'Sch. D'!$O$56</definedName>
    <definedName name="SchDLine15">'Sch. D'!$O$49</definedName>
    <definedName name="SchDLine16">'Sch. D'!$O$57</definedName>
    <definedName name="SchDLine18">'Sch. D'!$O$72</definedName>
    <definedName name="SchDLine19">'Sch. D'!$O$75</definedName>
    <definedName name="SchDLine20No">'Sch. D'!$A$81</definedName>
    <definedName name="SchDLine20Yes">'Sch. D'!$A$78</definedName>
    <definedName name="SchDLine22Yes">'Sch. D'!$A$93</definedName>
    <definedName name="SchDTW_Line1">'Sch. D WS'!$R$74</definedName>
    <definedName name="SchDTW_Line15">'Sch. D WS'!$L$91</definedName>
    <definedName name="SchDTW_Line19">'Sch. D WS'!$L$98</definedName>
    <definedName name="SchDTW_Line21">'Sch. D WS'!$O$102</definedName>
    <definedName name="SchDTW_Line24">'Sch. D WS'!$L$110</definedName>
    <definedName name="SchDTW_Line26">'Sch. D WS'!$L$110</definedName>
    <definedName name="SchDTW_Line31Rate">'Sch. D WS'!$T$117</definedName>
    <definedName name="SchDTW_Line34Rate">'Sch. D WS'!$T$121</definedName>
    <definedName name="SchDTW_Line40Rate">'Sch. D WS'!$T$128</definedName>
    <definedName name="SchDTW_Line43Rate">'Sch. D WS'!$T$132</definedName>
    <definedName name="SchDTW_Line45">'Sch. D WS'!$R$141</definedName>
    <definedName name="SchDTW_Tax">'Sch. D WS'!$R$141</definedName>
    <definedName name="SchDTW_Used">'Sch. D WS'!$AC$65</definedName>
    <definedName name="SchE_IncomeLoss">'Sch. 1'!$AC$20</definedName>
    <definedName name="SchE1_Completed">'Sch. E'!$AV$123</definedName>
    <definedName name="SchE1_Line26">'Sch. E'!$AJ$63</definedName>
    <definedName name="SchE1_Line32">'Sch. E'!$AH$96</definedName>
    <definedName name="SchE1_Line37">'Sch. E'!$AJ$113</definedName>
    <definedName name="SchE1_Line39">'Sch. E'!$AJ$119</definedName>
    <definedName name="SchE1_Line40">'Sch. E'!$AJ$121</definedName>
    <definedName name="SchE1_Line41">'Sch. E'!$AJ$123</definedName>
    <definedName name="SchE2_Completed">'Sch. E'!$AV$255</definedName>
    <definedName name="SchE2_Line26">'Sch. E'!$AJ$195</definedName>
    <definedName name="SchE2_Line32">'Sch. E'!$AH$228</definedName>
    <definedName name="SchE2_Line37">'Sch. E'!$AJ$245</definedName>
    <definedName name="SchE2_Line39">'Sch. E'!$AJ$251</definedName>
    <definedName name="SchE2_Line40">'Sch. E'!$AJ$253</definedName>
    <definedName name="SchE2_Line41">'Sch. E'!$AJ$255</definedName>
    <definedName name="SchE3_Completed">'Sch. E (2)'!$AV$123</definedName>
    <definedName name="SchE3_Line26">'Sch. E (2)'!$AJ$63</definedName>
    <definedName name="SchE3_Line32">'Sch. E (2)'!$AH$96</definedName>
    <definedName name="SchE3_Line37">'Sch. E (2)'!$AJ$113</definedName>
    <definedName name="SchE3_Line39">'Sch. E (2)'!$AJ$119</definedName>
    <definedName name="SchE3_Line40">'Sch. E (2)'!$AJ$121</definedName>
    <definedName name="SchE3_Line41">'Sch. E (2)'!$AJ$123</definedName>
    <definedName name="SchE4_Completed">'Sch. E (2)'!$AV$255</definedName>
    <definedName name="SchE4_Line26">'Sch. E (2)'!$AJ$195</definedName>
    <definedName name="SchE4_Line32">'Sch. E (2)'!$AH$228</definedName>
    <definedName name="SchE4_Line37">'Sch. E (2)'!$AJ$245</definedName>
    <definedName name="SchE4_Line39">'Sch. E (2)'!$AJ$251</definedName>
    <definedName name="SchE4_Line40">'Sch. E (2)'!$AJ$253</definedName>
    <definedName name="SchE4_Line41">'Sch. E (2)'!$AJ$255</definedName>
    <definedName name="Schedule2_Tax">'Sch. 2'!$AD$35</definedName>
    <definedName name="ScheduleE1">'Sch. E'!$AV$124</definedName>
    <definedName name="ScheduleE2">'Sch. E'!$AV$256</definedName>
    <definedName name="ScheduleE3">'Sch. E (2)'!$AV$124</definedName>
    <definedName name="ScheduleE4">'Sch. E (2)'!$AV$256</definedName>
    <definedName name="ScheduleF_PartIII">'Sch. F'!$AB$94</definedName>
    <definedName name="SchF_SchSE_1">'Sch. F'!$AI$58</definedName>
    <definedName name="SchF_SchSE_2">'Sch. F'!$AI$61</definedName>
    <definedName name="SchF_SSN">'Sch. F'!$W$9</definedName>
    <definedName name="Scholarship_NotW2">'Earned Inc WS'!#REF!</definedName>
    <definedName name="SchR_Line22">'Sch. R'!$Y$125</definedName>
    <definedName name="SchRQualify">'Sch. R'!$R$12</definedName>
    <definedName name="SchSE_Clergy_CEI_Sp">'Sch. SE'!$AM$108</definedName>
    <definedName name="SchSE_Clergy_CEI_Total">'Sch. SE'!$AN$108</definedName>
    <definedName name="SchSE_Clergy_CEI_You">'Sch. SE'!$AL$108</definedName>
    <definedName name="SchSE_Clergy1_Sp">'Sch. SE'!$AL$12</definedName>
    <definedName name="SchSE_Clergy1_You">'Sch. SE'!$AJ$12</definedName>
    <definedName name="SchSE_Clergy2_Sp">'Sch. SE'!$AL$72</definedName>
    <definedName name="SchSE_Clergy2_You">'Sch. SE'!$AJ$72</definedName>
    <definedName name="SchSE_Deduction">'Sch. SE'!$AL$136</definedName>
    <definedName name="SchSE_Deduction_Both">'Sch. SE'!$AN$135</definedName>
    <definedName name="SchSE_Deduction_Sp">'Sch. SE'!$AM$135</definedName>
    <definedName name="SchSE_Deduction_You">'Sch. SE'!$AL$135</definedName>
    <definedName name="SchSE_Line3_Sp1">'Sch. SE'!$AM$41</definedName>
    <definedName name="SchSE_Line3_Sp2">'Sch. SE'!$AM$106</definedName>
    <definedName name="SchSE_Line3_You1">'Sch. SE'!$AL$41</definedName>
    <definedName name="SchSE_Line3_You2">'Sch. SE'!$AL$106</definedName>
    <definedName name="SchSE_Lines_3_4b_5a_Sp">'Sch. SE'!$AM$118</definedName>
    <definedName name="SchSE_Lines_3_4b_5a_You">'Sch. SE'!$AL$118</definedName>
    <definedName name="SchSE_Lines_3_4b_Sp">'Sch. SE'!$AM$113</definedName>
    <definedName name="SchSE_Lines_3_4b_You">'Sch. SE'!$AL$113</definedName>
    <definedName name="SchSE_Profit1">'Sch. SE'!$X$21</definedName>
    <definedName name="SchSE_Profit2">'Sch. SE'!$X$81</definedName>
    <definedName name="SchSE_Tax">'Sch. SE'!$AL$130</definedName>
    <definedName name="SchSE1_SSN">'Sch. SE'!$W$6</definedName>
    <definedName name="SchSEHalfTax1">'Sch. SE'!$S$46</definedName>
    <definedName name="SchSEHalfTax2">'Sch. SE'!$S$106</definedName>
    <definedName name="SchSELine4b1">'Sch. SE'!$X$24</definedName>
    <definedName name="SchSELine4b2">'Sch. SE'!$X$84</definedName>
    <definedName name="SD_Adj_HOH">'1040'!$BD$98</definedName>
    <definedName name="SD_Adj_MFJW">'1040'!$BB$98</definedName>
    <definedName name="SD_Adj_MFS">'1040'!$BC$98</definedName>
    <definedName name="SD_Adj_Single">'1040'!$BA$98</definedName>
    <definedName name="SD_AND_NQDL">'1040'!$BI$75</definedName>
    <definedName name="SD_Head">'1040'!$C$100</definedName>
    <definedName name="SD_Inc_Married">'1040'!$BB$90</definedName>
    <definedName name="SD_Inc_Single">'1040'!$BA$90</definedName>
    <definedName name="SD_MFJW">'1040'!$C$97</definedName>
    <definedName name="SD_Single">'1040'!$C$92</definedName>
    <definedName name="SDTW_15_HOH">'Sch. D WS'!$O$93</definedName>
    <definedName name="SDTW_15_MFJ_QW">'Sch. D WS'!$O$92</definedName>
    <definedName name="SDTW_15_Single">'Sch. D WS'!$O$91</definedName>
    <definedName name="SDTW_26_HOH">'Sch. D WS'!$O$112</definedName>
    <definedName name="SDTW_26_MFJ_QW">'Sch. D WS'!$O$111</definedName>
    <definedName name="SDTW_26_MFS">'Sch. D WS'!$O$110</definedName>
    <definedName name="SDTW_26_Single">'Sch. D WS'!$O$109</definedName>
    <definedName name="SE_Deduct">'Sch. 1'!$AJ$66</definedName>
    <definedName name="Sect199ADividends">'1099-DIV'!$H$101</definedName>
    <definedName name="SectA_a2">'Tax Table'!$J$8</definedName>
    <definedName name="SectA_a3">'Tax Table'!$J$9</definedName>
    <definedName name="SectA_a4">'Tax Table'!$J$10</definedName>
    <definedName name="SectA_a5">'Tax Table'!$J$11</definedName>
    <definedName name="SectA_a6">'Tax Table'!$J$12</definedName>
    <definedName name="SectA_b3">'Tax Table'!$K$9</definedName>
    <definedName name="SectA_b4">'Tax Table'!$K$10</definedName>
    <definedName name="SectA_b5">'Tax Table'!$K$11</definedName>
    <definedName name="SectA_b6">'Tax Table'!$K$12</definedName>
    <definedName name="SectA_b7">'Tax Table'!$K$13</definedName>
    <definedName name="SectA_d3">'Tax Table'!$L$9</definedName>
    <definedName name="SectA_d4">'Tax Table'!$L$10</definedName>
    <definedName name="SectA_d5">'Tax Table'!$L$11</definedName>
    <definedName name="SectA_d6">'Tax Table'!$L$12</definedName>
    <definedName name="SectA_d7">'Tax Table'!$L$13</definedName>
    <definedName name="SectB_a2">'Tax Table'!$J$19</definedName>
    <definedName name="SectB_a3">'Tax Table'!$J$20</definedName>
    <definedName name="SectB_a4">'Tax Table'!$J$21</definedName>
    <definedName name="SectB_a5">'Tax Table'!$J$22</definedName>
    <definedName name="SectB_a6">'Tax Table'!$J$23</definedName>
    <definedName name="SectB_b3">'Tax Table'!$K$20</definedName>
    <definedName name="SectB_b4">'Tax Table'!$K$21</definedName>
    <definedName name="SectB_b5">'Tax Table'!$K$22</definedName>
    <definedName name="SectB_b6">'Tax Table'!$K$23</definedName>
    <definedName name="SectB_b7">'Tax Table'!$K$24</definedName>
    <definedName name="SectB_d3">'Tax Table'!$L$20</definedName>
    <definedName name="SectB_d4">'Tax Table'!$L$21</definedName>
    <definedName name="SectB_d5">'Tax Table'!$L$22</definedName>
    <definedName name="SectB_d6">'Tax Table'!$L$23</definedName>
    <definedName name="SectB_d7">'Tax Table'!$L$24</definedName>
    <definedName name="SectC_a1">'Tax Table'!$J$30</definedName>
    <definedName name="SectC_a2">'Tax Table'!$J$31</definedName>
    <definedName name="SectC_a3">'Tax Table'!$J$32</definedName>
    <definedName name="SectC_a4">'Tax Table'!$J$33</definedName>
    <definedName name="SectC_a5">'Tax Table'!$J$34</definedName>
    <definedName name="SectC_b2">'Tax Table'!$K$31</definedName>
    <definedName name="SectC_b3">'Tax Table'!$K$32</definedName>
    <definedName name="SectC_b4">'Tax Table'!$K$33</definedName>
    <definedName name="SectC_b5">'Tax Table'!$K$34</definedName>
    <definedName name="SectC_b6">'Tax Table'!$K$35</definedName>
    <definedName name="SectC_d2">'Tax Table'!$L$31</definedName>
    <definedName name="SectC_d3">'Tax Table'!$L$32</definedName>
    <definedName name="SectC_d4">'Tax Table'!$L$33</definedName>
    <definedName name="SectC_d5">'Tax Table'!$L$34</definedName>
    <definedName name="SectC_d6">'Tax Table'!$L$35</definedName>
    <definedName name="SectD_a2">'Tax Table'!$J$41</definedName>
    <definedName name="SectD_a3">'Tax Table'!$J$42</definedName>
    <definedName name="SectD_a4">'Tax Table'!$J$43</definedName>
    <definedName name="SectD_a5">'Tax Table'!$J$44</definedName>
    <definedName name="SectD_a6">'Tax Table'!$J$45</definedName>
    <definedName name="SectD_b3">'Tax Table'!$K$42</definedName>
    <definedName name="SectD_b4">'Tax Table'!$K$43</definedName>
    <definedName name="SectD_b5">'Tax Table'!$K$44</definedName>
    <definedName name="SectD_b6">'Tax Table'!$K$45</definedName>
    <definedName name="SectD_b7">'Tax Table'!$K$46</definedName>
    <definedName name="SectD_d3">'Tax Table'!$L$42</definedName>
    <definedName name="SectD_d4">'Tax Table'!$L$43</definedName>
    <definedName name="SectD_d5">'Tax Table'!$L$44</definedName>
    <definedName name="SectD_d6">'Tax Table'!$L$45</definedName>
    <definedName name="SectD_d7">'Tax Table'!$L$46</definedName>
    <definedName name="SEHealthInsDeduct">'Sch. 1'!$AJ$68</definedName>
    <definedName name="SelfEmploymentTax">'Sch. 2'!$AD$38</definedName>
    <definedName name="SEP_Plan_Deduct">'Sch. 1'!$AJ$67</definedName>
    <definedName name="Skip2343">'Sch. D WS'!$U$104</definedName>
    <definedName name="Skip3343">'Sch. D WS'!$U$119</definedName>
    <definedName name="Skip3540">'Sch. D WS'!$U$122</definedName>
    <definedName name="Skip4143">'Sch. D WS'!$U$129</definedName>
    <definedName name="SocSecBenefits">'1040'!$S$71</definedName>
    <definedName name="SocSecBenefits_Taxable">'1040'!$AL$71</definedName>
    <definedName name="SocSecTips">'1040'!$BC$128</definedName>
    <definedName name="SocSecTips_Spouse">'W-2s'!$I$46</definedName>
    <definedName name="SocSecTips_You">'W-2s'!$I$9</definedName>
    <definedName name="SocSecTipsNotW2">'1040'!$AL$53</definedName>
    <definedName name="SocSecTipsW2">'W-2s'!$C$82</definedName>
    <definedName name="SocSecWages_Spouse">'W-2s'!$I$42</definedName>
    <definedName name="SocSecWages_You">'W-2s'!$I$5</definedName>
    <definedName name="sp_blind">'1040'!$AA$90</definedName>
    <definedName name="sp_over_64">'1040'!$K$90</definedName>
    <definedName name="SpaceUsed_8949A_LT">'8949A'!$AH$79</definedName>
    <definedName name="SpaceUsed_8949A_ST">'8949A'!$AH$29</definedName>
    <definedName name="SpaceUsed_8949B_LT">'8949B'!$AH$79</definedName>
    <definedName name="SpaceUsed_8949B_ST">'8949B'!$AH$29</definedName>
    <definedName name="SpaceUsed_8949C_LT">'8949C'!$AH$79</definedName>
    <definedName name="SpaceUsed_8949C_ST">'8949C'!$AH$29</definedName>
    <definedName name="SpaceUsed_8949D_LT">'8949D'!$AH$79</definedName>
    <definedName name="SpaceUsed_8949D_ST">'8949D'!$AH$29</definedName>
    <definedName name="Spouse">'1040'!$AU$84</definedName>
    <definedName name="Spouse_GE24">'1040'!$BL$149</definedName>
    <definedName name="Spouse_GT24">'1040'!$BL$150</definedName>
    <definedName name="Spouse_GT24LT65">'1040'!$BL$125</definedName>
    <definedName name="Spouse_LT65">'1040'!$BL$151</definedName>
    <definedName name="Spouse65onJan2">'1040'!$BN$147</definedName>
    <definedName name="SpouseAge">'1040'!$BJ$147</definedName>
    <definedName name="SpouseAgeDecimal">'1040'!$BJ$146</definedName>
    <definedName name="SpouseBirthDate">'1040'!$BJ$142</definedName>
    <definedName name="SpouseBirthDay">'1040'!$AY$17</definedName>
    <definedName name="SpouseBirthMonth">'1040'!$AX$17</definedName>
    <definedName name="SpouseBirthYear">'1040'!$AZ$17</definedName>
    <definedName name="SpouseDeathDate">'1040'!$BR$143</definedName>
    <definedName name="SpouseDeathDay">'1040'!$AY$22</definedName>
    <definedName name="SpouseDeathMonth">'1040'!$AX$22</definedName>
    <definedName name="SpouseDeathYear">'1040'!$AZ$22</definedName>
    <definedName name="SpouseDeceased">'1040'!$AV$17</definedName>
    <definedName name="SpouseIs65">'1040'!$BN$146</definedName>
    <definedName name="SpouseIs70Half">'1040'!$BN$145</definedName>
    <definedName name="SpouseSep_NoIncome">'1040'!$BI$20</definedName>
    <definedName name="SS_FedTaxWH_Spouse">'SSA-1099'!$G$12</definedName>
    <definedName name="SS_FedTaxWH_You">'SSA-1099'!$G$7</definedName>
    <definedName name="SS_Spouse">'1040'!$AH$11</definedName>
    <definedName name="SS_Yours">'1040'!$AH$9</definedName>
    <definedName name="SSNetBeneSpouse">'SSA-1099'!$D$11</definedName>
    <definedName name="SSNetBeneYou">'SSA-1099'!$D$6</definedName>
    <definedName name="SSTaxRate">'W-2s'!$I$1</definedName>
    <definedName name="Standard">'1040'!$BI$70</definedName>
    <definedName name="State">'1040'!$X$15</definedName>
    <definedName name="State_Local_Tax_Refund">'Sch 1, Line 1 (SALT)'!$L$79</definedName>
    <definedName name="StateLocalTaxesPaid">'Sch. A'!$T$23</definedName>
    <definedName name="StateTax_DIV">'1099-DIV'!$H$112</definedName>
    <definedName name="StateTax_INT">'1099-INT'!$I$83</definedName>
    <definedName name="StateTaxIRA">'1099-R'!$D$73</definedName>
    <definedName name="StateTaxPA">'1099-R'!$E$73</definedName>
    <definedName name="StateTaxW2">'W-2s'!$C$102</definedName>
    <definedName name="Std_Ded_Wrks_For_Dep">'Line 12e (SD Depnts)'!$N$32</definedName>
    <definedName name="StdDeduct">'1040'!$BK$65</definedName>
    <definedName name="StudentLoanIntDeduct">'Sch. 1'!$AC$75</definedName>
    <definedName name="StuLoanIntDeduct">'Sch. 1, Line 21 (Stu Loan)'!$L$34</definedName>
    <definedName name="Tax">'1040'!$AL$98</definedName>
    <definedName name="Tax_FEI_TW">'Line 16 (QDCG Tax)'!$N$102</definedName>
    <definedName name="Tax_SS_Benefits">'Line 6ab (SS Bene)'!$L$49</definedName>
    <definedName name="Tax_SubTotal">'1040'!$AL$96</definedName>
    <definedName name="Taxable_Inc">'1040'!$AL$95</definedName>
    <definedName name="Taxable_State_Local_Tax_Refund">'Sch 1, Line 1 (SALT)'!$L$79</definedName>
    <definedName name="TaxableInterest">'1040'!$AL$61</definedName>
    <definedName name="TaxDay">'1040'!$BK$138</definedName>
    <definedName name="TaxExemptInt">'1040'!$S$61</definedName>
    <definedName name="TaxExemptInterest">'1099-INT'!$I$73</definedName>
    <definedName name="TaxFamilySize">'1040'!$AZ$41</definedName>
    <definedName name="TaxLine_1040">'1040'!$AK$96</definedName>
    <definedName name="TaxPenalty">'1040'!$AD$132</definedName>
    <definedName name="TaxYear">'1040'!$X$3</definedName>
    <definedName name="TaxYear2">'1040'!$X$3</definedName>
    <definedName name="TaxYearEnd">'1040'!$AC$5</definedName>
    <definedName name="TaxYearStart">'1040'!$R$5</definedName>
    <definedName name="Tot_Exemptions">'1040'!$AZ$41</definedName>
    <definedName name="Tot_Item_Deduct">'Sch. A'!$P$64</definedName>
    <definedName name="Tot_Payments">'1040'!$AL$124</definedName>
    <definedName name="Tot_Tax">'1040'!$AL$104</definedName>
    <definedName name="Total_Income">'1040'!$AL$77</definedName>
    <definedName name="TotalDeductions">'1040'!$AL$94</definedName>
    <definedName name="TotalOtherAdjust">'Sch. 1'!$AC$98</definedName>
    <definedName name="TotalOtherTaxes">'Sch. 2'!$AD$91</definedName>
    <definedName name="TotalSocSecBenefits">'SSA-1099'!$G$22</definedName>
    <definedName name="UCE_Spouse">'1099-G'!$I$25</definedName>
    <definedName name="UCE_You">'1099-G'!$J$6</definedName>
    <definedName name="Unallowed_CRD">'8582'!$AM$23</definedName>
    <definedName name="Uncol_MC_Tax_onTips">'W-2s'!$C$87</definedName>
    <definedName name="Uncol_SS_Tax_onTips">'W-2s'!$C$86</definedName>
    <definedName name="UnemployComp">'1099-G'!$J$25</definedName>
    <definedName name="UnEmploymentComp">'Sch. 1'!$AC$23</definedName>
    <definedName name="W2_FedTaxWH">'1040'!$AF$106</definedName>
    <definedName name="W2_NonTaxCombatPay_Sp">'W-2s'!$I$57</definedName>
    <definedName name="W2_NonTaxCombatPay_You">'W-2s'!$I$20</definedName>
    <definedName name="W2_Other">'W-2s'!$C$97</definedName>
    <definedName name="W2_SS_Tax_Excess">'W-2s'!$J$79</definedName>
    <definedName name="W2_SS_Tax_Withheld">'W-2s'!$C$79</definedName>
    <definedName name="W2_SS_Wages">'W-2s'!$C$78</definedName>
    <definedName name="W2_Tax_Withheld">'W-2s'!$C$77</definedName>
    <definedName name="W2_Wages">'W-2s'!$C$76</definedName>
    <definedName name="W2_Wages_Spouse">'W-2s'!$I$40</definedName>
    <definedName name="W2_Wages_You">'W-2s'!$I$3</definedName>
    <definedName name="Wages">'1040'!$AL$51</definedName>
    <definedName name="you_blind">'1040'!$AA$88</definedName>
    <definedName name="You_GE24">'1040'!$BL$129</definedName>
    <definedName name="You_GT24">'1040'!$BL$130</definedName>
    <definedName name="You_GT24LT65">'1040'!$BL$132</definedName>
    <definedName name="You_LT65">'1040'!$BL$131</definedName>
    <definedName name="you_over_64">'1040'!$K$88</definedName>
    <definedName name="You_Owe">'1040'!$AL$131</definedName>
    <definedName name="You65onJan2">'1040'!$BN$127</definedName>
    <definedName name="YouR65">'1040'!$BN$126</definedName>
    <definedName name="YouR70Half">'1040'!$BN$124</definedName>
    <definedName name="YourAge">'1040'!$BJ$127</definedName>
    <definedName name="YourAgeDecimal">'1040'!$BJ$126</definedName>
    <definedName name="YourBirthDate">'1040'!$BJ$121</definedName>
    <definedName name="YourBirthDay">'1040'!$AY$15</definedName>
    <definedName name="YourBirthMonth">'1040'!$AX$15</definedName>
    <definedName name="YourBirthYear">'1040'!$AZ$15</definedName>
    <definedName name="Yourself">'1040'!$BC$10</definedName>
    <definedName name="ZIPCode">'1040'!$AC$15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03" i="102" l="1"/>
  <c r="AE102" i="102"/>
  <c r="AE101" i="102"/>
  <c r="AE100" i="102"/>
  <c r="AE99" i="102"/>
  <c r="V96" i="71"/>
  <c r="AO364" i="62" a="1"/>
  <c r="AO364" i="62" s="1"/>
  <c r="AO175" i="62" a="1"/>
  <c r="AO175" i="62" s="1"/>
  <c r="AE177" i="91" l="1"/>
  <c r="X171" i="91" l="1"/>
  <c r="X165" i="91"/>
  <c r="O55" i="37" l="1"/>
  <c r="AM79" i="91"/>
  <c r="D160" i="91" l="1"/>
  <c r="D48" i="91"/>
  <c r="F139" i="91"/>
  <c r="F27" i="91"/>
  <c r="D157" i="91"/>
  <c r="D45" i="91"/>
  <c r="P44" i="91"/>
  <c r="D217" i="91"/>
  <c r="I215" i="91"/>
  <c r="D201" i="91"/>
  <c r="D200" i="91"/>
  <c r="E197" i="91"/>
  <c r="E196" i="91"/>
  <c r="D190" i="91"/>
  <c r="E188" i="91"/>
  <c r="E187" i="91"/>
  <c r="I181" i="91"/>
  <c r="D183" i="91"/>
  <c r="D179" i="91"/>
  <c r="D163" i="91"/>
  <c r="D159" i="91"/>
  <c r="D213" i="91"/>
  <c r="D67" i="91"/>
  <c r="AL158" i="91"/>
  <c r="D38" i="91"/>
  <c r="Z140" i="91"/>
  <c r="F145" i="91"/>
  <c r="F144" i="91"/>
  <c r="F140" i="91"/>
  <c r="F136" i="91"/>
  <c r="Z28" i="91"/>
  <c r="F33" i="91"/>
  <c r="F32" i="91"/>
  <c r="F28" i="91"/>
  <c r="F24" i="91"/>
  <c r="D150" i="91"/>
  <c r="AF174" i="91"/>
  <c r="D105" i="91"/>
  <c r="D101" i="91"/>
  <c r="D100" i="91"/>
  <c r="D89" i="91"/>
  <c r="D88" i="91"/>
  <c r="E85" i="91"/>
  <c r="E84" i="91"/>
  <c r="D78" i="91" l="1"/>
  <c r="E76" i="91"/>
  <c r="E75" i="91"/>
  <c r="D71" i="91"/>
  <c r="I69" i="91"/>
  <c r="AF62" i="91"/>
  <c r="D47" i="91"/>
  <c r="D51" i="91"/>
  <c r="N61" i="53"/>
  <c r="I58" i="1"/>
  <c r="I21" i="1"/>
  <c r="C94" i="1" s="1"/>
  <c r="I59" i="1"/>
  <c r="K94" i="71" s="1"/>
  <c r="I22" i="1"/>
  <c r="K34" i="71" s="1"/>
  <c r="C95" i="1" l="1"/>
  <c r="E86" i="109" l="1"/>
  <c r="AD63" i="109"/>
  <c r="O19" i="60" a="1"/>
  <c r="O19" i="60" s="1"/>
  <c r="N19" i="60" a="1"/>
  <c r="N19" i="60" s="1"/>
  <c r="O16" i="60" a="1"/>
  <c r="O16" i="60" s="1"/>
  <c r="N16" i="60" a="1"/>
  <c r="N16" i="60" s="1"/>
  <c r="O13" i="60" a="1"/>
  <c r="O13" i="60" s="1"/>
  <c r="N13" i="60" a="1"/>
  <c r="N13" i="60" s="1"/>
  <c r="O10" i="60" a="1"/>
  <c r="O10" i="60" s="1"/>
  <c r="N10" i="60" a="1"/>
  <c r="N10" i="60" s="1"/>
  <c r="J10" i="71"/>
  <c r="J166" i="60"/>
  <c r="H165" i="60"/>
  <c r="H164" i="60"/>
  <c r="AW7" i="2"/>
  <c r="AE188" i="108"/>
  <c r="K82" i="71"/>
  <c r="C22" i="71"/>
  <c r="K22" i="71"/>
  <c r="AY46" i="6"/>
  <c r="AT46" i="6"/>
  <c r="AO46" i="6"/>
  <c r="AJ46" i="6"/>
  <c r="AA41" i="43"/>
  <c r="AA42" i="43"/>
  <c r="AA43" i="43"/>
  <c r="AA44" i="43"/>
  <c r="AA45" i="43"/>
  <c r="AA46" i="43"/>
  <c r="AA47" i="43"/>
  <c r="AA48" i="43"/>
  <c r="AA49" i="43"/>
  <c r="AA50" i="43"/>
  <c r="AA51" i="43"/>
  <c r="AI68" i="3"/>
  <c r="AD61" i="3"/>
  <c r="AG60" i="3"/>
  <c r="AC61" i="3"/>
  <c r="AG54" i="3"/>
  <c r="AI75" i="3"/>
  <c r="AO61" i="97"/>
  <c r="AI37" i="3"/>
  <c r="X34" i="3"/>
  <c r="X29" i="3"/>
  <c r="X28" i="3"/>
  <c r="X26" i="3"/>
  <c r="X25" i="3"/>
  <c r="AH61" i="3" l="1"/>
  <c r="AE61" i="3"/>
  <c r="AI61" i="3"/>
  <c r="T22" i="3"/>
  <c r="M123" i="71"/>
  <c r="M63" i="71"/>
  <c r="Q7" i="71"/>
  <c r="F15" i="89"/>
  <c r="A15" i="89"/>
  <c r="AI62" i="3" l="1"/>
  <c r="AG62" i="3"/>
  <c r="I21" i="115"/>
  <c r="J8" i="115"/>
  <c r="Y117" i="5"/>
  <c r="Y3" i="5"/>
  <c r="I25" i="115"/>
  <c r="I24" i="115"/>
  <c r="I23" i="115"/>
  <c r="I22" i="115"/>
  <c r="I19" i="115"/>
  <c r="J14" i="115"/>
  <c r="J12" i="115"/>
  <c r="J11" i="115"/>
  <c r="J10" i="115"/>
  <c r="J9" i="115"/>
  <c r="J6" i="115"/>
  <c r="E1" i="115"/>
  <c r="E66" i="68"/>
  <c r="AI73" i="114"/>
  <c r="AD59" i="114"/>
  <c r="AD65" i="114"/>
  <c r="AD63" i="114"/>
  <c r="AD61" i="114"/>
  <c r="AD57" i="114"/>
  <c r="AM31" i="114"/>
  <c r="C31" i="114"/>
  <c r="AD22" i="114"/>
  <c r="AD20" i="114"/>
  <c r="AD18" i="114"/>
  <c r="AD16" i="114"/>
  <c r="AD14" i="114"/>
  <c r="C74" i="114" l="1"/>
  <c r="AM74" i="114"/>
  <c r="J22" i="115"/>
  <c r="J21" i="115"/>
  <c r="J19" i="115"/>
  <c r="J25" i="115"/>
  <c r="J23" i="115"/>
  <c r="J24" i="115"/>
  <c r="AL14" i="114"/>
  <c r="AL57" i="114"/>
  <c r="A47" i="89"/>
  <c r="F47" i="89"/>
  <c r="R69" i="114"/>
  <c r="R26" i="114"/>
  <c r="M24" i="114"/>
  <c r="M67" i="114"/>
  <c r="AE87" i="114"/>
  <c r="C84" i="114"/>
  <c r="C83" i="114"/>
  <c r="C78" i="114"/>
  <c r="Y76" i="114"/>
  <c r="AN66" i="114"/>
  <c r="C65" i="114"/>
  <c r="AN64" i="114"/>
  <c r="C63" i="114"/>
  <c r="AN62" i="114"/>
  <c r="C61" i="114"/>
  <c r="AN60" i="114"/>
  <c r="C59" i="114"/>
  <c r="AN58" i="114"/>
  <c r="AL50" i="114"/>
  <c r="AC46" i="114"/>
  <c r="AC45" i="114"/>
  <c r="B45" i="114"/>
  <c r="AN23" i="114"/>
  <c r="AN21" i="114"/>
  <c r="AN19" i="114"/>
  <c r="AN17" i="114"/>
  <c r="AN15" i="114"/>
  <c r="C35" i="114"/>
  <c r="C41" i="114"/>
  <c r="C40" i="114"/>
  <c r="Y33" i="114"/>
  <c r="AE44" i="114"/>
  <c r="AB8" i="114"/>
  <c r="AL7" i="114"/>
  <c r="AC3" i="114"/>
  <c r="F24" i="113"/>
  <c r="I51" i="1"/>
  <c r="I50" i="1"/>
  <c r="A60" i="89"/>
  <c r="F60" i="89"/>
  <c r="I14" i="1"/>
  <c r="I13" i="1"/>
  <c r="Z108" i="113"/>
  <c r="Z49" i="113"/>
  <c r="N103" i="113"/>
  <c r="AE104" i="113" s="1"/>
  <c r="N100" i="113"/>
  <c r="C100" i="113" s="1"/>
  <c r="N97" i="113"/>
  <c r="C97" i="113" s="1"/>
  <c r="N94" i="113"/>
  <c r="AE95" i="113" s="1"/>
  <c r="N91" i="113"/>
  <c r="C91" i="113" s="1"/>
  <c r="N44" i="113"/>
  <c r="T45" i="113" s="1"/>
  <c r="T44" i="113" s="1"/>
  <c r="N41" i="113"/>
  <c r="T42" i="113" s="1"/>
  <c r="T41" i="113" s="1"/>
  <c r="N38" i="113"/>
  <c r="T39" i="113" s="1"/>
  <c r="T38" i="113" s="1"/>
  <c r="N35" i="113"/>
  <c r="C35" i="113" s="1"/>
  <c r="N32" i="113"/>
  <c r="AE119" i="113"/>
  <c r="AL66" i="113"/>
  <c r="AC62" i="113"/>
  <c r="AC61" i="113"/>
  <c r="B61" i="113"/>
  <c r="AE60" i="113"/>
  <c r="AB8" i="113"/>
  <c r="AL7" i="113"/>
  <c r="AC3" i="113"/>
  <c r="C32" i="113" l="1"/>
  <c r="AE33" i="113"/>
  <c r="AN68" i="114"/>
  <c r="Y68" i="114" s="1"/>
  <c r="AN25" i="114"/>
  <c r="Y25" i="114" s="1"/>
  <c r="AE39" i="113"/>
  <c r="C103" i="113"/>
  <c r="C38" i="113"/>
  <c r="AE36" i="113"/>
  <c r="C44" i="113"/>
  <c r="AE45" i="113"/>
  <c r="AE42" i="113"/>
  <c r="C41" i="113"/>
  <c r="T36" i="113"/>
  <c r="T35" i="113" s="1"/>
  <c r="C94" i="113"/>
  <c r="AE92" i="113"/>
  <c r="T92" i="113"/>
  <c r="T91" i="113" s="1"/>
  <c r="AE101" i="113"/>
  <c r="AE98" i="113"/>
  <c r="T104" i="113"/>
  <c r="T103" i="113" s="1"/>
  <c r="T98" i="113"/>
  <c r="T97" i="113" s="1"/>
  <c r="T95" i="113"/>
  <c r="T94" i="113" s="1"/>
  <c r="T101" i="113"/>
  <c r="T100" i="113" s="1"/>
  <c r="T33" i="113"/>
  <c r="T32" i="113" s="1"/>
  <c r="I57" i="1"/>
  <c r="I56" i="1"/>
  <c r="I55" i="1"/>
  <c r="I54" i="1"/>
  <c r="I53" i="1"/>
  <c r="I52" i="1"/>
  <c r="AE19" i="99" s="1"/>
  <c r="I20" i="1"/>
  <c r="I19" i="1"/>
  <c r="I18" i="1"/>
  <c r="I17" i="1"/>
  <c r="AQ116" i="74"/>
  <c r="AQ237" i="74"/>
  <c r="AQ360" i="74"/>
  <c r="AN70" i="114" l="1"/>
  <c r="Y79" i="114" s="1"/>
  <c r="AM80" i="114" s="1"/>
  <c r="C92" i="1"/>
  <c r="C93" i="1"/>
  <c r="AG59" i="2" s="1"/>
  <c r="C91" i="1"/>
  <c r="AN27" i="114"/>
  <c r="Y36" i="114" s="1"/>
  <c r="AE37" i="114" s="1"/>
  <c r="AN107" i="113"/>
  <c r="AN48" i="113"/>
  <c r="C90" i="1"/>
  <c r="AB102" i="78"/>
  <c r="I28" i="15"/>
  <c r="AJ77" i="78"/>
  <c r="AJ70" i="78"/>
  <c r="AJ68" i="78"/>
  <c r="AJ67" i="78"/>
  <c r="AJ60" i="78"/>
  <c r="AJ19" i="78"/>
  <c r="AE107" i="113" l="1"/>
  <c r="AE116" i="113" s="1"/>
  <c r="AE70" i="114"/>
  <c r="AE72" i="114" s="1"/>
  <c r="AE75" i="114" s="1"/>
  <c r="AE84" i="114" s="1"/>
  <c r="AC65" i="78"/>
  <c r="AJ65" i="78" s="1"/>
  <c r="AD49" i="79"/>
  <c r="AE80" i="114"/>
  <c r="AE27" i="114"/>
  <c r="AE29" i="114" s="1"/>
  <c r="AE32" i="114" s="1"/>
  <c r="AM37" i="114"/>
  <c r="AE48" i="113"/>
  <c r="AE57" i="113" s="1"/>
  <c r="U235" i="105"/>
  <c r="U211" i="105"/>
  <c r="V201" i="105"/>
  <c r="U184" i="105"/>
  <c r="C173" i="105"/>
  <c r="AO229" i="105"/>
  <c r="AO222" i="105"/>
  <c r="AO227" i="105"/>
  <c r="AO220" i="105"/>
  <c r="AO216" i="105"/>
  <c r="AI92" i="109"/>
  <c r="AJ91" i="109"/>
  <c r="C5" i="89"/>
  <c r="M66" i="52"/>
  <c r="U115" i="5"/>
  <c r="U229" i="5"/>
  <c r="S177" i="5"/>
  <c r="S63" i="5"/>
  <c r="D306" i="60"/>
  <c r="D367" i="60"/>
  <c r="D193" i="60"/>
  <c r="L1384" i="107"/>
  <c r="L1344" i="107"/>
  <c r="L1345" i="107"/>
  <c r="L1346" i="107"/>
  <c r="L1347" i="107"/>
  <c r="L1348" i="107"/>
  <c r="L1349" i="107"/>
  <c r="L1350" i="107"/>
  <c r="L1351" i="107"/>
  <c r="L1352" i="107"/>
  <c r="L1353" i="107"/>
  <c r="L1354" i="107"/>
  <c r="L1355" i="107"/>
  <c r="L1356" i="107"/>
  <c r="L1357" i="107"/>
  <c r="L1358" i="107"/>
  <c r="L1359" i="107"/>
  <c r="L1360" i="107"/>
  <c r="L1361" i="107"/>
  <c r="L1362" i="107"/>
  <c r="L1363" i="107"/>
  <c r="L1364" i="107"/>
  <c r="L1365" i="107"/>
  <c r="L1366" i="107"/>
  <c r="L1367" i="107"/>
  <c r="L1368" i="107"/>
  <c r="L1369" i="107"/>
  <c r="L1370" i="107"/>
  <c r="L1371" i="107"/>
  <c r="L1372" i="107"/>
  <c r="L1373" i="107"/>
  <c r="L1374" i="107"/>
  <c r="L1375" i="107"/>
  <c r="L1376" i="107"/>
  <c r="L1377" i="107"/>
  <c r="L1378" i="107"/>
  <c r="L1379" i="107"/>
  <c r="L1380" i="107"/>
  <c r="L1381" i="107"/>
  <c r="L1382" i="107"/>
  <c r="L1383" i="107"/>
  <c r="L1298" i="107"/>
  <c r="L1159" i="107"/>
  <c r="L1158" i="107"/>
  <c r="L1153" i="107"/>
  <c r="L1014" i="107"/>
  <c r="L1016" i="107"/>
  <c r="L386" i="107"/>
  <c r="L529" i="107"/>
  <c r="AJ73" i="58"/>
  <c r="AG47" i="82"/>
  <c r="AR63" i="102"/>
  <c r="AJ56" i="102"/>
  <c r="AR184" i="96"/>
  <c r="AR52" i="96"/>
  <c r="AR184" i="84"/>
  <c r="AR52" i="84"/>
  <c r="P38" i="102"/>
  <c r="AQ179" i="108"/>
  <c r="AQ177" i="108"/>
  <c r="AQ176" i="108"/>
  <c r="AQ175" i="108"/>
  <c r="AQ174" i="108"/>
  <c r="S147" i="108"/>
  <c r="AJ125" i="108"/>
  <c r="AE82" i="114" l="1"/>
  <c r="Z111" i="113" s="1"/>
  <c r="AN108" i="113"/>
  <c r="AE39" i="114"/>
  <c r="Z52" i="113" s="1"/>
  <c r="AE41" i="114"/>
  <c r="M60" i="33"/>
  <c r="AJ56" i="90"/>
  <c r="V76" i="33"/>
  <c r="W75" i="33"/>
  <c r="D102" i="33"/>
  <c r="D88" i="33"/>
  <c r="P37" i="33"/>
  <c r="M65" i="33"/>
  <c r="I13" i="33"/>
  <c r="AJ108" i="93"/>
  <c r="AF59" i="93"/>
  <c r="AL57" i="2" l="1"/>
  <c r="AU57" i="2" s="1"/>
  <c r="AE40" i="114"/>
  <c r="AE43" i="114" s="1"/>
  <c r="AE83" i="114"/>
  <c r="AE86" i="114" s="1"/>
  <c r="AB58" i="112"/>
  <c r="AB58" i="111"/>
  <c r="AB58" i="110"/>
  <c r="AB58" i="43"/>
  <c r="AM324" i="74"/>
  <c r="AM203" i="74"/>
  <c r="AO133" i="74"/>
  <c r="AO254" i="74"/>
  <c r="AM81" i="74"/>
  <c r="S121" i="23"/>
  <c r="S61" i="23"/>
  <c r="AK196" i="96"/>
  <c r="AK64" i="96"/>
  <c r="AK196" i="84"/>
  <c r="AK64" i="84"/>
  <c r="C100" i="86"/>
  <c r="X74" i="86"/>
  <c r="I85" i="4"/>
  <c r="D62" i="15"/>
  <c r="D20" i="15"/>
  <c r="T196" i="5"/>
  <c r="T200" i="5" s="1"/>
  <c r="T82" i="5"/>
  <c r="T86" i="5" s="1"/>
  <c r="Y227" i="5"/>
  <c r="Y226" i="5"/>
  <c r="Y225" i="5"/>
  <c r="Y224" i="5"/>
  <c r="Y223" i="5"/>
  <c r="Y222" i="5"/>
  <c r="Y221" i="5"/>
  <c r="Y220" i="5"/>
  <c r="Y219" i="5"/>
  <c r="Y228" i="5" s="1"/>
  <c r="T228" i="5" s="1"/>
  <c r="T160" i="5" s="1"/>
  <c r="T161" i="5" s="1"/>
  <c r="Y161" i="5" s="1"/>
  <c r="Y106" i="5"/>
  <c r="Y107" i="5"/>
  <c r="Y108" i="5"/>
  <c r="Y109" i="5"/>
  <c r="Y110" i="5"/>
  <c r="Y111" i="5"/>
  <c r="Y112" i="5"/>
  <c r="Y113" i="5"/>
  <c r="Y105" i="5"/>
  <c r="G6" i="89"/>
  <c r="AO85" i="79"/>
  <c r="AD85" i="79"/>
  <c r="AL48" i="80"/>
  <c r="Y114" i="5" l="1"/>
  <c r="T114" i="5" s="1"/>
  <c r="T46" i="5" s="1"/>
  <c r="T47" i="5" s="1"/>
  <c r="AM87" i="114"/>
  <c r="Z39" i="79" s="1"/>
  <c r="Y47" i="5"/>
  <c r="AJ22" i="109"/>
  <c r="BB22" i="109"/>
  <c r="BB23" i="109"/>
  <c r="BB24" i="109"/>
  <c r="BB25" i="109"/>
  <c r="BB26" i="109"/>
  <c r="BB27" i="109"/>
  <c r="BB28" i="109"/>
  <c r="BB29" i="109"/>
  <c r="BB30" i="109"/>
  <c r="BB31" i="109"/>
  <c r="BB32" i="109"/>
  <c r="BB21" i="109"/>
  <c r="AU30" i="109"/>
  <c r="BA30" i="109" s="1"/>
  <c r="BC30" i="109" s="1"/>
  <c r="AU29" i="109"/>
  <c r="BA29" i="109" s="1"/>
  <c r="BC29" i="109" s="1"/>
  <c r="AU28" i="109"/>
  <c r="BA28" i="109" s="1"/>
  <c r="AU27" i="109"/>
  <c r="BA27" i="109" s="1"/>
  <c r="AU26" i="109"/>
  <c r="BA26" i="109" s="1"/>
  <c r="AU24" i="109"/>
  <c r="BA24" i="109" s="1"/>
  <c r="BC24" i="109" s="1"/>
  <c r="AU25" i="109"/>
  <c r="BA25" i="109" s="1"/>
  <c r="BC28" i="109" l="1"/>
  <c r="BC25" i="109"/>
  <c r="BC27" i="109"/>
  <c r="BB33" i="109"/>
  <c r="BB34" i="109" s="1"/>
  <c r="BC26" i="109"/>
  <c r="AN212" i="105"/>
  <c r="AO195" i="105"/>
  <c r="AD201" i="105" s="1"/>
  <c r="AO201" i="105" s="1"/>
  <c r="C201" i="105"/>
  <c r="AH189" i="105"/>
  <c r="C188" i="105"/>
  <c r="C189" i="105"/>
  <c r="AO233" i="105"/>
  <c r="AO234" i="105" s="1"/>
  <c r="AO235" i="105" s="1"/>
  <c r="C235" i="105"/>
  <c r="W227" i="105"/>
  <c r="AD211" i="105"/>
  <c r="AO211" i="105" s="1"/>
  <c r="AO202" i="105"/>
  <c r="AN201" i="105"/>
  <c r="AO185" i="105"/>
  <c r="AO174" i="105"/>
  <c r="U173" i="105"/>
  <c r="AO166" i="105"/>
  <c r="T162" i="105"/>
  <c r="C133" i="105"/>
  <c r="AO134" i="105"/>
  <c r="O117" i="105"/>
  <c r="AO118" i="105"/>
  <c r="AO102" i="105"/>
  <c r="B203" i="105"/>
  <c r="AI202" i="105"/>
  <c r="C211" i="105"/>
  <c r="AO182" i="105"/>
  <c r="C184" i="105"/>
  <c r="AO177" i="105"/>
  <c r="AO171" i="105"/>
  <c r="AO164" i="105"/>
  <c r="W164" i="105" s="1"/>
  <c r="C162" i="105"/>
  <c r="AO156" i="105"/>
  <c r="W160" i="105" s="1"/>
  <c r="T133" i="105"/>
  <c r="C116" i="105"/>
  <c r="C101" i="105"/>
  <c r="C106" i="105"/>
  <c r="AO108" i="105"/>
  <c r="AI134" i="105"/>
  <c r="B135" i="105"/>
  <c r="T101" i="105"/>
  <c r="P106" i="105"/>
  <c r="AO120" i="105"/>
  <c r="W131" i="105" s="1"/>
  <c r="AO131" i="105" s="1"/>
  <c r="AH2" i="2"/>
  <c r="C75" i="59"/>
  <c r="C15" i="56"/>
  <c r="D16" i="37"/>
  <c r="E8" i="37"/>
  <c r="W233" i="105" l="1"/>
  <c r="AO204" i="105"/>
  <c r="W171" i="105"/>
  <c r="W172" i="105" s="1"/>
  <c r="AD173" i="105" s="1"/>
  <c r="W120" i="105"/>
  <c r="W132" i="105" s="1"/>
  <c r="B25" i="6"/>
  <c r="V25" i="6"/>
  <c r="AW73" i="109"/>
  <c r="X53" i="109" s="1"/>
  <c r="AW62" i="109"/>
  <c r="X51" i="109" s="1"/>
  <c r="R26" i="3"/>
  <c r="P27" i="3"/>
  <c r="X134" i="3"/>
  <c r="X130" i="3"/>
  <c r="X122" i="3"/>
  <c r="E28" i="3"/>
  <c r="AI116" i="3"/>
  <c r="AI110" i="3"/>
  <c r="AG114" i="3"/>
  <c r="AG100" i="3"/>
  <c r="Z49" i="3"/>
  <c r="Z106" i="3" l="1"/>
  <c r="P21" i="3"/>
  <c r="AI88" i="3"/>
  <c r="AI50" i="3"/>
  <c r="AG46" i="3"/>
  <c r="W62" i="3" s="1"/>
  <c r="X65" i="3" s="1"/>
  <c r="Y84" i="3"/>
  <c r="X60" i="3"/>
  <c r="Z58" i="3"/>
  <c r="X54" i="3"/>
  <c r="X48" i="3"/>
  <c r="AY48" i="109"/>
  <c r="AZ48" i="109" s="1"/>
  <c r="AY47" i="109"/>
  <c r="AZ47" i="109" s="1"/>
  <c r="AY46" i="109"/>
  <c r="AZ46" i="109" s="1"/>
  <c r="AY50" i="109"/>
  <c r="AZ50" i="109" s="1"/>
  <c r="AY49" i="109"/>
  <c r="AZ49" i="109" s="1"/>
  <c r="AX33" i="109"/>
  <c r="AY26" i="109"/>
  <c r="AY25" i="109"/>
  <c r="AY24" i="109"/>
  <c r="AU32" i="109"/>
  <c r="AU31" i="109"/>
  <c r="AS32" i="109"/>
  <c r="AS31" i="109"/>
  <c r="AY30" i="109"/>
  <c r="AY29" i="109"/>
  <c r="AY28" i="109"/>
  <c r="AS30" i="109"/>
  <c r="AS29" i="109"/>
  <c r="AS28" i="109"/>
  <c r="AY27" i="109"/>
  <c r="AS27" i="109"/>
  <c r="AS26" i="109"/>
  <c r="AS25" i="109"/>
  <c r="AS24" i="109"/>
  <c r="AU23" i="109"/>
  <c r="AU22" i="109"/>
  <c r="AS23" i="109"/>
  <c r="AS22" i="109"/>
  <c r="AU21" i="109"/>
  <c r="AS21" i="109"/>
  <c r="X63" i="3" l="1"/>
  <c r="X56" i="3"/>
  <c r="X58" i="3"/>
  <c r="AI57" i="3" s="1"/>
  <c r="AY31" i="109"/>
  <c r="BA31" i="109"/>
  <c r="BC31" i="109" s="1"/>
  <c r="AY21" i="109"/>
  <c r="BA21" i="109"/>
  <c r="AY22" i="109"/>
  <c r="BA22" i="109"/>
  <c r="AY23" i="109"/>
  <c r="BA23" i="109"/>
  <c r="BC23" i="109" s="1"/>
  <c r="AY32" i="109"/>
  <c r="BA32" i="109"/>
  <c r="BC32" i="109" s="1"/>
  <c r="AZ51" i="109"/>
  <c r="AJ37" i="109" s="1"/>
  <c r="AD37" i="109" s="1"/>
  <c r="AV33" i="109"/>
  <c r="AD27" i="109" s="1"/>
  <c r="Y64" i="3" l="1"/>
  <c r="AG58" i="3"/>
  <c r="AI59" i="3" s="1"/>
  <c r="AI70" i="3" s="1"/>
  <c r="BC22" i="109"/>
  <c r="BA33" i="109"/>
  <c r="BA34" i="109" s="1"/>
  <c r="BC21" i="109"/>
  <c r="U51" i="43"/>
  <c r="U50" i="43"/>
  <c r="U49" i="43"/>
  <c r="U48" i="43"/>
  <c r="U47" i="43"/>
  <c r="U46" i="43"/>
  <c r="U45" i="43"/>
  <c r="U44" i="43"/>
  <c r="U43" i="43"/>
  <c r="U42" i="43"/>
  <c r="U41" i="43"/>
  <c r="AI84" i="3" l="1"/>
  <c r="AI91" i="3" s="1"/>
  <c r="AG77" i="3"/>
  <c r="BC33" i="109"/>
  <c r="BC34" i="109" s="1"/>
  <c r="X74" i="3"/>
  <c r="X83" i="3"/>
  <c r="X81" i="3"/>
  <c r="X72" i="3"/>
  <c r="AJ21" i="109"/>
  <c r="BC35" i="109" l="1"/>
  <c r="X30" i="109" s="1"/>
  <c r="BH46" i="58"/>
  <c r="AJ25" i="109" l="1"/>
  <c r="X28" i="109"/>
  <c r="AY33" i="109"/>
  <c r="X25" i="109"/>
  <c r="F41" i="2"/>
  <c r="BM148" i="2"/>
  <c r="M30" i="95"/>
  <c r="BN30" i="95" s="1"/>
  <c r="M29" i="95"/>
  <c r="BN29" i="95" s="1"/>
  <c r="M28" i="95"/>
  <c r="BN28" i="95" s="1"/>
  <c r="M27" i="95"/>
  <c r="BN27" i="95" s="1"/>
  <c r="M26" i="95"/>
  <c r="BN26" i="95" s="1"/>
  <c r="M25" i="95"/>
  <c r="BN25" i="95" s="1"/>
  <c r="M24" i="95"/>
  <c r="BN24" i="95" s="1"/>
  <c r="M23" i="95"/>
  <c r="BN23" i="95" s="1"/>
  <c r="M22" i="95"/>
  <c r="BN22" i="95" s="1"/>
  <c r="M21" i="95"/>
  <c r="BN21" i="95" s="1"/>
  <c r="M20" i="95"/>
  <c r="BN20" i="95" s="1"/>
  <c r="M19" i="95"/>
  <c r="BN19" i="95" s="1"/>
  <c r="M18" i="95"/>
  <c r="BN18" i="95" s="1"/>
  <c r="M17" i="95"/>
  <c r="BN17" i="95" s="1"/>
  <c r="M16" i="95"/>
  <c r="BN16" i="95" s="1"/>
  <c r="M15" i="95"/>
  <c r="BN15" i="95" s="1"/>
  <c r="M10" i="95"/>
  <c r="M9" i="95"/>
  <c r="M8" i="95"/>
  <c r="M7" i="95"/>
  <c r="L112" i="60" l="1"/>
  <c r="CU30" i="95"/>
  <c r="CU29" i="95"/>
  <c r="CU28" i="95"/>
  <c r="CU27" i="95"/>
  <c r="CU26" i="95"/>
  <c r="CU25" i="95"/>
  <c r="CU24" i="95"/>
  <c r="CU23" i="95"/>
  <c r="CU22" i="95"/>
  <c r="CU21" i="95"/>
  <c r="CU20" i="95"/>
  <c r="CU19" i="95"/>
  <c r="CU18" i="95"/>
  <c r="CU17" i="95"/>
  <c r="CU16" i="95"/>
  <c r="CU15" i="95"/>
  <c r="CU10" i="95"/>
  <c r="CU9" i="95"/>
  <c r="CU8" i="95"/>
  <c r="CU7" i="95"/>
  <c r="CG30" i="95"/>
  <c r="CG29" i="95"/>
  <c r="CG28" i="95"/>
  <c r="CG27" i="95"/>
  <c r="CG26" i="95"/>
  <c r="CG25" i="95"/>
  <c r="CG24" i="95"/>
  <c r="CG23" i="95"/>
  <c r="CG22" i="95"/>
  <c r="CG21" i="95"/>
  <c r="CG20" i="95"/>
  <c r="CG19" i="95"/>
  <c r="CG18" i="95"/>
  <c r="CG17" i="95"/>
  <c r="CG16" i="95"/>
  <c r="CG15" i="95"/>
  <c r="CG10" i="95"/>
  <c r="CG9" i="95"/>
  <c r="CG8" i="95"/>
  <c r="CG7" i="95"/>
  <c r="CI30" i="95"/>
  <c r="CI29" i="95"/>
  <c r="CI28" i="95"/>
  <c r="CI27" i="95"/>
  <c r="CI26" i="95"/>
  <c r="CI25" i="95"/>
  <c r="CI24" i="95"/>
  <c r="CI23" i="95"/>
  <c r="CI22" i="95"/>
  <c r="CI21" i="95"/>
  <c r="CI20" i="95"/>
  <c r="CI19" i="95"/>
  <c r="CI18" i="95"/>
  <c r="CI17" i="95"/>
  <c r="CI16" i="95"/>
  <c r="CI15" i="95"/>
  <c r="CI10" i="95"/>
  <c r="CI9" i="95"/>
  <c r="CI8" i="95"/>
  <c r="CI7" i="95"/>
  <c r="CB6" i="95"/>
  <c r="CA6" i="95"/>
  <c r="BZ6" i="95"/>
  <c r="Y5" i="95"/>
  <c r="CF30" i="95"/>
  <c r="CF29" i="95"/>
  <c r="CF28" i="95"/>
  <c r="CF27" i="95"/>
  <c r="CF26" i="95"/>
  <c r="CF25" i="95"/>
  <c r="CF24" i="95"/>
  <c r="CF23" i="95"/>
  <c r="CF22" i="95"/>
  <c r="CF21" i="95"/>
  <c r="CF20" i="95"/>
  <c r="CF19" i="95"/>
  <c r="CF18" i="95"/>
  <c r="CF17" i="95"/>
  <c r="CF16" i="95"/>
  <c r="CF15" i="95"/>
  <c r="CF10" i="95"/>
  <c r="CF9" i="95"/>
  <c r="CF8" i="95"/>
  <c r="CF7" i="95"/>
  <c r="CH30" i="95"/>
  <c r="CH29" i="95"/>
  <c r="CH28" i="95"/>
  <c r="CH27" i="95"/>
  <c r="CH26" i="95"/>
  <c r="CH25" i="95"/>
  <c r="CH24" i="95"/>
  <c r="CH23" i="95"/>
  <c r="CH22" i="95"/>
  <c r="CH21" i="95"/>
  <c r="CH20" i="95"/>
  <c r="CH19" i="95"/>
  <c r="CH18" i="95"/>
  <c r="CH17" i="95"/>
  <c r="CH16" i="95"/>
  <c r="CH15" i="95"/>
  <c r="CH10" i="95"/>
  <c r="CH9" i="95"/>
  <c r="CH8" i="95"/>
  <c r="CH7" i="95"/>
  <c r="CK30" i="95"/>
  <c r="CK29" i="95"/>
  <c r="CK28" i="95"/>
  <c r="CK27" i="95"/>
  <c r="CK26" i="95"/>
  <c r="CK25" i="95"/>
  <c r="CK24" i="95"/>
  <c r="CK23" i="95"/>
  <c r="CK22" i="95"/>
  <c r="CK21" i="95"/>
  <c r="CK20" i="95"/>
  <c r="CK19" i="95"/>
  <c r="CK18" i="95"/>
  <c r="CK17" i="95"/>
  <c r="CK16" i="95"/>
  <c r="CK15" i="95"/>
  <c r="CK10" i="95"/>
  <c r="CK9" i="95"/>
  <c r="CK8" i="95"/>
  <c r="CK7" i="95"/>
  <c r="CJ30" i="95"/>
  <c r="CJ29" i="95"/>
  <c r="CJ28" i="95"/>
  <c r="CJ27" i="95"/>
  <c r="CJ26" i="95"/>
  <c r="CJ25" i="95"/>
  <c r="CJ24" i="95"/>
  <c r="CJ23" i="95"/>
  <c r="CJ22" i="95"/>
  <c r="CJ21" i="95"/>
  <c r="CJ20" i="95"/>
  <c r="CJ19" i="95"/>
  <c r="CJ18" i="95"/>
  <c r="CJ17" i="95"/>
  <c r="CJ16" i="95"/>
  <c r="CJ15" i="95"/>
  <c r="CJ10" i="95"/>
  <c r="CJ9" i="95"/>
  <c r="CJ8" i="95"/>
  <c r="CJ7" i="95"/>
  <c r="BX30" i="95"/>
  <c r="BX29" i="95"/>
  <c r="BX28" i="95"/>
  <c r="BX27" i="95"/>
  <c r="BX26" i="95"/>
  <c r="BX25" i="95"/>
  <c r="BX24" i="95"/>
  <c r="BX23" i="95"/>
  <c r="BX22" i="95"/>
  <c r="BX21" i="95"/>
  <c r="BX20" i="95"/>
  <c r="BX19" i="95"/>
  <c r="BX18" i="95"/>
  <c r="BX17" i="95"/>
  <c r="BX16" i="95"/>
  <c r="BX15" i="95"/>
  <c r="BX8" i="95"/>
  <c r="BX9" i="95"/>
  <c r="BX10" i="95"/>
  <c r="BX7" i="95"/>
  <c r="CI31" i="95" l="1"/>
  <c r="CF31" i="95"/>
  <c r="CH31" i="95"/>
  <c r="F46" i="95"/>
  <c r="AQ52" i="78" l="1"/>
  <c r="AC96" i="78"/>
  <c r="D22" i="78"/>
  <c r="D63" i="15"/>
  <c r="F49" i="15"/>
  <c r="G6" i="15"/>
  <c r="X120" i="98"/>
  <c r="AZ82" i="2" l="1"/>
  <c r="E51" i="14"/>
  <c r="D45" i="14"/>
  <c r="AH13" i="2"/>
  <c r="BB7" i="2"/>
  <c r="BB8" i="2"/>
  <c r="AU84" i="2"/>
  <c r="AW9" i="2"/>
  <c r="AX8" i="2"/>
  <c r="AW8" i="2"/>
  <c r="AX7" i="2"/>
  <c r="AO38" i="102" l="1"/>
  <c r="AS46" i="102" s="1"/>
  <c r="R8" i="14"/>
  <c r="E37" i="14"/>
  <c r="E31" i="14"/>
  <c r="I6" i="14"/>
  <c r="N5" i="1"/>
  <c r="B109" i="93" l="1"/>
  <c r="AM48" i="93"/>
  <c r="AH79" i="110"/>
  <c r="AH79" i="111"/>
  <c r="AH79" i="112"/>
  <c r="AH29" i="112"/>
  <c r="AH29" i="111"/>
  <c r="AH29" i="110"/>
  <c r="A35" i="89"/>
  <c r="A36" i="89"/>
  <c r="AF108" i="112"/>
  <c r="AA101" i="112"/>
  <c r="Y101" i="112"/>
  <c r="U101" i="112"/>
  <c r="Q101" i="112"/>
  <c r="M101" i="112"/>
  <c r="AY101" i="112" s="1"/>
  <c r="J101" i="112"/>
  <c r="B101" i="112"/>
  <c r="AA100" i="112"/>
  <c r="Y100" i="112"/>
  <c r="U100" i="112"/>
  <c r="Q100" i="112"/>
  <c r="M100" i="112"/>
  <c r="AW100" i="112" s="1"/>
  <c r="J100" i="112"/>
  <c r="AT100" i="112" s="1"/>
  <c r="B100" i="112"/>
  <c r="AA99" i="112"/>
  <c r="Y99" i="112"/>
  <c r="U99" i="112"/>
  <c r="Q99" i="112"/>
  <c r="M99" i="112"/>
  <c r="AY99" i="112" s="1"/>
  <c r="J99" i="112"/>
  <c r="B99" i="112"/>
  <c r="AA98" i="112"/>
  <c r="Y98" i="112"/>
  <c r="U98" i="112"/>
  <c r="Q98" i="112"/>
  <c r="M98" i="112"/>
  <c r="AY98" i="112" s="1"/>
  <c r="J98" i="112"/>
  <c r="B98" i="112"/>
  <c r="AA97" i="112"/>
  <c r="Y97" i="112"/>
  <c r="U97" i="112"/>
  <c r="Q97" i="112"/>
  <c r="M97" i="112"/>
  <c r="AY97" i="112" s="1"/>
  <c r="J97" i="112"/>
  <c r="AS97" i="112" s="1"/>
  <c r="B97" i="112"/>
  <c r="AA96" i="112"/>
  <c r="Y96" i="112"/>
  <c r="U96" i="112"/>
  <c r="Q96" i="112"/>
  <c r="M96" i="112"/>
  <c r="AW96" i="112" s="1"/>
  <c r="J96" i="112"/>
  <c r="B96" i="112"/>
  <c r="AA95" i="112"/>
  <c r="Y95" i="112"/>
  <c r="U95" i="112"/>
  <c r="Q95" i="112"/>
  <c r="M95" i="112"/>
  <c r="AY95" i="112" s="1"/>
  <c r="J95" i="112"/>
  <c r="B95" i="112"/>
  <c r="AA94" i="112"/>
  <c r="Y94" i="112"/>
  <c r="U94" i="112"/>
  <c r="Q94" i="112"/>
  <c r="M94" i="112"/>
  <c r="AY94" i="112" s="1"/>
  <c r="J94" i="112"/>
  <c r="B94" i="112"/>
  <c r="AA93" i="112"/>
  <c r="Y93" i="112"/>
  <c r="U93" i="112"/>
  <c r="Q93" i="112"/>
  <c r="M93" i="112"/>
  <c r="AY93" i="112" s="1"/>
  <c r="J93" i="112"/>
  <c r="B93" i="112"/>
  <c r="AA92" i="112"/>
  <c r="Y92" i="112"/>
  <c r="U92" i="112"/>
  <c r="Q92" i="112"/>
  <c r="M92" i="112"/>
  <c r="AY92" i="112" s="1"/>
  <c r="J92" i="112"/>
  <c r="AS92" i="112" s="1"/>
  <c r="B92" i="112"/>
  <c r="AA91" i="112"/>
  <c r="Y91" i="112"/>
  <c r="U91" i="112"/>
  <c r="Q91" i="112"/>
  <c r="M91" i="112"/>
  <c r="AY91" i="112" s="1"/>
  <c r="J91" i="112"/>
  <c r="B91" i="112"/>
  <c r="B85" i="112"/>
  <c r="B83" i="112"/>
  <c r="B81" i="112"/>
  <c r="B79" i="112"/>
  <c r="B77" i="112"/>
  <c r="B75" i="112"/>
  <c r="B59" i="112"/>
  <c r="AA51" i="112"/>
  <c r="Y51" i="112"/>
  <c r="U51" i="112"/>
  <c r="Q51" i="112"/>
  <c r="M51" i="112"/>
  <c r="J51" i="112"/>
  <c r="AT51" i="112" s="1"/>
  <c r="B51" i="112"/>
  <c r="AA50" i="112"/>
  <c r="Y50" i="112"/>
  <c r="U50" i="112"/>
  <c r="Q50" i="112"/>
  <c r="M50" i="112"/>
  <c r="AW50" i="112" s="1"/>
  <c r="J50" i="112"/>
  <c r="B50" i="112"/>
  <c r="AA49" i="112"/>
  <c r="Y49" i="112"/>
  <c r="U49" i="112"/>
  <c r="Q49" i="112"/>
  <c r="M49" i="112"/>
  <c r="AY49" i="112" s="1"/>
  <c r="J49" i="112"/>
  <c r="B49" i="112"/>
  <c r="AA48" i="112"/>
  <c r="Y48" i="112"/>
  <c r="U48" i="112"/>
  <c r="Q48" i="112"/>
  <c r="M48" i="112"/>
  <c r="AY48" i="112" s="1"/>
  <c r="J48" i="112"/>
  <c r="B48" i="112"/>
  <c r="AA47" i="112"/>
  <c r="Y47" i="112"/>
  <c r="U47" i="112"/>
  <c r="Q47" i="112"/>
  <c r="M47" i="112"/>
  <c r="J47" i="112"/>
  <c r="B47" i="112"/>
  <c r="AA46" i="112"/>
  <c r="Y46" i="112"/>
  <c r="U46" i="112"/>
  <c r="Q46" i="112"/>
  <c r="M46" i="112"/>
  <c r="AW46" i="112" s="1"/>
  <c r="J46" i="112"/>
  <c r="B46" i="112"/>
  <c r="AA45" i="112"/>
  <c r="Y45" i="112"/>
  <c r="U45" i="112"/>
  <c r="Q45" i="112"/>
  <c r="M45" i="112"/>
  <c r="AY45" i="112" s="1"/>
  <c r="J45" i="112"/>
  <c r="AT45" i="112" s="1"/>
  <c r="B45" i="112"/>
  <c r="AA44" i="112"/>
  <c r="Y44" i="112"/>
  <c r="U44" i="112"/>
  <c r="Q44" i="112"/>
  <c r="M44" i="112"/>
  <c r="AY44" i="112" s="1"/>
  <c r="J44" i="112"/>
  <c r="B44" i="112"/>
  <c r="AA43" i="112"/>
  <c r="Y43" i="112"/>
  <c r="U43" i="112"/>
  <c r="Q43" i="112"/>
  <c r="M43" i="112"/>
  <c r="J43" i="112"/>
  <c r="AU43" i="112" s="1"/>
  <c r="B43" i="112"/>
  <c r="AA42" i="112"/>
  <c r="Y42" i="112"/>
  <c r="U42" i="112"/>
  <c r="Q42" i="112"/>
  <c r="AC42" i="112" s="1"/>
  <c r="A42" i="112" s="1"/>
  <c r="M42" i="112"/>
  <c r="AW42" i="112" s="1"/>
  <c r="J42" i="112"/>
  <c r="AU42" i="112" s="1"/>
  <c r="B42" i="112"/>
  <c r="AA41" i="112"/>
  <c r="Y41" i="112"/>
  <c r="U41" i="112"/>
  <c r="Q41" i="112"/>
  <c r="M41" i="112"/>
  <c r="AY41" i="112" s="1"/>
  <c r="J41" i="112"/>
  <c r="AU41" i="112" s="1"/>
  <c r="B41" i="112"/>
  <c r="B35" i="112"/>
  <c r="B33" i="112"/>
  <c r="B31" i="112"/>
  <c r="B29" i="112"/>
  <c r="B27" i="112"/>
  <c r="B25" i="112"/>
  <c r="AB5" i="112"/>
  <c r="U101" i="110"/>
  <c r="U101" i="111"/>
  <c r="AF108" i="111"/>
  <c r="AA101" i="111"/>
  <c r="Y101" i="111"/>
  <c r="Q101" i="111"/>
  <c r="M101" i="111"/>
  <c r="AY101" i="111" s="1"/>
  <c r="J101" i="111"/>
  <c r="B101" i="111"/>
  <c r="AA100" i="111"/>
  <c r="Y100" i="111"/>
  <c r="U100" i="111"/>
  <c r="Q100" i="111"/>
  <c r="AC100" i="111" s="1"/>
  <c r="A100" i="111" s="1"/>
  <c r="M100" i="111"/>
  <c r="AY100" i="111" s="1"/>
  <c r="J100" i="111"/>
  <c r="AS100" i="111" s="1"/>
  <c r="B100" i="111"/>
  <c r="AA99" i="111"/>
  <c r="Y99" i="111"/>
  <c r="U99" i="111"/>
  <c r="Q99" i="111"/>
  <c r="M99" i="111"/>
  <c r="AY99" i="111" s="1"/>
  <c r="J99" i="111"/>
  <c r="B99" i="111"/>
  <c r="AA98" i="111"/>
  <c r="Y98" i="111"/>
  <c r="U98" i="111"/>
  <c r="Q98" i="111"/>
  <c r="M98" i="111"/>
  <c r="AY98" i="111" s="1"/>
  <c r="J98" i="111"/>
  <c r="B98" i="111"/>
  <c r="AA97" i="111"/>
  <c r="Y97" i="111"/>
  <c r="U97" i="111"/>
  <c r="Q97" i="111"/>
  <c r="M97" i="111"/>
  <c r="AY97" i="111" s="1"/>
  <c r="J97" i="111"/>
  <c r="AT97" i="111" s="1"/>
  <c r="B97" i="111"/>
  <c r="AA96" i="111"/>
  <c r="Y96" i="111"/>
  <c r="U96" i="111"/>
  <c r="Q96" i="111"/>
  <c r="M96" i="111"/>
  <c r="AY96" i="111" s="1"/>
  <c r="J96" i="111"/>
  <c r="B96" i="111"/>
  <c r="AA95" i="111"/>
  <c r="Y95" i="111"/>
  <c r="U95" i="111"/>
  <c r="Q95" i="111"/>
  <c r="M95" i="111"/>
  <c r="AY95" i="111" s="1"/>
  <c r="J95" i="111"/>
  <c r="B95" i="111"/>
  <c r="AA94" i="111"/>
  <c r="Y94" i="111"/>
  <c r="U94" i="111"/>
  <c r="Q94" i="111"/>
  <c r="AC94" i="111" s="1"/>
  <c r="A94" i="111" s="1"/>
  <c r="M94" i="111"/>
  <c r="AW94" i="111" s="1"/>
  <c r="J94" i="111"/>
  <c r="B94" i="111"/>
  <c r="AA93" i="111"/>
  <c r="Y93" i="111"/>
  <c r="U93" i="111"/>
  <c r="Q93" i="111"/>
  <c r="M93" i="111"/>
  <c r="AY93" i="111" s="1"/>
  <c r="J93" i="111"/>
  <c r="B93" i="111"/>
  <c r="AA92" i="111"/>
  <c r="Y92" i="111"/>
  <c r="U92" i="111"/>
  <c r="Q92" i="111"/>
  <c r="AC92" i="111" s="1"/>
  <c r="A92" i="111" s="1"/>
  <c r="M92" i="111"/>
  <c r="AX92" i="111" s="1"/>
  <c r="J92" i="111"/>
  <c r="AT92" i="111" s="1"/>
  <c r="B92" i="111"/>
  <c r="AA91" i="111"/>
  <c r="Y91" i="111"/>
  <c r="U91" i="111"/>
  <c r="Q91" i="111"/>
  <c r="M91" i="111"/>
  <c r="AY91" i="111" s="1"/>
  <c r="J91" i="111"/>
  <c r="B91" i="111"/>
  <c r="B85" i="111"/>
  <c r="B83" i="111"/>
  <c r="B81" i="111"/>
  <c r="B79" i="111"/>
  <c r="B77" i="111"/>
  <c r="B75" i="111"/>
  <c r="B59" i="111"/>
  <c r="AA51" i="111"/>
  <c r="Y51" i="111"/>
  <c r="U51" i="111"/>
  <c r="Q51" i="111"/>
  <c r="M51" i="111"/>
  <c r="AY51" i="111" s="1"/>
  <c r="J51" i="111"/>
  <c r="AU51" i="111" s="1"/>
  <c r="B51" i="111"/>
  <c r="AA50" i="111"/>
  <c r="Y50" i="111"/>
  <c r="U50" i="111"/>
  <c r="Q50" i="111"/>
  <c r="M50" i="111"/>
  <c r="J50" i="111"/>
  <c r="B50" i="111"/>
  <c r="AA49" i="111"/>
  <c r="Y49" i="111"/>
  <c r="U49" i="111"/>
  <c r="Q49" i="111"/>
  <c r="M49" i="111"/>
  <c r="AW49" i="111" s="1"/>
  <c r="J49" i="111"/>
  <c r="AU49" i="111" s="1"/>
  <c r="B49" i="111"/>
  <c r="AA48" i="111"/>
  <c r="Y48" i="111"/>
  <c r="U48" i="111"/>
  <c r="Q48" i="111"/>
  <c r="M48" i="111"/>
  <c r="AW48" i="111" s="1"/>
  <c r="J48" i="111"/>
  <c r="B48" i="111"/>
  <c r="AA47" i="111"/>
  <c r="Y47" i="111"/>
  <c r="U47" i="111"/>
  <c r="Q47" i="111"/>
  <c r="M47" i="111"/>
  <c r="AY47" i="111" s="1"/>
  <c r="J47" i="111"/>
  <c r="B47" i="111"/>
  <c r="AA46" i="111"/>
  <c r="Y46" i="111"/>
  <c r="U46" i="111"/>
  <c r="Q46" i="111"/>
  <c r="M46" i="111"/>
  <c r="AY46" i="111" s="1"/>
  <c r="J46" i="111"/>
  <c r="B46" i="111"/>
  <c r="AA45" i="111"/>
  <c r="Y45" i="111"/>
  <c r="U45" i="111"/>
  <c r="Q45" i="111"/>
  <c r="M45" i="111"/>
  <c r="AW45" i="111" s="1"/>
  <c r="J45" i="111"/>
  <c r="B45" i="111"/>
  <c r="AA44" i="111"/>
  <c r="Y44" i="111"/>
  <c r="U44" i="111"/>
  <c r="Q44" i="111"/>
  <c r="M44" i="111"/>
  <c r="AW44" i="111" s="1"/>
  <c r="J44" i="111"/>
  <c r="B44" i="111"/>
  <c r="AA43" i="111"/>
  <c r="Y43" i="111"/>
  <c r="U43" i="111"/>
  <c r="Q43" i="111"/>
  <c r="M43" i="111"/>
  <c r="AY43" i="111" s="1"/>
  <c r="J43" i="111"/>
  <c r="AS43" i="111" s="1"/>
  <c r="B43" i="111"/>
  <c r="AA42" i="111"/>
  <c r="Y42" i="111"/>
  <c r="U42" i="111"/>
  <c r="Q42" i="111"/>
  <c r="AC42" i="111" s="1"/>
  <c r="A42" i="111" s="1"/>
  <c r="M42" i="111"/>
  <c r="AX42" i="111" s="1"/>
  <c r="J42" i="111"/>
  <c r="AT42" i="111" s="1"/>
  <c r="B42" i="111"/>
  <c r="AA41" i="111"/>
  <c r="Y41" i="111"/>
  <c r="U41" i="111"/>
  <c r="Q41" i="111"/>
  <c r="M41" i="111"/>
  <c r="AX41" i="111" s="1"/>
  <c r="J41" i="111"/>
  <c r="AS41" i="111" s="1"/>
  <c r="B41" i="111"/>
  <c r="B35" i="111"/>
  <c r="B33" i="111"/>
  <c r="B31" i="111"/>
  <c r="B29" i="111"/>
  <c r="B27" i="111"/>
  <c r="B25" i="111"/>
  <c r="AB5" i="111"/>
  <c r="AC100" i="112" l="1"/>
  <c r="A100" i="112" s="1"/>
  <c r="AC91" i="112"/>
  <c r="A91" i="112" s="1"/>
  <c r="AT96" i="112"/>
  <c r="AS96" i="112"/>
  <c r="AT100" i="111"/>
  <c r="AW100" i="111"/>
  <c r="AX100" i="111"/>
  <c r="AS92" i="111"/>
  <c r="AC97" i="111"/>
  <c r="A97" i="111" s="1"/>
  <c r="AC96" i="112"/>
  <c r="A96" i="112" s="1"/>
  <c r="AI92" i="112"/>
  <c r="AX92" i="112"/>
  <c r="AU51" i="112"/>
  <c r="AS51" i="112"/>
  <c r="AC92" i="112"/>
  <c r="A92" i="112" s="1"/>
  <c r="AC101" i="112"/>
  <c r="A101" i="112" s="1"/>
  <c r="AI92" i="111"/>
  <c r="AW92" i="111"/>
  <c r="AY92" i="111"/>
  <c r="AC96" i="111"/>
  <c r="A96" i="111" s="1"/>
  <c r="AI100" i="111"/>
  <c r="AU43" i="111"/>
  <c r="AI97" i="112"/>
  <c r="AT92" i="112"/>
  <c r="AX100" i="112"/>
  <c r="AI100" i="112"/>
  <c r="AW92" i="112"/>
  <c r="BA92" i="112" s="1"/>
  <c r="AY100" i="112"/>
  <c r="AC95" i="112"/>
  <c r="A95" i="112" s="1"/>
  <c r="AC97" i="112"/>
  <c r="A97" i="112" s="1"/>
  <c r="AC93" i="111"/>
  <c r="A93" i="111" s="1"/>
  <c r="AS101" i="111"/>
  <c r="AS43" i="112"/>
  <c r="AC48" i="112"/>
  <c r="A48" i="112" s="1"/>
  <c r="AS42" i="112"/>
  <c r="AT42" i="112"/>
  <c r="AC45" i="111"/>
  <c r="A45" i="111" s="1"/>
  <c r="AI42" i="112"/>
  <c r="AX46" i="112"/>
  <c r="AX48" i="112"/>
  <c r="AS46" i="112"/>
  <c r="AI51" i="112"/>
  <c r="AT43" i="112"/>
  <c r="AS45" i="112"/>
  <c r="AS49" i="112"/>
  <c r="AC50" i="111"/>
  <c r="A50" i="111" s="1"/>
  <c r="AC44" i="111"/>
  <c r="A44" i="111" s="1"/>
  <c r="AX48" i="111"/>
  <c r="AS42" i="111"/>
  <c r="AY48" i="111"/>
  <c r="AI50" i="111"/>
  <c r="AY44" i="111"/>
  <c r="AC49" i="111"/>
  <c r="A49" i="111" s="1"/>
  <c r="AT43" i="111"/>
  <c r="AU94" i="112"/>
  <c r="AU96" i="111"/>
  <c r="AC48" i="111"/>
  <c r="A48" i="111" s="1"/>
  <c r="AS41" i="112"/>
  <c r="AI96" i="112"/>
  <c r="AU98" i="112"/>
  <c r="AT51" i="111"/>
  <c r="AI97" i="111"/>
  <c r="AX99" i="111"/>
  <c r="AT41" i="112"/>
  <c r="AY42" i="112"/>
  <c r="AC50" i="112"/>
  <c r="A50" i="112" s="1"/>
  <c r="AU50" i="111"/>
  <c r="AU44" i="112"/>
  <c r="AI42" i="111"/>
  <c r="AS51" i="111"/>
  <c r="AX42" i="112"/>
  <c r="AU44" i="111"/>
  <c r="AS45" i="111"/>
  <c r="AW91" i="111"/>
  <c r="AU93" i="111"/>
  <c r="AC47" i="112"/>
  <c r="A47" i="112" s="1"/>
  <c r="AI50" i="112"/>
  <c r="AU95" i="112"/>
  <c r="AU97" i="111"/>
  <c r="AU91" i="112"/>
  <c r="AS47" i="112"/>
  <c r="AS50" i="112"/>
  <c r="AU45" i="111"/>
  <c r="AT47" i="111"/>
  <c r="AS50" i="111"/>
  <c r="AU92" i="111"/>
  <c r="AY94" i="111"/>
  <c r="AI96" i="111"/>
  <c r="AU98" i="111"/>
  <c r="AI43" i="112"/>
  <c r="AC44" i="112"/>
  <c r="A44" i="112" s="1"/>
  <c r="AT47" i="112"/>
  <c r="AT50" i="112"/>
  <c r="AX96" i="112"/>
  <c r="AS101" i="112"/>
  <c r="AY42" i="111"/>
  <c r="AU47" i="111"/>
  <c r="AT50" i="111"/>
  <c r="AS96" i="111"/>
  <c r="AX44" i="112"/>
  <c r="AU47" i="112"/>
  <c r="AU50" i="112"/>
  <c r="AY96" i="112"/>
  <c r="AU99" i="111"/>
  <c r="AU94" i="111"/>
  <c r="AX50" i="112"/>
  <c r="AU91" i="111"/>
  <c r="AI47" i="112"/>
  <c r="AX94" i="111"/>
  <c r="AU100" i="111"/>
  <c r="BC100" i="111" s="1"/>
  <c r="AX50" i="111"/>
  <c r="AU48" i="112"/>
  <c r="AT49" i="112"/>
  <c r="AC93" i="112"/>
  <c r="A93" i="112" s="1"/>
  <c r="AU99" i="112"/>
  <c r="AS100" i="112"/>
  <c r="AW42" i="111"/>
  <c r="AU92" i="112"/>
  <c r="AW50" i="111"/>
  <c r="AU95" i="111"/>
  <c r="AY50" i="112"/>
  <c r="AU48" i="111"/>
  <c r="AS49" i="111"/>
  <c r="AY50" i="111"/>
  <c r="AI93" i="111"/>
  <c r="AX96" i="111"/>
  <c r="AT46" i="112"/>
  <c r="AU49" i="112"/>
  <c r="AI93" i="112"/>
  <c r="AT45" i="111"/>
  <c r="AS47" i="111"/>
  <c r="AI101" i="112"/>
  <c r="AU46" i="111"/>
  <c r="AT96" i="111"/>
  <c r="AT41" i="111"/>
  <c r="AW96" i="111"/>
  <c r="AU42" i="111"/>
  <c r="AC43" i="111"/>
  <c r="A43" i="111" s="1"/>
  <c r="AX44" i="111"/>
  <c r="AT49" i="111"/>
  <c r="AS93" i="111"/>
  <c r="AC43" i="112"/>
  <c r="A43" i="112" s="1"/>
  <c r="AU46" i="112"/>
  <c r="AS93" i="112"/>
  <c r="AU96" i="112"/>
  <c r="AU45" i="112"/>
  <c r="AC51" i="112"/>
  <c r="A51" i="112" s="1"/>
  <c r="AU100" i="112"/>
  <c r="AW95" i="111"/>
  <c r="A29" i="112"/>
  <c r="A79" i="112"/>
  <c r="AC99" i="112"/>
  <c r="A99" i="112" s="1"/>
  <c r="AU41" i="111"/>
  <c r="AY46" i="112"/>
  <c r="AI46" i="112"/>
  <c r="AX98" i="111"/>
  <c r="A35" i="112"/>
  <c r="M21" i="112" s="1"/>
  <c r="A85" i="112"/>
  <c r="AC46" i="112"/>
  <c r="A46" i="112" s="1"/>
  <c r="AT93" i="112"/>
  <c r="AC94" i="112"/>
  <c r="A94" i="112" s="1"/>
  <c r="AT97" i="112"/>
  <c r="AC98" i="112"/>
  <c r="A98" i="112" s="1"/>
  <c r="AT101" i="112"/>
  <c r="AW43" i="112"/>
  <c r="AI44" i="112"/>
  <c r="AW47" i="112"/>
  <c r="AI48" i="112"/>
  <c r="AW51" i="112"/>
  <c r="AU93" i="112"/>
  <c r="AU97" i="112"/>
  <c r="AU101" i="112"/>
  <c r="AX43" i="112"/>
  <c r="AS44" i="112"/>
  <c r="AX47" i="112"/>
  <c r="AS48" i="112"/>
  <c r="AX51" i="112"/>
  <c r="AW93" i="112"/>
  <c r="AI94" i="112"/>
  <c r="AW97" i="112"/>
  <c r="BA97" i="112" s="1"/>
  <c r="AI98" i="112"/>
  <c r="AW101" i="112"/>
  <c r="AC41" i="112"/>
  <c r="A41" i="112" s="1"/>
  <c r="AY43" i="112"/>
  <c r="AT44" i="112"/>
  <c r="AC45" i="112"/>
  <c r="A45" i="112" s="1"/>
  <c r="AY47" i="112"/>
  <c r="AT48" i="112"/>
  <c r="AC49" i="112"/>
  <c r="A49" i="112" s="1"/>
  <c r="AY51" i="112"/>
  <c r="AX93" i="112"/>
  <c r="AS94" i="112"/>
  <c r="AX97" i="112"/>
  <c r="AS98" i="112"/>
  <c r="AX101" i="112"/>
  <c r="AT94" i="112"/>
  <c r="AT98" i="112"/>
  <c r="AI41" i="112"/>
  <c r="AW44" i="112"/>
  <c r="AI45" i="112"/>
  <c r="AW48" i="112"/>
  <c r="AI49" i="112"/>
  <c r="AI91" i="112"/>
  <c r="AW94" i="112"/>
  <c r="AI95" i="112"/>
  <c r="AW98" i="112"/>
  <c r="AI99" i="112"/>
  <c r="AS91" i="112"/>
  <c r="AX94" i="112"/>
  <c r="AS95" i="112"/>
  <c r="AX98" i="112"/>
  <c r="AS99" i="112"/>
  <c r="AT91" i="112"/>
  <c r="AT95" i="112"/>
  <c r="AT99" i="112"/>
  <c r="AW41" i="112"/>
  <c r="AW45" i="112"/>
  <c r="AW49" i="112"/>
  <c r="AX41" i="112"/>
  <c r="AX45" i="112"/>
  <c r="AX49" i="112"/>
  <c r="AW91" i="112"/>
  <c r="AW95" i="112"/>
  <c r="AW99" i="112"/>
  <c r="AX91" i="112"/>
  <c r="AX95" i="112"/>
  <c r="AX99" i="112"/>
  <c r="AC101" i="111"/>
  <c r="A101" i="111" s="1"/>
  <c r="AC98" i="111"/>
  <c r="A98" i="111" s="1"/>
  <c r="A85" i="111"/>
  <c r="A79" i="111"/>
  <c r="A35" i="111"/>
  <c r="M21" i="111" s="1"/>
  <c r="A29" i="111"/>
  <c r="AC46" i="111"/>
  <c r="A46" i="111" s="1"/>
  <c r="AW46" i="111"/>
  <c r="AX46" i="111"/>
  <c r="AI46" i="111"/>
  <c r="AS46" i="111"/>
  <c r="AT46" i="111"/>
  <c r="AW41" i="111"/>
  <c r="BA41" i="111" s="1"/>
  <c r="AX45" i="111"/>
  <c r="AX49" i="111"/>
  <c r="AY45" i="111"/>
  <c r="AC47" i="111"/>
  <c r="A47" i="111" s="1"/>
  <c r="AY49" i="111"/>
  <c r="AC51" i="111"/>
  <c r="A51" i="111" s="1"/>
  <c r="AX91" i="111"/>
  <c r="AX95" i="111"/>
  <c r="AI43" i="111"/>
  <c r="AI47" i="111"/>
  <c r="AI51" i="111"/>
  <c r="AI101" i="111"/>
  <c r="AS97" i="111"/>
  <c r="AT101" i="111"/>
  <c r="AT93" i="111"/>
  <c r="AU101" i="111"/>
  <c r="AW101" i="111"/>
  <c r="AW47" i="111"/>
  <c r="AI48" i="111"/>
  <c r="AX43" i="111"/>
  <c r="AS44" i="111"/>
  <c r="AX47" i="111"/>
  <c r="AS48" i="111"/>
  <c r="AX51" i="111"/>
  <c r="AW93" i="111"/>
  <c r="AI94" i="111"/>
  <c r="AW97" i="111"/>
  <c r="AI98" i="111"/>
  <c r="AX101" i="111"/>
  <c r="AW43" i="111"/>
  <c r="BA43" i="111" s="1"/>
  <c r="AI44" i="111"/>
  <c r="AW51" i="111"/>
  <c r="AC41" i="111"/>
  <c r="A41" i="111" s="1"/>
  <c r="AT44" i="111"/>
  <c r="AT48" i="111"/>
  <c r="AX93" i="111"/>
  <c r="AS94" i="111"/>
  <c r="AX97" i="111"/>
  <c r="AS98" i="111"/>
  <c r="AC91" i="111"/>
  <c r="A91" i="111" s="1"/>
  <c r="AT94" i="111"/>
  <c r="AC95" i="111"/>
  <c r="A95" i="111" s="1"/>
  <c r="AT98" i="111"/>
  <c r="AC99" i="111"/>
  <c r="A99" i="111" s="1"/>
  <c r="AI41" i="111"/>
  <c r="AI45" i="111"/>
  <c r="AI49" i="111"/>
  <c r="AI91" i="111"/>
  <c r="AI95" i="111"/>
  <c r="AW98" i="111"/>
  <c r="AI99" i="111"/>
  <c r="AS91" i="111"/>
  <c r="AS95" i="111"/>
  <c r="AS99" i="111"/>
  <c r="AT91" i="111"/>
  <c r="AT95" i="111"/>
  <c r="AT99" i="111"/>
  <c r="AW99" i="111"/>
  <c r="AY41" i="111"/>
  <c r="AF108" i="110"/>
  <c r="AA101" i="110"/>
  <c r="Y101" i="110"/>
  <c r="Q101" i="110"/>
  <c r="M101" i="110"/>
  <c r="AY101" i="110" s="1"/>
  <c r="J101" i="110"/>
  <c r="B101" i="110"/>
  <c r="AA100" i="110"/>
  <c r="Y100" i="110"/>
  <c r="U100" i="110"/>
  <c r="Q100" i="110"/>
  <c r="M100" i="110"/>
  <c r="AW100" i="110" s="1"/>
  <c r="J100" i="110"/>
  <c r="B100" i="110"/>
  <c r="AA99" i="110"/>
  <c r="Y99" i="110"/>
  <c r="U99" i="110"/>
  <c r="Q99" i="110"/>
  <c r="M99" i="110"/>
  <c r="AY99" i="110" s="1"/>
  <c r="J99" i="110"/>
  <c r="B99" i="110"/>
  <c r="AA98" i="110"/>
  <c r="Y98" i="110"/>
  <c r="U98" i="110"/>
  <c r="Q98" i="110"/>
  <c r="M98" i="110"/>
  <c r="AY98" i="110" s="1"/>
  <c r="J98" i="110"/>
  <c r="B98" i="110"/>
  <c r="AA97" i="110"/>
  <c r="Y97" i="110"/>
  <c r="U97" i="110"/>
  <c r="Q97" i="110"/>
  <c r="M97" i="110"/>
  <c r="AY97" i="110" s="1"/>
  <c r="J97" i="110"/>
  <c r="AI97" i="110" s="1"/>
  <c r="B97" i="110"/>
  <c r="AA96" i="110"/>
  <c r="Y96" i="110"/>
  <c r="U96" i="110"/>
  <c r="Q96" i="110"/>
  <c r="AC96" i="110" s="1"/>
  <c r="A96" i="110" s="1"/>
  <c r="M96" i="110"/>
  <c r="AY96" i="110" s="1"/>
  <c r="J96" i="110"/>
  <c r="B96" i="110"/>
  <c r="AA95" i="110"/>
  <c r="Y95" i="110"/>
  <c r="U95" i="110"/>
  <c r="Q95" i="110"/>
  <c r="M95" i="110"/>
  <c r="AY95" i="110" s="1"/>
  <c r="J95" i="110"/>
  <c r="B95" i="110"/>
  <c r="AA94" i="110"/>
  <c r="Y94" i="110"/>
  <c r="U94" i="110"/>
  <c r="Q94" i="110"/>
  <c r="AC94" i="110" s="1"/>
  <c r="M94" i="110"/>
  <c r="AY94" i="110" s="1"/>
  <c r="J94" i="110"/>
  <c r="B94" i="110"/>
  <c r="AA93" i="110"/>
  <c r="Y93" i="110"/>
  <c r="U93" i="110"/>
  <c r="Q93" i="110"/>
  <c r="M93" i="110"/>
  <c r="J93" i="110"/>
  <c r="B93" i="110"/>
  <c r="AA92" i="110"/>
  <c r="Y92" i="110"/>
  <c r="U92" i="110"/>
  <c r="Q92" i="110"/>
  <c r="M92" i="110"/>
  <c r="AY92" i="110" s="1"/>
  <c r="J92" i="110"/>
  <c r="B92" i="110"/>
  <c r="AA91" i="110"/>
  <c r="Y91" i="110"/>
  <c r="U91" i="110"/>
  <c r="Q91" i="110"/>
  <c r="M91" i="110"/>
  <c r="AY91" i="110" s="1"/>
  <c r="J91" i="110"/>
  <c r="B91" i="110"/>
  <c r="B85" i="110"/>
  <c r="B83" i="110"/>
  <c r="B81" i="110"/>
  <c r="B79" i="110"/>
  <c r="B77" i="110"/>
  <c r="B75" i="110"/>
  <c r="B59" i="110"/>
  <c r="AA51" i="110"/>
  <c r="Y51" i="110"/>
  <c r="U51" i="110"/>
  <c r="Q51" i="110"/>
  <c r="M51" i="110"/>
  <c r="J51" i="110"/>
  <c r="B51" i="110"/>
  <c r="AA50" i="110"/>
  <c r="Y50" i="110"/>
  <c r="U50" i="110"/>
  <c r="Q50" i="110"/>
  <c r="M50" i="110"/>
  <c r="AW50" i="110" s="1"/>
  <c r="J50" i="110"/>
  <c r="AT50" i="110" s="1"/>
  <c r="B50" i="110"/>
  <c r="AA49" i="110"/>
  <c r="Y49" i="110"/>
  <c r="U49" i="110"/>
  <c r="Q49" i="110"/>
  <c r="M49" i="110"/>
  <c r="AY49" i="110" s="1"/>
  <c r="J49" i="110"/>
  <c r="AS49" i="110" s="1"/>
  <c r="B49" i="110"/>
  <c r="AA48" i="110"/>
  <c r="Y48" i="110"/>
  <c r="U48" i="110"/>
  <c r="Q48" i="110"/>
  <c r="M48" i="110"/>
  <c r="AY48" i="110" s="1"/>
  <c r="J48" i="110"/>
  <c r="AS48" i="110" s="1"/>
  <c r="B48" i="110"/>
  <c r="AA47" i="110"/>
  <c r="Y47" i="110"/>
  <c r="U47" i="110"/>
  <c r="Q47" i="110"/>
  <c r="M47" i="110"/>
  <c r="J47" i="110"/>
  <c r="B47" i="110"/>
  <c r="AA46" i="110"/>
  <c r="Y46" i="110"/>
  <c r="U46" i="110"/>
  <c r="Q46" i="110"/>
  <c r="M46" i="110"/>
  <c r="AW46" i="110" s="1"/>
  <c r="J46" i="110"/>
  <c r="AT46" i="110" s="1"/>
  <c r="B46" i="110"/>
  <c r="AA45" i="110"/>
  <c r="Y45" i="110"/>
  <c r="U45" i="110"/>
  <c r="Q45" i="110"/>
  <c r="M45" i="110"/>
  <c r="AY45" i="110" s="1"/>
  <c r="J45" i="110"/>
  <c r="AS45" i="110" s="1"/>
  <c r="B45" i="110"/>
  <c r="AA44" i="110"/>
  <c r="Y44" i="110"/>
  <c r="U44" i="110"/>
  <c r="Q44" i="110"/>
  <c r="M44" i="110"/>
  <c r="AY44" i="110" s="1"/>
  <c r="J44" i="110"/>
  <c r="B44" i="110"/>
  <c r="AA43" i="110"/>
  <c r="Y43" i="110"/>
  <c r="U43" i="110"/>
  <c r="Q43" i="110"/>
  <c r="M43" i="110"/>
  <c r="J43" i="110"/>
  <c r="AU43" i="110" s="1"/>
  <c r="B43" i="110"/>
  <c r="AA42" i="110"/>
  <c r="Y42" i="110"/>
  <c r="U42" i="110"/>
  <c r="Q42" i="110"/>
  <c r="M42" i="110"/>
  <c r="AW42" i="110" s="1"/>
  <c r="J42" i="110"/>
  <c r="AT42" i="110" s="1"/>
  <c r="B42" i="110"/>
  <c r="AA41" i="110"/>
  <c r="Y41" i="110"/>
  <c r="U41" i="110"/>
  <c r="Q41" i="110"/>
  <c r="M41" i="110"/>
  <c r="AY41" i="110" s="1"/>
  <c r="J41" i="110"/>
  <c r="B41" i="110"/>
  <c r="B35" i="110"/>
  <c r="B33" i="110"/>
  <c r="B31" i="110"/>
  <c r="B29" i="110"/>
  <c r="B27" i="110"/>
  <c r="B25" i="110"/>
  <c r="AB5" i="110"/>
  <c r="AH79" i="43"/>
  <c r="BB100" i="111" l="1"/>
  <c r="BA100" i="111"/>
  <c r="BC43" i="112"/>
  <c r="BB43" i="112"/>
  <c r="BA43" i="112"/>
  <c r="BC42" i="112"/>
  <c r="BB42" i="112"/>
  <c r="BA42" i="112"/>
  <c r="AZ42" i="112" s="1"/>
  <c r="BC46" i="112"/>
  <c r="BB46" i="112"/>
  <c r="BA46" i="112"/>
  <c r="BC45" i="112"/>
  <c r="BB45" i="112"/>
  <c r="BA45" i="112"/>
  <c r="BC49" i="112"/>
  <c r="BB49" i="112"/>
  <c r="BA49" i="112"/>
  <c r="BC41" i="112"/>
  <c r="BB41" i="112"/>
  <c r="BA41" i="112"/>
  <c r="BC47" i="112"/>
  <c r="BB47" i="112"/>
  <c r="BA47" i="112"/>
  <c r="BC50" i="112"/>
  <c r="BB50" i="112"/>
  <c r="BA50" i="112"/>
  <c r="BC44" i="112"/>
  <c r="BB44" i="112"/>
  <c r="BA44" i="112"/>
  <c r="BC48" i="112"/>
  <c r="BB48" i="112"/>
  <c r="BA48" i="112"/>
  <c r="AZ48" i="112" s="1"/>
  <c r="BC42" i="111"/>
  <c r="BB42" i="111"/>
  <c r="BA42" i="111"/>
  <c r="BC43" i="111"/>
  <c r="BB43" i="111"/>
  <c r="BC45" i="111"/>
  <c r="BB45" i="111"/>
  <c r="BA45" i="111"/>
  <c r="BC50" i="111"/>
  <c r="BB50" i="111"/>
  <c r="BA50" i="111"/>
  <c r="BC49" i="111"/>
  <c r="BB49" i="111"/>
  <c r="BA49" i="111"/>
  <c r="BC47" i="111"/>
  <c r="BB47" i="111"/>
  <c r="BA47" i="111"/>
  <c r="BC41" i="111"/>
  <c r="BB41" i="111"/>
  <c r="BC46" i="111"/>
  <c r="BB46" i="111"/>
  <c r="BA46" i="111"/>
  <c r="BC44" i="111"/>
  <c r="BB44" i="111"/>
  <c r="BA44" i="111"/>
  <c r="BC48" i="111"/>
  <c r="BB48" i="111"/>
  <c r="BA48" i="111"/>
  <c r="BC96" i="112"/>
  <c r="BB96" i="112"/>
  <c r="BA96" i="112"/>
  <c r="BC92" i="112"/>
  <c r="BB92" i="112"/>
  <c r="BC100" i="112"/>
  <c r="BB100" i="112"/>
  <c r="BA100" i="112"/>
  <c r="BC93" i="112"/>
  <c r="BB93" i="112"/>
  <c r="BA93" i="112"/>
  <c r="BC97" i="112"/>
  <c r="BB97" i="112"/>
  <c r="BC94" i="112"/>
  <c r="BB94" i="112"/>
  <c r="BA94" i="112"/>
  <c r="BC98" i="112"/>
  <c r="BB98" i="112"/>
  <c r="BA98" i="112"/>
  <c r="BC91" i="112"/>
  <c r="BB91" i="112"/>
  <c r="BA91" i="112"/>
  <c r="BC95" i="112"/>
  <c r="BB95" i="112"/>
  <c r="BA95" i="112"/>
  <c r="BC99" i="112"/>
  <c r="BB99" i="112"/>
  <c r="BA99" i="112"/>
  <c r="BC92" i="111"/>
  <c r="BB92" i="111"/>
  <c r="BA92" i="111"/>
  <c r="BC96" i="111"/>
  <c r="BB96" i="111"/>
  <c r="BA96" i="111"/>
  <c r="BC93" i="111"/>
  <c r="BB93" i="111"/>
  <c r="BA93" i="111"/>
  <c r="AZ93" i="111" s="1"/>
  <c r="BC97" i="111"/>
  <c r="BB97" i="111"/>
  <c r="BA97" i="111"/>
  <c r="AZ97" i="111" s="1"/>
  <c r="BC94" i="111"/>
  <c r="BB94" i="111"/>
  <c r="BA94" i="111"/>
  <c r="AZ94" i="111" s="1"/>
  <c r="BC98" i="111"/>
  <c r="BB98" i="111"/>
  <c r="BA98" i="111"/>
  <c r="BC91" i="111"/>
  <c r="BB91" i="111"/>
  <c r="BA91" i="111"/>
  <c r="BC95" i="111"/>
  <c r="BB95" i="111"/>
  <c r="BA95" i="111"/>
  <c r="BC99" i="111"/>
  <c r="BB99" i="111"/>
  <c r="BA99" i="111"/>
  <c r="BC101" i="112"/>
  <c r="BB101" i="112"/>
  <c r="BA101" i="112"/>
  <c r="AZ101" i="112" s="1"/>
  <c r="BC51" i="112"/>
  <c r="BB51" i="112"/>
  <c r="BA51" i="112"/>
  <c r="BC101" i="111"/>
  <c r="BB101" i="111"/>
  <c r="BA101" i="111"/>
  <c r="BC51" i="111"/>
  <c r="BB51" i="111"/>
  <c r="BA51" i="111"/>
  <c r="AY93" i="110"/>
  <c r="AI93" i="110"/>
  <c r="AS93" i="110"/>
  <c r="AU93" i="110"/>
  <c r="B73" i="112"/>
  <c r="B73" i="111"/>
  <c r="B73" i="110"/>
  <c r="AC100" i="110"/>
  <c r="A100" i="110" s="1"/>
  <c r="AW93" i="110"/>
  <c r="AC48" i="110"/>
  <c r="A48" i="110" s="1"/>
  <c r="AC47" i="110"/>
  <c r="A47" i="110" s="1"/>
  <c r="AG92" i="112"/>
  <c r="AX100" i="110"/>
  <c r="AW92" i="110"/>
  <c r="AI98" i="110"/>
  <c r="AY100" i="110"/>
  <c r="AC43" i="110"/>
  <c r="A43" i="110" s="1"/>
  <c r="AS43" i="110"/>
  <c r="AC46" i="110"/>
  <c r="A46" i="110" s="1"/>
  <c r="AC44" i="110"/>
  <c r="A44" i="110" s="1"/>
  <c r="AX48" i="110"/>
  <c r="AY50" i="110"/>
  <c r="AX50" i="110"/>
  <c r="AU44" i="110"/>
  <c r="AC92" i="110"/>
  <c r="A92" i="110" s="1"/>
  <c r="AU96" i="110"/>
  <c r="AU99" i="110"/>
  <c r="AS97" i="110"/>
  <c r="AT97" i="110"/>
  <c r="AX42" i="110"/>
  <c r="AS47" i="110"/>
  <c r="AX92" i="110"/>
  <c r="AU47" i="110"/>
  <c r="AU97" i="110"/>
  <c r="AI43" i="110"/>
  <c r="AS44" i="110"/>
  <c r="AU48" i="110"/>
  <c r="AY42" i="110"/>
  <c r="AT47" i="110"/>
  <c r="AT51" i="110"/>
  <c r="AX44" i="110"/>
  <c r="AC93" i="110"/>
  <c r="A93" i="110" s="1"/>
  <c r="AW96" i="110"/>
  <c r="AU98" i="110"/>
  <c r="AU100" i="110"/>
  <c r="AX46" i="110"/>
  <c r="AU95" i="110"/>
  <c r="AX96" i="110"/>
  <c r="AU91" i="110"/>
  <c r="AU41" i="110"/>
  <c r="AW97" i="110"/>
  <c r="AS41" i="110"/>
  <c r="AU45" i="110"/>
  <c r="AY46" i="110"/>
  <c r="AU50" i="110"/>
  <c r="AU92" i="110"/>
  <c r="AU42" i="110"/>
  <c r="AG46" i="112"/>
  <c r="AU46" i="110"/>
  <c r="AU49" i="110"/>
  <c r="AU94" i="110"/>
  <c r="AC50" i="110"/>
  <c r="A50" i="110" s="1"/>
  <c r="AI47" i="110"/>
  <c r="AC42" i="110"/>
  <c r="A42" i="110" s="1"/>
  <c r="AT43" i="110"/>
  <c r="AI48" i="110"/>
  <c r="AT93" i="110"/>
  <c r="AC97" i="110"/>
  <c r="A97" i="110" s="1"/>
  <c r="AC98" i="110"/>
  <c r="A98" i="110" s="1"/>
  <c r="A35" i="110"/>
  <c r="M21" i="110" s="1"/>
  <c r="AI94" i="110"/>
  <c r="A94" i="110"/>
  <c r="AI44" i="110"/>
  <c r="AW101" i="110"/>
  <c r="AI101" i="110"/>
  <c r="A102" i="112"/>
  <c r="A52" i="112"/>
  <c r="AE23" i="6" s="1"/>
  <c r="AZ93" i="112"/>
  <c r="A52" i="111"/>
  <c r="AZ47" i="111"/>
  <c r="A102" i="111"/>
  <c r="A85" i="110"/>
  <c r="AC101" i="110"/>
  <c r="A101" i="110" s="1"/>
  <c r="AC51" i="110"/>
  <c r="A51" i="110" s="1"/>
  <c r="AU51" i="110"/>
  <c r="AI51" i="110"/>
  <c r="AS51" i="110"/>
  <c r="AS101" i="110"/>
  <c r="AT101" i="110"/>
  <c r="AW43" i="110"/>
  <c r="AW47" i="110"/>
  <c r="AW51" i="110"/>
  <c r="AU101" i="110"/>
  <c r="AX43" i="110"/>
  <c r="AX47" i="110"/>
  <c r="AX51" i="110"/>
  <c r="A29" i="110"/>
  <c r="AC41" i="110"/>
  <c r="A41" i="110" s="1"/>
  <c r="AY43" i="110"/>
  <c r="AT44" i="110"/>
  <c r="AC45" i="110"/>
  <c r="A45" i="110" s="1"/>
  <c r="AY47" i="110"/>
  <c r="AT48" i="110"/>
  <c r="AC49" i="110"/>
  <c r="A49" i="110" s="1"/>
  <c r="AY51" i="110"/>
  <c r="AX93" i="110"/>
  <c r="AS94" i="110"/>
  <c r="AX97" i="110"/>
  <c r="AS98" i="110"/>
  <c r="AX101" i="110"/>
  <c r="A79" i="110"/>
  <c r="AC91" i="110"/>
  <c r="A91" i="110" s="1"/>
  <c r="AT94" i="110"/>
  <c r="AC95" i="110"/>
  <c r="A95" i="110" s="1"/>
  <c r="AT98" i="110"/>
  <c r="AC99" i="110"/>
  <c r="A99" i="110" s="1"/>
  <c r="AI41" i="110"/>
  <c r="AW44" i="110"/>
  <c r="AI45" i="110"/>
  <c r="AW48" i="110"/>
  <c r="BA48" i="110" s="1"/>
  <c r="AI49" i="110"/>
  <c r="AI91" i="110"/>
  <c r="AW94" i="110"/>
  <c r="AI95" i="110"/>
  <c r="AW98" i="110"/>
  <c r="AI99" i="110"/>
  <c r="AT41" i="110"/>
  <c r="AT45" i="110"/>
  <c r="AT49" i="110"/>
  <c r="AS91" i="110"/>
  <c r="AX94" i="110"/>
  <c r="AS95" i="110"/>
  <c r="AX98" i="110"/>
  <c r="AS99" i="110"/>
  <c r="AT91" i="110"/>
  <c r="AT95" i="110"/>
  <c r="AT99" i="110"/>
  <c r="AW41" i="110"/>
  <c r="AI42" i="110"/>
  <c r="AW45" i="110"/>
  <c r="BA45" i="110" s="1"/>
  <c r="AI46" i="110"/>
  <c r="AW49" i="110"/>
  <c r="BA49" i="110" s="1"/>
  <c r="AI50" i="110"/>
  <c r="AX41" i="110"/>
  <c r="AS42" i="110"/>
  <c r="AX45" i="110"/>
  <c r="AS46" i="110"/>
  <c r="AX49" i="110"/>
  <c r="AS50" i="110"/>
  <c r="AW91" i="110"/>
  <c r="AI92" i="110"/>
  <c r="AW95" i="110"/>
  <c r="AI96" i="110"/>
  <c r="AW99" i="110"/>
  <c r="AI100" i="110"/>
  <c r="AX91" i="110"/>
  <c r="AS92" i="110"/>
  <c r="AX95" i="110"/>
  <c r="AS96" i="110"/>
  <c r="AX99" i="110"/>
  <c r="AS100" i="110"/>
  <c r="AT92" i="110"/>
  <c r="AT96" i="110"/>
  <c r="AT100" i="110"/>
  <c r="BC43" i="110" l="1"/>
  <c r="BB43" i="110"/>
  <c r="BA43" i="110"/>
  <c r="AZ43" i="110" s="1"/>
  <c r="BC47" i="110"/>
  <c r="BB47" i="110"/>
  <c r="BA47" i="110"/>
  <c r="BC44" i="110"/>
  <c r="BB44" i="110"/>
  <c r="BA44" i="110"/>
  <c r="AZ44" i="110" s="1"/>
  <c r="BC41" i="110"/>
  <c r="BB41" i="110"/>
  <c r="BA41" i="110"/>
  <c r="AZ41" i="110" s="1"/>
  <c r="BC48" i="110"/>
  <c r="BB48" i="110"/>
  <c r="BC45" i="110"/>
  <c r="BB45" i="110"/>
  <c r="BC49" i="110"/>
  <c r="BB49" i="110"/>
  <c r="AZ49" i="110" s="1"/>
  <c r="BC42" i="110"/>
  <c r="BB42" i="110"/>
  <c r="BA42" i="110"/>
  <c r="AZ42" i="110" s="1"/>
  <c r="BC46" i="110"/>
  <c r="BB46" i="110"/>
  <c r="BA46" i="110"/>
  <c r="BC50" i="110"/>
  <c r="BB50" i="110"/>
  <c r="BA50" i="110"/>
  <c r="AZ50" i="110" s="1"/>
  <c r="BC93" i="110"/>
  <c r="BB93" i="110"/>
  <c r="BA93" i="110"/>
  <c r="BC97" i="110"/>
  <c r="BB97" i="110"/>
  <c r="BA97" i="110"/>
  <c r="AG97" i="110" s="1"/>
  <c r="BC94" i="110"/>
  <c r="BB94" i="110"/>
  <c r="BA94" i="110"/>
  <c r="BC98" i="110"/>
  <c r="BB98" i="110"/>
  <c r="BA98" i="110"/>
  <c r="BC91" i="110"/>
  <c r="BB91" i="110"/>
  <c r="BA91" i="110"/>
  <c r="BC95" i="110"/>
  <c r="BB95" i="110"/>
  <c r="BA95" i="110"/>
  <c r="BC99" i="110"/>
  <c r="BB99" i="110"/>
  <c r="BA99" i="110"/>
  <c r="BC92" i="110"/>
  <c r="BB92" i="110"/>
  <c r="BA92" i="110"/>
  <c r="AZ92" i="110" s="1"/>
  <c r="BC96" i="110"/>
  <c r="BB96" i="110"/>
  <c r="BA96" i="110"/>
  <c r="BC100" i="110"/>
  <c r="BB100" i="110"/>
  <c r="BA100" i="110"/>
  <c r="BC101" i="110"/>
  <c r="BB101" i="110"/>
  <c r="BA101" i="110"/>
  <c r="BC51" i="110"/>
  <c r="BB51" i="110"/>
  <c r="BA51" i="110"/>
  <c r="AZ51" i="110" s="1"/>
  <c r="AZ92" i="111"/>
  <c r="AZ96" i="111"/>
  <c r="AZ91" i="111"/>
  <c r="AZ95" i="111"/>
  <c r="AZ98" i="111"/>
  <c r="AZ50" i="111"/>
  <c r="AZ42" i="111"/>
  <c r="AZ45" i="111"/>
  <c r="AZ48" i="111"/>
  <c r="AZ46" i="111"/>
  <c r="AZ44" i="111"/>
  <c r="AZ41" i="111"/>
  <c r="AZ100" i="112"/>
  <c r="AZ99" i="112"/>
  <c r="AZ95" i="112"/>
  <c r="AZ91" i="112"/>
  <c r="AZ92" i="112"/>
  <c r="AZ46" i="112"/>
  <c r="AZ50" i="112"/>
  <c r="AZ45" i="112"/>
  <c r="AZ49" i="112"/>
  <c r="AZ41" i="112"/>
  <c r="AG99" i="112"/>
  <c r="AG93" i="112"/>
  <c r="AG96" i="112"/>
  <c r="AZ96" i="112"/>
  <c r="AG97" i="112"/>
  <c r="AZ97" i="112"/>
  <c r="AG98" i="112"/>
  <c r="AZ98" i="112"/>
  <c r="AG94" i="112"/>
  <c r="AZ94" i="112"/>
  <c r="AG51" i="112"/>
  <c r="AZ51" i="112"/>
  <c r="AG47" i="112"/>
  <c r="AZ47" i="112"/>
  <c r="AG43" i="112"/>
  <c r="AZ43" i="112"/>
  <c r="AG44" i="112"/>
  <c r="AZ44" i="112"/>
  <c r="AG100" i="111"/>
  <c r="AZ100" i="111"/>
  <c r="AG96" i="111"/>
  <c r="AG91" i="111"/>
  <c r="AG92" i="111"/>
  <c r="AG99" i="111"/>
  <c r="AZ99" i="111"/>
  <c r="AG101" i="111"/>
  <c r="AZ101" i="111"/>
  <c r="AG45" i="111"/>
  <c r="AG48" i="111"/>
  <c r="AG43" i="111"/>
  <c r="AZ43" i="111"/>
  <c r="AG51" i="111"/>
  <c r="AZ51" i="111"/>
  <c r="AG49" i="111"/>
  <c r="AZ49" i="111"/>
  <c r="AD42" i="6"/>
  <c r="AD48" i="6"/>
  <c r="AD44" i="6"/>
  <c r="AD46" i="6"/>
  <c r="AE27" i="6"/>
  <c r="AE25" i="6"/>
  <c r="AE29" i="6"/>
  <c r="AE46" i="6"/>
  <c r="AE48" i="6"/>
  <c r="AE44" i="6"/>
  <c r="AG95" i="112"/>
  <c r="AG100" i="112"/>
  <c r="AG101" i="112"/>
  <c r="AG91" i="112"/>
  <c r="AG93" i="111"/>
  <c r="AG95" i="111"/>
  <c r="AG98" i="111"/>
  <c r="AG97" i="111"/>
  <c r="AG94" i="111"/>
  <c r="AG50" i="112"/>
  <c r="AG42" i="112"/>
  <c r="AG46" i="111"/>
  <c r="AG49" i="112"/>
  <c r="AG45" i="112"/>
  <c r="AG48" i="112"/>
  <c r="AG41" i="112"/>
  <c r="AG47" i="111"/>
  <c r="AG42" i="111"/>
  <c r="AG50" i="111"/>
  <c r="AG41" i="111"/>
  <c r="AG44" i="111"/>
  <c r="AE42" i="6"/>
  <c r="AE40" i="6"/>
  <c r="AE38" i="6"/>
  <c r="AD27" i="6"/>
  <c r="AD29" i="6"/>
  <c r="AD25" i="6"/>
  <c r="AC52" i="112"/>
  <c r="AA52" i="112"/>
  <c r="U52" i="112"/>
  <c r="Q52" i="112"/>
  <c r="AC102" i="112"/>
  <c r="AA102" i="112"/>
  <c r="U102" i="112"/>
  <c r="Q102" i="112"/>
  <c r="AC102" i="111"/>
  <c r="AA102" i="111"/>
  <c r="U102" i="111"/>
  <c r="Q102" i="111"/>
  <c r="AA52" i="111"/>
  <c r="U52" i="111"/>
  <c r="Q52" i="111"/>
  <c r="AC52" i="111"/>
  <c r="A102" i="110"/>
  <c r="A52" i="110"/>
  <c r="AZ93" i="110" l="1"/>
  <c r="AZ97" i="110"/>
  <c r="AZ96" i="110"/>
  <c r="AZ100" i="110"/>
  <c r="AZ101" i="110"/>
  <c r="AZ91" i="110"/>
  <c r="AZ95" i="110"/>
  <c r="AZ99" i="110"/>
  <c r="AZ46" i="110"/>
  <c r="AG96" i="110"/>
  <c r="AG101" i="110"/>
  <c r="AG95" i="110"/>
  <c r="AG94" i="110"/>
  <c r="AZ94" i="110"/>
  <c r="AG98" i="110"/>
  <c r="AZ98" i="110"/>
  <c r="AG47" i="110"/>
  <c r="AZ47" i="110"/>
  <c r="AG45" i="110"/>
  <c r="AZ45" i="110"/>
  <c r="AG48" i="110"/>
  <c r="AZ48" i="110"/>
  <c r="AY44" i="6"/>
  <c r="AY48" i="6"/>
  <c r="AT48" i="6"/>
  <c r="AT44" i="6"/>
  <c r="AO48" i="6"/>
  <c r="AO44" i="6"/>
  <c r="AJ44" i="6"/>
  <c r="AJ48" i="6"/>
  <c r="AG93" i="110"/>
  <c r="AG66" i="111"/>
  <c r="AK29" i="6"/>
  <c r="AK25" i="6"/>
  <c r="AK27" i="6"/>
  <c r="AP27" i="6"/>
  <c r="AP29" i="6"/>
  <c r="AP25" i="6"/>
  <c r="AU29" i="6"/>
  <c r="AU27" i="6"/>
  <c r="AU25" i="6"/>
  <c r="AZ29" i="6"/>
  <c r="AZ27" i="6"/>
  <c r="AZ25" i="6"/>
  <c r="AP48" i="6"/>
  <c r="AP46" i="6"/>
  <c r="AP44" i="6"/>
  <c r="AU48" i="6"/>
  <c r="AU46" i="6"/>
  <c r="AU44" i="6"/>
  <c r="AK46" i="6"/>
  <c r="AK44" i="6"/>
  <c r="AK48" i="6" a="1"/>
  <c r="AK48" i="6" s="1"/>
  <c r="AZ44" i="6"/>
  <c r="AZ48" i="6"/>
  <c r="AZ46" i="6"/>
  <c r="AC40" i="6"/>
  <c r="AC48" i="6" a="1"/>
  <c r="AC48" i="6" s="1"/>
  <c r="AC46" i="6" a="1"/>
  <c r="AC46" i="6" s="1"/>
  <c r="AC38" i="6" a="1"/>
  <c r="AC38" i="6" s="1"/>
  <c r="AC44" i="6" a="1"/>
  <c r="AC44" i="6" s="1"/>
  <c r="AC42" i="6" a="1"/>
  <c r="AC42" i="6" s="1"/>
  <c r="AC21" i="6"/>
  <c r="AC29" i="6"/>
  <c r="AC23" i="6"/>
  <c r="AC27" i="6"/>
  <c r="AC25" i="6"/>
  <c r="AC19" i="6"/>
  <c r="AG66" i="112"/>
  <c r="AG99" i="110"/>
  <c r="AG91" i="110"/>
  <c r="AG92" i="110"/>
  <c r="AG100" i="110"/>
  <c r="AG16" i="112"/>
  <c r="AG16" i="111"/>
  <c r="AG50" i="110"/>
  <c r="AG41" i="110"/>
  <c r="AG43" i="110"/>
  <c r="AG42" i="110"/>
  <c r="AG44" i="110"/>
  <c r="AG51" i="110"/>
  <c r="AG49" i="110"/>
  <c r="AG46" i="110"/>
  <c r="AK42" i="6"/>
  <c r="AK40" i="6"/>
  <c r="AK38" i="6"/>
  <c r="AP42" i="6"/>
  <c r="AP40" i="6"/>
  <c r="AP38" i="6"/>
  <c r="AZ40" i="6"/>
  <c r="AZ42" i="6"/>
  <c r="AZ38" i="6"/>
  <c r="AU38" i="6"/>
  <c r="AU42" i="6"/>
  <c r="AU40" i="6"/>
  <c r="AY27" i="6"/>
  <c r="AY25" i="6"/>
  <c r="AY29" i="6"/>
  <c r="AJ27" i="6"/>
  <c r="AJ29" i="6"/>
  <c r="AJ25" i="6"/>
  <c r="AO27" i="6"/>
  <c r="AO29" i="6"/>
  <c r="AO25" i="6"/>
  <c r="AT27" i="6"/>
  <c r="AT29" i="6"/>
  <c r="AT25" i="6"/>
  <c r="AC52" i="110"/>
  <c r="AA52" i="110"/>
  <c r="U52" i="110"/>
  <c r="Q52" i="110"/>
  <c r="AC102" i="110"/>
  <c r="AA102" i="110"/>
  <c r="U102" i="110"/>
  <c r="Q102" i="110"/>
  <c r="AI40" i="6" l="1" a="1"/>
  <c r="AI40" i="6" s="1"/>
  <c r="AI48" i="6" a="1"/>
  <c r="AI48" i="6" s="1"/>
  <c r="AI46" i="6" a="1"/>
  <c r="AI46" i="6" s="1"/>
  <c r="AI42" i="6" a="1"/>
  <c r="AI42" i="6" s="1"/>
  <c r="AI44" i="6" a="1"/>
  <c r="AI44" i="6" s="1"/>
  <c r="AI38" i="6" a="1"/>
  <c r="AI38" i="6" s="1"/>
  <c r="AS40" i="6" a="1"/>
  <c r="AS40" i="6" s="1"/>
  <c r="AS46" i="6" a="1"/>
  <c r="AS46" i="6" s="1"/>
  <c r="AS44" i="6" a="1"/>
  <c r="AS44" i="6" s="1"/>
  <c r="AS42" i="6" a="1"/>
  <c r="AS42" i="6" s="1"/>
  <c r="AS48" i="6" a="1"/>
  <c r="AS48" i="6" s="1"/>
  <c r="AS38" i="6" a="1"/>
  <c r="AS38" i="6" s="1"/>
  <c r="AN40" i="6" a="1"/>
  <c r="AN40" i="6" s="1"/>
  <c r="AN44" i="6" a="1"/>
  <c r="AN44" i="6" s="1"/>
  <c r="AN42" i="6" a="1"/>
  <c r="AN42" i="6" s="1"/>
  <c r="AN38" i="6" a="1"/>
  <c r="AN38" i="6" s="1"/>
  <c r="AN46" i="6" a="1"/>
  <c r="AN46" i="6" s="1"/>
  <c r="AN48" i="6" a="1"/>
  <c r="AN48" i="6" s="1"/>
  <c r="AX40" i="6" a="1"/>
  <c r="AX40" i="6" s="1"/>
  <c r="AX48" i="6" a="1"/>
  <c r="AX48" i="6" s="1"/>
  <c r="AX38" i="6" a="1"/>
  <c r="AX38" i="6" s="1"/>
  <c r="AX46" i="6" a="1"/>
  <c r="AX46" i="6" s="1"/>
  <c r="AX44" i="6" a="1"/>
  <c r="AX44" i="6" s="1"/>
  <c r="AX42" i="6" a="1"/>
  <c r="AX42" i="6" s="1"/>
  <c r="AN21" i="6" a="1"/>
  <c r="AN21" i="6" s="1"/>
  <c r="AN25" i="6" a="1"/>
  <c r="AN25" i="6" s="1"/>
  <c r="AN23" i="6" a="1"/>
  <c r="AN23" i="6" s="1"/>
  <c r="AN27" i="6" a="1"/>
  <c r="AN27" i="6" s="1"/>
  <c r="AN19" i="6" a="1"/>
  <c r="AN19" i="6" s="1"/>
  <c r="AN29" i="6" a="1"/>
  <c r="AN29" i="6" s="1"/>
  <c r="AX21" i="6" a="1"/>
  <c r="AX21" i="6" s="1"/>
  <c r="AX29" i="6" a="1"/>
  <c r="AX29" i="6" s="1"/>
  <c r="AX27" i="6" a="1"/>
  <c r="AX27" i="6" s="1"/>
  <c r="AX23" i="6" a="1"/>
  <c r="AX23" i="6" s="1"/>
  <c r="AX19" i="6" a="1"/>
  <c r="AX19" i="6" s="1"/>
  <c r="AX25" i="6" a="1"/>
  <c r="AX25" i="6" s="1"/>
  <c r="AI21" i="6" a="1"/>
  <c r="AI21" i="6" s="1"/>
  <c r="AI29" i="6" a="1"/>
  <c r="AI29" i="6" s="1"/>
  <c r="AI25" i="6" a="1"/>
  <c r="AI25" i="6" s="1"/>
  <c r="AI23" i="6" a="1"/>
  <c r="AI23" i="6" s="1"/>
  <c r="AI27" i="6" a="1"/>
  <c r="AI27" i="6" s="1"/>
  <c r="AI19" i="6" a="1"/>
  <c r="AI19" i="6" s="1"/>
  <c r="AS21" i="6" a="1"/>
  <c r="AS21" i="6" s="1"/>
  <c r="AS29" i="6" a="1"/>
  <c r="AS29" i="6" s="1"/>
  <c r="AS27" i="6" a="1"/>
  <c r="AS27" i="6" s="1"/>
  <c r="AS25" i="6" a="1"/>
  <c r="AS25" i="6" s="1"/>
  <c r="AS23" i="6" a="1"/>
  <c r="AS23" i="6" s="1"/>
  <c r="AS19" i="6" a="1"/>
  <c r="AS19" i="6" s="1"/>
  <c r="AG66" i="110"/>
  <c r="AG16" i="110"/>
  <c r="B85" i="43"/>
  <c r="B83" i="43"/>
  <c r="B81" i="43"/>
  <c r="AH29" i="43"/>
  <c r="B25" i="43"/>
  <c r="B35" i="43"/>
  <c r="B33" i="43"/>
  <c r="B31" i="43"/>
  <c r="B23" i="112" l="1"/>
  <c r="B23" i="111"/>
  <c r="B23" i="110"/>
  <c r="B23" i="43"/>
  <c r="E27" i="109"/>
  <c r="AD32" i="109"/>
  <c r="E61" i="109" l="1"/>
  <c r="AW25" i="2" l="1"/>
  <c r="CD17" i="95" l="1"/>
  <c r="CD18" i="95"/>
  <c r="CD19" i="95"/>
  <c r="CD20" i="95"/>
  <c r="CD22" i="95"/>
  <c r="CD24" i="95"/>
  <c r="CD25" i="95"/>
  <c r="CD26" i="95"/>
  <c r="CD27" i="95"/>
  <c r="CD28" i="95"/>
  <c r="CD29" i="95"/>
  <c r="CD16" i="95"/>
  <c r="BY2" i="95"/>
  <c r="CC17" i="95" l="1"/>
  <c r="CC18" i="95"/>
  <c r="CC19" i="95"/>
  <c r="CC20" i="95"/>
  <c r="CC21" i="95"/>
  <c r="CC22" i="95"/>
  <c r="CC23" i="95"/>
  <c r="CC24" i="95"/>
  <c r="CC25" i="95"/>
  <c r="CC26" i="95"/>
  <c r="CC27" i="95"/>
  <c r="CC28" i="95"/>
  <c r="CC29" i="95"/>
  <c r="CC30" i="95"/>
  <c r="CC16" i="95"/>
  <c r="CC15" i="95"/>
  <c r="CC8" i="95"/>
  <c r="CC9" i="95"/>
  <c r="CC10" i="95"/>
  <c r="CC7" i="95"/>
  <c r="CE30" i="95"/>
  <c r="CE29" i="95"/>
  <c r="CE28" i="95"/>
  <c r="CE27" i="95"/>
  <c r="CE26" i="95"/>
  <c r="CE25" i="95"/>
  <c r="CE24" i="95"/>
  <c r="CE23" i="95"/>
  <c r="CE22" i="95"/>
  <c r="CE21" i="95"/>
  <c r="CE20" i="95"/>
  <c r="CE19" i="95"/>
  <c r="CE18" i="95"/>
  <c r="CE17" i="95"/>
  <c r="CE16" i="95"/>
  <c r="CE15" i="95"/>
  <c r="CE10" i="95"/>
  <c r="CE9" i="95"/>
  <c r="CE8" i="95"/>
  <c r="CE7" i="95"/>
  <c r="BI20" i="2"/>
  <c r="BF17" i="2" s="1"/>
  <c r="AY75" i="2"/>
  <c r="BA97" i="2" l="1"/>
  <c r="BD97" i="2"/>
  <c r="BB97" i="2"/>
  <c r="BD95" i="2"/>
  <c r="BC95" i="2"/>
  <c r="BB95" i="2"/>
  <c r="BA95" i="2"/>
  <c r="BF93" i="2"/>
  <c r="AJ53" i="109" l="1"/>
  <c r="AD54" i="109" s="1"/>
  <c r="AJ79" i="109"/>
  <c r="AO41" i="109"/>
  <c r="AO55" i="109"/>
  <c r="AO84" i="109"/>
  <c r="AO93" i="109"/>
  <c r="AH106" i="109"/>
  <c r="E101" i="109"/>
  <c r="E98" i="109"/>
  <c r="E97" i="109"/>
  <c r="E96" i="109"/>
  <c r="E94" i="109"/>
  <c r="E88" i="109"/>
  <c r="E84" i="109"/>
  <c r="E82" i="109"/>
  <c r="AN79" i="109"/>
  <c r="AN76" i="109"/>
  <c r="AM79" i="109"/>
  <c r="AM76" i="109"/>
  <c r="B64" i="109"/>
  <c r="E45" i="109"/>
  <c r="E59" i="109"/>
  <c r="E43" i="109"/>
  <c r="E57" i="109"/>
  <c r="E41" i="109"/>
  <c r="E55" i="109"/>
  <c r="E39" i="109"/>
  <c r="AD34" i="109"/>
  <c r="AM15" i="109"/>
  <c r="AM12" i="109"/>
  <c r="A21" i="89"/>
  <c r="U1" i="109" s="1"/>
  <c r="AJ133" i="109"/>
  <c r="AJ131" i="109"/>
  <c r="AJ129" i="109"/>
  <c r="AJ126" i="109"/>
  <c r="AJ124" i="109"/>
  <c r="AJ122" i="109"/>
  <c r="AJ120" i="109"/>
  <c r="AJ117" i="109"/>
  <c r="AJ115" i="109"/>
  <c r="AJ113" i="109"/>
  <c r="AJ112" i="109"/>
  <c r="AY118" i="109"/>
  <c r="AX118" i="109"/>
  <c r="AW118" i="109"/>
  <c r="AV118" i="109"/>
  <c r="AU118" i="109"/>
  <c r="AT118" i="109"/>
  <c r="AS118" i="109"/>
  <c r="AR118" i="109"/>
  <c r="AP110" i="109"/>
  <c r="AO110" i="109"/>
  <c r="AN110" i="109"/>
  <c r="AM110" i="109"/>
  <c r="AL110" i="109"/>
  <c r="BB118" i="109" s="1"/>
  <c r="AK110" i="109"/>
  <c r="BA118" i="109" s="1"/>
  <c r="AJ110" i="109"/>
  <c r="AZ118" i="109" s="1"/>
  <c r="AJ86" i="109"/>
  <c r="AD52" i="109"/>
  <c r="AD35" i="109"/>
  <c r="AC3" i="109"/>
  <c r="AU121" i="2"/>
  <c r="H111" i="2"/>
  <c r="BD110" i="109" l="1"/>
  <c r="BC118" i="109"/>
  <c r="AD81" i="109"/>
  <c r="AD82" i="109" s="1"/>
  <c r="AD84" i="109"/>
  <c r="AD55" i="109"/>
  <c r="AD57" i="109"/>
  <c r="R8" i="2" l="1"/>
  <c r="AY51" i="2" l="1"/>
  <c r="AD37" i="2"/>
  <c r="AQ44" i="2"/>
  <c r="AM44" i="2"/>
  <c r="AI44" i="2"/>
  <c r="AE44" i="2"/>
  <c r="Z44" i="2"/>
  <c r="V44" i="2"/>
  <c r="Q44" i="2"/>
  <c r="M44" i="2"/>
  <c r="AN41" i="2"/>
  <c r="AN39" i="2"/>
  <c r="AF41" i="2"/>
  <c r="AF39" i="2"/>
  <c r="X41" i="2"/>
  <c r="X39" i="2"/>
  <c r="O41" i="2"/>
  <c r="O39" i="2"/>
  <c r="AL35" i="2"/>
  <c r="AL34" i="2"/>
  <c r="AL37" i="2"/>
  <c r="U37" i="2"/>
  <c r="AD34" i="2"/>
  <c r="AD35" i="2"/>
  <c r="U35" i="2"/>
  <c r="U34" i="2"/>
  <c r="L37" i="2"/>
  <c r="L35" i="2"/>
  <c r="L34" i="2"/>
  <c r="Y12" i="95"/>
  <c r="Q71" i="2"/>
  <c r="Q62" i="2"/>
  <c r="Q61" i="2"/>
  <c r="G49" i="2"/>
  <c r="AU31" i="2"/>
  <c r="AQ241" i="108"/>
  <c r="AE167" i="108" l="1"/>
  <c r="AM168" i="108" l="1"/>
  <c r="AM169" i="108" l="1"/>
  <c r="AQ32" i="108" l="1"/>
  <c r="AQ58" i="108"/>
  <c r="U58" i="108" s="1"/>
  <c r="AQ67" i="108"/>
  <c r="AQ48" i="108"/>
  <c r="B48" i="108" s="1"/>
  <c r="AQ38" i="108"/>
  <c r="AQ108" i="108" s="1"/>
  <c r="AQ24" i="108"/>
  <c r="AQ188" i="108"/>
  <c r="AQ186" i="108"/>
  <c r="AQ187" i="108"/>
  <c r="AQ189" i="108"/>
  <c r="AQ185" i="108"/>
  <c r="AQ184" i="108"/>
  <c r="AC42" i="108"/>
  <c r="AE171" i="108"/>
  <c r="AQ34" i="108"/>
  <c r="AQ30" i="108"/>
  <c r="AQ21" i="108"/>
  <c r="AE135" i="108" s="1"/>
  <c r="AQ137" i="108"/>
  <c r="D20" i="108"/>
  <c r="AQ7" i="108"/>
  <c r="AQ9" i="108"/>
  <c r="AQ15" i="108"/>
  <c r="AQ17" i="108"/>
  <c r="AQ107" i="108"/>
  <c r="AQ243" i="108"/>
  <c r="AE80" i="108" l="1"/>
  <c r="AQ80" i="108" s="1"/>
  <c r="AE85" i="108" s="1"/>
  <c r="AQ101" i="108" s="1"/>
  <c r="AE189" i="108"/>
  <c r="AE205" i="108"/>
  <c r="U57" i="108"/>
  <c r="AQ190" i="108"/>
  <c r="AO186" i="108" s="1"/>
  <c r="AQ244" i="108"/>
  <c r="AE48" i="108"/>
  <c r="I38" i="108"/>
  <c r="AC40" i="108"/>
  <c r="AQ245" i="108" l="1"/>
  <c r="AQ109" i="108"/>
  <c r="AQ110" i="108" s="1"/>
  <c r="D85" i="108"/>
  <c r="M254" i="108"/>
  <c r="D252" i="108"/>
  <c r="D115" i="108"/>
  <c r="BF4" i="2"/>
  <c r="E127" i="108" s="1"/>
  <c r="BF3" i="2"/>
  <c r="D205" i="108" s="1"/>
  <c r="D143" i="108"/>
  <c r="D141" i="108"/>
  <c r="D129" i="108" l="1"/>
  <c r="D176" i="108"/>
  <c r="D178" i="108"/>
  <c r="G108" i="108"/>
  <c r="D135" i="108"/>
  <c r="F180" i="108"/>
  <c r="F181" i="108"/>
  <c r="D204" i="108"/>
  <c r="R229" i="108"/>
  <c r="AO77" i="108"/>
  <c r="B19" i="108"/>
  <c r="B58" i="108"/>
  <c r="B4" i="108"/>
  <c r="B53" i="108"/>
  <c r="C2" i="108"/>
  <c r="B23" i="108"/>
  <c r="B26" i="108"/>
  <c r="AA172" i="108"/>
  <c r="B44" i="108"/>
  <c r="B36" i="108"/>
  <c r="G245" i="108"/>
  <c r="AL77" i="108"/>
  <c r="C206" i="108"/>
  <c r="D238" i="108"/>
  <c r="H114" i="108"/>
  <c r="D122" i="108"/>
  <c r="L135" i="108"/>
  <c r="D228" i="108"/>
  <c r="D116" i="108"/>
  <c r="D137" i="108"/>
  <c r="D184" i="108"/>
  <c r="D150" i="108"/>
  <c r="D253" i="108"/>
  <c r="G158" i="108"/>
  <c r="D185" i="108"/>
  <c r="D187" i="108"/>
  <c r="H251" i="108"/>
  <c r="D188" i="108"/>
  <c r="H163" i="108"/>
  <c r="F194" i="108"/>
  <c r="D255" i="108"/>
  <c r="D80" i="108"/>
  <c r="D165" i="108"/>
  <c r="F195" i="108"/>
  <c r="D256" i="108"/>
  <c r="D186" i="108"/>
  <c r="F196" i="108"/>
  <c r="F182" i="108"/>
  <c r="D159" i="108"/>
  <c r="C207" i="108"/>
  <c r="D161" i="108"/>
  <c r="D166" i="108"/>
  <c r="D89" i="108"/>
  <c r="D168" i="108"/>
  <c r="F197" i="108"/>
  <c r="D93" i="108"/>
  <c r="D226" i="108"/>
  <c r="D87" i="108"/>
  <c r="D90" i="108"/>
  <c r="D170" i="108"/>
  <c r="D200" i="108"/>
  <c r="D94" i="108"/>
  <c r="D201" i="108"/>
  <c r="G105" i="108"/>
  <c r="D171" i="108"/>
  <c r="D203" i="108"/>
  <c r="AM88" i="108"/>
  <c r="AQ98" i="108"/>
  <c r="AQ96" i="108"/>
  <c r="AQ97" i="108" s="1"/>
  <c r="A54" i="89"/>
  <c r="X2" i="108" s="1"/>
  <c r="F54" i="89"/>
  <c r="D224" i="108"/>
  <c r="D220" i="108"/>
  <c r="AE221" i="108"/>
  <c r="D215" i="108"/>
  <c r="D227" i="108"/>
  <c r="D177" i="108"/>
  <c r="AQ83" i="108"/>
  <c r="AK79" i="108"/>
  <c r="AK80" i="108"/>
  <c r="AK81" i="108"/>
  <c r="AK82" i="108"/>
  <c r="AK78" i="108"/>
  <c r="AE172" i="108"/>
  <c r="AE168" i="108"/>
  <c r="F183" i="108"/>
  <c r="F198" i="108"/>
  <c r="D98" i="108"/>
  <c r="AE86" i="108"/>
  <c r="Q78" i="108" s="1"/>
  <c r="D91" i="108"/>
  <c r="AQ84" i="108"/>
  <c r="AQ82" i="108"/>
  <c r="AJ232" i="108"/>
  <c r="B209" i="108"/>
  <c r="AJ208" i="108"/>
  <c r="B155" i="108"/>
  <c r="AJ152" i="108"/>
  <c r="B126" i="108"/>
  <c r="AL75" i="108"/>
  <c r="AC72" i="108"/>
  <c r="G70" i="108" l="1"/>
  <c r="AO86" i="108"/>
  <c r="AQ85" i="108"/>
  <c r="R87" i="108" s="1"/>
  <c r="AK83" i="108"/>
  <c r="AL83" i="108" s="1"/>
  <c r="AY141" i="2"/>
  <c r="AY132" i="2"/>
  <c r="AY125" i="2"/>
  <c r="AC87" i="108" l="1"/>
  <c r="AY101" i="2" l="1"/>
  <c r="AY100" i="2"/>
  <c r="AY99" i="2"/>
  <c r="AY102" i="2" l="1"/>
  <c r="T14" i="3" l="1"/>
  <c r="AL26" i="82"/>
  <c r="X101" i="3" l="1"/>
  <c r="AA97" i="3"/>
  <c r="R16" i="33"/>
  <c r="P36" i="33" s="1"/>
  <c r="AE144" i="37" l="1"/>
  <c r="AE143" i="37"/>
  <c r="AE135" i="37"/>
  <c r="AE134" i="37"/>
  <c r="AD124" i="37"/>
  <c r="AE127" i="37"/>
  <c r="AE126" i="37"/>
  <c r="AH125" i="37"/>
  <c r="AE120" i="37"/>
  <c r="AE119" i="37"/>
  <c r="V172" i="98"/>
  <c r="V171" i="98"/>
  <c r="V165" i="98"/>
  <c r="V164" i="98"/>
  <c r="X106" i="98"/>
  <c r="X105" i="98"/>
  <c r="X98" i="98"/>
  <c r="X97" i="98"/>
  <c r="V87" i="98"/>
  <c r="V86" i="98"/>
  <c r="V81" i="98"/>
  <c r="V80" i="98"/>
  <c r="V67" i="98"/>
  <c r="V66" i="98"/>
  <c r="V60" i="98"/>
  <c r="V59" i="98"/>
  <c r="BJ100" i="2"/>
  <c r="BJ99" i="2"/>
  <c r="AE125" i="37" l="1"/>
  <c r="AG125" i="37"/>
  <c r="AF125" i="37"/>
  <c r="AD127" i="37" s="1"/>
  <c r="AC19" i="36" l="1"/>
  <c r="AA19" i="36"/>
  <c r="K31" i="36"/>
  <c r="K9" i="36"/>
  <c r="J9" i="36"/>
  <c r="K42" i="36"/>
  <c r="J42" i="36"/>
  <c r="B10" i="78" l="1"/>
  <c r="C59" i="105" l="1"/>
  <c r="H112" i="70"/>
  <c r="H111" i="70"/>
  <c r="H110" i="70"/>
  <c r="H109" i="70"/>
  <c r="H108" i="70"/>
  <c r="H107" i="70"/>
  <c r="H106" i="70"/>
  <c r="H105" i="70"/>
  <c r="H104" i="70"/>
  <c r="H103" i="70"/>
  <c r="H102" i="70"/>
  <c r="H101" i="70"/>
  <c r="H100" i="70"/>
  <c r="H99" i="70"/>
  <c r="H98" i="70"/>
  <c r="H96" i="70"/>
  <c r="H95" i="70"/>
  <c r="H94" i="70"/>
  <c r="H93" i="70"/>
  <c r="I83" i="69"/>
  <c r="I82" i="69"/>
  <c r="I81" i="69"/>
  <c r="I80" i="69"/>
  <c r="I79" i="69"/>
  <c r="I78" i="69"/>
  <c r="I77" i="69"/>
  <c r="I76" i="69"/>
  <c r="I75" i="69"/>
  <c r="I74" i="69"/>
  <c r="I73" i="69"/>
  <c r="I72" i="69"/>
  <c r="I71" i="69"/>
  <c r="I70" i="69"/>
  <c r="I69" i="69"/>
  <c r="I67" i="69"/>
  <c r="I66" i="69"/>
  <c r="I65" i="69"/>
  <c r="AQ50" i="78"/>
  <c r="AQ49" i="78"/>
  <c r="Q172" i="68"/>
  <c r="K18" i="115" l="1"/>
  <c r="AA21" i="36"/>
  <c r="AA20" i="36"/>
  <c r="H40" i="14" l="1"/>
  <c r="D47" i="14" l="1"/>
  <c r="K49" i="14"/>
  <c r="K47" i="14"/>
  <c r="K46" i="14"/>
  <c r="K45" i="14"/>
  <c r="K44" i="14"/>
  <c r="K43" i="14"/>
  <c r="K42" i="14"/>
  <c r="K41" i="14"/>
  <c r="T89" i="91"/>
  <c r="K78" i="37"/>
  <c r="A275" i="60"/>
  <c r="B2" i="51"/>
  <c r="AC50" i="78"/>
  <c r="AO59" i="78"/>
  <c r="AO58" i="78"/>
  <c r="K50" i="71" l="1"/>
  <c r="K110" i="71"/>
  <c r="C90" i="71"/>
  <c r="AL335" i="74" l="1"/>
  <c r="AL214" i="74"/>
  <c r="AL93" i="74"/>
  <c r="J72" i="67" l="1"/>
  <c r="J61" i="67"/>
  <c r="J59" i="67"/>
  <c r="J57" i="67"/>
  <c r="AQ53" i="78"/>
  <c r="AQ51" i="78"/>
  <c r="AL332" i="74"/>
  <c r="G111" i="59"/>
  <c r="V85" i="59"/>
  <c r="V78" i="59"/>
  <c r="W87" i="33" l="1"/>
  <c r="W81" i="33"/>
  <c r="O112" i="37"/>
  <c r="O111" i="37"/>
  <c r="O110" i="37"/>
  <c r="O109" i="37"/>
  <c r="O93" i="37"/>
  <c r="O92" i="37"/>
  <c r="O91" i="37"/>
  <c r="AO141" i="105" l="1"/>
  <c r="AO138" i="105"/>
  <c r="AR79" i="58"/>
  <c r="AH12" i="99"/>
  <c r="AE12" i="99"/>
  <c r="AB12" i="99"/>
  <c r="AO143" i="105" l="1"/>
  <c r="AL214" i="105" s="1"/>
  <c r="N340" i="60"/>
  <c r="N339" i="60"/>
  <c r="N337" i="60"/>
  <c r="N336" i="60"/>
  <c r="L1343" i="107"/>
  <c r="L1342" i="107"/>
  <c r="L1341" i="107"/>
  <c r="L1340" i="107"/>
  <c r="L1339" i="107"/>
  <c r="L1338" i="107"/>
  <c r="L1337" i="107"/>
  <c r="L1336" i="107"/>
  <c r="L1335" i="107"/>
  <c r="L1334" i="107"/>
  <c r="L1333" i="107"/>
  <c r="L1332" i="107"/>
  <c r="L1331" i="107"/>
  <c r="L1330" i="107"/>
  <c r="L1329" i="107"/>
  <c r="L1328" i="107"/>
  <c r="L1327" i="107"/>
  <c r="L1326" i="107"/>
  <c r="L1325" i="107"/>
  <c r="L1324" i="107"/>
  <c r="L1323" i="107"/>
  <c r="L1322" i="107"/>
  <c r="L1321" i="107"/>
  <c r="L1320" i="107"/>
  <c r="L1319" i="107"/>
  <c r="L1318" i="107"/>
  <c r="L1317" i="107"/>
  <c r="L1316" i="107"/>
  <c r="L1315" i="107"/>
  <c r="L1314" i="107"/>
  <c r="L1313" i="107"/>
  <c r="L1312" i="107"/>
  <c r="L1311" i="107"/>
  <c r="L1310" i="107"/>
  <c r="L1309" i="107"/>
  <c r="L1308" i="107"/>
  <c r="L1307" i="107"/>
  <c r="L1306" i="107"/>
  <c r="L1305" i="107"/>
  <c r="L1304" i="107"/>
  <c r="L1303" i="107"/>
  <c r="L1302" i="107"/>
  <c r="L1301" i="107"/>
  <c r="L1300" i="107"/>
  <c r="L1299" i="107"/>
  <c r="L1297" i="107"/>
  <c r="L1296" i="107"/>
  <c r="L1295" i="107"/>
  <c r="L1294" i="107"/>
  <c r="L1293" i="107"/>
  <c r="L1292" i="107"/>
  <c r="L1291" i="107"/>
  <c r="L1290" i="107"/>
  <c r="L1289" i="107"/>
  <c r="L1288" i="107"/>
  <c r="L1287" i="107"/>
  <c r="L1286" i="107"/>
  <c r="L1285" i="107"/>
  <c r="L1284" i="107"/>
  <c r="L1283" i="107"/>
  <c r="L1282" i="107"/>
  <c r="L1281" i="107"/>
  <c r="L1280" i="107"/>
  <c r="L1279" i="107"/>
  <c r="L1278" i="107"/>
  <c r="L1277" i="107"/>
  <c r="L1276" i="107"/>
  <c r="L1275" i="107"/>
  <c r="L1274" i="107"/>
  <c r="L1273" i="107"/>
  <c r="L1272" i="107"/>
  <c r="L1271" i="107"/>
  <c r="L1270" i="107"/>
  <c r="L1269" i="107"/>
  <c r="L1268" i="107"/>
  <c r="L1267" i="107"/>
  <c r="L1266" i="107"/>
  <c r="L1265" i="107"/>
  <c r="L1264" i="107"/>
  <c r="L1263" i="107"/>
  <c r="L1262" i="107"/>
  <c r="L1261" i="107"/>
  <c r="L1260" i="107"/>
  <c r="L1259" i="107"/>
  <c r="L1258" i="107"/>
  <c r="L1257" i="107"/>
  <c r="L1256" i="107"/>
  <c r="L1255" i="107"/>
  <c r="L1254" i="107"/>
  <c r="L1253" i="107"/>
  <c r="L1252" i="107"/>
  <c r="L1251" i="107"/>
  <c r="L1250" i="107"/>
  <c r="L1249" i="107"/>
  <c r="L1248" i="107"/>
  <c r="L1247" i="107"/>
  <c r="L1246" i="107"/>
  <c r="L1245" i="107"/>
  <c r="L1244" i="107"/>
  <c r="L1243" i="107"/>
  <c r="L1242" i="107"/>
  <c r="L1241" i="107"/>
  <c r="L1239" i="107"/>
  <c r="L1238" i="107"/>
  <c r="L1237" i="107"/>
  <c r="L1236" i="107"/>
  <c r="L1235" i="107"/>
  <c r="L1234" i="107"/>
  <c r="L1233" i="107"/>
  <c r="L1232" i="107"/>
  <c r="L1231" i="107"/>
  <c r="L1230" i="107"/>
  <c r="L1229" i="107"/>
  <c r="L1228" i="107"/>
  <c r="L1227" i="107"/>
  <c r="L1226" i="107"/>
  <c r="L1225" i="107"/>
  <c r="L1224" i="107"/>
  <c r="L1223" i="107"/>
  <c r="L1222" i="107"/>
  <c r="L1221" i="107"/>
  <c r="L1220" i="107"/>
  <c r="L1219" i="107"/>
  <c r="L1218" i="107"/>
  <c r="L1217" i="107"/>
  <c r="L1216" i="107"/>
  <c r="L1215" i="107"/>
  <c r="L1214" i="107"/>
  <c r="L1213" i="107"/>
  <c r="L1212" i="107"/>
  <c r="L1211" i="107"/>
  <c r="L1210" i="107"/>
  <c r="L1209" i="107"/>
  <c r="L1208" i="107"/>
  <c r="L1207" i="107"/>
  <c r="L1206" i="107"/>
  <c r="L1205" i="107"/>
  <c r="L1204" i="107"/>
  <c r="L1203" i="107"/>
  <c r="L1202" i="107"/>
  <c r="L1201" i="107"/>
  <c r="L1200" i="107"/>
  <c r="L1199" i="107"/>
  <c r="L1198" i="107"/>
  <c r="L1197" i="107"/>
  <c r="L1196" i="107"/>
  <c r="L1195" i="107"/>
  <c r="L1194" i="107"/>
  <c r="L1193" i="107"/>
  <c r="L1192" i="107"/>
  <c r="L1191" i="107"/>
  <c r="L1190" i="107"/>
  <c r="L1189" i="107"/>
  <c r="L1188" i="107"/>
  <c r="L1187" i="107"/>
  <c r="L1186" i="107"/>
  <c r="L1185" i="107"/>
  <c r="L1184" i="107"/>
  <c r="L1183" i="107"/>
  <c r="L1182" i="107"/>
  <c r="L1181" i="107"/>
  <c r="L1180" i="107"/>
  <c r="L1179" i="107"/>
  <c r="L1178" i="107"/>
  <c r="L1177" i="107"/>
  <c r="L1176" i="107"/>
  <c r="L1175" i="107"/>
  <c r="L1174" i="107"/>
  <c r="L1173" i="107"/>
  <c r="L1172" i="107"/>
  <c r="L1171" i="107"/>
  <c r="L1170" i="107"/>
  <c r="L1169" i="107"/>
  <c r="L1168" i="107"/>
  <c r="L1167" i="107"/>
  <c r="L1166" i="107"/>
  <c r="L1165" i="107"/>
  <c r="L1164" i="107"/>
  <c r="L1163" i="107"/>
  <c r="L1162" i="107"/>
  <c r="L1161" i="107"/>
  <c r="L1160" i="107"/>
  <c r="L1157" i="107"/>
  <c r="L1156" i="107"/>
  <c r="L1155" i="107"/>
  <c r="L1154" i="107"/>
  <c r="L1152" i="107"/>
  <c r="L1151" i="107"/>
  <c r="L1150" i="107"/>
  <c r="L1149" i="107"/>
  <c r="L1148" i="107"/>
  <c r="L1147" i="107"/>
  <c r="L1146" i="107"/>
  <c r="L1145" i="107"/>
  <c r="L1144" i="107"/>
  <c r="L1143" i="107"/>
  <c r="L1142" i="107"/>
  <c r="L1141" i="107"/>
  <c r="L1140" i="107"/>
  <c r="L1139" i="107"/>
  <c r="L1138" i="107"/>
  <c r="L1137" i="107"/>
  <c r="L1136" i="107"/>
  <c r="L1135" i="107"/>
  <c r="L1134" i="107"/>
  <c r="L1133" i="107"/>
  <c r="L1132" i="107"/>
  <c r="L1131" i="107"/>
  <c r="L1130" i="107"/>
  <c r="L1129" i="107"/>
  <c r="L1128" i="107"/>
  <c r="L1127" i="107"/>
  <c r="L1126" i="107"/>
  <c r="L1125" i="107"/>
  <c r="L1124" i="107"/>
  <c r="L1123" i="107"/>
  <c r="L1122" i="107"/>
  <c r="L1121" i="107"/>
  <c r="L1120" i="107"/>
  <c r="L1119" i="107"/>
  <c r="L1118" i="107"/>
  <c r="L1117" i="107"/>
  <c r="L1116" i="107"/>
  <c r="L1115" i="107"/>
  <c r="L1114" i="107"/>
  <c r="L1113" i="107"/>
  <c r="L1112" i="107"/>
  <c r="L1111" i="107"/>
  <c r="L1110" i="107"/>
  <c r="L1109" i="107"/>
  <c r="L1108" i="107"/>
  <c r="L1107" i="107"/>
  <c r="L1106" i="107"/>
  <c r="L1105" i="107"/>
  <c r="L1104" i="107"/>
  <c r="L1103" i="107"/>
  <c r="L1102" i="107"/>
  <c r="L1101" i="107"/>
  <c r="L1100" i="107"/>
  <c r="L1099" i="107"/>
  <c r="L1098" i="107"/>
  <c r="L1097" i="107"/>
  <c r="L1096" i="107"/>
  <c r="L1095" i="107"/>
  <c r="L1094" i="107"/>
  <c r="L1093" i="107"/>
  <c r="L1092" i="107"/>
  <c r="L1091" i="107"/>
  <c r="L1090" i="107"/>
  <c r="L1089" i="107"/>
  <c r="L1088" i="107"/>
  <c r="L1087" i="107"/>
  <c r="L1086" i="107"/>
  <c r="L1085" i="107"/>
  <c r="L1084" i="107"/>
  <c r="L1083" i="107"/>
  <c r="L1082" i="107"/>
  <c r="L1081" i="107"/>
  <c r="L1080" i="107"/>
  <c r="L1079" i="107"/>
  <c r="L1078" i="107"/>
  <c r="L1077" i="107"/>
  <c r="L1076" i="107"/>
  <c r="L1075" i="107"/>
  <c r="L1074" i="107"/>
  <c r="L1073" i="107"/>
  <c r="L1072" i="107"/>
  <c r="L1071" i="107"/>
  <c r="L1070" i="107"/>
  <c r="L1069" i="107"/>
  <c r="L1068" i="107"/>
  <c r="L1067" i="107"/>
  <c r="L1066" i="107"/>
  <c r="L1065" i="107"/>
  <c r="L1064" i="107"/>
  <c r="L1063" i="107"/>
  <c r="L1062" i="107"/>
  <c r="L1061" i="107"/>
  <c r="L1060" i="107"/>
  <c r="L1059" i="107"/>
  <c r="L1058" i="107"/>
  <c r="L1057" i="107"/>
  <c r="L1056" i="107"/>
  <c r="L1055" i="107"/>
  <c r="L1054" i="107"/>
  <c r="L1053" i="107"/>
  <c r="L1052" i="107"/>
  <c r="L1051" i="107"/>
  <c r="L1050" i="107"/>
  <c r="L1049" i="107"/>
  <c r="L1048" i="107"/>
  <c r="L1047" i="107"/>
  <c r="L1046" i="107"/>
  <c r="L1045" i="107"/>
  <c r="L1044" i="107"/>
  <c r="L1043" i="107"/>
  <c r="L1042" i="107"/>
  <c r="L1041" i="107"/>
  <c r="L1040" i="107"/>
  <c r="L1039" i="107"/>
  <c r="L1038" i="107"/>
  <c r="L1037" i="107"/>
  <c r="L1036" i="107"/>
  <c r="L1035" i="107"/>
  <c r="L1034" i="107"/>
  <c r="L1033" i="107"/>
  <c r="L1032" i="107"/>
  <c r="L1031" i="107"/>
  <c r="L1030" i="107"/>
  <c r="L1029" i="107"/>
  <c r="L1028" i="107"/>
  <c r="L1027" i="107"/>
  <c r="L1026" i="107"/>
  <c r="L1025" i="107"/>
  <c r="L1024" i="107"/>
  <c r="L1023" i="107"/>
  <c r="L1022" i="107"/>
  <c r="L1021" i="107"/>
  <c r="L1020" i="107"/>
  <c r="L1019" i="107"/>
  <c r="L1018" i="107"/>
  <c r="L1017" i="107"/>
  <c r="L1015" i="107"/>
  <c r="L1013" i="107"/>
  <c r="L1012" i="107"/>
  <c r="L1011" i="107"/>
  <c r="L1010" i="107"/>
  <c r="L1009" i="107"/>
  <c r="L1008" i="107"/>
  <c r="L1007" i="107"/>
  <c r="L1006" i="107"/>
  <c r="L1005" i="107"/>
  <c r="L1004" i="107"/>
  <c r="L1003" i="107"/>
  <c r="L1002" i="107"/>
  <c r="L1001" i="107"/>
  <c r="L1000" i="107"/>
  <c r="L999" i="107"/>
  <c r="L998" i="107"/>
  <c r="L997" i="107"/>
  <c r="L996" i="107"/>
  <c r="L995" i="107"/>
  <c r="L994" i="107"/>
  <c r="L993" i="107"/>
  <c r="L992" i="107"/>
  <c r="L991" i="107"/>
  <c r="L990" i="107"/>
  <c r="L989" i="107"/>
  <c r="L988" i="107"/>
  <c r="L987" i="107"/>
  <c r="L986" i="107"/>
  <c r="L985" i="107"/>
  <c r="L984" i="107"/>
  <c r="L983" i="107"/>
  <c r="L982" i="107"/>
  <c r="L981" i="107"/>
  <c r="L980" i="107"/>
  <c r="L979" i="107"/>
  <c r="L978" i="107"/>
  <c r="L977" i="107"/>
  <c r="L976" i="107"/>
  <c r="L975" i="107"/>
  <c r="L974" i="107"/>
  <c r="L973" i="107"/>
  <c r="L972" i="107"/>
  <c r="L971" i="107"/>
  <c r="L970" i="107"/>
  <c r="L969" i="107"/>
  <c r="L968" i="107"/>
  <c r="L967" i="107"/>
  <c r="L966" i="107"/>
  <c r="L965" i="107"/>
  <c r="L964" i="107"/>
  <c r="L963" i="107"/>
  <c r="L962" i="107"/>
  <c r="L961" i="107"/>
  <c r="L960" i="107"/>
  <c r="L959" i="107"/>
  <c r="L958" i="107"/>
  <c r="L957" i="107"/>
  <c r="L956" i="107"/>
  <c r="L955" i="107"/>
  <c r="L954" i="107"/>
  <c r="L953" i="107"/>
  <c r="L952" i="107"/>
  <c r="L951" i="107"/>
  <c r="L950" i="107"/>
  <c r="L949" i="107"/>
  <c r="L948" i="107"/>
  <c r="L947" i="107"/>
  <c r="L946" i="107"/>
  <c r="L945" i="107"/>
  <c r="L944" i="107"/>
  <c r="L943" i="107"/>
  <c r="L942" i="107"/>
  <c r="L941" i="107"/>
  <c r="L940" i="107"/>
  <c r="L939" i="107"/>
  <c r="L938" i="107"/>
  <c r="L937" i="107"/>
  <c r="L936" i="107"/>
  <c r="L935" i="107"/>
  <c r="L934" i="107"/>
  <c r="L933" i="107"/>
  <c r="L932" i="107"/>
  <c r="L931" i="107"/>
  <c r="L930" i="107"/>
  <c r="L929" i="107"/>
  <c r="L928" i="107"/>
  <c r="L927" i="107"/>
  <c r="L926" i="107"/>
  <c r="L925" i="107"/>
  <c r="L924" i="107"/>
  <c r="L923" i="107"/>
  <c r="L922" i="107"/>
  <c r="L921" i="107"/>
  <c r="L920" i="107"/>
  <c r="L919" i="107"/>
  <c r="L918" i="107"/>
  <c r="L917" i="107"/>
  <c r="L916" i="107"/>
  <c r="L915" i="107"/>
  <c r="L914" i="107"/>
  <c r="L913" i="107"/>
  <c r="L912" i="107"/>
  <c r="L911" i="107"/>
  <c r="L910" i="107"/>
  <c r="L909" i="107"/>
  <c r="L908" i="107"/>
  <c r="L907" i="107"/>
  <c r="L906" i="107"/>
  <c r="L905" i="107"/>
  <c r="L904" i="107"/>
  <c r="L903" i="107"/>
  <c r="L902" i="107"/>
  <c r="L901" i="107"/>
  <c r="L900" i="107"/>
  <c r="L899" i="107"/>
  <c r="L898" i="107"/>
  <c r="L897" i="107"/>
  <c r="L896" i="107"/>
  <c r="L895" i="107"/>
  <c r="L894" i="107"/>
  <c r="L893" i="107"/>
  <c r="L892" i="107"/>
  <c r="L891" i="107"/>
  <c r="L890" i="107"/>
  <c r="L889" i="107"/>
  <c r="L888" i="107"/>
  <c r="L887" i="107"/>
  <c r="L886" i="107"/>
  <c r="L885" i="107"/>
  <c r="L884" i="107"/>
  <c r="L883" i="107"/>
  <c r="L882" i="107"/>
  <c r="L881" i="107"/>
  <c r="L880" i="107"/>
  <c r="L879" i="107"/>
  <c r="L878" i="107"/>
  <c r="L877" i="107"/>
  <c r="L876" i="107"/>
  <c r="L875" i="107"/>
  <c r="L874" i="107"/>
  <c r="L873" i="107"/>
  <c r="L872" i="107"/>
  <c r="L871" i="107"/>
  <c r="L870" i="107"/>
  <c r="L869" i="107"/>
  <c r="L868" i="107"/>
  <c r="L867" i="107"/>
  <c r="L866" i="107"/>
  <c r="L865" i="107"/>
  <c r="L864" i="107"/>
  <c r="L863" i="107"/>
  <c r="L862" i="107"/>
  <c r="L861" i="107"/>
  <c r="L860" i="107"/>
  <c r="L859" i="107"/>
  <c r="L858" i="107"/>
  <c r="L857" i="107"/>
  <c r="L856" i="107"/>
  <c r="L855" i="107"/>
  <c r="L854" i="107"/>
  <c r="L853" i="107"/>
  <c r="L852" i="107"/>
  <c r="L851" i="107"/>
  <c r="L850" i="107"/>
  <c r="L849" i="107"/>
  <c r="L848" i="107"/>
  <c r="L847" i="107"/>
  <c r="L846" i="107"/>
  <c r="L845" i="107"/>
  <c r="L844" i="107"/>
  <c r="L843" i="107"/>
  <c r="L842" i="107"/>
  <c r="L841" i="107"/>
  <c r="L840" i="107"/>
  <c r="L839" i="107"/>
  <c r="L838" i="107"/>
  <c r="L837" i="107"/>
  <c r="L836" i="107"/>
  <c r="L835" i="107"/>
  <c r="L834" i="107"/>
  <c r="L833" i="107"/>
  <c r="L832" i="107"/>
  <c r="L831" i="107"/>
  <c r="L830" i="107"/>
  <c r="L829" i="107"/>
  <c r="L828" i="107"/>
  <c r="L827" i="107"/>
  <c r="L826" i="107"/>
  <c r="L825" i="107"/>
  <c r="L824" i="107"/>
  <c r="L823" i="107"/>
  <c r="L822" i="107"/>
  <c r="L821" i="107"/>
  <c r="L820" i="107"/>
  <c r="L819" i="107"/>
  <c r="L818" i="107"/>
  <c r="L817" i="107"/>
  <c r="L816" i="107"/>
  <c r="L815" i="107"/>
  <c r="L814" i="107"/>
  <c r="L813" i="107"/>
  <c r="L812" i="107"/>
  <c r="L811" i="107"/>
  <c r="L810" i="107"/>
  <c r="L809" i="107"/>
  <c r="L808" i="107"/>
  <c r="L807" i="107"/>
  <c r="L806" i="107"/>
  <c r="L805" i="107"/>
  <c r="L804" i="107"/>
  <c r="L803" i="107"/>
  <c r="L802" i="107"/>
  <c r="L801" i="107"/>
  <c r="L800" i="107"/>
  <c r="L799" i="107"/>
  <c r="L798" i="107"/>
  <c r="L797" i="107"/>
  <c r="L796" i="107"/>
  <c r="L795" i="107"/>
  <c r="L794" i="107"/>
  <c r="L793" i="107"/>
  <c r="L792" i="107"/>
  <c r="L791" i="107"/>
  <c r="L790" i="107"/>
  <c r="L789" i="107"/>
  <c r="L788" i="107"/>
  <c r="L787" i="107"/>
  <c r="L786" i="107"/>
  <c r="L785" i="107"/>
  <c r="L784" i="107"/>
  <c r="L783" i="107"/>
  <c r="L782" i="107"/>
  <c r="L781" i="107"/>
  <c r="L780" i="107"/>
  <c r="L779" i="107"/>
  <c r="L778" i="107"/>
  <c r="L777" i="107"/>
  <c r="L776" i="107"/>
  <c r="L775" i="107"/>
  <c r="L774" i="107"/>
  <c r="L773" i="107"/>
  <c r="L772" i="107"/>
  <c r="L771" i="107"/>
  <c r="L770" i="107"/>
  <c r="L769" i="107"/>
  <c r="L768" i="107"/>
  <c r="L767" i="107"/>
  <c r="L766" i="107"/>
  <c r="L765" i="107"/>
  <c r="L764" i="107"/>
  <c r="L763" i="107"/>
  <c r="L762" i="107"/>
  <c r="L761" i="107"/>
  <c r="L760" i="107"/>
  <c r="L759" i="107"/>
  <c r="L758" i="107"/>
  <c r="L757" i="107"/>
  <c r="L756" i="107"/>
  <c r="L755" i="107"/>
  <c r="L754" i="107"/>
  <c r="L753" i="107"/>
  <c r="L752" i="107"/>
  <c r="L751" i="107"/>
  <c r="L750" i="107"/>
  <c r="L749" i="107"/>
  <c r="L748" i="107"/>
  <c r="L747" i="107"/>
  <c r="L746" i="107"/>
  <c r="L745" i="107"/>
  <c r="L744" i="107"/>
  <c r="L743" i="107"/>
  <c r="L742" i="107"/>
  <c r="L741" i="107"/>
  <c r="L740" i="107"/>
  <c r="L739" i="107"/>
  <c r="L738" i="107"/>
  <c r="L737" i="107"/>
  <c r="L736" i="107"/>
  <c r="L735" i="107"/>
  <c r="L734" i="107"/>
  <c r="L733" i="107"/>
  <c r="L732" i="107"/>
  <c r="L731" i="107"/>
  <c r="L730" i="107"/>
  <c r="L729" i="107"/>
  <c r="L728" i="107"/>
  <c r="L727" i="107"/>
  <c r="L726" i="107"/>
  <c r="L725" i="107"/>
  <c r="L724" i="107"/>
  <c r="L723" i="107"/>
  <c r="L722" i="107"/>
  <c r="L721" i="107"/>
  <c r="L720" i="107"/>
  <c r="L719" i="107"/>
  <c r="L718" i="107"/>
  <c r="L717" i="107"/>
  <c r="L716" i="107"/>
  <c r="L715" i="107"/>
  <c r="L714" i="107"/>
  <c r="L713" i="107"/>
  <c r="L712" i="107"/>
  <c r="L711" i="107"/>
  <c r="L710" i="107"/>
  <c r="L709" i="107"/>
  <c r="L708" i="107"/>
  <c r="L707" i="107"/>
  <c r="L706" i="107"/>
  <c r="L705" i="107"/>
  <c r="L704" i="107"/>
  <c r="L703" i="107"/>
  <c r="L702" i="107"/>
  <c r="L701" i="107"/>
  <c r="L700" i="107"/>
  <c r="L699" i="107"/>
  <c r="L698" i="107"/>
  <c r="L697" i="107"/>
  <c r="L696" i="107"/>
  <c r="L695" i="107"/>
  <c r="L694" i="107"/>
  <c r="L693" i="107"/>
  <c r="L692" i="107"/>
  <c r="L691" i="107"/>
  <c r="L690" i="107"/>
  <c r="L689" i="107"/>
  <c r="L688" i="107"/>
  <c r="L687" i="107"/>
  <c r="L686" i="107"/>
  <c r="L685" i="107"/>
  <c r="L684" i="107"/>
  <c r="L683" i="107"/>
  <c r="L682" i="107"/>
  <c r="L681" i="107"/>
  <c r="L680" i="107"/>
  <c r="L679" i="107"/>
  <c r="L678" i="107"/>
  <c r="L677" i="107"/>
  <c r="L676" i="107"/>
  <c r="L675" i="107"/>
  <c r="L674" i="107"/>
  <c r="L673" i="107"/>
  <c r="L672" i="107"/>
  <c r="L671" i="107"/>
  <c r="L670" i="107"/>
  <c r="L669" i="107"/>
  <c r="L668" i="107"/>
  <c r="L667" i="107"/>
  <c r="L666" i="107"/>
  <c r="L665" i="107"/>
  <c r="L664" i="107"/>
  <c r="L663" i="107"/>
  <c r="L662" i="107"/>
  <c r="L661" i="107"/>
  <c r="L660" i="107"/>
  <c r="L659" i="107"/>
  <c r="L658" i="107"/>
  <c r="L657" i="107"/>
  <c r="L656" i="107"/>
  <c r="L655" i="107"/>
  <c r="L654" i="107"/>
  <c r="L653" i="107"/>
  <c r="L652" i="107"/>
  <c r="L651" i="107"/>
  <c r="L650" i="107"/>
  <c r="L649" i="107"/>
  <c r="L648" i="107"/>
  <c r="L647" i="107"/>
  <c r="L646" i="107"/>
  <c r="L645" i="107"/>
  <c r="L644" i="107"/>
  <c r="L643" i="107"/>
  <c r="L642" i="107"/>
  <c r="L641" i="107"/>
  <c r="L640" i="107"/>
  <c r="L639" i="107"/>
  <c r="L638" i="107"/>
  <c r="L637" i="107"/>
  <c r="L636" i="107"/>
  <c r="L635" i="107"/>
  <c r="L634" i="107"/>
  <c r="L633" i="107"/>
  <c r="L632" i="107"/>
  <c r="L631" i="107"/>
  <c r="L630" i="107"/>
  <c r="L629" i="107"/>
  <c r="L628" i="107"/>
  <c r="L627" i="107"/>
  <c r="L626" i="107"/>
  <c r="L625" i="107"/>
  <c r="L624" i="107"/>
  <c r="L623" i="107"/>
  <c r="L622" i="107"/>
  <c r="L621" i="107"/>
  <c r="L620" i="107"/>
  <c r="L619" i="107"/>
  <c r="L618" i="107"/>
  <c r="L617" i="107"/>
  <c r="L616" i="107"/>
  <c r="L615" i="107"/>
  <c r="L614" i="107"/>
  <c r="L613" i="107"/>
  <c r="L612" i="107"/>
  <c r="L611" i="107"/>
  <c r="L610" i="107"/>
  <c r="L609" i="107"/>
  <c r="L608" i="107"/>
  <c r="L607" i="107"/>
  <c r="L606" i="107"/>
  <c r="L605" i="107"/>
  <c r="L604" i="107"/>
  <c r="L603" i="107"/>
  <c r="L602" i="107"/>
  <c r="L601" i="107"/>
  <c r="L600" i="107"/>
  <c r="L599" i="107"/>
  <c r="L598" i="107"/>
  <c r="L597" i="107"/>
  <c r="L596" i="107"/>
  <c r="I596" i="107" s="1"/>
  <c r="L595" i="107"/>
  <c r="J595" i="107" s="1"/>
  <c r="L594" i="107"/>
  <c r="L593" i="107"/>
  <c r="I593" i="107" s="1"/>
  <c r="L592" i="107"/>
  <c r="J592" i="107" s="1"/>
  <c r="L591" i="107"/>
  <c r="J591" i="107" s="1"/>
  <c r="L590" i="107"/>
  <c r="J590" i="107" s="1"/>
  <c r="L589" i="107"/>
  <c r="L588" i="107"/>
  <c r="H588" i="107" s="1"/>
  <c r="L587" i="107"/>
  <c r="J587" i="107" s="1"/>
  <c r="L586" i="107"/>
  <c r="L585" i="107"/>
  <c r="H585" i="107" s="1"/>
  <c r="L584" i="107"/>
  <c r="J584" i="107" s="1"/>
  <c r="L583" i="107"/>
  <c r="H583" i="107" s="1"/>
  <c r="L582" i="107"/>
  <c r="J582" i="107" s="1"/>
  <c r="L581" i="107"/>
  <c r="L580" i="107"/>
  <c r="I580" i="107" s="1"/>
  <c r="L579" i="107"/>
  <c r="L578" i="107"/>
  <c r="L577" i="107"/>
  <c r="J577" i="107" s="1"/>
  <c r="L576" i="107"/>
  <c r="I576" i="107" s="1"/>
  <c r="L575" i="107"/>
  <c r="J575" i="107" s="1"/>
  <c r="L574" i="107"/>
  <c r="H574" i="107" s="1"/>
  <c r="L573" i="107"/>
  <c r="H573" i="107" s="1"/>
  <c r="L572" i="107"/>
  <c r="H572" i="107" s="1"/>
  <c r="L571" i="107"/>
  <c r="J571" i="107" s="1"/>
  <c r="L570" i="107"/>
  <c r="L569" i="107"/>
  <c r="I569" i="107" s="1"/>
  <c r="L568" i="107"/>
  <c r="J568" i="107" s="1"/>
  <c r="L567" i="107"/>
  <c r="H567" i="107" s="1"/>
  <c r="L566" i="107"/>
  <c r="L565" i="107"/>
  <c r="I565" i="107" s="1"/>
  <c r="L564" i="107"/>
  <c r="I564" i="107" s="1"/>
  <c r="L563" i="107"/>
  <c r="J563" i="107" s="1"/>
  <c r="L562" i="107"/>
  <c r="L561" i="107"/>
  <c r="J561" i="107" s="1"/>
  <c r="L560" i="107"/>
  <c r="H560" i="107" s="1"/>
  <c r="L559" i="107"/>
  <c r="H559" i="107" s="1"/>
  <c r="L558" i="107"/>
  <c r="J558" i="107" s="1"/>
  <c r="L557" i="107"/>
  <c r="L556" i="107"/>
  <c r="H556" i="107" s="1"/>
  <c r="L555" i="107"/>
  <c r="J555" i="107" s="1"/>
  <c r="L554" i="107"/>
  <c r="L553" i="107"/>
  <c r="I553" i="107" s="1"/>
  <c r="L552" i="107"/>
  <c r="J552" i="107" s="1"/>
  <c r="L551" i="107"/>
  <c r="H551" i="107" s="1"/>
  <c r="L550" i="107"/>
  <c r="J550" i="107" s="1"/>
  <c r="L549" i="107"/>
  <c r="I549" i="107" s="1"/>
  <c r="L548" i="107"/>
  <c r="J548" i="107" s="1"/>
  <c r="L547" i="107"/>
  <c r="L546" i="107"/>
  <c r="H546" i="107" s="1"/>
  <c r="L545" i="107"/>
  <c r="H545" i="107" s="1"/>
  <c r="L544" i="107"/>
  <c r="J544" i="107" s="1"/>
  <c r="L543" i="107"/>
  <c r="J543" i="107" s="1"/>
  <c r="L542" i="107"/>
  <c r="J542" i="107" s="1"/>
  <c r="L541" i="107"/>
  <c r="H541" i="107" s="1"/>
  <c r="L540" i="107"/>
  <c r="H540" i="107" s="1"/>
  <c r="L539" i="107"/>
  <c r="J539" i="107" s="1"/>
  <c r="L538" i="107"/>
  <c r="L537" i="107"/>
  <c r="H537" i="107" s="1"/>
  <c r="L536" i="107"/>
  <c r="J536" i="107" s="1"/>
  <c r="L535" i="107"/>
  <c r="I535" i="107" s="1"/>
  <c r="L534" i="107"/>
  <c r="J534" i="107" s="1"/>
  <c r="L533" i="107"/>
  <c r="I533" i="107" s="1"/>
  <c r="L532" i="107"/>
  <c r="J532" i="107" s="1"/>
  <c r="L531" i="107"/>
  <c r="J531" i="107" s="1"/>
  <c r="L530" i="107"/>
  <c r="J530" i="107" s="1"/>
  <c r="L528" i="107"/>
  <c r="I528" i="107" s="1"/>
  <c r="L527" i="107"/>
  <c r="H527" i="107" s="1"/>
  <c r="L526" i="107"/>
  <c r="J526" i="107" s="1"/>
  <c r="L525" i="107"/>
  <c r="J525" i="107" s="1"/>
  <c r="L524" i="107"/>
  <c r="I524" i="107" s="1"/>
  <c r="L523" i="107"/>
  <c r="H523" i="107" s="1"/>
  <c r="L522" i="107"/>
  <c r="L521" i="107"/>
  <c r="I521" i="107" s="1"/>
  <c r="L520" i="107"/>
  <c r="I520" i="107" s="1"/>
  <c r="L519" i="107"/>
  <c r="I519" i="107" s="1"/>
  <c r="L518" i="107"/>
  <c r="L517" i="107"/>
  <c r="L516" i="107"/>
  <c r="H516" i="107" s="1"/>
  <c r="L515" i="107"/>
  <c r="I515" i="107" s="1"/>
  <c r="L514" i="107"/>
  <c r="J514" i="107" s="1"/>
  <c r="L513" i="107"/>
  <c r="J513" i="107" s="1"/>
  <c r="L512" i="107"/>
  <c r="I512" i="107" s="1"/>
  <c r="L511" i="107"/>
  <c r="J511" i="107" s="1"/>
  <c r="L510" i="107"/>
  <c r="J510" i="107" s="1"/>
  <c r="L509" i="107"/>
  <c r="J509" i="107" s="1"/>
  <c r="L508" i="107"/>
  <c r="J508" i="107" s="1"/>
  <c r="L507" i="107"/>
  <c r="J507" i="107" s="1"/>
  <c r="L506" i="107"/>
  <c r="L505" i="107"/>
  <c r="L504" i="107"/>
  <c r="J504" i="107" s="1"/>
  <c r="L503" i="107"/>
  <c r="J503" i="107" s="1"/>
  <c r="L502" i="107"/>
  <c r="J502" i="107" s="1"/>
  <c r="L501" i="107"/>
  <c r="J501" i="107" s="1"/>
  <c r="L500" i="107"/>
  <c r="I500" i="107" s="1"/>
  <c r="L499" i="107"/>
  <c r="J499" i="107" s="1"/>
  <c r="L498" i="107"/>
  <c r="L497" i="107"/>
  <c r="J497" i="107" s="1"/>
  <c r="L496" i="107"/>
  <c r="I496" i="107" s="1"/>
  <c r="L495" i="107"/>
  <c r="J495" i="107" s="1"/>
  <c r="L494" i="107"/>
  <c r="I494" i="107" s="1"/>
  <c r="L493" i="107"/>
  <c r="J493" i="107" s="1"/>
  <c r="L492" i="107"/>
  <c r="I492" i="107" s="1"/>
  <c r="L491" i="107"/>
  <c r="J491" i="107" s="1"/>
  <c r="L490" i="107"/>
  <c r="I490" i="107" s="1"/>
  <c r="L489" i="107"/>
  <c r="L488" i="107"/>
  <c r="I488" i="107" s="1"/>
  <c r="L487" i="107"/>
  <c r="J487" i="107" s="1"/>
  <c r="L486" i="107"/>
  <c r="I486" i="107" s="1"/>
  <c r="L485" i="107"/>
  <c r="H485" i="107" s="1"/>
  <c r="L484" i="107"/>
  <c r="I484" i="107" s="1"/>
  <c r="L483" i="107"/>
  <c r="J483" i="107" s="1"/>
  <c r="L482" i="107"/>
  <c r="J482" i="107" s="1"/>
  <c r="L481" i="107"/>
  <c r="L480" i="107"/>
  <c r="I480" i="107" s="1"/>
  <c r="L479" i="107"/>
  <c r="L478" i="107"/>
  <c r="H478" i="107" s="1"/>
  <c r="L477" i="107"/>
  <c r="L476" i="107"/>
  <c r="L475" i="107"/>
  <c r="H475" i="107" s="1"/>
  <c r="L474" i="107"/>
  <c r="L473" i="107"/>
  <c r="L472" i="107"/>
  <c r="H472" i="107" s="1"/>
  <c r="L471" i="107"/>
  <c r="H471" i="107" s="1"/>
  <c r="L470" i="107"/>
  <c r="I470" i="107" s="1"/>
  <c r="L469" i="107"/>
  <c r="H469" i="107" s="1"/>
  <c r="L468" i="107"/>
  <c r="L467" i="107"/>
  <c r="L466" i="107"/>
  <c r="J466" i="107" s="1"/>
  <c r="L465" i="107"/>
  <c r="H465" i="107" s="1"/>
  <c r="L464" i="107"/>
  <c r="I464" i="107" s="1"/>
  <c r="L463" i="107"/>
  <c r="L462" i="107"/>
  <c r="I462" i="107" s="1"/>
  <c r="L461" i="107"/>
  <c r="J461" i="107" s="1"/>
  <c r="L460" i="107"/>
  <c r="L459" i="107"/>
  <c r="J459" i="107" s="1"/>
  <c r="L458" i="107"/>
  <c r="J458" i="107" s="1"/>
  <c r="L457" i="107"/>
  <c r="J457" i="107" s="1"/>
  <c r="L456" i="107"/>
  <c r="H456" i="107" s="1"/>
  <c r="L455" i="107"/>
  <c r="I455" i="107" s="1"/>
  <c r="L454" i="107"/>
  <c r="L453" i="107"/>
  <c r="I453" i="107" s="1"/>
  <c r="L452" i="107"/>
  <c r="E452" i="107" s="1"/>
  <c r="L451" i="107"/>
  <c r="F451" i="107" s="1"/>
  <c r="L450" i="107"/>
  <c r="I450" i="107" s="1"/>
  <c r="L449" i="107"/>
  <c r="I449" i="107" s="1"/>
  <c r="L448" i="107"/>
  <c r="J448" i="107" s="1"/>
  <c r="L447" i="107"/>
  <c r="H447" i="107" s="1"/>
  <c r="L446" i="107"/>
  <c r="H446" i="107" s="1"/>
  <c r="L445" i="107"/>
  <c r="H445" i="107" s="1"/>
  <c r="L444" i="107"/>
  <c r="F444" i="107" s="1"/>
  <c r="L443" i="107"/>
  <c r="J443" i="107" s="1"/>
  <c r="L442" i="107"/>
  <c r="F442" i="107" s="1"/>
  <c r="L441" i="107"/>
  <c r="J441" i="107" s="1"/>
  <c r="L440" i="107"/>
  <c r="H440" i="107" s="1"/>
  <c r="L439" i="107"/>
  <c r="I439" i="107" s="1"/>
  <c r="L438" i="107"/>
  <c r="I438" i="107" s="1"/>
  <c r="L437" i="107"/>
  <c r="F437" i="107" s="1"/>
  <c r="L436" i="107"/>
  <c r="L435" i="107"/>
  <c r="F435" i="107" s="1"/>
  <c r="L434" i="107"/>
  <c r="I434" i="107" s="1"/>
  <c r="L433" i="107"/>
  <c r="F433" i="107" s="1"/>
  <c r="L432" i="107"/>
  <c r="J432" i="107" s="1"/>
  <c r="L431" i="107"/>
  <c r="H431" i="107" s="1"/>
  <c r="L430" i="107"/>
  <c r="I430" i="107" s="1"/>
  <c r="L429" i="107"/>
  <c r="I429" i="107" s="1"/>
  <c r="L428" i="107"/>
  <c r="F428" i="107" s="1"/>
  <c r="L427" i="107"/>
  <c r="H427" i="107" s="1"/>
  <c r="L426" i="107"/>
  <c r="F426" i="107" s="1"/>
  <c r="L425" i="107"/>
  <c r="J425" i="107" s="1"/>
  <c r="L424" i="107"/>
  <c r="H424" i="107" s="1"/>
  <c r="L423" i="107"/>
  <c r="I423" i="107" s="1"/>
  <c r="L422" i="107"/>
  <c r="I422" i="107" s="1"/>
  <c r="L421" i="107"/>
  <c r="J421" i="107" s="1"/>
  <c r="L420" i="107"/>
  <c r="E420" i="107" s="1"/>
  <c r="L419" i="107"/>
  <c r="F419" i="107" s="1"/>
  <c r="L418" i="107"/>
  <c r="I418" i="107" s="1"/>
  <c r="L417" i="107"/>
  <c r="I417" i="107" s="1"/>
  <c r="L416" i="107"/>
  <c r="I416" i="107" s="1"/>
  <c r="L415" i="107"/>
  <c r="J415" i="107" s="1"/>
  <c r="L414" i="107"/>
  <c r="I414" i="107" s="1"/>
  <c r="L413" i="107"/>
  <c r="H413" i="107" s="1"/>
  <c r="L412" i="107"/>
  <c r="H412" i="107" s="1"/>
  <c r="L411" i="107"/>
  <c r="H411" i="107" s="1"/>
  <c r="L410" i="107"/>
  <c r="L409" i="107"/>
  <c r="J409" i="107" s="1"/>
  <c r="L408" i="107"/>
  <c r="H408" i="107" s="1"/>
  <c r="L407" i="107"/>
  <c r="I407" i="107" s="1"/>
  <c r="L406" i="107"/>
  <c r="I406" i="107" s="1"/>
  <c r="L405" i="107"/>
  <c r="J405" i="107" s="1"/>
  <c r="L404" i="107"/>
  <c r="E404" i="107" s="1"/>
  <c r="L403" i="107"/>
  <c r="J403" i="107" s="1"/>
  <c r="L402" i="107"/>
  <c r="I402" i="107" s="1"/>
  <c r="L401" i="107"/>
  <c r="L400" i="107"/>
  <c r="I400" i="107" s="1"/>
  <c r="L399" i="107"/>
  <c r="J399" i="107" s="1"/>
  <c r="L398" i="107"/>
  <c r="H398" i="107" s="1"/>
  <c r="L397" i="107"/>
  <c r="F397" i="107" s="1"/>
  <c r="L396" i="107"/>
  <c r="H396" i="107" s="1"/>
  <c r="L395" i="107"/>
  <c r="J395" i="107" s="1"/>
  <c r="L394" i="107"/>
  <c r="J394" i="107" s="1"/>
  <c r="L393" i="107"/>
  <c r="J393" i="107" s="1"/>
  <c r="L392" i="107"/>
  <c r="H392" i="107" s="1"/>
  <c r="L391" i="107"/>
  <c r="H391" i="107" s="1"/>
  <c r="L390" i="107"/>
  <c r="D390" i="107" s="1"/>
  <c r="L389" i="107"/>
  <c r="H389" i="107" s="1"/>
  <c r="L388" i="107"/>
  <c r="F388" i="107" s="1"/>
  <c r="L387" i="107"/>
  <c r="J387" i="107" s="1"/>
  <c r="L385" i="107"/>
  <c r="I385" i="107" s="1"/>
  <c r="L384" i="107"/>
  <c r="I384" i="107" s="1"/>
  <c r="L383" i="107"/>
  <c r="H383" i="107" s="1"/>
  <c r="L382" i="107"/>
  <c r="L381" i="107"/>
  <c r="J381" i="107" s="1"/>
  <c r="L380" i="107"/>
  <c r="J380" i="107" s="1"/>
  <c r="L379" i="107"/>
  <c r="F379" i="107" s="1"/>
  <c r="L378" i="107"/>
  <c r="H378" i="107" s="1"/>
  <c r="L377" i="107"/>
  <c r="L376" i="107"/>
  <c r="J376" i="107" s="1"/>
  <c r="L375" i="107"/>
  <c r="L374" i="107"/>
  <c r="I374" i="107" s="1"/>
  <c r="L373" i="107"/>
  <c r="D373" i="107" s="1"/>
  <c r="L372" i="107"/>
  <c r="J372" i="107" s="1"/>
  <c r="L371" i="107"/>
  <c r="L370" i="107"/>
  <c r="J370" i="107" s="1"/>
  <c r="L369" i="107"/>
  <c r="I369" i="107" s="1"/>
  <c r="L368" i="107"/>
  <c r="J368" i="107" s="1"/>
  <c r="L367" i="107"/>
  <c r="D367" i="107" s="1"/>
  <c r="L366" i="107"/>
  <c r="J366" i="107" s="1"/>
  <c r="L365" i="107"/>
  <c r="I365" i="107" s="1"/>
  <c r="L364" i="107"/>
  <c r="J364" i="107" s="1"/>
  <c r="L363" i="107"/>
  <c r="D363" i="107" s="1"/>
  <c r="L362" i="107"/>
  <c r="H362" i="107" s="1"/>
  <c r="L361" i="107"/>
  <c r="J361" i="107" s="1"/>
  <c r="L360" i="107"/>
  <c r="H360" i="107" s="1"/>
  <c r="L359" i="107"/>
  <c r="L358" i="107"/>
  <c r="D358" i="107" s="1"/>
  <c r="L357" i="107"/>
  <c r="D357" i="107" s="1"/>
  <c r="L356" i="107"/>
  <c r="H356" i="107" s="1"/>
  <c r="L355" i="107"/>
  <c r="L354" i="107"/>
  <c r="H354" i="107" s="1"/>
  <c r="L353" i="107"/>
  <c r="H353" i="107" s="1"/>
  <c r="L352" i="107"/>
  <c r="H352" i="107" s="1"/>
  <c r="L351" i="107"/>
  <c r="H351" i="107" s="1"/>
  <c r="L350" i="107"/>
  <c r="H350" i="107" s="1"/>
  <c r="L349" i="107"/>
  <c r="H349" i="107" s="1"/>
  <c r="L348" i="107"/>
  <c r="H348" i="107" s="1"/>
  <c r="L347" i="107"/>
  <c r="L346" i="107"/>
  <c r="H346" i="107" s="1"/>
  <c r="L345" i="107"/>
  <c r="H345" i="107" s="1"/>
  <c r="L344" i="107"/>
  <c r="D344" i="107" s="1"/>
  <c r="L343" i="107"/>
  <c r="L342" i="107"/>
  <c r="L341" i="107"/>
  <c r="L340" i="107"/>
  <c r="G340" i="107" s="1"/>
  <c r="L339" i="107"/>
  <c r="H339" i="107" s="1"/>
  <c r="L338" i="107"/>
  <c r="D338" i="107" s="1"/>
  <c r="L337" i="107"/>
  <c r="H337" i="107" s="1"/>
  <c r="L336" i="107"/>
  <c r="L335" i="107"/>
  <c r="H335" i="107" s="1"/>
  <c r="L334" i="107"/>
  <c r="L333" i="107"/>
  <c r="D333" i="107" s="1"/>
  <c r="L332" i="107"/>
  <c r="G332" i="107" s="1"/>
  <c r="L331" i="107"/>
  <c r="D331" i="107" s="1"/>
  <c r="L330" i="107"/>
  <c r="H330" i="107" s="1"/>
  <c r="L329" i="107"/>
  <c r="L328" i="107"/>
  <c r="L327" i="107"/>
  <c r="G327" i="107" s="1"/>
  <c r="L326" i="107"/>
  <c r="H326" i="107" s="1"/>
  <c r="L325" i="107"/>
  <c r="L324" i="107"/>
  <c r="H324" i="107" s="1"/>
  <c r="L323" i="107"/>
  <c r="D323" i="107" s="1"/>
  <c r="L322" i="107"/>
  <c r="H322" i="107" s="1"/>
  <c r="L321" i="107"/>
  <c r="H321" i="107" s="1"/>
  <c r="L320" i="107"/>
  <c r="D320" i="107" s="1"/>
  <c r="L319" i="107"/>
  <c r="G319" i="107" s="1"/>
  <c r="L318" i="107"/>
  <c r="L317" i="107"/>
  <c r="H317" i="107" s="1"/>
  <c r="L316" i="107"/>
  <c r="H316" i="107" s="1"/>
  <c r="L315" i="107"/>
  <c r="H315" i="107" s="1"/>
  <c r="L314" i="107"/>
  <c r="G314" i="107" s="1"/>
  <c r="L313" i="107"/>
  <c r="H313" i="107" s="1"/>
  <c r="L312" i="107"/>
  <c r="H312" i="107" s="1"/>
  <c r="L311" i="107"/>
  <c r="L310" i="107"/>
  <c r="H310" i="107" s="1"/>
  <c r="L309" i="107"/>
  <c r="D309" i="107" s="1"/>
  <c r="L308" i="107"/>
  <c r="H308" i="107" s="1"/>
  <c r="L307" i="107"/>
  <c r="D307" i="107" s="1"/>
  <c r="L306" i="107"/>
  <c r="L305" i="107"/>
  <c r="G305" i="107" s="1"/>
  <c r="L304" i="107"/>
  <c r="H304" i="107" s="1"/>
  <c r="L303" i="107"/>
  <c r="G303" i="107" s="1"/>
  <c r="L302" i="107"/>
  <c r="L301" i="107"/>
  <c r="L300" i="107"/>
  <c r="H300" i="107" s="1"/>
  <c r="L299" i="107"/>
  <c r="L298" i="107"/>
  <c r="H298" i="107" s="1"/>
  <c r="L297" i="107"/>
  <c r="H297" i="107" s="1"/>
  <c r="L296" i="107"/>
  <c r="L295" i="107"/>
  <c r="L294" i="107"/>
  <c r="H294" i="107" s="1"/>
  <c r="L293" i="107"/>
  <c r="G293" i="107" s="1"/>
  <c r="L292" i="107"/>
  <c r="D292" i="107" s="1"/>
  <c r="L291" i="107"/>
  <c r="H291" i="107" s="1"/>
  <c r="L290" i="107"/>
  <c r="D290" i="107" s="1"/>
  <c r="L289" i="107"/>
  <c r="L288" i="107"/>
  <c r="H288" i="107" s="1"/>
  <c r="L287" i="107"/>
  <c r="H287" i="107" s="1"/>
  <c r="L286" i="107"/>
  <c r="L285" i="107"/>
  <c r="G285" i="107" s="1"/>
  <c r="L284" i="107"/>
  <c r="G284" i="107" s="1"/>
  <c r="L283" i="107"/>
  <c r="L282" i="107"/>
  <c r="H282" i="107" s="1"/>
  <c r="L281" i="107"/>
  <c r="H281" i="107" s="1"/>
  <c r="L280" i="107"/>
  <c r="L279" i="107"/>
  <c r="L278" i="107"/>
  <c r="H278" i="107" s="1"/>
  <c r="L277" i="107"/>
  <c r="D277" i="107" s="1"/>
  <c r="L276" i="107"/>
  <c r="D276" i="107" s="1"/>
  <c r="L275" i="107"/>
  <c r="L274" i="107"/>
  <c r="H274" i="107" s="1"/>
  <c r="L273" i="107"/>
  <c r="H273" i="107" s="1"/>
  <c r="L272" i="107"/>
  <c r="D272" i="107" s="1"/>
  <c r="L271" i="107"/>
  <c r="H271" i="107" s="1"/>
  <c r="L270" i="107"/>
  <c r="H270" i="107" s="1"/>
  <c r="L269" i="107"/>
  <c r="G269" i="107" s="1"/>
  <c r="L268" i="107"/>
  <c r="G268" i="107" s="1"/>
  <c r="L267" i="107"/>
  <c r="L266" i="107"/>
  <c r="H266" i="107" s="1"/>
  <c r="L265" i="107"/>
  <c r="H265" i="107" s="1"/>
  <c r="L264" i="107"/>
  <c r="G264" i="107" s="1"/>
  <c r="L263" i="107"/>
  <c r="D263" i="107" s="1"/>
  <c r="L262" i="107"/>
  <c r="H262" i="107" s="1"/>
  <c r="L261" i="107"/>
  <c r="H261" i="107" s="1"/>
  <c r="L260" i="107"/>
  <c r="D260" i="107" s="1"/>
  <c r="L259" i="107"/>
  <c r="L258" i="107"/>
  <c r="H258" i="107" s="1"/>
  <c r="L257" i="107"/>
  <c r="L256" i="107"/>
  <c r="G256" i="107" s="1"/>
  <c r="L255" i="107"/>
  <c r="G255" i="107" s="1"/>
  <c r="L254" i="107"/>
  <c r="G254" i="107" s="1"/>
  <c r="L253" i="107"/>
  <c r="G253" i="107" s="1"/>
  <c r="L252" i="107"/>
  <c r="L251" i="107"/>
  <c r="G251" i="107" s="1"/>
  <c r="L250" i="107"/>
  <c r="L249" i="107"/>
  <c r="G249" i="107" s="1"/>
  <c r="L248" i="107"/>
  <c r="G248" i="107" s="1"/>
  <c r="L247" i="107"/>
  <c r="L246" i="107"/>
  <c r="L245" i="107"/>
  <c r="L244" i="107"/>
  <c r="L243" i="107"/>
  <c r="L242" i="107"/>
  <c r="G242" i="107" s="1"/>
  <c r="L241" i="107"/>
  <c r="L240" i="107"/>
  <c r="G240" i="107" s="1"/>
  <c r="L239" i="107"/>
  <c r="G239" i="107" s="1"/>
  <c r="L238" i="107"/>
  <c r="L237" i="107"/>
  <c r="G237" i="107" s="1"/>
  <c r="L236" i="107"/>
  <c r="G236" i="107" s="1"/>
  <c r="L235" i="107"/>
  <c r="L234" i="107"/>
  <c r="G234" i="107" s="1"/>
  <c r="L233" i="107"/>
  <c r="G233" i="107" s="1"/>
  <c r="L232" i="107"/>
  <c r="G232" i="107" s="1"/>
  <c r="L231" i="107"/>
  <c r="G231" i="107" s="1"/>
  <c r="L230" i="107"/>
  <c r="G230" i="107" s="1"/>
  <c r="L229" i="107"/>
  <c r="G229" i="107" s="1"/>
  <c r="L228" i="107"/>
  <c r="L227" i="107"/>
  <c r="L226" i="107"/>
  <c r="G226" i="107" s="1"/>
  <c r="L225" i="107"/>
  <c r="L224" i="107"/>
  <c r="G224" i="107" s="1"/>
  <c r="L223" i="107"/>
  <c r="G223" i="107" s="1"/>
  <c r="L222" i="107"/>
  <c r="L221" i="107"/>
  <c r="G221" i="107" s="1"/>
  <c r="L220" i="107"/>
  <c r="G220" i="107" s="1"/>
  <c r="L219" i="107"/>
  <c r="L218" i="107"/>
  <c r="L217" i="107"/>
  <c r="G217" i="107" s="1"/>
  <c r="L216" i="107"/>
  <c r="L215" i="107"/>
  <c r="G215" i="107" s="1"/>
  <c r="L214" i="107"/>
  <c r="G214" i="107" s="1"/>
  <c r="L213" i="107"/>
  <c r="L212" i="107"/>
  <c r="G212" i="107" s="1"/>
  <c r="L211" i="107"/>
  <c r="L210" i="107"/>
  <c r="G210" i="107" s="1"/>
  <c r="L209" i="107"/>
  <c r="L208" i="107"/>
  <c r="C208" i="107" s="1"/>
  <c r="L207" i="107"/>
  <c r="G207" i="107" s="1"/>
  <c r="L206" i="107"/>
  <c r="G206" i="107" s="1"/>
  <c r="L205" i="107"/>
  <c r="G205" i="107" s="1"/>
  <c r="L204" i="107"/>
  <c r="G204" i="107" s="1"/>
  <c r="L203" i="107"/>
  <c r="G203" i="107" s="1"/>
  <c r="L202" i="107"/>
  <c r="C202" i="107" s="1"/>
  <c r="L201" i="107"/>
  <c r="G201" i="107" s="1"/>
  <c r="L200" i="107"/>
  <c r="C200" i="107" s="1"/>
  <c r="L199" i="107"/>
  <c r="C199" i="107" s="1"/>
  <c r="L198" i="107"/>
  <c r="G198" i="107" s="1"/>
  <c r="L197" i="107"/>
  <c r="G197" i="107" s="1"/>
  <c r="L196" i="107"/>
  <c r="G196" i="107" s="1"/>
  <c r="L195" i="107"/>
  <c r="G195" i="107" s="1"/>
  <c r="L194" i="107"/>
  <c r="C194" i="107" s="1"/>
  <c r="L193" i="107"/>
  <c r="G193" i="107" s="1"/>
  <c r="L192" i="107"/>
  <c r="C192" i="107" s="1"/>
  <c r="L191" i="107"/>
  <c r="G191" i="107" s="1"/>
  <c r="L190" i="107"/>
  <c r="C190" i="107" s="1"/>
  <c r="L189" i="107"/>
  <c r="G189" i="107" s="1"/>
  <c r="L188" i="107"/>
  <c r="C188" i="107" s="1"/>
  <c r="L187" i="107"/>
  <c r="G187" i="107" s="1"/>
  <c r="L186" i="107"/>
  <c r="G186" i="107" s="1"/>
  <c r="L185" i="107"/>
  <c r="G185" i="107" s="1"/>
  <c r="L184" i="107"/>
  <c r="G184" i="107" s="1"/>
  <c r="L183" i="107"/>
  <c r="C183" i="107" s="1"/>
  <c r="L182" i="107"/>
  <c r="G182" i="107" s="1"/>
  <c r="L181" i="107"/>
  <c r="C181" i="107" s="1"/>
  <c r="L180" i="107"/>
  <c r="G180" i="107" s="1"/>
  <c r="L179" i="107"/>
  <c r="G179" i="107" s="1"/>
  <c r="L178" i="107"/>
  <c r="C178" i="107" s="1"/>
  <c r="L177" i="107"/>
  <c r="G177" i="107" s="1"/>
  <c r="L176" i="107"/>
  <c r="C176" i="107" s="1"/>
  <c r="L175" i="107"/>
  <c r="G175" i="107" s="1"/>
  <c r="L174" i="107"/>
  <c r="G174" i="107" s="1"/>
  <c r="L173" i="107"/>
  <c r="G173" i="107" s="1"/>
  <c r="L172" i="107"/>
  <c r="L171" i="107"/>
  <c r="L170" i="107"/>
  <c r="L169" i="107"/>
  <c r="L168" i="107"/>
  <c r="L167" i="107"/>
  <c r="L166" i="107"/>
  <c r="L165" i="107"/>
  <c r="L164" i="107"/>
  <c r="L163" i="107"/>
  <c r="L162" i="107"/>
  <c r="L161" i="107"/>
  <c r="L160" i="107"/>
  <c r="L159" i="107"/>
  <c r="L158" i="107"/>
  <c r="L157" i="107"/>
  <c r="L156" i="107"/>
  <c r="L155" i="107"/>
  <c r="L154" i="107"/>
  <c r="L153" i="107"/>
  <c r="L152" i="107"/>
  <c r="L151" i="107"/>
  <c r="L150" i="107"/>
  <c r="L149" i="107"/>
  <c r="L148" i="107"/>
  <c r="L147" i="107"/>
  <c r="L146" i="107"/>
  <c r="L145" i="107"/>
  <c r="L144" i="107"/>
  <c r="L143" i="107"/>
  <c r="L142" i="107"/>
  <c r="L141" i="107"/>
  <c r="L140" i="107"/>
  <c r="L139" i="107"/>
  <c r="L138" i="107"/>
  <c r="L137" i="107"/>
  <c r="L136" i="107"/>
  <c r="L135" i="107"/>
  <c r="L134" i="107"/>
  <c r="L133" i="107"/>
  <c r="L132" i="107"/>
  <c r="L131" i="107"/>
  <c r="L130" i="107"/>
  <c r="L129" i="107"/>
  <c r="L128" i="107"/>
  <c r="L127" i="107"/>
  <c r="L126" i="107"/>
  <c r="L125" i="107"/>
  <c r="L124" i="107"/>
  <c r="L123" i="107"/>
  <c r="L122" i="107"/>
  <c r="L121" i="107"/>
  <c r="L120" i="107"/>
  <c r="L119" i="107"/>
  <c r="L118" i="107"/>
  <c r="L117" i="107"/>
  <c r="L116" i="107"/>
  <c r="L115" i="107"/>
  <c r="L114" i="107"/>
  <c r="L113" i="107"/>
  <c r="L112" i="107"/>
  <c r="L111" i="107"/>
  <c r="L110" i="107"/>
  <c r="L109" i="107"/>
  <c r="L108" i="107"/>
  <c r="L107" i="107"/>
  <c r="L106" i="107"/>
  <c r="L105" i="107"/>
  <c r="L104" i="107"/>
  <c r="L103" i="107"/>
  <c r="L102" i="107"/>
  <c r="L101" i="107"/>
  <c r="L100" i="107"/>
  <c r="L99" i="107"/>
  <c r="L98" i="107"/>
  <c r="L97" i="107"/>
  <c r="L96" i="107"/>
  <c r="L95" i="107"/>
  <c r="L94" i="107"/>
  <c r="L93" i="107"/>
  <c r="L92" i="107"/>
  <c r="L91" i="107"/>
  <c r="L90" i="107"/>
  <c r="L89" i="107"/>
  <c r="L88" i="107"/>
  <c r="L87" i="107"/>
  <c r="L86" i="107"/>
  <c r="L85" i="107"/>
  <c r="L84" i="107"/>
  <c r="L83" i="107"/>
  <c r="L82" i="107"/>
  <c r="L81" i="107"/>
  <c r="L80" i="107"/>
  <c r="L79" i="107"/>
  <c r="L78" i="107"/>
  <c r="L77" i="107"/>
  <c r="L76" i="107"/>
  <c r="L75" i="107"/>
  <c r="L74" i="107"/>
  <c r="L73" i="107"/>
  <c r="L72" i="107"/>
  <c r="L71" i="107"/>
  <c r="L70" i="107"/>
  <c r="L69" i="107"/>
  <c r="L68" i="107"/>
  <c r="L67" i="107"/>
  <c r="L66" i="107"/>
  <c r="L65" i="107"/>
  <c r="L64" i="107"/>
  <c r="L63" i="107"/>
  <c r="L62" i="107"/>
  <c r="L61" i="107"/>
  <c r="L60" i="107"/>
  <c r="L59" i="107"/>
  <c r="L58" i="107"/>
  <c r="L57" i="107"/>
  <c r="L56" i="107"/>
  <c r="L55" i="107"/>
  <c r="L54" i="107"/>
  <c r="L53" i="107"/>
  <c r="L52" i="107"/>
  <c r="L51" i="107"/>
  <c r="L50" i="107"/>
  <c r="L49" i="107"/>
  <c r="L48" i="107"/>
  <c r="L47" i="107"/>
  <c r="L46" i="107"/>
  <c r="L45" i="107"/>
  <c r="L44" i="107"/>
  <c r="L43" i="107"/>
  <c r="L42" i="107"/>
  <c r="L41" i="107"/>
  <c r="L40" i="107"/>
  <c r="L39" i="107"/>
  <c r="L38" i="107"/>
  <c r="L37" i="107"/>
  <c r="L36" i="107"/>
  <c r="L35" i="107"/>
  <c r="L34" i="107"/>
  <c r="L33" i="107"/>
  <c r="L32" i="107"/>
  <c r="L31" i="107"/>
  <c r="L30" i="107"/>
  <c r="L29" i="107"/>
  <c r="L28" i="107"/>
  <c r="L27" i="107"/>
  <c r="L26" i="107"/>
  <c r="L25" i="107"/>
  <c r="L24" i="107"/>
  <c r="L23" i="107"/>
  <c r="L22" i="107"/>
  <c r="L21" i="107"/>
  <c r="L20" i="107"/>
  <c r="L19" i="107"/>
  <c r="L18" i="107"/>
  <c r="L17" i="107"/>
  <c r="L16" i="107"/>
  <c r="L15" i="107"/>
  <c r="L14" i="107"/>
  <c r="L13" i="107"/>
  <c r="L12" i="107"/>
  <c r="L11" i="107"/>
  <c r="L10" i="107"/>
  <c r="U9" i="107"/>
  <c r="Q9" i="107"/>
  <c r="P9" i="107"/>
  <c r="O9" i="107"/>
  <c r="N9" i="107"/>
  <c r="L9" i="107"/>
  <c r="L8" i="107"/>
  <c r="U7" i="107"/>
  <c r="T7" i="107"/>
  <c r="S7" i="107"/>
  <c r="R7" i="107"/>
  <c r="Q7" i="107"/>
  <c r="P7" i="107"/>
  <c r="O7" i="107"/>
  <c r="N7" i="107"/>
  <c r="L7" i="107"/>
  <c r="L6" i="107"/>
  <c r="L5" i="107"/>
  <c r="L4" i="107"/>
  <c r="L3" i="107"/>
  <c r="J1355" i="107" l="1"/>
  <c r="J1384" i="107"/>
  <c r="J1359" i="107"/>
  <c r="J1351" i="107"/>
  <c r="J1362" i="107"/>
  <c r="J1365" i="107"/>
  <c r="J1364" i="107"/>
  <c r="J1366" i="107"/>
  <c r="J1368" i="107"/>
  <c r="J1357" i="107"/>
  <c r="J1344" i="107"/>
  <c r="J1345" i="107"/>
  <c r="J1354" i="107"/>
  <c r="J1383" i="107"/>
  <c r="J1382" i="107"/>
  <c r="J1348" i="107"/>
  <c r="J1381" i="107"/>
  <c r="J1358" i="107"/>
  <c r="J1380" i="107"/>
  <c r="J1352" i="107"/>
  <c r="J1346" i="107"/>
  <c r="J1347" i="107"/>
  <c r="J1360" i="107"/>
  <c r="J1374" i="107"/>
  <c r="J1379" i="107"/>
  <c r="J1378" i="107"/>
  <c r="J1353" i="107"/>
  <c r="J1377" i="107"/>
  <c r="J1376" i="107"/>
  <c r="J1373" i="107"/>
  <c r="J1375" i="107"/>
  <c r="J1369" i="107"/>
  <c r="J1349" i="107"/>
  <c r="J1372" i="107"/>
  <c r="J1361" i="107"/>
  <c r="J1371" i="107"/>
  <c r="J1356" i="107"/>
  <c r="J1367" i="107"/>
  <c r="J1363" i="107"/>
  <c r="J1370" i="107"/>
  <c r="J1350" i="107"/>
  <c r="F1298" i="107"/>
  <c r="F1384" i="107"/>
  <c r="F1382" i="107"/>
  <c r="F1365" i="107"/>
  <c r="F1344" i="107"/>
  <c r="F1383" i="107"/>
  <c r="F1355" i="107"/>
  <c r="F1345" i="107"/>
  <c r="F1364" i="107"/>
  <c r="F1346" i="107"/>
  <c r="F1347" i="107"/>
  <c r="F1348" i="107"/>
  <c r="F1349" i="107"/>
  <c r="F1350" i="107"/>
  <c r="F1372" i="107"/>
  <c r="F1370" i="107"/>
  <c r="F1351" i="107"/>
  <c r="F1356" i="107"/>
  <c r="F1352" i="107"/>
  <c r="F1357" i="107"/>
  <c r="F1358" i="107"/>
  <c r="F1369" i="107"/>
  <c r="F1361" i="107"/>
  <c r="F1362" i="107"/>
  <c r="F1363" i="107"/>
  <c r="F1371" i="107"/>
  <c r="F1360" i="107"/>
  <c r="F1374" i="107"/>
  <c r="F1353" i="107"/>
  <c r="F1373" i="107"/>
  <c r="F1359" i="107"/>
  <c r="F1354" i="107"/>
  <c r="F1366" i="107"/>
  <c r="F1367" i="107"/>
  <c r="F1368" i="107"/>
  <c r="F1378" i="107"/>
  <c r="F1375" i="107"/>
  <c r="F1376" i="107"/>
  <c r="F1377" i="107"/>
  <c r="F1379" i="107"/>
  <c r="F1380" i="107"/>
  <c r="F1381" i="107"/>
  <c r="E1384" i="107"/>
  <c r="E1344" i="107"/>
  <c r="E1351" i="107"/>
  <c r="E1361" i="107"/>
  <c r="E1366" i="107"/>
  <c r="E1356" i="107"/>
  <c r="E1367" i="107"/>
  <c r="E1350" i="107"/>
  <c r="E1368" i="107"/>
  <c r="E1363" i="107"/>
  <c r="E1359" i="107"/>
  <c r="E1371" i="107"/>
  <c r="E1349" i="107"/>
  <c r="E1373" i="107"/>
  <c r="E1374" i="107"/>
  <c r="E1358" i="107"/>
  <c r="E1375" i="107"/>
  <c r="E1345" i="107"/>
  <c r="E1369" i="107"/>
  <c r="E1376" i="107"/>
  <c r="E1357" i="107"/>
  <c r="E1352" i="107"/>
  <c r="E1348" i="107"/>
  <c r="E1377" i="107"/>
  <c r="E1372" i="107"/>
  <c r="E1378" i="107"/>
  <c r="E1370" i="107"/>
  <c r="E1379" i="107"/>
  <c r="E1347" i="107"/>
  <c r="E1380" i="107"/>
  <c r="E1360" i="107"/>
  <c r="E1353" i="107"/>
  <c r="E1346" i="107"/>
  <c r="E1381" i="107"/>
  <c r="E1354" i="107"/>
  <c r="E1362" i="107"/>
  <c r="E1382" i="107"/>
  <c r="E1364" i="107"/>
  <c r="E1355" i="107"/>
  <c r="E1365" i="107"/>
  <c r="E1383" i="107"/>
  <c r="D1358" i="107"/>
  <c r="D1360" i="107"/>
  <c r="D1361" i="107"/>
  <c r="D1373" i="107"/>
  <c r="D1369" i="107"/>
  <c r="D1372" i="107"/>
  <c r="D1354" i="107"/>
  <c r="D1375" i="107"/>
  <c r="D1355" i="107"/>
  <c r="D1356" i="107"/>
  <c r="D1376" i="107"/>
  <c r="D1357" i="107"/>
  <c r="D1347" i="107"/>
  <c r="D1363" i="107"/>
  <c r="D1371" i="107"/>
  <c r="D1377" i="107"/>
  <c r="D1374" i="107"/>
  <c r="D1359" i="107"/>
  <c r="D1378" i="107"/>
  <c r="D1362" i="107"/>
  <c r="D1370" i="107"/>
  <c r="D1364" i="107"/>
  <c r="D1384" i="107"/>
  <c r="D1365" i="107"/>
  <c r="D1379" i="107"/>
  <c r="D1380" i="107"/>
  <c r="D1344" i="107"/>
  <c r="D1345" i="107"/>
  <c r="D1346" i="107"/>
  <c r="D1381" i="107"/>
  <c r="D1366" i="107"/>
  <c r="D1348" i="107"/>
  <c r="D1349" i="107"/>
  <c r="D1382" i="107"/>
  <c r="D1350" i="107"/>
  <c r="D1367" i="107"/>
  <c r="D1368" i="107"/>
  <c r="D1351" i="107"/>
  <c r="D1352" i="107"/>
  <c r="D1353" i="107"/>
  <c r="D1383" i="107"/>
  <c r="C1346" i="107"/>
  <c r="C1345" i="107"/>
  <c r="C1376" i="107"/>
  <c r="C1371" i="107"/>
  <c r="C1344" i="107"/>
  <c r="C1356" i="107"/>
  <c r="C1377" i="107"/>
  <c r="C1365" i="107"/>
  <c r="C1384" i="107"/>
  <c r="C1358" i="107"/>
  <c r="C1354" i="107"/>
  <c r="C1378" i="107"/>
  <c r="C1357" i="107"/>
  <c r="C1374" i="107"/>
  <c r="C1355" i="107"/>
  <c r="C1359" i="107"/>
  <c r="C1366" i="107"/>
  <c r="C1367" i="107"/>
  <c r="C1360" i="107"/>
  <c r="C1373" i="107"/>
  <c r="C1379" i="107"/>
  <c r="C1380" i="107"/>
  <c r="C1372" i="107"/>
  <c r="C1361" i="107"/>
  <c r="C1368" i="107"/>
  <c r="C1362" i="107"/>
  <c r="C1370" i="107"/>
  <c r="C1364" i="107"/>
  <c r="C1381" i="107"/>
  <c r="C1363" i="107"/>
  <c r="C1353" i="107"/>
  <c r="C1382" i="107"/>
  <c r="C1352" i="107"/>
  <c r="C1351" i="107"/>
  <c r="C1350" i="107"/>
  <c r="C1369" i="107"/>
  <c r="C1383" i="107"/>
  <c r="C1349" i="107"/>
  <c r="C1348" i="107"/>
  <c r="C1375" i="107"/>
  <c r="C1347" i="107"/>
  <c r="E1240" i="107"/>
  <c r="E1298" i="107"/>
  <c r="D1240" i="107"/>
  <c r="D1298" i="107"/>
  <c r="C1240" i="107"/>
  <c r="C1298" i="107"/>
  <c r="J1158" i="107"/>
  <c r="F1158" i="107"/>
  <c r="E1158" i="107"/>
  <c r="E1159" i="107"/>
  <c r="D1158" i="107"/>
  <c r="D1159" i="107"/>
  <c r="C1158" i="107"/>
  <c r="C1159" i="107"/>
  <c r="E1153" i="107"/>
  <c r="D1014" i="107"/>
  <c r="D1153" i="107"/>
  <c r="C1014" i="107"/>
  <c r="C1153" i="107"/>
  <c r="J1016" i="107"/>
  <c r="F1016" i="107"/>
  <c r="E1016" i="107"/>
  <c r="D1016" i="107"/>
  <c r="C1016" i="107"/>
  <c r="C529" i="107"/>
  <c r="C386" i="107"/>
  <c r="C425" i="107"/>
  <c r="AL144" i="105"/>
  <c r="AL145" i="105"/>
  <c r="D467" i="107"/>
  <c r="J444" i="107"/>
  <c r="J54" i="107"/>
  <c r="D425" i="107"/>
  <c r="I487" i="107"/>
  <c r="J75" i="107"/>
  <c r="J488" i="107"/>
  <c r="D251" i="107"/>
  <c r="F369" i="107"/>
  <c r="C162" i="107"/>
  <c r="I397" i="107"/>
  <c r="E397" i="107"/>
  <c r="H453" i="107"/>
  <c r="H533" i="107"/>
  <c r="J25" i="107"/>
  <c r="C186" i="107"/>
  <c r="D403" i="107"/>
  <c r="F417" i="107"/>
  <c r="G346" i="107"/>
  <c r="H332" i="107"/>
  <c r="H221" i="107"/>
  <c r="F453" i="107"/>
  <c r="C205" i="107"/>
  <c r="I261" i="107"/>
  <c r="E453" i="107"/>
  <c r="I465" i="107"/>
  <c r="H493" i="107"/>
  <c r="I508" i="107"/>
  <c r="D297" i="107"/>
  <c r="H399" i="107"/>
  <c r="D411" i="107"/>
  <c r="J82" i="107"/>
  <c r="H284" i="107"/>
  <c r="H314" i="107"/>
  <c r="H344" i="107"/>
  <c r="J389" i="107"/>
  <c r="J400" i="107"/>
  <c r="J453" i="107"/>
  <c r="C195" i="107"/>
  <c r="J413" i="107"/>
  <c r="F347" i="107"/>
  <c r="G271" i="107"/>
  <c r="I390" i="107"/>
  <c r="I469" i="107"/>
  <c r="E376" i="107"/>
  <c r="I147" i="107"/>
  <c r="H376" i="107"/>
  <c r="E425" i="107"/>
  <c r="I39" i="107"/>
  <c r="I378" i="107"/>
  <c r="F425" i="107"/>
  <c r="D453" i="107"/>
  <c r="H464" i="107"/>
  <c r="I383" i="107"/>
  <c r="J445" i="107"/>
  <c r="H482" i="107"/>
  <c r="H397" i="107"/>
  <c r="G146" i="107"/>
  <c r="F15" i="107"/>
  <c r="J469" i="107"/>
  <c r="J397" i="107"/>
  <c r="H512" i="107"/>
  <c r="H290" i="107"/>
  <c r="I363" i="107"/>
  <c r="H544" i="107"/>
  <c r="J572" i="107"/>
  <c r="H320" i="107"/>
  <c r="J363" i="107"/>
  <c r="D376" i="107"/>
  <c r="H423" i="107"/>
  <c r="H449" i="107"/>
  <c r="I544" i="107"/>
  <c r="H425" i="107"/>
  <c r="J527" i="107"/>
  <c r="F98" i="107"/>
  <c r="C191" i="107"/>
  <c r="C203" i="107"/>
  <c r="G266" i="107"/>
  <c r="G290" i="107"/>
  <c r="D340" i="107"/>
  <c r="D395" i="107"/>
  <c r="D448" i="107"/>
  <c r="H492" i="107"/>
  <c r="H514" i="107"/>
  <c r="H553" i="107"/>
  <c r="I577" i="107"/>
  <c r="E395" i="107"/>
  <c r="H528" i="107"/>
  <c r="D281" i="107"/>
  <c r="D330" i="107"/>
  <c r="H395" i="107"/>
  <c r="J412" i="107"/>
  <c r="F421" i="107"/>
  <c r="J428" i="107"/>
  <c r="I459" i="107"/>
  <c r="G56" i="107"/>
  <c r="G194" i="107"/>
  <c r="G281" i="107"/>
  <c r="H305" i="107"/>
  <c r="D389" i="107"/>
  <c r="I395" i="107"/>
  <c r="H402" i="107"/>
  <c r="H441" i="107"/>
  <c r="H507" i="107"/>
  <c r="F395" i="107"/>
  <c r="J26" i="107"/>
  <c r="D293" i="107"/>
  <c r="G344" i="107"/>
  <c r="D369" i="107"/>
  <c r="D378" i="107"/>
  <c r="E389" i="107"/>
  <c r="I413" i="107"/>
  <c r="J429" i="107"/>
  <c r="I495" i="107"/>
  <c r="E315" i="107"/>
  <c r="C169" i="107"/>
  <c r="C185" i="107"/>
  <c r="G208" i="107"/>
  <c r="H307" i="107"/>
  <c r="H369" i="107"/>
  <c r="J378" i="107"/>
  <c r="E423" i="107"/>
  <c r="F443" i="107"/>
  <c r="J486" i="107"/>
  <c r="F45" i="107"/>
  <c r="G272" i="107"/>
  <c r="J369" i="107"/>
  <c r="F414" i="107"/>
  <c r="F423" i="107"/>
  <c r="J431" i="107"/>
  <c r="H497" i="107"/>
  <c r="I560" i="107"/>
  <c r="I572" i="107"/>
  <c r="J560" i="107"/>
  <c r="G171" i="107"/>
  <c r="I48" i="107"/>
  <c r="H433" i="107"/>
  <c r="J107" i="107"/>
  <c r="G18" i="107"/>
  <c r="D298" i="107"/>
  <c r="E407" i="107"/>
  <c r="I478" i="107"/>
  <c r="J512" i="107"/>
  <c r="I588" i="107"/>
  <c r="D326" i="107"/>
  <c r="H417" i="107"/>
  <c r="D446" i="107"/>
  <c r="J478" i="107"/>
  <c r="I501" i="107"/>
  <c r="H552" i="107"/>
  <c r="J588" i="107"/>
  <c r="G202" i="107"/>
  <c r="D265" i="107"/>
  <c r="G326" i="107"/>
  <c r="D339" i="107"/>
  <c r="J383" i="107"/>
  <c r="H394" i="107"/>
  <c r="H455" i="107"/>
  <c r="H513" i="107"/>
  <c r="I527" i="107"/>
  <c r="J540" i="107"/>
  <c r="I552" i="107"/>
  <c r="D337" i="107"/>
  <c r="D380" i="107"/>
  <c r="F439" i="107"/>
  <c r="H510" i="107"/>
  <c r="I559" i="107"/>
  <c r="H575" i="107"/>
  <c r="H584" i="107"/>
  <c r="I126" i="107"/>
  <c r="E367" i="107"/>
  <c r="J85" i="107"/>
  <c r="J146" i="107"/>
  <c r="C174" i="107"/>
  <c r="G183" i="107"/>
  <c r="C201" i="107"/>
  <c r="J295" i="107"/>
  <c r="G317" i="107"/>
  <c r="G337" i="107"/>
  <c r="I357" i="107"/>
  <c r="F367" i="107"/>
  <c r="D374" i="107"/>
  <c r="E380" i="107"/>
  <c r="E388" i="107"/>
  <c r="D405" i="107"/>
  <c r="D421" i="107"/>
  <c r="I433" i="107"/>
  <c r="H439" i="107"/>
  <c r="D451" i="107"/>
  <c r="D457" i="107"/>
  <c r="I510" i="107"/>
  <c r="H520" i="107"/>
  <c r="J559" i="107"/>
  <c r="I575" i="107"/>
  <c r="I584" i="107"/>
  <c r="D287" i="107"/>
  <c r="I296" i="107"/>
  <c r="H367" i="107"/>
  <c r="F380" i="107"/>
  <c r="E394" i="107"/>
  <c r="I398" i="107"/>
  <c r="D414" i="107"/>
  <c r="E421" i="107"/>
  <c r="J426" i="107"/>
  <c r="J439" i="107"/>
  <c r="I445" i="107"/>
  <c r="E457" i="107"/>
  <c r="H466" i="107"/>
  <c r="I475" i="107"/>
  <c r="J494" i="107"/>
  <c r="I502" i="107"/>
  <c r="I568" i="107"/>
  <c r="J593" i="107"/>
  <c r="G287" i="107"/>
  <c r="I367" i="107"/>
  <c r="H380" i="107"/>
  <c r="H434" i="107"/>
  <c r="F457" i="107"/>
  <c r="I466" i="107"/>
  <c r="H532" i="107"/>
  <c r="H542" i="107"/>
  <c r="I585" i="107"/>
  <c r="J31" i="107"/>
  <c r="F223" i="107"/>
  <c r="H319" i="107"/>
  <c r="J367" i="107"/>
  <c r="I380" i="107"/>
  <c r="J427" i="107"/>
  <c r="J434" i="107"/>
  <c r="J440" i="107"/>
  <c r="H457" i="107"/>
  <c r="H495" i="107"/>
  <c r="H503" i="107"/>
  <c r="H569" i="107"/>
  <c r="J576" i="107"/>
  <c r="D271" i="107"/>
  <c r="G298" i="107"/>
  <c r="G330" i="107"/>
  <c r="F376" i="107"/>
  <c r="I389" i="107"/>
  <c r="J416" i="107"/>
  <c r="H428" i="107"/>
  <c r="D435" i="107"/>
  <c r="E441" i="107"/>
  <c r="I446" i="107"/>
  <c r="H577" i="107"/>
  <c r="J596" i="107"/>
  <c r="J63" i="107"/>
  <c r="J289" i="107"/>
  <c r="J351" i="107"/>
  <c r="I20" i="107"/>
  <c r="I441" i="107"/>
  <c r="J447" i="107"/>
  <c r="H525" i="107"/>
  <c r="I168" i="107"/>
  <c r="F352" i="107"/>
  <c r="E437" i="107"/>
  <c r="J177" i="107"/>
  <c r="J153" i="107"/>
  <c r="F179" i="107"/>
  <c r="F22" i="107"/>
  <c r="F66" i="107"/>
  <c r="G188" i="107"/>
  <c r="C197" i="107"/>
  <c r="H272" i="107"/>
  <c r="H437" i="107"/>
  <c r="I497" i="107"/>
  <c r="I507" i="107"/>
  <c r="I545" i="107"/>
  <c r="F166" i="107"/>
  <c r="I92" i="107"/>
  <c r="J21" i="107"/>
  <c r="I67" i="107"/>
  <c r="I95" i="107"/>
  <c r="C180" i="107"/>
  <c r="C206" i="107"/>
  <c r="D314" i="107"/>
  <c r="F378" i="107"/>
  <c r="F384" i="107"/>
  <c r="J402" i="107"/>
  <c r="E411" i="107"/>
  <c r="J424" i="107"/>
  <c r="F430" i="107"/>
  <c r="I437" i="107"/>
  <c r="D443" i="107"/>
  <c r="H491" i="107"/>
  <c r="J515" i="107"/>
  <c r="I537" i="107"/>
  <c r="J545" i="107"/>
  <c r="J556" i="107"/>
  <c r="J564" i="107"/>
  <c r="J580" i="107"/>
  <c r="J36" i="107"/>
  <c r="J7" i="107"/>
  <c r="J53" i="107"/>
  <c r="I125" i="107"/>
  <c r="I141" i="107"/>
  <c r="C189" i="107"/>
  <c r="H303" i="107"/>
  <c r="J391" i="107"/>
  <c r="J418" i="107"/>
  <c r="J437" i="107"/>
  <c r="E443" i="107"/>
  <c r="F449" i="107"/>
  <c r="E455" i="107"/>
  <c r="H565" i="107"/>
  <c r="H591" i="107"/>
  <c r="I68" i="107"/>
  <c r="I112" i="107"/>
  <c r="J127" i="107"/>
  <c r="J157" i="107"/>
  <c r="G181" i="107"/>
  <c r="G190" i="107"/>
  <c r="D387" i="107"/>
  <c r="I392" i="107"/>
  <c r="D419" i="107"/>
  <c r="I443" i="107"/>
  <c r="J455" i="107"/>
  <c r="J464" i="107"/>
  <c r="J472" i="107"/>
  <c r="J492" i="107"/>
  <c r="H558" i="107"/>
  <c r="J574" i="107"/>
  <c r="I591" i="107"/>
  <c r="G41" i="107"/>
  <c r="C173" i="107"/>
  <c r="G200" i="107"/>
  <c r="D266" i="107"/>
  <c r="D285" i="107"/>
  <c r="D356" i="107"/>
  <c r="I373" i="107"/>
  <c r="F387" i="107"/>
  <c r="J392" i="107"/>
  <c r="E439" i="107"/>
  <c r="D409" i="107"/>
  <c r="E362" i="107"/>
  <c r="D383" i="107"/>
  <c r="F405" i="107"/>
  <c r="E409" i="107"/>
  <c r="D413" i="107"/>
  <c r="E416" i="107"/>
  <c r="D427" i="107"/>
  <c r="D445" i="107"/>
  <c r="F448" i="107"/>
  <c r="D362" i="107"/>
  <c r="E405" i="107"/>
  <c r="D416" i="107"/>
  <c r="E448" i="107"/>
  <c r="J256" i="107"/>
  <c r="J65" i="107"/>
  <c r="I77" i="107"/>
  <c r="C184" i="107"/>
  <c r="F189" i="107"/>
  <c r="C207" i="107"/>
  <c r="D258" i="107"/>
  <c r="G265" i="107"/>
  <c r="J277" i="107"/>
  <c r="H285" i="107"/>
  <c r="G297" i="107"/>
  <c r="D312" i="107"/>
  <c r="D324" i="107"/>
  <c r="D351" i="107"/>
  <c r="F362" i="107"/>
  <c r="E374" i="107"/>
  <c r="E383" i="107"/>
  <c r="I387" i="107"/>
  <c r="E391" i="107"/>
  <c r="D402" i="107"/>
  <c r="H405" i="107"/>
  <c r="F409" i="107"/>
  <c r="E413" i="107"/>
  <c r="F416" i="107"/>
  <c r="J423" i="107"/>
  <c r="E427" i="107"/>
  <c r="H430" i="107"/>
  <c r="D434" i="107"/>
  <c r="E442" i="107"/>
  <c r="E445" i="107"/>
  <c r="H448" i="107"/>
  <c r="I456" i="107"/>
  <c r="H461" i="107"/>
  <c r="J475" i="107"/>
  <c r="H484" i="107"/>
  <c r="I491" i="107"/>
  <c r="H526" i="107"/>
  <c r="I532" i="107"/>
  <c r="I551" i="107"/>
  <c r="J17" i="107"/>
  <c r="C196" i="107"/>
  <c r="G258" i="107"/>
  <c r="D305" i="107"/>
  <c r="D319" i="107"/>
  <c r="G324" i="107"/>
  <c r="D332" i="107"/>
  <c r="G338" i="107"/>
  <c r="F351" i="107"/>
  <c r="I362" i="107"/>
  <c r="I370" i="107"/>
  <c r="F374" i="107"/>
  <c r="E379" i="107"/>
  <c r="F383" i="107"/>
  <c r="F391" i="107"/>
  <c r="D398" i="107"/>
  <c r="E402" i="107"/>
  <c r="I405" i="107"/>
  <c r="H409" i="107"/>
  <c r="F413" i="107"/>
  <c r="H416" i="107"/>
  <c r="F427" i="107"/>
  <c r="E434" i="107"/>
  <c r="H442" i="107"/>
  <c r="F445" i="107"/>
  <c r="I448" i="107"/>
  <c r="J456" i="107"/>
  <c r="I461" i="107"/>
  <c r="H496" i="107"/>
  <c r="I504" i="107"/>
  <c r="I526" i="107"/>
  <c r="J551" i="107"/>
  <c r="H564" i="107"/>
  <c r="H576" i="107"/>
  <c r="I583" i="107"/>
  <c r="H590" i="107"/>
  <c r="H596" i="107"/>
  <c r="G64" i="107"/>
  <c r="I115" i="107"/>
  <c r="I29" i="107"/>
  <c r="J104" i="107"/>
  <c r="C179" i="107"/>
  <c r="H338" i="107"/>
  <c r="D346" i="107"/>
  <c r="J362" i="107"/>
  <c r="F402" i="107"/>
  <c r="I409" i="107"/>
  <c r="I424" i="107"/>
  <c r="I427" i="107"/>
  <c r="F434" i="107"/>
  <c r="J442" i="107"/>
  <c r="J496" i="107"/>
  <c r="H519" i="107"/>
  <c r="I540" i="107"/>
  <c r="J583" i="107"/>
  <c r="D432" i="107"/>
  <c r="I135" i="107"/>
  <c r="D162" i="107"/>
  <c r="J359" i="107"/>
  <c r="E372" i="107"/>
  <c r="E432" i="107"/>
  <c r="G32" i="107"/>
  <c r="I6" i="107"/>
  <c r="R9" i="107"/>
  <c r="J180" i="107"/>
  <c r="C198" i="107"/>
  <c r="F241" i="107"/>
  <c r="D261" i="107"/>
  <c r="H268" i="107"/>
  <c r="D288" i="107"/>
  <c r="H340" i="107"/>
  <c r="D364" i="107"/>
  <c r="F372" i="107"/>
  <c r="F403" i="107"/>
  <c r="F407" i="107"/>
  <c r="F411" i="107"/>
  <c r="H421" i="107"/>
  <c r="F432" i="107"/>
  <c r="I440" i="107"/>
  <c r="H443" i="107"/>
  <c r="I457" i="107"/>
  <c r="H487" i="107"/>
  <c r="J535" i="107"/>
  <c r="H592" i="107"/>
  <c r="G44" i="107"/>
  <c r="I45" i="107"/>
  <c r="J57" i="107"/>
  <c r="I96" i="107"/>
  <c r="J123" i="107"/>
  <c r="J136" i="107"/>
  <c r="C204" i="107"/>
  <c r="D274" i="107"/>
  <c r="D282" i="107"/>
  <c r="G288" i="107"/>
  <c r="D308" i="107"/>
  <c r="G315" i="107"/>
  <c r="D335" i="107"/>
  <c r="D348" i="107"/>
  <c r="D353" i="107"/>
  <c r="D360" i="107"/>
  <c r="E364" i="107"/>
  <c r="H368" i="107"/>
  <c r="H372" i="107"/>
  <c r="I376" i="107"/>
  <c r="D385" i="107"/>
  <c r="F389" i="107"/>
  <c r="D393" i="107"/>
  <c r="D400" i="107"/>
  <c r="I403" i="107"/>
  <c r="H407" i="107"/>
  <c r="I411" i="107"/>
  <c r="H414" i="107"/>
  <c r="I421" i="107"/>
  <c r="D429" i="107"/>
  <c r="H432" i="107"/>
  <c r="D450" i="107"/>
  <c r="H548" i="107"/>
  <c r="I592" i="107"/>
  <c r="D372" i="107"/>
  <c r="J10" i="107"/>
  <c r="J58" i="107"/>
  <c r="C175" i="107"/>
  <c r="C187" i="107"/>
  <c r="J192" i="107"/>
  <c r="F212" i="107"/>
  <c r="D269" i="107"/>
  <c r="G274" i="107"/>
  <c r="G282" i="107"/>
  <c r="D295" i="107"/>
  <c r="G308" i="107"/>
  <c r="G335" i="107"/>
  <c r="F364" i="107"/>
  <c r="I368" i="107"/>
  <c r="I372" i="107"/>
  <c r="E385" i="107"/>
  <c r="E393" i="107"/>
  <c r="E400" i="107"/>
  <c r="J407" i="107"/>
  <c r="J411" i="107"/>
  <c r="D418" i="107"/>
  <c r="I425" i="107"/>
  <c r="E429" i="107"/>
  <c r="I432" i="107"/>
  <c r="E450" i="107"/>
  <c r="H458" i="107"/>
  <c r="H480" i="107"/>
  <c r="H494" i="107"/>
  <c r="I523" i="107"/>
  <c r="J528" i="107"/>
  <c r="H536" i="107"/>
  <c r="I548" i="107"/>
  <c r="I567" i="107"/>
  <c r="G87" i="107"/>
  <c r="E531" i="107"/>
  <c r="E347" i="107"/>
  <c r="D234" i="107"/>
  <c r="I36" i="107"/>
  <c r="G199" i="107"/>
  <c r="H269" i="107"/>
  <c r="G295" i="107"/>
  <c r="D316" i="107"/>
  <c r="D322" i="107"/>
  <c r="I353" i="107"/>
  <c r="H364" i="107"/>
  <c r="D381" i="107"/>
  <c r="F385" i="107"/>
  <c r="F393" i="107"/>
  <c r="D397" i="107"/>
  <c r="F400" i="107"/>
  <c r="E418" i="107"/>
  <c r="F429" i="107"/>
  <c r="D437" i="107"/>
  <c r="D441" i="107"/>
  <c r="F450" i="107"/>
  <c r="J480" i="107"/>
  <c r="H488" i="107"/>
  <c r="H508" i="107"/>
  <c r="J523" i="107"/>
  <c r="I536" i="107"/>
  <c r="H543" i="107"/>
  <c r="H561" i="107"/>
  <c r="J567" i="107"/>
  <c r="G12" i="107"/>
  <c r="H295" i="107"/>
  <c r="D303" i="107"/>
  <c r="G316" i="107"/>
  <c r="G322" i="107"/>
  <c r="D349" i="107"/>
  <c r="D354" i="107"/>
  <c r="I364" i="107"/>
  <c r="E381" i="107"/>
  <c r="H385" i="107"/>
  <c r="H393" i="107"/>
  <c r="H400" i="107"/>
  <c r="I408" i="107"/>
  <c r="H429" i="107"/>
  <c r="H450" i="107"/>
  <c r="H515" i="107"/>
  <c r="H530" i="107"/>
  <c r="I543" i="107"/>
  <c r="I561" i="107"/>
  <c r="H580" i="107"/>
  <c r="H593" i="107"/>
  <c r="C182" i="107"/>
  <c r="I361" i="107"/>
  <c r="E412" i="107"/>
  <c r="H415" i="107"/>
  <c r="F418" i="107"/>
  <c r="E426" i="107"/>
  <c r="E444" i="107"/>
  <c r="F325" i="107"/>
  <c r="F37" i="107"/>
  <c r="F87" i="107"/>
  <c r="E369" i="107"/>
  <c r="E378" i="107"/>
  <c r="F381" i="107"/>
  <c r="J385" i="107"/>
  <c r="I393" i="107"/>
  <c r="J408" i="107"/>
  <c r="I412" i="107"/>
  <c r="H418" i="107"/>
  <c r="H426" i="107"/>
  <c r="F441" i="107"/>
  <c r="J450" i="107"/>
  <c r="F455" i="107"/>
  <c r="H459" i="107"/>
  <c r="H524" i="107"/>
  <c r="H549" i="107"/>
  <c r="I556" i="107"/>
  <c r="H568" i="107"/>
  <c r="S9" i="107"/>
  <c r="D481" i="107"/>
  <c r="D482" i="107"/>
  <c r="H257" i="107"/>
  <c r="I12" i="107"/>
  <c r="I30" i="107"/>
  <c r="I86" i="107"/>
  <c r="J105" i="107"/>
  <c r="J126" i="107"/>
  <c r="J158" i="107"/>
  <c r="G169" i="107"/>
  <c r="J176" i="107"/>
  <c r="J212" i="107"/>
  <c r="I231" i="107"/>
  <c r="J353" i="107"/>
  <c r="J358" i="107"/>
  <c r="I3" i="107"/>
  <c r="G8" i="107"/>
  <c r="I22" i="107"/>
  <c r="J33" i="107"/>
  <c r="J41" i="107"/>
  <c r="G70" i="107"/>
  <c r="J119" i="107"/>
  <c r="I171" i="107"/>
  <c r="H253" i="107"/>
  <c r="I354" i="107"/>
  <c r="I183" i="107"/>
  <c r="I213" i="107"/>
  <c r="J14" i="107"/>
  <c r="J49" i="107"/>
  <c r="I79" i="107"/>
  <c r="J138" i="107"/>
  <c r="I285" i="107"/>
  <c r="J3" i="107"/>
  <c r="I15" i="107"/>
  <c r="J50" i="107"/>
  <c r="J61" i="107"/>
  <c r="J70" i="107"/>
  <c r="I80" i="107"/>
  <c r="J89" i="107"/>
  <c r="J98" i="107"/>
  <c r="J109" i="107"/>
  <c r="I139" i="107"/>
  <c r="G172" i="107"/>
  <c r="I233" i="107"/>
  <c r="I266" i="107"/>
  <c r="J354" i="107"/>
  <c r="H41" i="107"/>
  <c r="G9" i="107"/>
  <c r="J34" i="107"/>
  <c r="I42" i="107"/>
  <c r="J51" i="107"/>
  <c r="I130" i="107"/>
  <c r="J260" i="107"/>
  <c r="I272" i="107"/>
  <c r="I360" i="107"/>
  <c r="I128" i="107"/>
  <c r="I200" i="107"/>
  <c r="J4" i="107"/>
  <c r="G16" i="107"/>
  <c r="I62" i="107"/>
  <c r="J71" i="107"/>
  <c r="J81" i="107"/>
  <c r="I91" i="107"/>
  <c r="I99" i="107"/>
  <c r="I110" i="107"/>
  <c r="I140" i="107"/>
  <c r="J165" i="107"/>
  <c r="J215" i="107"/>
  <c r="H254" i="107"/>
  <c r="J360" i="107"/>
  <c r="I119" i="107"/>
  <c r="J16" i="107"/>
  <c r="G25" i="107"/>
  <c r="J35" i="107"/>
  <c r="I43" i="107"/>
  <c r="J111" i="107"/>
  <c r="J122" i="107"/>
  <c r="I131" i="107"/>
  <c r="H153" i="107"/>
  <c r="J190" i="107"/>
  <c r="J196" i="107"/>
  <c r="I351" i="107"/>
  <c r="I167" i="107"/>
  <c r="I356" i="107"/>
  <c r="I83" i="107"/>
  <c r="I102" i="107"/>
  <c r="J167" i="107"/>
  <c r="I191" i="107"/>
  <c r="J356" i="107"/>
  <c r="I27" i="107"/>
  <c r="I93" i="107"/>
  <c r="I114" i="107"/>
  <c r="G144" i="107"/>
  <c r="J186" i="107"/>
  <c r="I238" i="107"/>
  <c r="H6" i="107"/>
  <c r="H255" i="107"/>
  <c r="I74" i="107"/>
  <c r="J93" i="107"/>
  <c r="J133" i="107"/>
  <c r="I248" i="107"/>
  <c r="I307" i="107"/>
  <c r="I19" i="107"/>
  <c r="J38" i="107"/>
  <c r="J45" i="107"/>
  <c r="I55" i="107"/>
  <c r="J66" i="107"/>
  <c r="I75" i="107"/>
  <c r="J94" i="107"/>
  <c r="I103" i="107"/>
  <c r="G125" i="107"/>
  <c r="I134" i="107"/>
  <c r="G168" i="107"/>
  <c r="J181" i="107"/>
  <c r="J219" i="107"/>
  <c r="H256" i="107"/>
  <c r="J302" i="107"/>
  <c r="J352" i="107"/>
  <c r="F93" i="107"/>
  <c r="F354" i="107"/>
  <c r="F5" i="107"/>
  <c r="F114" i="107"/>
  <c r="F77" i="107"/>
  <c r="F86" i="107"/>
  <c r="F49" i="107"/>
  <c r="F355" i="107"/>
  <c r="F360" i="107"/>
  <c r="F34" i="107"/>
  <c r="F18" i="107"/>
  <c r="F356" i="107"/>
  <c r="F126" i="107"/>
  <c r="F192" i="107"/>
  <c r="F11" i="107"/>
  <c r="F19" i="107"/>
  <c r="F27" i="107"/>
  <c r="F36" i="107"/>
  <c r="F109" i="107"/>
  <c r="F353" i="107"/>
  <c r="F170" i="107"/>
  <c r="F150" i="107"/>
  <c r="F162" i="107"/>
  <c r="E355" i="107"/>
  <c r="E360" i="107"/>
  <c r="E356" i="107"/>
  <c r="E353" i="107"/>
  <c r="E351" i="107"/>
  <c r="E281" i="107"/>
  <c r="E10" i="107"/>
  <c r="E100" i="107"/>
  <c r="E22" i="107"/>
  <c r="E42" i="107"/>
  <c r="E30" i="107"/>
  <c r="E50" i="107"/>
  <c r="E68" i="107"/>
  <c r="E75" i="107"/>
  <c r="E199" i="107"/>
  <c r="E31" i="107"/>
  <c r="E7" i="107"/>
  <c r="E23" i="107"/>
  <c r="E78" i="107"/>
  <c r="E95" i="107"/>
  <c r="E103" i="107"/>
  <c r="E36" i="107"/>
  <c r="E32" i="107"/>
  <c r="E52" i="107"/>
  <c r="E132" i="107"/>
  <c r="E24" i="107"/>
  <c r="E71" i="107"/>
  <c r="E164" i="107"/>
  <c r="E39" i="107"/>
  <c r="E63" i="107"/>
  <c r="E134" i="107"/>
  <c r="E144" i="107"/>
  <c r="E185" i="107"/>
  <c r="E34" i="107"/>
  <c r="E40" i="107"/>
  <c r="E135" i="107"/>
  <c r="E127" i="107"/>
  <c r="D121" i="107"/>
  <c r="D25" i="107"/>
  <c r="D45" i="107"/>
  <c r="D71" i="107"/>
  <c r="D130" i="107"/>
  <c r="D256" i="107"/>
  <c r="D253" i="107"/>
  <c r="D16" i="107"/>
  <c r="D109" i="107"/>
  <c r="D84" i="107"/>
  <c r="D254" i="107"/>
  <c r="D255" i="107"/>
  <c r="D38" i="107"/>
  <c r="C171" i="107"/>
  <c r="C172" i="107"/>
  <c r="C168" i="107"/>
  <c r="C170" i="107"/>
  <c r="H59" i="107"/>
  <c r="J13" i="107"/>
  <c r="I18" i="107"/>
  <c r="J22" i="107"/>
  <c r="J27" i="107"/>
  <c r="G33" i="107"/>
  <c r="J37" i="107"/>
  <c r="J46" i="107"/>
  <c r="I52" i="107"/>
  <c r="I59" i="107"/>
  <c r="I76" i="107"/>
  <c r="I82" i="107"/>
  <c r="I87" i="107"/>
  <c r="G94" i="107"/>
  <c r="J99" i="107"/>
  <c r="J120" i="107"/>
  <c r="H133" i="107"/>
  <c r="H140" i="107"/>
  <c r="J147" i="107"/>
  <c r="J154" i="107"/>
  <c r="I162" i="107"/>
  <c r="J172" i="107"/>
  <c r="J182" i="107"/>
  <c r="I197" i="107"/>
  <c r="J223" i="107"/>
  <c r="J231" i="107"/>
  <c r="J272" i="107"/>
  <c r="I280" i="107"/>
  <c r="I327" i="107"/>
  <c r="J334" i="107"/>
  <c r="H13" i="107"/>
  <c r="H87" i="107"/>
  <c r="H207" i="107"/>
  <c r="I13" i="107"/>
  <c r="J18" i="107"/>
  <c r="H52" i="107"/>
  <c r="J59" i="107"/>
  <c r="I66" i="107"/>
  <c r="I71" i="107"/>
  <c r="H83" i="107"/>
  <c r="J87" i="107"/>
  <c r="I94" i="107"/>
  <c r="I107" i="107"/>
  <c r="J141" i="107"/>
  <c r="I155" i="107"/>
  <c r="J162" i="107"/>
  <c r="I178" i="107"/>
  <c r="J187" i="107"/>
  <c r="J197" i="107"/>
  <c r="I202" i="107"/>
  <c r="I286" i="107"/>
  <c r="J240" i="107"/>
  <c r="J255" i="107"/>
  <c r="J261" i="107"/>
  <c r="I309" i="107"/>
  <c r="H47" i="107"/>
  <c r="H173" i="107"/>
  <c r="H3" i="107"/>
  <c r="J23" i="107"/>
  <c r="I28" i="107"/>
  <c r="H34" i="107"/>
  <c r="G38" i="107"/>
  <c r="J42" i="107"/>
  <c r="I47" i="107"/>
  <c r="H53" i="107"/>
  <c r="I60" i="107"/>
  <c r="H77" i="107"/>
  <c r="J83" i="107"/>
  <c r="G88" i="107"/>
  <c r="G100" i="107"/>
  <c r="J114" i="107"/>
  <c r="J121" i="107"/>
  <c r="G128" i="107"/>
  <c r="H134" i="107"/>
  <c r="I142" i="107"/>
  <c r="H149" i="107"/>
  <c r="I156" i="107"/>
  <c r="I163" i="107"/>
  <c r="I173" i="107"/>
  <c r="I208" i="107"/>
  <c r="I224" i="107"/>
  <c r="I250" i="107"/>
  <c r="J292" i="107"/>
  <c r="I316" i="107"/>
  <c r="J329" i="107"/>
  <c r="H37" i="107"/>
  <c r="H28" i="107"/>
  <c r="H121" i="107"/>
  <c r="I10" i="107"/>
  <c r="H15" i="107"/>
  <c r="H19" i="107"/>
  <c r="I23" i="107"/>
  <c r="I34" i="107"/>
  <c r="I38" i="107"/>
  <c r="J47" i="107"/>
  <c r="I54" i="107"/>
  <c r="H60" i="107"/>
  <c r="H67" i="107"/>
  <c r="J77" i="107"/>
  <c r="J88" i="107"/>
  <c r="I108" i="107"/>
  <c r="H128" i="107"/>
  <c r="J142" i="107"/>
  <c r="J149" i="107"/>
  <c r="H156" i="107"/>
  <c r="J163" i="107"/>
  <c r="I179" i="107"/>
  <c r="J188" i="107"/>
  <c r="J193" i="107"/>
  <c r="J198" i="107"/>
  <c r="J203" i="107"/>
  <c r="J209" i="107"/>
  <c r="I216" i="107"/>
  <c r="J224" i="107"/>
  <c r="I292" i="107"/>
  <c r="J304" i="107"/>
  <c r="I343" i="107"/>
  <c r="H101" i="107"/>
  <c r="H73" i="107"/>
  <c r="H143" i="107"/>
  <c r="J15" i="107"/>
  <c r="J19" i="107"/>
  <c r="H38" i="107"/>
  <c r="J43" i="107"/>
  <c r="H48" i="107"/>
  <c r="H54" i="107"/>
  <c r="I61" i="107"/>
  <c r="J67" i="107"/>
  <c r="J73" i="107"/>
  <c r="I84" i="107"/>
  <c r="J90" i="107"/>
  <c r="J95" i="107"/>
  <c r="J101" i="107"/>
  <c r="J115" i="107"/>
  <c r="J135" i="107"/>
  <c r="J143" i="107"/>
  <c r="I157" i="107"/>
  <c r="H164" i="107"/>
  <c r="I169" i="107"/>
  <c r="I184" i="107"/>
  <c r="I298" i="107"/>
  <c r="H108" i="107"/>
  <c r="H169" i="107"/>
  <c r="G11" i="107"/>
  <c r="J30" i="107"/>
  <c r="I35" i="107"/>
  <c r="H55" i="107"/>
  <c r="G62" i="107"/>
  <c r="G73" i="107"/>
  <c r="J78" i="107"/>
  <c r="H85" i="107"/>
  <c r="H91" i="107"/>
  <c r="H96" i="107"/>
  <c r="G101" i="107"/>
  <c r="I123" i="107"/>
  <c r="I150" i="107"/>
  <c r="I158" i="107"/>
  <c r="J174" i="107"/>
  <c r="I189" i="107"/>
  <c r="I194" i="107"/>
  <c r="H199" i="107"/>
  <c r="I204" i="107"/>
  <c r="J211" i="107"/>
  <c r="J218" i="107"/>
  <c r="H243" i="107"/>
  <c r="J270" i="107"/>
  <c r="H211" i="107"/>
  <c r="J235" i="107"/>
  <c r="J243" i="107"/>
  <c r="J252" i="107"/>
  <c r="I275" i="107"/>
  <c r="J331" i="107"/>
  <c r="H116" i="107"/>
  <c r="H150" i="107"/>
  <c r="J5" i="107"/>
  <c r="I11" i="107"/>
  <c r="H16" i="107"/>
  <c r="J20" i="107"/>
  <c r="H25" i="107"/>
  <c r="J39" i="107"/>
  <c r="H44" i="107"/>
  <c r="J55" i="107"/>
  <c r="J62" i="107"/>
  <c r="J74" i="107"/>
  <c r="J79" i="107"/>
  <c r="J91" i="107"/>
  <c r="I109" i="107"/>
  <c r="J117" i="107"/>
  <c r="J130" i="107"/>
  <c r="J137" i="107"/>
  <c r="I144" i="107"/>
  <c r="I151" i="107"/>
  <c r="J159" i="107"/>
  <c r="I195" i="107"/>
  <c r="H227" i="107"/>
  <c r="I306" i="107"/>
  <c r="J313" i="107"/>
  <c r="H11" i="107"/>
  <c r="H5" i="107"/>
  <c r="J9" i="107"/>
  <c r="J11" i="107"/>
  <c r="I16" i="107"/>
  <c r="H21" i="107"/>
  <c r="I25" i="107"/>
  <c r="I31" i="107"/>
  <c r="I44" i="107"/>
  <c r="J69" i="107"/>
  <c r="H80" i="107"/>
  <c r="J110" i="107"/>
  <c r="I118" i="107"/>
  <c r="I124" i="107"/>
  <c r="J151" i="107"/>
  <c r="G160" i="107"/>
  <c r="I166" i="107"/>
  <c r="J170" i="107"/>
  <c r="I175" i="107"/>
  <c r="I185" i="107"/>
  <c r="J220" i="107"/>
  <c r="J228" i="107"/>
  <c r="J236" i="107"/>
  <c r="J245" i="107"/>
  <c r="J300" i="107"/>
  <c r="H181" i="107"/>
  <c r="H245" i="107"/>
  <c r="H118" i="107"/>
  <c r="H160" i="107"/>
  <c r="J6" i="107"/>
  <c r="H12" i="107"/>
  <c r="G21" i="107"/>
  <c r="H36" i="107"/>
  <c r="I51" i="107"/>
  <c r="I63" i="107"/>
  <c r="I70" i="107"/>
  <c r="H75" i="107"/>
  <c r="J86" i="107"/>
  <c r="I98" i="107"/>
  <c r="J103" i="107"/>
  <c r="H111" i="107"/>
  <c r="H119" i="107"/>
  <c r="J125" i="107"/>
  <c r="J131" i="107"/>
  <c r="I146" i="107"/>
  <c r="J152" i="107"/>
  <c r="I160" i="107"/>
  <c r="H167" i="107"/>
  <c r="I181" i="107"/>
  <c r="I206" i="107"/>
  <c r="I212" i="107"/>
  <c r="I222" i="107"/>
  <c r="J229" i="107"/>
  <c r="H238" i="107"/>
  <c r="F32" i="107"/>
  <c r="F55" i="107"/>
  <c r="F71" i="107"/>
  <c r="F81" i="107"/>
  <c r="F143" i="107"/>
  <c r="F227" i="107"/>
  <c r="F10" i="107"/>
  <c r="F14" i="107"/>
  <c r="F61" i="107"/>
  <c r="F102" i="107"/>
  <c r="F155" i="107"/>
  <c r="F160" i="107"/>
  <c r="F167" i="107"/>
  <c r="F193" i="107"/>
  <c r="F222" i="107"/>
  <c r="F243" i="107"/>
  <c r="F97" i="107"/>
  <c r="F121" i="107"/>
  <c r="F161" i="107"/>
  <c r="F171" i="107"/>
  <c r="F180" i="107"/>
  <c r="F202" i="107"/>
  <c r="F335" i="107"/>
  <c r="F176" i="107"/>
  <c r="F203" i="107"/>
  <c r="F305" i="107"/>
  <c r="F30" i="107"/>
  <c r="F57" i="107"/>
  <c r="F145" i="107"/>
  <c r="F151" i="107"/>
  <c r="F177" i="107"/>
  <c r="F244" i="107"/>
  <c r="F127" i="107"/>
  <c r="F265" i="107"/>
  <c r="F157" i="107"/>
  <c r="F78" i="107"/>
  <c r="F111" i="107"/>
  <c r="F134" i="107"/>
  <c r="F224" i="107"/>
  <c r="F275" i="107"/>
  <c r="F35" i="107"/>
  <c r="F53" i="107"/>
  <c r="F63" i="107"/>
  <c r="F70" i="107"/>
  <c r="F146" i="107"/>
  <c r="F158" i="107"/>
  <c r="F173" i="107"/>
  <c r="F186" i="107"/>
  <c r="F195" i="107"/>
  <c r="F349" i="107"/>
  <c r="F270" i="107"/>
  <c r="F103" i="107"/>
  <c r="F139" i="107"/>
  <c r="F194" i="107"/>
  <c r="F238" i="107"/>
  <c r="F6" i="107"/>
  <c r="F8" i="107"/>
  <c r="F38" i="107"/>
  <c r="F231" i="107"/>
  <c r="F47" i="107"/>
  <c r="F118" i="107"/>
  <c r="F123" i="107"/>
  <c r="F299" i="107"/>
  <c r="F43" i="107"/>
  <c r="F59" i="107"/>
  <c r="F79" i="107"/>
  <c r="F89" i="107"/>
  <c r="F141" i="107"/>
  <c r="F7" i="107"/>
  <c r="F31" i="107"/>
  <c r="F85" i="107"/>
  <c r="F119" i="107"/>
  <c r="F129" i="107"/>
  <c r="F178" i="107"/>
  <c r="F16" i="107"/>
  <c r="F39" i="107"/>
  <c r="F54" i="107"/>
  <c r="F75" i="107"/>
  <c r="F95" i="107"/>
  <c r="F107" i="107"/>
  <c r="F135" i="107"/>
  <c r="F153" i="107"/>
  <c r="F159" i="107"/>
  <c r="F3" i="107"/>
  <c r="F13" i="107"/>
  <c r="F91" i="107"/>
  <c r="F113" i="107"/>
  <c r="F125" i="107"/>
  <c r="F130" i="107"/>
  <c r="F142" i="107"/>
  <c r="F187" i="107"/>
  <c r="F196" i="107"/>
  <c r="F205" i="107"/>
  <c r="F267" i="107"/>
  <c r="F320" i="107"/>
  <c r="F297" i="107"/>
  <c r="E66" i="107"/>
  <c r="E80" i="107"/>
  <c r="E274" i="107"/>
  <c r="E3" i="107"/>
  <c r="E38" i="107"/>
  <c r="E86" i="107"/>
  <c r="E216" i="107"/>
  <c r="E342" i="107"/>
  <c r="E35" i="107"/>
  <c r="E62" i="107"/>
  <c r="E159" i="107"/>
  <c r="E247" i="107"/>
  <c r="E13" i="107"/>
  <c r="E47" i="107"/>
  <c r="E56" i="107"/>
  <c r="E148" i="107"/>
  <c r="E43" i="107"/>
  <c r="E219" i="107"/>
  <c r="E14" i="107"/>
  <c r="E54" i="107"/>
  <c r="E122" i="107"/>
  <c r="E150" i="107"/>
  <c r="E6" i="107"/>
  <c r="E8" i="107"/>
  <c r="E11" i="107"/>
  <c r="E88" i="107"/>
  <c r="D141" i="107"/>
  <c r="D75" i="107"/>
  <c r="D93" i="107"/>
  <c r="D157" i="107"/>
  <c r="D47" i="107"/>
  <c r="D80" i="107"/>
  <c r="D153" i="107"/>
  <c r="D99" i="107"/>
  <c r="D39" i="107"/>
  <c r="D131" i="107"/>
  <c r="D52" i="107"/>
  <c r="D116" i="107"/>
  <c r="D143" i="107"/>
  <c r="D18" i="107"/>
  <c r="D23" i="107"/>
  <c r="D57" i="107"/>
  <c r="D91" i="107"/>
  <c r="D148" i="107"/>
  <c r="D11" i="107"/>
  <c r="D67" i="107"/>
  <c r="D137" i="107"/>
  <c r="D77" i="107"/>
  <c r="D128" i="107"/>
  <c r="D139" i="107"/>
  <c r="D498" i="107"/>
  <c r="D3" i="107"/>
  <c r="D28" i="107"/>
  <c r="D81" i="107"/>
  <c r="D107" i="107"/>
  <c r="D41" i="107"/>
  <c r="D49" i="107"/>
  <c r="D96" i="107"/>
  <c r="C88" i="107"/>
  <c r="C97" i="107"/>
  <c r="C25" i="107"/>
  <c r="C41" i="107"/>
  <c r="C150" i="107"/>
  <c r="C233" i="107"/>
  <c r="C259" i="107"/>
  <c r="C67" i="107"/>
  <c r="C76" i="107"/>
  <c r="C86" i="107"/>
  <c r="C129" i="107"/>
  <c r="C5" i="107"/>
  <c r="C17" i="107"/>
  <c r="C45" i="107"/>
  <c r="C73" i="107"/>
  <c r="C120" i="107"/>
  <c r="C161" i="107"/>
  <c r="C227" i="107"/>
  <c r="C436" i="107"/>
  <c r="C44" i="107"/>
  <c r="C114" i="107"/>
  <c r="C8" i="107"/>
  <c r="C214" i="107"/>
  <c r="C234" i="107"/>
  <c r="C11" i="107"/>
  <c r="C26" i="107"/>
  <c r="C70" i="107"/>
  <c r="C116" i="107"/>
  <c r="C35" i="107"/>
  <c r="C59" i="107"/>
  <c r="C65" i="107"/>
  <c r="C42" i="107"/>
  <c r="C100" i="107"/>
  <c r="C236" i="107"/>
  <c r="C243" i="107"/>
  <c r="C16" i="107"/>
  <c r="C92" i="107"/>
  <c r="C118" i="107"/>
  <c r="C52" i="107"/>
  <c r="H46" i="107"/>
  <c r="D46" i="107"/>
  <c r="C46" i="107"/>
  <c r="D286" i="107"/>
  <c r="G286" i="107"/>
  <c r="J286" i="107"/>
  <c r="H286" i="107"/>
  <c r="F286" i="107"/>
  <c r="E286" i="107"/>
  <c r="C286" i="107"/>
  <c r="H7" i="107"/>
  <c r="C12" i="107"/>
  <c r="G14" i="107"/>
  <c r="C21" i="107"/>
  <c r="F23" i="107"/>
  <c r="H32" i="107"/>
  <c r="G57" i="107"/>
  <c r="C60" i="107"/>
  <c r="D65" i="107"/>
  <c r="C68" i="107"/>
  <c r="D73" i="107"/>
  <c r="G78" i="107"/>
  <c r="F80" i="107"/>
  <c r="J80" i="107"/>
  <c r="J97" i="107"/>
  <c r="I97" i="107"/>
  <c r="H97" i="107"/>
  <c r="G97" i="107"/>
  <c r="E97" i="107"/>
  <c r="D97" i="107"/>
  <c r="H100" i="107"/>
  <c r="G103" i="107"/>
  <c r="E107" i="107"/>
  <c r="F110" i="107"/>
  <c r="C113" i="107"/>
  <c r="E116" i="107"/>
  <c r="I122" i="107"/>
  <c r="H122" i="107"/>
  <c r="G122" i="107"/>
  <c r="F122" i="107"/>
  <c r="D122" i="107"/>
  <c r="C122" i="107"/>
  <c r="C132" i="107"/>
  <c r="E138" i="107"/>
  <c r="G141" i="107"/>
  <c r="H144" i="107"/>
  <c r="E151" i="107"/>
  <c r="E153" i="107"/>
  <c r="I153" i="107"/>
  <c r="G157" i="107"/>
  <c r="C164" i="107"/>
  <c r="H185" i="107"/>
  <c r="D189" i="107"/>
  <c r="D218" i="107"/>
  <c r="D228" i="107"/>
  <c r="C251" i="107"/>
  <c r="C287" i="107"/>
  <c r="C291" i="107"/>
  <c r="C295" i="107"/>
  <c r="J301" i="107"/>
  <c r="I301" i="107"/>
  <c r="H301" i="107"/>
  <c r="G301" i="107"/>
  <c r="F301" i="107"/>
  <c r="E301" i="107"/>
  <c r="D301" i="107"/>
  <c r="C301" i="107"/>
  <c r="C314" i="107"/>
  <c r="C319" i="107"/>
  <c r="J323" i="107"/>
  <c r="G323" i="107"/>
  <c r="I323" i="107"/>
  <c r="F323" i="107"/>
  <c r="E323" i="107"/>
  <c r="C323" i="107"/>
  <c r="H323" i="107"/>
  <c r="I382" i="107"/>
  <c r="F382" i="107"/>
  <c r="E382" i="107"/>
  <c r="D382" i="107"/>
  <c r="J382" i="107"/>
  <c r="H382" i="107"/>
  <c r="C382" i="107"/>
  <c r="J454" i="107"/>
  <c r="H454" i="107"/>
  <c r="F454" i="107"/>
  <c r="E454" i="107"/>
  <c r="D454" i="107"/>
  <c r="I454" i="107"/>
  <c r="C454" i="107"/>
  <c r="H608" i="107"/>
  <c r="H602" i="107"/>
  <c r="H606" i="107"/>
  <c r="H601" i="107"/>
  <c r="H605" i="107"/>
  <c r="H600" i="107"/>
  <c r="H609" i="107"/>
  <c r="H613" i="107"/>
  <c r="H599" i="107"/>
  <c r="H250" i="107"/>
  <c r="F250" i="107"/>
  <c r="C250" i="107"/>
  <c r="J250" i="107"/>
  <c r="G250" i="107"/>
  <c r="E250" i="107"/>
  <c r="D250" i="107"/>
  <c r="T9" i="107"/>
  <c r="G5" i="107"/>
  <c r="I8" i="107"/>
  <c r="D34" i="107"/>
  <c r="C37" i="107"/>
  <c r="I49" i="107"/>
  <c r="H49" i="107"/>
  <c r="G49" i="107"/>
  <c r="E49" i="107"/>
  <c r="D55" i="107"/>
  <c r="H57" i="107"/>
  <c r="G60" i="107"/>
  <c r="H62" i="107"/>
  <c r="D62" i="107"/>
  <c r="C62" i="107"/>
  <c r="F65" i="107"/>
  <c r="D68" i="107"/>
  <c r="F73" i="107"/>
  <c r="I78" i="107"/>
  <c r="C81" i="107"/>
  <c r="C83" i="107"/>
  <c r="G86" i="107"/>
  <c r="C89" i="107"/>
  <c r="H94" i="107"/>
  <c r="E94" i="107"/>
  <c r="D94" i="107"/>
  <c r="C94" i="107"/>
  <c r="C98" i="107"/>
  <c r="J100" i="107"/>
  <c r="I100" i="107"/>
  <c r="F100" i="107"/>
  <c r="C104" i="107"/>
  <c r="G110" i="107"/>
  <c r="G116" i="107"/>
  <c r="D123" i="107"/>
  <c r="F128" i="107"/>
  <c r="C128" i="107"/>
  <c r="J128" i="107"/>
  <c r="D132" i="107"/>
  <c r="H135" i="107"/>
  <c r="C148" i="107"/>
  <c r="E154" i="107"/>
  <c r="D164" i="107"/>
  <c r="D193" i="107"/>
  <c r="E218" i="107"/>
  <c r="E244" i="107"/>
  <c r="E260" i="107"/>
  <c r="C367" i="107"/>
  <c r="E401" i="107"/>
  <c r="D401" i="107"/>
  <c r="C401" i="107"/>
  <c r="J401" i="107"/>
  <c r="I401" i="107"/>
  <c r="H401" i="107"/>
  <c r="F401" i="107"/>
  <c r="C455" i="107"/>
  <c r="J72" i="107"/>
  <c r="I72" i="107"/>
  <c r="H72" i="107"/>
  <c r="F72" i="107"/>
  <c r="H8" i="107"/>
  <c r="C27" i="107"/>
  <c r="I7" i="107"/>
  <c r="J1296" i="107"/>
  <c r="J1280" i="107"/>
  <c r="J1264" i="107"/>
  <c r="J1248" i="107"/>
  <c r="J1231" i="107"/>
  <c r="J1336" i="107"/>
  <c r="J1320" i="107"/>
  <c r="J1304" i="107"/>
  <c r="J1287" i="107"/>
  <c r="J1271" i="107"/>
  <c r="J1255" i="107"/>
  <c r="J1334" i="107"/>
  <c r="J1318" i="107"/>
  <c r="J1302" i="107"/>
  <c r="J1285" i="107"/>
  <c r="J1269" i="107"/>
  <c r="J1253" i="107"/>
  <c r="J1236" i="107"/>
  <c r="J1220" i="107"/>
  <c r="J1339" i="107"/>
  <c r="J1323" i="107"/>
  <c r="J1307" i="107"/>
  <c r="J1290" i="107"/>
  <c r="J1274" i="107"/>
  <c r="J1258" i="107"/>
  <c r="J1242" i="107"/>
  <c r="J1225" i="107"/>
  <c r="J1337" i="107"/>
  <c r="J1321" i="107"/>
  <c r="J1305" i="107"/>
  <c r="J1288" i="107"/>
  <c r="J1272" i="107"/>
  <c r="J1256" i="107"/>
  <c r="J1328" i="107"/>
  <c r="J1315" i="107"/>
  <c r="J1282" i="107"/>
  <c r="J1250" i="107"/>
  <c r="J1237" i="107"/>
  <c r="J1204" i="107"/>
  <c r="J1319" i="107"/>
  <c r="J1286" i="107"/>
  <c r="J1254" i="107"/>
  <c r="J1199" i="107"/>
  <c r="J1245" i="107"/>
  <c r="J1211" i="107"/>
  <c r="J1163" i="107"/>
  <c r="J1145" i="107"/>
  <c r="J1129" i="107"/>
  <c r="J1233" i="107"/>
  <c r="J1222" i="107"/>
  <c r="J1201" i="107"/>
  <c r="J1196" i="107"/>
  <c r="J1191" i="107"/>
  <c r="J1161" i="107"/>
  <c r="J1143" i="107"/>
  <c r="J1127" i="107"/>
  <c r="J1244" i="107"/>
  <c r="J1239" i="107"/>
  <c r="J1203" i="107"/>
  <c r="J1198" i="107"/>
  <c r="J1193" i="107"/>
  <c r="J1166" i="107"/>
  <c r="J1331" i="107"/>
  <c r="J1335" i="107"/>
  <c r="J1303" i="107"/>
  <c r="J1270" i="107"/>
  <c r="J1215" i="107"/>
  <c r="J1227" i="107"/>
  <c r="J1260" i="107"/>
  <c r="J1171" i="107"/>
  <c r="J1168" i="107"/>
  <c r="J1154" i="107"/>
  <c r="J1238" i="107"/>
  <c r="J1178" i="107"/>
  <c r="J1150" i="107"/>
  <c r="J1134" i="107"/>
  <c r="J1266" i="107"/>
  <c r="J1174" i="107"/>
  <c r="J1157" i="107"/>
  <c r="J1139" i="107"/>
  <c r="J1123" i="107"/>
  <c r="J1068" i="107"/>
  <c r="J1309" i="107"/>
  <c r="J1185" i="107"/>
  <c r="J1066" i="107"/>
  <c r="J1050" i="107"/>
  <c r="J1173" i="107"/>
  <c r="J1156" i="107"/>
  <c r="J1118" i="107"/>
  <c r="J1116" i="107"/>
  <c r="J1114" i="107"/>
  <c r="J1104" i="107"/>
  <c r="J1102" i="107"/>
  <c r="J1100" i="107"/>
  <c r="J1098" i="107"/>
  <c r="J1088" i="107"/>
  <c r="J1086" i="107"/>
  <c r="J1084" i="107"/>
  <c r="J1082" i="107"/>
  <c r="J1073" i="107"/>
  <c r="J1292" i="107"/>
  <c r="J1188" i="107"/>
  <c r="J1235" i="107"/>
  <c r="J1209" i="107"/>
  <c r="J1160" i="107"/>
  <c r="J1299" i="107"/>
  <c r="J1223" i="107"/>
  <c r="J1149" i="107"/>
  <c r="J1146" i="107"/>
  <c r="J1133" i="107"/>
  <c r="J1130" i="107"/>
  <c r="J1144" i="107"/>
  <c r="J1081" i="107"/>
  <c r="J1057" i="107"/>
  <c r="J1091" i="107"/>
  <c r="J1080" i="107"/>
  <c r="J1071" i="107"/>
  <c r="J1052" i="107"/>
  <c r="J1002" i="107"/>
  <c r="J1195" i="107"/>
  <c r="J1110" i="107"/>
  <c r="J1094" i="107"/>
  <c r="J1148" i="107"/>
  <c r="J1135" i="107"/>
  <c r="J1341" i="107"/>
  <c r="J1221" i="107"/>
  <c r="J1169" i="107"/>
  <c r="J1128" i="107"/>
  <c r="J1049" i="107"/>
  <c r="J1030" i="107"/>
  <c r="J1276" i="107"/>
  <c r="J1113" i="107"/>
  <c r="J1228" i="107"/>
  <c r="J1183" i="107"/>
  <c r="J1064" i="107"/>
  <c r="J972" i="107"/>
  <c r="J1067" i="107"/>
  <c r="J1062" i="107"/>
  <c r="J1036" i="107"/>
  <c r="J959" i="107"/>
  <c r="J940" i="107"/>
  <c r="J938" i="107"/>
  <c r="J936" i="107"/>
  <c r="J934" i="107"/>
  <c r="J924" i="107"/>
  <c r="J908" i="107"/>
  <c r="J1076" i="107"/>
  <c r="J1072" i="107"/>
  <c r="J1012" i="107"/>
  <c r="J1167" i="107"/>
  <c r="J1132" i="107"/>
  <c r="J1112" i="107"/>
  <c r="J1004" i="107"/>
  <c r="J978" i="107"/>
  <c r="J946" i="107"/>
  <c r="J1092" i="107"/>
  <c r="J1035" i="107"/>
  <c r="J1028" i="107"/>
  <c r="J1325" i="107"/>
  <c r="J1111" i="107"/>
  <c r="J1097" i="107"/>
  <c r="J988" i="107"/>
  <c r="J956" i="107"/>
  <c r="J1060" i="107"/>
  <c r="J1034" i="107"/>
  <c r="J1024" i="107"/>
  <c r="J1000" i="107"/>
  <c r="J902" i="107"/>
  <c r="J896" i="107"/>
  <c r="J894" i="107"/>
  <c r="J892" i="107"/>
  <c r="J880" i="107"/>
  <c r="J878" i="107"/>
  <c r="J876" i="107"/>
  <c r="J863" i="107"/>
  <c r="J847" i="107"/>
  <c r="J831" i="107"/>
  <c r="J799" i="107"/>
  <c r="J1056" i="107"/>
  <c r="J1008" i="107"/>
  <c r="J1207" i="107"/>
  <c r="J928" i="107"/>
  <c r="J970" i="107"/>
  <c r="J962" i="107"/>
  <c r="J913" i="107"/>
  <c r="J1048" i="107"/>
  <c r="J1041" i="107"/>
  <c r="J954" i="107"/>
  <c r="J859" i="107"/>
  <c r="J843" i="107"/>
  <c r="J827" i="107"/>
  <c r="J1109" i="107"/>
  <c r="J1074" i="107"/>
  <c r="J1017" i="107"/>
  <c r="J984" i="107"/>
  <c r="J930" i="107"/>
  <c r="J1217" i="107"/>
  <c r="J1023" i="107"/>
  <c r="J899" i="107"/>
  <c r="J897" i="107"/>
  <c r="J895" i="107"/>
  <c r="J893" i="107"/>
  <c r="J883" i="107"/>
  <c r="J881" i="107"/>
  <c r="J879" i="107"/>
  <c r="J877" i="107"/>
  <c r="J864" i="107"/>
  <c r="J1108" i="107"/>
  <c r="J1089" i="107"/>
  <c r="J1053" i="107"/>
  <c r="J1046" i="107"/>
  <c r="J1010" i="107"/>
  <c r="J1005" i="107"/>
  <c r="J1001" i="107"/>
  <c r="J968" i="107"/>
  <c r="J964" i="107"/>
  <c r="J932" i="107"/>
  <c r="J929" i="107"/>
  <c r="J919" i="107"/>
  <c r="J910" i="107"/>
  <c r="J903" i="107"/>
  <c r="J1107" i="107"/>
  <c r="J1096" i="107"/>
  <c r="J1087" i="107"/>
  <c r="J937" i="107"/>
  <c r="J967" i="107"/>
  <c r="J921" i="107"/>
  <c r="J842" i="107"/>
  <c r="J952" i="107"/>
  <c r="J945" i="107"/>
  <c r="J891" i="107"/>
  <c r="J866" i="107"/>
  <c r="J1078" i="107"/>
  <c r="J966" i="107"/>
  <c r="J907" i="107"/>
  <c r="J887" i="107"/>
  <c r="J869" i="107"/>
  <c r="J853" i="107"/>
  <c r="J828" i="107"/>
  <c r="J801" i="107"/>
  <c r="J773" i="107"/>
  <c r="J757" i="107"/>
  <c r="J741" i="107"/>
  <c r="J725" i="107"/>
  <c r="J1026" i="107"/>
  <c r="J915" i="107"/>
  <c r="J911" i="107"/>
  <c r="J850" i="107"/>
  <c r="J844" i="107"/>
  <c r="J807" i="107"/>
  <c r="J805" i="107"/>
  <c r="J790" i="107"/>
  <c r="J771" i="107"/>
  <c r="J755" i="107"/>
  <c r="J739" i="107"/>
  <c r="J986" i="107"/>
  <c r="J875" i="107"/>
  <c r="J872" i="107"/>
  <c r="J914" i="107"/>
  <c r="J855" i="107"/>
  <c r="J838" i="107"/>
  <c r="J830" i="107"/>
  <c r="J811" i="107"/>
  <c r="J769" i="107"/>
  <c r="J931" i="107"/>
  <c r="J865" i="107"/>
  <c r="J991" i="107"/>
  <c r="J977" i="107"/>
  <c r="J871" i="107"/>
  <c r="J858" i="107"/>
  <c r="J832" i="107"/>
  <c r="J802" i="107"/>
  <c r="J783" i="107"/>
  <c r="J1032" i="107"/>
  <c r="J889" i="107"/>
  <c r="J983" i="107"/>
  <c r="J837" i="107"/>
  <c r="J819" i="107"/>
  <c r="J867" i="107"/>
  <c r="J776" i="107"/>
  <c r="J678" i="107"/>
  <c r="J662" i="107"/>
  <c r="J646" i="107"/>
  <c r="J701" i="107"/>
  <c r="J676" i="107"/>
  <c r="J674" i="107"/>
  <c r="J672" i="107"/>
  <c r="J848" i="107"/>
  <c r="J772" i="107"/>
  <c r="J758" i="107"/>
  <c r="J726" i="107"/>
  <c r="J814" i="107"/>
  <c r="J779" i="107"/>
  <c r="J761" i="107"/>
  <c r="J749" i="107"/>
  <c r="J729" i="107"/>
  <c r="J705" i="107"/>
  <c r="J633" i="107"/>
  <c r="J617" i="107"/>
  <c r="J707" i="107"/>
  <c r="J1020" i="107"/>
  <c r="J813" i="107"/>
  <c r="J787" i="107"/>
  <c r="J775" i="107"/>
  <c r="J723" i="107"/>
  <c r="J696" i="107"/>
  <c r="J694" i="107"/>
  <c r="J692" i="107"/>
  <c r="J854" i="107"/>
  <c r="J760" i="107"/>
  <c r="J743" i="107"/>
  <c r="J740" i="107"/>
  <c r="J737" i="107"/>
  <c r="J728" i="107"/>
  <c r="J709" i="107"/>
  <c r="J698" i="107"/>
  <c r="J796" i="107"/>
  <c r="J711" i="107"/>
  <c r="J1095" i="107"/>
  <c r="J961" i="107"/>
  <c r="J912" i="107"/>
  <c r="J806" i="107"/>
  <c r="J822" i="107"/>
  <c r="J742" i="107"/>
  <c r="J834" i="107"/>
  <c r="J795" i="107"/>
  <c r="J745" i="107"/>
  <c r="J816" i="107"/>
  <c r="J693" i="107"/>
  <c r="J675" i="107"/>
  <c r="J615" i="107"/>
  <c r="J777" i="107"/>
  <c r="J722" i="107"/>
  <c r="J717" i="107"/>
  <c r="J794" i="107"/>
  <c r="J651" i="107"/>
  <c r="J733" i="107"/>
  <c r="J625" i="107"/>
  <c r="J603" i="107"/>
  <c r="J851" i="107"/>
  <c r="J793" i="107"/>
  <c r="J784" i="107"/>
  <c r="J753" i="107"/>
  <c r="J706" i="107"/>
  <c r="J647" i="107"/>
  <c r="J641" i="107"/>
  <c r="J638" i="107"/>
  <c r="J622" i="107"/>
  <c r="J727" i="107"/>
  <c r="J661" i="107"/>
  <c r="J774" i="107"/>
  <c r="J759" i="107"/>
  <c r="J715" i="107"/>
  <c r="J657" i="107"/>
  <c r="J635" i="107"/>
  <c r="J619" i="107"/>
  <c r="J821" i="107"/>
  <c r="J710" i="107"/>
  <c r="J677" i="107"/>
  <c r="J673" i="107"/>
  <c r="J744" i="107"/>
  <c r="J695" i="107"/>
  <c r="J653" i="107"/>
  <c r="J643" i="107"/>
  <c r="J632" i="107"/>
  <c r="J602" i="107"/>
  <c r="J860" i="107"/>
  <c r="J789" i="107"/>
  <c r="J724" i="107"/>
  <c r="J714" i="107"/>
  <c r="J685" i="107"/>
  <c r="J606" i="107"/>
  <c r="J756" i="107"/>
  <c r="J689" i="107"/>
  <c r="J613" i="107"/>
  <c r="J630" i="107"/>
  <c r="J611" i="107"/>
  <c r="J629" i="107"/>
  <c r="J616" i="107"/>
  <c r="J691" i="107"/>
  <c r="J604" i="107"/>
  <c r="J599" i="107"/>
  <c r="J659" i="107"/>
  <c r="J708" i="107"/>
  <c r="J770" i="107"/>
  <c r="J631" i="107"/>
  <c r="J645" i="107"/>
  <c r="D12" i="107"/>
  <c r="I14" i="107"/>
  <c r="D19" i="107"/>
  <c r="F21" i="107"/>
  <c r="H23" i="107"/>
  <c r="C28" i="107"/>
  <c r="G30" i="107"/>
  <c r="I32" i="107"/>
  <c r="E41" i="107"/>
  <c r="I41" i="107"/>
  <c r="G52" i="107"/>
  <c r="J8" i="107"/>
  <c r="C10" i="107"/>
  <c r="E19" i="107"/>
  <c r="E25" i="107"/>
  <c r="J32" i="107"/>
  <c r="D35" i="107"/>
  <c r="H39" i="107"/>
  <c r="J44" i="107"/>
  <c r="F44" i="107"/>
  <c r="D44" i="107"/>
  <c r="E44" i="107"/>
  <c r="C50" i="107"/>
  <c r="E55" i="107"/>
  <c r="D63" i="107"/>
  <c r="H70" i="107"/>
  <c r="C84" i="107"/>
  <c r="D89" i="107"/>
  <c r="C91" i="107"/>
  <c r="D95" i="107"/>
  <c r="E98" i="107"/>
  <c r="D104" i="107"/>
  <c r="H107" i="107"/>
  <c r="J113" i="107"/>
  <c r="I113" i="107"/>
  <c r="H113" i="107"/>
  <c r="G113" i="107"/>
  <c r="E113" i="107"/>
  <c r="D113" i="107"/>
  <c r="G119" i="107"/>
  <c r="E123" i="107"/>
  <c r="I138" i="107"/>
  <c r="H138" i="107"/>
  <c r="G138" i="107"/>
  <c r="F138" i="107"/>
  <c r="D138" i="107"/>
  <c r="C138" i="107"/>
  <c r="F144" i="107"/>
  <c r="C144" i="107"/>
  <c r="J144" i="107"/>
  <c r="H151" i="107"/>
  <c r="G167" i="107"/>
  <c r="D171" i="107"/>
  <c r="H189" i="107"/>
  <c r="E213" i="107"/>
  <c r="C213" i="107"/>
  <c r="J213" i="107"/>
  <c r="H213" i="107"/>
  <c r="G213" i="107"/>
  <c r="F213" i="107"/>
  <c r="D213" i="107"/>
  <c r="D229" i="107"/>
  <c r="I302" i="107"/>
  <c r="G302" i="107"/>
  <c r="D302" i="107"/>
  <c r="H302" i="107"/>
  <c r="E302" i="107"/>
  <c r="C302" i="107"/>
  <c r="F302" i="107"/>
  <c r="C379" i="107"/>
  <c r="G68" i="107"/>
  <c r="G104" i="107"/>
  <c r="J116" i="107"/>
  <c r="I116" i="107"/>
  <c r="F116" i="107"/>
  <c r="C145" i="107"/>
  <c r="I154" i="107"/>
  <c r="H154" i="107"/>
  <c r="G154" i="107"/>
  <c r="F154" i="107"/>
  <c r="D154" i="107"/>
  <c r="C154" i="107"/>
  <c r="D175" i="107"/>
  <c r="D179" i="107"/>
  <c r="E239" i="107"/>
  <c r="E251" i="107"/>
  <c r="C331" i="107"/>
  <c r="J342" i="107"/>
  <c r="I342" i="107"/>
  <c r="H342" i="107"/>
  <c r="G342" i="107"/>
  <c r="C342" i="107"/>
  <c r="F342" i="107"/>
  <c r="D342" i="107"/>
  <c r="C363" i="107"/>
  <c r="G76" i="107"/>
  <c r="I5" i="107"/>
  <c r="E5" i="107"/>
  <c r="D5" i="107"/>
  <c r="E26" i="107"/>
  <c r="H30" i="107"/>
  <c r="D30" i="107"/>
  <c r="C30" i="107"/>
  <c r="C33" i="107"/>
  <c r="F50" i="107"/>
  <c r="J52" i="107"/>
  <c r="F52" i="107"/>
  <c r="C58" i="107"/>
  <c r="J60" i="107"/>
  <c r="F60" i="107"/>
  <c r="E60" i="107"/>
  <c r="D60" i="107"/>
  <c r="C66" i="107"/>
  <c r="H68" i="107"/>
  <c r="H76" i="107"/>
  <c r="D79" i="107"/>
  <c r="E84" i="107"/>
  <c r="H86" i="107"/>
  <c r="G89" i="107"/>
  <c r="H92" i="107"/>
  <c r="G98" i="107"/>
  <c r="H110" i="107"/>
  <c r="E110" i="107"/>
  <c r="D110" i="107"/>
  <c r="C110" i="107"/>
  <c r="E114" i="107"/>
  <c r="G117" i="107"/>
  <c r="D120" i="107"/>
  <c r="H123" i="107"/>
  <c r="J129" i="107"/>
  <c r="I129" i="107"/>
  <c r="H129" i="107"/>
  <c r="G129" i="107"/>
  <c r="E129" i="107"/>
  <c r="D129" i="107"/>
  <c r="H132" i="107"/>
  <c r="G135" i="107"/>
  <c r="E139" i="107"/>
  <c r="G142" i="107"/>
  <c r="G148" i="107"/>
  <c r="D155" i="107"/>
  <c r="G158" i="107"/>
  <c r="J161" i="107"/>
  <c r="I161" i="107"/>
  <c r="H161" i="107"/>
  <c r="G161" i="107"/>
  <c r="E161" i="107"/>
  <c r="D161" i="107"/>
  <c r="J164" i="107"/>
  <c r="I164" i="107"/>
  <c r="G164" i="107"/>
  <c r="F164" i="107"/>
  <c r="D168" i="107"/>
  <c r="D197" i="107"/>
  <c r="E201" i="107"/>
  <c r="E209" i="107"/>
  <c r="H229" i="107"/>
  <c r="E245" i="107"/>
  <c r="C245" i="107"/>
  <c r="I245" i="107"/>
  <c r="G245" i="107"/>
  <c r="F245" i="107"/>
  <c r="D245" i="107"/>
  <c r="E252" i="107"/>
  <c r="G275" i="107"/>
  <c r="E275" i="107"/>
  <c r="D275" i="107"/>
  <c r="J275" i="107"/>
  <c r="H275" i="107"/>
  <c r="C275" i="107"/>
  <c r="H375" i="107"/>
  <c r="F375" i="107"/>
  <c r="E375" i="107"/>
  <c r="D375" i="107"/>
  <c r="C375" i="107"/>
  <c r="J375" i="107"/>
  <c r="I375" i="107"/>
  <c r="C444" i="107"/>
  <c r="E499" i="107"/>
  <c r="E514" i="107"/>
  <c r="I65" i="107"/>
  <c r="H65" i="107"/>
  <c r="G65" i="107"/>
  <c r="E65" i="107"/>
  <c r="H78" i="107"/>
  <c r="D78" i="107"/>
  <c r="C78" i="107"/>
  <c r="G132" i="107"/>
  <c r="C9" i="107"/>
  <c r="C15" i="107"/>
  <c r="D17" i="107"/>
  <c r="D239" i="107"/>
  <c r="D223" i="107"/>
  <c r="D209" i="107"/>
  <c r="D201" i="107"/>
  <c r="D199" i="107"/>
  <c r="D185" i="107"/>
  <c r="D183" i="107"/>
  <c r="D167" i="107"/>
  <c r="D151" i="107"/>
  <c r="D135" i="107"/>
  <c r="D119" i="107"/>
  <c r="D103" i="107"/>
  <c r="D224" i="107"/>
  <c r="D240" i="107"/>
  <c r="D226" i="107"/>
  <c r="D233" i="107"/>
  <c r="D217" i="107"/>
  <c r="D244" i="107"/>
  <c r="D237" i="107"/>
  <c r="D230" i="107"/>
  <c r="D221" i="107"/>
  <c r="D204" i="107"/>
  <c r="D202" i="107"/>
  <c r="D198" i="107"/>
  <c r="D196" i="107"/>
  <c r="D194" i="107"/>
  <c r="D188" i="107"/>
  <c r="D186" i="107"/>
  <c r="D182" i="107"/>
  <c r="D180" i="107"/>
  <c r="D178" i="107"/>
  <c r="D172" i="107"/>
  <c r="D170" i="107"/>
  <c r="D208" i="107"/>
  <c r="D249" i="107"/>
  <c r="D210" i="107"/>
  <c r="D159" i="107"/>
  <c r="D166" i="107"/>
  <c r="D150" i="107"/>
  <c r="D134" i="107"/>
  <c r="D118" i="107"/>
  <c r="D102" i="107"/>
  <c r="D86" i="107"/>
  <c r="D70" i="107"/>
  <c r="D54" i="107"/>
  <c r="D214" i="107"/>
  <c r="D15" i="107"/>
  <c r="C24" i="107"/>
  <c r="F26" i="107"/>
  <c r="C31" i="107"/>
  <c r="D33" i="107"/>
  <c r="G50" i="107"/>
  <c r="C61" i="107"/>
  <c r="H63" i="107"/>
  <c r="E73" i="107"/>
  <c r="I73" i="107"/>
  <c r="E79" i="107"/>
  <c r="I81" i="107"/>
  <c r="H81" i="107"/>
  <c r="G81" i="107"/>
  <c r="E81" i="107"/>
  <c r="G84" i="107"/>
  <c r="D87" i="107"/>
  <c r="H89" i="107"/>
  <c r="H95" i="107"/>
  <c r="I101" i="107"/>
  <c r="F101" i="107"/>
  <c r="E101" i="107"/>
  <c r="D101" i="107"/>
  <c r="C101" i="107"/>
  <c r="C105" i="107"/>
  <c r="C107" i="107"/>
  <c r="D111" i="107"/>
  <c r="H117" i="107"/>
  <c r="G120" i="107"/>
  <c r="C130" i="107"/>
  <c r="J132" i="107"/>
  <c r="I132" i="107"/>
  <c r="F132" i="107"/>
  <c r="C136" i="107"/>
  <c r="J145" i="107"/>
  <c r="I145" i="107"/>
  <c r="H145" i="107"/>
  <c r="G145" i="107"/>
  <c r="E145" i="107"/>
  <c r="D145" i="107"/>
  <c r="H148" i="107"/>
  <c r="G151" i="107"/>
  <c r="E155" i="107"/>
  <c r="G165" i="107"/>
  <c r="H175" i="107"/>
  <c r="H179" i="107"/>
  <c r="E183" i="107"/>
  <c r="D205" i="107"/>
  <c r="H209" i="107"/>
  <c r="C220" i="107"/>
  <c r="H240" i="107"/>
  <c r="D246" i="107"/>
  <c r="J371" i="107"/>
  <c r="I371" i="107"/>
  <c r="H371" i="107"/>
  <c r="D371" i="107"/>
  <c r="C371" i="107"/>
  <c r="F371" i="107"/>
  <c r="E371" i="107"/>
  <c r="I106" i="107"/>
  <c r="H106" i="107"/>
  <c r="G106" i="107"/>
  <c r="F106" i="107"/>
  <c r="D106" i="107"/>
  <c r="C106" i="107"/>
  <c r="G28" i="107"/>
  <c r="G37" i="107"/>
  <c r="G126" i="107"/>
  <c r="C75" i="107"/>
  <c r="C163" i="107"/>
  <c r="C147" i="107"/>
  <c r="C131" i="107"/>
  <c r="C115" i="107"/>
  <c r="C99" i="107"/>
  <c r="C19" i="107"/>
  <c r="C159" i="107"/>
  <c r="C143" i="107"/>
  <c r="C127" i="107"/>
  <c r="C111" i="107"/>
  <c r="C95" i="107"/>
  <c r="C79" i="107"/>
  <c r="C63" i="107"/>
  <c r="C47" i="107"/>
  <c r="C6" i="107"/>
  <c r="D9" i="107"/>
  <c r="J12" i="107"/>
  <c r="F12" i="107"/>
  <c r="E12" i="107"/>
  <c r="F17" i="107"/>
  <c r="I21" i="107"/>
  <c r="E21" i="107"/>
  <c r="D21" i="107"/>
  <c r="H35" i="107"/>
  <c r="G39" i="107"/>
  <c r="E58" i="107"/>
  <c r="C3" i="107"/>
  <c r="D6" i="107"/>
  <c r="E346" i="107"/>
  <c r="E332" i="107"/>
  <c r="E330" i="107"/>
  <c r="E348" i="107"/>
  <c r="E319" i="107"/>
  <c r="E298" i="107"/>
  <c r="E282" i="107"/>
  <c r="E340" i="107"/>
  <c r="E329" i="107"/>
  <c r="E316" i="107"/>
  <c r="E312" i="107"/>
  <c r="E349" i="107"/>
  <c r="E344" i="107"/>
  <c r="E337" i="107"/>
  <c r="E307" i="107"/>
  <c r="E324" i="107"/>
  <c r="E288" i="107"/>
  <c r="E272" i="107"/>
  <c r="E335" i="107"/>
  <c r="E331" i="107"/>
  <c r="E292" i="107"/>
  <c r="E265" i="107"/>
  <c r="E313" i="107"/>
  <c r="E305" i="107"/>
  <c r="E238" i="107"/>
  <c r="E222" i="107"/>
  <c r="E295" i="107"/>
  <c r="E224" i="107"/>
  <c r="E240" i="107"/>
  <c r="E226" i="107"/>
  <c r="E51" i="107"/>
  <c r="E233" i="107"/>
  <c r="E83" i="107"/>
  <c r="E326" i="107"/>
  <c r="E269" i="107"/>
  <c r="E242" i="107"/>
  <c r="E215" i="107"/>
  <c r="E163" i="107"/>
  <c r="E147" i="107"/>
  <c r="E131" i="107"/>
  <c r="E115" i="107"/>
  <c r="E99" i="107"/>
  <c r="E67" i="107"/>
  <c r="E297" i="107"/>
  <c r="E237" i="107"/>
  <c r="E221" i="107"/>
  <c r="E104" i="107"/>
  <c r="E318" i="107"/>
  <c r="E300" i="107"/>
  <c r="E285" i="107"/>
  <c r="E266" i="107"/>
  <c r="E254" i="107"/>
  <c r="E208" i="107"/>
  <c r="E206" i="107"/>
  <c r="E200" i="107"/>
  <c r="E190" i="107"/>
  <c r="E184" i="107"/>
  <c r="E174" i="107"/>
  <c r="E168" i="107"/>
  <c r="E152" i="107"/>
  <c r="E136" i="107"/>
  <c r="E120" i="107"/>
  <c r="E256" i="107"/>
  <c r="E249" i="107"/>
  <c r="E210" i="107"/>
  <c r="E276" i="107"/>
  <c r="E212" i="107"/>
  <c r="E166" i="107"/>
  <c r="E314" i="107"/>
  <c r="E303" i="107"/>
  <c r="E290" i="107"/>
  <c r="E258" i="107"/>
  <c r="E232" i="107"/>
  <c r="E214" i="107"/>
  <c r="E268" i="107"/>
  <c r="E241" i="107"/>
  <c r="E234" i="107"/>
  <c r="F9" i="107"/>
  <c r="C13" i="107"/>
  <c r="E15" i="107"/>
  <c r="G17" i="107"/>
  <c r="C22" i="107"/>
  <c r="D24" i="107"/>
  <c r="I26" i="107"/>
  <c r="J28" i="107"/>
  <c r="F28" i="107"/>
  <c r="E28" i="107"/>
  <c r="D31" i="107"/>
  <c r="F33" i="107"/>
  <c r="I37" i="107"/>
  <c r="E37" i="107"/>
  <c r="D37" i="107"/>
  <c r="C40" i="107"/>
  <c r="H42" i="107"/>
  <c r="F42" i="107"/>
  <c r="G42" i="107"/>
  <c r="D42" i="107"/>
  <c r="G45" i="107"/>
  <c r="C48" i="107"/>
  <c r="I50" i="107"/>
  <c r="G53" i="107"/>
  <c r="I58" i="107"/>
  <c r="D61" i="107"/>
  <c r="J68" i="107"/>
  <c r="F68" i="107"/>
  <c r="H71" i="107"/>
  <c r="C74" i="107"/>
  <c r="J76" i="107"/>
  <c r="F76" i="107"/>
  <c r="D76" i="107"/>
  <c r="E76" i="107"/>
  <c r="C82" i="107"/>
  <c r="H84" i="107"/>
  <c r="E87" i="107"/>
  <c r="J92" i="107"/>
  <c r="G92" i="107"/>
  <c r="F92" i="107"/>
  <c r="E92" i="107"/>
  <c r="D92" i="107"/>
  <c r="C102" i="107"/>
  <c r="D105" i="107"/>
  <c r="C108" i="107"/>
  <c r="E111" i="107"/>
  <c r="G114" i="107"/>
  <c r="H126" i="107"/>
  <c r="E126" i="107"/>
  <c r="D126" i="107"/>
  <c r="C126" i="107"/>
  <c r="E130" i="107"/>
  <c r="G133" i="107"/>
  <c r="D136" i="107"/>
  <c r="H139" i="107"/>
  <c r="C146" i="107"/>
  <c r="J148" i="107"/>
  <c r="I148" i="107"/>
  <c r="F148" i="107"/>
  <c r="C152" i="107"/>
  <c r="E162" i="107"/>
  <c r="H165" i="107"/>
  <c r="H197" i="107"/>
  <c r="H201" i="107"/>
  <c r="D215" i="107"/>
  <c r="H230" i="107"/>
  <c r="D235" i="107"/>
  <c r="C253" i="107"/>
  <c r="J267" i="107"/>
  <c r="I267" i="107"/>
  <c r="H267" i="107"/>
  <c r="G267" i="107"/>
  <c r="E267" i="107"/>
  <c r="D267" i="107"/>
  <c r="C267" i="107"/>
  <c r="J283" i="107"/>
  <c r="I283" i="107"/>
  <c r="H283" i="107"/>
  <c r="G283" i="107"/>
  <c r="F283" i="107"/>
  <c r="E283" i="107"/>
  <c r="D283" i="107"/>
  <c r="C283" i="107"/>
  <c r="E308" i="107"/>
  <c r="C406" i="107"/>
  <c r="D460" i="107"/>
  <c r="I460" i="107"/>
  <c r="H460" i="107"/>
  <c r="F460" i="107"/>
  <c r="C460" i="107"/>
  <c r="J460" i="107"/>
  <c r="E460" i="107"/>
  <c r="F112" i="107"/>
  <c r="C112" i="107"/>
  <c r="J112" i="107"/>
  <c r="H14" i="107"/>
  <c r="D14" i="107"/>
  <c r="C14" i="107"/>
  <c r="E57" i="107"/>
  <c r="I57" i="107"/>
  <c r="G23" i="107"/>
  <c r="C23" i="107"/>
  <c r="C4" i="107"/>
  <c r="H10" i="107"/>
  <c r="G10" i="107"/>
  <c r="D10" i="107"/>
  <c r="D13" i="107"/>
  <c r="D22" i="107"/>
  <c r="C29" i="107"/>
  <c r="C38" i="107"/>
  <c r="D40" i="107"/>
  <c r="D43" i="107"/>
  <c r="H45" i="107"/>
  <c r="D48" i="107"/>
  <c r="G55" i="107"/>
  <c r="G66" i="107"/>
  <c r="F69" i="107"/>
  <c r="E74" i="107"/>
  <c r="C77" i="107"/>
  <c r="H79" i="107"/>
  <c r="E82" i="107"/>
  <c r="E89" i="107"/>
  <c r="I89" i="107"/>
  <c r="C93" i="107"/>
  <c r="D98" i="107"/>
  <c r="E102" i="107"/>
  <c r="F105" i="107"/>
  <c r="I117" i="107"/>
  <c r="F117" i="107"/>
  <c r="E117" i="107"/>
  <c r="D117" i="107"/>
  <c r="C117" i="107"/>
  <c r="C121" i="107"/>
  <c r="C123" i="107"/>
  <c r="D127" i="107"/>
  <c r="G136" i="107"/>
  <c r="H142" i="107"/>
  <c r="E142" i="107"/>
  <c r="D142" i="107"/>
  <c r="C142" i="107"/>
  <c r="E146" i="107"/>
  <c r="G149" i="107"/>
  <c r="D152" i="107"/>
  <c r="H158" i="107"/>
  <c r="E158" i="107"/>
  <c r="D158" i="107"/>
  <c r="C158" i="107"/>
  <c r="H183" i="107"/>
  <c r="H205" i="107"/>
  <c r="H220" i="107"/>
  <c r="C247" i="107"/>
  <c r="J247" i="107"/>
  <c r="I247" i="107"/>
  <c r="H247" i="107"/>
  <c r="G247" i="107"/>
  <c r="F247" i="107"/>
  <c r="D247" i="107"/>
  <c r="J262" i="107"/>
  <c r="G262" i="107"/>
  <c r="F262" i="107"/>
  <c r="E262" i="107"/>
  <c r="I262" i="107"/>
  <c r="D262" i="107"/>
  <c r="C262" i="107"/>
  <c r="C268" i="107"/>
  <c r="C304" i="107"/>
  <c r="G356" i="107"/>
  <c r="C388" i="107"/>
  <c r="C20" i="107"/>
  <c r="E48" i="107"/>
  <c r="G61" i="107"/>
  <c r="C139" i="107"/>
  <c r="G152" i="107"/>
  <c r="I165" i="107"/>
  <c r="F165" i="107"/>
  <c r="E165" i="107"/>
  <c r="D165" i="107"/>
  <c r="C165" i="107"/>
  <c r="D169" i="107"/>
  <c r="D187" i="107"/>
  <c r="H210" i="107"/>
  <c r="I225" i="107"/>
  <c r="G225" i="107"/>
  <c r="C225" i="107"/>
  <c r="J225" i="107"/>
  <c r="H225" i="107"/>
  <c r="F225" i="107"/>
  <c r="E225" i="107"/>
  <c r="D225" i="107"/>
  <c r="E253" i="107"/>
  <c r="I257" i="107"/>
  <c r="G257" i="107"/>
  <c r="D257" i="107"/>
  <c r="C257" i="107"/>
  <c r="J257" i="107"/>
  <c r="F257" i="107"/>
  <c r="E257" i="107"/>
  <c r="D4" i="107"/>
  <c r="I17" i="107"/>
  <c r="H17" i="107"/>
  <c r="E17" i="107"/>
  <c r="H26" i="107"/>
  <c r="G26" i="107"/>
  <c r="D26" i="107"/>
  <c r="D29" i="107"/>
  <c r="H58" i="107"/>
  <c r="F58" i="107"/>
  <c r="G58" i="107"/>
  <c r="D58" i="107"/>
  <c r="G69" i="107"/>
  <c r="F82" i="107"/>
  <c r="J84" i="107"/>
  <c r="F84" i="107"/>
  <c r="C90" i="107"/>
  <c r="C124" i="107"/>
  <c r="G130" i="107"/>
  <c r="C155" i="107"/>
  <c r="G6" i="107"/>
  <c r="I9" i="107"/>
  <c r="H9" i="107"/>
  <c r="E9" i="107"/>
  <c r="D27" i="107"/>
  <c r="H31" i="107"/>
  <c r="G40" i="107"/>
  <c r="D51" i="107"/>
  <c r="I53" i="107"/>
  <c r="E53" i="107"/>
  <c r="D53" i="107"/>
  <c r="C53" i="107"/>
  <c r="D56" i="107"/>
  <c r="D59" i="107"/>
  <c r="H61" i="107"/>
  <c r="D64" i="107"/>
  <c r="H69" i="107"/>
  <c r="G71" i="107"/>
  <c r="G82" i="107"/>
  <c r="E90" i="107"/>
  <c r="E96" i="107"/>
  <c r="H105" i="107"/>
  <c r="J108" i="107"/>
  <c r="G108" i="107"/>
  <c r="F108" i="107"/>
  <c r="E108" i="107"/>
  <c r="D108" i="107"/>
  <c r="D114" i="107"/>
  <c r="E118" i="107"/>
  <c r="H124" i="107"/>
  <c r="I133" i="107"/>
  <c r="F133" i="107"/>
  <c r="E133" i="107"/>
  <c r="D133" i="107"/>
  <c r="C133" i="107"/>
  <c r="C137" i="107"/>
  <c r="C140" i="107"/>
  <c r="E143" i="107"/>
  <c r="C156" i="107"/>
  <c r="C166" i="107"/>
  <c r="E169" i="107"/>
  <c r="D191" i="107"/>
  <c r="D242" i="107"/>
  <c r="C258" i="107"/>
  <c r="C263" i="107"/>
  <c r="J263" i="107"/>
  <c r="I263" i="107"/>
  <c r="H263" i="107"/>
  <c r="G263" i="107"/>
  <c r="F263" i="107"/>
  <c r="E263" i="107"/>
  <c r="C278" i="107"/>
  <c r="E289" i="107"/>
  <c r="C294" i="107"/>
  <c r="C326" i="107"/>
  <c r="G259" i="107"/>
  <c r="E259" i="107"/>
  <c r="J259" i="107"/>
  <c r="I259" i="107"/>
  <c r="H259" i="107"/>
  <c r="F259" i="107"/>
  <c r="D259" i="107"/>
  <c r="G7" i="107"/>
  <c r="C7" i="107"/>
  <c r="G163" i="107"/>
  <c r="G147" i="107"/>
  <c r="G131" i="107"/>
  <c r="G115" i="107"/>
  <c r="G99" i="107"/>
  <c r="G83" i="107"/>
  <c r="G67" i="107"/>
  <c r="G51" i="107"/>
  <c r="G35" i="107"/>
  <c r="G19" i="107"/>
  <c r="G3" i="107"/>
  <c r="G118" i="107"/>
  <c r="G166" i="107"/>
  <c r="G150" i="107"/>
  <c r="G134" i="107"/>
  <c r="G102" i="107"/>
  <c r="G155" i="107"/>
  <c r="G139" i="107"/>
  <c r="G123" i="107"/>
  <c r="G107" i="107"/>
  <c r="G91" i="107"/>
  <c r="G75" i="107"/>
  <c r="G59" i="107"/>
  <c r="G43" i="107"/>
  <c r="G24" i="107"/>
  <c r="D50" i="107"/>
  <c r="H50" i="107"/>
  <c r="C56" i="107"/>
  <c r="C64" i="107"/>
  <c r="G105" i="107"/>
  <c r="G162" i="107"/>
  <c r="E4" i="107"/>
  <c r="H224" i="107"/>
  <c r="H233" i="107"/>
  <c r="H242" i="107"/>
  <c r="H215" i="107"/>
  <c r="H163" i="107"/>
  <c r="H147" i="107"/>
  <c r="H131" i="107"/>
  <c r="H115" i="107"/>
  <c r="H99" i="107"/>
  <c r="H217" i="107"/>
  <c r="H208" i="107"/>
  <c r="H206" i="107"/>
  <c r="H204" i="107"/>
  <c r="H200" i="107"/>
  <c r="H198" i="107"/>
  <c r="H190" i="107"/>
  <c r="H188" i="107"/>
  <c r="H184" i="107"/>
  <c r="H182" i="107"/>
  <c r="H168" i="107"/>
  <c r="H223" i="107"/>
  <c r="H125" i="107"/>
  <c r="H109" i="107"/>
  <c r="H239" i="107"/>
  <c r="H157" i="107"/>
  <c r="H141" i="107"/>
  <c r="H93" i="107"/>
  <c r="H214" i="107"/>
  <c r="H246" i="107"/>
  <c r="H241" i="107"/>
  <c r="H155" i="107"/>
  <c r="H203" i="107"/>
  <c r="H193" i="107"/>
  <c r="H187" i="107"/>
  <c r="H177" i="107"/>
  <c r="H171" i="107"/>
  <c r="C18" i="107"/>
  <c r="D20" i="107"/>
  <c r="H24" i="107"/>
  <c r="E29" i="107"/>
  <c r="I33" i="107"/>
  <c r="H33" i="107"/>
  <c r="E33" i="107"/>
  <c r="C36" i="107"/>
  <c r="G48" i="107"/>
  <c r="F4" i="107"/>
  <c r="C1339" i="107"/>
  <c r="C1323" i="107"/>
  <c r="C1307" i="107"/>
  <c r="C1337" i="107"/>
  <c r="C1321" i="107"/>
  <c r="C1305" i="107"/>
  <c r="C1335" i="107"/>
  <c r="C1319" i="107"/>
  <c r="C1303" i="107"/>
  <c r="C1286" i="107"/>
  <c r="C1270" i="107"/>
  <c r="C1254" i="107"/>
  <c r="C1250" i="107"/>
  <c r="C1233" i="107"/>
  <c r="C1217" i="107"/>
  <c r="C1201" i="107"/>
  <c r="C1280" i="107"/>
  <c r="C1264" i="107"/>
  <c r="C1199" i="107"/>
  <c r="C1336" i="107"/>
  <c r="C1320" i="107"/>
  <c r="C1304" i="107"/>
  <c r="C1287" i="107"/>
  <c r="C1271" i="107"/>
  <c r="C1255" i="107"/>
  <c r="C1227" i="107"/>
  <c r="C1220" i="107"/>
  <c r="C1185" i="107"/>
  <c r="C1324" i="107"/>
  <c r="C1291" i="107"/>
  <c r="C1259" i="107"/>
  <c r="C1237" i="107"/>
  <c r="C1226" i="107"/>
  <c r="C1332" i="107"/>
  <c r="C1314" i="107"/>
  <c r="C1300" i="107"/>
  <c r="C1281" i="107"/>
  <c r="C1267" i="107"/>
  <c r="C1249" i="107"/>
  <c r="C1222" i="107"/>
  <c r="C1189" i="107"/>
  <c r="C1182" i="107"/>
  <c r="C1341" i="107"/>
  <c r="C1318" i="107"/>
  <c r="C1309" i="107"/>
  <c r="C1285" i="107"/>
  <c r="C1276" i="107"/>
  <c r="C1253" i="107"/>
  <c r="C1216" i="107"/>
  <c r="C1211" i="107"/>
  <c r="C1206" i="107"/>
  <c r="C1244" i="107"/>
  <c r="C1163" i="107"/>
  <c r="C1166" i="107"/>
  <c r="C1325" i="107"/>
  <c r="C1195" i="107"/>
  <c r="C1221" i="107"/>
  <c r="C1186" i="107"/>
  <c r="C1143" i="107"/>
  <c r="C1127" i="107"/>
  <c r="C1260" i="107"/>
  <c r="C1194" i="107"/>
  <c r="C1238" i="107"/>
  <c r="C1232" i="107"/>
  <c r="C1198" i="107"/>
  <c r="C1316" i="107"/>
  <c r="C1302" i="107"/>
  <c r="C1168" i="107"/>
  <c r="C1148" i="107"/>
  <c r="C1145" i="107"/>
  <c r="C1132" i="107"/>
  <c r="C1129" i="107"/>
  <c r="C1113" i="107"/>
  <c r="C1097" i="107"/>
  <c r="C1081" i="107"/>
  <c r="C1330" i="107"/>
  <c r="C1308" i="107"/>
  <c r="C1251" i="107"/>
  <c r="C1265" i="107"/>
  <c r="C1177" i="107"/>
  <c r="C1150" i="107"/>
  <c r="C1147" i="107"/>
  <c r="C1134" i="107"/>
  <c r="C1131" i="107"/>
  <c r="C1205" i="107"/>
  <c r="C1181" i="107"/>
  <c r="C1167" i="107"/>
  <c r="C1292" i="107"/>
  <c r="C1184" i="107"/>
  <c r="C1170" i="107"/>
  <c r="C1139" i="107"/>
  <c r="C1218" i="107"/>
  <c r="C1213" i="107"/>
  <c r="C1204" i="107"/>
  <c r="C1152" i="107"/>
  <c r="C1136" i="107"/>
  <c r="C1340" i="107"/>
  <c r="C1334" i="107"/>
  <c r="C1112" i="107"/>
  <c r="C1108" i="107"/>
  <c r="C1096" i="107"/>
  <c r="C1073" i="107"/>
  <c r="C1061" i="107"/>
  <c r="C1138" i="107"/>
  <c r="C1116" i="107"/>
  <c r="C1104" i="107"/>
  <c r="C1100" i="107"/>
  <c r="C1041" i="107"/>
  <c r="C1283" i="107"/>
  <c r="C1173" i="107"/>
  <c r="C1120" i="107"/>
  <c r="C1188" i="107"/>
  <c r="C1034" i="107"/>
  <c r="C1020" i="107"/>
  <c r="C1269" i="107"/>
  <c r="C1149" i="107"/>
  <c r="C1075" i="107"/>
  <c r="C1063" i="107"/>
  <c r="C1036" i="107"/>
  <c r="C1172" i="107"/>
  <c r="C1088" i="107"/>
  <c r="C1038" i="107"/>
  <c r="C1203" i="107"/>
  <c r="C1110" i="107"/>
  <c r="C1077" i="107"/>
  <c r="C1047" i="107"/>
  <c r="C1033" i="107"/>
  <c r="C1029" i="107"/>
  <c r="C1027" i="107"/>
  <c r="C1025" i="107"/>
  <c r="C1013" i="107"/>
  <c r="C997" i="107"/>
  <c r="C1118" i="107"/>
  <c r="C1106" i="107"/>
  <c r="C1102" i="107"/>
  <c r="C1094" i="107"/>
  <c r="C1052" i="107"/>
  <c r="C1023" i="107"/>
  <c r="C1210" i="107"/>
  <c r="C1155" i="107"/>
  <c r="C1071" i="107"/>
  <c r="C1054" i="107"/>
  <c r="C933" i="107"/>
  <c r="C1123" i="107"/>
  <c r="C1045" i="107"/>
  <c r="C1000" i="107"/>
  <c r="C1122" i="107"/>
  <c r="C1026" i="107"/>
  <c r="C981" i="107"/>
  <c r="C949" i="107"/>
  <c r="C1057" i="107"/>
  <c r="C1002" i="107"/>
  <c r="C1200" i="107"/>
  <c r="C1092" i="107"/>
  <c r="C1297" i="107"/>
  <c r="C1080" i="107"/>
  <c r="C959" i="107"/>
  <c r="C1236" i="107"/>
  <c r="C1039" i="107"/>
  <c r="C991" i="107"/>
  <c r="C961" i="107"/>
  <c r="C1208" i="107"/>
  <c r="C1055" i="107"/>
  <c r="C1021" i="107"/>
  <c r="C965" i="107"/>
  <c r="C1009" i="107"/>
  <c r="C1070" i="107"/>
  <c r="C1064" i="107"/>
  <c r="C995" i="107"/>
  <c r="C979" i="107"/>
  <c r="C956" i="107"/>
  <c r="C952" i="107"/>
  <c r="C942" i="107"/>
  <c r="C926" i="107"/>
  <c r="C1050" i="107"/>
  <c r="C1004" i="107"/>
  <c r="C1084" i="107"/>
  <c r="C1056" i="107"/>
  <c r="C1019" i="107"/>
  <c r="C990" i="107"/>
  <c r="C986" i="107"/>
  <c r="C982" i="107"/>
  <c r="C1035" i="107"/>
  <c r="C944" i="107"/>
  <c r="C928" i="107"/>
  <c r="C1068" i="107"/>
  <c r="C1133" i="107"/>
  <c r="C1090" i="107"/>
  <c r="C1007" i="107"/>
  <c r="C1003" i="107"/>
  <c r="C998" i="107"/>
  <c r="C892" i="107"/>
  <c r="C890" i="107"/>
  <c r="C876" i="107"/>
  <c r="C1161" i="107"/>
  <c r="C993" i="107"/>
  <c r="C902" i="107"/>
  <c r="C874" i="107"/>
  <c r="C863" i="107"/>
  <c r="C1011" i="107"/>
  <c r="C1006" i="107"/>
  <c r="C1017" i="107"/>
  <c r="C938" i="107"/>
  <c r="C913" i="107"/>
  <c r="C1275" i="107"/>
  <c r="C1066" i="107"/>
  <c r="C988" i="107"/>
  <c r="C984" i="107"/>
  <c r="C915" i="107"/>
  <c r="C906" i="107"/>
  <c r="C917" i="107"/>
  <c r="C783" i="107"/>
  <c r="C1079" i="107"/>
  <c r="C940" i="107"/>
  <c r="C934" i="107"/>
  <c r="C908" i="107"/>
  <c r="C877" i="107"/>
  <c r="C864" i="107"/>
  <c r="C854" i="107"/>
  <c r="C837" i="107"/>
  <c r="C974" i="107"/>
  <c r="C899" i="107"/>
  <c r="C880" i="107"/>
  <c r="C903" i="107"/>
  <c r="C806" i="107"/>
  <c r="C895" i="107"/>
  <c r="C834" i="107"/>
  <c r="C1051" i="107"/>
  <c r="C898" i="107"/>
  <c r="C848" i="107"/>
  <c r="C831" i="107"/>
  <c r="C920" i="107"/>
  <c r="C911" i="107"/>
  <c r="C891" i="107"/>
  <c r="C887" i="107"/>
  <c r="C883" i="107"/>
  <c r="C866" i="107"/>
  <c r="C795" i="107"/>
  <c r="C972" i="107"/>
  <c r="C958" i="107"/>
  <c r="C894" i="107"/>
  <c r="C869" i="107"/>
  <c r="C836" i="107"/>
  <c r="C801" i="107"/>
  <c r="C799" i="107"/>
  <c r="C950" i="107"/>
  <c r="C879" i="107"/>
  <c r="C872" i="107"/>
  <c r="C859" i="107"/>
  <c r="C853" i="107"/>
  <c r="C1086" i="107"/>
  <c r="C850" i="107"/>
  <c r="C847" i="107"/>
  <c r="C963" i="107"/>
  <c r="C914" i="107"/>
  <c r="C910" i="107"/>
  <c r="C901" i="107"/>
  <c r="C865" i="107"/>
  <c r="C841" i="107"/>
  <c r="C838" i="107"/>
  <c r="C825" i="107"/>
  <c r="C820" i="107"/>
  <c r="C805" i="107"/>
  <c r="C788" i="107"/>
  <c r="C1059" i="107"/>
  <c r="C970" i="107"/>
  <c r="C936" i="107"/>
  <c r="C930" i="107"/>
  <c r="C924" i="107"/>
  <c r="C897" i="107"/>
  <c r="C878" i="107"/>
  <c r="C868" i="107"/>
  <c r="C792" i="107"/>
  <c r="C790" i="107"/>
  <c r="C780" i="107"/>
  <c r="C764" i="107"/>
  <c r="C822" i="107"/>
  <c r="C969" i="107"/>
  <c r="C849" i="107"/>
  <c r="C833" i="107"/>
  <c r="C827" i="107"/>
  <c r="C794" i="107"/>
  <c r="C785" i="107"/>
  <c r="C773" i="107"/>
  <c r="C759" i="107"/>
  <c r="C742" i="107"/>
  <c r="C739" i="107"/>
  <c r="C727" i="107"/>
  <c r="C896" i="107"/>
  <c r="C954" i="107"/>
  <c r="C885" i="107"/>
  <c r="C809" i="107"/>
  <c r="C784" i="107"/>
  <c r="C776" i="107"/>
  <c r="C695" i="107"/>
  <c r="C693" i="107"/>
  <c r="C832" i="107"/>
  <c r="C769" i="107"/>
  <c r="C753" i="107"/>
  <c r="C741" i="107"/>
  <c r="C710" i="107"/>
  <c r="C904" i="107"/>
  <c r="C893" i="107"/>
  <c r="C732" i="107"/>
  <c r="C976" i="107"/>
  <c r="C824" i="107"/>
  <c r="C775" i="107"/>
  <c r="C678" i="107"/>
  <c r="C676" i="107"/>
  <c r="C674" i="107"/>
  <c r="C672" i="107"/>
  <c r="C813" i="107"/>
  <c r="C714" i="107"/>
  <c r="C881" i="107"/>
  <c r="C796" i="107"/>
  <c r="C746" i="107"/>
  <c r="C716" i="107"/>
  <c r="C705" i="107"/>
  <c r="C690" i="107"/>
  <c r="C935" i="107"/>
  <c r="C852" i="107"/>
  <c r="C817" i="107"/>
  <c r="C802" i="107"/>
  <c r="C778" i="107"/>
  <c r="C771" i="107"/>
  <c r="C723" i="107"/>
  <c r="C707" i="107"/>
  <c r="C692" i="107"/>
  <c r="C633" i="107"/>
  <c r="C617" i="107"/>
  <c r="C755" i="107"/>
  <c r="C816" i="107"/>
  <c r="C762" i="107"/>
  <c r="C748" i="107"/>
  <c r="C698" i="107"/>
  <c r="C689" i="107"/>
  <c r="C634" i="107"/>
  <c r="C626" i="107"/>
  <c r="C604" i="107"/>
  <c r="C659" i="107"/>
  <c r="C815" i="107"/>
  <c r="C728" i="107"/>
  <c r="C688" i="107"/>
  <c r="C662" i="107"/>
  <c r="C645" i="107"/>
  <c r="C679" i="107"/>
  <c r="C675" i="107"/>
  <c r="C671" i="107"/>
  <c r="C631" i="107"/>
  <c r="C592" i="107"/>
  <c r="C576" i="107"/>
  <c r="C560" i="107"/>
  <c r="C544" i="107"/>
  <c r="C760" i="107"/>
  <c r="C658" i="107"/>
  <c r="C655" i="107"/>
  <c r="C628" i="107"/>
  <c r="C608" i="107"/>
  <c r="C726" i="107"/>
  <c r="C706" i="107"/>
  <c r="C696" i="107"/>
  <c r="C644" i="107"/>
  <c r="C603" i="107"/>
  <c r="C630" i="107"/>
  <c r="C588" i="107"/>
  <c r="C572" i="107"/>
  <c r="C556" i="107"/>
  <c r="C540" i="107"/>
  <c r="C523" i="107"/>
  <c r="C507" i="107"/>
  <c r="C811" i="107"/>
  <c r="C774" i="107"/>
  <c r="C758" i="107"/>
  <c r="C665" i="107"/>
  <c r="C661" i="107"/>
  <c r="C647" i="107"/>
  <c r="C725" i="107"/>
  <c r="C720" i="107"/>
  <c r="C757" i="107"/>
  <c r="C737" i="107"/>
  <c r="C700" i="107"/>
  <c r="C657" i="107"/>
  <c r="C635" i="107"/>
  <c r="C619" i="107"/>
  <c r="C593" i="107"/>
  <c r="C577" i="107"/>
  <c r="C561" i="107"/>
  <c r="C545" i="107"/>
  <c r="C743" i="107"/>
  <c r="C709" i="107"/>
  <c r="C677" i="107"/>
  <c r="C673" i="107"/>
  <c r="C660" i="107"/>
  <c r="C646" i="107"/>
  <c r="C1156" i="107"/>
  <c r="C843" i="107"/>
  <c r="C681" i="107"/>
  <c r="C591" i="107"/>
  <c r="C575" i="107"/>
  <c r="C559" i="107"/>
  <c r="C638" i="107"/>
  <c r="C602" i="107"/>
  <c r="C730" i="107"/>
  <c r="C578" i="107"/>
  <c r="C565" i="107"/>
  <c r="C525" i="107"/>
  <c r="C637" i="107"/>
  <c r="C618" i="107"/>
  <c r="C543" i="107"/>
  <c r="C694" i="107"/>
  <c r="C624" i="107"/>
  <c r="C527" i="107"/>
  <c r="C601" i="107"/>
  <c r="C555" i="107"/>
  <c r="C533" i="107"/>
  <c r="C683" i="107"/>
  <c r="C571" i="107"/>
  <c r="C493" i="107"/>
  <c r="C642" i="107"/>
  <c r="C587" i="107"/>
  <c r="C558" i="107"/>
  <c r="C530" i="107"/>
  <c r="C495" i="107"/>
  <c r="C491" i="107"/>
  <c r="C622" i="107"/>
  <c r="C590" i="107"/>
  <c r="C554" i="107"/>
  <c r="C524" i="107"/>
  <c r="C519" i="107"/>
  <c r="C482" i="107"/>
  <c r="C480" i="107"/>
  <c r="C478" i="107"/>
  <c r="C461" i="107"/>
  <c r="C445" i="107"/>
  <c r="C429" i="107"/>
  <c r="C413" i="107"/>
  <c r="C397" i="107"/>
  <c r="C380" i="107"/>
  <c r="C364" i="107"/>
  <c r="C348" i="107"/>
  <c r="C610" i="107"/>
  <c r="C711" i="107"/>
  <c r="C621" i="107"/>
  <c r="C615" i="107"/>
  <c r="C514" i="107"/>
  <c r="C501" i="107"/>
  <c r="C640" i="107"/>
  <c r="C599" i="107"/>
  <c r="C573" i="107"/>
  <c r="C550" i="107"/>
  <c r="C538" i="107"/>
  <c r="C526" i="107"/>
  <c r="C521" i="107"/>
  <c r="C503" i="107"/>
  <c r="C466" i="107"/>
  <c r="C450" i="107"/>
  <c r="C434" i="107"/>
  <c r="C418" i="107"/>
  <c r="C541" i="107"/>
  <c r="C528" i="107"/>
  <c r="C457" i="107"/>
  <c r="C441" i="107"/>
  <c r="C464" i="107"/>
  <c r="C448" i="107"/>
  <c r="C432" i="107"/>
  <c r="C416" i="107"/>
  <c r="C400" i="107"/>
  <c r="C383" i="107"/>
  <c r="C656" i="107"/>
  <c r="C570" i="107"/>
  <c r="C411" i="107"/>
  <c r="C376" i="107"/>
  <c r="C346" i="107"/>
  <c r="C509" i="107"/>
  <c r="C470" i="107"/>
  <c r="C351" i="107"/>
  <c r="C332" i="107"/>
  <c r="C330" i="107"/>
  <c r="C534" i="107"/>
  <c r="C402" i="107"/>
  <c r="C378" i="107"/>
  <c r="C300" i="107"/>
  <c r="C539" i="107"/>
  <c r="C498" i="107"/>
  <c r="C574" i="107"/>
  <c r="C475" i="107"/>
  <c r="C427" i="107"/>
  <c r="C404" i="107"/>
  <c r="C355" i="107"/>
  <c r="C512" i="107"/>
  <c r="C508" i="107"/>
  <c r="C407" i="107"/>
  <c r="C494" i="107"/>
  <c r="C484" i="107"/>
  <c r="C479" i="107"/>
  <c r="C459" i="107"/>
  <c r="C497" i="107"/>
  <c r="C412" i="107"/>
  <c r="C398" i="107"/>
  <c r="C468" i="107"/>
  <c r="C452" i="107"/>
  <c r="C542" i="107"/>
  <c r="C423" i="107"/>
  <c r="C409" i="107"/>
  <c r="C381" i="107"/>
  <c r="C374" i="107"/>
  <c r="C362" i="107"/>
  <c r="C335" i="107"/>
  <c r="C305" i="107"/>
  <c r="C303" i="107"/>
  <c r="C290" i="107"/>
  <c r="C274" i="107"/>
  <c r="C320" i="107"/>
  <c r="C430" i="107"/>
  <c r="C414" i="107"/>
  <c r="C360" i="107"/>
  <c r="C292" i="107"/>
  <c r="C265" i="107"/>
  <c r="C255" i="107"/>
  <c r="C316" i="107"/>
  <c r="C281" i="107"/>
  <c r="C510" i="107"/>
  <c r="C420" i="107"/>
  <c r="C369" i="107"/>
  <c r="C272" i="107"/>
  <c r="C390" i="107"/>
  <c r="C353" i="107"/>
  <c r="C224" i="107"/>
  <c r="C492" i="107"/>
  <c r="C446" i="107"/>
  <c r="C341" i="107"/>
  <c r="C312" i="107"/>
  <c r="C240" i="107"/>
  <c r="C226" i="107"/>
  <c r="C471" i="107"/>
  <c r="C393" i="107"/>
  <c r="C337" i="107"/>
  <c r="C329" i="107"/>
  <c r="C288" i="107"/>
  <c r="C269" i="107"/>
  <c r="C242" i="107"/>
  <c r="C443" i="107"/>
  <c r="C422" i="107"/>
  <c r="C349" i="107"/>
  <c r="C333" i="107"/>
  <c r="C217" i="107"/>
  <c r="C318" i="107"/>
  <c r="C307" i="107"/>
  <c r="C297" i="107"/>
  <c r="C271" i="107"/>
  <c r="C254" i="107"/>
  <c r="C244" i="107"/>
  <c r="C237" i="107"/>
  <c r="C230" i="107"/>
  <c r="C221" i="107"/>
  <c r="C336" i="107"/>
  <c r="C321" i="107"/>
  <c r="C285" i="107"/>
  <c r="C239" i="107"/>
  <c r="C223" i="107"/>
  <c r="C357" i="107"/>
  <c r="C344" i="107"/>
  <c r="C256" i="107"/>
  <c r="C249" i="107"/>
  <c r="C210" i="107"/>
  <c r="C598" i="107"/>
  <c r="C476" i="107"/>
  <c r="C439" i="107"/>
  <c r="C428" i="107"/>
  <c r="C395" i="107"/>
  <c r="C385" i="107"/>
  <c r="C328" i="107"/>
  <c r="C276" i="107"/>
  <c r="C246" i="107"/>
  <c r="C212" i="107"/>
  <c r="G13" i="107"/>
  <c r="E18" i="107"/>
  <c r="E20" i="107"/>
  <c r="G22" i="107"/>
  <c r="J24" i="107"/>
  <c r="I24" i="107"/>
  <c r="F24" i="107"/>
  <c r="E27" i="107"/>
  <c r="F29" i="107"/>
  <c r="C34" i="107"/>
  <c r="D36" i="107"/>
  <c r="J40" i="107"/>
  <c r="I40" i="107"/>
  <c r="H40" i="107"/>
  <c r="F40" i="107"/>
  <c r="H43" i="107"/>
  <c r="E46" i="107"/>
  <c r="H51" i="107"/>
  <c r="C54" i="107"/>
  <c r="E59" i="107"/>
  <c r="E64" i="107"/>
  <c r="D66" i="107"/>
  <c r="H66" i="107"/>
  <c r="C72" i="107"/>
  <c r="H74" i="107"/>
  <c r="G74" i="107"/>
  <c r="F74" i="107"/>
  <c r="D74" i="107"/>
  <c r="G77" i="107"/>
  <c r="C80" i="107"/>
  <c r="G85" i="107"/>
  <c r="G93" i="107"/>
  <c r="G96" i="107"/>
  <c r="H102" i="107"/>
  <c r="C109" i="107"/>
  <c r="D112" i="107"/>
  <c r="D115" i="107"/>
  <c r="G121" i="107"/>
  <c r="H127" i="107"/>
  <c r="C134" i="107"/>
  <c r="I149" i="107"/>
  <c r="F149" i="107"/>
  <c r="E149" i="107"/>
  <c r="D149" i="107"/>
  <c r="C149" i="107"/>
  <c r="C153" i="107"/>
  <c r="H159" i="107"/>
  <c r="D173" i="107"/>
  <c r="D195" i="107"/>
  <c r="C216" i="107"/>
  <c r="H226" i="107"/>
  <c r="H236" i="107"/>
  <c r="C350" i="107"/>
  <c r="E137" i="107"/>
  <c r="I137" i="107"/>
  <c r="D72" i="107"/>
  <c r="I90" i="107"/>
  <c r="H90" i="107"/>
  <c r="G90" i="107"/>
  <c r="F90" i="107"/>
  <c r="D90" i="107"/>
  <c r="E105" i="107"/>
  <c r="I105" i="107"/>
  <c r="E112" i="107"/>
  <c r="J124" i="107"/>
  <c r="G124" i="107"/>
  <c r="F124" i="107"/>
  <c r="E124" i="107"/>
  <c r="D124" i="107"/>
  <c r="F137" i="107"/>
  <c r="D177" i="107"/>
  <c r="H191" i="107"/>
  <c r="J278" i="107"/>
  <c r="I278" i="107"/>
  <c r="G278" i="107"/>
  <c r="F278" i="107"/>
  <c r="E278" i="107"/>
  <c r="D278" i="107"/>
  <c r="I289" i="107"/>
  <c r="G289" i="107"/>
  <c r="F289" i="107"/>
  <c r="D289" i="107"/>
  <c r="C289" i="107"/>
  <c r="H289" i="107"/>
  <c r="C299" i="107"/>
  <c r="H311" i="107"/>
  <c r="F311" i="107"/>
  <c r="C311" i="107"/>
  <c r="D311" i="107"/>
  <c r="J311" i="107"/>
  <c r="I311" i="107"/>
  <c r="G311" i="107"/>
  <c r="E311" i="107"/>
  <c r="E333" i="107"/>
  <c r="C339" i="107"/>
  <c r="F377" i="107"/>
  <c r="D377" i="107"/>
  <c r="C377" i="107"/>
  <c r="J377" i="107"/>
  <c r="I377" i="107"/>
  <c r="H377" i="107"/>
  <c r="E377" i="107"/>
  <c r="C477" i="107"/>
  <c r="C496" i="107"/>
  <c r="G4" i="107"/>
  <c r="F46" i="107"/>
  <c r="I69" i="107"/>
  <c r="E69" i="107"/>
  <c r="D69" i="107"/>
  <c r="C69" i="107"/>
  <c r="E1337" i="107"/>
  <c r="E1321" i="107"/>
  <c r="E1305" i="107"/>
  <c r="E1288" i="107"/>
  <c r="E1272" i="107"/>
  <c r="E1256" i="107"/>
  <c r="E1239" i="107"/>
  <c r="E1223" i="107"/>
  <c r="E1207" i="107"/>
  <c r="E1191" i="107"/>
  <c r="E1299" i="107"/>
  <c r="E1282" i="107"/>
  <c r="E1266" i="107"/>
  <c r="E1250" i="107"/>
  <c r="E1233" i="107"/>
  <c r="E1217" i="107"/>
  <c r="E1313" i="107"/>
  <c r="E1296" i="107"/>
  <c r="E1280" i="107"/>
  <c r="E1264" i="107"/>
  <c r="E1248" i="107"/>
  <c r="E1231" i="107"/>
  <c r="E1215" i="107"/>
  <c r="E1199" i="107"/>
  <c r="E1336" i="107"/>
  <c r="E1320" i="107"/>
  <c r="E1304" i="107"/>
  <c r="E1287" i="107"/>
  <c r="E1271" i="107"/>
  <c r="E1334" i="107"/>
  <c r="E1318" i="107"/>
  <c r="E1302" i="107"/>
  <c r="E1285" i="107"/>
  <c r="E1269" i="107"/>
  <c r="E1253" i="107"/>
  <c r="E1341" i="107"/>
  <c r="E1325" i="107"/>
  <c r="E1309" i="107"/>
  <c r="E1292" i="107"/>
  <c r="E1276" i="107"/>
  <c r="E1260" i="107"/>
  <c r="E1244" i="107"/>
  <c r="E1227" i="107"/>
  <c r="E1242" i="107"/>
  <c r="E1209" i="107"/>
  <c r="E1204" i="107"/>
  <c r="E1216" i="107"/>
  <c r="E1206" i="107"/>
  <c r="E1172" i="107"/>
  <c r="E1155" i="107"/>
  <c r="E1138" i="107"/>
  <c r="E1236" i="107"/>
  <c r="E1201" i="107"/>
  <c r="E1196" i="107"/>
  <c r="E1184" i="107"/>
  <c r="E1163" i="107"/>
  <c r="E1218" i="107"/>
  <c r="E1161" i="107"/>
  <c r="E1183" i="107"/>
  <c r="E1143" i="107"/>
  <c r="E1127" i="107"/>
  <c r="E1339" i="107"/>
  <c r="E1281" i="107"/>
  <c r="E1247" i="107"/>
  <c r="E1186" i="107"/>
  <c r="E1295" i="107"/>
  <c r="E1274" i="107"/>
  <c r="E1211" i="107"/>
  <c r="E1165" i="107"/>
  <c r="E1316" i="107"/>
  <c r="E1232" i="107"/>
  <c r="E1198" i="107"/>
  <c r="E1182" i="107"/>
  <c r="E1168" i="107"/>
  <c r="E1148" i="107"/>
  <c r="E1145" i="107"/>
  <c r="E1132" i="107"/>
  <c r="E1129" i="107"/>
  <c r="E1113" i="107"/>
  <c r="E1097" i="107"/>
  <c r="E1081" i="107"/>
  <c r="E1323" i="107"/>
  <c r="E1330" i="107"/>
  <c r="E1225" i="107"/>
  <c r="E1220" i="107"/>
  <c r="E1322" i="107"/>
  <c r="E1258" i="107"/>
  <c r="E1177" i="107"/>
  <c r="E1171" i="107"/>
  <c r="E1154" i="107"/>
  <c r="E1150" i="107"/>
  <c r="E1134" i="107"/>
  <c r="E1121" i="107"/>
  <c r="E1070" i="107"/>
  <c r="E1265" i="107"/>
  <c r="E1314" i="107"/>
  <c r="E1279" i="107"/>
  <c r="E1257" i="107"/>
  <c r="E1224" i="107"/>
  <c r="E1164" i="107"/>
  <c r="E1139" i="107"/>
  <c r="E1123" i="107"/>
  <c r="E1328" i="107"/>
  <c r="E1307" i="107"/>
  <c r="E1170" i="107"/>
  <c r="E1136" i="107"/>
  <c r="E1249" i="107"/>
  <c r="E1188" i="107"/>
  <c r="E1173" i="107"/>
  <c r="E1156" i="107"/>
  <c r="E1152" i="107"/>
  <c r="E1263" i="107"/>
  <c r="E1235" i="107"/>
  <c r="E1297" i="107"/>
  <c r="E1283" i="107"/>
  <c r="E1120" i="107"/>
  <c r="E1092" i="107"/>
  <c r="E1064" i="107"/>
  <c r="E1131" i="107"/>
  <c r="E1034" i="107"/>
  <c r="E1020" i="107"/>
  <c r="E1234" i="107"/>
  <c r="E1166" i="107"/>
  <c r="E1088" i="107"/>
  <c r="E1038" i="107"/>
  <c r="E1066" i="107"/>
  <c r="E1045" i="107"/>
  <c r="E1179" i="107"/>
  <c r="E1084" i="107"/>
  <c r="E1050" i="107"/>
  <c r="E1130" i="107"/>
  <c r="E1110" i="107"/>
  <c r="E1290" i="107"/>
  <c r="E1195" i="107"/>
  <c r="E1185" i="107"/>
  <c r="E1080" i="107"/>
  <c r="E1068" i="107"/>
  <c r="E1057" i="107"/>
  <c r="E1289" i="107"/>
  <c r="E1147" i="107"/>
  <c r="E1071" i="107"/>
  <c r="E1054" i="107"/>
  <c r="E1219" i="107"/>
  <c r="E1122" i="107"/>
  <c r="E1193" i="107"/>
  <c r="E1062" i="107"/>
  <c r="E1059" i="107"/>
  <c r="E1049" i="107"/>
  <c r="E1077" i="107"/>
  <c r="E1073" i="107"/>
  <c r="E1033" i="107"/>
  <c r="E1017" i="107"/>
  <c r="E1013" i="107"/>
  <c r="E997" i="107"/>
  <c r="E1146" i="107"/>
  <c r="E1114" i="107"/>
  <c r="E1094" i="107"/>
  <c r="E1082" i="107"/>
  <c r="E1041" i="107"/>
  <c r="E1023" i="107"/>
  <c r="E1005" i="107"/>
  <c r="E981" i="107"/>
  <c r="E949" i="107"/>
  <c r="E1036" i="107"/>
  <c r="E1106" i="107"/>
  <c r="E974" i="107"/>
  <c r="E972" i="107"/>
  <c r="E970" i="107"/>
  <c r="E1086" i="107"/>
  <c r="E1052" i="107"/>
  <c r="E1048" i="107"/>
  <c r="E1019" i="107"/>
  <c r="E942" i="107"/>
  <c r="E1312" i="107"/>
  <c r="E1075" i="107"/>
  <c r="E1012" i="107"/>
  <c r="E1009" i="107"/>
  <c r="E963" i="107"/>
  <c r="E1118" i="107"/>
  <c r="E1104" i="107"/>
  <c r="E1028" i="107"/>
  <c r="E1001" i="107"/>
  <c r="E965" i="107"/>
  <c r="E1175" i="107"/>
  <c r="E1090" i="107"/>
  <c r="E984" i="107"/>
  <c r="E952" i="107"/>
  <c r="E934" i="107"/>
  <c r="E1025" i="107"/>
  <c r="E1004" i="107"/>
  <c r="E1000" i="107"/>
  <c r="E990" i="107"/>
  <c r="E986" i="107"/>
  <c r="E948" i="107"/>
  <c r="E1102" i="107"/>
  <c r="E1030" i="107"/>
  <c r="E959" i="107"/>
  <c r="E936" i="107"/>
  <c r="E894" i="107"/>
  <c r="E878" i="107"/>
  <c r="E1024" i="107"/>
  <c r="E966" i="107"/>
  <c r="E896" i="107"/>
  <c r="E892" i="107"/>
  <c r="E890" i="107"/>
  <c r="E880" i="107"/>
  <c r="E876" i="107"/>
  <c r="E1100" i="107"/>
  <c r="E1061" i="107"/>
  <c r="E993" i="107"/>
  <c r="E958" i="107"/>
  <c r="E954" i="107"/>
  <c r="E920" i="107"/>
  <c r="E911" i="107"/>
  <c r="E872" i="107"/>
  <c r="E854" i="107"/>
  <c r="E838" i="107"/>
  <c r="E1203" i="107"/>
  <c r="E950" i="107"/>
  <c r="E938" i="107"/>
  <c r="E933" i="107"/>
  <c r="E913" i="107"/>
  <c r="E1098" i="107"/>
  <c r="E1002" i="107"/>
  <c r="E1108" i="107"/>
  <c r="E1053" i="107"/>
  <c r="E977" i="107"/>
  <c r="E859" i="107"/>
  <c r="E843" i="107"/>
  <c r="E1039" i="107"/>
  <c r="E1027" i="107"/>
  <c r="E980" i="107"/>
  <c r="E961" i="107"/>
  <c r="E935" i="107"/>
  <c r="E908" i="107"/>
  <c r="E1200" i="107"/>
  <c r="E1046" i="107"/>
  <c r="E940" i="107"/>
  <c r="E924" i="107"/>
  <c r="E1029" i="107"/>
  <c r="E975" i="107"/>
  <c r="E899" i="107"/>
  <c r="E988" i="107"/>
  <c r="E912" i="107"/>
  <c r="E895" i="107"/>
  <c r="E834" i="107"/>
  <c r="E848" i="107"/>
  <c r="E995" i="107"/>
  <c r="E883" i="107"/>
  <c r="E866" i="107"/>
  <c r="E863" i="107"/>
  <c r="E831" i="107"/>
  <c r="E795" i="107"/>
  <c r="E945" i="107"/>
  <c r="E915" i="107"/>
  <c r="E891" i="107"/>
  <c r="E836" i="107"/>
  <c r="E799" i="107"/>
  <c r="E932" i="107"/>
  <c r="E902" i="107"/>
  <c r="E879" i="107"/>
  <c r="E816" i="107"/>
  <c r="E814" i="107"/>
  <c r="E784" i="107"/>
  <c r="E775" i="107"/>
  <c r="E759" i="107"/>
  <c r="E743" i="107"/>
  <c r="E727" i="107"/>
  <c r="E1116" i="107"/>
  <c r="E906" i="107"/>
  <c r="E850" i="107"/>
  <c r="E803" i="107"/>
  <c r="E964" i="107"/>
  <c r="E901" i="107"/>
  <c r="E847" i="107"/>
  <c r="E841" i="107"/>
  <c r="E937" i="107"/>
  <c r="E910" i="107"/>
  <c r="E897" i="107"/>
  <c r="E790" i="107"/>
  <c r="E875" i="107"/>
  <c r="E868" i="107"/>
  <c r="E862" i="107"/>
  <c r="E822" i="107"/>
  <c r="E807" i="107"/>
  <c r="E956" i="107"/>
  <c r="E893" i="107"/>
  <c r="E855" i="107"/>
  <c r="E809" i="107"/>
  <c r="E794" i="107"/>
  <c r="E778" i="107"/>
  <c r="E762" i="107"/>
  <c r="E1032" i="107"/>
  <c r="E991" i="107"/>
  <c r="E885" i="107"/>
  <c r="E852" i="107"/>
  <c r="E830" i="107"/>
  <c r="E827" i="107"/>
  <c r="E813" i="107"/>
  <c r="E811" i="107"/>
  <c r="E982" i="107"/>
  <c r="E815" i="107"/>
  <c r="E773" i="107"/>
  <c r="E742" i="107"/>
  <c r="E730" i="107"/>
  <c r="E877" i="107"/>
  <c r="E820" i="107"/>
  <c r="E750" i="107"/>
  <c r="E769" i="107"/>
  <c r="E753" i="107"/>
  <c r="E693" i="107"/>
  <c r="E832" i="107"/>
  <c r="E825" i="107"/>
  <c r="E788" i="107"/>
  <c r="E741" i="107"/>
  <c r="E710" i="107"/>
  <c r="E819" i="107"/>
  <c r="E678" i="107"/>
  <c r="E662" i="107"/>
  <c r="E646" i="107"/>
  <c r="E874" i="107"/>
  <c r="E808" i="107"/>
  <c r="E735" i="107"/>
  <c r="E714" i="107"/>
  <c r="E686" i="107"/>
  <c r="E676" i="107"/>
  <c r="E660" i="107"/>
  <c r="E644" i="107"/>
  <c r="E846" i="107"/>
  <c r="E783" i="107"/>
  <c r="E772" i="107"/>
  <c r="E755" i="107"/>
  <c r="E688" i="107"/>
  <c r="E881" i="107"/>
  <c r="E864" i="107"/>
  <c r="E758" i="107"/>
  <c r="E746" i="107"/>
  <c r="E726" i="107"/>
  <c r="E705" i="107"/>
  <c r="E690" i="107"/>
  <c r="E787" i="107"/>
  <c r="E802" i="107"/>
  <c r="E771" i="107"/>
  <c r="E696" i="107"/>
  <c r="E692" i="107"/>
  <c r="E737" i="107"/>
  <c r="E711" i="107"/>
  <c r="E709" i="107"/>
  <c r="E694" i="107"/>
  <c r="E631" i="107"/>
  <c r="E615" i="107"/>
  <c r="E889" i="107"/>
  <c r="E767" i="107"/>
  <c r="E757" i="107"/>
  <c r="E806" i="107"/>
  <c r="E659" i="107"/>
  <c r="E734" i="107"/>
  <c r="E618" i="107"/>
  <c r="E613" i="107"/>
  <c r="E606" i="107"/>
  <c r="E707" i="107"/>
  <c r="E679" i="107"/>
  <c r="E675" i="107"/>
  <c r="E671" i="107"/>
  <c r="E645" i="107"/>
  <c r="E655" i="107"/>
  <c r="E628" i="107"/>
  <c r="E608" i="107"/>
  <c r="E776" i="107"/>
  <c r="E601" i="107"/>
  <c r="E599" i="107"/>
  <c r="E603" i="107"/>
  <c r="E739" i="107"/>
  <c r="E665" i="107"/>
  <c r="E647" i="107"/>
  <c r="E617" i="107"/>
  <c r="E922" i="107"/>
  <c r="E774" i="107"/>
  <c r="E720" i="107"/>
  <c r="E687" i="107"/>
  <c r="E661" i="107"/>
  <c r="E638" i="107"/>
  <c r="E622" i="107"/>
  <c r="E725" i="107"/>
  <c r="E657" i="107"/>
  <c r="E635" i="107"/>
  <c r="E619" i="107"/>
  <c r="E593" i="107"/>
  <c r="E577" i="107"/>
  <c r="E561" i="107"/>
  <c r="E545" i="107"/>
  <c r="E528" i="107"/>
  <c r="E800" i="107"/>
  <c r="E673" i="107"/>
  <c r="E669" i="107"/>
  <c r="E695" i="107"/>
  <c r="E681" i="107"/>
  <c r="E677" i="107"/>
  <c r="E591" i="107"/>
  <c r="E575" i="107"/>
  <c r="E559" i="107"/>
  <c r="E543" i="107"/>
  <c r="E632" i="107"/>
  <c r="E653" i="107"/>
  <c r="E643" i="107"/>
  <c r="E640" i="107"/>
  <c r="E624" i="107"/>
  <c r="E588" i="107"/>
  <c r="E540" i="107"/>
  <c r="E537" i="107"/>
  <c r="E485" i="107"/>
  <c r="E663" i="107"/>
  <c r="E612" i="107"/>
  <c r="E552" i="107"/>
  <c r="E527" i="107"/>
  <c r="E568" i="107"/>
  <c r="E555" i="107"/>
  <c r="E515" i="107"/>
  <c r="E584" i="107"/>
  <c r="E571" i="107"/>
  <c r="E493" i="107"/>
  <c r="E491" i="107"/>
  <c r="E704" i="107"/>
  <c r="E587" i="107"/>
  <c r="E548" i="107"/>
  <c r="E536" i="107"/>
  <c r="E508" i="107"/>
  <c r="E495" i="107"/>
  <c r="E629" i="107"/>
  <c r="E611" i="107"/>
  <c r="E564" i="107"/>
  <c r="E539" i="107"/>
  <c r="E524" i="107"/>
  <c r="E519" i="107"/>
  <c r="E482" i="107"/>
  <c r="E480" i="107"/>
  <c r="E478" i="107"/>
  <c r="E461" i="107"/>
  <c r="E616" i="107"/>
  <c r="E649" i="107"/>
  <c r="E596" i="107"/>
  <c r="E501" i="107"/>
  <c r="E459" i="107"/>
  <c r="E723" i="107"/>
  <c r="E604" i="107"/>
  <c r="E541" i="107"/>
  <c r="E532" i="107"/>
  <c r="E526" i="107"/>
  <c r="E633" i="107"/>
  <c r="E563" i="107"/>
  <c r="E488" i="107"/>
  <c r="E464" i="107"/>
  <c r="E560" i="107"/>
  <c r="E544" i="107"/>
  <c r="E492" i="107"/>
  <c r="E475" i="107"/>
  <c r="E576" i="107"/>
  <c r="E553" i="107"/>
  <c r="E523" i="107"/>
  <c r="E507" i="107"/>
  <c r="E496" i="107"/>
  <c r="E494" i="107"/>
  <c r="E580" i="107"/>
  <c r="E602" i="107"/>
  <c r="E569" i="107"/>
  <c r="E626" i="107"/>
  <c r="E512" i="107"/>
  <c r="E503" i="107"/>
  <c r="E466" i="107"/>
  <c r="E479" i="107"/>
  <c r="E469" i="107"/>
  <c r="E511" i="107"/>
  <c r="E572" i="107"/>
  <c r="E592" i="107"/>
  <c r="E458" i="107"/>
  <c r="E468" i="107"/>
  <c r="E510" i="107"/>
  <c r="E509" i="107"/>
  <c r="E556" i="107"/>
  <c r="E585" i="107"/>
  <c r="G20" i="107"/>
  <c r="H29" i="107"/>
  <c r="G46" i="107"/>
  <c r="F48" i="107"/>
  <c r="J48" i="107"/>
  <c r="J56" i="107"/>
  <c r="I56" i="107"/>
  <c r="H56" i="107"/>
  <c r="F56" i="107"/>
  <c r="E72" i="107"/>
  <c r="E106" i="107"/>
  <c r="C125" i="107"/>
  <c r="G137" i="107"/>
  <c r="J140" i="107"/>
  <c r="G140" i="107"/>
  <c r="F140" i="107"/>
  <c r="E140" i="107"/>
  <c r="D140" i="107"/>
  <c r="D146" i="107"/>
  <c r="J156" i="107"/>
  <c r="G156" i="107"/>
  <c r="F156" i="107"/>
  <c r="E156" i="107"/>
  <c r="D156" i="107"/>
  <c r="D163" i="107"/>
  <c r="H166" i="107"/>
  <c r="H195" i="107"/>
  <c r="G211" i="107"/>
  <c r="E211" i="107"/>
  <c r="I211" i="107"/>
  <c r="F211" i="107"/>
  <c r="D211" i="107"/>
  <c r="C211" i="107"/>
  <c r="H222" i="107"/>
  <c r="H237" i="107"/>
  <c r="H249" i="107"/>
  <c r="E273" i="107"/>
  <c r="C279" i="107"/>
  <c r="F279" i="107"/>
  <c r="J279" i="107"/>
  <c r="I279" i="107"/>
  <c r="H279" i="107"/>
  <c r="G279" i="107"/>
  <c r="E279" i="107"/>
  <c r="D279" i="107"/>
  <c r="E317" i="107"/>
  <c r="E327" i="107"/>
  <c r="I463" i="107"/>
  <c r="F463" i="107"/>
  <c r="E463" i="107"/>
  <c r="D463" i="107"/>
  <c r="C463" i="107"/>
  <c r="J463" i="107"/>
  <c r="H463" i="107"/>
  <c r="G1331" i="107"/>
  <c r="G1315" i="107"/>
  <c r="G1299" i="107"/>
  <c r="G1282" i="107"/>
  <c r="G1329" i="107"/>
  <c r="G1334" i="107"/>
  <c r="G1302" i="107"/>
  <c r="G1285" i="107"/>
  <c r="G1269" i="107"/>
  <c r="G1253" i="107"/>
  <c r="G1236" i="107"/>
  <c r="G1323" i="107"/>
  <c r="G1223" i="107"/>
  <c r="G1204" i="107"/>
  <c r="G1194" i="107"/>
  <c r="G1342" i="107"/>
  <c r="G1337" i="107"/>
  <c r="G1305" i="107"/>
  <c r="G1295" i="107"/>
  <c r="G1245" i="107"/>
  <c r="G1233" i="107"/>
  <c r="G1216" i="107"/>
  <c r="G1182" i="107"/>
  <c r="G1172" i="107"/>
  <c r="G1122" i="107"/>
  <c r="G1336" i="107"/>
  <c r="G1271" i="107"/>
  <c r="G1218" i="107"/>
  <c r="G1191" i="107"/>
  <c r="G1161" i="107"/>
  <c r="G1193" i="107"/>
  <c r="G1148" i="107"/>
  <c r="G1202" i="107"/>
  <c r="G1168" i="107"/>
  <c r="G1145" i="107"/>
  <c r="G1129" i="107"/>
  <c r="G1330" i="107"/>
  <c r="G1238" i="107"/>
  <c r="G1171" i="107"/>
  <c r="G1038" i="107"/>
  <c r="G1077" i="107"/>
  <c r="G1061" i="107"/>
  <c r="G1045" i="107"/>
  <c r="G1293" i="107"/>
  <c r="G1181" i="107"/>
  <c r="G1108" i="107"/>
  <c r="G1321" i="107"/>
  <c r="G1188" i="107"/>
  <c r="G1184" i="107"/>
  <c r="G1118" i="107"/>
  <c r="G1116" i="107"/>
  <c r="G1104" i="107"/>
  <c r="G1256" i="107"/>
  <c r="G1312" i="107"/>
  <c r="G1075" i="107"/>
  <c r="G1036" i="107"/>
  <c r="G1166" i="107"/>
  <c r="G1088" i="107"/>
  <c r="G1084" i="107"/>
  <c r="G1013" i="107"/>
  <c r="G1222" i="107"/>
  <c r="G1060" i="107"/>
  <c r="G1052" i="107"/>
  <c r="G1023" i="107"/>
  <c r="G1004" i="107"/>
  <c r="G1090" i="107"/>
  <c r="G1326" i="107"/>
  <c r="G1020" i="107"/>
  <c r="G1217" i="107"/>
  <c r="G1169" i="107"/>
  <c r="G1026" i="107"/>
  <c r="G1002" i="107"/>
  <c r="G1067" i="107"/>
  <c r="G924" i="107"/>
  <c r="G1076" i="107"/>
  <c r="G991" i="107"/>
  <c r="G961" i="107"/>
  <c r="G932" i="107"/>
  <c r="G982" i="107"/>
  <c r="G1096" i="107"/>
  <c r="G1057" i="107"/>
  <c r="G986" i="107"/>
  <c r="G975" i="107"/>
  <c r="G963" i="107"/>
  <c r="G1043" i="107"/>
  <c r="G892" i="107"/>
  <c r="G902" i="107"/>
  <c r="G1003" i="107"/>
  <c r="G970" i="107"/>
  <c r="G920" i="107"/>
  <c r="G911" i="107"/>
  <c r="G872" i="107"/>
  <c r="G822" i="107"/>
  <c r="G906" i="107"/>
  <c r="G852" i="107"/>
  <c r="G836" i="107"/>
  <c r="G1146" i="107"/>
  <c r="G1034" i="107"/>
  <c r="G988" i="107"/>
  <c r="G859" i="107"/>
  <c r="G908" i="107"/>
  <c r="G883" i="107"/>
  <c r="G996" i="107"/>
  <c r="G897" i="107"/>
  <c r="G895" i="107"/>
  <c r="G893" i="107"/>
  <c r="G879" i="107"/>
  <c r="G845" i="107"/>
  <c r="G1005" i="107"/>
  <c r="G995" i="107"/>
  <c r="G933" i="107"/>
  <c r="G891" i="107"/>
  <c r="G866" i="107"/>
  <c r="G814" i="107"/>
  <c r="G711" i="107"/>
  <c r="G1037" i="107"/>
  <c r="G972" i="107"/>
  <c r="G853" i="107"/>
  <c r="G850" i="107"/>
  <c r="G828" i="107"/>
  <c r="G788" i="107"/>
  <c r="G833" i="107"/>
  <c r="G780" i="107"/>
  <c r="G764" i="107"/>
  <c r="G910" i="107"/>
  <c r="G875" i="107"/>
  <c r="G862" i="107"/>
  <c r="G956" i="107"/>
  <c r="G1000" i="107"/>
  <c r="G889" i="107"/>
  <c r="G861" i="107"/>
  <c r="G849" i="107"/>
  <c r="G843" i="107"/>
  <c r="G817" i="107"/>
  <c r="G693" i="107"/>
  <c r="G662" i="107"/>
  <c r="G701" i="107"/>
  <c r="G676" i="107"/>
  <c r="G674" i="107"/>
  <c r="G846" i="107"/>
  <c r="G864" i="107"/>
  <c r="G758" i="107"/>
  <c r="G837" i="107"/>
  <c r="G802" i="107"/>
  <c r="G723" i="107"/>
  <c r="G707" i="107"/>
  <c r="G696" i="107"/>
  <c r="G935" i="107"/>
  <c r="G740" i="107"/>
  <c r="G728" i="107"/>
  <c r="G675" i="107"/>
  <c r="G631" i="107"/>
  <c r="G608" i="107"/>
  <c r="G805" i="107"/>
  <c r="G754" i="107"/>
  <c r="G769" i="107"/>
  <c r="G572" i="107"/>
  <c r="G540" i="107"/>
  <c r="G617" i="107"/>
  <c r="G720" i="107"/>
  <c r="G641" i="107"/>
  <c r="G638" i="107"/>
  <c r="G781" i="107"/>
  <c r="G821" i="107"/>
  <c r="G832" i="107"/>
  <c r="G709" i="107"/>
  <c r="G643" i="107"/>
  <c r="G640" i="107"/>
  <c r="G624" i="107"/>
  <c r="G596" i="107"/>
  <c r="G694" i="107"/>
  <c r="G626" i="107"/>
  <c r="G616" i="107"/>
  <c r="G611" i="107"/>
  <c r="G604" i="107"/>
  <c r="G587" i="107"/>
  <c r="G756" i="107"/>
  <c r="G606" i="107"/>
  <c r="G530" i="107"/>
  <c r="G508" i="107"/>
  <c r="G493" i="107"/>
  <c r="G491" i="107"/>
  <c r="G636" i="107"/>
  <c r="G480" i="107"/>
  <c r="G380" i="107"/>
  <c r="G348" i="107"/>
  <c r="G739" i="107"/>
  <c r="G561" i="107"/>
  <c r="G558" i="107"/>
  <c r="G545" i="107"/>
  <c r="G661" i="107"/>
  <c r="G501" i="107"/>
  <c r="G443" i="107"/>
  <c r="G427" i="107"/>
  <c r="G411" i="107"/>
  <c r="G395" i="107"/>
  <c r="G610" i="107"/>
  <c r="G486" i="107"/>
  <c r="G492" i="107"/>
  <c r="G689" i="107"/>
  <c r="G496" i="107"/>
  <c r="G494" i="107"/>
  <c r="G475" i="107"/>
  <c r="G647" i="107"/>
  <c r="G523" i="107"/>
  <c r="G687" i="107"/>
  <c r="G535" i="107"/>
  <c r="G525" i="107"/>
  <c r="G408" i="107"/>
  <c r="G385" i="107"/>
  <c r="G353" i="107"/>
  <c r="G578" i="107"/>
  <c r="G503" i="107"/>
  <c r="G466" i="107"/>
  <c r="G432" i="107"/>
  <c r="G424" i="107"/>
  <c r="G372" i="107"/>
  <c r="G367" i="107"/>
  <c r="G369" i="107"/>
  <c r="G434" i="107"/>
  <c r="G423" i="107"/>
  <c r="G403" i="107"/>
  <c r="G455" i="107"/>
  <c r="G567" i="107"/>
  <c r="G458" i="107"/>
  <c r="G383" i="107"/>
  <c r="G416" i="107"/>
  <c r="G349" i="107"/>
  <c r="G520" i="107"/>
  <c r="G513" i="107"/>
  <c r="G439" i="107"/>
  <c r="G402" i="107"/>
  <c r="G389" i="107"/>
  <c r="G361" i="107"/>
  <c r="G354" i="107"/>
  <c r="G351" i="107"/>
  <c r="F64" i="107"/>
  <c r="J64" i="107"/>
  <c r="F20" i="107"/>
  <c r="G29" i="107"/>
  <c r="H4" i="107"/>
  <c r="G27" i="107"/>
  <c r="C32" i="107"/>
  <c r="H64" i="107"/>
  <c r="D82" i="107"/>
  <c r="H82" i="107"/>
  <c r="G112" i="107"/>
  <c r="D160" i="107"/>
  <c r="I4" i="107"/>
  <c r="D7" i="107"/>
  <c r="D8" i="107"/>
  <c r="F1336" i="107"/>
  <c r="F1320" i="107"/>
  <c r="F1304" i="107"/>
  <c r="F1302" i="107"/>
  <c r="F1285" i="107"/>
  <c r="F1269" i="107"/>
  <c r="F1236" i="107"/>
  <c r="F1220" i="107"/>
  <c r="F1341" i="107"/>
  <c r="F1325" i="107"/>
  <c r="F1309" i="107"/>
  <c r="F1292" i="107"/>
  <c r="F1276" i="107"/>
  <c r="F1260" i="107"/>
  <c r="F1329" i="107"/>
  <c r="F1296" i="107"/>
  <c r="F1264" i="107"/>
  <c r="F1207" i="107"/>
  <c r="F1223" i="107"/>
  <c r="F1209" i="107"/>
  <c r="F1237" i="107"/>
  <c r="F1226" i="107"/>
  <c r="F1194" i="107"/>
  <c r="F1337" i="107"/>
  <c r="F1323" i="107"/>
  <c r="F1319" i="107"/>
  <c r="F1314" i="107"/>
  <c r="F1305" i="107"/>
  <c r="F1290" i="107"/>
  <c r="F1286" i="107"/>
  <c r="F1281" i="107"/>
  <c r="F1272" i="107"/>
  <c r="F1258" i="107"/>
  <c r="F1254" i="107"/>
  <c r="F1249" i="107"/>
  <c r="F1211" i="107"/>
  <c r="F1199" i="107"/>
  <c r="F1189" i="107"/>
  <c r="F1184" i="107"/>
  <c r="F1163" i="107"/>
  <c r="F1145" i="107"/>
  <c r="F1129" i="107"/>
  <c r="F1244" i="107"/>
  <c r="F1225" i="107"/>
  <c r="F1186" i="107"/>
  <c r="F1170" i="107"/>
  <c r="F1239" i="107"/>
  <c r="F1232" i="107"/>
  <c r="F1203" i="107"/>
  <c r="F1168" i="107"/>
  <c r="F1339" i="107"/>
  <c r="F1274" i="107"/>
  <c r="F1227" i="107"/>
  <c r="F1221" i="107"/>
  <c r="F1216" i="107"/>
  <c r="F1303" i="107"/>
  <c r="F1148" i="107"/>
  <c r="F1132" i="107"/>
  <c r="F1113" i="107"/>
  <c r="F1097" i="107"/>
  <c r="F1081" i="107"/>
  <c r="F1288" i="107"/>
  <c r="F1280" i="107"/>
  <c r="F1202" i="107"/>
  <c r="F1330" i="107"/>
  <c r="F1215" i="107"/>
  <c r="F1171" i="107"/>
  <c r="F1161" i="107"/>
  <c r="F1154" i="107"/>
  <c r="F1150" i="107"/>
  <c r="F1134" i="107"/>
  <c r="F1121" i="107"/>
  <c r="F1070" i="107"/>
  <c r="F1054" i="107"/>
  <c r="F1265" i="107"/>
  <c r="F1193" i="107"/>
  <c r="F1077" i="107"/>
  <c r="F1061" i="107"/>
  <c r="F1307" i="107"/>
  <c r="F1136" i="107"/>
  <c r="F1218" i="107"/>
  <c r="F1173" i="107"/>
  <c r="F1156" i="107"/>
  <c r="F1152" i="107"/>
  <c r="F1108" i="107"/>
  <c r="F1335" i="107"/>
  <c r="F1321" i="107"/>
  <c r="F1313" i="107"/>
  <c r="F1213" i="107"/>
  <c r="F1270" i="107"/>
  <c r="F1208" i="107"/>
  <c r="F1200" i="107"/>
  <c r="F1144" i="107"/>
  <c r="F1128" i="107"/>
  <c r="F1120" i="107"/>
  <c r="F1034" i="107"/>
  <c r="F1020" i="107"/>
  <c r="F1181" i="107"/>
  <c r="F1075" i="107"/>
  <c r="F1036" i="107"/>
  <c r="F1166" i="107"/>
  <c r="F1205" i="107"/>
  <c r="F1066" i="107"/>
  <c r="F1045" i="107"/>
  <c r="F1256" i="107"/>
  <c r="F1172" i="107"/>
  <c r="F1084" i="107"/>
  <c r="F1050" i="107"/>
  <c r="F1143" i="107"/>
  <c r="F1130" i="107"/>
  <c r="F1029" i="107"/>
  <c r="F1027" i="107"/>
  <c r="F1025" i="107"/>
  <c r="F1013" i="107"/>
  <c r="F997" i="107"/>
  <c r="F1123" i="107"/>
  <c r="F1118" i="107"/>
  <c r="F1114" i="107"/>
  <c r="F1106" i="107"/>
  <c r="F1231" i="107"/>
  <c r="F1242" i="107"/>
  <c r="F1071" i="107"/>
  <c r="F1002" i="107"/>
  <c r="F1155" i="107"/>
  <c r="F1122" i="107"/>
  <c r="F1090" i="107"/>
  <c r="F1019" i="107"/>
  <c r="F1086" i="107"/>
  <c r="F1146" i="107"/>
  <c r="F1088" i="107"/>
  <c r="F1082" i="107"/>
  <c r="F1041" i="107"/>
  <c r="F1023" i="107"/>
  <c r="F1005" i="107"/>
  <c r="F981" i="107"/>
  <c r="F949" i="107"/>
  <c r="F1100" i="107"/>
  <c r="F1062" i="107"/>
  <c r="F1057" i="107"/>
  <c r="F972" i="107"/>
  <c r="F970" i="107"/>
  <c r="F1191" i="107"/>
  <c r="F1052" i="107"/>
  <c r="F942" i="107"/>
  <c r="F928" i="107"/>
  <c r="F926" i="107"/>
  <c r="F1098" i="107"/>
  <c r="F1032" i="107"/>
  <c r="F1004" i="107"/>
  <c r="F959" i="107"/>
  <c r="F940" i="107"/>
  <c r="F938" i="107"/>
  <c r="F936" i="107"/>
  <c r="F934" i="107"/>
  <c r="F924" i="107"/>
  <c r="F908" i="107"/>
  <c r="F1297" i="107"/>
  <c r="F1164" i="107"/>
  <c r="F1104" i="107"/>
  <c r="F1028" i="107"/>
  <c r="F965" i="107"/>
  <c r="F1175" i="107"/>
  <c r="F1139" i="107"/>
  <c r="F993" i="107"/>
  <c r="F982" i="107"/>
  <c r="F980" i="107"/>
  <c r="F950" i="107"/>
  <c r="F948" i="107"/>
  <c r="F1138" i="107"/>
  <c r="F1038" i="107"/>
  <c r="F1024" i="107"/>
  <c r="F1011" i="107"/>
  <c r="F995" i="107"/>
  <c r="F988" i="107"/>
  <c r="F986" i="107"/>
  <c r="F958" i="107"/>
  <c r="F956" i="107"/>
  <c r="F954" i="107"/>
  <c r="F1064" i="107"/>
  <c r="F1000" i="107"/>
  <c r="F979" i="107"/>
  <c r="F1183" i="107"/>
  <c r="F1078" i="107"/>
  <c r="F975" i="107"/>
  <c r="F963" i="107"/>
  <c r="F1195" i="107"/>
  <c r="F1112" i="107"/>
  <c r="F1102" i="107"/>
  <c r="F1030" i="107"/>
  <c r="F1092" i="107"/>
  <c r="F1076" i="107"/>
  <c r="F1008" i="107"/>
  <c r="F896" i="107"/>
  <c r="F892" i="107"/>
  <c r="F890" i="107"/>
  <c r="F880" i="107"/>
  <c r="F876" i="107"/>
  <c r="F1068" i="107"/>
  <c r="F1012" i="107"/>
  <c r="F902" i="107"/>
  <c r="F874" i="107"/>
  <c r="F863" i="107"/>
  <c r="F847" i="107"/>
  <c r="F831" i="107"/>
  <c r="F933" i="107"/>
  <c r="F913" i="107"/>
  <c r="F915" i="107"/>
  <c r="F906" i="107"/>
  <c r="F868" i="107"/>
  <c r="F1248" i="107"/>
  <c r="F1060" i="107"/>
  <c r="F1017" i="107"/>
  <c r="F1039" i="107"/>
  <c r="F961" i="107"/>
  <c r="F866" i="107"/>
  <c r="F850" i="107"/>
  <c r="F1080" i="107"/>
  <c r="F1073" i="107"/>
  <c r="F1059" i="107"/>
  <c r="F1046" i="107"/>
  <c r="F899" i="107"/>
  <c r="F885" i="107"/>
  <c r="F883" i="107"/>
  <c r="F1116" i="107"/>
  <c r="F996" i="107"/>
  <c r="F932" i="107"/>
  <c r="F806" i="107"/>
  <c r="F960" i="107"/>
  <c r="F903" i="107"/>
  <c r="F895" i="107"/>
  <c r="F848" i="107"/>
  <c r="F842" i="107"/>
  <c r="F795" i="107"/>
  <c r="F973" i="107"/>
  <c r="F952" i="107"/>
  <c r="F891" i="107"/>
  <c r="F887" i="107"/>
  <c r="F836" i="107"/>
  <c r="F799" i="107"/>
  <c r="F920" i="107"/>
  <c r="F911" i="107"/>
  <c r="F879" i="107"/>
  <c r="F816" i="107"/>
  <c r="F814" i="107"/>
  <c r="F801" i="107"/>
  <c r="F784" i="107"/>
  <c r="F775" i="107"/>
  <c r="F759" i="107"/>
  <c r="F743" i="107"/>
  <c r="F727" i="107"/>
  <c r="F869" i="107"/>
  <c r="F859" i="107"/>
  <c r="F1003" i="107"/>
  <c r="F872" i="107"/>
  <c r="F853" i="107"/>
  <c r="F841" i="107"/>
  <c r="F825" i="107"/>
  <c r="F820" i="107"/>
  <c r="F788" i="107"/>
  <c r="F773" i="107"/>
  <c r="F919" i="107"/>
  <c r="F897" i="107"/>
  <c r="F838" i="107"/>
  <c r="F875" i="107"/>
  <c r="F822" i="107"/>
  <c r="F984" i="107"/>
  <c r="F893" i="107"/>
  <c r="F855" i="107"/>
  <c r="F809" i="107"/>
  <c r="F794" i="107"/>
  <c r="F778" i="107"/>
  <c r="F1127" i="107"/>
  <c r="F991" i="107"/>
  <c r="F977" i="107"/>
  <c r="F852" i="107"/>
  <c r="F830" i="107"/>
  <c r="F827" i="107"/>
  <c r="F813" i="107"/>
  <c r="F811" i="107"/>
  <c r="F769" i="107"/>
  <c r="F1096" i="107"/>
  <c r="F1021" i="107"/>
  <c r="F1009" i="107"/>
  <c r="F881" i="107"/>
  <c r="F858" i="107"/>
  <c r="F815" i="107"/>
  <c r="F877" i="107"/>
  <c r="F762" i="107"/>
  <c r="F641" i="107"/>
  <c r="F625" i="107"/>
  <c r="F776" i="107"/>
  <c r="F695" i="107"/>
  <c r="F968" i="107"/>
  <c r="F832" i="107"/>
  <c r="F804" i="107"/>
  <c r="F741" i="107"/>
  <c r="F710" i="107"/>
  <c r="F929" i="107"/>
  <c r="F765" i="107"/>
  <c r="F732" i="107"/>
  <c r="F719" i="107"/>
  <c r="F678" i="107"/>
  <c r="F672" i="107"/>
  <c r="F662" i="107"/>
  <c r="F646" i="107"/>
  <c r="F904" i="107"/>
  <c r="F846" i="107"/>
  <c r="F783" i="107"/>
  <c r="F688" i="107"/>
  <c r="F864" i="107"/>
  <c r="F779" i="107"/>
  <c r="F764" i="107"/>
  <c r="F758" i="107"/>
  <c r="F746" i="107"/>
  <c r="F726" i="107"/>
  <c r="F705" i="107"/>
  <c r="F854" i="107"/>
  <c r="F749" i="107"/>
  <c r="F716" i="107"/>
  <c r="F817" i="107"/>
  <c r="F802" i="107"/>
  <c r="F760" i="107"/>
  <c r="F737" i="107"/>
  <c r="F728" i="107"/>
  <c r="F711" i="107"/>
  <c r="F709" i="107"/>
  <c r="F698" i="107"/>
  <c r="F694" i="107"/>
  <c r="F871" i="107"/>
  <c r="F843" i="107"/>
  <c r="F767" i="107"/>
  <c r="F757" i="107"/>
  <c r="F725" i="107"/>
  <c r="F774" i="107"/>
  <c r="F748" i="107"/>
  <c r="F742" i="107"/>
  <c r="F689" i="107"/>
  <c r="F785" i="107"/>
  <c r="F671" i="107"/>
  <c r="F645" i="107"/>
  <c r="F702" i="107"/>
  <c r="F693" i="107"/>
  <c r="F655" i="107"/>
  <c r="F601" i="107"/>
  <c r="F599" i="107"/>
  <c r="F683" i="107"/>
  <c r="F615" i="107"/>
  <c r="F603" i="107"/>
  <c r="F753" i="107"/>
  <c r="F633" i="107"/>
  <c r="F588" i="107"/>
  <c r="F572" i="107"/>
  <c r="F556" i="107"/>
  <c r="F540" i="107"/>
  <c r="F491" i="107"/>
  <c r="F687" i="107"/>
  <c r="F661" i="107"/>
  <c r="F834" i="107"/>
  <c r="F790" i="107"/>
  <c r="F657" i="107"/>
  <c r="F635" i="107"/>
  <c r="F619" i="107"/>
  <c r="F593" i="107"/>
  <c r="F577" i="107"/>
  <c r="F561" i="107"/>
  <c r="F545" i="107"/>
  <c r="F528" i="107"/>
  <c r="F512" i="107"/>
  <c r="F800" i="107"/>
  <c r="F700" i="107"/>
  <c r="F673" i="107"/>
  <c r="F781" i="107"/>
  <c r="F744" i="107"/>
  <c r="F715" i="107"/>
  <c r="F677" i="107"/>
  <c r="F780" i="107"/>
  <c r="F653" i="107"/>
  <c r="F643" i="107"/>
  <c r="F640" i="107"/>
  <c r="F624" i="107"/>
  <c r="F730" i="107"/>
  <c r="F704" i="107"/>
  <c r="F629" i="107"/>
  <c r="F602" i="107"/>
  <c r="F596" i="107"/>
  <c r="F580" i="107"/>
  <c r="F564" i="107"/>
  <c r="F548" i="107"/>
  <c r="F696" i="107"/>
  <c r="F685" i="107"/>
  <c r="F631" i="107"/>
  <c r="F559" i="107"/>
  <c r="F543" i="107"/>
  <c r="F527" i="107"/>
  <c r="F487" i="107"/>
  <c r="F575" i="107"/>
  <c r="F555" i="107"/>
  <c r="F515" i="107"/>
  <c r="F591" i="107"/>
  <c r="F571" i="107"/>
  <c r="F617" i="107"/>
  <c r="F587" i="107"/>
  <c r="F530" i="107"/>
  <c r="F508" i="107"/>
  <c r="F495" i="107"/>
  <c r="F611" i="107"/>
  <c r="F539" i="107"/>
  <c r="F497" i="107"/>
  <c r="F482" i="107"/>
  <c r="F480" i="107"/>
  <c r="F478" i="107"/>
  <c r="F461" i="107"/>
  <c r="F713" i="107"/>
  <c r="F510" i="107"/>
  <c r="F763" i="107"/>
  <c r="F567" i="107"/>
  <c r="F514" i="107"/>
  <c r="F466" i="107"/>
  <c r="F563" i="107"/>
  <c r="F538" i="107"/>
  <c r="F535" i="107"/>
  <c r="F560" i="107"/>
  <c r="F544" i="107"/>
  <c r="F492" i="107"/>
  <c r="F576" i="107"/>
  <c r="F496" i="107"/>
  <c r="F494" i="107"/>
  <c r="F639" i="107"/>
  <c r="F626" i="107"/>
  <c r="F592" i="107"/>
  <c r="F469" i="107"/>
  <c r="F604" i="107"/>
  <c r="F464" i="107"/>
  <c r="F554" i="107"/>
  <c r="F578" i="107"/>
  <c r="F459" i="107"/>
  <c r="F484" i="107"/>
  <c r="F583" i="107"/>
  <c r="F511" i="107"/>
  <c r="F562" i="107"/>
  <c r="F547" i="107"/>
  <c r="F608" i="107"/>
  <c r="F546" i="107"/>
  <c r="F532" i="107"/>
  <c r="F521" i="107"/>
  <c r="F501" i="107"/>
  <c r="F483" i="107"/>
  <c r="F531" i="107"/>
  <c r="F526" i="107"/>
  <c r="F467" i="107"/>
  <c r="F486" i="107"/>
  <c r="F551" i="107"/>
  <c r="F500" i="107"/>
  <c r="F465" i="107"/>
  <c r="E16" i="107"/>
  <c r="H18" i="107"/>
  <c r="H20" i="107"/>
  <c r="H22" i="107"/>
  <c r="F25" i="107"/>
  <c r="H27" i="107"/>
  <c r="J29" i="107"/>
  <c r="D32" i="107"/>
  <c r="G34" i="107"/>
  <c r="G36" i="107"/>
  <c r="F41" i="107"/>
  <c r="C43" i="107"/>
  <c r="I46" i="107"/>
  <c r="C49" i="107"/>
  <c r="C51" i="107"/>
  <c r="G54" i="107"/>
  <c r="C57" i="107"/>
  <c r="F62" i="107"/>
  <c r="I64" i="107"/>
  <c r="E70" i="107"/>
  <c r="G72" i="107"/>
  <c r="G80" i="107"/>
  <c r="D83" i="107"/>
  <c r="I85" i="107"/>
  <c r="E85" i="107"/>
  <c r="D85" i="107"/>
  <c r="C85" i="107"/>
  <c r="D88" i="107"/>
  <c r="E91" i="107"/>
  <c r="F94" i="107"/>
  <c r="F96" i="107"/>
  <c r="C96" i="107"/>
  <c r="J96" i="107"/>
  <c r="D100" i="107"/>
  <c r="H103" i="107"/>
  <c r="J106" i="107"/>
  <c r="G109" i="107"/>
  <c r="H112" i="107"/>
  <c r="E119" i="107"/>
  <c r="E121" i="107"/>
  <c r="I121" i="107"/>
  <c r="D125" i="107"/>
  <c r="E128" i="107"/>
  <c r="H137" i="107"/>
  <c r="C141" i="107"/>
  <c r="D144" i="107"/>
  <c r="D147" i="107"/>
  <c r="G153" i="107"/>
  <c r="C157" i="107"/>
  <c r="E160" i="107"/>
  <c r="E167" i="107"/>
  <c r="D181" i="107"/>
  <c r="D203" i="107"/>
  <c r="D207" i="107"/>
  <c r="E217" i="107"/>
  <c r="D227" i="107"/>
  <c r="C270" i="107"/>
  <c r="E328" i="107"/>
  <c r="I199" i="107"/>
  <c r="I201" i="107"/>
  <c r="I205" i="107"/>
  <c r="J207" i="107"/>
  <c r="I209" i="107"/>
  <c r="G209" i="107"/>
  <c r="C209" i="107"/>
  <c r="F216" i="107"/>
  <c r="G218" i="107"/>
  <c r="I220" i="107"/>
  <c r="J222" i="107"/>
  <c r="I229" i="107"/>
  <c r="C231" i="107"/>
  <c r="I236" i="107"/>
  <c r="J238" i="107"/>
  <c r="I243" i="107"/>
  <c r="J248" i="107"/>
  <c r="H248" i="107"/>
  <c r="E248" i="107"/>
  <c r="D248" i="107"/>
  <c r="C248" i="107"/>
  <c r="I253" i="107"/>
  <c r="E255" i="107"/>
  <c r="F260" i="107"/>
  <c r="I270" i="107"/>
  <c r="I281" i="107"/>
  <c r="J284" i="107"/>
  <c r="F296" i="107"/>
  <c r="D299" i="107"/>
  <c r="F306" i="107"/>
  <c r="J309" i="107"/>
  <c r="H309" i="107"/>
  <c r="E309" i="107"/>
  <c r="G309" i="107"/>
  <c r="F309" i="107"/>
  <c r="H343" i="107"/>
  <c r="F343" i="107"/>
  <c r="E343" i="107"/>
  <c r="C343" i="107"/>
  <c r="J343" i="107"/>
  <c r="G343" i="107"/>
  <c r="D343" i="107"/>
  <c r="D347" i="107"/>
  <c r="J347" i="107"/>
  <c r="I347" i="107"/>
  <c r="H347" i="107"/>
  <c r="G347" i="107"/>
  <c r="C356" i="107"/>
  <c r="C391" i="107"/>
  <c r="D518" i="107"/>
  <c r="D556" i="107"/>
  <c r="E45" i="107"/>
  <c r="E61" i="107"/>
  <c r="E77" i="107"/>
  <c r="E93" i="107"/>
  <c r="H98" i="107"/>
  <c r="E109" i="107"/>
  <c r="H114" i="107"/>
  <c r="E125" i="107"/>
  <c r="H130" i="107"/>
  <c r="E141" i="107"/>
  <c r="H146" i="107"/>
  <c r="E157" i="107"/>
  <c r="J160" i="107"/>
  <c r="H162" i="107"/>
  <c r="J169" i="107"/>
  <c r="J171" i="107"/>
  <c r="J173" i="107"/>
  <c r="J175" i="107"/>
  <c r="J179" i="107"/>
  <c r="J183" i="107"/>
  <c r="J185" i="107"/>
  <c r="J189" i="107"/>
  <c r="J191" i="107"/>
  <c r="J195" i="107"/>
  <c r="J199" i="107"/>
  <c r="J201" i="107"/>
  <c r="J205" i="107"/>
  <c r="E207" i="107"/>
  <c r="D212" i="107"/>
  <c r="G216" i="107"/>
  <c r="I218" i="107"/>
  <c r="D222" i="107"/>
  <c r="D238" i="107"/>
  <c r="J253" i="107"/>
  <c r="I265" i="107"/>
  <c r="F284" i="107"/>
  <c r="D284" i="107"/>
  <c r="C284" i="107"/>
  <c r="I284" i="107"/>
  <c r="F293" i="107"/>
  <c r="E299" i="107"/>
  <c r="C310" i="107"/>
  <c r="J320" i="107"/>
  <c r="D500" i="107"/>
  <c r="D519" i="107"/>
  <c r="E175" i="107"/>
  <c r="I177" i="107"/>
  <c r="C177" i="107"/>
  <c r="E181" i="107"/>
  <c r="I187" i="107"/>
  <c r="E191" i="107"/>
  <c r="I193" i="107"/>
  <c r="C193" i="107"/>
  <c r="E197" i="107"/>
  <c r="I203" i="107"/>
  <c r="F220" i="107"/>
  <c r="D220" i="107"/>
  <c r="I227" i="107"/>
  <c r="E229" i="107"/>
  <c r="C229" i="107"/>
  <c r="F232" i="107"/>
  <c r="I234" i="107"/>
  <c r="F236" i="107"/>
  <c r="D236" i="107"/>
  <c r="G243" i="107"/>
  <c r="E243" i="107"/>
  <c r="F251" i="107"/>
  <c r="F258" i="107"/>
  <c r="I260" i="107"/>
  <c r="H260" i="107"/>
  <c r="G260" i="107"/>
  <c r="D270" i="107"/>
  <c r="G270" i="107"/>
  <c r="F290" i="107"/>
  <c r="J296" i="107"/>
  <c r="H296" i="107"/>
  <c r="G296" i="107"/>
  <c r="E296" i="107"/>
  <c r="D296" i="107"/>
  <c r="C296" i="107"/>
  <c r="F303" i="107"/>
  <c r="E306" i="107"/>
  <c r="C306" i="107"/>
  <c r="J306" i="107"/>
  <c r="H306" i="107"/>
  <c r="G306" i="107"/>
  <c r="D306" i="107"/>
  <c r="F317" i="107"/>
  <c r="D317" i="107"/>
  <c r="C317" i="107"/>
  <c r="J317" i="107"/>
  <c r="I317" i="107"/>
  <c r="I324" i="107"/>
  <c r="F328" i="107"/>
  <c r="J339" i="107"/>
  <c r="I339" i="107"/>
  <c r="G339" i="107"/>
  <c r="F339" i="107"/>
  <c r="E339" i="107"/>
  <c r="J216" i="107"/>
  <c r="H216" i="107"/>
  <c r="D216" i="107"/>
  <c r="H218" i="107"/>
  <c r="F218" i="107"/>
  <c r="J227" i="107"/>
  <c r="J234" i="107"/>
  <c r="J241" i="107"/>
  <c r="I246" i="107"/>
  <c r="J268" i="107"/>
  <c r="J273" i="107"/>
  <c r="F276" i="107"/>
  <c r="J287" i="107"/>
  <c r="I293" i="107"/>
  <c r="J299" i="107"/>
  <c r="I299" i="107"/>
  <c r="H299" i="107"/>
  <c r="G299" i="107"/>
  <c r="J310" i="107"/>
  <c r="I310" i="107"/>
  <c r="G310" i="107"/>
  <c r="F310" i="107"/>
  <c r="E310" i="107"/>
  <c r="D310" i="107"/>
  <c r="F321" i="107"/>
  <c r="I328" i="107"/>
  <c r="I336" i="107"/>
  <c r="F344" i="107"/>
  <c r="I477" i="107"/>
  <c r="F477" i="107"/>
  <c r="D477" i="107"/>
  <c r="J477" i="107"/>
  <c r="H477" i="107"/>
  <c r="E477" i="107"/>
  <c r="I579" i="107"/>
  <c r="H579" i="107"/>
  <c r="D579" i="107"/>
  <c r="C579" i="107"/>
  <c r="J579" i="107"/>
  <c r="F579" i="107"/>
  <c r="E579" i="107"/>
  <c r="J139" i="107"/>
  <c r="J155" i="107"/>
  <c r="D176" i="107"/>
  <c r="D192" i="107"/>
  <c r="F210" i="107"/>
  <c r="I214" i="107"/>
  <c r="C219" i="107"/>
  <c r="G227" i="107"/>
  <c r="E227" i="107"/>
  <c r="I232" i="107"/>
  <c r="H234" i="107"/>
  <c r="F234" i="107"/>
  <c r="I241" i="107"/>
  <c r="G241" i="107"/>
  <c r="D241" i="107"/>
  <c r="C241" i="107"/>
  <c r="J246" i="107"/>
  <c r="G246" i="107"/>
  <c r="F246" i="107"/>
  <c r="E246" i="107"/>
  <c r="F249" i="107"/>
  <c r="J251" i="107"/>
  <c r="I251" i="107"/>
  <c r="H251" i="107"/>
  <c r="F256" i="107"/>
  <c r="F261" i="107"/>
  <c r="F268" i="107"/>
  <c r="D268" i="107"/>
  <c r="I268" i="107"/>
  <c r="I273" i="107"/>
  <c r="G273" i="107"/>
  <c r="F273" i="107"/>
  <c r="D273" i="107"/>
  <c r="C273" i="107"/>
  <c r="J276" i="107"/>
  <c r="I282" i="107"/>
  <c r="E287" i="107"/>
  <c r="J293" i="107"/>
  <c r="F307" i="107"/>
  <c r="J314" i="107"/>
  <c r="J328" i="107"/>
  <c r="D328" i="107"/>
  <c r="H328" i="107"/>
  <c r="G328" i="107"/>
  <c r="G336" i="107"/>
  <c r="E336" i="107"/>
  <c r="D336" i="107"/>
  <c r="J336" i="107"/>
  <c r="H336" i="107"/>
  <c r="F336" i="107"/>
  <c r="F586" i="107"/>
  <c r="F348" i="107"/>
  <c r="F332" i="107"/>
  <c r="F316" i="107"/>
  <c r="F338" i="107"/>
  <c r="F308" i="107"/>
  <c r="F287" i="107"/>
  <c r="F271" i="107"/>
  <c r="F255" i="107"/>
  <c r="F239" i="107"/>
  <c r="F285" i="107"/>
  <c r="F269" i="107"/>
  <c r="F253" i="107"/>
  <c r="F237" i="107"/>
  <c r="F221" i="107"/>
  <c r="F333" i="107"/>
  <c r="F331" i="107"/>
  <c r="F318" i="107"/>
  <c r="F314" i="107"/>
  <c r="F292" i="107"/>
  <c r="F324" i="107"/>
  <c r="G15" i="107"/>
  <c r="G31" i="107"/>
  <c r="G47" i="107"/>
  <c r="G63" i="107"/>
  <c r="G79" i="107"/>
  <c r="F88" i="107"/>
  <c r="G95" i="107"/>
  <c r="F104" i="107"/>
  <c r="G111" i="107"/>
  <c r="F120" i="107"/>
  <c r="G127" i="107"/>
  <c r="F136" i="107"/>
  <c r="G143" i="107"/>
  <c r="F152" i="107"/>
  <c r="G159" i="107"/>
  <c r="F168" i="107"/>
  <c r="E170" i="107"/>
  <c r="E172" i="107"/>
  <c r="F174" i="107"/>
  <c r="E176" i="107"/>
  <c r="E178" i="107"/>
  <c r="E180" i="107"/>
  <c r="E182" i="107"/>
  <c r="F184" i="107"/>
  <c r="E186" i="107"/>
  <c r="E188" i="107"/>
  <c r="F190" i="107"/>
  <c r="E192" i="107"/>
  <c r="E194" i="107"/>
  <c r="E196" i="107"/>
  <c r="E198" i="107"/>
  <c r="F200" i="107"/>
  <c r="E202" i="107"/>
  <c r="E204" i="107"/>
  <c r="F206" i="107"/>
  <c r="F208" i="107"/>
  <c r="J214" i="107"/>
  <c r="F214" i="107"/>
  <c r="D219" i="107"/>
  <c r="C228" i="107"/>
  <c r="J232" i="107"/>
  <c r="H232" i="107"/>
  <c r="D232" i="107"/>
  <c r="C232" i="107"/>
  <c r="C235" i="107"/>
  <c r="J239" i="107"/>
  <c r="C252" i="107"/>
  <c r="F254" i="107"/>
  <c r="J258" i="107"/>
  <c r="G261" i="107"/>
  <c r="I276" i="107"/>
  <c r="J282" i="107"/>
  <c r="J290" i="107"/>
  <c r="E293" i="107"/>
  <c r="C293" i="107"/>
  <c r="H293" i="107"/>
  <c r="J318" i="107"/>
  <c r="J321" i="107"/>
  <c r="J325" i="107"/>
  <c r="H325" i="107"/>
  <c r="E325" i="107"/>
  <c r="I325" i="107"/>
  <c r="G325" i="107"/>
  <c r="D325" i="107"/>
  <c r="C325" i="107"/>
  <c r="I340" i="107"/>
  <c r="C405" i="107"/>
  <c r="D557" i="107"/>
  <c r="D562" i="107"/>
  <c r="H88" i="107"/>
  <c r="J102" i="107"/>
  <c r="H104" i="107"/>
  <c r="I111" i="107"/>
  <c r="J118" i="107"/>
  <c r="H120" i="107"/>
  <c r="I127" i="107"/>
  <c r="J134" i="107"/>
  <c r="H136" i="107"/>
  <c r="I143" i="107"/>
  <c r="J150" i="107"/>
  <c r="H152" i="107"/>
  <c r="I159" i="107"/>
  <c r="J166" i="107"/>
  <c r="G170" i="107"/>
  <c r="H172" i="107"/>
  <c r="H174" i="107"/>
  <c r="G176" i="107"/>
  <c r="G178" i="107"/>
  <c r="G192" i="107"/>
  <c r="I210" i="107"/>
  <c r="H212" i="107"/>
  <c r="F217" i="107"/>
  <c r="F219" i="107"/>
  <c r="I221" i="107"/>
  <c r="E223" i="107"/>
  <c r="E228" i="107"/>
  <c r="I230" i="107"/>
  <c r="E235" i="107"/>
  <c r="I237" i="107"/>
  <c r="J244" i="107"/>
  <c r="I249" i="107"/>
  <c r="G252" i="107"/>
  <c r="I256" i="107"/>
  <c r="F264" i="107"/>
  <c r="J266" i="107"/>
  <c r="J271" i="107"/>
  <c r="F274" i="107"/>
  <c r="F277" i="107"/>
  <c r="F280" i="107"/>
  <c r="F288" i="107"/>
  <c r="F291" i="107"/>
  <c r="I329" i="107"/>
  <c r="J333" i="107"/>
  <c r="F337" i="107"/>
  <c r="C389" i="107"/>
  <c r="J436" i="107"/>
  <c r="I436" i="107"/>
  <c r="H436" i="107"/>
  <c r="G436" i="107"/>
  <c r="F436" i="107"/>
  <c r="D436" i="107"/>
  <c r="E436" i="107"/>
  <c r="D604" i="107"/>
  <c r="I348" i="107"/>
  <c r="I332" i="107"/>
  <c r="I346" i="107"/>
  <c r="I338" i="107"/>
  <c r="I308" i="107"/>
  <c r="I287" i="107"/>
  <c r="I271" i="107"/>
  <c r="I255" i="107"/>
  <c r="I239" i="107"/>
  <c r="I223" i="107"/>
  <c r="I207" i="107"/>
  <c r="I314" i="107"/>
  <c r="I335" i="107"/>
  <c r="I303" i="107"/>
  <c r="I349" i="107"/>
  <c r="I344" i="107"/>
  <c r="I322" i="107"/>
  <c r="I297" i="107"/>
  <c r="I330" i="107"/>
  <c r="F51" i="107"/>
  <c r="F67" i="107"/>
  <c r="F83" i="107"/>
  <c r="I88" i="107"/>
  <c r="F99" i="107"/>
  <c r="I104" i="107"/>
  <c r="F115" i="107"/>
  <c r="I120" i="107"/>
  <c r="F131" i="107"/>
  <c r="I136" i="107"/>
  <c r="F147" i="107"/>
  <c r="I152" i="107"/>
  <c r="F163" i="107"/>
  <c r="I170" i="107"/>
  <c r="I172" i="107"/>
  <c r="I174" i="107"/>
  <c r="H176" i="107"/>
  <c r="H178" i="107"/>
  <c r="I180" i="107"/>
  <c r="I182" i="107"/>
  <c r="I186" i="107"/>
  <c r="I188" i="107"/>
  <c r="I190" i="107"/>
  <c r="H192" i="107"/>
  <c r="H194" i="107"/>
  <c r="I196" i="107"/>
  <c r="I198" i="107"/>
  <c r="J210" i="107"/>
  <c r="F215" i="107"/>
  <c r="G219" i="107"/>
  <c r="J221" i="107"/>
  <c r="F228" i="107"/>
  <c r="J230" i="107"/>
  <c r="F230" i="107"/>
  <c r="E230" i="107"/>
  <c r="F235" i="107"/>
  <c r="J237" i="107"/>
  <c r="F242" i="107"/>
  <c r="I244" i="107"/>
  <c r="H244" i="107"/>
  <c r="G244" i="107"/>
  <c r="H252" i="107"/>
  <c r="I254" i="107"/>
  <c r="E271" i="107"/>
  <c r="G277" i="107"/>
  <c r="J294" i="107"/>
  <c r="I294" i="107"/>
  <c r="G294" i="107"/>
  <c r="F294" i="107"/>
  <c r="E294" i="107"/>
  <c r="D294" i="107"/>
  <c r="F319" i="107"/>
  <c r="F322" i="107"/>
  <c r="I333" i="107"/>
  <c r="F341" i="107"/>
  <c r="F345" i="107"/>
  <c r="D345" i="107"/>
  <c r="C345" i="107"/>
  <c r="J345" i="107"/>
  <c r="I345" i="107"/>
  <c r="G345" i="107"/>
  <c r="E345" i="107"/>
  <c r="I358" i="107"/>
  <c r="H358" i="107"/>
  <c r="F358" i="107"/>
  <c r="E358" i="107"/>
  <c r="C358" i="107"/>
  <c r="D365" i="107"/>
  <c r="E419" i="107"/>
  <c r="C419" i="107"/>
  <c r="J419" i="107"/>
  <c r="H419" i="107"/>
  <c r="I419" i="107"/>
  <c r="G419" i="107"/>
  <c r="J581" i="107"/>
  <c r="G581" i="107"/>
  <c r="F581" i="107"/>
  <c r="E581" i="107"/>
  <c r="H581" i="107"/>
  <c r="D581" i="107"/>
  <c r="C581" i="107"/>
  <c r="I581" i="107"/>
  <c r="J346" i="107"/>
  <c r="J348" i="107"/>
  <c r="J340" i="107"/>
  <c r="J327" i="107"/>
  <c r="J285" i="107"/>
  <c r="J316" i="107"/>
  <c r="J335" i="107"/>
  <c r="J303" i="107"/>
  <c r="J322" i="107"/>
  <c r="J305" i="107"/>
  <c r="J297" i="107"/>
  <c r="J281" i="107"/>
  <c r="J265" i="107"/>
  <c r="J249" i="107"/>
  <c r="J233" i="107"/>
  <c r="J337" i="107"/>
  <c r="J324" i="107"/>
  <c r="J288" i="107"/>
  <c r="J330" i="107"/>
  <c r="J332" i="107"/>
  <c r="J319" i="107"/>
  <c r="C39" i="107"/>
  <c r="C55" i="107"/>
  <c r="C71" i="107"/>
  <c r="C87" i="107"/>
  <c r="C103" i="107"/>
  <c r="C119" i="107"/>
  <c r="C135" i="107"/>
  <c r="C151" i="107"/>
  <c r="C167" i="107"/>
  <c r="J168" i="107"/>
  <c r="I176" i="107"/>
  <c r="J184" i="107"/>
  <c r="D184" i="107"/>
  <c r="I192" i="107"/>
  <c r="J200" i="107"/>
  <c r="D200" i="107"/>
  <c r="J202" i="107"/>
  <c r="J204" i="107"/>
  <c r="J206" i="107"/>
  <c r="J208" i="107"/>
  <c r="H219" i="107"/>
  <c r="I228" i="107"/>
  <c r="D231" i="107"/>
  <c r="F233" i="107"/>
  <c r="G235" i="107"/>
  <c r="I252" i="107"/>
  <c r="J254" i="107"/>
  <c r="E261" i="107"/>
  <c r="C261" i="107"/>
  <c r="I264" i="107"/>
  <c r="I269" i="107"/>
  <c r="I277" i="107"/>
  <c r="J280" i="107"/>
  <c r="H280" i="107"/>
  <c r="G280" i="107"/>
  <c r="E280" i="107"/>
  <c r="D280" i="107"/>
  <c r="C280" i="107"/>
  <c r="I291" i="107"/>
  <c r="G304" i="107"/>
  <c r="E304" i="107"/>
  <c r="I304" i="107"/>
  <c r="F304" i="107"/>
  <c r="D304" i="107"/>
  <c r="I312" i="107"/>
  <c r="D315" i="107"/>
  <c r="F315" i="107"/>
  <c r="C315" i="107"/>
  <c r="J315" i="107"/>
  <c r="I315" i="107"/>
  <c r="F330" i="107"/>
  <c r="E334" i="107"/>
  <c r="I341" i="107"/>
  <c r="G365" i="107"/>
  <c r="D379" i="107"/>
  <c r="J379" i="107"/>
  <c r="I379" i="107"/>
  <c r="H379" i="107"/>
  <c r="G379" i="107"/>
  <c r="D396" i="107"/>
  <c r="G396" i="107"/>
  <c r="J396" i="107"/>
  <c r="I396" i="107"/>
  <c r="F396" i="107"/>
  <c r="E396" i="107"/>
  <c r="C396" i="107"/>
  <c r="F410" i="107"/>
  <c r="D410" i="107"/>
  <c r="C410" i="107"/>
  <c r="I410" i="107"/>
  <c r="J410" i="107"/>
  <c r="H410" i="107"/>
  <c r="E410" i="107"/>
  <c r="G594" i="107"/>
  <c r="C160" i="107"/>
  <c r="H170" i="107"/>
  <c r="F172" i="107"/>
  <c r="D174" i="107"/>
  <c r="J178" i="107"/>
  <c r="H180" i="107"/>
  <c r="F182" i="107"/>
  <c r="H186" i="107"/>
  <c r="F188" i="107"/>
  <c r="D190" i="107"/>
  <c r="J194" i="107"/>
  <c r="H196" i="107"/>
  <c r="F198" i="107"/>
  <c r="H202" i="107"/>
  <c r="F204" i="107"/>
  <c r="D206" i="107"/>
  <c r="I217" i="107"/>
  <c r="C222" i="107"/>
  <c r="F226" i="107"/>
  <c r="E231" i="107"/>
  <c r="C238" i="107"/>
  <c r="F240" i="107"/>
  <c r="J264" i="107"/>
  <c r="H264" i="107"/>
  <c r="E264" i="107"/>
  <c r="D264" i="107"/>
  <c r="C264" i="107"/>
  <c r="J269" i="107"/>
  <c r="J274" i="107"/>
  <c r="I288" i="107"/>
  <c r="G291" i="107"/>
  <c r="E291" i="107"/>
  <c r="D291" i="107"/>
  <c r="J291" i="107"/>
  <c r="I326" i="107"/>
  <c r="F346" i="107"/>
  <c r="H359" i="107"/>
  <c r="F359" i="107"/>
  <c r="E359" i="107"/>
  <c r="D359" i="107"/>
  <c r="C359" i="107"/>
  <c r="I359" i="107"/>
  <c r="G359" i="107"/>
  <c r="I215" i="107"/>
  <c r="J217" i="107"/>
  <c r="I219" i="107"/>
  <c r="H228" i="107"/>
  <c r="G228" i="107"/>
  <c r="I235" i="107"/>
  <c r="H235" i="107"/>
  <c r="J242" i="107"/>
  <c r="F252" i="107"/>
  <c r="D252" i="107"/>
  <c r="F272" i="107"/>
  <c r="E277" i="107"/>
  <c r="C277" i="107"/>
  <c r="H277" i="107"/>
  <c r="J308" i="107"/>
  <c r="I319" i="107"/>
  <c r="J326" i="107"/>
  <c r="I334" i="107"/>
  <c r="G334" i="107"/>
  <c r="F334" i="107"/>
  <c r="D334" i="107"/>
  <c r="H334" i="107"/>
  <c r="C334" i="107"/>
  <c r="J350" i="107"/>
  <c r="J365" i="107"/>
  <c r="H365" i="107"/>
  <c r="F365" i="107"/>
  <c r="E365" i="107"/>
  <c r="C365" i="107"/>
  <c r="F570" i="107"/>
  <c r="D1329" i="107"/>
  <c r="D1313" i="107"/>
  <c r="D1296" i="107"/>
  <c r="D1280" i="107"/>
  <c r="D1264" i="107"/>
  <c r="D1248" i="107"/>
  <c r="D1231" i="107"/>
  <c r="D1262" i="107"/>
  <c r="D1334" i="107"/>
  <c r="D1318" i="107"/>
  <c r="D1302" i="107"/>
  <c r="D1285" i="107"/>
  <c r="D1269" i="107"/>
  <c r="D1253" i="107"/>
  <c r="D1236" i="107"/>
  <c r="D1246" i="107"/>
  <c r="D1220" i="107"/>
  <c r="D1217" i="107"/>
  <c r="D1185" i="107"/>
  <c r="D1315" i="107"/>
  <c r="D1282" i="107"/>
  <c r="D1250" i="107"/>
  <c r="D1242" i="107"/>
  <c r="D1207" i="107"/>
  <c r="D1223" i="107"/>
  <c r="D1209" i="107"/>
  <c r="D1204" i="107"/>
  <c r="D1194" i="107"/>
  <c r="D1341" i="107"/>
  <c r="D1323" i="107"/>
  <c r="D1309" i="107"/>
  <c r="D1290" i="107"/>
  <c r="D1276" i="107"/>
  <c r="D1258" i="107"/>
  <c r="D1229" i="107"/>
  <c r="D1211" i="107"/>
  <c r="D1172" i="107"/>
  <c r="D1155" i="107"/>
  <c r="D1331" i="107"/>
  <c r="D1299" i="107"/>
  <c r="D1266" i="107"/>
  <c r="D1225" i="107"/>
  <c r="D1191" i="107"/>
  <c r="D1186" i="107"/>
  <c r="D1170" i="107"/>
  <c r="D1152" i="107"/>
  <c r="D1332" i="107"/>
  <c r="D1325" i="107"/>
  <c r="D1239" i="107"/>
  <c r="D1233" i="107"/>
  <c r="D1195" i="107"/>
  <c r="D1267" i="107"/>
  <c r="D1183" i="107"/>
  <c r="D1143" i="107"/>
  <c r="D1127" i="107"/>
  <c r="D1339" i="107"/>
  <c r="D1260" i="107"/>
  <c r="D1227" i="107"/>
  <c r="D1274" i="107"/>
  <c r="D1316" i="107"/>
  <c r="D1288" i="107"/>
  <c r="D1174" i="107"/>
  <c r="D1168" i="107"/>
  <c r="D1157" i="107"/>
  <c r="D1148" i="107"/>
  <c r="D1145" i="107"/>
  <c r="D1132" i="107"/>
  <c r="D1129" i="107"/>
  <c r="D1113" i="107"/>
  <c r="D1097" i="107"/>
  <c r="D1081" i="107"/>
  <c r="D1337" i="107"/>
  <c r="D1272" i="107"/>
  <c r="D1244" i="107"/>
  <c r="D1215" i="107"/>
  <c r="D1201" i="107"/>
  <c r="D1189" i="107"/>
  <c r="D1161" i="107"/>
  <c r="D1300" i="107"/>
  <c r="D1205" i="107"/>
  <c r="D1193" i="107"/>
  <c r="D1181" i="107"/>
  <c r="D1292" i="107"/>
  <c r="D1164" i="107"/>
  <c r="D1139" i="107"/>
  <c r="D1123" i="107"/>
  <c r="D1307" i="107"/>
  <c r="D1218" i="107"/>
  <c r="D1196" i="107"/>
  <c r="D1136" i="107"/>
  <c r="D1321" i="107"/>
  <c r="D1188" i="107"/>
  <c r="D1173" i="107"/>
  <c r="D1156" i="107"/>
  <c r="D1138" i="107"/>
  <c r="D1116" i="107"/>
  <c r="D1104" i="107"/>
  <c r="D1100" i="107"/>
  <c r="D1041" i="107"/>
  <c r="D1283" i="107"/>
  <c r="D1120" i="107"/>
  <c r="D1092" i="107"/>
  <c r="D1064" i="107"/>
  <c r="D1150" i="107"/>
  <c r="D1075" i="107"/>
  <c r="D1036" i="107"/>
  <c r="D1166" i="107"/>
  <c r="D1088" i="107"/>
  <c r="D1038" i="107"/>
  <c r="D1305" i="107"/>
  <c r="D1256" i="107"/>
  <c r="D1066" i="107"/>
  <c r="D1045" i="107"/>
  <c r="D1179" i="107"/>
  <c r="D1118" i="107"/>
  <c r="D1114" i="107"/>
  <c r="D1106" i="107"/>
  <c r="D1102" i="107"/>
  <c r="D1098" i="107"/>
  <c r="D1094" i="107"/>
  <c r="D1052" i="107"/>
  <c r="D1042" i="107"/>
  <c r="D1023" i="107"/>
  <c r="D1004" i="107"/>
  <c r="D1177" i="107"/>
  <c r="D1163" i="107"/>
  <c r="D1080" i="107"/>
  <c r="D1068" i="107"/>
  <c r="D1057" i="107"/>
  <c r="D1134" i="107"/>
  <c r="D1122" i="107"/>
  <c r="D1090" i="107"/>
  <c r="D1108" i="107"/>
  <c r="D1000" i="107"/>
  <c r="D1077" i="107"/>
  <c r="D1073" i="107"/>
  <c r="D1020" i="107"/>
  <c r="D1017" i="107"/>
  <c r="D1013" i="107"/>
  <c r="D997" i="107"/>
  <c r="D1228" i="107"/>
  <c r="D1029" i="107"/>
  <c r="D1002" i="107"/>
  <c r="D1062" i="107"/>
  <c r="D974" i="107"/>
  <c r="D972" i="107"/>
  <c r="D970" i="107"/>
  <c r="D1047" i="107"/>
  <c r="D1043" i="107"/>
  <c r="D1039" i="107"/>
  <c r="D991" i="107"/>
  <c r="D978" i="107"/>
  <c r="D961" i="107"/>
  <c r="D1199" i="107"/>
  <c r="D1070" i="107"/>
  <c r="D1009" i="107"/>
  <c r="D963" i="107"/>
  <c r="D1084" i="107"/>
  <c r="D993" i="107"/>
  <c r="D982" i="107"/>
  <c r="D950" i="107"/>
  <c r="D995" i="107"/>
  <c r="D956" i="107"/>
  <c r="D952" i="107"/>
  <c r="D942" i="107"/>
  <c r="D926" i="107"/>
  <c r="D1050" i="107"/>
  <c r="D934" i="107"/>
  <c r="D1025" i="107"/>
  <c r="D975" i="107"/>
  <c r="D1030" i="107"/>
  <c r="D959" i="107"/>
  <c r="D928" i="107"/>
  <c r="D1110" i="107"/>
  <c r="D936" i="107"/>
  <c r="D894" i="107"/>
  <c r="D878" i="107"/>
  <c r="D1082" i="107"/>
  <c r="D1061" i="107"/>
  <c r="D1054" i="107"/>
  <c r="D981" i="107"/>
  <c r="D902" i="107"/>
  <c r="D874" i="107"/>
  <c r="D863" i="107"/>
  <c r="D847" i="107"/>
  <c r="D831" i="107"/>
  <c r="D1011" i="107"/>
  <c r="D958" i="107"/>
  <c r="D954" i="107"/>
  <c r="D930" i="107"/>
  <c r="D920" i="107"/>
  <c r="D911" i="107"/>
  <c r="D872" i="107"/>
  <c r="D1034" i="107"/>
  <c r="D988" i="107"/>
  <c r="D984" i="107"/>
  <c r="D915" i="107"/>
  <c r="D906" i="107"/>
  <c r="D868" i="107"/>
  <c r="D852" i="107"/>
  <c r="D973" i="107"/>
  <c r="D946" i="107"/>
  <c r="D917" i="107"/>
  <c r="D1059" i="107"/>
  <c r="D1027" i="107"/>
  <c r="D976" i="107"/>
  <c r="D957" i="107"/>
  <c r="D935" i="107"/>
  <c r="D989" i="107"/>
  <c r="D940" i="107"/>
  <c r="D908" i="107"/>
  <c r="D892" i="107"/>
  <c r="D877" i="107"/>
  <c r="D864" i="107"/>
  <c r="D854" i="107"/>
  <c r="D832" i="107"/>
  <c r="D774" i="107"/>
  <c r="D758" i="107"/>
  <c r="D742" i="107"/>
  <c r="D726" i="107"/>
  <c r="D710" i="107"/>
  <c r="D694" i="107"/>
  <c r="D899" i="107"/>
  <c r="D960" i="107"/>
  <c r="D903" i="107"/>
  <c r="D806" i="107"/>
  <c r="D895" i="107"/>
  <c r="D845" i="107"/>
  <c r="D834" i="107"/>
  <c r="D1005" i="107"/>
  <c r="D933" i="107"/>
  <c r="D876" i="107"/>
  <c r="D848" i="107"/>
  <c r="D1026" i="107"/>
  <c r="D1015" i="107"/>
  <c r="D965" i="107"/>
  <c r="D938" i="107"/>
  <c r="D887" i="107"/>
  <c r="D883" i="107"/>
  <c r="D866" i="107"/>
  <c r="D856" i="107"/>
  <c r="D795" i="107"/>
  <c r="D836" i="107"/>
  <c r="D801" i="107"/>
  <c r="D799" i="107"/>
  <c r="D986" i="107"/>
  <c r="D879" i="107"/>
  <c r="D859" i="107"/>
  <c r="D828" i="107"/>
  <c r="D816" i="107"/>
  <c r="D784" i="107"/>
  <c r="D775" i="107"/>
  <c r="D1086" i="107"/>
  <c r="D1024" i="107"/>
  <c r="D925" i="107"/>
  <c r="D850" i="107"/>
  <c r="D919" i="107"/>
  <c r="D890" i="107"/>
  <c r="D838" i="107"/>
  <c r="D741" i="107"/>
  <c r="D709" i="107"/>
  <c r="D949" i="107"/>
  <c r="D924" i="107"/>
  <c r="D897" i="107"/>
  <c r="D792" i="107"/>
  <c r="D790" i="107"/>
  <c r="D780" i="107"/>
  <c r="D875" i="107"/>
  <c r="D822" i="107"/>
  <c r="D807" i="107"/>
  <c r="D771" i="107"/>
  <c r="D1071" i="107"/>
  <c r="D918" i="107"/>
  <c r="D893" i="107"/>
  <c r="D855" i="107"/>
  <c r="D809" i="107"/>
  <c r="D827" i="107"/>
  <c r="D781" i="107"/>
  <c r="D759" i="107"/>
  <c r="D739" i="107"/>
  <c r="D727" i="107"/>
  <c r="D840" i="107"/>
  <c r="D815" i="107"/>
  <c r="D762" i="107"/>
  <c r="D730" i="107"/>
  <c r="D885" i="107"/>
  <c r="D941" i="107"/>
  <c r="D776" i="107"/>
  <c r="D695" i="107"/>
  <c r="D804" i="107"/>
  <c r="D769" i="107"/>
  <c r="D753" i="107"/>
  <c r="D732" i="107"/>
  <c r="D990" i="107"/>
  <c r="D824" i="107"/>
  <c r="D803" i="107"/>
  <c r="D719" i="107"/>
  <c r="D701" i="107"/>
  <c r="D678" i="107"/>
  <c r="D674" i="107"/>
  <c r="D672" i="107"/>
  <c r="D670" i="107"/>
  <c r="D662" i="107"/>
  <c r="D658" i="107"/>
  <c r="D656" i="107"/>
  <c r="D654" i="107"/>
  <c r="D646" i="107"/>
  <c r="D818" i="107"/>
  <c r="D813" i="107"/>
  <c r="D735" i="107"/>
  <c r="D714" i="107"/>
  <c r="D686" i="107"/>
  <c r="D913" i="107"/>
  <c r="D783" i="107"/>
  <c r="D764" i="107"/>
  <c r="D755" i="107"/>
  <c r="D743" i="107"/>
  <c r="D688" i="107"/>
  <c r="D881" i="107"/>
  <c r="D796" i="107"/>
  <c r="D817" i="107"/>
  <c r="D778" i="107"/>
  <c r="D734" i="107"/>
  <c r="D723" i="107"/>
  <c r="D707" i="107"/>
  <c r="D900" i="107"/>
  <c r="D696" i="107"/>
  <c r="D640" i="107"/>
  <c r="D624" i="107"/>
  <c r="D861" i="107"/>
  <c r="D843" i="107"/>
  <c r="D760" i="107"/>
  <c r="D737" i="107"/>
  <c r="D748" i="107"/>
  <c r="D698" i="107"/>
  <c r="D659" i="107"/>
  <c r="D785" i="107"/>
  <c r="D728" i="107"/>
  <c r="D679" i="107"/>
  <c r="D675" i="107"/>
  <c r="D671" i="107"/>
  <c r="D631" i="107"/>
  <c r="D702" i="107"/>
  <c r="D655" i="107"/>
  <c r="D628" i="107"/>
  <c r="D608" i="107"/>
  <c r="D746" i="107"/>
  <c r="D716" i="107"/>
  <c r="D711" i="107"/>
  <c r="D683" i="107"/>
  <c r="D615" i="107"/>
  <c r="D601" i="107"/>
  <c r="D599" i="107"/>
  <c r="D767" i="107"/>
  <c r="D633" i="107"/>
  <c r="D625" i="107"/>
  <c r="D612" i="107"/>
  <c r="D605" i="107"/>
  <c r="D811" i="107"/>
  <c r="D665" i="107"/>
  <c r="D647" i="107"/>
  <c r="D641" i="107"/>
  <c r="D617" i="107"/>
  <c r="D766" i="107"/>
  <c r="D720" i="107"/>
  <c r="D705" i="107"/>
  <c r="D691" i="107"/>
  <c r="D638" i="107"/>
  <c r="D622" i="107"/>
  <c r="D998" i="107"/>
  <c r="D983" i="107"/>
  <c r="D751" i="107"/>
  <c r="D700" i="107"/>
  <c r="D657" i="107"/>
  <c r="D690" i="107"/>
  <c r="D673" i="107"/>
  <c r="D889" i="107"/>
  <c r="D750" i="107"/>
  <c r="D681" i="107"/>
  <c r="D591" i="107"/>
  <c r="D575" i="107"/>
  <c r="D559" i="107"/>
  <c r="D543" i="107"/>
  <c r="D526" i="107"/>
  <c r="D637" i="107"/>
  <c r="D621" i="107"/>
  <c r="D718" i="107"/>
  <c r="D613" i="107"/>
  <c r="D585" i="107"/>
  <c r="D572" i="107"/>
  <c r="D588" i="107"/>
  <c r="D540" i="107"/>
  <c r="D537" i="107"/>
  <c r="D520" i="107"/>
  <c r="D513" i="107"/>
  <c r="D502" i="107"/>
  <c r="D483" i="107"/>
  <c r="D909" i="107"/>
  <c r="D685" i="107"/>
  <c r="D653" i="107"/>
  <c r="D644" i="107"/>
  <c r="D663" i="107"/>
  <c r="D533" i="107"/>
  <c r="D606" i="107"/>
  <c r="D515" i="107"/>
  <c r="D651" i="107"/>
  <c r="D530" i="107"/>
  <c r="D491" i="107"/>
  <c r="D635" i="107"/>
  <c r="D561" i="107"/>
  <c r="D548" i="107"/>
  <c r="D545" i="107"/>
  <c r="D508" i="107"/>
  <c r="D497" i="107"/>
  <c r="D713" i="107"/>
  <c r="D629" i="107"/>
  <c r="D749" i="107"/>
  <c r="D593" i="107"/>
  <c r="D580" i="107"/>
  <c r="D512" i="107"/>
  <c r="D510" i="107"/>
  <c r="D649" i="107"/>
  <c r="D573" i="107"/>
  <c r="D521" i="107"/>
  <c r="D503" i="107"/>
  <c r="D486" i="107"/>
  <c r="D541" i="107"/>
  <c r="D532" i="107"/>
  <c r="D528" i="107"/>
  <c r="D603" i="107"/>
  <c r="D488" i="107"/>
  <c r="D464" i="107"/>
  <c r="D475" i="107"/>
  <c r="D596" i="107"/>
  <c r="D534" i="107"/>
  <c r="D549" i="107"/>
  <c r="D524" i="107"/>
  <c r="D569" i="107"/>
  <c r="D564" i="107"/>
  <c r="D480" i="107"/>
  <c r="D466" i="107"/>
  <c r="D553" i="107"/>
  <c r="D523" i="107"/>
  <c r="D494" i="107"/>
  <c r="D459" i="107"/>
  <c r="D469" i="107"/>
  <c r="D577" i="107"/>
  <c r="D507" i="107"/>
  <c r="D546" i="107"/>
  <c r="D501" i="107"/>
  <c r="D619" i="107"/>
  <c r="D496" i="107"/>
  <c r="D478" i="107"/>
  <c r="D461" i="107"/>
  <c r="F169" i="107"/>
  <c r="E171" i="107"/>
  <c r="E173" i="107"/>
  <c r="F175" i="107"/>
  <c r="E177" i="107"/>
  <c r="E179" i="107"/>
  <c r="F181" i="107"/>
  <c r="F183" i="107"/>
  <c r="F185" i="107"/>
  <c r="E187" i="107"/>
  <c r="E189" i="107"/>
  <c r="F191" i="107"/>
  <c r="E193" i="107"/>
  <c r="E195" i="107"/>
  <c r="F197" i="107"/>
  <c r="F199" i="107"/>
  <c r="F201" i="107"/>
  <c r="E203" i="107"/>
  <c r="E205" i="107"/>
  <c r="F207" i="107"/>
  <c r="F209" i="107"/>
  <c r="C215" i="107"/>
  <c r="C218" i="107"/>
  <c r="E220" i="107"/>
  <c r="G222" i="107"/>
  <c r="J226" i="107"/>
  <c r="I226" i="107"/>
  <c r="F229" i="107"/>
  <c r="H231" i="107"/>
  <c r="E236" i="107"/>
  <c r="G238" i="107"/>
  <c r="I240" i="107"/>
  <c r="D243" i="107"/>
  <c r="F248" i="107"/>
  <c r="C260" i="107"/>
  <c r="E270" i="107"/>
  <c r="F281" i="107"/>
  <c r="E284" i="107"/>
  <c r="I295" i="107"/>
  <c r="J298" i="107"/>
  <c r="C309" i="107"/>
  <c r="I313" i="107"/>
  <c r="J338" i="107"/>
  <c r="C347" i="107"/>
  <c r="I366" i="107"/>
  <c r="F366" i="107"/>
  <c r="E366" i="107"/>
  <c r="D366" i="107"/>
  <c r="H366" i="107"/>
  <c r="C366" i="107"/>
  <c r="C372" i="107"/>
  <c r="E481" i="107"/>
  <c r="C481" i="107"/>
  <c r="J481" i="107"/>
  <c r="I481" i="107"/>
  <c r="H481" i="107"/>
  <c r="F481" i="107"/>
  <c r="F295" i="107"/>
  <c r="I300" i="107"/>
  <c r="F300" i="107"/>
  <c r="I321" i="107"/>
  <c r="F326" i="107"/>
  <c r="J341" i="107"/>
  <c r="H341" i="107"/>
  <c r="G341" i="107"/>
  <c r="E341" i="107"/>
  <c r="F361" i="107"/>
  <c r="D361" i="107"/>
  <c r="C361" i="107"/>
  <c r="E370" i="107"/>
  <c r="C370" i="107"/>
  <c r="J373" i="107"/>
  <c r="H373" i="107"/>
  <c r="F373" i="107"/>
  <c r="E373" i="107"/>
  <c r="J422" i="107"/>
  <c r="H422" i="107"/>
  <c r="F422" i="107"/>
  <c r="E422" i="107"/>
  <c r="D422" i="107"/>
  <c r="E428" i="107"/>
  <c r="J505" i="107"/>
  <c r="H505" i="107"/>
  <c r="E505" i="107"/>
  <c r="I505" i="107"/>
  <c r="F505" i="107"/>
  <c r="D505" i="107"/>
  <c r="C505" i="107"/>
  <c r="I566" i="107"/>
  <c r="H566" i="107"/>
  <c r="F566" i="107"/>
  <c r="E566" i="107"/>
  <c r="D566" i="107"/>
  <c r="J566" i="107"/>
  <c r="C566" i="107"/>
  <c r="F313" i="107"/>
  <c r="D313" i="107"/>
  <c r="E368" i="107"/>
  <c r="D368" i="107"/>
  <c r="C368" i="107"/>
  <c r="J430" i="107"/>
  <c r="E430" i="107"/>
  <c r="E451" i="107"/>
  <c r="C451" i="107"/>
  <c r="J451" i="107"/>
  <c r="I451" i="107"/>
  <c r="H451" i="107"/>
  <c r="E467" i="107"/>
  <c r="C467" i="107"/>
  <c r="J467" i="107"/>
  <c r="I467" i="107"/>
  <c r="H467" i="107"/>
  <c r="J471" i="107"/>
  <c r="I471" i="107"/>
  <c r="F471" i="107"/>
  <c r="E471" i="107"/>
  <c r="D471" i="107"/>
  <c r="D506" i="107"/>
  <c r="J506" i="107"/>
  <c r="I506" i="107"/>
  <c r="H506" i="107"/>
  <c r="F506" i="107"/>
  <c r="E506" i="107"/>
  <c r="C506" i="107"/>
  <c r="E607" i="107"/>
  <c r="D607" i="107"/>
  <c r="C607" i="107"/>
  <c r="J607" i="107"/>
  <c r="H607" i="107"/>
  <c r="F607" i="107"/>
  <c r="J586" i="107"/>
  <c r="I586" i="107"/>
  <c r="H586" i="107"/>
  <c r="E586" i="107"/>
  <c r="D586" i="107"/>
  <c r="C586" i="107"/>
  <c r="J597" i="107"/>
  <c r="F597" i="107"/>
  <c r="E597" i="107"/>
  <c r="I597" i="107"/>
  <c r="H597" i="107"/>
  <c r="D597" i="107"/>
  <c r="C597" i="107"/>
  <c r="D428" i="107"/>
  <c r="I428" i="107"/>
  <c r="I431" i="107"/>
  <c r="F431" i="107"/>
  <c r="E431" i="107"/>
  <c r="D431" i="107"/>
  <c r="C431" i="107"/>
  <c r="J452" i="107"/>
  <c r="I452" i="107"/>
  <c r="H452" i="107"/>
  <c r="F452" i="107"/>
  <c r="D452" i="107"/>
  <c r="F458" i="107"/>
  <c r="J468" i="107"/>
  <c r="I468" i="107"/>
  <c r="H468" i="107"/>
  <c r="F468" i="107"/>
  <c r="D468" i="107"/>
  <c r="I472" i="107"/>
  <c r="F472" i="107"/>
  <c r="E472" i="107"/>
  <c r="D472" i="107"/>
  <c r="C472" i="107"/>
  <c r="J557" i="107"/>
  <c r="I557" i="107"/>
  <c r="F557" i="107"/>
  <c r="E557" i="107"/>
  <c r="H557" i="107"/>
  <c r="C557" i="107"/>
  <c r="H598" i="107"/>
  <c r="J307" i="107"/>
  <c r="G307" i="107"/>
  <c r="J406" i="107"/>
  <c r="H406" i="107"/>
  <c r="F406" i="107"/>
  <c r="E406" i="107"/>
  <c r="D406" i="107"/>
  <c r="J420" i="107"/>
  <c r="I420" i="107"/>
  <c r="H420" i="107"/>
  <c r="F420" i="107"/>
  <c r="D420" i="107"/>
  <c r="C437" i="107"/>
  <c r="C462" i="107"/>
  <c r="D522" i="107"/>
  <c r="H522" i="107"/>
  <c r="J522" i="107"/>
  <c r="I522" i="107"/>
  <c r="F522" i="107"/>
  <c r="E522" i="107"/>
  <c r="C522" i="107"/>
  <c r="I547" i="107"/>
  <c r="H547" i="107"/>
  <c r="D547" i="107"/>
  <c r="C547" i="107"/>
  <c r="J547" i="107"/>
  <c r="E547" i="107"/>
  <c r="F623" i="107"/>
  <c r="I242" i="107"/>
  <c r="I258" i="107"/>
  <c r="I274" i="107"/>
  <c r="G276" i="107"/>
  <c r="I290" i="107"/>
  <c r="G292" i="107"/>
  <c r="F312" i="107"/>
  <c r="H318" i="107"/>
  <c r="I320" i="107"/>
  <c r="C324" i="107"/>
  <c r="D327" i="107"/>
  <c r="G329" i="107"/>
  <c r="G331" i="107"/>
  <c r="G333" i="107"/>
  <c r="I337" i="107"/>
  <c r="F340" i="107"/>
  <c r="J344" i="107"/>
  <c r="J349" i="107"/>
  <c r="I352" i="107"/>
  <c r="H374" i="107"/>
  <c r="H381" i="107"/>
  <c r="H384" i="107"/>
  <c r="E387" i="107"/>
  <c r="C387" i="107"/>
  <c r="H387" i="107"/>
  <c r="J390" i="107"/>
  <c r="H390" i="107"/>
  <c r="G390" i="107"/>
  <c r="F390" i="107"/>
  <c r="E390" i="107"/>
  <c r="F398" i="107"/>
  <c r="F412" i="107"/>
  <c r="G417" i="107"/>
  <c r="E417" i="107"/>
  <c r="D417" i="107"/>
  <c r="C417" i="107"/>
  <c r="J417" i="107"/>
  <c r="C438" i="107"/>
  <c r="G449" i="107"/>
  <c r="D462" i="107"/>
  <c r="G465" i="107"/>
  <c r="J473" i="107"/>
  <c r="H473" i="107"/>
  <c r="I473" i="107"/>
  <c r="F473" i="107"/>
  <c r="E473" i="107"/>
  <c r="D473" i="107"/>
  <c r="C473" i="107"/>
  <c r="J489" i="107"/>
  <c r="H489" i="107"/>
  <c r="I489" i="107"/>
  <c r="G489" i="107"/>
  <c r="F489" i="107"/>
  <c r="E489" i="107"/>
  <c r="D489" i="107"/>
  <c r="C489" i="107"/>
  <c r="H276" i="107"/>
  <c r="H292" i="107"/>
  <c r="I305" i="107"/>
  <c r="G312" i="107"/>
  <c r="E322" i="107"/>
  <c r="C322" i="107"/>
  <c r="H329" i="107"/>
  <c r="H331" i="107"/>
  <c r="H333" i="107"/>
  <c r="E354" i="107"/>
  <c r="C354" i="107"/>
  <c r="J357" i="107"/>
  <c r="H357" i="107"/>
  <c r="G357" i="107"/>
  <c r="F357" i="107"/>
  <c r="E357" i="107"/>
  <c r="J374" i="107"/>
  <c r="I381" i="107"/>
  <c r="E403" i="107"/>
  <c r="C403" i="107"/>
  <c r="H403" i="107"/>
  <c r="J414" i="107"/>
  <c r="G414" i="107"/>
  <c r="E414" i="107"/>
  <c r="J446" i="107"/>
  <c r="G446" i="107"/>
  <c r="F446" i="107"/>
  <c r="E446" i="107"/>
  <c r="H462" i="107"/>
  <c r="D474" i="107"/>
  <c r="J474" i="107"/>
  <c r="I474" i="107"/>
  <c r="H474" i="107"/>
  <c r="G474" i="107"/>
  <c r="F474" i="107"/>
  <c r="E474" i="107"/>
  <c r="C474" i="107"/>
  <c r="G479" i="107"/>
  <c r="D479" i="107"/>
  <c r="J479" i="107"/>
  <c r="I479" i="107"/>
  <c r="H479" i="107"/>
  <c r="F479" i="107"/>
  <c r="C490" i="107"/>
  <c r="E625" i="107"/>
  <c r="C266" i="107"/>
  <c r="C282" i="107"/>
  <c r="C298" i="107"/>
  <c r="I318" i="107"/>
  <c r="G318" i="107"/>
  <c r="D318" i="107"/>
  <c r="G320" i="107"/>
  <c r="E320" i="107"/>
  <c r="I331" i="107"/>
  <c r="G352" i="107"/>
  <c r="E352" i="107"/>
  <c r="D352" i="107"/>
  <c r="C352" i="107"/>
  <c r="G384" i="107"/>
  <c r="E384" i="107"/>
  <c r="D384" i="107"/>
  <c r="C384" i="107"/>
  <c r="J384" i="107"/>
  <c r="J438" i="107"/>
  <c r="H438" i="107"/>
  <c r="G438" i="107"/>
  <c r="F438" i="107"/>
  <c r="E438" i="107"/>
  <c r="D438" i="107"/>
  <c r="J516" i="107"/>
  <c r="G516" i="107"/>
  <c r="E516" i="107"/>
  <c r="I516" i="107"/>
  <c r="F516" i="107"/>
  <c r="D516" i="107"/>
  <c r="C516" i="107"/>
  <c r="J589" i="107"/>
  <c r="I589" i="107"/>
  <c r="G589" i="107"/>
  <c r="F589" i="107"/>
  <c r="E589" i="107"/>
  <c r="H589" i="107"/>
  <c r="D589" i="107"/>
  <c r="C589" i="107"/>
  <c r="J462" i="107"/>
  <c r="G462" i="107"/>
  <c r="F462" i="107"/>
  <c r="E462" i="107"/>
  <c r="D490" i="107"/>
  <c r="J490" i="107"/>
  <c r="H490" i="107"/>
  <c r="G490" i="107"/>
  <c r="F490" i="107"/>
  <c r="E490" i="107"/>
  <c r="I517" i="107"/>
  <c r="J517" i="107"/>
  <c r="H517" i="107"/>
  <c r="G517" i="107"/>
  <c r="F517" i="107"/>
  <c r="E517" i="107"/>
  <c r="D517" i="107"/>
  <c r="C517" i="107"/>
  <c r="F553" i="107"/>
  <c r="G655" i="107"/>
  <c r="J312" i="107"/>
  <c r="D321" i="107"/>
  <c r="F329" i="107"/>
  <c r="D329" i="107"/>
  <c r="I350" i="107"/>
  <c r="G350" i="107"/>
  <c r="F350" i="107"/>
  <c r="E350" i="107"/>
  <c r="D350" i="107"/>
  <c r="E363" i="107"/>
  <c r="D370" i="107"/>
  <c r="J388" i="107"/>
  <c r="I388" i="107"/>
  <c r="H388" i="107"/>
  <c r="G388" i="107"/>
  <c r="D388" i="107"/>
  <c r="J398" i="107"/>
  <c r="E398" i="107"/>
  <c r="J404" i="107"/>
  <c r="I404" i="107"/>
  <c r="H404" i="107"/>
  <c r="G404" i="107"/>
  <c r="F404" i="107"/>
  <c r="D404" i="107"/>
  <c r="D412" i="107"/>
  <c r="G412" i="107"/>
  <c r="I415" i="107"/>
  <c r="G415" i="107"/>
  <c r="F415" i="107"/>
  <c r="E415" i="107"/>
  <c r="D415" i="107"/>
  <c r="C415" i="107"/>
  <c r="I447" i="107"/>
  <c r="G447" i="107"/>
  <c r="F447" i="107"/>
  <c r="E447" i="107"/>
  <c r="D447" i="107"/>
  <c r="C447" i="107"/>
  <c r="C469" i="107"/>
  <c r="F627" i="107"/>
  <c r="F266" i="107"/>
  <c r="F282" i="107"/>
  <c r="F298" i="107"/>
  <c r="D300" i="107"/>
  <c r="C313" i="107"/>
  <c r="E321" i="107"/>
  <c r="H327" i="107"/>
  <c r="F327" i="107"/>
  <c r="C327" i="107"/>
  <c r="C340" i="107"/>
  <c r="J355" i="107"/>
  <c r="I355" i="107"/>
  <c r="H355" i="107"/>
  <c r="G355" i="107"/>
  <c r="D355" i="107"/>
  <c r="E361" i="107"/>
  <c r="F363" i="107"/>
  <c r="F370" i="107"/>
  <c r="E435" i="107"/>
  <c r="C435" i="107"/>
  <c r="J435" i="107"/>
  <c r="I435" i="107"/>
  <c r="H435" i="107"/>
  <c r="D444" i="107"/>
  <c r="I444" i="107"/>
  <c r="H444" i="107"/>
  <c r="G444" i="107"/>
  <c r="C453" i="107"/>
  <c r="F485" i="107"/>
  <c r="I498" i="107"/>
  <c r="G498" i="107"/>
  <c r="J498" i="107"/>
  <c r="H498" i="107"/>
  <c r="F498" i="107"/>
  <c r="E498" i="107"/>
  <c r="H518" i="107"/>
  <c r="E518" i="107"/>
  <c r="C518" i="107"/>
  <c r="J518" i="107"/>
  <c r="I518" i="107"/>
  <c r="G518" i="107"/>
  <c r="F518" i="107"/>
  <c r="E594" i="107"/>
  <c r="J594" i="107"/>
  <c r="I594" i="107"/>
  <c r="H594" i="107"/>
  <c r="F594" i="107"/>
  <c r="D594" i="107"/>
  <c r="C594" i="107"/>
  <c r="F642" i="107"/>
  <c r="G300" i="107"/>
  <c r="C308" i="107"/>
  <c r="G313" i="107"/>
  <c r="G321" i="107"/>
  <c r="E338" i="107"/>
  <c r="C338" i="107"/>
  <c r="D341" i="107"/>
  <c r="H361" i="107"/>
  <c r="H363" i="107"/>
  <c r="F368" i="107"/>
  <c r="H370" i="107"/>
  <c r="C373" i="107"/>
  <c r="I391" i="107"/>
  <c r="D391" i="107"/>
  <c r="F394" i="107"/>
  <c r="D394" i="107"/>
  <c r="C394" i="107"/>
  <c r="I394" i="107"/>
  <c r="I399" i="107"/>
  <c r="G399" i="107"/>
  <c r="F399" i="107"/>
  <c r="E399" i="107"/>
  <c r="D399" i="107"/>
  <c r="C399" i="107"/>
  <c r="C421" i="107"/>
  <c r="D430" i="107"/>
  <c r="J470" i="107"/>
  <c r="H470" i="107"/>
  <c r="G470" i="107"/>
  <c r="F470" i="107"/>
  <c r="E470" i="107"/>
  <c r="D470" i="107"/>
  <c r="J476" i="107"/>
  <c r="I476" i="107"/>
  <c r="H476" i="107"/>
  <c r="G476" i="107"/>
  <c r="F476" i="107"/>
  <c r="E476" i="107"/>
  <c r="D476" i="107"/>
  <c r="J697" i="107"/>
  <c r="D407" i="107"/>
  <c r="D423" i="107"/>
  <c r="I426" i="107"/>
  <c r="J433" i="107"/>
  <c r="D439" i="107"/>
  <c r="I442" i="107"/>
  <c r="J449" i="107"/>
  <c r="D455" i="107"/>
  <c r="I458" i="107"/>
  <c r="J465" i="107"/>
  <c r="H483" i="107"/>
  <c r="I485" i="107"/>
  <c r="D492" i="107"/>
  <c r="H500" i="107"/>
  <c r="F504" i="107"/>
  <c r="C504" i="107"/>
  <c r="G509" i="107"/>
  <c r="H511" i="107"/>
  <c r="I513" i="107"/>
  <c r="C515" i="107"/>
  <c r="G527" i="107"/>
  <c r="G534" i="107"/>
  <c r="G546" i="107"/>
  <c r="J565" i="107"/>
  <c r="G565" i="107"/>
  <c r="F565" i="107"/>
  <c r="E565" i="107"/>
  <c r="E578" i="107"/>
  <c r="J578" i="107"/>
  <c r="I578" i="107"/>
  <c r="H578" i="107"/>
  <c r="C582" i="107"/>
  <c r="E595" i="107"/>
  <c r="D786" i="107"/>
  <c r="I483" i="107"/>
  <c r="J485" i="107"/>
  <c r="H502" i="107"/>
  <c r="E502" i="107"/>
  <c r="C502" i="107"/>
  <c r="H509" i="107"/>
  <c r="I511" i="107"/>
  <c r="F520" i="107"/>
  <c r="C520" i="107"/>
  <c r="J520" i="107"/>
  <c r="I525" i="107"/>
  <c r="F525" i="107"/>
  <c r="D525" i="107"/>
  <c r="I531" i="107"/>
  <c r="H531" i="107"/>
  <c r="G531" i="107"/>
  <c r="D531" i="107"/>
  <c r="C531" i="107"/>
  <c r="F537" i="107"/>
  <c r="J549" i="107"/>
  <c r="G549" i="107"/>
  <c r="F549" i="107"/>
  <c r="E549" i="107"/>
  <c r="E562" i="107"/>
  <c r="J562" i="107"/>
  <c r="I562" i="107"/>
  <c r="H562" i="107"/>
  <c r="G582" i="107"/>
  <c r="F595" i="107"/>
  <c r="E598" i="107"/>
  <c r="J598" i="107"/>
  <c r="G598" i="107"/>
  <c r="F598" i="107"/>
  <c r="D598" i="107"/>
  <c r="J608" i="107"/>
  <c r="G639" i="107"/>
  <c r="E639" i="107"/>
  <c r="D639" i="107"/>
  <c r="C639" i="107"/>
  <c r="J639" i="107"/>
  <c r="G657" i="107"/>
  <c r="J500" i="107"/>
  <c r="G500" i="107"/>
  <c r="E500" i="107"/>
  <c r="E513" i="107"/>
  <c r="I534" i="107"/>
  <c r="H534" i="107"/>
  <c r="F534" i="107"/>
  <c r="E534" i="107"/>
  <c r="E546" i="107"/>
  <c r="J546" i="107"/>
  <c r="I546" i="107"/>
  <c r="F585" i="107"/>
  <c r="J614" i="107"/>
  <c r="C620" i="107"/>
  <c r="J620" i="107"/>
  <c r="F620" i="107"/>
  <c r="E620" i="107"/>
  <c r="D620" i="107"/>
  <c r="E667" i="107"/>
  <c r="J667" i="107"/>
  <c r="G667" i="107"/>
  <c r="F667" i="107"/>
  <c r="D667" i="107"/>
  <c r="C667" i="107"/>
  <c r="C721" i="107"/>
  <c r="F947" i="107"/>
  <c r="C483" i="107"/>
  <c r="I509" i="107"/>
  <c r="F509" i="107"/>
  <c r="D509" i="107"/>
  <c r="G511" i="107"/>
  <c r="D511" i="107"/>
  <c r="F569" i="107"/>
  <c r="I582" i="107"/>
  <c r="H582" i="107"/>
  <c r="F582" i="107"/>
  <c r="E582" i="107"/>
  <c r="D582" i="107"/>
  <c r="I595" i="107"/>
  <c r="H595" i="107"/>
  <c r="G595" i="107"/>
  <c r="D595" i="107"/>
  <c r="C595" i="107"/>
  <c r="J609" i="107"/>
  <c r="D627" i="107"/>
  <c r="C627" i="107"/>
  <c r="J627" i="107"/>
  <c r="E627" i="107"/>
  <c r="F789" i="107"/>
  <c r="J762" i="107"/>
  <c r="D484" i="107"/>
  <c r="D499" i="107"/>
  <c r="F503" i="107"/>
  <c r="F507" i="107"/>
  <c r="J538" i="107"/>
  <c r="I538" i="107"/>
  <c r="H538" i="107"/>
  <c r="E538" i="107"/>
  <c r="D538" i="107"/>
  <c r="J541" i="107"/>
  <c r="I541" i="107"/>
  <c r="F541" i="107"/>
  <c r="I550" i="107"/>
  <c r="H550" i="107"/>
  <c r="F550" i="107"/>
  <c r="E550" i="107"/>
  <c r="D550" i="107"/>
  <c r="I563" i="107"/>
  <c r="H563" i="107"/>
  <c r="D563" i="107"/>
  <c r="C563" i="107"/>
  <c r="J573" i="107"/>
  <c r="I573" i="107"/>
  <c r="F573" i="107"/>
  <c r="E573" i="107"/>
  <c r="J680" i="107"/>
  <c r="F680" i="107"/>
  <c r="E680" i="107"/>
  <c r="D680" i="107"/>
  <c r="C680" i="107"/>
  <c r="J791" i="107"/>
  <c r="F610" i="107"/>
  <c r="J649" i="107"/>
  <c r="E702" i="107"/>
  <c r="F488" i="107"/>
  <c r="C488" i="107"/>
  <c r="F499" i="107"/>
  <c r="J521" i="107"/>
  <c r="H521" i="107"/>
  <c r="E521" i="107"/>
  <c r="H535" i="107"/>
  <c r="E535" i="107"/>
  <c r="D535" i="107"/>
  <c r="C535" i="107"/>
  <c r="J570" i="107"/>
  <c r="I570" i="107"/>
  <c r="H570" i="107"/>
  <c r="E570" i="107"/>
  <c r="D570" i="107"/>
  <c r="C703" i="107"/>
  <c r="J703" i="107"/>
  <c r="F703" i="107"/>
  <c r="E703" i="107"/>
  <c r="D703" i="107"/>
  <c r="C392" i="107"/>
  <c r="C408" i="107"/>
  <c r="C424" i="107"/>
  <c r="C440" i="107"/>
  <c r="C456" i="107"/>
  <c r="H486" i="107"/>
  <c r="E486" i="107"/>
  <c r="C486" i="107"/>
  <c r="H501" i="107"/>
  <c r="I503" i="107"/>
  <c r="I514" i="107"/>
  <c r="D514" i="107"/>
  <c r="F519" i="107"/>
  <c r="C532" i="107"/>
  <c r="J554" i="107"/>
  <c r="I554" i="107"/>
  <c r="H554" i="107"/>
  <c r="E554" i="107"/>
  <c r="D554" i="107"/>
  <c r="F600" i="107"/>
  <c r="C600" i="107"/>
  <c r="J600" i="107"/>
  <c r="E600" i="107"/>
  <c r="D600" i="107"/>
  <c r="J605" i="107"/>
  <c r="F751" i="107"/>
  <c r="D392" i="107"/>
  <c r="D408" i="107"/>
  <c r="D424" i="107"/>
  <c r="C433" i="107"/>
  <c r="D440" i="107"/>
  <c r="C449" i="107"/>
  <c r="D456" i="107"/>
  <c r="C465" i="107"/>
  <c r="J484" i="107"/>
  <c r="E484" i="107"/>
  <c r="C487" i="107"/>
  <c r="H499" i="107"/>
  <c r="I590" i="107"/>
  <c r="F590" i="107"/>
  <c r="E590" i="107"/>
  <c r="D590" i="107"/>
  <c r="C596" i="107"/>
  <c r="E623" i="107"/>
  <c r="D623" i="107"/>
  <c r="C623" i="107"/>
  <c r="J623" i="107"/>
  <c r="J642" i="107"/>
  <c r="E642" i="107"/>
  <c r="D642" i="107"/>
  <c r="D693" i="107"/>
  <c r="C752" i="107"/>
  <c r="E392" i="107"/>
  <c r="E408" i="107"/>
  <c r="E424" i="107"/>
  <c r="C426" i="107"/>
  <c r="D433" i="107"/>
  <c r="E440" i="107"/>
  <c r="C442" i="107"/>
  <c r="D449" i="107"/>
  <c r="E456" i="107"/>
  <c r="C458" i="107"/>
  <c r="D465" i="107"/>
  <c r="C485" i="107"/>
  <c r="D487" i="107"/>
  <c r="I499" i="107"/>
  <c r="D504" i="107"/>
  <c r="I542" i="107"/>
  <c r="F542" i="107"/>
  <c r="E542" i="107"/>
  <c r="D542" i="107"/>
  <c r="I574" i="107"/>
  <c r="F574" i="107"/>
  <c r="E574" i="107"/>
  <c r="D574" i="107"/>
  <c r="C580" i="107"/>
  <c r="I611" i="107"/>
  <c r="C636" i="107"/>
  <c r="J636" i="107"/>
  <c r="F636" i="107"/>
  <c r="E636" i="107"/>
  <c r="D636" i="107"/>
  <c r="E652" i="107"/>
  <c r="J652" i="107"/>
  <c r="F652" i="107"/>
  <c r="D652" i="107"/>
  <c r="C652" i="107"/>
  <c r="C971" i="107"/>
  <c r="F392" i="107"/>
  <c r="F408" i="107"/>
  <c r="F424" i="107"/>
  <c r="D426" i="107"/>
  <c r="E433" i="107"/>
  <c r="F440" i="107"/>
  <c r="D442" i="107"/>
  <c r="E449" i="107"/>
  <c r="F456" i="107"/>
  <c r="D458" i="107"/>
  <c r="E465" i="107"/>
  <c r="I482" i="107"/>
  <c r="D485" i="107"/>
  <c r="E487" i="107"/>
  <c r="E504" i="107"/>
  <c r="C513" i="107"/>
  <c r="J519" i="107"/>
  <c r="J524" i="107"/>
  <c r="F524" i="107"/>
  <c r="D539" i="107"/>
  <c r="I558" i="107"/>
  <c r="F558" i="107"/>
  <c r="E558" i="107"/>
  <c r="D558" i="107"/>
  <c r="C564" i="107"/>
  <c r="D587" i="107"/>
  <c r="C499" i="107"/>
  <c r="C548" i="107"/>
  <c r="D571" i="107"/>
  <c r="F606" i="107"/>
  <c r="F717" i="107"/>
  <c r="D782" i="107"/>
  <c r="E483" i="107"/>
  <c r="I493" i="107"/>
  <c r="F493" i="107"/>
  <c r="D493" i="107"/>
  <c r="D495" i="107"/>
  <c r="E497" i="107"/>
  <c r="C500" i="107"/>
  <c r="F502" i="107"/>
  <c r="H504" i="107"/>
  <c r="C511" i="107"/>
  <c r="F513" i="107"/>
  <c r="E520" i="107"/>
  <c r="E525" i="107"/>
  <c r="E530" i="107"/>
  <c r="I530" i="107"/>
  <c r="J533" i="107"/>
  <c r="F533" i="107"/>
  <c r="E533" i="107"/>
  <c r="C546" i="107"/>
  <c r="C549" i="107"/>
  <c r="D555" i="107"/>
  <c r="C562" i="107"/>
  <c r="D565" i="107"/>
  <c r="D578" i="107"/>
  <c r="D609" i="107"/>
  <c r="D645" i="107"/>
  <c r="F708" i="107"/>
  <c r="D708" i="107"/>
  <c r="C708" i="107"/>
  <c r="E713" i="107"/>
  <c r="J713" i="107"/>
  <c r="E763" i="107"/>
  <c r="D763" i="107"/>
  <c r="C763" i="107"/>
  <c r="J763" i="107"/>
  <c r="F857" i="107"/>
  <c r="J888" i="107"/>
  <c r="F888" i="107"/>
  <c r="E888" i="107"/>
  <c r="C888" i="107"/>
  <c r="D888" i="107"/>
  <c r="C536" i="107"/>
  <c r="J537" i="107"/>
  <c r="H539" i="107"/>
  <c r="C552" i="107"/>
  <c r="J553" i="107"/>
  <c r="H555" i="107"/>
  <c r="C568" i="107"/>
  <c r="J569" i="107"/>
  <c r="H571" i="107"/>
  <c r="C584" i="107"/>
  <c r="J585" i="107"/>
  <c r="H587" i="107"/>
  <c r="H604" i="107"/>
  <c r="F609" i="107"/>
  <c r="H611" i="107"/>
  <c r="D618" i="107"/>
  <c r="J618" i="107"/>
  <c r="J626" i="107"/>
  <c r="E634" i="107"/>
  <c r="D634" i="107"/>
  <c r="J634" i="107"/>
  <c r="J656" i="107"/>
  <c r="J663" i="107"/>
  <c r="F663" i="107"/>
  <c r="E668" i="107"/>
  <c r="J668" i="107"/>
  <c r="F668" i="107"/>
  <c r="D668" i="107"/>
  <c r="C668" i="107"/>
  <c r="E699" i="107"/>
  <c r="J699" i="107"/>
  <c r="F699" i="107"/>
  <c r="D699" i="107"/>
  <c r="C699" i="107"/>
  <c r="J736" i="107"/>
  <c r="F736" i="107"/>
  <c r="E736" i="107"/>
  <c r="D736" i="107"/>
  <c r="C736" i="107"/>
  <c r="F756" i="107"/>
  <c r="D756" i="107"/>
  <c r="C756" i="107"/>
  <c r="E756" i="107"/>
  <c r="D798" i="107"/>
  <c r="C798" i="107"/>
  <c r="J798" i="107"/>
  <c r="F798" i="107"/>
  <c r="E798" i="107"/>
  <c r="D536" i="107"/>
  <c r="I539" i="107"/>
  <c r="D552" i="107"/>
  <c r="I555" i="107"/>
  <c r="D568" i="107"/>
  <c r="I571" i="107"/>
  <c r="D584" i="107"/>
  <c r="I587" i="107"/>
  <c r="C614" i="107"/>
  <c r="J621" i="107"/>
  <c r="F621" i="107"/>
  <c r="E621" i="107"/>
  <c r="J637" i="107"/>
  <c r="F637" i="107"/>
  <c r="E637" i="107"/>
  <c r="D669" i="107"/>
  <c r="F724" i="107"/>
  <c r="D724" i="107"/>
  <c r="E724" i="107"/>
  <c r="C724" i="107"/>
  <c r="F772" i="107"/>
  <c r="F649" i="107"/>
  <c r="J660" i="107"/>
  <c r="J664" i="107"/>
  <c r="F664" i="107"/>
  <c r="E664" i="107"/>
  <c r="D664" i="107"/>
  <c r="C664" i="107"/>
  <c r="J690" i="107"/>
  <c r="J730" i="107"/>
  <c r="D773" i="107"/>
  <c r="D810" i="107"/>
  <c r="J810" i="107"/>
  <c r="F810" i="107"/>
  <c r="E810" i="107"/>
  <c r="C810" i="107"/>
  <c r="F536" i="107"/>
  <c r="F552" i="107"/>
  <c r="F568" i="107"/>
  <c r="F584" i="107"/>
  <c r="C611" i="107"/>
  <c r="F616" i="107"/>
  <c r="D616" i="107"/>
  <c r="C616" i="107"/>
  <c r="J640" i="107"/>
  <c r="F669" i="107"/>
  <c r="J681" i="107"/>
  <c r="E751" i="107"/>
  <c r="E789" i="107"/>
  <c r="D789" i="107"/>
  <c r="C789" i="107"/>
  <c r="F860" i="107"/>
  <c r="E860" i="107"/>
  <c r="C860" i="107"/>
  <c r="D860" i="107"/>
  <c r="D602" i="107"/>
  <c r="C605" i="107"/>
  <c r="C612" i="107"/>
  <c r="J624" i="107"/>
  <c r="F632" i="107"/>
  <c r="D632" i="107"/>
  <c r="C632" i="107"/>
  <c r="D643" i="107"/>
  <c r="C643" i="107"/>
  <c r="J650" i="107"/>
  <c r="F650" i="107"/>
  <c r="E650" i="107"/>
  <c r="D650" i="107"/>
  <c r="C650" i="107"/>
  <c r="C653" i="107"/>
  <c r="J731" i="107"/>
  <c r="F738" i="107"/>
  <c r="E738" i="107"/>
  <c r="D738" i="107"/>
  <c r="C738" i="107"/>
  <c r="J738" i="107"/>
  <c r="E744" i="107"/>
  <c r="D744" i="107"/>
  <c r="C744" i="107"/>
  <c r="J766" i="107"/>
  <c r="F766" i="107"/>
  <c r="E766" i="107"/>
  <c r="C766" i="107"/>
  <c r="C800" i="107"/>
  <c r="J800" i="107"/>
  <c r="D800" i="107"/>
  <c r="E609" i="107"/>
  <c r="C609" i="107"/>
  <c r="F614" i="107"/>
  <c r="E614" i="107"/>
  <c r="D614" i="107"/>
  <c r="C651" i="107"/>
  <c r="C669" i="107"/>
  <c r="J669" i="107"/>
  <c r="J682" i="107"/>
  <c r="F682" i="107"/>
  <c r="E682" i="107"/>
  <c r="D682" i="107"/>
  <c r="C682" i="107"/>
  <c r="J700" i="107"/>
  <c r="J732" i="107"/>
  <c r="C751" i="107"/>
  <c r="J751" i="107"/>
  <c r="F475" i="107"/>
  <c r="F523" i="107"/>
  <c r="C551" i="107"/>
  <c r="C567" i="107"/>
  <c r="C583" i="107"/>
  <c r="D610" i="107"/>
  <c r="F630" i="107"/>
  <c r="E630" i="107"/>
  <c r="D630" i="107"/>
  <c r="F651" i="107"/>
  <c r="J665" i="107"/>
  <c r="F665" i="107"/>
  <c r="F691" i="107"/>
  <c r="E691" i="107"/>
  <c r="C691" i="107"/>
  <c r="D551" i="107"/>
  <c r="D567" i="107"/>
  <c r="D583" i="107"/>
  <c r="F605" i="107"/>
  <c r="E605" i="107"/>
  <c r="E610" i="107"/>
  <c r="J612" i="107"/>
  <c r="H612" i="107"/>
  <c r="F612" i="107"/>
  <c r="J644" i="107"/>
  <c r="E697" i="107"/>
  <c r="J721" i="107"/>
  <c r="F721" i="107"/>
  <c r="E721" i="107"/>
  <c r="D721" i="107"/>
  <c r="D527" i="107"/>
  <c r="C537" i="107"/>
  <c r="D544" i="107"/>
  <c r="E551" i="107"/>
  <c r="C553" i="107"/>
  <c r="D560" i="107"/>
  <c r="E567" i="107"/>
  <c r="C569" i="107"/>
  <c r="D576" i="107"/>
  <c r="E583" i="107"/>
  <c r="C585" i="107"/>
  <c r="D592" i="107"/>
  <c r="C606" i="107"/>
  <c r="C613" i="107"/>
  <c r="F622" i="107"/>
  <c r="F638" i="107"/>
  <c r="E641" i="107"/>
  <c r="F647" i="107"/>
  <c r="J658" i="107"/>
  <c r="J666" i="107"/>
  <c r="F666" i="107"/>
  <c r="E666" i="107"/>
  <c r="D666" i="107"/>
  <c r="C666" i="107"/>
  <c r="F706" i="107"/>
  <c r="E706" i="107"/>
  <c r="D706" i="107"/>
  <c r="J683" i="107"/>
  <c r="F697" i="107"/>
  <c r="D697" i="107"/>
  <c r="C697" i="107"/>
  <c r="E747" i="107"/>
  <c r="D747" i="107"/>
  <c r="C747" i="107"/>
  <c r="J747" i="107"/>
  <c r="F747" i="107"/>
  <c r="J610" i="107"/>
  <c r="H610" i="107"/>
  <c r="J628" i="107"/>
  <c r="J648" i="107"/>
  <c r="F648" i="107"/>
  <c r="E648" i="107"/>
  <c r="D648" i="107"/>
  <c r="C648" i="107"/>
  <c r="E651" i="107"/>
  <c r="J712" i="107"/>
  <c r="F712" i="107"/>
  <c r="E712" i="107"/>
  <c r="D712" i="107"/>
  <c r="C712" i="107"/>
  <c r="J754" i="107"/>
  <c r="F805" i="107"/>
  <c r="J839" i="107"/>
  <c r="J601" i="107"/>
  <c r="D611" i="107"/>
  <c r="F613" i="107"/>
  <c r="F618" i="107"/>
  <c r="D626" i="107"/>
  <c r="C629" i="107"/>
  <c r="F634" i="107"/>
  <c r="C649" i="107"/>
  <c r="C663" i="107"/>
  <c r="J679" i="107"/>
  <c r="E684" i="107"/>
  <c r="J684" i="107"/>
  <c r="F684" i="107"/>
  <c r="D684" i="107"/>
  <c r="C684" i="107"/>
  <c r="J702" i="107"/>
  <c r="C702" i="107"/>
  <c r="E708" i="107"/>
  <c r="C713" i="107"/>
  <c r="E717" i="107"/>
  <c r="C717" i="107"/>
  <c r="D717" i="107"/>
  <c r="F722" i="107"/>
  <c r="D722" i="107"/>
  <c r="E722" i="107"/>
  <c r="C722" i="107"/>
  <c r="F739" i="107"/>
  <c r="F770" i="107"/>
  <c r="E770" i="107"/>
  <c r="D770" i="107"/>
  <c r="C770" i="107"/>
  <c r="F777" i="107"/>
  <c r="E777" i="107"/>
  <c r="D777" i="107"/>
  <c r="C777" i="107"/>
  <c r="J785" i="107"/>
  <c r="E821" i="107"/>
  <c r="D821" i="107"/>
  <c r="F821" i="107"/>
  <c r="C821" i="107"/>
  <c r="C829" i="107"/>
  <c r="F851" i="107"/>
  <c r="D851" i="107"/>
  <c r="C851" i="107"/>
  <c r="E851" i="107"/>
  <c r="J870" i="107"/>
  <c r="F870" i="107"/>
  <c r="E870" i="107"/>
  <c r="C870" i="107"/>
  <c r="G870" i="107"/>
  <c r="D870" i="107"/>
  <c r="J922" i="107"/>
  <c r="G922" i="107"/>
  <c r="F922" i="107"/>
  <c r="D922" i="107"/>
  <c r="C922" i="107"/>
  <c r="F679" i="107"/>
  <c r="F681" i="107"/>
  <c r="G683" i="107"/>
  <c r="E698" i="107"/>
  <c r="G700" i="107"/>
  <c r="J704" i="107"/>
  <c r="G715" i="107"/>
  <c r="E715" i="107"/>
  <c r="C715" i="107"/>
  <c r="E718" i="107"/>
  <c r="E728" i="107"/>
  <c r="F731" i="107"/>
  <c r="E733" i="107"/>
  <c r="C733" i="107"/>
  <c r="E740" i="107"/>
  <c r="G745" i="107"/>
  <c r="F745" i="107"/>
  <c r="E745" i="107"/>
  <c r="D745" i="107"/>
  <c r="C745" i="107"/>
  <c r="E760" i="107"/>
  <c r="E781" i="107"/>
  <c r="F791" i="107"/>
  <c r="E829" i="107"/>
  <c r="F1015" i="107"/>
  <c r="G679" i="107"/>
  <c r="C687" i="107"/>
  <c r="J687" i="107"/>
  <c r="F718" i="107"/>
  <c r="J720" i="107"/>
  <c r="F720" i="107"/>
  <c r="D725" i="107"/>
  <c r="J748" i="107"/>
  <c r="F754" i="107"/>
  <c r="E754" i="107"/>
  <c r="D754" i="107"/>
  <c r="C754" i="107"/>
  <c r="D757" i="107"/>
  <c r="J786" i="107"/>
  <c r="G786" i="107"/>
  <c r="F786" i="107"/>
  <c r="E786" i="107"/>
  <c r="C786" i="107"/>
  <c r="G835" i="107"/>
  <c r="F835" i="107"/>
  <c r="D835" i="107"/>
  <c r="C835" i="107"/>
  <c r="J835" i="107"/>
  <c r="E835" i="107"/>
  <c r="J947" i="107"/>
  <c r="E947" i="107"/>
  <c r="D947" i="107"/>
  <c r="G947" i="107"/>
  <c r="C947" i="107"/>
  <c r="F1031" i="107"/>
  <c r="J1031" i="107"/>
  <c r="G1031" i="107"/>
  <c r="E1031" i="107"/>
  <c r="D1031" i="107"/>
  <c r="C1031" i="107"/>
  <c r="J782" i="107"/>
  <c r="G782" i="107"/>
  <c r="F782" i="107"/>
  <c r="E782" i="107"/>
  <c r="C782" i="107"/>
  <c r="F812" i="107"/>
  <c r="E812" i="107"/>
  <c r="J812" i="107"/>
  <c r="G812" i="107"/>
  <c r="D812" i="107"/>
  <c r="C812" i="107"/>
  <c r="J829" i="107"/>
  <c r="F829" i="107"/>
  <c r="D829" i="107"/>
  <c r="D844" i="107"/>
  <c r="D901" i="107"/>
  <c r="J655" i="107"/>
  <c r="F659" i="107"/>
  <c r="D661" i="107"/>
  <c r="J671" i="107"/>
  <c r="F675" i="107"/>
  <c r="D677" i="107"/>
  <c r="E685" i="107"/>
  <c r="C685" i="107"/>
  <c r="J734" i="107"/>
  <c r="G734" i="107"/>
  <c r="F734" i="107"/>
  <c r="C734" i="107"/>
  <c r="C767" i="107"/>
  <c r="J767" i="107"/>
  <c r="F771" i="107"/>
  <c r="J778" i="107"/>
  <c r="J817" i="107"/>
  <c r="C823" i="107"/>
  <c r="J823" i="107"/>
  <c r="G823" i="107"/>
  <c r="F823" i="107"/>
  <c r="E823" i="107"/>
  <c r="D823" i="107"/>
  <c r="E845" i="107"/>
  <c r="C975" i="107"/>
  <c r="G681" i="107"/>
  <c r="E683" i="107"/>
  <c r="E700" i="107"/>
  <c r="J718" i="107"/>
  <c r="C718" i="107"/>
  <c r="G731" i="107"/>
  <c r="E731" i="107"/>
  <c r="D731" i="107"/>
  <c r="C731" i="107"/>
  <c r="C791" i="107"/>
  <c r="G791" i="107"/>
  <c r="E791" i="107"/>
  <c r="D791" i="107"/>
  <c r="D802" i="107"/>
  <c r="F807" i="107"/>
  <c r="C873" i="107"/>
  <c r="D873" i="107"/>
  <c r="J873" i="107"/>
  <c r="G873" i="107"/>
  <c r="F873" i="107"/>
  <c r="E873" i="107"/>
  <c r="G698" i="107"/>
  <c r="F740" i="107"/>
  <c r="D740" i="107"/>
  <c r="C740" i="107"/>
  <c r="J752" i="107"/>
  <c r="G752" i="107"/>
  <c r="F752" i="107"/>
  <c r="E752" i="107"/>
  <c r="D752" i="107"/>
  <c r="J764" i="107"/>
  <c r="J768" i="107"/>
  <c r="G768" i="107"/>
  <c r="F768" i="107"/>
  <c r="E768" i="107"/>
  <c r="D768" i="107"/>
  <c r="C768" i="107"/>
  <c r="J818" i="107"/>
  <c r="G818" i="107"/>
  <c r="F818" i="107"/>
  <c r="E818" i="107"/>
  <c r="C818" i="107"/>
  <c r="C882" i="107"/>
  <c r="G603" i="107"/>
  <c r="G619" i="107"/>
  <c r="F628" i="107"/>
  <c r="G635" i="107"/>
  <c r="F644" i="107"/>
  <c r="E654" i="107"/>
  <c r="E656" i="107"/>
  <c r="E658" i="107"/>
  <c r="F660" i="107"/>
  <c r="E670" i="107"/>
  <c r="E672" i="107"/>
  <c r="E674" i="107"/>
  <c r="F676" i="107"/>
  <c r="F686" i="107"/>
  <c r="F692" i="107"/>
  <c r="D692" i="107"/>
  <c r="F701" i="107"/>
  <c r="F714" i="107"/>
  <c r="E719" i="107"/>
  <c r="F723" i="107"/>
  <c r="F735" i="107"/>
  <c r="D765" i="107"/>
  <c r="E792" i="107"/>
  <c r="J797" i="107"/>
  <c r="G797" i="107"/>
  <c r="F797" i="107"/>
  <c r="E797" i="107"/>
  <c r="D797" i="107"/>
  <c r="C797" i="107"/>
  <c r="J803" i="107"/>
  <c r="H603" i="107"/>
  <c r="G628" i="107"/>
  <c r="G644" i="107"/>
  <c r="F654" i="107"/>
  <c r="F656" i="107"/>
  <c r="G658" i="107"/>
  <c r="G660" i="107"/>
  <c r="F670" i="107"/>
  <c r="G686" i="107"/>
  <c r="F690" i="107"/>
  <c r="F707" i="107"/>
  <c r="J716" i="107"/>
  <c r="E716" i="107"/>
  <c r="G735" i="107"/>
  <c r="J746" i="107"/>
  <c r="F755" i="107"/>
  <c r="G793" i="107"/>
  <c r="J808" i="107"/>
  <c r="F808" i="107"/>
  <c r="G808" i="107"/>
  <c r="D808" i="107"/>
  <c r="C808" i="107"/>
  <c r="G865" i="107"/>
  <c r="C884" i="107"/>
  <c r="J884" i="107"/>
  <c r="G884" i="107"/>
  <c r="F884" i="107"/>
  <c r="E884" i="107"/>
  <c r="D884" i="107"/>
  <c r="C916" i="107"/>
  <c r="G916" i="107"/>
  <c r="E916" i="107"/>
  <c r="D916" i="107"/>
  <c r="J916" i="107"/>
  <c r="F916" i="107"/>
  <c r="J1037" i="107"/>
  <c r="C625" i="107"/>
  <c r="C641" i="107"/>
  <c r="G654" i="107"/>
  <c r="G656" i="107"/>
  <c r="G670" i="107"/>
  <c r="J688" i="107"/>
  <c r="G729" i="107"/>
  <c r="F729" i="107"/>
  <c r="E729" i="107"/>
  <c r="D729" i="107"/>
  <c r="C729" i="107"/>
  <c r="E749" i="107"/>
  <c r="C749" i="107"/>
  <c r="G761" i="107"/>
  <c r="F761" i="107"/>
  <c r="E761" i="107"/>
  <c r="D761" i="107"/>
  <c r="C761" i="107"/>
  <c r="G779" i="107"/>
  <c r="E779" i="107"/>
  <c r="D779" i="107"/>
  <c r="C779" i="107"/>
  <c r="J905" i="107"/>
  <c r="C839" i="107"/>
  <c r="G839" i="107"/>
  <c r="F839" i="107"/>
  <c r="E839" i="107"/>
  <c r="D839" i="107"/>
  <c r="F917" i="107"/>
  <c r="J686" i="107"/>
  <c r="C686" i="107"/>
  <c r="D689" i="107"/>
  <c r="C704" i="107"/>
  <c r="G714" i="107"/>
  <c r="D733" i="107"/>
  <c r="C735" i="107"/>
  <c r="J735" i="107"/>
  <c r="J780" i="107"/>
  <c r="F793" i="107"/>
  <c r="E793" i="107"/>
  <c r="D793" i="107"/>
  <c r="C793" i="107"/>
  <c r="G799" i="107"/>
  <c r="J809" i="107"/>
  <c r="G826" i="107"/>
  <c r="E826" i="107"/>
  <c r="D826" i="107"/>
  <c r="C826" i="107"/>
  <c r="J826" i="107"/>
  <c r="F826" i="107"/>
  <c r="J857" i="107"/>
  <c r="G857" i="107"/>
  <c r="E857" i="107"/>
  <c r="D857" i="107"/>
  <c r="C857" i="107"/>
  <c r="J654" i="107"/>
  <c r="C654" i="107"/>
  <c r="F658" i="107"/>
  <c r="D660" i="107"/>
  <c r="J670" i="107"/>
  <c r="C670" i="107"/>
  <c r="F674" i="107"/>
  <c r="D676" i="107"/>
  <c r="D687" i="107"/>
  <c r="E689" i="107"/>
  <c r="E701" i="107"/>
  <c r="C701" i="107"/>
  <c r="D704" i="107"/>
  <c r="D715" i="107"/>
  <c r="C719" i="107"/>
  <c r="J719" i="107"/>
  <c r="F733" i="107"/>
  <c r="J750" i="107"/>
  <c r="G750" i="107"/>
  <c r="F750" i="107"/>
  <c r="C750" i="107"/>
  <c r="E765" i="107"/>
  <c r="C765" i="107"/>
  <c r="J765" i="107"/>
  <c r="D820" i="107"/>
  <c r="D886" i="107"/>
  <c r="J833" i="107"/>
  <c r="D841" i="107"/>
  <c r="J849" i="107"/>
  <c r="G931" i="107"/>
  <c r="D943" i="107"/>
  <c r="J982" i="107"/>
  <c r="G867" i="107"/>
  <c r="F867" i="107"/>
  <c r="D867" i="107"/>
  <c r="C867" i="107"/>
  <c r="G874" i="107"/>
  <c r="J904" i="107"/>
  <c r="G904" i="107"/>
  <c r="E904" i="107"/>
  <c r="D904" i="107"/>
  <c r="D923" i="107"/>
  <c r="C923" i="107"/>
  <c r="J923" i="107"/>
  <c r="G923" i="107"/>
  <c r="F923" i="107"/>
  <c r="E923" i="107"/>
  <c r="J935" i="107"/>
  <c r="C941" i="107"/>
  <c r="J941" i="107"/>
  <c r="F941" i="107"/>
  <c r="E941" i="107"/>
  <c r="E955" i="107"/>
  <c r="D955" i="107"/>
  <c r="J955" i="107"/>
  <c r="G955" i="107"/>
  <c r="F955" i="107"/>
  <c r="C955" i="107"/>
  <c r="E1044" i="107"/>
  <c r="D1044" i="107"/>
  <c r="C1044" i="107"/>
  <c r="J1044" i="107"/>
  <c r="G1044" i="107"/>
  <c r="F1044" i="107"/>
  <c r="G1058" i="107"/>
  <c r="F1058" i="107"/>
  <c r="E1058" i="107"/>
  <c r="D1058" i="107"/>
  <c r="C1058" i="107"/>
  <c r="J1058" i="107"/>
  <c r="J1126" i="107"/>
  <c r="J1141" i="107"/>
  <c r="G1141" i="107"/>
  <c r="F1141" i="107"/>
  <c r="E1141" i="107"/>
  <c r="D1141" i="107"/>
  <c r="C1141" i="107"/>
  <c r="G776" i="107"/>
  <c r="J781" i="107"/>
  <c r="G787" i="107"/>
  <c r="F787" i="107"/>
  <c r="C787" i="107"/>
  <c r="J804" i="107"/>
  <c r="G819" i="107"/>
  <c r="F819" i="107"/>
  <c r="C819" i="107"/>
  <c r="J824" i="107"/>
  <c r="G824" i="107"/>
  <c r="F824" i="107"/>
  <c r="E824" i="107"/>
  <c r="E837" i="107"/>
  <c r="D837" i="107"/>
  <c r="J840" i="107"/>
  <c r="G840" i="107"/>
  <c r="F840" i="107"/>
  <c r="E840" i="107"/>
  <c r="C840" i="107"/>
  <c r="J861" i="107"/>
  <c r="F861" i="107"/>
  <c r="E861" i="107"/>
  <c r="C861" i="107"/>
  <c r="C900" i="107"/>
  <c r="J900" i="107"/>
  <c r="G900" i="107"/>
  <c r="F900" i="107"/>
  <c r="E900" i="107"/>
  <c r="J909" i="107"/>
  <c r="G909" i="107"/>
  <c r="F909" i="107"/>
  <c r="E909" i="107"/>
  <c r="C909" i="107"/>
  <c r="J948" i="107"/>
  <c r="E785" i="107"/>
  <c r="E817" i="107"/>
  <c r="D846" i="107"/>
  <c r="C846" i="107"/>
  <c r="J846" i="107"/>
  <c r="F849" i="107"/>
  <c r="E849" i="107"/>
  <c r="D849" i="107"/>
  <c r="J918" i="107"/>
  <c r="G918" i="107"/>
  <c r="F918" i="107"/>
  <c r="E918" i="107"/>
  <c r="C918" i="107"/>
  <c r="G942" i="107"/>
  <c r="F1022" i="107"/>
  <c r="G730" i="107"/>
  <c r="E732" i="107"/>
  <c r="G746" i="107"/>
  <c r="E748" i="107"/>
  <c r="G762" i="107"/>
  <c r="E764" i="107"/>
  <c r="G778" i="107"/>
  <c r="E780" i="107"/>
  <c r="G783" i="107"/>
  <c r="D788" i="107"/>
  <c r="G809" i="107"/>
  <c r="J815" i="107"/>
  <c r="D825" i="107"/>
  <c r="J852" i="107"/>
  <c r="G858" i="107"/>
  <c r="E858" i="107"/>
  <c r="D858" i="107"/>
  <c r="C858" i="107"/>
  <c r="F862" i="107"/>
  <c r="J868" i="107"/>
  <c r="F905" i="107"/>
  <c r="E905" i="107"/>
  <c r="C905" i="107"/>
  <c r="G905" i="107"/>
  <c r="D905" i="107"/>
  <c r="E971" i="107"/>
  <c r="D971" i="107"/>
  <c r="J971" i="107"/>
  <c r="G971" i="107"/>
  <c r="F971" i="107"/>
  <c r="G992" i="107"/>
  <c r="E992" i="107"/>
  <c r="D992" i="107"/>
  <c r="C992" i="107"/>
  <c r="F992" i="107"/>
  <c r="J992" i="107"/>
  <c r="G794" i="107"/>
  <c r="D794" i="107"/>
  <c r="F796" i="107"/>
  <c r="E796" i="107"/>
  <c r="F865" i="107"/>
  <c r="E865" i="107"/>
  <c r="D865" i="107"/>
  <c r="E882" i="107"/>
  <c r="J882" i="107"/>
  <c r="G882" i="107"/>
  <c r="F882" i="107"/>
  <c r="D882" i="107"/>
  <c r="J886" i="107"/>
  <c r="G886" i="107"/>
  <c r="F886" i="107"/>
  <c r="E886" i="107"/>
  <c r="C886" i="107"/>
  <c r="J901" i="107"/>
  <c r="G901" i="107"/>
  <c r="F901" i="107"/>
  <c r="C931" i="107"/>
  <c r="F931" i="107"/>
  <c r="E931" i="107"/>
  <c r="D931" i="107"/>
  <c r="C943" i="107"/>
  <c r="J943" i="107"/>
  <c r="G943" i="107"/>
  <c r="F943" i="107"/>
  <c r="E943" i="107"/>
  <c r="J792" i="107"/>
  <c r="F792" i="107"/>
  <c r="D830" i="107"/>
  <c r="C830" i="107"/>
  <c r="G847" i="107"/>
  <c r="C855" i="107"/>
  <c r="C925" i="107"/>
  <c r="J925" i="107"/>
  <c r="F925" i="107"/>
  <c r="E925" i="107"/>
  <c r="D944" i="107"/>
  <c r="F833" i="107"/>
  <c r="E833" i="107"/>
  <c r="D833" i="107"/>
  <c r="D862" i="107"/>
  <c r="C862" i="107"/>
  <c r="J862" i="107"/>
  <c r="C875" i="107"/>
  <c r="F951" i="107"/>
  <c r="G951" i="107"/>
  <c r="E951" i="107"/>
  <c r="C951" i="107"/>
  <c r="J951" i="107"/>
  <c r="D951" i="107"/>
  <c r="F994" i="107"/>
  <c r="E994" i="107"/>
  <c r="C994" i="107"/>
  <c r="J994" i="107"/>
  <c r="G994" i="107"/>
  <c r="D994" i="107"/>
  <c r="J1212" i="107"/>
  <c r="E805" i="107"/>
  <c r="D805" i="107"/>
  <c r="C807" i="107"/>
  <c r="J820" i="107"/>
  <c r="J841" i="107"/>
  <c r="G841" i="107"/>
  <c r="F844" i="107"/>
  <c r="E844" i="107"/>
  <c r="C844" i="107"/>
  <c r="J920" i="107"/>
  <c r="G926" i="107"/>
  <c r="C772" i="107"/>
  <c r="J788" i="107"/>
  <c r="G803" i="107"/>
  <c r="F803" i="107"/>
  <c r="C803" i="107"/>
  <c r="J825" i="107"/>
  <c r="J856" i="107"/>
  <c r="G856" i="107"/>
  <c r="F856" i="107"/>
  <c r="E856" i="107"/>
  <c r="C856" i="107"/>
  <c r="E898" i="107"/>
  <c r="J898" i="107"/>
  <c r="G898" i="107"/>
  <c r="F898" i="107"/>
  <c r="D898" i="107"/>
  <c r="D927" i="107"/>
  <c r="J1015" i="107"/>
  <c r="G1015" i="107"/>
  <c r="E1015" i="107"/>
  <c r="C1015" i="107"/>
  <c r="D1037" i="107"/>
  <c r="C1037" i="107"/>
  <c r="F1037" i="107"/>
  <c r="E1037" i="107"/>
  <c r="D772" i="107"/>
  <c r="C781" i="107"/>
  <c r="E801" i="107"/>
  <c r="C804" i="107"/>
  <c r="F828" i="107"/>
  <c r="E828" i="107"/>
  <c r="C828" i="107"/>
  <c r="G831" i="107"/>
  <c r="J836" i="107"/>
  <c r="E853" i="107"/>
  <c r="G863" i="107"/>
  <c r="G869" i="107"/>
  <c r="E869" i="107"/>
  <c r="D869" i="107"/>
  <c r="D907" i="107"/>
  <c r="C907" i="107"/>
  <c r="F907" i="107"/>
  <c r="E907" i="107"/>
  <c r="E939" i="107"/>
  <c r="D939" i="107"/>
  <c r="J939" i="107"/>
  <c r="G939" i="107"/>
  <c r="F939" i="107"/>
  <c r="C939" i="107"/>
  <c r="C927" i="107"/>
  <c r="J927" i="107"/>
  <c r="F927" i="107"/>
  <c r="E927" i="107"/>
  <c r="D787" i="107"/>
  <c r="E804" i="107"/>
  <c r="D814" i="107"/>
  <c r="C814" i="107"/>
  <c r="D819" i="107"/>
  <c r="F837" i="107"/>
  <c r="E842" i="107"/>
  <c r="D842" i="107"/>
  <c r="C842" i="107"/>
  <c r="J845" i="107"/>
  <c r="F845" i="107"/>
  <c r="C845" i="107"/>
  <c r="E867" i="107"/>
  <c r="F967" i="107"/>
  <c r="E967" i="107"/>
  <c r="C967" i="107"/>
  <c r="D967" i="107"/>
  <c r="J1170" i="107"/>
  <c r="E914" i="107"/>
  <c r="D914" i="107"/>
  <c r="F921" i="107"/>
  <c r="E921" i="107"/>
  <c r="C921" i="107"/>
  <c r="D945" i="107"/>
  <c r="C945" i="107"/>
  <c r="E960" i="107"/>
  <c r="J960" i="107"/>
  <c r="F983" i="107"/>
  <c r="E983" i="107"/>
  <c r="C983" i="107"/>
  <c r="E987" i="107"/>
  <c r="D987" i="107"/>
  <c r="J987" i="107"/>
  <c r="F987" i="107"/>
  <c r="C987" i="107"/>
  <c r="F1051" i="107"/>
  <c r="E1051" i="107"/>
  <c r="D1051" i="107"/>
  <c r="J1051" i="107"/>
  <c r="F912" i="107"/>
  <c r="D912" i="107"/>
  <c r="F937" i="107"/>
  <c r="E976" i="107"/>
  <c r="J976" i="107"/>
  <c r="F976" i="107"/>
  <c r="E1022" i="107"/>
  <c r="E871" i="107"/>
  <c r="E903" i="107"/>
  <c r="F910" i="107"/>
  <c r="D910" i="107"/>
  <c r="E919" i="107"/>
  <c r="C919" i="107"/>
  <c r="C929" i="107"/>
  <c r="F935" i="107"/>
  <c r="J949" i="107"/>
  <c r="F953" i="107"/>
  <c r="D953" i="107"/>
  <c r="J953" i="107"/>
  <c r="E953" i="107"/>
  <c r="C953" i="107"/>
  <c r="C957" i="107"/>
  <c r="J957" i="107"/>
  <c r="F957" i="107"/>
  <c r="E957" i="107"/>
  <c r="D964" i="107"/>
  <c r="C964" i="107"/>
  <c r="F964" i="107"/>
  <c r="E968" i="107"/>
  <c r="D968" i="107"/>
  <c r="C968" i="107"/>
  <c r="E973" i="107"/>
  <c r="D996" i="107"/>
  <c r="C996" i="107"/>
  <c r="J996" i="107"/>
  <c r="E996" i="107"/>
  <c r="F1010" i="107"/>
  <c r="E1010" i="107"/>
  <c r="C1010" i="107"/>
  <c r="D1010" i="107"/>
  <c r="J1027" i="107"/>
  <c r="J1033" i="107"/>
  <c r="D1022" i="107"/>
  <c r="C1022" i="107"/>
  <c r="J1022" i="107"/>
  <c r="J1117" i="107"/>
  <c r="F1261" i="107"/>
  <c r="E1261" i="107"/>
  <c r="D1261" i="107"/>
  <c r="C1261" i="107"/>
  <c r="J1261" i="107"/>
  <c r="J885" i="107"/>
  <c r="E887" i="107"/>
  <c r="F889" i="107"/>
  <c r="C889" i="107"/>
  <c r="D891" i="107"/>
  <c r="J917" i="107"/>
  <c r="E917" i="107"/>
  <c r="J980" i="107"/>
  <c r="J997" i="107"/>
  <c r="J1006" i="107"/>
  <c r="F1006" i="107"/>
  <c r="E1006" i="107"/>
  <c r="D1006" i="107"/>
  <c r="E1040" i="107"/>
  <c r="J1040" i="107"/>
  <c r="F1040" i="107"/>
  <c r="D1040" i="107"/>
  <c r="C1040" i="107"/>
  <c r="D1053" i="107"/>
  <c r="C1053" i="107"/>
  <c r="F1053" i="107"/>
  <c r="D1089" i="107"/>
  <c r="C1089" i="107"/>
  <c r="F1089" i="107"/>
  <c r="E1089" i="107"/>
  <c r="F969" i="107"/>
  <c r="D969" i="107"/>
  <c r="J969" i="107"/>
  <c r="E969" i="107"/>
  <c r="C973" i="107"/>
  <c r="J973" i="107"/>
  <c r="J1054" i="107"/>
  <c r="J1162" i="107"/>
  <c r="J906" i="107"/>
  <c r="J950" i="107"/>
  <c r="D977" i="107"/>
  <c r="F998" i="107"/>
  <c r="J1007" i="107"/>
  <c r="F1007" i="107"/>
  <c r="E1007" i="107"/>
  <c r="D1007" i="107"/>
  <c r="J1075" i="107"/>
  <c r="F974" i="107"/>
  <c r="J981" i="107"/>
  <c r="F985" i="107"/>
  <c r="D985" i="107"/>
  <c r="J985" i="107"/>
  <c r="E985" i="107"/>
  <c r="C985" i="107"/>
  <c r="C989" i="107"/>
  <c r="J989" i="107"/>
  <c r="F989" i="107"/>
  <c r="E989" i="107"/>
  <c r="F1018" i="107"/>
  <c r="D1018" i="107"/>
  <c r="C1018" i="107"/>
  <c r="J1018" i="107"/>
  <c r="E1018" i="107"/>
  <c r="J1055" i="107"/>
  <c r="F1101" i="107"/>
  <c r="E1101" i="107"/>
  <c r="D1101" i="107"/>
  <c r="C1101" i="107"/>
  <c r="J1101" i="107"/>
  <c r="J933" i="107"/>
  <c r="E944" i="107"/>
  <c r="J944" i="107"/>
  <c r="F944" i="107"/>
  <c r="J998" i="107"/>
  <c r="E998" i="107"/>
  <c r="J1003" i="107"/>
  <c r="D1012" i="107"/>
  <c r="F999" i="107"/>
  <c r="E999" i="107"/>
  <c r="D999" i="107"/>
  <c r="J999" i="107"/>
  <c r="C999" i="107"/>
  <c r="J1019" i="107"/>
  <c r="C1207" i="107"/>
  <c r="D853" i="107"/>
  <c r="C871" i="107"/>
  <c r="J874" i="107"/>
  <c r="F914" i="107"/>
  <c r="D921" i="107"/>
  <c r="D929" i="107"/>
  <c r="C937" i="107"/>
  <c r="F945" i="107"/>
  <c r="F966" i="107"/>
  <c r="D966" i="107"/>
  <c r="C966" i="107"/>
  <c r="J1013" i="107"/>
  <c r="F1093" i="107"/>
  <c r="E1093" i="107"/>
  <c r="D1093" i="107"/>
  <c r="C1093" i="107"/>
  <c r="J1093" i="107"/>
  <c r="F1151" i="107"/>
  <c r="E1151" i="107"/>
  <c r="D1151" i="107"/>
  <c r="C1151" i="107"/>
  <c r="J1151" i="107"/>
  <c r="D871" i="107"/>
  <c r="F878" i="107"/>
  <c r="D880" i="107"/>
  <c r="J890" i="107"/>
  <c r="F894" i="107"/>
  <c r="D896" i="107"/>
  <c r="C912" i="107"/>
  <c r="E929" i="107"/>
  <c r="D937" i="107"/>
  <c r="C960" i="107"/>
  <c r="J990" i="107"/>
  <c r="F990" i="107"/>
  <c r="C1030" i="107"/>
  <c r="F1103" i="107"/>
  <c r="E1103" i="107"/>
  <c r="D1103" i="107"/>
  <c r="C1103" i="107"/>
  <c r="J1103" i="107"/>
  <c r="J1125" i="107"/>
  <c r="F1125" i="107"/>
  <c r="E1125" i="107"/>
  <c r="D1125" i="107"/>
  <c r="C1125" i="107"/>
  <c r="F962" i="107"/>
  <c r="E962" i="107"/>
  <c r="C962" i="107"/>
  <c r="J979" i="107"/>
  <c r="C1005" i="107"/>
  <c r="E1008" i="107"/>
  <c r="D1008" i="107"/>
  <c r="C1008" i="107"/>
  <c r="J1059" i="107"/>
  <c r="D1069" i="107"/>
  <c r="C1069" i="107"/>
  <c r="J1069" i="107"/>
  <c r="F1069" i="107"/>
  <c r="E1069" i="107"/>
  <c r="C1078" i="107"/>
  <c r="E1078" i="107"/>
  <c r="D1078" i="107"/>
  <c r="J958" i="107"/>
  <c r="J975" i="107"/>
  <c r="J995" i="107"/>
  <c r="J1011" i="107"/>
  <c r="E1011" i="107"/>
  <c r="J1042" i="107"/>
  <c r="E1003" i="107"/>
  <c r="D1003" i="107"/>
  <c r="J1021" i="107"/>
  <c r="E1021" i="107"/>
  <c r="D1021" i="107"/>
  <c r="F1055" i="107"/>
  <c r="E1055" i="107"/>
  <c r="D1055" i="107"/>
  <c r="F1065" i="107"/>
  <c r="E1065" i="107"/>
  <c r="D1065" i="107"/>
  <c r="C1065" i="107"/>
  <c r="J1065" i="107"/>
  <c r="J1070" i="107"/>
  <c r="F1085" i="107"/>
  <c r="E1085" i="107"/>
  <c r="D1085" i="107"/>
  <c r="C1085" i="107"/>
  <c r="J1085" i="107"/>
  <c r="J1187" i="107"/>
  <c r="E926" i="107"/>
  <c r="E928" i="107"/>
  <c r="J965" i="107"/>
  <c r="J993" i="107"/>
  <c r="F1001" i="107"/>
  <c r="D1001" i="107"/>
  <c r="C1001" i="107"/>
  <c r="J1043" i="107"/>
  <c r="F1043" i="107"/>
  <c r="E1043" i="107"/>
  <c r="C1043" i="107"/>
  <c r="J1061" i="107"/>
  <c r="D1105" i="107"/>
  <c r="C1105" i="107"/>
  <c r="F1105" i="107"/>
  <c r="E1105" i="107"/>
  <c r="J1105" i="107"/>
  <c r="J1120" i="107"/>
  <c r="J1152" i="107"/>
  <c r="D948" i="107"/>
  <c r="C948" i="107"/>
  <c r="D980" i="107"/>
  <c r="C980" i="107"/>
  <c r="J1009" i="107"/>
  <c r="J1025" i="107"/>
  <c r="J1039" i="107"/>
  <c r="J1121" i="107"/>
  <c r="F946" i="107"/>
  <c r="E946" i="107"/>
  <c r="C946" i="107"/>
  <c r="J963" i="107"/>
  <c r="F978" i="107"/>
  <c r="E978" i="107"/>
  <c r="C978" i="107"/>
  <c r="J1099" i="107"/>
  <c r="F1099" i="107"/>
  <c r="E1099" i="107"/>
  <c r="D1099" i="107"/>
  <c r="C1099" i="107"/>
  <c r="J926" i="107"/>
  <c r="F930" i="107"/>
  <c r="E930" i="107"/>
  <c r="D932" i="107"/>
  <c r="C932" i="107"/>
  <c r="J942" i="107"/>
  <c r="J974" i="107"/>
  <c r="C977" i="107"/>
  <c r="D979" i="107"/>
  <c r="D1032" i="107"/>
  <c r="F1048" i="107"/>
  <c r="D1048" i="107"/>
  <c r="C1048" i="107"/>
  <c r="F1087" i="107"/>
  <c r="E1087" i="107"/>
  <c r="D1087" i="107"/>
  <c r="C1087" i="107"/>
  <c r="D962" i="107"/>
  <c r="E979" i="107"/>
  <c r="F1056" i="107"/>
  <c r="E1056" i="107"/>
  <c r="D1056" i="107"/>
  <c r="F1067" i="107"/>
  <c r="E1067" i="107"/>
  <c r="D1067" i="107"/>
  <c r="C1067" i="107"/>
  <c r="J1079" i="107"/>
  <c r="F1079" i="107"/>
  <c r="E1079" i="107"/>
  <c r="D1079" i="107"/>
  <c r="F1140" i="107"/>
  <c r="E1140" i="107"/>
  <c r="C1140" i="107"/>
  <c r="J1140" i="107"/>
  <c r="D1140" i="107"/>
  <c r="J1175" i="107"/>
  <c r="D1175" i="107"/>
  <c r="C1175" i="107"/>
  <c r="E1251" i="107"/>
  <c r="J1275" i="107"/>
  <c r="F1275" i="107"/>
  <c r="E1275" i="107"/>
  <c r="D1275" i="107"/>
  <c r="F1117" i="107"/>
  <c r="E1117" i="107"/>
  <c r="D1117" i="107"/>
  <c r="C1117" i="107"/>
  <c r="E1162" i="107"/>
  <c r="D1162" i="107"/>
  <c r="C1162" i="107"/>
  <c r="F1162" i="107"/>
  <c r="C1239" i="107"/>
  <c r="F1026" i="107"/>
  <c r="E1026" i="107"/>
  <c r="D1028" i="107"/>
  <c r="C1028" i="107"/>
  <c r="C1046" i="107"/>
  <c r="E1076" i="107"/>
  <c r="D1076" i="107"/>
  <c r="C1076" i="107"/>
  <c r="F1109" i="107"/>
  <c r="E1109" i="107"/>
  <c r="D1109" i="107"/>
  <c r="C1109" i="107"/>
  <c r="F1049" i="107"/>
  <c r="D1049" i="107"/>
  <c r="C1049" i="107"/>
  <c r="J1083" i="107"/>
  <c r="F1083" i="107"/>
  <c r="E1083" i="107"/>
  <c r="D1083" i="107"/>
  <c r="C1083" i="107"/>
  <c r="J1155" i="107"/>
  <c r="J1142" i="107"/>
  <c r="J1243" i="107"/>
  <c r="F1243" i="107"/>
  <c r="E1243" i="107"/>
  <c r="D1243" i="107"/>
  <c r="C1243" i="107"/>
  <c r="F1035" i="107"/>
  <c r="E1035" i="107"/>
  <c r="D1035" i="107"/>
  <c r="J1047" i="107"/>
  <c r="F1047" i="107"/>
  <c r="E1047" i="107"/>
  <c r="C1062" i="107"/>
  <c r="F1074" i="107"/>
  <c r="E1074" i="107"/>
  <c r="D1074" i="107"/>
  <c r="C1074" i="107"/>
  <c r="J1077" i="107"/>
  <c r="F1135" i="107"/>
  <c r="E1135" i="107"/>
  <c r="D1135" i="107"/>
  <c r="C1135" i="107"/>
  <c r="J1268" i="107"/>
  <c r="D1019" i="107"/>
  <c r="F1033" i="107"/>
  <c r="D1033" i="107"/>
  <c r="F1042" i="107"/>
  <c r="E1042" i="107"/>
  <c r="C1042" i="107"/>
  <c r="F1124" i="107"/>
  <c r="E1124" i="107"/>
  <c r="C1124" i="107"/>
  <c r="J1124" i="107"/>
  <c r="D1124" i="107"/>
  <c r="D1187" i="107"/>
  <c r="F1187" i="107"/>
  <c r="E1187" i="107"/>
  <c r="C1187" i="107"/>
  <c r="F1212" i="107"/>
  <c r="C1212" i="107"/>
  <c r="D1212" i="107"/>
  <c r="E1212" i="107"/>
  <c r="F1318" i="107"/>
  <c r="J1063" i="107"/>
  <c r="F1063" i="107"/>
  <c r="E1063" i="107"/>
  <c r="D1063" i="107"/>
  <c r="F1091" i="107"/>
  <c r="E1091" i="107"/>
  <c r="D1091" i="107"/>
  <c r="C1091" i="107"/>
  <c r="F1119" i="107"/>
  <c r="E1119" i="107"/>
  <c r="C1119" i="107"/>
  <c r="J1119" i="107"/>
  <c r="D1119" i="107"/>
  <c r="J1172" i="107"/>
  <c r="J1179" i="107"/>
  <c r="F1179" i="107"/>
  <c r="C1179" i="107"/>
  <c r="J1115" i="107"/>
  <c r="F1115" i="107"/>
  <c r="E1115" i="107"/>
  <c r="D1115" i="107"/>
  <c r="C1115" i="107"/>
  <c r="D1137" i="107"/>
  <c r="C1137" i="107"/>
  <c r="J1137" i="107"/>
  <c r="F1137" i="107"/>
  <c r="E1137" i="107"/>
  <c r="J1180" i="107"/>
  <c r="F1214" i="107"/>
  <c r="D1214" i="107"/>
  <c r="E1214" i="107"/>
  <c r="C1214" i="107"/>
  <c r="J1214" i="107"/>
  <c r="E1332" i="107"/>
  <c r="C1012" i="107"/>
  <c r="J1029" i="107"/>
  <c r="C1032" i="107"/>
  <c r="J1045" i="107"/>
  <c r="E1060" i="107"/>
  <c r="D1060" i="107"/>
  <c r="C1060" i="107"/>
  <c r="F1072" i="107"/>
  <c r="E1072" i="107"/>
  <c r="D1072" i="107"/>
  <c r="C1072" i="107"/>
  <c r="F1095" i="107"/>
  <c r="E1095" i="107"/>
  <c r="D1095" i="107"/>
  <c r="C1095" i="107"/>
  <c r="F1107" i="107"/>
  <c r="E1107" i="107"/>
  <c r="D1107" i="107"/>
  <c r="C1107" i="107"/>
  <c r="F1111" i="107"/>
  <c r="E1111" i="107"/>
  <c r="D1111" i="107"/>
  <c r="C1111" i="107"/>
  <c r="J1234" i="107"/>
  <c r="F1234" i="107"/>
  <c r="D1234" i="107"/>
  <c r="C1234" i="107"/>
  <c r="C1024" i="107"/>
  <c r="J1038" i="107"/>
  <c r="D1046" i="107"/>
  <c r="F1190" i="107"/>
  <c r="D1190" i="107"/>
  <c r="J1190" i="107"/>
  <c r="E1190" i="107"/>
  <c r="C1190" i="107"/>
  <c r="J1333" i="107"/>
  <c r="J1122" i="107"/>
  <c r="J1138" i="107"/>
  <c r="F1169" i="107"/>
  <c r="E1169" i="107"/>
  <c r="D1169" i="107"/>
  <c r="C1169" i="107"/>
  <c r="J1277" i="107"/>
  <c r="J1283" i="107"/>
  <c r="F1283" i="107"/>
  <c r="D1297" i="107"/>
  <c r="J1306" i="107"/>
  <c r="F1306" i="107"/>
  <c r="D1306" i="107"/>
  <c r="C1306" i="107"/>
  <c r="E1306" i="107"/>
  <c r="F1326" i="107"/>
  <c r="E1326" i="107"/>
  <c r="D1326" i="107"/>
  <c r="C1326" i="107"/>
  <c r="J1326" i="107"/>
  <c r="F1334" i="107"/>
  <c r="F1180" i="107"/>
  <c r="E1180" i="107"/>
  <c r="D1180" i="107"/>
  <c r="C1180" i="107"/>
  <c r="F1204" i="107"/>
  <c r="J1208" i="107"/>
  <c r="D1208" i="107"/>
  <c r="E1208" i="107"/>
  <c r="C1242" i="107"/>
  <c r="J1342" i="107"/>
  <c r="C1130" i="107"/>
  <c r="F1133" i="107"/>
  <c r="E1133" i="107"/>
  <c r="D1133" i="107"/>
  <c r="C1146" i="107"/>
  <c r="F1149" i="107"/>
  <c r="E1149" i="107"/>
  <c r="D1149" i="107"/>
  <c r="J1176" i="107"/>
  <c r="F1176" i="107"/>
  <c r="E1176" i="107"/>
  <c r="D1176" i="107"/>
  <c r="C1176" i="107"/>
  <c r="J1192" i="107"/>
  <c r="D1192" i="107"/>
  <c r="F1192" i="107"/>
  <c r="E1192" i="107"/>
  <c r="C1192" i="107"/>
  <c r="J1213" i="107"/>
  <c r="E1213" i="107"/>
  <c r="D1213" i="107"/>
  <c r="C1223" i="107"/>
  <c r="J1278" i="107"/>
  <c r="F1284" i="107"/>
  <c r="E1284" i="107"/>
  <c r="D1284" i="107"/>
  <c r="C1284" i="107"/>
  <c r="J1284" i="107"/>
  <c r="F1160" i="107"/>
  <c r="E1160" i="107"/>
  <c r="D1160" i="107"/>
  <c r="C1160" i="107"/>
  <c r="C1209" i="107"/>
  <c r="F1230" i="107"/>
  <c r="D1230" i="107"/>
  <c r="C1230" i="107"/>
  <c r="J1230" i="107"/>
  <c r="E1230" i="107"/>
  <c r="J1343" i="107"/>
  <c r="E1300" i="107"/>
  <c r="J1329" i="107"/>
  <c r="J1090" i="107"/>
  <c r="F1094" i="107"/>
  <c r="E1096" i="107"/>
  <c r="D1096" i="107"/>
  <c r="J1106" i="107"/>
  <c r="F1110" i="107"/>
  <c r="E1112" i="107"/>
  <c r="D1112" i="107"/>
  <c r="E1128" i="107"/>
  <c r="D1128" i="107"/>
  <c r="C1128" i="107"/>
  <c r="J1131" i="107"/>
  <c r="F1131" i="107"/>
  <c r="D1131" i="107"/>
  <c r="J1136" i="107"/>
  <c r="E1144" i="107"/>
  <c r="D1144" i="107"/>
  <c r="C1144" i="107"/>
  <c r="J1147" i="107"/>
  <c r="F1147" i="107"/>
  <c r="D1147" i="107"/>
  <c r="F1167" i="107"/>
  <c r="E1167" i="107"/>
  <c r="D1167" i="107"/>
  <c r="D1210" i="107"/>
  <c r="J1219" i="107"/>
  <c r="J1224" i="107"/>
  <c r="F1224" i="107"/>
  <c r="D1224" i="107"/>
  <c r="C1224" i="107"/>
  <c r="D1251" i="107"/>
  <c r="J1301" i="107"/>
  <c r="C1082" i="107"/>
  <c r="C1098" i="107"/>
  <c r="C1114" i="107"/>
  <c r="J1189" i="107"/>
  <c r="J1197" i="107"/>
  <c r="E1197" i="107"/>
  <c r="F1197" i="107"/>
  <c r="D1197" i="107"/>
  <c r="C1197" i="107"/>
  <c r="F1210" i="107"/>
  <c r="J1308" i="107"/>
  <c r="F1308" i="107"/>
  <c r="E1308" i="107"/>
  <c r="D1308" i="107"/>
  <c r="J1177" i="107"/>
  <c r="F1177" i="107"/>
  <c r="E1205" i="107"/>
  <c r="J1205" i="107"/>
  <c r="C1225" i="107"/>
  <c r="J1251" i="107"/>
  <c r="F1251" i="107"/>
  <c r="D1265" i="107"/>
  <c r="J1273" i="107"/>
  <c r="F1273" i="107"/>
  <c r="D1273" i="107"/>
  <c r="C1273" i="107"/>
  <c r="E1273" i="107"/>
  <c r="F1293" i="107"/>
  <c r="E1293" i="107"/>
  <c r="D1293" i="107"/>
  <c r="C1293" i="107"/>
  <c r="J1293" i="107"/>
  <c r="F1126" i="107"/>
  <c r="E1126" i="107"/>
  <c r="D1126" i="107"/>
  <c r="C1126" i="107"/>
  <c r="F1142" i="107"/>
  <c r="E1142" i="107"/>
  <c r="D1142" i="107"/>
  <c r="C1142" i="107"/>
  <c r="C1164" i="107"/>
  <c r="J1164" i="107"/>
  <c r="J1210" i="107"/>
  <c r="E1210" i="107"/>
  <c r="J1338" i="107"/>
  <c r="F1338" i="107"/>
  <c r="D1338" i="107"/>
  <c r="C1338" i="107"/>
  <c r="E1338" i="107"/>
  <c r="F1157" i="107"/>
  <c r="E1157" i="107"/>
  <c r="C1157" i="107"/>
  <c r="F1174" i="107"/>
  <c r="E1174" i="107"/>
  <c r="C1174" i="107"/>
  <c r="J1182" i="107"/>
  <c r="J1206" i="107"/>
  <c r="J1246" i="107"/>
  <c r="F1252" i="107"/>
  <c r="E1252" i="107"/>
  <c r="D1252" i="107"/>
  <c r="C1252" i="107"/>
  <c r="J1252" i="107"/>
  <c r="J1310" i="107"/>
  <c r="J1316" i="107"/>
  <c r="F1316" i="107"/>
  <c r="D1330" i="107"/>
  <c r="J1165" i="107"/>
  <c r="F1165" i="107"/>
  <c r="D1165" i="107"/>
  <c r="C1165" i="107"/>
  <c r="F1178" i="107"/>
  <c r="E1178" i="107"/>
  <c r="D1178" i="107"/>
  <c r="C1178" i="107"/>
  <c r="F1253" i="107"/>
  <c r="D1121" i="107"/>
  <c r="C1121" i="107"/>
  <c r="D1130" i="107"/>
  <c r="D1146" i="107"/>
  <c r="D1154" i="107"/>
  <c r="D1171" i="107"/>
  <c r="J1202" i="107"/>
  <c r="E1202" i="107"/>
  <c r="D1202" i="107"/>
  <c r="C1202" i="107"/>
  <c r="E1267" i="107"/>
  <c r="C1274" i="107"/>
  <c r="J1311" i="107"/>
  <c r="F1317" i="107"/>
  <c r="E1317" i="107"/>
  <c r="D1317" i="107"/>
  <c r="C1317" i="107"/>
  <c r="J1317" i="107"/>
  <c r="C1183" i="107"/>
  <c r="D1200" i="107"/>
  <c r="J1200" i="107"/>
  <c r="F1235" i="107"/>
  <c r="D1235" i="107"/>
  <c r="C1235" i="107"/>
  <c r="F1247" i="107"/>
  <c r="C1256" i="107"/>
  <c r="F1279" i="107"/>
  <c r="C1288" i="107"/>
  <c r="F1312" i="107"/>
  <c r="G1335" i="107"/>
  <c r="J1340" i="107"/>
  <c r="G1340" i="107"/>
  <c r="F1340" i="107"/>
  <c r="E1340" i="107"/>
  <c r="D1340" i="107"/>
  <c r="J1181" i="107"/>
  <c r="E1181" i="107"/>
  <c r="F1188" i="107"/>
  <c r="G1221" i="107"/>
  <c r="F1228" i="107"/>
  <c r="E1228" i="107"/>
  <c r="C1228" i="107"/>
  <c r="J1257" i="107"/>
  <c r="G1257" i="107"/>
  <c r="F1257" i="107"/>
  <c r="D1257" i="107"/>
  <c r="C1257" i="107"/>
  <c r="J1289" i="107"/>
  <c r="G1289" i="107"/>
  <c r="F1289" i="107"/>
  <c r="D1289" i="107"/>
  <c r="C1289" i="107"/>
  <c r="J1313" i="107"/>
  <c r="J1322" i="107"/>
  <c r="G1322" i="107"/>
  <c r="F1322" i="107"/>
  <c r="D1322" i="107"/>
  <c r="C1322" i="107"/>
  <c r="C1193" i="107"/>
  <c r="F1198" i="107"/>
  <c r="D1198" i="107"/>
  <c r="G1203" i="107"/>
  <c r="D1203" i="107"/>
  <c r="J1218" i="107"/>
  <c r="D1232" i="107"/>
  <c r="J1262" i="107"/>
  <c r="J1294" i="107"/>
  <c r="J1327" i="107"/>
  <c r="J1186" i="107"/>
  <c r="J1229" i="107"/>
  <c r="G1229" i="107"/>
  <c r="F1229" i="107"/>
  <c r="E1229" i="107"/>
  <c r="C1229" i="107"/>
  <c r="E1241" i="107"/>
  <c r="C1191" i="107"/>
  <c r="F1196" i="107"/>
  <c r="C1196" i="107"/>
  <c r="C1258" i="107"/>
  <c r="J1267" i="107"/>
  <c r="G1267" i="107"/>
  <c r="F1267" i="107"/>
  <c r="C1290" i="107"/>
  <c r="J1300" i="107"/>
  <c r="G1300" i="107"/>
  <c r="F1300" i="107"/>
  <c r="J1332" i="107"/>
  <c r="G1332" i="107"/>
  <c r="F1332" i="107"/>
  <c r="D1184" i="107"/>
  <c r="J1184" i="107"/>
  <c r="F1206" i="107"/>
  <c r="D1206" i="107"/>
  <c r="G1219" i="107"/>
  <c r="F1219" i="107"/>
  <c r="D1219" i="107"/>
  <c r="C1219" i="107"/>
  <c r="J1241" i="107"/>
  <c r="G1241" i="107"/>
  <c r="F1241" i="107"/>
  <c r="D1241" i="107"/>
  <c r="C1241" i="107"/>
  <c r="D1249" i="107"/>
  <c r="D1281" i="107"/>
  <c r="D1314" i="107"/>
  <c r="C1154" i="107"/>
  <c r="C1171" i="107"/>
  <c r="G1211" i="107"/>
  <c r="D1216" i="107"/>
  <c r="J1226" i="107"/>
  <c r="G1226" i="107"/>
  <c r="E1226" i="107"/>
  <c r="D1226" i="107"/>
  <c r="F1245" i="107"/>
  <c r="E1245" i="107"/>
  <c r="D1245" i="107"/>
  <c r="C1245" i="107"/>
  <c r="F1263" i="107"/>
  <c r="C1272" i="107"/>
  <c r="F1295" i="107"/>
  <c r="F1328" i="107"/>
  <c r="F1182" i="107"/>
  <c r="D1182" i="107"/>
  <c r="G1189" i="107"/>
  <c r="E1189" i="107"/>
  <c r="J1194" i="107"/>
  <c r="E1194" i="107"/>
  <c r="G1254" i="107"/>
  <c r="J1259" i="107"/>
  <c r="G1259" i="107"/>
  <c r="F1259" i="107"/>
  <c r="E1259" i="107"/>
  <c r="D1259" i="107"/>
  <c r="G1268" i="107"/>
  <c r="F1268" i="107"/>
  <c r="E1268" i="107"/>
  <c r="D1268" i="107"/>
  <c r="C1268" i="107"/>
  <c r="F1277" i="107"/>
  <c r="E1277" i="107"/>
  <c r="D1277" i="107"/>
  <c r="C1277" i="107"/>
  <c r="G1286" i="107"/>
  <c r="J1291" i="107"/>
  <c r="G1291" i="107"/>
  <c r="F1291" i="107"/>
  <c r="E1291" i="107"/>
  <c r="D1291" i="107"/>
  <c r="G1301" i="107"/>
  <c r="F1301" i="107"/>
  <c r="E1301" i="107"/>
  <c r="D1301" i="107"/>
  <c r="C1301" i="107"/>
  <c r="F1310" i="107"/>
  <c r="E1310" i="107"/>
  <c r="D1310" i="107"/>
  <c r="C1310" i="107"/>
  <c r="G1319" i="107"/>
  <c r="J1324" i="107"/>
  <c r="G1324" i="107"/>
  <c r="F1324" i="107"/>
  <c r="E1324" i="107"/>
  <c r="D1324" i="107"/>
  <c r="G1333" i="107"/>
  <c r="F1333" i="107"/>
  <c r="E1333" i="107"/>
  <c r="D1333" i="107"/>
  <c r="C1333" i="107"/>
  <c r="F1342" i="107"/>
  <c r="E1342" i="107"/>
  <c r="D1342" i="107"/>
  <c r="C1342" i="107"/>
  <c r="C1246" i="107"/>
  <c r="J1247" i="107"/>
  <c r="C1262" i="107"/>
  <c r="J1263" i="107"/>
  <c r="C1278" i="107"/>
  <c r="J1279" i="107"/>
  <c r="C1294" i="107"/>
  <c r="J1295" i="107"/>
  <c r="C1311" i="107"/>
  <c r="J1312" i="107"/>
  <c r="C1327" i="107"/>
  <c r="C1343" i="107"/>
  <c r="D1278" i="107"/>
  <c r="D1294" i="107"/>
  <c r="D1311" i="107"/>
  <c r="D1327" i="107"/>
  <c r="D1343" i="107"/>
  <c r="C1215" i="107"/>
  <c r="J1216" i="107"/>
  <c r="D1222" i="107"/>
  <c r="G1227" i="107"/>
  <c r="C1231" i="107"/>
  <c r="J1232" i="107"/>
  <c r="D1238" i="107"/>
  <c r="G1244" i="107"/>
  <c r="E1246" i="107"/>
  <c r="C1248" i="107"/>
  <c r="J1249" i="107"/>
  <c r="D1255" i="107"/>
  <c r="G1260" i="107"/>
  <c r="E1262" i="107"/>
  <c r="J1265" i="107"/>
  <c r="D1271" i="107"/>
  <c r="G1276" i="107"/>
  <c r="E1278" i="107"/>
  <c r="J1281" i="107"/>
  <c r="D1287" i="107"/>
  <c r="G1292" i="107"/>
  <c r="E1294" i="107"/>
  <c r="C1296" i="107"/>
  <c r="J1297" i="107"/>
  <c r="D1304" i="107"/>
  <c r="G1309" i="107"/>
  <c r="E1311" i="107"/>
  <c r="C1313" i="107"/>
  <c r="J1314" i="107"/>
  <c r="D1320" i="107"/>
  <c r="G1325" i="107"/>
  <c r="E1327" i="107"/>
  <c r="C1329" i="107"/>
  <c r="J1330" i="107"/>
  <c r="D1336" i="107"/>
  <c r="G1341" i="107"/>
  <c r="E1343" i="107"/>
  <c r="E1222" i="107"/>
  <c r="E1238" i="107"/>
  <c r="F1246" i="107"/>
  <c r="E1255" i="107"/>
  <c r="F1262" i="107"/>
  <c r="F1278" i="107"/>
  <c r="F1294" i="107"/>
  <c r="F1311" i="107"/>
  <c r="F1327" i="107"/>
  <c r="F1343" i="107"/>
  <c r="F1222" i="107"/>
  <c r="F1238" i="107"/>
  <c r="G1246" i="107"/>
  <c r="F1255" i="107"/>
  <c r="G1262" i="107"/>
  <c r="C1266" i="107"/>
  <c r="F1271" i="107"/>
  <c r="G1278" i="107"/>
  <c r="C1282" i="107"/>
  <c r="F1287" i="107"/>
  <c r="G1294" i="107"/>
  <c r="C1299" i="107"/>
  <c r="G1311" i="107"/>
  <c r="C1315" i="107"/>
  <c r="G1327" i="107"/>
  <c r="E1329" i="107"/>
  <c r="C1331" i="107"/>
  <c r="G1343" i="107"/>
  <c r="E1315" i="107"/>
  <c r="E1331" i="107"/>
  <c r="F1185" i="107"/>
  <c r="F1201" i="107"/>
  <c r="F1217" i="107"/>
  <c r="F1233" i="107"/>
  <c r="F1250" i="107"/>
  <c r="F1266" i="107"/>
  <c r="F1282" i="107"/>
  <c r="F1299" i="107"/>
  <c r="F1315" i="107"/>
  <c r="F1331" i="107"/>
  <c r="D1221" i="107"/>
  <c r="D1237" i="107"/>
  <c r="C1247" i="107"/>
  <c r="D1254" i="107"/>
  <c r="C1263" i="107"/>
  <c r="D1270" i="107"/>
  <c r="C1279" i="107"/>
  <c r="D1286" i="107"/>
  <c r="C1295" i="107"/>
  <c r="D1303" i="107"/>
  <c r="C1312" i="107"/>
  <c r="D1319" i="107"/>
  <c r="C1328" i="107"/>
  <c r="D1335" i="107"/>
  <c r="E1221" i="107"/>
  <c r="E1237" i="107"/>
  <c r="D1247" i="107"/>
  <c r="E1254" i="107"/>
  <c r="D1263" i="107"/>
  <c r="E1270" i="107"/>
  <c r="D1279" i="107"/>
  <c r="E1286" i="107"/>
  <c r="D1295" i="107"/>
  <c r="E1303" i="107"/>
  <c r="D1312" i="107"/>
  <c r="E1319" i="107"/>
  <c r="D1328" i="107"/>
  <c r="E1335" i="107"/>
  <c r="G371" i="107" l="1"/>
  <c r="G560" i="107"/>
  <c r="G451" i="107"/>
  <c r="G477" i="107"/>
  <c r="G579" i="107"/>
  <c r="G398" i="107"/>
  <c r="G544" i="107"/>
  <c r="G366" i="107"/>
  <c r="G481" i="107"/>
  <c r="G373" i="107"/>
  <c r="G422" i="107"/>
  <c r="G433" i="107"/>
  <c r="G566" i="107"/>
  <c r="G368" i="107"/>
  <c r="G430" i="107"/>
  <c r="G506" i="107"/>
  <c r="G607" i="107"/>
  <c r="G586" i="107"/>
  <c r="G597" i="107"/>
  <c r="G620" i="107"/>
  <c r="G428" i="107"/>
  <c r="G431" i="107"/>
  <c r="G452" i="107"/>
  <c r="G468" i="107"/>
  <c r="G472" i="107"/>
  <c r="G521" i="107"/>
  <c r="G557" i="107"/>
  <c r="G592" i="107"/>
  <c r="G406" i="107"/>
  <c r="G420" i="107"/>
  <c r="G522" i="107"/>
  <c r="G547" i="107"/>
  <c r="G562" i="107"/>
  <c r="G627" i="107"/>
  <c r="G722" i="107"/>
  <c r="G360" i="107"/>
  <c r="G376" i="107"/>
  <c r="G393" i="107"/>
  <c r="G409" i="107"/>
  <c r="G425" i="107"/>
  <c r="G441" i="107"/>
  <c r="G457" i="107"/>
  <c r="G541" i="107"/>
  <c r="G563" i="107"/>
  <c r="G573" i="107"/>
  <c r="G576" i="107"/>
  <c r="G671" i="107"/>
  <c r="G703" i="107"/>
  <c r="G665" i="107"/>
  <c r="G691" i="107"/>
  <c r="G605" i="107"/>
  <c r="G612" i="107"/>
  <c r="G721" i="107"/>
  <c r="G666" i="107"/>
  <c r="G688" i="107"/>
  <c r="G697" i="107"/>
  <c r="G747" i="107"/>
  <c r="G651" i="107"/>
  <c r="G684" i="107"/>
  <c r="G717" i="107"/>
  <c r="G777" i="107"/>
  <c r="G851" i="107"/>
  <c r="G927" i="107"/>
  <c r="G842" i="107"/>
  <c r="G967" i="107"/>
  <c r="G960" i="107"/>
  <c r="G983" i="107"/>
  <c r="G987" i="107"/>
  <c r="G1021" i="107"/>
  <c r="G1051" i="107"/>
  <c r="G912" i="107"/>
  <c r="G937" i="107"/>
  <c r="G976" i="107"/>
  <c r="G1261" i="107"/>
  <c r="G903" i="107"/>
  <c r="G919" i="107"/>
  <c r="G953" i="107"/>
  <c r="G957" i="107"/>
  <c r="G964" i="107"/>
  <c r="G968" i="107"/>
  <c r="G1022" i="107"/>
  <c r="G885" i="107"/>
  <c r="G917" i="107"/>
  <c r="G1006" i="107"/>
  <c r="G1040" i="107"/>
  <c r="G1053" i="107"/>
  <c r="G1089" i="107"/>
  <c r="G969" i="107"/>
  <c r="G973" i="107"/>
  <c r="G815" i="107"/>
  <c r="G985" i="107"/>
  <c r="G989" i="107"/>
  <c r="G1018" i="107"/>
  <c r="G1101" i="107"/>
  <c r="G944" i="107"/>
  <c r="G998" i="107"/>
  <c r="G999" i="107"/>
  <c r="G966" i="107"/>
  <c r="G1093" i="107"/>
  <c r="G1151" i="107"/>
  <c r="G880" i="107"/>
  <c r="G896" i="107"/>
  <c r="G914" i="107"/>
  <c r="G921" i="107"/>
  <c r="G945" i="107"/>
  <c r="G990" i="107"/>
  <c r="G1103" i="107"/>
  <c r="G1125" i="107"/>
  <c r="G1008" i="107"/>
  <c r="G1069" i="107"/>
  <c r="G1078" i="107"/>
  <c r="G958" i="107"/>
  <c r="G1065" i="107"/>
  <c r="G1085" i="107"/>
  <c r="G915" i="107"/>
  <c r="G1001" i="107"/>
  <c r="G1105" i="107"/>
  <c r="G1039" i="107"/>
  <c r="G1099" i="107"/>
  <c r="G928" i="107"/>
  <c r="G974" i="107"/>
  <c r="G1048" i="107"/>
  <c r="G1087" i="107"/>
  <c r="G1056" i="107"/>
  <c r="G1079" i="107"/>
  <c r="G1140" i="107"/>
  <c r="G1175" i="107"/>
  <c r="G1275" i="107"/>
  <c r="G1117" i="107"/>
  <c r="G1162" i="107"/>
  <c r="G1024" i="107"/>
  <c r="G1109" i="107"/>
  <c r="G1210" i="107"/>
  <c r="G1382" i="107"/>
  <c r="G1049" i="107"/>
  <c r="G1083" i="107"/>
  <c r="G1177" i="107"/>
  <c r="G1303" i="107"/>
  <c r="G1383" i="107"/>
  <c r="G1243" i="107"/>
  <c r="G1074" i="107"/>
  <c r="G1135" i="107"/>
  <c r="G1033" i="107"/>
  <c r="G1042" i="107"/>
  <c r="G1124" i="107"/>
  <c r="G1187" i="107"/>
  <c r="G1063" i="107"/>
  <c r="G1091" i="107"/>
  <c r="G1119" i="107"/>
  <c r="G1179" i="107"/>
  <c r="G1115" i="107"/>
  <c r="G1137" i="107"/>
  <c r="G1214" i="107"/>
  <c r="G1072" i="107"/>
  <c r="G1095" i="107"/>
  <c r="G1107" i="107"/>
  <c r="G1111" i="107"/>
  <c r="G1190" i="107"/>
  <c r="G1283" i="107"/>
  <c r="G1306" i="107"/>
  <c r="G1180" i="107"/>
  <c r="G1208" i="107"/>
  <c r="G1133" i="107"/>
  <c r="G1149" i="107"/>
  <c r="G1176" i="107"/>
  <c r="G1192" i="107"/>
  <c r="G1213" i="107"/>
  <c r="G1284" i="107"/>
  <c r="G1160" i="107"/>
  <c r="G1230" i="107"/>
  <c r="G1270" i="107"/>
  <c r="G1094" i="107"/>
  <c r="G1110" i="107"/>
  <c r="G1131" i="107"/>
  <c r="G1147" i="107"/>
  <c r="G1164" i="107"/>
  <c r="G1167" i="107"/>
  <c r="G1224" i="107"/>
  <c r="G1197" i="107"/>
  <c r="G1237" i="107"/>
  <c r="G1308" i="107"/>
  <c r="G1205" i="107"/>
  <c r="G1251" i="107"/>
  <c r="G1273" i="107"/>
  <c r="G1126" i="107"/>
  <c r="G1142" i="107"/>
  <c r="G1338" i="107"/>
  <c r="G1157" i="107"/>
  <c r="G1174" i="107"/>
  <c r="G1252" i="107"/>
  <c r="G1316" i="107"/>
  <c r="G1165" i="107"/>
  <c r="G1178" i="107"/>
  <c r="G1317" i="107"/>
  <c r="G1195" i="107"/>
  <c r="G1235" i="107"/>
  <c r="G1384" i="107"/>
  <c r="G1371" i="107"/>
  <c r="G1344" i="107"/>
  <c r="G1345" i="107"/>
  <c r="G1346" i="107"/>
  <c r="G1347" i="107"/>
  <c r="G1348" i="107"/>
  <c r="G1349" i="107"/>
  <c r="G1350" i="107"/>
  <c r="G1351" i="107"/>
  <c r="G1352" i="107"/>
  <c r="G1357" i="107"/>
  <c r="G1360" i="107"/>
  <c r="G1368" i="107"/>
  <c r="G1369" i="107"/>
  <c r="G1353" i="107"/>
  <c r="G1354" i="107"/>
  <c r="G1355" i="107"/>
  <c r="G1356" i="107"/>
  <c r="G1361" i="107"/>
  <c r="G1370" i="107"/>
  <c r="G1372" i="107"/>
  <c r="G1373" i="107"/>
  <c r="G1374" i="107"/>
  <c r="G1358" i="107"/>
  <c r="G1359" i="107"/>
  <c r="G1362" i="107"/>
  <c r="G1363" i="107"/>
  <c r="G1364" i="107"/>
  <c r="G1365" i="107"/>
  <c r="G1366" i="107"/>
  <c r="G1367" i="107"/>
  <c r="G1375" i="107"/>
  <c r="G1376" i="107"/>
  <c r="G1377" i="107"/>
  <c r="G1378" i="107"/>
  <c r="G1379" i="107"/>
  <c r="G1380" i="107"/>
  <c r="G1381" i="107"/>
  <c r="H1049" i="107"/>
  <c r="H1243" i="107"/>
  <c r="H1344" i="107"/>
  <c r="H1347" i="107"/>
  <c r="H1371" i="107"/>
  <c r="H1365" i="107"/>
  <c r="H1373" i="107"/>
  <c r="H1351" i="107"/>
  <c r="H1353" i="107"/>
  <c r="H1363" i="107"/>
  <c r="H1380" i="107"/>
  <c r="H1345" i="107"/>
  <c r="H1354" i="107"/>
  <c r="H1349" i="107"/>
  <c r="H1355" i="107"/>
  <c r="H1348" i="107"/>
  <c r="H1350" i="107"/>
  <c r="H1356" i="107"/>
  <c r="H1359" i="107"/>
  <c r="H1357" i="107"/>
  <c r="H1372" i="107"/>
  <c r="H1364" i="107"/>
  <c r="H1360" i="107"/>
  <c r="H1383" i="107"/>
  <c r="H1384" i="107"/>
  <c r="H1366" i="107"/>
  <c r="H1352" i="107"/>
  <c r="H1367" i="107"/>
  <c r="H1368" i="107"/>
  <c r="H1369" i="107"/>
  <c r="H1370" i="107"/>
  <c r="H1374" i="107"/>
  <c r="H1375" i="107"/>
  <c r="H1376" i="107"/>
  <c r="H1358" i="107"/>
  <c r="H1377" i="107"/>
  <c r="H1346" i="107"/>
  <c r="H1378" i="107"/>
  <c r="H1379" i="107"/>
  <c r="H1381" i="107"/>
  <c r="H1361" i="107"/>
  <c r="H1362" i="107"/>
  <c r="H1382" i="107"/>
  <c r="I1298" i="107"/>
  <c r="I1365" i="107"/>
  <c r="I1366" i="107"/>
  <c r="I1347" i="107"/>
  <c r="I1353" i="107"/>
  <c r="I1344" i="107"/>
  <c r="I1367" i="107"/>
  <c r="I1355" i="107"/>
  <c r="I1352" i="107"/>
  <c r="I1356" i="107"/>
  <c r="I1368" i="107"/>
  <c r="I1348" i="107"/>
  <c r="I1358" i="107"/>
  <c r="I1373" i="107"/>
  <c r="I1359" i="107"/>
  <c r="I1362" i="107"/>
  <c r="I1346" i="107"/>
  <c r="I1375" i="107"/>
  <c r="I1369" i="107"/>
  <c r="I1376" i="107"/>
  <c r="I1357" i="107"/>
  <c r="I1370" i="107"/>
  <c r="I1377" i="107"/>
  <c r="I1349" i="107"/>
  <c r="I1384" i="107"/>
  <c r="I1350" i="107"/>
  <c r="I1378" i="107"/>
  <c r="I1379" i="107"/>
  <c r="I1360" i="107"/>
  <c r="I1374" i="107"/>
  <c r="I1361" i="107"/>
  <c r="I1351" i="107"/>
  <c r="I1380" i="107"/>
  <c r="I1345" i="107"/>
  <c r="I1381" i="107"/>
  <c r="I1371" i="107"/>
  <c r="I1382" i="107"/>
  <c r="I1364" i="107"/>
  <c r="I1354" i="107"/>
  <c r="I1363" i="107"/>
  <c r="I1383" i="107"/>
  <c r="I1372" i="107"/>
  <c r="G1240" i="107"/>
  <c r="G1298" i="107"/>
  <c r="H1240" i="107"/>
  <c r="H1298" i="107"/>
  <c r="G1159" i="107"/>
  <c r="H1158" i="107"/>
  <c r="H1159" i="107"/>
  <c r="I1158" i="107"/>
  <c r="G467" i="107"/>
  <c r="G1158" i="107"/>
  <c r="G499" i="107"/>
  <c r="G514" i="107"/>
  <c r="G1153" i="107"/>
  <c r="G672" i="107"/>
  <c r="G708" i="107"/>
  <c r="G713" i="107"/>
  <c r="G763" i="107"/>
  <c r="G888" i="107"/>
  <c r="G613" i="107"/>
  <c r="G663" i="107"/>
  <c r="G668" i="107"/>
  <c r="G699" i="107"/>
  <c r="G736" i="107"/>
  <c r="G798" i="107"/>
  <c r="G609" i="107"/>
  <c r="G621" i="107"/>
  <c r="G637" i="107"/>
  <c r="G719" i="107"/>
  <c r="G649" i="107"/>
  <c r="G765" i="107"/>
  <c r="G810" i="107"/>
  <c r="G629" i="107"/>
  <c r="G789" i="107"/>
  <c r="G860" i="107"/>
  <c r="G536" i="107"/>
  <c r="G552" i="107"/>
  <c r="G568" i="107"/>
  <c r="G584" i="107"/>
  <c r="G632" i="107"/>
  <c r="G650" i="107"/>
  <c r="G653" i="107"/>
  <c r="G738" i="107"/>
  <c r="G744" i="107"/>
  <c r="G766" i="107"/>
  <c r="G800" i="107"/>
  <c r="G669" i="107"/>
  <c r="G673" i="107"/>
  <c r="G682" i="107"/>
  <c r="G751" i="107"/>
  <c r="G600" i="107"/>
  <c r="G1016" i="107"/>
  <c r="H1334" i="107"/>
  <c r="H1016" i="107"/>
  <c r="I667" i="107"/>
  <c r="I1016" i="107"/>
  <c r="G484" i="107"/>
  <c r="G623" i="107"/>
  <c r="G642" i="107"/>
  <c r="G652" i="107"/>
  <c r="G482" i="107"/>
  <c r="G519" i="107"/>
  <c r="G829" i="107"/>
  <c r="G487" i="107"/>
  <c r="G495" i="107"/>
  <c r="G533" i="107"/>
  <c r="G664" i="107"/>
  <c r="G460" i="107"/>
  <c r="G529" i="107"/>
  <c r="G537" i="107"/>
  <c r="H685" i="107"/>
  <c r="H1186" i="107"/>
  <c r="H1226" i="107"/>
  <c r="H821" i="107"/>
  <c r="G471" i="107"/>
  <c r="H1161" i="107"/>
  <c r="H737" i="107"/>
  <c r="H1010" i="107"/>
  <c r="I738" i="107"/>
  <c r="H823" i="107"/>
  <c r="H784" i="107"/>
  <c r="H1248" i="107"/>
  <c r="H1092" i="107"/>
  <c r="H636" i="107"/>
  <c r="H1277" i="107"/>
  <c r="H1131" i="107"/>
  <c r="H936" i="107"/>
  <c r="H835" i="107"/>
  <c r="H1129" i="107"/>
  <c r="H1326" i="107"/>
  <c r="H1137" i="107"/>
  <c r="H1206" i="107"/>
  <c r="H1257" i="107"/>
  <c r="H1151" i="107"/>
  <c r="H976" i="107"/>
  <c r="H672" i="107"/>
  <c r="H674" i="107"/>
  <c r="H708" i="107"/>
  <c r="H775" i="107"/>
  <c r="H1303" i="107"/>
  <c r="H1087" i="107"/>
  <c r="H782" i="107"/>
  <c r="H754" i="107"/>
  <c r="H649" i="107"/>
  <c r="H874" i="107"/>
  <c r="H1184" i="107"/>
  <c r="H1293" i="107"/>
  <c r="H1177" i="107"/>
  <c r="H1329" i="107"/>
  <c r="H1222" i="107"/>
  <c r="H1297" i="107"/>
  <c r="H1167" i="107"/>
  <c r="I1307" i="107"/>
  <c r="H1162" i="107"/>
  <c r="H1261" i="107"/>
  <c r="H931" i="107"/>
  <c r="H768" i="107"/>
  <c r="H736" i="107"/>
  <c r="H763" i="107"/>
  <c r="H691" i="107"/>
  <c r="H1046" i="107"/>
  <c r="H1268" i="107"/>
  <c r="H665" i="107"/>
  <c r="H1174" i="107"/>
  <c r="H1053" i="107"/>
  <c r="H1228" i="107"/>
  <c r="H1214" i="107"/>
  <c r="H1033" i="107"/>
  <c r="H928" i="107"/>
  <c r="H873" i="107"/>
  <c r="H718" i="107"/>
  <c r="H689" i="107"/>
  <c r="H870" i="107"/>
  <c r="H664" i="107"/>
  <c r="H654" i="107"/>
  <c r="H1064" i="107"/>
  <c r="H1183" i="107"/>
  <c r="H1244" i="107"/>
  <c r="H1234" i="107"/>
  <c r="H642" i="107"/>
  <c r="H1225" i="107"/>
  <c r="H1212" i="107"/>
  <c r="H1135" i="107"/>
  <c r="H848" i="107"/>
  <c r="H1190" i="107"/>
  <c r="H1079" i="107"/>
  <c r="H1315" i="107"/>
  <c r="H1196" i="107"/>
  <c r="H1218" i="107"/>
  <c r="H1047" i="107"/>
  <c r="H1008" i="107"/>
  <c r="I1018" i="107"/>
  <c r="H1039" i="107"/>
  <c r="H822" i="107"/>
  <c r="H918" i="107"/>
  <c r="H635" i="107"/>
  <c r="H652" i="107"/>
  <c r="H954" i="107"/>
  <c r="H1255" i="107"/>
  <c r="H1109" i="107"/>
  <c r="H1099" i="107"/>
  <c r="H998" i="107"/>
  <c r="H903" i="107"/>
  <c r="H905" i="107"/>
  <c r="H720" i="107"/>
  <c r="H697" i="107"/>
  <c r="H798" i="107"/>
  <c r="H694" i="107"/>
  <c r="H986" i="107"/>
  <c r="H959" i="107"/>
  <c r="H1281" i="107"/>
  <c r="H1157" i="107"/>
  <c r="H1133" i="107"/>
  <c r="H1178" i="107"/>
  <c r="H1273" i="107"/>
  <c r="H1072" i="107"/>
  <c r="H1022" i="107"/>
  <c r="H845" i="107"/>
  <c r="H951" i="107"/>
  <c r="H619" i="107"/>
  <c r="H851" i="107"/>
  <c r="H702" i="107"/>
  <c r="H738" i="107"/>
  <c r="H639" i="107"/>
  <c r="H783" i="107"/>
  <c r="H1019" i="107"/>
  <c r="H1332" i="107"/>
  <c r="I1147" i="107"/>
  <c r="H990" i="107"/>
  <c r="H1015" i="107"/>
  <c r="H790" i="107"/>
  <c r="H705" i="107"/>
  <c r="H830" i="107"/>
  <c r="H934" i="107"/>
  <c r="H648" i="107"/>
  <c r="H626" i="107"/>
  <c r="H819" i="107"/>
  <c r="H1136" i="107"/>
  <c r="H1310" i="107"/>
  <c r="H1011" i="107"/>
  <c r="H1021" i="107"/>
  <c r="H1141" i="107"/>
  <c r="H955" i="107"/>
  <c r="H884" i="107"/>
  <c r="H813" i="107"/>
  <c r="H700" i="107"/>
  <c r="H701" i="107"/>
  <c r="H917" i="107"/>
  <c r="H1160" i="107"/>
  <c r="H907" i="107"/>
  <c r="H1271" i="107"/>
  <c r="H876" i="107"/>
  <c r="H1093" i="107"/>
  <c r="H973" i="107"/>
  <c r="H994" i="107"/>
  <c r="H780" i="107"/>
  <c r="H794" i="107"/>
  <c r="H849" i="107"/>
  <c r="H752" i="107"/>
  <c r="H669" i="107"/>
  <c r="H867" i="107"/>
  <c r="H1176" i="107"/>
  <c r="H1149" i="107"/>
  <c r="H621" i="107"/>
  <c r="H1322" i="107"/>
  <c r="H1280" i="107"/>
  <c r="H1291" i="107"/>
  <c r="H1215" i="107"/>
  <c r="H1231" i="107"/>
  <c r="H1063" i="107"/>
  <c r="H1245" i="107"/>
  <c r="H887" i="107"/>
  <c r="H660" i="107"/>
  <c r="H786" i="107"/>
  <c r="H810" i="107"/>
  <c r="H735" i="107"/>
  <c r="H962" i="107"/>
  <c r="H1223" i="107"/>
  <c r="H1306" i="107"/>
  <c r="H1208" i="107"/>
  <c r="H1300" i="107"/>
  <c r="H1165" i="107"/>
  <c r="H1213" i="107"/>
  <c r="H1107" i="107"/>
  <c r="H1119" i="107"/>
  <c r="H1117" i="107"/>
  <c r="H1062" i="107"/>
  <c r="I1151" i="107"/>
  <c r="H938" i="107"/>
  <c r="H658" i="107"/>
  <c r="H947" i="107"/>
  <c r="H681" i="107"/>
  <c r="H651" i="107"/>
  <c r="H682" i="107"/>
  <c r="H667" i="107"/>
  <c r="H725" i="107"/>
  <c r="H1229" i="107"/>
  <c r="H814" i="107"/>
  <c r="H919" i="107"/>
  <c r="H826" i="107"/>
  <c r="H719" i="107"/>
  <c r="H1108" i="107"/>
  <c r="H1219" i="107"/>
  <c r="H1340" i="107"/>
  <c r="I1210" i="107"/>
  <c r="H1140" i="107"/>
  <c r="H1074" i="107"/>
  <c r="H1007" i="107"/>
  <c r="H1058" i="107"/>
  <c r="H690" i="107"/>
  <c r="H922" i="107"/>
  <c r="H747" i="107"/>
  <c r="H759" i="107"/>
  <c r="H1084" i="107"/>
  <c r="G426" i="107"/>
  <c r="G485" i="107"/>
  <c r="G585" i="107"/>
  <c r="G488" i="107"/>
  <c r="G459" i="107"/>
  <c r="G364" i="107"/>
  <c r="G601" i="107"/>
  <c r="G685" i="107"/>
  <c r="G737" i="107"/>
  <c r="G556" i="107"/>
  <c r="G702" i="107"/>
  <c r="G807" i="107"/>
  <c r="G646" i="107"/>
  <c r="G913" i="107"/>
  <c r="G790" i="107"/>
  <c r="G1064" i="107"/>
  <c r="G795" i="107"/>
  <c r="G899" i="107"/>
  <c r="G868" i="107"/>
  <c r="G1055" i="107"/>
  <c r="G1183" i="107"/>
  <c r="G1112" i="107"/>
  <c r="G1239" i="107"/>
  <c r="G997" i="107"/>
  <c r="G1163" i="107"/>
  <c r="G1092" i="107"/>
  <c r="G1265" i="107"/>
  <c r="G1198" i="107"/>
  <c r="G1304" i="107"/>
  <c r="G1263" i="107"/>
  <c r="G1209" i="107"/>
  <c r="G1318" i="107"/>
  <c r="G375" i="107"/>
  <c r="H781" i="107"/>
  <c r="H909" i="107"/>
  <c r="H957" i="107"/>
  <c r="H991" i="107"/>
  <c r="H1082" i="107"/>
  <c r="H1237" i="107"/>
  <c r="G387" i="107"/>
  <c r="G362" i="107"/>
  <c r="G590" i="107"/>
  <c r="G569" i="107"/>
  <c r="G528" i="107"/>
  <c r="G512" i="107"/>
  <c r="G397" i="107"/>
  <c r="G706" i="107"/>
  <c r="G724" i="107"/>
  <c r="G543" i="107"/>
  <c r="G588" i="107"/>
  <c r="G770" i="107"/>
  <c r="G690" i="107"/>
  <c r="G678" i="107"/>
  <c r="G796" i="107"/>
  <c r="G925" i="107"/>
  <c r="G727" i="107"/>
  <c r="G848" i="107"/>
  <c r="G946" i="107"/>
  <c r="G962" i="107"/>
  <c r="G978" i="107"/>
  <c r="G1127" i="107"/>
  <c r="G934" i="107"/>
  <c r="G1017" i="107"/>
  <c r="G1025" i="107"/>
  <c r="G1128" i="107"/>
  <c r="G1156" i="107"/>
  <c r="G1054" i="107"/>
  <c r="G1232" i="107"/>
  <c r="G1136" i="107"/>
  <c r="G1328" i="107"/>
  <c r="G1225" i="107"/>
  <c r="G1231" i="107"/>
  <c r="H834" i="107"/>
  <c r="H815" i="107"/>
  <c r="H864" i="107"/>
  <c r="H1048" i="107"/>
  <c r="H1088" i="107"/>
  <c r="H1272" i="107"/>
  <c r="G454" i="107"/>
  <c r="G370" i="107"/>
  <c r="G570" i="107"/>
  <c r="G374" i="107"/>
  <c r="G391" i="107"/>
  <c r="G733" i="107"/>
  <c r="G550" i="107"/>
  <c r="G542" i="107"/>
  <c r="G413" i="107"/>
  <c r="G504" i="107"/>
  <c r="G771" i="107"/>
  <c r="G559" i="107"/>
  <c r="G633" i="107"/>
  <c r="G645" i="107"/>
  <c r="G716" i="107"/>
  <c r="G732" i="107"/>
  <c r="G1071" i="107"/>
  <c r="G979" i="107"/>
  <c r="G743" i="107"/>
  <c r="G981" i="107"/>
  <c r="G1046" i="107"/>
  <c r="G1011" i="107"/>
  <c r="G1012" i="107"/>
  <c r="G952" i="107"/>
  <c r="G936" i="107"/>
  <c r="G1035" i="107"/>
  <c r="G1027" i="107"/>
  <c r="G1144" i="107"/>
  <c r="G1173" i="107"/>
  <c r="G1070" i="107"/>
  <c r="G1288" i="107"/>
  <c r="G1152" i="107"/>
  <c r="G1199" i="107"/>
  <c r="G1242" i="107"/>
  <c r="G1248" i="107"/>
  <c r="G377" i="107"/>
  <c r="H640" i="107"/>
  <c r="H777" i="107"/>
  <c r="H1009" i="107"/>
  <c r="H879" i="107"/>
  <c r="H924" i="107"/>
  <c r="H1098" i="107"/>
  <c r="H1333" i="107"/>
  <c r="G407" i="107"/>
  <c r="G381" i="107"/>
  <c r="G394" i="107"/>
  <c r="G437" i="107"/>
  <c r="G599" i="107"/>
  <c r="G551" i="107"/>
  <c r="G429" i="107"/>
  <c r="G515" i="107"/>
  <c r="G532" i="107"/>
  <c r="G575" i="107"/>
  <c r="G692" i="107"/>
  <c r="G785" i="107"/>
  <c r="G749" i="107"/>
  <c r="G929" i="107"/>
  <c r="G811" i="107"/>
  <c r="G725" i="107"/>
  <c r="G759" i="107"/>
  <c r="G834" i="107"/>
  <c r="G1066" i="107"/>
  <c r="G1041" i="107"/>
  <c r="G1297" i="107"/>
  <c r="G984" i="107"/>
  <c r="G938" i="107"/>
  <c r="G1059" i="107"/>
  <c r="G1029" i="107"/>
  <c r="G1200" i="107"/>
  <c r="G1279" i="107"/>
  <c r="G1121" i="107"/>
  <c r="G1081" i="107"/>
  <c r="G1170" i="107"/>
  <c r="G1249" i="107"/>
  <c r="G1258" i="107"/>
  <c r="G1264" i="107"/>
  <c r="G421" i="107"/>
  <c r="H615" i="107"/>
  <c r="H655" i="107"/>
  <c r="H937" i="107"/>
  <c r="H950" i="107"/>
  <c r="H1146" i="107"/>
  <c r="H1068" i="107"/>
  <c r="H1260" i="107"/>
  <c r="G392" i="107"/>
  <c r="G363" i="107"/>
  <c r="G473" i="107"/>
  <c r="G418" i="107"/>
  <c r="G453" i="107"/>
  <c r="G659" i="107"/>
  <c r="G554" i="107"/>
  <c r="G445" i="107"/>
  <c r="G618" i="107"/>
  <c r="G548" i="107"/>
  <c r="G591" i="107"/>
  <c r="G760" i="107"/>
  <c r="G806" i="107"/>
  <c r="G705" i="107"/>
  <c r="G1007" i="107"/>
  <c r="G813" i="107"/>
  <c r="G741" i="107"/>
  <c r="G775" i="107"/>
  <c r="G949" i="107"/>
  <c r="G1073" i="107"/>
  <c r="G1047" i="107"/>
  <c r="G876" i="107"/>
  <c r="G948" i="107"/>
  <c r="G940" i="107"/>
  <c r="G1062" i="107"/>
  <c r="G1130" i="107"/>
  <c r="G1098" i="107"/>
  <c r="G1068" i="107"/>
  <c r="G1134" i="107"/>
  <c r="G1097" i="107"/>
  <c r="G1186" i="107"/>
  <c r="G1272" i="107"/>
  <c r="G1274" i="107"/>
  <c r="G1280" i="107"/>
  <c r="H641" i="107"/>
  <c r="H679" i="107"/>
  <c r="H943" i="107"/>
  <c r="H977" i="107"/>
  <c r="H1169" i="107"/>
  <c r="H1123" i="107"/>
  <c r="H1276" i="107"/>
  <c r="G405" i="107"/>
  <c r="G464" i="107"/>
  <c r="G502" i="107"/>
  <c r="G435" i="107"/>
  <c r="G469" i="107"/>
  <c r="G634" i="107"/>
  <c r="G574" i="107"/>
  <c r="G461" i="107"/>
  <c r="G742" i="107"/>
  <c r="G564" i="107"/>
  <c r="G677" i="107"/>
  <c r="G804" i="107"/>
  <c r="G748" i="107"/>
  <c r="G726" i="107"/>
  <c r="G941" i="107"/>
  <c r="G827" i="107"/>
  <c r="G757" i="107"/>
  <c r="G784" i="107"/>
  <c r="G1010" i="107"/>
  <c r="G1080" i="107"/>
  <c r="G1082" i="107"/>
  <c r="G878" i="107"/>
  <c r="G950" i="107"/>
  <c r="G959" i="107"/>
  <c r="G1009" i="107"/>
  <c r="G1143" i="107"/>
  <c r="G1100" i="107"/>
  <c r="G1123" i="107"/>
  <c r="G1150" i="107"/>
  <c r="G1113" i="107"/>
  <c r="G1196" i="107"/>
  <c r="G1277" i="107"/>
  <c r="G1290" i="107"/>
  <c r="G1296" i="107"/>
  <c r="G463" i="107"/>
  <c r="H899" i="107"/>
  <c r="H771" i="107"/>
  <c r="H1041" i="107"/>
  <c r="H1083" i="107"/>
  <c r="H1139" i="107"/>
  <c r="H1292" i="107"/>
  <c r="G483" i="107"/>
  <c r="G505" i="107"/>
  <c r="G593" i="107"/>
  <c r="G450" i="107"/>
  <c r="G507" i="107"/>
  <c r="G680" i="107"/>
  <c r="G577" i="107"/>
  <c r="G478" i="107"/>
  <c r="G625" i="107"/>
  <c r="G580" i="107"/>
  <c r="G710" i="107"/>
  <c r="G615" i="107"/>
  <c r="G774" i="107"/>
  <c r="G755" i="107"/>
  <c r="G954" i="107"/>
  <c r="G830" i="107"/>
  <c r="G773" i="107"/>
  <c r="G801" i="107"/>
  <c r="G877" i="107"/>
  <c r="G1028" i="107"/>
  <c r="G1120" i="107"/>
  <c r="G890" i="107"/>
  <c r="G980" i="107"/>
  <c r="G1032" i="107"/>
  <c r="G1019" i="107"/>
  <c r="G1050" i="107"/>
  <c r="G1102" i="107"/>
  <c r="G1139" i="107"/>
  <c r="G1154" i="107"/>
  <c r="G1132" i="107"/>
  <c r="G1201" i="107"/>
  <c r="G1281" i="107"/>
  <c r="G1307" i="107"/>
  <c r="G1313" i="107"/>
  <c r="H805" i="107"/>
  <c r="H933" i="107"/>
  <c r="H1017" i="107"/>
  <c r="H1193" i="107"/>
  <c r="H1325" i="107"/>
  <c r="G401" i="107"/>
  <c r="G378" i="107"/>
  <c r="G440" i="107"/>
  <c r="G456" i="107"/>
  <c r="G442" i="107"/>
  <c r="G553" i="107"/>
  <c r="G526" i="107"/>
  <c r="G510" i="107"/>
  <c r="G497" i="107"/>
  <c r="G555" i="107"/>
  <c r="G602" i="107"/>
  <c r="G622" i="107"/>
  <c r="G648" i="107"/>
  <c r="G767" i="107"/>
  <c r="G772" i="107"/>
  <c r="G753" i="107"/>
  <c r="G855" i="107"/>
  <c r="G820" i="107"/>
  <c r="G816" i="107"/>
  <c r="G881" i="107"/>
  <c r="G965" i="107"/>
  <c r="G838" i="107"/>
  <c r="G894" i="107"/>
  <c r="G993" i="107"/>
  <c r="G1086" i="107"/>
  <c r="G1212" i="107"/>
  <c r="G1234" i="107"/>
  <c r="G1106" i="107"/>
  <c r="G1185" i="107"/>
  <c r="G1215" i="107"/>
  <c r="G1207" i="107"/>
  <c r="G1138" i="107"/>
  <c r="G1310" i="107"/>
  <c r="G1339" i="107"/>
  <c r="G1250" i="107"/>
  <c r="H709" i="107"/>
  <c r="H741" i="107"/>
  <c r="H880" i="107"/>
  <c r="H1179" i="107"/>
  <c r="H1311" i="107"/>
  <c r="H1199" i="107"/>
  <c r="G448" i="107"/>
  <c r="G400" i="107"/>
  <c r="G538" i="107"/>
  <c r="G718" i="107"/>
  <c r="G614" i="107"/>
  <c r="G583" i="107"/>
  <c r="G524" i="107"/>
  <c r="G539" i="107"/>
  <c r="G571" i="107"/>
  <c r="G704" i="107"/>
  <c r="G630" i="107"/>
  <c r="G712" i="107"/>
  <c r="G871" i="107"/>
  <c r="G792" i="107"/>
  <c r="G695" i="107"/>
  <c r="G844" i="107"/>
  <c r="G825" i="107"/>
  <c r="G907" i="107"/>
  <c r="G887" i="107"/>
  <c r="G977" i="107"/>
  <c r="G854" i="107"/>
  <c r="G1030" i="107"/>
  <c r="G930" i="107"/>
  <c r="G1228" i="107"/>
  <c r="G1255" i="107"/>
  <c r="G1320" i="107"/>
  <c r="G1114" i="107"/>
  <c r="G1287" i="107"/>
  <c r="G1206" i="107"/>
  <c r="G1247" i="107"/>
  <c r="G1155" i="107"/>
  <c r="G1314" i="107"/>
  <c r="G1220" i="107"/>
  <c r="G1266" i="107"/>
  <c r="H668" i="107"/>
  <c r="H787" i="107"/>
  <c r="H757" i="107"/>
  <c r="H896" i="107"/>
  <c r="H949" i="107"/>
  <c r="H1317" i="107"/>
  <c r="H1233" i="107"/>
  <c r="G410" i="107"/>
  <c r="G358" i="107"/>
  <c r="H699" i="107"/>
  <c r="H707" i="107"/>
  <c r="H788" i="107"/>
  <c r="H978" i="107"/>
  <c r="H981" i="107"/>
  <c r="H1113" i="107"/>
  <c r="H1266" i="107"/>
  <c r="G382" i="107"/>
  <c r="H1267" i="107"/>
  <c r="H1338" i="107"/>
  <c r="H1308" i="107"/>
  <c r="H1105" i="107"/>
  <c r="H1065" i="107"/>
  <c r="H995" i="107"/>
  <c r="H1125" i="107"/>
  <c r="H944" i="107"/>
  <c r="H996" i="107"/>
  <c r="H842" i="107"/>
  <c r="H872" i="107"/>
  <c r="H838" i="107"/>
  <c r="H806" i="107"/>
  <c r="H750" i="107"/>
  <c r="H927" i="107"/>
  <c r="H767" i="107"/>
  <c r="H657" i="107"/>
  <c r="H683" i="107"/>
  <c r="H751" i="107"/>
  <c r="H766" i="107"/>
  <c r="H703" i="107"/>
  <c r="H634" i="107"/>
  <c r="H637" i="107"/>
  <c r="H745" i="107"/>
  <c r="H684" i="107"/>
  <c r="H696" i="107"/>
  <c r="H857" i="107"/>
  <c r="H942" i="107"/>
  <c r="H792" i="107"/>
  <c r="H773" i="107"/>
  <c r="H799" i="107"/>
  <c r="H877" i="107"/>
  <c r="H913" i="107"/>
  <c r="H902" i="107"/>
  <c r="H956" i="107"/>
  <c r="H1076" i="107"/>
  <c r="H1000" i="107"/>
  <c r="H965" i="107"/>
  <c r="H1242" i="107"/>
  <c r="H1090" i="107"/>
  <c r="H1185" i="107"/>
  <c r="H1081" i="107"/>
  <c r="H1163" i="107"/>
  <c r="H1305" i="107"/>
  <c r="H1309" i="107"/>
  <c r="H1250" i="107"/>
  <c r="H1251" i="107"/>
  <c r="H1147" i="107"/>
  <c r="H1126" i="107"/>
  <c r="H1124" i="107"/>
  <c r="H908" i="107"/>
  <c r="H910" i="107"/>
  <c r="H992" i="107"/>
  <c r="H969" i="107"/>
  <c r="H656" i="107"/>
  <c r="H644" i="107"/>
  <c r="H714" i="107"/>
  <c r="H854" i="107"/>
  <c r="H770" i="107"/>
  <c r="H686" i="107"/>
  <c r="H808" i="107"/>
  <c r="H676" i="107"/>
  <c r="H670" i="107"/>
  <c r="H730" i="107"/>
  <c r="H625" i="107"/>
  <c r="H723" i="107"/>
  <c r="H929" i="107"/>
  <c r="H776" i="107"/>
  <c r="H807" i="107"/>
  <c r="H820" i="107"/>
  <c r="H816" i="107"/>
  <c r="H881" i="107"/>
  <c r="H974" i="107"/>
  <c r="H1069" i="107"/>
  <c r="H988" i="107"/>
  <c r="H940" i="107"/>
  <c r="H1035" i="107"/>
  <c r="H997" i="107"/>
  <c r="H1256" i="107"/>
  <c r="H1100" i="107"/>
  <c r="H1201" i="107"/>
  <c r="H1132" i="107"/>
  <c r="H1122" i="107"/>
  <c r="H1337" i="107"/>
  <c r="H1341" i="107"/>
  <c r="H1299" i="107"/>
  <c r="H622" i="107"/>
  <c r="H809" i="107"/>
  <c r="H647" i="107"/>
  <c r="H631" i="107"/>
  <c r="H837" i="107"/>
  <c r="H710" i="107"/>
  <c r="H796" i="107"/>
  <c r="H844" i="107"/>
  <c r="H825" i="107"/>
  <c r="H836" i="107"/>
  <c r="H893" i="107"/>
  <c r="H985" i="107"/>
  <c r="H1036" i="107"/>
  <c r="H952" i="107"/>
  <c r="H1032" i="107"/>
  <c r="H1054" i="107"/>
  <c r="H1013" i="107"/>
  <c r="H1270" i="107"/>
  <c r="H1102" i="107"/>
  <c r="H1207" i="107"/>
  <c r="H1155" i="107"/>
  <c r="H1209" i="107"/>
  <c r="H1188" i="107"/>
  <c r="H1316" i="107"/>
  <c r="H1210" i="107"/>
  <c r="H1180" i="107"/>
  <c r="H1095" i="107"/>
  <c r="H1056" i="107"/>
  <c r="H1055" i="107"/>
  <c r="H999" i="107"/>
  <c r="H935" i="107"/>
  <c r="H1051" i="107"/>
  <c r="H983" i="107"/>
  <c r="H801" i="107"/>
  <c r="H901" i="107"/>
  <c r="H865" i="107"/>
  <c r="H971" i="107"/>
  <c r="H858" i="107"/>
  <c r="H817" i="107"/>
  <c r="H628" i="107"/>
  <c r="H728" i="107"/>
  <c r="H614" i="107"/>
  <c r="H629" i="107"/>
  <c r="H659" i="107"/>
  <c r="H687" i="107"/>
  <c r="H762" i="107"/>
  <c r="H716" i="107"/>
  <c r="H804" i="107"/>
  <c r="H852" i="107"/>
  <c r="H862" i="107"/>
  <c r="H828" i="107"/>
  <c r="H883" i="107"/>
  <c r="H895" i="107"/>
  <c r="H989" i="107"/>
  <c r="H982" i="107"/>
  <c r="H984" i="107"/>
  <c r="H1067" i="107"/>
  <c r="H1059" i="107"/>
  <c r="H1025" i="107"/>
  <c r="H1278" i="107"/>
  <c r="H1104" i="107"/>
  <c r="H1061" i="107"/>
  <c r="H1221" i="107"/>
  <c r="H1172" i="107"/>
  <c r="H1232" i="107"/>
  <c r="H1204" i="107"/>
  <c r="H632" i="107"/>
  <c r="H733" i="107"/>
  <c r="H795" i="107"/>
  <c r="H746" i="107"/>
  <c r="H693" i="107"/>
  <c r="H878" i="107"/>
  <c r="H875" i="107"/>
  <c r="H850" i="107"/>
  <c r="H921" i="107"/>
  <c r="H897" i="107"/>
  <c r="H1018" i="107"/>
  <c r="H1020" i="107"/>
  <c r="H1001" i="107"/>
  <c r="H970" i="107"/>
  <c r="H1156" i="107"/>
  <c r="H1027" i="107"/>
  <c r="H1284" i="107"/>
  <c r="H1106" i="107"/>
  <c r="H1077" i="107"/>
  <c r="H1166" i="107"/>
  <c r="H1182" i="107"/>
  <c r="H1249" i="107"/>
  <c r="H1236" i="107"/>
  <c r="H1324" i="107"/>
  <c r="H1296" i="107"/>
  <c r="H1230" i="107"/>
  <c r="H1283" i="107"/>
  <c r="H1241" i="107"/>
  <c r="H1103" i="107"/>
  <c r="H1040" i="107"/>
  <c r="H967" i="107"/>
  <c r="H764" i="107"/>
  <c r="H785" i="107"/>
  <c r="H861" i="107"/>
  <c r="H856" i="107"/>
  <c r="H734" i="107"/>
  <c r="H829" i="107"/>
  <c r="H704" i="107"/>
  <c r="H744" i="107"/>
  <c r="H724" i="107"/>
  <c r="H756" i="107"/>
  <c r="H778" i="107"/>
  <c r="H646" i="107"/>
  <c r="H739" i="107"/>
  <c r="H645" i="107"/>
  <c r="H749" i="107"/>
  <c r="H802" i="107"/>
  <c r="H811" i="107"/>
  <c r="H964" i="107"/>
  <c r="H853" i="107"/>
  <c r="H939" i="107"/>
  <c r="H980" i="107"/>
  <c r="H1312" i="107"/>
  <c r="H948" i="107"/>
  <c r="H1175" i="107"/>
  <c r="H972" i="107"/>
  <c r="H1195" i="107"/>
  <c r="H1029" i="107"/>
  <c r="H1096" i="107"/>
  <c r="H1114" i="107"/>
  <c r="H1121" i="107"/>
  <c r="H1168" i="107"/>
  <c r="H1189" i="107"/>
  <c r="H1265" i="107"/>
  <c r="H1253" i="107"/>
  <c r="H833" i="107"/>
  <c r="H748" i="107"/>
  <c r="H839" i="107"/>
  <c r="H818" i="107"/>
  <c r="H731" i="107"/>
  <c r="H760" i="107"/>
  <c r="H653" i="107"/>
  <c r="H617" i="107"/>
  <c r="H661" i="107"/>
  <c r="H779" i="107"/>
  <c r="H824" i="107"/>
  <c r="H868" i="107"/>
  <c r="H993" i="107"/>
  <c r="H869" i="107"/>
  <c r="H1005" i="107"/>
  <c r="H866" i="107"/>
  <c r="H911" i="107"/>
  <c r="H1043" i="107"/>
  <c r="H963" i="107"/>
  <c r="H1002" i="107"/>
  <c r="H1203" i="107"/>
  <c r="H1130" i="107"/>
  <c r="H1110" i="107"/>
  <c r="H1118" i="107"/>
  <c r="H1134" i="107"/>
  <c r="H1239" i="107"/>
  <c r="H1211" i="107"/>
  <c r="H1314" i="107"/>
  <c r="H1285" i="107"/>
  <c r="H1331" i="107"/>
  <c r="H1259" i="107"/>
  <c r="H1289" i="107"/>
  <c r="H1181" i="107"/>
  <c r="H1142" i="107"/>
  <c r="H1264" i="107"/>
  <c r="H1111" i="107"/>
  <c r="H1275" i="107"/>
  <c r="H1085" i="107"/>
  <c r="H1078" i="107"/>
  <c r="H892" i="107"/>
  <c r="H1101" i="107"/>
  <c r="H906" i="107"/>
  <c r="H1089" i="107"/>
  <c r="H1006" i="107"/>
  <c r="H960" i="107"/>
  <c r="H732" i="107"/>
  <c r="H793" i="107"/>
  <c r="H898" i="107"/>
  <c r="H753" i="107"/>
  <c r="H630" i="107"/>
  <c r="H860" i="107"/>
  <c r="H675" i="107"/>
  <c r="H765" i="107"/>
  <c r="H666" i="107"/>
  <c r="H677" i="107"/>
  <c r="H797" i="107"/>
  <c r="H832" i="107"/>
  <c r="H914" i="107"/>
  <c r="H803" i="107"/>
  <c r="H926" i="107"/>
  <c r="H912" i="107"/>
  <c r="H1028" i="107"/>
  <c r="H920" i="107"/>
  <c r="H1050" i="107"/>
  <c r="H1012" i="107"/>
  <c r="H1026" i="107"/>
  <c r="H1057" i="107"/>
  <c r="H1197" i="107"/>
  <c r="H1112" i="107"/>
  <c r="H1152" i="107"/>
  <c r="H1150" i="107"/>
  <c r="H1262" i="107"/>
  <c r="H1216" i="107"/>
  <c r="H1302" i="107"/>
  <c r="H1287" i="107"/>
  <c r="H1091" i="107"/>
  <c r="H1187" i="107"/>
  <c r="H968" i="107"/>
  <c r="H1037" i="107"/>
  <c r="H904" i="107"/>
  <c r="H769" i="107"/>
  <c r="H791" i="107"/>
  <c r="H722" i="107"/>
  <c r="H761" i="107"/>
  <c r="H800" i="107"/>
  <c r="H616" i="107"/>
  <c r="H713" i="107"/>
  <c r="H627" i="107"/>
  <c r="H638" i="107"/>
  <c r="H624" i="107"/>
  <c r="H643" i="107"/>
  <c r="H711" i="107"/>
  <c r="H923" i="107"/>
  <c r="H726" i="107"/>
  <c r="H840" i="107"/>
  <c r="H855" i="107"/>
  <c r="H841" i="107"/>
  <c r="H945" i="107"/>
  <c r="H946" i="107"/>
  <c r="H827" i="107"/>
  <c r="H1024" i="107"/>
  <c r="H975" i="107"/>
  <c r="H1071" i="107"/>
  <c r="H1094" i="107"/>
  <c r="H1080" i="107"/>
  <c r="H1224" i="107"/>
  <c r="H1120" i="107"/>
  <c r="H1321" i="107"/>
  <c r="H1171" i="107"/>
  <c r="H1294" i="107"/>
  <c r="H1254" i="107"/>
  <c r="H1258" i="107"/>
  <c r="H1318" i="107"/>
  <c r="H618" i="107"/>
  <c r="H695" i="107"/>
  <c r="H633" i="107"/>
  <c r="H671" i="107"/>
  <c r="H755" i="107"/>
  <c r="H846" i="107"/>
  <c r="H882" i="107"/>
  <c r="H894" i="107"/>
  <c r="H987" i="107"/>
  <c r="H889" i="107"/>
  <c r="H843" i="107"/>
  <c r="H831" i="107"/>
  <c r="H1003" i="107"/>
  <c r="H930" i="107"/>
  <c r="H1217" i="107"/>
  <c r="H1004" i="107"/>
  <c r="H1247" i="107"/>
  <c r="H1144" i="107"/>
  <c r="H1075" i="107"/>
  <c r="H1246" i="107"/>
  <c r="H1327" i="107"/>
  <c r="H1263" i="107"/>
  <c r="H1290" i="107"/>
  <c r="H1304" i="107"/>
  <c r="H1115" i="107"/>
  <c r="H885" i="107"/>
  <c r="H688" i="107"/>
  <c r="H812" i="107"/>
  <c r="H1031" i="107"/>
  <c r="H712" i="107"/>
  <c r="H721" i="107"/>
  <c r="H888" i="107"/>
  <c r="H698" i="107"/>
  <c r="H742" i="107"/>
  <c r="H650" i="107"/>
  <c r="H740" i="107"/>
  <c r="H774" i="107"/>
  <c r="H758" i="107"/>
  <c r="H871" i="107"/>
  <c r="H886" i="107"/>
  <c r="H958" i="107"/>
  <c r="H727" i="107"/>
  <c r="H891" i="107"/>
  <c r="H859" i="107"/>
  <c r="H847" i="107"/>
  <c r="H1034" i="107"/>
  <c r="H932" i="107"/>
  <c r="H1030" i="107"/>
  <c r="H1023" i="107"/>
  <c r="H1038" i="107"/>
  <c r="H1200" i="107"/>
  <c r="H1205" i="107"/>
  <c r="H1252" i="107"/>
  <c r="H1127" i="107"/>
  <c r="H1295" i="107"/>
  <c r="H1307" i="107"/>
  <c r="H1320" i="107"/>
  <c r="H925" i="107"/>
  <c r="H1313" i="107"/>
  <c r="H1238" i="107"/>
  <c r="H1227" i="107"/>
  <c r="H1342" i="107"/>
  <c r="H1194" i="107"/>
  <c r="H1202" i="107"/>
  <c r="H1164" i="107"/>
  <c r="H966" i="107"/>
  <c r="H1044" i="107"/>
  <c r="H941" i="107"/>
  <c r="H916" i="107"/>
  <c r="H673" i="107"/>
  <c r="H717" i="107"/>
  <c r="H706" i="107"/>
  <c r="H789" i="107"/>
  <c r="H729" i="107"/>
  <c r="H623" i="107"/>
  <c r="H680" i="107"/>
  <c r="H620" i="107"/>
  <c r="H678" i="107"/>
  <c r="H663" i="107"/>
  <c r="H715" i="107"/>
  <c r="H662" i="107"/>
  <c r="H692" i="107"/>
  <c r="H772" i="107"/>
  <c r="H900" i="107"/>
  <c r="H890" i="107"/>
  <c r="H979" i="107"/>
  <c r="H743" i="107"/>
  <c r="H953" i="107"/>
  <c r="H915" i="107"/>
  <c r="H863" i="107"/>
  <c r="H1042" i="107"/>
  <c r="H961" i="107"/>
  <c r="H1073" i="107"/>
  <c r="H1060" i="107"/>
  <c r="H1066" i="107"/>
  <c r="H1343" i="107"/>
  <c r="H1052" i="107"/>
  <c r="H1288" i="107"/>
  <c r="H1143" i="107"/>
  <c r="H1319" i="107"/>
  <c r="H1323" i="107"/>
  <c r="H1336" i="107"/>
  <c r="I845" i="107"/>
  <c r="I800" i="107"/>
  <c r="I1323" i="107"/>
  <c r="I748" i="107"/>
  <c r="I711" i="107"/>
  <c r="I732" i="107"/>
  <c r="I642" i="107"/>
  <c r="I927" i="107"/>
  <c r="I756" i="107"/>
  <c r="I1021" i="107"/>
  <c r="I910" i="107"/>
  <c r="I904" i="107"/>
  <c r="I818" i="107"/>
  <c r="I810" i="107"/>
  <c r="I713" i="107"/>
  <c r="I1233" i="107"/>
  <c r="I1157" i="107"/>
  <c r="I1184" i="107"/>
  <c r="I915" i="107"/>
  <c r="I627" i="107"/>
  <c r="I702" i="107"/>
  <c r="I812" i="107"/>
  <c r="I1333" i="107"/>
  <c r="I1065" i="107"/>
  <c r="I775" i="107"/>
  <c r="I1170" i="107"/>
  <c r="I1044" i="107"/>
  <c r="I647" i="107"/>
  <c r="I918" i="107"/>
  <c r="I953" i="107"/>
  <c r="I1259" i="107"/>
  <c r="I776" i="107"/>
  <c r="I680" i="107"/>
  <c r="I944" i="107"/>
  <c r="I907" i="107"/>
  <c r="I801" i="107"/>
  <c r="I1031" i="107"/>
  <c r="I650" i="107"/>
  <c r="I1243" i="107"/>
  <c r="I1006" i="107"/>
  <c r="I747" i="107"/>
  <c r="I1330" i="107"/>
  <c r="I1301" i="107"/>
  <c r="I1152" i="107"/>
  <c r="I1165" i="107"/>
  <c r="I1173" i="107"/>
  <c r="I1213" i="107"/>
  <c r="I1208" i="107"/>
  <c r="I1283" i="107"/>
  <c r="I1234" i="107"/>
  <c r="I1179" i="107"/>
  <c r="I1083" i="107"/>
  <c r="I974" i="107"/>
  <c r="I1227" i="107"/>
  <c r="I1261" i="107"/>
  <c r="I905" i="107"/>
  <c r="I785" i="107"/>
  <c r="I824" i="107"/>
  <c r="I941" i="107"/>
  <c r="I761" i="107"/>
  <c r="I743" i="107"/>
  <c r="I670" i="107"/>
  <c r="I664" i="107"/>
  <c r="I620" i="107"/>
  <c r="I607" i="107"/>
  <c r="I1211" i="107"/>
  <c r="I1341" i="107"/>
  <c r="I1336" i="107"/>
  <c r="I1289" i="107"/>
  <c r="I1252" i="107"/>
  <c r="I1224" i="107"/>
  <c r="I1292" i="107"/>
  <c r="I1137" i="107"/>
  <c r="I935" i="107"/>
  <c r="I887" i="107"/>
  <c r="I951" i="107"/>
  <c r="I889" i="107"/>
  <c r="I1141" i="107"/>
  <c r="I857" i="107"/>
  <c r="I784" i="107"/>
  <c r="I839" i="107"/>
  <c r="I727" i="107"/>
  <c r="I779" i="107"/>
  <c r="I629" i="107"/>
  <c r="I703" i="107"/>
  <c r="I598" i="107"/>
  <c r="I884" i="107"/>
  <c r="I1309" i="107"/>
  <c r="I1134" i="107"/>
  <c r="I1251" i="107"/>
  <c r="I1099" i="107"/>
  <c r="I1105" i="107"/>
  <c r="I961" i="107"/>
  <c r="I1010" i="107"/>
  <c r="I891" i="107"/>
  <c r="I643" i="107"/>
  <c r="I637" i="107"/>
  <c r="I626" i="107"/>
  <c r="I623" i="107"/>
  <c r="I619" i="107"/>
  <c r="I1276" i="107"/>
  <c r="I1304" i="107"/>
  <c r="I1070" i="107"/>
  <c r="I1142" i="107"/>
  <c r="I1175" i="107"/>
  <c r="I1039" i="107"/>
  <c r="I1103" i="107"/>
  <c r="I883" i="107"/>
  <c r="I898" i="107"/>
  <c r="I861" i="107"/>
  <c r="I751" i="107"/>
  <c r="I763" i="107"/>
  <c r="I600" i="107"/>
  <c r="I720" i="107"/>
  <c r="I1327" i="107"/>
  <c r="I1266" i="107"/>
  <c r="I1238" i="107"/>
  <c r="I1324" i="107"/>
  <c r="I1054" i="107"/>
  <c r="I1287" i="107"/>
  <c r="I1126" i="107"/>
  <c r="I1250" i="107"/>
  <c r="I855" i="107"/>
  <c r="I925" i="107"/>
  <c r="I865" i="107"/>
  <c r="I825" i="107"/>
  <c r="I745" i="107"/>
  <c r="I740" i="107"/>
  <c r="I860" i="107"/>
  <c r="I668" i="107"/>
  <c r="I698" i="107"/>
  <c r="I1271" i="107"/>
  <c r="I1194" i="107"/>
  <c r="I1038" i="107"/>
  <c r="I1244" i="107"/>
  <c r="I1108" i="107"/>
  <c r="I1187" i="107"/>
  <c r="I1164" i="107"/>
  <c r="I1117" i="107"/>
  <c r="I1087" i="107"/>
  <c r="I1217" i="107"/>
  <c r="I917" i="107"/>
  <c r="I932" i="107"/>
  <c r="I1037" i="107"/>
  <c r="I994" i="107"/>
  <c r="I814" i="107"/>
  <c r="I696" i="107"/>
  <c r="I728" i="107"/>
  <c r="I782" i="107"/>
  <c r="I786" i="107"/>
  <c r="I870" i="107"/>
  <c r="I794" i="107"/>
  <c r="I652" i="107"/>
  <c r="I603" i="107"/>
  <c r="I942" i="107"/>
  <c r="I899" i="107"/>
  <c r="I796" i="107"/>
  <c r="I759" i="107"/>
  <c r="I1290" i="107"/>
  <c r="I1219" i="107"/>
  <c r="I1206" i="107"/>
  <c r="I909" i="107"/>
  <c r="I788" i="107"/>
  <c r="I721" i="107"/>
  <c r="I849" i="107"/>
  <c r="I750" i="107"/>
  <c r="I916" i="107"/>
  <c r="I614" i="107"/>
  <c r="I1225" i="107"/>
  <c r="I1267" i="107"/>
  <c r="I1322" i="107"/>
  <c r="I1316" i="107"/>
  <c r="I1075" i="107"/>
  <c r="I1230" i="107"/>
  <c r="I1214" i="107"/>
  <c r="I1340" i="107"/>
  <c r="I1275" i="107"/>
  <c r="I989" i="107"/>
  <c r="I1089" i="107"/>
  <c r="I1040" i="107"/>
  <c r="I996" i="107"/>
  <c r="I976" i="107"/>
  <c r="I886" i="107"/>
  <c r="I971" i="107"/>
  <c r="I729" i="107"/>
  <c r="I846" i="107"/>
  <c r="I695" i="107"/>
  <c r="I724" i="107"/>
  <c r="I798" i="107"/>
  <c r="I1268" i="107"/>
  <c r="I1331" i="107"/>
  <c r="I1185" i="107"/>
  <c r="I1156" i="107"/>
  <c r="I1079" i="107"/>
  <c r="I875" i="107"/>
  <c r="I901" i="107"/>
  <c r="I679" i="107"/>
  <c r="I947" i="107"/>
  <c r="I617" i="107"/>
  <c r="I1242" i="107"/>
  <c r="I1235" i="107"/>
  <c r="I1011" i="107"/>
  <c r="I894" i="107"/>
  <c r="I983" i="107"/>
  <c r="I813" i="107"/>
  <c r="I1058" i="107"/>
  <c r="I601" i="107"/>
  <c r="I862" i="107"/>
  <c r="I684" i="107"/>
  <c r="I648" i="107"/>
  <c r="I605" i="107"/>
  <c r="I766" i="107"/>
  <c r="I639" i="107"/>
  <c r="I1294" i="107"/>
  <c r="I1260" i="107"/>
  <c r="I1063" i="107"/>
  <c r="I1047" i="107"/>
  <c r="I1339" i="107"/>
  <c r="I939" i="107"/>
  <c r="I1274" i="107"/>
  <c r="I1278" i="107"/>
  <c r="I1229" i="107"/>
  <c r="I1218" i="107"/>
  <c r="I1059" i="107"/>
  <c r="I1180" i="107"/>
  <c r="I1306" i="107"/>
  <c r="I1043" i="107"/>
  <c r="I995" i="107"/>
  <c r="I957" i="107"/>
  <c r="I991" i="107"/>
  <c r="I967" i="107"/>
  <c r="I930" i="107"/>
  <c r="I840" i="107"/>
  <c r="I955" i="107"/>
  <c r="I760" i="107"/>
  <c r="I835" i="107"/>
  <c r="I851" i="107"/>
  <c r="I610" i="107"/>
  <c r="I666" i="107"/>
  <c r="I716" i="107"/>
  <c r="I789" i="107"/>
  <c r="I609" i="107"/>
  <c r="I749" i="107"/>
  <c r="I1300" i="107"/>
  <c r="I1317" i="107"/>
  <c r="I1190" i="107"/>
  <c r="I836" i="107"/>
  <c r="I1311" i="107"/>
  <c r="I999" i="107"/>
  <c r="I943" i="107"/>
  <c r="I734" i="107"/>
  <c r="I998" i="107"/>
  <c r="I669" i="107"/>
  <c r="I1119" i="107"/>
  <c r="I1069" i="107"/>
  <c r="I1093" i="107"/>
  <c r="I973" i="107"/>
  <c r="I923" i="107"/>
  <c r="I829" i="107"/>
  <c r="I705" i="107"/>
  <c r="I621" i="107"/>
  <c r="I1257" i="107"/>
  <c r="I1195" i="107"/>
  <c r="I1315" i="107"/>
  <c r="I1131" i="107"/>
  <c r="I1284" i="107"/>
  <c r="I1325" i="107"/>
  <c r="I1072" i="107"/>
  <c r="I1115" i="107"/>
  <c r="I1202" i="107"/>
  <c r="I926" i="107"/>
  <c r="I1085" i="107"/>
  <c r="I1055" i="107"/>
  <c r="I990" i="107"/>
  <c r="I1101" i="107"/>
  <c r="I928" i="107"/>
  <c r="I856" i="107"/>
  <c r="I820" i="107"/>
  <c r="I777" i="107"/>
  <c r="I697" i="107"/>
  <c r="I630" i="107"/>
  <c r="I663" i="107"/>
  <c r="I718" i="107"/>
  <c r="I651" i="107"/>
  <c r="I633" i="107"/>
  <c r="I1343" i="107"/>
  <c r="I1262" i="107"/>
  <c r="I1222" i="107"/>
  <c r="I1299" i="107"/>
  <c r="I1273" i="107"/>
  <c r="I1320" i="107"/>
  <c r="I1205" i="107"/>
  <c r="I1007" i="107"/>
  <c r="I969" i="107"/>
  <c r="I833" i="107"/>
  <c r="I873" i="107"/>
  <c r="I687" i="107"/>
  <c r="I604" i="107"/>
  <c r="I612" i="107"/>
  <c r="I636" i="107"/>
  <c r="I842" i="107"/>
  <c r="I1209" i="107"/>
  <c r="I1241" i="107"/>
  <c r="I1332" i="107"/>
  <c r="I1201" i="107"/>
  <c r="I1174" i="107"/>
  <c r="I1338" i="107"/>
  <c r="I1177" i="107"/>
  <c r="I1092" i="107"/>
  <c r="I1291" i="107"/>
  <c r="I1293" i="107"/>
  <c r="I1255" i="107"/>
  <c r="I1140" i="107"/>
  <c r="I1125" i="107"/>
  <c r="I878" i="107"/>
  <c r="I1053" i="107"/>
  <c r="I1022" i="107"/>
  <c r="I1015" i="107"/>
  <c r="I780" i="107"/>
  <c r="I900" i="107"/>
  <c r="I797" i="107"/>
  <c r="I682" i="107"/>
  <c r="I714" i="107"/>
  <c r="I699" i="107"/>
  <c r="I649" i="107"/>
  <c r="I1246" i="107"/>
  <c r="I1258" i="107"/>
  <c r="I1193" i="107"/>
  <c r="I1203" i="107"/>
  <c r="I1308" i="107"/>
  <c r="I1282" i="107"/>
  <c r="I1124" i="107"/>
  <c r="I1056" i="107"/>
  <c r="I958" i="107"/>
  <c r="I985" i="107"/>
  <c r="I987" i="107"/>
  <c r="I764" i="107"/>
  <c r="I792" i="107"/>
  <c r="I931" i="107"/>
  <c r="I882" i="107"/>
  <c r="I992" i="107"/>
  <c r="I817" i="107"/>
  <c r="I808" i="107"/>
  <c r="I922" i="107"/>
  <c r="I712" i="107"/>
  <c r="I793" i="107"/>
  <c r="I744" i="107"/>
  <c r="I888" i="107"/>
  <c r="I654" i="107"/>
  <c r="I635" i="107"/>
  <c r="I616" i="107"/>
  <c r="H1173" i="107"/>
  <c r="H1128" i="107"/>
  <c r="H1116" i="107"/>
  <c r="H1045" i="107"/>
  <c r="H1097" i="107"/>
  <c r="H1191" i="107"/>
  <c r="H1286" i="107"/>
  <c r="H1330" i="107"/>
  <c r="H1220" i="107"/>
  <c r="H1282" i="107"/>
  <c r="H1192" i="107"/>
  <c r="H1335" i="107"/>
  <c r="H1170" i="107"/>
  <c r="H1070" i="107"/>
  <c r="H1148" i="107"/>
  <c r="H1145" i="107"/>
  <c r="H1328" i="107"/>
  <c r="H1274" i="107"/>
  <c r="H1269" i="107"/>
  <c r="H1235" i="107"/>
  <c r="H1086" i="107"/>
  <c r="H1279" i="107"/>
  <c r="H1154" i="107"/>
  <c r="H1198" i="107"/>
  <c r="H1138" i="107"/>
  <c r="H1301" i="107"/>
  <c r="H1339" i="107"/>
  <c r="I1329" i="107"/>
  <c r="I1313" i="107"/>
  <c r="I1296" i="107"/>
  <c r="I1280" i="107"/>
  <c r="I1264" i="107"/>
  <c r="I1248" i="107"/>
  <c r="I1314" i="107"/>
  <c r="I1297" i="107"/>
  <c r="I1281" i="107"/>
  <c r="I1265" i="107"/>
  <c r="I1249" i="107"/>
  <c r="I1337" i="107"/>
  <c r="I1321" i="107"/>
  <c r="I1305" i="107"/>
  <c r="I1288" i="107"/>
  <c r="I1272" i="107"/>
  <c r="I1256" i="107"/>
  <c r="I1239" i="107"/>
  <c r="I1223" i="107"/>
  <c r="I1237" i="107"/>
  <c r="I1204" i="107"/>
  <c r="I1342" i="107"/>
  <c r="I1328" i="107"/>
  <c r="I1319" i="107"/>
  <c r="I1310" i="107"/>
  <c r="I1295" i="107"/>
  <c r="I1286" i="107"/>
  <c r="I1277" i="107"/>
  <c r="I1263" i="107"/>
  <c r="I1254" i="107"/>
  <c r="I1226" i="107"/>
  <c r="I1216" i="107"/>
  <c r="I1199" i="107"/>
  <c r="I1189" i="107"/>
  <c r="I1182" i="107"/>
  <c r="I1172" i="107"/>
  <c r="I1155" i="107"/>
  <c r="I1138" i="107"/>
  <c r="I1122" i="107"/>
  <c r="I1245" i="107"/>
  <c r="I1163" i="107"/>
  <c r="I1145" i="107"/>
  <c r="I1129" i="107"/>
  <c r="I1136" i="107"/>
  <c r="I1318" i="107"/>
  <c r="I1285" i="107"/>
  <c r="I1253" i="107"/>
  <c r="I1236" i="107"/>
  <c r="I1168" i="107"/>
  <c r="I1150" i="107"/>
  <c r="I1232" i="107"/>
  <c r="I1228" i="107"/>
  <c r="I1221" i="107"/>
  <c r="I1188" i="107"/>
  <c r="I1303" i="107"/>
  <c r="I1186" i="107"/>
  <c r="I1198" i="107"/>
  <c r="I1171" i="107"/>
  <c r="I1154" i="107"/>
  <c r="I1121" i="107"/>
  <c r="I1215" i="107"/>
  <c r="I1178" i="107"/>
  <c r="I1077" i="107"/>
  <c r="I1061" i="107"/>
  <c r="I1302" i="107"/>
  <c r="I1220" i="107"/>
  <c r="I1161" i="107"/>
  <c r="I1139" i="107"/>
  <c r="I1123" i="107"/>
  <c r="I1068" i="107"/>
  <c r="I1052" i="107"/>
  <c r="I1036" i="107"/>
  <c r="I1279" i="107"/>
  <c r="I1181" i="107"/>
  <c r="I1231" i="107"/>
  <c r="I1197" i="107"/>
  <c r="I1066" i="107"/>
  <c r="I1335" i="107"/>
  <c r="I1200" i="107"/>
  <c r="I1167" i="107"/>
  <c r="I1144" i="107"/>
  <c r="I1128" i="107"/>
  <c r="I1120" i="107"/>
  <c r="I1112" i="107"/>
  <c r="I1110" i="107"/>
  <c r="I1096" i="107"/>
  <c r="I1094" i="107"/>
  <c r="I1080" i="107"/>
  <c r="I1270" i="107"/>
  <c r="I1196" i="107"/>
  <c r="I1192" i="107"/>
  <c r="I1176" i="107"/>
  <c r="I1160" i="107"/>
  <c r="I1166" i="107"/>
  <c r="I1149" i="107"/>
  <c r="I1146" i="107"/>
  <c r="I1133" i="107"/>
  <c r="I1130" i="107"/>
  <c r="I1207" i="107"/>
  <c r="I1088" i="107"/>
  <c r="I1247" i="107"/>
  <c r="I1050" i="107"/>
  <c r="I1269" i="107"/>
  <c r="I1143" i="107"/>
  <c r="I1111" i="107"/>
  <c r="I1107" i="107"/>
  <c r="I1095" i="107"/>
  <c r="I1060" i="107"/>
  <c r="I1023" i="107"/>
  <c r="I1004" i="107"/>
  <c r="I988" i="107"/>
  <c r="I972" i="107"/>
  <c r="I956" i="107"/>
  <c r="I1057" i="107"/>
  <c r="I1118" i="107"/>
  <c r="I1114" i="107"/>
  <c r="I1106" i="107"/>
  <c r="I1102" i="107"/>
  <c r="I1098" i="107"/>
  <c r="I1091" i="107"/>
  <c r="I1071" i="107"/>
  <c r="I1002" i="107"/>
  <c r="I1212" i="107"/>
  <c r="I1326" i="107"/>
  <c r="I1086" i="107"/>
  <c r="I1169" i="107"/>
  <c r="I1312" i="107"/>
  <c r="I1127" i="107"/>
  <c r="I1113" i="107"/>
  <c r="I1109" i="107"/>
  <c r="I1097" i="107"/>
  <c r="I1082" i="107"/>
  <c r="I1076" i="107"/>
  <c r="I1046" i="107"/>
  <c r="I1041" i="107"/>
  <c r="I1032" i="107"/>
  <c r="I1028" i="107"/>
  <c r="I1026" i="107"/>
  <c r="I1024" i="107"/>
  <c r="I1100" i="107"/>
  <c r="I1049" i="107"/>
  <c r="I1045" i="107"/>
  <c r="I970" i="107"/>
  <c r="I1029" i="107"/>
  <c r="I1191" i="107"/>
  <c r="I1048" i="107"/>
  <c r="I1019" i="107"/>
  <c r="I1081" i="107"/>
  <c r="I1012" i="107"/>
  <c r="I963" i="107"/>
  <c r="I1132" i="107"/>
  <c r="I1025" i="107"/>
  <c r="I1009" i="107"/>
  <c r="I978" i="107"/>
  <c r="I946" i="107"/>
  <c r="I913" i="107"/>
  <c r="I1104" i="107"/>
  <c r="I986" i="107"/>
  <c r="I954" i="107"/>
  <c r="I1162" i="107"/>
  <c r="I1074" i="107"/>
  <c r="I1030" i="107"/>
  <c r="I1027" i="107"/>
  <c r="I977" i="107"/>
  <c r="I1078" i="107"/>
  <c r="I1020" i="107"/>
  <c r="I982" i="107"/>
  <c r="I890" i="107"/>
  <c r="I1084" i="107"/>
  <c r="I1013" i="107"/>
  <c r="I1042" i="107"/>
  <c r="I1008" i="107"/>
  <c r="I966" i="107"/>
  <c r="I936" i="107"/>
  <c r="I920" i="107"/>
  <c r="I911" i="107"/>
  <c r="I872" i="107"/>
  <c r="I854" i="107"/>
  <c r="I838" i="107"/>
  <c r="I822" i="107"/>
  <c r="I1135" i="107"/>
  <c r="I1062" i="107"/>
  <c r="I1035" i="107"/>
  <c r="I1003" i="107"/>
  <c r="I933" i="107"/>
  <c r="I1148" i="107"/>
  <c r="I993" i="107"/>
  <c r="I981" i="107"/>
  <c r="I962" i="107"/>
  <c r="I868" i="107"/>
  <c r="I852" i="107"/>
  <c r="I1090" i="107"/>
  <c r="I1034" i="107"/>
  <c r="I965" i="107"/>
  <c r="I938" i="107"/>
  <c r="I866" i="107"/>
  <c r="I850" i="107"/>
  <c r="I834" i="107"/>
  <c r="I1067" i="107"/>
  <c r="I1017" i="107"/>
  <c r="I984" i="107"/>
  <c r="I1073" i="107"/>
  <c r="I997" i="107"/>
  <c r="I1116" i="107"/>
  <c r="I1033" i="107"/>
  <c r="I949" i="107"/>
  <c r="I940" i="107"/>
  <c r="I924" i="107"/>
  <c r="I1005" i="107"/>
  <c r="I1001" i="107"/>
  <c r="I968" i="107"/>
  <c r="I964" i="107"/>
  <c r="I929" i="107"/>
  <c r="I919" i="107"/>
  <c r="I960" i="107"/>
  <c r="I934" i="107"/>
  <c r="I912" i="107"/>
  <c r="I903" i="107"/>
  <c r="I895" i="107"/>
  <c r="I848" i="107"/>
  <c r="I795" i="107"/>
  <c r="I880" i="107"/>
  <c r="I921" i="107"/>
  <c r="I816" i="107"/>
  <c r="I799" i="107"/>
  <c r="I1183" i="107"/>
  <c r="I980" i="107"/>
  <c r="I952" i="107"/>
  <c r="I945" i="107"/>
  <c r="I876" i="107"/>
  <c r="I863" i="107"/>
  <c r="I831" i="107"/>
  <c r="I1064" i="107"/>
  <c r="I1051" i="107"/>
  <c r="I959" i="107"/>
  <c r="I879" i="107"/>
  <c r="I869" i="107"/>
  <c r="I853" i="107"/>
  <c r="I828" i="107"/>
  <c r="I773" i="107"/>
  <c r="I757" i="107"/>
  <c r="I741" i="107"/>
  <c r="I725" i="107"/>
  <c r="I709" i="107"/>
  <c r="I979" i="107"/>
  <c r="I902" i="107"/>
  <c r="I859" i="107"/>
  <c r="I841" i="107"/>
  <c r="I803" i="107"/>
  <c r="I906" i="107"/>
  <c r="I844" i="107"/>
  <c r="I807" i="107"/>
  <c r="I805" i="107"/>
  <c r="I790" i="107"/>
  <c r="I771" i="107"/>
  <c r="I755" i="107"/>
  <c r="I739" i="107"/>
  <c r="I723" i="107"/>
  <c r="I950" i="107"/>
  <c r="I937" i="107"/>
  <c r="I897" i="107"/>
  <c r="I847" i="107"/>
  <c r="I809" i="107"/>
  <c r="I778" i="107"/>
  <c r="I762" i="107"/>
  <c r="I914" i="107"/>
  <c r="I893" i="107"/>
  <c r="I827" i="107"/>
  <c r="I815" i="107"/>
  <c r="I1000" i="107"/>
  <c r="I885" i="107"/>
  <c r="I881" i="107"/>
  <c r="I871" i="107"/>
  <c r="I858" i="107"/>
  <c r="I843" i="107"/>
  <c r="I832" i="107"/>
  <c r="I802" i="107"/>
  <c r="I783" i="107"/>
  <c r="I774" i="107"/>
  <c r="I948" i="107"/>
  <c r="I864" i="107"/>
  <c r="I804" i="107"/>
  <c r="I877" i="107"/>
  <c r="I908" i="107"/>
  <c r="I753" i="107"/>
  <c r="I710" i="107"/>
  <c r="I896" i="107"/>
  <c r="I867" i="107"/>
  <c r="I769" i="107"/>
  <c r="I765" i="107"/>
  <c r="I719" i="107"/>
  <c r="I678" i="107"/>
  <c r="I662" i="107"/>
  <c r="I646" i="107"/>
  <c r="I819" i="107"/>
  <c r="I772" i="107"/>
  <c r="I758" i="107"/>
  <c r="I726" i="107"/>
  <c r="I688" i="107"/>
  <c r="I874" i="107"/>
  <c r="I746" i="107"/>
  <c r="I837" i="107"/>
  <c r="I707" i="107"/>
  <c r="I690" i="107"/>
  <c r="I640" i="107"/>
  <c r="I787" i="107"/>
  <c r="I768" i="107"/>
  <c r="I752" i="107"/>
  <c r="I694" i="107"/>
  <c r="I692" i="107"/>
  <c r="I892" i="107"/>
  <c r="I830" i="107"/>
  <c r="I737" i="107"/>
  <c r="I975" i="107"/>
  <c r="I823" i="107"/>
  <c r="I791" i="107"/>
  <c r="I685" i="107"/>
  <c r="I677" i="107"/>
  <c r="I675" i="107"/>
  <c r="I673" i="107"/>
  <c r="I661" i="107"/>
  <c r="I659" i="107"/>
  <c r="I657" i="107"/>
  <c r="I806" i="107"/>
  <c r="I811" i="107"/>
  <c r="I781" i="107"/>
  <c r="I754" i="107"/>
  <c r="I742" i="107"/>
  <c r="I1334" i="107"/>
  <c r="I770" i="107"/>
  <c r="I671" i="107"/>
  <c r="I655" i="107"/>
  <c r="I599" i="107"/>
  <c r="I693" i="107"/>
  <c r="I615" i="107"/>
  <c r="I826" i="107"/>
  <c r="I722" i="107"/>
  <c r="I717" i="107"/>
  <c r="I683" i="107"/>
  <c r="I733" i="107"/>
  <c r="I658" i="107"/>
  <c r="I625" i="107"/>
  <c r="I706" i="107"/>
  <c r="I644" i="107"/>
  <c r="I641" i="107"/>
  <c r="I638" i="107"/>
  <c r="I622" i="107"/>
  <c r="I691" i="107"/>
  <c r="I715" i="107"/>
  <c r="I700" i="107"/>
  <c r="I821" i="107"/>
  <c r="I731" i="107"/>
  <c r="I624" i="107"/>
  <c r="I686" i="107"/>
  <c r="I681" i="107"/>
  <c r="I653" i="107"/>
  <c r="I730" i="107"/>
  <c r="I704" i="107"/>
  <c r="I660" i="107"/>
  <c r="I736" i="107"/>
  <c r="I656" i="107"/>
  <c r="I634" i="107"/>
  <c r="I618" i="107"/>
  <c r="I606" i="107"/>
  <c r="I645" i="107"/>
  <c r="I631" i="107"/>
  <c r="I674" i="107"/>
  <c r="I767" i="107"/>
  <c r="I672" i="107"/>
  <c r="I701" i="107"/>
  <c r="I628" i="107"/>
  <c r="I735" i="107"/>
  <c r="I689" i="107"/>
  <c r="I632" i="107"/>
  <c r="I608" i="107"/>
  <c r="I602" i="107"/>
  <c r="I613" i="107"/>
  <c r="I708" i="107"/>
  <c r="I665" i="107"/>
  <c r="I676" i="107"/>
  <c r="T33" i="36" l="1"/>
  <c r="T32" i="36"/>
  <c r="T31" i="36"/>
  <c r="T30" i="36"/>
  <c r="J31" i="36" s="1"/>
  <c r="T29" i="36"/>
  <c r="N31" i="36" s="1"/>
  <c r="T28" i="36"/>
  <c r="AL24" i="82"/>
  <c r="D25" i="60" l="1"/>
  <c r="E29" i="14"/>
  <c r="D198" i="59" l="1"/>
  <c r="C73" i="59"/>
  <c r="K68" i="59"/>
  <c r="AE279" i="105"/>
  <c r="AE277" i="105"/>
  <c r="AE275" i="105"/>
  <c r="AE271" i="105"/>
  <c r="AE269" i="105"/>
  <c r="AE255" i="105"/>
  <c r="AE302" i="105"/>
  <c r="AD210" i="105"/>
  <c r="AO59" i="105"/>
  <c r="AO51" i="105"/>
  <c r="AO34" i="105"/>
  <c r="AO28" i="105"/>
  <c r="AO26" i="105"/>
  <c r="AO24" i="105"/>
  <c r="AO22" i="105"/>
  <c r="AO152" i="105"/>
  <c r="AO151" i="105"/>
  <c r="AO150" i="105"/>
  <c r="AO149" i="105"/>
  <c r="AO148" i="105"/>
  <c r="AH80" i="105"/>
  <c r="AO80" i="105" s="1"/>
  <c r="AO210" i="105"/>
  <c r="AO163" i="105"/>
  <c r="AO173" i="105" s="1"/>
  <c r="AO103" i="105"/>
  <c r="AO100" i="105"/>
  <c r="C66" i="105"/>
  <c r="AD133" i="105"/>
  <c r="AO133" i="105" s="1"/>
  <c r="C213" i="105"/>
  <c r="E318" i="105"/>
  <c r="E315" i="105"/>
  <c r="D299" i="105"/>
  <c r="D298" i="105"/>
  <c r="E285" i="105"/>
  <c r="E282" i="105"/>
  <c r="D252" i="105"/>
  <c r="D251" i="105"/>
  <c r="AM42" i="105"/>
  <c r="W55" i="105" s="1"/>
  <c r="C38" i="105"/>
  <c r="AN34" i="105"/>
  <c r="AN28" i="105"/>
  <c r="AN26" i="105"/>
  <c r="AN24" i="105"/>
  <c r="AN22" i="105"/>
  <c r="AJ245" i="105"/>
  <c r="AH208" i="105"/>
  <c r="AH141" i="105"/>
  <c r="AH138" i="105"/>
  <c r="AH84" i="105"/>
  <c r="AO84" i="105" s="1"/>
  <c r="AH77" i="105"/>
  <c r="AO77" i="105" s="1"/>
  <c r="B69" i="105"/>
  <c r="X13" i="105"/>
  <c r="AJ68" i="105"/>
  <c r="C53" i="105"/>
  <c r="S55" i="105"/>
  <c r="AH40" i="105"/>
  <c r="AH32" i="105"/>
  <c r="A49" i="89"/>
  <c r="AC2" i="105" s="1"/>
  <c r="AC3" i="105"/>
  <c r="T182" i="62"/>
  <c r="T371" i="62"/>
  <c r="AE349" i="62"/>
  <c r="AE348" i="62" s="1"/>
  <c r="AE159" i="62"/>
  <c r="AO160" i="105" l="1"/>
  <c r="W161" i="105" s="1"/>
  <c r="AD162" i="105" s="1"/>
  <c r="AO162" i="105" s="1"/>
  <c r="W106" i="105"/>
  <c r="AD101" i="105"/>
  <c r="W108" i="105"/>
  <c r="W114" i="105"/>
  <c r="AO114" i="105" s="1"/>
  <c r="AO30" i="105"/>
  <c r="AO36" i="105" s="1"/>
  <c r="AO249" i="105" s="1"/>
  <c r="AE249" i="105" s="1"/>
  <c r="W53" i="105"/>
  <c r="AD57" i="105" s="1"/>
  <c r="AC1" i="105"/>
  <c r="AO86" i="105"/>
  <c r="U39" i="36"/>
  <c r="U40" i="36" s="1"/>
  <c r="U41" i="36" s="1"/>
  <c r="U42" i="36" s="1"/>
  <c r="U43" i="36" s="1"/>
  <c r="U44" i="36" s="1"/>
  <c r="U28" i="36"/>
  <c r="U29" i="36" s="1"/>
  <c r="U18" i="36"/>
  <c r="U19" i="36" s="1"/>
  <c r="U20" i="36" s="1"/>
  <c r="U21" i="36" s="1"/>
  <c r="U22" i="36" s="1"/>
  <c r="U23" i="36" s="1"/>
  <c r="U8" i="36"/>
  <c r="U9" i="36" s="1"/>
  <c r="U10" i="36" s="1"/>
  <c r="U11" i="36" s="1"/>
  <c r="U12" i="36" s="1"/>
  <c r="U13" i="36" s="1"/>
  <c r="AO101" i="105" l="1"/>
  <c r="W115" i="105"/>
  <c r="W116" i="105" s="1"/>
  <c r="AD117" i="105" s="1"/>
  <c r="AO117" i="105" s="1"/>
  <c r="U30" i="36"/>
  <c r="U31" i="36" s="1"/>
  <c r="U32" i="36" s="1"/>
  <c r="U33" i="36" s="1"/>
  <c r="O31" i="36"/>
  <c r="P31" i="36" s="1"/>
  <c r="L31" i="36" s="1"/>
  <c r="AD36" i="105"/>
  <c r="AD38" i="105" s="1"/>
  <c r="AL43" i="105"/>
  <c r="AO61" i="105"/>
  <c r="AH91" i="105"/>
  <c r="AO91" i="105" s="1"/>
  <c r="AD89" i="79"/>
  <c r="AD61" i="105" l="1"/>
  <c r="AO136" i="105"/>
  <c r="AO32" i="79"/>
  <c r="AO30" i="79"/>
  <c r="AO24" i="79"/>
  <c r="AO19" i="79"/>
  <c r="AO18" i="79"/>
  <c r="AO15" i="79"/>
  <c r="BI15" i="2" l="1"/>
  <c r="L90" i="2" l="1"/>
  <c r="L88" i="2"/>
  <c r="AL211" i="74"/>
  <c r="AL90" i="74"/>
  <c r="J78" i="37" l="1"/>
  <c r="R8" i="98" s="1"/>
  <c r="BG372" i="74"/>
  <c r="BG247" i="74"/>
  <c r="H42" i="99"/>
  <c r="H41" i="99"/>
  <c r="H40" i="99"/>
  <c r="H39" i="99"/>
  <c r="H38" i="99"/>
  <c r="H37" i="99"/>
  <c r="H36" i="99"/>
  <c r="H35" i="99"/>
  <c r="T38" i="99"/>
  <c r="T37" i="99"/>
  <c r="T36" i="99"/>
  <c r="P41" i="99"/>
  <c r="P40" i="99"/>
  <c r="P39" i="99"/>
  <c r="P38" i="99"/>
  <c r="P37" i="99"/>
  <c r="P36" i="99"/>
  <c r="P35" i="99"/>
  <c r="L42" i="99"/>
  <c r="L41" i="99"/>
  <c r="L40" i="99"/>
  <c r="L36" i="99"/>
  <c r="L37" i="99"/>
  <c r="L38" i="99"/>
  <c r="L39" i="99"/>
  <c r="L35" i="99"/>
  <c r="T35" i="99"/>
  <c r="T34" i="99"/>
  <c r="P34" i="99"/>
  <c r="L34" i="99"/>
  <c r="H34" i="99"/>
  <c r="R79" i="37" l="1"/>
  <c r="AE52" i="37" s="1" a="1"/>
  <c r="AE52" i="37" s="1"/>
  <c r="AC56" i="37" s="1"/>
  <c r="AQ79" i="58"/>
  <c r="P69" i="3" l="1"/>
  <c r="P74" i="3" s="1"/>
  <c r="P80" i="3" l="1"/>
  <c r="P56" i="3"/>
  <c r="P78" i="3"/>
  <c r="P76" i="3"/>
  <c r="P77" i="3"/>
  <c r="P75" i="3"/>
  <c r="P79" i="3"/>
  <c r="T73" i="3"/>
  <c r="N180" i="68" l="1"/>
  <c r="N181" i="68"/>
  <c r="N182" i="68"/>
  <c r="N183" i="68"/>
  <c r="N184" i="68"/>
  <c r="N185" i="68"/>
  <c r="N186" i="68"/>
  <c r="N187" i="68"/>
  <c r="N188" i="68"/>
  <c r="N189" i="68"/>
  <c r="N190" i="68"/>
  <c r="N191" i="68"/>
  <c r="N192" i="68"/>
  <c r="N193" i="68"/>
  <c r="N194" i="68"/>
  <c r="N195" i="68"/>
  <c r="N196" i="68"/>
  <c r="N197" i="68"/>
  <c r="N198" i="68"/>
  <c r="N199" i="68"/>
  <c r="N200" i="68"/>
  <c r="N201" i="68"/>
  <c r="N202" i="68"/>
  <c r="N203" i="68"/>
  <c r="N204" i="68"/>
  <c r="N205" i="68"/>
  <c r="N206" i="68"/>
  <c r="N207" i="68"/>
  <c r="N208" i="68"/>
  <c r="N209" i="68"/>
  <c r="N210" i="68"/>
  <c r="N211" i="68"/>
  <c r="N212" i="68"/>
  <c r="N213" i="68"/>
  <c r="N214" i="68"/>
  <c r="N215" i="68"/>
  <c r="N216" i="68"/>
  <c r="N217" i="68"/>
  <c r="N218" i="68"/>
  <c r="N219" i="68"/>
  <c r="N220" i="68"/>
  <c r="N221" i="68"/>
  <c r="N222" i="68"/>
  <c r="N223" i="68"/>
  <c r="N224" i="68"/>
  <c r="N225" i="68"/>
  <c r="N226" i="68"/>
  <c r="N227" i="68"/>
  <c r="N228" i="68"/>
  <c r="N229" i="68"/>
  <c r="N230" i="68"/>
  <c r="N231" i="68"/>
  <c r="N232" i="68"/>
  <c r="N233" i="68"/>
  <c r="N234" i="68"/>
  <c r="N179" i="68"/>
  <c r="AB123" i="68"/>
  <c r="AH51" i="68" l="1"/>
  <c r="AH46" i="68"/>
  <c r="Y196" i="68"/>
  <c r="Y197" i="68"/>
  <c r="Y198" i="68"/>
  <c r="Y199" i="68"/>
  <c r="Y200" i="68"/>
  <c r="Y201" i="68"/>
  <c r="Y202" i="68"/>
  <c r="Y203" i="68"/>
  <c r="Y204" i="68"/>
  <c r="Y205" i="68"/>
  <c r="Y206" i="68"/>
  <c r="Y207" i="68"/>
  <c r="Y208" i="68"/>
  <c r="Y209" i="68"/>
  <c r="Y210" i="68"/>
  <c r="Y211" i="68"/>
  <c r="Y212" i="68"/>
  <c r="Y213" i="68"/>
  <c r="Y214" i="68"/>
  <c r="Y215" i="68"/>
  <c r="Y216" i="68"/>
  <c r="Y217" i="68"/>
  <c r="Y218" i="68"/>
  <c r="Y219" i="68"/>
  <c r="Y220" i="68"/>
  <c r="Y221" i="68"/>
  <c r="Y222" i="68"/>
  <c r="Y223" i="68"/>
  <c r="Y224" i="68"/>
  <c r="Y225" i="68"/>
  <c r="Y226" i="68"/>
  <c r="Y227" i="68"/>
  <c r="Y228" i="68"/>
  <c r="Y229" i="68"/>
  <c r="Y230" i="68"/>
  <c r="Y231" i="68"/>
  <c r="Y232" i="68"/>
  <c r="Y233" i="68"/>
  <c r="Y181" i="68"/>
  <c r="Y182" i="68"/>
  <c r="Y183" i="68"/>
  <c r="Y184" i="68"/>
  <c r="Y185" i="68"/>
  <c r="Y186" i="68"/>
  <c r="Y187" i="68"/>
  <c r="Y188" i="68"/>
  <c r="Y189" i="68"/>
  <c r="Y190" i="68"/>
  <c r="Y191" i="68"/>
  <c r="Y192" i="68"/>
  <c r="Y193" i="68"/>
  <c r="Y194" i="68"/>
  <c r="Y195" i="68"/>
  <c r="Q178" i="68"/>
  <c r="U178" i="68"/>
  <c r="N178" i="68"/>
  <c r="AO132" i="103" l="1"/>
  <c r="AL124" i="103"/>
  <c r="AK124" i="103"/>
  <c r="AK123" i="103" l="1"/>
  <c r="D212" i="91"/>
  <c r="D86" i="100" l="1"/>
  <c r="D224" i="60"/>
  <c r="D223" i="60"/>
  <c r="I26" i="63"/>
  <c r="D11" i="63"/>
  <c r="D10" i="63"/>
  <c r="M41" i="43" l="1"/>
  <c r="AX41" i="43" l="1"/>
  <c r="AW41" i="43"/>
  <c r="AY41" i="43"/>
  <c r="AD8" i="59"/>
  <c r="AD9" i="59"/>
  <c r="AD10" i="59"/>
  <c r="V200" i="59"/>
  <c r="C59" i="59"/>
  <c r="B32" i="59"/>
  <c r="B31" i="59"/>
  <c r="C12" i="59"/>
  <c r="AO60" i="78"/>
  <c r="AO61" i="78"/>
  <c r="C38" i="52" l="1"/>
  <c r="AM22" i="102" l="1"/>
  <c r="C92" i="71"/>
  <c r="C91" i="71"/>
  <c r="C32" i="71"/>
  <c r="C31" i="71"/>
  <c r="D89" i="23"/>
  <c r="X29" i="23"/>
  <c r="D29" i="23"/>
  <c r="Z30" i="56"/>
  <c r="D145" i="84"/>
  <c r="Y8" i="37"/>
  <c r="Y7" i="37"/>
  <c r="Y4" i="37"/>
  <c r="G158" i="76"/>
  <c r="G150" i="76"/>
  <c r="K155" i="76"/>
  <c r="AA160" i="76"/>
  <c r="G141" i="76"/>
  <c r="AE101" i="76"/>
  <c r="AC33" i="80"/>
  <c r="AC20" i="80"/>
  <c r="AC22" i="80"/>
  <c r="AC23" i="80"/>
  <c r="AE100" i="76" s="1"/>
  <c r="AC24" i="80"/>
  <c r="AC25" i="80"/>
  <c r="AC26" i="80"/>
  <c r="AC27" i="80"/>
  <c r="AC28" i="80"/>
  <c r="AC29" i="80"/>
  <c r="AC30" i="80"/>
  <c r="AE102" i="76" s="1"/>
  <c r="AC18" i="80"/>
  <c r="B40" i="13"/>
  <c r="B17" i="12"/>
  <c r="R18" i="12"/>
  <c r="T18" i="12"/>
  <c r="B8" i="12"/>
  <c r="Q25" i="99" l="1"/>
  <c r="D36" i="99"/>
  <c r="D37" i="99"/>
  <c r="D38" i="99"/>
  <c r="D39" i="99"/>
  <c r="D40" i="99"/>
  <c r="D41" i="99"/>
  <c r="D42" i="99"/>
  <c r="D43" i="99"/>
  <c r="D35" i="99"/>
  <c r="E63" i="97" l="1"/>
  <c r="D146" i="62" l="1"/>
  <c r="D335" i="62"/>
  <c r="C131" i="5" l="1"/>
  <c r="C17" i="5"/>
  <c r="C3" i="4"/>
  <c r="F68" i="4"/>
  <c r="T45" i="3" l="1"/>
  <c r="AL49" i="80"/>
  <c r="AL46" i="80"/>
  <c r="AL45" i="80"/>
  <c r="B5" i="2"/>
  <c r="AM64" i="97"/>
  <c r="AE61" i="97" s="1"/>
  <c r="AO54" i="102" l="1"/>
  <c r="Z39" i="102" s="1"/>
  <c r="Q91" i="43"/>
  <c r="J91" i="43"/>
  <c r="M91" i="43"/>
  <c r="U91" i="43"/>
  <c r="AO119" i="102"/>
  <c r="AO137" i="102"/>
  <c r="Q137" i="102" s="1"/>
  <c r="AO128" i="102"/>
  <c r="Q128" i="102" s="1"/>
  <c r="AU91" i="43" l="1"/>
  <c r="AT91" i="43"/>
  <c r="AS91" i="43"/>
  <c r="AY91" i="43"/>
  <c r="AX91" i="43"/>
  <c r="AW91" i="43"/>
  <c r="AO139" i="102"/>
  <c r="AU56" i="102"/>
  <c r="AL88" i="102"/>
  <c r="AL89" i="102"/>
  <c r="AL90" i="102"/>
  <c r="AL91" i="102"/>
  <c r="AL87" i="102"/>
  <c r="BC91" i="43" l="1"/>
  <c r="BB91" i="43"/>
  <c r="BA91" i="43"/>
  <c r="AZ91" i="43" s="1"/>
  <c r="AL76" i="102"/>
  <c r="AL77" i="102"/>
  <c r="AL78" i="102"/>
  <c r="AL79" i="102"/>
  <c r="AL75" i="102"/>
  <c r="F52" i="89"/>
  <c r="A52" i="89"/>
  <c r="V68" i="102"/>
  <c r="R68" i="102"/>
  <c r="N68" i="102"/>
  <c r="V54" i="102"/>
  <c r="R54" i="102"/>
  <c r="N54" i="102"/>
  <c r="AA50" i="102"/>
  <c r="AF50" i="102"/>
  <c r="AA51" i="102"/>
  <c r="AF51" i="102"/>
  <c r="AA52" i="102"/>
  <c r="AF52" i="102"/>
  <c r="AA53" i="102"/>
  <c r="AF53" i="102"/>
  <c r="AF49" i="102"/>
  <c r="AA49" i="102"/>
  <c r="AF67" i="102"/>
  <c r="AF66" i="102"/>
  <c r="AF65" i="102"/>
  <c r="AF63" i="102"/>
  <c r="AF64" i="102"/>
  <c r="AA63" i="102"/>
  <c r="AA64" i="102"/>
  <c r="AA65" i="102"/>
  <c r="AA66" i="102"/>
  <c r="AA67" i="102"/>
  <c r="Y105" i="102"/>
  <c r="S105" i="102"/>
  <c r="AL100" i="102"/>
  <c r="AL101" i="102"/>
  <c r="AL102" i="102"/>
  <c r="AL103" i="102"/>
  <c r="AL99" i="102"/>
  <c r="AG91" i="43" l="1"/>
  <c r="N55" i="102"/>
  <c r="X13" i="102" s="1"/>
  <c r="R55" i="102"/>
  <c r="Y14" i="102" s="1"/>
  <c r="AE14" i="102" s="1"/>
  <c r="V55" i="102"/>
  <c r="Y15" i="102" s="1"/>
  <c r="AE15" i="102" s="1"/>
  <c r="N69" i="102"/>
  <c r="X18" i="102" s="1"/>
  <c r="R69" i="102"/>
  <c r="Y19" i="102" s="1"/>
  <c r="AO20" i="102" s="1"/>
  <c r="V69" i="102"/>
  <c r="Y20" i="102" s="1"/>
  <c r="AE20" i="102" s="1"/>
  <c r="AL80" i="102"/>
  <c r="AL104" i="102"/>
  <c r="AE105" i="102" s="1"/>
  <c r="AJ140" i="102"/>
  <c r="B107" i="102"/>
  <c r="AJ106" i="102"/>
  <c r="AO16" i="102" l="1"/>
  <c r="AO21" i="102" s="1"/>
  <c r="AE41" i="102" s="1"/>
  <c r="AE19" i="102"/>
  <c r="AE13" i="102"/>
  <c r="AE16" i="102"/>
  <c r="AE17" i="102" s="1"/>
  <c r="AE18" i="102"/>
  <c r="AE24" i="102" l="1"/>
  <c r="AE21" i="102"/>
  <c r="AE22" i="102" s="1"/>
  <c r="AO26" i="102"/>
  <c r="B57" i="102"/>
  <c r="D42" i="102"/>
  <c r="E9" i="102"/>
  <c r="D38" i="102"/>
  <c r="AO34" i="102"/>
  <c r="D33" i="102" s="1"/>
  <c r="AC3" i="102"/>
  <c r="AJ5" i="23"/>
  <c r="AS25" i="97"/>
  <c r="AO22" i="102" l="1"/>
  <c r="H23" i="102" s="1"/>
  <c r="AE91" i="102"/>
  <c r="AE90" i="102"/>
  <c r="AE89" i="102"/>
  <c r="AE88" i="102"/>
  <c r="AE87" i="102"/>
  <c r="AU90" i="102"/>
  <c r="AO27" i="102"/>
  <c r="AU86" i="102"/>
  <c r="U3" i="37"/>
  <c r="T2" i="37"/>
  <c r="T12" i="37" s="1"/>
  <c r="U6" i="37"/>
  <c r="U5" i="37"/>
  <c r="U4" i="37"/>
  <c r="AE25" i="102" l="1"/>
  <c r="AU37" i="102"/>
  <c r="AO39" i="102"/>
  <c r="AO40" i="102" s="1"/>
  <c r="AU49" i="102" s="1"/>
  <c r="AU43" i="97"/>
  <c r="AT42" i="97"/>
  <c r="AT40" i="97"/>
  <c r="AT37" i="97"/>
  <c r="AT34" i="97"/>
  <c r="AT43" i="97"/>
  <c r="AU52" i="102" l="1"/>
  <c r="AU61" i="102"/>
  <c r="AU57" i="102"/>
  <c r="AU51" i="102"/>
  <c r="AU47" i="102"/>
  <c r="AS43" i="97"/>
  <c r="P159" i="62" l="1"/>
  <c r="AE147" i="62"/>
  <c r="Y147" i="98"/>
  <c r="Y150" i="98"/>
  <c r="Y156" i="98"/>
  <c r="Y159" i="98"/>
  <c r="AH102" i="37"/>
  <c r="AH105" i="37"/>
  <c r="AH111" i="37"/>
  <c r="AH114" i="37"/>
  <c r="AE336" i="62" l="1"/>
  <c r="P348" i="62"/>
  <c r="AO194" i="62"/>
  <c r="AO193" i="62"/>
  <c r="AO5" i="62"/>
  <c r="AO4" i="62"/>
  <c r="AJ379" i="62"/>
  <c r="D374" i="62"/>
  <c r="D372" i="62"/>
  <c r="AN354" i="62"/>
  <c r="AN353" i="62"/>
  <c r="E353" i="62"/>
  <c r="AL352" i="62"/>
  <c r="E351" i="62"/>
  <c r="D348" i="62"/>
  <c r="D327" i="62"/>
  <c r="AM327" i="62" s="1"/>
  <c r="AM325" i="62"/>
  <c r="B320" i="62"/>
  <c r="AI319" i="62"/>
  <c r="W317" i="62"/>
  <c r="AE310" i="62"/>
  <c r="AE314" i="62" s="1"/>
  <c r="AE318" i="62" s="1"/>
  <c r="AO323" i="62" s="1"/>
  <c r="B286" i="62"/>
  <c r="C284" i="62"/>
  <c r="B280" i="62"/>
  <c r="X275" i="62"/>
  <c r="X274" i="62"/>
  <c r="X273" i="62"/>
  <c r="X272" i="62"/>
  <c r="B261" i="62"/>
  <c r="AJ260" i="62"/>
  <c r="AA249" i="62"/>
  <c r="J249" i="62"/>
  <c r="AA248" i="62"/>
  <c r="J248" i="62"/>
  <c r="AA247" i="62"/>
  <c r="J247" i="62"/>
  <c r="AA246" i="62"/>
  <c r="J246" i="62"/>
  <c r="AC192" i="62"/>
  <c r="P34" i="33"/>
  <c r="P31" i="33"/>
  <c r="P29" i="33"/>
  <c r="R37" i="33"/>
  <c r="R36" i="33"/>
  <c r="R35" i="33"/>
  <c r="R34" i="33"/>
  <c r="R33" i="33"/>
  <c r="R32" i="33"/>
  <c r="R31" i="33"/>
  <c r="R30" i="33"/>
  <c r="R29" i="33"/>
  <c r="R28" i="33"/>
  <c r="R27" i="33"/>
  <c r="R26" i="33"/>
  <c r="R25" i="33"/>
  <c r="R24" i="33"/>
  <c r="R22" i="33"/>
  <c r="R21" i="33"/>
  <c r="R20" i="33"/>
  <c r="R19" i="33"/>
  <c r="H70" i="1"/>
  <c r="G70" i="1"/>
  <c r="F70" i="1"/>
  <c r="E70" i="1"/>
  <c r="D70" i="1"/>
  <c r="C70" i="1"/>
  <c r="I43" i="1"/>
  <c r="D33" i="1"/>
  <c r="E33" i="1"/>
  <c r="F33" i="1"/>
  <c r="AE323" i="62" l="1"/>
  <c r="AO382" i="62"/>
  <c r="AO385" i="62" s="1"/>
  <c r="P35" i="33"/>
  <c r="AO383" i="62"/>
  <c r="AE174" i="62"/>
  <c r="AE362" i="62"/>
  <c r="AM383" i="62"/>
  <c r="AM386" i="62" s="1"/>
  <c r="AM382" i="62"/>
  <c r="AE337" i="62"/>
  <c r="AE339" i="62" s="1"/>
  <c r="W336" i="62"/>
  <c r="AE334" i="62"/>
  <c r="I70" i="1"/>
  <c r="AO391" i="62" l="1"/>
  <c r="AO397" i="62"/>
  <c r="AM398" i="62"/>
  <c r="AM392" i="62"/>
  <c r="AO339" i="62"/>
  <c r="AM339" i="62"/>
  <c r="J35" i="1"/>
  <c r="J34" i="1"/>
  <c r="AE107" i="70"/>
  <c r="AD107" i="70"/>
  <c r="AC107" i="70"/>
  <c r="AB107" i="70"/>
  <c r="AA107" i="70"/>
  <c r="AF78" i="70"/>
  <c r="AE78" i="70"/>
  <c r="AD78" i="70"/>
  <c r="AC78" i="70"/>
  <c r="AB78" i="70"/>
  <c r="AA78" i="70"/>
  <c r="AF49" i="70"/>
  <c r="AE49" i="70"/>
  <c r="AD49" i="70"/>
  <c r="AC49" i="70"/>
  <c r="AB49" i="70"/>
  <c r="AA49" i="70"/>
  <c r="AF20" i="70"/>
  <c r="AE20" i="70"/>
  <c r="AD20" i="70"/>
  <c r="AC20" i="70"/>
  <c r="AB20" i="70"/>
  <c r="AA20" i="70"/>
  <c r="AA94" i="70"/>
  <c r="AA95" i="70"/>
  <c r="AA96" i="70"/>
  <c r="AA97" i="70"/>
  <c r="AA98" i="70"/>
  <c r="AA99" i="70"/>
  <c r="AA100" i="70"/>
  <c r="AA101" i="70"/>
  <c r="AA102" i="70"/>
  <c r="AA103" i="70"/>
  <c r="AA104" i="70"/>
  <c r="AA105" i="70"/>
  <c r="AA106" i="70"/>
  <c r="AA108" i="70"/>
  <c r="AA109" i="70"/>
  <c r="AA110" i="70"/>
  <c r="AA111" i="70"/>
  <c r="AA112" i="70"/>
  <c r="AA93" i="70"/>
  <c r="AA83" i="70"/>
  <c r="AA82" i="70"/>
  <c r="AA81" i="70"/>
  <c r="AA80" i="70"/>
  <c r="AA79" i="70"/>
  <c r="AA77" i="70"/>
  <c r="AA76" i="70"/>
  <c r="AA75" i="70"/>
  <c r="AA74" i="70"/>
  <c r="AA73" i="70"/>
  <c r="AA72" i="70"/>
  <c r="AA71" i="70"/>
  <c r="AA70" i="70"/>
  <c r="AA69" i="70"/>
  <c r="AA68" i="70"/>
  <c r="AA67" i="70"/>
  <c r="AA66" i="70"/>
  <c r="AA65" i="70"/>
  <c r="AA64" i="70"/>
  <c r="AA39" i="70"/>
  <c r="AA40" i="70"/>
  <c r="AA41" i="70"/>
  <c r="AA42" i="70"/>
  <c r="AA43" i="70"/>
  <c r="AA44" i="70"/>
  <c r="AA45" i="70"/>
  <c r="AA46" i="70"/>
  <c r="AA47" i="70"/>
  <c r="AA48" i="70"/>
  <c r="AA50" i="70"/>
  <c r="AA51" i="70"/>
  <c r="AA52" i="70"/>
  <c r="AA53" i="70"/>
  <c r="AA54" i="70"/>
  <c r="AA38" i="70"/>
  <c r="AA37" i="70"/>
  <c r="AA36" i="70"/>
  <c r="AA35" i="70"/>
  <c r="AA23" i="70"/>
  <c r="AA24" i="70"/>
  <c r="AA25" i="70"/>
  <c r="AA7" i="70"/>
  <c r="AA8" i="70"/>
  <c r="AA9" i="70"/>
  <c r="AA10" i="70"/>
  <c r="AA11" i="70"/>
  <c r="AA12" i="70"/>
  <c r="AA13" i="70"/>
  <c r="AA14" i="70"/>
  <c r="AA15" i="70"/>
  <c r="AA16" i="70"/>
  <c r="AA17" i="70"/>
  <c r="AA18" i="70"/>
  <c r="AA19" i="70"/>
  <c r="AA21" i="70"/>
  <c r="AA22" i="70"/>
  <c r="AA6" i="70"/>
  <c r="AE344" i="62" l="1"/>
  <c r="AH342" i="62"/>
  <c r="B35" i="1"/>
  <c r="B72" i="1"/>
  <c r="D34" i="1"/>
  <c r="B71" i="1"/>
  <c r="B34" i="1"/>
  <c r="F34" i="1"/>
  <c r="E34" i="1"/>
  <c r="F17" i="89"/>
  <c r="A17" i="89"/>
  <c r="A67" i="100"/>
  <c r="A66" i="100"/>
  <c r="A49" i="100"/>
  <c r="A48" i="100"/>
  <c r="L48" i="100" s="1"/>
  <c r="A43" i="100"/>
  <c r="H41" i="100"/>
  <c r="A41" i="100"/>
  <c r="H39" i="100"/>
  <c r="A39" i="100"/>
  <c r="H37" i="100"/>
  <c r="A37" i="100"/>
  <c r="A35" i="100"/>
  <c r="A34" i="100"/>
  <c r="A32" i="100"/>
  <c r="H30" i="100"/>
  <c r="H29" i="100"/>
  <c r="A29" i="100"/>
  <c r="G24" i="100"/>
  <c r="A19" i="100"/>
  <c r="A18" i="100"/>
  <c r="H72" i="1"/>
  <c r="G72" i="1"/>
  <c r="F72" i="1"/>
  <c r="E72" i="1"/>
  <c r="D72" i="1"/>
  <c r="C72" i="1"/>
  <c r="H71" i="1"/>
  <c r="G71" i="1"/>
  <c r="F71" i="1"/>
  <c r="E71" i="1"/>
  <c r="D71" i="1"/>
  <c r="C71" i="1"/>
  <c r="I68" i="1"/>
  <c r="N4" i="1"/>
  <c r="N40" i="1"/>
  <c r="N44" i="1" s="1"/>
  <c r="N45" i="1" s="1"/>
  <c r="N65" i="1"/>
  <c r="AO190" i="59"/>
  <c r="AM190" i="59"/>
  <c r="AK63" i="59"/>
  <c r="AI63" i="59"/>
  <c r="L1" i="1"/>
  <c r="J43" i="1" s="1"/>
  <c r="L43" i="1" l="1"/>
  <c r="M43" i="1"/>
  <c r="C73" i="1" s="1"/>
  <c r="I71" i="1"/>
  <c r="AE345" i="62"/>
  <c r="AO344" i="62"/>
  <c r="AO349" i="62"/>
  <c r="I72" i="1"/>
  <c r="L62" i="1" s="1"/>
  <c r="A27" i="100"/>
  <c r="N66" i="1"/>
  <c r="A28" i="100"/>
  <c r="N41" i="1"/>
  <c r="N42" i="1"/>
  <c r="N43" i="1"/>
  <c r="K23" i="71"/>
  <c r="A13" i="100" l="1"/>
  <c r="A64" i="100"/>
  <c r="D64" i="100" s="1"/>
  <c r="K27" i="100"/>
  <c r="A46" i="100"/>
  <c r="D27" i="100"/>
  <c r="P21" i="33"/>
  <c r="P32" i="33" s="1"/>
  <c r="G45" i="33"/>
  <c r="H69" i="100" l="1"/>
  <c r="P46" i="100"/>
  <c r="D46" i="100"/>
  <c r="H50" i="100"/>
  <c r="Q66" i="100"/>
  <c r="S64" i="100"/>
  <c r="D13" i="100"/>
  <c r="A9" i="100"/>
  <c r="C9" i="100" s="1"/>
  <c r="C202" i="59" l="1"/>
  <c r="D199" i="59"/>
  <c r="D197" i="59"/>
  <c r="D195" i="59"/>
  <c r="D192" i="59"/>
  <c r="G88" i="15"/>
  <c r="D340" i="60"/>
  <c r="D337" i="60"/>
  <c r="AC25" i="78"/>
  <c r="AC45" i="78"/>
  <c r="AC42" i="78"/>
  <c r="D180" i="60"/>
  <c r="D177" i="60"/>
  <c r="D183" i="60"/>
  <c r="D182" i="60"/>
  <c r="B11" i="82"/>
  <c r="AM13" i="58"/>
  <c r="AM15" i="58" s="1"/>
  <c r="AQ55" i="58" l="1"/>
  <c r="L60" i="71"/>
  <c r="L120" i="71"/>
  <c r="C89" i="59" l="1"/>
  <c r="Y14" i="36" l="1"/>
  <c r="C20" i="71" l="1"/>
  <c r="C19" i="71"/>
  <c r="E265" i="90" l="1"/>
  <c r="E207" i="90"/>
  <c r="E149" i="90"/>
  <c r="E91" i="90"/>
  <c r="E270" i="90"/>
  <c r="D178" i="91"/>
  <c r="Y55" i="91"/>
  <c r="M61" i="91"/>
  <c r="D66" i="91"/>
  <c r="B63" i="91"/>
  <c r="I81" i="91"/>
  <c r="Y91" i="91"/>
  <c r="AE93" i="91"/>
  <c r="I103" i="91"/>
  <c r="AJ118" i="91"/>
  <c r="AC120" i="91"/>
  <c r="B124" i="91"/>
  <c r="AF108" i="43"/>
  <c r="Y13" i="99" l="1"/>
  <c r="D26" i="23"/>
  <c r="D86" i="23"/>
  <c r="AS67" i="97"/>
  <c r="AS66" i="97"/>
  <c r="AS65" i="97"/>
  <c r="AS64" i="97"/>
  <c r="AS63" i="97"/>
  <c r="AS62" i="97"/>
  <c r="AS61" i="97"/>
  <c r="AS60" i="97"/>
  <c r="AS59" i="97"/>
  <c r="AS58" i="97"/>
  <c r="AS57" i="97"/>
  <c r="AS56" i="97"/>
  <c r="V188" i="59"/>
  <c r="J213" i="59"/>
  <c r="D188" i="59"/>
  <c r="G183" i="59"/>
  <c r="G181" i="59"/>
  <c r="L77" i="59"/>
  <c r="O92" i="59"/>
  <c r="P126" i="59" l="1"/>
  <c r="P16" i="59"/>
  <c r="T146" i="59"/>
  <c r="T144" i="59"/>
  <c r="T142" i="59"/>
  <c r="T140" i="59"/>
  <c r="T138" i="59"/>
  <c r="T136" i="59"/>
  <c r="T134" i="59"/>
  <c r="T132" i="59"/>
  <c r="T130" i="59"/>
  <c r="T128" i="59"/>
  <c r="T22" i="59"/>
  <c r="T20" i="59"/>
  <c r="T18" i="59"/>
  <c r="BE365" i="74" l="1"/>
  <c r="AY365" i="74"/>
  <c r="AY371" i="74"/>
  <c r="BE370" i="74"/>
  <c r="AY370" i="74"/>
  <c r="AY369" i="74"/>
  <c r="BE367" i="74"/>
  <c r="AY367" i="74"/>
  <c r="AY366" i="74"/>
  <c r="AY364" i="74"/>
  <c r="BE240" i="74"/>
  <c r="AY240" i="74"/>
  <c r="AY246" i="74"/>
  <c r="BE245" i="74"/>
  <c r="AY245" i="74"/>
  <c r="AY243" i="74"/>
  <c r="BE242" i="74"/>
  <c r="AY242" i="74"/>
  <c r="AY241" i="74"/>
  <c r="AY239" i="74"/>
  <c r="B54" i="23"/>
  <c r="B114" i="23"/>
  <c r="BB160" i="96"/>
  <c r="BA160" i="96"/>
  <c r="AZ160" i="96"/>
  <c r="BB28" i="96"/>
  <c r="BA28" i="96"/>
  <c r="AZ28" i="96"/>
  <c r="BB160" i="84"/>
  <c r="BA160" i="84"/>
  <c r="AZ160" i="84"/>
  <c r="A7" i="89"/>
  <c r="A8" i="89"/>
  <c r="A9" i="89"/>
  <c r="A10" i="89"/>
  <c r="A11" i="89"/>
  <c r="A12" i="89"/>
  <c r="A13" i="89"/>
  <c r="A14" i="89"/>
  <c r="A16" i="89"/>
  <c r="A18" i="89"/>
  <c r="A19" i="89"/>
  <c r="A20" i="89"/>
  <c r="A22" i="89"/>
  <c r="A23" i="89"/>
  <c r="A24" i="89"/>
  <c r="A25" i="89"/>
  <c r="Z1" i="79" s="1"/>
  <c r="A26" i="89"/>
  <c r="AB1" i="80" s="1"/>
  <c r="AB2" i="80" s="1"/>
  <c r="A27" i="89"/>
  <c r="A28" i="89"/>
  <c r="D1" i="13" s="1"/>
  <c r="A29" i="89"/>
  <c r="L1" i="14" s="1"/>
  <c r="A30" i="89"/>
  <c r="M1" i="65" s="1"/>
  <c r="A31" i="89"/>
  <c r="A32" i="89"/>
  <c r="A33" i="89"/>
  <c r="A34" i="89"/>
  <c r="A37" i="89"/>
  <c r="A38" i="89"/>
  <c r="A39" i="89"/>
  <c r="A40" i="89"/>
  <c r="A41" i="89"/>
  <c r="A42" i="89"/>
  <c r="A43" i="89"/>
  <c r="A44" i="89"/>
  <c r="A45" i="89"/>
  <c r="A46" i="89"/>
  <c r="A48" i="89"/>
  <c r="A50" i="89"/>
  <c r="A51" i="89"/>
  <c r="A53" i="89"/>
  <c r="A55" i="89"/>
  <c r="A56" i="89"/>
  <c r="A57" i="89"/>
  <c r="A58" i="89"/>
  <c r="A59" i="89"/>
  <c r="A61" i="89"/>
  <c r="AI3" i="43" s="1"/>
  <c r="A62" i="89"/>
  <c r="AI3" i="110" s="1"/>
  <c r="A63" i="89"/>
  <c r="AI3" i="111" s="1"/>
  <c r="A64" i="89"/>
  <c r="AI3" i="112" s="1"/>
  <c r="A65" i="89"/>
  <c r="A66" i="89"/>
  <c r="A67" i="89"/>
  <c r="A68" i="89"/>
  <c r="A69" i="89"/>
  <c r="A70" i="89"/>
  <c r="A71" i="89"/>
  <c r="J67" i="13"/>
  <c r="AN57" i="78"/>
  <c r="AO57" i="78" s="1"/>
  <c r="B15" i="12"/>
  <c r="AC2" i="114" l="1"/>
  <c r="B2" i="114"/>
  <c r="B2" i="105"/>
  <c r="AC2" i="113"/>
  <c r="B2" i="113"/>
  <c r="AI4" i="43"/>
  <c r="AB4" i="43"/>
  <c r="AI4" i="112"/>
  <c r="AB4" i="112"/>
  <c r="AI4" i="111"/>
  <c r="AB4" i="111"/>
  <c r="AI2" i="78"/>
  <c r="AB2" i="78"/>
  <c r="AK58" i="78"/>
  <c r="AB4" i="110"/>
  <c r="AI4" i="110"/>
  <c r="E15" i="4"/>
  <c r="Q14" i="4"/>
  <c r="B4" i="109"/>
  <c r="A2" i="109"/>
  <c r="G4" i="33"/>
  <c r="P4" i="33"/>
  <c r="AC3" i="58"/>
  <c r="AC4" i="58"/>
  <c r="N80" i="98"/>
  <c r="N23" i="98"/>
  <c r="M4" i="53"/>
  <c r="M5" i="53"/>
  <c r="AC1" i="97"/>
  <c r="AC2" i="97"/>
  <c r="L3" i="71"/>
  <c r="L64" i="71"/>
  <c r="L4" i="71"/>
  <c r="V2" i="59"/>
  <c r="V3" i="59"/>
  <c r="W1" i="23"/>
  <c r="W2" i="23"/>
  <c r="W62" i="23"/>
  <c r="X12" i="86"/>
  <c r="X13" i="86"/>
  <c r="AJ3" i="76"/>
  <c r="AJ4" i="76"/>
  <c r="AC1" i="62"/>
  <c r="AC2" i="62"/>
  <c r="AC191" i="62"/>
  <c r="AA2" i="56"/>
  <c r="AA3" i="56"/>
  <c r="AI2" i="96"/>
  <c r="AI1" i="96"/>
  <c r="AI134" i="96"/>
  <c r="AI134" i="84"/>
  <c r="AI2" i="84"/>
  <c r="AI1" i="84"/>
  <c r="M2" i="37"/>
  <c r="Q59" i="37"/>
  <c r="Q35" i="37"/>
  <c r="AH3" i="2"/>
  <c r="AH1" i="2"/>
  <c r="O9" i="3"/>
  <c r="P8" i="3"/>
  <c r="N2" i="6"/>
  <c r="N1" i="6"/>
  <c r="R1" i="5"/>
  <c r="R2" i="5"/>
  <c r="R116" i="5"/>
  <c r="I13" i="4"/>
  <c r="AC2" i="93"/>
  <c r="B2" i="93"/>
  <c r="F56" i="89"/>
  <c r="C16" i="98" l="1"/>
  <c r="AS2" i="76" l="1"/>
  <c r="B2" i="76" s="1"/>
  <c r="AR4" i="76" s="1"/>
  <c r="C2" i="76" l="1"/>
  <c r="AS3" i="76"/>
  <c r="C21" i="76" l="1"/>
  <c r="AO45" i="79"/>
  <c r="AO44" i="79"/>
  <c r="AO43" i="79"/>
  <c r="AO52" i="79"/>
  <c r="AO51" i="79"/>
  <c r="AO50" i="79"/>
  <c r="AO49" i="79"/>
  <c r="AO86" i="79"/>
  <c r="AO83" i="79"/>
  <c r="AO82" i="79"/>
  <c r="AO80" i="79"/>
  <c r="AO78" i="79"/>
  <c r="AO77" i="79"/>
  <c r="AO76" i="79"/>
  <c r="AO74" i="79"/>
  <c r="AO73" i="79"/>
  <c r="AO71" i="79"/>
  <c r="AO69" i="79"/>
  <c r="AO67" i="79"/>
  <c r="AO65" i="79"/>
  <c r="AO61" i="79"/>
  <c r="AO59" i="79"/>
  <c r="B55" i="79"/>
  <c r="AC47" i="78"/>
  <c r="AC48" i="78"/>
  <c r="AC43" i="78"/>
  <c r="BF13" i="2" l="1"/>
  <c r="BI143" i="2"/>
  <c r="F30" i="2"/>
  <c r="AW24" i="2" l="1"/>
  <c r="AD52" i="37"/>
  <c r="BI27" i="2" l="1"/>
  <c r="AW22" i="2"/>
  <c r="AE112" i="70"/>
  <c r="AD112" i="70"/>
  <c r="AC112" i="70"/>
  <c r="AB112" i="70"/>
  <c r="AE109" i="70"/>
  <c r="AD109" i="70"/>
  <c r="AC109" i="70"/>
  <c r="AB109" i="70"/>
  <c r="AE108" i="70"/>
  <c r="AD108" i="70"/>
  <c r="AC108" i="70"/>
  <c r="AB108" i="70"/>
  <c r="AE106" i="70"/>
  <c r="AD106" i="70"/>
  <c r="AC106" i="70"/>
  <c r="AB106" i="70"/>
  <c r="AE105" i="70"/>
  <c r="AD105" i="70"/>
  <c r="AC105" i="70"/>
  <c r="AB105" i="70"/>
  <c r="AE103" i="70"/>
  <c r="AD103" i="70"/>
  <c r="AC103" i="70"/>
  <c r="AB103" i="70"/>
  <c r="AE102" i="70"/>
  <c r="AD102" i="70"/>
  <c r="AC102" i="70"/>
  <c r="AB102" i="70"/>
  <c r="AE101" i="70"/>
  <c r="AD101" i="70"/>
  <c r="AC101" i="70"/>
  <c r="AB101" i="70"/>
  <c r="AE100" i="70"/>
  <c r="AD100" i="70"/>
  <c r="AC100" i="70"/>
  <c r="AB100" i="70"/>
  <c r="AE99" i="70"/>
  <c r="AD99" i="70"/>
  <c r="AC99" i="70"/>
  <c r="AB99" i="70"/>
  <c r="AE98" i="70"/>
  <c r="AD98" i="70"/>
  <c r="AC98" i="70"/>
  <c r="AB98" i="70"/>
  <c r="AE97" i="70"/>
  <c r="AD97" i="70"/>
  <c r="AC97" i="70"/>
  <c r="AB97" i="70"/>
  <c r="AE96" i="70"/>
  <c r="AD96" i="70"/>
  <c r="AC96" i="70"/>
  <c r="AB96" i="70"/>
  <c r="AE95" i="70"/>
  <c r="AD95" i="70"/>
  <c r="AC95" i="70"/>
  <c r="AB95" i="70"/>
  <c r="AE94" i="70"/>
  <c r="AD94" i="70"/>
  <c r="AC94" i="70"/>
  <c r="AB94" i="70"/>
  <c r="AE93" i="70"/>
  <c r="AD93" i="70"/>
  <c r="AC93" i="70"/>
  <c r="AB93" i="70"/>
  <c r="AF83" i="70"/>
  <c r="AE83" i="70"/>
  <c r="AD83" i="70"/>
  <c r="AC83" i="70"/>
  <c r="AB83" i="70"/>
  <c r="AF80" i="70"/>
  <c r="AE80" i="70"/>
  <c r="AD80" i="70"/>
  <c r="AC80" i="70"/>
  <c r="AB80" i="70"/>
  <c r="AF79" i="70"/>
  <c r="AE79" i="70"/>
  <c r="AD79" i="70"/>
  <c r="AC79" i="70"/>
  <c r="AB79" i="70"/>
  <c r="AF77" i="70"/>
  <c r="AE77" i="70"/>
  <c r="AD77" i="70"/>
  <c r="AC77" i="70"/>
  <c r="AB77" i="70"/>
  <c r="AF76" i="70"/>
  <c r="AE76" i="70"/>
  <c r="AD76" i="70"/>
  <c r="AC76" i="70"/>
  <c r="AB76" i="70"/>
  <c r="AF74" i="70"/>
  <c r="AE74" i="70"/>
  <c r="AD74" i="70"/>
  <c r="AC74" i="70"/>
  <c r="AB74" i="70"/>
  <c r="AF73" i="70"/>
  <c r="AE73" i="70"/>
  <c r="AD73" i="70"/>
  <c r="AC73" i="70"/>
  <c r="AB73" i="70"/>
  <c r="AF72" i="70"/>
  <c r="AE72" i="70"/>
  <c r="AD72" i="70"/>
  <c r="AC72" i="70"/>
  <c r="AB72" i="70"/>
  <c r="AF71" i="70"/>
  <c r="AE71" i="70"/>
  <c r="AD71" i="70"/>
  <c r="AC71" i="70"/>
  <c r="AB71" i="70"/>
  <c r="AF70" i="70"/>
  <c r="AE70" i="70"/>
  <c r="AD70" i="70"/>
  <c r="AC70" i="70"/>
  <c r="AB70" i="70"/>
  <c r="AF69" i="70"/>
  <c r="AE69" i="70"/>
  <c r="AD69" i="70"/>
  <c r="AC69" i="70"/>
  <c r="AB69" i="70"/>
  <c r="AF68" i="70"/>
  <c r="AE68" i="70"/>
  <c r="AD68" i="70"/>
  <c r="AC68" i="70"/>
  <c r="AB68" i="70"/>
  <c r="AF67" i="70"/>
  <c r="AE67" i="70"/>
  <c r="AD67" i="70"/>
  <c r="AC67" i="70"/>
  <c r="AB67" i="70"/>
  <c r="AF66" i="70"/>
  <c r="AE66" i="70"/>
  <c r="AD66" i="70"/>
  <c r="AC66" i="70"/>
  <c r="AB66" i="70"/>
  <c r="AF65" i="70"/>
  <c r="AE65" i="70"/>
  <c r="AD65" i="70"/>
  <c r="AC65" i="70"/>
  <c r="AB65" i="70"/>
  <c r="AF64" i="70"/>
  <c r="AE64" i="70"/>
  <c r="AD64" i="70"/>
  <c r="AC64" i="70"/>
  <c r="AB64" i="70"/>
  <c r="AF54" i="70"/>
  <c r="AE54" i="70"/>
  <c r="AD54" i="70"/>
  <c r="AC54" i="70"/>
  <c r="AB54" i="70"/>
  <c r="AF51" i="70"/>
  <c r="AE51" i="70"/>
  <c r="AD51" i="70"/>
  <c r="AC51" i="70"/>
  <c r="AB51" i="70"/>
  <c r="AF50" i="70"/>
  <c r="AE50" i="70"/>
  <c r="AD50" i="70"/>
  <c r="AC50" i="70"/>
  <c r="AB50" i="70"/>
  <c r="AF48" i="70"/>
  <c r="AE48" i="70"/>
  <c r="AD48" i="70"/>
  <c r="AC48" i="70"/>
  <c r="AB48" i="70"/>
  <c r="AF47" i="70"/>
  <c r="AE47" i="70"/>
  <c r="AD47" i="70"/>
  <c r="AC47" i="70"/>
  <c r="AB47" i="70"/>
  <c r="AF45" i="70"/>
  <c r="AE45" i="70"/>
  <c r="AD45" i="70"/>
  <c r="AC45" i="70"/>
  <c r="AB45" i="70"/>
  <c r="AF44" i="70"/>
  <c r="AE44" i="70"/>
  <c r="AD44" i="70"/>
  <c r="AC44" i="70"/>
  <c r="AB44" i="70"/>
  <c r="AF43" i="70"/>
  <c r="AE43" i="70"/>
  <c r="AD43" i="70"/>
  <c r="AC43" i="70"/>
  <c r="AB43" i="70"/>
  <c r="AF42" i="70"/>
  <c r="AE42" i="70"/>
  <c r="AD42" i="70"/>
  <c r="AC42" i="70"/>
  <c r="AB42" i="70"/>
  <c r="AF41" i="70"/>
  <c r="AE41" i="70"/>
  <c r="AD41" i="70"/>
  <c r="AC41" i="70"/>
  <c r="AB41" i="70"/>
  <c r="AF40" i="70"/>
  <c r="AE40" i="70"/>
  <c r="AD40" i="70"/>
  <c r="AC40" i="70"/>
  <c r="AB40" i="70"/>
  <c r="AF39" i="70"/>
  <c r="AE39" i="70"/>
  <c r="AD39" i="70"/>
  <c r="AC39" i="70"/>
  <c r="AB39" i="70"/>
  <c r="AF38" i="70"/>
  <c r="AE38" i="70"/>
  <c r="AD38" i="70"/>
  <c r="AC38" i="70"/>
  <c r="AB38" i="70"/>
  <c r="AF37" i="70"/>
  <c r="AE37" i="70"/>
  <c r="AD37" i="70"/>
  <c r="AC37" i="70"/>
  <c r="AB37" i="70"/>
  <c r="AF36" i="70"/>
  <c r="AE36" i="70"/>
  <c r="AD36" i="70"/>
  <c r="AC36" i="70"/>
  <c r="AB36" i="70"/>
  <c r="AF35" i="70"/>
  <c r="AE35" i="70"/>
  <c r="AD35" i="70"/>
  <c r="AC35" i="70"/>
  <c r="AB35" i="70"/>
  <c r="AC6" i="70"/>
  <c r="AD6" i="70"/>
  <c r="AE6" i="70"/>
  <c r="AF6" i="70"/>
  <c r="AC7" i="70"/>
  <c r="AD7" i="70"/>
  <c r="AE7" i="70"/>
  <c r="AF7" i="70"/>
  <c r="AC8" i="70"/>
  <c r="AD8" i="70"/>
  <c r="AE8" i="70"/>
  <c r="AF8" i="70"/>
  <c r="AC9" i="70"/>
  <c r="AD9" i="70"/>
  <c r="AE9" i="70"/>
  <c r="AF9" i="70"/>
  <c r="AC10" i="70"/>
  <c r="AD10" i="70"/>
  <c r="AE10" i="70"/>
  <c r="AF10" i="70"/>
  <c r="AC11" i="70"/>
  <c r="AD11" i="70"/>
  <c r="AE11" i="70"/>
  <c r="AF11" i="70"/>
  <c r="AC12" i="70"/>
  <c r="AD12" i="70"/>
  <c r="AE12" i="70"/>
  <c r="AF12" i="70"/>
  <c r="AC13" i="70"/>
  <c r="AD13" i="70"/>
  <c r="AE13" i="70"/>
  <c r="AF13" i="70"/>
  <c r="AC14" i="70"/>
  <c r="AD14" i="70"/>
  <c r="AE14" i="70"/>
  <c r="AF14" i="70"/>
  <c r="AC15" i="70"/>
  <c r="AD15" i="70"/>
  <c r="AE15" i="70"/>
  <c r="AF15" i="70"/>
  <c r="AC16" i="70"/>
  <c r="AD16" i="70"/>
  <c r="AE16" i="70"/>
  <c r="AF16" i="70"/>
  <c r="AC18" i="70"/>
  <c r="AD18" i="70"/>
  <c r="AE18" i="70"/>
  <c r="AF18" i="70"/>
  <c r="AC19" i="70"/>
  <c r="AD19" i="70"/>
  <c r="AE19" i="70"/>
  <c r="AF19" i="70"/>
  <c r="AC21" i="70"/>
  <c r="AD21" i="70"/>
  <c r="AE21" i="70"/>
  <c r="AF21" i="70"/>
  <c r="AC22" i="70"/>
  <c r="AD22" i="70"/>
  <c r="AE22" i="70"/>
  <c r="AF22" i="70"/>
  <c r="AC25" i="70"/>
  <c r="AD25" i="70"/>
  <c r="AE25" i="70"/>
  <c r="AF25" i="70"/>
  <c r="AB25" i="70"/>
  <c r="AB22" i="70"/>
  <c r="AB21" i="70"/>
  <c r="AB16" i="70"/>
  <c r="AB14" i="70"/>
  <c r="AB13" i="70"/>
  <c r="AB11" i="70"/>
  <c r="AB10" i="70"/>
  <c r="AB7" i="70"/>
  <c r="AB6" i="70"/>
  <c r="H97" i="70" l="1"/>
  <c r="F58" i="89"/>
  <c r="AJ52" i="99"/>
  <c r="D22" i="99"/>
  <c r="M21" i="99"/>
  <c r="D19" i="99"/>
  <c r="D17" i="99"/>
  <c r="V15" i="99"/>
  <c r="T15" i="99"/>
  <c r="E14" i="99"/>
  <c r="AC3" i="99"/>
  <c r="F11" i="99" l="1"/>
  <c r="R15" i="99"/>
  <c r="O100" i="37"/>
  <c r="O99" i="37"/>
  <c r="O98" i="37"/>
  <c r="AY98" i="2" l="1"/>
  <c r="AY92" i="2" s="1"/>
  <c r="AA177" i="5"/>
  <c r="AB173" i="5"/>
  <c r="AA173" i="5"/>
  <c r="AA63" i="5"/>
  <c r="AB59" i="5"/>
  <c r="AA59" i="5"/>
  <c r="AY97" i="2" l="1"/>
  <c r="AA178" i="5"/>
  <c r="AA64" i="5"/>
  <c r="O32" i="30"/>
  <c r="O5" i="30"/>
  <c r="AL7" i="82"/>
  <c r="BE373" i="74" l="1"/>
  <c r="BE248" i="74"/>
  <c r="BE120" i="74" l="1"/>
  <c r="M142" i="76" l="1"/>
  <c r="F39" i="89"/>
  <c r="Q166" i="5" l="1"/>
  <c r="O166" i="5"/>
  <c r="O52" i="5"/>
  <c r="Q52" i="5"/>
  <c r="Y164" i="5" l="1"/>
  <c r="T166" i="5"/>
  <c r="T165" i="5"/>
  <c r="T164" i="5"/>
  <c r="T163" i="5"/>
  <c r="T52" i="5"/>
  <c r="T51" i="5"/>
  <c r="T50" i="5"/>
  <c r="T49" i="5"/>
  <c r="Y50" i="5"/>
  <c r="W163" i="5" l="1"/>
  <c r="W49" i="5"/>
  <c r="V159" i="98"/>
  <c r="V156" i="98"/>
  <c r="Y151" i="98"/>
  <c r="V150" i="98"/>
  <c r="V147" i="98"/>
  <c r="X119" i="98"/>
  <c r="V102" i="98"/>
  <c r="V95" i="98"/>
  <c r="M75" i="98"/>
  <c r="M71" i="98"/>
  <c r="M68" i="98"/>
  <c r="M67" i="98"/>
  <c r="E64" i="98"/>
  <c r="K63" i="98"/>
  <c r="K62" i="98"/>
  <c r="E61" i="98"/>
  <c r="K60" i="98"/>
  <c r="K59" i="98"/>
  <c r="K58" i="98"/>
  <c r="N57" i="98"/>
  <c r="K57" i="98"/>
  <c r="E56" i="98"/>
  <c r="E55" i="98"/>
  <c r="E54" i="98"/>
  <c r="E53" i="98"/>
  <c r="K51" i="98"/>
  <c r="K50" i="98"/>
  <c r="K49" i="98"/>
  <c r="K48" i="98"/>
  <c r="K47" i="98"/>
  <c r="N46" i="98"/>
  <c r="K46" i="98"/>
  <c r="E45" i="98"/>
  <c r="E44" i="98"/>
  <c r="E43" i="98"/>
  <c r="K41" i="98"/>
  <c r="K32" i="98"/>
  <c r="X124" i="98" l="1"/>
  <c r="X121" i="98"/>
  <c r="AM18" i="97" l="1"/>
  <c r="AL24" i="97" l="1"/>
  <c r="AP28" i="97" l="1"/>
  <c r="AM47" i="97"/>
  <c r="AT45" i="97" s="1"/>
  <c r="AS53" i="97" s="1"/>
  <c r="R35" i="97" s="1"/>
  <c r="AQ47" i="97"/>
  <c r="L85" i="13"/>
  <c r="F59" i="30" l="1"/>
  <c r="AS32" i="30"/>
  <c r="AR32" i="30"/>
  <c r="AQ32" i="30"/>
  <c r="AP32" i="30"/>
  <c r="AO32" i="30"/>
  <c r="AN32" i="30"/>
  <c r="AM32" i="30"/>
  <c r="AL32" i="30"/>
  <c r="AK32" i="30"/>
  <c r="AL5" i="30"/>
  <c r="AM5" i="30"/>
  <c r="AN5" i="30"/>
  <c r="AO5" i="30"/>
  <c r="AP5" i="30"/>
  <c r="AQ5" i="30"/>
  <c r="AR5" i="30"/>
  <c r="AS5" i="30"/>
  <c r="AK5" i="30"/>
  <c r="AS44" i="97" l="1"/>
  <c r="AJ61" i="97"/>
  <c r="AM58" i="97"/>
  <c r="AE59" i="97" s="1"/>
  <c r="AM15" i="97" l="1"/>
  <c r="AE15" i="97" s="1"/>
  <c r="AJ66" i="97"/>
  <c r="AJ22" i="97"/>
  <c r="AJ15" i="97"/>
  <c r="AC3" i="97"/>
  <c r="AM19" i="97" l="1"/>
  <c r="N29" i="1"/>
  <c r="N7" i="1"/>
  <c r="G34" i="1" s="1"/>
  <c r="I9" i="1"/>
  <c r="I10" i="1"/>
  <c r="I11" i="1"/>
  <c r="I12" i="1"/>
  <c r="AI54" i="59"/>
  <c r="AI65" i="59" s="1"/>
  <c r="I15" i="1"/>
  <c r="Y19" i="99" s="1"/>
  <c r="I16" i="1"/>
  <c r="I23" i="1"/>
  <c r="I24" i="1"/>
  <c r="I25" i="1"/>
  <c r="I26" i="1"/>
  <c r="I28" i="1"/>
  <c r="H34" i="1" l="1"/>
  <c r="C34" i="1"/>
  <c r="R41" i="97"/>
  <c r="AE62" i="97"/>
  <c r="N8" i="1"/>
  <c r="O80" i="59"/>
  <c r="O84" i="59" s="1"/>
  <c r="I4" i="1"/>
  <c r="I5" i="1"/>
  <c r="I29" i="1"/>
  <c r="AE22" i="97"/>
  <c r="X30" i="97"/>
  <c r="X31" i="97" s="1"/>
  <c r="X20" i="97"/>
  <c r="X41" i="97"/>
  <c r="X42" i="97" s="1"/>
  <c r="I7" i="1"/>
  <c r="AE60" i="97"/>
  <c r="G12" i="40"/>
  <c r="G7" i="40"/>
  <c r="AO265" i="96"/>
  <c r="AJ251" i="96"/>
  <c r="Y242" i="96"/>
  <c r="F242" i="96"/>
  <c r="AH241" i="96"/>
  <c r="O241" i="96"/>
  <c r="Z225" i="96"/>
  <c r="S225" i="96"/>
  <c r="F225" i="96"/>
  <c r="AH224" i="96"/>
  <c r="K224" i="96"/>
  <c r="B197" i="96"/>
  <c r="AD189" i="96"/>
  <c r="AD188" i="96"/>
  <c r="BB185" i="96"/>
  <c r="AZ185" i="96"/>
  <c r="AJ180" i="96"/>
  <c r="AJ183" i="96" s="1"/>
  <c r="AK185" i="96" s="1"/>
  <c r="BD184" i="96" s="1"/>
  <c r="AD180" i="96"/>
  <c r="AD183" i="96" s="1"/>
  <c r="AE185" i="96" s="1"/>
  <c r="BB184" i="96" s="1"/>
  <c r="V180" i="96"/>
  <c r="AJ164" i="96"/>
  <c r="BE155" i="96" s="1"/>
  <c r="AD164" i="96"/>
  <c r="BE154" i="96" s="1"/>
  <c r="V164" i="96"/>
  <c r="BE153" i="96" s="1"/>
  <c r="BB161" i="96"/>
  <c r="BA161" i="96"/>
  <c r="AZ161" i="96"/>
  <c r="BB157" i="96"/>
  <c r="BA157" i="96"/>
  <c r="AZ157" i="96"/>
  <c r="BB156" i="96"/>
  <c r="BA156" i="96"/>
  <c r="AZ156" i="96"/>
  <c r="AR155" i="96"/>
  <c r="AR154" i="96"/>
  <c r="AR153" i="96"/>
  <c r="D145" i="96"/>
  <c r="H136" i="96"/>
  <c r="AI135" i="96"/>
  <c r="AO133" i="96"/>
  <c r="AJ119" i="96"/>
  <c r="Y110" i="96"/>
  <c r="F110" i="96"/>
  <c r="AH109" i="96"/>
  <c r="O109" i="96"/>
  <c r="Z93" i="96"/>
  <c r="S93" i="96"/>
  <c r="F93" i="96"/>
  <c r="AH92" i="96"/>
  <c r="K92" i="96"/>
  <c r="B65" i="96"/>
  <c r="AD57" i="96"/>
  <c r="AD56" i="96"/>
  <c r="BD53" i="96"/>
  <c r="BB53" i="96"/>
  <c r="AZ53" i="96"/>
  <c r="AJ48" i="96"/>
  <c r="AJ51" i="96" s="1"/>
  <c r="AK53" i="96" s="1"/>
  <c r="BD52" i="96" s="1"/>
  <c r="AD48" i="96"/>
  <c r="AD51" i="96" s="1"/>
  <c r="AE53" i="96" s="1"/>
  <c r="BB52" i="96" s="1"/>
  <c r="V48" i="96"/>
  <c r="V51" i="96" s="1"/>
  <c r="AJ32" i="96"/>
  <c r="BE23" i="96" s="1"/>
  <c r="AD32" i="96"/>
  <c r="BE22" i="96" s="1"/>
  <c r="V32" i="96"/>
  <c r="BE21" i="96" s="1"/>
  <c r="BB29" i="96"/>
  <c r="BA29" i="96"/>
  <c r="AZ29" i="96"/>
  <c r="BB25" i="96"/>
  <c r="BA25" i="96"/>
  <c r="AZ25" i="96"/>
  <c r="BB24" i="96"/>
  <c r="BA24" i="96"/>
  <c r="AZ24" i="96"/>
  <c r="AR23" i="96"/>
  <c r="AR22" i="96"/>
  <c r="AR21" i="96"/>
  <c r="D13" i="96"/>
  <c r="H4" i="96"/>
  <c r="AI3" i="96"/>
  <c r="G199" i="60"/>
  <c r="X48" i="97" l="1"/>
  <c r="AE50" i="97" s="1"/>
  <c r="Y77" i="114"/>
  <c r="Y34" i="114"/>
  <c r="Z51" i="113"/>
  <c r="Z53" i="113" s="1"/>
  <c r="AM54" i="113" s="1"/>
  <c r="AE54" i="113" s="1"/>
  <c r="AE55" i="113" s="1"/>
  <c r="AE56" i="113" s="1"/>
  <c r="AE59" i="113" s="1"/>
  <c r="AZ51" i="96"/>
  <c r="AZ54" i="96" s="1"/>
  <c r="W53" i="96"/>
  <c r="AZ52" i="96" s="1"/>
  <c r="AK61" i="96" s="1"/>
  <c r="AK60" i="96" s="1"/>
  <c r="AT52" i="96"/>
  <c r="I34" i="1"/>
  <c r="J71" i="1" s="1"/>
  <c r="P3" i="52" s="1"/>
  <c r="AS45" i="97"/>
  <c r="AS46" i="97" s="1"/>
  <c r="AS48" i="97" s="1"/>
  <c r="AS51" i="97" s="1"/>
  <c r="R29" i="97" s="1"/>
  <c r="AS24" i="97"/>
  <c r="AJ111" i="96"/>
  <c r="AH94" i="96"/>
  <c r="AK112" i="96"/>
  <c r="BE24" i="96"/>
  <c r="I24" i="96" s="1"/>
  <c r="AI95" i="96"/>
  <c r="AD58" i="96"/>
  <c r="BC157" i="96"/>
  <c r="AD187" i="96" s="1"/>
  <c r="AH226" i="96"/>
  <c r="BC24" i="96"/>
  <c r="AD54" i="96" s="1"/>
  <c r="G32" i="96"/>
  <c r="AI227" i="96"/>
  <c r="AD190" i="96"/>
  <c r="G164" i="96"/>
  <c r="AK244" i="96"/>
  <c r="I8" i="1"/>
  <c r="AE44" i="97"/>
  <c r="AR156" i="96"/>
  <c r="AR157" i="96" s="1"/>
  <c r="BC156" i="96"/>
  <c r="AD186" i="96" s="1"/>
  <c r="V183" i="96"/>
  <c r="AJ243" i="96"/>
  <c r="AR24" i="96"/>
  <c r="AR25" i="96" s="1"/>
  <c r="BC25" i="96"/>
  <c r="AD55" i="96" s="1"/>
  <c r="BE156" i="96"/>
  <c r="I156" i="96" s="1"/>
  <c r="BA183" i="96"/>
  <c r="BB183" i="96"/>
  <c r="BB186" i="96" s="1"/>
  <c r="BC183" i="96"/>
  <c r="BA51" i="96"/>
  <c r="BB51" i="96"/>
  <c r="BB54" i="96" s="1"/>
  <c r="BC51" i="96"/>
  <c r="BD51" i="96"/>
  <c r="BD54" i="96" s="1"/>
  <c r="BD183" i="96"/>
  <c r="AY51" i="96"/>
  <c r="AB9" i="70"/>
  <c r="AB19" i="70"/>
  <c r="AB18" i="70"/>
  <c r="AB15" i="70"/>
  <c r="AB12" i="70"/>
  <c r="AB8" i="70"/>
  <c r="AE83" i="69"/>
  <c r="AD83" i="69"/>
  <c r="AC83" i="69"/>
  <c r="AB83" i="69"/>
  <c r="AA83" i="69"/>
  <c r="AE80" i="69"/>
  <c r="AD80" i="69"/>
  <c r="AC80" i="69"/>
  <c r="AB80" i="69"/>
  <c r="AA80" i="69"/>
  <c r="AE79" i="69"/>
  <c r="AD79" i="69"/>
  <c r="AC79" i="69"/>
  <c r="AB79" i="69"/>
  <c r="AA79" i="69"/>
  <c r="AE78" i="69"/>
  <c r="AD78" i="69"/>
  <c r="AC78" i="69"/>
  <c r="AB78" i="69"/>
  <c r="AA78" i="69"/>
  <c r="AE77" i="69"/>
  <c r="AD77" i="69"/>
  <c r="AC77" i="69"/>
  <c r="AB77" i="69"/>
  <c r="AA77" i="69"/>
  <c r="AE76" i="69"/>
  <c r="AD76" i="69"/>
  <c r="AC76" i="69"/>
  <c r="AB76" i="69"/>
  <c r="AA76" i="69"/>
  <c r="AE74" i="69"/>
  <c r="AD74" i="69"/>
  <c r="AC74" i="69"/>
  <c r="AB74" i="69"/>
  <c r="AA74" i="69"/>
  <c r="AE73" i="69"/>
  <c r="AD73" i="69"/>
  <c r="AC73" i="69"/>
  <c r="AB73" i="69"/>
  <c r="AA73" i="69"/>
  <c r="AE72" i="69"/>
  <c r="AD72" i="69"/>
  <c r="AC72" i="69"/>
  <c r="AB72" i="69"/>
  <c r="AA72" i="69"/>
  <c r="AE71" i="69"/>
  <c r="AD71" i="69"/>
  <c r="AC71" i="69"/>
  <c r="AB71" i="69"/>
  <c r="AA71" i="69"/>
  <c r="AE70" i="69"/>
  <c r="AD70" i="69"/>
  <c r="AC70" i="69"/>
  <c r="AB70" i="69"/>
  <c r="AA70" i="69"/>
  <c r="AE69" i="69"/>
  <c r="AD69" i="69"/>
  <c r="AC69" i="69"/>
  <c r="AB69" i="69"/>
  <c r="AA69" i="69"/>
  <c r="AE67" i="69"/>
  <c r="AD67" i="69"/>
  <c r="AC67" i="69"/>
  <c r="AB67" i="69"/>
  <c r="AA67" i="69"/>
  <c r="AE66" i="69"/>
  <c r="AD66" i="69"/>
  <c r="AC66" i="69"/>
  <c r="AB66" i="69"/>
  <c r="AA66" i="69"/>
  <c r="AE65" i="69"/>
  <c r="AD65" i="69"/>
  <c r="AC65" i="69"/>
  <c r="AB65" i="69"/>
  <c r="AA65" i="69"/>
  <c r="AE53" i="69"/>
  <c r="AD53" i="69"/>
  <c r="AC53" i="69"/>
  <c r="AB53" i="69"/>
  <c r="AA53" i="69"/>
  <c r="AE50" i="69"/>
  <c r="AD50" i="69"/>
  <c r="AC50" i="69"/>
  <c r="AB50" i="69"/>
  <c r="AA50" i="69"/>
  <c r="AE49" i="69"/>
  <c r="AD49" i="69"/>
  <c r="AC49" i="69"/>
  <c r="AB49" i="69"/>
  <c r="AA49" i="69"/>
  <c r="AE48" i="69"/>
  <c r="AD48" i="69"/>
  <c r="AC48" i="69"/>
  <c r="AB48" i="69"/>
  <c r="AA48" i="69"/>
  <c r="AE47" i="69"/>
  <c r="AD47" i="69"/>
  <c r="AC47" i="69"/>
  <c r="AB47" i="69"/>
  <c r="AA47" i="69"/>
  <c r="AE46" i="69"/>
  <c r="AD46" i="69"/>
  <c r="AC46" i="69"/>
  <c r="AB46" i="69"/>
  <c r="AA46" i="69"/>
  <c r="AE44" i="69"/>
  <c r="AD44" i="69"/>
  <c r="AC44" i="69"/>
  <c r="AB44" i="69"/>
  <c r="AA44" i="69"/>
  <c r="AE43" i="69"/>
  <c r="AD43" i="69"/>
  <c r="AC43" i="69"/>
  <c r="AB43" i="69"/>
  <c r="AA43" i="69"/>
  <c r="AE42" i="69"/>
  <c r="AD42" i="69"/>
  <c r="AC42" i="69"/>
  <c r="AB42" i="69"/>
  <c r="AA42" i="69"/>
  <c r="AE41" i="69"/>
  <c r="AD41" i="69"/>
  <c r="AC41" i="69"/>
  <c r="AB41" i="69"/>
  <c r="AA41" i="69"/>
  <c r="AE40" i="69"/>
  <c r="AD40" i="69"/>
  <c r="AC40" i="69"/>
  <c r="AB40" i="69"/>
  <c r="AA40" i="69"/>
  <c r="AE39" i="69"/>
  <c r="AD39" i="69"/>
  <c r="AC39" i="69"/>
  <c r="AB39" i="69"/>
  <c r="AA39" i="69"/>
  <c r="AE37" i="69"/>
  <c r="AD37" i="69"/>
  <c r="AC37" i="69"/>
  <c r="AB37" i="69"/>
  <c r="AA37" i="69"/>
  <c r="AE36" i="69"/>
  <c r="AD36" i="69"/>
  <c r="AC36" i="69"/>
  <c r="AB36" i="69"/>
  <c r="AA36" i="69"/>
  <c r="AE35" i="69"/>
  <c r="AD35" i="69"/>
  <c r="AC35" i="69"/>
  <c r="AB35" i="69"/>
  <c r="AA35" i="69"/>
  <c r="AB6" i="69"/>
  <c r="AC6" i="69"/>
  <c r="AD6" i="69"/>
  <c r="AE6" i="69"/>
  <c r="AB7" i="69"/>
  <c r="AC7" i="69"/>
  <c r="AD7" i="69"/>
  <c r="AE7" i="69"/>
  <c r="AB8" i="69"/>
  <c r="AC8" i="69"/>
  <c r="AD8" i="69"/>
  <c r="AE8" i="69"/>
  <c r="AB10" i="69"/>
  <c r="AC10" i="69"/>
  <c r="AD10" i="69"/>
  <c r="AE10" i="69"/>
  <c r="AB11" i="69"/>
  <c r="AC11" i="69"/>
  <c r="AD11" i="69"/>
  <c r="AE11" i="69"/>
  <c r="AB12" i="69"/>
  <c r="AC12" i="69"/>
  <c r="AD12" i="69"/>
  <c r="AE12" i="69"/>
  <c r="AB13" i="69"/>
  <c r="AC13" i="69"/>
  <c r="AD13" i="69"/>
  <c r="AE13" i="69"/>
  <c r="AB14" i="69"/>
  <c r="AC14" i="69"/>
  <c r="AD14" i="69"/>
  <c r="AE14" i="69"/>
  <c r="AB15" i="69"/>
  <c r="AC15" i="69"/>
  <c r="AD15" i="69"/>
  <c r="AE15" i="69"/>
  <c r="AB17" i="69"/>
  <c r="AC17" i="69"/>
  <c r="AD17" i="69"/>
  <c r="AE17" i="69"/>
  <c r="AB18" i="69"/>
  <c r="AC18" i="69"/>
  <c r="AD18" i="69"/>
  <c r="AE18" i="69"/>
  <c r="AB19" i="69"/>
  <c r="AC19" i="69"/>
  <c r="AD19" i="69"/>
  <c r="AE19" i="69"/>
  <c r="AB20" i="69"/>
  <c r="AC20" i="69"/>
  <c r="AD20" i="69"/>
  <c r="AE20" i="69"/>
  <c r="AB21" i="69"/>
  <c r="AC21" i="69"/>
  <c r="AD21" i="69"/>
  <c r="AE21" i="69"/>
  <c r="AB24" i="69"/>
  <c r="AC24" i="69"/>
  <c r="AD24" i="69"/>
  <c r="AE24" i="69"/>
  <c r="AA24" i="69"/>
  <c r="AA17" i="69"/>
  <c r="AA10" i="69"/>
  <c r="AA7" i="69"/>
  <c r="AA8" i="69"/>
  <c r="AA11" i="69"/>
  <c r="AA12" i="69"/>
  <c r="AA13" i="69"/>
  <c r="AA14" i="69"/>
  <c r="AA15" i="69"/>
  <c r="AA18" i="69"/>
  <c r="AA19" i="69"/>
  <c r="AA20" i="69"/>
  <c r="AA21" i="69"/>
  <c r="AA6" i="69"/>
  <c r="AZ183" i="96" l="1"/>
  <c r="AZ186" i="96" s="1"/>
  <c r="W185" i="96"/>
  <c r="AZ184" i="96" s="1"/>
  <c r="AT184" i="96"/>
  <c r="AH96" i="96"/>
  <c r="AJ113" i="96"/>
  <c r="AH228" i="96"/>
  <c r="H118" i="70"/>
  <c r="AJ245" i="96"/>
  <c r="BD186" i="96"/>
  <c r="BD185" i="96"/>
  <c r="AY183" i="96"/>
  <c r="AJ191" i="96" s="1"/>
  <c r="AJ59" i="96"/>
  <c r="AJ63" i="96" s="1"/>
  <c r="AV123" i="96" s="1"/>
  <c r="AJ123" i="96" s="1"/>
  <c r="J64" i="69"/>
  <c r="I67" i="1"/>
  <c r="I66" i="1"/>
  <c r="I65" i="1"/>
  <c r="I63" i="1"/>
  <c r="I62" i="1"/>
  <c r="I61" i="1"/>
  <c r="I60" i="1"/>
  <c r="AK54" i="59"/>
  <c r="AK65" i="59" s="1"/>
  <c r="I49" i="1"/>
  <c r="I48" i="1"/>
  <c r="I47" i="1"/>
  <c r="I46" i="1"/>
  <c r="I45" i="1"/>
  <c r="I44" i="1"/>
  <c r="I42" i="1"/>
  <c r="I41" i="1"/>
  <c r="I40" i="1"/>
  <c r="AK30" i="59" s="1"/>
  <c r="I31" i="1"/>
  <c r="I30" i="1"/>
  <c r="AN165" i="62"/>
  <c r="AN164" i="62"/>
  <c r="AL163" i="62"/>
  <c r="Z110" i="113" l="1"/>
  <c r="Z112" i="113" s="1"/>
  <c r="Z113" i="113" s="1"/>
  <c r="AE113" i="113" s="1"/>
  <c r="AE114" i="113" s="1"/>
  <c r="AE115" i="113" s="1"/>
  <c r="AE118" i="113" s="1"/>
  <c r="AN119" i="113" s="1"/>
  <c r="AK193" i="96"/>
  <c r="AK192" i="96" s="1"/>
  <c r="AE29" i="97"/>
  <c r="R30" i="97"/>
  <c r="AE32" i="97" s="1"/>
  <c r="U8" i="37"/>
  <c r="Z40" i="79" l="1"/>
  <c r="AD41" i="79" s="1"/>
  <c r="AJ195" i="96"/>
  <c r="AM136" i="62"/>
  <c r="AV255" i="96" l="1"/>
  <c r="AJ255" i="96" s="1"/>
  <c r="K40" i="23"/>
  <c r="D363" i="60"/>
  <c r="L50" i="30"/>
  <c r="K50" i="30"/>
  <c r="J50" i="30"/>
  <c r="I50" i="30"/>
  <c r="H50" i="30"/>
  <c r="G50" i="30"/>
  <c r="F50" i="30"/>
  <c r="E50" i="30"/>
  <c r="D50" i="30"/>
  <c r="L23" i="30"/>
  <c r="K23" i="30"/>
  <c r="J23" i="30"/>
  <c r="I23" i="30"/>
  <c r="H23" i="30"/>
  <c r="G23" i="30"/>
  <c r="F23" i="30"/>
  <c r="E23" i="30"/>
  <c r="D23" i="30"/>
  <c r="AV256" i="96" l="1"/>
  <c r="D25" i="30"/>
  <c r="H25" i="30" s="1"/>
  <c r="D52" i="30"/>
  <c r="H52" i="30" s="1"/>
  <c r="D222" i="60" l="1"/>
  <c r="D212" i="60"/>
  <c r="D210" i="60"/>
  <c r="D204" i="60"/>
  <c r="D190" i="60"/>
  <c r="L177" i="60" l="1"/>
  <c r="N67" i="60" l="1"/>
  <c r="A65" i="60"/>
  <c r="T74" i="3"/>
  <c r="T69" i="3" l="1"/>
  <c r="T68" i="3"/>
  <c r="BY16" i="95"/>
  <c r="BY17" i="95"/>
  <c r="BY18" i="95"/>
  <c r="BY19" i="95"/>
  <c r="BY20" i="95"/>
  <c r="BY21" i="95"/>
  <c r="BY22" i="95"/>
  <c r="BY23" i="95"/>
  <c r="BY24" i="95"/>
  <c r="BY25" i="95"/>
  <c r="BY26" i="95"/>
  <c r="BY27" i="95"/>
  <c r="BY28" i="95"/>
  <c r="BY29" i="95"/>
  <c r="BY30" i="95"/>
  <c r="BY15" i="95"/>
  <c r="BY10" i="95"/>
  <c r="BY9" i="95"/>
  <c r="BY8" i="95"/>
  <c r="BY7" i="95"/>
  <c r="T70" i="3" l="1"/>
  <c r="BY3" i="95"/>
  <c r="AK1" i="95" s="1"/>
  <c r="AK75" i="68"/>
  <c r="AM75" i="68"/>
  <c r="AO75" i="68"/>
  <c r="AQ75" i="68"/>
  <c r="AK76" i="68"/>
  <c r="AM76" i="68"/>
  <c r="AO76" i="68"/>
  <c r="AQ76" i="68"/>
  <c r="AQ82" i="68"/>
  <c r="AO82" i="68"/>
  <c r="AM82" i="68"/>
  <c r="AK82" i="68"/>
  <c r="AQ81" i="68"/>
  <c r="AO81" i="68"/>
  <c r="AM81" i="68"/>
  <c r="AK81" i="68"/>
  <c r="D76" i="68"/>
  <c r="B168" i="68" l="1"/>
  <c r="Y34" i="68"/>
  <c r="Y33" i="68"/>
  <c r="Y32" i="68"/>
  <c r="Y31" i="68"/>
  <c r="Y30" i="68"/>
  <c r="Y35" i="68" l="1"/>
  <c r="AB23" i="68" l="1"/>
  <c r="AC38" i="68"/>
  <c r="Z30" i="68"/>
  <c r="P73" i="68"/>
  <c r="BB58" i="58"/>
  <c r="AA61" i="58"/>
  <c r="V61" i="58"/>
  <c r="Q61" i="58"/>
  <c r="AA60" i="58"/>
  <c r="V60" i="58"/>
  <c r="Q60" i="58"/>
  <c r="AA59" i="58"/>
  <c r="V59" i="58"/>
  <c r="Q59" i="58"/>
  <c r="AA58" i="58"/>
  <c r="V58" i="58"/>
  <c r="Q58" i="58"/>
  <c r="AA57" i="58"/>
  <c r="V57" i="58"/>
  <c r="Q57" i="58"/>
  <c r="AA56" i="58"/>
  <c r="V56" i="58"/>
  <c r="Q56" i="58"/>
  <c r="AA55" i="58"/>
  <c r="V55" i="58"/>
  <c r="Q55" i="58"/>
  <c r="AA54" i="58"/>
  <c r="V54" i="58"/>
  <c r="Q54" i="58"/>
  <c r="AA53" i="58"/>
  <c r="V53" i="58"/>
  <c r="Q53" i="58"/>
  <c r="AA52" i="58"/>
  <c r="V52" i="58"/>
  <c r="Q52" i="58"/>
  <c r="AA51" i="58"/>
  <c r="V51" i="58"/>
  <c r="Q51" i="58"/>
  <c r="AA50" i="58"/>
  <c r="V50" i="58"/>
  <c r="Q50" i="58"/>
  <c r="AJ15" i="58"/>
  <c r="H48" i="53"/>
  <c r="E61" i="71"/>
  <c r="E121" i="71"/>
  <c r="C113" i="71"/>
  <c r="C53" i="71"/>
  <c r="C80" i="71"/>
  <c r="AL46" i="91"/>
  <c r="P125" i="68" l="1"/>
  <c r="P116" i="68"/>
  <c r="BJ138" i="2"/>
  <c r="BK138" i="2" s="1"/>
  <c r="BK139" i="2" l="1"/>
  <c r="D147" i="91"/>
  <c r="D154" i="91"/>
  <c r="D42" i="91"/>
  <c r="D35" i="91"/>
  <c r="BJ139" i="2"/>
  <c r="AH4" i="3"/>
  <c r="E1" i="87"/>
  <c r="AB19" i="59"/>
  <c r="W11" i="59"/>
  <c r="V75" i="59"/>
  <c r="V187" i="59"/>
  <c r="AA189" i="59"/>
  <c r="X157" i="59"/>
  <c r="X158" i="59"/>
  <c r="X159" i="59"/>
  <c r="X160" i="59"/>
  <c r="X161" i="59"/>
  <c r="X162" i="59"/>
  <c r="X163" i="59"/>
  <c r="X164" i="59"/>
  <c r="X165" i="59"/>
  <c r="X166" i="59"/>
  <c r="X156" i="59"/>
  <c r="X39" i="59"/>
  <c r="X40" i="59"/>
  <c r="X38" i="59"/>
  <c r="V41" i="59"/>
  <c r="T154" i="59"/>
  <c r="AA149" i="59"/>
  <c r="W65" i="59"/>
  <c r="AA33" i="59"/>
  <c r="D190" i="59"/>
  <c r="D189" i="59"/>
  <c r="D186" i="59"/>
  <c r="D185" i="59"/>
  <c r="V191" i="59"/>
  <c r="J207" i="59"/>
  <c r="J208" i="59"/>
  <c r="J209" i="59"/>
  <c r="J210" i="59"/>
  <c r="J211" i="59"/>
  <c r="J212" i="59"/>
  <c r="J214" i="59"/>
  <c r="J215" i="59"/>
  <c r="J216" i="59"/>
  <c r="J217" i="59"/>
  <c r="J218" i="59"/>
  <c r="J219" i="59"/>
  <c r="J220" i="59"/>
  <c r="J206" i="59"/>
  <c r="W34" i="59"/>
  <c r="W15" i="59"/>
  <c r="E225" i="76"/>
  <c r="E224" i="76"/>
  <c r="E223" i="76"/>
  <c r="E222" i="76"/>
  <c r="C108" i="76"/>
  <c r="G160" i="76"/>
  <c r="Y39" i="59" l="1"/>
  <c r="AB43" i="59" s="1"/>
  <c r="V194" i="59"/>
  <c r="V197" i="59" s="1"/>
  <c r="AS108" i="76"/>
  <c r="X41" i="59"/>
  <c r="C197" i="59" l="1"/>
  <c r="V223" i="59" s="1"/>
  <c r="V60" i="59" s="1"/>
  <c r="Q7" i="14" l="1"/>
  <c r="Q6" i="14"/>
  <c r="K18" i="14"/>
  <c r="K15" i="14"/>
  <c r="BK129" i="2" l="1"/>
  <c r="BK149" i="2"/>
  <c r="D145" i="60" l="1"/>
  <c r="D137" i="60"/>
  <c r="A136" i="60" l="1"/>
  <c r="A129" i="60"/>
  <c r="AD86" i="79"/>
  <c r="AD83" i="79"/>
  <c r="AD82" i="79"/>
  <c r="AD80" i="79"/>
  <c r="AD78" i="79"/>
  <c r="AD77" i="79"/>
  <c r="AD76" i="79"/>
  <c r="AD74" i="79"/>
  <c r="AD73" i="79"/>
  <c r="AD71" i="79"/>
  <c r="AD69" i="79"/>
  <c r="AD67" i="79"/>
  <c r="AD65" i="79"/>
  <c r="AD61" i="79"/>
  <c r="AD59" i="79"/>
  <c r="AO106" i="78"/>
  <c r="AP106" i="78"/>
  <c r="AR106" i="78"/>
  <c r="AS106" i="78"/>
  <c r="AT106" i="78"/>
  <c r="AU106" i="78"/>
  <c r="AV106" i="78"/>
  <c r="AW106" i="78"/>
  <c r="AX106" i="78"/>
  <c r="AY106" i="78"/>
  <c r="AK106" i="78"/>
  <c r="BA106" i="78" s="1"/>
  <c r="AL106" i="78"/>
  <c r="BB106" i="78" s="1"/>
  <c r="AM106" i="78"/>
  <c r="BC106" i="78" s="1"/>
  <c r="AN106" i="78"/>
  <c r="H129" i="2" l="1"/>
  <c r="F68" i="89"/>
  <c r="G62" i="76"/>
  <c r="D63" i="76"/>
  <c r="D59" i="76"/>
  <c r="C35" i="76"/>
  <c r="AQ30" i="95"/>
  <c r="BZ30" i="95" s="1"/>
  <c r="AQ29" i="95"/>
  <c r="AQ28" i="95"/>
  <c r="AQ27" i="95"/>
  <c r="AQ26" i="95"/>
  <c r="AQ25" i="95"/>
  <c r="AQ24" i="95"/>
  <c r="AQ23" i="95"/>
  <c r="BZ23" i="95" s="1"/>
  <c r="AQ22" i="95"/>
  <c r="AQ21" i="95"/>
  <c r="BZ21" i="95" s="1"/>
  <c r="AQ20" i="95"/>
  <c r="AQ19" i="95"/>
  <c r="AQ18" i="95"/>
  <c r="AQ17" i="95"/>
  <c r="AQ16" i="95"/>
  <c r="AQ15" i="95"/>
  <c r="BZ15" i="95" s="1"/>
  <c r="AQ8" i="95"/>
  <c r="BZ8" i="95" s="1"/>
  <c r="AQ9" i="95"/>
  <c r="BZ9" i="95" s="1"/>
  <c r="AQ10" i="95"/>
  <c r="BZ10" i="95" s="1"/>
  <c r="AQ7" i="95"/>
  <c r="BZ7" i="95" s="1"/>
  <c r="CA28" i="95" l="1"/>
  <c r="BZ28" i="95"/>
  <c r="CA29" i="95"/>
  <c r="BZ29" i="95"/>
  <c r="CA24" i="95"/>
  <c r="BZ24" i="95"/>
  <c r="CA26" i="95"/>
  <c r="BZ26" i="95"/>
  <c r="CA19" i="95"/>
  <c r="BZ19" i="95"/>
  <c r="CA22" i="95"/>
  <c r="BZ22" i="95"/>
  <c r="CA25" i="95"/>
  <c r="BZ25" i="95"/>
  <c r="CA27" i="95"/>
  <c r="BZ27" i="95"/>
  <c r="CA16" i="95"/>
  <c r="BZ16" i="95"/>
  <c r="CA17" i="95"/>
  <c r="BZ17" i="95"/>
  <c r="CA18" i="95"/>
  <c r="BZ18" i="95"/>
  <c r="CA20" i="95"/>
  <c r="BZ20" i="95"/>
  <c r="CB9" i="95"/>
  <c r="CB21" i="95"/>
  <c r="CB29" i="95"/>
  <c r="CB8" i="95"/>
  <c r="CB22" i="95"/>
  <c r="CB30" i="95"/>
  <c r="CB15" i="95"/>
  <c r="CB23" i="95"/>
  <c r="CB16" i="95"/>
  <c r="CB24" i="95"/>
  <c r="CB17" i="95"/>
  <c r="CB25" i="95"/>
  <c r="CB18" i="95"/>
  <c r="CB26" i="95"/>
  <c r="CB19" i="95"/>
  <c r="CB27" i="95"/>
  <c r="CB10" i="95"/>
  <c r="CB20" i="95"/>
  <c r="CB28" i="95"/>
  <c r="CB7" i="95"/>
  <c r="AQ12" i="95"/>
  <c r="AQ4" i="95"/>
  <c r="CV20" i="95" l="1"/>
  <c r="CX20" i="95" s="1"/>
  <c r="CV29" i="95"/>
  <c r="CX29" i="95" s="1"/>
  <c r="CV22" i="95"/>
  <c r="CX22" i="95" s="1"/>
  <c r="CV17" i="95"/>
  <c r="CX17" i="95" s="1"/>
  <c r="CV18" i="95"/>
  <c r="CX18" i="95" s="1"/>
  <c r="CV16" i="95"/>
  <c r="CX16" i="95" s="1"/>
  <c r="CV28" i="95"/>
  <c r="CX28" i="95" s="1"/>
  <c r="CL26" i="95"/>
  <c r="CM26" i="95" s="1"/>
  <c r="CV26" i="95"/>
  <c r="CX26" i="95" s="1"/>
  <c r="CL27" i="95"/>
  <c r="CM27" i="95" s="1"/>
  <c r="CV27" i="95"/>
  <c r="CX27" i="95" s="1"/>
  <c r="CL24" i="95"/>
  <c r="CM24" i="95" s="1"/>
  <c r="CR24" i="95" s="1"/>
  <c r="CV24" i="95"/>
  <c r="CX24" i="95" s="1"/>
  <c r="CL25" i="95"/>
  <c r="CM25" i="95" s="1"/>
  <c r="CV25" i="95"/>
  <c r="CX25" i="95" s="1"/>
  <c r="CL19" i="95"/>
  <c r="CM19" i="95" s="1"/>
  <c r="CR19" i="95" s="1"/>
  <c r="CV19" i="95"/>
  <c r="CX19" i="95" s="1"/>
  <c r="CL22" i="95"/>
  <c r="CM22" i="95" s="1"/>
  <c r="CL20" i="95"/>
  <c r="CL29" i="95"/>
  <c r="CL17" i="95"/>
  <c r="CL18" i="95"/>
  <c r="CL16" i="95"/>
  <c r="CL28" i="95"/>
  <c r="F64" i="76"/>
  <c r="AO86" i="76"/>
  <c r="B47" i="76"/>
  <c r="C26" i="76"/>
  <c r="AH92" i="79"/>
  <c r="AL44" i="80"/>
  <c r="AL42" i="80"/>
  <c r="X109" i="23"/>
  <c r="X108" i="23"/>
  <c r="AK79" i="23"/>
  <c r="AK19" i="23"/>
  <c r="X110" i="23"/>
  <c r="D85" i="23"/>
  <c r="D25" i="23"/>
  <c r="D13" i="84"/>
  <c r="T51" i="3"/>
  <c r="AC97" i="78"/>
  <c r="AC41" i="78"/>
  <c r="AC40" i="78"/>
  <c r="AC39" i="78"/>
  <c r="AC38" i="78"/>
  <c r="AC37" i="78"/>
  <c r="AC35" i="78"/>
  <c r="AC34" i="78"/>
  <c r="AC33" i="78"/>
  <c r="AC32" i="78"/>
  <c r="AC31" i="78"/>
  <c r="AC27" i="78"/>
  <c r="AC26" i="78"/>
  <c r="AC94" i="78"/>
  <c r="AC92" i="78"/>
  <c r="AC90" i="78"/>
  <c r="AC88" i="78"/>
  <c r="AC87" i="78"/>
  <c r="AC86" i="78"/>
  <c r="AC84" i="78"/>
  <c r="AC83" i="78"/>
  <c r="AC81" i="78"/>
  <c r="AC79" i="78"/>
  <c r="B58" i="78"/>
  <c r="AG57" i="78"/>
  <c r="AC50" i="80" l="1"/>
  <c r="CR22" i="95"/>
  <c r="CR25" i="95"/>
  <c r="CR27" i="95"/>
  <c r="CR26" i="95"/>
  <c r="CM20" i="95"/>
  <c r="CM29" i="95"/>
  <c r="CM18" i="95"/>
  <c r="CM28" i="95"/>
  <c r="CM17" i="95"/>
  <c r="CM16" i="95"/>
  <c r="CR29" i="95" l="1"/>
  <c r="CR17" i="95"/>
  <c r="CR20" i="95"/>
  <c r="CR28" i="95"/>
  <c r="CR18" i="95"/>
  <c r="BG119" i="74"/>
  <c r="AC16" i="78" l="1"/>
  <c r="C23" i="93" l="1"/>
  <c r="W25" i="82" l="1"/>
  <c r="AL44" i="82" l="1"/>
  <c r="AL27" i="82"/>
  <c r="W27" i="82" l="1"/>
  <c r="AM27" i="82" s="1"/>
  <c r="AL28" i="82" l="1"/>
  <c r="AC23" i="82"/>
  <c r="F1" i="55"/>
  <c r="H2" i="51" s="1"/>
  <c r="AI23" i="82" l="1"/>
  <c r="C2" i="2"/>
  <c r="C1" i="2"/>
  <c r="I37" i="87"/>
  <c r="I34" i="87"/>
  <c r="I32" i="87"/>
  <c r="I31" i="87"/>
  <c r="I30" i="87"/>
  <c r="I29" i="87"/>
  <c r="I28" i="87"/>
  <c r="I26" i="87"/>
  <c r="I25" i="87"/>
  <c r="J18" i="87"/>
  <c r="J15" i="87"/>
  <c r="J13" i="87"/>
  <c r="J12" i="87"/>
  <c r="J11" i="87"/>
  <c r="J10" i="87"/>
  <c r="J9" i="87"/>
  <c r="J7" i="87"/>
  <c r="J6" i="87"/>
  <c r="AC17" i="78"/>
  <c r="J37" i="87" l="1"/>
  <c r="J30" i="87"/>
  <c r="J31" i="87"/>
  <c r="Q28" i="56" s="1"/>
  <c r="J32" i="87"/>
  <c r="J29" i="87"/>
  <c r="J34" i="87"/>
  <c r="J26" i="87"/>
  <c r="J28" i="87"/>
  <c r="J25" i="87"/>
  <c r="AO55" i="78" l="1"/>
  <c r="AN55" i="78"/>
  <c r="AO54" i="78"/>
  <c r="AN54" i="78"/>
  <c r="Q24" i="56"/>
  <c r="BI22" i="2"/>
  <c r="BI16" i="2"/>
  <c r="BI17" i="2"/>
  <c r="AW13" i="2" l="1"/>
  <c r="AQ55" i="78"/>
  <c r="AO64" i="78"/>
  <c r="AQ54" i="78"/>
  <c r="AO63" i="78"/>
  <c r="D53" i="78" l="1"/>
  <c r="W53" i="78"/>
  <c r="AC52" i="78"/>
  <c r="M33" i="59"/>
  <c r="P78" i="6" l="1"/>
  <c r="C17" i="98" s="1"/>
  <c r="AH32" i="68" l="1"/>
  <c r="F72" i="30" l="1"/>
  <c r="E72" i="30"/>
  <c r="D72" i="30"/>
  <c r="F71" i="30"/>
  <c r="E71" i="30"/>
  <c r="D71" i="30"/>
  <c r="O45" i="30"/>
  <c r="N45" i="30"/>
  <c r="M45" i="30"/>
  <c r="O44" i="30"/>
  <c r="N44" i="30"/>
  <c r="M44" i="30"/>
  <c r="O18" i="30"/>
  <c r="N18" i="30"/>
  <c r="M18" i="30"/>
  <c r="O17" i="30"/>
  <c r="N17" i="30"/>
  <c r="M17" i="30"/>
  <c r="D32" i="40" l="1"/>
  <c r="D33" i="40" l="1"/>
  <c r="G32" i="40"/>
  <c r="C21" i="40"/>
  <c r="AL68" i="91" l="1"/>
  <c r="AL180" i="91"/>
  <c r="AL50" i="91"/>
  <c r="F48" i="89" l="1"/>
  <c r="AJ131" i="93" l="1"/>
  <c r="AD130" i="93"/>
  <c r="C129" i="93"/>
  <c r="C126" i="93"/>
  <c r="AG103" i="93"/>
  <c r="AC103" i="93"/>
  <c r="Y103" i="93"/>
  <c r="U103" i="93"/>
  <c r="Q103" i="93"/>
  <c r="M103" i="93"/>
  <c r="AF93" i="93"/>
  <c r="V20" i="93" s="1"/>
  <c r="AD21" i="93" s="1"/>
  <c r="AA92" i="93"/>
  <c r="AD62" i="93" s="1"/>
  <c r="B60" i="93"/>
  <c r="AM56" i="93"/>
  <c r="AM55" i="93"/>
  <c r="AM54" i="93"/>
  <c r="AM53" i="93"/>
  <c r="B53" i="93"/>
  <c r="AM52" i="93"/>
  <c r="AM51" i="93"/>
  <c r="AM50" i="93"/>
  <c r="AM49" i="93"/>
  <c r="AM47" i="93"/>
  <c r="AM46" i="93"/>
  <c r="AM45" i="93"/>
  <c r="AM44" i="93"/>
  <c r="AM43" i="93"/>
  <c r="AM42" i="93"/>
  <c r="AM41" i="93"/>
  <c r="B39" i="93"/>
  <c r="AM35" i="93"/>
  <c r="C35" i="93"/>
  <c r="AM32" i="93"/>
  <c r="AM31" i="93"/>
  <c r="AM30" i="93"/>
  <c r="C26" i="93"/>
  <c r="AD14" i="93"/>
  <c r="AD16" i="93" s="1"/>
  <c r="AD24" i="93" s="1"/>
  <c r="AC3" i="93"/>
  <c r="AM63" i="93" l="1"/>
  <c r="AM36" i="93"/>
  <c r="AD22" i="93"/>
  <c r="AD25" i="93" s="1"/>
  <c r="W26" i="93" l="1"/>
  <c r="AD64" i="93"/>
  <c r="AL124" i="91" l="1"/>
  <c r="AL11" i="91"/>
  <c r="F65" i="30"/>
  <c r="F74" i="30"/>
  <c r="F66" i="30"/>
  <c r="F60" i="30"/>
  <c r="AS30" i="30"/>
  <c r="AR30" i="30"/>
  <c r="AQ30" i="30"/>
  <c r="AP30" i="30"/>
  <c r="AO30" i="30"/>
  <c r="AN30" i="30"/>
  <c r="AM30" i="30"/>
  <c r="AL30" i="30"/>
  <c r="AK30" i="30"/>
  <c r="O50" i="30"/>
  <c r="N50" i="30"/>
  <c r="M50" i="30"/>
  <c r="O47" i="30"/>
  <c r="N47" i="30"/>
  <c r="M47" i="30"/>
  <c r="O38" i="30"/>
  <c r="N38" i="30"/>
  <c r="M38" i="30"/>
  <c r="O33" i="30"/>
  <c r="N33" i="30"/>
  <c r="M33" i="30"/>
  <c r="AL3" i="30"/>
  <c r="AM3" i="30"/>
  <c r="AN3" i="30"/>
  <c r="AO3" i="30"/>
  <c r="AP3" i="30"/>
  <c r="AQ3" i="30"/>
  <c r="AR3" i="30"/>
  <c r="AS3" i="30"/>
  <c r="AK3" i="30"/>
  <c r="AA3" i="30"/>
  <c r="O23" i="30"/>
  <c r="O20" i="30"/>
  <c r="O11" i="30"/>
  <c r="O6" i="30"/>
  <c r="AI30" i="30"/>
  <c r="AH30" i="30"/>
  <c r="AG30" i="30"/>
  <c r="AF30" i="30"/>
  <c r="AE30" i="30"/>
  <c r="AD30" i="30"/>
  <c r="AC30" i="30"/>
  <c r="AB30" i="30"/>
  <c r="AA30" i="30"/>
  <c r="AI3" i="30"/>
  <c r="AH3" i="30"/>
  <c r="AG3" i="30"/>
  <c r="AF3" i="30"/>
  <c r="AE3" i="30"/>
  <c r="AD3" i="30"/>
  <c r="AC3" i="30"/>
  <c r="AB3" i="30"/>
  <c r="V3" i="30"/>
  <c r="AC45" i="30" l="1"/>
  <c r="AC32" i="30"/>
  <c r="AC51" i="30"/>
  <c r="AC42" i="30"/>
  <c r="AC39" i="30"/>
  <c r="AC35" i="30"/>
  <c r="AC34" i="30"/>
  <c r="AC46" i="30"/>
  <c r="AC49" i="30"/>
  <c r="AC43" i="30"/>
  <c r="AC40" i="30"/>
  <c r="AC36" i="30"/>
  <c r="AC44" i="30"/>
  <c r="AC31" i="30"/>
  <c r="AC48" i="30"/>
  <c r="AC41" i="30"/>
  <c r="AC37" i="30"/>
  <c r="AP19" i="30"/>
  <c r="AP11" i="30"/>
  <c r="AP18" i="30"/>
  <c r="AP17" i="30"/>
  <c r="AP21" i="30"/>
  <c r="AP9" i="30"/>
  <c r="AP16" i="30"/>
  <c r="AP10" i="30"/>
  <c r="AP15" i="30"/>
  <c r="AP12" i="30"/>
  <c r="AP24" i="30"/>
  <c r="AP14" i="30"/>
  <c r="AP8" i="30"/>
  <c r="AP4" i="30"/>
  <c r="AP22" i="30"/>
  <c r="AP13" i="30"/>
  <c r="AP7" i="30"/>
  <c r="AN21" i="30"/>
  <c r="AN12" i="30"/>
  <c r="AN7" i="30"/>
  <c r="AN19" i="30"/>
  <c r="AN11" i="30"/>
  <c r="AN22" i="30"/>
  <c r="AN10" i="30"/>
  <c r="AN18" i="30"/>
  <c r="AN13" i="30"/>
  <c r="AN17" i="30"/>
  <c r="AN16" i="30"/>
  <c r="AN15" i="30"/>
  <c r="AN9" i="30"/>
  <c r="AN24" i="30"/>
  <c r="AN14" i="30"/>
  <c r="AN8" i="30"/>
  <c r="AN4" i="30"/>
  <c r="AN48" i="30"/>
  <c r="AN51" i="30"/>
  <c r="AN44" i="30"/>
  <c r="AN31" i="30"/>
  <c r="AN41" i="30"/>
  <c r="AN46" i="30"/>
  <c r="AN37" i="30"/>
  <c r="AN34" i="30"/>
  <c r="AN49" i="30"/>
  <c r="AN45" i="30"/>
  <c r="AN42" i="30"/>
  <c r="AN39" i="30"/>
  <c r="AN35" i="30"/>
  <c r="AN36" i="30"/>
  <c r="AN43" i="30"/>
  <c r="AN40" i="30"/>
  <c r="AO51" i="30"/>
  <c r="AO44" i="30"/>
  <c r="AO31" i="30"/>
  <c r="AO41" i="30"/>
  <c r="AO48" i="30"/>
  <c r="AO37" i="30"/>
  <c r="AO34" i="30"/>
  <c r="AO49" i="30"/>
  <c r="AO45" i="30"/>
  <c r="AO42" i="30"/>
  <c r="AO39" i="30"/>
  <c r="AO35" i="30"/>
  <c r="AO43" i="30"/>
  <c r="AO46" i="30"/>
  <c r="AO40" i="30"/>
  <c r="AO36" i="30"/>
  <c r="AO24" i="30"/>
  <c r="AO19" i="30"/>
  <c r="AO11" i="30"/>
  <c r="AO9" i="30"/>
  <c r="AO4" i="30"/>
  <c r="AO18" i="30"/>
  <c r="AO13" i="30"/>
  <c r="AO17" i="30"/>
  <c r="AO21" i="30"/>
  <c r="AO16" i="30"/>
  <c r="AO10" i="30"/>
  <c r="AO12" i="30"/>
  <c r="AO15" i="30"/>
  <c r="AO8" i="30"/>
  <c r="AO7" i="30"/>
  <c r="AO14" i="30"/>
  <c r="AO22" i="30"/>
  <c r="V17" i="30"/>
  <c r="V16" i="30"/>
  <c r="V10" i="30"/>
  <c r="V7" i="30"/>
  <c r="V15" i="30"/>
  <c r="V9" i="30"/>
  <c r="V5" i="30"/>
  <c r="V18" i="30"/>
  <c r="V24" i="30"/>
  <c r="V14" i="30"/>
  <c r="V8" i="30"/>
  <c r="V4" i="30"/>
  <c r="V22" i="30"/>
  <c r="V13" i="30"/>
  <c r="V21" i="30"/>
  <c r="V12" i="30"/>
  <c r="V19" i="30"/>
  <c r="AP41" i="30"/>
  <c r="AP37" i="30"/>
  <c r="AP34" i="30"/>
  <c r="AP49" i="30"/>
  <c r="AP45" i="30"/>
  <c r="AP42" i="30"/>
  <c r="AP39" i="30"/>
  <c r="AP35" i="30"/>
  <c r="AP46" i="30"/>
  <c r="AP48" i="30"/>
  <c r="AP43" i="30"/>
  <c r="AP40" i="30"/>
  <c r="AP31" i="30"/>
  <c r="AP36" i="30"/>
  <c r="AP51" i="30"/>
  <c r="AP44" i="30"/>
  <c r="AD42" i="30"/>
  <c r="AD39" i="30"/>
  <c r="AD35" i="30"/>
  <c r="AD41" i="30"/>
  <c r="AD46" i="30"/>
  <c r="AD49" i="30"/>
  <c r="AD43" i="30"/>
  <c r="AD40" i="30"/>
  <c r="AD36" i="30"/>
  <c r="AD48" i="30"/>
  <c r="AD45" i="30"/>
  <c r="AD51" i="30"/>
  <c r="AD44" i="30"/>
  <c r="AD31" i="30"/>
  <c r="AD37" i="30"/>
  <c r="AD32" i="30"/>
  <c r="AD34" i="30"/>
  <c r="AF35" i="30"/>
  <c r="AF46" i="30"/>
  <c r="AF43" i="30"/>
  <c r="AF40" i="30"/>
  <c r="AF42" i="30"/>
  <c r="AF36" i="30"/>
  <c r="AF48" i="30"/>
  <c r="AF51" i="30"/>
  <c r="AF44" i="30"/>
  <c r="AF31" i="30"/>
  <c r="AF41" i="30"/>
  <c r="AF37" i="30"/>
  <c r="AF34" i="30"/>
  <c r="AF39" i="30"/>
  <c r="AF49" i="30"/>
  <c r="AF45" i="30"/>
  <c r="AF32" i="30"/>
  <c r="AR34" i="30"/>
  <c r="AR49" i="30"/>
  <c r="AR45" i="30"/>
  <c r="AR42" i="30"/>
  <c r="AR39" i="30"/>
  <c r="AR35" i="30"/>
  <c r="AR46" i="30"/>
  <c r="AR43" i="30"/>
  <c r="AR40" i="30"/>
  <c r="AR37" i="30"/>
  <c r="AR36" i="30"/>
  <c r="AR48" i="30"/>
  <c r="AR41" i="30"/>
  <c r="AR51" i="30"/>
  <c r="AR44" i="30"/>
  <c r="AR31" i="30"/>
  <c r="AE39" i="30"/>
  <c r="AE35" i="30"/>
  <c r="AE46" i="30"/>
  <c r="AE43" i="30"/>
  <c r="AE40" i="30"/>
  <c r="AE36" i="30"/>
  <c r="AE32" i="30"/>
  <c r="AE48" i="30"/>
  <c r="AE51" i="30"/>
  <c r="AE44" i="30"/>
  <c r="AE31" i="30"/>
  <c r="AE37" i="30"/>
  <c r="AE41" i="30"/>
  <c r="AE34" i="30"/>
  <c r="AE45" i="30"/>
  <c r="AE49" i="30"/>
  <c r="AE42" i="30"/>
  <c r="AD15" i="30"/>
  <c r="AD9" i="30"/>
  <c r="AD5" i="30"/>
  <c r="AD24" i="30"/>
  <c r="AD14" i="30"/>
  <c r="AD8" i="30"/>
  <c r="AD4" i="30"/>
  <c r="AD22" i="30"/>
  <c r="AD13" i="30"/>
  <c r="AD7" i="30"/>
  <c r="AD21" i="30"/>
  <c r="AD12" i="30"/>
  <c r="AD10" i="30"/>
  <c r="AD19" i="30"/>
  <c r="AD18" i="30"/>
  <c r="AD17" i="30"/>
  <c r="AD16" i="30"/>
  <c r="AS49" i="30"/>
  <c r="AS45" i="30"/>
  <c r="AS42" i="30"/>
  <c r="AS34" i="30"/>
  <c r="AS39" i="30"/>
  <c r="AS35" i="30"/>
  <c r="AS46" i="30"/>
  <c r="AS48" i="30"/>
  <c r="AS43" i="30"/>
  <c r="AS40" i="30"/>
  <c r="AS36" i="30"/>
  <c r="AS51" i="30"/>
  <c r="AS44" i="30"/>
  <c r="AS31" i="30"/>
  <c r="AS41" i="30"/>
  <c r="AS37" i="30"/>
  <c r="AE10" i="30"/>
  <c r="AE15" i="30"/>
  <c r="AE24" i="30"/>
  <c r="AE14" i="30"/>
  <c r="AE8" i="30"/>
  <c r="AE4" i="30"/>
  <c r="AE17" i="30"/>
  <c r="AE22" i="30"/>
  <c r="AE13" i="30"/>
  <c r="AE7" i="30"/>
  <c r="AE21" i="30"/>
  <c r="AE12" i="30"/>
  <c r="AE19" i="30"/>
  <c r="AE18" i="30"/>
  <c r="AE16" i="30"/>
  <c r="AE5" i="30"/>
  <c r="AE9" i="30"/>
  <c r="AF24" i="30"/>
  <c r="AF14" i="30"/>
  <c r="AF8" i="30"/>
  <c r="AF4" i="30"/>
  <c r="AF9" i="30"/>
  <c r="AF22" i="30"/>
  <c r="AF13" i="30"/>
  <c r="AF7" i="30"/>
  <c r="AF21" i="30"/>
  <c r="AF12" i="30"/>
  <c r="AF19" i="30"/>
  <c r="AF18" i="30"/>
  <c r="AF15" i="30"/>
  <c r="AF17" i="30"/>
  <c r="AF5" i="30"/>
  <c r="AF16" i="30"/>
  <c r="AF10" i="30"/>
  <c r="AM36" i="30"/>
  <c r="AM48" i="30"/>
  <c r="AM51" i="30"/>
  <c r="AM44" i="30"/>
  <c r="AM31" i="30"/>
  <c r="AM40" i="30"/>
  <c r="AM41" i="30"/>
  <c r="AM37" i="30"/>
  <c r="AM34" i="30"/>
  <c r="AM49" i="30"/>
  <c r="AM45" i="30"/>
  <c r="AM42" i="30"/>
  <c r="AM39" i="30"/>
  <c r="AM35" i="30"/>
  <c r="AM46" i="30"/>
  <c r="AM43" i="30"/>
  <c r="AI43" i="30"/>
  <c r="AI46" i="30"/>
  <c r="AI40" i="30"/>
  <c r="AI36" i="30"/>
  <c r="AI48" i="30"/>
  <c r="AI51" i="30"/>
  <c r="AI44" i="30"/>
  <c r="AI31" i="30"/>
  <c r="AI41" i="30"/>
  <c r="AI37" i="30"/>
  <c r="AI34" i="30"/>
  <c r="AI49" i="30"/>
  <c r="AI42" i="30"/>
  <c r="AI45" i="30"/>
  <c r="AI32" i="30"/>
  <c r="AI39" i="30"/>
  <c r="AI35" i="30"/>
  <c r="AL36" i="30"/>
  <c r="AL43" i="30"/>
  <c r="AL48" i="30"/>
  <c r="AL51" i="30"/>
  <c r="AL44" i="30"/>
  <c r="AL31" i="30"/>
  <c r="AL41" i="30"/>
  <c r="AL37" i="30"/>
  <c r="AL40" i="30"/>
  <c r="AL34" i="30"/>
  <c r="AL35" i="30"/>
  <c r="AL49" i="30"/>
  <c r="AL45" i="30"/>
  <c r="AL42" i="30"/>
  <c r="AL39" i="30"/>
  <c r="AL46" i="30"/>
  <c r="AQ37" i="30"/>
  <c r="AQ44" i="30"/>
  <c r="AQ34" i="30"/>
  <c r="AQ31" i="30"/>
  <c r="AQ49" i="30"/>
  <c r="AQ36" i="30"/>
  <c r="AQ45" i="30"/>
  <c r="AQ42" i="30"/>
  <c r="AQ39" i="30"/>
  <c r="AQ51" i="30"/>
  <c r="AQ35" i="30"/>
  <c r="AQ46" i="30"/>
  <c r="AQ43" i="30"/>
  <c r="AQ40" i="30"/>
  <c r="AQ41" i="30"/>
  <c r="AQ48" i="30"/>
  <c r="AH22" i="30"/>
  <c r="AH13" i="30"/>
  <c r="AH7" i="30"/>
  <c r="AH21" i="30"/>
  <c r="AH12" i="30"/>
  <c r="AH19" i="30"/>
  <c r="AH18" i="30"/>
  <c r="AH8" i="30"/>
  <c r="AH17" i="30"/>
  <c r="AH16" i="30"/>
  <c r="AH10" i="30"/>
  <c r="AH15" i="30"/>
  <c r="AH9" i="30"/>
  <c r="AH5" i="30"/>
  <c r="AH24" i="30"/>
  <c r="AH14" i="30"/>
  <c r="AH4" i="30"/>
  <c r="AI21" i="30"/>
  <c r="AI12" i="30"/>
  <c r="AI19" i="30"/>
  <c r="AI15" i="30"/>
  <c r="AI4" i="30"/>
  <c r="AI18" i="30"/>
  <c r="AI9" i="30"/>
  <c r="AI17" i="30"/>
  <c r="AI10" i="30"/>
  <c r="AI5" i="30"/>
  <c r="AI7" i="30"/>
  <c r="AI16" i="30"/>
  <c r="AI22" i="30"/>
  <c r="AI13" i="30"/>
  <c r="AI14" i="30"/>
  <c r="AI8" i="30"/>
  <c r="AI24" i="30"/>
  <c r="AS17" i="30"/>
  <c r="AS7" i="30"/>
  <c r="AS16" i="30"/>
  <c r="AS10" i="30"/>
  <c r="AS15" i="30"/>
  <c r="AS9" i="30"/>
  <c r="AS24" i="30"/>
  <c r="AS14" i="30"/>
  <c r="AS8" i="30"/>
  <c r="AS4" i="30"/>
  <c r="AS21" i="30"/>
  <c r="AS22" i="30"/>
  <c r="AS13" i="30"/>
  <c r="AS12" i="30"/>
  <c r="AS19" i="30"/>
  <c r="AS11" i="30"/>
  <c r="AS18" i="30"/>
  <c r="AG46" i="30"/>
  <c r="AG43" i="30"/>
  <c r="AG40" i="30"/>
  <c r="AG36" i="30"/>
  <c r="AG49" i="30"/>
  <c r="AG48" i="30"/>
  <c r="AG51" i="30"/>
  <c r="AG44" i="30"/>
  <c r="AG31" i="30"/>
  <c r="AG39" i="30"/>
  <c r="AG41" i="30"/>
  <c r="AG35" i="30"/>
  <c r="AG37" i="30"/>
  <c r="AG34" i="30"/>
  <c r="AG45" i="30"/>
  <c r="AG32" i="30"/>
  <c r="AG42" i="30"/>
  <c r="AG22" i="30"/>
  <c r="AG13" i="30"/>
  <c r="AG7" i="30"/>
  <c r="AG4" i="30"/>
  <c r="AG8" i="30"/>
  <c r="AG21" i="30"/>
  <c r="AG12" i="30"/>
  <c r="AG24" i="30"/>
  <c r="AG19" i="30"/>
  <c r="AG9" i="30"/>
  <c r="AG18" i="30"/>
  <c r="AG10" i="30"/>
  <c r="AG17" i="30"/>
  <c r="AG16" i="30"/>
  <c r="AG14" i="30"/>
  <c r="AG15" i="30"/>
  <c r="AG5" i="30"/>
  <c r="AR18" i="30"/>
  <c r="AR17" i="30"/>
  <c r="AR11" i="30"/>
  <c r="AR16" i="30"/>
  <c r="AR10" i="30"/>
  <c r="AR15" i="30"/>
  <c r="AR9" i="30"/>
  <c r="AR8" i="30"/>
  <c r="AR4" i="30"/>
  <c r="AR19" i="30"/>
  <c r="AR24" i="30"/>
  <c r="AR14" i="30"/>
  <c r="AR22" i="30"/>
  <c r="AR13" i="30"/>
  <c r="AR7" i="30"/>
  <c r="AR21" i="30"/>
  <c r="AR12" i="30"/>
  <c r="AK40" i="30"/>
  <c r="AK36" i="30"/>
  <c r="AK48" i="30"/>
  <c r="AK51" i="30"/>
  <c r="AK44" i="30"/>
  <c r="AK31" i="30"/>
  <c r="AK41" i="30"/>
  <c r="AK37" i="30"/>
  <c r="AK34" i="30"/>
  <c r="AK49" i="30"/>
  <c r="AK45" i="30"/>
  <c r="AK39" i="30"/>
  <c r="AK42" i="30"/>
  <c r="AK46" i="30"/>
  <c r="AK35" i="30"/>
  <c r="AK43" i="30"/>
  <c r="AH46" i="30"/>
  <c r="AH43" i="30"/>
  <c r="AH32" i="30"/>
  <c r="AH40" i="30"/>
  <c r="AH36" i="30"/>
  <c r="AH45" i="30"/>
  <c r="AH35" i="30"/>
  <c r="AH48" i="30"/>
  <c r="AH51" i="30"/>
  <c r="AH44" i="30"/>
  <c r="AH31" i="30"/>
  <c r="AH41" i="30"/>
  <c r="AH37" i="30"/>
  <c r="AH34" i="30"/>
  <c r="AH49" i="30"/>
  <c r="AH42" i="30"/>
  <c r="AH39" i="30"/>
  <c r="AA34" i="30"/>
  <c r="AA49" i="30"/>
  <c r="AA45" i="30"/>
  <c r="AA32" i="30"/>
  <c r="AA42" i="30"/>
  <c r="AA39" i="30"/>
  <c r="AA35" i="30"/>
  <c r="AA37" i="30"/>
  <c r="AA46" i="30"/>
  <c r="AA43" i="30"/>
  <c r="AA40" i="30"/>
  <c r="AA36" i="30"/>
  <c r="AA48" i="30"/>
  <c r="AA41" i="30"/>
  <c r="AA51" i="30"/>
  <c r="AA44" i="30"/>
  <c r="AA31" i="30"/>
  <c r="AB49" i="30"/>
  <c r="AB45" i="30"/>
  <c r="AB32" i="30"/>
  <c r="AB42" i="30"/>
  <c r="AB39" i="30"/>
  <c r="AB35" i="30"/>
  <c r="AB48" i="30"/>
  <c r="AB37" i="30"/>
  <c r="AB46" i="30"/>
  <c r="AB43" i="30"/>
  <c r="AB34" i="30"/>
  <c r="AB40" i="30"/>
  <c r="AB36" i="30"/>
  <c r="AB51" i="30"/>
  <c r="AB44" i="30"/>
  <c r="AB31" i="30"/>
  <c r="AB41" i="30"/>
  <c r="AQ18" i="30"/>
  <c r="AQ19" i="30"/>
  <c r="AQ17" i="30"/>
  <c r="AQ11" i="30"/>
  <c r="AQ22" i="30"/>
  <c r="AQ7" i="30"/>
  <c r="AQ16" i="30"/>
  <c r="AQ10" i="30"/>
  <c r="AQ4" i="30"/>
  <c r="AQ13" i="30"/>
  <c r="AQ15" i="30"/>
  <c r="AQ9" i="30"/>
  <c r="AQ24" i="30"/>
  <c r="AQ14" i="30"/>
  <c r="AQ8" i="30"/>
  <c r="AQ12" i="30"/>
  <c r="AQ21" i="30"/>
  <c r="AM18" i="30"/>
  <c r="AM22" i="30"/>
  <c r="AM13" i="30"/>
  <c r="AM7" i="30"/>
  <c r="AM16" i="30"/>
  <c r="AM10" i="30"/>
  <c r="AM19" i="30"/>
  <c r="AM11" i="30"/>
  <c r="AM4" i="30"/>
  <c r="AM24" i="30"/>
  <c r="AM14" i="30"/>
  <c r="AM8" i="30"/>
  <c r="AM17" i="30"/>
  <c r="AM21" i="30"/>
  <c r="AM15" i="30"/>
  <c r="AM9" i="30"/>
  <c r="AM12" i="30"/>
  <c r="AC22" i="30"/>
  <c r="AC13" i="30"/>
  <c r="AC7" i="30"/>
  <c r="AC16" i="30"/>
  <c r="AC10" i="30"/>
  <c r="AC19" i="30"/>
  <c r="AC4" i="30"/>
  <c r="AC24" i="30"/>
  <c r="AC14" i="30"/>
  <c r="AC8" i="30"/>
  <c r="AC9" i="30"/>
  <c r="AC17" i="30"/>
  <c r="AC21" i="30"/>
  <c r="AC12" i="30"/>
  <c r="AC5" i="30"/>
  <c r="AC18" i="30"/>
  <c r="AC15" i="30"/>
  <c r="AB4" i="30"/>
  <c r="AB24" i="30"/>
  <c r="AB19" i="30"/>
  <c r="AB18" i="30"/>
  <c r="AB17" i="30"/>
  <c r="AB10" i="30"/>
  <c r="AB8" i="30"/>
  <c r="AB5" i="30"/>
  <c r="AB22" i="30"/>
  <c r="AB15" i="30"/>
  <c r="AB13" i="30"/>
  <c r="AB16" i="30"/>
  <c r="AB21" i="30"/>
  <c r="AB14" i="30"/>
  <c r="AB12" i="30"/>
  <c r="AB7" i="30"/>
  <c r="AB9" i="30"/>
  <c r="AL7" i="30"/>
  <c r="AL15" i="30"/>
  <c r="AL14" i="30"/>
  <c r="AL12" i="30"/>
  <c r="AL10" i="30"/>
  <c r="AL22" i="30"/>
  <c r="AL16" i="30"/>
  <c r="AL11" i="30"/>
  <c r="AL8" i="30"/>
  <c r="AL4" i="30"/>
  <c r="AL24" i="30"/>
  <c r="AL19" i="30"/>
  <c r="AL18" i="30"/>
  <c r="AL17" i="30"/>
  <c r="AL9" i="30"/>
  <c r="AL21" i="30"/>
  <c r="AL13" i="30"/>
  <c r="AA12" i="30"/>
  <c r="AA5" i="30"/>
  <c r="AA24" i="30"/>
  <c r="AA19" i="30"/>
  <c r="AA7" i="30"/>
  <c r="AA16" i="30"/>
  <c r="AA10" i="30"/>
  <c r="AA13" i="30"/>
  <c r="AA21" i="30"/>
  <c r="AA17" i="30"/>
  <c r="AA14" i="30"/>
  <c r="AA8" i="30"/>
  <c r="AA22" i="30"/>
  <c r="AA4" i="30"/>
  <c r="AA18" i="30"/>
  <c r="AA15" i="30"/>
  <c r="AA9" i="30"/>
  <c r="AK17" i="30"/>
  <c r="AK14" i="30"/>
  <c r="AK8" i="30"/>
  <c r="AK11" i="30"/>
  <c r="AK4" i="30"/>
  <c r="AK15" i="30"/>
  <c r="AK13" i="30"/>
  <c r="AK22" i="30"/>
  <c r="AK9" i="30"/>
  <c r="AK18" i="30"/>
  <c r="AK12" i="30"/>
  <c r="AK24" i="30"/>
  <c r="AK7" i="30"/>
  <c r="AK19" i="30"/>
  <c r="AK16" i="30"/>
  <c r="AK10" i="30"/>
  <c r="AK21" i="30"/>
  <c r="AL123" i="91"/>
  <c r="N4" i="30" l="1"/>
  <c r="O13" i="30"/>
  <c r="N12" i="30"/>
  <c r="N5" i="30"/>
  <c r="N40" i="30"/>
  <c r="N13" i="30"/>
  <c r="O7" i="30"/>
  <c r="N14" i="30"/>
  <c r="N9" i="30"/>
  <c r="O12" i="30"/>
  <c r="O15" i="30"/>
  <c r="O4" i="30"/>
  <c r="N43" i="30"/>
  <c r="N48" i="30"/>
  <c r="N10" i="30"/>
  <c r="N7" i="30"/>
  <c r="O22" i="30"/>
  <c r="O19" i="30"/>
  <c r="N19" i="30"/>
  <c r="N16" i="30"/>
  <c r="N15" i="30"/>
  <c r="O24" i="30"/>
  <c r="N31" i="30"/>
  <c r="N24" i="30"/>
  <c r="O14" i="30"/>
  <c r="N8" i="30"/>
  <c r="N37" i="30"/>
  <c r="N39" i="30"/>
  <c r="O9" i="30"/>
  <c r="N32" i="30"/>
  <c r="O10" i="30"/>
  <c r="N35" i="30"/>
  <c r="N46" i="30"/>
  <c r="O8" i="30"/>
  <c r="O16" i="30"/>
  <c r="N49" i="30"/>
  <c r="N34" i="30"/>
  <c r="N42" i="30"/>
  <c r="N51" i="30"/>
  <c r="N41" i="30"/>
  <c r="N36" i="30"/>
  <c r="N22" i="30"/>
  <c r="N21" i="30"/>
  <c r="O21" i="30"/>
  <c r="BK151" i="2"/>
  <c r="BK150" i="2"/>
  <c r="BK131" i="2"/>
  <c r="BK130" i="2"/>
  <c r="R111" i="23"/>
  <c r="AK83" i="23" l="1"/>
  <c r="AK23" i="23"/>
  <c r="X31" i="23" l="1"/>
  <c r="F41" i="15" l="1"/>
  <c r="D15" i="15"/>
  <c r="L98" i="71" l="1"/>
  <c r="C86" i="71"/>
  <c r="C85" i="71"/>
  <c r="K83" i="71"/>
  <c r="L38" i="71"/>
  <c r="D19" i="60" l="1"/>
  <c r="D16" i="60"/>
  <c r="D13" i="60"/>
  <c r="D10" i="60"/>
  <c r="C75" i="71" l="1"/>
  <c r="C15" i="71"/>
  <c r="W33" i="82" l="1"/>
  <c r="K126" i="68" l="1"/>
  <c r="P135" i="68" s="1"/>
  <c r="D36" i="68" l="1"/>
  <c r="C14" i="68"/>
  <c r="V24" i="71" l="1"/>
  <c r="H136" i="84" l="1"/>
  <c r="X116" i="5" l="1"/>
  <c r="Y116" i="5" s="1"/>
  <c r="X2" i="5"/>
  <c r="T136" i="5" l="1"/>
  <c r="T137" i="5"/>
  <c r="T139" i="5" s="1"/>
  <c r="M7" i="5"/>
  <c r="Y2" i="5"/>
  <c r="T22" i="5" s="1"/>
  <c r="T23" i="5" s="1"/>
  <c r="T25" i="5" s="1"/>
  <c r="X117" i="23"/>
  <c r="AH116" i="23"/>
  <c r="X116" i="23"/>
  <c r="B115" i="23"/>
  <c r="T113" i="23"/>
  <c r="AB112" i="23"/>
  <c r="AB111" i="23"/>
  <c r="X111" i="23"/>
  <c r="AB110" i="23"/>
  <c r="B109" i="23"/>
  <c r="D105" i="23"/>
  <c r="D101" i="23"/>
  <c r="K100" i="23"/>
  <c r="X97" i="23"/>
  <c r="X96" i="23"/>
  <c r="X95" i="23"/>
  <c r="D92" i="23"/>
  <c r="AL91" i="23"/>
  <c r="X91" i="23"/>
  <c r="D94" i="23" s="1"/>
  <c r="X88" i="23"/>
  <c r="X89" i="23" s="1"/>
  <c r="D83" i="23"/>
  <c r="D82" i="23"/>
  <c r="AJ77" i="23"/>
  <c r="X76" i="23"/>
  <c r="E72" i="23"/>
  <c r="AE66" i="23"/>
  <c r="B65" i="23"/>
  <c r="W63" i="23"/>
  <c r="Y70" i="5"/>
  <c r="X84" i="23" l="1"/>
  <c r="Y124" i="5"/>
  <c r="Y122" i="5"/>
  <c r="Y120" i="5"/>
  <c r="Y10" i="5"/>
  <c r="Y8" i="5"/>
  <c r="Y6" i="5"/>
  <c r="AL50" i="23" s="1"/>
  <c r="AL51" i="23" l="1"/>
  <c r="AL125" i="23" s="1"/>
  <c r="AL124" i="23"/>
  <c r="AM50" i="23"/>
  <c r="AM124" i="23" s="1"/>
  <c r="AM51" i="23"/>
  <c r="AM125" i="23" s="1"/>
  <c r="Y11" i="5"/>
  <c r="W5" i="5" s="1"/>
  <c r="Y125" i="5"/>
  <c r="W119" i="5" s="1"/>
  <c r="AJ65" i="23" l="1"/>
  <c r="AJ12" i="23"/>
  <c r="AL42" i="23" s="1"/>
  <c r="AH6" i="56"/>
  <c r="W9" i="56" s="1"/>
  <c r="AL31" i="23"/>
  <c r="AJ72" i="23" l="1"/>
  <c r="AL107" i="23" s="1"/>
  <c r="AJ7" i="23"/>
  <c r="AM116" i="23" s="1"/>
  <c r="AM111" i="23" l="1"/>
  <c r="AN133" i="23"/>
  <c r="AM133" i="23"/>
  <c r="AL12" i="23"/>
  <c r="AM42" i="23" s="1"/>
  <c r="W6" i="23"/>
  <c r="D28" i="82" l="1"/>
  <c r="D35" i="82"/>
  <c r="D41" i="82"/>
  <c r="K112" i="71" l="1"/>
  <c r="C112" i="71"/>
  <c r="K52" i="71"/>
  <c r="C30" i="71"/>
  <c r="C26" i="71"/>
  <c r="C25" i="71"/>
  <c r="AP46" i="76"/>
  <c r="D185" i="62"/>
  <c r="D183" i="62"/>
  <c r="C42" i="59" l="1"/>
  <c r="K41" i="59"/>
  <c r="R51" i="23" l="1"/>
  <c r="D32" i="23"/>
  <c r="AJ17" i="23" l="1"/>
  <c r="E12" i="23"/>
  <c r="D23" i="23"/>
  <c r="AH24" i="56"/>
  <c r="D45" i="23"/>
  <c r="X35" i="23"/>
  <c r="X28" i="23"/>
  <c r="X16" i="23" l="1"/>
  <c r="X51" i="23" l="1"/>
  <c r="X57" i="23"/>
  <c r="AB52" i="23"/>
  <c r="AB51" i="23"/>
  <c r="AB50" i="23"/>
  <c r="X24" i="23" l="1"/>
  <c r="J50" i="67"/>
  <c r="X17" i="23"/>
  <c r="D22" i="23"/>
  <c r="T53" i="23" l="1"/>
  <c r="X56" i="23"/>
  <c r="B55" i="23"/>
  <c r="B49" i="23"/>
  <c r="D41" i="23"/>
  <c r="X37" i="23"/>
  <c r="X36" i="23"/>
  <c r="D34" i="23"/>
  <c r="G49" i="86"/>
  <c r="G52" i="86"/>
  <c r="AB119" i="23" l="1"/>
  <c r="AB118" i="23"/>
  <c r="AB117" i="23"/>
  <c r="AB59" i="23"/>
  <c r="AB58" i="23"/>
  <c r="AB57" i="23"/>
  <c r="C14" i="56"/>
  <c r="AE122" i="56"/>
  <c r="B62" i="56"/>
  <c r="AE61" i="56"/>
  <c r="AH106" i="37"/>
  <c r="L2" i="98" l="1"/>
  <c r="AO265" i="84"/>
  <c r="AO133" i="84"/>
  <c r="B197" i="84"/>
  <c r="B65" i="84"/>
  <c r="X8" i="37"/>
  <c r="V44" i="6" l="1"/>
  <c r="V83" i="6"/>
  <c r="Q98" i="6" l="1"/>
  <c r="B52" i="6"/>
  <c r="Q50" i="6"/>
  <c r="J15" i="5"/>
  <c r="B64" i="5"/>
  <c r="B178" i="5"/>
  <c r="AD3" i="3"/>
  <c r="T75" i="3"/>
  <c r="T77" i="3" s="1"/>
  <c r="T71" i="3"/>
  <c r="P62" i="3" s="1"/>
  <c r="P67" i="3" l="1"/>
  <c r="J60" i="3" l="1"/>
  <c r="AH54" i="79" l="1"/>
  <c r="AL134" i="2" l="1"/>
  <c r="BR4" i="2" l="1"/>
  <c r="BQ4" i="2"/>
  <c r="BP4" i="2"/>
  <c r="BO4" i="2"/>
  <c r="BN4" i="2"/>
  <c r="BR9" i="2"/>
  <c r="BQ9" i="2"/>
  <c r="BP9" i="2"/>
  <c r="BO9" i="2"/>
  <c r="BR3" i="2"/>
  <c r="BQ3" i="2"/>
  <c r="BP3" i="2"/>
  <c r="BO3" i="2"/>
  <c r="BN9" i="2"/>
  <c r="BN3" i="2"/>
  <c r="AG52" i="80"/>
  <c r="H110" i="2"/>
  <c r="AK61" i="2" l="1"/>
  <c r="AK62" i="2"/>
  <c r="AK68" i="2"/>
  <c r="C57" i="52" l="1"/>
  <c r="C48" i="52"/>
  <c r="F11" i="89" l="1"/>
  <c r="F12" i="89"/>
  <c r="F13" i="89"/>
  <c r="F14" i="89"/>
  <c r="F16" i="89"/>
  <c r="F18" i="89"/>
  <c r="F19" i="89"/>
  <c r="F20" i="89"/>
  <c r="F25" i="89"/>
  <c r="F26" i="89"/>
  <c r="F27" i="89"/>
  <c r="F28" i="89"/>
  <c r="F29" i="89"/>
  <c r="F30" i="89"/>
  <c r="F22" i="89"/>
  <c r="F31" i="89"/>
  <c r="F32" i="89"/>
  <c r="F23" i="89"/>
  <c r="F24" i="89"/>
  <c r="F33" i="89"/>
  <c r="F34" i="89"/>
  <c r="F35" i="89"/>
  <c r="F36" i="89"/>
  <c r="F37" i="89"/>
  <c r="F38" i="89"/>
  <c r="F40" i="89"/>
  <c r="F41" i="89"/>
  <c r="F42" i="89"/>
  <c r="F43" i="89"/>
  <c r="F44" i="89"/>
  <c r="F45" i="89"/>
  <c r="F46" i="89"/>
  <c r="F50" i="89"/>
  <c r="F51" i="89"/>
  <c r="F53" i="89"/>
  <c r="F55" i="89"/>
  <c r="F57" i="89"/>
  <c r="F59" i="89"/>
  <c r="F61" i="89"/>
  <c r="F62" i="89"/>
  <c r="F63" i="89"/>
  <c r="F64" i="89"/>
  <c r="F65" i="89"/>
  <c r="F66" i="89"/>
  <c r="F67" i="89"/>
  <c r="F69" i="89"/>
  <c r="F70" i="89"/>
  <c r="F71" i="89"/>
  <c r="F10" i="89"/>
  <c r="R65" i="33" l="1"/>
  <c r="R30" i="30" l="1"/>
  <c r="S30" i="30"/>
  <c r="T30" i="30"/>
  <c r="U30" i="30"/>
  <c r="V30" i="30"/>
  <c r="W30" i="30"/>
  <c r="X30" i="30"/>
  <c r="Y30" i="30"/>
  <c r="Q30" i="30"/>
  <c r="R3" i="30"/>
  <c r="S3" i="30"/>
  <c r="T3" i="30"/>
  <c r="U3" i="30"/>
  <c r="W3" i="30"/>
  <c r="X3" i="30"/>
  <c r="Y3" i="30"/>
  <c r="Q3" i="30"/>
  <c r="Y37" i="30" l="1"/>
  <c r="Y31" i="30"/>
  <c r="Y34" i="30"/>
  <c r="Y41" i="30"/>
  <c r="Y49" i="30"/>
  <c r="Y45" i="30"/>
  <c r="Y32" i="30"/>
  <c r="Y42" i="30"/>
  <c r="Y39" i="30"/>
  <c r="Y35" i="30"/>
  <c r="Y44" i="30"/>
  <c r="Y50" i="30"/>
  <c r="Y36" i="30"/>
  <c r="Y51" i="30"/>
  <c r="Y46" i="30"/>
  <c r="Y43" i="30"/>
  <c r="Y40" i="30"/>
  <c r="Y48" i="30"/>
  <c r="X16" i="30"/>
  <c r="X10" i="30"/>
  <c r="X12" i="30"/>
  <c r="X15" i="30"/>
  <c r="X9" i="30"/>
  <c r="X5" i="30"/>
  <c r="X24" i="30"/>
  <c r="X14" i="30"/>
  <c r="X8" i="30"/>
  <c r="X4" i="30"/>
  <c r="X17" i="30"/>
  <c r="X22" i="30"/>
  <c r="X13" i="30"/>
  <c r="X7" i="30"/>
  <c r="X21" i="30"/>
  <c r="X19" i="30"/>
  <c r="X18" i="30"/>
  <c r="V48" i="30"/>
  <c r="V51" i="30"/>
  <c r="V44" i="30"/>
  <c r="V31" i="30"/>
  <c r="V41" i="30"/>
  <c r="V37" i="30"/>
  <c r="V34" i="30"/>
  <c r="V49" i="30"/>
  <c r="V45" i="30"/>
  <c r="V32" i="30"/>
  <c r="V42" i="30"/>
  <c r="V46" i="30"/>
  <c r="V39" i="30"/>
  <c r="V35" i="30"/>
  <c r="V50" i="30"/>
  <c r="V43" i="30"/>
  <c r="V36" i="30"/>
  <c r="V40" i="30"/>
  <c r="U12" i="30"/>
  <c r="U17" i="30"/>
  <c r="U16" i="30"/>
  <c r="U10" i="30"/>
  <c r="U15" i="30"/>
  <c r="U9" i="30"/>
  <c r="U5" i="30"/>
  <c r="U7" i="30"/>
  <c r="U4" i="30"/>
  <c r="U24" i="30"/>
  <c r="U14" i="30"/>
  <c r="U8" i="30"/>
  <c r="U22" i="30"/>
  <c r="U13" i="30"/>
  <c r="U21" i="30"/>
  <c r="U18" i="30"/>
  <c r="U19" i="30"/>
  <c r="Q46" i="30"/>
  <c r="Q43" i="30"/>
  <c r="Q40" i="30"/>
  <c r="Q50" i="30"/>
  <c r="Q36" i="30"/>
  <c r="Q48" i="30"/>
  <c r="Q32" i="30"/>
  <c r="Q51" i="30"/>
  <c r="Q44" i="30"/>
  <c r="Q31" i="30"/>
  <c r="Q41" i="30"/>
  <c r="Q37" i="30"/>
  <c r="Q34" i="30"/>
  <c r="Q49" i="30"/>
  <c r="Q45" i="30"/>
  <c r="Q35" i="30"/>
  <c r="Q42" i="30"/>
  <c r="Q39" i="30"/>
  <c r="U48" i="30"/>
  <c r="U51" i="30"/>
  <c r="U44" i="30"/>
  <c r="U31" i="30"/>
  <c r="U41" i="30"/>
  <c r="U37" i="30"/>
  <c r="U40" i="30"/>
  <c r="U34" i="30"/>
  <c r="U49" i="30"/>
  <c r="U45" i="30"/>
  <c r="U32" i="30"/>
  <c r="U42" i="30"/>
  <c r="U50" i="30"/>
  <c r="U39" i="30"/>
  <c r="U35" i="30"/>
  <c r="U46" i="30"/>
  <c r="U43" i="30"/>
  <c r="U36" i="30"/>
  <c r="W16" i="30"/>
  <c r="W10" i="30"/>
  <c r="W15" i="30"/>
  <c r="W9" i="30"/>
  <c r="W5" i="30"/>
  <c r="W17" i="30"/>
  <c r="W24" i="30"/>
  <c r="W14" i="30"/>
  <c r="W8" i="30"/>
  <c r="W4" i="30"/>
  <c r="W22" i="30"/>
  <c r="W13" i="30"/>
  <c r="W7" i="30"/>
  <c r="W21" i="30"/>
  <c r="W12" i="30"/>
  <c r="W19" i="30"/>
  <c r="W18" i="30"/>
  <c r="T36" i="30"/>
  <c r="T48" i="30"/>
  <c r="T51" i="30"/>
  <c r="T44" i="30"/>
  <c r="T31" i="30"/>
  <c r="T35" i="30"/>
  <c r="T40" i="30"/>
  <c r="T41" i="30"/>
  <c r="T37" i="30"/>
  <c r="T34" i="30"/>
  <c r="T49" i="30"/>
  <c r="T45" i="30"/>
  <c r="T32" i="30"/>
  <c r="T42" i="30"/>
  <c r="T39" i="30"/>
  <c r="T50" i="30"/>
  <c r="T43" i="30"/>
  <c r="T46" i="30"/>
  <c r="Y15" i="30"/>
  <c r="Y9" i="30"/>
  <c r="Y5" i="30"/>
  <c r="Y24" i="30"/>
  <c r="Y14" i="30"/>
  <c r="Y8" i="30"/>
  <c r="Y4" i="30"/>
  <c r="Y22" i="30"/>
  <c r="Y13" i="30"/>
  <c r="Y7" i="30"/>
  <c r="Y16" i="30"/>
  <c r="Y21" i="30"/>
  <c r="Y12" i="30"/>
  <c r="Y18" i="30"/>
  <c r="Y19" i="30"/>
  <c r="Y10" i="30"/>
  <c r="Y17" i="30"/>
  <c r="W51" i="30"/>
  <c r="W44" i="30"/>
  <c r="W31" i="30"/>
  <c r="W41" i="30"/>
  <c r="W37" i="30"/>
  <c r="W34" i="30"/>
  <c r="W49" i="30"/>
  <c r="W45" i="30"/>
  <c r="W32" i="30"/>
  <c r="W42" i="30"/>
  <c r="W48" i="30"/>
  <c r="W39" i="30"/>
  <c r="W35" i="30"/>
  <c r="W43" i="30"/>
  <c r="W50" i="30"/>
  <c r="W46" i="30"/>
  <c r="W40" i="30"/>
  <c r="W36" i="30"/>
  <c r="S40" i="30"/>
  <c r="S36" i="30"/>
  <c r="S48" i="30"/>
  <c r="S46" i="30"/>
  <c r="S51" i="30"/>
  <c r="S44" i="30"/>
  <c r="S31" i="30"/>
  <c r="S41" i="30"/>
  <c r="S37" i="30"/>
  <c r="S34" i="30"/>
  <c r="S49" i="30"/>
  <c r="S39" i="30"/>
  <c r="S45" i="30"/>
  <c r="S32" i="30"/>
  <c r="S42" i="30"/>
  <c r="S43" i="30"/>
  <c r="S35" i="30"/>
  <c r="S50" i="30"/>
  <c r="T18" i="30"/>
  <c r="T8" i="30"/>
  <c r="T17" i="30"/>
  <c r="T16" i="30"/>
  <c r="T10" i="30"/>
  <c r="T14" i="30"/>
  <c r="T15" i="30"/>
  <c r="T9" i="30"/>
  <c r="T5" i="30"/>
  <c r="T24" i="30"/>
  <c r="T4" i="30"/>
  <c r="T22" i="30"/>
  <c r="T13" i="30"/>
  <c r="T7" i="30"/>
  <c r="T21" i="30"/>
  <c r="T12" i="30"/>
  <c r="T19" i="30"/>
  <c r="X41" i="30"/>
  <c r="X37" i="30"/>
  <c r="X34" i="30"/>
  <c r="X49" i="30"/>
  <c r="X31" i="30"/>
  <c r="X45" i="30"/>
  <c r="X32" i="30"/>
  <c r="X40" i="30"/>
  <c r="X42" i="30"/>
  <c r="X39" i="30"/>
  <c r="X35" i="30"/>
  <c r="X51" i="30"/>
  <c r="X50" i="30"/>
  <c r="X46" i="30"/>
  <c r="X43" i="30"/>
  <c r="X44" i="30"/>
  <c r="X36" i="30"/>
  <c r="X48" i="30"/>
  <c r="R43" i="30"/>
  <c r="R40" i="30"/>
  <c r="R36" i="30"/>
  <c r="R50" i="30"/>
  <c r="R46" i="30"/>
  <c r="R48" i="30"/>
  <c r="R51" i="30"/>
  <c r="R44" i="30"/>
  <c r="R31" i="30"/>
  <c r="R41" i="30"/>
  <c r="R37" i="30"/>
  <c r="R34" i="30"/>
  <c r="R49" i="30"/>
  <c r="R42" i="30"/>
  <c r="R45" i="30"/>
  <c r="R32" i="30"/>
  <c r="R39" i="30"/>
  <c r="R35" i="30"/>
  <c r="S16" i="30"/>
  <c r="S10" i="30"/>
  <c r="S19" i="30"/>
  <c r="S4" i="30"/>
  <c r="S18" i="30"/>
  <c r="S24" i="30"/>
  <c r="S14" i="30"/>
  <c r="S8" i="30"/>
  <c r="S17" i="30"/>
  <c r="S21" i="30"/>
  <c r="S12" i="30"/>
  <c r="S5" i="30"/>
  <c r="S15" i="30"/>
  <c r="S9" i="30"/>
  <c r="S22" i="30"/>
  <c r="S13" i="30"/>
  <c r="S7" i="30"/>
  <c r="R24" i="30"/>
  <c r="R19" i="30"/>
  <c r="R17" i="30"/>
  <c r="R15" i="30"/>
  <c r="R13" i="30"/>
  <c r="R10" i="30"/>
  <c r="R21" i="30"/>
  <c r="R18" i="30"/>
  <c r="R8" i="30"/>
  <c r="R5" i="30"/>
  <c r="R14" i="30"/>
  <c r="R9" i="30"/>
  <c r="R22" i="30"/>
  <c r="R12" i="30"/>
  <c r="R16" i="30"/>
  <c r="R4" i="30"/>
  <c r="R7" i="30"/>
  <c r="Q21" i="30"/>
  <c r="Q17" i="30"/>
  <c r="Q14" i="30"/>
  <c r="Q8" i="30"/>
  <c r="Q22" i="30"/>
  <c r="Q16" i="30"/>
  <c r="Q4" i="30"/>
  <c r="Q18" i="30"/>
  <c r="Q15" i="30"/>
  <c r="Q9" i="30"/>
  <c r="Q12" i="30"/>
  <c r="Q5" i="30"/>
  <c r="Q24" i="30"/>
  <c r="Q10" i="30"/>
  <c r="Q19" i="30"/>
  <c r="Q13" i="30"/>
  <c r="Q7" i="30"/>
  <c r="M37" i="30" l="1"/>
  <c r="M34" i="30"/>
  <c r="M49" i="30"/>
  <c r="M36" i="30"/>
  <c r="M41" i="30"/>
  <c r="M46" i="30"/>
  <c r="M43" i="30"/>
  <c r="M21" i="30"/>
  <c r="M39" i="30"/>
  <c r="M31" i="30"/>
  <c r="M32" i="30"/>
  <c r="M51" i="30"/>
  <c r="M42" i="30"/>
  <c r="M40" i="30"/>
  <c r="M35" i="30"/>
  <c r="M48" i="30"/>
  <c r="M16" i="30"/>
  <c r="M24" i="30"/>
  <c r="M5" i="30"/>
  <c r="M9" i="30"/>
  <c r="M10" i="30"/>
  <c r="M7" i="30"/>
  <c r="M14" i="30"/>
  <c r="M19" i="30"/>
  <c r="M8" i="30"/>
  <c r="M22" i="30"/>
  <c r="M12" i="30"/>
  <c r="M15" i="30"/>
  <c r="O40" i="30"/>
  <c r="F67" i="30" s="1"/>
  <c r="O48" i="30"/>
  <c r="F75" i="30" s="1"/>
  <c r="O49" i="30"/>
  <c r="F76" i="30" s="1"/>
  <c r="O41" i="30"/>
  <c r="F68" i="30" s="1"/>
  <c r="O35" i="30"/>
  <c r="F62" i="30" s="1"/>
  <c r="O36" i="30"/>
  <c r="F63" i="30" s="1"/>
  <c r="O42" i="30"/>
  <c r="F69" i="30" s="1"/>
  <c r="O31" i="30"/>
  <c r="O46" i="30"/>
  <c r="F73" i="30" s="1"/>
  <c r="O34" i="30"/>
  <c r="F61" i="30" s="1"/>
  <c r="O39" i="30"/>
  <c r="O43" i="30"/>
  <c r="F70" i="30" s="1"/>
  <c r="O51" i="30"/>
  <c r="F78" i="30" s="1"/>
  <c r="O37" i="30"/>
  <c r="F64" i="30" s="1"/>
  <c r="AE191" i="91" l="1"/>
  <c r="AM13" i="91"/>
  <c r="AM125" i="91"/>
  <c r="F58" i="30"/>
  <c r="K15" i="87"/>
  <c r="K35" i="87" s="1"/>
  <c r="K13" i="87"/>
  <c r="K33" i="87" s="1"/>
  <c r="AL134" i="91" l="1"/>
  <c r="AL131" i="91"/>
  <c r="AL133" i="91"/>
  <c r="AL132" i="91"/>
  <c r="AL135" i="91"/>
  <c r="AL23" i="91"/>
  <c r="AL19" i="91"/>
  <c r="AL22" i="91"/>
  <c r="AL21" i="91"/>
  <c r="AL20" i="91"/>
  <c r="AL18" i="91"/>
  <c r="AL16" i="91"/>
  <c r="AL15" i="91"/>
  <c r="AL14" i="91"/>
  <c r="AL130" i="91"/>
  <c r="AL128" i="91"/>
  <c r="AL127" i="91"/>
  <c r="AL126" i="91"/>
  <c r="AL129" i="91"/>
  <c r="AL17" i="91"/>
  <c r="AM147" i="91"/>
  <c r="AP194" i="91" s="1"/>
  <c r="AR192" i="91" l="1"/>
  <c r="AO191" i="91"/>
  <c r="AM191" i="91"/>
  <c r="AO190" i="91"/>
  <c r="AR199" i="91"/>
  <c r="AP199" i="91"/>
  <c r="AR198" i="91"/>
  <c r="AP198" i="91"/>
  <c r="AO198" i="91"/>
  <c r="AR194" i="91"/>
  <c r="AO194" i="91"/>
  <c r="AR202" i="91"/>
  <c r="AO202" i="91"/>
  <c r="AR201" i="91"/>
  <c r="AO201" i="91"/>
  <c r="AR200" i="91"/>
  <c r="AP200" i="91"/>
  <c r="AO200" i="91"/>
  <c r="AO199" i="91"/>
  <c r="AP193" i="91"/>
  <c r="AO193" i="91"/>
  <c r="AO192" i="91"/>
  <c r="AM148" i="91"/>
  <c r="AM35" i="91"/>
  <c r="AO77" i="91" l="1"/>
  <c r="AP80" i="91"/>
  <c r="AP81" i="91"/>
  <c r="AR79" i="91"/>
  <c r="AO81" i="91"/>
  <c r="AR89" i="91"/>
  <c r="AO86" i="91"/>
  <c r="AO89" i="91"/>
  <c r="AO88" i="91"/>
  <c r="AP87" i="91"/>
  <c r="AO87" i="91"/>
  <c r="AP86" i="91"/>
  <c r="AP85" i="91"/>
  <c r="AR81" i="91"/>
  <c r="AO85" i="91"/>
  <c r="AO79" i="91"/>
  <c r="AO78" i="91"/>
  <c r="AR88" i="91"/>
  <c r="AR87" i="91"/>
  <c r="AR86" i="91"/>
  <c r="AR85" i="91"/>
  <c r="AO80" i="91"/>
  <c r="AM36" i="91"/>
  <c r="AM93" i="91"/>
  <c r="AJ230" i="91"/>
  <c r="AE205" i="91"/>
  <c r="AM205" i="91" s="1"/>
  <c r="X203" i="91"/>
  <c r="I193" i="91"/>
  <c r="B175" i="91"/>
  <c r="M173" i="91"/>
  <c r="Y167" i="91"/>
  <c r="AL164" i="91"/>
  <c r="D146" i="91"/>
  <c r="AE208" i="91" l="1"/>
  <c r="AE211" i="91"/>
  <c r="AE218" i="91" s="1"/>
  <c r="AE96" i="91"/>
  <c r="AE99" i="91" s="1"/>
  <c r="AE106" i="91" s="1"/>
  <c r="AE149" i="91"/>
  <c r="AE37" i="91"/>
  <c r="D34" i="91"/>
  <c r="B12" i="91"/>
  <c r="AC8" i="91"/>
  <c r="AY274" i="90" l="1"/>
  <c r="AY271" i="90"/>
  <c r="AR269" i="90"/>
  <c r="AR268" i="90"/>
  <c r="AR267" i="90"/>
  <c r="AR266" i="90"/>
  <c r="AR264" i="90"/>
  <c r="AQ261" i="90"/>
  <c r="AQ258" i="90"/>
  <c r="AY216" i="90"/>
  <c r="AY213" i="90"/>
  <c r="AR211" i="90"/>
  <c r="AR210" i="90"/>
  <c r="AR209" i="90"/>
  <c r="AR208" i="90"/>
  <c r="AR206" i="90"/>
  <c r="AQ203" i="90"/>
  <c r="AQ200" i="90"/>
  <c r="AY158" i="90"/>
  <c r="AY155" i="90"/>
  <c r="AR153" i="90"/>
  <c r="AR152" i="90"/>
  <c r="AR151" i="90"/>
  <c r="AR150" i="90"/>
  <c r="AR148" i="90"/>
  <c r="AQ145" i="90"/>
  <c r="AQ142" i="90"/>
  <c r="AH279" i="90" l="1"/>
  <c r="AH221" i="90"/>
  <c r="AH163" i="90"/>
  <c r="AO276" i="90" l="1"/>
  <c r="AO277" i="90"/>
  <c r="AJ288" i="90"/>
  <c r="D282" i="90"/>
  <c r="D281" i="90"/>
  <c r="R280" i="90"/>
  <c r="AC273" i="90"/>
  <c r="E272" i="90"/>
  <c r="AE287" i="90"/>
  <c r="AO45" i="90" s="1"/>
  <c r="AC270" i="90"/>
  <c r="T266" i="90"/>
  <c r="AC261" i="90"/>
  <c r="V252" i="90"/>
  <c r="E252" i="90"/>
  <c r="V249" i="90"/>
  <c r="E249" i="90"/>
  <c r="B231" i="90"/>
  <c r="AJ230" i="90"/>
  <c r="D224" i="90"/>
  <c r="D223" i="90"/>
  <c r="R222" i="90"/>
  <c r="AC215" i="90"/>
  <c r="E214" i="90"/>
  <c r="AE229" i="90"/>
  <c r="AC212" i="90"/>
  <c r="E212" i="90"/>
  <c r="T208" i="90"/>
  <c r="AC203" i="90"/>
  <c r="V194" i="90"/>
  <c r="E194" i="90"/>
  <c r="V191" i="90"/>
  <c r="E191" i="90"/>
  <c r="B173" i="90"/>
  <c r="AJ172" i="90"/>
  <c r="D166" i="90"/>
  <c r="D165" i="90"/>
  <c r="R164" i="90"/>
  <c r="AC157" i="90"/>
  <c r="E156" i="90"/>
  <c r="AE171" i="90"/>
  <c r="AC154" i="90"/>
  <c r="E154" i="90"/>
  <c r="T150" i="90"/>
  <c r="AC145" i="90"/>
  <c r="V136" i="90"/>
  <c r="E136" i="90"/>
  <c r="V133" i="90"/>
  <c r="E133" i="90"/>
  <c r="B115" i="90"/>
  <c r="D107" i="90"/>
  <c r="R106" i="90"/>
  <c r="D108" i="90"/>
  <c r="D39" i="90"/>
  <c r="D38" i="90"/>
  <c r="AE280" i="90" l="1"/>
  <c r="AE281" i="90" s="1"/>
  <c r="AE222" i="90"/>
  <c r="AE223" i="90" s="1"/>
  <c r="AE164" i="90"/>
  <c r="AO219" i="90"/>
  <c r="AO218" i="90"/>
  <c r="AO161" i="90"/>
  <c r="AO160" i="90"/>
  <c r="AO44" i="90"/>
  <c r="AO43" i="90"/>
  <c r="AH105" i="90"/>
  <c r="AC99" i="90"/>
  <c r="AC96" i="90"/>
  <c r="AC87" i="90"/>
  <c r="E98" i="90"/>
  <c r="E96" i="90"/>
  <c r="V75" i="90"/>
  <c r="V78" i="90"/>
  <c r="E78" i="90"/>
  <c r="E75" i="90"/>
  <c r="AB163" i="90" l="1"/>
  <c r="AB221" i="90"/>
  <c r="AB279" i="90"/>
  <c r="AE165" i="90"/>
  <c r="AE282" i="90"/>
  <c r="AE284" i="90" s="1"/>
  <c r="AE224" i="90"/>
  <c r="AE226" i="90" s="1"/>
  <c r="AO102" i="90"/>
  <c r="AY97" i="90"/>
  <c r="AY100" i="90" s="1"/>
  <c r="AE106" i="90" s="1"/>
  <c r="AB105" i="90" s="1"/>
  <c r="AR95" i="90"/>
  <c r="AR94" i="90"/>
  <c r="AR93" i="90"/>
  <c r="AR92" i="90"/>
  <c r="AR90" i="90"/>
  <c r="AQ87" i="90"/>
  <c r="AQ84" i="90"/>
  <c r="S93" i="71"/>
  <c r="V83" i="71"/>
  <c r="V81" i="71"/>
  <c r="U81" i="71"/>
  <c r="U24" i="71"/>
  <c r="U83" i="71" s="1"/>
  <c r="U23" i="71"/>
  <c r="U82" i="71" s="1"/>
  <c r="V23" i="71"/>
  <c r="V82" i="71" s="1"/>
  <c r="AE113" i="90" l="1"/>
  <c r="AO42" i="90" s="1"/>
  <c r="AE107" i="90"/>
  <c r="AE108" i="90" s="1"/>
  <c r="AE166" i="90"/>
  <c r="AE168" i="90" s="1"/>
  <c r="AE30" i="90"/>
  <c r="D47" i="90"/>
  <c r="D40" i="90"/>
  <c r="O32" i="90"/>
  <c r="D23" i="90"/>
  <c r="D15" i="90"/>
  <c r="AE110" i="90" l="1"/>
  <c r="AO16" i="90"/>
  <c r="AO15" i="90"/>
  <c r="AO14" i="90"/>
  <c r="B57" i="90"/>
  <c r="AJ114" i="90"/>
  <c r="AC3" i="90"/>
  <c r="AO13" i="90" l="1"/>
  <c r="AO17" i="90" s="1"/>
  <c r="AO46" i="90"/>
  <c r="AH12" i="90" l="1"/>
  <c r="AE36" i="90"/>
  <c r="E33" i="12"/>
  <c r="E36" i="12"/>
  <c r="B53" i="15"/>
  <c r="AE37" i="90" l="1"/>
  <c r="AE14" i="90"/>
  <c r="C45" i="12" l="1"/>
  <c r="C51" i="12"/>
  <c r="D18" i="3" l="1"/>
  <c r="I2" i="36" l="1"/>
  <c r="C26" i="12" l="1"/>
  <c r="L4" i="65" l="1"/>
  <c r="L30" i="65"/>
  <c r="D30" i="65" s="1"/>
  <c r="K35" i="33"/>
  <c r="K22" i="33"/>
  <c r="E13" i="65" l="1"/>
  <c r="E9" i="65"/>
  <c r="AO14" i="78"/>
  <c r="AI16" i="78" s="1"/>
  <c r="AO66" i="78"/>
  <c r="AI70" i="78" s="1"/>
  <c r="BD36" i="2" l="1"/>
  <c r="AJ190" i="62" l="1"/>
  <c r="D159" i="62"/>
  <c r="C95" i="62"/>
  <c r="AE6" i="23" l="1"/>
  <c r="E26" i="70"/>
  <c r="F26" i="70"/>
  <c r="G26" i="70"/>
  <c r="H26" i="70"/>
  <c r="G113" i="70"/>
  <c r="F113" i="70"/>
  <c r="E113" i="70"/>
  <c r="D113" i="70"/>
  <c r="H84" i="70"/>
  <c r="G84" i="70"/>
  <c r="F84" i="70"/>
  <c r="E84" i="70"/>
  <c r="D84" i="70"/>
  <c r="H55" i="70"/>
  <c r="G55" i="70"/>
  <c r="F55" i="70"/>
  <c r="E55" i="70"/>
  <c r="D55" i="70"/>
  <c r="D26" i="70"/>
  <c r="I26" i="70" l="1"/>
  <c r="I6" i="70" s="1"/>
  <c r="I113" i="70"/>
  <c r="I84" i="70"/>
  <c r="I65" i="70" s="1"/>
  <c r="I55" i="70"/>
  <c r="I7" i="70" l="1"/>
  <c r="I36" i="70"/>
  <c r="I35" i="70"/>
  <c r="I93" i="70"/>
  <c r="I94" i="70"/>
  <c r="I64" i="70"/>
  <c r="D132" i="37" l="1"/>
  <c r="D128" i="37"/>
  <c r="U122" i="37"/>
  <c r="D121" i="37"/>
  <c r="D117" i="37"/>
  <c r="K101" i="37"/>
  <c r="E100" i="37"/>
  <c r="B100" i="37"/>
  <c r="K99" i="37"/>
  <c r="E99" i="37"/>
  <c r="B99" i="37"/>
  <c r="L98" i="37"/>
  <c r="E98" i="37"/>
  <c r="B98" i="37"/>
  <c r="T21" i="12" l="1"/>
  <c r="U29" i="12"/>
  <c r="B19" i="12"/>
  <c r="M2" i="12"/>
  <c r="S28" i="12"/>
  <c r="S29" i="12"/>
  <c r="E37" i="12"/>
  <c r="BP127" i="2"/>
  <c r="BM127" i="2" s="1"/>
  <c r="BM147" i="2" l="1"/>
  <c r="I60" i="12"/>
  <c r="H60" i="12" s="1"/>
  <c r="I58" i="12"/>
  <c r="H58" i="12" s="1"/>
  <c r="E64" i="12"/>
  <c r="E65" i="12"/>
  <c r="D60" i="12"/>
  <c r="D58" i="12"/>
  <c r="C48" i="12"/>
  <c r="C29" i="12"/>
  <c r="C28" i="12"/>
  <c r="B16" i="12"/>
  <c r="B14" i="12"/>
  <c r="B13" i="12"/>
  <c r="B12" i="12"/>
  <c r="B10" i="12"/>
  <c r="I118" i="70" l="1"/>
  <c r="AS150" i="2" l="1"/>
  <c r="AV18" i="2"/>
  <c r="AO73" i="58" l="1"/>
  <c r="AE65" i="58" s="1"/>
  <c r="C23" i="40" l="1"/>
  <c r="BE363" i="74" l="1"/>
  <c r="AY363" i="74"/>
  <c r="AY362" i="74"/>
  <c r="BE238" i="74"/>
  <c r="AY238" i="74"/>
  <c r="AY237" i="74"/>
  <c r="AY117" i="74"/>
  <c r="AY115" i="74"/>
  <c r="AY113" i="74"/>
  <c r="AY118" i="74"/>
  <c r="BE117" i="74"/>
  <c r="AY116" i="74"/>
  <c r="BE115" i="74"/>
  <c r="AY114" i="74"/>
  <c r="BE113" i="74"/>
  <c r="AY112" i="74"/>
  <c r="BE111" i="74"/>
  <c r="AY111" i="74"/>
  <c r="AY110" i="74"/>
  <c r="AM322" i="74" l="1"/>
  <c r="AM321" i="74"/>
  <c r="AM320" i="74"/>
  <c r="AM201" i="74"/>
  <c r="AM200" i="74"/>
  <c r="AM199" i="74"/>
  <c r="AM79" i="74"/>
  <c r="AM78" i="74"/>
  <c r="AM77" i="74"/>
  <c r="G149" i="68" l="1"/>
  <c r="AR155" i="84" l="1"/>
  <c r="AR154" i="84"/>
  <c r="AR153" i="84"/>
  <c r="AR23" i="84"/>
  <c r="AR22" i="84"/>
  <c r="AR21" i="84"/>
  <c r="AR24" i="84" l="1"/>
  <c r="AR25" i="84" s="1"/>
  <c r="AR156" i="84"/>
  <c r="AR157" i="84" s="1"/>
  <c r="BA3" i="2"/>
  <c r="AC8" i="109" l="1"/>
  <c r="V61" i="111"/>
  <c r="V11" i="112"/>
  <c r="V11" i="111"/>
  <c r="V61" i="112"/>
  <c r="V11" i="110"/>
  <c r="V61" i="110"/>
  <c r="AB8" i="105"/>
  <c r="AR160" i="84"/>
  <c r="Y8" i="97"/>
  <c r="Y8" i="99"/>
  <c r="AG140" i="96"/>
  <c r="AG8" i="96"/>
  <c r="AC117" i="90"/>
  <c r="AC233" i="90"/>
  <c r="AC175" i="90"/>
  <c r="AC59" i="90"/>
  <c r="Y8" i="90"/>
  <c r="V61" i="43"/>
  <c r="AB8" i="78"/>
  <c r="Y9" i="62"/>
  <c r="O14" i="3"/>
  <c r="AA261" i="74"/>
  <c r="V11" i="43"/>
  <c r="K14" i="52"/>
  <c r="H21" i="4"/>
  <c r="S11" i="68"/>
  <c r="S9" i="59"/>
  <c r="L11" i="53"/>
  <c r="M8" i="6"/>
  <c r="AC8" i="79"/>
  <c r="AG8" i="84"/>
  <c r="U122" i="59"/>
  <c r="AB8" i="80"/>
  <c r="AG140" i="84"/>
  <c r="T19" i="86"/>
  <c r="K10" i="33"/>
  <c r="Y8" i="82"/>
  <c r="AA18" i="74"/>
  <c r="AJ11" i="76"/>
  <c r="AA140" i="74"/>
  <c r="Y10" i="58"/>
  <c r="BC10" i="2" l="1"/>
  <c r="M9" i="15" l="1"/>
  <c r="A322" i="74" l="1"/>
  <c r="A321" i="74"/>
  <c r="A320" i="74"/>
  <c r="A201" i="74"/>
  <c r="A200" i="74"/>
  <c r="A199" i="74"/>
  <c r="A79" i="74"/>
  <c r="A78" i="74"/>
  <c r="A77" i="74"/>
  <c r="A323" i="74" l="1"/>
  <c r="A80" i="74"/>
  <c r="A202" i="74"/>
  <c r="AZ21" i="6" l="1"/>
  <c r="AU21" i="6"/>
  <c r="AP21" i="6"/>
  <c r="AK21" i="6"/>
  <c r="AJ40" i="6"/>
  <c r="AJ38" i="6"/>
  <c r="AJ21" i="6"/>
  <c r="AJ19" i="6"/>
  <c r="AE21" i="6"/>
  <c r="AE19" i="6" l="1"/>
  <c r="P26" i="3"/>
  <c r="P25" i="3"/>
  <c r="AP19" i="6" l="1"/>
  <c r="AP23" i="6"/>
  <c r="AU19" i="6"/>
  <c r="AU23" i="6"/>
  <c r="AZ19" i="6"/>
  <c r="AZ23" i="6"/>
  <c r="AK19" i="6"/>
  <c r="AK23" i="6"/>
  <c r="C33" i="40"/>
  <c r="AC23" i="78" l="1"/>
  <c r="J20" i="87"/>
  <c r="AM24" i="78" l="1"/>
  <c r="AM26" i="109"/>
  <c r="AM31" i="109"/>
  <c r="AM22" i="109"/>
  <c r="T42" i="3"/>
  <c r="N38" i="3" s="1"/>
  <c r="N48" i="3" s="1"/>
  <c r="P50" i="3" s="1"/>
  <c r="X146" i="3"/>
  <c r="X144" i="3"/>
  <c r="W146" i="3"/>
  <c r="W144" i="3"/>
  <c r="T44" i="3" l="1"/>
  <c r="BJ127" i="2"/>
  <c r="AG10" i="3" l="1"/>
  <c r="AG12" i="3" s="1"/>
  <c r="AG7" i="3"/>
  <c r="AF7" i="3" s="1"/>
  <c r="AE14" i="99"/>
  <c r="T41" i="3"/>
  <c r="S60" i="15"/>
  <c r="I41" i="69" l="1"/>
  <c r="I12" i="69"/>
  <c r="I74" i="70"/>
  <c r="I45" i="70"/>
  <c r="I16" i="70"/>
  <c r="AQ10" i="74" l="1"/>
  <c r="V10" i="53" l="1"/>
  <c r="V9" i="53"/>
  <c r="V8" i="53"/>
  <c r="U6" i="53"/>
  <c r="X12" i="3" l="1"/>
  <c r="AA19" i="68" l="1"/>
  <c r="AA23" i="68" s="1"/>
  <c r="B64" i="68" l="1"/>
  <c r="B62" i="68"/>
  <c r="B60" i="68"/>
  <c r="Z20" i="68"/>
  <c r="Z12" i="68"/>
  <c r="Z9" i="68"/>
  <c r="AC19" i="68"/>
  <c r="AJ251" i="84" l="1"/>
  <c r="Y242" i="84"/>
  <c r="F242" i="84"/>
  <c r="AH241" i="84"/>
  <c r="O241" i="84"/>
  <c r="Z225" i="84"/>
  <c r="S225" i="84"/>
  <c r="F225" i="84"/>
  <c r="AH224" i="84"/>
  <c r="K224" i="84"/>
  <c r="AD189" i="84"/>
  <c r="AD188" i="84"/>
  <c r="BB185" i="84"/>
  <c r="AZ185" i="84"/>
  <c r="AJ180" i="84"/>
  <c r="AJ183" i="84" s="1"/>
  <c r="AK185" i="84" s="1"/>
  <c r="BD184" i="84" s="1"/>
  <c r="AD180" i="84"/>
  <c r="AD183" i="84" s="1"/>
  <c r="AE185" i="84" s="1"/>
  <c r="BB184" i="84" s="1"/>
  <c r="V180" i="84"/>
  <c r="AJ164" i="84"/>
  <c r="BE155" i="84" s="1"/>
  <c r="AD164" i="84"/>
  <c r="BE154" i="84" s="1"/>
  <c r="V164" i="84"/>
  <c r="BE153" i="84" s="1"/>
  <c r="BB161" i="84"/>
  <c r="BA161" i="84"/>
  <c r="AZ161" i="84"/>
  <c r="BB157" i="84"/>
  <c r="BA157" i="84"/>
  <c r="AZ157" i="84"/>
  <c r="BB156" i="84"/>
  <c r="BA156" i="84"/>
  <c r="AZ156" i="84"/>
  <c r="AI135" i="84"/>
  <c r="BD183" i="84" l="1"/>
  <c r="BD186" i="84" s="1"/>
  <c r="AK244" i="84"/>
  <c r="AJ243" i="84"/>
  <c r="AD190" i="84"/>
  <c r="AH226" i="84"/>
  <c r="BD185" i="84"/>
  <c r="BC157" i="84"/>
  <c r="AD187" i="84" s="1"/>
  <c r="BE156" i="84"/>
  <c r="I156" i="84" s="1"/>
  <c r="AI227" i="84"/>
  <c r="BB183" i="84"/>
  <c r="BB186" i="84" s="1"/>
  <c r="BA183" i="84"/>
  <c r="AJ245" i="84"/>
  <c r="BC156" i="84"/>
  <c r="AD186" i="84" s="1"/>
  <c r="BC183" i="84"/>
  <c r="V183" i="84"/>
  <c r="AT184" i="84" s="1"/>
  <c r="W185" i="84" l="1"/>
  <c r="AZ184" i="84" s="1"/>
  <c r="AH228" i="84"/>
  <c r="AY183" i="84"/>
  <c r="AJ191" i="84" s="1"/>
  <c r="AZ183" i="84"/>
  <c r="AZ186" i="84" s="1"/>
  <c r="AK193" i="84" l="1"/>
  <c r="AJ195" i="84" l="1"/>
  <c r="AV255" i="84" s="1"/>
  <c r="AJ255" i="84" s="1"/>
  <c r="AK192" i="84"/>
  <c r="AH89" i="33"/>
  <c r="C59" i="53" l="1"/>
  <c r="C47" i="53"/>
  <c r="E66" i="30" l="1"/>
  <c r="D66" i="30"/>
  <c r="E54" i="30"/>
  <c r="F54" i="30"/>
  <c r="G54" i="30"/>
  <c r="H54" i="30"/>
  <c r="I54" i="30"/>
  <c r="J54" i="30"/>
  <c r="K54" i="30"/>
  <c r="L54" i="30"/>
  <c r="D54" i="30"/>
  <c r="E27" i="30"/>
  <c r="F27" i="30"/>
  <c r="G27" i="30"/>
  <c r="H27" i="30"/>
  <c r="I27" i="30"/>
  <c r="J27" i="30"/>
  <c r="K27" i="30"/>
  <c r="L27" i="30"/>
  <c r="D27" i="30"/>
  <c r="O54" i="30" l="1"/>
  <c r="O27" i="30"/>
  <c r="N54" i="30"/>
  <c r="N27" i="30"/>
  <c r="F77" i="30" l="1"/>
  <c r="E77" i="30"/>
  <c r="E7" i="37"/>
  <c r="N6" i="30" l="1"/>
  <c r="M6" i="30"/>
  <c r="E60" i="30"/>
  <c r="D60" i="30"/>
  <c r="C32" i="40" l="1"/>
  <c r="AA94" i="59" l="1"/>
  <c r="AA93" i="59"/>
  <c r="AD296" i="74"/>
  <c r="W296" i="74"/>
  <c r="P296" i="74"/>
  <c r="AD175" i="74"/>
  <c r="W175" i="74"/>
  <c r="P175" i="74"/>
  <c r="AD53" i="74"/>
  <c r="W53" i="74"/>
  <c r="P53" i="74"/>
  <c r="AB119" i="33" l="1"/>
  <c r="W119" i="33"/>
  <c r="AI130" i="62"/>
  <c r="W128" i="62"/>
  <c r="AB82" i="56" l="1"/>
  <c r="H43" i="4" l="1"/>
  <c r="D414" i="60"/>
  <c r="C122" i="86" l="1"/>
  <c r="AB126" i="86"/>
  <c r="D89" i="86"/>
  <c r="I10" i="86"/>
  <c r="I8" i="86"/>
  <c r="I6" i="86"/>
  <c r="P10" i="86"/>
  <c r="P8" i="86"/>
  <c r="P6" i="86"/>
  <c r="J3" i="86"/>
  <c r="Z83" i="86"/>
  <c r="Z82" i="86"/>
  <c r="Z81" i="86"/>
  <c r="Z80" i="86"/>
  <c r="Z89" i="86"/>
  <c r="Z87" i="86"/>
  <c r="Z85" i="86"/>
  <c r="Z77" i="86"/>
  <c r="B75" i="86"/>
  <c r="D68" i="86"/>
  <c r="D66" i="86"/>
  <c r="B49" i="86"/>
  <c r="B38" i="86"/>
  <c r="B28" i="86"/>
  <c r="H27" i="86"/>
  <c r="B20" i="86"/>
  <c r="AB75" i="86"/>
  <c r="X14" i="86"/>
  <c r="AA31" i="86" l="1"/>
  <c r="E8" i="86"/>
  <c r="E10" i="86"/>
  <c r="R8" i="86"/>
  <c r="AH44" i="68"/>
  <c r="E50" i="3" l="1"/>
  <c r="C14" i="37" l="1"/>
  <c r="AD22" i="71" l="1"/>
  <c r="AD84" i="71"/>
  <c r="AJ84" i="71" l="1"/>
  <c r="AJ22" i="71"/>
  <c r="AD23" i="71" l="1"/>
  <c r="AD24" i="71" s="1"/>
  <c r="AD25" i="71" s="1"/>
  <c r="AD26" i="71" s="1"/>
  <c r="AD27" i="71" s="1"/>
  <c r="AD28" i="71" s="1"/>
  <c r="AD29" i="71" s="1"/>
  <c r="AD30" i="71" s="1"/>
  <c r="AD31" i="71" s="1"/>
  <c r="AD32" i="71" s="1"/>
  <c r="AD33" i="71" s="1"/>
  <c r="U89" i="71"/>
  <c r="AD85" i="71"/>
  <c r="AD86" i="71" l="1"/>
  <c r="AD87" i="71" l="1"/>
  <c r="AD88" i="71" l="1"/>
  <c r="AD89" i="71" s="1"/>
  <c r="AD90" i="71" s="1"/>
  <c r="AD91" i="71" s="1"/>
  <c r="AD92" i="71" s="1"/>
  <c r="AD93" i="71" s="1"/>
  <c r="AD94" i="71" s="1"/>
  <c r="AD95" i="71" s="1"/>
  <c r="AB40" i="71"/>
  <c r="V89" i="71" l="1"/>
  <c r="T5" i="71"/>
  <c r="Q8" i="71" l="1"/>
  <c r="Z85" i="71" l="1"/>
  <c r="Z86" i="71" s="1"/>
  <c r="Z87" i="71" s="1"/>
  <c r="Z88" i="71" s="1"/>
  <c r="Z89" i="71" s="1"/>
  <c r="Z90" i="71" s="1"/>
  <c r="Z91" i="71" s="1"/>
  <c r="Z92" i="71" s="1"/>
  <c r="Z93" i="71" s="1"/>
  <c r="Z94" i="71" s="1"/>
  <c r="Z95" i="71" s="1"/>
  <c r="Z23" i="71"/>
  <c r="Z24" i="71" s="1"/>
  <c r="Z25" i="71" s="1"/>
  <c r="Z26" i="71" s="1"/>
  <c r="Z27" i="71" s="1"/>
  <c r="Z28" i="71" s="1"/>
  <c r="Z29" i="71" s="1"/>
  <c r="Z30" i="71" s="1"/>
  <c r="Z31" i="71" s="1"/>
  <c r="Z32" i="71" s="1"/>
  <c r="Z33" i="71" s="1"/>
  <c r="P82" i="71" l="1"/>
  <c r="C82" i="71" s="1"/>
  <c r="AA91" i="43" l="1"/>
  <c r="Y91" i="43"/>
  <c r="B91" i="43"/>
  <c r="AC91" i="43" l="1"/>
  <c r="J129" i="5"/>
  <c r="G129" i="5"/>
  <c r="G15" i="5"/>
  <c r="D153" i="60" l="1"/>
  <c r="M105" i="60"/>
  <c r="M100" i="60"/>
  <c r="D106" i="60"/>
  <c r="D105" i="60"/>
  <c r="D109" i="60"/>
  <c r="AE114" i="37" l="1"/>
  <c r="AE111" i="37"/>
  <c r="AE105" i="37"/>
  <c r="AE102" i="37"/>
  <c r="W56" i="33"/>
  <c r="V52" i="33"/>
  <c r="V48" i="33"/>
  <c r="I17" i="63"/>
  <c r="I15" i="63"/>
  <c r="AG75" i="37" l="1"/>
  <c r="AG74" i="37"/>
  <c r="I78" i="37"/>
  <c r="AC72" i="37"/>
  <c r="AG76" i="37" l="1"/>
  <c r="AG79" i="37"/>
  <c r="BR136" i="2" l="1"/>
  <c r="BR142" i="2" s="1"/>
  <c r="BQ145" i="2"/>
  <c r="BR145" i="2" s="1"/>
  <c r="BR143" i="2" s="1"/>
  <c r="BF15" i="2"/>
  <c r="BC97" i="2" s="1"/>
  <c r="AC109" i="68"/>
  <c r="AB109" i="68" s="1"/>
  <c r="BR10" i="2" l="1"/>
  <c r="BQ10" i="2"/>
  <c r="BP10" i="2"/>
  <c r="AG6" i="3"/>
  <c r="X14" i="3"/>
  <c r="AF12" i="3"/>
  <c r="AF10" i="3"/>
  <c r="AF8" i="3"/>
  <c r="AH12" i="3"/>
  <c r="AH10" i="3"/>
  <c r="AH8" i="3"/>
  <c r="AI6" i="3"/>
  <c r="BR144" i="2" l="1"/>
  <c r="BQ11" i="2"/>
  <c r="AE108" i="68" s="1"/>
  <c r="D63" i="4"/>
  <c r="D60" i="4"/>
  <c r="D59" i="4"/>
  <c r="D57" i="4"/>
  <c r="D55" i="4"/>
  <c r="D54" i="4"/>
  <c r="D50" i="4"/>
  <c r="E117" i="70"/>
  <c r="D62" i="4" s="1"/>
  <c r="F117" i="70"/>
  <c r="G117" i="70"/>
  <c r="D64" i="4" s="1"/>
  <c r="D117" i="70"/>
  <c r="D61" i="4" s="1"/>
  <c r="E88" i="70"/>
  <c r="F88" i="70"/>
  <c r="D58" i="4" s="1"/>
  <c r="G88" i="70"/>
  <c r="H88" i="70"/>
  <c r="D88" i="70"/>
  <c r="D56" i="4" s="1"/>
  <c r="E59" i="70"/>
  <c r="D52" i="4" s="1"/>
  <c r="F59" i="70"/>
  <c r="D53" i="4" s="1"/>
  <c r="G59" i="70"/>
  <c r="H59" i="70"/>
  <c r="D59" i="70"/>
  <c r="D51" i="4" s="1"/>
  <c r="F30" i="70"/>
  <c r="D48" i="4" s="1"/>
  <c r="G30" i="70"/>
  <c r="D49" i="4" s="1"/>
  <c r="H30" i="70"/>
  <c r="AX23" i="2" l="1"/>
  <c r="AB108" i="68"/>
  <c r="N6" i="1" l="1"/>
  <c r="G33" i="1" s="1"/>
  <c r="H33" i="1" l="1"/>
  <c r="C33" i="1"/>
  <c r="AB18" i="59"/>
  <c r="V11" i="59" s="1"/>
  <c r="I6" i="1" l="1"/>
  <c r="C93" i="15"/>
  <c r="D66" i="15"/>
  <c r="D67" i="15"/>
  <c r="D64" i="15"/>
  <c r="F42" i="15"/>
  <c r="AI110" i="78"/>
  <c r="C79" i="1" l="1"/>
  <c r="J6" i="1"/>
  <c r="M6" i="1" s="1"/>
  <c r="AI107" i="78"/>
  <c r="AI124" i="78"/>
  <c r="AI121" i="78"/>
  <c r="AI119" i="78"/>
  <c r="AI117" i="78"/>
  <c r="AI115" i="78"/>
  <c r="AI112" i="78"/>
  <c r="AI108" i="78"/>
  <c r="AI106" i="78"/>
  <c r="AZ106" i="78" s="1"/>
  <c r="I28" i="65" l="1"/>
  <c r="M24" i="65"/>
  <c r="M20" i="65"/>
  <c r="G16" i="65"/>
  <c r="A13" i="65"/>
  <c r="A9" i="65"/>
  <c r="H11" i="65"/>
  <c r="H7" i="65"/>
  <c r="C31" i="40" l="1"/>
  <c r="C30" i="40"/>
  <c r="D18" i="40"/>
  <c r="C18" i="40"/>
  <c r="V8" i="36" l="1"/>
  <c r="V44" i="36"/>
  <c r="V43" i="36"/>
  <c r="V42" i="36"/>
  <c r="V41" i="36"/>
  <c r="V40" i="36"/>
  <c r="V39" i="36"/>
  <c r="V33" i="36"/>
  <c r="V32" i="36"/>
  <c r="V31" i="36"/>
  <c r="V30" i="36"/>
  <c r="V29" i="36"/>
  <c r="V28" i="36"/>
  <c r="V23" i="36"/>
  <c r="V22" i="36"/>
  <c r="V21" i="36"/>
  <c r="V20" i="36"/>
  <c r="V19" i="36"/>
  <c r="V18" i="36"/>
  <c r="V13" i="36"/>
  <c r="V12" i="36"/>
  <c r="V11" i="36"/>
  <c r="V10" i="36"/>
  <c r="V9" i="36"/>
  <c r="AR366" i="74" l="1"/>
  <c r="AR245" i="74"/>
  <c r="AL336" i="74"/>
  <c r="AL215" i="74"/>
  <c r="C316" i="74"/>
  <c r="B275" i="74"/>
  <c r="W267" i="74"/>
  <c r="K267" i="74"/>
  <c r="C267" i="74"/>
  <c r="AI265" i="74"/>
  <c r="W265" i="74"/>
  <c r="K265" i="74"/>
  <c r="C265" i="74"/>
  <c r="B154" i="74"/>
  <c r="W146" i="74"/>
  <c r="K146" i="74"/>
  <c r="C146" i="74"/>
  <c r="AI144" i="74"/>
  <c r="W144" i="74"/>
  <c r="K144" i="74"/>
  <c r="C144" i="74"/>
  <c r="AL94" i="74"/>
  <c r="AI22" i="74"/>
  <c r="W24" i="74"/>
  <c r="W22" i="74"/>
  <c r="K24" i="74"/>
  <c r="K22" i="74"/>
  <c r="AO144" i="74" l="1"/>
  <c r="AO265" i="74"/>
  <c r="A264" i="74" l="1"/>
  <c r="AO268" i="74"/>
  <c r="AL160" i="74"/>
  <c r="AO147" i="74"/>
  <c r="AL281" i="74"/>
  <c r="W216" i="5" l="1"/>
  <c r="Y217" i="5"/>
  <c r="W214" i="5" s="1"/>
  <c r="Y215" i="5"/>
  <c r="W212" i="5" s="1"/>
  <c r="Y213" i="5"/>
  <c r="W210" i="5" s="1"/>
  <c r="C207" i="5"/>
  <c r="T140" i="5"/>
  <c r="U178" i="5"/>
  <c r="Y183" i="5"/>
  <c r="H156" i="5"/>
  <c r="H155" i="5"/>
  <c r="H153" i="5"/>
  <c r="S150" i="5"/>
  <c r="H150" i="5"/>
  <c r="H149" i="5"/>
  <c r="H148" i="5"/>
  <c r="H147" i="5"/>
  <c r="S146" i="5"/>
  <c r="S145" i="5"/>
  <c r="H145" i="5"/>
  <c r="C133" i="5"/>
  <c r="C132" i="5"/>
  <c r="R117" i="5"/>
  <c r="T141" i="5" l="1"/>
  <c r="T143" i="5" s="1"/>
  <c r="T162" i="5" s="1"/>
  <c r="AM25" i="97" s="1"/>
  <c r="Z140" i="5"/>
  <c r="Y211" i="5"/>
  <c r="W208" i="5" s="1"/>
  <c r="AA167" i="5" l="1"/>
  <c r="AA169" i="5" s="1"/>
  <c r="AA172" i="5" s="1"/>
  <c r="AA179" i="5" s="1"/>
  <c r="AL49" i="23"/>
  <c r="AL123" i="23" s="1"/>
  <c r="AL48" i="23"/>
  <c r="AL122" i="23" l="1"/>
  <c r="K156" i="68"/>
  <c r="K155" i="68"/>
  <c r="K146" i="68"/>
  <c r="K145" i="68"/>
  <c r="K136" i="68"/>
  <c r="K135" i="68"/>
  <c r="K125" i="68"/>
  <c r="V73" i="68"/>
  <c r="V116" i="68" s="1"/>
  <c r="T73" i="68"/>
  <c r="T116" i="68" s="1"/>
  <c r="R73" i="68"/>
  <c r="R116" i="68" l="1"/>
  <c r="R125" i="68"/>
  <c r="P129" i="2"/>
  <c r="C121" i="33" l="1"/>
  <c r="C117" i="33"/>
  <c r="C113" i="33"/>
  <c r="C39" i="33" l="1"/>
  <c r="L36" i="33"/>
  <c r="L35" i="33"/>
  <c r="L34" i="33"/>
  <c r="L33" i="33"/>
  <c r="L32" i="33"/>
  <c r="L31" i="33"/>
  <c r="L30" i="33"/>
  <c r="L29" i="33"/>
  <c r="L28" i="33"/>
  <c r="L27" i="33"/>
  <c r="L26" i="33"/>
  <c r="L25" i="33"/>
  <c r="L24" i="33"/>
  <c r="L23" i="33"/>
  <c r="L22" i="33"/>
  <c r="L21" i="33"/>
  <c r="L20" i="33"/>
  <c r="L19" i="33"/>
  <c r="L18" i="33"/>
  <c r="C79" i="71" l="1"/>
  <c r="BA2" i="2" l="1"/>
  <c r="H134" i="74" l="1"/>
  <c r="H12" i="74"/>
  <c r="Q4" i="14"/>
  <c r="Q3" i="14"/>
  <c r="N30" i="65" l="1"/>
  <c r="F76" i="2" l="1"/>
  <c r="AU3" i="2" l="1"/>
  <c r="AU9" i="2"/>
  <c r="O64" i="3" l="1"/>
  <c r="AJ119" i="84" l="1"/>
  <c r="AH109" i="84"/>
  <c r="Y110" i="84"/>
  <c r="O109" i="84"/>
  <c r="F110" i="84"/>
  <c r="F93" i="84"/>
  <c r="K92" i="84"/>
  <c r="S93" i="84"/>
  <c r="Z93" i="84"/>
  <c r="AH92" i="84"/>
  <c r="AJ48" i="84"/>
  <c r="AJ51" i="84" s="1"/>
  <c r="AK53" i="84" s="1"/>
  <c r="AD48" i="84"/>
  <c r="AD51" i="84" s="1"/>
  <c r="AD57" i="84"/>
  <c r="AD56" i="84"/>
  <c r="V48" i="84"/>
  <c r="BB28" i="84"/>
  <c r="BA28" i="84"/>
  <c r="AZ28" i="84"/>
  <c r="V32" i="84"/>
  <c r="AJ32" i="84"/>
  <c r="BE23" i="84" s="1"/>
  <c r="AD32" i="84"/>
  <c r="BE22" i="84" s="1"/>
  <c r="BB25" i="84"/>
  <c r="BB24" i="84"/>
  <c r="BA25" i="84"/>
  <c r="BA24" i="84"/>
  <c r="AZ25" i="84"/>
  <c r="AZ24" i="84"/>
  <c r="H4" i="84"/>
  <c r="AI3" i="84"/>
  <c r="AE53" i="84" l="1"/>
  <c r="BB52" i="84" s="1"/>
  <c r="BD51" i="84"/>
  <c r="BD54" i="84" s="1"/>
  <c r="BD52" i="84"/>
  <c r="AH94" i="84"/>
  <c r="V51" i="84"/>
  <c r="AD58" i="84"/>
  <c r="G164" i="84"/>
  <c r="AI95" i="84"/>
  <c r="AJ111" i="84"/>
  <c r="AK112" i="84"/>
  <c r="BD53" i="84"/>
  <c r="BC51" i="84"/>
  <c r="G32" i="84"/>
  <c r="BC25" i="84"/>
  <c r="AD55" i="84" s="1"/>
  <c r="BC24" i="84"/>
  <c r="AD54" i="84" s="1"/>
  <c r="W53" i="84" l="1"/>
  <c r="AZ52" i="84" s="1"/>
  <c r="AT52" i="84"/>
  <c r="AH96" i="84"/>
  <c r="AJ113" i="84"/>
  <c r="AY51" i="84"/>
  <c r="AZ51" i="84"/>
  <c r="BA51" i="84"/>
  <c r="BB51" i="84"/>
  <c r="AJ59" i="84" l="1"/>
  <c r="AZ54" i="84"/>
  <c r="AZ53" i="84"/>
  <c r="BB54" i="84"/>
  <c r="BB53" i="84"/>
  <c r="BG11" i="2"/>
  <c r="AK61" i="84" l="1"/>
  <c r="B11" i="112"/>
  <c r="B61" i="112"/>
  <c r="B11" i="111"/>
  <c r="B61" i="111"/>
  <c r="B61" i="110"/>
  <c r="B11" i="110"/>
  <c r="B8" i="105"/>
  <c r="B8" i="109"/>
  <c r="B76" i="103"/>
  <c r="B8" i="103"/>
  <c r="B8" i="97"/>
  <c r="B8" i="99"/>
  <c r="B8" i="93"/>
  <c r="B140" i="96"/>
  <c r="AR198" i="96" s="1"/>
  <c r="AQ199" i="96" s="1"/>
  <c r="B8" i="96"/>
  <c r="AR66" i="96" s="1"/>
  <c r="AQ67" i="96" s="1"/>
  <c r="B117" i="90"/>
  <c r="B233" i="90"/>
  <c r="B175" i="90"/>
  <c r="B59" i="90"/>
  <c r="B8" i="82"/>
  <c r="B8" i="90"/>
  <c r="B140" i="84"/>
  <c r="AR198" i="84" s="1"/>
  <c r="AQ199" i="84" s="1"/>
  <c r="B11" i="68"/>
  <c r="B19" i="86"/>
  <c r="B14" i="3"/>
  <c r="B8" i="84"/>
  <c r="AR66" i="84" s="1"/>
  <c r="AQ67" i="84" s="1"/>
  <c r="AK60" i="84" l="1"/>
  <c r="AJ63" i="84"/>
  <c r="AV123" i="84" s="1"/>
  <c r="AJ123" i="84" s="1"/>
  <c r="AU1" i="2"/>
  <c r="AU4" i="2"/>
  <c r="AU2" i="2"/>
  <c r="BK2" i="2"/>
  <c r="AK126" i="2"/>
  <c r="AK125" i="2"/>
  <c r="AB132" i="2"/>
  <c r="AB129" i="2"/>
  <c r="AK104" i="2"/>
  <c r="AK103" i="2"/>
  <c r="AV124" i="84" l="1"/>
  <c r="BM145" i="2"/>
  <c r="BM124" i="2"/>
  <c r="BM146" i="2"/>
  <c r="BM126" i="2"/>
  <c r="AU10" i="2"/>
  <c r="AK102" i="2"/>
  <c r="F4" i="2" l="1"/>
  <c r="BC91" i="2"/>
  <c r="AH11" i="2"/>
  <c r="Y12" i="99"/>
  <c r="AV30" i="76"/>
  <c r="BL142" i="2"/>
  <c r="X16" i="90"/>
  <c r="AE67" i="23"/>
  <c r="AU11" i="2"/>
  <c r="AE7" i="23"/>
  <c r="AU12" i="2"/>
  <c r="F65" i="2"/>
  <c r="AL30" i="76" l="1"/>
  <c r="AB51" i="114"/>
  <c r="J70" i="71"/>
  <c r="AB67" i="113"/>
  <c r="AA77" i="108"/>
  <c r="Y13" i="91"/>
  <c r="Y8" i="102"/>
  <c r="Y198" i="62"/>
  <c r="M121" i="5"/>
  <c r="AL69" i="23" s="1"/>
  <c r="AJ67" i="23" s="1"/>
  <c r="AM117" i="23" s="1"/>
  <c r="AK65" i="2"/>
  <c r="Q65" i="2"/>
  <c r="Y125" i="91"/>
  <c r="AM31" i="23"/>
  <c r="AM91" i="23"/>
  <c r="AJ6" i="23"/>
  <c r="Q6" i="23" s="1"/>
  <c r="AH10" i="2"/>
  <c r="Y22" i="5"/>
  <c r="Y24" i="5" s="1"/>
  <c r="G3" i="2"/>
  <c r="AK71" i="2"/>
  <c r="AX4" i="2"/>
  <c r="AH4" i="2"/>
  <c r="AM112" i="23" l="1"/>
  <c r="AM113" i="23" s="1"/>
  <c r="AK43" i="59" s="1"/>
  <c r="AM118" i="23"/>
  <c r="AK46" i="59" s="1"/>
  <c r="AM106" i="23"/>
  <c r="X77" i="23"/>
  <c r="AM134" i="23"/>
  <c r="AN134" i="23"/>
  <c r="AL7" i="23"/>
  <c r="AL35" i="23"/>
  <c r="W66" i="23"/>
  <c r="AL72" i="23"/>
  <c r="AL5" i="23"/>
  <c r="AM35" i="23"/>
  <c r="AL95" i="23"/>
  <c r="AL67" i="23"/>
  <c r="AM95" i="23"/>
  <c r="Y136" i="5"/>
  <c r="Y137" i="5" s="1"/>
  <c r="Q66" i="23"/>
  <c r="Y23" i="5"/>
  <c r="AB3" i="82"/>
  <c r="AN35" i="23" l="1"/>
  <c r="AM107" i="23"/>
  <c r="AG5" i="23"/>
  <c r="AN95" i="23"/>
  <c r="AB78" i="23" s="1"/>
  <c r="AG65" i="23"/>
  <c r="Y138" i="5"/>
  <c r="Y140" i="5" s="1"/>
  <c r="AI52" i="59" s="1"/>
  <c r="Y139" i="5"/>
  <c r="AK52" i="59" s="1"/>
  <c r="AB3" i="80"/>
  <c r="AC3" i="79"/>
  <c r="AB18" i="23" l="1"/>
  <c r="AD22" i="23"/>
  <c r="AD82" i="23"/>
  <c r="Y141" i="5"/>
  <c r="J34" i="67" s="1"/>
  <c r="AB3" i="78"/>
  <c r="R66" i="33" l="1"/>
  <c r="C124" i="33" s="1"/>
  <c r="AJ5" i="76" l="1"/>
  <c r="O59" i="3" l="1"/>
  <c r="I64" i="4" l="1"/>
  <c r="I63" i="4"/>
  <c r="I62" i="4"/>
  <c r="I61" i="4"/>
  <c r="I60" i="4"/>
  <c r="I59" i="4"/>
  <c r="I58" i="4"/>
  <c r="I57" i="4"/>
  <c r="I56" i="4"/>
  <c r="I104" i="70" l="1"/>
  <c r="O45" i="6" l="1"/>
  <c r="S62" i="2"/>
  <c r="H87" i="70"/>
  <c r="G87" i="70"/>
  <c r="F87" i="70"/>
  <c r="E87" i="70"/>
  <c r="D87" i="70"/>
  <c r="H86" i="70"/>
  <c r="G86" i="70"/>
  <c r="F86" i="70"/>
  <c r="E86" i="70"/>
  <c r="D86" i="70"/>
  <c r="H85" i="70"/>
  <c r="G85" i="70"/>
  <c r="F85" i="70"/>
  <c r="E85" i="70"/>
  <c r="D85" i="70"/>
  <c r="R51" i="33" l="1"/>
  <c r="R12" i="98"/>
  <c r="V91" i="98"/>
  <c r="X118" i="98"/>
  <c r="X122" i="98" s="1"/>
  <c r="AG73" i="37"/>
  <c r="AG77" i="37" s="1"/>
  <c r="AF52" i="37"/>
  <c r="AC61" i="37" s="1"/>
  <c r="C108" i="59"/>
  <c r="H35" i="1" l="1"/>
  <c r="G35" i="1"/>
  <c r="AL34" i="23" l="1"/>
  <c r="AL94" i="23"/>
  <c r="AM94" i="23"/>
  <c r="AM34" i="23"/>
  <c r="W8" i="37"/>
  <c r="AN34" i="23" l="1"/>
  <c r="AN94" i="23"/>
  <c r="Q21" i="53" l="1"/>
  <c r="P21" i="53"/>
  <c r="N21" i="53" s="1"/>
  <c r="D26" i="30"/>
  <c r="L53" i="30"/>
  <c r="K53" i="30"/>
  <c r="J53" i="30"/>
  <c r="I53" i="30"/>
  <c r="H53" i="30"/>
  <c r="G53" i="30"/>
  <c r="F53" i="30"/>
  <c r="E53" i="30"/>
  <c r="D53" i="30"/>
  <c r="L26" i="30"/>
  <c r="K26" i="30"/>
  <c r="J26" i="30"/>
  <c r="I26" i="30"/>
  <c r="H26" i="30"/>
  <c r="G26" i="30"/>
  <c r="F26" i="30"/>
  <c r="E26" i="30"/>
  <c r="O53" i="30" l="1"/>
  <c r="O26" i="30"/>
  <c r="N53" i="30"/>
  <c r="N19" i="53"/>
  <c r="N20" i="53"/>
  <c r="N18" i="53"/>
  <c r="N26" i="30"/>
  <c r="H85" i="69"/>
  <c r="I39" i="4" s="1"/>
  <c r="G85" i="69"/>
  <c r="I38" i="4" s="1"/>
  <c r="F85" i="69"/>
  <c r="I37" i="4" s="1"/>
  <c r="E85" i="69"/>
  <c r="I36" i="4" s="1"/>
  <c r="D85" i="69"/>
  <c r="I35" i="4" s="1"/>
  <c r="H55" i="69"/>
  <c r="I34" i="4" s="1"/>
  <c r="G55" i="69"/>
  <c r="I33" i="4" s="1"/>
  <c r="F55" i="69"/>
  <c r="I32" i="4" s="1"/>
  <c r="E55" i="69"/>
  <c r="I31" i="4" s="1"/>
  <c r="D55" i="69"/>
  <c r="I30" i="4" s="1"/>
  <c r="H26" i="69"/>
  <c r="I29" i="4" s="1"/>
  <c r="G26" i="69"/>
  <c r="I28" i="4" s="1"/>
  <c r="F26" i="69"/>
  <c r="I27" i="4" s="1"/>
  <c r="E26" i="69"/>
  <c r="I26" i="4" s="1"/>
  <c r="D26" i="69"/>
  <c r="I25" i="4" s="1"/>
  <c r="E65" i="30" l="1"/>
  <c r="I55" i="4"/>
  <c r="I54" i="4"/>
  <c r="I53" i="4"/>
  <c r="I52" i="4"/>
  <c r="I51" i="4"/>
  <c r="I50" i="4"/>
  <c r="I49" i="4"/>
  <c r="I48" i="4"/>
  <c r="I47" i="4"/>
  <c r="I46" i="4"/>
  <c r="E114" i="70" l="1"/>
  <c r="F114" i="70"/>
  <c r="G114" i="70"/>
  <c r="E115" i="70"/>
  <c r="F115" i="70"/>
  <c r="G115" i="70"/>
  <c r="E116" i="70"/>
  <c r="F116" i="70"/>
  <c r="G116" i="70"/>
  <c r="D116" i="70"/>
  <c r="D115" i="70"/>
  <c r="D114" i="70"/>
  <c r="E56" i="70"/>
  <c r="F56" i="70"/>
  <c r="G56" i="70"/>
  <c r="H56" i="70"/>
  <c r="E57" i="70"/>
  <c r="F57" i="70"/>
  <c r="G57" i="70"/>
  <c r="H57" i="70"/>
  <c r="E58" i="70"/>
  <c r="F58" i="70"/>
  <c r="G58" i="70"/>
  <c r="H58" i="70"/>
  <c r="D58" i="70"/>
  <c r="D57" i="70"/>
  <c r="D56" i="70"/>
  <c r="E27" i="70"/>
  <c r="F27" i="70"/>
  <c r="G27" i="70"/>
  <c r="H27" i="70"/>
  <c r="E28" i="70"/>
  <c r="F28" i="70"/>
  <c r="G28" i="70"/>
  <c r="H28" i="70"/>
  <c r="E29" i="70"/>
  <c r="F29" i="70"/>
  <c r="G29" i="70"/>
  <c r="H29" i="70"/>
  <c r="D29" i="70"/>
  <c r="D28" i="70"/>
  <c r="D27" i="70"/>
  <c r="E86" i="69"/>
  <c r="F86" i="69"/>
  <c r="G86" i="69"/>
  <c r="H86" i="69"/>
  <c r="E87" i="69"/>
  <c r="F87" i="69"/>
  <c r="G87" i="69"/>
  <c r="H87" i="69"/>
  <c r="E88" i="69"/>
  <c r="F88" i="69"/>
  <c r="G88" i="69"/>
  <c r="H88" i="69"/>
  <c r="D88" i="69"/>
  <c r="D87" i="69"/>
  <c r="D86" i="69"/>
  <c r="E56" i="69"/>
  <c r="F56" i="69"/>
  <c r="G56" i="69"/>
  <c r="H56" i="69"/>
  <c r="E57" i="69"/>
  <c r="F57" i="69"/>
  <c r="G57" i="69"/>
  <c r="H57" i="69"/>
  <c r="E58" i="69"/>
  <c r="F58" i="69"/>
  <c r="G58" i="69"/>
  <c r="H58" i="69"/>
  <c r="D58" i="69"/>
  <c r="D57" i="69"/>
  <c r="D56" i="69"/>
  <c r="E27" i="69"/>
  <c r="F27" i="69"/>
  <c r="D27" i="4" s="1"/>
  <c r="G27" i="69"/>
  <c r="H27" i="69"/>
  <c r="E28" i="69"/>
  <c r="F28" i="69"/>
  <c r="G28" i="69"/>
  <c r="H28" i="69"/>
  <c r="E29" i="69"/>
  <c r="F29" i="69"/>
  <c r="G29" i="69"/>
  <c r="H29" i="69"/>
  <c r="D29" i="69"/>
  <c r="D28" i="69"/>
  <c r="D27" i="69"/>
  <c r="D30" i="70" l="1"/>
  <c r="D46" i="4" s="1"/>
  <c r="E30" i="70"/>
  <c r="D47" i="4" s="1"/>
  <c r="O17" i="6" l="1"/>
  <c r="O35" i="6"/>
  <c r="M20" i="71" l="1"/>
  <c r="S61" i="2" l="1"/>
  <c r="AC69" i="78"/>
  <c r="AJ69" i="78" s="1"/>
  <c r="I119" i="70"/>
  <c r="L16" i="14" l="1"/>
  <c r="AU29" i="58"/>
  <c r="I26" i="40"/>
  <c r="K24" i="87"/>
  <c r="J72" i="69"/>
  <c r="I92" i="70"/>
  <c r="AQ15" i="74" s="1"/>
  <c r="E30" i="69"/>
  <c r="D26" i="4" s="1"/>
  <c r="G89" i="69"/>
  <c r="D38" i="4" s="1"/>
  <c r="H89" i="69"/>
  <c r="D39" i="4" s="1"/>
  <c r="G30" i="69"/>
  <c r="D28" i="4" s="1"/>
  <c r="E89" i="69"/>
  <c r="D36" i="4" s="1"/>
  <c r="H30" i="69"/>
  <c r="D29" i="4" s="1"/>
  <c r="F30" i="69"/>
  <c r="D30" i="69"/>
  <c r="D25" i="4" s="1"/>
  <c r="D89" i="69"/>
  <c r="D35" i="4" s="1"/>
  <c r="D59" i="69"/>
  <c r="D30" i="4" s="1"/>
  <c r="F89" i="69"/>
  <c r="D37" i="4" s="1"/>
  <c r="H59" i="69"/>
  <c r="D34" i="4" s="1"/>
  <c r="G59" i="69"/>
  <c r="D33" i="4" s="1"/>
  <c r="F59" i="69"/>
  <c r="D32" i="4" s="1"/>
  <c r="E59" i="69"/>
  <c r="D31" i="4" s="1"/>
  <c r="P1" i="52" l="1"/>
  <c r="B74" i="1" l="1"/>
  <c r="B37" i="1"/>
  <c r="AD299" i="74" l="1"/>
  <c r="W299" i="74"/>
  <c r="P299" i="74"/>
  <c r="AD178" i="74"/>
  <c r="W178" i="74"/>
  <c r="P178" i="74"/>
  <c r="AD56" i="74"/>
  <c r="W56" i="74"/>
  <c r="P56" i="74"/>
  <c r="C314" i="74"/>
  <c r="C312" i="74"/>
  <c r="C193" i="74"/>
  <c r="C191" i="74"/>
  <c r="AM80" i="74" l="1"/>
  <c r="AM202" i="74"/>
  <c r="AM323" i="74"/>
  <c r="AO377" i="74"/>
  <c r="B325" i="74"/>
  <c r="AI256" i="74"/>
  <c r="C24" i="74"/>
  <c r="C22" i="74"/>
  <c r="B204" i="74"/>
  <c r="AI135" i="74"/>
  <c r="C71" i="74"/>
  <c r="C69" i="74"/>
  <c r="AQ11" i="74" l="1"/>
  <c r="AO10" i="74" s="1"/>
  <c r="A10" i="74"/>
  <c r="A266" i="74"/>
  <c r="AB207" i="74"/>
  <c r="A145" i="74"/>
  <c r="AB328" i="74"/>
  <c r="AB86" i="74"/>
  <c r="AB93" i="74" s="1"/>
  <c r="B74" i="74"/>
  <c r="AO22" i="74"/>
  <c r="AL364" i="74" s="1"/>
  <c r="P300" i="74"/>
  <c r="P306" i="74" s="1"/>
  <c r="W300" i="74"/>
  <c r="W306" i="74" s="1"/>
  <c r="AD179" i="74"/>
  <c r="AD185" i="74" s="1"/>
  <c r="AD300" i="74"/>
  <c r="AD306" i="74" s="1"/>
  <c r="P179" i="74"/>
  <c r="P185" i="74" s="1"/>
  <c r="W179" i="74"/>
  <c r="W185" i="74" s="1"/>
  <c r="AL185" i="74" l="1"/>
  <c r="AL186" i="74" s="1"/>
  <c r="AB220" i="74" s="1"/>
  <c r="AB224" i="74" s="1"/>
  <c r="AL120" i="74"/>
  <c r="AL241" i="74"/>
  <c r="AL306" i="74"/>
  <c r="AL307" i="74" s="1"/>
  <c r="AB341" i="74" s="1"/>
  <c r="AB345" i="74" s="1"/>
  <c r="AB346" i="74" s="1"/>
  <c r="AB349" i="74" s="1"/>
  <c r="AB335" i="74"/>
  <c r="AL338" i="74" s="1"/>
  <c r="AL7" i="80"/>
  <c r="AB214" i="74"/>
  <c r="AL217" i="74" s="1"/>
  <c r="AQ77" i="74"/>
  <c r="AQ17" i="74"/>
  <c r="AQ38" i="74"/>
  <c r="AL38" i="74"/>
  <c r="AQ23" i="74"/>
  <c r="A23" i="74"/>
  <c r="A6" i="74"/>
  <c r="AO25" i="74"/>
  <c r="AQ16" i="74"/>
  <c r="AQ13" i="74"/>
  <c r="B10" i="74"/>
  <c r="AG10" i="74"/>
  <c r="AQ20" i="74"/>
  <c r="B83" i="74"/>
  <c r="AB225" i="74" l="1"/>
  <c r="AB228" i="74" s="1"/>
  <c r="AL356" i="74"/>
  <c r="BG373" i="74"/>
  <c r="AQ345" i="74"/>
  <c r="AQ12" i="74"/>
  <c r="B6" i="74"/>
  <c r="AL96" i="74"/>
  <c r="AD57" i="74"/>
  <c r="W57" i="74"/>
  <c r="P57" i="74"/>
  <c r="AI13" i="74"/>
  <c r="AQ224" i="74" l="1"/>
  <c r="AL233" i="74"/>
  <c r="AL352" i="74"/>
  <c r="BG374" i="74"/>
  <c r="BG248" i="74"/>
  <c r="BG249" i="74" s="1"/>
  <c r="A4" i="74"/>
  <c r="B4" i="74" s="1"/>
  <c r="AD63" i="74"/>
  <c r="W63" i="74"/>
  <c r="P63" i="74"/>
  <c r="AL63" i="74" s="1"/>
  <c r="AL64" i="74" s="1"/>
  <c r="AB99" i="74" l="1"/>
  <c r="AB103" i="74" l="1"/>
  <c r="AB104" i="74" s="1"/>
  <c r="AQ103" i="74" l="1"/>
  <c r="BG120" i="74"/>
  <c r="AD56" i="56" l="1"/>
  <c r="AA56" i="56"/>
  <c r="M16" i="13"/>
  <c r="O16" i="13"/>
  <c r="AE56" i="56" l="1"/>
  <c r="AB85" i="71"/>
  <c r="X83" i="71"/>
  <c r="AI22" i="71"/>
  <c r="AB23" i="71"/>
  <c r="AB24" i="71" s="1"/>
  <c r="AB25" i="71" s="1"/>
  <c r="AB26" i="71" s="1"/>
  <c r="AB27" i="71" s="1"/>
  <c r="AB28" i="71" s="1"/>
  <c r="AB29" i="71" s="1"/>
  <c r="X21" i="71"/>
  <c r="AB30" i="71" l="1"/>
  <c r="AB31" i="71" s="1"/>
  <c r="AB32" i="71" s="1"/>
  <c r="AB33" i="71" s="1"/>
  <c r="AJ29" i="71"/>
  <c r="AB86" i="71"/>
  <c r="AJ85" i="71"/>
  <c r="AJ23" i="71"/>
  <c r="AK22" i="71"/>
  <c r="AI84" i="71"/>
  <c r="AB87" i="71" l="1"/>
  <c r="AJ86" i="71"/>
  <c r="AJ24" i="71"/>
  <c r="AK23" i="71"/>
  <c r="AI85" i="71"/>
  <c r="AI23" i="71"/>
  <c r="AB88" i="71" l="1"/>
  <c r="AJ87" i="71"/>
  <c r="AJ25" i="71"/>
  <c r="AK24" i="71"/>
  <c r="AI86" i="71"/>
  <c r="AI24" i="71"/>
  <c r="AB11" i="68"/>
  <c r="AB89" i="71" l="1"/>
  <c r="AJ88" i="71"/>
  <c r="AJ26" i="71"/>
  <c r="AK25" i="71"/>
  <c r="AI87" i="71"/>
  <c r="AI25" i="71"/>
  <c r="R67" i="33"/>
  <c r="R63" i="33"/>
  <c r="AB90" i="71" l="1"/>
  <c r="AJ89" i="71"/>
  <c r="AJ27" i="71"/>
  <c r="AK26" i="71"/>
  <c r="AI88" i="71"/>
  <c r="AI26" i="71"/>
  <c r="AB91" i="71" l="1"/>
  <c r="AJ90" i="71"/>
  <c r="AJ28" i="71"/>
  <c r="AK27" i="71"/>
  <c r="AI89" i="71"/>
  <c r="AI27" i="71"/>
  <c r="D28" i="37"/>
  <c r="C4" i="37"/>
  <c r="AB92" i="71" l="1"/>
  <c r="AJ91" i="71"/>
  <c r="AJ30" i="71"/>
  <c r="AK28" i="71"/>
  <c r="AI90" i="71"/>
  <c r="AI28" i="71"/>
  <c r="J45" i="68"/>
  <c r="N41" i="68"/>
  <c r="AB93" i="71" l="1"/>
  <c r="AJ92" i="71"/>
  <c r="AJ31" i="71"/>
  <c r="AI91" i="71"/>
  <c r="AI29" i="71"/>
  <c r="AB94" i="71" l="1"/>
  <c r="AJ93" i="71"/>
  <c r="AJ33" i="71"/>
  <c r="AJ32" i="71"/>
  <c r="AK29" i="71"/>
  <c r="AK30" i="71"/>
  <c r="AI92" i="71"/>
  <c r="AI30" i="71"/>
  <c r="AB95" i="71" l="1"/>
  <c r="AJ95" i="71" s="1"/>
  <c r="AJ94" i="71"/>
  <c r="AK31" i="71"/>
  <c r="AI93" i="71"/>
  <c r="AI31" i="71"/>
  <c r="AI94" i="71" l="1"/>
  <c r="AI32" i="71"/>
  <c r="K46" i="36"/>
  <c r="K45" i="36"/>
  <c r="K44" i="36"/>
  <c r="K43" i="36"/>
  <c r="J45" i="36"/>
  <c r="J44" i="36"/>
  <c r="J43" i="36"/>
  <c r="O46" i="36"/>
  <c r="N46" i="36"/>
  <c r="O45" i="36"/>
  <c r="N45" i="36"/>
  <c r="O44" i="36"/>
  <c r="N44" i="36"/>
  <c r="O43" i="36"/>
  <c r="N43" i="36"/>
  <c r="O42" i="36"/>
  <c r="N42" i="36"/>
  <c r="J34" i="36"/>
  <c r="J33" i="36"/>
  <c r="J32" i="36"/>
  <c r="K35" i="36"/>
  <c r="K34" i="36"/>
  <c r="K33" i="36"/>
  <c r="K32" i="36"/>
  <c r="O35" i="36"/>
  <c r="N35" i="36"/>
  <c r="O34" i="36"/>
  <c r="N34" i="36"/>
  <c r="O33" i="36"/>
  <c r="N33" i="36"/>
  <c r="O32" i="36"/>
  <c r="N32" i="36"/>
  <c r="AK32" i="71" l="1"/>
  <c r="AI95" i="71"/>
  <c r="AI96" i="71" s="1"/>
  <c r="AI97" i="71" s="1"/>
  <c r="AJ34" i="71"/>
  <c r="AI33" i="71"/>
  <c r="P45" i="36"/>
  <c r="L45" i="36" s="1"/>
  <c r="P42" i="36"/>
  <c r="L42" i="36" s="1"/>
  <c r="P46" i="36"/>
  <c r="L46" i="36" s="1"/>
  <c r="P32" i="36"/>
  <c r="P43" i="36"/>
  <c r="P33" i="36"/>
  <c r="L33" i="36" s="1"/>
  <c r="P44" i="36"/>
  <c r="L44" i="36" s="1"/>
  <c r="P34" i="36"/>
  <c r="L34" i="36" s="1"/>
  <c r="K24" i="36"/>
  <c r="K23" i="36"/>
  <c r="K22" i="36"/>
  <c r="K21" i="36"/>
  <c r="K20" i="36"/>
  <c r="J23" i="36"/>
  <c r="J22" i="36"/>
  <c r="J21" i="36"/>
  <c r="J20" i="36"/>
  <c r="P35" i="36"/>
  <c r="L35" i="36" s="1"/>
  <c r="O24" i="36"/>
  <c r="O23" i="36"/>
  <c r="O22" i="36"/>
  <c r="O21" i="36"/>
  <c r="O20" i="36"/>
  <c r="N24" i="36"/>
  <c r="N23" i="36"/>
  <c r="N22" i="36"/>
  <c r="N21" i="36"/>
  <c r="N20" i="36"/>
  <c r="J12" i="36"/>
  <c r="J11" i="36"/>
  <c r="J10" i="36"/>
  <c r="K13" i="36"/>
  <c r="K12" i="36"/>
  <c r="K11" i="36"/>
  <c r="K10" i="36"/>
  <c r="O13" i="36"/>
  <c r="O12" i="36"/>
  <c r="O11" i="36"/>
  <c r="O10" i="36"/>
  <c r="O9" i="36"/>
  <c r="N9" i="36"/>
  <c r="N13" i="36"/>
  <c r="N12" i="36"/>
  <c r="N10" i="36"/>
  <c r="N11" i="36"/>
  <c r="L32" i="36" l="1"/>
  <c r="L43" i="36"/>
  <c r="AD19" i="36"/>
  <c r="AJ96" i="71"/>
  <c r="AJ97" i="71" s="1"/>
  <c r="AK33" i="71"/>
  <c r="AJ35" i="71"/>
  <c r="AI34" i="71"/>
  <c r="P20" i="36"/>
  <c r="L20" i="36" s="1"/>
  <c r="AB19" i="36" s="1"/>
  <c r="Z21" i="36" s="1"/>
  <c r="P23" i="36"/>
  <c r="L23" i="36" s="1"/>
  <c r="P22" i="36"/>
  <c r="L22" i="36" s="1"/>
  <c r="P24" i="36"/>
  <c r="L24" i="36" s="1"/>
  <c r="P11" i="36"/>
  <c r="L11" i="36" s="1"/>
  <c r="P12" i="36"/>
  <c r="L12" i="36" s="1"/>
  <c r="P13" i="36"/>
  <c r="L13" i="36" s="1"/>
  <c r="P21" i="36"/>
  <c r="L21" i="36" s="1"/>
  <c r="P9" i="36"/>
  <c r="L9" i="36" s="1"/>
  <c r="P10" i="36"/>
  <c r="L10" i="36" s="1"/>
  <c r="E35" i="1"/>
  <c r="D35" i="1"/>
  <c r="C35" i="1"/>
  <c r="F35" i="1"/>
  <c r="C4" i="52"/>
  <c r="C3" i="52"/>
  <c r="V95" i="71" l="1"/>
  <c r="V94" i="71"/>
  <c r="AK34" i="71"/>
  <c r="V28" i="71" s="1"/>
  <c r="I35" i="1"/>
  <c r="AI35" i="71"/>
  <c r="B3" i="52"/>
  <c r="C98" i="1"/>
  <c r="C99" i="1"/>
  <c r="AB54" i="56"/>
  <c r="AB21" i="56"/>
  <c r="T92" i="71" l="1"/>
  <c r="T32" i="71"/>
  <c r="T91" i="71"/>
  <c r="T31" i="71"/>
  <c r="L25" i="1"/>
  <c r="J72" i="1"/>
  <c r="P4" i="52" s="1"/>
  <c r="Y104" i="5"/>
  <c r="W102" i="5" s="1"/>
  <c r="Y102" i="5"/>
  <c r="W100" i="5" s="1"/>
  <c r="Y100" i="5"/>
  <c r="W98" i="5" s="1"/>
  <c r="Y98" i="5"/>
  <c r="W96" i="5" s="1"/>
  <c r="Y96" i="5" l="1"/>
  <c r="W94" i="5" s="1"/>
  <c r="AW17" i="2" l="1"/>
  <c r="A3" i="36"/>
  <c r="A4" i="36"/>
  <c r="A5" i="36"/>
  <c r="A6" i="36"/>
  <c r="A7" i="36"/>
  <c r="A8" i="36"/>
  <c r="A9" i="36"/>
  <c r="A10" i="36"/>
  <c r="A11" i="36"/>
  <c r="A12" i="36"/>
  <c r="A13" i="36"/>
  <c r="A14" i="36"/>
  <c r="A15" i="36"/>
  <c r="A16" i="36"/>
  <c r="A17" i="36"/>
  <c r="A18" i="36"/>
  <c r="A19" i="36"/>
  <c r="A20" i="36"/>
  <c r="A21" i="36"/>
  <c r="A22" i="36"/>
  <c r="A23" i="36"/>
  <c r="A24" i="36"/>
  <c r="A25" i="36"/>
  <c r="A26" i="36"/>
  <c r="A27" i="36"/>
  <c r="A28" i="36"/>
  <c r="A29" i="36"/>
  <c r="A30" i="36"/>
  <c r="A31" i="36"/>
  <c r="A32" i="36"/>
  <c r="A33" i="36"/>
  <c r="A34" i="36"/>
  <c r="A35" i="36"/>
  <c r="A36" i="36"/>
  <c r="A37" i="36"/>
  <c r="A38" i="36"/>
  <c r="A39" i="36"/>
  <c r="A40" i="36"/>
  <c r="A41" i="36"/>
  <c r="A42" i="36"/>
  <c r="A43" i="36"/>
  <c r="A44" i="36"/>
  <c r="A45" i="36"/>
  <c r="A46" i="36"/>
  <c r="A47" i="36"/>
  <c r="A48" i="36"/>
  <c r="A49" i="36"/>
  <c r="A50" i="36"/>
  <c r="A51" i="36"/>
  <c r="A52" i="36"/>
  <c r="A53" i="36"/>
  <c r="A54" i="36"/>
  <c r="A55" i="36"/>
  <c r="A56" i="36"/>
  <c r="A57" i="36"/>
  <c r="A58" i="36"/>
  <c r="A59" i="36"/>
  <c r="A60" i="36"/>
  <c r="A61" i="36"/>
  <c r="A62" i="36"/>
  <c r="A63" i="36"/>
  <c r="A64" i="36"/>
  <c r="A65" i="36"/>
  <c r="A66" i="36"/>
  <c r="A67" i="36"/>
  <c r="A68" i="36"/>
  <c r="A69" i="36"/>
  <c r="A70" i="36"/>
  <c r="A71" i="36"/>
  <c r="A72" i="36"/>
  <c r="A73" i="36"/>
  <c r="A74" i="36"/>
  <c r="A75" i="36"/>
  <c r="A76" i="36"/>
  <c r="A77" i="36"/>
  <c r="A78" i="36"/>
  <c r="A79" i="36"/>
  <c r="A80" i="36"/>
  <c r="A81" i="36"/>
  <c r="A82" i="36"/>
  <c r="A83" i="36"/>
  <c r="A84" i="36"/>
  <c r="A85" i="36"/>
  <c r="A86" i="36"/>
  <c r="A87" i="36"/>
  <c r="A88" i="36"/>
  <c r="A89" i="36"/>
  <c r="A90" i="36"/>
  <c r="A91" i="36"/>
  <c r="A92" i="36"/>
  <c r="A93" i="36"/>
  <c r="A94" i="36"/>
  <c r="A95" i="36"/>
  <c r="A96" i="36"/>
  <c r="A97" i="36"/>
  <c r="A98" i="36"/>
  <c r="A99" i="36"/>
  <c r="A100" i="36"/>
  <c r="A101" i="36"/>
  <c r="A102" i="36"/>
  <c r="A103" i="36"/>
  <c r="A104" i="36"/>
  <c r="A105" i="36"/>
  <c r="A106" i="36"/>
  <c r="A107" i="36"/>
  <c r="A108" i="36"/>
  <c r="A109" i="36"/>
  <c r="A110" i="36"/>
  <c r="A111" i="36"/>
  <c r="A112" i="36"/>
  <c r="A113" i="36"/>
  <c r="A114" i="36"/>
  <c r="A115" i="36"/>
  <c r="A116" i="36"/>
  <c r="A117" i="36"/>
  <c r="A118" i="36"/>
  <c r="A119" i="36"/>
  <c r="A120" i="36"/>
  <c r="A121" i="36"/>
  <c r="A122" i="36"/>
  <c r="A123" i="36"/>
  <c r="A124" i="36"/>
  <c r="A125" i="36"/>
  <c r="A126" i="36"/>
  <c r="A127" i="36"/>
  <c r="A128" i="36"/>
  <c r="A129" i="36"/>
  <c r="A130" i="36"/>
  <c r="A131" i="36"/>
  <c r="A132" i="36"/>
  <c r="A133" i="36"/>
  <c r="A134" i="36"/>
  <c r="A135" i="36"/>
  <c r="A136" i="36"/>
  <c r="A137" i="36"/>
  <c r="A138" i="36"/>
  <c r="A139" i="36"/>
  <c r="A140" i="36"/>
  <c r="A141" i="36"/>
  <c r="A142" i="36"/>
  <c r="A143" i="36"/>
  <c r="A144" i="36"/>
  <c r="A145" i="36"/>
  <c r="A146" i="36"/>
  <c r="A147" i="36"/>
  <c r="A148" i="36"/>
  <c r="A149" i="36"/>
  <c r="A150" i="36"/>
  <c r="A151" i="36"/>
  <c r="A152" i="36"/>
  <c r="A153" i="36"/>
  <c r="A154" i="36"/>
  <c r="A155" i="36"/>
  <c r="A156" i="36"/>
  <c r="A157" i="36"/>
  <c r="A158" i="36"/>
  <c r="A159" i="36"/>
  <c r="A160" i="36"/>
  <c r="A161" i="36"/>
  <c r="A162" i="36"/>
  <c r="A163" i="36"/>
  <c r="A164" i="36"/>
  <c r="A165" i="36"/>
  <c r="A166" i="36"/>
  <c r="A167" i="36"/>
  <c r="A168" i="36"/>
  <c r="A169" i="36"/>
  <c r="A170" i="36"/>
  <c r="A171" i="36"/>
  <c r="A172" i="36"/>
  <c r="A173" i="36"/>
  <c r="A174" i="36"/>
  <c r="A175" i="36"/>
  <c r="A176" i="36"/>
  <c r="A177" i="36"/>
  <c r="A178" i="36"/>
  <c r="A179" i="36"/>
  <c r="A180" i="36"/>
  <c r="A181" i="36"/>
  <c r="A182" i="36"/>
  <c r="A183" i="36"/>
  <c r="A184" i="36"/>
  <c r="A185" i="36"/>
  <c r="A186" i="36"/>
  <c r="A187" i="36"/>
  <c r="A188" i="36"/>
  <c r="A189" i="36"/>
  <c r="A190" i="36"/>
  <c r="A191" i="36"/>
  <c r="A192" i="36"/>
  <c r="A193" i="36"/>
  <c r="A194" i="36"/>
  <c r="A195" i="36"/>
  <c r="A196" i="36"/>
  <c r="A197" i="36"/>
  <c r="A198" i="36"/>
  <c r="A199" i="36"/>
  <c r="A200" i="36"/>
  <c r="A201" i="36"/>
  <c r="A202" i="36"/>
  <c r="A203" i="36"/>
  <c r="A204" i="36"/>
  <c r="A205" i="36"/>
  <c r="A206" i="36"/>
  <c r="A207" i="36"/>
  <c r="A208" i="36"/>
  <c r="A209" i="36"/>
  <c r="A210" i="36"/>
  <c r="A211" i="36"/>
  <c r="A212" i="36"/>
  <c r="A213" i="36"/>
  <c r="A214" i="36"/>
  <c r="A215" i="36"/>
  <c r="A216" i="36"/>
  <c r="A217" i="36"/>
  <c r="A218" i="36"/>
  <c r="A219" i="36"/>
  <c r="A220" i="36"/>
  <c r="A221" i="36"/>
  <c r="A222" i="36"/>
  <c r="A223" i="36"/>
  <c r="A224" i="36"/>
  <c r="A225" i="36"/>
  <c r="A226" i="36"/>
  <c r="A227" i="36"/>
  <c r="A228" i="36"/>
  <c r="A229" i="36"/>
  <c r="A230" i="36"/>
  <c r="A231" i="36"/>
  <c r="A232" i="36"/>
  <c r="A233" i="36"/>
  <c r="A234" i="36"/>
  <c r="A235" i="36"/>
  <c r="A236" i="36"/>
  <c r="A237" i="36"/>
  <c r="A238" i="36"/>
  <c r="A239" i="36"/>
  <c r="A240" i="36"/>
  <c r="A241" i="36"/>
  <c r="A242" i="36"/>
  <c r="A243" i="36"/>
  <c r="A244" i="36"/>
  <c r="A245" i="36"/>
  <c r="A246" i="36"/>
  <c r="A247" i="36"/>
  <c r="A248" i="36"/>
  <c r="A249" i="36"/>
  <c r="A250" i="36"/>
  <c r="A251" i="36"/>
  <c r="A252" i="36"/>
  <c r="A253" i="36"/>
  <c r="A254" i="36"/>
  <c r="A255" i="36"/>
  <c r="A256" i="36"/>
  <c r="A257" i="36"/>
  <c r="A258" i="36"/>
  <c r="A259" i="36"/>
  <c r="A260" i="36"/>
  <c r="A261" i="36"/>
  <c r="A262" i="36"/>
  <c r="A263" i="36"/>
  <c r="A264" i="36"/>
  <c r="A265" i="36"/>
  <c r="A266" i="36"/>
  <c r="A267" i="36"/>
  <c r="A268" i="36"/>
  <c r="A269" i="36"/>
  <c r="A270" i="36"/>
  <c r="A271" i="36"/>
  <c r="A272" i="36"/>
  <c r="A273" i="36"/>
  <c r="A274" i="36"/>
  <c r="A275" i="36"/>
  <c r="A276" i="36"/>
  <c r="A277" i="36"/>
  <c r="A278" i="36"/>
  <c r="A279" i="36"/>
  <c r="A280" i="36"/>
  <c r="A281" i="36"/>
  <c r="A282" i="36"/>
  <c r="A283" i="36"/>
  <c r="A284" i="36"/>
  <c r="A285" i="36"/>
  <c r="A286" i="36"/>
  <c r="A287" i="36"/>
  <c r="A288" i="36"/>
  <c r="A289" i="36"/>
  <c r="A290" i="36"/>
  <c r="A291" i="36"/>
  <c r="A292" i="36"/>
  <c r="A293" i="36"/>
  <c r="A294" i="36"/>
  <c r="A295" i="36"/>
  <c r="A296" i="36"/>
  <c r="A297" i="36"/>
  <c r="A298" i="36"/>
  <c r="A299" i="36"/>
  <c r="A300" i="36"/>
  <c r="A301" i="36"/>
  <c r="A302" i="36"/>
  <c r="A303" i="36"/>
  <c r="A304" i="36"/>
  <c r="A305" i="36"/>
  <c r="A306" i="36"/>
  <c r="A307" i="36"/>
  <c r="A308" i="36"/>
  <c r="A309" i="36"/>
  <c r="A310" i="36"/>
  <c r="A311" i="36"/>
  <c r="A312" i="36"/>
  <c r="A313" i="36"/>
  <c r="A314" i="36"/>
  <c r="A315" i="36"/>
  <c r="A316" i="36"/>
  <c r="A317" i="36"/>
  <c r="A318" i="36"/>
  <c r="A319" i="36"/>
  <c r="A320" i="36"/>
  <c r="A321" i="36"/>
  <c r="A322" i="36"/>
  <c r="A323" i="36"/>
  <c r="A324" i="36"/>
  <c r="A325" i="36"/>
  <c r="A326" i="36"/>
  <c r="A327" i="36"/>
  <c r="A328" i="36"/>
  <c r="A329" i="36"/>
  <c r="A330" i="36"/>
  <c r="A331" i="36"/>
  <c r="A332" i="36"/>
  <c r="A333" i="36"/>
  <c r="A334" i="36"/>
  <c r="A335" i="36"/>
  <c r="A336" i="36"/>
  <c r="A337" i="36"/>
  <c r="A338" i="36"/>
  <c r="A339" i="36"/>
  <c r="A340" i="36"/>
  <c r="A341" i="36"/>
  <c r="A342" i="36"/>
  <c r="A343" i="36"/>
  <c r="A344" i="36"/>
  <c r="A345" i="36"/>
  <c r="A346" i="36"/>
  <c r="A347" i="36"/>
  <c r="A348" i="36"/>
  <c r="A349" i="36"/>
  <c r="A350" i="36"/>
  <c r="A351" i="36"/>
  <c r="A352" i="36"/>
  <c r="A353" i="36"/>
  <c r="A354" i="36"/>
  <c r="A355" i="36"/>
  <c r="A356" i="36"/>
  <c r="A357" i="36"/>
  <c r="A358" i="36"/>
  <c r="A359" i="36"/>
  <c r="A360" i="36"/>
  <c r="A361" i="36"/>
  <c r="A362" i="36"/>
  <c r="A363" i="36"/>
  <c r="A364" i="36"/>
  <c r="A365" i="36"/>
  <c r="A366" i="36"/>
  <c r="A367" i="36"/>
  <c r="A368" i="36"/>
  <c r="A369" i="36"/>
  <c r="A370" i="36"/>
  <c r="A371" i="36"/>
  <c r="A372" i="36"/>
  <c r="A373" i="36"/>
  <c r="A374" i="36"/>
  <c r="A375" i="36"/>
  <c r="A376" i="36"/>
  <c r="A377" i="36"/>
  <c r="A378" i="36"/>
  <c r="A379" i="36"/>
  <c r="A380" i="36"/>
  <c r="A381" i="36"/>
  <c r="A382" i="36"/>
  <c r="A383" i="36"/>
  <c r="A384" i="36"/>
  <c r="A385" i="36"/>
  <c r="A386" i="36"/>
  <c r="A387" i="36"/>
  <c r="A388" i="36"/>
  <c r="A389" i="36"/>
  <c r="A390" i="36"/>
  <c r="A391" i="36"/>
  <c r="A392" i="36"/>
  <c r="A393" i="36"/>
  <c r="A394" i="36"/>
  <c r="A395" i="36"/>
  <c r="A396" i="36"/>
  <c r="A397" i="36"/>
  <c r="A398" i="36"/>
  <c r="A399" i="36"/>
  <c r="A400" i="36"/>
  <c r="A401" i="36"/>
  <c r="A402" i="36"/>
  <c r="A403" i="36"/>
  <c r="A404" i="36"/>
  <c r="A405" i="36"/>
  <c r="A406" i="36"/>
  <c r="A407" i="36"/>
  <c r="A408" i="36"/>
  <c r="A409" i="36"/>
  <c r="A410" i="36"/>
  <c r="A411" i="36"/>
  <c r="A412" i="36"/>
  <c r="A413" i="36"/>
  <c r="A414" i="36"/>
  <c r="A415" i="36"/>
  <c r="A416" i="36"/>
  <c r="A417" i="36"/>
  <c r="A418" i="36"/>
  <c r="A419" i="36"/>
  <c r="A420" i="36"/>
  <c r="A421" i="36"/>
  <c r="A422" i="36"/>
  <c r="A423" i="36"/>
  <c r="A424" i="36"/>
  <c r="A425" i="36"/>
  <c r="A426" i="36"/>
  <c r="A427" i="36"/>
  <c r="A428" i="36"/>
  <c r="A429" i="36"/>
  <c r="A430" i="36"/>
  <c r="A431" i="36"/>
  <c r="A432" i="36"/>
  <c r="A433" i="36"/>
  <c r="A434" i="36"/>
  <c r="A435" i="36"/>
  <c r="A436" i="36"/>
  <c r="A437" i="36"/>
  <c r="A438" i="36"/>
  <c r="A439" i="36"/>
  <c r="A440" i="36"/>
  <c r="A441" i="36"/>
  <c r="A442" i="36"/>
  <c r="A443" i="36"/>
  <c r="A444" i="36"/>
  <c r="A445" i="36"/>
  <c r="A446" i="36"/>
  <c r="A447" i="36"/>
  <c r="A448" i="36"/>
  <c r="A449" i="36"/>
  <c r="A450" i="36"/>
  <c r="A451" i="36"/>
  <c r="A452" i="36"/>
  <c r="A453" i="36"/>
  <c r="A454" i="36"/>
  <c r="A455" i="36"/>
  <c r="A456" i="36"/>
  <c r="A457" i="36"/>
  <c r="A458" i="36"/>
  <c r="A459" i="36"/>
  <c r="A460" i="36"/>
  <c r="A461" i="36"/>
  <c r="A462" i="36"/>
  <c r="A463" i="36"/>
  <c r="A464" i="36"/>
  <c r="A465" i="36"/>
  <c r="A466" i="36"/>
  <c r="A467" i="36"/>
  <c r="A468" i="36"/>
  <c r="A469" i="36"/>
  <c r="A470" i="36"/>
  <c r="A471" i="36"/>
  <c r="A472" i="36"/>
  <c r="A473" i="36"/>
  <c r="A474" i="36"/>
  <c r="A475" i="36"/>
  <c r="A476" i="36"/>
  <c r="A477" i="36"/>
  <c r="A478" i="36"/>
  <c r="A479" i="36"/>
  <c r="A480" i="36"/>
  <c r="A481" i="36"/>
  <c r="A482" i="36"/>
  <c r="A483" i="36"/>
  <c r="A484" i="36"/>
  <c r="A485" i="36"/>
  <c r="A486" i="36"/>
  <c r="A487" i="36"/>
  <c r="A488" i="36"/>
  <c r="A489" i="36"/>
  <c r="A490" i="36"/>
  <c r="A491" i="36"/>
  <c r="A492" i="36"/>
  <c r="A493" i="36"/>
  <c r="A494" i="36"/>
  <c r="A495" i="36"/>
  <c r="A496" i="36"/>
  <c r="A497" i="36"/>
  <c r="A498" i="36"/>
  <c r="A499" i="36"/>
  <c r="A500" i="36"/>
  <c r="A501" i="36"/>
  <c r="A502" i="36"/>
  <c r="A503" i="36"/>
  <c r="A504" i="36"/>
  <c r="A505" i="36"/>
  <c r="A506" i="36"/>
  <c r="A507" i="36"/>
  <c r="A508" i="36"/>
  <c r="A509" i="36"/>
  <c r="A510" i="36"/>
  <c r="A511" i="36"/>
  <c r="A512" i="36"/>
  <c r="A513" i="36"/>
  <c r="A514" i="36"/>
  <c r="A515" i="36"/>
  <c r="A516" i="36"/>
  <c r="A517" i="36"/>
  <c r="A518" i="36"/>
  <c r="A519" i="36"/>
  <c r="A520" i="36"/>
  <c r="A521" i="36"/>
  <c r="A522" i="36"/>
  <c r="A523" i="36"/>
  <c r="A524" i="36"/>
  <c r="A525" i="36"/>
  <c r="A526" i="36"/>
  <c r="A527" i="36"/>
  <c r="A528" i="36"/>
  <c r="A529" i="36"/>
  <c r="A530" i="36"/>
  <c r="A531" i="36"/>
  <c r="A532" i="36"/>
  <c r="A533" i="36"/>
  <c r="A534" i="36"/>
  <c r="A535" i="36"/>
  <c r="A536" i="36"/>
  <c r="A537" i="36"/>
  <c r="A538" i="36"/>
  <c r="A539" i="36"/>
  <c r="A540" i="36"/>
  <c r="A541" i="36"/>
  <c r="A542" i="36"/>
  <c r="A543" i="36"/>
  <c r="A544" i="36"/>
  <c r="A545" i="36"/>
  <c r="A546" i="36"/>
  <c r="A547" i="36"/>
  <c r="A548" i="36"/>
  <c r="A549" i="36"/>
  <c r="A550" i="36"/>
  <c r="A551" i="36"/>
  <c r="A552" i="36"/>
  <c r="A553" i="36"/>
  <c r="A554" i="36"/>
  <c r="A555" i="36"/>
  <c r="A556" i="36"/>
  <c r="A557" i="36"/>
  <c r="A558" i="36"/>
  <c r="A559" i="36"/>
  <c r="A560" i="36"/>
  <c r="A561" i="36"/>
  <c r="A562" i="36"/>
  <c r="A563" i="36"/>
  <c r="A564" i="36"/>
  <c r="A565" i="36"/>
  <c r="A566" i="36"/>
  <c r="A567" i="36"/>
  <c r="A568" i="36"/>
  <c r="A569" i="36"/>
  <c r="A570" i="36"/>
  <c r="A571" i="36"/>
  <c r="A572" i="36"/>
  <c r="A573" i="36"/>
  <c r="A574" i="36"/>
  <c r="A575" i="36"/>
  <c r="A576" i="36"/>
  <c r="A577" i="36"/>
  <c r="A578" i="36"/>
  <c r="A579" i="36"/>
  <c r="A580" i="36"/>
  <c r="A581" i="36"/>
  <c r="A582" i="36"/>
  <c r="A583" i="36"/>
  <c r="A584" i="36"/>
  <c r="A585" i="36"/>
  <c r="A586" i="36"/>
  <c r="A587" i="36"/>
  <c r="A588" i="36"/>
  <c r="A589" i="36"/>
  <c r="A590" i="36"/>
  <c r="A591" i="36"/>
  <c r="A592" i="36"/>
  <c r="A593" i="36"/>
  <c r="A594" i="36"/>
  <c r="A595" i="36"/>
  <c r="A596" i="36"/>
  <c r="A597" i="36"/>
  <c r="A598" i="36"/>
  <c r="A599" i="36"/>
  <c r="A600" i="36"/>
  <c r="A601" i="36"/>
  <c r="A602" i="36"/>
  <c r="A603" i="36"/>
  <c r="A604" i="36"/>
  <c r="A605" i="36"/>
  <c r="A606" i="36"/>
  <c r="A607" i="36"/>
  <c r="A608" i="36"/>
  <c r="A609" i="36"/>
  <c r="A610" i="36"/>
  <c r="A611" i="36"/>
  <c r="A612" i="36"/>
  <c r="A613" i="36"/>
  <c r="A614" i="36"/>
  <c r="A615" i="36"/>
  <c r="A616" i="36"/>
  <c r="A617" i="36"/>
  <c r="A618" i="36"/>
  <c r="A619" i="36"/>
  <c r="A620" i="36"/>
  <c r="A621" i="36"/>
  <c r="A622" i="36"/>
  <c r="A623" i="36"/>
  <c r="A624" i="36"/>
  <c r="A625" i="36"/>
  <c r="A626" i="36"/>
  <c r="A627" i="36"/>
  <c r="A628" i="36"/>
  <c r="A629" i="36"/>
  <c r="A630" i="36"/>
  <c r="A631" i="36"/>
  <c r="A632" i="36"/>
  <c r="A633" i="36"/>
  <c r="A634" i="36"/>
  <c r="A635" i="36"/>
  <c r="A636" i="36"/>
  <c r="A637" i="36"/>
  <c r="A638" i="36"/>
  <c r="A639" i="36"/>
  <c r="A640" i="36"/>
  <c r="A641" i="36"/>
  <c r="A642" i="36"/>
  <c r="A643" i="36"/>
  <c r="A644" i="36"/>
  <c r="A645" i="36"/>
  <c r="A646" i="36"/>
  <c r="A647" i="36"/>
  <c r="A648" i="36"/>
  <c r="A649" i="36"/>
  <c r="A650" i="36"/>
  <c r="A651" i="36"/>
  <c r="A652" i="36"/>
  <c r="A653" i="36"/>
  <c r="A654" i="36"/>
  <c r="A655" i="36"/>
  <c r="A656" i="36"/>
  <c r="A657" i="36"/>
  <c r="A658" i="36"/>
  <c r="A659" i="36"/>
  <c r="A660" i="36"/>
  <c r="A661" i="36"/>
  <c r="A662" i="36"/>
  <c r="A663" i="36"/>
  <c r="A664" i="36"/>
  <c r="A665" i="36"/>
  <c r="A666" i="36"/>
  <c r="A667" i="36"/>
  <c r="A668" i="36"/>
  <c r="A669" i="36"/>
  <c r="A670" i="36"/>
  <c r="A671" i="36"/>
  <c r="A672" i="36"/>
  <c r="A673" i="36"/>
  <c r="A674" i="36"/>
  <c r="A675" i="36"/>
  <c r="A676" i="36"/>
  <c r="A677" i="36"/>
  <c r="A678" i="36"/>
  <c r="A679" i="36"/>
  <c r="A680" i="36"/>
  <c r="A681" i="36"/>
  <c r="A682" i="36"/>
  <c r="A683" i="36"/>
  <c r="A684" i="36"/>
  <c r="A685" i="36"/>
  <c r="A686" i="36"/>
  <c r="A687" i="36"/>
  <c r="A688" i="36"/>
  <c r="A689" i="36"/>
  <c r="A690" i="36"/>
  <c r="A691" i="36"/>
  <c r="A692" i="36"/>
  <c r="A693" i="36"/>
  <c r="A694" i="36"/>
  <c r="A695" i="36"/>
  <c r="A696" i="36"/>
  <c r="A697" i="36"/>
  <c r="A698" i="36"/>
  <c r="A699" i="36"/>
  <c r="A700" i="36"/>
  <c r="A701" i="36"/>
  <c r="A702" i="36"/>
  <c r="A703" i="36"/>
  <c r="A704" i="36"/>
  <c r="A705" i="36"/>
  <c r="A706" i="36"/>
  <c r="A707" i="36"/>
  <c r="A708" i="36"/>
  <c r="A709" i="36"/>
  <c r="A710" i="36"/>
  <c r="A711" i="36"/>
  <c r="A712" i="36"/>
  <c r="A713" i="36"/>
  <c r="A714" i="36"/>
  <c r="A715" i="36"/>
  <c r="A716" i="36"/>
  <c r="A717" i="36"/>
  <c r="A718" i="36"/>
  <c r="A719" i="36"/>
  <c r="A720" i="36"/>
  <c r="A721" i="36"/>
  <c r="A722" i="36"/>
  <c r="A723" i="36"/>
  <c r="A724" i="36"/>
  <c r="A725" i="36"/>
  <c r="A726" i="36"/>
  <c r="A727" i="36"/>
  <c r="A728" i="36"/>
  <c r="A729" i="36"/>
  <c r="A730" i="36"/>
  <c r="A731" i="36"/>
  <c r="A732" i="36"/>
  <c r="A733" i="36"/>
  <c r="A734" i="36"/>
  <c r="A735" i="36"/>
  <c r="A736" i="36"/>
  <c r="A737" i="36"/>
  <c r="A738" i="36"/>
  <c r="A739" i="36"/>
  <c r="A740" i="36"/>
  <c r="A741" i="36"/>
  <c r="A742" i="36"/>
  <c r="A743" i="36"/>
  <c r="A744" i="36"/>
  <c r="A745" i="36"/>
  <c r="A746" i="36"/>
  <c r="A747" i="36"/>
  <c r="A748" i="36"/>
  <c r="A749" i="36"/>
  <c r="A750" i="36"/>
  <c r="A751" i="36"/>
  <c r="A752" i="36"/>
  <c r="A753" i="36"/>
  <c r="A754" i="36"/>
  <c r="A755" i="36"/>
  <c r="A756" i="36"/>
  <c r="A757" i="36"/>
  <c r="A758" i="36"/>
  <c r="A759" i="36"/>
  <c r="A760" i="36"/>
  <c r="A761" i="36"/>
  <c r="A762" i="36"/>
  <c r="A763" i="36"/>
  <c r="A764" i="36"/>
  <c r="A765" i="36"/>
  <c r="A766" i="36"/>
  <c r="A767" i="36"/>
  <c r="A768" i="36"/>
  <c r="A769" i="36"/>
  <c r="A770" i="36"/>
  <c r="A771" i="36"/>
  <c r="A772" i="36"/>
  <c r="A773" i="36"/>
  <c r="A774" i="36"/>
  <c r="A775" i="36"/>
  <c r="A776" i="36"/>
  <c r="A777" i="36"/>
  <c r="A778" i="36"/>
  <c r="A779" i="36"/>
  <c r="A780" i="36"/>
  <c r="A781" i="36"/>
  <c r="A782" i="36"/>
  <c r="A783" i="36"/>
  <c r="A784" i="36"/>
  <c r="A785" i="36"/>
  <c r="A786" i="36"/>
  <c r="A787" i="36"/>
  <c r="A788" i="36"/>
  <c r="A789" i="36"/>
  <c r="A790" i="36"/>
  <c r="A791" i="36"/>
  <c r="A792" i="36"/>
  <c r="A793" i="36"/>
  <c r="A794" i="36"/>
  <c r="A795" i="36"/>
  <c r="A796" i="36"/>
  <c r="A797" i="36"/>
  <c r="A798" i="36"/>
  <c r="A799" i="36"/>
  <c r="A800" i="36"/>
  <c r="A801" i="36"/>
  <c r="A802" i="36"/>
  <c r="A803" i="36"/>
  <c r="A804" i="36"/>
  <c r="A805" i="36"/>
  <c r="A806" i="36"/>
  <c r="A807" i="36"/>
  <c r="A808" i="36"/>
  <c r="A809" i="36"/>
  <c r="A810" i="36"/>
  <c r="A811" i="36"/>
  <c r="A812" i="36"/>
  <c r="A813" i="36"/>
  <c r="A814" i="36"/>
  <c r="A815" i="36"/>
  <c r="A816" i="36"/>
  <c r="A817" i="36"/>
  <c r="A818" i="36"/>
  <c r="A819" i="36"/>
  <c r="A820" i="36"/>
  <c r="A821" i="36"/>
  <c r="A822" i="36"/>
  <c r="A823" i="36"/>
  <c r="A824" i="36"/>
  <c r="A825" i="36"/>
  <c r="A826" i="36"/>
  <c r="A827" i="36"/>
  <c r="A828" i="36"/>
  <c r="A829" i="36"/>
  <c r="A830" i="36"/>
  <c r="A831" i="36"/>
  <c r="A832" i="36"/>
  <c r="A833" i="36"/>
  <c r="A834" i="36"/>
  <c r="A835" i="36"/>
  <c r="A836" i="36"/>
  <c r="A837" i="36"/>
  <c r="A838" i="36"/>
  <c r="A839" i="36"/>
  <c r="A840" i="36"/>
  <c r="A841" i="36"/>
  <c r="A842" i="36"/>
  <c r="A843" i="36"/>
  <c r="A844" i="36"/>
  <c r="A845" i="36"/>
  <c r="A846" i="36"/>
  <c r="A847" i="36"/>
  <c r="A848" i="36"/>
  <c r="A849" i="36"/>
  <c r="A850" i="36"/>
  <c r="A851" i="36"/>
  <c r="A852" i="36"/>
  <c r="A853" i="36"/>
  <c r="A854" i="36"/>
  <c r="A855" i="36"/>
  <c r="A856" i="36"/>
  <c r="A857" i="36"/>
  <c r="A858" i="36"/>
  <c r="A859" i="36"/>
  <c r="A860" i="36"/>
  <c r="A861" i="36"/>
  <c r="A862" i="36"/>
  <c r="A863" i="36"/>
  <c r="A864" i="36"/>
  <c r="A865" i="36"/>
  <c r="A866" i="36"/>
  <c r="A867" i="36"/>
  <c r="A868" i="36"/>
  <c r="A869" i="36"/>
  <c r="A870" i="36"/>
  <c r="A871" i="36"/>
  <c r="A872" i="36"/>
  <c r="A873" i="36"/>
  <c r="A874" i="36"/>
  <c r="A875" i="36"/>
  <c r="A876" i="36"/>
  <c r="A877" i="36"/>
  <c r="A878" i="36"/>
  <c r="A879" i="36"/>
  <c r="A880" i="36"/>
  <c r="A881" i="36"/>
  <c r="A882" i="36"/>
  <c r="A883" i="36"/>
  <c r="A884" i="36"/>
  <c r="A885" i="36"/>
  <c r="A886" i="36"/>
  <c r="A887" i="36"/>
  <c r="A888" i="36"/>
  <c r="A889" i="36"/>
  <c r="A890" i="36"/>
  <c r="A891" i="36"/>
  <c r="A892" i="36"/>
  <c r="A893" i="36"/>
  <c r="A894" i="36"/>
  <c r="A895" i="36"/>
  <c r="A896" i="36"/>
  <c r="A897" i="36"/>
  <c r="A898" i="36"/>
  <c r="A899" i="36"/>
  <c r="A900" i="36"/>
  <c r="A901" i="36"/>
  <c r="A902" i="36"/>
  <c r="A903" i="36"/>
  <c r="A904" i="36"/>
  <c r="A905" i="36"/>
  <c r="A906" i="36"/>
  <c r="A907" i="36"/>
  <c r="A908" i="36"/>
  <c r="A909" i="36"/>
  <c r="A910" i="36"/>
  <c r="A911" i="36"/>
  <c r="A912" i="36"/>
  <c r="A913" i="36"/>
  <c r="A914" i="36"/>
  <c r="A915" i="36"/>
  <c r="A916" i="36"/>
  <c r="A917" i="36"/>
  <c r="A918" i="36"/>
  <c r="A919" i="36"/>
  <c r="A920" i="36"/>
  <c r="A921" i="36"/>
  <c r="A922" i="36"/>
  <c r="A923" i="36"/>
  <c r="A924" i="36"/>
  <c r="A925" i="36"/>
  <c r="A926" i="36"/>
  <c r="A927" i="36"/>
  <c r="A928" i="36"/>
  <c r="A929" i="36"/>
  <c r="A930" i="36"/>
  <c r="A931" i="36"/>
  <c r="A932" i="36"/>
  <c r="A933" i="36"/>
  <c r="A934" i="36"/>
  <c r="A935" i="36"/>
  <c r="A936" i="36"/>
  <c r="A937" i="36"/>
  <c r="A938" i="36"/>
  <c r="A939" i="36"/>
  <c r="A940" i="36"/>
  <c r="A941" i="36"/>
  <c r="A942" i="36"/>
  <c r="A943" i="36"/>
  <c r="A944" i="36"/>
  <c r="A945" i="36"/>
  <c r="A946" i="36"/>
  <c r="A947" i="36"/>
  <c r="A948" i="36"/>
  <c r="A949" i="36"/>
  <c r="A950" i="36"/>
  <c r="A951" i="36"/>
  <c r="A952" i="36"/>
  <c r="A953" i="36"/>
  <c r="A954" i="36"/>
  <c r="A955" i="36"/>
  <c r="A956" i="36"/>
  <c r="A957" i="36"/>
  <c r="A958" i="36"/>
  <c r="A959" i="36"/>
  <c r="A960" i="36"/>
  <c r="A961" i="36"/>
  <c r="A962" i="36"/>
  <c r="A963" i="36"/>
  <c r="A964" i="36"/>
  <c r="A965" i="36"/>
  <c r="A966" i="36"/>
  <c r="A967" i="36"/>
  <c r="A968" i="36"/>
  <c r="A969" i="36"/>
  <c r="A970" i="36"/>
  <c r="A971" i="36"/>
  <c r="A972" i="36"/>
  <c r="A973" i="36"/>
  <c r="A974" i="36"/>
  <c r="A975" i="36"/>
  <c r="A976" i="36"/>
  <c r="A977" i="36"/>
  <c r="A978" i="36"/>
  <c r="A979" i="36"/>
  <c r="A980" i="36"/>
  <c r="A981" i="36"/>
  <c r="A982" i="36"/>
  <c r="A983" i="36"/>
  <c r="A984" i="36"/>
  <c r="A985" i="36"/>
  <c r="A986" i="36"/>
  <c r="A987" i="36"/>
  <c r="A988" i="36"/>
  <c r="A989" i="36"/>
  <c r="A990" i="36"/>
  <c r="A991" i="36"/>
  <c r="A992" i="36"/>
  <c r="A993" i="36"/>
  <c r="A994" i="36"/>
  <c r="A995" i="36"/>
  <c r="A996" i="36"/>
  <c r="A997" i="36"/>
  <c r="A998" i="36"/>
  <c r="A999" i="36"/>
  <c r="A1000" i="36"/>
  <c r="A1001" i="36"/>
  <c r="A1002" i="36"/>
  <c r="A1003" i="36"/>
  <c r="A1004" i="36"/>
  <c r="A1005" i="36"/>
  <c r="A1006" i="36"/>
  <c r="A1007" i="36"/>
  <c r="A1008" i="36"/>
  <c r="A1009" i="36"/>
  <c r="A1010" i="36"/>
  <c r="A1011" i="36"/>
  <c r="A1012" i="36"/>
  <c r="A1013" i="36"/>
  <c r="A1014" i="36"/>
  <c r="A1015" i="36"/>
  <c r="A1016" i="36"/>
  <c r="A1017" i="36"/>
  <c r="A1018" i="36"/>
  <c r="A1019" i="36"/>
  <c r="A1020" i="36"/>
  <c r="A1021" i="36"/>
  <c r="A1022" i="36"/>
  <c r="A1023" i="36"/>
  <c r="A1024" i="36"/>
  <c r="A1025" i="36"/>
  <c r="A1026" i="36"/>
  <c r="A1027" i="36"/>
  <c r="A1028" i="36"/>
  <c r="A1029" i="36"/>
  <c r="A1030" i="36"/>
  <c r="A1031" i="36"/>
  <c r="A1032" i="36"/>
  <c r="A1033" i="36"/>
  <c r="A1034" i="36"/>
  <c r="A1035" i="36"/>
  <c r="A1036" i="36"/>
  <c r="A1037" i="36"/>
  <c r="A1038" i="36"/>
  <c r="A1039" i="36"/>
  <c r="A1040" i="36"/>
  <c r="A1041" i="36"/>
  <c r="A1042" i="36"/>
  <c r="A1043" i="36"/>
  <c r="A1044" i="36"/>
  <c r="A1045" i="36"/>
  <c r="A1046" i="36"/>
  <c r="A1047" i="36"/>
  <c r="A1048" i="36"/>
  <c r="A1049" i="36"/>
  <c r="A1050" i="36"/>
  <c r="A1051" i="36"/>
  <c r="A1052" i="36"/>
  <c r="A1053" i="36"/>
  <c r="A1054" i="36"/>
  <c r="A1055" i="36"/>
  <c r="A1056" i="36"/>
  <c r="A1057" i="36"/>
  <c r="A1058" i="36"/>
  <c r="A1059" i="36"/>
  <c r="A1060" i="36"/>
  <c r="A1061" i="36"/>
  <c r="A1062" i="36"/>
  <c r="A1063" i="36"/>
  <c r="A1064" i="36"/>
  <c r="A1065" i="36"/>
  <c r="A1066" i="36"/>
  <c r="A1067" i="36"/>
  <c r="A1068" i="36"/>
  <c r="A1069" i="36"/>
  <c r="A1070" i="36"/>
  <c r="A1071" i="36"/>
  <c r="A1072" i="36"/>
  <c r="A1073" i="36"/>
  <c r="A1074" i="36"/>
  <c r="A1075" i="36"/>
  <c r="A1076" i="36"/>
  <c r="A1077" i="36"/>
  <c r="A1078" i="36"/>
  <c r="A1079" i="36"/>
  <c r="A1080" i="36"/>
  <c r="A1081" i="36"/>
  <c r="A1082" i="36"/>
  <c r="A1083" i="36"/>
  <c r="A1084" i="36"/>
  <c r="A1085" i="36"/>
  <c r="A1086" i="36"/>
  <c r="A1087" i="36"/>
  <c r="A1088" i="36"/>
  <c r="A1089" i="36"/>
  <c r="A1090" i="36"/>
  <c r="A1091" i="36"/>
  <c r="A1092" i="36"/>
  <c r="A1093" i="36"/>
  <c r="A1094" i="36"/>
  <c r="A1095" i="36"/>
  <c r="A1096" i="36"/>
  <c r="A1097" i="36"/>
  <c r="A1098" i="36"/>
  <c r="A1099" i="36"/>
  <c r="A1100" i="36"/>
  <c r="A1101" i="36"/>
  <c r="A1102" i="36"/>
  <c r="A1103" i="36"/>
  <c r="A1104" i="36"/>
  <c r="A1105" i="36"/>
  <c r="A1106" i="36"/>
  <c r="A1107" i="36"/>
  <c r="A1108" i="36"/>
  <c r="A1109" i="36"/>
  <c r="A1110" i="36"/>
  <c r="A1111" i="36"/>
  <c r="A1112" i="36"/>
  <c r="A1113" i="36"/>
  <c r="A1114" i="36"/>
  <c r="A1115" i="36"/>
  <c r="A1116" i="36"/>
  <c r="A1117" i="36"/>
  <c r="A1118" i="36"/>
  <c r="A1119" i="36"/>
  <c r="A1120" i="36"/>
  <c r="A1121" i="36"/>
  <c r="A1122" i="36"/>
  <c r="A1123" i="36"/>
  <c r="A1124" i="36"/>
  <c r="A1125" i="36"/>
  <c r="A1126" i="36"/>
  <c r="A1127" i="36"/>
  <c r="A1128" i="36"/>
  <c r="A1129" i="36"/>
  <c r="A1130" i="36"/>
  <c r="A1131" i="36"/>
  <c r="A1132" i="36"/>
  <c r="A1133" i="36"/>
  <c r="A1134" i="36"/>
  <c r="A1135" i="36"/>
  <c r="A1136" i="36"/>
  <c r="A1137" i="36"/>
  <c r="A1138" i="36"/>
  <c r="A1139" i="36"/>
  <c r="A1140" i="36"/>
  <c r="A1141" i="36"/>
  <c r="A1142" i="36"/>
  <c r="A1143" i="36"/>
  <c r="A1144" i="36"/>
  <c r="A1145" i="36"/>
  <c r="A1146" i="36"/>
  <c r="A1147" i="36"/>
  <c r="A1148" i="36"/>
  <c r="A1149" i="36"/>
  <c r="A1150" i="36"/>
  <c r="A1151" i="36"/>
  <c r="A1152" i="36"/>
  <c r="A1153" i="36"/>
  <c r="A1154" i="36"/>
  <c r="A1155" i="36"/>
  <c r="A1156" i="36"/>
  <c r="A1157" i="36"/>
  <c r="A1158" i="36"/>
  <c r="A1159" i="36"/>
  <c r="A1160" i="36"/>
  <c r="A1161" i="36"/>
  <c r="A1162" i="36"/>
  <c r="A1163" i="36"/>
  <c r="A1164" i="36"/>
  <c r="A1165" i="36"/>
  <c r="A1166" i="36"/>
  <c r="A1167" i="36"/>
  <c r="A1168" i="36"/>
  <c r="A1169" i="36"/>
  <c r="A1170" i="36"/>
  <c r="A1171" i="36"/>
  <c r="A1172" i="36"/>
  <c r="A1173" i="36"/>
  <c r="A1174" i="36"/>
  <c r="A1175" i="36"/>
  <c r="A1176" i="36"/>
  <c r="A1177" i="36"/>
  <c r="A1178" i="36"/>
  <c r="A1179" i="36"/>
  <c r="A1180" i="36"/>
  <c r="A1181" i="36"/>
  <c r="A1182" i="36"/>
  <c r="A1183" i="36"/>
  <c r="A1184" i="36"/>
  <c r="A1185" i="36"/>
  <c r="A1186" i="36"/>
  <c r="A1187" i="36"/>
  <c r="A1188" i="36"/>
  <c r="A1189" i="36"/>
  <c r="A1190" i="36"/>
  <c r="A1191" i="36"/>
  <c r="A1192" i="36"/>
  <c r="A1193" i="36"/>
  <c r="A1194" i="36"/>
  <c r="A1195" i="36"/>
  <c r="A1196" i="36"/>
  <c r="A1197" i="36"/>
  <c r="A1198" i="36"/>
  <c r="A1199" i="36"/>
  <c r="A1200" i="36"/>
  <c r="A1201" i="36"/>
  <c r="A1202" i="36"/>
  <c r="A1203" i="36"/>
  <c r="A1204" i="36"/>
  <c r="A1205" i="36"/>
  <c r="A1206" i="36"/>
  <c r="A1207" i="36"/>
  <c r="A1208" i="36"/>
  <c r="A1209" i="36"/>
  <c r="A1210" i="36"/>
  <c r="A1211" i="36"/>
  <c r="A1212" i="36"/>
  <c r="A1213" i="36"/>
  <c r="A1214" i="36"/>
  <c r="A1215" i="36"/>
  <c r="A1216" i="36"/>
  <c r="A1217" i="36"/>
  <c r="A1218" i="36"/>
  <c r="A1219" i="36"/>
  <c r="A1220" i="36"/>
  <c r="A1221" i="36"/>
  <c r="A1222" i="36"/>
  <c r="A1223" i="36"/>
  <c r="A1224" i="36"/>
  <c r="A1225" i="36"/>
  <c r="A1226" i="36"/>
  <c r="A1227" i="36"/>
  <c r="A1228" i="36"/>
  <c r="A1229" i="36"/>
  <c r="A1230" i="36"/>
  <c r="A1231" i="36"/>
  <c r="A1232" i="36"/>
  <c r="A1233" i="36"/>
  <c r="A1234" i="36"/>
  <c r="A1235" i="36"/>
  <c r="A1236" i="36"/>
  <c r="A1237" i="36"/>
  <c r="A1238" i="36"/>
  <c r="A1239" i="36"/>
  <c r="A1240" i="36"/>
  <c r="A1241" i="36"/>
  <c r="A1242" i="36"/>
  <c r="A1243" i="36"/>
  <c r="A1244" i="36"/>
  <c r="A1245" i="36"/>
  <c r="A1246" i="36"/>
  <c r="A1247" i="36"/>
  <c r="A1248" i="36"/>
  <c r="A1249" i="36"/>
  <c r="A1250" i="36"/>
  <c r="A1251" i="36"/>
  <c r="A1252" i="36"/>
  <c r="A1253" i="36"/>
  <c r="A1254" i="36"/>
  <c r="A1255" i="36"/>
  <c r="A1256" i="36"/>
  <c r="A1257" i="36"/>
  <c r="A1258" i="36"/>
  <c r="A1259" i="36"/>
  <c r="A1260" i="36"/>
  <c r="A1261" i="36"/>
  <c r="A1262" i="36"/>
  <c r="A1263" i="36"/>
  <c r="A1264" i="36"/>
  <c r="A1265" i="36"/>
  <c r="A1266" i="36"/>
  <c r="A1267" i="36"/>
  <c r="A1268" i="36"/>
  <c r="A1269" i="36"/>
  <c r="A1270" i="36"/>
  <c r="A1271" i="36"/>
  <c r="A1272" i="36"/>
  <c r="A1273" i="36"/>
  <c r="A1274" i="36"/>
  <c r="A1275" i="36"/>
  <c r="A1276" i="36"/>
  <c r="A1277" i="36"/>
  <c r="A1278" i="36"/>
  <c r="A1279" i="36"/>
  <c r="A1280" i="36"/>
  <c r="A1281" i="36"/>
  <c r="A1282" i="36"/>
  <c r="A1283" i="36"/>
  <c r="A1284" i="36"/>
  <c r="A1285" i="36"/>
  <c r="A1286" i="36"/>
  <c r="A1287" i="36"/>
  <c r="A1288" i="36"/>
  <c r="A1289" i="36"/>
  <c r="A1290" i="36"/>
  <c r="A1291" i="36"/>
  <c r="A1292" i="36"/>
  <c r="A1293" i="36"/>
  <c r="A1294" i="36"/>
  <c r="A1295" i="36"/>
  <c r="A1296" i="36"/>
  <c r="A1297" i="36"/>
  <c r="A1298" i="36"/>
  <c r="A1299" i="36"/>
  <c r="A1300" i="36"/>
  <c r="A1301" i="36"/>
  <c r="A1302" i="36"/>
  <c r="A1303" i="36"/>
  <c r="A1304" i="36"/>
  <c r="A1305" i="36"/>
  <c r="A1306" i="36"/>
  <c r="A1307" i="36"/>
  <c r="A1308" i="36"/>
  <c r="A1309" i="36"/>
  <c r="A1310" i="36"/>
  <c r="A1311" i="36"/>
  <c r="A1312" i="36"/>
  <c r="A1313" i="36"/>
  <c r="A1314" i="36"/>
  <c r="A1315" i="36"/>
  <c r="A1316" i="36"/>
  <c r="A1317" i="36"/>
  <c r="A1318" i="36"/>
  <c r="A1319" i="36"/>
  <c r="A1320" i="36"/>
  <c r="A1321" i="36"/>
  <c r="A1322" i="36"/>
  <c r="A1323" i="36"/>
  <c r="A1324" i="36"/>
  <c r="A1325" i="36"/>
  <c r="A1326" i="36"/>
  <c r="A1327" i="36"/>
  <c r="A1328" i="36"/>
  <c r="A1329" i="36"/>
  <c r="A1330" i="36"/>
  <c r="A1331" i="36"/>
  <c r="A1332" i="36"/>
  <c r="A1333" i="36"/>
  <c r="A1334" i="36"/>
  <c r="A1335" i="36"/>
  <c r="A1336" i="36"/>
  <c r="A1337" i="36"/>
  <c r="A1338" i="36"/>
  <c r="A1339" i="36"/>
  <c r="A1340" i="36"/>
  <c r="A1341" i="36"/>
  <c r="A1342" i="36"/>
  <c r="A1343" i="36"/>
  <c r="A1344" i="36"/>
  <c r="A1345" i="36"/>
  <c r="A1346" i="36"/>
  <c r="A1347" i="36"/>
  <c r="A1348" i="36"/>
  <c r="A1349" i="36"/>
  <c r="A1350" i="36"/>
  <c r="A1351" i="36"/>
  <c r="A1352" i="36"/>
  <c r="A1353" i="36"/>
  <c r="A1354" i="36"/>
  <c r="A1355" i="36"/>
  <c r="A1356" i="36"/>
  <c r="A1357" i="36"/>
  <c r="A1358" i="36"/>
  <c r="A1359" i="36"/>
  <c r="A1360" i="36"/>
  <c r="A1361" i="36"/>
  <c r="A1362" i="36"/>
  <c r="A1363" i="36"/>
  <c r="A1364" i="36"/>
  <c r="A1365" i="36"/>
  <c r="A1366" i="36"/>
  <c r="A1367" i="36"/>
  <c r="A1368" i="36"/>
  <c r="A1369" i="36"/>
  <c r="A1370" i="36"/>
  <c r="A1371" i="36"/>
  <c r="A1372" i="36"/>
  <c r="A1373" i="36"/>
  <c r="A1374" i="36"/>
  <c r="A1375" i="36"/>
  <c r="A1376" i="36"/>
  <c r="A1377" i="36"/>
  <c r="A1378" i="36"/>
  <c r="A1379" i="36"/>
  <c r="A1380" i="36"/>
  <c r="A1381" i="36"/>
  <c r="A1382" i="36"/>
  <c r="A1383" i="36"/>
  <c r="A1384" i="36"/>
  <c r="A1385" i="36"/>
  <c r="A1386" i="36"/>
  <c r="A1387" i="36"/>
  <c r="A1388" i="36"/>
  <c r="A1389" i="36"/>
  <c r="A1390" i="36"/>
  <c r="A1391" i="36"/>
  <c r="A1392" i="36"/>
  <c r="A1393" i="36"/>
  <c r="A1394" i="36"/>
  <c r="A1395" i="36"/>
  <c r="A1396" i="36"/>
  <c r="A1397" i="36"/>
  <c r="A1398" i="36"/>
  <c r="A1399" i="36"/>
  <c r="A1400" i="36"/>
  <c r="A1401" i="36"/>
  <c r="A1402" i="36"/>
  <c r="A1403" i="36"/>
  <c r="A1404" i="36"/>
  <c r="A1405" i="36"/>
  <c r="A1406" i="36"/>
  <c r="A1407" i="36"/>
  <c r="A1408" i="36"/>
  <c r="A1409" i="36"/>
  <c r="A1410" i="36"/>
  <c r="A1411" i="36"/>
  <c r="A1412" i="36"/>
  <c r="A1413" i="36"/>
  <c r="A1414" i="36"/>
  <c r="A1415" i="36"/>
  <c r="A1416" i="36"/>
  <c r="A1417" i="36"/>
  <c r="A1418" i="36"/>
  <c r="A1419" i="36"/>
  <c r="A1420" i="36"/>
  <c r="A1421" i="36"/>
  <c r="A1422" i="36"/>
  <c r="A1423" i="36"/>
  <c r="A1424" i="36"/>
  <c r="A1425" i="36"/>
  <c r="A1426" i="36"/>
  <c r="A1427" i="36"/>
  <c r="A1428" i="36"/>
  <c r="A1429" i="36"/>
  <c r="A1430" i="36"/>
  <c r="A1431" i="36"/>
  <c r="A1432" i="36"/>
  <c r="A1433" i="36"/>
  <c r="A1434" i="36"/>
  <c r="A1435" i="36"/>
  <c r="A1436" i="36"/>
  <c r="A1437" i="36"/>
  <c r="A1438" i="36"/>
  <c r="A1439" i="36"/>
  <c r="A1440" i="36"/>
  <c r="A1441" i="36"/>
  <c r="A1442" i="36"/>
  <c r="A1443" i="36"/>
  <c r="A1444" i="36"/>
  <c r="A1445" i="36"/>
  <c r="A1446" i="36"/>
  <c r="A1447" i="36"/>
  <c r="A1448" i="36"/>
  <c r="A1449" i="36"/>
  <c r="A1450" i="36"/>
  <c r="A1451" i="36"/>
  <c r="A1452" i="36"/>
  <c r="A1453" i="36"/>
  <c r="A1454" i="36"/>
  <c r="A1455" i="36"/>
  <c r="A1456" i="36"/>
  <c r="A1457" i="36"/>
  <c r="A1458" i="36"/>
  <c r="A1459" i="36"/>
  <c r="A1460" i="36"/>
  <c r="A1461" i="36"/>
  <c r="A1462" i="36"/>
  <c r="A1463" i="36"/>
  <c r="A1464" i="36"/>
  <c r="A1465" i="36"/>
  <c r="A1466" i="36"/>
  <c r="A1467" i="36"/>
  <c r="A1468" i="36"/>
  <c r="A1469" i="36"/>
  <c r="A1470" i="36"/>
  <c r="A1471" i="36"/>
  <c r="A1472" i="36"/>
  <c r="A1473" i="36"/>
  <c r="A1474" i="36"/>
  <c r="A1475" i="36"/>
  <c r="A1476" i="36"/>
  <c r="A1477" i="36"/>
  <c r="A1478" i="36"/>
  <c r="A1479" i="36"/>
  <c r="A1480" i="36"/>
  <c r="A1481" i="36"/>
  <c r="A1482" i="36"/>
  <c r="A1483" i="36"/>
  <c r="A1484" i="36"/>
  <c r="A1485" i="36"/>
  <c r="A1486" i="36"/>
  <c r="A1487" i="36"/>
  <c r="A1488" i="36"/>
  <c r="A1489" i="36"/>
  <c r="A1490" i="36"/>
  <c r="A1491" i="36"/>
  <c r="A1492" i="36"/>
  <c r="A1493" i="36"/>
  <c r="A1494" i="36"/>
  <c r="A1495" i="36"/>
  <c r="A1496" i="36"/>
  <c r="A1497" i="36"/>
  <c r="A1498" i="36"/>
  <c r="A1499" i="36"/>
  <c r="A1500" i="36"/>
  <c r="A1501" i="36"/>
  <c r="A1502" i="36"/>
  <c r="A1503" i="36"/>
  <c r="A1504" i="36"/>
  <c r="A1505" i="36"/>
  <c r="A1506" i="36"/>
  <c r="A1507" i="36"/>
  <c r="A1508" i="36"/>
  <c r="A1509" i="36"/>
  <c r="A1510" i="36"/>
  <c r="A1511" i="36"/>
  <c r="A1512" i="36"/>
  <c r="A1513" i="36"/>
  <c r="A1514" i="36"/>
  <c r="A1515" i="36"/>
  <c r="A1516" i="36"/>
  <c r="A1517" i="36"/>
  <c r="A1518" i="36"/>
  <c r="A1519" i="36"/>
  <c r="A1520" i="36"/>
  <c r="A1521" i="36"/>
  <c r="A1522" i="36"/>
  <c r="A1523" i="36"/>
  <c r="A1524" i="36"/>
  <c r="A1525" i="36"/>
  <c r="A1526" i="36"/>
  <c r="A1527" i="36"/>
  <c r="A1528" i="36"/>
  <c r="A1529" i="36"/>
  <c r="A1530" i="36"/>
  <c r="A1531" i="36"/>
  <c r="A1532" i="36"/>
  <c r="A1533" i="36"/>
  <c r="A1534" i="36"/>
  <c r="A1535" i="36"/>
  <c r="A1536" i="36"/>
  <c r="A1537" i="36"/>
  <c r="A1538" i="36"/>
  <c r="A1539" i="36"/>
  <c r="A1540" i="36"/>
  <c r="A1541" i="36"/>
  <c r="A1542" i="36"/>
  <c r="A1543" i="36"/>
  <c r="A1544" i="36"/>
  <c r="A1545" i="36"/>
  <c r="A1546" i="36"/>
  <c r="A1547" i="36"/>
  <c r="A1548" i="36"/>
  <c r="A1549" i="36"/>
  <c r="A1550" i="36"/>
  <c r="A1551" i="36"/>
  <c r="A1552" i="36"/>
  <c r="A1553" i="36"/>
  <c r="A1554" i="36"/>
  <c r="A1555" i="36"/>
  <c r="A1556" i="36"/>
  <c r="A1557" i="36"/>
  <c r="A1558" i="36"/>
  <c r="A1559" i="36"/>
  <c r="A1560" i="36"/>
  <c r="A1561" i="36"/>
  <c r="A1562" i="36"/>
  <c r="A1563" i="36"/>
  <c r="A1564" i="36"/>
  <c r="A1565" i="36"/>
  <c r="A1566" i="36"/>
  <c r="A1567" i="36"/>
  <c r="A1568" i="36"/>
  <c r="A1569" i="36"/>
  <c r="A1570" i="36"/>
  <c r="A1571" i="36"/>
  <c r="A1572" i="36"/>
  <c r="A1573" i="36"/>
  <c r="A1574" i="36"/>
  <c r="A1575" i="36"/>
  <c r="A1576" i="36"/>
  <c r="A1577" i="36"/>
  <c r="A1578" i="36"/>
  <c r="A1579" i="36"/>
  <c r="A1580" i="36"/>
  <c r="A1581" i="36"/>
  <c r="A1582" i="36"/>
  <c r="A1583" i="36"/>
  <c r="A1584" i="36"/>
  <c r="A1585" i="36"/>
  <c r="A1586" i="36"/>
  <c r="A1587" i="36"/>
  <c r="A1588" i="36"/>
  <c r="A1589" i="36"/>
  <c r="A1590" i="36"/>
  <c r="A1591" i="36"/>
  <c r="A1592" i="36"/>
  <c r="A1593" i="36"/>
  <c r="A1594" i="36"/>
  <c r="A1595" i="36"/>
  <c r="A1596" i="36"/>
  <c r="A1597" i="36"/>
  <c r="A1598" i="36"/>
  <c r="A1599" i="36"/>
  <c r="A1600" i="36"/>
  <c r="A1601" i="36"/>
  <c r="A1602" i="36"/>
  <c r="A1603" i="36"/>
  <c r="A1604" i="36"/>
  <c r="A1605" i="36"/>
  <c r="A1606" i="36"/>
  <c r="A1607" i="36"/>
  <c r="A1608" i="36"/>
  <c r="A1609" i="36"/>
  <c r="A1610" i="36"/>
  <c r="A1611" i="36"/>
  <c r="A1612" i="36"/>
  <c r="A1613" i="36"/>
  <c r="A1614" i="36"/>
  <c r="A1615" i="36"/>
  <c r="A1616" i="36"/>
  <c r="A1617" i="36"/>
  <c r="A1618" i="36"/>
  <c r="A1619" i="36"/>
  <c r="A1620" i="36"/>
  <c r="A1621" i="36"/>
  <c r="A1622" i="36"/>
  <c r="A1623" i="36"/>
  <c r="A1624" i="36"/>
  <c r="A1625" i="36"/>
  <c r="A1626" i="36"/>
  <c r="A1627" i="36"/>
  <c r="A1628" i="36"/>
  <c r="A1629" i="36"/>
  <c r="A1630" i="36"/>
  <c r="A1631" i="36"/>
  <c r="A1632" i="36"/>
  <c r="A1633" i="36"/>
  <c r="A1634" i="36"/>
  <c r="A1635" i="36"/>
  <c r="A1636" i="36"/>
  <c r="A1637" i="36"/>
  <c r="A1638" i="36"/>
  <c r="A1639" i="36"/>
  <c r="A1640" i="36"/>
  <c r="A1641" i="36"/>
  <c r="A1642" i="36"/>
  <c r="A1643" i="36"/>
  <c r="A1644" i="36"/>
  <c r="A1645" i="36"/>
  <c r="A1646" i="36"/>
  <c r="A1647" i="36"/>
  <c r="A1648" i="36"/>
  <c r="A1649" i="36"/>
  <c r="A1650" i="36"/>
  <c r="A1651" i="36"/>
  <c r="A1652" i="36"/>
  <c r="A1653" i="36"/>
  <c r="A1654" i="36"/>
  <c r="A1655" i="36"/>
  <c r="A1656" i="36"/>
  <c r="A1657" i="36"/>
  <c r="A1658" i="36"/>
  <c r="A1659" i="36"/>
  <c r="A1660" i="36"/>
  <c r="A1661" i="36"/>
  <c r="A1662" i="36"/>
  <c r="A1663" i="36"/>
  <c r="A1664" i="36"/>
  <c r="A1665" i="36"/>
  <c r="A1666" i="36"/>
  <c r="A1667" i="36"/>
  <c r="A1668" i="36"/>
  <c r="A1669" i="36"/>
  <c r="A1670" i="36"/>
  <c r="A1671" i="36"/>
  <c r="A1672" i="36"/>
  <c r="A1673" i="36"/>
  <c r="A1674" i="36"/>
  <c r="A1675" i="36"/>
  <c r="A1676" i="36"/>
  <c r="A1677" i="36"/>
  <c r="A1678" i="36"/>
  <c r="A1679" i="36"/>
  <c r="A1680" i="36"/>
  <c r="A1681" i="36"/>
  <c r="A1682" i="36"/>
  <c r="A1683" i="36"/>
  <c r="A1684" i="36"/>
  <c r="A1685" i="36"/>
  <c r="A1686" i="36"/>
  <c r="A1687" i="36"/>
  <c r="A1688" i="36"/>
  <c r="A1689" i="36"/>
  <c r="A1690" i="36"/>
  <c r="A1691" i="36"/>
  <c r="A1692" i="36"/>
  <c r="A1693" i="36"/>
  <c r="A1694" i="36"/>
  <c r="A1695" i="36"/>
  <c r="A1696" i="36"/>
  <c r="A1697" i="36"/>
  <c r="A1698" i="36"/>
  <c r="A1699" i="36"/>
  <c r="A1700" i="36"/>
  <c r="A1701" i="36"/>
  <c r="A1702" i="36"/>
  <c r="A1703" i="36"/>
  <c r="A1704" i="36"/>
  <c r="A1705" i="36"/>
  <c r="A1706" i="36"/>
  <c r="A1707" i="36"/>
  <c r="A1708" i="36"/>
  <c r="A1709" i="36"/>
  <c r="A1710" i="36"/>
  <c r="A1711" i="36"/>
  <c r="A1712" i="36"/>
  <c r="A1713" i="36"/>
  <c r="A1714" i="36"/>
  <c r="A1715" i="36"/>
  <c r="A1716" i="36"/>
  <c r="A1717" i="36"/>
  <c r="A1718" i="36"/>
  <c r="A1719" i="36"/>
  <c r="A1720" i="36"/>
  <c r="A1721" i="36"/>
  <c r="A1722" i="36"/>
  <c r="A1723" i="36"/>
  <c r="A1724" i="36"/>
  <c r="A1725" i="36"/>
  <c r="A1726" i="36"/>
  <c r="A1727" i="36"/>
  <c r="A1728" i="36"/>
  <c r="A1729" i="36"/>
  <c r="A1730" i="36"/>
  <c r="A1731" i="36"/>
  <c r="A1732" i="36"/>
  <c r="A1733" i="36"/>
  <c r="A1734" i="36"/>
  <c r="A1735" i="36"/>
  <c r="A1736" i="36"/>
  <c r="A1737" i="36"/>
  <c r="A1738" i="36"/>
  <c r="A1739" i="36"/>
  <c r="A1740" i="36"/>
  <c r="A1741" i="36"/>
  <c r="A1742" i="36"/>
  <c r="A1743" i="36"/>
  <c r="A1744" i="36"/>
  <c r="A1745" i="36"/>
  <c r="A1746" i="36"/>
  <c r="A1747" i="36"/>
  <c r="A1748" i="36"/>
  <c r="A1749" i="36"/>
  <c r="A1750" i="36"/>
  <c r="A1751" i="36"/>
  <c r="A1752" i="36"/>
  <c r="A1753" i="36"/>
  <c r="A1754" i="36"/>
  <c r="A1755" i="36"/>
  <c r="A1756" i="36"/>
  <c r="A1757" i="36"/>
  <c r="A1758" i="36"/>
  <c r="A1759" i="36"/>
  <c r="A1760" i="36"/>
  <c r="A1761" i="36"/>
  <c r="A1762" i="36"/>
  <c r="A1763" i="36"/>
  <c r="A1764" i="36"/>
  <c r="A1765" i="36"/>
  <c r="A1766" i="36"/>
  <c r="A1767" i="36"/>
  <c r="A1768" i="36"/>
  <c r="A1769" i="36"/>
  <c r="A1770" i="36"/>
  <c r="A1771" i="36"/>
  <c r="A1772" i="36"/>
  <c r="A1773" i="36"/>
  <c r="A1774" i="36"/>
  <c r="A1775" i="36"/>
  <c r="A1776" i="36"/>
  <c r="A1777" i="36"/>
  <c r="A1778" i="36"/>
  <c r="A1779" i="36"/>
  <c r="A1780" i="36"/>
  <c r="A1781" i="36"/>
  <c r="A1782" i="36"/>
  <c r="A1783" i="36"/>
  <c r="A1784" i="36"/>
  <c r="A1785" i="36"/>
  <c r="A1786" i="36"/>
  <c r="A1787" i="36"/>
  <c r="A1788" i="36"/>
  <c r="A1789" i="36"/>
  <c r="A1790" i="36"/>
  <c r="A1791" i="36"/>
  <c r="A1792" i="36"/>
  <c r="A1793" i="36"/>
  <c r="A1794" i="36"/>
  <c r="A1795" i="36"/>
  <c r="A1796" i="36"/>
  <c r="A1797" i="36"/>
  <c r="A1798" i="36"/>
  <c r="A1799" i="36"/>
  <c r="A1800" i="36"/>
  <c r="A1801" i="36"/>
  <c r="A1802" i="36"/>
  <c r="A1803" i="36"/>
  <c r="A1804" i="36"/>
  <c r="A1805" i="36"/>
  <c r="A1806" i="36"/>
  <c r="A1807" i="36"/>
  <c r="A1808" i="36"/>
  <c r="A1809" i="36"/>
  <c r="A1810" i="36"/>
  <c r="A1811" i="36"/>
  <c r="A1812" i="36"/>
  <c r="A1813" i="36"/>
  <c r="A1814" i="36"/>
  <c r="A1815" i="36"/>
  <c r="A1816" i="36"/>
  <c r="A1817" i="36"/>
  <c r="A1818" i="36"/>
  <c r="A1819" i="36"/>
  <c r="A1820" i="36"/>
  <c r="A1821" i="36"/>
  <c r="A1822" i="36"/>
  <c r="A1823" i="36"/>
  <c r="A1824" i="36"/>
  <c r="A1825" i="36"/>
  <c r="A1826" i="36"/>
  <c r="A1827" i="36"/>
  <c r="A1828" i="36"/>
  <c r="A1829" i="36"/>
  <c r="A1830" i="36"/>
  <c r="A1831" i="36"/>
  <c r="A1832" i="36"/>
  <c r="A1833" i="36"/>
  <c r="A1834" i="36"/>
  <c r="A1835" i="36"/>
  <c r="A1836" i="36"/>
  <c r="A1837" i="36"/>
  <c r="A1838" i="36"/>
  <c r="A1839" i="36"/>
  <c r="A1840" i="36"/>
  <c r="A1841" i="36"/>
  <c r="A1842" i="36"/>
  <c r="A1843" i="36"/>
  <c r="A1844" i="36"/>
  <c r="A1845" i="36"/>
  <c r="A1846" i="36"/>
  <c r="A1847" i="36"/>
  <c r="A1848" i="36"/>
  <c r="A1849" i="36"/>
  <c r="A1850" i="36"/>
  <c r="A1851" i="36"/>
  <c r="A1852" i="36"/>
  <c r="A1853" i="36"/>
  <c r="A1854" i="36"/>
  <c r="A1855" i="36"/>
  <c r="A1856" i="36"/>
  <c r="A1857" i="36"/>
  <c r="A1858" i="36"/>
  <c r="A1859" i="36"/>
  <c r="A1860" i="36"/>
  <c r="A1861" i="36"/>
  <c r="A1862" i="36"/>
  <c r="A1863" i="36"/>
  <c r="A1864" i="36"/>
  <c r="A1865" i="36"/>
  <c r="A1866" i="36"/>
  <c r="A1867" i="36"/>
  <c r="A1868" i="36"/>
  <c r="A1869" i="36"/>
  <c r="A1870" i="36"/>
  <c r="A1871" i="36"/>
  <c r="A1872" i="36"/>
  <c r="A1873" i="36"/>
  <c r="A1874" i="36"/>
  <c r="A1875" i="36"/>
  <c r="A1876" i="36"/>
  <c r="A1877" i="36"/>
  <c r="A1878" i="36"/>
  <c r="A1879" i="36"/>
  <c r="A1880" i="36"/>
  <c r="A1881" i="36"/>
  <c r="A1882" i="36"/>
  <c r="A1883" i="36"/>
  <c r="A1884" i="36"/>
  <c r="A1885" i="36"/>
  <c r="A1886" i="36"/>
  <c r="A1887" i="36"/>
  <c r="A1888" i="36"/>
  <c r="A1889" i="36"/>
  <c r="A1890" i="36"/>
  <c r="A1891" i="36"/>
  <c r="A1892" i="36"/>
  <c r="A1893" i="36"/>
  <c r="A1894" i="36"/>
  <c r="A1895" i="36"/>
  <c r="A1896" i="36"/>
  <c r="A1897" i="36"/>
  <c r="A1898" i="36"/>
  <c r="A1899" i="36"/>
  <c r="A1900" i="36"/>
  <c r="A1901" i="36"/>
  <c r="A1902" i="36"/>
  <c r="A1903" i="36"/>
  <c r="A1904" i="36"/>
  <c r="A1905" i="36"/>
  <c r="A1906" i="36"/>
  <c r="A1907" i="36"/>
  <c r="A1908" i="36"/>
  <c r="A1909" i="36"/>
  <c r="A1910" i="36"/>
  <c r="A1911" i="36"/>
  <c r="A1912" i="36"/>
  <c r="A1913" i="36"/>
  <c r="A1914" i="36"/>
  <c r="A1915" i="36"/>
  <c r="A1916" i="36"/>
  <c r="A1917" i="36"/>
  <c r="A1918" i="36"/>
  <c r="A1919" i="36"/>
  <c r="A1920" i="36"/>
  <c r="A1921" i="36"/>
  <c r="A1922" i="36"/>
  <c r="A1923" i="36"/>
  <c r="A1924" i="36"/>
  <c r="A1925" i="36"/>
  <c r="A1926" i="36"/>
  <c r="A1927" i="36"/>
  <c r="A1928" i="36"/>
  <c r="A1929" i="36"/>
  <c r="A1930" i="36"/>
  <c r="A1931" i="36"/>
  <c r="A1932" i="36"/>
  <c r="A1933" i="36"/>
  <c r="A1934" i="36"/>
  <c r="A1935" i="36"/>
  <c r="A1936" i="36"/>
  <c r="A1937" i="36"/>
  <c r="A1938" i="36"/>
  <c r="A1939" i="36"/>
  <c r="A1940" i="36"/>
  <c r="A1941" i="36"/>
  <c r="A1942" i="36"/>
  <c r="A1943" i="36"/>
  <c r="A1944" i="36"/>
  <c r="A1945" i="36"/>
  <c r="A1946" i="36"/>
  <c r="A1947" i="36"/>
  <c r="A1948" i="36"/>
  <c r="A1949" i="36"/>
  <c r="A1950" i="36"/>
  <c r="A1951" i="36"/>
  <c r="A1952" i="36"/>
  <c r="A1953" i="36"/>
  <c r="A1954" i="36"/>
  <c r="A1955" i="36"/>
  <c r="A1956" i="36"/>
  <c r="A1957" i="36"/>
  <c r="A1958" i="36"/>
  <c r="A1959" i="36"/>
  <c r="A1960" i="36"/>
  <c r="A1961" i="36"/>
  <c r="A1962" i="36"/>
  <c r="A1963" i="36"/>
  <c r="A1964" i="36"/>
  <c r="A1965" i="36"/>
  <c r="A1966" i="36"/>
  <c r="A1967" i="36"/>
  <c r="A1968" i="36"/>
  <c r="A1969" i="36"/>
  <c r="A1970" i="36"/>
  <c r="A1971" i="36"/>
  <c r="A1972" i="36"/>
  <c r="A1973" i="36"/>
  <c r="A1974" i="36"/>
  <c r="A1975" i="36"/>
  <c r="A1976" i="36"/>
  <c r="A1977" i="36"/>
  <c r="A1978" i="36"/>
  <c r="A1979" i="36"/>
  <c r="A1980" i="36"/>
  <c r="A1981" i="36"/>
  <c r="A1982" i="36"/>
  <c r="A1983" i="36"/>
  <c r="A1984" i="36"/>
  <c r="A1985" i="36"/>
  <c r="A1986" i="36"/>
  <c r="A1987" i="36"/>
  <c r="A1988" i="36"/>
  <c r="A1989" i="36"/>
  <c r="A1990" i="36"/>
  <c r="A1991" i="36"/>
  <c r="A1992" i="36"/>
  <c r="A1993" i="36"/>
  <c r="A1994" i="36"/>
  <c r="A1995" i="36"/>
  <c r="A1996" i="36"/>
  <c r="A1997" i="36"/>
  <c r="A1998" i="36"/>
  <c r="A1999" i="36"/>
  <c r="A2000" i="36"/>
  <c r="A2001" i="36"/>
  <c r="A2002" i="36"/>
  <c r="A2003" i="36"/>
  <c r="A2004" i="36"/>
  <c r="A2005" i="36"/>
  <c r="A2006" i="36"/>
  <c r="A2007" i="36"/>
  <c r="A2008" i="36"/>
  <c r="A2009" i="36"/>
  <c r="A2010" i="36"/>
  <c r="A2011" i="36"/>
  <c r="A2012" i="36"/>
  <c r="A2013" i="36"/>
  <c r="A2014" i="36"/>
  <c r="A2015" i="36"/>
  <c r="A2016" i="36"/>
  <c r="A2017" i="36"/>
  <c r="A2018" i="36"/>
  <c r="A2019" i="36"/>
  <c r="A2020" i="36"/>
  <c r="A2021" i="36"/>
  <c r="A2022" i="36"/>
  <c r="A2023" i="36"/>
  <c r="A2024" i="36"/>
  <c r="A2025" i="36"/>
  <c r="A2026" i="36"/>
  <c r="A2027" i="36"/>
  <c r="A2028" i="36"/>
  <c r="A2029" i="36"/>
  <c r="A2030" i="36"/>
  <c r="A2031" i="36"/>
  <c r="A2032" i="36"/>
  <c r="A2033" i="36"/>
  <c r="A2034" i="36"/>
  <c r="A2035" i="36"/>
  <c r="A2036" i="36"/>
  <c r="A2037" i="36"/>
  <c r="A2038" i="36"/>
  <c r="A2039" i="36"/>
  <c r="A2040" i="36"/>
  <c r="A2041" i="36"/>
  <c r="A2042" i="36"/>
  <c r="A2043" i="36"/>
  <c r="A2044" i="36"/>
  <c r="A2045" i="36"/>
  <c r="A2046" i="36"/>
  <c r="A2047" i="36"/>
  <c r="A2048" i="36"/>
  <c r="A2049" i="36"/>
  <c r="A2050" i="36"/>
  <c r="A2051" i="36"/>
  <c r="A2052" i="36"/>
  <c r="A2053" i="36"/>
  <c r="A2054" i="36"/>
  <c r="A2055" i="36"/>
  <c r="A2056" i="36"/>
  <c r="A2057" i="36"/>
  <c r="A2058" i="36"/>
  <c r="A2059" i="36"/>
  <c r="A2060" i="36"/>
  <c r="A2061" i="36"/>
  <c r="A2062" i="36"/>
  <c r="A2063" i="36"/>
  <c r="A2" i="36"/>
  <c r="G2061" i="36" l="1"/>
  <c r="F2061" i="36"/>
  <c r="E2061" i="36"/>
  <c r="D2061" i="36"/>
  <c r="G2053" i="36"/>
  <c r="F2053" i="36"/>
  <c r="E2053" i="36"/>
  <c r="D2053" i="36"/>
  <c r="G2045" i="36"/>
  <c r="F2045" i="36"/>
  <c r="E2045" i="36"/>
  <c r="D2045" i="36"/>
  <c r="G2037" i="36"/>
  <c r="F2037" i="36"/>
  <c r="E2037" i="36"/>
  <c r="D2037" i="36"/>
  <c r="G2029" i="36"/>
  <c r="F2029" i="36"/>
  <c r="E2029" i="36"/>
  <c r="D2029" i="36"/>
  <c r="G2021" i="36"/>
  <c r="F2021" i="36"/>
  <c r="E2021" i="36"/>
  <c r="D2021" i="36"/>
  <c r="G2013" i="36"/>
  <c r="F2013" i="36"/>
  <c r="E2013" i="36"/>
  <c r="D2013" i="36"/>
  <c r="G2005" i="36"/>
  <c r="F2005" i="36"/>
  <c r="E2005" i="36"/>
  <c r="D2005" i="36"/>
  <c r="G1997" i="36"/>
  <c r="F1997" i="36"/>
  <c r="E1997" i="36"/>
  <c r="D1997" i="36"/>
  <c r="G1989" i="36"/>
  <c r="F1989" i="36"/>
  <c r="E1989" i="36"/>
  <c r="D1989" i="36"/>
  <c r="G1981" i="36"/>
  <c r="F1981" i="36"/>
  <c r="E1981" i="36"/>
  <c r="D1981" i="36"/>
  <c r="G1973" i="36"/>
  <c r="F1973" i="36"/>
  <c r="E1973" i="36"/>
  <c r="D1973" i="36"/>
  <c r="G1965" i="36"/>
  <c r="F1965" i="36"/>
  <c r="E1965" i="36"/>
  <c r="D1965" i="36"/>
  <c r="G1957" i="36"/>
  <c r="F1957" i="36"/>
  <c r="E1957" i="36"/>
  <c r="D1957" i="36"/>
  <c r="G1953" i="36"/>
  <c r="F1953" i="36"/>
  <c r="E1953" i="36"/>
  <c r="D1953" i="36"/>
  <c r="G1945" i="36"/>
  <c r="F1945" i="36"/>
  <c r="E1945" i="36"/>
  <c r="D1945" i="36"/>
  <c r="G1937" i="36"/>
  <c r="F1937" i="36"/>
  <c r="E1937" i="36"/>
  <c r="D1937" i="36"/>
  <c r="G1929" i="36"/>
  <c r="F1929" i="36"/>
  <c r="E1929" i="36"/>
  <c r="D1929" i="36"/>
  <c r="G1921" i="36"/>
  <c r="F1921" i="36"/>
  <c r="E1921" i="36"/>
  <c r="D1921" i="36"/>
  <c r="G1913" i="36"/>
  <c r="F1913" i="36"/>
  <c r="D1913" i="36"/>
  <c r="E1913" i="36"/>
  <c r="G1905" i="36"/>
  <c r="F1905" i="36"/>
  <c r="D1905" i="36"/>
  <c r="E1905" i="36"/>
  <c r="G1901" i="36"/>
  <c r="F1901" i="36"/>
  <c r="D1901" i="36"/>
  <c r="E1901" i="36"/>
  <c r="G1893" i="36"/>
  <c r="F1893" i="36"/>
  <c r="D1893" i="36"/>
  <c r="E1893" i="36"/>
  <c r="G1885" i="36"/>
  <c r="F1885" i="36"/>
  <c r="D1885" i="36"/>
  <c r="E1885" i="36"/>
  <c r="G1877" i="36"/>
  <c r="F1877" i="36"/>
  <c r="D1877" i="36"/>
  <c r="E1877" i="36"/>
  <c r="G1869" i="36"/>
  <c r="F1869" i="36"/>
  <c r="D1869" i="36"/>
  <c r="E1869" i="36"/>
  <c r="G1861" i="36"/>
  <c r="F1861" i="36"/>
  <c r="D1861" i="36"/>
  <c r="E1861" i="36"/>
  <c r="G1857" i="36"/>
  <c r="F1857" i="36"/>
  <c r="D1857" i="36"/>
  <c r="E1857" i="36"/>
  <c r="G1849" i="36"/>
  <c r="F1849" i="36"/>
  <c r="D1849" i="36"/>
  <c r="E1849" i="36"/>
  <c r="G1841" i="36"/>
  <c r="F1841" i="36"/>
  <c r="D1841" i="36"/>
  <c r="E1841" i="36"/>
  <c r="G1833" i="36"/>
  <c r="F1833" i="36"/>
  <c r="D1833" i="36"/>
  <c r="E1833" i="36"/>
  <c r="G1825" i="36"/>
  <c r="F1825" i="36"/>
  <c r="D1825" i="36"/>
  <c r="E1825" i="36"/>
  <c r="G1817" i="36"/>
  <c r="F1817" i="36"/>
  <c r="D1817" i="36"/>
  <c r="E1817" i="36"/>
  <c r="G1809" i="36"/>
  <c r="F1809" i="36"/>
  <c r="D1809" i="36"/>
  <c r="E1809" i="36"/>
  <c r="G1801" i="36"/>
  <c r="F1801" i="36"/>
  <c r="D1801" i="36"/>
  <c r="E1801" i="36"/>
  <c r="G1793" i="36"/>
  <c r="F1793" i="36"/>
  <c r="D1793" i="36"/>
  <c r="E1793" i="36"/>
  <c r="G1785" i="36"/>
  <c r="F1785" i="36"/>
  <c r="D1785" i="36"/>
  <c r="E1785" i="36"/>
  <c r="G1781" i="36"/>
  <c r="F1781" i="36"/>
  <c r="D1781" i="36"/>
  <c r="E1781" i="36"/>
  <c r="G1773" i="36"/>
  <c r="F1773" i="36"/>
  <c r="D1773" i="36"/>
  <c r="E1773" i="36"/>
  <c r="G1765" i="36"/>
  <c r="F1765" i="36"/>
  <c r="D1765" i="36"/>
  <c r="E1765" i="36"/>
  <c r="G1757" i="36"/>
  <c r="F1757" i="36"/>
  <c r="D1757" i="36"/>
  <c r="E1757" i="36"/>
  <c r="G1749" i="36"/>
  <c r="F1749" i="36"/>
  <c r="D1749" i="36"/>
  <c r="E1749" i="36"/>
  <c r="G1741" i="36"/>
  <c r="F1741" i="36"/>
  <c r="D1741" i="36"/>
  <c r="E1741" i="36"/>
  <c r="G1733" i="36"/>
  <c r="F1733" i="36"/>
  <c r="D1733" i="36"/>
  <c r="E1733" i="36"/>
  <c r="G1725" i="36"/>
  <c r="F1725" i="36"/>
  <c r="D1725" i="36"/>
  <c r="E1725" i="36"/>
  <c r="G1717" i="36"/>
  <c r="F1717" i="36"/>
  <c r="D1717" i="36"/>
  <c r="E1717" i="36"/>
  <c r="G1709" i="36"/>
  <c r="F1709" i="36"/>
  <c r="D1709" i="36"/>
  <c r="E1709" i="36"/>
  <c r="G1701" i="36"/>
  <c r="F1701" i="36"/>
  <c r="D1701" i="36"/>
  <c r="E1701" i="36"/>
  <c r="G1693" i="36"/>
  <c r="F1693" i="36"/>
  <c r="D1693" i="36"/>
  <c r="E1693" i="36"/>
  <c r="G1685" i="36"/>
  <c r="F1685" i="36"/>
  <c r="D1685" i="36"/>
  <c r="E1685" i="36"/>
  <c r="G1677" i="36"/>
  <c r="F1677" i="36"/>
  <c r="D1677" i="36"/>
  <c r="E1677" i="36"/>
  <c r="G1669" i="36"/>
  <c r="F1669" i="36"/>
  <c r="E1669" i="36"/>
  <c r="D1669" i="36"/>
  <c r="G1661" i="36"/>
  <c r="F1661" i="36"/>
  <c r="E1661" i="36"/>
  <c r="D1661" i="36"/>
  <c r="G1653" i="36"/>
  <c r="F1653" i="36"/>
  <c r="E1653" i="36"/>
  <c r="D1653" i="36"/>
  <c r="G1645" i="36"/>
  <c r="F1645" i="36"/>
  <c r="E1645" i="36"/>
  <c r="D1645" i="36"/>
  <c r="G1637" i="36"/>
  <c r="F1637" i="36"/>
  <c r="E1637" i="36"/>
  <c r="D1637" i="36"/>
  <c r="G1629" i="36"/>
  <c r="F1629" i="36"/>
  <c r="E1629" i="36"/>
  <c r="D1629" i="36"/>
  <c r="G1621" i="36"/>
  <c r="F1621" i="36"/>
  <c r="E1621" i="36"/>
  <c r="D1621" i="36"/>
  <c r="G1613" i="36"/>
  <c r="F1613" i="36"/>
  <c r="E1613" i="36"/>
  <c r="D1613" i="36"/>
  <c r="G1605" i="36"/>
  <c r="F1605" i="36"/>
  <c r="E1605" i="36"/>
  <c r="D1605" i="36"/>
  <c r="G1597" i="36"/>
  <c r="F1597" i="36"/>
  <c r="E1597" i="36"/>
  <c r="D1597" i="36"/>
  <c r="G1593" i="36"/>
  <c r="F1593" i="36"/>
  <c r="E1593" i="36"/>
  <c r="D1593" i="36"/>
  <c r="G1585" i="36"/>
  <c r="F1585" i="36"/>
  <c r="E1585" i="36"/>
  <c r="D1585" i="36"/>
  <c r="G1577" i="36"/>
  <c r="F1577" i="36"/>
  <c r="E1577" i="36"/>
  <c r="D1577" i="36"/>
  <c r="G1569" i="36"/>
  <c r="F1569" i="36"/>
  <c r="E1569" i="36"/>
  <c r="D1569" i="36"/>
  <c r="G1557" i="36"/>
  <c r="F1557" i="36"/>
  <c r="E1557" i="36"/>
  <c r="D1557" i="36"/>
  <c r="G1549" i="36"/>
  <c r="F1549" i="36"/>
  <c r="E1549" i="36"/>
  <c r="D1549" i="36"/>
  <c r="G1541" i="36"/>
  <c r="F1541" i="36"/>
  <c r="E1541" i="36"/>
  <c r="D1541" i="36"/>
  <c r="G1529" i="36"/>
  <c r="F1529" i="36"/>
  <c r="E1529" i="36"/>
  <c r="D1529" i="36"/>
  <c r="G1517" i="36"/>
  <c r="F1517" i="36"/>
  <c r="E1517" i="36"/>
  <c r="D1517" i="36"/>
  <c r="G1505" i="36"/>
  <c r="F1505" i="36"/>
  <c r="E1505" i="36"/>
  <c r="D1505" i="36"/>
  <c r="G1497" i="36"/>
  <c r="F1497" i="36"/>
  <c r="E1497" i="36"/>
  <c r="D1497" i="36"/>
  <c r="G1485" i="36"/>
  <c r="F1485" i="36"/>
  <c r="E1485" i="36"/>
  <c r="D1485" i="36"/>
  <c r="G1473" i="36"/>
  <c r="F1473" i="36"/>
  <c r="E1473" i="36"/>
  <c r="D1473" i="36"/>
  <c r="G1461" i="36"/>
  <c r="F1461" i="36"/>
  <c r="E1461" i="36"/>
  <c r="D1461" i="36"/>
  <c r="G1449" i="36"/>
  <c r="F1449" i="36"/>
  <c r="E1449" i="36"/>
  <c r="D1449" i="36"/>
  <c r="G1437" i="36"/>
  <c r="F1437" i="36"/>
  <c r="E1437" i="36"/>
  <c r="D1437" i="36"/>
  <c r="G1425" i="36"/>
  <c r="F1425" i="36"/>
  <c r="E1425" i="36"/>
  <c r="D1425" i="36"/>
  <c r="G1413" i="36"/>
  <c r="F1413" i="36"/>
  <c r="E1413" i="36"/>
  <c r="D1413" i="36"/>
  <c r="G1401" i="36"/>
  <c r="F1401" i="36"/>
  <c r="E1401" i="36"/>
  <c r="D1401" i="36"/>
  <c r="G1393" i="36"/>
  <c r="F1393" i="36"/>
  <c r="E1393" i="36"/>
  <c r="D1393" i="36"/>
  <c r="G1381" i="36"/>
  <c r="F1381" i="36"/>
  <c r="E1381" i="36"/>
  <c r="D1381" i="36"/>
  <c r="G1369" i="36"/>
  <c r="F1369" i="36"/>
  <c r="E1369" i="36"/>
  <c r="D1369" i="36"/>
  <c r="G1357" i="36"/>
  <c r="F1357" i="36"/>
  <c r="E1357" i="36"/>
  <c r="D1357" i="36"/>
  <c r="G1345" i="36"/>
  <c r="F1345" i="36"/>
  <c r="E1345" i="36"/>
  <c r="D1345" i="36"/>
  <c r="G1333" i="36"/>
  <c r="F1333" i="36"/>
  <c r="E1333" i="36"/>
  <c r="D1333" i="36"/>
  <c r="G1325" i="36"/>
  <c r="F1325" i="36"/>
  <c r="E1325" i="36"/>
  <c r="D1325" i="36"/>
  <c r="G1317" i="36"/>
  <c r="F1317" i="36"/>
  <c r="E1317" i="36"/>
  <c r="D1317" i="36"/>
  <c r="G1305" i="36"/>
  <c r="F1305" i="36"/>
  <c r="E1305" i="36"/>
  <c r="D1305" i="36"/>
  <c r="G1293" i="36"/>
  <c r="F1293" i="36"/>
  <c r="E1293" i="36"/>
  <c r="D1293" i="36"/>
  <c r="G1281" i="36"/>
  <c r="F1281" i="36"/>
  <c r="E1281" i="36"/>
  <c r="D1281" i="36"/>
  <c r="G1265" i="36"/>
  <c r="F1265" i="36"/>
  <c r="E1265" i="36"/>
  <c r="D1265" i="36"/>
  <c r="G1257" i="36"/>
  <c r="F1257" i="36"/>
  <c r="E1257" i="36"/>
  <c r="D1257" i="36"/>
  <c r="G1245" i="36"/>
  <c r="F1245" i="36"/>
  <c r="E1245" i="36"/>
  <c r="D1245" i="36"/>
  <c r="G1233" i="36"/>
  <c r="F1233" i="36"/>
  <c r="E1233" i="36"/>
  <c r="D1233" i="36"/>
  <c r="G1221" i="36"/>
  <c r="F1221" i="36"/>
  <c r="E1221" i="36"/>
  <c r="D1221" i="36"/>
  <c r="G1213" i="36"/>
  <c r="F1213" i="36"/>
  <c r="E1213" i="36"/>
  <c r="D1213" i="36"/>
  <c r="G1201" i="36"/>
  <c r="F1201" i="36"/>
  <c r="E1201" i="36"/>
  <c r="D1201" i="36"/>
  <c r="G1189" i="36"/>
  <c r="F1189" i="36"/>
  <c r="E1189" i="36"/>
  <c r="D1189" i="36"/>
  <c r="G1173" i="36"/>
  <c r="F1173" i="36"/>
  <c r="E1173" i="36"/>
  <c r="D1173" i="36"/>
  <c r="G1165" i="36"/>
  <c r="F1165" i="36"/>
  <c r="E1165" i="36"/>
  <c r="D1165" i="36"/>
  <c r="G1149" i="36"/>
  <c r="F1149" i="36"/>
  <c r="E1149" i="36"/>
  <c r="D1149" i="36"/>
  <c r="G1137" i="36"/>
  <c r="F1137" i="36"/>
  <c r="E1137" i="36"/>
  <c r="D1137" i="36"/>
  <c r="G1125" i="36"/>
  <c r="F1125" i="36"/>
  <c r="E1125" i="36"/>
  <c r="D1125" i="36"/>
  <c r="G1117" i="36"/>
  <c r="F1117" i="36"/>
  <c r="E1117" i="36"/>
  <c r="D1117" i="36"/>
  <c r="G1105" i="36"/>
  <c r="F1105" i="36"/>
  <c r="E1105" i="36"/>
  <c r="D1105" i="36"/>
  <c r="G1097" i="36"/>
  <c r="F1097" i="36"/>
  <c r="E1097" i="36"/>
  <c r="D1097" i="36"/>
  <c r="G1085" i="36"/>
  <c r="F1085" i="36"/>
  <c r="E1085" i="36"/>
  <c r="D1085" i="36"/>
  <c r="G1069" i="36"/>
  <c r="F1069" i="36"/>
  <c r="E1069" i="36"/>
  <c r="D1069" i="36"/>
  <c r="G1057" i="36"/>
  <c r="F1057" i="36"/>
  <c r="E1057" i="36"/>
  <c r="D1057" i="36"/>
  <c r="G1045" i="36"/>
  <c r="F1045" i="36"/>
  <c r="E1045" i="36"/>
  <c r="D1045" i="36"/>
  <c r="G1033" i="36"/>
  <c r="F1033" i="36"/>
  <c r="E1033" i="36"/>
  <c r="D1033" i="36"/>
  <c r="G1021" i="36"/>
  <c r="F1021" i="36"/>
  <c r="E1021" i="36"/>
  <c r="D1021" i="36"/>
  <c r="G1013" i="36"/>
  <c r="F1013" i="36"/>
  <c r="E1013" i="36"/>
  <c r="D1013" i="36"/>
  <c r="G1005" i="36"/>
  <c r="F1005" i="36"/>
  <c r="E1005" i="36"/>
  <c r="D1005" i="36"/>
  <c r="G993" i="36"/>
  <c r="F993" i="36"/>
  <c r="E993" i="36"/>
  <c r="D993" i="36"/>
  <c r="G981" i="36"/>
  <c r="F981" i="36"/>
  <c r="E981" i="36"/>
  <c r="D981" i="36"/>
  <c r="G969" i="36"/>
  <c r="F969" i="36"/>
  <c r="E969" i="36"/>
  <c r="D969" i="36"/>
  <c r="G957" i="36"/>
  <c r="F957" i="36"/>
  <c r="E957" i="36"/>
  <c r="D957" i="36"/>
  <c r="G945" i="36"/>
  <c r="F945" i="36"/>
  <c r="E945" i="36"/>
  <c r="D945" i="36"/>
  <c r="G937" i="36"/>
  <c r="F937" i="36"/>
  <c r="E937" i="36"/>
  <c r="D937" i="36"/>
  <c r="G921" i="36"/>
  <c r="F921" i="36"/>
  <c r="E921" i="36"/>
  <c r="D921" i="36"/>
  <c r="G909" i="36"/>
  <c r="F909" i="36"/>
  <c r="E909" i="36"/>
  <c r="D909" i="36"/>
  <c r="G897" i="36"/>
  <c r="F897" i="36"/>
  <c r="E897" i="36"/>
  <c r="D897" i="36"/>
  <c r="G885" i="36"/>
  <c r="F885" i="36"/>
  <c r="E885" i="36"/>
  <c r="D885" i="36"/>
  <c r="G873" i="36"/>
  <c r="F873" i="36"/>
  <c r="E873" i="36"/>
  <c r="D873" i="36"/>
  <c r="G861" i="36"/>
  <c r="F861" i="36"/>
  <c r="E861" i="36"/>
  <c r="D861" i="36"/>
  <c r="G853" i="36"/>
  <c r="F853" i="36"/>
  <c r="E853" i="36"/>
  <c r="D853" i="36"/>
  <c r="G841" i="36"/>
  <c r="F841" i="36"/>
  <c r="E841" i="36"/>
  <c r="D841" i="36"/>
  <c r="G829" i="36"/>
  <c r="F829" i="36"/>
  <c r="E829" i="36"/>
  <c r="D829" i="36"/>
  <c r="G821" i="36"/>
  <c r="F821" i="36"/>
  <c r="E821" i="36"/>
  <c r="D821" i="36"/>
  <c r="G809" i="36"/>
  <c r="F809" i="36"/>
  <c r="E809" i="36"/>
  <c r="D809" i="36"/>
  <c r="G797" i="36"/>
  <c r="F797" i="36"/>
  <c r="E797" i="36"/>
  <c r="D797" i="36"/>
  <c r="G789" i="36"/>
  <c r="F789" i="36"/>
  <c r="E789" i="36"/>
  <c r="D789" i="36"/>
  <c r="G777" i="36"/>
  <c r="F777" i="36"/>
  <c r="E777" i="36"/>
  <c r="D777" i="36"/>
  <c r="G765" i="36"/>
  <c r="F765" i="36"/>
  <c r="E765" i="36"/>
  <c r="D765" i="36"/>
  <c r="G753" i="36"/>
  <c r="F753" i="36"/>
  <c r="E753" i="36"/>
  <c r="D753" i="36"/>
  <c r="G741" i="36"/>
  <c r="F741" i="36"/>
  <c r="E741" i="36"/>
  <c r="D741" i="36"/>
  <c r="G725" i="36"/>
  <c r="F725" i="36"/>
  <c r="E725" i="36"/>
  <c r="D725" i="36"/>
  <c r="G717" i="36"/>
  <c r="F717" i="36"/>
  <c r="E717" i="36"/>
  <c r="D717" i="36"/>
  <c r="G705" i="36"/>
  <c r="F705" i="36"/>
  <c r="E705" i="36"/>
  <c r="D705" i="36"/>
  <c r="G697" i="36"/>
  <c r="F697" i="36"/>
  <c r="E697" i="36"/>
  <c r="D697" i="36"/>
  <c r="G685" i="36"/>
  <c r="F685" i="36"/>
  <c r="E685" i="36"/>
  <c r="D685" i="36"/>
  <c r="G673" i="36"/>
  <c r="F673" i="36"/>
  <c r="E673" i="36"/>
  <c r="D673" i="36"/>
  <c r="G661" i="36"/>
  <c r="F661" i="36"/>
  <c r="E661" i="36"/>
  <c r="D661" i="36"/>
  <c r="G653" i="36"/>
  <c r="F653" i="36"/>
  <c r="E653" i="36"/>
  <c r="D653" i="36"/>
  <c r="G637" i="36"/>
  <c r="F637" i="36"/>
  <c r="E637" i="36"/>
  <c r="D637" i="36"/>
  <c r="G625" i="36"/>
  <c r="F625" i="36"/>
  <c r="E625" i="36"/>
  <c r="D625" i="36"/>
  <c r="G613" i="36"/>
  <c r="F613" i="36"/>
  <c r="E613" i="36"/>
  <c r="D613" i="36"/>
  <c r="G601" i="36"/>
  <c r="F601" i="36"/>
  <c r="E601" i="36"/>
  <c r="D601" i="36"/>
  <c r="G589" i="36"/>
  <c r="F589" i="36"/>
  <c r="E589" i="36"/>
  <c r="D589" i="36"/>
  <c r="G577" i="36"/>
  <c r="F577" i="36"/>
  <c r="E577" i="36"/>
  <c r="D577" i="36"/>
  <c r="G565" i="36"/>
  <c r="F565" i="36"/>
  <c r="E565" i="36"/>
  <c r="D565" i="36"/>
  <c r="G553" i="36"/>
  <c r="F553" i="36"/>
  <c r="E553" i="36"/>
  <c r="D553" i="36"/>
  <c r="G541" i="36"/>
  <c r="F541" i="36"/>
  <c r="E541" i="36"/>
  <c r="D541" i="36"/>
  <c r="G537" i="36"/>
  <c r="F537" i="36"/>
  <c r="E537" i="36"/>
  <c r="D537" i="36"/>
  <c r="G521" i="36"/>
  <c r="F521" i="36"/>
  <c r="E521" i="36"/>
  <c r="D521" i="36"/>
  <c r="G509" i="36"/>
  <c r="F509" i="36"/>
  <c r="E509" i="36"/>
  <c r="D509" i="36"/>
  <c r="G501" i="36"/>
  <c r="F501" i="36"/>
  <c r="E501" i="36"/>
  <c r="D501" i="36"/>
  <c r="G489" i="36"/>
  <c r="F489" i="36"/>
  <c r="E489" i="36"/>
  <c r="D489" i="36"/>
  <c r="G477" i="36"/>
  <c r="F477" i="36"/>
  <c r="E477" i="36"/>
  <c r="D477" i="36"/>
  <c r="G469" i="36"/>
  <c r="F469" i="36"/>
  <c r="E469" i="36"/>
  <c r="D469" i="36"/>
  <c r="G457" i="36"/>
  <c r="F457" i="36"/>
  <c r="E457" i="36"/>
  <c r="D457" i="36"/>
  <c r="G445" i="36"/>
  <c r="F445" i="36"/>
  <c r="E445" i="36"/>
  <c r="D445" i="36"/>
  <c r="G433" i="36"/>
  <c r="F433" i="36"/>
  <c r="E433" i="36"/>
  <c r="D433" i="36"/>
  <c r="G417" i="36"/>
  <c r="F417" i="36"/>
  <c r="E417" i="36"/>
  <c r="D417" i="36"/>
  <c r="G405" i="36"/>
  <c r="F405" i="36"/>
  <c r="E405" i="36"/>
  <c r="D405" i="36"/>
  <c r="G397" i="36"/>
  <c r="F397" i="36"/>
  <c r="E397" i="36"/>
  <c r="D397" i="36"/>
  <c r="G385" i="36"/>
  <c r="F385" i="36"/>
  <c r="E385" i="36"/>
  <c r="D385" i="36"/>
  <c r="G373" i="36"/>
  <c r="F373" i="36"/>
  <c r="E373" i="36"/>
  <c r="D373" i="36"/>
  <c r="G361" i="36"/>
  <c r="F361" i="36"/>
  <c r="E361" i="36"/>
  <c r="D361" i="36"/>
  <c r="G349" i="36"/>
  <c r="F349" i="36"/>
  <c r="E349" i="36"/>
  <c r="D349" i="36"/>
  <c r="G337" i="36"/>
  <c r="F337" i="36"/>
  <c r="E337" i="36"/>
  <c r="D337" i="36"/>
  <c r="G325" i="36"/>
  <c r="F325" i="36"/>
  <c r="E325" i="36"/>
  <c r="D325" i="36"/>
  <c r="G309" i="36"/>
  <c r="F309" i="36"/>
  <c r="E309" i="36"/>
  <c r="D309" i="36"/>
  <c r="G297" i="36"/>
  <c r="F297" i="36"/>
  <c r="E297" i="36"/>
  <c r="D297" i="36"/>
  <c r="G285" i="36"/>
  <c r="F285" i="36"/>
  <c r="E285" i="36"/>
  <c r="D285" i="36"/>
  <c r="G273" i="36"/>
  <c r="F273" i="36"/>
  <c r="E273" i="36"/>
  <c r="D273" i="36"/>
  <c r="G261" i="36"/>
  <c r="F261" i="36"/>
  <c r="E261" i="36"/>
  <c r="D261" i="36"/>
  <c r="G249" i="36"/>
  <c r="F249" i="36"/>
  <c r="E249" i="36"/>
  <c r="D249" i="36"/>
  <c r="G237" i="36"/>
  <c r="F237" i="36"/>
  <c r="E237" i="36"/>
  <c r="D237" i="36"/>
  <c r="G229" i="36"/>
  <c r="F229" i="36"/>
  <c r="E229" i="36"/>
  <c r="D229" i="36"/>
  <c r="G217" i="36"/>
  <c r="F217" i="36"/>
  <c r="E217" i="36"/>
  <c r="D217" i="36"/>
  <c r="G201" i="36"/>
  <c r="F201" i="36"/>
  <c r="E201" i="36"/>
  <c r="D201" i="36"/>
  <c r="G189" i="36"/>
  <c r="F189" i="36"/>
  <c r="E189" i="36"/>
  <c r="D189" i="36"/>
  <c r="G177" i="36"/>
  <c r="F177" i="36"/>
  <c r="E177" i="36"/>
  <c r="D177" i="36"/>
  <c r="G165" i="36"/>
  <c r="F165" i="36"/>
  <c r="E165" i="36"/>
  <c r="D165" i="36"/>
  <c r="G153" i="36"/>
  <c r="F153" i="36"/>
  <c r="E153" i="36"/>
  <c r="D153" i="36"/>
  <c r="G145" i="36"/>
  <c r="F145" i="36"/>
  <c r="E145" i="36"/>
  <c r="D145" i="36"/>
  <c r="G133" i="36"/>
  <c r="F133" i="36"/>
  <c r="E133" i="36"/>
  <c r="D133" i="36"/>
  <c r="G121" i="36"/>
  <c r="F121" i="36"/>
  <c r="E121" i="36"/>
  <c r="D121" i="36"/>
  <c r="G109" i="36"/>
  <c r="F109" i="36"/>
  <c r="E109" i="36"/>
  <c r="D109" i="36"/>
  <c r="G93" i="36"/>
  <c r="F93" i="36"/>
  <c r="E93" i="36"/>
  <c r="D93" i="36"/>
  <c r="G81" i="36"/>
  <c r="F81" i="36"/>
  <c r="E81" i="36"/>
  <c r="D81" i="36"/>
  <c r="G73" i="36"/>
  <c r="F73" i="36"/>
  <c r="E73" i="36"/>
  <c r="D73" i="36"/>
  <c r="G61" i="36"/>
  <c r="F61" i="36"/>
  <c r="E61" i="36"/>
  <c r="D61" i="36"/>
  <c r="G45" i="36"/>
  <c r="F45" i="36"/>
  <c r="E45" i="36"/>
  <c r="D45" i="36"/>
  <c r="G37" i="36"/>
  <c r="F37" i="36"/>
  <c r="E37" i="36"/>
  <c r="D37" i="36"/>
  <c r="G2" i="36"/>
  <c r="AH124" i="37" s="1"/>
  <c r="F2" i="36"/>
  <c r="AG124" i="37" s="1"/>
  <c r="E2" i="36"/>
  <c r="AF124" i="37" s="1"/>
  <c r="D2" i="36"/>
  <c r="AE124" i="37" s="1"/>
  <c r="G2052" i="36"/>
  <c r="F2052" i="36"/>
  <c r="E2052" i="36"/>
  <c r="D2052" i="36"/>
  <c r="G2040" i="36"/>
  <c r="F2040" i="36"/>
  <c r="E2040" i="36"/>
  <c r="D2040" i="36"/>
  <c r="G2028" i="36"/>
  <c r="F2028" i="36"/>
  <c r="E2028" i="36"/>
  <c r="D2028" i="36"/>
  <c r="G2016" i="36"/>
  <c r="F2016" i="36"/>
  <c r="E2016" i="36"/>
  <c r="D2016" i="36"/>
  <c r="G2004" i="36"/>
  <c r="E2004" i="36"/>
  <c r="F2004" i="36"/>
  <c r="D2004" i="36"/>
  <c r="G1992" i="36"/>
  <c r="F1992" i="36"/>
  <c r="E1992" i="36"/>
  <c r="D1992" i="36"/>
  <c r="G1980" i="36"/>
  <c r="F1980" i="36"/>
  <c r="E1980" i="36"/>
  <c r="D1980" i="36"/>
  <c r="G1968" i="36"/>
  <c r="F1968" i="36"/>
  <c r="E1968" i="36"/>
  <c r="D1968" i="36"/>
  <c r="G1956" i="36"/>
  <c r="E1956" i="36"/>
  <c r="D1956" i="36"/>
  <c r="F1956" i="36"/>
  <c r="G1940" i="36"/>
  <c r="E1940" i="36"/>
  <c r="F1940" i="36"/>
  <c r="D1940" i="36"/>
  <c r="G1928" i="36"/>
  <c r="F1928" i="36"/>
  <c r="E1928" i="36"/>
  <c r="D1928" i="36"/>
  <c r="G1916" i="36"/>
  <c r="F1916" i="36"/>
  <c r="E1916" i="36"/>
  <c r="D1916" i="36"/>
  <c r="G1904" i="36"/>
  <c r="F1904" i="36"/>
  <c r="E1904" i="36"/>
  <c r="D1904" i="36"/>
  <c r="G1892" i="36"/>
  <c r="E1892" i="36"/>
  <c r="F1892" i="36"/>
  <c r="D1892" i="36"/>
  <c r="G1876" i="36"/>
  <c r="E1876" i="36"/>
  <c r="F1876" i="36"/>
  <c r="D1876" i="36"/>
  <c r="G1864" i="36"/>
  <c r="F1864" i="36"/>
  <c r="E1864" i="36"/>
  <c r="D1864" i="36"/>
  <c r="G1852" i="36"/>
  <c r="F1852" i="36"/>
  <c r="E1852" i="36"/>
  <c r="D1852" i="36"/>
  <c r="G1840" i="36"/>
  <c r="F1840" i="36"/>
  <c r="E1840" i="36"/>
  <c r="D1840" i="36"/>
  <c r="G1828" i="36"/>
  <c r="E1828" i="36"/>
  <c r="D1828" i="36"/>
  <c r="F1828" i="36"/>
  <c r="G1816" i="36"/>
  <c r="F1816" i="36"/>
  <c r="E1816" i="36"/>
  <c r="D1816" i="36"/>
  <c r="G1800" i="36"/>
  <c r="F1800" i="36"/>
  <c r="E1800" i="36"/>
  <c r="D1800" i="36"/>
  <c r="G1788" i="36"/>
  <c r="F1788" i="36"/>
  <c r="E1788" i="36"/>
  <c r="D1788" i="36"/>
  <c r="G1776" i="36"/>
  <c r="F1776" i="36"/>
  <c r="E1776" i="36"/>
  <c r="D1776" i="36"/>
  <c r="G1764" i="36"/>
  <c r="E1764" i="36"/>
  <c r="D1764" i="36"/>
  <c r="F1764" i="36"/>
  <c r="G1752" i="36"/>
  <c r="F1752" i="36"/>
  <c r="E1752" i="36"/>
  <c r="D1752" i="36"/>
  <c r="G1740" i="36"/>
  <c r="F1740" i="36"/>
  <c r="E1740" i="36"/>
  <c r="D1740" i="36"/>
  <c r="G1728" i="36"/>
  <c r="F1728" i="36"/>
  <c r="E1728" i="36"/>
  <c r="D1728" i="36"/>
  <c r="G1716" i="36"/>
  <c r="F1716" i="36"/>
  <c r="E1716" i="36"/>
  <c r="D1716" i="36"/>
  <c r="G1700" i="36"/>
  <c r="F1700" i="36"/>
  <c r="E1700" i="36"/>
  <c r="D1700" i="36"/>
  <c r="G1688" i="36"/>
  <c r="F1688" i="36"/>
  <c r="E1688" i="36"/>
  <c r="D1688" i="36"/>
  <c r="G1676" i="36"/>
  <c r="F1676" i="36"/>
  <c r="E1676" i="36"/>
  <c r="D1676" i="36"/>
  <c r="G1664" i="36"/>
  <c r="F1664" i="36"/>
  <c r="E1664" i="36"/>
  <c r="D1664" i="36"/>
  <c r="G1652" i="36"/>
  <c r="E1652" i="36"/>
  <c r="F1652" i="36"/>
  <c r="D1652" i="36"/>
  <c r="G1640" i="36"/>
  <c r="F1640" i="36"/>
  <c r="E1640" i="36"/>
  <c r="D1640" i="36"/>
  <c r="G1628" i="36"/>
  <c r="F1628" i="36"/>
  <c r="E1628" i="36"/>
  <c r="D1628" i="36"/>
  <c r="G1616" i="36"/>
  <c r="F1616" i="36"/>
  <c r="E1616" i="36"/>
  <c r="D1616" i="36"/>
  <c r="G1600" i="36"/>
  <c r="F1600" i="36"/>
  <c r="E1600" i="36"/>
  <c r="D1600" i="36"/>
  <c r="G1588" i="36"/>
  <c r="F1588" i="36"/>
  <c r="E1588" i="36"/>
  <c r="D1588" i="36"/>
  <c r="G1576" i="36"/>
  <c r="F1576" i="36"/>
  <c r="E1576" i="36"/>
  <c r="D1576" i="36"/>
  <c r="G1564" i="36"/>
  <c r="F1564" i="36"/>
  <c r="E1564" i="36"/>
  <c r="D1564" i="36"/>
  <c r="G1552" i="36"/>
  <c r="F1552" i="36"/>
  <c r="E1552" i="36"/>
  <c r="D1552" i="36"/>
  <c r="G1540" i="36"/>
  <c r="F1540" i="36"/>
  <c r="E1540" i="36"/>
  <c r="D1540" i="36"/>
  <c r="G1528" i="36"/>
  <c r="F1528" i="36"/>
  <c r="E1528" i="36"/>
  <c r="D1528" i="36"/>
  <c r="G1512" i="36"/>
  <c r="F1512" i="36"/>
  <c r="E1512" i="36"/>
  <c r="D1512" i="36"/>
  <c r="G1500" i="36"/>
  <c r="F1500" i="36"/>
  <c r="E1500" i="36"/>
  <c r="D1500" i="36"/>
  <c r="G1488" i="36"/>
  <c r="F1488" i="36"/>
  <c r="E1488" i="36"/>
  <c r="D1488" i="36"/>
  <c r="G1484" i="36"/>
  <c r="F1484" i="36"/>
  <c r="E1484" i="36"/>
  <c r="D1484" i="36"/>
  <c r="G1472" i="36"/>
  <c r="F1472" i="36"/>
  <c r="E1472" i="36"/>
  <c r="D1472" i="36"/>
  <c r="G1460" i="36"/>
  <c r="F1460" i="36"/>
  <c r="E1460" i="36"/>
  <c r="D1460" i="36"/>
  <c r="G1448" i="36"/>
  <c r="F1448" i="36"/>
  <c r="E1448" i="36"/>
  <c r="D1448" i="36"/>
  <c r="G1432" i="36"/>
  <c r="F1432" i="36"/>
  <c r="E1432" i="36"/>
  <c r="D1432" i="36"/>
  <c r="G1424" i="36"/>
  <c r="F1424" i="36"/>
  <c r="E1424" i="36"/>
  <c r="D1424" i="36"/>
  <c r="G1412" i="36"/>
  <c r="F1412" i="36"/>
  <c r="E1412" i="36"/>
  <c r="D1412" i="36"/>
  <c r="G1396" i="36"/>
  <c r="F1396" i="36"/>
  <c r="E1396" i="36"/>
  <c r="D1396" i="36"/>
  <c r="G1388" i="36"/>
  <c r="F1388" i="36"/>
  <c r="E1388" i="36"/>
  <c r="D1388" i="36"/>
  <c r="G1376" i="36"/>
  <c r="F1376" i="36"/>
  <c r="E1376" i="36"/>
  <c r="D1376" i="36"/>
  <c r="G1364" i="36"/>
  <c r="F1364" i="36"/>
  <c r="D1364" i="36"/>
  <c r="E1364" i="36"/>
  <c r="G1352" i="36"/>
  <c r="F1352" i="36"/>
  <c r="E1352" i="36"/>
  <c r="D1352" i="36"/>
  <c r="G1336" i="36"/>
  <c r="F1336" i="36"/>
  <c r="E1336" i="36"/>
  <c r="D1336" i="36"/>
  <c r="G1324" i="36"/>
  <c r="F1324" i="36"/>
  <c r="E1324" i="36"/>
  <c r="D1324" i="36"/>
  <c r="G1308" i="36"/>
  <c r="F1308" i="36"/>
  <c r="E1308" i="36"/>
  <c r="D1308" i="36"/>
  <c r="G1300" i="36"/>
  <c r="F1300" i="36"/>
  <c r="D1300" i="36"/>
  <c r="E1300" i="36"/>
  <c r="G1288" i="36"/>
  <c r="F1288" i="36"/>
  <c r="E1288" i="36"/>
  <c r="D1288" i="36"/>
  <c r="G1280" i="36"/>
  <c r="F1280" i="36"/>
  <c r="E1280" i="36"/>
  <c r="D1280" i="36"/>
  <c r="G1268" i="36"/>
  <c r="F1268" i="36"/>
  <c r="D1268" i="36"/>
  <c r="E1268" i="36"/>
  <c r="G1260" i="36"/>
  <c r="F1260" i="36"/>
  <c r="E1260" i="36"/>
  <c r="D1260" i="36"/>
  <c r="G1252" i="36"/>
  <c r="F1252" i="36"/>
  <c r="D1252" i="36"/>
  <c r="E1252" i="36"/>
  <c r="G1244" i="36"/>
  <c r="F1244" i="36"/>
  <c r="E1244" i="36"/>
  <c r="D1244" i="36"/>
  <c r="G1236" i="36"/>
  <c r="F1236" i="36"/>
  <c r="D1236" i="36"/>
  <c r="E1236" i="36"/>
  <c r="G1228" i="36"/>
  <c r="F1228" i="36"/>
  <c r="E1228" i="36"/>
  <c r="D1228" i="36"/>
  <c r="G1224" i="36"/>
  <c r="F1224" i="36"/>
  <c r="E1224" i="36"/>
  <c r="D1224" i="36"/>
  <c r="G1220" i="36"/>
  <c r="F1220" i="36"/>
  <c r="E1220" i="36"/>
  <c r="D1220" i="36"/>
  <c r="G1216" i="36"/>
  <c r="F1216" i="36"/>
  <c r="E1216" i="36"/>
  <c r="D1216" i="36"/>
  <c r="G1212" i="36"/>
  <c r="F1212" i="36"/>
  <c r="E1212" i="36"/>
  <c r="D1212" i="36"/>
  <c r="G1208" i="36"/>
  <c r="F1208" i="36"/>
  <c r="E1208" i="36"/>
  <c r="D1208" i="36"/>
  <c r="G1204" i="36"/>
  <c r="F1204" i="36"/>
  <c r="D1204" i="36"/>
  <c r="E1204" i="36"/>
  <c r="G1200" i="36"/>
  <c r="F1200" i="36"/>
  <c r="E1200" i="36"/>
  <c r="D1200" i="36"/>
  <c r="G1196" i="36"/>
  <c r="F1196" i="36"/>
  <c r="E1196" i="36"/>
  <c r="D1196" i="36"/>
  <c r="G1192" i="36"/>
  <c r="F1192" i="36"/>
  <c r="E1192" i="36"/>
  <c r="D1192" i="36"/>
  <c r="G1188" i="36"/>
  <c r="F1188" i="36"/>
  <c r="D1188" i="36"/>
  <c r="E1188" i="36"/>
  <c r="G1184" i="36"/>
  <c r="F1184" i="36"/>
  <c r="E1184" i="36"/>
  <c r="D1184" i="36"/>
  <c r="G1180" i="36"/>
  <c r="F1180" i="36"/>
  <c r="E1180" i="36"/>
  <c r="D1180" i="36"/>
  <c r="G1176" i="36"/>
  <c r="F1176" i="36"/>
  <c r="E1176" i="36"/>
  <c r="D1176" i="36"/>
  <c r="G1172" i="36"/>
  <c r="F1172" i="36"/>
  <c r="D1172" i="36"/>
  <c r="E1172" i="36"/>
  <c r="G1168" i="36"/>
  <c r="F1168" i="36"/>
  <c r="E1168" i="36"/>
  <c r="D1168" i="36"/>
  <c r="G1156" i="36"/>
  <c r="F1156" i="36"/>
  <c r="E1156" i="36"/>
  <c r="D1156" i="36"/>
  <c r="G1152" i="36"/>
  <c r="F1152" i="36"/>
  <c r="E1152" i="36"/>
  <c r="D1152" i="36"/>
  <c r="G1148" i="36"/>
  <c r="F1148" i="36"/>
  <c r="E1148" i="36"/>
  <c r="D1148" i="36"/>
  <c r="G1144" i="36"/>
  <c r="F1144" i="36"/>
  <c r="E1144" i="36"/>
  <c r="D1144" i="36"/>
  <c r="G1140" i="36"/>
  <c r="F1140" i="36"/>
  <c r="D1140" i="36"/>
  <c r="E1140" i="36"/>
  <c r="G1136" i="36"/>
  <c r="F1136" i="36"/>
  <c r="E1136" i="36"/>
  <c r="D1136" i="36"/>
  <c r="G1132" i="36"/>
  <c r="F1132" i="36"/>
  <c r="E1132" i="36"/>
  <c r="D1132" i="36"/>
  <c r="G1128" i="36"/>
  <c r="F1128" i="36"/>
  <c r="E1128" i="36"/>
  <c r="D1128" i="36"/>
  <c r="G1124" i="36"/>
  <c r="F1124" i="36"/>
  <c r="D1124" i="36"/>
  <c r="E1124" i="36"/>
  <c r="G1120" i="36"/>
  <c r="F1120" i="36"/>
  <c r="E1120" i="36"/>
  <c r="D1120" i="36"/>
  <c r="G1116" i="36"/>
  <c r="F1116" i="36"/>
  <c r="E1116" i="36"/>
  <c r="D1116" i="36"/>
  <c r="G1112" i="36"/>
  <c r="F1112" i="36"/>
  <c r="E1112" i="36"/>
  <c r="D1112" i="36"/>
  <c r="G1108" i="36"/>
  <c r="F1108" i="36"/>
  <c r="D1108" i="36"/>
  <c r="E1108" i="36"/>
  <c r="G1104" i="36"/>
  <c r="F1104" i="36"/>
  <c r="E1104" i="36"/>
  <c r="D1104" i="36"/>
  <c r="G1100" i="36"/>
  <c r="F1100" i="36"/>
  <c r="E1100" i="36"/>
  <c r="D1100" i="36"/>
  <c r="G1096" i="36"/>
  <c r="F1096" i="36"/>
  <c r="E1096" i="36"/>
  <c r="D1096" i="36"/>
  <c r="G1092" i="36"/>
  <c r="F1092" i="36"/>
  <c r="E1092" i="36"/>
  <c r="D1092" i="36"/>
  <c r="G1088" i="36"/>
  <c r="F1088" i="36"/>
  <c r="E1088" i="36"/>
  <c r="D1088" i="36"/>
  <c r="G1084" i="36"/>
  <c r="F1084" i="36"/>
  <c r="E1084" i="36"/>
  <c r="D1084" i="36"/>
  <c r="G1080" i="36"/>
  <c r="F1080" i="36"/>
  <c r="E1080" i="36"/>
  <c r="D1080" i="36"/>
  <c r="G1076" i="36"/>
  <c r="F1076" i="36"/>
  <c r="D1076" i="36"/>
  <c r="E1076" i="36"/>
  <c r="G1072" i="36"/>
  <c r="F1072" i="36"/>
  <c r="E1072" i="36"/>
  <c r="D1072" i="36"/>
  <c r="G1068" i="36"/>
  <c r="F1068" i="36"/>
  <c r="E1068" i="36"/>
  <c r="D1068" i="36"/>
  <c r="G1064" i="36"/>
  <c r="F1064" i="36"/>
  <c r="E1064" i="36"/>
  <c r="D1064" i="36"/>
  <c r="G1060" i="36"/>
  <c r="F1060" i="36"/>
  <c r="D1060" i="36"/>
  <c r="E1060" i="36"/>
  <c r="G1056" i="36"/>
  <c r="F1056" i="36"/>
  <c r="E1056" i="36"/>
  <c r="D1056" i="36"/>
  <c r="G1052" i="36"/>
  <c r="F1052" i="36"/>
  <c r="E1052" i="36"/>
  <c r="D1052" i="36"/>
  <c r="G1048" i="36"/>
  <c r="F1048" i="36"/>
  <c r="E1048" i="36"/>
  <c r="D1048" i="36"/>
  <c r="G1044" i="36"/>
  <c r="F1044" i="36"/>
  <c r="D1044" i="36"/>
  <c r="E1044" i="36"/>
  <c r="G1040" i="36"/>
  <c r="F1040" i="36"/>
  <c r="E1040" i="36"/>
  <c r="D1040" i="36"/>
  <c r="G1036" i="36"/>
  <c r="F1036" i="36"/>
  <c r="E1036" i="36"/>
  <c r="D1036" i="36"/>
  <c r="G1032" i="36"/>
  <c r="F1032" i="36"/>
  <c r="E1032" i="36"/>
  <c r="D1032" i="36"/>
  <c r="G1028" i="36"/>
  <c r="F1028" i="36"/>
  <c r="E1028" i="36"/>
  <c r="D1028" i="36"/>
  <c r="G1024" i="36"/>
  <c r="F1024" i="36"/>
  <c r="E1024" i="36"/>
  <c r="D1024" i="36"/>
  <c r="G1020" i="36"/>
  <c r="F1020" i="36"/>
  <c r="E1020" i="36"/>
  <c r="D1020" i="36"/>
  <c r="G1016" i="36"/>
  <c r="F1016" i="36"/>
  <c r="E1016" i="36"/>
  <c r="D1016" i="36"/>
  <c r="G1012" i="36"/>
  <c r="F1012" i="36"/>
  <c r="D1012" i="36"/>
  <c r="E1012" i="36"/>
  <c r="G1008" i="36"/>
  <c r="F1008" i="36"/>
  <c r="E1008" i="36"/>
  <c r="D1008" i="36"/>
  <c r="G1004" i="36"/>
  <c r="F1004" i="36"/>
  <c r="E1004" i="36"/>
  <c r="D1004" i="36"/>
  <c r="G1000" i="36"/>
  <c r="F1000" i="36"/>
  <c r="E1000" i="36"/>
  <c r="D1000" i="36"/>
  <c r="G996" i="36"/>
  <c r="F996" i="36"/>
  <c r="D996" i="36"/>
  <c r="E996" i="36"/>
  <c r="G992" i="36"/>
  <c r="F992" i="36"/>
  <c r="E992" i="36"/>
  <c r="D992" i="36"/>
  <c r="G988" i="36"/>
  <c r="F988" i="36"/>
  <c r="E988" i="36"/>
  <c r="D988" i="36"/>
  <c r="G984" i="36"/>
  <c r="F984" i="36"/>
  <c r="E984" i="36"/>
  <c r="D984" i="36"/>
  <c r="G980" i="36"/>
  <c r="F980" i="36"/>
  <c r="D980" i="36"/>
  <c r="E980" i="36"/>
  <c r="G976" i="36"/>
  <c r="F976" i="36"/>
  <c r="E976" i="36"/>
  <c r="D976" i="36"/>
  <c r="G972" i="36"/>
  <c r="F972" i="36"/>
  <c r="E972" i="36"/>
  <c r="D972" i="36"/>
  <c r="G968" i="36"/>
  <c r="F968" i="36"/>
  <c r="E968" i="36"/>
  <c r="D968" i="36"/>
  <c r="G964" i="36"/>
  <c r="F964" i="36"/>
  <c r="E964" i="36"/>
  <c r="D964" i="36"/>
  <c r="G960" i="36"/>
  <c r="F960" i="36"/>
  <c r="E960" i="36"/>
  <c r="D960" i="36"/>
  <c r="G956" i="36"/>
  <c r="F956" i="36"/>
  <c r="E956" i="36"/>
  <c r="D956" i="36"/>
  <c r="G952" i="36"/>
  <c r="F952" i="36"/>
  <c r="E952" i="36"/>
  <c r="D952" i="36"/>
  <c r="G948" i="36"/>
  <c r="F948" i="36"/>
  <c r="D948" i="36"/>
  <c r="E948" i="36"/>
  <c r="G944" i="36"/>
  <c r="F944" i="36"/>
  <c r="E944" i="36"/>
  <c r="D944" i="36"/>
  <c r="G940" i="36"/>
  <c r="F940" i="36"/>
  <c r="E940" i="36"/>
  <c r="D940" i="36"/>
  <c r="G936" i="36"/>
  <c r="F936" i="36"/>
  <c r="E936" i="36"/>
  <c r="D936" i="36"/>
  <c r="G932" i="36"/>
  <c r="F932" i="36"/>
  <c r="D932" i="36"/>
  <c r="E932" i="36"/>
  <c r="G928" i="36"/>
  <c r="F928" i="36"/>
  <c r="E928" i="36"/>
  <c r="D928" i="36"/>
  <c r="G924" i="36"/>
  <c r="F924" i="36"/>
  <c r="E924" i="36"/>
  <c r="D924" i="36"/>
  <c r="G920" i="36"/>
  <c r="F920" i="36"/>
  <c r="E920" i="36"/>
  <c r="D920" i="36"/>
  <c r="G916" i="36"/>
  <c r="F916" i="36"/>
  <c r="D916" i="36"/>
  <c r="E916" i="36"/>
  <c r="G912" i="36"/>
  <c r="F912" i="36"/>
  <c r="E912" i="36"/>
  <c r="D912" i="36"/>
  <c r="G908" i="36"/>
  <c r="F908" i="36"/>
  <c r="E908" i="36"/>
  <c r="D908" i="36"/>
  <c r="G904" i="36"/>
  <c r="F904" i="36"/>
  <c r="E904" i="36"/>
  <c r="D904" i="36"/>
  <c r="G900" i="36"/>
  <c r="F900" i="36"/>
  <c r="E900" i="36"/>
  <c r="D900" i="36"/>
  <c r="G896" i="36"/>
  <c r="F896" i="36"/>
  <c r="E896" i="36"/>
  <c r="D896" i="36"/>
  <c r="G892" i="36"/>
  <c r="F892" i="36"/>
  <c r="E892" i="36"/>
  <c r="D892" i="36"/>
  <c r="G888" i="36"/>
  <c r="F888" i="36"/>
  <c r="E888" i="36"/>
  <c r="D888" i="36"/>
  <c r="G884" i="36"/>
  <c r="F884" i="36"/>
  <c r="D884" i="36"/>
  <c r="E884" i="36"/>
  <c r="G880" i="36"/>
  <c r="F880" i="36"/>
  <c r="E880" i="36"/>
  <c r="D880" i="36"/>
  <c r="G876" i="36"/>
  <c r="F876" i="36"/>
  <c r="E876" i="36"/>
  <c r="D876" i="36"/>
  <c r="G872" i="36"/>
  <c r="F872" i="36"/>
  <c r="E872" i="36"/>
  <c r="D872" i="36"/>
  <c r="G868" i="36"/>
  <c r="F868" i="36"/>
  <c r="D868" i="36"/>
  <c r="E868" i="36"/>
  <c r="G864" i="36"/>
  <c r="F864" i="36"/>
  <c r="E864" i="36"/>
  <c r="D864" i="36"/>
  <c r="G860" i="36"/>
  <c r="F860" i="36"/>
  <c r="E860" i="36"/>
  <c r="D860" i="36"/>
  <c r="G856" i="36"/>
  <c r="F856" i="36"/>
  <c r="E856" i="36"/>
  <c r="D856" i="36"/>
  <c r="G852" i="36"/>
  <c r="F852" i="36"/>
  <c r="D852" i="36"/>
  <c r="E852" i="36"/>
  <c r="G848" i="36"/>
  <c r="F848" i="36"/>
  <c r="E848" i="36"/>
  <c r="D848" i="36"/>
  <c r="G844" i="36"/>
  <c r="F844" i="36"/>
  <c r="E844" i="36"/>
  <c r="D844" i="36"/>
  <c r="G840" i="36"/>
  <c r="F840" i="36"/>
  <c r="E840" i="36"/>
  <c r="D840" i="36"/>
  <c r="G836" i="36"/>
  <c r="F836" i="36"/>
  <c r="E836" i="36"/>
  <c r="D836" i="36"/>
  <c r="G832" i="36"/>
  <c r="F832" i="36"/>
  <c r="E832" i="36"/>
  <c r="D832" i="36"/>
  <c r="G828" i="36"/>
  <c r="F828" i="36"/>
  <c r="E828" i="36"/>
  <c r="D828" i="36"/>
  <c r="G824" i="36"/>
  <c r="F824" i="36"/>
  <c r="E824" i="36"/>
  <c r="D824" i="36"/>
  <c r="G820" i="36"/>
  <c r="F820" i="36"/>
  <c r="D820" i="36"/>
  <c r="E820" i="36"/>
  <c r="G816" i="36"/>
  <c r="F816" i="36"/>
  <c r="E816" i="36"/>
  <c r="D816" i="36"/>
  <c r="G812" i="36"/>
  <c r="F812" i="36"/>
  <c r="E812" i="36"/>
  <c r="D812" i="36"/>
  <c r="G808" i="36"/>
  <c r="F808" i="36"/>
  <c r="E808" i="36"/>
  <c r="D808" i="36"/>
  <c r="G804" i="36"/>
  <c r="F804" i="36"/>
  <c r="D804" i="36"/>
  <c r="E804" i="36"/>
  <c r="G800" i="36"/>
  <c r="F800" i="36"/>
  <c r="E800" i="36"/>
  <c r="D800" i="36"/>
  <c r="G796" i="36"/>
  <c r="F796" i="36"/>
  <c r="E796" i="36"/>
  <c r="D796" i="36"/>
  <c r="G792" i="36"/>
  <c r="F792" i="36"/>
  <c r="E792" i="36"/>
  <c r="D792" i="36"/>
  <c r="G788" i="36"/>
  <c r="F788" i="36"/>
  <c r="D788" i="36"/>
  <c r="E788" i="36"/>
  <c r="G784" i="36"/>
  <c r="F784" i="36"/>
  <c r="E784" i="36"/>
  <c r="D784" i="36"/>
  <c r="G780" i="36"/>
  <c r="F780" i="36"/>
  <c r="E780" i="36"/>
  <c r="D780" i="36"/>
  <c r="G776" i="36"/>
  <c r="F776" i="36"/>
  <c r="E776" i="36"/>
  <c r="D776" i="36"/>
  <c r="G772" i="36"/>
  <c r="F772" i="36"/>
  <c r="E772" i="36"/>
  <c r="D772" i="36"/>
  <c r="G768" i="36"/>
  <c r="F768" i="36"/>
  <c r="E768" i="36"/>
  <c r="D768" i="36"/>
  <c r="G764" i="36"/>
  <c r="F764" i="36"/>
  <c r="E764" i="36"/>
  <c r="D764" i="36"/>
  <c r="G760" i="36"/>
  <c r="F760" i="36"/>
  <c r="E760" i="36"/>
  <c r="D760" i="36"/>
  <c r="G756" i="36"/>
  <c r="F756" i="36"/>
  <c r="D756" i="36"/>
  <c r="E756" i="36"/>
  <c r="G752" i="36"/>
  <c r="F752" i="36"/>
  <c r="E752" i="36"/>
  <c r="D752" i="36"/>
  <c r="G748" i="36"/>
  <c r="F748" i="36"/>
  <c r="E748" i="36"/>
  <c r="D748" i="36"/>
  <c r="G744" i="36"/>
  <c r="F744" i="36"/>
  <c r="E744" i="36"/>
  <c r="D744" i="36"/>
  <c r="G740" i="36"/>
  <c r="F740" i="36"/>
  <c r="D740" i="36"/>
  <c r="E740" i="36"/>
  <c r="G736" i="36"/>
  <c r="F736" i="36"/>
  <c r="E736" i="36"/>
  <c r="D736" i="36"/>
  <c r="G732" i="36"/>
  <c r="F732" i="36"/>
  <c r="E732" i="36"/>
  <c r="D732" i="36"/>
  <c r="G728" i="36"/>
  <c r="F728" i="36"/>
  <c r="E728" i="36"/>
  <c r="D728" i="36"/>
  <c r="G724" i="36"/>
  <c r="F724" i="36"/>
  <c r="D724" i="36"/>
  <c r="E724" i="36"/>
  <c r="G720" i="36"/>
  <c r="F720" i="36"/>
  <c r="E720" i="36"/>
  <c r="D720" i="36"/>
  <c r="G716" i="36"/>
  <c r="F716" i="36"/>
  <c r="E716" i="36"/>
  <c r="D716" i="36"/>
  <c r="G712" i="36"/>
  <c r="F712" i="36"/>
  <c r="E712" i="36"/>
  <c r="D712" i="36"/>
  <c r="G708" i="36"/>
  <c r="F708" i="36"/>
  <c r="E708" i="36"/>
  <c r="D708" i="36"/>
  <c r="G704" i="36"/>
  <c r="F704" i="36"/>
  <c r="E704" i="36"/>
  <c r="D704" i="36"/>
  <c r="G700" i="36"/>
  <c r="F700" i="36"/>
  <c r="E700" i="36"/>
  <c r="D700" i="36"/>
  <c r="G696" i="36"/>
  <c r="F696" i="36"/>
  <c r="E696" i="36"/>
  <c r="D696" i="36"/>
  <c r="G692" i="36"/>
  <c r="F692" i="36"/>
  <c r="D692" i="36"/>
  <c r="E692" i="36"/>
  <c r="G688" i="36"/>
  <c r="F688" i="36"/>
  <c r="E688" i="36"/>
  <c r="D688" i="36"/>
  <c r="G684" i="36"/>
  <c r="F684" i="36"/>
  <c r="E684" i="36"/>
  <c r="D684" i="36"/>
  <c r="G680" i="36"/>
  <c r="F680" i="36"/>
  <c r="E680" i="36"/>
  <c r="D680" i="36"/>
  <c r="G676" i="36"/>
  <c r="F676" i="36"/>
  <c r="D676" i="36"/>
  <c r="E676" i="36"/>
  <c r="G672" i="36"/>
  <c r="F672" i="36"/>
  <c r="E672" i="36"/>
  <c r="D672" i="36"/>
  <c r="G668" i="36"/>
  <c r="F668" i="36"/>
  <c r="E668" i="36"/>
  <c r="D668" i="36"/>
  <c r="G664" i="36"/>
  <c r="F664" i="36"/>
  <c r="E664" i="36"/>
  <c r="D664" i="36"/>
  <c r="G660" i="36"/>
  <c r="F660" i="36"/>
  <c r="D660" i="36"/>
  <c r="E660" i="36"/>
  <c r="G656" i="36"/>
  <c r="F656" i="36"/>
  <c r="E656" i="36"/>
  <c r="D656" i="36"/>
  <c r="G652" i="36"/>
  <c r="F652" i="36"/>
  <c r="E652" i="36"/>
  <c r="D652" i="36"/>
  <c r="G648" i="36"/>
  <c r="F648" i="36"/>
  <c r="E648" i="36"/>
  <c r="D648" i="36"/>
  <c r="G644" i="36"/>
  <c r="F644" i="36"/>
  <c r="E644" i="36"/>
  <c r="D644" i="36"/>
  <c r="G640" i="36"/>
  <c r="F640" i="36"/>
  <c r="E640" i="36"/>
  <c r="D640" i="36"/>
  <c r="G636" i="36"/>
  <c r="F636" i="36"/>
  <c r="E636" i="36"/>
  <c r="D636" i="36"/>
  <c r="G632" i="36"/>
  <c r="F632" i="36"/>
  <c r="E632" i="36"/>
  <c r="D632" i="36"/>
  <c r="G628" i="36"/>
  <c r="F628" i="36"/>
  <c r="D628" i="36"/>
  <c r="E628" i="36"/>
  <c r="G624" i="36"/>
  <c r="F624" i="36"/>
  <c r="E624" i="36"/>
  <c r="D624" i="36"/>
  <c r="G620" i="36"/>
  <c r="F620" i="36"/>
  <c r="E620" i="36"/>
  <c r="D620" i="36"/>
  <c r="G616" i="36"/>
  <c r="F616" i="36"/>
  <c r="E616" i="36"/>
  <c r="D616" i="36"/>
  <c r="G612" i="36"/>
  <c r="F612" i="36"/>
  <c r="D612" i="36"/>
  <c r="E612" i="36"/>
  <c r="G608" i="36"/>
  <c r="F608" i="36"/>
  <c r="E608" i="36"/>
  <c r="D608" i="36"/>
  <c r="G604" i="36"/>
  <c r="F604" i="36"/>
  <c r="E604" i="36"/>
  <c r="D604" i="36"/>
  <c r="G600" i="36"/>
  <c r="F600" i="36"/>
  <c r="E600" i="36"/>
  <c r="D600" i="36"/>
  <c r="G596" i="36"/>
  <c r="E596" i="36"/>
  <c r="F596" i="36"/>
  <c r="D596" i="36"/>
  <c r="G592" i="36"/>
  <c r="F592" i="36"/>
  <c r="E592" i="36"/>
  <c r="D592" i="36"/>
  <c r="G588" i="36"/>
  <c r="F588" i="36"/>
  <c r="E588" i="36"/>
  <c r="D588" i="36"/>
  <c r="G584" i="36"/>
  <c r="F584" i="36"/>
  <c r="E584" i="36"/>
  <c r="D584" i="36"/>
  <c r="G580" i="36"/>
  <c r="F580" i="36"/>
  <c r="E580" i="36"/>
  <c r="D580" i="36"/>
  <c r="G576" i="36"/>
  <c r="F576" i="36"/>
  <c r="E576" i="36"/>
  <c r="D576" i="36"/>
  <c r="G572" i="36"/>
  <c r="E572" i="36"/>
  <c r="F572" i="36"/>
  <c r="D572" i="36"/>
  <c r="G568" i="36"/>
  <c r="F568" i="36"/>
  <c r="E568" i="36"/>
  <c r="D568" i="36"/>
  <c r="G564" i="36"/>
  <c r="E564" i="36"/>
  <c r="F564" i="36"/>
  <c r="D564" i="36"/>
  <c r="G560" i="36"/>
  <c r="F560" i="36"/>
  <c r="E560" i="36"/>
  <c r="D560" i="36"/>
  <c r="G556" i="36"/>
  <c r="F556" i="36"/>
  <c r="E556" i="36"/>
  <c r="D556" i="36"/>
  <c r="G552" i="36"/>
  <c r="F552" i="36"/>
  <c r="E552" i="36"/>
  <c r="D552" i="36"/>
  <c r="G548" i="36"/>
  <c r="F548" i="36"/>
  <c r="E548" i="36"/>
  <c r="D548" i="36"/>
  <c r="G544" i="36"/>
  <c r="F544" i="36"/>
  <c r="E544" i="36"/>
  <c r="D544" i="36"/>
  <c r="G540" i="36"/>
  <c r="E540" i="36"/>
  <c r="F540" i="36"/>
  <c r="D540" i="36"/>
  <c r="G536" i="36"/>
  <c r="F536" i="36"/>
  <c r="E536" i="36"/>
  <c r="D536" i="36"/>
  <c r="G532" i="36"/>
  <c r="E532" i="36"/>
  <c r="F532" i="36"/>
  <c r="D532" i="36"/>
  <c r="G528" i="36"/>
  <c r="F528" i="36"/>
  <c r="E528" i="36"/>
  <c r="D528" i="36"/>
  <c r="G524" i="36"/>
  <c r="F524" i="36"/>
  <c r="E524" i="36"/>
  <c r="D524" i="36"/>
  <c r="G520" i="36"/>
  <c r="F520" i="36"/>
  <c r="E520" i="36"/>
  <c r="D520" i="36"/>
  <c r="G516" i="36"/>
  <c r="F516" i="36"/>
  <c r="E516" i="36"/>
  <c r="D516" i="36"/>
  <c r="G512" i="36"/>
  <c r="F512" i="36"/>
  <c r="E512" i="36"/>
  <c r="D512" i="36"/>
  <c r="G508" i="36"/>
  <c r="E508" i="36"/>
  <c r="F508" i="36"/>
  <c r="D508" i="36"/>
  <c r="G504" i="36"/>
  <c r="F504" i="36"/>
  <c r="E504" i="36"/>
  <c r="D504" i="36"/>
  <c r="G500" i="36"/>
  <c r="E500" i="36"/>
  <c r="F500" i="36"/>
  <c r="D500" i="36"/>
  <c r="G496" i="36"/>
  <c r="F496" i="36"/>
  <c r="E496" i="36"/>
  <c r="D496" i="36"/>
  <c r="G492" i="36"/>
  <c r="F492" i="36"/>
  <c r="E492" i="36"/>
  <c r="D492" i="36"/>
  <c r="G488" i="36"/>
  <c r="F488" i="36"/>
  <c r="E488" i="36"/>
  <c r="D488" i="36"/>
  <c r="G484" i="36"/>
  <c r="F484" i="36"/>
  <c r="E484" i="36"/>
  <c r="D484" i="36"/>
  <c r="G480" i="36"/>
  <c r="F480" i="36"/>
  <c r="E480" i="36"/>
  <c r="D480" i="36"/>
  <c r="G476" i="36"/>
  <c r="E476" i="36"/>
  <c r="F476" i="36"/>
  <c r="D476" i="36"/>
  <c r="G472" i="36"/>
  <c r="F472" i="36"/>
  <c r="E472" i="36"/>
  <c r="D472" i="36"/>
  <c r="G468" i="36"/>
  <c r="E468" i="36"/>
  <c r="F468" i="36"/>
  <c r="D468" i="36"/>
  <c r="G464" i="36"/>
  <c r="F464" i="36"/>
  <c r="E464" i="36"/>
  <c r="D464" i="36"/>
  <c r="G460" i="36"/>
  <c r="F460" i="36"/>
  <c r="E460" i="36"/>
  <c r="D460" i="36"/>
  <c r="G456" i="36"/>
  <c r="F456" i="36"/>
  <c r="E456" i="36"/>
  <c r="D456" i="36"/>
  <c r="G452" i="36"/>
  <c r="F452" i="36"/>
  <c r="E452" i="36"/>
  <c r="D452" i="36"/>
  <c r="G448" i="36"/>
  <c r="F448" i="36"/>
  <c r="E448" i="36"/>
  <c r="D448" i="36"/>
  <c r="G444" i="36"/>
  <c r="E444" i="36"/>
  <c r="F444" i="36"/>
  <c r="D444" i="36"/>
  <c r="G440" i="36"/>
  <c r="F440" i="36"/>
  <c r="E440" i="36"/>
  <c r="D440" i="36"/>
  <c r="G436" i="36"/>
  <c r="E436" i="36"/>
  <c r="F436" i="36"/>
  <c r="D436" i="36"/>
  <c r="G432" i="36"/>
  <c r="F432" i="36"/>
  <c r="E432" i="36"/>
  <c r="D432" i="36"/>
  <c r="G428" i="36"/>
  <c r="F428" i="36"/>
  <c r="E428" i="36"/>
  <c r="D428" i="36"/>
  <c r="G424" i="36"/>
  <c r="F424" i="36"/>
  <c r="E424" i="36"/>
  <c r="D424" i="36"/>
  <c r="G420" i="36"/>
  <c r="F420" i="36"/>
  <c r="E420" i="36"/>
  <c r="D420" i="36"/>
  <c r="G416" i="36"/>
  <c r="F416" i="36"/>
  <c r="E416" i="36"/>
  <c r="D416" i="36"/>
  <c r="G412" i="36"/>
  <c r="E412" i="36"/>
  <c r="F412" i="36"/>
  <c r="D412" i="36"/>
  <c r="G408" i="36"/>
  <c r="F408" i="36"/>
  <c r="E408" i="36"/>
  <c r="D408" i="36"/>
  <c r="G404" i="36"/>
  <c r="E404" i="36"/>
  <c r="F404" i="36"/>
  <c r="D404" i="36"/>
  <c r="G400" i="36"/>
  <c r="F400" i="36"/>
  <c r="E400" i="36"/>
  <c r="D400" i="36"/>
  <c r="G396" i="36"/>
  <c r="F396" i="36"/>
  <c r="E396" i="36"/>
  <c r="D396" i="36"/>
  <c r="G392" i="36"/>
  <c r="F392" i="36"/>
  <c r="E392" i="36"/>
  <c r="D392" i="36"/>
  <c r="G388" i="36"/>
  <c r="F388" i="36"/>
  <c r="E388" i="36"/>
  <c r="D388" i="36"/>
  <c r="G384" i="36"/>
  <c r="F384" i="36"/>
  <c r="E384" i="36"/>
  <c r="D384" i="36"/>
  <c r="G380" i="36"/>
  <c r="F380" i="36"/>
  <c r="E380" i="36"/>
  <c r="D380" i="36"/>
  <c r="G376" i="36"/>
  <c r="F376" i="36"/>
  <c r="E376" i="36"/>
  <c r="D376" i="36"/>
  <c r="G372" i="36"/>
  <c r="F372" i="36"/>
  <c r="E372" i="36"/>
  <c r="D372" i="36"/>
  <c r="G368" i="36"/>
  <c r="F368" i="36"/>
  <c r="E368" i="36"/>
  <c r="D368" i="36"/>
  <c r="G364" i="36"/>
  <c r="F364" i="36"/>
  <c r="E364" i="36"/>
  <c r="D364" i="36"/>
  <c r="G360" i="36"/>
  <c r="E360" i="36"/>
  <c r="F360" i="36"/>
  <c r="D360" i="36"/>
  <c r="G356" i="36"/>
  <c r="F356" i="36"/>
  <c r="E356" i="36"/>
  <c r="D356" i="36"/>
  <c r="G352" i="36"/>
  <c r="F352" i="36"/>
  <c r="E352" i="36"/>
  <c r="D352" i="36"/>
  <c r="G348" i="36"/>
  <c r="F348" i="36"/>
  <c r="E348" i="36"/>
  <c r="D348" i="36"/>
  <c r="G344" i="36"/>
  <c r="E344" i="36"/>
  <c r="F344" i="36"/>
  <c r="D344" i="36"/>
  <c r="G340" i="36"/>
  <c r="F340" i="36"/>
  <c r="E340" i="36"/>
  <c r="D340" i="36"/>
  <c r="G336" i="36"/>
  <c r="F336" i="36"/>
  <c r="E336" i="36"/>
  <c r="D336" i="36"/>
  <c r="G332" i="36"/>
  <c r="F332" i="36"/>
  <c r="E332" i="36"/>
  <c r="D332" i="36"/>
  <c r="G328" i="36"/>
  <c r="F328" i="36"/>
  <c r="E328" i="36"/>
  <c r="D328" i="36"/>
  <c r="G324" i="36"/>
  <c r="F324" i="36"/>
  <c r="E324" i="36"/>
  <c r="D324" i="36"/>
  <c r="G320" i="36"/>
  <c r="F320" i="36"/>
  <c r="E320" i="36"/>
  <c r="D320" i="36"/>
  <c r="G316" i="36"/>
  <c r="F316" i="36"/>
  <c r="E316" i="36"/>
  <c r="D316" i="36"/>
  <c r="G312" i="36"/>
  <c r="F312" i="36"/>
  <c r="E312" i="36"/>
  <c r="D312" i="36"/>
  <c r="G308" i="36"/>
  <c r="F308" i="36"/>
  <c r="E308" i="36"/>
  <c r="D308" i="36"/>
  <c r="G304" i="36"/>
  <c r="F304" i="36"/>
  <c r="E304" i="36"/>
  <c r="D304" i="36"/>
  <c r="G300" i="36"/>
  <c r="F300" i="36"/>
  <c r="E300" i="36"/>
  <c r="D300" i="36"/>
  <c r="G296" i="36"/>
  <c r="E296" i="36"/>
  <c r="F296" i="36"/>
  <c r="D296" i="36"/>
  <c r="G292" i="36"/>
  <c r="F292" i="36"/>
  <c r="E292" i="36"/>
  <c r="D292" i="36"/>
  <c r="G288" i="36"/>
  <c r="F288" i="36"/>
  <c r="E288" i="36"/>
  <c r="D288" i="36"/>
  <c r="G284" i="36"/>
  <c r="F284" i="36"/>
  <c r="E284" i="36"/>
  <c r="D284" i="36"/>
  <c r="G280" i="36"/>
  <c r="E280" i="36"/>
  <c r="F280" i="36"/>
  <c r="D280" i="36"/>
  <c r="G276" i="36"/>
  <c r="F276" i="36"/>
  <c r="E276" i="36"/>
  <c r="D276" i="36"/>
  <c r="G272" i="36"/>
  <c r="F272" i="36"/>
  <c r="E272" i="36"/>
  <c r="D272" i="36"/>
  <c r="G268" i="36"/>
  <c r="F268" i="36"/>
  <c r="E268" i="36"/>
  <c r="D268" i="36"/>
  <c r="G264" i="36"/>
  <c r="F264" i="36"/>
  <c r="E264" i="36"/>
  <c r="D264" i="36"/>
  <c r="G260" i="36"/>
  <c r="F260" i="36"/>
  <c r="E260" i="36"/>
  <c r="D260" i="36"/>
  <c r="G256" i="36"/>
  <c r="F256" i="36"/>
  <c r="E256" i="36"/>
  <c r="D256" i="36"/>
  <c r="G252" i="36"/>
  <c r="F252" i="36"/>
  <c r="E252" i="36"/>
  <c r="D252" i="36"/>
  <c r="G248" i="36"/>
  <c r="F248" i="36"/>
  <c r="E248" i="36"/>
  <c r="D248" i="36"/>
  <c r="G244" i="36"/>
  <c r="F244" i="36"/>
  <c r="E244" i="36"/>
  <c r="D244" i="36"/>
  <c r="G240" i="36"/>
  <c r="F240" i="36"/>
  <c r="E240" i="36"/>
  <c r="D240" i="36"/>
  <c r="G236" i="36"/>
  <c r="F236" i="36"/>
  <c r="E236" i="36"/>
  <c r="D236" i="36"/>
  <c r="G232" i="36"/>
  <c r="E232" i="36"/>
  <c r="F232" i="36"/>
  <c r="D232" i="36"/>
  <c r="G228" i="36"/>
  <c r="F228" i="36"/>
  <c r="E228" i="36"/>
  <c r="D228" i="36"/>
  <c r="G224" i="36"/>
  <c r="F224" i="36"/>
  <c r="E224" i="36"/>
  <c r="D224" i="36"/>
  <c r="G220" i="36"/>
  <c r="F220" i="36"/>
  <c r="E220" i="36"/>
  <c r="D220" i="36"/>
  <c r="G216" i="36"/>
  <c r="E216" i="36"/>
  <c r="F216" i="36"/>
  <c r="D216" i="36"/>
  <c r="G212" i="36"/>
  <c r="F212" i="36"/>
  <c r="E212" i="36"/>
  <c r="D212" i="36"/>
  <c r="G208" i="36"/>
  <c r="F208" i="36"/>
  <c r="E208" i="36"/>
  <c r="D208" i="36"/>
  <c r="G204" i="36"/>
  <c r="F204" i="36"/>
  <c r="E204" i="36"/>
  <c r="D204" i="36"/>
  <c r="G200" i="36"/>
  <c r="F200" i="36"/>
  <c r="E200" i="36"/>
  <c r="D200" i="36"/>
  <c r="G196" i="36"/>
  <c r="F196" i="36"/>
  <c r="E196" i="36"/>
  <c r="D196" i="36"/>
  <c r="G192" i="36"/>
  <c r="F192" i="36"/>
  <c r="E192" i="36"/>
  <c r="D192" i="36"/>
  <c r="G188" i="36"/>
  <c r="F188" i="36"/>
  <c r="E188" i="36"/>
  <c r="D188" i="36"/>
  <c r="G184" i="36"/>
  <c r="F184" i="36"/>
  <c r="E184" i="36"/>
  <c r="D184" i="36"/>
  <c r="G180" i="36"/>
  <c r="F180" i="36"/>
  <c r="E180" i="36"/>
  <c r="D180" i="36"/>
  <c r="G176" i="36"/>
  <c r="F176" i="36"/>
  <c r="E176" i="36"/>
  <c r="D176" i="36"/>
  <c r="G172" i="36"/>
  <c r="F172" i="36"/>
  <c r="E172" i="36"/>
  <c r="D172" i="36"/>
  <c r="G168" i="36"/>
  <c r="E168" i="36"/>
  <c r="F168" i="36"/>
  <c r="D168" i="36"/>
  <c r="G164" i="36"/>
  <c r="F164" i="36"/>
  <c r="E164" i="36"/>
  <c r="D164" i="36"/>
  <c r="G160" i="36"/>
  <c r="F160" i="36"/>
  <c r="E160" i="36"/>
  <c r="D160" i="36"/>
  <c r="G156" i="36"/>
  <c r="F156" i="36"/>
  <c r="E156" i="36"/>
  <c r="D156" i="36"/>
  <c r="G152" i="36"/>
  <c r="E152" i="36"/>
  <c r="F152" i="36"/>
  <c r="D152" i="36"/>
  <c r="G148" i="36"/>
  <c r="F148" i="36"/>
  <c r="E148" i="36"/>
  <c r="D148" i="36"/>
  <c r="G144" i="36"/>
  <c r="F144" i="36"/>
  <c r="E144" i="36"/>
  <c r="D144" i="36"/>
  <c r="G140" i="36"/>
  <c r="F140" i="36"/>
  <c r="E140" i="36"/>
  <c r="D140" i="36"/>
  <c r="G136" i="36"/>
  <c r="F136" i="36"/>
  <c r="E136" i="36"/>
  <c r="D136" i="36"/>
  <c r="G132" i="36"/>
  <c r="F132" i="36"/>
  <c r="E132" i="36"/>
  <c r="D132" i="36"/>
  <c r="G128" i="36"/>
  <c r="F128" i="36"/>
  <c r="E128" i="36"/>
  <c r="D128" i="36"/>
  <c r="G124" i="36"/>
  <c r="F124" i="36"/>
  <c r="E124" i="36"/>
  <c r="D124" i="36"/>
  <c r="G120" i="36"/>
  <c r="F120" i="36"/>
  <c r="E120" i="36"/>
  <c r="D120" i="36"/>
  <c r="G116" i="36"/>
  <c r="F116" i="36"/>
  <c r="E116" i="36"/>
  <c r="D116" i="36"/>
  <c r="G112" i="36"/>
  <c r="F112" i="36"/>
  <c r="E112" i="36"/>
  <c r="D112" i="36"/>
  <c r="G108" i="36"/>
  <c r="F108" i="36"/>
  <c r="E108" i="36"/>
  <c r="D108" i="36"/>
  <c r="G104" i="36"/>
  <c r="E104" i="36"/>
  <c r="F104" i="36"/>
  <c r="D104" i="36"/>
  <c r="G100" i="36"/>
  <c r="F100" i="36"/>
  <c r="E100" i="36"/>
  <c r="D100" i="36"/>
  <c r="G96" i="36"/>
  <c r="F96" i="36"/>
  <c r="E96" i="36"/>
  <c r="D96" i="36"/>
  <c r="G92" i="36"/>
  <c r="F92" i="36"/>
  <c r="E92" i="36"/>
  <c r="D92" i="36"/>
  <c r="G88" i="36"/>
  <c r="E88" i="36"/>
  <c r="F88" i="36"/>
  <c r="D88" i="36"/>
  <c r="G84" i="36"/>
  <c r="F84" i="36"/>
  <c r="E84" i="36"/>
  <c r="D84" i="36"/>
  <c r="G80" i="36"/>
  <c r="F80" i="36"/>
  <c r="E80" i="36"/>
  <c r="D80" i="36"/>
  <c r="G76" i="36"/>
  <c r="F76" i="36"/>
  <c r="E76" i="36"/>
  <c r="D76" i="36"/>
  <c r="G72" i="36"/>
  <c r="F72" i="36"/>
  <c r="E72" i="36"/>
  <c r="D72" i="36"/>
  <c r="G68" i="36"/>
  <c r="F68" i="36"/>
  <c r="E68" i="36"/>
  <c r="D68" i="36"/>
  <c r="G64" i="36"/>
  <c r="F64" i="36"/>
  <c r="E64" i="36"/>
  <c r="D64" i="36"/>
  <c r="G60" i="36"/>
  <c r="F60" i="36"/>
  <c r="E60" i="36"/>
  <c r="D60" i="36"/>
  <c r="G56" i="36"/>
  <c r="F56" i="36"/>
  <c r="E56" i="36"/>
  <c r="D56" i="36"/>
  <c r="G52" i="36"/>
  <c r="F52" i="36"/>
  <c r="E52" i="36"/>
  <c r="D52" i="36"/>
  <c r="G48" i="36"/>
  <c r="F48" i="36"/>
  <c r="E48" i="36"/>
  <c r="D48" i="36"/>
  <c r="G44" i="36"/>
  <c r="F44" i="36"/>
  <c r="E44" i="36"/>
  <c r="D44" i="36"/>
  <c r="G40" i="36"/>
  <c r="E40" i="36"/>
  <c r="F40" i="36"/>
  <c r="D40" i="36"/>
  <c r="G36" i="36"/>
  <c r="F36" i="36"/>
  <c r="E36" i="36"/>
  <c r="D36" i="36"/>
  <c r="G32" i="36"/>
  <c r="F32" i="36"/>
  <c r="E32" i="36"/>
  <c r="D32" i="36"/>
  <c r="G28" i="36"/>
  <c r="F28" i="36"/>
  <c r="E28" i="36"/>
  <c r="D28" i="36"/>
  <c r="G24" i="36"/>
  <c r="E24" i="36"/>
  <c r="F24" i="36"/>
  <c r="D24" i="36"/>
  <c r="G20" i="36"/>
  <c r="F20" i="36"/>
  <c r="E20" i="36"/>
  <c r="D20" i="36"/>
  <c r="G16" i="36"/>
  <c r="F16" i="36"/>
  <c r="E16" i="36"/>
  <c r="D16" i="36"/>
  <c r="G12" i="36"/>
  <c r="F12" i="36"/>
  <c r="E12" i="36"/>
  <c r="D12" i="36"/>
  <c r="G8" i="36"/>
  <c r="F8" i="36"/>
  <c r="E8" i="36"/>
  <c r="D8" i="36"/>
  <c r="G4" i="36"/>
  <c r="F4" i="36"/>
  <c r="E4" i="36"/>
  <c r="D4" i="36"/>
  <c r="G1533" i="36"/>
  <c r="F1533" i="36"/>
  <c r="E1533" i="36"/>
  <c r="D1533" i="36"/>
  <c r="G1525" i="36"/>
  <c r="F1525" i="36"/>
  <c r="E1525" i="36"/>
  <c r="D1525" i="36"/>
  <c r="G1513" i="36"/>
  <c r="F1513" i="36"/>
  <c r="E1513" i="36"/>
  <c r="D1513" i="36"/>
  <c r="G1501" i="36"/>
  <c r="F1501" i="36"/>
  <c r="E1501" i="36"/>
  <c r="D1501" i="36"/>
  <c r="G1489" i="36"/>
  <c r="F1489" i="36"/>
  <c r="E1489" i="36"/>
  <c r="D1489" i="36"/>
  <c r="G1477" i="36"/>
  <c r="F1477" i="36"/>
  <c r="E1477" i="36"/>
  <c r="D1477" i="36"/>
  <c r="G1465" i="36"/>
  <c r="F1465" i="36"/>
  <c r="E1465" i="36"/>
  <c r="D1465" i="36"/>
  <c r="G1453" i="36"/>
  <c r="F1453" i="36"/>
  <c r="E1453" i="36"/>
  <c r="D1453" i="36"/>
  <c r="G1441" i="36"/>
  <c r="F1441" i="36"/>
  <c r="E1441" i="36"/>
  <c r="D1441" i="36"/>
  <c r="G1429" i="36"/>
  <c r="F1429" i="36"/>
  <c r="E1429" i="36"/>
  <c r="D1429" i="36"/>
  <c r="G1417" i="36"/>
  <c r="F1417" i="36"/>
  <c r="E1417" i="36"/>
  <c r="D1417" i="36"/>
  <c r="G1409" i="36"/>
  <c r="F1409" i="36"/>
  <c r="E1409" i="36"/>
  <c r="D1409" i="36"/>
  <c r="G1397" i="36"/>
  <c r="F1397" i="36"/>
  <c r="E1397" i="36"/>
  <c r="D1397" i="36"/>
  <c r="G1385" i="36"/>
  <c r="F1385" i="36"/>
  <c r="E1385" i="36"/>
  <c r="D1385" i="36"/>
  <c r="G1373" i="36"/>
  <c r="F1373" i="36"/>
  <c r="E1373" i="36"/>
  <c r="D1373" i="36"/>
  <c r="G1361" i="36"/>
  <c r="F1361" i="36"/>
  <c r="E1361" i="36"/>
  <c r="D1361" i="36"/>
  <c r="G1353" i="36"/>
  <c r="F1353" i="36"/>
  <c r="E1353" i="36"/>
  <c r="D1353" i="36"/>
  <c r="G1341" i="36"/>
  <c r="F1341" i="36"/>
  <c r="E1341" i="36"/>
  <c r="D1341" i="36"/>
  <c r="G1329" i="36"/>
  <c r="F1329" i="36"/>
  <c r="E1329" i="36"/>
  <c r="D1329" i="36"/>
  <c r="G1313" i="36"/>
  <c r="F1313" i="36"/>
  <c r="E1313" i="36"/>
  <c r="D1313" i="36"/>
  <c r="G1301" i="36"/>
  <c r="F1301" i="36"/>
  <c r="E1301" i="36"/>
  <c r="D1301" i="36"/>
  <c r="G1289" i="36"/>
  <c r="F1289" i="36"/>
  <c r="E1289" i="36"/>
  <c r="D1289" i="36"/>
  <c r="G1277" i="36"/>
  <c r="F1277" i="36"/>
  <c r="E1277" i="36"/>
  <c r="D1277" i="36"/>
  <c r="G1269" i="36"/>
  <c r="F1269" i="36"/>
  <c r="E1269" i="36"/>
  <c r="D1269" i="36"/>
  <c r="G1253" i="36"/>
  <c r="F1253" i="36"/>
  <c r="E1253" i="36"/>
  <c r="D1253" i="36"/>
  <c r="G1241" i="36"/>
  <c r="F1241" i="36"/>
  <c r="E1241" i="36"/>
  <c r="D1241" i="36"/>
  <c r="G1229" i="36"/>
  <c r="F1229" i="36"/>
  <c r="E1229" i="36"/>
  <c r="D1229" i="36"/>
  <c r="G1217" i="36"/>
  <c r="F1217" i="36"/>
  <c r="E1217" i="36"/>
  <c r="D1217" i="36"/>
  <c r="G1205" i="36"/>
  <c r="F1205" i="36"/>
  <c r="E1205" i="36"/>
  <c r="D1205" i="36"/>
  <c r="G1197" i="36"/>
  <c r="F1197" i="36"/>
  <c r="E1197" i="36"/>
  <c r="D1197" i="36"/>
  <c r="G1185" i="36"/>
  <c r="F1185" i="36"/>
  <c r="E1185" i="36"/>
  <c r="D1185" i="36"/>
  <c r="G1177" i="36"/>
  <c r="F1177" i="36"/>
  <c r="E1177" i="36"/>
  <c r="D1177" i="36"/>
  <c r="G1161" i="36"/>
  <c r="F1161" i="36"/>
  <c r="E1161" i="36"/>
  <c r="D1161" i="36"/>
  <c r="G1153" i="36"/>
  <c r="F1153" i="36"/>
  <c r="E1153" i="36"/>
  <c r="D1153" i="36"/>
  <c r="G1141" i="36"/>
  <c r="F1141" i="36"/>
  <c r="E1141" i="36"/>
  <c r="D1141" i="36"/>
  <c r="G1129" i="36"/>
  <c r="F1129" i="36"/>
  <c r="E1129" i="36"/>
  <c r="D1129" i="36"/>
  <c r="G1113" i="36"/>
  <c r="F1113" i="36"/>
  <c r="E1113" i="36"/>
  <c r="D1113" i="36"/>
  <c r="G1101" i="36"/>
  <c r="F1101" i="36"/>
  <c r="E1101" i="36"/>
  <c r="D1101" i="36"/>
  <c r="G1089" i="36"/>
  <c r="F1089" i="36"/>
  <c r="E1089" i="36"/>
  <c r="D1089" i="36"/>
  <c r="G1077" i="36"/>
  <c r="F1077" i="36"/>
  <c r="E1077" i="36"/>
  <c r="D1077" i="36"/>
  <c r="G1073" i="36"/>
  <c r="F1073" i="36"/>
  <c r="E1073" i="36"/>
  <c r="D1073" i="36"/>
  <c r="G1061" i="36"/>
  <c r="F1061" i="36"/>
  <c r="E1061" i="36"/>
  <c r="D1061" i="36"/>
  <c r="G1049" i="36"/>
  <c r="F1049" i="36"/>
  <c r="E1049" i="36"/>
  <c r="D1049" i="36"/>
  <c r="G1037" i="36"/>
  <c r="F1037" i="36"/>
  <c r="E1037" i="36"/>
  <c r="D1037" i="36"/>
  <c r="G1025" i="36"/>
  <c r="F1025" i="36"/>
  <c r="E1025" i="36"/>
  <c r="D1025" i="36"/>
  <c r="G1009" i="36"/>
  <c r="F1009" i="36"/>
  <c r="E1009" i="36"/>
  <c r="D1009" i="36"/>
  <c r="G997" i="36"/>
  <c r="F997" i="36"/>
  <c r="E997" i="36"/>
  <c r="D997" i="36"/>
  <c r="G989" i="36"/>
  <c r="F989" i="36"/>
  <c r="E989" i="36"/>
  <c r="D989" i="36"/>
  <c r="G977" i="36"/>
  <c r="F977" i="36"/>
  <c r="E977" i="36"/>
  <c r="D977" i="36"/>
  <c r="G965" i="36"/>
  <c r="F965" i="36"/>
  <c r="E965" i="36"/>
  <c r="D965" i="36"/>
  <c r="G953" i="36"/>
  <c r="F953" i="36"/>
  <c r="E953" i="36"/>
  <c r="D953" i="36"/>
  <c r="G941" i="36"/>
  <c r="F941" i="36"/>
  <c r="E941" i="36"/>
  <c r="D941" i="36"/>
  <c r="G933" i="36"/>
  <c r="F933" i="36"/>
  <c r="E933" i="36"/>
  <c r="D933" i="36"/>
  <c r="G925" i="36"/>
  <c r="F925" i="36"/>
  <c r="E925" i="36"/>
  <c r="D925" i="36"/>
  <c r="G913" i="36"/>
  <c r="F913" i="36"/>
  <c r="E913" i="36"/>
  <c r="D913" i="36"/>
  <c r="G901" i="36"/>
  <c r="F901" i="36"/>
  <c r="E901" i="36"/>
  <c r="D901" i="36"/>
  <c r="G889" i="36"/>
  <c r="F889" i="36"/>
  <c r="E889" i="36"/>
  <c r="D889" i="36"/>
  <c r="G877" i="36"/>
  <c r="F877" i="36"/>
  <c r="E877" i="36"/>
  <c r="D877" i="36"/>
  <c r="G865" i="36"/>
  <c r="F865" i="36"/>
  <c r="E865" i="36"/>
  <c r="D865" i="36"/>
  <c r="G857" i="36"/>
  <c r="F857" i="36"/>
  <c r="E857" i="36"/>
  <c r="D857" i="36"/>
  <c r="G845" i="36"/>
  <c r="F845" i="36"/>
  <c r="E845" i="36"/>
  <c r="D845" i="36"/>
  <c r="G833" i="36"/>
  <c r="F833" i="36"/>
  <c r="E833" i="36"/>
  <c r="D833" i="36"/>
  <c r="G817" i="36"/>
  <c r="F817" i="36"/>
  <c r="E817" i="36"/>
  <c r="D817" i="36"/>
  <c r="G805" i="36"/>
  <c r="F805" i="36"/>
  <c r="E805" i="36"/>
  <c r="D805" i="36"/>
  <c r="G793" i="36"/>
  <c r="F793" i="36"/>
  <c r="E793" i="36"/>
  <c r="D793" i="36"/>
  <c r="G785" i="36"/>
  <c r="F785" i="36"/>
  <c r="E785" i="36"/>
  <c r="D785" i="36"/>
  <c r="G773" i="36"/>
  <c r="F773" i="36"/>
  <c r="E773" i="36"/>
  <c r="D773" i="36"/>
  <c r="G761" i="36"/>
  <c r="F761" i="36"/>
  <c r="E761" i="36"/>
  <c r="D761" i="36"/>
  <c r="G749" i="36"/>
  <c r="F749" i="36"/>
  <c r="E749" i="36"/>
  <c r="D749" i="36"/>
  <c r="G737" i="36"/>
  <c r="F737" i="36"/>
  <c r="E737" i="36"/>
  <c r="D737" i="36"/>
  <c r="G729" i="36"/>
  <c r="F729" i="36"/>
  <c r="E729" i="36"/>
  <c r="D729" i="36"/>
  <c r="G721" i="36"/>
  <c r="F721" i="36"/>
  <c r="E721" i="36"/>
  <c r="D721" i="36"/>
  <c r="G709" i="36"/>
  <c r="F709" i="36"/>
  <c r="E709" i="36"/>
  <c r="D709" i="36"/>
  <c r="G693" i="36"/>
  <c r="F693" i="36"/>
  <c r="E693" i="36"/>
  <c r="D693" i="36"/>
  <c r="G681" i="36"/>
  <c r="F681" i="36"/>
  <c r="E681" i="36"/>
  <c r="D681" i="36"/>
  <c r="G669" i="36"/>
  <c r="F669" i="36"/>
  <c r="E669" i="36"/>
  <c r="D669" i="36"/>
  <c r="G657" i="36"/>
  <c r="F657" i="36"/>
  <c r="E657" i="36"/>
  <c r="D657" i="36"/>
  <c r="G645" i="36"/>
  <c r="F645" i="36"/>
  <c r="E645" i="36"/>
  <c r="D645" i="36"/>
  <c r="G641" i="36"/>
  <c r="F641" i="36"/>
  <c r="E641" i="36"/>
  <c r="D641" i="36"/>
  <c r="F629" i="36"/>
  <c r="G629" i="36"/>
  <c r="E629" i="36"/>
  <c r="D629" i="36"/>
  <c r="G617" i="36"/>
  <c r="F617" i="36"/>
  <c r="E617" i="36"/>
  <c r="D617" i="36"/>
  <c r="G605" i="36"/>
  <c r="F605" i="36"/>
  <c r="E605" i="36"/>
  <c r="D605" i="36"/>
  <c r="G593" i="36"/>
  <c r="F593" i="36"/>
  <c r="E593" i="36"/>
  <c r="D593" i="36"/>
  <c r="G581" i="36"/>
  <c r="F581" i="36"/>
  <c r="E581" i="36"/>
  <c r="D581" i="36"/>
  <c r="G569" i="36"/>
  <c r="F569" i="36"/>
  <c r="E569" i="36"/>
  <c r="D569" i="36"/>
  <c r="G557" i="36"/>
  <c r="F557" i="36"/>
  <c r="E557" i="36"/>
  <c r="D557" i="36"/>
  <c r="G545" i="36"/>
  <c r="F545" i="36"/>
  <c r="E545" i="36"/>
  <c r="D545" i="36"/>
  <c r="G529" i="36"/>
  <c r="F529" i="36"/>
  <c r="E529" i="36"/>
  <c r="D529" i="36"/>
  <c r="G525" i="36"/>
  <c r="F525" i="36"/>
  <c r="E525" i="36"/>
  <c r="D525" i="36"/>
  <c r="G513" i="36"/>
  <c r="F513" i="36"/>
  <c r="E513" i="36"/>
  <c r="D513" i="36"/>
  <c r="G497" i="36"/>
  <c r="F497" i="36"/>
  <c r="E497" i="36"/>
  <c r="D497" i="36"/>
  <c r="G485" i="36"/>
  <c r="F485" i="36"/>
  <c r="E485" i="36"/>
  <c r="D485" i="36"/>
  <c r="G473" i="36"/>
  <c r="F473" i="36"/>
  <c r="E473" i="36"/>
  <c r="D473" i="36"/>
  <c r="G465" i="36"/>
  <c r="F465" i="36"/>
  <c r="E465" i="36"/>
  <c r="D465" i="36"/>
  <c r="G453" i="36"/>
  <c r="F453" i="36"/>
  <c r="E453" i="36"/>
  <c r="D453" i="36"/>
  <c r="G441" i="36"/>
  <c r="F441" i="36"/>
  <c r="E441" i="36"/>
  <c r="D441" i="36"/>
  <c r="G429" i="36"/>
  <c r="F429" i="36"/>
  <c r="E429" i="36"/>
  <c r="D429" i="36"/>
  <c r="G421" i="36"/>
  <c r="F421" i="36"/>
  <c r="E421" i="36"/>
  <c r="D421" i="36"/>
  <c r="G409" i="36"/>
  <c r="F409" i="36"/>
  <c r="E409" i="36"/>
  <c r="D409" i="36"/>
  <c r="G393" i="36"/>
  <c r="F393" i="36"/>
  <c r="E393" i="36"/>
  <c r="D393" i="36"/>
  <c r="G381" i="36"/>
  <c r="F381" i="36"/>
  <c r="E381" i="36"/>
  <c r="D381" i="36"/>
  <c r="G369" i="36"/>
  <c r="F369" i="36"/>
  <c r="E369" i="36"/>
  <c r="D369" i="36"/>
  <c r="G357" i="36"/>
  <c r="F357" i="36"/>
  <c r="E357" i="36"/>
  <c r="D357" i="36"/>
  <c r="G345" i="36"/>
  <c r="F345" i="36"/>
  <c r="E345" i="36"/>
  <c r="D345" i="36"/>
  <c r="G333" i="36"/>
  <c r="F333" i="36"/>
  <c r="E333" i="36"/>
  <c r="D333" i="36"/>
  <c r="G321" i="36"/>
  <c r="F321" i="36"/>
  <c r="E321" i="36"/>
  <c r="D321" i="36"/>
  <c r="G313" i="36"/>
  <c r="F313" i="36"/>
  <c r="E313" i="36"/>
  <c r="D313" i="36"/>
  <c r="G301" i="36"/>
  <c r="F301" i="36"/>
  <c r="E301" i="36"/>
  <c r="D301" i="36"/>
  <c r="G289" i="36"/>
  <c r="F289" i="36"/>
  <c r="E289" i="36"/>
  <c r="D289" i="36"/>
  <c r="G277" i="36"/>
  <c r="F277" i="36"/>
  <c r="E277" i="36"/>
  <c r="D277" i="36"/>
  <c r="G265" i="36"/>
  <c r="F265" i="36"/>
  <c r="E265" i="36"/>
  <c r="D265" i="36"/>
  <c r="G253" i="36"/>
  <c r="F253" i="36"/>
  <c r="E253" i="36"/>
  <c r="D253" i="36"/>
  <c r="G245" i="36"/>
  <c r="F245" i="36"/>
  <c r="E245" i="36"/>
  <c r="D245" i="36"/>
  <c r="G233" i="36"/>
  <c r="F233" i="36"/>
  <c r="E233" i="36"/>
  <c r="D233" i="36"/>
  <c r="G221" i="36"/>
  <c r="F221" i="36"/>
  <c r="E221" i="36"/>
  <c r="D221" i="36"/>
  <c r="G213" i="36"/>
  <c r="F213" i="36"/>
  <c r="E213" i="36"/>
  <c r="D213" i="36"/>
  <c r="G205" i="36"/>
  <c r="F205" i="36"/>
  <c r="E205" i="36"/>
  <c r="D205" i="36"/>
  <c r="G193" i="36"/>
  <c r="F193" i="36"/>
  <c r="E193" i="36"/>
  <c r="D193" i="36"/>
  <c r="G181" i="36"/>
  <c r="F181" i="36"/>
  <c r="E181" i="36"/>
  <c r="D181" i="36"/>
  <c r="G169" i="36"/>
  <c r="F169" i="36"/>
  <c r="E169" i="36"/>
  <c r="D169" i="36"/>
  <c r="G157" i="36"/>
  <c r="F157" i="36"/>
  <c r="E157" i="36"/>
  <c r="D157" i="36"/>
  <c r="G141" i="36"/>
  <c r="F141" i="36"/>
  <c r="E141" i="36"/>
  <c r="D141" i="36"/>
  <c r="G129" i="36"/>
  <c r="F129" i="36"/>
  <c r="E129" i="36"/>
  <c r="D129" i="36"/>
  <c r="G117" i="36"/>
  <c r="F117" i="36"/>
  <c r="E117" i="36"/>
  <c r="D117" i="36"/>
  <c r="G105" i="36"/>
  <c r="F105" i="36"/>
  <c r="E105" i="36"/>
  <c r="D105" i="36"/>
  <c r="G97" i="36"/>
  <c r="F97" i="36"/>
  <c r="E97" i="36"/>
  <c r="D97" i="36"/>
  <c r="G85" i="36"/>
  <c r="F85" i="36"/>
  <c r="E85" i="36"/>
  <c r="D85" i="36"/>
  <c r="G69" i="36"/>
  <c r="F69" i="36"/>
  <c r="E69" i="36"/>
  <c r="D69" i="36"/>
  <c r="G57" i="36"/>
  <c r="F57" i="36"/>
  <c r="E57" i="36"/>
  <c r="D57" i="36"/>
  <c r="G53" i="36"/>
  <c r="F53" i="36"/>
  <c r="E53" i="36"/>
  <c r="D53" i="36"/>
  <c r="G33" i="36"/>
  <c r="F33" i="36"/>
  <c r="E33" i="36"/>
  <c r="D33" i="36"/>
  <c r="G2060" i="36"/>
  <c r="F2060" i="36"/>
  <c r="E2060" i="36"/>
  <c r="D2060" i="36"/>
  <c r="G2048" i="36"/>
  <c r="F2048" i="36"/>
  <c r="E2048" i="36"/>
  <c r="D2048" i="36"/>
  <c r="G2036" i="36"/>
  <c r="F2036" i="36"/>
  <c r="E2036" i="36"/>
  <c r="D2036" i="36"/>
  <c r="G2024" i="36"/>
  <c r="F2024" i="36"/>
  <c r="E2024" i="36"/>
  <c r="D2024" i="36"/>
  <c r="G2012" i="36"/>
  <c r="F2012" i="36"/>
  <c r="E2012" i="36"/>
  <c r="D2012" i="36"/>
  <c r="G2000" i="36"/>
  <c r="F2000" i="36"/>
  <c r="E2000" i="36"/>
  <c r="D2000" i="36"/>
  <c r="G1988" i="36"/>
  <c r="F1988" i="36"/>
  <c r="E1988" i="36"/>
  <c r="D1988" i="36"/>
  <c r="G1976" i="36"/>
  <c r="F1976" i="36"/>
  <c r="E1976" i="36"/>
  <c r="D1976" i="36"/>
  <c r="G1964" i="36"/>
  <c r="F1964" i="36"/>
  <c r="E1964" i="36"/>
  <c r="D1964" i="36"/>
  <c r="G1952" i="36"/>
  <c r="F1952" i="36"/>
  <c r="E1952" i="36"/>
  <c r="D1952" i="36"/>
  <c r="G1944" i="36"/>
  <c r="F1944" i="36"/>
  <c r="E1944" i="36"/>
  <c r="D1944" i="36"/>
  <c r="G1932" i="36"/>
  <c r="F1932" i="36"/>
  <c r="E1932" i="36"/>
  <c r="D1932" i="36"/>
  <c r="G1920" i="36"/>
  <c r="F1920" i="36"/>
  <c r="E1920" i="36"/>
  <c r="D1920" i="36"/>
  <c r="G1908" i="36"/>
  <c r="F1908" i="36"/>
  <c r="E1908" i="36"/>
  <c r="D1908" i="36"/>
  <c r="G1896" i="36"/>
  <c r="F1896" i="36"/>
  <c r="E1896" i="36"/>
  <c r="D1896" i="36"/>
  <c r="G1888" i="36"/>
  <c r="F1888" i="36"/>
  <c r="E1888" i="36"/>
  <c r="D1888" i="36"/>
  <c r="G1880" i="36"/>
  <c r="F1880" i="36"/>
  <c r="E1880" i="36"/>
  <c r="D1880" i="36"/>
  <c r="G1868" i="36"/>
  <c r="F1868" i="36"/>
  <c r="E1868" i="36"/>
  <c r="D1868" i="36"/>
  <c r="G1856" i="36"/>
  <c r="F1856" i="36"/>
  <c r="E1856" i="36"/>
  <c r="D1856" i="36"/>
  <c r="G1844" i="36"/>
  <c r="F1844" i="36"/>
  <c r="E1844" i="36"/>
  <c r="D1844" i="36"/>
  <c r="G1832" i="36"/>
  <c r="F1832" i="36"/>
  <c r="E1832" i="36"/>
  <c r="D1832" i="36"/>
  <c r="G1824" i="36"/>
  <c r="F1824" i="36"/>
  <c r="E1824" i="36"/>
  <c r="D1824" i="36"/>
  <c r="G1812" i="36"/>
  <c r="E1812" i="36"/>
  <c r="F1812" i="36"/>
  <c r="D1812" i="36"/>
  <c r="G1804" i="36"/>
  <c r="F1804" i="36"/>
  <c r="E1804" i="36"/>
  <c r="D1804" i="36"/>
  <c r="G1792" i="36"/>
  <c r="F1792" i="36"/>
  <c r="E1792" i="36"/>
  <c r="D1792" i="36"/>
  <c r="G1780" i="36"/>
  <c r="F1780" i="36"/>
  <c r="E1780" i="36"/>
  <c r="D1780" i="36"/>
  <c r="G1768" i="36"/>
  <c r="F1768" i="36"/>
  <c r="E1768" i="36"/>
  <c r="D1768" i="36"/>
  <c r="G1760" i="36"/>
  <c r="F1760" i="36"/>
  <c r="E1760" i="36"/>
  <c r="D1760" i="36"/>
  <c r="G1748" i="36"/>
  <c r="E1748" i="36"/>
  <c r="F1748" i="36"/>
  <c r="D1748" i="36"/>
  <c r="G1736" i="36"/>
  <c r="F1736" i="36"/>
  <c r="E1736" i="36"/>
  <c r="D1736" i="36"/>
  <c r="G1724" i="36"/>
  <c r="F1724" i="36"/>
  <c r="E1724" i="36"/>
  <c r="D1724" i="36"/>
  <c r="G1712" i="36"/>
  <c r="F1712" i="36"/>
  <c r="E1712" i="36"/>
  <c r="D1712" i="36"/>
  <c r="G1704" i="36"/>
  <c r="F1704" i="36"/>
  <c r="E1704" i="36"/>
  <c r="D1704" i="36"/>
  <c r="G1692" i="36"/>
  <c r="F1692" i="36"/>
  <c r="E1692" i="36"/>
  <c r="D1692" i="36"/>
  <c r="G1680" i="36"/>
  <c r="F1680" i="36"/>
  <c r="E1680" i="36"/>
  <c r="D1680" i="36"/>
  <c r="G1668" i="36"/>
  <c r="F1668" i="36"/>
  <c r="E1668" i="36"/>
  <c r="D1668" i="36"/>
  <c r="G1660" i="36"/>
  <c r="F1660" i="36"/>
  <c r="E1660" i="36"/>
  <c r="D1660" i="36"/>
  <c r="G1648" i="36"/>
  <c r="F1648" i="36"/>
  <c r="E1648" i="36"/>
  <c r="D1648" i="36"/>
  <c r="G1636" i="36"/>
  <c r="F1636" i="36"/>
  <c r="E1636" i="36"/>
  <c r="D1636" i="36"/>
  <c r="G1620" i="36"/>
  <c r="E1620" i="36"/>
  <c r="F1620" i="36"/>
  <c r="D1620" i="36"/>
  <c r="G1608" i="36"/>
  <c r="F1608" i="36"/>
  <c r="E1608" i="36"/>
  <c r="D1608" i="36"/>
  <c r="G1596" i="36"/>
  <c r="F1596" i="36"/>
  <c r="E1596" i="36"/>
  <c r="D1596" i="36"/>
  <c r="G1584" i="36"/>
  <c r="F1584" i="36"/>
  <c r="E1584" i="36"/>
  <c r="D1584" i="36"/>
  <c r="G1572" i="36"/>
  <c r="F1572" i="36"/>
  <c r="E1572" i="36"/>
  <c r="D1572" i="36"/>
  <c r="G1560" i="36"/>
  <c r="F1560" i="36"/>
  <c r="E1560" i="36"/>
  <c r="D1560" i="36"/>
  <c r="G1548" i="36"/>
  <c r="F1548" i="36"/>
  <c r="E1548" i="36"/>
  <c r="D1548" i="36"/>
  <c r="G1536" i="36"/>
  <c r="F1536" i="36"/>
  <c r="E1536" i="36"/>
  <c r="D1536" i="36"/>
  <c r="G1524" i="36"/>
  <c r="E1524" i="36"/>
  <c r="F1524" i="36"/>
  <c r="D1524" i="36"/>
  <c r="G1516" i="36"/>
  <c r="F1516" i="36"/>
  <c r="E1516" i="36"/>
  <c r="D1516" i="36"/>
  <c r="G1504" i="36"/>
  <c r="F1504" i="36"/>
  <c r="E1504" i="36"/>
  <c r="D1504" i="36"/>
  <c r="G1496" i="36"/>
  <c r="F1496" i="36"/>
  <c r="E1496" i="36"/>
  <c r="D1496" i="36"/>
  <c r="G1480" i="36"/>
  <c r="F1480" i="36"/>
  <c r="E1480" i="36"/>
  <c r="D1480" i="36"/>
  <c r="G1468" i="36"/>
  <c r="F1468" i="36"/>
  <c r="E1468" i="36"/>
  <c r="D1468" i="36"/>
  <c r="G1456" i="36"/>
  <c r="F1456" i="36"/>
  <c r="E1456" i="36"/>
  <c r="D1456" i="36"/>
  <c r="G1444" i="36"/>
  <c r="F1444" i="36"/>
  <c r="E1444" i="36"/>
  <c r="D1444" i="36"/>
  <c r="G1436" i="36"/>
  <c r="F1436" i="36"/>
  <c r="E1436" i="36"/>
  <c r="D1436" i="36"/>
  <c r="G1420" i="36"/>
  <c r="F1420" i="36"/>
  <c r="E1420" i="36"/>
  <c r="D1420" i="36"/>
  <c r="G1408" i="36"/>
  <c r="F1408" i="36"/>
  <c r="E1408" i="36"/>
  <c r="D1408" i="36"/>
  <c r="G1400" i="36"/>
  <c r="F1400" i="36"/>
  <c r="E1400" i="36"/>
  <c r="D1400" i="36"/>
  <c r="G1384" i="36"/>
  <c r="F1384" i="36"/>
  <c r="E1384" i="36"/>
  <c r="D1384" i="36"/>
  <c r="G1372" i="36"/>
  <c r="F1372" i="36"/>
  <c r="E1372" i="36"/>
  <c r="D1372" i="36"/>
  <c r="G1360" i="36"/>
  <c r="F1360" i="36"/>
  <c r="E1360" i="36"/>
  <c r="D1360" i="36"/>
  <c r="G1348" i="36"/>
  <c r="F1348" i="36"/>
  <c r="E1348" i="36"/>
  <c r="D1348" i="36"/>
  <c r="G1340" i="36"/>
  <c r="F1340" i="36"/>
  <c r="E1340" i="36"/>
  <c r="D1340" i="36"/>
  <c r="G1328" i="36"/>
  <c r="F1328" i="36"/>
  <c r="E1328" i="36"/>
  <c r="D1328" i="36"/>
  <c r="G1316" i="36"/>
  <c r="F1316" i="36"/>
  <c r="D1316" i="36"/>
  <c r="E1316" i="36"/>
  <c r="G1304" i="36"/>
  <c r="F1304" i="36"/>
  <c r="E1304" i="36"/>
  <c r="D1304" i="36"/>
  <c r="G1292" i="36"/>
  <c r="F1292" i="36"/>
  <c r="E1292" i="36"/>
  <c r="D1292" i="36"/>
  <c r="G1284" i="36"/>
  <c r="F1284" i="36"/>
  <c r="E1284" i="36"/>
  <c r="D1284" i="36"/>
  <c r="G1276" i="36"/>
  <c r="F1276" i="36"/>
  <c r="E1276" i="36"/>
  <c r="D1276" i="36"/>
  <c r="G1264" i="36"/>
  <c r="F1264" i="36"/>
  <c r="E1264" i="36"/>
  <c r="D1264" i="36"/>
  <c r="G1256" i="36"/>
  <c r="F1256" i="36"/>
  <c r="E1256" i="36"/>
  <c r="D1256" i="36"/>
  <c r="G1248" i="36"/>
  <c r="F1248" i="36"/>
  <c r="E1248" i="36"/>
  <c r="D1248" i="36"/>
  <c r="G1240" i="36"/>
  <c r="F1240" i="36"/>
  <c r="E1240" i="36"/>
  <c r="D1240" i="36"/>
  <c r="G1232" i="36"/>
  <c r="F1232" i="36"/>
  <c r="E1232" i="36"/>
  <c r="D1232" i="36"/>
  <c r="G1164" i="36"/>
  <c r="F1164" i="36"/>
  <c r="E1164" i="36"/>
  <c r="D1164" i="36"/>
  <c r="G2063" i="36"/>
  <c r="F2063" i="36"/>
  <c r="E2063" i="36"/>
  <c r="D2063" i="36"/>
  <c r="G2055" i="36"/>
  <c r="F2055" i="36"/>
  <c r="E2055" i="36"/>
  <c r="D2055" i="36"/>
  <c r="G2047" i="36"/>
  <c r="F2047" i="36"/>
  <c r="E2047" i="36"/>
  <c r="D2047" i="36"/>
  <c r="G2039" i="36"/>
  <c r="F2039" i="36"/>
  <c r="E2039" i="36"/>
  <c r="D2039" i="36"/>
  <c r="G2027" i="36"/>
  <c r="F2027" i="36"/>
  <c r="E2027" i="36"/>
  <c r="D2027" i="36"/>
  <c r="G2019" i="36"/>
  <c r="F2019" i="36"/>
  <c r="E2019" i="36"/>
  <c r="D2019" i="36"/>
  <c r="G2011" i="36"/>
  <c r="F2011" i="36"/>
  <c r="E2011" i="36"/>
  <c r="D2011" i="36"/>
  <c r="G1999" i="36"/>
  <c r="F1999" i="36"/>
  <c r="E1999" i="36"/>
  <c r="D1999" i="36"/>
  <c r="G1991" i="36"/>
  <c r="F1991" i="36"/>
  <c r="E1991" i="36"/>
  <c r="D1991" i="36"/>
  <c r="G1983" i="36"/>
  <c r="F1983" i="36"/>
  <c r="E1983" i="36"/>
  <c r="D1983" i="36"/>
  <c r="G1971" i="36"/>
  <c r="F1971" i="36"/>
  <c r="E1971" i="36"/>
  <c r="D1971" i="36"/>
  <c r="G1959" i="36"/>
  <c r="F1959" i="36"/>
  <c r="E1959" i="36"/>
  <c r="D1959" i="36"/>
  <c r="G1951" i="36"/>
  <c r="F1951" i="36"/>
  <c r="E1951" i="36"/>
  <c r="D1951" i="36"/>
  <c r="G1939" i="36"/>
  <c r="F1939" i="36"/>
  <c r="E1939" i="36"/>
  <c r="D1939" i="36"/>
  <c r="G1931" i="36"/>
  <c r="F1931" i="36"/>
  <c r="E1931" i="36"/>
  <c r="D1931" i="36"/>
  <c r="G1923" i="36"/>
  <c r="F1923" i="36"/>
  <c r="E1923" i="36"/>
  <c r="D1923" i="36"/>
  <c r="G1915" i="36"/>
  <c r="F1915" i="36"/>
  <c r="E1915" i="36"/>
  <c r="D1915" i="36"/>
  <c r="G1907" i="36"/>
  <c r="F1907" i="36"/>
  <c r="E1907" i="36"/>
  <c r="D1907" i="36"/>
  <c r="G1895" i="36"/>
  <c r="F1895" i="36"/>
  <c r="E1895" i="36"/>
  <c r="D1895" i="36"/>
  <c r="G1887" i="36"/>
  <c r="F1887" i="36"/>
  <c r="E1887" i="36"/>
  <c r="D1887" i="36"/>
  <c r="G1879" i="36"/>
  <c r="F1879" i="36"/>
  <c r="E1879" i="36"/>
  <c r="D1879" i="36"/>
  <c r="G1871" i="36"/>
  <c r="F1871" i="36"/>
  <c r="E1871" i="36"/>
  <c r="D1871" i="36"/>
  <c r="G1863" i="36"/>
  <c r="F1863" i="36"/>
  <c r="E1863" i="36"/>
  <c r="D1863" i="36"/>
  <c r="G1855" i="36"/>
  <c r="F1855" i="36"/>
  <c r="E1855" i="36"/>
  <c r="D1855" i="36"/>
  <c r="G1843" i="36"/>
  <c r="F1843" i="36"/>
  <c r="E1843" i="36"/>
  <c r="D1843" i="36"/>
  <c r="G1835" i="36"/>
  <c r="F1835" i="36"/>
  <c r="E1835" i="36"/>
  <c r="D1835" i="36"/>
  <c r="G1827" i="36"/>
  <c r="F1827" i="36"/>
  <c r="E1827" i="36"/>
  <c r="D1827" i="36"/>
  <c r="G1819" i="36"/>
  <c r="F1819" i="36"/>
  <c r="E1819" i="36"/>
  <c r="D1819" i="36"/>
  <c r="G1811" i="36"/>
  <c r="F1811" i="36"/>
  <c r="E1811" i="36"/>
  <c r="D1811" i="36"/>
  <c r="G1799" i="36"/>
  <c r="F1799" i="36"/>
  <c r="E1799" i="36"/>
  <c r="D1799" i="36"/>
  <c r="G1791" i="36"/>
  <c r="F1791" i="36"/>
  <c r="E1791" i="36"/>
  <c r="D1791" i="36"/>
  <c r="F1783" i="36"/>
  <c r="G1783" i="36"/>
  <c r="E1783" i="36"/>
  <c r="D1783" i="36"/>
  <c r="G1775" i="36"/>
  <c r="F1775" i="36"/>
  <c r="E1775" i="36"/>
  <c r="D1775" i="36"/>
  <c r="G1767" i="36"/>
  <c r="F1767" i="36"/>
  <c r="E1767" i="36"/>
  <c r="D1767" i="36"/>
  <c r="G1759" i="36"/>
  <c r="F1759" i="36"/>
  <c r="E1759" i="36"/>
  <c r="D1759" i="36"/>
  <c r="G1751" i="36"/>
  <c r="F1751" i="36"/>
  <c r="E1751" i="36"/>
  <c r="D1751" i="36"/>
  <c r="G1743" i="36"/>
  <c r="F1743" i="36"/>
  <c r="E1743" i="36"/>
  <c r="D1743" i="36"/>
  <c r="G1731" i="36"/>
  <c r="F1731" i="36"/>
  <c r="E1731" i="36"/>
  <c r="D1731" i="36"/>
  <c r="G1723" i="36"/>
  <c r="F1723" i="36"/>
  <c r="E1723" i="36"/>
  <c r="D1723" i="36"/>
  <c r="G1715" i="36"/>
  <c r="F1715" i="36"/>
  <c r="E1715" i="36"/>
  <c r="D1715" i="36"/>
  <c r="G1703" i="36"/>
  <c r="F1703" i="36"/>
  <c r="E1703" i="36"/>
  <c r="D1703" i="36"/>
  <c r="G1691" i="36"/>
  <c r="F1691" i="36"/>
  <c r="E1691" i="36"/>
  <c r="D1691" i="36"/>
  <c r="G1683" i="36"/>
  <c r="F1683" i="36"/>
  <c r="E1683" i="36"/>
  <c r="D1683" i="36"/>
  <c r="G1671" i="36"/>
  <c r="F1671" i="36"/>
  <c r="E1671" i="36"/>
  <c r="D1671" i="36"/>
  <c r="G1663" i="36"/>
  <c r="F1663" i="36"/>
  <c r="E1663" i="36"/>
  <c r="D1663" i="36"/>
  <c r="F1655" i="36"/>
  <c r="G1655" i="36"/>
  <c r="E1655" i="36"/>
  <c r="D1655" i="36"/>
  <c r="G1647" i="36"/>
  <c r="F1647" i="36"/>
  <c r="E1647" i="36"/>
  <c r="D1647" i="36"/>
  <c r="G1639" i="36"/>
  <c r="F1639" i="36"/>
  <c r="E1639" i="36"/>
  <c r="D1639" i="36"/>
  <c r="G1627" i="36"/>
  <c r="F1627" i="36"/>
  <c r="E1627" i="36"/>
  <c r="D1627" i="36"/>
  <c r="G1619" i="36"/>
  <c r="F1619" i="36"/>
  <c r="E1619" i="36"/>
  <c r="D1619" i="36"/>
  <c r="G1607" i="36"/>
  <c r="F1607" i="36"/>
  <c r="E1607" i="36"/>
  <c r="D1607" i="36"/>
  <c r="G1599" i="36"/>
  <c r="F1599" i="36"/>
  <c r="E1599" i="36"/>
  <c r="D1599" i="36"/>
  <c r="F1591" i="36"/>
  <c r="G1591" i="36"/>
  <c r="E1591" i="36"/>
  <c r="D1591" i="36"/>
  <c r="G1579" i="36"/>
  <c r="F1579" i="36"/>
  <c r="E1579" i="36"/>
  <c r="D1579" i="36"/>
  <c r="G1571" i="36"/>
  <c r="F1571" i="36"/>
  <c r="E1571" i="36"/>
  <c r="D1571" i="36"/>
  <c r="G1563" i="36"/>
  <c r="F1563" i="36"/>
  <c r="E1563" i="36"/>
  <c r="D1563" i="36"/>
  <c r="G1555" i="36"/>
  <c r="F1555" i="36"/>
  <c r="E1555" i="36"/>
  <c r="D1555" i="36"/>
  <c r="G1547" i="36"/>
  <c r="F1547" i="36"/>
  <c r="E1547" i="36"/>
  <c r="D1547" i="36"/>
  <c r="G1539" i="36"/>
  <c r="F1539" i="36"/>
  <c r="E1539" i="36"/>
  <c r="D1539" i="36"/>
  <c r="F1527" i="36"/>
  <c r="G1527" i="36"/>
  <c r="E1527" i="36"/>
  <c r="D1527" i="36"/>
  <c r="G1519" i="36"/>
  <c r="F1519" i="36"/>
  <c r="E1519" i="36"/>
  <c r="D1519" i="36"/>
  <c r="G1511" i="36"/>
  <c r="F1511" i="36"/>
  <c r="E1511" i="36"/>
  <c r="D1511" i="36"/>
  <c r="G1503" i="36"/>
  <c r="F1503" i="36"/>
  <c r="E1503" i="36"/>
  <c r="D1503" i="36"/>
  <c r="G1491" i="36"/>
  <c r="F1491" i="36"/>
  <c r="E1491" i="36"/>
  <c r="D1491" i="36"/>
  <c r="G1487" i="36"/>
  <c r="F1487" i="36"/>
  <c r="E1487" i="36"/>
  <c r="D1487" i="36"/>
  <c r="G1479" i="36"/>
  <c r="F1479" i="36"/>
  <c r="E1479" i="36"/>
  <c r="D1479" i="36"/>
  <c r="G1475" i="36"/>
  <c r="F1475" i="36"/>
  <c r="E1475" i="36"/>
  <c r="D1475" i="36"/>
  <c r="G1471" i="36"/>
  <c r="F1471" i="36"/>
  <c r="E1471" i="36"/>
  <c r="D1471" i="36"/>
  <c r="G1467" i="36"/>
  <c r="F1467" i="36"/>
  <c r="E1467" i="36"/>
  <c r="D1467" i="36"/>
  <c r="F1463" i="36"/>
  <c r="G1463" i="36"/>
  <c r="E1463" i="36"/>
  <c r="D1463" i="36"/>
  <c r="G1459" i="36"/>
  <c r="F1459" i="36"/>
  <c r="E1459" i="36"/>
  <c r="D1459" i="36"/>
  <c r="G1455" i="36"/>
  <c r="F1455" i="36"/>
  <c r="E1455" i="36"/>
  <c r="D1455" i="36"/>
  <c r="G1451" i="36"/>
  <c r="F1451" i="36"/>
  <c r="E1451" i="36"/>
  <c r="D1451" i="36"/>
  <c r="G1447" i="36"/>
  <c r="F1447" i="36"/>
  <c r="E1447" i="36"/>
  <c r="D1447" i="36"/>
  <c r="G1443" i="36"/>
  <c r="F1443" i="36"/>
  <c r="E1443" i="36"/>
  <c r="D1443" i="36"/>
  <c r="G1435" i="36"/>
  <c r="F1435" i="36"/>
  <c r="E1435" i="36"/>
  <c r="D1435" i="36"/>
  <c r="G1431" i="36"/>
  <c r="F1431" i="36"/>
  <c r="E1431" i="36"/>
  <c r="D1431" i="36"/>
  <c r="G1427" i="36"/>
  <c r="F1427" i="36"/>
  <c r="E1427" i="36"/>
  <c r="D1427" i="36"/>
  <c r="G1423" i="36"/>
  <c r="F1423" i="36"/>
  <c r="E1423" i="36"/>
  <c r="D1423" i="36"/>
  <c r="G1419" i="36"/>
  <c r="F1419" i="36"/>
  <c r="E1419" i="36"/>
  <c r="D1419" i="36"/>
  <c r="G1415" i="36"/>
  <c r="F1415" i="36"/>
  <c r="E1415" i="36"/>
  <c r="D1415" i="36"/>
  <c r="G1411" i="36"/>
  <c r="F1411" i="36"/>
  <c r="E1411" i="36"/>
  <c r="D1411" i="36"/>
  <c r="G1407" i="36"/>
  <c r="F1407" i="36"/>
  <c r="E1407" i="36"/>
  <c r="D1407" i="36"/>
  <c r="G1403" i="36"/>
  <c r="F1403" i="36"/>
  <c r="E1403" i="36"/>
  <c r="D1403" i="36"/>
  <c r="G1399" i="36"/>
  <c r="F1399" i="36"/>
  <c r="E1399" i="36"/>
  <c r="D1399" i="36"/>
  <c r="G1395" i="36"/>
  <c r="F1395" i="36"/>
  <c r="E1395" i="36"/>
  <c r="D1395" i="36"/>
  <c r="G1391" i="36"/>
  <c r="F1391" i="36"/>
  <c r="E1391" i="36"/>
  <c r="D1391" i="36"/>
  <c r="G1387" i="36"/>
  <c r="F1387" i="36"/>
  <c r="E1387" i="36"/>
  <c r="D1387" i="36"/>
  <c r="G1383" i="36"/>
  <c r="F1383" i="36"/>
  <c r="E1383" i="36"/>
  <c r="D1383" i="36"/>
  <c r="G1379" i="36"/>
  <c r="F1379" i="36"/>
  <c r="E1379" i="36"/>
  <c r="D1379" i="36"/>
  <c r="G1375" i="36"/>
  <c r="F1375" i="36"/>
  <c r="E1375" i="36"/>
  <c r="D1375" i="36"/>
  <c r="G1371" i="36"/>
  <c r="F1371" i="36"/>
  <c r="E1371" i="36"/>
  <c r="D1371" i="36"/>
  <c r="G1367" i="36"/>
  <c r="F1367" i="36"/>
  <c r="E1367" i="36"/>
  <c r="D1367" i="36"/>
  <c r="G1363" i="36"/>
  <c r="F1363" i="36"/>
  <c r="E1363" i="36"/>
  <c r="D1363" i="36"/>
  <c r="G1359" i="36"/>
  <c r="F1359" i="36"/>
  <c r="E1359" i="36"/>
  <c r="D1359" i="36"/>
  <c r="G1355" i="36"/>
  <c r="F1355" i="36"/>
  <c r="E1355" i="36"/>
  <c r="D1355" i="36"/>
  <c r="G1351" i="36"/>
  <c r="F1351" i="36"/>
  <c r="E1351" i="36"/>
  <c r="D1351" i="36"/>
  <c r="G1347" i="36"/>
  <c r="F1347" i="36"/>
  <c r="E1347" i="36"/>
  <c r="D1347" i="36"/>
  <c r="G1343" i="36"/>
  <c r="F1343" i="36"/>
  <c r="E1343" i="36"/>
  <c r="D1343" i="36"/>
  <c r="G1339" i="36"/>
  <c r="F1339" i="36"/>
  <c r="E1339" i="36"/>
  <c r="D1339" i="36"/>
  <c r="G1335" i="36"/>
  <c r="F1335" i="36"/>
  <c r="E1335" i="36"/>
  <c r="D1335" i="36"/>
  <c r="G1331" i="36"/>
  <c r="F1331" i="36"/>
  <c r="E1331" i="36"/>
  <c r="D1331" i="36"/>
  <c r="G1327" i="36"/>
  <c r="F1327" i="36"/>
  <c r="E1327" i="36"/>
  <c r="D1327" i="36"/>
  <c r="G1323" i="36"/>
  <c r="F1323" i="36"/>
  <c r="E1323" i="36"/>
  <c r="D1323" i="36"/>
  <c r="G1319" i="36"/>
  <c r="F1319" i="36"/>
  <c r="E1319" i="36"/>
  <c r="D1319" i="36"/>
  <c r="G1315" i="36"/>
  <c r="F1315" i="36"/>
  <c r="E1315" i="36"/>
  <c r="D1315" i="36"/>
  <c r="G1311" i="36"/>
  <c r="F1311" i="36"/>
  <c r="E1311" i="36"/>
  <c r="D1311" i="36"/>
  <c r="G1307" i="36"/>
  <c r="F1307" i="36"/>
  <c r="E1307" i="36"/>
  <c r="D1307" i="36"/>
  <c r="G1303" i="36"/>
  <c r="F1303" i="36"/>
  <c r="E1303" i="36"/>
  <c r="D1303" i="36"/>
  <c r="G1299" i="36"/>
  <c r="F1299" i="36"/>
  <c r="E1299" i="36"/>
  <c r="D1299" i="36"/>
  <c r="G1295" i="36"/>
  <c r="F1295" i="36"/>
  <c r="E1295" i="36"/>
  <c r="D1295" i="36"/>
  <c r="G1291" i="36"/>
  <c r="F1291" i="36"/>
  <c r="E1291" i="36"/>
  <c r="D1291" i="36"/>
  <c r="G1287" i="36"/>
  <c r="F1287" i="36"/>
  <c r="E1287" i="36"/>
  <c r="D1287" i="36"/>
  <c r="G1283" i="36"/>
  <c r="F1283" i="36"/>
  <c r="E1283" i="36"/>
  <c r="D1283" i="36"/>
  <c r="G1279" i="36"/>
  <c r="F1279" i="36"/>
  <c r="E1279" i="36"/>
  <c r="D1279" i="36"/>
  <c r="G1275" i="36"/>
  <c r="F1275" i="36"/>
  <c r="E1275" i="36"/>
  <c r="D1275" i="36"/>
  <c r="G1271" i="36"/>
  <c r="F1271" i="36"/>
  <c r="E1271" i="36"/>
  <c r="D1271" i="36"/>
  <c r="G1267" i="36"/>
  <c r="F1267" i="36"/>
  <c r="E1267" i="36"/>
  <c r="D1267" i="36"/>
  <c r="G1263" i="36"/>
  <c r="F1263" i="36"/>
  <c r="E1263" i="36"/>
  <c r="D1263" i="36"/>
  <c r="G1259" i="36"/>
  <c r="F1259" i="36"/>
  <c r="E1259" i="36"/>
  <c r="D1259" i="36"/>
  <c r="G1255" i="36"/>
  <c r="F1255" i="36"/>
  <c r="E1255" i="36"/>
  <c r="D1255" i="36"/>
  <c r="G1251" i="36"/>
  <c r="F1251" i="36"/>
  <c r="E1251" i="36"/>
  <c r="D1251" i="36"/>
  <c r="G1247" i="36"/>
  <c r="F1247" i="36"/>
  <c r="E1247" i="36"/>
  <c r="D1247" i="36"/>
  <c r="G1243" i="36"/>
  <c r="F1243" i="36"/>
  <c r="E1243" i="36"/>
  <c r="D1243" i="36"/>
  <c r="G1239" i="36"/>
  <c r="F1239" i="36"/>
  <c r="E1239" i="36"/>
  <c r="D1239" i="36"/>
  <c r="G1235" i="36"/>
  <c r="F1235" i="36"/>
  <c r="E1235" i="36"/>
  <c r="D1235" i="36"/>
  <c r="G1231" i="36"/>
  <c r="F1231" i="36"/>
  <c r="E1231" i="36"/>
  <c r="D1231" i="36"/>
  <c r="G1227" i="36"/>
  <c r="F1227" i="36"/>
  <c r="E1227" i="36"/>
  <c r="D1227" i="36"/>
  <c r="G1223" i="36"/>
  <c r="F1223" i="36"/>
  <c r="E1223" i="36"/>
  <c r="D1223" i="36"/>
  <c r="G1219" i="36"/>
  <c r="F1219" i="36"/>
  <c r="E1219" i="36"/>
  <c r="D1219" i="36"/>
  <c r="G1215" i="36"/>
  <c r="F1215" i="36"/>
  <c r="E1215" i="36"/>
  <c r="D1215" i="36"/>
  <c r="G1211" i="36"/>
  <c r="F1211" i="36"/>
  <c r="E1211" i="36"/>
  <c r="D1211" i="36"/>
  <c r="G1207" i="36"/>
  <c r="F1207" i="36"/>
  <c r="E1207" i="36"/>
  <c r="D1207" i="36"/>
  <c r="G1203" i="36"/>
  <c r="F1203" i="36"/>
  <c r="E1203" i="36"/>
  <c r="D1203" i="36"/>
  <c r="G1199" i="36"/>
  <c r="F1199" i="36"/>
  <c r="E1199" i="36"/>
  <c r="D1199" i="36"/>
  <c r="G1195" i="36"/>
  <c r="F1195" i="36"/>
  <c r="E1195" i="36"/>
  <c r="D1195" i="36"/>
  <c r="G1191" i="36"/>
  <c r="F1191" i="36"/>
  <c r="E1191" i="36"/>
  <c r="D1191" i="36"/>
  <c r="G1187" i="36"/>
  <c r="F1187" i="36"/>
  <c r="E1187" i="36"/>
  <c r="D1187" i="36"/>
  <c r="G1183" i="36"/>
  <c r="F1183" i="36"/>
  <c r="E1183" i="36"/>
  <c r="D1183" i="36"/>
  <c r="G1179" i="36"/>
  <c r="F1179" i="36"/>
  <c r="E1179" i="36"/>
  <c r="D1179" i="36"/>
  <c r="G1175" i="36"/>
  <c r="F1175" i="36"/>
  <c r="E1175" i="36"/>
  <c r="D1175" i="36"/>
  <c r="G1171" i="36"/>
  <c r="F1171" i="36"/>
  <c r="E1171" i="36"/>
  <c r="D1171" i="36"/>
  <c r="G1167" i="36"/>
  <c r="F1167" i="36"/>
  <c r="E1167" i="36"/>
  <c r="D1167" i="36"/>
  <c r="G1163" i="36"/>
  <c r="F1163" i="36"/>
  <c r="E1163" i="36"/>
  <c r="D1163" i="36"/>
  <c r="G1159" i="36"/>
  <c r="F1159" i="36"/>
  <c r="E1159" i="36"/>
  <c r="D1159" i="36"/>
  <c r="G1155" i="36"/>
  <c r="F1155" i="36"/>
  <c r="E1155" i="36"/>
  <c r="D1155" i="36"/>
  <c r="G1151" i="36"/>
  <c r="F1151" i="36"/>
  <c r="E1151" i="36"/>
  <c r="D1151" i="36"/>
  <c r="G1147" i="36"/>
  <c r="F1147" i="36"/>
  <c r="E1147" i="36"/>
  <c r="D1147" i="36"/>
  <c r="G1143" i="36"/>
  <c r="F1143" i="36"/>
  <c r="E1143" i="36"/>
  <c r="D1143" i="36"/>
  <c r="G1139" i="36"/>
  <c r="F1139" i="36"/>
  <c r="E1139" i="36"/>
  <c r="D1139" i="36"/>
  <c r="G1135" i="36"/>
  <c r="F1135" i="36"/>
  <c r="E1135" i="36"/>
  <c r="D1135" i="36"/>
  <c r="G1131" i="36"/>
  <c r="F1131" i="36"/>
  <c r="E1131" i="36"/>
  <c r="D1131" i="36"/>
  <c r="G1127" i="36"/>
  <c r="F1127" i="36"/>
  <c r="E1127" i="36"/>
  <c r="D1127" i="36"/>
  <c r="G1123" i="36"/>
  <c r="F1123" i="36"/>
  <c r="E1123" i="36"/>
  <c r="D1123" i="36"/>
  <c r="G1119" i="36"/>
  <c r="F1119" i="36"/>
  <c r="E1119" i="36"/>
  <c r="D1119" i="36"/>
  <c r="G1115" i="36"/>
  <c r="F1115" i="36"/>
  <c r="E1115" i="36"/>
  <c r="D1115" i="36"/>
  <c r="G1111" i="36"/>
  <c r="F1111" i="36"/>
  <c r="E1111" i="36"/>
  <c r="D1111" i="36"/>
  <c r="G1107" i="36"/>
  <c r="F1107" i="36"/>
  <c r="E1107" i="36"/>
  <c r="D1107" i="36"/>
  <c r="G1103" i="36"/>
  <c r="F1103" i="36"/>
  <c r="E1103" i="36"/>
  <c r="D1103" i="36"/>
  <c r="G1099" i="36"/>
  <c r="F1099" i="36"/>
  <c r="E1099" i="36"/>
  <c r="D1099" i="36"/>
  <c r="G1095" i="36"/>
  <c r="F1095" i="36"/>
  <c r="E1095" i="36"/>
  <c r="D1095" i="36"/>
  <c r="G1091" i="36"/>
  <c r="F1091" i="36"/>
  <c r="E1091" i="36"/>
  <c r="D1091" i="36"/>
  <c r="G1087" i="36"/>
  <c r="F1087" i="36"/>
  <c r="E1087" i="36"/>
  <c r="D1087" i="36"/>
  <c r="G1083" i="36"/>
  <c r="F1083" i="36"/>
  <c r="E1083" i="36"/>
  <c r="D1083" i="36"/>
  <c r="G1079" i="36"/>
  <c r="F1079" i="36"/>
  <c r="E1079" i="36"/>
  <c r="D1079" i="36"/>
  <c r="G1075" i="36"/>
  <c r="F1075" i="36"/>
  <c r="E1075" i="36"/>
  <c r="D1075" i="36"/>
  <c r="G1071" i="36"/>
  <c r="F1071" i="36"/>
  <c r="E1071" i="36"/>
  <c r="D1071" i="36"/>
  <c r="G1067" i="36"/>
  <c r="F1067" i="36"/>
  <c r="E1067" i="36"/>
  <c r="D1067" i="36"/>
  <c r="G1063" i="36"/>
  <c r="F1063" i="36"/>
  <c r="E1063" i="36"/>
  <c r="D1063" i="36"/>
  <c r="G1059" i="36"/>
  <c r="F1059" i="36"/>
  <c r="E1059" i="36"/>
  <c r="D1059" i="36"/>
  <c r="G1055" i="36"/>
  <c r="F1055" i="36"/>
  <c r="E1055" i="36"/>
  <c r="D1055" i="36"/>
  <c r="G1051" i="36"/>
  <c r="F1051" i="36"/>
  <c r="E1051" i="36"/>
  <c r="D1051" i="36"/>
  <c r="G1047" i="36"/>
  <c r="F1047" i="36"/>
  <c r="E1047" i="36"/>
  <c r="D1047" i="36"/>
  <c r="G1043" i="36"/>
  <c r="F1043" i="36"/>
  <c r="E1043" i="36"/>
  <c r="D1043" i="36"/>
  <c r="G1039" i="36"/>
  <c r="F1039" i="36"/>
  <c r="E1039" i="36"/>
  <c r="D1039" i="36"/>
  <c r="G1035" i="36"/>
  <c r="F1035" i="36"/>
  <c r="E1035" i="36"/>
  <c r="D1035" i="36"/>
  <c r="G1031" i="36"/>
  <c r="F1031" i="36"/>
  <c r="E1031" i="36"/>
  <c r="D1031" i="36"/>
  <c r="G1027" i="36"/>
  <c r="F1027" i="36"/>
  <c r="E1027" i="36"/>
  <c r="D1027" i="36"/>
  <c r="G1023" i="36"/>
  <c r="F1023" i="36"/>
  <c r="E1023" i="36"/>
  <c r="D1023" i="36"/>
  <c r="G1019" i="36"/>
  <c r="F1019" i="36"/>
  <c r="E1019" i="36"/>
  <c r="D1019" i="36"/>
  <c r="G1015" i="36"/>
  <c r="F1015" i="36"/>
  <c r="E1015" i="36"/>
  <c r="D1015" i="36"/>
  <c r="G1011" i="36"/>
  <c r="F1011" i="36"/>
  <c r="E1011" i="36"/>
  <c r="D1011" i="36"/>
  <c r="G1007" i="36"/>
  <c r="F1007" i="36"/>
  <c r="E1007" i="36"/>
  <c r="D1007" i="36"/>
  <c r="G1003" i="36"/>
  <c r="F1003" i="36"/>
  <c r="E1003" i="36"/>
  <c r="D1003" i="36"/>
  <c r="G999" i="36"/>
  <c r="F999" i="36"/>
  <c r="E999" i="36"/>
  <c r="D999" i="36"/>
  <c r="G995" i="36"/>
  <c r="F995" i="36"/>
  <c r="E995" i="36"/>
  <c r="D995" i="36"/>
  <c r="G991" i="36"/>
  <c r="F991" i="36"/>
  <c r="E991" i="36"/>
  <c r="D991" i="36"/>
  <c r="G987" i="36"/>
  <c r="F987" i="36"/>
  <c r="E987" i="36"/>
  <c r="D987" i="36"/>
  <c r="G983" i="36"/>
  <c r="F983" i="36"/>
  <c r="E983" i="36"/>
  <c r="D983" i="36"/>
  <c r="G979" i="36"/>
  <c r="F979" i="36"/>
  <c r="E979" i="36"/>
  <c r="D979" i="36"/>
  <c r="G975" i="36"/>
  <c r="F975" i="36"/>
  <c r="E975" i="36"/>
  <c r="D975" i="36"/>
  <c r="G971" i="36"/>
  <c r="F971" i="36"/>
  <c r="E971" i="36"/>
  <c r="D971" i="36"/>
  <c r="G967" i="36"/>
  <c r="F967" i="36"/>
  <c r="E967" i="36"/>
  <c r="D967" i="36"/>
  <c r="G963" i="36"/>
  <c r="F963" i="36"/>
  <c r="E963" i="36"/>
  <c r="D963" i="36"/>
  <c r="G959" i="36"/>
  <c r="F959" i="36"/>
  <c r="E959" i="36"/>
  <c r="D959" i="36"/>
  <c r="G955" i="36"/>
  <c r="F955" i="36"/>
  <c r="E955" i="36"/>
  <c r="D955" i="36"/>
  <c r="G951" i="36"/>
  <c r="F951" i="36"/>
  <c r="E951" i="36"/>
  <c r="D951" i="36"/>
  <c r="G947" i="36"/>
  <c r="F947" i="36"/>
  <c r="E947" i="36"/>
  <c r="D947" i="36"/>
  <c r="G943" i="36"/>
  <c r="F943" i="36"/>
  <c r="E943" i="36"/>
  <c r="D943" i="36"/>
  <c r="G939" i="36"/>
  <c r="F939" i="36"/>
  <c r="E939" i="36"/>
  <c r="D939" i="36"/>
  <c r="G935" i="36"/>
  <c r="F935" i="36"/>
  <c r="E935" i="36"/>
  <c r="D935" i="36"/>
  <c r="G931" i="36"/>
  <c r="F931" i="36"/>
  <c r="E931" i="36"/>
  <c r="D931" i="36"/>
  <c r="G927" i="36"/>
  <c r="F927" i="36"/>
  <c r="E927" i="36"/>
  <c r="D927" i="36"/>
  <c r="G923" i="36"/>
  <c r="F923" i="36"/>
  <c r="E923" i="36"/>
  <c r="D923" i="36"/>
  <c r="G919" i="36"/>
  <c r="F919" i="36"/>
  <c r="E919" i="36"/>
  <c r="D919" i="36"/>
  <c r="G915" i="36"/>
  <c r="F915" i="36"/>
  <c r="E915" i="36"/>
  <c r="D915" i="36"/>
  <c r="G911" i="36"/>
  <c r="F911" i="36"/>
  <c r="E911" i="36"/>
  <c r="D911" i="36"/>
  <c r="G907" i="36"/>
  <c r="F907" i="36"/>
  <c r="E907" i="36"/>
  <c r="D907" i="36"/>
  <c r="G903" i="36"/>
  <c r="F903" i="36"/>
  <c r="E903" i="36"/>
  <c r="D903" i="36"/>
  <c r="G899" i="36"/>
  <c r="F899" i="36"/>
  <c r="E899" i="36"/>
  <c r="D899" i="36"/>
  <c r="G895" i="36"/>
  <c r="F895" i="36"/>
  <c r="E895" i="36"/>
  <c r="D895" i="36"/>
  <c r="G891" i="36"/>
  <c r="F891" i="36"/>
  <c r="E891" i="36"/>
  <c r="D891" i="36"/>
  <c r="G887" i="36"/>
  <c r="F887" i="36"/>
  <c r="E887" i="36"/>
  <c r="D887" i="36"/>
  <c r="G883" i="36"/>
  <c r="F883" i="36"/>
  <c r="E883" i="36"/>
  <c r="D883" i="36"/>
  <c r="G879" i="36"/>
  <c r="F879" i="36"/>
  <c r="E879" i="36"/>
  <c r="D879" i="36"/>
  <c r="G875" i="36"/>
  <c r="F875" i="36"/>
  <c r="E875" i="36"/>
  <c r="D875" i="36"/>
  <c r="G871" i="36"/>
  <c r="F871" i="36"/>
  <c r="E871" i="36"/>
  <c r="D871" i="36"/>
  <c r="G867" i="36"/>
  <c r="F867" i="36"/>
  <c r="E867" i="36"/>
  <c r="D867" i="36"/>
  <c r="G863" i="36"/>
  <c r="F863" i="36"/>
  <c r="E863" i="36"/>
  <c r="D863" i="36"/>
  <c r="G859" i="36"/>
  <c r="F859" i="36"/>
  <c r="E859" i="36"/>
  <c r="D859" i="36"/>
  <c r="G855" i="36"/>
  <c r="F855" i="36"/>
  <c r="E855" i="36"/>
  <c r="D855" i="36"/>
  <c r="G851" i="36"/>
  <c r="F851" i="36"/>
  <c r="E851" i="36"/>
  <c r="D851" i="36"/>
  <c r="G847" i="36"/>
  <c r="F847" i="36"/>
  <c r="E847" i="36"/>
  <c r="D847" i="36"/>
  <c r="G843" i="36"/>
  <c r="F843" i="36"/>
  <c r="E843" i="36"/>
  <c r="D843" i="36"/>
  <c r="G839" i="36"/>
  <c r="F839" i="36"/>
  <c r="E839" i="36"/>
  <c r="D839" i="36"/>
  <c r="G835" i="36"/>
  <c r="F835" i="36"/>
  <c r="E835" i="36"/>
  <c r="D835" i="36"/>
  <c r="G831" i="36"/>
  <c r="F831" i="36"/>
  <c r="E831" i="36"/>
  <c r="D831" i="36"/>
  <c r="G827" i="36"/>
  <c r="F827" i="36"/>
  <c r="E827" i="36"/>
  <c r="D827" i="36"/>
  <c r="G823" i="36"/>
  <c r="F823" i="36"/>
  <c r="E823" i="36"/>
  <c r="D823" i="36"/>
  <c r="G819" i="36"/>
  <c r="F819" i="36"/>
  <c r="E819" i="36"/>
  <c r="D819" i="36"/>
  <c r="G815" i="36"/>
  <c r="F815" i="36"/>
  <c r="E815" i="36"/>
  <c r="D815" i="36"/>
  <c r="G811" i="36"/>
  <c r="F811" i="36"/>
  <c r="E811" i="36"/>
  <c r="D811" i="36"/>
  <c r="G807" i="36"/>
  <c r="F807" i="36"/>
  <c r="E807" i="36"/>
  <c r="D807" i="36"/>
  <c r="G803" i="36"/>
  <c r="F803" i="36"/>
  <c r="E803" i="36"/>
  <c r="D803" i="36"/>
  <c r="G799" i="36"/>
  <c r="F799" i="36"/>
  <c r="E799" i="36"/>
  <c r="D799" i="36"/>
  <c r="G795" i="36"/>
  <c r="F795" i="36"/>
  <c r="E795" i="36"/>
  <c r="D795" i="36"/>
  <c r="G791" i="36"/>
  <c r="F791" i="36"/>
  <c r="E791" i="36"/>
  <c r="D791" i="36"/>
  <c r="G787" i="36"/>
  <c r="F787" i="36"/>
  <c r="E787" i="36"/>
  <c r="D787" i="36"/>
  <c r="G783" i="36"/>
  <c r="F783" i="36"/>
  <c r="E783" i="36"/>
  <c r="D783" i="36"/>
  <c r="G779" i="36"/>
  <c r="F779" i="36"/>
  <c r="E779" i="36"/>
  <c r="D779" i="36"/>
  <c r="G775" i="36"/>
  <c r="F775" i="36"/>
  <c r="E775" i="36"/>
  <c r="D775" i="36"/>
  <c r="G771" i="36"/>
  <c r="F771" i="36"/>
  <c r="E771" i="36"/>
  <c r="D771" i="36"/>
  <c r="G767" i="36"/>
  <c r="F767" i="36"/>
  <c r="E767" i="36"/>
  <c r="D767" i="36"/>
  <c r="G763" i="36"/>
  <c r="F763" i="36"/>
  <c r="E763" i="36"/>
  <c r="D763" i="36"/>
  <c r="G759" i="36"/>
  <c r="F759" i="36"/>
  <c r="E759" i="36"/>
  <c r="D759" i="36"/>
  <c r="G755" i="36"/>
  <c r="F755" i="36"/>
  <c r="E755" i="36"/>
  <c r="D755" i="36"/>
  <c r="G751" i="36"/>
  <c r="F751" i="36"/>
  <c r="E751" i="36"/>
  <c r="D751" i="36"/>
  <c r="G747" i="36"/>
  <c r="F747" i="36"/>
  <c r="E747" i="36"/>
  <c r="D747" i="36"/>
  <c r="G743" i="36"/>
  <c r="F743" i="36"/>
  <c r="E743" i="36"/>
  <c r="D743" i="36"/>
  <c r="G739" i="36"/>
  <c r="F739" i="36"/>
  <c r="E739" i="36"/>
  <c r="D739" i="36"/>
  <c r="G735" i="36"/>
  <c r="F735" i="36"/>
  <c r="E735" i="36"/>
  <c r="D735" i="36"/>
  <c r="G731" i="36"/>
  <c r="F731" i="36"/>
  <c r="E731" i="36"/>
  <c r="D731" i="36"/>
  <c r="G727" i="36"/>
  <c r="F727" i="36"/>
  <c r="E727" i="36"/>
  <c r="D727" i="36"/>
  <c r="G723" i="36"/>
  <c r="F723" i="36"/>
  <c r="E723" i="36"/>
  <c r="D723" i="36"/>
  <c r="G719" i="36"/>
  <c r="F719" i="36"/>
  <c r="E719" i="36"/>
  <c r="D719" i="36"/>
  <c r="G715" i="36"/>
  <c r="F715" i="36"/>
  <c r="E715" i="36"/>
  <c r="D715" i="36"/>
  <c r="G711" i="36"/>
  <c r="F711" i="36"/>
  <c r="E711" i="36"/>
  <c r="D711" i="36"/>
  <c r="G707" i="36"/>
  <c r="F707" i="36"/>
  <c r="E707" i="36"/>
  <c r="D707" i="36"/>
  <c r="G703" i="36"/>
  <c r="F703" i="36"/>
  <c r="E703" i="36"/>
  <c r="D703" i="36"/>
  <c r="G699" i="36"/>
  <c r="F699" i="36"/>
  <c r="E699" i="36"/>
  <c r="D699" i="36"/>
  <c r="G695" i="36"/>
  <c r="F695" i="36"/>
  <c r="E695" i="36"/>
  <c r="D695" i="36"/>
  <c r="G691" i="36"/>
  <c r="F691" i="36"/>
  <c r="E691" i="36"/>
  <c r="D691" i="36"/>
  <c r="G687" i="36"/>
  <c r="F687" i="36"/>
  <c r="E687" i="36"/>
  <c r="D687" i="36"/>
  <c r="G683" i="36"/>
  <c r="F683" i="36"/>
  <c r="E683" i="36"/>
  <c r="D683" i="36"/>
  <c r="G679" i="36"/>
  <c r="F679" i="36"/>
  <c r="E679" i="36"/>
  <c r="D679" i="36"/>
  <c r="G675" i="36"/>
  <c r="F675" i="36"/>
  <c r="E675" i="36"/>
  <c r="D675" i="36"/>
  <c r="G671" i="36"/>
  <c r="F671" i="36"/>
  <c r="E671" i="36"/>
  <c r="D671" i="36"/>
  <c r="G667" i="36"/>
  <c r="F667" i="36"/>
  <c r="E667" i="36"/>
  <c r="D667" i="36"/>
  <c r="G663" i="36"/>
  <c r="F663" i="36"/>
  <c r="E663" i="36"/>
  <c r="D663" i="36"/>
  <c r="G659" i="36"/>
  <c r="F659" i="36"/>
  <c r="E659" i="36"/>
  <c r="D659" i="36"/>
  <c r="G655" i="36"/>
  <c r="F655" i="36"/>
  <c r="E655" i="36"/>
  <c r="D655" i="36"/>
  <c r="G651" i="36"/>
  <c r="F651" i="36"/>
  <c r="E651" i="36"/>
  <c r="D651" i="36"/>
  <c r="G647" i="36"/>
  <c r="F647" i="36"/>
  <c r="E647" i="36"/>
  <c r="D647" i="36"/>
  <c r="G643" i="36"/>
  <c r="F643" i="36"/>
  <c r="E643" i="36"/>
  <c r="D643" i="36"/>
  <c r="G639" i="36"/>
  <c r="F639" i="36"/>
  <c r="E639" i="36"/>
  <c r="D639" i="36"/>
  <c r="G635" i="36"/>
  <c r="F635" i="36"/>
  <c r="E635" i="36"/>
  <c r="D635" i="36"/>
  <c r="G631" i="36"/>
  <c r="F631" i="36"/>
  <c r="E631" i="36"/>
  <c r="D631" i="36"/>
  <c r="G627" i="36"/>
  <c r="F627" i="36"/>
  <c r="E627" i="36"/>
  <c r="D627" i="36"/>
  <c r="G623" i="36"/>
  <c r="F623" i="36"/>
  <c r="E623" i="36"/>
  <c r="D623" i="36"/>
  <c r="G619" i="36"/>
  <c r="F619" i="36"/>
  <c r="E619" i="36"/>
  <c r="D619" i="36"/>
  <c r="G615" i="36"/>
  <c r="F615" i="36"/>
  <c r="E615" i="36"/>
  <c r="D615" i="36"/>
  <c r="G611" i="36"/>
  <c r="F611" i="36"/>
  <c r="E611" i="36"/>
  <c r="D611" i="36"/>
  <c r="G607" i="36"/>
  <c r="F607" i="36"/>
  <c r="E607" i="36"/>
  <c r="D607" i="36"/>
  <c r="G603" i="36"/>
  <c r="F603" i="36"/>
  <c r="E603" i="36"/>
  <c r="D603" i="36"/>
  <c r="G599" i="36"/>
  <c r="F599" i="36"/>
  <c r="E599" i="36"/>
  <c r="D599" i="36"/>
  <c r="G595" i="36"/>
  <c r="F595" i="36"/>
  <c r="E595" i="36"/>
  <c r="D595" i="36"/>
  <c r="G591" i="36"/>
  <c r="F591" i="36"/>
  <c r="E591" i="36"/>
  <c r="D591" i="36"/>
  <c r="G587" i="36"/>
  <c r="F587" i="36"/>
  <c r="E587" i="36"/>
  <c r="D587" i="36"/>
  <c r="G583" i="36"/>
  <c r="F583" i="36"/>
  <c r="E583" i="36"/>
  <c r="D583" i="36"/>
  <c r="G579" i="36"/>
  <c r="F579" i="36"/>
  <c r="E579" i="36"/>
  <c r="D579" i="36"/>
  <c r="G575" i="36"/>
  <c r="F575" i="36"/>
  <c r="E575" i="36"/>
  <c r="D575" i="36"/>
  <c r="G571" i="36"/>
  <c r="F571" i="36"/>
  <c r="E571" i="36"/>
  <c r="D571" i="36"/>
  <c r="G567" i="36"/>
  <c r="F567" i="36"/>
  <c r="E567" i="36"/>
  <c r="D567" i="36"/>
  <c r="G563" i="36"/>
  <c r="F563" i="36"/>
  <c r="E563" i="36"/>
  <c r="D563" i="36"/>
  <c r="G559" i="36"/>
  <c r="F559" i="36"/>
  <c r="E559" i="36"/>
  <c r="D559" i="36"/>
  <c r="G555" i="36"/>
  <c r="F555" i="36"/>
  <c r="E555" i="36"/>
  <c r="D555" i="36"/>
  <c r="G551" i="36"/>
  <c r="F551" i="36"/>
  <c r="E551" i="36"/>
  <c r="D551" i="36"/>
  <c r="G547" i="36"/>
  <c r="F547" i="36"/>
  <c r="E547" i="36"/>
  <c r="D547" i="36"/>
  <c r="G543" i="36"/>
  <c r="F543" i="36"/>
  <c r="E543" i="36"/>
  <c r="D543" i="36"/>
  <c r="G539" i="36"/>
  <c r="F539" i="36"/>
  <c r="E539" i="36"/>
  <c r="D539" i="36"/>
  <c r="G535" i="36"/>
  <c r="F535" i="36"/>
  <c r="E535" i="36"/>
  <c r="D535" i="36"/>
  <c r="G531" i="36"/>
  <c r="F531" i="36"/>
  <c r="E531" i="36"/>
  <c r="D531" i="36"/>
  <c r="G527" i="36"/>
  <c r="F527" i="36"/>
  <c r="E527" i="36"/>
  <c r="D527" i="36"/>
  <c r="G523" i="36"/>
  <c r="F523" i="36"/>
  <c r="E523" i="36"/>
  <c r="D523" i="36"/>
  <c r="G519" i="36"/>
  <c r="F519" i="36"/>
  <c r="E519" i="36"/>
  <c r="D519" i="36"/>
  <c r="G515" i="36"/>
  <c r="F515" i="36"/>
  <c r="E515" i="36"/>
  <c r="D515" i="36"/>
  <c r="G511" i="36"/>
  <c r="F511" i="36"/>
  <c r="E511" i="36"/>
  <c r="D511" i="36"/>
  <c r="G507" i="36"/>
  <c r="F507" i="36"/>
  <c r="E507" i="36"/>
  <c r="D507" i="36"/>
  <c r="G503" i="36"/>
  <c r="F503" i="36"/>
  <c r="E503" i="36"/>
  <c r="D503" i="36"/>
  <c r="G499" i="36"/>
  <c r="F499" i="36"/>
  <c r="E499" i="36"/>
  <c r="D499" i="36"/>
  <c r="G495" i="36"/>
  <c r="F495" i="36"/>
  <c r="E495" i="36"/>
  <c r="D495" i="36"/>
  <c r="G491" i="36"/>
  <c r="F491" i="36"/>
  <c r="E491" i="36"/>
  <c r="D491" i="36"/>
  <c r="G487" i="36"/>
  <c r="F487" i="36"/>
  <c r="E487" i="36"/>
  <c r="D487" i="36"/>
  <c r="G483" i="36"/>
  <c r="F483" i="36"/>
  <c r="E483" i="36"/>
  <c r="D483" i="36"/>
  <c r="G479" i="36"/>
  <c r="F479" i="36"/>
  <c r="E479" i="36"/>
  <c r="D479" i="36"/>
  <c r="G475" i="36"/>
  <c r="F475" i="36"/>
  <c r="E475" i="36"/>
  <c r="D475" i="36"/>
  <c r="G471" i="36"/>
  <c r="F471" i="36"/>
  <c r="E471" i="36"/>
  <c r="D471" i="36"/>
  <c r="G467" i="36"/>
  <c r="F467" i="36"/>
  <c r="E467" i="36"/>
  <c r="D467" i="36"/>
  <c r="G463" i="36"/>
  <c r="F463" i="36"/>
  <c r="E463" i="36"/>
  <c r="D463" i="36"/>
  <c r="G459" i="36"/>
  <c r="F459" i="36"/>
  <c r="E459" i="36"/>
  <c r="D459" i="36"/>
  <c r="G455" i="36"/>
  <c r="F455" i="36"/>
  <c r="E455" i="36"/>
  <c r="D455" i="36"/>
  <c r="G451" i="36"/>
  <c r="F451" i="36"/>
  <c r="E451" i="36"/>
  <c r="D451" i="36"/>
  <c r="G447" i="36"/>
  <c r="F447" i="36"/>
  <c r="E447" i="36"/>
  <c r="D447" i="36"/>
  <c r="G443" i="36"/>
  <c r="F443" i="36"/>
  <c r="E443" i="36"/>
  <c r="D443" i="36"/>
  <c r="G439" i="36"/>
  <c r="F439" i="36"/>
  <c r="E439" i="36"/>
  <c r="D439" i="36"/>
  <c r="G435" i="36"/>
  <c r="F435" i="36"/>
  <c r="E435" i="36"/>
  <c r="D435" i="36"/>
  <c r="G431" i="36"/>
  <c r="F431" i="36"/>
  <c r="E431" i="36"/>
  <c r="D431" i="36"/>
  <c r="G427" i="36"/>
  <c r="F427" i="36"/>
  <c r="E427" i="36"/>
  <c r="D427" i="36"/>
  <c r="G423" i="36"/>
  <c r="F423" i="36"/>
  <c r="E423" i="36"/>
  <c r="D423" i="36"/>
  <c r="G419" i="36"/>
  <c r="F419" i="36"/>
  <c r="E419" i="36"/>
  <c r="D419" i="36"/>
  <c r="G415" i="36"/>
  <c r="F415" i="36"/>
  <c r="E415" i="36"/>
  <c r="D415" i="36"/>
  <c r="G411" i="36"/>
  <c r="F411" i="36"/>
  <c r="E411" i="36"/>
  <c r="D411" i="36"/>
  <c r="G407" i="36"/>
  <c r="F407" i="36"/>
  <c r="E407" i="36"/>
  <c r="D407" i="36"/>
  <c r="G403" i="36"/>
  <c r="F403" i="36"/>
  <c r="E403" i="36"/>
  <c r="D403" i="36"/>
  <c r="G399" i="36"/>
  <c r="F399" i="36"/>
  <c r="E399" i="36"/>
  <c r="D399" i="36"/>
  <c r="G395" i="36"/>
  <c r="F395" i="36"/>
  <c r="E395" i="36"/>
  <c r="D395" i="36"/>
  <c r="G391" i="36"/>
  <c r="F391" i="36"/>
  <c r="E391" i="36"/>
  <c r="D391" i="36"/>
  <c r="G387" i="36"/>
  <c r="F387" i="36"/>
  <c r="E387" i="36"/>
  <c r="D387" i="36"/>
  <c r="G383" i="36"/>
  <c r="F383" i="36"/>
  <c r="E383" i="36"/>
  <c r="D383" i="36"/>
  <c r="G379" i="36"/>
  <c r="F379" i="36"/>
  <c r="E379" i="36"/>
  <c r="D379" i="36"/>
  <c r="G375" i="36"/>
  <c r="F375" i="36"/>
  <c r="E375" i="36"/>
  <c r="D375" i="36"/>
  <c r="G371" i="36"/>
  <c r="F371" i="36"/>
  <c r="E371" i="36"/>
  <c r="D371" i="36"/>
  <c r="G367" i="36"/>
  <c r="F367" i="36"/>
  <c r="E367" i="36"/>
  <c r="D367" i="36"/>
  <c r="G363" i="36"/>
  <c r="F363" i="36"/>
  <c r="E363" i="36"/>
  <c r="D363" i="36"/>
  <c r="G359" i="36"/>
  <c r="F359" i="36"/>
  <c r="E359" i="36"/>
  <c r="D359" i="36"/>
  <c r="G355" i="36"/>
  <c r="F355" i="36"/>
  <c r="E355" i="36"/>
  <c r="D355" i="36"/>
  <c r="G351" i="36"/>
  <c r="F351" i="36"/>
  <c r="E351" i="36"/>
  <c r="D351" i="36"/>
  <c r="G347" i="36"/>
  <c r="F347" i="36"/>
  <c r="E347" i="36"/>
  <c r="D347" i="36"/>
  <c r="G343" i="36"/>
  <c r="F343" i="36"/>
  <c r="E343" i="36"/>
  <c r="D343" i="36"/>
  <c r="G339" i="36"/>
  <c r="F339" i="36"/>
  <c r="E339" i="36"/>
  <c r="D339" i="36"/>
  <c r="G335" i="36"/>
  <c r="F335" i="36"/>
  <c r="E335" i="36"/>
  <c r="D335" i="36"/>
  <c r="G331" i="36"/>
  <c r="F331" i="36"/>
  <c r="E331" i="36"/>
  <c r="D331" i="36"/>
  <c r="G327" i="36"/>
  <c r="F327" i="36"/>
  <c r="E327" i="36"/>
  <c r="D327" i="36"/>
  <c r="G323" i="36"/>
  <c r="F323" i="36"/>
  <c r="E323" i="36"/>
  <c r="D323" i="36"/>
  <c r="G319" i="36"/>
  <c r="F319" i="36"/>
  <c r="E319" i="36"/>
  <c r="D319" i="36"/>
  <c r="G315" i="36"/>
  <c r="F315" i="36"/>
  <c r="E315" i="36"/>
  <c r="D315" i="36"/>
  <c r="G311" i="36"/>
  <c r="F311" i="36"/>
  <c r="E311" i="36"/>
  <c r="D311" i="36"/>
  <c r="G307" i="36"/>
  <c r="F307" i="36"/>
  <c r="E307" i="36"/>
  <c r="D307" i="36"/>
  <c r="G303" i="36"/>
  <c r="F303" i="36"/>
  <c r="E303" i="36"/>
  <c r="D303" i="36"/>
  <c r="G299" i="36"/>
  <c r="F299" i="36"/>
  <c r="E299" i="36"/>
  <c r="D299" i="36"/>
  <c r="G295" i="36"/>
  <c r="F295" i="36"/>
  <c r="E295" i="36"/>
  <c r="D295" i="36"/>
  <c r="G291" i="36"/>
  <c r="F291" i="36"/>
  <c r="E291" i="36"/>
  <c r="D291" i="36"/>
  <c r="G287" i="36"/>
  <c r="F287" i="36"/>
  <c r="E287" i="36"/>
  <c r="D287" i="36"/>
  <c r="G283" i="36"/>
  <c r="F283" i="36"/>
  <c r="E283" i="36"/>
  <c r="D283" i="36"/>
  <c r="G279" i="36"/>
  <c r="F279" i="36"/>
  <c r="E279" i="36"/>
  <c r="D279" i="36"/>
  <c r="G275" i="36"/>
  <c r="F275" i="36"/>
  <c r="E275" i="36"/>
  <c r="D275" i="36"/>
  <c r="G271" i="36"/>
  <c r="F271" i="36"/>
  <c r="E271" i="36"/>
  <c r="D271" i="36"/>
  <c r="G267" i="36"/>
  <c r="F267" i="36"/>
  <c r="E267" i="36"/>
  <c r="D267" i="36"/>
  <c r="G263" i="36"/>
  <c r="F263" i="36"/>
  <c r="E263" i="36"/>
  <c r="D263" i="36"/>
  <c r="G259" i="36"/>
  <c r="F259" i="36"/>
  <c r="E259" i="36"/>
  <c r="D259" i="36"/>
  <c r="G255" i="36"/>
  <c r="F255" i="36"/>
  <c r="E255" i="36"/>
  <c r="D255" i="36"/>
  <c r="G251" i="36"/>
  <c r="F251" i="36"/>
  <c r="E251" i="36"/>
  <c r="D251" i="36"/>
  <c r="G247" i="36"/>
  <c r="F247" i="36"/>
  <c r="E247" i="36"/>
  <c r="D247" i="36"/>
  <c r="G243" i="36"/>
  <c r="F243" i="36"/>
  <c r="E243" i="36"/>
  <c r="D243" i="36"/>
  <c r="G239" i="36"/>
  <c r="F239" i="36"/>
  <c r="E239" i="36"/>
  <c r="D239" i="36"/>
  <c r="G235" i="36"/>
  <c r="F235" i="36"/>
  <c r="E235" i="36"/>
  <c r="D235" i="36"/>
  <c r="G231" i="36"/>
  <c r="F231" i="36"/>
  <c r="E231" i="36"/>
  <c r="D231" i="36"/>
  <c r="G227" i="36"/>
  <c r="F227" i="36"/>
  <c r="E227" i="36"/>
  <c r="D227" i="36"/>
  <c r="G223" i="36"/>
  <c r="F223" i="36"/>
  <c r="E223" i="36"/>
  <c r="D223" i="36"/>
  <c r="G219" i="36"/>
  <c r="F219" i="36"/>
  <c r="E219" i="36"/>
  <c r="D219" i="36"/>
  <c r="G215" i="36"/>
  <c r="F215" i="36"/>
  <c r="E215" i="36"/>
  <c r="D215" i="36"/>
  <c r="G211" i="36"/>
  <c r="F211" i="36"/>
  <c r="E211" i="36"/>
  <c r="D211" i="36"/>
  <c r="G207" i="36"/>
  <c r="F207" i="36"/>
  <c r="E207" i="36"/>
  <c r="D207" i="36"/>
  <c r="G203" i="36"/>
  <c r="F203" i="36"/>
  <c r="E203" i="36"/>
  <c r="D203" i="36"/>
  <c r="G199" i="36"/>
  <c r="F199" i="36"/>
  <c r="E199" i="36"/>
  <c r="D199" i="36"/>
  <c r="G195" i="36"/>
  <c r="F195" i="36"/>
  <c r="E195" i="36"/>
  <c r="D195" i="36"/>
  <c r="G191" i="36"/>
  <c r="F191" i="36"/>
  <c r="E191" i="36"/>
  <c r="D191" i="36"/>
  <c r="G187" i="36"/>
  <c r="F187" i="36"/>
  <c r="E187" i="36"/>
  <c r="D187" i="36"/>
  <c r="G183" i="36"/>
  <c r="F183" i="36"/>
  <c r="E183" i="36"/>
  <c r="D183" i="36"/>
  <c r="G179" i="36"/>
  <c r="F179" i="36"/>
  <c r="E179" i="36"/>
  <c r="D179" i="36"/>
  <c r="G175" i="36"/>
  <c r="F175" i="36"/>
  <c r="E175" i="36"/>
  <c r="D175" i="36"/>
  <c r="G171" i="36"/>
  <c r="F171" i="36"/>
  <c r="E171" i="36"/>
  <c r="D171" i="36"/>
  <c r="G167" i="36"/>
  <c r="F167" i="36"/>
  <c r="E167" i="36"/>
  <c r="D167" i="36"/>
  <c r="G163" i="36"/>
  <c r="F163" i="36"/>
  <c r="E163" i="36"/>
  <c r="D163" i="36"/>
  <c r="G159" i="36"/>
  <c r="F159" i="36"/>
  <c r="E159" i="36"/>
  <c r="D159" i="36"/>
  <c r="G155" i="36"/>
  <c r="F155" i="36"/>
  <c r="E155" i="36"/>
  <c r="D155" i="36"/>
  <c r="G151" i="36"/>
  <c r="F151" i="36"/>
  <c r="E151" i="36"/>
  <c r="D151" i="36"/>
  <c r="G147" i="36"/>
  <c r="F147" i="36"/>
  <c r="E147" i="36"/>
  <c r="D147" i="36"/>
  <c r="G143" i="36"/>
  <c r="F143" i="36"/>
  <c r="E143" i="36"/>
  <c r="D143" i="36"/>
  <c r="G139" i="36"/>
  <c r="F139" i="36"/>
  <c r="E139" i="36"/>
  <c r="D139" i="36"/>
  <c r="G135" i="36"/>
  <c r="F135" i="36"/>
  <c r="E135" i="36"/>
  <c r="D135" i="36"/>
  <c r="G131" i="36"/>
  <c r="F131" i="36"/>
  <c r="E131" i="36"/>
  <c r="D131" i="36"/>
  <c r="G127" i="36"/>
  <c r="F127" i="36"/>
  <c r="E127" i="36"/>
  <c r="D127" i="36"/>
  <c r="G123" i="36"/>
  <c r="F123" i="36"/>
  <c r="E123" i="36"/>
  <c r="D123" i="36"/>
  <c r="G119" i="36"/>
  <c r="F119" i="36"/>
  <c r="E119" i="36"/>
  <c r="D119" i="36"/>
  <c r="G115" i="36"/>
  <c r="F115" i="36"/>
  <c r="E115" i="36"/>
  <c r="D115" i="36"/>
  <c r="G111" i="36"/>
  <c r="F111" i="36"/>
  <c r="E111" i="36"/>
  <c r="D111" i="36"/>
  <c r="G107" i="36"/>
  <c r="F107" i="36"/>
  <c r="E107" i="36"/>
  <c r="D107" i="36"/>
  <c r="G103" i="36"/>
  <c r="F103" i="36"/>
  <c r="E103" i="36"/>
  <c r="D103" i="36"/>
  <c r="G99" i="36"/>
  <c r="F99" i="36"/>
  <c r="E99" i="36"/>
  <c r="D99" i="36"/>
  <c r="G95" i="36"/>
  <c r="F95" i="36"/>
  <c r="E95" i="36"/>
  <c r="D95" i="36"/>
  <c r="G91" i="36"/>
  <c r="F91" i="36"/>
  <c r="E91" i="36"/>
  <c r="D91" i="36"/>
  <c r="G87" i="36"/>
  <c r="F87" i="36"/>
  <c r="E87" i="36"/>
  <c r="D87" i="36"/>
  <c r="G83" i="36"/>
  <c r="F83" i="36"/>
  <c r="E83" i="36"/>
  <c r="D83" i="36"/>
  <c r="G79" i="36"/>
  <c r="F79" i="36"/>
  <c r="E79" i="36"/>
  <c r="D79" i="36"/>
  <c r="G75" i="36"/>
  <c r="F75" i="36"/>
  <c r="E75" i="36"/>
  <c r="D75" i="36"/>
  <c r="G71" i="36"/>
  <c r="F71" i="36"/>
  <c r="E71" i="36"/>
  <c r="D71" i="36"/>
  <c r="G67" i="36"/>
  <c r="F67" i="36"/>
  <c r="E67" i="36"/>
  <c r="D67" i="36"/>
  <c r="G63" i="36"/>
  <c r="F63" i="36"/>
  <c r="E63" i="36"/>
  <c r="D63" i="36"/>
  <c r="G59" i="36"/>
  <c r="F59" i="36"/>
  <c r="E59" i="36"/>
  <c r="D59" i="36"/>
  <c r="G55" i="36"/>
  <c r="F55" i="36"/>
  <c r="E55" i="36"/>
  <c r="D55" i="36"/>
  <c r="G51" i="36"/>
  <c r="F51" i="36"/>
  <c r="E51" i="36"/>
  <c r="D51" i="36"/>
  <c r="G47" i="36"/>
  <c r="F47" i="36"/>
  <c r="E47" i="36"/>
  <c r="D47" i="36"/>
  <c r="G43" i="36"/>
  <c r="F43" i="36"/>
  <c r="E43" i="36"/>
  <c r="D43" i="36"/>
  <c r="G39" i="36"/>
  <c r="F39" i="36"/>
  <c r="E39" i="36"/>
  <c r="D39" i="36"/>
  <c r="G35" i="36"/>
  <c r="F35" i="36"/>
  <c r="E35" i="36"/>
  <c r="D35" i="36"/>
  <c r="G31" i="36"/>
  <c r="F31" i="36"/>
  <c r="E31" i="36"/>
  <c r="D31" i="36"/>
  <c r="G27" i="36"/>
  <c r="F27" i="36"/>
  <c r="E27" i="36"/>
  <c r="D27" i="36"/>
  <c r="G23" i="36"/>
  <c r="F23" i="36"/>
  <c r="E23" i="36"/>
  <c r="D23" i="36"/>
  <c r="G19" i="36"/>
  <c r="F19" i="36"/>
  <c r="E19" i="36"/>
  <c r="D19" i="36"/>
  <c r="G15" i="36"/>
  <c r="F15" i="36"/>
  <c r="E15" i="36"/>
  <c r="D15" i="36"/>
  <c r="G11" i="36"/>
  <c r="F11" i="36"/>
  <c r="E11" i="36"/>
  <c r="D11" i="36"/>
  <c r="G7" i="36"/>
  <c r="F7" i="36"/>
  <c r="E7" i="36"/>
  <c r="D7" i="36"/>
  <c r="F3" i="36"/>
  <c r="E3" i="36"/>
  <c r="G3" i="36"/>
  <c r="D3" i="36"/>
  <c r="G2057" i="36"/>
  <c r="F2057" i="36"/>
  <c r="E2057" i="36"/>
  <c r="D2057" i="36"/>
  <c r="G2049" i="36"/>
  <c r="F2049" i="36"/>
  <c r="E2049" i="36"/>
  <c r="D2049" i="36"/>
  <c r="G2041" i="36"/>
  <c r="F2041" i="36"/>
  <c r="E2041" i="36"/>
  <c r="D2041" i="36"/>
  <c r="G2033" i="36"/>
  <c r="F2033" i="36"/>
  <c r="E2033" i="36"/>
  <c r="D2033" i="36"/>
  <c r="G2025" i="36"/>
  <c r="F2025" i="36"/>
  <c r="E2025" i="36"/>
  <c r="D2025" i="36"/>
  <c r="G2017" i="36"/>
  <c r="F2017" i="36"/>
  <c r="E2017" i="36"/>
  <c r="D2017" i="36"/>
  <c r="G2009" i="36"/>
  <c r="F2009" i="36"/>
  <c r="E2009" i="36"/>
  <c r="D2009" i="36"/>
  <c r="G2001" i="36"/>
  <c r="F2001" i="36"/>
  <c r="E2001" i="36"/>
  <c r="D2001" i="36"/>
  <c r="G1993" i="36"/>
  <c r="F1993" i="36"/>
  <c r="E1993" i="36"/>
  <c r="D1993" i="36"/>
  <c r="G1985" i="36"/>
  <c r="F1985" i="36"/>
  <c r="E1985" i="36"/>
  <c r="D1985" i="36"/>
  <c r="G1977" i="36"/>
  <c r="F1977" i="36"/>
  <c r="E1977" i="36"/>
  <c r="D1977" i="36"/>
  <c r="G1969" i="36"/>
  <c r="F1969" i="36"/>
  <c r="E1969" i="36"/>
  <c r="D1969" i="36"/>
  <c r="G1961" i="36"/>
  <c r="F1961" i="36"/>
  <c r="E1961" i="36"/>
  <c r="D1961" i="36"/>
  <c r="G1949" i="36"/>
  <c r="F1949" i="36"/>
  <c r="E1949" i="36"/>
  <c r="D1949" i="36"/>
  <c r="G1941" i="36"/>
  <c r="F1941" i="36"/>
  <c r="E1941" i="36"/>
  <c r="D1941" i="36"/>
  <c r="G1933" i="36"/>
  <c r="F1933" i="36"/>
  <c r="E1933" i="36"/>
  <c r="D1933" i="36"/>
  <c r="G1925" i="36"/>
  <c r="F1925" i="36"/>
  <c r="E1925" i="36"/>
  <c r="D1925" i="36"/>
  <c r="G1917" i="36"/>
  <c r="F1917" i="36"/>
  <c r="D1917" i="36"/>
  <c r="E1917" i="36"/>
  <c r="G1909" i="36"/>
  <c r="F1909" i="36"/>
  <c r="D1909" i="36"/>
  <c r="E1909" i="36"/>
  <c r="G1897" i="36"/>
  <c r="F1897" i="36"/>
  <c r="D1897" i="36"/>
  <c r="E1897" i="36"/>
  <c r="G1889" i="36"/>
  <c r="F1889" i="36"/>
  <c r="D1889" i="36"/>
  <c r="E1889" i="36"/>
  <c r="G1881" i="36"/>
  <c r="F1881" i="36"/>
  <c r="D1881" i="36"/>
  <c r="E1881" i="36"/>
  <c r="G1873" i="36"/>
  <c r="F1873" i="36"/>
  <c r="D1873" i="36"/>
  <c r="E1873" i="36"/>
  <c r="G1865" i="36"/>
  <c r="F1865" i="36"/>
  <c r="D1865" i="36"/>
  <c r="E1865" i="36"/>
  <c r="G1853" i="36"/>
  <c r="F1853" i="36"/>
  <c r="D1853" i="36"/>
  <c r="E1853" i="36"/>
  <c r="G1845" i="36"/>
  <c r="F1845" i="36"/>
  <c r="D1845" i="36"/>
  <c r="E1845" i="36"/>
  <c r="G1837" i="36"/>
  <c r="F1837" i="36"/>
  <c r="D1837" i="36"/>
  <c r="E1837" i="36"/>
  <c r="G1829" i="36"/>
  <c r="F1829" i="36"/>
  <c r="D1829" i="36"/>
  <c r="E1829" i="36"/>
  <c r="G1821" i="36"/>
  <c r="F1821" i="36"/>
  <c r="D1821" i="36"/>
  <c r="E1821" i="36"/>
  <c r="G1813" i="36"/>
  <c r="F1813" i="36"/>
  <c r="D1813" i="36"/>
  <c r="E1813" i="36"/>
  <c r="G1805" i="36"/>
  <c r="F1805" i="36"/>
  <c r="D1805" i="36"/>
  <c r="E1805" i="36"/>
  <c r="G1797" i="36"/>
  <c r="F1797" i="36"/>
  <c r="D1797" i="36"/>
  <c r="E1797" i="36"/>
  <c r="G1789" i="36"/>
  <c r="F1789" i="36"/>
  <c r="D1789" i="36"/>
  <c r="E1789" i="36"/>
  <c r="G1777" i="36"/>
  <c r="F1777" i="36"/>
  <c r="D1777" i="36"/>
  <c r="E1777" i="36"/>
  <c r="G1769" i="36"/>
  <c r="F1769" i="36"/>
  <c r="D1769" i="36"/>
  <c r="E1769" i="36"/>
  <c r="G1761" i="36"/>
  <c r="F1761" i="36"/>
  <c r="D1761" i="36"/>
  <c r="E1761" i="36"/>
  <c r="G1753" i="36"/>
  <c r="F1753" i="36"/>
  <c r="D1753" i="36"/>
  <c r="E1753" i="36"/>
  <c r="G1745" i="36"/>
  <c r="F1745" i="36"/>
  <c r="D1745" i="36"/>
  <c r="E1745" i="36"/>
  <c r="G1737" i="36"/>
  <c r="F1737" i="36"/>
  <c r="D1737" i="36"/>
  <c r="E1737" i="36"/>
  <c r="G1729" i="36"/>
  <c r="F1729" i="36"/>
  <c r="D1729" i="36"/>
  <c r="E1729" i="36"/>
  <c r="G1721" i="36"/>
  <c r="F1721" i="36"/>
  <c r="D1721" i="36"/>
  <c r="E1721" i="36"/>
  <c r="G1713" i="36"/>
  <c r="F1713" i="36"/>
  <c r="D1713" i="36"/>
  <c r="E1713" i="36"/>
  <c r="G1705" i="36"/>
  <c r="F1705" i="36"/>
  <c r="D1705" i="36"/>
  <c r="E1705" i="36"/>
  <c r="G1697" i="36"/>
  <c r="F1697" i="36"/>
  <c r="D1697" i="36"/>
  <c r="E1697" i="36"/>
  <c r="G1689" i="36"/>
  <c r="F1689" i="36"/>
  <c r="D1689" i="36"/>
  <c r="E1689" i="36"/>
  <c r="G1681" i="36"/>
  <c r="F1681" i="36"/>
  <c r="D1681" i="36"/>
  <c r="E1681" i="36"/>
  <c r="G1673" i="36"/>
  <c r="F1673" i="36"/>
  <c r="E1673" i="36"/>
  <c r="D1673" i="36"/>
  <c r="G1665" i="36"/>
  <c r="F1665" i="36"/>
  <c r="E1665" i="36"/>
  <c r="D1665" i="36"/>
  <c r="G1657" i="36"/>
  <c r="F1657" i="36"/>
  <c r="E1657" i="36"/>
  <c r="D1657" i="36"/>
  <c r="G1649" i="36"/>
  <c r="F1649" i="36"/>
  <c r="E1649" i="36"/>
  <c r="D1649" i="36"/>
  <c r="G1641" i="36"/>
  <c r="F1641" i="36"/>
  <c r="E1641" i="36"/>
  <c r="D1641" i="36"/>
  <c r="G1633" i="36"/>
  <c r="F1633" i="36"/>
  <c r="E1633" i="36"/>
  <c r="D1633" i="36"/>
  <c r="G1625" i="36"/>
  <c r="F1625" i="36"/>
  <c r="E1625" i="36"/>
  <c r="D1625" i="36"/>
  <c r="G1617" i="36"/>
  <c r="F1617" i="36"/>
  <c r="E1617" i="36"/>
  <c r="D1617" i="36"/>
  <c r="G1609" i="36"/>
  <c r="F1609" i="36"/>
  <c r="E1609" i="36"/>
  <c r="D1609" i="36"/>
  <c r="G1601" i="36"/>
  <c r="F1601" i="36"/>
  <c r="E1601" i="36"/>
  <c r="D1601" i="36"/>
  <c r="G1589" i="36"/>
  <c r="F1589" i="36"/>
  <c r="E1589" i="36"/>
  <c r="D1589" i="36"/>
  <c r="G1581" i="36"/>
  <c r="F1581" i="36"/>
  <c r="E1581" i="36"/>
  <c r="D1581" i="36"/>
  <c r="G1573" i="36"/>
  <c r="F1573" i="36"/>
  <c r="E1573" i="36"/>
  <c r="D1573" i="36"/>
  <c r="G1565" i="36"/>
  <c r="F1565" i="36"/>
  <c r="E1565" i="36"/>
  <c r="D1565" i="36"/>
  <c r="G1561" i="36"/>
  <c r="F1561" i="36"/>
  <c r="E1561" i="36"/>
  <c r="D1561" i="36"/>
  <c r="G1553" i="36"/>
  <c r="F1553" i="36"/>
  <c r="E1553" i="36"/>
  <c r="D1553" i="36"/>
  <c r="G1545" i="36"/>
  <c r="F1545" i="36"/>
  <c r="E1545" i="36"/>
  <c r="D1545" i="36"/>
  <c r="G1537" i="36"/>
  <c r="F1537" i="36"/>
  <c r="E1537" i="36"/>
  <c r="D1537" i="36"/>
  <c r="G1521" i="36"/>
  <c r="F1521" i="36"/>
  <c r="E1521" i="36"/>
  <c r="D1521" i="36"/>
  <c r="G1509" i="36"/>
  <c r="F1509" i="36"/>
  <c r="E1509" i="36"/>
  <c r="D1509" i="36"/>
  <c r="G1493" i="36"/>
  <c r="F1493" i="36"/>
  <c r="E1493" i="36"/>
  <c r="D1493" i="36"/>
  <c r="G1481" i="36"/>
  <c r="F1481" i="36"/>
  <c r="E1481" i="36"/>
  <c r="D1481" i="36"/>
  <c r="G1469" i="36"/>
  <c r="F1469" i="36"/>
  <c r="E1469" i="36"/>
  <c r="D1469" i="36"/>
  <c r="G1457" i="36"/>
  <c r="F1457" i="36"/>
  <c r="E1457" i="36"/>
  <c r="D1457" i="36"/>
  <c r="G1445" i="36"/>
  <c r="F1445" i="36"/>
  <c r="E1445" i="36"/>
  <c r="D1445" i="36"/>
  <c r="G1433" i="36"/>
  <c r="F1433" i="36"/>
  <c r="E1433" i="36"/>
  <c r="D1433" i="36"/>
  <c r="G1421" i="36"/>
  <c r="F1421" i="36"/>
  <c r="E1421" i="36"/>
  <c r="D1421" i="36"/>
  <c r="G1405" i="36"/>
  <c r="F1405" i="36"/>
  <c r="E1405" i="36"/>
  <c r="D1405" i="36"/>
  <c r="G1389" i="36"/>
  <c r="F1389" i="36"/>
  <c r="E1389" i="36"/>
  <c r="D1389" i="36"/>
  <c r="G1377" i="36"/>
  <c r="F1377" i="36"/>
  <c r="E1377" i="36"/>
  <c r="D1377" i="36"/>
  <c r="G1365" i="36"/>
  <c r="F1365" i="36"/>
  <c r="E1365" i="36"/>
  <c r="D1365" i="36"/>
  <c r="G1349" i="36"/>
  <c r="F1349" i="36"/>
  <c r="E1349" i="36"/>
  <c r="D1349" i="36"/>
  <c r="G1337" i="36"/>
  <c r="F1337" i="36"/>
  <c r="E1337" i="36"/>
  <c r="D1337" i="36"/>
  <c r="G1321" i="36"/>
  <c r="F1321" i="36"/>
  <c r="E1321" i="36"/>
  <c r="D1321" i="36"/>
  <c r="G1309" i="36"/>
  <c r="F1309" i="36"/>
  <c r="E1309" i="36"/>
  <c r="D1309" i="36"/>
  <c r="G1297" i="36"/>
  <c r="F1297" i="36"/>
  <c r="E1297" i="36"/>
  <c r="D1297" i="36"/>
  <c r="G1285" i="36"/>
  <c r="F1285" i="36"/>
  <c r="E1285" i="36"/>
  <c r="D1285" i="36"/>
  <c r="G1273" i="36"/>
  <c r="F1273" i="36"/>
  <c r="E1273" i="36"/>
  <c r="D1273" i="36"/>
  <c r="G1261" i="36"/>
  <c r="F1261" i="36"/>
  <c r="E1261" i="36"/>
  <c r="D1261" i="36"/>
  <c r="G1249" i="36"/>
  <c r="F1249" i="36"/>
  <c r="E1249" i="36"/>
  <c r="D1249" i="36"/>
  <c r="G1237" i="36"/>
  <c r="F1237" i="36"/>
  <c r="E1237" i="36"/>
  <c r="D1237" i="36"/>
  <c r="G1225" i="36"/>
  <c r="F1225" i="36"/>
  <c r="E1225" i="36"/>
  <c r="D1225" i="36"/>
  <c r="G1209" i="36"/>
  <c r="F1209" i="36"/>
  <c r="E1209" i="36"/>
  <c r="D1209" i="36"/>
  <c r="G1193" i="36"/>
  <c r="F1193" i="36"/>
  <c r="E1193" i="36"/>
  <c r="D1193" i="36"/>
  <c r="G1181" i="36"/>
  <c r="F1181" i="36"/>
  <c r="E1181" i="36"/>
  <c r="D1181" i="36"/>
  <c r="G1169" i="36"/>
  <c r="F1169" i="36"/>
  <c r="E1169" i="36"/>
  <c r="D1169" i="36"/>
  <c r="G1157" i="36"/>
  <c r="F1157" i="36"/>
  <c r="E1157" i="36"/>
  <c r="D1157" i="36"/>
  <c r="G1145" i="36"/>
  <c r="F1145" i="36"/>
  <c r="E1145" i="36"/>
  <c r="D1145" i="36"/>
  <c r="G1133" i="36"/>
  <c r="F1133" i="36"/>
  <c r="E1133" i="36"/>
  <c r="D1133" i="36"/>
  <c r="G1121" i="36"/>
  <c r="F1121" i="36"/>
  <c r="E1121" i="36"/>
  <c r="D1121" i="36"/>
  <c r="G1109" i="36"/>
  <c r="F1109" i="36"/>
  <c r="E1109" i="36"/>
  <c r="D1109" i="36"/>
  <c r="G1093" i="36"/>
  <c r="F1093" i="36"/>
  <c r="E1093" i="36"/>
  <c r="D1093" i="36"/>
  <c r="G1081" i="36"/>
  <c r="F1081" i="36"/>
  <c r="E1081" i="36"/>
  <c r="D1081" i="36"/>
  <c r="G1065" i="36"/>
  <c r="F1065" i="36"/>
  <c r="E1065" i="36"/>
  <c r="D1065" i="36"/>
  <c r="G1053" i="36"/>
  <c r="F1053" i="36"/>
  <c r="E1053" i="36"/>
  <c r="D1053" i="36"/>
  <c r="G1041" i="36"/>
  <c r="F1041" i="36"/>
  <c r="E1041" i="36"/>
  <c r="D1041" i="36"/>
  <c r="G1029" i="36"/>
  <c r="F1029" i="36"/>
  <c r="E1029" i="36"/>
  <c r="D1029" i="36"/>
  <c r="G1017" i="36"/>
  <c r="F1017" i="36"/>
  <c r="E1017" i="36"/>
  <c r="D1017" i="36"/>
  <c r="G1001" i="36"/>
  <c r="F1001" i="36"/>
  <c r="E1001" i="36"/>
  <c r="D1001" i="36"/>
  <c r="G985" i="36"/>
  <c r="F985" i="36"/>
  <c r="E985" i="36"/>
  <c r="D985" i="36"/>
  <c r="G973" i="36"/>
  <c r="F973" i="36"/>
  <c r="E973" i="36"/>
  <c r="D973" i="36"/>
  <c r="G961" i="36"/>
  <c r="F961" i="36"/>
  <c r="E961" i="36"/>
  <c r="D961" i="36"/>
  <c r="G949" i="36"/>
  <c r="F949" i="36"/>
  <c r="E949" i="36"/>
  <c r="D949" i="36"/>
  <c r="G929" i="36"/>
  <c r="F929" i="36"/>
  <c r="E929" i="36"/>
  <c r="D929" i="36"/>
  <c r="G917" i="36"/>
  <c r="F917" i="36"/>
  <c r="E917" i="36"/>
  <c r="D917" i="36"/>
  <c r="G905" i="36"/>
  <c r="F905" i="36"/>
  <c r="E905" i="36"/>
  <c r="D905" i="36"/>
  <c r="G893" i="36"/>
  <c r="F893" i="36"/>
  <c r="E893" i="36"/>
  <c r="D893" i="36"/>
  <c r="G881" i="36"/>
  <c r="F881" i="36"/>
  <c r="E881" i="36"/>
  <c r="D881" i="36"/>
  <c r="G869" i="36"/>
  <c r="F869" i="36"/>
  <c r="E869" i="36"/>
  <c r="D869" i="36"/>
  <c r="G849" i="36"/>
  <c r="F849" i="36"/>
  <c r="E849" i="36"/>
  <c r="D849" i="36"/>
  <c r="G837" i="36"/>
  <c r="F837" i="36"/>
  <c r="E837" i="36"/>
  <c r="D837" i="36"/>
  <c r="G825" i="36"/>
  <c r="F825" i="36"/>
  <c r="E825" i="36"/>
  <c r="D825" i="36"/>
  <c r="G813" i="36"/>
  <c r="F813" i="36"/>
  <c r="E813" i="36"/>
  <c r="D813" i="36"/>
  <c r="G801" i="36"/>
  <c r="F801" i="36"/>
  <c r="E801" i="36"/>
  <c r="D801" i="36"/>
  <c r="G781" i="36"/>
  <c r="F781" i="36"/>
  <c r="E781" i="36"/>
  <c r="D781" i="36"/>
  <c r="G769" i="36"/>
  <c r="F769" i="36"/>
  <c r="E769" i="36"/>
  <c r="D769" i="36"/>
  <c r="G757" i="36"/>
  <c r="F757" i="36"/>
  <c r="E757" i="36"/>
  <c r="D757" i="36"/>
  <c r="G745" i="36"/>
  <c r="F745" i="36"/>
  <c r="E745" i="36"/>
  <c r="D745" i="36"/>
  <c r="G733" i="36"/>
  <c r="F733" i="36"/>
  <c r="E733" i="36"/>
  <c r="D733" i="36"/>
  <c r="G713" i="36"/>
  <c r="F713" i="36"/>
  <c r="E713" i="36"/>
  <c r="D713" i="36"/>
  <c r="G701" i="36"/>
  <c r="F701" i="36"/>
  <c r="E701" i="36"/>
  <c r="D701" i="36"/>
  <c r="G689" i="36"/>
  <c r="F689" i="36"/>
  <c r="E689" i="36"/>
  <c r="D689" i="36"/>
  <c r="G677" i="36"/>
  <c r="F677" i="36"/>
  <c r="E677" i="36"/>
  <c r="D677" i="36"/>
  <c r="G665" i="36"/>
  <c r="F665" i="36"/>
  <c r="E665" i="36"/>
  <c r="D665" i="36"/>
  <c r="G649" i="36"/>
  <c r="F649" i="36"/>
  <c r="E649" i="36"/>
  <c r="D649" i="36"/>
  <c r="G633" i="36"/>
  <c r="F633" i="36"/>
  <c r="E633" i="36"/>
  <c r="D633" i="36"/>
  <c r="G621" i="36"/>
  <c r="F621" i="36"/>
  <c r="E621" i="36"/>
  <c r="D621" i="36"/>
  <c r="G609" i="36"/>
  <c r="F609" i="36"/>
  <c r="E609" i="36"/>
  <c r="D609" i="36"/>
  <c r="G597" i="36"/>
  <c r="F597" i="36"/>
  <c r="E597" i="36"/>
  <c r="D597" i="36"/>
  <c r="G585" i="36"/>
  <c r="F585" i="36"/>
  <c r="E585" i="36"/>
  <c r="D585" i="36"/>
  <c r="G573" i="36"/>
  <c r="F573" i="36"/>
  <c r="E573" i="36"/>
  <c r="D573" i="36"/>
  <c r="G561" i="36"/>
  <c r="F561" i="36"/>
  <c r="E561" i="36"/>
  <c r="D561" i="36"/>
  <c r="G549" i="36"/>
  <c r="F549" i="36"/>
  <c r="E549" i="36"/>
  <c r="D549" i="36"/>
  <c r="G533" i="36"/>
  <c r="F533" i="36"/>
  <c r="E533" i="36"/>
  <c r="D533" i="36"/>
  <c r="G517" i="36"/>
  <c r="F517" i="36"/>
  <c r="E517" i="36"/>
  <c r="D517" i="36"/>
  <c r="G505" i="36"/>
  <c r="F505" i="36"/>
  <c r="E505" i="36"/>
  <c r="D505" i="36"/>
  <c r="G493" i="36"/>
  <c r="F493" i="36"/>
  <c r="E493" i="36"/>
  <c r="D493" i="36"/>
  <c r="G481" i="36"/>
  <c r="F481" i="36"/>
  <c r="E481" i="36"/>
  <c r="D481" i="36"/>
  <c r="G461" i="36"/>
  <c r="F461" i="36"/>
  <c r="E461" i="36"/>
  <c r="D461" i="36"/>
  <c r="G449" i="36"/>
  <c r="F449" i="36"/>
  <c r="E449" i="36"/>
  <c r="D449" i="36"/>
  <c r="G437" i="36"/>
  <c r="F437" i="36"/>
  <c r="E437" i="36"/>
  <c r="D437" i="36"/>
  <c r="G425" i="36"/>
  <c r="F425" i="36"/>
  <c r="E425" i="36"/>
  <c r="D425" i="36"/>
  <c r="G413" i="36"/>
  <c r="F413" i="36"/>
  <c r="E413" i="36"/>
  <c r="D413" i="36"/>
  <c r="G401" i="36"/>
  <c r="F401" i="36"/>
  <c r="E401" i="36"/>
  <c r="D401" i="36"/>
  <c r="G389" i="36"/>
  <c r="F389" i="36"/>
  <c r="E389" i="36"/>
  <c r="D389" i="36"/>
  <c r="G377" i="36"/>
  <c r="F377" i="36"/>
  <c r="E377" i="36"/>
  <c r="D377" i="36"/>
  <c r="G365" i="36"/>
  <c r="F365" i="36"/>
  <c r="E365" i="36"/>
  <c r="D365" i="36"/>
  <c r="G353" i="36"/>
  <c r="F353" i="36"/>
  <c r="E353" i="36"/>
  <c r="D353" i="36"/>
  <c r="G341" i="36"/>
  <c r="F341" i="36"/>
  <c r="E341" i="36"/>
  <c r="D341" i="36"/>
  <c r="G329" i="36"/>
  <c r="F329" i="36"/>
  <c r="E329" i="36"/>
  <c r="D329" i="36"/>
  <c r="G317" i="36"/>
  <c r="F317" i="36"/>
  <c r="E317" i="36"/>
  <c r="D317" i="36"/>
  <c r="G305" i="36"/>
  <c r="F305" i="36"/>
  <c r="E305" i="36"/>
  <c r="D305" i="36"/>
  <c r="G293" i="36"/>
  <c r="F293" i="36"/>
  <c r="E293" i="36"/>
  <c r="D293" i="36"/>
  <c r="G281" i="36"/>
  <c r="F281" i="36"/>
  <c r="E281" i="36"/>
  <c r="D281" i="36"/>
  <c r="G269" i="36"/>
  <c r="F269" i="36"/>
  <c r="E269" i="36"/>
  <c r="D269" i="36"/>
  <c r="G257" i="36"/>
  <c r="F257" i="36"/>
  <c r="E257" i="36"/>
  <c r="D257" i="36"/>
  <c r="G241" i="36"/>
  <c r="F241" i="36"/>
  <c r="E241" i="36"/>
  <c r="D241" i="36"/>
  <c r="G225" i="36"/>
  <c r="F225" i="36"/>
  <c r="E225" i="36"/>
  <c r="D225" i="36"/>
  <c r="G209" i="36"/>
  <c r="F209" i="36"/>
  <c r="E209" i="36"/>
  <c r="D209" i="36"/>
  <c r="G197" i="36"/>
  <c r="F197" i="36"/>
  <c r="E197" i="36"/>
  <c r="D197" i="36"/>
  <c r="G185" i="36"/>
  <c r="F185" i="36"/>
  <c r="E185" i="36"/>
  <c r="D185" i="36"/>
  <c r="G173" i="36"/>
  <c r="F173" i="36"/>
  <c r="E173" i="36"/>
  <c r="D173" i="36"/>
  <c r="G161" i="36"/>
  <c r="F161" i="36"/>
  <c r="E161" i="36"/>
  <c r="D161" i="36"/>
  <c r="G149" i="36"/>
  <c r="F149" i="36"/>
  <c r="E149" i="36"/>
  <c r="D149" i="36"/>
  <c r="G137" i="36"/>
  <c r="F137" i="36"/>
  <c r="E137" i="36"/>
  <c r="D137" i="36"/>
  <c r="G125" i="36"/>
  <c r="F125" i="36"/>
  <c r="E125" i="36"/>
  <c r="D125" i="36"/>
  <c r="G113" i="36"/>
  <c r="F113" i="36"/>
  <c r="E113" i="36"/>
  <c r="D113" i="36"/>
  <c r="G101" i="36"/>
  <c r="F101" i="36"/>
  <c r="E101" i="36"/>
  <c r="D101" i="36"/>
  <c r="G89" i="36"/>
  <c r="F89" i="36"/>
  <c r="E89" i="36"/>
  <c r="D89" i="36"/>
  <c r="G77" i="36"/>
  <c r="F77" i="36"/>
  <c r="E77" i="36"/>
  <c r="D77" i="36"/>
  <c r="G65" i="36"/>
  <c r="F65" i="36"/>
  <c r="E65" i="36"/>
  <c r="D65" i="36"/>
  <c r="G49" i="36"/>
  <c r="F49" i="36"/>
  <c r="E49" i="36"/>
  <c r="D49" i="36"/>
  <c r="G41" i="36"/>
  <c r="F41" i="36"/>
  <c r="E41" i="36"/>
  <c r="D41" i="36"/>
  <c r="G29" i="36"/>
  <c r="F29" i="36"/>
  <c r="E29" i="36"/>
  <c r="D29" i="36"/>
  <c r="G25" i="36"/>
  <c r="F25" i="36"/>
  <c r="E25" i="36"/>
  <c r="D25" i="36"/>
  <c r="G21" i="36"/>
  <c r="F21" i="36"/>
  <c r="E21" i="36"/>
  <c r="D21" i="36"/>
  <c r="G17" i="36"/>
  <c r="F17" i="36"/>
  <c r="E17" i="36"/>
  <c r="D17" i="36"/>
  <c r="G13" i="36"/>
  <c r="F13" i="36"/>
  <c r="E13" i="36"/>
  <c r="D13" i="36"/>
  <c r="G9" i="36"/>
  <c r="F9" i="36"/>
  <c r="E9" i="36"/>
  <c r="D9" i="36"/>
  <c r="G5" i="36"/>
  <c r="F5" i="36"/>
  <c r="E5" i="36"/>
  <c r="D5" i="36"/>
  <c r="G2056" i="36"/>
  <c r="F2056" i="36"/>
  <c r="E2056" i="36"/>
  <c r="D2056" i="36"/>
  <c r="G2044" i="36"/>
  <c r="F2044" i="36"/>
  <c r="E2044" i="36"/>
  <c r="D2044" i="36"/>
  <c r="G2032" i="36"/>
  <c r="F2032" i="36"/>
  <c r="E2032" i="36"/>
  <c r="D2032" i="36"/>
  <c r="G2020" i="36"/>
  <c r="E2020" i="36"/>
  <c r="D2020" i="36"/>
  <c r="F2020" i="36"/>
  <c r="G2008" i="36"/>
  <c r="F2008" i="36"/>
  <c r="E2008" i="36"/>
  <c r="D2008" i="36"/>
  <c r="G1996" i="36"/>
  <c r="F1996" i="36"/>
  <c r="E1996" i="36"/>
  <c r="D1996" i="36"/>
  <c r="G1984" i="36"/>
  <c r="F1984" i="36"/>
  <c r="E1984" i="36"/>
  <c r="D1984" i="36"/>
  <c r="G1972" i="36"/>
  <c r="F1972" i="36"/>
  <c r="E1972" i="36"/>
  <c r="D1972" i="36"/>
  <c r="G1960" i="36"/>
  <c r="F1960" i="36"/>
  <c r="E1960" i="36"/>
  <c r="D1960" i="36"/>
  <c r="G1948" i="36"/>
  <c r="F1948" i="36"/>
  <c r="E1948" i="36"/>
  <c r="D1948" i="36"/>
  <c r="G1936" i="36"/>
  <c r="F1936" i="36"/>
  <c r="E1936" i="36"/>
  <c r="D1936" i="36"/>
  <c r="G1924" i="36"/>
  <c r="F1924" i="36"/>
  <c r="E1924" i="36"/>
  <c r="D1924" i="36"/>
  <c r="G1912" i="36"/>
  <c r="F1912" i="36"/>
  <c r="E1912" i="36"/>
  <c r="D1912" i="36"/>
  <c r="G1900" i="36"/>
  <c r="F1900" i="36"/>
  <c r="E1900" i="36"/>
  <c r="D1900" i="36"/>
  <c r="G1884" i="36"/>
  <c r="F1884" i="36"/>
  <c r="E1884" i="36"/>
  <c r="D1884" i="36"/>
  <c r="G1872" i="36"/>
  <c r="F1872" i="36"/>
  <c r="E1872" i="36"/>
  <c r="D1872" i="36"/>
  <c r="G1860" i="36"/>
  <c r="F1860" i="36"/>
  <c r="E1860" i="36"/>
  <c r="D1860" i="36"/>
  <c r="G1848" i="36"/>
  <c r="F1848" i="36"/>
  <c r="E1848" i="36"/>
  <c r="D1848" i="36"/>
  <c r="G1836" i="36"/>
  <c r="F1836" i="36"/>
  <c r="E1836" i="36"/>
  <c r="D1836" i="36"/>
  <c r="G1820" i="36"/>
  <c r="F1820" i="36"/>
  <c r="E1820" i="36"/>
  <c r="D1820" i="36"/>
  <c r="G1808" i="36"/>
  <c r="F1808" i="36"/>
  <c r="E1808" i="36"/>
  <c r="D1808" i="36"/>
  <c r="G1796" i="36"/>
  <c r="F1796" i="36"/>
  <c r="E1796" i="36"/>
  <c r="D1796" i="36"/>
  <c r="G1784" i="36"/>
  <c r="F1784" i="36"/>
  <c r="E1784" i="36"/>
  <c r="D1784" i="36"/>
  <c r="G1772" i="36"/>
  <c r="F1772" i="36"/>
  <c r="E1772" i="36"/>
  <c r="D1772" i="36"/>
  <c r="G1756" i="36"/>
  <c r="F1756" i="36"/>
  <c r="E1756" i="36"/>
  <c r="D1756" i="36"/>
  <c r="G1744" i="36"/>
  <c r="F1744" i="36"/>
  <c r="E1744" i="36"/>
  <c r="D1744" i="36"/>
  <c r="G1732" i="36"/>
  <c r="F1732" i="36"/>
  <c r="E1732" i="36"/>
  <c r="D1732" i="36"/>
  <c r="G1720" i="36"/>
  <c r="F1720" i="36"/>
  <c r="E1720" i="36"/>
  <c r="D1720" i="36"/>
  <c r="G1708" i="36"/>
  <c r="F1708" i="36"/>
  <c r="E1708" i="36"/>
  <c r="D1708" i="36"/>
  <c r="G1696" i="36"/>
  <c r="F1696" i="36"/>
  <c r="E1696" i="36"/>
  <c r="D1696" i="36"/>
  <c r="G1684" i="36"/>
  <c r="E1684" i="36"/>
  <c r="D1684" i="36"/>
  <c r="F1684" i="36"/>
  <c r="G1672" i="36"/>
  <c r="F1672" i="36"/>
  <c r="E1672" i="36"/>
  <c r="D1672" i="36"/>
  <c r="G1656" i="36"/>
  <c r="F1656" i="36"/>
  <c r="E1656" i="36"/>
  <c r="D1656" i="36"/>
  <c r="G1644" i="36"/>
  <c r="F1644" i="36"/>
  <c r="E1644" i="36"/>
  <c r="D1644" i="36"/>
  <c r="G1632" i="36"/>
  <c r="F1632" i="36"/>
  <c r="E1632" i="36"/>
  <c r="D1632" i="36"/>
  <c r="G1624" i="36"/>
  <c r="F1624" i="36"/>
  <c r="E1624" i="36"/>
  <c r="D1624" i="36"/>
  <c r="G1612" i="36"/>
  <c r="F1612" i="36"/>
  <c r="E1612" i="36"/>
  <c r="D1612" i="36"/>
  <c r="G1604" i="36"/>
  <c r="F1604" i="36"/>
  <c r="E1604" i="36"/>
  <c r="D1604" i="36"/>
  <c r="G1592" i="36"/>
  <c r="F1592" i="36"/>
  <c r="E1592" i="36"/>
  <c r="D1592" i="36"/>
  <c r="G1580" i="36"/>
  <c r="F1580" i="36"/>
  <c r="E1580" i="36"/>
  <c r="D1580" i="36"/>
  <c r="G1568" i="36"/>
  <c r="F1568" i="36"/>
  <c r="E1568" i="36"/>
  <c r="D1568" i="36"/>
  <c r="G1556" i="36"/>
  <c r="E1556" i="36"/>
  <c r="F1556" i="36"/>
  <c r="D1556" i="36"/>
  <c r="G1544" i="36"/>
  <c r="F1544" i="36"/>
  <c r="E1544" i="36"/>
  <c r="D1544" i="36"/>
  <c r="G1532" i="36"/>
  <c r="F1532" i="36"/>
  <c r="E1532" i="36"/>
  <c r="D1532" i="36"/>
  <c r="G1520" i="36"/>
  <c r="F1520" i="36"/>
  <c r="E1520" i="36"/>
  <c r="D1520" i="36"/>
  <c r="G1508" i="36"/>
  <c r="F1508" i="36"/>
  <c r="E1508" i="36"/>
  <c r="D1508" i="36"/>
  <c r="G1492" i="36"/>
  <c r="E1492" i="36"/>
  <c r="F1492" i="36"/>
  <c r="D1492" i="36"/>
  <c r="G1476" i="36"/>
  <c r="F1476" i="36"/>
  <c r="E1476" i="36"/>
  <c r="D1476" i="36"/>
  <c r="G1464" i="36"/>
  <c r="F1464" i="36"/>
  <c r="E1464" i="36"/>
  <c r="D1464" i="36"/>
  <c r="G1452" i="36"/>
  <c r="F1452" i="36"/>
  <c r="E1452" i="36"/>
  <c r="D1452" i="36"/>
  <c r="G1440" i="36"/>
  <c r="F1440" i="36"/>
  <c r="E1440" i="36"/>
  <c r="D1440" i="36"/>
  <c r="G1428" i="36"/>
  <c r="E1428" i="36"/>
  <c r="D1428" i="36"/>
  <c r="F1428" i="36"/>
  <c r="G1416" i="36"/>
  <c r="F1416" i="36"/>
  <c r="E1416" i="36"/>
  <c r="D1416" i="36"/>
  <c r="G1404" i="36"/>
  <c r="F1404" i="36"/>
  <c r="E1404" i="36"/>
  <c r="D1404" i="36"/>
  <c r="G1392" i="36"/>
  <c r="F1392" i="36"/>
  <c r="E1392" i="36"/>
  <c r="D1392" i="36"/>
  <c r="G1380" i="36"/>
  <c r="F1380" i="36"/>
  <c r="D1380" i="36"/>
  <c r="E1380" i="36"/>
  <c r="G1368" i="36"/>
  <c r="F1368" i="36"/>
  <c r="E1368" i="36"/>
  <c r="D1368" i="36"/>
  <c r="G1356" i="36"/>
  <c r="F1356" i="36"/>
  <c r="E1356" i="36"/>
  <c r="D1356" i="36"/>
  <c r="G1344" i="36"/>
  <c r="F1344" i="36"/>
  <c r="E1344" i="36"/>
  <c r="D1344" i="36"/>
  <c r="G1332" i="36"/>
  <c r="F1332" i="36"/>
  <c r="D1332" i="36"/>
  <c r="E1332" i="36"/>
  <c r="G1320" i="36"/>
  <c r="F1320" i="36"/>
  <c r="E1320" i="36"/>
  <c r="D1320" i="36"/>
  <c r="G1312" i="36"/>
  <c r="F1312" i="36"/>
  <c r="E1312" i="36"/>
  <c r="D1312" i="36"/>
  <c r="G1296" i="36"/>
  <c r="F1296" i="36"/>
  <c r="E1296" i="36"/>
  <c r="D1296" i="36"/>
  <c r="G1272" i="36"/>
  <c r="F1272" i="36"/>
  <c r="E1272" i="36"/>
  <c r="D1272" i="36"/>
  <c r="G1160" i="36"/>
  <c r="F1160" i="36"/>
  <c r="E1160" i="36"/>
  <c r="D1160" i="36"/>
  <c r="G2059" i="36"/>
  <c r="F2059" i="36"/>
  <c r="E2059" i="36"/>
  <c r="D2059" i="36"/>
  <c r="G2051" i="36"/>
  <c r="F2051" i="36"/>
  <c r="E2051" i="36"/>
  <c r="D2051" i="36"/>
  <c r="G2043" i="36"/>
  <c r="F2043" i="36"/>
  <c r="E2043" i="36"/>
  <c r="D2043" i="36"/>
  <c r="G2035" i="36"/>
  <c r="F2035" i="36"/>
  <c r="E2035" i="36"/>
  <c r="D2035" i="36"/>
  <c r="G2031" i="36"/>
  <c r="F2031" i="36"/>
  <c r="E2031" i="36"/>
  <c r="D2031" i="36"/>
  <c r="G2023" i="36"/>
  <c r="F2023" i="36"/>
  <c r="E2023" i="36"/>
  <c r="D2023" i="36"/>
  <c r="G2015" i="36"/>
  <c r="F2015" i="36"/>
  <c r="E2015" i="36"/>
  <c r="D2015" i="36"/>
  <c r="G2007" i="36"/>
  <c r="F2007" i="36"/>
  <c r="E2007" i="36"/>
  <c r="D2007" i="36"/>
  <c r="G2003" i="36"/>
  <c r="F2003" i="36"/>
  <c r="E2003" i="36"/>
  <c r="D2003" i="36"/>
  <c r="G1995" i="36"/>
  <c r="F1995" i="36"/>
  <c r="E1995" i="36"/>
  <c r="D1995" i="36"/>
  <c r="G1987" i="36"/>
  <c r="F1987" i="36"/>
  <c r="E1987" i="36"/>
  <c r="D1987" i="36"/>
  <c r="G1979" i="36"/>
  <c r="F1979" i="36"/>
  <c r="E1979" i="36"/>
  <c r="D1979" i="36"/>
  <c r="G1975" i="36"/>
  <c r="F1975" i="36"/>
  <c r="E1975" i="36"/>
  <c r="D1975" i="36"/>
  <c r="G1967" i="36"/>
  <c r="F1967" i="36"/>
  <c r="E1967" i="36"/>
  <c r="D1967" i="36"/>
  <c r="G1963" i="36"/>
  <c r="F1963" i="36"/>
  <c r="E1963" i="36"/>
  <c r="D1963" i="36"/>
  <c r="G1955" i="36"/>
  <c r="F1955" i="36"/>
  <c r="E1955" i="36"/>
  <c r="D1955" i="36"/>
  <c r="G1947" i="36"/>
  <c r="F1947" i="36"/>
  <c r="E1947" i="36"/>
  <c r="D1947" i="36"/>
  <c r="G1943" i="36"/>
  <c r="F1943" i="36"/>
  <c r="E1943" i="36"/>
  <c r="D1943" i="36"/>
  <c r="G1935" i="36"/>
  <c r="F1935" i="36"/>
  <c r="E1935" i="36"/>
  <c r="D1935" i="36"/>
  <c r="G1927" i="36"/>
  <c r="F1927" i="36"/>
  <c r="E1927" i="36"/>
  <c r="D1927" i="36"/>
  <c r="G1919" i="36"/>
  <c r="F1919" i="36"/>
  <c r="E1919" i="36"/>
  <c r="D1919" i="36"/>
  <c r="G1911" i="36"/>
  <c r="F1911" i="36"/>
  <c r="E1911" i="36"/>
  <c r="D1911" i="36"/>
  <c r="G1903" i="36"/>
  <c r="F1903" i="36"/>
  <c r="E1903" i="36"/>
  <c r="D1903" i="36"/>
  <c r="G1899" i="36"/>
  <c r="F1899" i="36"/>
  <c r="E1899" i="36"/>
  <c r="D1899" i="36"/>
  <c r="G1891" i="36"/>
  <c r="F1891" i="36"/>
  <c r="E1891" i="36"/>
  <c r="D1891" i="36"/>
  <c r="G1883" i="36"/>
  <c r="F1883" i="36"/>
  <c r="E1883" i="36"/>
  <c r="D1883" i="36"/>
  <c r="G1875" i="36"/>
  <c r="F1875" i="36"/>
  <c r="E1875" i="36"/>
  <c r="D1875" i="36"/>
  <c r="G1867" i="36"/>
  <c r="F1867" i="36"/>
  <c r="E1867" i="36"/>
  <c r="D1867" i="36"/>
  <c r="G1859" i="36"/>
  <c r="F1859" i="36"/>
  <c r="E1859" i="36"/>
  <c r="D1859" i="36"/>
  <c r="G1851" i="36"/>
  <c r="F1851" i="36"/>
  <c r="E1851" i="36"/>
  <c r="D1851" i="36"/>
  <c r="G1847" i="36"/>
  <c r="F1847" i="36"/>
  <c r="E1847" i="36"/>
  <c r="D1847" i="36"/>
  <c r="G1839" i="36"/>
  <c r="F1839" i="36"/>
  <c r="E1839" i="36"/>
  <c r="D1839" i="36"/>
  <c r="G1831" i="36"/>
  <c r="F1831" i="36"/>
  <c r="E1831" i="36"/>
  <c r="D1831" i="36"/>
  <c r="G1823" i="36"/>
  <c r="F1823" i="36"/>
  <c r="E1823" i="36"/>
  <c r="D1823" i="36"/>
  <c r="G1815" i="36"/>
  <c r="F1815" i="36"/>
  <c r="E1815" i="36"/>
  <c r="D1815" i="36"/>
  <c r="G1807" i="36"/>
  <c r="F1807" i="36"/>
  <c r="E1807" i="36"/>
  <c r="D1807" i="36"/>
  <c r="G1803" i="36"/>
  <c r="F1803" i="36"/>
  <c r="E1803" i="36"/>
  <c r="D1803" i="36"/>
  <c r="G1795" i="36"/>
  <c r="F1795" i="36"/>
  <c r="E1795" i="36"/>
  <c r="D1795" i="36"/>
  <c r="G1787" i="36"/>
  <c r="F1787" i="36"/>
  <c r="E1787" i="36"/>
  <c r="D1787" i="36"/>
  <c r="G1779" i="36"/>
  <c r="F1779" i="36"/>
  <c r="E1779" i="36"/>
  <c r="D1779" i="36"/>
  <c r="G1771" i="36"/>
  <c r="F1771" i="36"/>
  <c r="E1771" i="36"/>
  <c r="D1771" i="36"/>
  <c r="G1763" i="36"/>
  <c r="F1763" i="36"/>
  <c r="E1763" i="36"/>
  <c r="D1763" i="36"/>
  <c r="G1755" i="36"/>
  <c r="F1755" i="36"/>
  <c r="E1755" i="36"/>
  <c r="D1755" i="36"/>
  <c r="G1747" i="36"/>
  <c r="F1747" i="36"/>
  <c r="E1747" i="36"/>
  <c r="D1747" i="36"/>
  <c r="G1739" i="36"/>
  <c r="F1739" i="36"/>
  <c r="E1739" i="36"/>
  <c r="D1739" i="36"/>
  <c r="G1735" i="36"/>
  <c r="F1735" i="36"/>
  <c r="E1735" i="36"/>
  <c r="D1735" i="36"/>
  <c r="G1727" i="36"/>
  <c r="F1727" i="36"/>
  <c r="E1727" i="36"/>
  <c r="D1727" i="36"/>
  <c r="G1719" i="36"/>
  <c r="F1719" i="36"/>
  <c r="E1719" i="36"/>
  <c r="D1719" i="36"/>
  <c r="G1711" i="36"/>
  <c r="F1711" i="36"/>
  <c r="E1711" i="36"/>
  <c r="D1711" i="36"/>
  <c r="G1707" i="36"/>
  <c r="F1707" i="36"/>
  <c r="E1707" i="36"/>
  <c r="D1707" i="36"/>
  <c r="G1699" i="36"/>
  <c r="F1699" i="36"/>
  <c r="E1699" i="36"/>
  <c r="D1699" i="36"/>
  <c r="G1695" i="36"/>
  <c r="F1695" i="36"/>
  <c r="E1695" i="36"/>
  <c r="D1695" i="36"/>
  <c r="G1687" i="36"/>
  <c r="F1687" i="36"/>
  <c r="E1687" i="36"/>
  <c r="D1687" i="36"/>
  <c r="G1679" i="36"/>
  <c r="F1679" i="36"/>
  <c r="E1679" i="36"/>
  <c r="D1679" i="36"/>
  <c r="G1675" i="36"/>
  <c r="F1675" i="36"/>
  <c r="E1675" i="36"/>
  <c r="D1675" i="36"/>
  <c r="G1667" i="36"/>
  <c r="F1667" i="36"/>
  <c r="E1667" i="36"/>
  <c r="D1667" i="36"/>
  <c r="G1659" i="36"/>
  <c r="F1659" i="36"/>
  <c r="E1659" i="36"/>
  <c r="D1659" i="36"/>
  <c r="G1651" i="36"/>
  <c r="F1651" i="36"/>
  <c r="E1651" i="36"/>
  <c r="D1651" i="36"/>
  <c r="G1643" i="36"/>
  <c r="F1643" i="36"/>
  <c r="E1643" i="36"/>
  <c r="D1643" i="36"/>
  <c r="G1635" i="36"/>
  <c r="F1635" i="36"/>
  <c r="E1635" i="36"/>
  <c r="D1635" i="36"/>
  <c r="G1631" i="36"/>
  <c r="F1631" i="36"/>
  <c r="E1631" i="36"/>
  <c r="D1631" i="36"/>
  <c r="G1623" i="36"/>
  <c r="F1623" i="36"/>
  <c r="E1623" i="36"/>
  <c r="D1623" i="36"/>
  <c r="G1615" i="36"/>
  <c r="F1615" i="36"/>
  <c r="E1615" i="36"/>
  <c r="D1615" i="36"/>
  <c r="G1611" i="36"/>
  <c r="F1611" i="36"/>
  <c r="E1611" i="36"/>
  <c r="D1611" i="36"/>
  <c r="G1603" i="36"/>
  <c r="F1603" i="36"/>
  <c r="E1603" i="36"/>
  <c r="D1603" i="36"/>
  <c r="G1595" i="36"/>
  <c r="F1595" i="36"/>
  <c r="E1595" i="36"/>
  <c r="D1595" i="36"/>
  <c r="G1587" i="36"/>
  <c r="F1587" i="36"/>
  <c r="E1587" i="36"/>
  <c r="D1587" i="36"/>
  <c r="G1583" i="36"/>
  <c r="F1583" i="36"/>
  <c r="E1583" i="36"/>
  <c r="D1583" i="36"/>
  <c r="G1575" i="36"/>
  <c r="F1575" i="36"/>
  <c r="E1575" i="36"/>
  <c r="D1575" i="36"/>
  <c r="G1567" i="36"/>
  <c r="F1567" i="36"/>
  <c r="E1567" i="36"/>
  <c r="D1567" i="36"/>
  <c r="G1559" i="36"/>
  <c r="F1559" i="36"/>
  <c r="E1559" i="36"/>
  <c r="D1559" i="36"/>
  <c r="G1551" i="36"/>
  <c r="F1551" i="36"/>
  <c r="E1551" i="36"/>
  <c r="D1551" i="36"/>
  <c r="G1543" i="36"/>
  <c r="F1543" i="36"/>
  <c r="E1543" i="36"/>
  <c r="D1543" i="36"/>
  <c r="G1535" i="36"/>
  <c r="F1535" i="36"/>
  <c r="E1535" i="36"/>
  <c r="D1535" i="36"/>
  <c r="G1531" i="36"/>
  <c r="F1531" i="36"/>
  <c r="E1531" i="36"/>
  <c r="D1531" i="36"/>
  <c r="G1523" i="36"/>
  <c r="F1523" i="36"/>
  <c r="E1523" i="36"/>
  <c r="D1523" i="36"/>
  <c r="G1515" i="36"/>
  <c r="F1515" i="36"/>
  <c r="E1515" i="36"/>
  <c r="D1515" i="36"/>
  <c r="G1507" i="36"/>
  <c r="F1507" i="36"/>
  <c r="E1507" i="36"/>
  <c r="D1507" i="36"/>
  <c r="G1499" i="36"/>
  <c r="F1499" i="36"/>
  <c r="E1499" i="36"/>
  <c r="D1499" i="36"/>
  <c r="G1495" i="36"/>
  <c r="F1495" i="36"/>
  <c r="E1495" i="36"/>
  <c r="D1495" i="36"/>
  <c r="G1483" i="36"/>
  <c r="F1483" i="36"/>
  <c r="E1483" i="36"/>
  <c r="D1483" i="36"/>
  <c r="G1439" i="36"/>
  <c r="F1439" i="36"/>
  <c r="E1439" i="36"/>
  <c r="D1439" i="36"/>
  <c r="G2062" i="36"/>
  <c r="F2062" i="36"/>
  <c r="E2062" i="36"/>
  <c r="D2062" i="36"/>
  <c r="G2058" i="36"/>
  <c r="F2058" i="36"/>
  <c r="E2058" i="36"/>
  <c r="D2058" i="36"/>
  <c r="G2054" i="36"/>
  <c r="F2054" i="36"/>
  <c r="E2054" i="36"/>
  <c r="D2054" i="36"/>
  <c r="G2050" i="36"/>
  <c r="F2050" i="36"/>
  <c r="E2050" i="36"/>
  <c r="D2050" i="36"/>
  <c r="G2046" i="36"/>
  <c r="F2046" i="36"/>
  <c r="E2046" i="36"/>
  <c r="D2046" i="36"/>
  <c r="G2042" i="36"/>
  <c r="F2042" i="36"/>
  <c r="E2042" i="36"/>
  <c r="D2042" i="36"/>
  <c r="F2038" i="36"/>
  <c r="G2038" i="36"/>
  <c r="E2038" i="36"/>
  <c r="D2038" i="36"/>
  <c r="G2034" i="36"/>
  <c r="F2034" i="36"/>
  <c r="E2034" i="36"/>
  <c r="D2034" i="36"/>
  <c r="G2030" i="36"/>
  <c r="F2030" i="36"/>
  <c r="E2030" i="36"/>
  <c r="D2030" i="36"/>
  <c r="G2026" i="36"/>
  <c r="F2026" i="36"/>
  <c r="D2026" i="36"/>
  <c r="E2026" i="36"/>
  <c r="F2022" i="36"/>
  <c r="G2022" i="36"/>
  <c r="E2022" i="36"/>
  <c r="D2022" i="36"/>
  <c r="G2018" i="36"/>
  <c r="F2018" i="36"/>
  <c r="E2018" i="36"/>
  <c r="D2018" i="36"/>
  <c r="G2014" i="36"/>
  <c r="F2014" i="36"/>
  <c r="E2014" i="36"/>
  <c r="D2014" i="36"/>
  <c r="G2010" i="36"/>
  <c r="F2010" i="36"/>
  <c r="E2010" i="36"/>
  <c r="D2010" i="36"/>
  <c r="G2006" i="36"/>
  <c r="F2006" i="36"/>
  <c r="E2006" i="36"/>
  <c r="D2006" i="36"/>
  <c r="G2002" i="36"/>
  <c r="F2002" i="36"/>
  <c r="E2002" i="36"/>
  <c r="D2002" i="36"/>
  <c r="G1998" i="36"/>
  <c r="F1998" i="36"/>
  <c r="E1998" i="36"/>
  <c r="D1998" i="36"/>
  <c r="G1994" i="36"/>
  <c r="F1994" i="36"/>
  <c r="D1994" i="36"/>
  <c r="E1994" i="36"/>
  <c r="G1990" i="36"/>
  <c r="F1990" i="36"/>
  <c r="E1990" i="36"/>
  <c r="D1990" i="36"/>
  <c r="G1986" i="36"/>
  <c r="F1986" i="36"/>
  <c r="E1986" i="36"/>
  <c r="D1986" i="36"/>
  <c r="G1982" i="36"/>
  <c r="F1982" i="36"/>
  <c r="E1982" i="36"/>
  <c r="D1982" i="36"/>
  <c r="G1978" i="36"/>
  <c r="F1978" i="36"/>
  <c r="E1978" i="36"/>
  <c r="D1978" i="36"/>
  <c r="F1974" i="36"/>
  <c r="G1974" i="36"/>
  <c r="E1974" i="36"/>
  <c r="D1974" i="36"/>
  <c r="G1970" i="36"/>
  <c r="F1970" i="36"/>
  <c r="E1970" i="36"/>
  <c r="D1970" i="36"/>
  <c r="G1966" i="36"/>
  <c r="F1966" i="36"/>
  <c r="E1966" i="36"/>
  <c r="D1966" i="36"/>
  <c r="G1962" i="36"/>
  <c r="F1962" i="36"/>
  <c r="E1962" i="36"/>
  <c r="D1962" i="36"/>
  <c r="F1958" i="36"/>
  <c r="G1958" i="36"/>
  <c r="D1958" i="36"/>
  <c r="E1958" i="36"/>
  <c r="G1954" i="36"/>
  <c r="F1954" i="36"/>
  <c r="E1954" i="36"/>
  <c r="D1954" i="36"/>
  <c r="G1950" i="36"/>
  <c r="F1950" i="36"/>
  <c r="E1950" i="36"/>
  <c r="D1950" i="36"/>
  <c r="G1946" i="36"/>
  <c r="F1946" i="36"/>
  <c r="E1946" i="36"/>
  <c r="D1946" i="36"/>
  <c r="G1942" i="36"/>
  <c r="F1942" i="36"/>
  <c r="D1942" i="36"/>
  <c r="E1942" i="36"/>
  <c r="G1938" i="36"/>
  <c r="F1938" i="36"/>
  <c r="E1938" i="36"/>
  <c r="D1938" i="36"/>
  <c r="G1934" i="36"/>
  <c r="F1934" i="36"/>
  <c r="D1934" i="36"/>
  <c r="E1934" i="36"/>
  <c r="G1930" i="36"/>
  <c r="F1930" i="36"/>
  <c r="E1930" i="36"/>
  <c r="D1930" i="36"/>
  <c r="G1926" i="36"/>
  <c r="F1926" i="36"/>
  <c r="D1926" i="36"/>
  <c r="E1926" i="36"/>
  <c r="G1922" i="36"/>
  <c r="F1922" i="36"/>
  <c r="D1922" i="36"/>
  <c r="E1922" i="36"/>
  <c r="G1918" i="36"/>
  <c r="F1918" i="36"/>
  <c r="D1918" i="36"/>
  <c r="E1918" i="36"/>
  <c r="G1914" i="36"/>
  <c r="F1914" i="36"/>
  <c r="D1914" i="36"/>
  <c r="E1914" i="36"/>
  <c r="G1910" i="36"/>
  <c r="F1910" i="36"/>
  <c r="D1910" i="36"/>
  <c r="E1910" i="36"/>
  <c r="G1906" i="36"/>
  <c r="F1906" i="36"/>
  <c r="D1906" i="36"/>
  <c r="E1906" i="36"/>
  <c r="G1902" i="36"/>
  <c r="F1902" i="36"/>
  <c r="D1902" i="36"/>
  <c r="E1902" i="36"/>
  <c r="G1898" i="36"/>
  <c r="F1898" i="36"/>
  <c r="D1898" i="36"/>
  <c r="E1898" i="36"/>
  <c r="G1894" i="36"/>
  <c r="F1894" i="36"/>
  <c r="D1894" i="36"/>
  <c r="E1894" i="36"/>
  <c r="G1890" i="36"/>
  <c r="F1890" i="36"/>
  <c r="D1890" i="36"/>
  <c r="E1890" i="36"/>
  <c r="G1886" i="36"/>
  <c r="F1886" i="36"/>
  <c r="D1886" i="36"/>
  <c r="E1886" i="36"/>
  <c r="G1882" i="36"/>
  <c r="F1882" i="36"/>
  <c r="D1882" i="36"/>
  <c r="E1882" i="36"/>
  <c r="G1878" i="36"/>
  <c r="F1878" i="36"/>
  <c r="D1878" i="36"/>
  <c r="E1878" i="36"/>
  <c r="G1874" i="36"/>
  <c r="F1874" i="36"/>
  <c r="D1874" i="36"/>
  <c r="E1874" i="36"/>
  <c r="G1870" i="36"/>
  <c r="F1870" i="36"/>
  <c r="D1870" i="36"/>
  <c r="E1870" i="36"/>
  <c r="G1866" i="36"/>
  <c r="F1866" i="36"/>
  <c r="D1866" i="36"/>
  <c r="E1866" i="36"/>
  <c r="G1862" i="36"/>
  <c r="F1862" i="36"/>
  <c r="D1862" i="36"/>
  <c r="E1862" i="36"/>
  <c r="G1858" i="36"/>
  <c r="F1858" i="36"/>
  <c r="D1858" i="36"/>
  <c r="E1858" i="36"/>
  <c r="G1854" i="36"/>
  <c r="F1854" i="36"/>
  <c r="D1854" i="36"/>
  <c r="E1854" i="36"/>
  <c r="G1850" i="36"/>
  <c r="F1850" i="36"/>
  <c r="D1850" i="36"/>
  <c r="E1850" i="36"/>
  <c r="G1846" i="36"/>
  <c r="F1846" i="36"/>
  <c r="D1846" i="36"/>
  <c r="E1846" i="36"/>
  <c r="G1842" i="36"/>
  <c r="F1842" i="36"/>
  <c r="D1842" i="36"/>
  <c r="E1842" i="36"/>
  <c r="G1838" i="36"/>
  <c r="F1838" i="36"/>
  <c r="D1838" i="36"/>
  <c r="E1838" i="36"/>
  <c r="G1834" i="36"/>
  <c r="F1834" i="36"/>
  <c r="D1834" i="36"/>
  <c r="E1834" i="36"/>
  <c r="G1830" i="36"/>
  <c r="F1830" i="36"/>
  <c r="D1830" i="36"/>
  <c r="E1830" i="36"/>
  <c r="G1826" i="36"/>
  <c r="F1826" i="36"/>
  <c r="D1826" i="36"/>
  <c r="E1826" i="36"/>
  <c r="G1822" i="36"/>
  <c r="F1822" i="36"/>
  <c r="D1822" i="36"/>
  <c r="E1822" i="36"/>
  <c r="G1818" i="36"/>
  <c r="F1818" i="36"/>
  <c r="D1818" i="36"/>
  <c r="E1818" i="36"/>
  <c r="G1814" i="36"/>
  <c r="F1814" i="36"/>
  <c r="D1814" i="36"/>
  <c r="E1814" i="36"/>
  <c r="G1810" i="36"/>
  <c r="F1810" i="36"/>
  <c r="D1810" i="36"/>
  <c r="E1810" i="36"/>
  <c r="G1806" i="36"/>
  <c r="F1806" i="36"/>
  <c r="D1806" i="36"/>
  <c r="E1806" i="36"/>
  <c r="G1802" i="36"/>
  <c r="F1802" i="36"/>
  <c r="D1802" i="36"/>
  <c r="E1802" i="36"/>
  <c r="G1798" i="36"/>
  <c r="F1798" i="36"/>
  <c r="D1798" i="36"/>
  <c r="E1798" i="36"/>
  <c r="G1794" i="36"/>
  <c r="F1794" i="36"/>
  <c r="D1794" i="36"/>
  <c r="E1794" i="36"/>
  <c r="G1790" i="36"/>
  <c r="F1790" i="36"/>
  <c r="D1790" i="36"/>
  <c r="E1790" i="36"/>
  <c r="G1786" i="36"/>
  <c r="F1786" i="36"/>
  <c r="D1786" i="36"/>
  <c r="E1786" i="36"/>
  <c r="G1782" i="36"/>
  <c r="F1782" i="36"/>
  <c r="D1782" i="36"/>
  <c r="E1782" i="36"/>
  <c r="G1778" i="36"/>
  <c r="F1778" i="36"/>
  <c r="D1778" i="36"/>
  <c r="E1778" i="36"/>
  <c r="G1774" i="36"/>
  <c r="F1774" i="36"/>
  <c r="D1774" i="36"/>
  <c r="E1774" i="36"/>
  <c r="G1770" i="36"/>
  <c r="F1770" i="36"/>
  <c r="D1770" i="36"/>
  <c r="E1770" i="36"/>
  <c r="G1766" i="36"/>
  <c r="F1766" i="36"/>
  <c r="D1766" i="36"/>
  <c r="E1766" i="36"/>
  <c r="G1762" i="36"/>
  <c r="F1762" i="36"/>
  <c r="D1762" i="36"/>
  <c r="E1762" i="36"/>
  <c r="G1758" i="36"/>
  <c r="F1758" i="36"/>
  <c r="D1758" i="36"/>
  <c r="E1758" i="36"/>
  <c r="G1754" i="36"/>
  <c r="F1754" i="36"/>
  <c r="D1754" i="36"/>
  <c r="E1754" i="36"/>
  <c r="G1750" i="36"/>
  <c r="F1750" i="36"/>
  <c r="D1750" i="36"/>
  <c r="E1750" i="36"/>
  <c r="G1746" i="36"/>
  <c r="F1746" i="36"/>
  <c r="D1746" i="36"/>
  <c r="E1746" i="36"/>
  <c r="G1742" i="36"/>
  <c r="F1742" i="36"/>
  <c r="D1742" i="36"/>
  <c r="E1742" i="36"/>
  <c r="G1738" i="36"/>
  <c r="F1738" i="36"/>
  <c r="D1738" i="36"/>
  <c r="E1738" i="36"/>
  <c r="G1734" i="36"/>
  <c r="F1734" i="36"/>
  <c r="D1734" i="36"/>
  <c r="E1734" i="36"/>
  <c r="G1730" i="36"/>
  <c r="F1730" i="36"/>
  <c r="D1730" i="36"/>
  <c r="E1730" i="36"/>
  <c r="G1726" i="36"/>
  <c r="F1726" i="36"/>
  <c r="D1726" i="36"/>
  <c r="E1726" i="36"/>
  <c r="G1722" i="36"/>
  <c r="F1722" i="36"/>
  <c r="D1722" i="36"/>
  <c r="E1722" i="36"/>
  <c r="G1718" i="36"/>
  <c r="F1718" i="36"/>
  <c r="D1718" i="36"/>
  <c r="E1718" i="36"/>
  <c r="G1714" i="36"/>
  <c r="F1714" i="36"/>
  <c r="D1714" i="36"/>
  <c r="E1714" i="36"/>
  <c r="G1710" i="36"/>
  <c r="F1710" i="36"/>
  <c r="D1710" i="36"/>
  <c r="E1710" i="36"/>
  <c r="G1706" i="36"/>
  <c r="F1706" i="36"/>
  <c r="D1706" i="36"/>
  <c r="E1706" i="36"/>
  <c r="G1702" i="36"/>
  <c r="F1702" i="36"/>
  <c r="D1702" i="36"/>
  <c r="E1702" i="36"/>
  <c r="G1698" i="36"/>
  <c r="F1698" i="36"/>
  <c r="D1698" i="36"/>
  <c r="E1698" i="36"/>
  <c r="G1694" i="36"/>
  <c r="F1694" i="36"/>
  <c r="D1694" i="36"/>
  <c r="E1694" i="36"/>
  <c r="G1690" i="36"/>
  <c r="F1690" i="36"/>
  <c r="D1690" i="36"/>
  <c r="E1690" i="36"/>
  <c r="G1686" i="36"/>
  <c r="F1686" i="36"/>
  <c r="D1686" i="36"/>
  <c r="E1686" i="36"/>
  <c r="G1682" i="36"/>
  <c r="F1682" i="36"/>
  <c r="D1682" i="36"/>
  <c r="E1682" i="36"/>
  <c r="G1678" i="36"/>
  <c r="F1678" i="36"/>
  <c r="D1678" i="36"/>
  <c r="E1678" i="36"/>
  <c r="G1674" i="36"/>
  <c r="F1674" i="36"/>
  <c r="D1674" i="36"/>
  <c r="E1674" i="36"/>
  <c r="G1670" i="36"/>
  <c r="F1670" i="36"/>
  <c r="E1670" i="36"/>
  <c r="D1670" i="36"/>
  <c r="G1666" i="36"/>
  <c r="F1666" i="36"/>
  <c r="D1666" i="36"/>
  <c r="E1666" i="36"/>
  <c r="G1662" i="36"/>
  <c r="F1662" i="36"/>
  <c r="E1662" i="36"/>
  <c r="D1662" i="36"/>
  <c r="G1658" i="36"/>
  <c r="F1658" i="36"/>
  <c r="D1658" i="36"/>
  <c r="E1658" i="36"/>
  <c r="G1654" i="36"/>
  <c r="F1654" i="36"/>
  <c r="E1654" i="36"/>
  <c r="D1654" i="36"/>
  <c r="G1650" i="36"/>
  <c r="F1650" i="36"/>
  <c r="D1650" i="36"/>
  <c r="E1650" i="36"/>
  <c r="G1646" i="36"/>
  <c r="F1646" i="36"/>
  <c r="E1646" i="36"/>
  <c r="D1646" i="36"/>
  <c r="G1642" i="36"/>
  <c r="F1642" i="36"/>
  <c r="D1642" i="36"/>
  <c r="E1642" i="36"/>
  <c r="G1638" i="36"/>
  <c r="F1638" i="36"/>
  <c r="E1638" i="36"/>
  <c r="D1638" i="36"/>
  <c r="G1634" i="36"/>
  <c r="F1634" i="36"/>
  <c r="D1634" i="36"/>
  <c r="E1634" i="36"/>
  <c r="G1630" i="36"/>
  <c r="F1630" i="36"/>
  <c r="E1630" i="36"/>
  <c r="D1630" i="36"/>
  <c r="G1626" i="36"/>
  <c r="F1626" i="36"/>
  <c r="D1626" i="36"/>
  <c r="E1626" i="36"/>
  <c r="G1622" i="36"/>
  <c r="F1622" i="36"/>
  <c r="E1622" i="36"/>
  <c r="D1622" i="36"/>
  <c r="G1618" i="36"/>
  <c r="F1618" i="36"/>
  <c r="D1618" i="36"/>
  <c r="E1618" i="36"/>
  <c r="G1614" i="36"/>
  <c r="F1614" i="36"/>
  <c r="E1614" i="36"/>
  <c r="D1614" i="36"/>
  <c r="G1610" i="36"/>
  <c r="F1610" i="36"/>
  <c r="D1610" i="36"/>
  <c r="E1610" i="36"/>
  <c r="G1606" i="36"/>
  <c r="F1606" i="36"/>
  <c r="E1606" i="36"/>
  <c r="D1606" i="36"/>
  <c r="G1602" i="36"/>
  <c r="F1602" i="36"/>
  <c r="D1602" i="36"/>
  <c r="E1602" i="36"/>
  <c r="G1598" i="36"/>
  <c r="F1598" i="36"/>
  <c r="E1598" i="36"/>
  <c r="D1598" i="36"/>
  <c r="G1594" i="36"/>
  <c r="F1594" i="36"/>
  <c r="D1594" i="36"/>
  <c r="E1594" i="36"/>
  <c r="G1590" i="36"/>
  <c r="F1590" i="36"/>
  <c r="E1590" i="36"/>
  <c r="D1590" i="36"/>
  <c r="G1586" i="36"/>
  <c r="F1586" i="36"/>
  <c r="D1586" i="36"/>
  <c r="E1586" i="36"/>
  <c r="G1582" i="36"/>
  <c r="F1582" i="36"/>
  <c r="E1582" i="36"/>
  <c r="D1582" i="36"/>
  <c r="G1578" i="36"/>
  <c r="F1578" i="36"/>
  <c r="D1578" i="36"/>
  <c r="E1578" i="36"/>
  <c r="G1574" i="36"/>
  <c r="F1574" i="36"/>
  <c r="E1574" i="36"/>
  <c r="D1574" i="36"/>
  <c r="G1570" i="36"/>
  <c r="F1570" i="36"/>
  <c r="D1570" i="36"/>
  <c r="E1570" i="36"/>
  <c r="G1566" i="36"/>
  <c r="F1566" i="36"/>
  <c r="E1566" i="36"/>
  <c r="D1566" i="36"/>
  <c r="G1562" i="36"/>
  <c r="F1562" i="36"/>
  <c r="D1562" i="36"/>
  <c r="E1562" i="36"/>
  <c r="G1558" i="36"/>
  <c r="F1558" i="36"/>
  <c r="E1558" i="36"/>
  <c r="D1558" i="36"/>
  <c r="G1554" i="36"/>
  <c r="F1554" i="36"/>
  <c r="D1554" i="36"/>
  <c r="E1554" i="36"/>
  <c r="G1550" i="36"/>
  <c r="F1550" i="36"/>
  <c r="E1550" i="36"/>
  <c r="D1550" i="36"/>
  <c r="G1546" i="36"/>
  <c r="F1546" i="36"/>
  <c r="D1546" i="36"/>
  <c r="E1546" i="36"/>
  <c r="G1542" i="36"/>
  <c r="F1542" i="36"/>
  <c r="E1542" i="36"/>
  <c r="D1542" i="36"/>
  <c r="G1538" i="36"/>
  <c r="F1538" i="36"/>
  <c r="D1538" i="36"/>
  <c r="E1538" i="36"/>
  <c r="G1534" i="36"/>
  <c r="F1534" i="36"/>
  <c r="E1534" i="36"/>
  <c r="D1534" i="36"/>
  <c r="G1530" i="36"/>
  <c r="F1530" i="36"/>
  <c r="D1530" i="36"/>
  <c r="E1530" i="36"/>
  <c r="G1526" i="36"/>
  <c r="F1526" i="36"/>
  <c r="E1526" i="36"/>
  <c r="D1526" i="36"/>
  <c r="G1522" i="36"/>
  <c r="F1522" i="36"/>
  <c r="D1522" i="36"/>
  <c r="E1522" i="36"/>
  <c r="G1518" i="36"/>
  <c r="F1518" i="36"/>
  <c r="E1518" i="36"/>
  <c r="D1518" i="36"/>
  <c r="G1514" i="36"/>
  <c r="F1514" i="36"/>
  <c r="D1514" i="36"/>
  <c r="E1514" i="36"/>
  <c r="G1510" i="36"/>
  <c r="F1510" i="36"/>
  <c r="E1510" i="36"/>
  <c r="D1510" i="36"/>
  <c r="G1506" i="36"/>
  <c r="F1506" i="36"/>
  <c r="D1506" i="36"/>
  <c r="E1506" i="36"/>
  <c r="G1502" i="36"/>
  <c r="F1502" i="36"/>
  <c r="E1502" i="36"/>
  <c r="D1502" i="36"/>
  <c r="G1498" i="36"/>
  <c r="F1498" i="36"/>
  <c r="D1498" i="36"/>
  <c r="E1498" i="36"/>
  <c r="G1494" i="36"/>
  <c r="F1494" i="36"/>
  <c r="E1494" i="36"/>
  <c r="D1494" i="36"/>
  <c r="G1490" i="36"/>
  <c r="F1490" i="36"/>
  <c r="D1490" i="36"/>
  <c r="E1490" i="36"/>
  <c r="G1486" i="36"/>
  <c r="F1486" i="36"/>
  <c r="E1486" i="36"/>
  <c r="D1486" i="36"/>
  <c r="G1482" i="36"/>
  <c r="F1482" i="36"/>
  <c r="D1482" i="36"/>
  <c r="E1482" i="36"/>
  <c r="G1478" i="36"/>
  <c r="F1478" i="36"/>
  <c r="E1478" i="36"/>
  <c r="D1478" i="36"/>
  <c r="G1474" i="36"/>
  <c r="F1474" i="36"/>
  <c r="D1474" i="36"/>
  <c r="E1474" i="36"/>
  <c r="G1470" i="36"/>
  <c r="F1470" i="36"/>
  <c r="E1470" i="36"/>
  <c r="D1470" i="36"/>
  <c r="G1466" i="36"/>
  <c r="F1466" i="36"/>
  <c r="D1466" i="36"/>
  <c r="E1466" i="36"/>
  <c r="G1462" i="36"/>
  <c r="F1462" i="36"/>
  <c r="E1462" i="36"/>
  <c r="D1462" i="36"/>
  <c r="G1458" i="36"/>
  <c r="F1458" i="36"/>
  <c r="D1458" i="36"/>
  <c r="E1458" i="36"/>
  <c r="G1454" i="36"/>
  <c r="F1454" i="36"/>
  <c r="E1454" i="36"/>
  <c r="D1454" i="36"/>
  <c r="G1450" i="36"/>
  <c r="F1450" i="36"/>
  <c r="D1450" i="36"/>
  <c r="E1450" i="36"/>
  <c r="G1446" i="36"/>
  <c r="F1446" i="36"/>
  <c r="E1446" i="36"/>
  <c r="D1446" i="36"/>
  <c r="G1442" i="36"/>
  <c r="F1442" i="36"/>
  <c r="D1442" i="36"/>
  <c r="E1442" i="36"/>
  <c r="G1438" i="36"/>
  <c r="F1438" i="36"/>
  <c r="E1438" i="36"/>
  <c r="D1438" i="36"/>
  <c r="G1434" i="36"/>
  <c r="F1434" i="36"/>
  <c r="D1434" i="36"/>
  <c r="E1434" i="36"/>
  <c r="G1430" i="36"/>
  <c r="F1430" i="36"/>
  <c r="E1430" i="36"/>
  <c r="D1430" i="36"/>
  <c r="G1426" i="36"/>
  <c r="F1426" i="36"/>
  <c r="D1426" i="36"/>
  <c r="E1426" i="36"/>
  <c r="G1422" i="36"/>
  <c r="F1422" i="36"/>
  <c r="E1422" i="36"/>
  <c r="D1422" i="36"/>
  <c r="G1418" i="36"/>
  <c r="F1418" i="36"/>
  <c r="D1418" i="36"/>
  <c r="E1418" i="36"/>
  <c r="G1414" i="36"/>
  <c r="F1414" i="36"/>
  <c r="E1414" i="36"/>
  <c r="D1414" i="36"/>
  <c r="G1410" i="36"/>
  <c r="F1410" i="36"/>
  <c r="D1410" i="36"/>
  <c r="E1410" i="36"/>
  <c r="G1406" i="36"/>
  <c r="F1406" i="36"/>
  <c r="E1406" i="36"/>
  <c r="D1406" i="36"/>
  <c r="G1402" i="36"/>
  <c r="F1402" i="36"/>
  <c r="D1402" i="36"/>
  <c r="E1402" i="36"/>
  <c r="G1398" i="36"/>
  <c r="F1398" i="36"/>
  <c r="E1398" i="36"/>
  <c r="D1398" i="36"/>
  <c r="G1394" i="36"/>
  <c r="F1394" i="36"/>
  <c r="D1394" i="36"/>
  <c r="E1394" i="36"/>
  <c r="G1390" i="36"/>
  <c r="F1390" i="36"/>
  <c r="E1390" i="36"/>
  <c r="D1390" i="36"/>
  <c r="G1386" i="36"/>
  <c r="F1386" i="36"/>
  <c r="E1386" i="36"/>
  <c r="D1386" i="36"/>
  <c r="G1382" i="36"/>
  <c r="F1382" i="36"/>
  <c r="E1382" i="36"/>
  <c r="D1382" i="36"/>
  <c r="G1378" i="36"/>
  <c r="F1378" i="36"/>
  <c r="E1378" i="36"/>
  <c r="D1378" i="36"/>
  <c r="G1374" i="36"/>
  <c r="F1374" i="36"/>
  <c r="E1374" i="36"/>
  <c r="D1374" i="36"/>
  <c r="G1370" i="36"/>
  <c r="F1370" i="36"/>
  <c r="E1370" i="36"/>
  <c r="D1370" i="36"/>
  <c r="G1366" i="36"/>
  <c r="F1366" i="36"/>
  <c r="E1366" i="36"/>
  <c r="D1366" i="36"/>
  <c r="G1362" i="36"/>
  <c r="F1362" i="36"/>
  <c r="E1362" i="36"/>
  <c r="D1362" i="36"/>
  <c r="G1358" i="36"/>
  <c r="F1358" i="36"/>
  <c r="E1358" i="36"/>
  <c r="D1358" i="36"/>
  <c r="G1354" i="36"/>
  <c r="F1354" i="36"/>
  <c r="E1354" i="36"/>
  <c r="D1354" i="36"/>
  <c r="G1350" i="36"/>
  <c r="F1350" i="36"/>
  <c r="E1350" i="36"/>
  <c r="D1350" i="36"/>
  <c r="G1346" i="36"/>
  <c r="F1346" i="36"/>
  <c r="E1346" i="36"/>
  <c r="D1346" i="36"/>
  <c r="G1342" i="36"/>
  <c r="F1342" i="36"/>
  <c r="E1342" i="36"/>
  <c r="D1342" i="36"/>
  <c r="G1338" i="36"/>
  <c r="F1338" i="36"/>
  <c r="E1338" i="36"/>
  <c r="D1338" i="36"/>
  <c r="G1334" i="36"/>
  <c r="F1334" i="36"/>
  <c r="E1334" i="36"/>
  <c r="D1334" i="36"/>
  <c r="G1330" i="36"/>
  <c r="F1330" i="36"/>
  <c r="E1330" i="36"/>
  <c r="D1330" i="36"/>
  <c r="G1326" i="36"/>
  <c r="F1326" i="36"/>
  <c r="E1326" i="36"/>
  <c r="D1326" i="36"/>
  <c r="G1322" i="36"/>
  <c r="F1322" i="36"/>
  <c r="E1322" i="36"/>
  <c r="D1322" i="36"/>
  <c r="G1318" i="36"/>
  <c r="F1318" i="36"/>
  <c r="E1318" i="36"/>
  <c r="D1318" i="36"/>
  <c r="G1314" i="36"/>
  <c r="F1314" i="36"/>
  <c r="E1314" i="36"/>
  <c r="D1314" i="36"/>
  <c r="G1310" i="36"/>
  <c r="F1310" i="36"/>
  <c r="E1310" i="36"/>
  <c r="D1310" i="36"/>
  <c r="G1306" i="36"/>
  <c r="F1306" i="36"/>
  <c r="E1306" i="36"/>
  <c r="D1306" i="36"/>
  <c r="G1302" i="36"/>
  <c r="F1302" i="36"/>
  <c r="E1302" i="36"/>
  <c r="D1302" i="36"/>
  <c r="G1298" i="36"/>
  <c r="F1298" i="36"/>
  <c r="E1298" i="36"/>
  <c r="D1298" i="36"/>
  <c r="G1294" i="36"/>
  <c r="F1294" i="36"/>
  <c r="E1294" i="36"/>
  <c r="D1294" i="36"/>
  <c r="G1290" i="36"/>
  <c r="F1290" i="36"/>
  <c r="E1290" i="36"/>
  <c r="D1290" i="36"/>
  <c r="G1286" i="36"/>
  <c r="F1286" i="36"/>
  <c r="E1286" i="36"/>
  <c r="D1286" i="36"/>
  <c r="G1282" i="36"/>
  <c r="F1282" i="36"/>
  <c r="E1282" i="36"/>
  <c r="D1282" i="36"/>
  <c r="G1278" i="36"/>
  <c r="F1278" i="36"/>
  <c r="E1278" i="36"/>
  <c r="D1278" i="36"/>
  <c r="F1274" i="36"/>
  <c r="G1274" i="36"/>
  <c r="E1274" i="36"/>
  <c r="D1274" i="36"/>
  <c r="G1270" i="36"/>
  <c r="F1270" i="36"/>
  <c r="E1270" i="36"/>
  <c r="D1270" i="36"/>
  <c r="G1266" i="36"/>
  <c r="F1266" i="36"/>
  <c r="E1266" i="36"/>
  <c r="D1266" i="36"/>
  <c r="G1262" i="36"/>
  <c r="F1262" i="36"/>
  <c r="E1262" i="36"/>
  <c r="D1262" i="36"/>
  <c r="G1258" i="36"/>
  <c r="F1258" i="36"/>
  <c r="E1258" i="36"/>
  <c r="D1258" i="36"/>
  <c r="G1254" i="36"/>
  <c r="F1254" i="36"/>
  <c r="E1254" i="36"/>
  <c r="D1254" i="36"/>
  <c r="G1250" i="36"/>
  <c r="F1250" i="36"/>
  <c r="E1250" i="36"/>
  <c r="D1250" i="36"/>
  <c r="G1246" i="36"/>
  <c r="F1246" i="36"/>
  <c r="E1246" i="36"/>
  <c r="D1246" i="36"/>
  <c r="G1242" i="36"/>
  <c r="F1242" i="36"/>
  <c r="E1242" i="36"/>
  <c r="D1242" i="36"/>
  <c r="G1238" i="36"/>
  <c r="F1238" i="36"/>
  <c r="E1238" i="36"/>
  <c r="D1238" i="36"/>
  <c r="G1234" i="36"/>
  <c r="F1234" i="36"/>
  <c r="E1234" i="36"/>
  <c r="D1234" i="36"/>
  <c r="G1230" i="36"/>
  <c r="F1230" i="36"/>
  <c r="E1230" i="36"/>
  <c r="D1230" i="36"/>
  <c r="G1226" i="36"/>
  <c r="F1226" i="36"/>
  <c r="E1226" i="36"/>
  <c r="D1226" i="36"/>
  <c r="G1222" i="36"/>
  <c r="F1222" i="36"/>
  <c r="E1222" i="36"/>
  <c r="D1222" i="36"/>
  <c r="G1218" i="36"/>
  <c r="F1218" i="36"/>
  <c r="E1218" i="36"/>
  <c r="D1218" i="36"/>
  <c r="G1214" i="36"/>
  <c r="F1214" i="36"/>
  <c r="E1214" i="36"/>
  <c r="D1214" i="36"/>
  <c r="F1210" i="36"/>
  <c r="G1210" i="36"/>
  <c r="E1210" i="36"/>
  <c r="D1210" i="36"/>
  <c r="G1206" i="36"/>
  <c r="F1206" i="36"/>
  <c r="E1206" i="36"/>
  <c r="D1206" i="36"/>
  <c r="G1202" i="36"/>
  <c r="F1202" i="36"/>
  <c r="E1202" i="36"/>
  <c r="D1202" i="36"/>
  <c r="G1198" i="36"/>
  <c r="F1198" i="36"/>
  <c r="E1198" i="36"/>
  <c r="D1198" i="36"/>
  <c r="G1194" i="36"/>
  <c r="F1194" i="36"/>
  <c r="E1194" i="36"/>
  <c r="D1194" i="36"/>
  <c r="G1190" i="36"/>
  <c r="F1190" i="36"/>
  <c r="E1190" i="36"/>
  <c r="D1190" i="36"/>
  <c r="G1186" i="36"/>
  <c r="F1186" i="36"/>
  <c r="E1186" i="36"/>
  <c r="D1186" i="36"/>
  <c r="G1182" i="36"/>
  <c r="F1182" i="36"/>
  <c r="E1182" i="36"/>
  <c r="D1182" i="36"/>
  <c r="G1178" i="36"/>
  <c r="F1178" i="36"/>
  <c r="E1178" i="36"/>
  <c r="D1178" i="36"/>
  <c r="G1174" i="36"/>
  <c r="F1174" i="36"/>
  <c r="E1174" i="36"/>
  <c r="D1174" i="36"/>
  <c r="G1170" i="36"/>
  <c r="F1170" i="36"/>
  <c r="E1170" i="36"/>
  <c r="D1170" i="36"/>
  <c r="G1166" i="36"/>
  <c r="F1166" i="36"/>
  <c r="E1166" i="36"/>
  <c r="D1166" i="36"/>
  <c r="G1162" i="36"/>
  <c r="F1162" i="36"/>
  <c r="E1162" i="36"/>
  <c r="D1162" i="36"/>
  <c r="G1158" i="36"/>
  <c r="F1158" i="36"/>
  <c r="E1158" i="36"/>
  <c r="D1158" i="36"/>
  <c r="G1154" i="36"/>
  <c r="F1154" i="36"/>
  <c r="E1154" i="36"/>
  <c r="D1154" i="36"/>
  <c r="G1150" i="36"/>
  <c r="F1150" i="36"/>
  <c r="E1150" i="36"/>
  <c r="D1150" i="36"/>
  <c r="G1146" i="36"/>
  <c r="F1146" i="36"/>
  <c r="E1146" i="36"/>
  <c r="D1146" i="36"/>
  <c r="G1142" i="36"/>
  <c r="F1142" i="36"/>
  <c r="E1142" i="36"/>
  <c r="D1142" i="36"/>
  <c r="G1138" i="36"/>
  <c r="F1138" i="36"/>
  <c r="E1138" i="36"/>
  <c r="D1138" i="36"/>
  <c r="G1134" i="36"/>
  <c r="F1134" i="36"/>
  <c r="E1134" i="36"/>
  <c r="D1134" i="36"/>
  <c r="G1130" i="36"/>
  <c r="F1130" i="36"/>
  <c r="E1130" i="36"/>
  <c r="D1130" i="36"/>
  <c r="G1126" i="36"/>
  <c r="F1126" i="36"/>
  <c r="E1126" i="36"/>
  <c r="D1126" i="36"/>
  <c r="G1122" i="36"/>
  <c r="F1122" i="36"/>
  <c r="E1122" i="36"/>
  <c r="D1122" i="36"/>
  <c r="G1118" i="36"/>
  <c r="F1118" i="36"/>
  <c r="E1118" i="36"/>
  <c r="D1118" i="36"/>
  <c r="G1114" i="36"/>
  <c r="F1114" i="36"/>
  <c r="E1114" i="36"/>
  <c r="D1114" i="36"/>
  <c r="G1110" i="36"/>
  <c r="F1110" i="36"/>
  <c r="E1110" i="36"/>
  <c r="D1110" i="36"/>
  <c r="G1106" i="36"/>
  <c r="F1106" i="36"/>
  <c r="E1106" i="36"/>
  <c r="D1106" i="36"/>
  <c r="G1102" i="36"/>
  <c r="F1102" i="36"/>
  <c r="E1102" i="36"/>
  <c r="D1102" i="36"/>
  <c r="G1098" i="36"/>
  <c r="F1098" i="36"/>
  <c r="E1098" i="36"/>
  <c r="D1098" i="36"/>
  <c r="G1094" i="36"/>
  <c r="F1094" i="36"/>
  <c r="E1094" i="36"/>
  <c r="D1094" i="36"/>
  <c r="G1090" i="36"/>
  <c r="F1090" i="36"/>
  <c r="E1090" i="36"/>
  <c r="D1090" i="36"/>
  <c r="G1086" i="36"/>
  <c r="F1086" i="36"/>
  <c r="E1086" i="36"/>
  <c r="D1086" i="36"/>
  <c r="G1082" i="36"/>
  <c r="F1082" i="36"/>
  <c r="E1082" i="36"/>
  <c r="D1082" i="36"/>
  <c r="G1078" i="36"/>
  <c r="F1078" i="36"/>
  <c r="E1078" i="36"/>
  <c r="D1078" i="36"/>
  <c r="G1074" i="36"/>
  <c r="F1074" i="36"/>
  <c r="E1074" i="36"/>
  <c r="D1074" i="36"/>
  <c r="G1070" i="36"/>
  <c r="F1070" i="36"/>
  <c r="E1070" i="36"/>
  <c r="D1070" i="36"/>
  <c r="G1066" i="36"/>
  <c r="F1066" i="36"/>
  <c r="E1066" i="36"/>
  <c r="D1066" i="36"/>
  <c r="G1062" i="36"/>
  <c r="F1062" i="36"/>
  <c r="E1062" i="36"/>
  <c r="D1062" i="36"/>
  <c r="G1058" i="36"/>
  <c r="F1058" i="36"/>
  <c r="E1058" i="36"/>
  <c r="D1058" i="36"/>
  <c r="G1054" i="36"/>
  <c r="F1054" i="36"/>
  <c r="E1054" i="36"/>
  <c r="D1054" i="36"/>
  <c r="G1050" i="36"/>
  <c r="F1050" i="36"/>
  <c r="E1050" i="36"/>
  <c r="D1050" i="36"/>
  <c r="G1046" i="36"/>
  <c r="F1046" i="36"/>
  <c r="E1046" i="36"/>
  <c r="D1046" i="36"/>
  <c r="G1042" i="36"/>
  <c r="F1042" i="36"/>
  <c r="E1042" i="36"/>
  <c r="D1042" i="36"/>
  <c r="G1038" i="36"/>
  <c r="F1038" i="36"/>
  <c r="E1038" i="36"/>
  <c r="D1038" i="36"/>
  <c r="G1034" i="36"/>
  <c r="F1034" i="36"/>
  <c r="E1034" i="36"/>
  <c r="D1034" i="36"/>
  <c r="G1030" i="36"/>
  <c r="F1030" i="36"/>
  <c r="E1030" i="36"/>
  <c r="D1030" i="36"/>
  <c r="G1026" i="36"/>
  <c r="F1026" i="36"/>
  <c r="E1026" i="36"/>
  <c r="D1026" i="36"/>
  <c r="G1022" i="36"/>
  <c r="F1022" i="36"/>
  <c r="E1022" i="36"/>
  <c r="D1022" i="36"/>
  <c r="F1018" i="36"/>
  <c r="G1018" i="36"/>
  <c r="E1018" i="36"/>
  <c r="D1018" i="36"/>
  <c r="G1014" i="36"/>
  <c r="F1014" i="36"/>
  <c r="E1014" i="36"/>
  <c r="D1014" i="36"/>
  <c r="G1010" i="36"/>
  <c r="F1010" i="36"/>
  <c r="E1010" i="36"/>
  <c r="D1010" i="36"/>
  <c r="G1006" i="36"/>
  <c r="F1006" i="36"/>
  <c r="E1006" i="36"/>
  <c r="D1006" i="36"/>
  <c r="G1002" i="36"/>
  <c r="F1002" i="36"/>
  <c r="E1002" i="36"/>
  <c r="D1002" i="36"/>
  <c r="G998" i="36"/>
  <c r="F998" i="36"/>
  <c r="E998" i="36"/>
  <c r="D998" i="36"/>
  <c r="G994" i="36"/>
  <c r="F994" i="36"/>
  <c r="E994" i="36"/>
  <c r="D994" i="36"/>
  <c r="G990" i="36"/>
  <c r="F990" i="36"/>
  <c r="E990" i="36"/>
  <c r="D990" i="36"/>
  <c r="G986" i="36"/>
  <c r="F986" i="36"/>
  <c r="E986" i="36"/>
  <c r="D986" i="36"/>
  <c r="G982" i="36"/>
  <c r="F982" i="36"/>
  <c r="E982" i="36"/>
  <c r="D982" i="36"/>
  <c r="G978" i="36"/>
  <c r="F978" i="36"/>
  <c r="E978" i="36"/>
  <c r="D978" i="36"/>
  <c r="G974" i="36"/>
  <c r="F974" i="36"/>
  <c r="E974" i="36"/>
  <c r="D974" i="36"/>
  <c r="G970" i="36"/>
  <c r="F970" i="36"/>
  <c r="E970" i="36"/>
  <c r="D970" i="36"/>
  <c r="G966" i="36"/>
  <c r="F966" i="36"/>
  <c r="E966" i="36"/>
  <c r="D966" i="36"/>
  <c r="G962" i="36"/>
  <c r="F962" i="36"/>
  <c r="E962" i="36"/>
  <c r="D962" i="36"/>
  <c r="G958" i="36"/>
  <c r="F958" i="36"/>
  <c r="E958" i="36"/>
  <c r="D958" i="36"/>
  <c r="F954" i="36"/>
  <c r="G954" i="36"/>
  <c r="E954" i="36"/>
  <c r="D954" i="36"/>
  <c r="G950" i="36"/>
  <c r="F950" i="36"/>
  <c r="E950" i="36"/>
  <c r="D950" i="36"/>
  <c r="G946" i="36"/>
  <c r="F946" i="36"/>
  <c r="E946" i="36"/>
  <c r="D946" i="36"/>
  <c r="G942" i="36"/>
  <c r="F942" i="36"/>
  <c r="E942" i="36"/>
  <c r="D942" i="36"/>
  <c r="G938" i="36"/>
  <c r="F938" i="36"/>
  <c r="E938" i="36"/>
  <c r="D938" i="36"/>
  <c r="G934" i="36"/>
  <c r="F934" i="36"/>
  <c r="E934" i="36"/>
  <c r="D934" i="36"/>
  <c r="G930" i="36"/>
  <c r="F930" i="36"/>
  <c r="E930" i="36"/>
  <c r="D930" i="36"/>
  <c r="G926" i="36"/>
  <c r="F926" i="36"/>
  <c r="E926" i="36"/>
  <c r="D926" i="36"/>
  <c r="G922" i="36"/>
  <c r="F922" i="36"/>
  <c r="E922" i="36"/>
  <c r="D922" i="36"/>
  <c r="G918" i="36"/>
  <c r="F918" i="36"/>
  <c r="E918" i="36"/>
  <c r="D918" i="36"/>
  <c r="G914" i="36"/>
  <c r="F914" i="36"/>
  <c r="E914" i="36"/>
  <c r="D914" i="36"/>
  <c r="G910" i="36"/>
  <c r="F910" i="36"/>
  <c r="E910" i="36"/>
  <c r="D910" i="36"/>
  <c r="G906" i="36"/>
  <c r="F906" i="36"/>
  <c r="E906" i="36"/>
  <c r="D906" i="36"/>
  <c r="G902" i="36"/>
  <c r="F902" i="36"/>
  <c r="E902" i="36"/>
  <c r="D902" i="36"/>
  <c r="G898" i="36"/>
  <c r="F898" i="36"/>
  <c r="E898" i="36"/>
  <c r="D898" i="36"/>
  <c r="G894" i="36"/>
  <c r="F894" i="36"/>
  <c r="E894" i="36"/>
  <c r="D894" i="36"/>
  <c r="G890" i="36"/>
  <c r="F890" i="36"/>
  <c r="E890" i="36"/>
  <c r="D890" i="36"/>
  <c r="G886" i="36"/>
  <c r="F886" i="36"/>
  <c r="E886" i="36"/>
  <c r="D886" i="36"/>
  <c r="G882" i="36"/>
  <c r="F882" i="36"/>
  <c r="E882" i="36"/>
  <c r="D882" i="36"/>
  <c r="G878" i="36"/>
  <c r="F878" i="36"/>
  <c r="E878" i="36"/>
  <c r="D878" i="36"/>
  <c r="G874" i="36"/>
  <c r="F874" i="36"/>
  <c r="E874" i="36"/>
  <c r="D874" i="36"/>
  <c r="G870" i="36"/>
  <c r="F870" i="36"/>
  <c r="E870" i="36"/>
  <c r="D870" i="36"/>
  <c r="G866" i="36"/>
  <c r="F866" i="36"/>
  <c r="E866" i="36"/>
  <c r="D866" i="36"/>
  <c r="G862" i="36"/>
  <c r="F862" i="36"/>
  <c r="E862" i="36"/>
  <c r="D862" i="36"/>
  <c r="G858" i="36"/>
  <c r="F858" i="36"/>
  <c r="E858" i="36"/>
  <c r="D858" i="36"/>
  <c r="G854" i="36"/>
  <c r="F854" i="36"/>
  <c r="E854" i="36"/>
  <c r="D854" i="36"/>
  <c r="G850" i="36"/>
  <c r="F850" i="36"/>
  <c r="E850" i="36"/>
  <c r="D850" i="36"/>
  <c r="G846" i="36"/>
  <c r="F846" i="36"/>
  <c r="E846" i="36"/>
  <c r="D846" i="36"/>
  <c r="G842" i="36"/>
  <c r="F842" i="36"/>
  <c r="E842" i="36"/>
  <c r="D842" i="36"/>
  <c r="G838" i="36"/>
  <c r="F838" i="36"/>
  <c r="E838" i="36"/>
  <c r="D838" i="36"/>
  <c r="G834" i="36"/>
  <c r="F834" i="36"/>
  <c r="E834" i="36"/>
  <c r="D834" i="36"/>
  <c r="G830" i="36"/>
  <c r="F830" i="36"/>
  <c r="E830" i="36"/>
  <c r="D830" i="36"/>
  <c r="G826" i="36"/>
  <c r="F826" i="36"/>
  <c r="E826" i="36"/>
  <c r="D826" i="36"/>
  <c r="G822" i="36"/>
  <c r="F822" i="36"/>
  <c r="E822" i="36"/>
  <c r="D822" i="36"/>
  <c r="G818" i="36"/>
  <c r="F818" i="36"/>
  <c r="E818" i="36"/>
  <c r="D818" i="36"/>
  <c r="G814" i="36"/>
  <c r="F814" i="36"/>
  <c r="E814" i="36"/>
  <c r="D814" i="36"/>
  <c r="G810" i="36"/>
  <c r="F810" i="36"/>
  <c r="E810" i="36"/>
  <c r="D810" i="36"/>
  <c r="G806" i="36"/>
  <c r="F806" i="36"/>
  <c r="E806" i="36"/>
  <c r="D806" i="36"/>
  <c r="G802" i="36"/>
  <c r="F802" i="36"/>
  <c r="E802" i="36"/>
  <c r="D802" i="36"/>
  <c r="G798" i="36"/>
  <c r="F798" i="36"/>
  <c r="E798" i="36"/>
  <c r="D798" i="36"/>
  <c r="G794" i="36"/>
  <c r="F794" i="36"/>
  <c r="E794" i="36"/>
  <c r="D794" i="36"/>
  <c r="G790" i="36"/>
  <c r="F790" i="36"/>
  <c r="E790" i="36"/>
  <c r="D790" i="36"/>
  <c r="G786" i="36"/>
  <c r="F786" i="36"/>
  <c r="E786" i="36"/>
  <c r="D786" i="36"/>
  <c r="G782" i="36"/>
  <c r="F782" i="36"/>
  <c r="E782" i="36"/>
  <c r="D782" i="36"/>
  <c r="G778" i="36"/>
  <c r="F778" i="36"/>
  <c r="E778" i="36"/>
  <c r="D778" i="36"/>
  <c r="G774" i="36"/>
  <c r="F774" i="36"/>
  <c r="E774" i="36"/>
  <c r="D774" i="36"/>
  <c r="G770" i="36"/>
  <c r="F770" i="36"/>
  <c r="E770" i="36"/>
  <c r="D770" i="36"/>
  <c r="G766" i="36"/>
  <c r="F766" i="36"/>
  <c r="E766" i="36"/>
  <c r="D766" i="36"/>
  <c r="G762" i="36"/>
  <c r="F762" i="36"/>
  <c r="E762" i="36"/>
  <c r="D762" i="36"/>
  <c r="G758" i="36"/>
  <c r="F758" i="36"/>
  <c r="E758" i="36"/>
  <c r="D758" i="36"/>
  <c r="G754" i="36"/>
  <c r="F754" i="36"/>
  <c r="E754" i="36"/>
  <c r="D754" i="36"/>
  <c r="G750" i="36"/>
  <c r="F750" i="36"/>
  <c r="E750" i="36"/>
  <c r="D750" i="36"/>
  <c r="G746" i="36"/>
  <c r="F746" i="36"/>
  <c r="E746" i="36"/>
  <c r="D746" i="36"/>
  <c r="G742" i="36"/>
  <c r="F742" i="36"/>
  <c r="E742" i="36"/>
  <c r="D742" i="36"/>
  <c r="G738" i="36"/>
  <c r="F738" i="36"/>
  <c r="E738" i="36"/>
  <c r="D738" i="36"/>
  <c r="G734" i="36"/>
  <c r="F734" i="36"/>
  <c r="E734" i="36"/>
  <c r="D734" i="36"/>
  <c r="G730" i="36"/>
  <c r="F730" i="36"/>
  <c r="E730" i="36"/>
  <c r="D730" i="36"/>
  <c r="G726" i="36"/>
  <c r="F726" i="36"/>
  <c r="E726" i="36"/>
  <c r="D726" i="36"/>
  <c r="G722" i="36"/>
  <c r="F722" i="36"/>
  <c r="E722" i="36"/>
  <c r="D722" i="36"/>
  <c r="G718" i="36"/>
  <c r="F718" i="36"/>
  <c r="E718" i="36"/>
  <c r="D718" i="36"/>
  <c r="G714" i="36"/>
  <c r="F714" i="36"/>
  <c r="E714" i="36"/>
  <c r="D714" i="36"/>
  <c r="G710" i="36"/>
  <c r="F710" i="36"/>
  <c r="E710" i="36"/>
  <c r="D710" i="36"/>
  <c r="G706" i="36"/>
  <c r="F706" i="36"/>
  <c r="E706" i="36"/>
  <c r="D706" i="36"/>
  <c r="G702" i="36"/>
  <c r="F702" i="36"/>
  <c r="E702" i="36"/>
  <c r="D702" i="36"/>
  <c r="G698" i="36"/>
  <c r="F698" i="36"/>
  <c r="E698" i="36"/>
  <c r="D698" i="36"/>
  <c r="G694" i="36"/>
  <c r="F694" i="36"/>
  <c r="E694" i="36"/>
  <c r="D694" i="36"/>
  <c r="G690" i="36"/>
  <c r="F690" i="36"/>
  <c r="E690" i="36"/>
  <c r="D690" i="36"/>
  <c r="G686" i="36"/>
  <c r="F686" i="36"/>
  <c r="E686" i="36"/>
  <c r="D686" i="36"/>
  <c r="G682" i="36"/>
  <c r="F682" i="36"/>
  <c r="E682" i="36"/>
  <c r="D682" i="36"/>
  <c r="G678" i="36"/>
  <c r="F678" i="36"/>
  <c r="E678" i="36"/>
  <c r="D678" i="36"/>
  <c r="G674" i="36"/>
  <c r="F674" i="36"/>
  <c r="E674" i="36"/>
  <c r="D674" i="36"/>
  <c r="G670" i="36"/>
  <c r="F670" i="36"/>
  <c r="E670" i="36"/>
  <c r="D670" i="36"/>
  <c r="G666" i="36"/>
  <c r="F666" i="36"/>
  <c r="E666" i="36"/>
  <c r="D666" i="36"/>
  <c r="G662" i="36"/>
  <c r="F662" i="36"/>
  <c r="E662" i="36"/>
  <c r="D662" i="36"/>
  <c r="G658" i="36"/>
  <c r="F658" i="36"/>
  <c r="E658" i="36"/>
  <c r="D658" i="36"/>
  <c r="G654" i="36"/>
  <c r="F654" i="36"/>
  <c r="E654" i="36"/>
  <c r="D654" i="36"/>
  <c r="G650" i="36"/>
  <c r="F650" i="36"/>
  <c r="E650" i="36"/>
  <c r="D650" i="36"/>
  <c r="G646" i="36"/>
  <c r="F646" i="36"/>
  <c r="E646" i="36"/>
  <c r="D646" i="36"/>
  <c r="G642" i="36"/>
  <c r="F642" i="36"/>
  <c r="E642" i="36"/>
  <c r="D642" i="36"/>
  <c r="G638" i="36"/>
  <c r="F638" i="36"/>
  <c r="E638" i="36"/>
  <c r="D638" i="36"/>
  <c r="G634" i="36"/>
  <c r="F634" i="36"/>
  <c r="E634" i="36"/>
  <c r="D634" i="36"/>
  <c r="G630" i="36"/>
  <c r="F630" i="36"/>
  <c r="E630" i="36"/>
  <c r="D630" i="36"/>
  <c r="G626" i="36"/>
  <c r="F626" i="36"/>
  <c r="E626" i="36"/>
  <c r="D626" i="36"/>
  <c r="G622" i="36"/>
  <c r="F622" i="36"/>
  <c r="E622" i="36"/>
  <c r="D622" i="36"/>
  <c r="G618" i="36"/>
  <c r="F618" i="36"/>
  <c r="E618" i="36"/>
  <c r="D618" i="36"/>
  <c r="G614" i="36"/>
  <c r="F614" i="36"/>
  <c r="E614" i="36"/>
  <c r="D614" i="36"/>
  <c r="G610" i="36"/>
  <c r="F610" i="36"/>
  <c r="E610" i="36"/>
  <c r="D610" i="36"/>
  <c r="G606" i="36"/>
  <c r="F606" i="36"/>
  <c r="E606" i="36"/>
  <c r="D606" i="36"/>
  <c r="G602" i="36"/>
  <c r="F602" i="36"/>
  <c r="E602" i="36"/>
  <c r="D602" i="36"/>
  <c r="G598" i="36"/>
  <c r="F598" i="36"/>
  <c r="E598" i="36"/>
  <c r="D598" i="36"/>
  <c r="G594" i="36"/>
  <c r="F594" i="36"/>
  <c r="D594" i="36"/>
  <c r="E594" i="36"/>
  <c r="G590" i="36"/>
  <c r="F590" i="36"/>
  <c r="E590" i="36"/>
  <c r="D590" i="36"/>
  <c r="G586" i="36"/>
  <c r="F586" i="36"/>
  <c r="D586" i="36"/>
  <c r="E586" i="36"/>
  <c r="G582" i="36"/>
  <c r="F582" i="36"/>
  <c r="E582" i="36"/>
  <c r="D582" i="36"/>
  <c r="G578" i="36"/>
  <c r="F578" i="36"/>
  <c r="E578" i="36"/>
  <c r="D578" i="36"/>
  <c r="G574" i="36"/>
  <c r="F574" i="36"/>
  <c r="E574" i="36"/>
  <c r="D574" i="36"/>
  <c r="G570" i="36"/>
  <c r="F570" i="36"/>
  <c r="E570" i="36"/>
  <c r="D570" i="36"/>
  <c r="G566" i="36"/>
  <c r="F566" i="36"/>
  <c r="E566" i="36"/>
  <c r="D566" i="36"/>
  <c r="G562" i="36"/>
  <c r="F562" i="36"/>
  <c r="D562" i="36"/>
  <c r="E562" i="36"/>
  <c r="G558" i="36"/>
  <c r="F558" i="36"/>
  <c r="E558" i="36"/>
  <c r="D558" i="36"/>
  <c r="G554" i="36"/>
  <c r="F554" i="36"/>
  <c r="D554" i="36"/>
  <c r="E554" i="36"/>
  <c r="G550" i="36"/>
  <c r="F550" i="36"/>
  <c r="E550" i="36"/>
  <c r="D550" i="36"/>
  <c r="G546" i="36"/>
  <c r="F546" i="36"/>
  <c r="E546" i="36"/>
  <c r="D546" i="36"/>
  <c r="G542" i="36"/>
  <c r="F542" i="36"/>
  <c r="E542" i="36"/>
  <c r="D542" i="36"/>
  <c r="G538" i="36"/>
  <c r="F538" i="36"/>
  <c r="E538" i="36"/>
  <c r="D538" i="36"/>
  <c r="G534" i="36"/>
  <c r="F534" i="36"/>
  <c r="E534" i="36"/>
  <c r="D534" i="36"/>
  <c r="G530" i="36"/>
  <c r="F530" i="36"/>
  <c r="D530" i="36"/>
  <c r="E530" i="36"/>
  <c r="G526" i="36"/>
  <c r="F526" i="36"/>
  <c r="E526" i="36"/>
  <c r="D526" i="36"/>
  <c r="G522" i="36"/>
  <c r="F522" i="36"/>
  <c r="E522" i="36"/>
  <c r="D522" i="36"/>
  <c r="G518" i="36"/>
  <c r="F518" i="36"/>
  <c r="D518" i="36"/>
  <c r="E518" i="36"/>
  <c r="G514" i="36"/>
  <c r="F514" i="36"/>
  <c r="E514" i="36"/>
  <c r="D514" i="36"/>
  <c r="G510" i="36"/>
  <c r="F510" i="36"/>
  <c r="E510" i="36"/>
  <c r="D510" i="36"/>
  <c r="G506" i="36"/>
  <c r="F506" i="36"/>
  <c r="E506" i="36"/>
  <c r="D506" i="36"/>
  <c r="G502" i="36"/>
  <c r="F502" i="36"/>
  <c r="E502" i="36"/>
  <c r="D502" i="36"/>
  <c r="G498" i="36"/>
  <c r="F498" i="36"/>
  <c r="E498" i="36"/>
  <c r="D498" i="36"/>
  <c r="G494" i="36"/>
  <c r="F494" i="36"/>
  <c r="E494" i="36"/>
  <c r="D494" i="36"/>
  <c r="G490" i="36"/>
  <c r="F490" i="36"/>
  <c r="E490" i="36"/>
  <c r="D490" i="36"/>
  <c r="G486" i="36"/>
  <c r="F486" i="36"/>
  <c r="E486" i="36"/>
  <c r="D486" i="36"/>
  <c r="G482" i="36"/>
  <c r="F482" i="36"/>
  <c r="E482" i="36"/>
  <c r="D482" i="36"/>
  <c r="G478" i="36"/>
  <c r="F478" i="36"/>
  <c r="E478" i="36"/>
  <c r="D478" i="36"/>
  <c r="G474" i="36"/>
  <c r="F474" i="36"/>
  <c r="E474" i="36"/>
  <c r="D474" i="36"/>
  <c r="G470" i="36"/>
  <c r="F470" i="36"/>
  <c r="D470" i="36"/>
  <c r="E470" i="36"/>
  <c r="G466" i="36"/>
  <c r="F466" i="36"/>
  <c r="E466" i="36"/>
  <c r="D466" i="36"/>
  <c r="G462" i="36"/>
  <c r="F462" i="36"/>
  <c r="E462" i="36"/>
  <c r="D462" i="36"/>
  <c r="G458" i="36"/>
  <c r="F458" i="36"/>
  <c r="E458" i="36"/>
  <c r="D458" i="36"/>
  <c r="G454" i="36"/>
  <c r="F454" i="36"/>
  <c r="D454" i="36"/>
  <c r="E454" i="36"/>
  <c r="G450" i="36"/>
  <c r="F450" i="36"/>
  <c r="E450" i="36"/>
  <c r="D450" i="36"/>
  <c r="G446" i="36"/>
  <c r="F446" i="36"/>
  <c r="E446" i="36"/>
  <c r="D446" i="36"/>
  <c r="G442" i="36"/>
  <c r="F442" i="36"/>
  <c r="E442" i="36"/>
  <c r="D442" i="36"/>
  <c r="G438" i="36"/>
  <c r="F438" i="36"/>
  <c r="E438" i="36"/>
  <c r="D438" i="36"/>
  <c r="G434" i="36"/>
  <c r="F434" i="36"/>
  <c r="E434" i="36"/>
  <c r="D434" i="36"/>
  <c r="G430" i="36"/>
  <c r="F430" i="36"/>
  <c r="E430" i="36"/>
  <c r="D430" i="36"/>
  <c r="G426" i="36"/>
  <c r="F426" i="36"/>
  <c r="E426" i="36"/>
  <c r="D426" i="36"/>
  <c r="G422" i="36"/>
  <c r="F422" i="36"/>
  <c r="E422" i="36"/>
  <c r="D422" i="36"/>
  <c r="G418" i="36"/>
  <c r="F418" i="36"/>
  <c r="E418" i="36"/>
  <c r="D418" i="36"/>
  <c r="G414" i="36"/>
  <c r="F414" i="36"/>
  <c r="E414" i="36"/>
  <c r="D414" i="36"/>
  <c r="G410" i="36"/>
  <c r="F410" i="36"/>
  <c r="E410" i="36"/>
  <c r="D410" i="36"/>
  <c r="G406" i="36"/>
  <c r="F406" i="36"/>
  <c r="D406" i="36"/>
  <c r="E406" i="36"/>
  <c r="G402" i="36"/>
  <c r="F402" i="36"/>
  <c r="E402" i="36"/>
  <c r="D402" i="36"/>
  <c r="G398" i="36"/>
  <c r="F398" i="36"/>
  <c r="E398" i="36"/>
  <c r="D398" i="36"/>
  <c r="G394" i="36"/>
  <c r="F394" i="36"/>
  <c r="E394" i="36"/>
  <c r="D394" i="36"/>
  <c r="G390" i="36"/>
  <c r="F390" i="36"/>
  <c r="D390" i="36"/>
  <c r="E390" i="36"/>
  <c r="G386" i="36"/>
  <c r="F386" i="36"/>
  <c r="E386" i="36"/>
  <c r="D386" i="36"/>
  <c r="G382" i="36"/>
  <c r="F382" i="36"/>
  <c r="E382" i="36"/>
  <c r="D382" i="36"/>
  <c r="G378" i="36"/>
  <c r="F378" i="36"/>
  <c r="E378" i="36"/>
  <c r="D378" i="36"/>
  <c r="G374" i="36"/>
  <c r="F374" i="36"/>
  <c r="E374" i="36"/>
  <c r="D374" i="36"/>
  <c r="G370" i="36"/>
  <c r="F370" i="36"/>
  <c r="E370" i="36"/>
  <c r="D370" i="36"/>
  <c r="G366" i="36"/>
  <c r="F366" i="36"/>
  <c r="E366" i="36"/>
  <c r="D366" i="36"/>
  <c r="G362" i="36"/>
  <c r="F362" i="36"/>
  <c r="E362" i="36"/>
  <c r="D362" i="36"/>
  <c r="G358" i="36"/>
  <c r="F358" i="36"/>
  <c r="E358" i="36"/>
  <c r="D358" i="36"/>
  <c r="G354" i="36"/>
  <c r="F354" i="36"/>
  <c r="E354" i="36"/>
  <c r="D354" i="36"/>
  <c r="G350" i="36"/>
  <c r="F350" i="36"/>
  <c r="E350" i="36"/>
  <c r="D350" i="36"/>
  <c r="G346" i="36"/>
  <c r="F346" i="36"/>
  <c r="E346" i="36"/>
  <c r="D346" i="36"/>
  <c r="G342" i="36"/>
  <c r="F342" i="36"/>
  <c r="D342" i="36"/>
  <c r="E342" i="36"/>
  <c r="G338" i="36"/>
  <c r="F338" i="36"/>
  <c r="E338" i="36"/>
  <c r="D338" i="36"/>
  <c r="G334" i="36"/>
  <c r="F334" i="36"/>
  <c r="E334" i="36"/>
  <c r="D334" i="36"/>
  <c r="G330" i="36"/>
  <c r="F330" i="36"/>
  <c r="E330" i="36"/>
  <c r="D330" i="36"/>
  <c r="G326" i="36"/>
  <c r="F326" i="36"/>
  <c r="D326" i="36"/>
  <c r="E326" i="36"/>
  <c r="G322" i="36"/>
  <c r="F322" i="36"/>
  <c r="E322" i="36"/>
  <c r="D322" i="36"/>
  <c r="G318" i="36"/>
  <c r="F318" i="36"/>
  <c r="E318" i="36"/>
  <c r="D318" i="36"/>
  <c r="G314" i="36"/>
  <c r="F314" i="36"/>
  <c r="E314" i="36"/>
  <c r="D314" i="36"/>
  <c r="G310" i="36"/>
  <c r="F310" i="36"/>
  <c r="E310" i="36"/>
  <c r="D310" i="36"/>
  <c r="G306" i="36"/>
  <c r="F306" i="36"/>
  <c r="E306" i="36"/>
  <c r="D306" i="36"/>
  <c r="G302" i="36"/>
  <c r="F302" i="36"/>
  <c r="E302" i="36"/>
  <c r="D302" i="36"/>
  <c r="G298" i="36"/>
  <c r="F298" i="36"/>
  <c r="E298" i="36"/>
  <c r="D298" i="36"/>
  <c r="G294" i="36"/>
  <c r="F294" i="36"/>
  <c r="E294" i="36"/>
  <c r="D294" i="36"/>
  <c r="G290" i="36"/>
  <c r="F290" i="36"/>
  <c r="E290" i="36"/>
  <c r="D290" i="36"/>
  <c r="G286" i="36"/>
  <c r="F286" i="36"/>
  <c r="E286" i="36"/>
  <c r="D286" i="36"/>
  <c r="G282" i="36"/>
  <c r="F282" i="36"/>
  <c r="E282" i="36"/>
  <c r="D282" i="36"/>
  <c r="G278" i="36"/>
  <c r="F278" i="36"/>
  <c r="D278" i="36"/>
  <c r="E278" i="36"/>
  <c r="G274" i="36"/>
  <c r="F274" i="36"/>
  <c r="E274" i="36"/>
  <c r="D274" i="36"/>
  <c r="G270" i="36"/>
  <c r="F270" i="36"/>
  <c r="E270" i="36"/>
  <c r="D270" i="36"/>
  <c r="G266" i="36"/>
  <c r="F266" i="36"/>
  <c r="E266" i="36"/>
  <c r="D266" i="36"/>
  <c r="G262" i="36"/>
  <c r="F262" i="36"/>
  <c r="D262" i="36"/>
  <c r="E262" i="36"/>
  <c r="G258" i="36"/>
  <c r="F258" i="36"/>
  <c r="E258" i="36"/>
  <c r="D258" i="36"/>
  <c r="G254" i="36"/>
  <c r="F254" i="36"/>
  <c r="E254" i="36"/>
  <c r="D254" i="36"/>
  <c r="G250" i="36"/>
  <c r="F250" i="36"/>
  <c r="E250" i="36"/>
  <c r="D250" i="36"/>
  <c r="G246" i="36"/>
  <c r="F246" i="36"/>
  <c r="E246" i="36"/>
  <c r="D246" i="36"/>
  <c r="G242" i="36"/>
  <c r="F242" i="36"/>
  <c r="E242" i="36"/>
  <c r="D242" i="36"/>
  <c r="G238" i="36"/>
  <c r="F238" i="36"/>
  <c r="E238" i="36"/>
  <c r="D238" i="36"/>
  <c r="G234" i="36"/>
  <c r="F234" i="36"/>
  <c r="E234" i="36"/>
  <c r="D234" i="36"/>
  <c r="G230" i="36"/>
  <c r="F230" i="36"/>
  <c r="E230" i="36"/>
  <c r="D230" i="36"/>
  <c r="G226" i="36"/>
  <c r="F226" i="36"/>
  <c r="E226" i="36"/>
  <c r="D226" i="36"/>
  <c r="G222" i="36"/>
  <c r="F222" i="36"/>
  <c r="E222" i="36"/>
  <c r="D222" i="36"/>
  <c r="G218" i="36"/>
  <c r="F218" i="36"/>
  <c r="E218" i="36"/>
  <c r="D218" i="36"/>
  <c r="G214" i="36"/>
  <c r="F214" i="36"/>
  <c r="D214" i="36"/>
  <c r="E214" i="36"/>
  <c r="G210" i="36"/>
  <c r="F210" i="36"/>
  <c r="E210" i="36"/>
  <c r="D210" i="36"/>
  <c r="G206" i="36"/>
  <c r="F206" i="36"/>
  <c r="E206" i="36"/>
  <c r="D206" i="36"/>
  <c r="G202" i="36"/>
  <c r="F202" i="36"/>
  <c r="E202" i="36"/>
  <c r="D202" i="36"/>
  <c r="G198" i="36"/>
  <c r="F198" i="36"/>
  <c r="D198" i="36"/>
  <c r="E198" i="36"/>
  <c r="G194" i="36"/>
  <c r="F194" i="36"/>
  <c r="E194" i="36"/>
  <c r="D194" i="36"/>
  <c r="G190" i="36"/>
  <c r="F190" i="36"/>
  <c r="E190" i="36"/>
  <c r="D190" i="36"/>
  <c r="G186" i="36"/>
  <c r="F186" i="36"/>
  <c r="E186" i="36"/>
  <c r="D186" i="36"/>
  <c r="G182" i="36"/>
  <c r="F182" i="36"/>
  <c r="E182" i="36"/>
  <c r="D182" i="36"/>
  <c r="G178" i="36"/>
  <c r="F178" i="36"/>
  <c r="E178" i="36"/>
  <c r="D178" i="36"/>
  <c r="G174" i="36"/>
  <c r="F174" i="36"/>
  <c r="E174" i="36"/>
  <c r="D174" i="36"/>
  <c r="G170" i="36"/>
  <c r="F170" i="36"/>
  <c r="E170" i="36"/>
  <c r="D170" i="36"/>
  <c r="G166" i="36"/>
  <c r="F166" i="36"/>
  <c r="E166" i="36"/>
  <c r="D166" i="36"/>
  <c r="G162" i="36"/>
  <c r="F162" i="36"/>
  <c r="E162" i="36"/>
  <c r="D162" i="36"/>
  <c r="G158" i="36"/>
  <c r="F158" i="36"/>
  <c r="E158" i="36"/>
  <c r="D158" i="36"/>
  <c r="G154" i="36"/>
  <c r="F154" i="36"/>
  <c r="E154" i="36"/>
  <c r="D154" i="36"/>
  <c r="G150" i="36"/>
  <c r="F150" i="36"/>
  <c r="D150" i="36"/>
  <c r="E150" i="36"/>
  <c r="G146" i="36"/>
  <c r="F146" i="36"/>
  <c r="E146" i="36"/>
  <c r="D146" i="36"/>
  <c r="G142" i="36"/>
  <c r="F142" i="36"/>
  <c r="E142" i="36"/>
  <c r="D142" i="36"/>
  <c r="G138" i="36"/>
  <c r="F138" i="36"/>
  <c r="E138" i="36"/>
  <c r="D138" i="36"/>
  <c r="G134" i="36"/>
  <c r="F134" i="36"/>
  <c r="D134" i="36"/>
  <c r="E134" i="36"/>
  <c r="G130" i="36"/>
  <c r="F130" i="36"/>
  <c r="E130" i="36"/>
  <c r="D130" i="36"/>
  <c r="G126" i="36"/>
  <c r="F126" i="36"/>
  <c r="E126" i="36"/>
  <c r="D126" i="36"/>
  <c r="G122" i="36"/>
  <c r="F122" i="36"/>
  <c r="E122" i="36"/>
  <c r="D122" i="36"/>
  <c r="G118" i="36"/>
  <c r="F118" i="36"/>
  <c r="E118" i="36"/>
  <c r="D118" i="36"/>
  <c r="G114" i="36"/>
  <c r="F114" i="36"/>
  <c r="E114" i="36"/>
  <c r="D114" i="36"/>
  <c r="G110" i="36"/>
  <c r="F110" i="36"/>
  <c r="E110" i="36"/>
  <c r="D110" i="36"/>
  <c r="G106" i="36"/>
  <c r="F106" i="36"/>
  <c r="E106" i="36"/>
  <c r="D106" i="36"/>
  <c r="G102" i="36"/>
  <c r="F102" i="36"/>
  <c r="E102" i="36"/>
  <c r="D102" i="36"/>
  <c r="G98" i="36"/>
  <c r="F98" i="36"/>
  <c r="E98" i="36"/>
  <c r="D98" i="36"/>
  <c r="G94" i="36"/>
  <c r="F94" i="36"/>
  <c r="E94" i="36"/>
  <c r="D94" i="36"/>
  <c r="G90" i="36"/>
  <c r="F90" i="36"/>
  <c r="E90" i="36"/>
  <c r="D90" i="36"/>
  <c r="G86" i="36"/>
  <c r="F86" i="36"/>
  <c r="D86" i="36"/>
  <c r="E86" i="36"/>
  <c r="G82" i="36"/>
  <c r="F82" i="36"/>
  <c r="E82" i="36"/>
  <c r="D82" i="36"/>
  <c r="G78" i="36"/>
  <c r="F78" i="36"/>
  <c r="E78" i="36"/>
  <c r="D78" i="36"/>
  <c r="G74" i="36"/>
  <c r="F74" i="36"/>
  <c r="E74" i="36"/>
  <c r="D74" i="36"/>
  <c r="G70" i="36"/>
  <c r="F70" i="36"/>
  <c r="D70" i="36"/>
  <c r="E70" i="36"/>
  <c r="G66" i="36"/>
  <c r="F66" i="36"/>
  <c r="E66" i="36"/>
  <c r="D66" i="36"/>
  <c r="G62" i="36"/>
  <c r="F62" i="36"/>
  <c r="E62" i="36"/>
  <c r="D62" i="36"/>
  <c r="G58" i="36"/>
  <c r="F58" i="36"/>
  <c r="E58" i="36"/>
  <c r="D58" i="36"/>
  <c r="G54" i="36"/>
  <c r="F54" i="36"/>
  <c r="E54" i="36"/>
  <c r="D54" i="36"/>
  <c r="G50" i="36"/>
  <c r="F50" i="36"/>
  <c r="E50" i="36"/>
  <c r="D50" i="36"/>
  <c r="G46" i="36"/>
  <c r="F46" i="36"/>
  <c r="E46" i="36"/>
  <c r="D46" i="36"/>
  <c r="G42" i="36"/>
  <c r="F42" i="36"/>
  <c r="E42" i="36"/>
  <c r="D42" i="36"/>
  <c r="G38" i="36"/>
  <c r="F38" i="36"/>
  <c r="E38" i="36"/>
  <c r="D38" i="36"/>
  <c r="G34" i="36"/>
  <c r="F34" i="36"/>
  <c r="E34" i="36"/>
  <c r="D34" i="36"/>
  <c r="G30" i="36"/>
  <c r="F30" i="36"/>
  <c r="E30" i="36"/>
  <c r="D30" i="36"/>
  <c r="G26" i="36"/>
  <c r="F26" i="36"/>
  <c r="E26" i="36"/>
  <c r="D26" i="36"/>
  <c r="G22" i="36"/>
  <c r="F22" i="36"/>
  <c r="D22" i="36"/>
  <c r="E22" i="36"/>
  <c r="G18" i="36"/>
  <c r="F18" i="36"/>
  <c r="E18" i="36"/>
  <c r="D18" i="36"/>
  <c r="G14" i="36"/>
  <c r="F14" i="36"/>
  <c r="E14" i="36"/>
  <c r="D14" i="36"/>
  <c r="G10" i="36"/>
  <c r="F10" i="36"/>
  <c r="E10" i="36"/>
  <c r="D10" i="36"/>
  <c r="G6" i="36"/>
  <c r="F6" i="36"/>
  <c r="D6" i="36"/>
  <c r="E6" i="36"/>
  <c r="AD126" i="37" l="1"/>
  <c r="AH127" i="37" s="1"/>
  <c r="AB18" i="36"/>
  <c r="AC18" i="36"/>
  <c r="AD18" i="36"/>
  <c r="AA18" i="36"/>
  <c r="N72" i="6"/>
  <c r="Z20" i="36" l="1"/>
  <c r="AD21" i="36" s="1"/>
  <c r="Z8" i="68"/>
  <c r="Z7" i="68"/>
  <c r="E18" i="65" l="1"/>
  <c r="E20" i="65"/>
  <c r="Q112" i="71" l="1"/>
  <c r="Q111" i="71"/>
  <c r="Q110" i="71"/>
  <c r="L122" i="71" l="1"/>
  <c r="M120" i="71"/>
  <c r="L119" i="71"/>
  <c r="L118" i="71"/>
  <c r="L109" i="71"/>
  <c r="L107" i="71"/>
  <c r="M106" i="71"/>
  <c r="M109" i="71" s="1"/>
  <c r="M114" i="71" s="1"/>
  <c r="L102" i="71"/>
  <c r="C102" i="71"/>
  <c r="L97" i="71"/>
  <c r="M96" i="71"/>
  <c r="L96" i="71"/>
  <c r="M95" i="71"/>
  <c r="J95" i="71"/>
  <c r="M94" i="71"/>
  <c r="J94" i="71"/>
  <c r="C94" i="71"/>
  <c r="L93" i="71"/>
  <c r="L92" i="71"/>
  <c r="L90" i="71"/>
  <c r="L88" i="71"/>
  <c r="L87" i="71"/>
  <c r="L84" i="71"/>
  <c r="L81" i="71"/>
  <c r="P77" i="71"/>
  <c r="P75" i="71"/>
  <c r="L65" i="71"/>
  <c r="M60" i="71"/>
  <c r="Q52" i="71"/>
  <c r="Q51" i="71"/>
  <c r="Q50" i="71"/>
  <c r="C52" i="71"/>
  <c r="M46" i="71"/>
  <c r="M49" i="71" s="1"/>
  <c r="C34" i="71"/>
  <c r="C42" i="71"/>
  <c r="M36" i="71"/>
  <c r="L62" i="71"/>
  <c r="L59" i="71"/>
  <c r="L58" i="71"/>
  <c r="L49" i="71"/>
  <c r="L47" i="71"/>
  <c r="L42" i="71"/>
  <c r="L37" i="71"/>
  <c r="L36" i="71"/>
  <c r="J35" i="71"/>
  <c r="J34" i="71"/>
  <c r="M35" i="71"/>
  <c r="M34" i="71"/>
  <c r="L33" i="71"/>
  <c r="L32" i="71"/>
  <c r="L30" i="71"/>
  <c r="P17" i="71"/>
  <c r="P15" i="71"/>
  <c r="L28" i="71"/>
  <c r="L27" i="71"/>
  <c r="L24" i="71"/>
  <c r="L21" i="71"/>
  <c r="L5" i="71"/>
  <c r="K142" i="71" l="1"/>
  <c r="D52" i="78" s="1"/>
  <c r="M54" i="71"/>
  <c r="K139" i="71" s="1"/>
  <c r="Z62" i="79" s="1"/>
  <c r="K136" i="71"/>
  <c r="M62" i="71"/>
  <c r="P73" i="71"/>
  <c r="M122" i="71"/>
  <c r="P19" i="71"/>
  <c r="AM65" i="109" l="1"/>
  <c r="AM103" i="109"/>
  <c r="AM90" i="109"/>
  <c r="K145" i="71"/>
  <c r="Z64" i="79" s="1"/>
  <c r="AO64" i="79" s="1"/>
  <c r="W30" i="78"/>
  <c r="AC30" i="78" s="1"/>
  <c r="AD62" i="79"/>
  <c r="AO62" i="79"/>
  <c r="AC53" i="78"/>
  <c r="AM59" i="78"/>
  <c r="AC29" i="78"/>
  <c r="Q73" i="71"/>
  <c r="Q75" i="71"/>
  <c r="Q15" i="71"/>
  <c r="Q17" i="71"/>
  <c r="AD64" i="79" l="1"/>
  <c r="AB6" i="68"/>
  <c r="B66" i="3"/>
  <c r="R46" i="37" l="1"/>
  <c r="BO143" i="2" l="1"/>
  <c r="BO122" i="2"/>
  <c r="W202" i="68" l="1"/>
  <c r="W203" i="68"/>
  <c r="W206" i="68"/>
  <c r="W207" i="68"/>
  <c r="W208" i="68"/>
  <c r="W209" i="68"/>
  <c r="W210" i="68"/>
  <c r="W211" i="68"/>
  <c r="W212" i="68"/>
  <c r="W213" i="68"/>
  <c r="W215" i="68"/>
  <c r="W217" i="68"/>
  <c r="W218" i="68"/>
  <c r="W219" i="68"/>
  <c r="W220" i="68"/>
  <c r="W221" i="68"/>
  <c r="W222" i="68"/>
  <c r="W224" i="68"/>
  <c r="W225" i="68"/>
  <c r="W226" i="68"/>
  <c r="W227" i="68"/>
  <c r="W228" i="68"/>
  <c r="W229" i="68"/>
  <c r="W230" i="68"/>
  <c r="W231" i="68"/>
  <c r="W232" i="68"/>
  <c r="W233" i="68"/>
  <c r="Y289" i="68" l="1"/>
  <c r="Y290" i="68"/>
  <c r="Y291" i="68"/>
  <c r="Y292" i="68"/>
  <c r="Y293" i="68"/>
  <c r="Y294" i="68"/>
  <c r="AB25" i="68" l="1"/>
  <c r="AC7" i="68" l="1"/>
  <c r="W195" i="68" l="1"/>
  <c r="V155" i="68"/>
  <c r="T135" i="68"/>
  <c r="T145" i="68"/>
  <c r="R135" i="68"/>
  <c r="T155" i="68"/>
  <c r="F144" i="68" l="1"/>
  <c r="F154" i="68"/>
  <c r="F134" i="68"/>
  <c r="F124" i="68"/>
  <c r="G129" i="68"/>
  <c r="P145" i="68"/>
  <c r="R145" i="68"/>
  <c r="P155" i="68"/>
  <c r="R155" i="68"/>
  <c r="W193" i="68" l="1"/>
  <c r="W197" i="68"/>
  <c r="W198" i="68" l="1"/>
  <c r="W199" i="68" l="1"/>
  <c r="G139" i="68"/>
  <c r="G159" i="68"/>
  <c r="W200" i="68" l="1"/>
  <c r="Y259" i="68" l="1"/>
  <c r="D43" i="68"/>
  <c r="Y260" i="68" l="1"/>
  <c r="Y261" i="68" l="1"/>
  <c r="Y262" i="68" l="1"/>
  <c r="W108" i="68"/>
  <c r="C69" i="68"/>
  <c r="C9" i="68"/>
  <c r="W68" i="68"/>
  <c r="T7" i="68"/>
  <c r="Y263" i="68" l="1"/>
  <c r="Y264" i="68" l="1"/>
  <c r="Y265" i="68" l="1"/>
  <c r="Y266" i="68" l="1"/>
  <c r="Y267" i="68" l="1"/>
  <c r="C23" i="13"/>
  <c r="Y268" i="68" l="1"/>
  <c r="Y269" i="68" l="1"/>
  <c r="Q16" i="15"/>
  <c r="Y270" i="68" l="1"/>
  <c r="Y271" i="68" l="1"/>
  <c r="V22" i="13"/>
  <c r="Y272" i="68" l="1"/>
  <c r="Y274" i="68"/>
  <c r="Y273" i="68" l="1"/>
  <c r="Y275" i="68"/>
  <c r="V16" i="13"/>
  <c r="C67" i="13"/>
  <c r="C17" i="13"/>
  <c r="C19" i="13"/>
  <c r="Y276" i="68" l="1"/>
  <c r="P11" i="13"/>
  <c r="P12" i="13"/>
  <c r="C65" i="13"/>
  <c r="J94" i="13"/>
  <c r="O22" i="13"/>
  <c r="M22" i="13"/>
  <c r="V19" i="13"/>
  <c r="R29" i="13" s="1"/>
  <c r="K52" i="13"/>
  <c r="Y277" i="68" l="1"/>
  <c r="P32" i="13"/>
  <c r="R22" i="12"/>
  <c r="Y278" i="68" l="1"/>
  <c r="Y279" i="68" l="1"/>
  <c r="Y280" i="68" l="1"/>
  <c r="Y281" i="68" l="1"/>
  <c r="BJ133" i="2"/>
  <c r="BK133" i="2" s="1"/>
  <c r="Y282" i="68" l="1"/>
  <c r="Y283" i="68" l="1"/>
  <c r="Y284" i="68" l="1"/>
  <c r="BI144" i="2"/>
  <c r="BJ144" i="2" s="1"/>
  <c r="BI123" i="2"/>
  <c r="BJ123" i="2" s="1"/>
  <c r="BJ147" i="2"/>
  <c r="BP145" i="2"/>
  <c r="BP146" i="2" s="1"/>
  <c r="BN128" i="2"/>
  <c r="AI98" i="71"/>
  <c r="BP123" i="2"/>
  <c r="BP124" i="2" s="1"/>
  <c r="BI122" i="2"/>
  <c r="BI25" i="2" l="1"/>
  <c r="BI24" i="2"/>
  <c r="AI10" i="3"/>
  <c r="AI12" i="3" s="1"/>
  <c r="AI14" i="3" s="1"/>
  <c r="AI18" i="3" s="1"/>
  <c r="N16" i="3" s="1"/>
  <c r="AI7" i="3"/>
  <c r="M177" i="60"/>
  <c r="AH14" i="99"/>
  <c r="AC14" i="99" s="1"/>
  <c r="S59" i="15"/>
  <c r="BO127" i="2"/>
  <c r="BJ122" i="2"/>
  <c r="BJ143" i="2"/>
  <c r="S84" i="71"/>
  <c r="V84" i="71" s="1"/>
  <c r="AJ98" i="71"/>
  <c r="M92" i="71" s="1"/>
  <c r="S25" i="71"/>
  <c r="BI136" i="2"/>
  <c r="AJ36" i="71"/>
  <c r="M32" i="71" s="1"/>
  <c r="AI36" i="71"/>
  <c r="X36" i="71"/>
  <c r="Y285" i="68"/>
  <c r="BJ121" i="2"/>
  <c r="BJ142" i="2"/>
  <c r="BZ2" i="95" s="1"/>
  <c r="BI28" i="2" l="1"/>
  <c r="BN148" i="2" s="1"/>
  <c r="CD30" i="95"/>
  <c r="CA30" i="95" s="1"/>
  <c r="CD15" i="95"/>
  <c r="CD21" i="95"/>
  <c r="CA2" i="95"/>
  <c r="CD9" i="95"/>
  <c r="CD10" i="95"/>
  <c r="CD23" i="95"/>
  <c r="CD8" i="95"/>
  <c r="CD7" i="95"/>
  <c r="CA7" i="95" s="1"/>
  <c r="CD2" i="95"/>
  <c r="BL149" i="2"/>
  <c r="BK144" i="2"/>
  <c r="BL129" i="2"/>
  <c r="BK123" i="2"/>
  <c r="K88" i="2" s="1"/>
  <c r="J17" i="3"/>
  <c r="N18" i="3" s="1"/>
  <c r="AP81" i="2"/>
  <c r="BL151" i="2"/>
  <c r="BL150" i="2"/>
  <c r="BL131" i="2"/>
  <c r="BL130" i="2"/>
  <c r="BN147" i="2"/>
  <c r="BN127" i="2"/>
  <c r="U84" i="71"/>
  <c r="AF85" i="71" s="1"/>
  <c r="AM85" i="71" s="1"/>
  <c r="T84" i="71"/>
  <c r="V25" i="71"/>
  <c r="T25" i="71"/>
  <c r="U25" i="71"/>
  <c r="U233" i="68"/>
  <c r="Y286" i="68"/>
  <c r="K90" i="2" l="1"/>
  <c r="AJ93" i="109" s="1"/>
  <c r="CL30" i="95"/>
  <c r="CM30" i="95" s="1"/>
  <c r="CV30" i="95"/>
  <c r="CX30" i="95" s="1"/>
  <c r="CL7" i="95"/>
  <c r="CM7" i="95" s="1"/>
  <c r="CV7" i="95"/>
  <c r="CX7" i="95" s="1"/>
  <c r="CA15" i="95"/>
  <c r="CA10" i="95"/>
  <c r="CA9" i="95"/>
  <c r="CA8" i="95"/>
  <c r="CL8" i="95" s="1"/>
  <c r="CA21" i="95"/>
  <c r="CA23" i="95"/>
  <c r="BL123" i="2"/>
  <c r="BJ15" i="2" s="1"/>
  <c r="AX16" i="2" s="1"/>
  <c r="P19" i="3"/>
  <c r="BN126" i="2"/>
  <c r="BL125" i="2"/>
  <c r="BL132" i="2"/>
  <c r="BN124" i="2"/>
  <c r="Q14" i="15"/>
  <c r="BN145" i="2"/>
  <c r="BN146" i="2"/>
  <c r="R10" i="15"/>
  <c r="U5" i="71"/>
  <c r="E2" i="71" s="1"/>
  <c r="BD37" i="2"/>
  <c r="AF86" i="71"/>
  <c r="AM86" i="71" s="1"/>
  <c r="AF84" i="71"/>
  <c r="AM84" i="71" s="1"/>
  <c r="AF87" i="71"/>
  <c r="AM87" i="71" s="1"/>
  <c r="AF88" i="71"/>
  <c r="AM88" i="71" s="1"/>
  <c r="AF89" i="71"/>
  <c r="AM89" i="71" s="1"/>
  <c r="AF90" i="71"/>
  <c r="AM90" i="71" s="1"/>
  <c r="AF91" i="71"/>
  <c r="AM91" i="71" s="1"/>
  <c r="AF92" i="71"/>
  <c r="AM92" i="71" s="1"/>
  <c r="AF93" i="71"/>
  <c r="AM93" i="71" s="1"/>
  <c r="AF94" i="71"/>
  <c r="AM94" i="71" s="1"/>
  <c r="AF95" i="71"/>
  <c r="AM95" i="71" s="1"/>
  <c r="AF28" i="71"/>
  <c r="AM28" i="71" s="1"/>
  <c r="AF30" i="71"/>
  <c r="AM30" i="71" s="1"/>
  <c r="AF32" i="71"/>
  <c r="AM32" i="71" s="1"/>
  <c r="AF31" i="71"/>
  <c r="AM31" i="71" s="1"/>
  <c r="AF29" i="71"/>
  <c r="AM29" i="71" s="1"/>
  <c r="AF33" i="71"/>
  <c r="AM33" i="71" s="1"/>
  <c r="AF23" i="71"/>
  <c r="AM23" i="71" s="1"/>
  <c r="AF24" i="71"/>
  <c r="AM24" i="71" s="1"/>
  <c r="AF25" i="71"/>
  <c r="AM25" i="71" s="1"/>
  <c r="AF26" i="71"/>
  <c r="AM26" i="71" s="1"/>
  <c r="AF27" i="71"/>
  <c r="AM27" i="71" s="1"/>
  <c r="AF22" i="71"/>
  <c r="AM22" i="71" s="1"/>
  <c r="Y287" i="68"/>
  <c r="Y288" i="68"/>
  <c r="AM96" i="71" l="1"/>
  <c r="AM34" i="71"/>
  <c r="AD94" i="109"/>
  <c r="BF16" i="2"/>
  <c r="CV8" i="95"/>
  <c r="CX8" i="95" s="1"/>
  <c r="CL9" i="95"/>
  <c r="CM9" i="95" s="1"/>
  <c r="CV9" i="95"/>
  <c r="CX9" i="95" s="1"/>
  <c r="CL10" i="95"/>
  <c r="CM10" i="95" s="1"/>
  <c r="CV10" i="95"/>
  <c r="CX10" i="95" s="1"/>
  <c r="CL15" i="95"/>
  <c r="CM15" i="95" s="1"/>
  <c r="CV15" i="95"/>
  <c r="CX15" i="95" s="1"/>
  <c r="CL23" i="95"/>
  <c r="CM23" i="95" s="1"/>
  <c r="CV23" i="95"/>
  <c r="CX23" i="95" s="1"/>
  <c r="CL21" i="95"/>
  <c r="CM21" i="95" s="1"/>
  <c r="CR21" i="95" s="1"/>
  <c r="CV21" i="95"/>
  <c r="CX21" i="95" s="1"/>
  <c r="CR30" i="95"/>
  <c r="CM8" i="95"/>
  <c r="BD96" i="2"/>
  <c r="BD98" i="2" s="1"/>
  <c r="BI82" i="2" s="1"/>
  <c r="BA96" i="2"/>
  <c r="BA98" i="2" s="1"/>
  <c r="BI79" i="2" s="1"/>
  <c r="BB96" i="2"/>
  <c r="BB98" i="2" s="1"/>
  <c r="BF12" i="2"/>
  <c r="AA29" i="86"/>
  <c r="B113" i="86" s="1"/>
  <c r="AA34" i="86"/>
  <c r="I4" i="86"/>
  <c r="I12" i="86" s="1"/>
  <c r="BF14" i="2"/>
  <c r="E7" i="65"/>
  <c r="A7" i="65" s="1"/>
  <c r="E11" i="65"/>
  <c r="A11" i="65" s="1"/>
  <c r="S12" i="15"/>
  <c r="BJ124" i="2"/>
  <c r="F4" i="86"/>
  <c r="J4" i="86"/>
  <c r="P4" i="86"/>
  <c r="E3" i="86"/>
  <c r="AU13" i="2"/>
  <c r="AF34" i="71"/>
  <c r="AF35" i="71" s="1"/>
  <c r="M24" i="71" s="1"/>
  <c r="M28" i="71" s="1"/>
  <c r="U34" i="71" l="1"/>
  <c r="U35" i="71" s="1"/>
  <c r="BC96" i="2"/>
  <c r="BC98" i="2" s="1"/>
  <c r="CX11" i="95"/>
  <c r="CX31" i="95"/>
  <c r="CR23" i="95"/>
  <c r="BU15" i="95"/>
  <c r="BU23" i="95"/>
  <c r="CQ23" i="95" s="1"/>
  <c r="BU19" i="95"/>
  <c r="BI80" i="2"/>
  <c r="AA40" i="86"/>
  <c r="B92" i="86" s="1"/>
  <c r="BF20" i="2"/>
  <c r="N10" i="65"/>
  <c r="E6" i="86"/>
  <c r="P12" i="86"/>
  <c r="R12" i="86" s="1"/>
  <c r="R4" i="86"/>
  <c r="AA46" i="86" s="1"/>
  <c r="AA37" i="86"/>
  <c r="BI81" i="2" l="1"/>
  <c r="BI78" i="2"/>
  <c r="CX33" i="95"/>
  <c r="BF56" i="95" s="1"/>
  <c r="N6" i="60" s="1"/>
  <c r="B112" i="60" s="1"/>
  <c r="CO15" i="95"/>
  <c r="CP15" i="95"/>
  <c r="CP23" i="95"/>
  <c r="BK23" i="95" s="1"/>
  <c r="CO23" i="95"/>
  <c r="BB23" i="95" s="1"/>
  <c r="CQ15" i="95"/>
  <c r="CO19" i="95"/>
  <c r="BB19" i="95" s="1"/>
  <c r="CP19" i="95"/>
  <c r="CQ19" i="95"/>
  <c r="BW15" i="95"/>
  <c r="BS15" i="95"/>
  <c r="BV15" i="95"/>
  <c r="BS30" i="95"/>
  <c r="BW23" i="95"/>
  <c r="BV23" i="95"/>
  <c r="BS23" i="95"/>
  <c r="BV28" i="95"/>
  <c r="BW19" i="95"/>
  <c r="BV19" i="95"/>
  <c r="BS19" i="95"/>
  <c r="AA43" i="86"/>
  <c r="B89" i="86" s="1"/>
  <c r="B78" i="86"/>
  <c r="BQ23" i="95" l="1"/>
  <c r="BB15" i="95"/>
  <c r="CR15" i="95"/>
  <c r="BK19" i="95"/>
  <c r="BQ19" i="95" s="1"/>
  <c r="BK15" i="95"/>
  <c r="BT19" i="95"/>
  <c r="BT23" i="95"/>
  <c r="BT15" i="95"/>
  <c r="BT30" i="95"/>
  <c r="BU22" i="95"/>
  <c r="BS25" i="95"/>
  <c r="BU25" i="95"/>
  <c r="BS16" i="95"/>
  <c r="BU16" i="95"/>
  <c r="BV29" i="95"/>
  <c r="BU29" i="95"/>
  <c r="BU24" i="95"/>
  <c r="BS28" i="95"/>
  <c r="BU28" i="95"/>
  <c r="BV17" i="95"/>
  <c r="BU17" i="95"/>
  <c r="BV26" i="95"/>
  <c r="BU26" i="95"/>
  <c r="BU21" i="95"/>
  <c r="BS20" i="95"/>
  <c r="BU20" i="95"/>
  <c r="BU27" i="95"/>
  <c r="BV30" i="95"/>
  <c r="BU30" i="95"/>
  <c r="BU18" i="95"/>
  <c r="BS29" i="95"/>
  <c r="BS27" i="95"/>
  <c r="BV27" i="95"/>
  <c r="BS22" i="95"/>
  <c r="BV25" i="95"/>
  <c r="BV22" i="95"/>
  <c r="BV21" i="95"/>
  <c r="BS26" i="95"/>
  <c r="BV20" i="95"/>
  <c r="BS21" i="95"/>
  <c r="BV18" i="95"/>
  <c r="BS18" i="95"/>
  <c r="BV24" i="95"/>
  <c r="BS24" i="95"/>
  <c r="BV16" i="95"/>
  <c r="BS17" i="95"/>
  <c r="B79" i="86"/>
  <c r="B114" i="86"/>
  <c r="V34" i="71"/>
  <c r="V35" i="71"/>
  <c r="U36" i="71" s="1"/>
  <c r="BQ15" i="95" l="1"/>
  <c r="CP18" i="95"/>
  <c r="CO18" i="95"/>
  <c r="BB18" i="95" s="1"/>
  <c r="CQ18" i="95"/>
  <c r="CP16" i="95"/>
  <c r="CO16" i="95"/>
  <c r="CQ16" i="95"/>
  <c r="CO30" i="95"/>
  <c r="BB30" i="95" s="1"/>
  <c r="CP30" i="95"/>
  <c r="CQ30" i="95"/>
  <c r="CO25" i="95"/>
  <c r="BB25" i="95" s="1"/>
  <c r="CP25" i="95"/>
  <c r="CQ25" i="95"/>
  <c r="CP26" i="95"/>
  <c r="CO26" i="95"/>
  <c r="BB26" i="95" s="1"/>
  <c r="CQ26" i="95"/>
  <c r="CP21" i="95"/>
  <c r="CO21" i="95"/>
  <c r="BB21" i="95" s="1"/>
  <c r="CQ21" i="95"/>
  <c r="CO20" i="95"/>
  <c r="BB20" i="95" s="1"/>
  <c r="CP20" i="95"/>
  <c r="CQ20" i="95"/>
  <c r="CP22" i="95"/>
  <c r="CO22" i="95"/>
  <c r="BB22" i="95" s="1"/>
  <c r="CQ22" i="95"/>
  <c r="CP24" i="95"/>
  <c r="CO24" i="95"/>
  <c r="BB24" i="95" s="1"/>
  <c r="CQ24" i="95"/>
  <c r="CP29" i="95"/>
  <c r="CO29" i="95"/>
  <c r="BB29" i="95" s="1"/>
  <c r="CQ29" i="95"/>
  <c r="CO27" i="95"/>
  <c r="BB27" i="95" s="1"/>
  <c r="CP27" i="95"/>
  <c r="CQ27" i="95"/>
  <c r="CP17" i="95"/>
  <c r="CO17" i="95"/>
  <c r="BB17" i="95" s="1"/>
  <c r="CQ17" i="95"/>
  <c r="CP28" i="95"/>
  <c r="CO28" i="95"/>
  <c r="BB28" i="95" s="1"/>
  <c r="CQ28" i="95"/>
  <c r="BW28" i="95"/>
  <c r="BW20" i="95"/>
  <c r="BW22" i="95"/>
  <c r="BW29" i="95"/>
  <c r="BW18" i="95"/>
  <c r="BW16" i="95"/>
  <c r="BW30" i="95"/>
  <c r="BW25" i="95"/>
  <c r="BW21" i="95"/>
  <c r="BW27" i="95"/>
  <c r="BW26" i="95"/>
  <c r="BW24" i="95"/>
  <c r="BW17" i="95"/>
  <c r="BT25" i="95"/>
  <c r="BT29" i="95"/>
  <c r="BT16" i="95"/>
  <c r="BT27" i="95"/>
  <c r="BT26" i="95"/>
  <c r="BT18" i="95"/>
  <c r="BT20" i="95"/>
  <c r="BT17" i="95"/>
  <c r="BT21" i="95"/>
  <c r="BT22" i="95"/>
  <c r="BT24" i="95"/>
  <c r="BT28" i="95"/>
  <c r="U31" i="71"/>
  <c r="U91" i="71" s="1"/>
  <c r="U94" i="71"/>
  <c r="U95" i="71"/>
  <c r="W117" i="33"/>
  <c r="BK27" i="95" l="1"/>
  <c r="BQ27" i="95" s="1"/>
  <c r="BK21" i="95"/>
  <c r="BQ21" i="95" s="1"/>
  <c r="BK18" i="95"/>
  <c r="BQ18" i="95" s="1"/>
  <c r="BB16" i="95"/>
  <c r="CR16" i="95"/>
  <c r="CR31" i="95" s="1"/>
  <c r="BK20" i="95"/>
  <c r="BQ20" i="95" s="1"/>
  <c r="BK25" i="95"/>
  <c r="BQ25" i="95" s="1"/>
  <c r="BK26" i="95"/>
  <c r="BQ26" i="95" s="1"/>
  <c r="BK30" i="95"/>
  <c r="BQ30" i="95" s="1"/>
  <c r="BK22" i="95"/>
  <c r="BQ22" i="95" s="1"/>
  <c r="BK16" i="95"/>
  <c r="CP31" i="95"/>
  <c r="CO31" i="95"/>
  <c r="BK29" i="95"/>
  <c r="BQ29" i="95" s="1"/>
  <c r="BK17" i="95"/>
  <c r="BQ17" i="95" s="1"/>
  <c r="BK24" i="95"/>
  <c r="BQ24" i="95" s="1"/>
  <c r="BK28" i="95"/>
  <c r="BQ28" i="95" s="1"/>
  <c r="CQ31" i="95"/>
  <c r="V91" i="71"/>
  <c r="U96" i="71"/>
  <c r="U37" i="71"/>
  <c r="U32" i="71" s="1"/>
  <c r="V36" i="71"/>
  <c r="V97" i="71"/>
  <c r="V37" i="71" s="1"/>
  <c r="E506" i="60"/>
  <c r="D60" i="15"/>
  <c r="BQ16" i="95" l="1"/>
  <c r="V92" i="71"/>
  <c r="V32" i="71" s="1"/>
  <c r="U97" i="71"/>
  <c r="W120" i="33"/>
  <c r="W116" i="33"/>
  <c r="W91" i="33"/>
  <c r="W88" i="33"/>
  <c r="W86" i="33"/>
  <c r="W80" i="33"/>
  <c r="AB122" i="33"/>
  <c r="V122" i="33"/>
  <c r="AB121" i="33"/>
  <c r="V119" i="33"/>
  <c r="AB114" i="33"/>
  <c r="V109" i="33"/>
  <c r="AB108" i="33"/>
  <c r="V108" i="33"/>
  <c r="AB107" i="33"/>
  <c r="Z106" i="33"/>
  <c r="Z104" i="33"/>
  <c r="V103" i="33"/>
  <c r="AB102" i="33"/>
  <c r="V102" i="33"/>
  <c r="AB94" i="33"/>
  <c r="AB91" i="33"/>
  <c r="Z90" i="33"/>
  <c r="Z88" i="33"/>
  <c r="Z84" i="33"/>
  <c r="AB82" i="33"/>
  <c r="U92" i="71" l="1"/>
  <c r="M30" i="71"/>
  <c r="M33" i="71" s="1"/>
  <c r="M37" i="71" s="1"/>
  <c r="M38" i="71" s="1"/>
  <c r="R6" i="37" l="1"/>
  <c r="W5" i="37"/>
  <c r="W4" i="37"/>
  <c r="R27" i="37"/>
  <c r="R21" i="37"/>
  <c r="C11" i="37"/>
  <c r="U7" i="37"/>
  <c r="D32" i="37"/>
  <c r="D29" i="37"/>
  <c r="D27" i="37"/>
  <c r="D25" i="37"/>
  <c r="D23" i="37"/>
  <c r="D22" i="37"/>
  <c r="D21" i="37"/>
  <c r="D18" i="37"/>
  <c r="X4" i="37" l="1"/>
  <c r="T10" i="37"/>
  <c r="U12" i="37"/>
  <c r="W7" i="37"/>
  <c r="X7" i="37"/>
  <c r="X3" i="37"/>
  <c r="U10" i="37" l="1"/>
  <c r="U9" i="37"/>
  <c r="X9" i="37"/>
  <c r="Y9" i="37" s="1"/>
  <c r="C26" i="52"/>
  <c r="M125" i="33"/>
  <c r="U17" i="37" l="1"/>
  <c r="R17" i="37"/>
  <c r="R18" i="37"/>
  <c r="O18" i="37" s="1"/>
  <c r="R22" i="37"/>
  <c r="W10" i="37"/>
  <c r="O23" i="37"/>
  <c r="O29" i="37"/>
  <c r="R28" i="37"/>
  <c r="O27" i="37"/>
  <c r="O21" i="37"/>
  <c r="R19" i="37"/>
  <c r="O20" i="37" s="1"/>
  <c r="BI2" i="2"/>
  <c r="BL2" i="2" l="1"/>
  <c r="AB18" i="97" s="1"/>
  <c r="D19" i="97" s="1"/>
  <c r="R24" i="37"/>
  <c r="R26" i="37" s="1"/>
  <c r="P27" i="6" s="1"/>
  <c r="P26" i="6" s="1"/>
  <c r="O30" i="37"/>
  <c r="R31" i="37" s="1"/>
  <c r="R33" i="37" s="1"/>
  <c r="P47" i="6" s="1"/>
  <c r="X153" i="3"/>
  <c r="X350" i="62" l="1"/>
  <c r="I133" i="68"/>
  <c r="I163" i="68"/>
  <c r="I143" i="68"/>
  <c r="I153" i="68"/>
  <c r="BJ2" i="2"/>
  <c r="AV20" i="84" s="1"/>
  <c r="AW154" i="84" s="1"/>
  <c r="AE335" i="62"/>
  <c r="D337" i="62" s="1"/>
  <c r="AE146" i="62"/>
  <c r="P46" i="6"/>
  <c r="O53" i="37"/>
  <c r="AM164" i="62"/>
  <c r="AM353" i="62"/>
  <c r="E352" i="62"/>
  <c r="E163" i="62"/>
  <c r="AV152" i="96" l="1"/>
  <c r="AV152" i="84"/>
  <c r="AH353" i="62"/>
  <c r="AE355" i="62" s="1"/>
  <c r="AV20" i="96"/>
  <c r="AW155" i="96" s="1"/>
  <c r="AW155" i="84"/>
  <c r="AV155" i="84"/>
  <c r="AW22" i="84"/>
  <c r="AV21" i="84"/>
  <c r="AV23" i="84"/>
  <c r="AW153" i="84"/>
  <c r="AV153" i="84"/>
  <c r="AV154" i="84"/>
  <c r="AW21" i="84"/>
  <c r="AW23" i="84"/>
  <c r="AV22" i="84"/>
  <c r="BJ126" i="2"/>
  <c r="AV153" i="96" l="1"/>
  <c r="AW21" i="96"/>
  <c r="AW153" i="96"/>
  <c r="AE356" i="62"/>
  <c r="AV22" i="96"/>
  <c r="AV155" i="96"/>
  <c r="AW154" i="96"/>
  <c r="AW22" i="96"/>
  <c r="AV21" i="96"/>
  <c r="AW23" i="96"/>
  <c r="AV154" i="96"/>
  <c r="AV23" i="96"/>
  <c r="AD24" i="84"/>
  <c r="AD156" i="84"/>
  <c r="D148" i="62"/>
  <c r="AD156" i="96" l="1"/>
  <c r="AD24" i="96"/>
  <c r="D31" i="65"/>
  <c r="D25" i="65"/>
  <c r="D24" i="65"/>
  <c r="D23" i="65"/>
  <c r="N31" i="65"/>
  <c r="D28" i="63"/>
  <c r="D21" i="63"/>
  <c r="I20" i="63"/>
  <c r="D20" i="63"/>
  <c r="K12" i="63"/>
  <c r="G8" i="63"/>
  <c r="J4" i="65" l="1"/>
  <c r="N24" i="65"/>
  <c r="E74" i="30" l="1"/>
  <c r="X84" i="62" l="1"/>
  <c r="X85" i="62"/>
  <c r="X86" i="62"/>
  <c r="X83" i="62"/>
  <c r="J58" i="62"/>
  <c r="J59" i="62"/>
  <c r="J60" i="62"/>
  <c r="J57" i="62"/>
  <c r="AA58" i="62"/>
  <c r="AA59" i="62"/>
  <c r="AA60" i="62"/>
  <c r="AA57" i="62"/>
  <c r="D138" i="62" l="1"/>
  <c r="AM138" i="62" s="1"/>
  <c r="W147" i="62" l="1"/>
  <c r="AE145" i="62"/>
  <c r="AE148" i="62" l="1"/>
  <c r="AA70" i="53"/>
  <c r="B110" i="37"/>
  <c r="B109" i="37"/>
  <c r="B111" i="37"/>
  <c r="B112" i="37"/>
  <c r="B93" i="37"/>
  <c r="B92" i="37"/>
  <c r="B91" i="37"/>
  <c r="AE150" i="62" l="1"/>
  <c r="AO150" i="62" s="1"/>
  <c r="AM150" i="62" l="1"/>
  <c r="D292" i="60"/>
  <c r="D289" i="60"/>
  <c r="D286" i="60"/>
  <c r="D283" i="60"/>
  <c r="D479" i="60"/>
  <c r="D482" i="60"/>
  <c r="D445" i="60"/>
  <c r="D442" i="60"/>
  <c r="D439" i="60"/>
  <c r="D436" i="60"/>
  <c r="J83" i="60"/>
  <c r="AE155" i="62" l="1"/>
  <c r="AH153" i="62"/>
  <c r="D14" i="14"/>
  <c r="X89" i="15"/>
  <c r="Y89" i="15" s="1"/>
  <c r="C92" i="15" l="1"/>
  <c r="X91" i="15"/>
  <c r="B97" i="62"/>
  <c r="E162" i="62"/>
  <c r="E164" i="62"/>
  <c r="B131" i="62"/>
  <c r="AE121" i="62"/>
  <c r="AE125" i="62" s="1"/>
  <c r="B91" i="62"/>
  <c r="B72" i="62"/>
  <c r="AJ71" i="62"/>
  <c r="AC3" i="62"/>
  <c r="AE129" i="62" l="1"/>
  <c r="AO134" i="62" s="1"/>
  <c r="B273" i="60" l="1"/>
  <c r="D151" i="60" l="1"/>
  <c r="D123" i="60"/>
  <c r="D97" i="60"/>
  <c r="D95" i="60"/>
  <c r="D7" i="60"/>
  <c r="N11" i="60"/>
  <c r="D74" i="60"/>
  <c r="D69" i="60"/>
  <c r="D58" i="60"/>
  <c r="D37" i="60"/>
  <c r="N20" i="60"/>
  <c r="N17" i="60"/>
  <c r="N14" i="60"/>
  <c r="AE156" i="62" l="1"/>
  <c r="AO160" i="62"/>
  <c r="X161" i="62" s="1"/>
  <c r="AH164" i="62" s="1"/>
  <c r="AO155" i="62"/>
  <c r="AE167" i="62" l="1"/>
  <c r="AE166" i="62"/>
  <c r="AI128" i="78"/>
  <c r="AI126" i="78"/>
  <c r="B74" i="58"/>
  <c r="AJ26" i="58"/>
  <c r="AK33" i="59" l="1"/>
  <c r="U96" i="59" l="1"/>
  <c r="U103" i="59" l="1"/>
  <c r="U101" i="59"/>
  <c r="U76" i="59" l="1"/>
  <c r="V118" i="59" l="1"/>
  <c r="V116" i="59"/>
  <c r="U115" i="59"/>
  <c r="U113" i="59"/>
  <c r="U111" i="59"/>
  <c r="U109" i="59"/>
  <c r="U108" i="59"/>
  <c r="U99" i="59"/>
  <c r="U72" i="59"/>
  <c r="B66" i="59"/>
  <c r="U64" i="59"/>
  <c r="M47" i="59"/>
  <c r="U46" i="59"/>
  <c r="U45" i="59"/>
  <c r="U43" i="59"/>
  <c r="U42" i="59"/>
  <c r="T36" i="59"/>
  <c r="V4" i="59"/>
  <c r="BO10" i="2" l="1"/>
  <c r="V108" i="59" l="1"/>
  <c r="BN10" i="2" l="1"/>
  <c r="C2" i="58" l="1"/>
  <c r="AM2" i="58" s="1"/>
  <c r="M2" i="58"/>
  <c r="AO2" i="58" s="1"/>
  <c r="W2" i="58"/>
  <c r="AP2" i="58" s="1"/>
  <c r="AJ123" i="58"/>
  <c r="AL2" i="58" l="1"/>
  <c r="AC5" i="58"/>
  <c r="D35" i="58" l="1"/>
  <c r="D39" i="58"/>
  <c r="W25" i="58"/>
  <c r="S25" i="58"/>
  <c r="O25" i="58"/>
  <c r="S2" i="58"/>
  <c r="D103" i="33" l="1"/>
  <c r="D101" i="33"/>
  <c r="D100" i="33"/>
  <c r="AH52" i="33" l="1"/>
  <c r="AC27" i="33"/>
  <c r="V29" i="33"/>
  <c r="V28" i="33"/>
  <c r="V27" i="33"/>
  <c r="V40" i="33"/>
  <c r="V39" i="33"/>
  <c r="V38" i="33"/>
  <c r="B110" i="33"/>
  <c r="M41" i="37"/>
  <c r="W12" i="15"/>
  <c r="L45" i="15"/>
  <c r="P4" i="12"/>
  <c r="Q22" i="15" l="1"/>
  <c r="L22" i="15"/>
  <c r="L21" i="15" s="1"/>
  <c r="L109" i="33" l="1"/>
  <c r="W89" i="56" l="1"/>
  <c r="B33" i="56"/>
  <c r="B32" i="56"/>
  <c r="B31" i="56"/>
  <c r="C30" i="56" l="1"/>
  <c r="C28" i="56"/>
  <c r="AB93" i="56"/>
  <c r="AC70" i="56"/>
  <c r="I49" i="56"/>
  <c r="I48" i="56"/>
  <c r="I46" i="56"/>
  <c r="I45" i="56"/>
  <c r="I44" i="56"/>
  <c r="I42" i="56"/>
  <c r="I37" i="56"/>
  <c r="B27" i="56"/>
  <c r="B22" i="56"/>
  <c r="AB94" i="56" l="1"/>
  <c r="AB95" i="56"/>
  <c r="AC68" i="56"/>
  <c r="AE62" i="56"/>
  <c r="I47" i="56"/>
  <c r="I40" i="56"/>
  <c r="I39" i="56"/>
  <c r="AA4" i="56"/>
  <c r="AB34" i="56" l="1"/>
  <c r="AB55" i="56" s="1"/>
  <c r="AM32" i="23"/>
  <c r="AM92" i="23" l="1"/>
  <c r="AL32" i="23"/>
  <c r="X15" i="23" s="1"/>
  <c r="J44" i="67"/>
  <c r="J54" i="67" s="1"/>
  <c r="AJ75" i="23"/>
  <c r="AL92" i="23"/>
  <c r="X75" i="23" s="1"/>
  <c r="AC21" i="78"/>
  <c r="AC22" i="78" s="1"/>
  <c r="AJ13" i="23"/>
  <c r="BI73" i="2"/>
  <c r="AN32" i="23" l="1"/>
  <c r="AN92" i="23"/>
  <c r="B73" i="43" l="1"/>
  <c r="M46" i="52" l="1"/>
  <c r="P6" i="52" s="1"/>
  <c r="M24" i="52"/>
  <c r="M34" i="52"/>
  <c r="N45" i="53"/>
  <c r="G3" i="53" s="1"/>
  <c r="C5" i="52" l="1"/>
  <c r="C6" i="52"/>
  <c r="B6" i="52"/>
  <c r="M31" i="53" l="1"/>
  <c r="M30" i="53"/>
  <c r="M29" i="53"/>
  <c r="M17" i="53"/>
  <c r="M16" i="53"/>
  <c r="M15" i="53"/>
  <c r="M6" i="53"/>
  <c r="L65" i="52" l="1"/>
  <c r="L62" i="52"/>
  <c r="L60" i="52"/>
  <c r="J58" i="52"/>
  <c r="J56" i="52"/>
  <c r="J55" i="52"/>
  <c r="L52" i="52"/>
  <c r="L49" i="52"/>
  <c r="L47" i="52"/>
  <c r="J46" i="52"/>
  <c r="J42" i="52"/>
  <c r="L39" i="52"/>
  <c r="L37" i="52"/>
  <c r="J36" i="52"/>
  <c r="J35" i="52"/>
  <c r="J34" i="52"/>
  <c r="J30" i="52"/>
  <c r="L27" i="52"/>
  <c r="L25" i="52"/>
  <c r="J24" i="52"/>
  <c r="J20" i="52"/>
  <c r="J19" i="52"/>
  <c r="J18" i="52"/>
  <c r="J17" i="52"/>
  <c r="L9" i="52"/>
  <c r="L91" i="37" l="1"/>
  <c r="M120" i="37"/>
  <c r="K118" i="37"/>
  <c r="Q117" i="37"/>
  <c r="M116" i="37"/>
  <c r="K115" i="37"/>
  <c r="K114" i="37"/>
  <c r="K113" i="37"/>
  <c r="W17" i="6"/>
  <c r="V17" i="6"/>
  <c r="W35" i="6"/>
  <c r="V35" i="6"/>
  <c r="L110" i="37"/>
  <c r="E110" i="37"/>
  <c r="E109" i="37"/>
  <c r="E112" i="37"/>
  <c r="K111" i="37"/>
  <c r="E111" i="37"/>
  <c r="X131" i="98" l="1"/>
  <c r="AG86" i="37"/>
  <c r="B41" i="43"/>
  <c r="I40" i="4" l="1"/>
  <c r="B11" i="12" l="1"/>
  <c r="B6" i="12"/>
  <c r="B5" i="12"/>
  <c r="H45" i="33" l="1"/>
  <c r="H44" i="33"/>
  <c r="H43" i="33"/>
  <c r="M123" i="33" l="1"/>
  <c r="U46" i="37" l="1"/>
  <c r="I16" i="4" l="1"/>
  <c r="AY40" i="6" l="1"/>
  <c r="AY38" i="6"/>
  <c r="AY21" i="6"/>
  <c r="AY19" i="6"/>
  <c r="AD40" i="6"/>
  <c r="AD38" i="6"/>
  <c r="AD21" i="6"/>
  <c r="AD19" i="6"/>
  <c r="AT40" i="6" l="1"/>
  <c r="AO40" i="6"/>
  <c r="AT38" i="6"/>
  <c r="AO38" i="6"/>
  <c r="AT21" i="6"/>
  <c r="AT19" i="6"/>
  <c r="AO21" i="6"/>
  <c r="AO19" i="6"/>
  <c r="Q41" i="43"/>
  <c r="B79" i="43"/>
  <c r="B77" i="43"/>
  <c r="B75" i="43"/>
  <c r="B29" i="43"/>
  <c r="B27" i="43"/>
  <c r="A35" i="43" l="1"/>
  <c r="M21" i="43" s="1"/>
  <c r="A85" i="43"/>
  <c r="A79" i="43"/>
  <c r="A29" i="43"/>
  <c r="Y41" i="43"/>
  <c r="D25" i="15" l="1"/>
  <c r="J41" i="43" l="1"/>
  <c r="J92" i="43"/>
  <c r="J93" i="43"/>
  <c r="J94" i="43"/>
  <c r="J95" i="43"/>
  <c r="J96" i="43"/>
  <c r="J97" i="43"/>
  <c r="J98" i="43"/>
  <c r="J99" i="43"/>
  <c r="J100" i="43"/>
  <c r="J101" i="43"/>
  <c r="AA101" i="43"/>
  <c r="Y101" i="43"/>
  <c r="U101" i="43"/>
  <c r="Q101" i="43"/>
  <c r="M101" i="43"/>
  <c r="B101" i="43"/>
  <c r="AA100" i="43"/>
  <c r="Y100" i="43"/>
  <c r="U100" i="43"/>
  <c r="Q100" i="43"/>
  <c r="M100" i="43"/>
  <c r="B100" i="43"/>
  <c r="AA99" i="43"/>
  <c r="Y99" i="43"/>
  <c r="U99" i="43"/>
  <c r="Q99" i="43"/>
  <c r="M99" i="43"/>
  <c r="B99" i="43"/>
  <c r="AA98" i="43"/>
  <c r="Y98" i="43"/>
  <c r="U98" i="43"/>
  <c r="Q98" i="43"/>
  <c r="M98" i="43"/>
  <c r="B98" i="43"/>
  <c r="AA97" i="43"/>
  <c r="Y97" i="43"/>
  <c r="U97" i="43"/>
  <c r="Q97" i="43"/>
  <c r="M97" i="43"/>
  <c r="B97" i="43"/>
  <c r="AA96" i="43"/>
  <c r="Y96" i="43"/>
  <c r="U96" i="43"/>
  <c r="Q96" i="43"/>
  <c r="M96" i="43"/>
  <c r="B96" i="43"/>
  <c r="AA95" i="43"/>
  <c r="Y95" i="43"/>
  <c r="U95" i="43"/>
  <c r="Q95" i="43"/>
  <c r="M95" i="43"/>
  <c r="B95" i="43"/>
  <c r="AA94" i="43"/>
  <c r="Y94" i="43"/>
  <c r="U94" i="43"/>
  <c r="Q94" i="43"/>
  <c r="M94" i="43"/>
  <c r="B94" i="43"/>
  <c r="AA93" i="43"/>
  <c r="Y93" i="43"/>
  <c r="U93" i="43"/>
  <c r="Q93" i="43"/>
  <c r="M93" i="43"/>
  <c r="B93" i="43"/>
  <c r="AA92" i="43"/>
  <c r="Y92" i="43"/>
  <c r="U92" i="43"/>
  <c r="Q92" i="43"/>
  <c r="M92" i="43"/>
  <c r="B92" i="43"/>
  <c r="AI91" i="43"/>
  <c r="M47" i="43"/>
  <c r="J47" i="43"/>
  <c r="Y51" i="43"/>
  <c r="Q51" i="43"/>
  <c r="M51" i="43"/>
  <c r="J51" i="43"/>
  <c r="B51" i="43"/>
  <c r="Y50" i="43"/>
  <c r="Q50" i="43"/>
  <c r="M50" i="43"/>
  <c r="J50" i="43"/>
  <c r="B50" i="43"/>
  <c r="Y49" i="43"/>
  <c r="Q49" i="43"/>
  <c r="M49" i="43"/>
  <c r="J49" i="43"/>
  <c r="B49" i="43"/>
  <c r="Y48" i="43"/>
  <c r="Q48" i="43"/>
  <c r="M48" i="43"/>
  <c r="J48" i="43"/>
  <c r="B48" i="43"/>
  <c r="Y47" i="43"/>
  <c r="Q47" i="43"/>
  <c r="B47" i="43"/>
  <c r="Y46" i="43"/>
  <c r="Q46" i="43"/>
  <c r="M46" i="43"/>
  <c r="J46" i="43"/>
  <c r="B46" i="43"/>
  <c r="Y45" i="43"/>
  <c r="Q45" i="43"/>
  <c r="M45" i="43"/>
  <c r="J45" i="43"/>
  <c r="B45" i="43"/>
  <c r="Y44" i="43"/>
  <c r="Q44" i="43"/>
  <c r="M44" i="43"/>
  <c r="J44" i="43"/>
  <c r="B44" i="43"/>
  <c r="Y43" i="43"/>
  <c r="Q43" i="43"/>
  <c r="M43" i="43"/>
  <c r="J43" i="43"/>
  <c r="B43" i="43"/>
  <c r="Y42" i="43"/>
  <c r="Q42" i="43"/>
  <c r="M42" i="43"/>
  <c r="J42" i="43"/>
  <c r="B42" i="43"/>
  <c r="AC41" i="43"/>
  <c r="A41" i="43" s="1"/>
  <c r="AS45" i="43" l="1"/>
  <c r="AT45" i="43"/>
  <c r="AU45" i="43"/>
  <c r="AY92" i="43"/>
  <c r="AX92" i="43"/>
  <c r="AW92" i="43"/>
  <c r="AX100" i="43"/>
  <c r="AY100" i="43"/>
  <c r="AW100" i="43"/>
  <c r="AW45" i="43"/>
  <c r="AY45" i="43"/>
  <c r="AX45" i="43"/>
  <c r="AU101" i="43"/>
  <c r="AT101" i="43"/>
  <c r="AS101" i="43"/>
  <c r="AY95" i="43"/>
  <c r="AX95" i="43"/>
  <c r="AW95" i="43"/>
  <c r="AS43" i="43"/>
  <c r="AU43" i="43"/>
  <c r="AT43" i="43"/>
  <c r="AU100" i="43"/>
  <c r="AT100" i="43"/>
  <c r="AS100" i="43"/>
  <c r="AX98" i="43"/>
  <c r="AY98" i="43"/>
  <c r="AW98" i="43"/>
  <c r="AU99" i="43"/>
  <c r="AT99" i="43"/>
  <c r="AS99" i="43"/>
  <c r="AT98" i="43"/>
  <c r="AU98" i="43"/>
  <c r="AS98" i="43"/>
  <c r="AY43" i="43"/>
  <c r="AX43" i="43"/>
  <c r="AW43" i="43"/>
  <c r="AY93" i="43"/>
  <c r="AX93" i="43"/>
  <c r="AW93" i="43"/>
  <c r="AU97" i="43"/>
  <c r="AT97" i="43"/>
  <c r="AS97" i="43"/>
  <c r="AY51" i="43"/>
  <c r="AX51" i="43"/>
  <c r="AW51" i="43"/>
  <c r="AS96" i="43"/>
  <c r="AT96" i="43"/>
  <c r="AU96" i="43"/>
  <c r="AY96" i="43"/>
  <c r="AX96" i="43"/>
  <c r="AW96" i="43"/>
  <c r="AU95" i="43"/>
  <c r="AT95" i="43"/>
  <c r="AS95" i="43"/>
  <c r="AY49" i="43"/>
  <c r="AX49" i="43"/>
  <c r="AW49" i="43"/>
  <c r="AY46" i="43"/>
  <c r="AX46" i="43"/>
  <c r="AW46" i="43"/>
  <c r="AU94" i="43"/>
  <c r="AT94" i="43"/>
  <c r="AS94" i="43"/>
  <c r="AU44" i="43"/>
  <c r="AT44" i="43"/>
  <c r="AS44" i="43"/>
  <c r="AY50" i="43"/>
  <c r="AX50" i="43"/>
  <c r="AW50" i="43"/>
  <c r="AY99" i="43"/>
  <c r="AX99" i="43"/>
  <c r="AW99" i="43"/>
  <c r="AU93" i="43"/>
  <c r="AT93" i="43"/>
  <c r="AS93" i="43"/>
  <c r="AU49" i="43"/>
  <c r="AT49" i="43"/>
  <c r="AS49" i="43"/>
  <c r="AU50" i="43"/>
  <c r="AT50" i="43"/>
  <c r="AS50" i="43"/>
  <c r="AU48" i="43"/>
  <c r="AT48" i="43"/>
  <c r="AS48" i="43"/>
  <c r="AU42" i="43"/>
  <c r="AT42" i="43"/>
  <c r="AS42" i="43"/>
  <c r="AY48" i="43"/>
  <c r="AX48" i="43"/>
  <c r="AW48" i="43"/>
  <c r="AU92" i="43"/>
  <c r="AT92" i="43"/>
  <c r="AS92" i="43"/>
  <c r="AY42" i="43"/>
  <c r="AX42" i="43"/>
  <c r="AW42" i="43"/>
  <c r="AU47" i="43"/>
  <c r="AT47" i="43"/>
  <c r="AS47" i="43"/>
  <c r="AY94" i="43"/>
  <c r="AX94" i="43"/>
  <c r="AW94" i="43"/>
  <c r="AY101" i="43"/>
  <c r="AX101" i="43"/>
  <c r="AW101" i="43"/>
  <c r="AU46" i="43"/>
  <c r="AT46" i="43"/>
  <c r="AS46" i="43"/>
  <c r="AY44" i="43"/>
  <c r="AX44" i="43"/>
  <c r="AW44" i="43"/>
  <c r="AX47" i="43"/>
  <c r="AY47" i="43"/>
  <c r="AW47" i="43"/>
  <c r="AY97" i="43"/>
  <c r="AX97" i="43"/>
  <c r="AW97" i="43"/>
  <c r="AU51" i="43"/>
  <c r="AS51" i="43"/>
  <c r="AT51" i="43"/>
  <c r="AU41" i="43"/>
  <c r="AT41" i="43"/>
  <c r="AS41" i="43"/>
  <c r="AC93" i="43"/>
  <c r="A93" i="43" s="1"/>
  <c r="AC97" i="43"/>
  <c r="A97" i="43" s="1"/>
  <c r="AC92" i="43"/>
  <c r="A92" i="43" s="1"/>
  <c r="AC100" i="43"/>
  <c r="A100" i="43" s="1"/>
  <c r="AC96" i="43"/>
  <c r="A96" i="43" s="1"/>
  <c r="AC46" i="43"/>
  <c r="A46" i="43" s="1"/>
  <c r="AC45" i="43"/>
  <c r="A45" i="43" s="1"/>
  <c r="AC50" i="43"/>
  <c r="A50" i="43" s="1"/>
  <c r="AC44" i="43"/>
  <c r="A44" i="43" s="1"/>
  <c r="AC49" i="43"/>
  <c r="A49" i="43" s="1"/>
  <c r="AC95" i="43"/>
  <c r="A95" i="43" s="1"/>
  <c r="AC99" i="43"/>
  <c r="A99" i="43" s="1"/>
  <c r="AC48" i="43"/>
  <c r="A48" i="43" s="1"/>
  <c r="AC43" i="43"/>
  <c r="A43" i="43" s="1"/>
  <c r="AC42" i="43"/>
  <c r="A42" i="43" s="1"/>
  <c r="AC94" i="43"/>
  <c r="A94" i="43" s="1"/>
  <c r="AC98" i="43"/>
  <c r="A98" i="43" s="1"/>
  <c r="AC101" i="43"/>
  <c r="A101" i="43" s="1"/>
  <c r="AC47" i="43"/>
  <c r="A47" i="43" s="1"/>
  <c r="AC51" i="43"/>
  <c r="A51" i="43" s="1"/>
  <c r="AI47" i="43"/>
  <c r="AI45" i="43"/>
  <c r="AI42" i="43"/>
  <c r="AI44" i="43"/>
  <c r="AI49" i="43"/>
  <c r="AI92" i="43"/>
  <c r="AI46" i="43"/>
  <c r="AI93" i="43"/>
  <c r="AI41" i="43"/>
  <c r="AI48" i="43"/>
  <c r="AI94" i="43"/>
  <c r="AI51" i="43"/>
  <c r="AI50" i="43"/>
  <c r="AI95" i="43"/>
  <c r="AI100" i="43"/>
  <c r="A91" i="43"/>
  <c r="AI96" i="43"/>
  <c r="AI97" i="43"/>
  <c r="AI98" i="43"/>
  <c r="AI99" i="43"/>
  <c r="AI101" i="43"/>
  <c r="AI43" i="43"/>
  <c r="B59" i="43"/>
  <c r="BA41" i="43" l="1"/>
  <c r="BB41" i="43"/>
  <c r="BC41" i="43"/>
  <c r="BA45" i="43"/>
  <c r="BB45" i="43"/>
  <c r="BC45" i="43"/>
  <c r="BA43" i="43"/>
  <c r="BB43" i="43"/>
  <c r="BC43" i="43"/>
  <c r="BA49" i="43"/>
  <c r="BB49" i="43"/>
  <c r="BC49" i="43"/>
  <c r="BA46" i="43"/>
  <c r="BB46" i="43"/>
  <c r="BC46" i="43"/>
  <c r="BA50" i="43"/>
  <c r="BB50" i="43"/>
  <c r="BC50" i="43"/>
  <c r="BA48" i="43"/>
  <c r="BB48" i="43"/>
  <c r="BC48" i="43"/>
  <c r="BA42" i="43"/>
  <c r="BB42" i="43"/>
  <c r="BC42" i="43"/>
  <c r="BA44" i="43"/>
  <c r="BB44" i="43"/>
  <c r="BC44" i="43"/>
  <c r="BA47" i="43"/>
  <c r="BB47" i="43"/>
  <c r="BC47" i="43"/>
  <c r="BC92" i="43"/>
  <c r="BB92" i="43"/>
  <c r="BA92" i="43"/>
  <c r="AZ92" i="43" s="1"/>
  <c r="BC100" i="43"/>
  <c r="BB100" i="43"/>
  <c r="BA100" i="43"/>
  <c r="BC95" i="43"/>
  <c r="BB95" i="43"/>
  <c r="BA95" i="43"/>
  <c r="AZ95" i="43" s="1"/>
  <c r="BC98" i="43"/>
  <c r="BB98" i="43"/>
  <c r="BA98" i="43"/>
  <c r="AZ98" i="43" s="1"/>
  <c r="BC93" i="43"/>
  <c r="BB93" i="43"/>
  <c r="BA93" i="43"/>
  <c r="AZ93" i="43" s="1"/>
  <c r="BC96" i="43"/>
  <c r="BB96" i="43"/>
  <c r="BA96" i="43"/>
  <c r="AZ96" i="43" s="1"/>
  <c r="BC99" i="43"/>
  <c r="BB99" i="43"/>
  <c r="BA99" i="43"/>
  <c r="AZ99" i="43" s="1"/>
  <c r="BC94" i="43"/>
  <c r="BB94" i="43"/>
  <c r="BA94" i="43"/>
  <c r="AZ94" i="43" s="1"/>
  <c r="BC97" i="43"/>
  <c r="BB97" i="43"/>
  <c r="BA97" i="43"/>
  <c r="BC101" i="43"/>
  <c r="BB101" i="43"/>
  <c r="BA101" i="43"/>
  <c r="AZ101" i="43" s="1"/>
  <c r="BA51" i="43"/>
  <c r="BB51" i="43"/>
  <c r="BC51" i="43"/>
  <c r="N29" i="6"/>
  <c r="N49" i="6"/>
  <c r="N43" i="6"/>
  <c r="N44" i="6"/>
  <c r="AZ49" i="43" l="1"/>
  <c r="AZ47" i="43"/>
  <c r="AZ51" i="43"/>
  <c r="AZ48" i="43"/>
  <c r="AZ44" i="43"/>
  <c r="AG96" i="43"/>
  <c r="AG95" i="43"/>
  <c r="AG100" i="43"/>
  <c r="AZ100" i="43"/>
  <c r="AG97" i="43"/>
  <c r="AZ97" i="43"/>
  <c r="AG50" i="43"/>
  <c r="AZ50" i="43"/>
  <c r="AG45" i="43"/>
  <c r="AZ45" i="43"/>
  <c r="AG46" i="43"/>
  <c r="AZ46" i="43"/>
  <c r="AG43" i="43"/>
  <c r="AZ43" i="43"/>
  <c r="AZ42" i="43"/>
  <c r="AG41" i="43"/>
  <c r="AZ41" i="43"/>
  <c r="AG94" i="43"/>
  <c r="AG98" i="43"/>
  <c r="AG93" i="43"/>
  <c r="AG101" i="43"/>
  <c r="AG99" i="43"/>
  <c r="AG92" i="43"/>
  <c r="AG44" i="43"/>
  <c r="AG47" i="43"/>
  <c r="AG49" i="43"/>
  <c r="AG51" i="43"/>
  <c r="AG48" i="43"/>
  <c r="AG42" i="43"/>
  <c r="AJ42" i="6"/>
  <c r="AY23" i="6"/>
  <c r="AD23" i="6"/>
  <c r="AT23" i="6"/>
  <c r="AO42" i="6"/>
  <c r="AT42" i="6"/>
  <c r="AY42" i="6"/>
  <c r="AJ23" i="6"/>
  <c r="AO23" i="6"/>
  <c r="C57" i="15" l="1"/>
  <c r="C58" i="15"/>
  <c r="N20" i="30" l="1"/>
  <c r="M20" i="30"/>
  <c r="N11" i="30"/>
  <c r="M11" i="30"/>
  <c r="D65" i="30"/>
  <c r="F43" i="15"/>
  <c r="D22" i="15"/>
  <c r="D21" i="15"/>
  <c r="D19" i="15"/>
  <c r="D24" i="15"/>
  <c r="M127" i="33"/>
  <c r="N86" i="6"/>
  <c r="N75" i="6"/>
  <c r="N57" i="6"/>
  <c r="N45" i="6"/>
  <c r="N47" i="6"/>
  <c r="AB5" i="43"/>
  <c r="H42" i="5"/>
  <c r="H41" i="5"/>
  <c r="H39" i="5"/>
  <c r="H36" i="5"/>
  <c r="H35" i="5"/>
  <c r="C18" i="5"/>
  <c r="C19" i="5"/>
  <c r="D71" i="4"/>
  <c r="D67" i="4"/>
  <c r="D44" i="4"/>
  <c r="AS80" i="2"/>
  <c r="B81" i="2"/>
  <c r="M23" i="30"/>
  <c r="N23" i="30"/>
  <c r="D74" i="30"/>
  <c r="D77" i="30"/>
  <c r="L5" i="33"/>
  <c r="B67" i="33"/>
  <c r="D89" i="33"/>
  <c r="D90" i="33"/>
  <c r="P3" i="12"/>
  <c r="E47" i="12"/>
  <c r="O6" i="12"/>
  <c r="O8" i="12"/>
  <c r="D52" i="12"/>
  <c r="D53" i="12"/>
  <c r="O10" i="12"/>
  <c r="D54" i="12"/>
  <c r="O12" i="12"/>
  <c r="O14" i="12"/>
  <c r="C24" i="13"/>
  <c r="D27" i="13"/>
  <c r="D29" i="13"/>
  <c r="B41" i="13"/>
  <c r="K68" i="13"/>
  <c r="G76" i="13"/>
  <c r="J76" i="13"/>
  <c r="D79" i="13"/>
  <c r="D80" i="13"/>
  <c r="D81" i="13"/>
  <c r="D82" i="13"/>
  <c r="D83" i="13"/>
  <c r="G84" i="13"/>
  <c r="J84" i="13"/>
  <c r="D89" i="13"/>
  <c r="D90" i="13"/>
  <c r="D91" i="13"/>
  <c r="D92" i="13"/>
  <c r="D93" i="13"/>
  <c r="K14" i="14"/>
  <c r="K16" i="14"/>
  <c r="K17" i="14"/>
  <c r="K23" i="14"/>
  <c r="E26" i="14"/>
  <c r="K29" i="14"/>
  <c r="K38" i="14"/>
  <c r="D39" i="14"/>
  <c r="K40" i="14"/>
  <c r="D14" i="15"/>
  <c r="P17" i="15"/>
  <c r="P18" i="15"/>
  <c r="AA19" i="15"/>
  <c r="AA20" i="15"/>
  <c r="AA21" i="15"/>
  <c r="AA22" i="15"/>
  <c r="F38" i="15"/>
  <c r="F40" i="15"/>
  <c r="F45" i="15"/>
  <c r="Q45" i="15"/>
  <c r="F48" i="15"/>
  <c r="D59" i="15"/>
  <c r="D61" i="15"/>
  <c r="H72" i="15"/>
  <c r="H83" i="15"/>
  <c r="H84" i="15"/>
  <c r="G86" i="15"/>
  <c r="G87" i="15"/>
  <c r="Q90" i="15"/>
  <c r="L94" i="15"/>
  <c r="Q94" i="15"/>
  <c r="O10" i="3"/>
  <c r="O50" i="3"/>
  <c r="M52" i="3"/>
  <c r="M54" i="3"/>
  <c r="M55" i="3"/>
  <c r="D56" i="3"/>
  <c r="O56" i="3"/>
  <c r="O62" i="3"/>
  <c r="I43" i="4"/>
  <c r="AL61" i="2" s="1"/>
  <c r="I66" i="4"/>
  <c r="AL62" i="2" s="1"/>
  <c r="D82" i="4"/>
  <c r="R3" i="5"/>
  <c r="H31" i="5"/>
  <c r="S31" i="5"/>
  <c r="S32" i="5"/>
  <c r="H33" i="5"/>
  <c r="H34" i="5"/>
  <c r="S36" i="5"/>
  <c r="U64" i="5"/>
  <c r="T26" i="5"/>
  <c r="C93" i="5"/>
  <c r="N3" i="6"/>
  <c r="B24" i="6"/>
  <c r="N24" i="6" s="1"/>
  <c r="B26" i="6"/>
  <c r="N27" i="6" s="1"/>
  <c r="T90" i="6"/>
  <c r="D87" i="6"/>
  <c r="U48" i="37"/>
  <c r="M47" i="37"/>
  <c r="U50" i="37"/>
  <c r="M50" i="37"/>
  <c r="O50" i="37"/>
  <c r="O51" i="37" s="1"/>
  <c r="U51" i="37"/>
  <c r="U52" i="37"/>
  <c r="M53" i="37"/>
  <c r="M54" i="37"/>
  <c r="M56" i="37"/>
  <c r="Q74" i="37"/>
  <c r="K76" i="37"/>
  <c r="I79" i="37"/>
  <c r="K80" i="37"/>
  <c r="M81" i="37"/>
  <c r="K82" i="37"/>
  <c r="K83" i="37"/>
  <c r="M84" i="37"/>
  <c r="K85" i="37"/>
  <c r="M86" i="37"/>
  <c r="K87" i="37"/>
  <c r="Q88" i="37"/>
  <c r="Q89" i="37"/>
  <c r="E91" i="37"/>
  <c r="E92" i="37"/>
  <c r="K92" i="37"/>
  <c r="E93" i="37"/>
  <c r="M94" i="37"/>
  <c r="K95" i="37"/>
  <c r="K96" i="37"/>
  <c r="M102" i="37"/>
  <c r="M103" i="37"/>
  <c r="K105" i="37"/>
  <c r="K106" i="37"/>
  <c r="M107" i="37"/>
  <c r="Q121" i="37"/>
  <c r="K123" i="37"/>
  <c r="I124" i="37"/>
  <c r="I125" i="37"/>
  <c r="K126" i="37"/>
  <c r="M127" i="37"/>
  <c r="Q128" i="37"/>
  <c r="M130" i="37"/>
  <c r="M131" i="37"/>
  <c r="Q132" i="37"/>
  <c r="Q134" i="37"/>
  <c r="Q135" i="37"/>
  <c r="Q137" i="37"/>
  <c r="Q141" i="37"/>
  <c r="W3" i="23"/>
  <c r="B5" i="23"/>
  <c r="C4" i="40"/>
  <c r="C5" i="40"/>
  <c r="C6" i="40"/>
  <c r="D6" i="40"/>
  <c r="C9" i="40"/>
  <c r="C10" i="40"/>
  <c r="C11" i="40"/>
  <c r="D11" i="40"/>
  <c r="Y26" i="5" l="1"/>
  <c r="T27" i="5"/>
  <c r="T29" i="5" s="1"/>
  <c r="T48" i="5" s="1"/>
  <c r="G22" i="40"/>
  <c r="G44" i="4"/>
  <c r="G67" i="4"/>
  <c r="M13" i="30"/>
  <c r="M4" i="30"/>
  <c r="C101" i="1"/>
  <c r="C88" i="1"/>
  <c r="AJ62" i="78" s="1"/>
  <c r="C81" i="1"/>
  <c r="C89" i="1"/>
  <c r="Z75" i="79" s="1"/>
  <c r="C104" i="1"/>
  <c r="C97" i="1"/>
  <c r="C87" i="1"/>
  <c r="C103" i="1"/>
  <c r="C96" i="1"/>
  <c r="C86" i="1"/>
  <c r="C83" i="1"/>
  <c r="C85" i="1"/>
  <c r="C82" i="1"/>
  <c r="C78" i="1"/>
  <c r="C84" i="1"/>
  <c r="V72" i="59" s="1"/>
  <c r="C102" i="1"/>
  <c r="C80" i="1"/>
  <c r="C77" i="1"/>
  <c r="AF106" i="2" s="1"/>
  <c r="L84" i="13"/>
  <c r="Q58" i="15"/>
  <c r="L58" i="15"/>
  <c r="O15" i="12"/>
  <c r="L89" i="15"/>
  <c r="AG16" i="43"/>
  <c r="A102" i="43"/>
  <c r="A52" i="43"/>
  <c r="A277" i="60" l="1"/>
  <c r="AM24" i="97"/>
  <c r="AO75" i="79"/>
  <c r="AO87" i="79" s="1"/>
  <c r="AD87" i="79" s="1"/>
  <c r="AD75" i="79"/>
  <c r="X77" i="15"/>
  <c r="AJ30" i="109"/>
  <c r="AD30" i="109"/>
  <c r="R29" i="12"/>
  <c r="O5" i="12"/>
  <c r="L26" i="12" s="1"/>
  <c r="AB48" i="6"/>
  <c r="AF48" i="6" s="1"/>
  <c r="AB42" i="6"/>
  <c r="AF42" i="6" s="1"/>
  <c r="AB40" i="6"/>
  <c r="AF40" i="6" s="1"/>
  <c r="AB46" i="6"/>
  <c r="AF46" i="6" s="1"/>
  <c r="AB29" i="6"/>
  <c r="AF29" i="6" s="1"/>
  <c r="AB25" i="6"/>
  <c r="AF25" i="6" s="1"/>
  <c r="AB27" i="6"/>
  <c r="AF27" i="6" s="1"/>
  <c r="AB21" i="6"/>
  <c r="AF21" i="6" s="1"/>
  <c r="AB38" i="6"/>
  <c r="AF38" i="6" s="1"/>
  <c r="AB44" i="6"/>
  <c r="AF44" i="6" s="1"/>
  <c r="V76" i="59"/>
  <c r="O79" i="59" s="1"/>
  <c r="AB72" i="59"/>
  <c r="AA53" i="5"/>
  <c r="AA55" i="5" s="1"/>
  <c r="AA58" i="5" s="1"/>
  <c r="AA65" i="5" s="1"/>
  <c r="I23" i="40"/>
  <c r="I13" i="14"/>
  <c r="AL38" i="91"/>
  <c r="AM39" i="91" s="1"/>
  <c r="AE52" i="91" s="1"/>
  <c r="AL150" i="91"/>
  <c r="AM151" i="91" s="1"/>
  <c r="AM49" i="23"/>
  <c r="AM123" i="23" s="1"/>
  <c r="AM47" i="23"/>
  <c r="D62" i="30"/>
  <c r="J53" i="12"/>
  <c r="L29" i="12"/>
  <c r="J49" i="13"/>
  <c r="J50" i="13" s="1"/>
  <c r="J53" i="13" s="1"/>
  <c r="J56" i="13" s="1"/>
  <c r="L57" i="13" s="1"/>
  <c r="L62" i="13" s="1"/>
  <c r="Q52" i="43"/>
  <c r="AB19" i="6"/>
  <c r="AF19" i="6" s="1"/>
  <c r="D59" i="30"/>
  <c r="E59" i="30"/>
  <c r="I33" i="1"/>
  <c r="AC102" i="43"/>
  <c r="AB23" i="6"/>
  <c r="AF23" i="6" s="1"/>
  <c r="U52" i="43"/>
  <c r="AC52" i="43"/>
  <c r="AA52" i="43"/>
  <c r="U102" i="43"/>
  <c r="Q102" i="43"/>
  <c r="AA102" i="43"/>
  <c r="D61" i="30"/>
  <c r="D63" i="30"/>
  <c r="D78" i="30"/>
  <c r="BL144" i="2"/>
  <c r="BJ17" i="2" s="1"/>
  <c r="E68" i="30"/>
  <c r="D68" i="30"/>
  <c r="E76" i="30"/>
  <c r="D76" i="30"/>
  <c r="E61" i="30"/>
  <c r="D58" i="30"/>
  <c r="E58" i="30"/>
  <c r="E69" i="30"/>
  <c r="D69" i="30"/>
  <c r="D64" i="30"/>
  <c r="E64" i="30"/>
  <c r="D73" i="30"/>
  <c r="P20" i="3" s="1"/>
  <c r="E73" i="30"/>
  <c r="D75" i="30"/>
  <c r="E75" i="30"/>
  <c r="E70" i="30"/>
  <c r="D70" i="30"/>
  <c r="E67" i="30"/>
  <c r="D67" i="30"/>
  <c r="E63" i="30"/>
  <c r="AH23" i="6"/>
  <c r="AG66" i="43"/>
  <c r="AE164" i="91" l="1"/>
  <c r="AL156" i="91"/>
  <c r="AO41" i="79"/>
  <c r="AD28" i="109"/>
  <c r="AJ28" i="109"/>
  <c r="AM121" i="23"/>
  <c r="L25" i="12"/>
  <c r="C31" i="12"/>
  <c r="AR42" i="6"/>
  <c r="AR40" i="6"/>
  <c r="AR38" i="6"/>
  <c r="AR46" i="6"/>
  <c r="L39" i="6" s="1"/>
  <c r="AM42" i="6"/>
  <c r="AM40" i="6"/>
  <c r="AM38" i="6"/>
  <c r="AM46" i="6"/>
  <c r="AH42" i="6"/>
  <c r="AH40" i="6"/>
  <c r="AH38" i="6"/>
  <c r="AH46" i="6"/>
  <c r="AW42" i="6"/>
  <c r="AW40" i="6"/>
  <c r="AW46" i="6"/>
  <c r="AM29" i="6"/>
  <c r="AM25" i="6"/>
  <c r="AM27" i="6"/>
  <c r="AM21" i="6"/>
  <c r="AW29" i="6"/>
  <c r="AW25" i="6"/>
  <c r="AW27" i="6"/>
  <c r="AW21" i="6"/>
  <c r="AH29" i="6"/>
  <c r="I23" i="6" s="1"/>
  <c r="AH27" i="6"/>
  <c r="AH25" i="6"/>
  <c r="AH21" i="6"/>
  <c r="AR29" i="6"/>
  <c r="AR27" i="6"/>
  <c r="AR25" i="6"/>
  <c r="AR21" i="6"/>
  <c r="AW44" i="6"/>
  <c r="AW48" i="6"/>
  <c r="AR44" i="6"/>
  <c r="AR48" i="6"/>
  <c r="AM44" i="6"/>
  <c r="AM48" i="6"/>
  <c r="AH44" i="6"/>
  <c r="AH48" i="6"/>
  <c r="I41" i="6" s="1"/>
  <c r="AW38" i="6"/>
  <c r="AW19" i="6"/>
  <c r="AH19" i="6"/>
  <c r="AW23" i="6"/>
  <c r="L6" i="1"/>
  <c r="C36" i="1"/>
  <c r="AL68" i="2"/>
  <c r="AL40" i="91"/>
  <c r="AE78" i="91"/>
  <c r="AE155" i="91"/>
  <c r="AE25" i="97"/>
  <c r="AE43" i="91"/>
  <c r="AM153" i="91"/>
  <c r="AM149" i="91"/>
  <c r="AL152" i="91"/>
  <c r="AM41" i="91"/>
  <c r="AM37" i="91"/>
  <c r="E62" i="30"/>
  <c r="AF107" i="2" s="1"/>
  <c r="I58" i="30"/>
  <c r="C60" i="12"/>
  <c r="B60" i="12" s="1"/>
  <c r="C58" i="12"/>
  <c r="B58" i="12" s="1"/>
  <c r="C33" i="12"/>
  <c r="J79" i="1"/>
  <c r="AC39" i="80" s="1"/>
  <c r="AB80" i="68" s="1"/>
  <c r="S71" i="2"/>
  <c r="L14" i="14"/>
  <c r="E78" i="30"/>
  <c r="L68" i="13"/>
  <c r="L71" i="13" s="1"/>
  <c r="AX18" i="2"/>
  <c r="BJ145" i="2"/>
  <c r="BJ146" i="2" s="1"/>
  <c r="V113" i="59"/>
  <c r="K28" i="59"/>
  <c r="AM19" i="6"/>
  <c r="AM23" i="6"/>
  <c r="AR19" i="6"/>
  <c r="AR23" i="6"/>
  <c r="AE190" i="91" l="1"/>
  <c r="K41" i="6"/>
  <c r="O38" i="6"/>
  <c r="AD33" i="109"/>
  <c r="AJ38" i="109"/>
  <c r="T23" i="3"/>
  <c r="P23" i="3"/>
  <c r="L41" i="6"/>
  <c r="I39" i="6"/>
  <c r="K39" i="6"/>
  <c r="K37" i="6"/>
  <c r="I37" i="6"/>
  <c r="L37" i="6"/>
  <c r="K21" i="6"/>
  <c r="I21" i="6"/>
  <c r="O20" i="6"/>
  <c r="I19" i="6"/>
  <c r="O18" i="6"/>
  <c r="O22" i="6"/>
  <c r="AI73" i="2"/>
  <c r="L21" i="6"/>
  <c r="L19" i="6"/>
  <c r="K19" i="6"/>
  <c r="O40" i="6"/>
  <c r="O36" i="6"/>
  <c r="K23" i="6"/>
  <c r="L23" i="6"/>
  <c r="AW61" i="2"/>
  <c r="S68" i="2" s="1"/>
  <c r="X53" i="91"/>
  <c r="AE55" i="91" s="1"/>
  <c r="C94" i="59"/>
  <c r="V96" i="59"/>
  <c r="AE33" i="97"/>
  <c r="AE45" i="97" s="1"/>
  <c r="AL52" i="91"/>
  <c r="AL44" i="91" s="1"/>
  <c r="B62" i="12"/>
  <c r="L65" i="12" s="1"/>
  <c r="J37" i="12"/>
  <c r="L74" i="12"/>
  <c r="AL165" i="91" l="1"/>
  <c r="AE167" i="91"/>
  <c r="K8" i="115"/>
  <c r="N24" i="3"/>
  <c r="P24" i="3" s="1"/>
  <c r="N27" i="3" s="1"/>
  <c r="P28" i="3" s="1"/>
  <c r="T19" i="3" s="1"/>
  <c r="Z55" i="91"/>
  <c r="X59" i="91" s="1"/>
  <c r="AE65" i="91" s="1"/>
  <c r="AE72" i="91" s="1"/>
  <c r="O39" i="6"/>
  <c r="O21" i="6"/>
  <c r="O41" i="6"/>
  <c r="O37" i="6"/>
  <c r="O23" i="6"/>
  <c r="AE46" i="97"/>
  <c r="AE51" i="97" s="1"/>
  <c r="AE64" i="97"/>
  <c r="O97" i="59"/>
  <c r="Z167" i="91"/>
  <c r="X169" i="91" s="1"/>
  <c r="AE192" i="91" s="1"/>
  <c r="AL45" i="91"/>
  <c r="K8" i="87"/>
  <c r="K27" i="87"/>
  <c r="K26" i="87"/>
  <c r="K7" i="87"/>
  <c r="J65" i="12"/>
  <c r="J71" i="12" s="1"/>
  <c r="C75" i="12" s="1"/>
  <c r="C77" i="12" s="1"/>
  <c r="L39" i="12"/>
  <c r="C41" i="12" s="1"/>
  <c r="J38" i="12"/>
  <c r="O19" i="6"/>
  <c r="Q21" i="15"/>
  <c r="T24" i="3" l="1"/>
  <c r="P22" i="3"/>
  <c r="X57" i="91"/>
  <c r="AE80" i="91" s="1"/>
  <c r="AE82" i="91" s="1"/>
  <c r="AM82" i="91" s="1"/>
  <c r="AG101" i="3"/>
  <c r="O49" i="6"/>
  <c r="AG52" i="37" s="1"/>
  <c r="O29" i="6"/>
  <c r="O54" i="37" s="1"/>
  <c r="O56" i="37" s="1"/>
  <c r="L77" i="12"/>
  <c r="AE60" i="91"/>
  <c r="AE61" i="91" s="1"/>
  <c r="AE52" i="97"/>
  <c r="AE55" i="97" s="1"/>
  <c r="AE65" i="97"/>
  <c r="AL157" i="91"/>
  <c r="AE184" i="91"/>
  <c r="AE194" i="91"/>
  <c r="AM58" i="91"/>
  <c r="C43" i="12"/>
  <c r="J43" i="12" s="1"/>
  <c r="T53" i="5" l="1"/>
  <c r="T56" i="5" s="1"/>
  <c r="T167" i="5"/>
  <c r="T170" i="5" s="1"/>
  <c r="X106" i="3"/>
  <c r="X103" i="3"/>
  <c r="AI106" i="3"/>
  <c r="AI122" i="3"/>
  <c r="AG112" i="3"/>
  <c r="AI118" i="3" s="1"/>
  <c r="O57" i="6"/>
  <c r="J34" i="98" s="1"/>
  <c r="L79" i="12"/>
  <c r="AC15" i="78" s="1"/>
  <c r="AM170" i="91"/>
  <c r="AE172" i="91"/>
  <c r="AE173" i="91" s="1"/>
  <c r="AM194" i="91"/>
  <c r="AL65" i="2" s="1"/>
  <c r="AW60" i="2" l="1"/>
  <c r="S65" i="2" s="1"/>
  <c r="AH52" i="37"/>
  <c r="AG78" i="37"/>
  <c r="AG80" i="37" s="1"/>
  <c r="AG81" i="37" s="1"/>
  <c r="A59" i="6"/>
  <c r="A67" i="6" s="1"/>
  <c r="A69" i="6" s="1"/>
  <c r="C69" i="6" s="1"/>
  <c r="A61" i="6"/>
  <c r="X123" i="98"/>
  <c r="X125" i="98" s="1"/>
  <c r="X126" i="98" s="1"/>
  <c r="A63" i="6"/>
  <c r="P87" i="6"/>
  <c r="T91" i="6" s="1"/>
  <c r="O56" i="6"/>
  <c r="R52" i="33"/>
  <c r="AW51" i="2"/>
  <c r="Y68" i="5"/>
  <c r="Y67" i="5"/>
  <c r="AL47" i="23"/>
  <c r="J37" i="67"/>
  <c r="AM48" i="23"/>
  <c r="AM122" i="23" s="1"/>
  <c r="Y181" i="5"/>
  <c r="AM41" i="23"/>
  <c r="AC60" i="37" l="1"/>
  <c r="AC55" i="37"/>
  <c r="AU64" i="2"/>
  <c r="AW62" i="2" s="1"/>
  <c r="AC21" i="33"/>
  <c r="AM33" i="23"/>
  <c r="AL74" i="2"/>
  <c r="P86" i="6"/>
  <c r="AO10" i="109"/>
  <c r="AO18" i="109"/>
  <c r="AC18" i="78"/>
  <c r="AL93" i="23"/>
  <c r="AM93" i="23"/>
  <c r="Y182" i="5"/>
  <c r="W173" i="5"/>
  <c r="W174" i="5"/>
  <c r="W172" i="5"/>
  <c r="AL33" i="23"/>
  <c r="AL121" i="23"/>
  <c r="W58" i="5"/>
  <c r="Y69" i="5"/>
  <c r="W60" i="5"/>
  <c r="W59" i="5"/>
  <c r="A93" i="6"/>
  <c r="C67" i="6"/>
  <c r="AC39" i="82"/>
  <c r="R50" i="33" l="1"/>
  <c r="U36" i="98"/>
  <c r="V92" i="98"/>
  <c r="V93" i="98" s="1"/>
  <c r="R13" i="98"/>
  <c r="O72" i="6"/>
  <c r="AN93" i="23"/>
  <c r="X80" i="23" s="1"/>
  <c r="X81" i="23" s="1"/>
  <c r="AL117" i="23" s="1"/>
  <c r="AN33" i="23"/>
  <c r="X20" i="23"/>
  <c r="X21" i="23" s="1"/>
  <c r="AL116" i="23" s="1"/>
  <c r="A96" i="6"/>
  <c r="C96" i="6" s="1"/>
  <c r="C93" i="6"/>
  <c r="C15" i="98" l="1"/>
  <c r="R16" i="98" s="1"/>
  <c r="R14" i="98" s="1"/>
  <c r="R6" i="98"/>
  <c r="R9" i="98" s="1"/>
  <c r="AL111" i="23"/>
  <c r="AL106" i="23"/>
  <c r="AL112" i="23"/>
  <c r="F2" i="98"/>
  <c r="A78" i="6"/>
  <c r="AG82" i="37"/>
  <c r="AG83" i="37" s="1"/>
  <c r="AG84" i="37" s="1"/>
  <c r="AH112" i="37"/>
  <c r="U129" i="37"/>
  <c r="AC52" i="37"/>
  <c r="AC54" i="37" s="1"/>
  <c r="U63" i="37" s="1"/>
  <c r="Y157" i="98"/>
  <c r="X127" i="98"/>
  <c r="X128" i="98" s="1"/>
  <c r="X129" i="98" s="1"/>
  <c r="X83" i="23"/>
  <c r="AE12" i="23"/>
  <c r="X23" i="23"/>
  <c r="AI68" i="78"/>
  <c r="AL41" i="23"/>
  <c r="B38" i="33"/>
  <c r="L37" i="33"/>
  <c r="R10" i="98" l="1"/>
  <c r="AL113" i="23"/>
  <c r="AI43" i="59" s="1"/>
  <c r="AL118" i="23"/>
  <c r="AI46" i="59" s="1"/>
  <c r="A81" i="6"/>
  <c r="C81" i="6" s="1"/>
  <c r="C78" i="6"/>
  <c r="AK85" i="23"/>
  <c r="X86" i="23" s="1"/>
  <c r="AK84" i="23"/>
  <c r="AC57" i="37"/>
  <c r="AB10" i="23"/>
  <c r="AI39" i="59"/>
  <c r="AK67" i="78"/>
  <c r="AK68" i="78"/>
  <c r="AK25" i="23"/>
  <c r="AK24" i="23"/>
  <c r="S35" i="23" s="1"/>
  <c r="X38" i="23" s="1"/>
  <c r="AJ38" i="23" s="1"/>
  <c r="AJ40" i="23" s="1"/>
  <c r="B41" i="33"/>
  <c r="L46" i="33" s="1"/>
  <c r="L39" i="33"/>
  <c r="X90" i="23" l="1"/>
  <c r="AB86" i="23"/>
  <c r="AB85" i="23"/>
  <c r="S95" i="23"/>
  <c r="X98" i="23" s="1"/>
  <c r="AJ98" i="23" s="1"/>
  <c r="AJ100" i="23" s="1"/>
  <c r="AJ102" i="23" s="1"/>
  <c r="AB84" i="23"/>
  <c r="AL108" i="23"/>
  <c r="AM108" i="23"/>
  <c r="AK36" i="59" s="1"/>
  <c r="AK38" i="59" s="1"/>
  <c r="B47" i="33"/>
  <c r="R30" i="52" l="1"/>
  <c r="AJ97" i="23"/>
  <c r="P92" i="23"/>
  <c r="AN118" i="23"/>
  <c r="AN113" i="23"/>
  <c r="AI36" i="59"/>
  <c r="AN108" i="23"/>
  <c r="L48" i="33"/>
  <c r="B49" i="33"/>
  <c r="S94" i="23" l="1"/>
  <c r="S93" i="23"/>
  <c r="S92" i="23"/>
  <c r="X99" i="23"/>
  <c r="AJ99" i="23" s="1"/>
  <c r="AJ101" i="23" s="1"/>
  <c r="X100" i="23" s="1"/>
  <c r="C71" i="33"/>
  <c r="D55" i="33"/>
  <c r="E54" i="33"/>
  <c r="L53" i="33"/>
  <c r="B57" i="33"/>
  <c r="L57" i="33" l="1"/>
  <c r="C58" i="33" s="1"/>
  <c r="B58" i="33"/>
  <c r="B59" i="33" l="1"/>
  <c r="L63" i="33" s="1"/>
  <c r="L58" i="33"/>
  <c r="C123" i="33" l="1"/>
  <c r="B73" i="33"/>
  <c r="L76" i="33" s="1"/>
  <c r="L72" i="33"/>
  <c r="B77" i="33" l="1"/>
  <c r="L78" i="33" s="1"/>
  <c r="B79" i="33" l="1"/>
  <c r="L82" i="33" s="1"/>
  <c r="B83" i="33" l="1"/>
  <c r="L83" i="33" l="1"/>
  <c r="C84" i="33" s="1"/>
  <c r="B84" i="33"/>
  <c r="B85" i="33" l="1"/>
  <c r="L84" i="33"/>
  <c r="C86" i="33" l="1"/>
  <c r="I85" i="33"/>
  <c r="C85" i="33"/>
  <c r="L86" i="33"/>
  <c r="B87" i="33"/>
  <c r="L89" i="33" s="1"/>
  <c r="B91" i="33" l="1"/>
  <c r="L94" i="33" s="1"/>
  <c r="B95" i="33" l="1"/>
  <c r="L95" i="33" s="1"/>
  <c r="B96" i="33" l="1"/>
  <c r="L96" i="33" s="1"/>
  <c r="B97" i="33" l="1"/>
  <c r="L97" i="33" s="1"/>
  <c r="B98" i="33" l="1"/>
  <c r="L98" i="33" s="1"/>
  <c r="B99" i="33" l="1"/>
  <c r="L102" i="33" l="1"/>
  <c r="B104" i="33"/>
  <c r="L104" i="33" s="1"/>
  <c r="B111" i="33"/>
  <c r="L111" i="33" s="1"/>
  <c r="B112" i="33" l="1"/>
  <c r="B113" i="33" l="1"/>
  <c r="L113" i="33" s="1"/>
  <c r="L112" i="33"/>
  <c r="B114" i="33" l="1"/>
  <c r="B116" i="33" l="1"/>
  <c r="L116" i="33" s="1"/>
  <c r="L114" i="33"/>
  <c r="B117" i="33" l="1"/>
  <c r="B119" i="33" s="1"/>
  <c r="B120" i="33" s="1"/>
  <c r="L117" i="33" l="1"/>
  <c r="L120" i="33"/>
  <c r="B121" i="33"/>
  <c r="L119" i="33"/>
  <c r="L121" i="33" l="1"/>
  <c r="B122" i="33"/>
  <c r="B123" i="33" l="1"/>
  <c r="L122" i="33"/>
  <c r="B125" i="33" l="1"/>
  <c r="L126" i="33" s="1"/>
  <c r="L124" i="33"/>
  <c r="BG13" i="2" l="1"/>
  <c r="C2" i="115" s="1"/>
  <c r="B8" i="113" l="1"/>
  <c r="B8" i="114"/>
  <c r="C2" i="87"/>
  <c r="B8" i="102"/>
  <c r="B9" i="62"/>
  <c r="C2" i="30"/>
  <c r="B2" i="1"/>
  <c r="C3" i="40"/>
  <c r="BI13" i="2"/>
  <c r="B51" i="114" l="1"/>
  <c r="C15" i="115"/>
  <c r="B77" i="108"/>
  <c r="B67" i="113"/>
  <c r="B125" i="91"/>
  <c r="B198" i="62"/>
  <c r="B7" i="23"/>
  <c r="C21" i="87"/>
  <c r="B13" i="91"/>
  <c r="B67" i="23"/>
  <c r="B70" i="71"/>
  <c r="B10" i="71"/>
  <c r="C61" i="69"/>
  <c r="C31" i="69"/>
  <c r="C2" i="69"/>
  <c r="C29" i="30"/>
  <c r="B39" i="1"/>
  <c r="C8" i="40"/>
  <c r="W194" i="68" l="1"/>
  <c r="W204" i="68"/>
  <c r="W216" i="68"/>
  <c r="W201" i="68"/>
  <c r="W214" i="68"/>
  <c r="B4" i="52" l="1"/>
  <c r="C31" i="70" l="1"/>
  <c r="B9" i="59"/>
  <c r="B14" i="52"/>
  <c r="B11" i="76"/>
  <c r="B11" i="43"/>
  <c r="C60" i="70"/>
  <c r="B8" i="79"/>
  <c r="B21" i="4"/>
  <c r="B8" i="6"/>
  <c r="B10" i="58"/>
  <c r="B18" i="74"/>
  <c r="B261" i="74"/>
  <c r="B11" i="53"/>
  <c r="B8" i="78"/>
  <c r="B140" i="74"/>
  <c r="B61" i="43"/>
  <c r="B8" i="80"/>
  <c r="B122" i="59"/>
  <c r="C89" i="70"/>
  <c r="C2" i="70"/>
  <c r="B10" i="33"/>
  <c r="BE21" i="84"/>
  <c r="BE24" i="84" s="1"/>
  <c r="I24" i="84" s="1"/>
  <c r="X20" i="58" l="1"/>
  <c r="AR371" i="74" l="1"/>
  <c r="AR246" i="74"/>
  <c r="AF96" i="71" l="1"/>
  <c r="AF97" i="71" l="1"/>
  <c r="M84" i="71" s="1"/>
  <c r="M88" i="71" s="1"/>
  <c r="M90" i="71" s="1"/>
  <c r="M93" i="71" s="1"/>
  <c r="M97" i="71" s="1"/>
  <c r="M98" i="71" s="1"/>
  <c r="V31" i="71"/>
  <c r="K133" i="71" l="1"/>
  <c r="AC63" i="78" l="1"/>
  <c r="AJ63" i="78" s="1"/>
  <c r="L29" i="15"/>
  <c r="AL359" i="74"/>
  <c r="AL361" i="74" s="1"/>
  <c r="AL362" i="74" l="1"/>
  <c r="AR370" i="74" s="1"/>
  <c r="AR242" i="74"/>
  <c r="AR368" i="74" l="1"/>
  <c r="AR369" i="74"/>
  <c r="AR367" i="74"/>
  <c r="AR365" i="74"/>
  <c r="B66" i="68" l="1"/>
  <c r="W196" i="68" l="1"/>
  <c r="B58" i="68" l="1"/>
  <c r="B67" i="68" l="1"/>
  <c r="W67" i="68" l="1"/>
  <c r="AL231" i="74" l="1"/>
  <c r="AL236" i="74" s="1"/>
  <c r="AL238" i="74" l="1"/>
  <c r="AL239" i="74"/>
  <c r="AR248" i="74" l="1"/>
  <c r="AR247" i="74"/>
  <c r="AR244" i="74"/>
  <c r="AR243" i="74"/>
  <c r="T92" i="90" l="1"/>
  <c r="X19" i="90" l="1"/>
  <c r="X21" i="90" s="1"/>
  <c r="AE20" i="90" l="1"/>
  <c r="AE53" i="90" l="1"/>
  <c r="AE27" i="90"/>
  <c r="X46" i="90"/>
  <c r="X45" i="90" s="1"/>
  <c r="X48" i="90" s="1"/>
  <c r="AE35" i="90"/>
  <c r="AX48" i="90" s="1"/>
  <c r="AE38" i="90"/>
  <c r="AE39" i="90" s="1"/>
  <c r="X44" i="90"/>
  <c r="X41" i="90"/>
  <c r="X24" i="90"/>
  <c r="AE31" i="90" s="1"/>
  <c r="AE33" i="90" s="1"/>
  <c r="AE51" i="90" l="1"/>
  <c r="AF120" i="2"/>
  <c r="AX47" i="90"/>
  <c r="AX49" i="90" s="1"/>
  <c r="AH56" i="23" l="1"/>
  <c r="AR127" i="74" l="1"/>
  <c r="AR33" i="74" s="1"/>
  <c r="Q29" i="15"/>
  <c r="Q32" i="15" s="1"/>
  <c r="L32" i="15"/>
  <c r="AR126" i="74"/>
  <c r="AR32" i="74" s="1"/>
  <c r="Q43" i="15" l="1"/>
  <c r="Q56" i="15" s="1"/>
  <c r="Q61" i="15" s="1"/>
  <c r="C35" i="15"/>
  <c r="C32" i="15"/>
  <c r="Q44" i="15"/>
  <c r="L43" i="15"/>
  <c r="AG90" i="37"/>
  <c r="L55" i="15" l="1"/>
  <c r="Q55" i="15" s="1"/>
  <c r="L56" i="15"/>
  <c r="L61" i="15" s="1"/>
  <c r="AG87" i="37"/>
  <c r="AH94" i="37" s="1"/>
  <c r="AG89" i="37"/>
  <c r="AG85" i="37"/>
  <c r="AG91" i="37" s="1"/>
  <c r="AG92" i="37" l="1"/>
  <c r="AD117" i="37" s="1"/>
  <c r="AG97" i="37"/>
  <c r="AG98" i="37" s="1"/>
  <c r="AG94" i="37"/>
  <c r="AG88" i="37"/>
  <c r="AG118" i="37" l="1"/>
  <c r="AH118" i="37"/>
  <c r="AG117" i="37"/>
  <c r="AH117" i="37"/>
  <c r="AF117" i="37"/>
  <c r="AE118" i="37"/>
  <c r="AE117" i="37"/>
  <c r="AF118" i="37"/>
  <c r="AG122" i="37"/>
  <c r="AG93" i="37"/>
  <c r="AD119" i="37" l="1"/>
  <c r="AH120" i="37" s="1"/>
  <c r="AD120" i="37"/>
  <c r="AG95" i="37"/>
  <c r="AG99" i="37"/>
  <c r="AG100" i="37" s="1"/>
  <c r="AG101" i="37" s="1"/>
  <c r="AG102" i="37" s="1"/>
  <c r="AG115" i="37" l="1"/>
  <c r="AG96" i="37"/>
  <c r="AG103" i="37"/>
  <c r="AH103" i="37" s="1"/>
  <c r="AG112" i="37" l="1"/>
  <c r="AG108" i="37"/>
  <c r="AG107" i="37"/>
  <c r="AG104" i="37"/>
  <c r="AG105" i="37" s="1"/>
  <c r="AG114" i="37"/>
  <c r="AG106" i="37"/>
  <c r="AG113" i="37"/>
  <c r="AG109" i="37"/>
  <c r="AG111" i="37"/>
  <c r="AG110" i="37"/>
  <c r="AG121" i="37" l="1"/>
  <c r="AK40" i="23" l="1"/>
  <c r="AK22" i="23" l="1"/>
  <c r="X26" i="23" l="1"/>
  <c r="X30" i="23" l="1"/>
  <c r="R29" i="52" s="1"/>
  <c r="P32" i="23" l="1"/>
  <c r="S32" i="23" s="1"/>
  <c r="AB26" i="23"/>
  <c r="AB25" i="23"/>
  <c r="AB24" i="23"/>
  <c r="X41" i="23" l="1"/>
  <c r="S34" i="23"/>
  <c r="S33" i="23"/>
  <c r="AL10" i="80" l="1"/>
  <c r="AK82" i="23" l="1"/>
  <c r="AK39" i="59"/>
  <c r="AE72" i="23"/>
  <c r="A274" i="60" s="1"/>
  <c r="AB70" i="23" l="1"/>
  <c r="G298" i="60"/>
  <c r="X101" i="23"/>
  <c r="K29" i="52" l="1"/>
  <c r="P8" i="52" s="1"/>
  <c r="P5" i="52" s="1"/>
  <c r="P7" i="52" l="1"/>
  <c r="M62" i="52" s="1"/>
  <c r="B5" i="52"/>
  <c r="K17" i="52" l="1"/>
  <c r="K24" i="52" s="1"/>
  <c r="K55" i="52"/>
  <c r="K30" i="52"/>
  <c r="K34" i="52" s="1"/>
  <c r="K42" i="52"/>
  <c r="M49" i="52" s="1"/>
  <c r="X103" i="23"/>
  <c r="AL129" i="23" l="1"/>
  <c r="S106" i="23"/>
  <c r="K56" i="52"/>
  <c r="K58" i="52" s="1"/>
  <c r="M60" i="52" s="1"/>
  <c r="K20" i="52"/>
  <c r="M47" i="52"/>
  <c r="K46" i="52"/>
  <c r="AM135" i="23" l="1"/>
  <c r="AL134" i="23"/>
  <c r="M36" i="52"/>
  <c r="M25" i="52"/>
  <c r="M27" i="52" s="1"/>
  <c r="K35" i="52"/>
  <c r="K36" i="52" s="1"/>
  <c r="M37" i="52" s="1"/>
  <c r="M39" i="52" s="1"/>
  <c r="AN135" i="23"/>
  <c r="AK44" i="59" l="1"/>
  <c r="AK45" i="59" s="1"/>
  <c r="AK40" i="59"/>
  <c r="AK41" i="59" s="1"/>
  <c r="AK47" i="59"/>
  <c r="AK48" i="59" s="1"/>
  <c r="M52" i="52"/>
  <c r="AK49" i="59" l="1"/>
  <c r="AK77" i="59" s="1"/>
  <c r="V45" i="59" s="1"/>
  <c r="AD46" i="79"/>
  <c r="AO46" i="79" s="1"/>
  <c r="M65" i="52"/>
  <c r="AF108" i="2" l="1"/>
  <c r="AU113" i="2"/>
  <c r="AL109" i="2" l="1"/>
  <c r="AU110" i="2"/>
  <c r="AU109" i="2"/>
  <c r="AE55" i="90"/>
  <c r="AC13" i="80" s="1"/>
  <c r="R79" i="68" l="1"/>
  <c r="T79" i="68"/>
  <c r="P79" i="68"/>
  <c r="V79" i="68"/>
  <c r="AE263" i="105"/>
  <c r="AE310" i="105"/>
  <c r="AE96" i="76"/>
  <c r="AO72" i="58"/>
  <c r="W190" i="68" l="1"/>
  <c r="W186" i="68"/>
  <c r="B71" i="60" l="1"/>
  <c r="B81" i="60" s="1"/>
  <c r="AV256" i="84"/>
  <c r="A81" i="60" l="1"/>
  <c r="H81" i="60" s="1"/>
  <c r="AV124" i="96"/>
  <c r="AC20" i="78" s="1"/>
  <c r="AI23" i="78" s="1"/>
  <c r="L26" i="15" l="1"/>
  <c r="AU60" i="102" l="1"/>
  <c r="AR124" i="74" l="1"/>
  <c r="AR30" i="74" s="1"/>
  <c r="V175" i="59" l="1"/>
  <c r="K261" i="60" l="1"/>
  <c r="J28" i="67"/>
  <c r="AL92" i="102" l="1"/>
  <c r="S93" i="102" l="1"/>
  <c r="Y87" i="102" s="1"/>
  <c r="Q119" i="102"/>
  <c r="Q139" i="102" s="1"/>
  <c r="Y91" i="102" l="1"/>
  <c r="Y90" i="102"/>
  <c r="Y89" i="102"/>
  <c r="Y88" i="102"/>
  <c r="U128" i="102"/>
  <c r="Z128" i="102" s="1"/>
  <c r="AF128" i="102" s="1"/>
  <c r="U137" i="102"/>
  <c r="Z137" i="102" s="1"/>
  <c r="AF137" i="102" s="1"/>
  <c r="U119" i="102"/>
  <c r="Z119" i="102" s="1"/>
  <c r="Z139" i="102" l="1"/>
  <c r="AF119" i="102"/>
  <c r="AF139" i="102" s="1"/>
  <c r="O85" i="59"/>
  <c r="O88" i="59" s="1"/>
  <c r="V48" i="59"/>
  <c r="V101" i="59" l="1"/>
  <c r="V103" i="59" s="1"/>
  <c r="V99" i="59"/>
  <c r="X39" i="23"/>
  <c r="AJ39" i="23" s="1"/>
  <c r="AJ41" i="23" s="1"/>
  <c r="X40" i="23" s="1"/>
  <c r="X43" i="23" s="1"/>
  <c r="AL128" i="23" l="1"/>
  <c r="AL130" i="23" s="1"/>
  <c r="AD38" i="79" s="1"/>
  <c r="S46" i="23"/>
  <c r="V109" i="59"/>
  <c r="V111" i="59" s="1"/>
  <c r="V115" i="59" s="1"/>
  <c r="V42" i="59" s="1"/>
  <c r="AL55" i="2"/>
  <c r="AL133" i="23" l="1"/>
  <c r="AL135" i="23" s="1"/>
  <c r="AI44" i="59" l="1"/>
  <c r="AI45" i="59" s="1"/>
  <c r="AI47" i="59"/>
  <c r="AI48" i="59" s="1"/>
  <c r="AL136" i="23"/>
  <c r="AC66" i="78" s="1"/>
  <c r="AJ66" i="78" s="1"/>
  <c r="AI40" i="59"/>
  <c r="AI41" i="59" s="1"/>
  <c r="AI49" i="59" l="1"/>
  <c r="C20" i="65"/>
  <c r="C18" i="65"/>
  <c r="N20" i="65" s="1"/>
  <c r="N29" i="65" s="1"/>
  <c r="N32" i="65" s="1"/>
  <c r="AE357" i="62"/>
  <c r="N15" i="65" l="1"/>
  <c r="AE359" i="62"/>
  <c r="AO386" i="62"/>
  <c r="AO387" i="62" s="1"/>
  <c r="AO359" i="62" l="1"/>
  <c r="AM366" i="62" s="1"/>
  <c r="AE369" i="62" s="1"/>
  <c r="AE364" i="62"/>
  <c r="AM360" i="62" l="1"/>
  <c r="AM368" i="62"/>
  <c r="AO392" i="62"/>
  <c r="AO393" i="62" s="1"/>
  <c r="AE370" i="62"/>
  <c r="AE378" i="62"/>
  <c r="AO378" i="62" s="1"/>
  <c r="AO398" i="62" s="1"/>
  <c r="AO399" i="62" s="1"/>
  <c r="AE368" i="62"/>
  <c r="AE134" i="62"/>
  <c r="AO324" i="62"/>
  <c r="AE168" i="62" l="1"/>
  <c r="AO403" i="62" s="1"/>
  <c r="AE170" i="62" l="1"/>
  <c r="AM385" i="62"/>
  <c r="AM387" i="62" s="1"/>
  <c r="AM388" i="62" l="1"/>
  <c r="AE363" i="62"/>
  <c r="AO170" i="62"/>
  <c r="AM177" i="62" s="1"/>
  <c r="AE180" i="62" s="1"/>
  <c r="AE173" i="62"/>
  <c r="AI33" i="59" s="1"/>
  <c r="AE175" i="62"/>
  <c r="AO404" i="62" s="1"/>
  <c r="V43" i="59" l="1"/>
  <c r="V46" i="59" s="1"/>
  <c r="AA67" i="53"/>
  <c r="AC71" i="53" s="1"/>
  <c r="AM391" i="62"/>
  <c r="AM393" i="62" s="1"/>
  <c r="AM394" i="62" s="1"/>
  <c r="AM171" i="62"/>
  <c r="AM179" i="62"/>
  <c r="AM190" i="62"/>
  <c r="AE189" i="62"/>
  <c r="AE181" i="62"/>
  <c r="AE179" i="62"/>
  <c r="AO405" i="62" l="1"/>
  <c r="AM36" i="109"/>
  <c r="AD36" i="109"/>
  <c r="AO189" i="62"/>
  <c r="AM397" i="62" s="1"/>
  <c r="AM399" i="62" s="1"/>
  <c r="AM400" i="62" s="1"/>
  <c r="AL49" i="76"/>
  <c r="L9" i="63"/>
  <c r="J15" i="63" s="1"/>
  <c r="C113" i="76"/>
  <c r="P75" i="33"/>
  <c r="R49" i="33"/>
  <c r="X28" i="78"/>
  <c r="AM401" i="62" l="1"/>
  <c r="AO406" i="62"/>
  <c r="AE16" i="76"/>
  <c r="AL18" i="76" s="1"/>
  <c r="AU33" i="58"/>
  <c r="W93" i="78"/>
  <c r="AC93" i="78" s="1"/>
  <c r="AC98" i="78" s="1"/>
  <c r="AM29" i="78"/>
  <c r="AC28" i="78"/>
  <c r="AC54" i="78" s="1"/>
  <c r="AM28" i="78"/>
  <c r="AI28" i="78"/>
  <c r="L34" i="63"/>
  <c r="J20" i="63"/>
  <c r="L31" i="63"/>
  <c r="C26" i="63"/>
  <c r="J13" i="63"/>
  <c r="J17" i="63"/>
  <c r="C24" i="63"/>
  <c r="AS113" i="76"/>
  <c r="AC75" i="78" l="1"/>
  <c r="AC56" i="78"/>
  <c r="AC55" i="78"/>
  <c r="J22" i="63"/>
  <c r="L29" i="63"/>
  <c r="J26" i="63"/>
  <c r="AL76" i="2" l="1"/>
  <c r="H30" i="63"/>
  <c r="G30" i="63"/>
  <c r="N47" i="59" l="1"/>
  <c r="W53" i="59" s="1"/>
  <c r="V58" i="59" s="1"/>
  <c r="V61" i="59" s="1"/>
  <c r="BI65" i="2" l="1"/>
  <c r="BI70" i="2" s="1"/>
  <c r="T72" i="3" s="1"/>
  <c r="W183" i="68" l="1"/>
  <c r="W187" i="68" l="1"/>
  <c r="U188" i="68"/>
  <c r="U189" i="68" l="1"/>
  <c r="W188" i="68"/>
  <c r="W189" i="68"/>
  <c r="U190" i="68"/>
  <c r="U191" i="68" s="1"/>
  <c r="W191" i="68" l="1"/>
  <c r="U192" i="68"/>
  <c r="W192" i="68" s="1"/>
  <c r="U193" i="68" l="1"/>
  <c r="U194" i="68" s="1"/>
  <c r="U195" i="68" l="1"/>
  <c r="U196" i="68" l="1"/>
  <c r="U197" i="68" s="1"/>
  <c r="U198" i="68" s="1"/>
  <c r="U199" i="68" s="1"/>
  <c r="U200" i="68" s="1"/>
  <c r="U201" i="68" s="1"/>
  <c r="U202" i="68" s="1"/>
  <c r="U203" i="68" s="1"/>
  <c r="U204" i="68" s="1"/>
  <c r="U205" i="68" s="1"/>
  <c r="U206" i="68" l="1"/>
  <c r="W205" i="68"/>
  <c r="U207" i="68"/>
  <c r="U208" i="68" s="1"/>
  <c r="U209" i="68" s="1"/>
  <c r="U210" i="68" s="1"/>
  <c r="U211" i="68" s="1"/>
  <c r="U212" i="68" s="1"/>
  <c r="U213" i="68" s="1"/>
  <c r="U214" i="68" s="1"/>
  <c r="U215" i="68" s="1"/>
  <c r="U216" i="68" s="1"/>
  <c r="U217" i="68" s="1"/>
  <c r="U218" i="68" s="1"/>
  <c r="U219" i="68" s="1"/>
  <c r="U220" i="68" s="1"/>
  <c r="U221" i="68" s="1"/>
  <c r="U222" i="68" s="1"/>
  <c r="U223" i="68" s="1"/>
  <c r="U224" i="68" l="1"/>
  <c r="U225" i="68" s="1"/>
  <c r="U226" i="68" s="1"/>
  <c r="U227" i="68" s="1"/>
  <c r="U228" i="68" s="1"/>
  <c r="U229" i="68" s="1"/>
  <c r="U230" i="68" s="1"/>
  <c r="U231" i="68" s="1"/>
  <c r="U232" i="68" s="1"/>
  <c r="W223" i="68"/>
  <c r="U180" i="68" l="1"/>
  <c r="U181" i="68"/>
  <c r="U182" i="68"/>
  <c r="U183" i="68" s="1"/>
  <c r="U184" i="68" s="1"/>
  <c r="U185" i="68" s="1"/>
  <c r="U186" i="68" s="1"/>
  <c r="U187" i="68" s="1"/>
  <c r="W184" i="68" l="1"/>
  <c r="W182" i="68"/>
  <c r="W185" i="68"/>
  <c r="U179" i="68" l="1"/>
  <c r="Y180" i="68"/>
  <c r="Y234" i="68" s="1"/>
  <c r="B114" i="68"/>
  <c r="P82" i="68" l="1"/>
  <c r="R82" i="68" l="1"/>
  <c r="T82" i="68" l="1"/>
  <c r="V82" i="68" l="1"/>
  <c r="R53" i="33" l="1"/>
  <c r="V173" i="59" l="1"/>
  <c r="V177" i="59" s="1"/>
  <c r="O62" i="59" s="1"/>
  <c r="V64" i="59" s="1"/>
  <c r="AC12" i="80" s="1"/>
  <c r="AE306" i="105" l="1"/>
  <c r="AE259" i="105"/>
  <c r="AE95" i="76"/>
  <c r="D51" i="68" l="1"/>
  <c r="D49" i="68"/>
  <c r="W181" i="68" l="1"/>
  <c r="W180" i="68"/>
  <c r="W179" i="68"/>
  <c r="AE190" i="108" l="1"/>
  <c r="AE191" i="108" s="1"/>
  <c r="AE192" i="108" l="1"/>
  <c r="AE196" i="108" s="1"/>
  <c r="AE222" i="108" l="1"/>
  <c r="AE223" i="108" s="1"/>
  <c r="AO98" i="108"/>
  <c r="AE87" i="108"/>
  <c r="AE90" i="108" s="1"/>
  <c r="AE91" i="108" s="1"/>
  <c r="AE93" i="108" s="1"/>
  <c r="AE94" i="108" s="1"/>
  <c r="AE95" i="108" s="1"/>
  <c r="AE96" i="108" s="1"/>
  <c r="AE97" i="108" s="1"/>
  <c r="AE98" i="108" s="1"/>
  <c r="AE99" i="108" s="1"/>
  <c r="AE100" i="108" s="1"/>
  <c r="AE102" i="108" l="1"/>
  <c r="AQ102" i="108"/>
  <c r="AQ103" i="108" s="1"/>
  <c r="AE88" i="108"/>
  <c r="AE89" i="108" s="1"/>
  <c r="AE103" i="108" l="1"/>
  <c r="AQ119" i="108" l="1"/>
  <c r="AE110" i="108"/>
  <c r="AB235" i="108"/>
  <c r="AE235" i="108" s="1"/>
  <c r="Y239" i="108" l="1"/>
  <c r="AE237" i="108"/>
  <c r="AE242" i="108"/>
  <c r="AE111" i="108"/>
  <c r="AE120" i="108" s="1"/>
  <c r="AQ256" i="108" l="1"/>
  <c r="AE256" i="108" s="1"/>
  <c r="AE243" i="108"/>
  <c r="AE122" i="108"/>
  <c r="AQ122" i="108" s="1"/>
  <c r="AE124" i="108" s="1"/>
  <c r="AE128" i="108"/>
  <c r="AE247" i="108"/>
  <c r="AQ246" i="108"/>
  <c r="AE156" i="108" s="1"/>
  <c r="AQ248" i="108" l="1"/>
  <c r="AE162" i="108"/>
  <c r="AE173" i="108"/>
  <c r="AE129" i="108"/>
  <c r="AQ129" i="108" s="1"/>
  <c r="AE131" i="108"/>
  <c r="AQ131" i="108" s="1"/>
  <c r="AE133" i="108" l="1"/>
  <c r="AE248" i="108"/>
  <c r="AE257" i="108" s="1"/>
  <c r="AQ253" i="108"/>
  <c r="AQ251" i="108"/>
  <c r="AQ252" i="108"/>
  <c r="AE170" i="108"/>
  <c r="AE175" i="108" s="1"/>
  <c r="AE163" i="108"/>
  <c r="AE174" i="108"/>
  <c r="AQ133" i="108" l="1"/>
  <c r="AE139" i="108"/>
  <c r="AO136" i="108" s="1"/>
  <c r="AP176" i="108"/>
  <c r="AP177" i="108"/>
  <c r="AM175" i="108"/>
  <c r="AP178" i="108"/>
  <c r="AP226" i="108"/>
  <c r="AP227" i="108"/>
  <c r="AP228" i="108"/>
  <c r="AE177" i="108"/>
  <c r="AE178" i="108" s="1"/>
  <c r="AE180" i="108" s="1"/>
  <c r="AE181" i="108" s="1"/>
  <c r="AE187" i="108" s="1"/>
  <c r="AE195" i="108" s="1"/>
  <c r="AE198" i="108" s="1"/>
  <c r="AE199" i="108" l="1"/>
  <c r="AE204" i="108"/>
  <c r="AE211" i="108" s="1"/>
  <c r="AK140" i="108"/>
  <c r="AQ139" i="108"/>
  <c r="AE141" i="108" s="1"/>
  <c r="AE212" i="108"/>
  <c r="AE213" i="108" l="1"/>
  <c r="AE214" i="108" s="1"/>
  <c r="AE224" i="108"/>
  <c r="AE228" i="108"/>
  <c r="AE143" i="108"/>
  <c r="AE145" i="108" s="1"/>
  <c r="AE148" i="108" s="1"/>
  <c r="AE151" i="108" s="1"/>
  <c r="AE215" i="108"/>
  <c r="AE216" i="108"/>
  <c r="AM216" i="108" s="1"/>
  <c r="AM217" i="108" s="1"/>
  <c r="AE217" i="108" l="1"/>
  <c r="AE219" i="108" s="1"/>
  <c r="AE220" i="108" s="1"/>
  <c r="W19" i="80"/>
  <c r="AC19" i="80" s="1"/>
  <c r="AE225" i="108"/>
  <c r="AE231" i="108" s="1"/>
  <c r="BU10" i="95" l="1"/>
  <c r="CO10" i="95" l="1"/>
  <c r="CP10" i="95"/>
  <c r="CQ10" i="95"/>
  <c r="AL36" i="2"/>
  <c r="BW10" i="95"/>
  <c r="BS10" i="95"/>
  <c r="BV10" i="95"/>
  <c r="BK10" i="95" l="1"/>
  <c r="AQ47" i="2" s="1"/>
  <c r="BB10" i="95"/>
  <c r="CR10" i="95"/>
  <c r="BT10" i="95"/>
  <c r="BU9" i="95"/>
  <c r="BQ10" i="95" l="1"/>
  <c r="BN10" i="95" s="1"/>
  <c r="AM47" i="2"/>
  <c r="BC37" i="2" s="1"/>
  <c r="CO9" i="95"/>
  <c r="CP9" i="95"/>
  <c r="CQ9" i="95"/>
  <c r="BV8" i="95"/>
  <c r="BU8" i="95"/>
  <c r="BW8" i="95" s="1"/>
  <c r="U36" i="2"/>
  <c r="BS9" i="95"/>
  <c r="BW9" i="95"/>
  <c r="AD36" i="2"/>
  <c r="BV9" i="95"/>
  <c r="BS8" i="95"/>
  <c r="BB37" i="2" l="1"/>
  <c r="BE37" i="2"/>
  <c r="BB9" i="95"/>
  <c r="AE47" i="2" s="1"/>
  <c r="CR9" i="95"/>
  <c r="BK9" i="95"/>
  <c r="AI47" i="2" s="1"/>
  <c r="CP8" i="95"/>
  <c r="CO8" i="95"/>
  <c r="CQ8" i="95"/>
  <c r="BT9" i="95"/>
  <c r="BT8" i="95"/>
  <c r="BK8" i="95" l="1"/>
  <c r="Z47" i="2" s="1"/>
  <c r="BQ9" i="95"/>
  <c r="BN9" i="95" s="1"/>
  <c r="BB8" i="95"/>
  <c r="CR8" i="95"/>
  <c r="BB36" i="2"/>
  <c r="BE36" i="2"/>
  <c r="BC36" i="2"/>
  <c r="BQ8" i="95" l="1"/>
  <c r="BN8" i="95" s="1"/>
  <c r="V47" i="2"/>
  <c r="BE35" i="2" s="1"/>
  <c r="BB35" i="2" l="1"/>
  <c r="BC35" i="2"/>
  <c r="AO47" i="109"/>
  <c r="I3" i="1"/>
  <c r="AI30" i="59" s="1"/>
  <c r="AI38" i="59" s="1"/>
  <c r="AI77" i="59" s="1"/>
  <c r="AI82" i="59" s="1"/>
  <c r="C76" i="1" l="1"/>
  <c r="AL51" i="2" s="1"/>
  <c r="AL60" i="2" s="1"/>
  <c r="I72" i="15" l="1"/>
  <c r="I84" i="15" s="1"/>
  <c r="G90" i="15" s="1"/>
  <c r="L97" i="15" l="1"/>
  <c r="Q97" i="15"/>
  <c r="M25" i="40"/>
  <c r="I25" i="40" s="1"/>
  <c r="I27" i="40" s="1"/>
  <c r="L15" i="14" l="1"/>
  <c r="L17" i="14" s="1"/>
  <c r="J24" i="67"/>
  <c r="J65" i="67" s="1"/>
  <c r="J66" i="67" s="1"/>
  <c r="L100" i="15"/>
  <c r="AC74" i="78" s="1"/>
  <c r="K74" i="78" l="1"/>
  <c r="J79" i="67"/>
  <c r="J81" i="67" s="1"/>
  <c r="J83" i="67" s="1"/>
  <c r="N37" i="65" s="1"/>
  <c r="AS62" i="102" l="1"/>
  <c r="R24" i="14"/>
  <c r="AU65" i="102"/>
  <c r="Q5" i="14"/>
  <c r="G25" i="15"/>
  <c r="AA52" i="86"/>
  <c r="B84" i="86" s="1"/>
  <c r="AO28" i="102"/>
  <c r="M29" i="40"/>
  <c r="I29" i="40" s="1"/>
  <c r="AA49" i="86"/>
  <c r="B54" i="86" s="1"/>
  <c r="B91" i="86" l="1"/>
  <c r="B115" i="86"/>
  <c r="O115" i="86" s="1"/>
  <c r="B80" i="86"/>
  <c r="Y79" i="86" s="1"/>
  <c r="AL28" i="102"/>
  <c r="AO32" i="102"/>
  <c r="AL30" i="102"/>
  <c r="AL29" i="102"/>
  <c r="AE39" i="102" l="1"/>
  <c r="AU89" i="102" s="1"/>
  <c r="X34" i="102"/>
  <c r="X33" i="102"/>
  <c r="AE32" i="102"/>
  <c r="O114" i="86"/>
  <c r="Y91" i="86"/>
  <c r="B93" i="86"/>
  <c r="Y98" i="86" s="1"/>
  <c r="AT12" i="102"/>
  <c r="AT22" i="102"/>
  <c r="AU9" i="102" l="1"/>
  <c r="AU35" i="102" s="1"/>
  <c r="AO35" i="102" s="1"/>
  <c r="X37" i="102" l="1"/>
  <c r="AE38" i="102"/>
  <c r="AM37" i="109"/>
  <c r="AE43" i="102" l="1"/>
  <c r="AT51" i="102"/>
  <c r="P29" i="3"/>
  <c r="R28" i="3"/>
  <c r="AD83" i="109"/>
  <c r="AD85" i="109" s="1"/>
  <c r="AJ85" i="109" s="1"/>
  <c r="AD88" i="109" l="1"/>
  <c r="AD89" i="109" s="1"/>
  <c r="AD87" i="109"/>
  <c r="AO70" i="102"/>
  <c r="AO71" i="102" s="1"/>
  <c r="AU88" i="102"/>
  <c r="AE93" i="102" l="1"/>
  <c r="AF76" i="102"/>
  <c r="AF79" i="102"/>
  <c r="AA77" i="102"/>
  <c r="V76" i="102"/>
  <c r="V75" i="102"/>
  <c r="AA78" i="102"/>
  <c r="AF81" i="102"/>
  <c r="AA76" i="102"/>
  <c r="AA81" i="102"/>
  <c r="AA79" i="102"/>
  <c r="V78" i="102"/>
  <c r="AF78" i="102"/>
  <c r="AF77" i="102"/>
  <c r="AA75" i="102"/>
  <c r="AF75" i="102"/>
  <c r="R81" i="102"/>
  <c r="V77" i="102"/>
  <c r="V79" i="102"/>
  <c r="BS7" i="95" l="1"/>
  <c r="BV7" i="95"/>
  <c r="BV3" i="95" s="1"/>
  <c r="M1" i="95" s="1"/>
  <c r="L36" i="2"/>
  <c r="BU7" i="95"/>
  <c r="CQ7" i="95" s="1"/>
  <c r="CO7" i="95" l="1"/>
  <c r="CQ11" i="95"/>
  <c r="CP7" i="95"/>
  <c r="BK7" i="95" s="1"/>
  <c r="BW7" i="95"/>
  <c r="BT7" i="95"/>
  <c r="BB7" i="95" l="1"/>
  <c r="CM3" i="95" s="1"/>
  <c r="CR7" i="95"/>
  <c r="CO11" i="95"/>
  <c r="CO33" i="95" s="1"/>
  <c r="CQ33" i="95"/>
  <c r="BF43" i="95" s="1"/>
  <c r="Q47" i="2"/>
  <c r="CP11" i="95"/>
  <c r="CP33" i="95" s="1"/>
  <c r="BF38" i="95" s="1"/>
  <c r="AE23" i="76" l="1"/>
  <c r="M47" i="2"/>
  <c r="BB34" i="2" s="1"/>
  <c r="BF37" i="95"/>
  <c r="BQ7" i="95"/>
  <c r="BN7" i="95" s="1"/>
  <c r="BE34" i="2" l="1"/>
  <c r="BC34" i="2"/>
  <c r="BD35" i="2" s="1"/>
  <c r="C114" i="76"/>
  <c r="BK39" i="95"/>
  <c r="AW47" i="2" s="1"/>
  <c r="CR11" i="95"/>
  <c r="CR33" i="95" s="1"/>
  <c r="BF48" i="95" s="1"/>
  <c r="BK45" i="95" l="1"/>
  <c r="AW48" i="2" s="1"/>
  <c r="AZ41" i="2" s="1"/>
  <c r="AE17" i="58" s="1"/>
  <c r="BF51" i="95"/>
  <c r="BF52" i="95" s="1"/>
  <c r="AE20" i="76"/>
  <c r="AL26" i="76"/>
  <c r="AM34" i="58" l="1"/>
  <c r="AM35" i="58"/>
  <c r="AM32" i="58"/>
  <c r="AE25" i="58" s="1"/>
  <c r="AU54" i="58" s="1"/>
  <c r="AV55" i="58" s="1"/>
  <c r="AM33" i="58"/>
  <c r="AL21" i="76"/>
  <c r="D41" i="2"/>
  <c r="D10" i="95"/>
  <c r="Q45" i="58" l="1"/>
  <c r="V45" i="58" s="1"/>
  <c r="AA45" i="58" s="1"/>
  <c r="AE63" i="58" s="1"/>
  <c r="AL27" i="76"/>
  <c r="AS114" i="76"/>
  <c r="C107" i="76"/>
  <c r="AE67" i="58" l="1"/>
  <c r="AE70" i="58" s="1"/>
  <c r="AK202" i="76"/>
  <c r="AK204" i="76"/>
  <c r="AS107" i="76"/>
  <c r="AK208" i="76"/>
  <c r="AK223" i="76"/>
  <c r="Q225" i="76"/>
  <c r="Q223" i="76"/>
  <c r="W274" i="105"/>
  <c r="AK116" i="76"/>
  <c r="AL136" i="76"/>
  <c r="J142" i="76" s="1"/>
  <c r="Q224" i="76"/>
  <c r="AK200" i="76"/>
  <c r="H120" i="60"/>
  <c r="B120" i="60"/>
  <c r="AE71" i="58" l="1"/>
  <c r="AE72" i="58" s="1"/>
  <c r="Z12" i="79" s="1"/>
  <c r="AE68" i="58"/>
  <c r="AC37" i="80" s="1"/>
  <c r="G152" i="76"/>
  <c r="AK140" i="76"/>
  <c r="G155" i="76"/>
  <c r="AE150" i="76" s="1"/>
  <c r="G162" i="76"/>
  <c r="C162" i="76" s="1"/>
  <c r="AE147" i="76"/>
  <c r="G167" i="76"/>
  <c r="C167" i="76" s="1"/>
  <c r="AK142" i="76"/>
  <c r="AC51" i="80" l="1"/>
  <c r="AF122" i="2" s="1"/>
  <c r="AO12" i="79"/>
  <c r="AO33" i="79" s="1"/>
  <c r="AD33" i="79" s="1"/>
  <c r="M61" i="33" s="1"/>
  <c r="AK158" i="76"/>
  <c r="AQ141" i="108" l="1"/>
  <c r="C163" i="76"/>
  <c r="C168" i="76"/>
  <c r="G210" i="76" l="1"/>
  <c r="C210" i="76" s="1"/>
  <c r="G208" i="76"/>
  <c r="C208" i="76" s="1"/>
  <c r="AL170" i="76"/>
  <c r="P181" i="76" l="1"/>
  <c r="P182" i="76"/>
  <c r="P183" i="76"/>
  <c r="AL173" i="76"/>
  <c r="AE172" i="76" s="1"/>
  <c r="P184" i="76"/>
  <c r="AE182" i="76" l="1"/>
  <c r="AK186" i="76" s="1"/>
  <c r="AS175" i="76"/>
  <c r="AS173" i="76"/>
  <c r="D29" i="60" l="1"/>
  <c r="D30" i="60"/>
  <c r="AD41" i="109" l="1"/>
  <c r="AD38" i="109" l="1"/>
  <c r="AD39" i="109" s="1"/>
  <c r="AD56" i="109" l="1"/>
  <c r="AD58" i="109" s="1"/>
  <c r="AJ58" i="109" s="1"/>
  <c r="AD60" i="109" s="1"/>
  <c r="AD61" i="109" s="1"/>
  <c r="AD62" i="109" s="1"/>
  <c r="C8" i="98" l="1"/>
  <c r="C6" i="98" l="1"/>
  <c r="L55" i="98" l="1"/>
  <c r="J37" i="98"/>
  <c r="Y90" i="98"/>
  <c r="D38" i="98"/>
  <c r="C10" i="98"/>
  <c r="D35" i="98"/>
  <c r="L44" i="98"/>
  <c r="J33" i="98"/>
  <c r="J40" i="98" l="1"/>
  <c r="AR122" i="74" l="1"/>
  <c r="AR28" i="74" s="1"/>
  <c r="W182" i="105" l="1"/>
  <c r="W183" i="105" s="1"/>
  <c r="AD184" i="105" s="1"/>
  <c r="AO184" i="105" l="1"/>
  <c r="AO212" i="105" l="1"/>
  <c r="W212" i="105" l="1"/>
  <c r="AD213" i="105" s="1"/>
  <c r="AO213" i="105" s="1"/>
  <c r="AO236" i="105" s="1"/>
  <c r="AO240" i="105" l="1"/>
  <c r="AO238" i="105"/>
  <c r="AD63" i="105"/>
  <c r="AD65" i="105" s="1"/>
  <c r="AC15" i="80" l="1"/>
  <c r="W67" i="105"/>
  <c r="AL15" i="80" l="1"/>
  <c r="Q222" i="76"/>
  <c r="W220" i="105" l="1"/>
  <c r="W234" i="105" s="1"/>
  <c r="AD235" i="105" l="1"/>
  <c r="AD236" i="105" s="1"/>
  <c r="AE318" i="105" l="1"/>
  <c r="AO318" i="105" s="1"/>
  <c r="AE296" i="105"/>
  <c r="AE321" i="105" s="1"/>
  <c r="AO321" i="105" s="1"/>
  <c r="AD238" i="105" l="1"/>
  <c r="AD240" i="105" s="1"/>
  <c r="AE98" i="76" s="1"/>
  <c r="AE267" i="105" l="1"/>
  <c r="AC16" i="80"/>
  <c r="AT18" i="102" l="1"/>
  <c r="AE285" i="105"/>
  <c r="AE288" i="105"/>
  <c r="AJ71" i="78"/>
  <c r="N36" i="65"/>
  <c r="L18" i="14" l="1"/>
  <c r="AC100" i="78"/>
  <c r="AL78" i="2" s="1"/>
  <c r="D23" i="14" l="1"/>
  <c r="D21" i="14"/>
  <c r="L47" i="14" l="1"/>
  <c r="L29" i="14"/>
  <c r="AI108" i="3"/>
  <c r="AI120" i="3" s="1"/>
  <c r="AI124" i="3" s="1"/>
  <c r="L23" i="14"/>
  <c r="D35" i="14" l="1"/>
  <c r="X126" i="3"/>
  <c r="X128" i="3"/>
  <c r="AG128" i="3"/>
  <c r="AG130" i="3" s="1"/>
  <c r="AG132" i="3" s="1"/>
  <c r="AI134" i="3" s="1"/>
  <c r="AI135" i="3" s="1"/>
  <c r="AI137" i="3" s="1"/>
  <c r="D38" i="14"/>
  <c r="L38" i="14" l="1"/>
  <c r="L40" i="14"/>
  <c r="L41" i="14" l="1"/>
  <c r="L45" i="14" s="1"/>
  <c r="L42" i="14"/>
  <c r="L43" i="14" s="1"/>
  <c r="L44" i="14" s="1"/>
  <c r="L46" i="14" s="1"/>
  <c r="L49" i="14" l="1"/>
  <c r="AL71" i="2" s="1"/>
  <c r="T102" i="86" l="1"/>
  <c r="T109" i="86" s="1"/>
  <c r="AU42" i="58"/>
  <c r="AL77" i="2"/>
  <c r="AL79" i="2" l="1"/>
  <c r="AM34" i="82" s="1"/>
  <c r="O111" i="86" l="1"/>
  <c r="O117" i="86" s="1"/>
  <c r="T118" i="86" s="1"/>
  <c r="Y119" i="86" s="1"/>
  <c r="V12" i="99"/>
  <c r="AB151" i="3"/>
  <c r="AA151" i="3"/>
  <c r="E36" i="51"/>
  <c r="AL14" i="76"/>
  <c r="AL19" i="76" s="1"/>
  <c r="AL32" i="76" s="1"/>
  <c r="AS52" i="96"/>
  <c r="AC63" i="53"/>
  <c r="AC76" i="53" s="1"/>
  <c r="B18" i="60"/>
  <c r="M19" i="60" s="1"/>
  <c r="AL82" i="2"/>
  <c r="AN344" i="60"/>
  <c r="AN345" i="60" s="1"/>
  <c r="AN347" i="60" s="1"/>
  <c r="AS184" i="96"/>
  <c r="B9" i="60"/>
  <c r="M10" i="60" s="1"/>
  <c r="B15" i="60"/>
  <c r="M16" i="60" s="1"/>
  <c r="AS52" i="84"/>
  <c r="AC151" i="3"/>
  <c r="AS184" i="84"/>
  <c r="B12" i="60"/>
  <c r="M13" i="60" s="1"/>
  <c r="AV25" i="58"/>
  <c r="AV45" i="58" s="1"/>
  <c r="X19" i="58" s="1"/>
  <c r="AE22" i="58" s="1"/>
  <c r="AV53" i="58" s="1"/>
  <c r="AV56" i="58" s="1"/>
  <c r="AV67" i="58" s="1"/>
  <c r="AE26" i="58" s="1"/>
  <c r="AG151" i="3" l="1"/>
  <c r="Y120" i="86"/>
  <c r="Y121" i="86"/>
  <c r="AC16" i="99"/>
  <c r="Y20" i="99" s="1"/>
  <c r="Y24" i="99" s="1"/>
  <c r="Y25" i="99" s="1"/>
  <c r="AL12" i="99"/>
  <c r="AI16" i="99"/>
  <c r="AE20" i="99" s="1"/>
  <c r="AE24" i="99" s="1"/>
  <c r="AE25" i="99" s="1"/>
  <c r="AL11" i="99"/>
  <c r="AV19" i="76"/>
  <c r="AL34" i="76"/>
  <c r="AL35" i="76" s="1"/>
  <c r="AV53" i="96"/>
  <c r="AV52" i="96"/>
  <c r="V52" i="96"/>
  <c r="AD52" i="96"/>
  <c r="AJ52" i="96"/>
  <c r="Q2" i="53"/>
  <c r="D3" i="53"/>
  <c r="T20" i="3"/>
  <c r="M14" i="33"/>
  <c r="AJ10" i="109"/>
  <c r="AS346" i="60"/>
  <c r="AU346" i="60"/>
  <c r="AT346" i="60"/>
  <c r="AP346" i="60"/>
  <c r="AQ346" i="60"/>
  <c r="AV346" i="60"/>
  <c r="AR346" i="60"/>
  <c r="AO346" i="60"/>
  <c r="AJ184" i="96"/>
  <c r="AD184" i="96"/>
  <c r="V184" i="96"/>
  <c r="AV185" i="96"/>
  <c r="AV184" i="96"/>
  <c r="A21" i="60"/>
  <c r="H21" i="60"/>
  <c r="G21" i="60" s="1"/>
  <c r="AJ52" i="84"/>
  <c r="AV52" i="84"/>
  <c r="V52" i="84"/>
  <c r="AV53" i="84"/>
  <c r="AD52" i="84"/>
  <c r="AD184" i="84"/>
  <c r="AV184" i="84"/>
  <c r="V184" i="84"/>
  <c r="AJ184" i="84"/>
  <c r="AV185" i="84"/>
  <c r="BA56" i="58"/>
  <c r="BB56" i="58" s="1"/>
  <c r="AE28" i="58" s="1"/>
  <c r="M30" i="58" s="1"/>
  <c r="AE30" i="58" s="1"/>
  <c r="AR78" i="58"/>
  <c r="AS78" i="58"/>
  <c r="AV348" i="60" l="1"/>
  <c r="AT348" i="60"/>
  <c r="AR348" i="60"/>
  <c r="P55" i="3"/>
  <c r="P53" i="3"/>
  <c r="P54" i="3"/>
  <c r="P51" i="3"/>
  <c r="R55" i="3"/>
  <c r="P52" i="3"/>
  <c r="AL36" i="76"/>
  <c r="AS36" i="76"/>
  <c r="AU101" i="2"/>
  <c r="Q3" i="53"/>
  <c r="U10" i="53"/>
  <c r="U8" i="53"/>
  <c r="U9" i="53"/>
  <c r="L3" i="53"/>
  <c r="N29" i="3"/>
  <c r="P33" i="3" s="1"/>
  <c r="AD11" i="109"/>
  <c r="AD12" i="109" s="1"/>
  <c r="AJ103" i="109"/>
  <c r="X13" i="109"/>
  <c r="X14" i="109"/>
  <c r="B21" i="60"/>
  <c r="A28" i="60"/>
  <c r="Y122" i="86"/>
  <c r="AE26" i="99"/>
  <c r="AB26" i="99" s="1"/>
  <c r="AP348" i="60"/>
  <c r="AN348" i="60" s="1"/>
  <c r="P63" i="3" l="1"/>
  <c r="R9" i="3" s="1"/>
  <c r="AD16" i="109"/>
  <c r="AD17" i="109" s="1"/>
  <c r="AV36" i="76"/>
  <c r="C39" i="76"/>
  <c r="AL40" i="76" s="1"/>
  <c r="AL41" i="76" s="1"/>
  <c r="C37" i="76"/>
  <c r="L57" i="53"/>
  <c r="N58" i="53" s="1"/>
  <c r="N60" i="53" s="1"/>
  <c r="L43" i="53"/>
  <c r="L23" i="53"/>
  <c r="N28" i="53" s="1"/>
  <c r="L19" i="53"/>
  <c r="N22" i="53" s="1"/>
  <c r="N17" i="53"/>
  <c r="N15" i="53"/>
  <c r="N16" i="53"/>
  <c r="L44" i="53"/>
  <c r="G28" i="60"/>
  <c r="A34" i="60"/>
  <c r="B28" i="60"/>
  <c r="X27" i="99"/>
  <c r="Z41" i="53" l="1"/>
  <c r="Z44" i="53"/>
  <c r="Z45" i="53"/>
  <c r="N70" i="3"/>
  <c r="U15" i="33"/>
  <c r="AC17" i="33" s="1"/>
  <c r="P73" i="3"/>
  <c r="U11" i="33"/>
  <c r="AC11" i="33" s="1"/>
  <c r="Z40" i="53"/>
  <c r="BJ65" i="2"/>
  <c r="BK65" i="2" s="1"/>
  <c r="P70" i="3"/>
  <c r="P72" i="3"/>
  <c r="P71" i="3"/>
  <c r="AD40" i="109"/>
  <c r="AD42" i="109" s="1"/>
  <c r="AJ42" i="109" s="1"/>
  <c r="AD93" i="109"/>
  <c r="AD95" i="109" s="1"/>
  <c r="AJ95" i="109" s="1"/>
  <c r="AD96" i="109" s="1"/>
  <c r="AD97" i="109" s="1"/>
  <c r="L45" i="53"/>
  <c r="N31" i="53"/>
  <c r="B34" i="60"/>
  <c r="M34" i="60"/>
  <c r="W29" i="99"/>
  <c r="AI35" i="99" s="1"/>
  <c r="P29" i="99"/>
  <c r="L29" i="99"/>
  <c r="A41" i="60"/>
  <c r="AL99" i="2"/>
  <c r="AL52" i="76"/>
  <c r="AR125" i="74"/>
  <c r="AR31" i="74" s="1"/>
  <c r="AR121" i="74"/>
  <c r="AR27" i="74" s="1"/>
  <c r="D61" i="3" l="1"/>
  <c r="AD99" i="109"/>
  <c r="AD101" i="109"/>
  <c r="AA44" i="99"/>
  <c r="AI36" i="99"/>
  <c r="AD45" i="109"/>
  <c r="AD46" i="109" s="1"/>
  <c r="AD44" i="109"/>
  <c r="Z47" i="53"/>
  <c r="Z48" i="53" s="1"/>
  <c r="AU91" i="2"/>
  <c r="P10" i="33" s="1"/>
  <c r="R69" i="3"/>
  <c r="P64" i="3" s="1"/>
  <c r="BI75" i="2"/>
  <c r="H34" i="60"/>
  <c r="A120" i="60"/>
  <c r="H39" i="60"/>
  <c r="A39" i="60" s="1"/>
  <c r="E48" i="60"/>
  <c r="AE273" i="105"/>
  <c r="AQ142" i="108"/>
  <c r="AQ52" i="76"/>
  <c r="AS51" i="76"/>
  <c r="Z49" i="53" l="1"/>
  <c r="Z53" i="53"/>
  <c r="L34" i="53"/>
  <c r="N36" i="53" s="1"/>
  <c r="N38" i="53" s="1"/>
  <c r="N41" i="53" s="1"/>
  <c r="N46" i="53" s="1"/>
  <c r="N48" i="53" s="1"/>
  <c r="BJ70" i="2"/>
  <c r="AL91" i="2"/>
  <c r="AM35" i="82" s="1"/>
  <c r="AD102" i="109"/>
  <c r="AE45" i="99"/>
  <c r="AD105" i="109"/>
  <c r="AL93" i="2" s="1"/>
  <c r="AM36" i="82" s="1"/>
  <c r="E51" i="60"/>
  <c r="E49" i="60"/>
  <c r="E50" i="60"/>
  <c r="AW121" i="2"/>
  <c r="AB53" i="76"/>
  <c r="AL53" i="76" s="1"/>
  <c r="O120" i="60"/>
  <c r="K164" i="60" s="1"/>
  <c r="A172" i="60" s="1"/>
  <c r="A125" i="60"/>
  <c r="L50" i="53" l="1"/>
  <c r="AL8" i="82"/>
  <c r="AL9" i="82" s="1"/>
  <c r="AL30" i="82" s="1"/>
  <c r="W30" i="82" s="1"/>
  <c r="AL34" i="82" s="1"/>
  <c r="W34" i="82" s="1"/>
  <c r="AL11" i="82" s="1"/>
  <c r="AM37" i="82"/>
  <c r="AB348" i="74"/>
  <c r="AB106" i="74"/>
  <c r="BG235" i="74"/>
  <c r="BG108" i="74"/>
  <c r="BG360" i="74"/>
  <c r="AB227" i="74"/>
  <c r="M12" i="33"/>
  <c r="AD47" i="79"/>
  <c r="U38" i="68" s="1"/>
  <c r="S48" i="53"/>
  <c r="S47" i="53"/>
  <c r="S49" i="53"/>
  <c r="S50" i="53"/>
  <c r="S46" i="53"/>
  <c r="AL119" i="2"/>
  <c r="AL121" i="2"/>
  <c r="AL120" i="2"/>
  <c r="L176" i="60"/>
  <c r="M176" i="60"/>
  <c r="N125" i="60"/>
  <c r="B125" i="60"/>
  <c r="E53" i="60"/>
  <c r="AT51" i="76"/>
  <c r="AL84" i="76"/>
  <c r="AL85" i="76" s="1"/>
  <c r="AF119" i="2" s="1"/>
  <c r="AO47" i="79" l="1"/>
  <c r="AO53" i="79" s="1"/>
  <c r="AD91" i="79" s="1"/>
  <c r="AL103" i="2" s="1"/>
  <c r="U39" i="68"/>
  <c r="AL35" i="82"/>
  <c r="AL10" i="82"/>
  <c r="AD46" i="82"/>
  <c r="AD44" i="82"/>
  <c r="AC28" i="82"/>
  <c r="B172" i="60"/>
  <c r="G172" i="60"/>
  <c r="N132" i="60"/>
  <c r="A132" i="60"/>
  <c r="N139" i="60" s="1"/>
  <c r="B139" i="60" s="1"/>
  <c r="H125" i="60"/>
  <c r="B60" i="60"/>
  <c r="A60" i="60" s="1"/>
  <c r="H60" i="60"/>
  <c r="N60" i="60" s="1"/>
  <c r="N81" i="60" s="1"/>
  <c r="AL54" i="76"/>
  <c r="AV54" i="76"/>
  <c r="AG55" i="76" s="1"/>
  <c r="AC35" i="82" l="1"/>
  <c r="AL36" i="82" s="1"/>
  <c r="AC36" i="82" s="1"/>
  <c r="AJ10" i="82"/>
  <c r="AJ9" i="82"/>
  <c r="A185" i="60"/>
  <c r="A199" i="60" s="1"/>
  <c r="H172" i="60"/>
  <c r="H132" i="60"/>
  <c r="A139" i="60"/>
  <c r="B132" i="60"/>
  <c r="N66" i="60"/>
  <c r="N65" i="60"/>
  <c r="J67" i="60"/>
  <c r="N64" i="60"/>
  <c r="N63" i="60"/>
  <c r="B67" i="76"/>
  <c r="B65" i="76" s="1"/>
  <c r="AQ54" i="76"/>
  <c r="AE57" i="76"/>
  <c r="X58" i="76"/>
  <c r="AL63" i="76"/>
  <c r="AL56" i="76"/>
  <c r="AE62" i="76"/>
  <c r="D67" i="76"/>
  <c r="D65" i="76"/>
  <c r="D60" i="76"/>
  <c r="D62" i="76"/>
  <c r="AS48" i="76"/>
  <c r="AL37" i="82" l="1"/>
  <c r="W37" i="82" s="1"/>
  <c r="B185" i="60"/>
  <c r="G185" i="60"/>
  <c r="H185" i="60" s="1"/>
  <c r="B199" i="60"/>
  <c r="A206" i="60"/>
  <c r="N147" i="60"/>
  <c r="B147" i="60" s="1"/>
  <c r="A147" i="60"/>
  <c r="AG68" i="76"/>
  <c r="AD68" i="76"/>
  <c r="AD66" i="76"/>
  <c r="AG66" i="76"/>
  <c r="W39" i="82" l="1"/>
  <c r="G206" i="60"/>
  <c r="B206" i="60"/>
  <c r="N157" i="60"/>
  <c r="A157" i="60"/>
  <c r="B157" i="60" s="1"/>
  <c r="AL70" i="76"/>
  <c r="AL41" i="82" l="1"/>
  <c r="AL40" i="82"/>
  <c r="W40" i="82" s="1"/>
  <c r="AC41" i="82" s="1"/>
  <c r="AC43" i="82" s="1"/>
  <c r="AL92" i="2" s="1"/>
  <c r="AL94" i="2" s="1"/>
  <c r="A216" i="60"/>
  <c r="G216" i="60" s="1"/>
  <c r="H206" i="60"/>
  <c r="H157" i="60"/>
  <c r="AO1" i="60" s="1"/>
  <c r="AE75" i="76"/>
  <c r="AE73" i="76"/>
  <c r="AS69" i="76"/>
  <c r="AJ92" i="2" l="1"/>
  <c r="AE19" i="33"/>
  <c r="AB347" i="74"/>
  <c r="BG107" i="74"/>
  <c r="K12" i="33"/>
  <c r="AB105" i="74"/>
  <c r="AB226" i="74"/>
  <c r="E37" i="51"/>
  <c r="BG234" i="74"/>
  <c r="AL95" i="2"/>
  <c r="AC15" i="33" s="1"/>
  <c r="BG359" i="74"/>
  <c r="AE76" i="76"/>
  <c r="A226" i="60"/>
  <c r="H216" i="60"/>
  <c r="AC19" i="33" l="1"/>
  <c r="AC24" i="33" s="1"/>
  <c r="N38" i="51"/>
  <c r="AI52" i="37"/>
  <c r="R79" i="98"/>
  <c r="E38" i="51"/>
  <c r="N40" i="51"/>
  <c r="N39" i="51"/>
  <c r="BI97" i="2"/>
  <c r="N36" i="51"/>
  <c r="G226" i="60"/>
  <c r="B226" i="60"/>
  <c r="E46" i="51" l="1"/>
  <c r="U35" i="33"/>
  <c r="U33" i="33"/>
  <c r="R3" i="98"/>
  <c r="C3" i="98" s="1"/>
  <c r="N92" i="98"/>
  <c r="J78" i="98"/>
  <c r="N87" i="98"/>
  <c r="U84" i="98" s="1"/>
  <c r="N82" i="98"/>
  <c r="N102" i="98"/>
  <c r="L32" i="98"/>
  <c r="L41" i="98" s="1"/>
  <c r="V90" i="98"/>
  <c r="N89" i="98"/>
  <c r="N84" i="98"/>
  <c r="N99" i="98"/>
  <c r="N95" i="98"/>
  <c r="BL97" i="2"/>
  <c r="BK97" i="2"/>
  <c r="BK98" i="2"/>
  <c r="BM98" i="2"/>
  <c r="BL98" i="2"/>
  <c r="BM97" i="2"/>
  <c r="BJ97" i="2"/>
  <c r="BJ98" i="2"/>
  <c r="U69" i="37"/>
  <c r="AC62" i="37"/>
  <c r="AC63" i="37" s="1"/>
  <c r="A235" i="60"/>
  <c r="G235" i="60" s="1"/>
  <c r="H226" i="60"/>
  <c r="BI100" i="2" l="1"/>
  <c r="AC35" i="33"/>
  <c r="AC39" i="33"/>
  <c r="BI99" i="2"/>
  <c r="BM100" i="2" s="1"/>
  <c r="U57" i="98"/>
  <c r="AX96" i="74"/>
  <c r="AX224" i="74"/>
  <c r="AX349" i="74"/>
  <c r="U78" i="98"/>
  <c r="N90" i="98"/>
  <c r="V103" i="98"/>
  <c r="V94" i="98"/>
  <c r="W95" i="98"/>
  <c r="V96" i="98"/>
  <c r="V99" i="98"/>
  <c r="U64" i="98"/>
  <c r="L46" i="98"/>
  <c r="L47" i="98" s="1"/>
  <c r="L48" i="98" s="1"/>
  <c r="L49" i="98"/>
  <c r="L57" i="98"/>
  <c r="B68" i="37"/>
  <c r="B66" i="37"/>
  <c r="AC65" i="37"/>
  <c r="AU98" i="2" s="1"/>
  <c r="V85" i="98"/>
  <c r="Y85" i="98"/>
  <c r="W85" i="98"/>
  <c r="V84" i="98"/>
  <c r="X84" i="98"/>
  <c r="Y84" i="98"/>
  <c r="W84" i="98"/>
  <c r="X85" i="98"/>
  <c r="K245" i="60"/>
  <c r="H235" i="60"/>
  <c r="K239" i="60"/>
  <c r="A276" i="60"/>
  <c r="K254" i="60" l="1"/>
  <c r="K270" i="60" s="1"/>
  <c r="AN316" i="60" s="1"/>
  <c r="AN317" i="60" s="1"/>
  <c r="AN319" i="60" s="1"/>
  <c r="U44" i="33"/>
  <c r="U46" i="33"/>
  <c r="U86" i="98"/>
  <c r="U87" i="98"/>
  <c r="Y87" i="98" s="1"/>
  <c r="Y57" i="98"/>
  <c r="W57" i="98"/>
  <c r="X57" i="98"/>
  <c r="V57" i="98"/>
  <c r="W58" i="98"/>
  <c r="Y58" i="98"/>
  <c r="X58" i="98"/>
  <c r="V58" i="98"/>
  <c r="U67" i="37"/>
  <c r="O103" i="37"/>
  <c r="R103" i="37" s="1"/>
  <c r="U62" i="37"/>
  <c r="R135" i="37"/>
  <c r="R141" i="37"/>
  <c r="L92" i="37"/>
  <c r="O81" i="37"/>
  <c r="R137" i="37"/>
  <c r="L99" i="37"/>
  <c r="X116" i="98"/>
  <c r="AG71" i="37"/>
  <c r="AG128" i="37" s="1"/>
  <c r="L105" i="37"/>
  <c r="L76" i="37"/>
  <c r="O86" i="37"/>
  <c r="L85" i="37"/>
  <c r="R11" i="98"/>
  <c r="L83" i="37"/>
  <c r="L95" i="37"/>
  <c r="R134" i="37"/>
  <c r="R89" i="37"/>
  <c r="L82" i="37"/>
  <c r="L101" i="37"/>
  <c r="L106" i="37"/>
  <c r="O84" i="37"/>
  <c r="R74" i="37"/>
  <c r="L87" i="37"/>
  <c r="O102" i="37"/>
  <c r="AD132" i="37" s="1"/>
  <c r="U105" i="37"/>
  <c r="R88" i="37"/>
  <c r="L96" i="37"/>
  <c r="U65" i="37"/>
  <c r="L80" i="37"/>
  <c r="R91" i="33"/>
  <c r="R92" i="33" s="1"/>
  <c r="O94" i="37"/>
  <c r="L50" i="98"/>
  <c r="L51" i="98" s="1"/>
  <c r="L58" i="98"/>
  <c r="L59" i="98" s="1"/>
  <c r="V65" i="98"/>
  <c r="V64" i="98"/>
  <c r="X64" i="98"/>
  <c r="W64" i="98"/>
  <c r="W65" i="98"/>
  <c r="Y64" i="98"/>
  <c r="X65" i="98"/>
  <c r="Y65" i="98"/>
  <c r="AC67" i="37"/>
  <c r="X95" i="98"/>
  <c r="Z95" i="98"/>
  <c r="Z96" i="98"/>
  <c r="AA95" i="98"/>
  <c r="X96" i="98"/>
  <c r="Y95" i="98"/>
  <c r="Y96" i="98"/>
  <c r="AA96" i="98"/>
  <c r="V97" i="98"/>
  <c r="V98" i="98" s="1"/>
  <c r="W103" i="98"/>
  <c r="V78" i="98"/>
  <c r="Y79" i="98"/>
  <c r="X78" i="98"/>
  <c r="V79" i="98"/>
  <c r="Y78" i="98"/>
  <c r="W79" i="98"/>
  <c r="X79" i="98"/>
  <c r="W78" i="98"/>
  <c r="L289" i="60"/>
  <c r="L286" i="60"/>
  <c r="L283" i="60"/>
  <c r="L276" i="60"/>
  <c r="A370" i="60"/>
  <c r="AC50" i="33" l="1"/>
  <c r="AC46" i="33"/>
  <c r="AC48" i="33"/>
  <c r="AC44" i="33"/>
  <c r="U60" i="98"/>
  <c r="U59" i="98"/>
  <c r="W98" i="98"/>
  <c r="AA98" i="98" s="1"/>
  <c r="V113" i="98" s="1"/>
  <c r="U81" i="98"/>
  <c r="Y81" i="98" s="1"/>
  <c r="U67" i="98"/>
  <c r="W97" i="98"/>
  <c r="U80" i="98"/>
  <c r="L60" i="98"/>
  <c r="U66" i="98"/>
  <c r="C13" i="98"/>
  <c r="C14" i="98"/>
  <c r="C12" i="98"/>
  <c r="AE132" i="37"/>
  <c r="AF133" i="37"/>
  <c r="AG132" i="37"/>
  <c r="AF132" i="37"/>
  <c r="AE133" i="37"/>
  <c r="AH133" i="37"/>
  <c r="AG133" i="37"/>
  <c r="AH132" i="37"/>
  <c r="Z173" i="98"/>
  <c r="X173" i="98"/>
  <c r="X117" i="98"/>
  <c r="AD141" i="37"/>
  <c r="U104" i="37"/>
  <c r="AA104" i="98"/>
  <c r="X104" i="98"/>
  <c r="Y104" i="98"/>
  <c r="AA103" i="98"/>
  <c r="Z103" i="98"/>
  <c r="Z104" i="98"/>
  <c r="Y103" i="98"/>
  <c r="X103" i="98"/>
  <c r="V100" i="98"/>
  <c r="V101" i="98" s="1"/>
  <c r="V104" i="98"/>
  <c r="V105" i="98" s="1"/>
  <c r="AP318" i="60"/>
  <c r="AO318" i="60"/>
  <c r="AQ318" i="60"/>
  <c r="AR318" i="60"/>
  <c r="AS318" i="60"/>
  <c r="AT318" i="60"/>
  <c r="AU318" i="60"/>
  <c r="AV318" i="60"/>
  <c r="H276" i="60"/>
  <c r="G277" i="60" s="1"/>
  <c r="B370" i="60"/>
  <c r="O418" i="60"/>
  <c r="A395" i="60"/>
  <c r="O426" i="60"/>
  <c r="A379" i="60"/>
  <c r="O428" i="60"/>
  <c r="M292" i="60"/>
  <c r="M286" i="60"/>
  <c r="B285" i="60" s="1"/>
  <c r="M289" i="60"/>
  <c r="B288" i="60" s="1"/>
  <c r="M283" i="60"/>
  <c r="Y60" i="98" l="1"/>
  <c r="N67" i="98" s="1"/>
  <c r="U54" i="33"/>
  <c r="AC56" i="33" s="1"/>
  <c r="U56" i="33"/>
  <c r="W105" i="98"/>
  <c r="AA106" i="98" s="1"/>
  <c r="V111" i="98" s="1"/>
  <c r="Y67" i="98"/>
  <c r="N71" i="98" s="1"/>
  <c r="AP320" i="60"/>
  <c r="AN320" i="60" s="1"/>
  <c r="AV320" i="60"/>
  <c r="AT320" i="60"/>
  <c r="AR320" i="60"/>
  <c r="AD134" i="37"/>
  <c r="W106" i="98"/>
  <c r="N61" i="98"/>
  <c r="L62" i="98"/>
  <c r="L63" i="98" s="1"/>
  <c r="N64" i="98" s="1"/>
  <c r="AD135" i="37"/>
  <c r="AH135" i="37" s="1"/>
  <c r="V106" i="98"/>
  <c r="V108" i="98" s="1"/>
  <c r="V109" i="98" s="1"/>
  <c r="V110" i="98" s="1"/>
  <c r="U120" i="37"/>
  <c r="U119" i="37"/>
  <c r="O131" i="37" s="1"/>
  <c r="L111" i="37"/>
  <c r="O107" i="37"/>
  <c r="R117" i="37"/>
  <c r="O116" i="37"/>
  <c r="L114" i="37"/>
  <c r="L113" i="37"/>
  <c r="L118" i="37"/>
  <c r="L115" i="37"/>
  <c r="AE142" i="37"/>
  <c r="AH141" i="37"/>
  <c r="AH142" i="37"/>
  <c r="AG142" i="37"/>
  <c r="AE141" i="37"/>
  <c r="AG141" i="37"/>
  <c r="AF142" i="37"/>
  <c r="AF141" i="37"/>
  <c r="X132" i="98"/>
  <c r="Y139" i="98" s="1"/>
  <c r="X135" i="98"/>
  <c r="X134" i="98"/>
  <c r="U169" i="98"/>
  <c r="X130" i="98"/>
  <c r="O401" i="60"/>
  <c r="O407" i="60"/>
  <c r="O404" i="60"/>
  <c r="O383" i="60"/>
  <c r="O381" i="60"/>
  <c r="M436" i="60"/>
  <c r="M445" i="60"/>
  <c r="M442" i="60"/>
  <c r="M439" i="60"/>
  <c r="A430" i="60"/>
  <c r="A431" i="60" s="1"/>
  <c r="L292" i="60"/>
  <c r="B291" i="60"/>
  <c r="A294" i="60"/>
  <c r="M294" i="60"/>
  <c r="H294" i="60" s="1"/>
  <c r="B282" i="60"/>
  <c r="O389" i="60"/>
  <c r="O387" i="60"/>
  <c r="AD143" i="37" l="1"/>
  <c r="AD144" i="37"/>
  <c r="AH144" i="37" s="1"/>
  <c r="N68" i="98"/>
  <c r="AX97" i="74" s="1"/>
  <c r="AX98" i="74" s="1"/>
  <c r="BG109" i="74" s="1"/>
  <c r="BG122" i="74" s="1"/>
  <c r="AB107" i="74" s="1"/>
  <c r="AL110" i="74" s="1"/>
  <c r="V107" i="98"/>
  <c r="V112" i="98" s="1"/>
  <c r="V114" i="98" s="1"/>
  <c r="X139" i="98"/>
  <c r="X142" i="98"/>
  <c r="X143" i="98" s="1"/>
  <c r="J125" i="37"/>
  <c r="O130" i="37"/>
  <c r="O120" i="37"/>
  <c r="R132" i="37"/>
  <c r="O127" i="37"/>
  <c r="L123" i="37"/>
  <c r="U123" i="37"/>
  <c r="L126" i="37"/>
  <c r="J124" i="37"/>
  <c r="R128" i="37"/>
  <c r="R121" i="37"/>
  <c r="U130" i="37"/>
  <c r="Y169" i="98"/>
  <c r="W169" i="98"/>
  <c r="X170" i="98"/>
  <c r="V170" i="98"/>
  <c r="Y170" i="98"/>
  <c r="W170" i="98"/>
  <c r="V169" i="98"/>
  <c r="X169" i="98"/>
  <c r="X136" i="98"/>
  <c r="X137" i="98" s="1"/>
  <c r="X133" i="98"/>
  <c r="X138" i="98" s="1"/>
  <c r="X140" i="98" s="1"/>
  <c r="O385" i="60"/>
  <c r="A447" i="60"/>
  <c r="M455" i="60" s="1"/>
  <c r="AN456" i="60" s="1"/>
  <c r="AN457" i="60" s="1"/>
  <c r="AN459" i="60" s="1"/>
  <c r="A450" i="60"/>
  <c r="B450" i="60" s="1"/>
  <c r="B435" i="60"/>
  <c r="B438" i="60"/>
  <c r="B441" i="60"/>
  <c r="B444" i="60"/>
  <c r="B294" i="60"/>
  <c r="A302" i="60"/>
  <c r="M302" i="60" s="1"/>
  <c r="N75" i="98" l="1"/>
  <c r="AL96" i="2" s="1"/>
  <c r="U171" i="98"/>
  <c r="U172" i="98"/>
  <c r="Y172" i="98" s="1"/>
  <c r="X167" i="98" s="1"/>
  <c r="AX350" i="74"/>
  <c r="AX351" i="74" s="1"/>
  <c r="BG361" i="74" s="1"/>
  <c r="AX225" i="74"/>
  <c r="AX226" i="74" s="1"/>
  <c r="BG236" i="74" s="1"/>
  <c r="AL112" i="74"/>
  <c r="AL115" i="74" s="1"/>
  <c r="X141" i="98"/>
  <c r="U162" i="98"/>
  <c r="X144" i="98"/>
  <c r="X145" i="98" s="1"/>
  <c r="X146" i="98" s="1"/>
  <c r="Y82" i="98"/>
  <c r="AA115" i="98"/>
  <c r="B471" i="60"/>
  <c r="M465" i="60"/>
  <c r="AO458" i="60"/>
  <c r="AT458" i="60"/>
  <c r="AU458" i="60"/>
  <c r="AP458" i="60"/>
  <c r="AR458" i="60"/>
  <c r="AV458" i="60"/>
  <c r="AQ458" i="60"/>
  <c r="AS458" i="60"/>
  <c r="A310" i="60"/>
  <c r="H302" i="60"/>
  <c r="AP1" i="60" s="1"/>
  <c r="B447" i="60"/>
  <c r="O458" i="60"/>
  <c r="O462" i="60" s="1"/>
  <c r="AC60" i="33" l="1"/>
  <c r="U65" i="33" s="1"/>
  <c r="P1" i="33" s="1"/>
  <c r="M59" i="33"/>
  <c r="AQ140" i="108"/>
  <c r="U67" i="33"/>
  <c r="AT460" i="60"/>
  <c r="AV460" i="60"/>
  <c r="AP460" i="60"/>
  <c r="AN460" i="60" s="1"/>
  <c r="AR460" i="60"/>
  <c r="AL117" i="74"/>
  <c r="AL118" i="74"/>
  <c r="V163" i="98"/>
  <c r="X162" i="98"/>
  <c r="Y163" i="98"/>
  <c r="V162" i="98"/>
  <c r="X163" i="98"/>
  <c r="Y162" i="98"/>
  <c r="W163" i="98"/>
  <c r="W162" i="98"/>
  <c r="X148" i="98"/>
  <c r="Y148" i="98" s="1"/>
  <c r="X147" i="98"/>
  <c r="A469" i="60"/>
  <c r="AN484" i="60"/>
  <c r="AN485" i="60" s="1"/>
  <c r="AN487" i="60" s="1"/>
  <c r="M479" i="60"/>
  <c r="M482" i="60"/>
  <c r="B310" i="60"/>
  <c r="L316" i="60"/>
  <c r="A321" i="60" s="1"/>
  <c r="K314" i="60"/>
  <c r="K13" i="33" l="1"/>
  <c r="M15" i="33" s="1"/>
  <c r="R15" i="33" s="1"/>
  <c r="M2" i="33"/>
  <c r="P2" i="33"/>
  <c r="M17" i="33"/>
  <c r="R17" i="33" s="1"/>
  <c r="M18" i="33"/>
  <c r="M23" i="33"/>
  <c r="R23" i="33" s="1"/>
  <c r="R54" i="33"/>
  <c r="P49" i="33"/>
  <c r="U165" i="98"/>
  <c r="U164" i="98"/>
  <c r="Y165" i="98" s="1"/>
  <c r="X160" i="98" s="1"/>
  <c r="P69" i="33"/>
  <c r="P93" i="33"/>
  <c r="AO364" i="74"/>
  <c r="AR123" i="74"/>
  <c r="AR29" i="74" s="1"/>
  <c r="AL129" i="74"/>
  <c r="AO241" i="74"/>
  <c r="AO120" i="74"/>
  <c r="X159" i="98"/>
  <c r="X156" i="98"/>
  <c r="X151" i="98"/>
  <c r="X153" i="98"/>
  <c r="X149" i="98"/>
  <c r="X150" i="98" s="1"/>
  <c r="X155" i="98"/>
  <c r="X158" i="98"/>
  <c r="X154" i="98"/>
  <c r="X152" i="98"/>
  <c r="X157" i="98"/>
  <c r="B469" i="60"/>
  <c r="B481" i="60" s="1"/>
  <c r="A471" i="60"/>
  <c r="AO486" i="60"/>
  <c r="AS486" i="60"/>
  <c r="AT486" i="60"/>
  <c r="AV486" i="60"/>
  <c r="AR486" i="60"/>
  <c r="AP486" i="60"/>
  <c r="AQ486" i="60"/>
  <c r="AU486" i="60"/>
  <c r="B1" i="60"/>
  <c r="K324" i="60"/>
  <c r="N1" i="60"/>
  <c r="A1" i="60" s="1"/>
  <c r="O1" i="60"/>
  <c r="AI117" i="2" s="1"/>
  <c r="R18" i="33" l="1"/>
  <c r="M38" i="33" s="1"/>
  <c r="R39" i="33" s="1"/>
  <c r="H18" i="33"/>
  <c r="M109" i="33"/>
  <c r="P70" i="33"/>
  <c r="M94" i="33"/>
  <c r="M102" i="33"/>
  <c r="M89" i="33"/>
  <c r="M78" i="33"/>
  <c r="O118" i="33" s="1"/>
  <c r="M76" i="33"/>
  <c r="M82" i="33" s="1"/>
  <c r="P92" i="33"/>
  <c r="M95" i="33"/>
  <c r="M104" i="33" s="1"/>
  <c r="M110" i="33" s="1"/>
  <c r="M111" i="33" s="1"/>
  <c r="O111" i="33"/>
  <c r="AP488" i="60"/>
  <c r="AN488" i="60" s="1"/>
  <c r="AT488" i="60"/>
  <c r="AR488" i="60"/>
  <c r="AV488" i="60"/>
  <c r="X166" i="98"/>
  <c r="AL132" i="74"/>
  <c r="AB246" i="74"/>
  <c r="AB243" i="74"/>
  <c r="AB245" i="74"/>
  <c r="AB368" i="74"/>
  <c r="AB371" i="74"/>
  <c r="AL372" i="74"/>
  <c r="AL373" i="74" s="1"/>
  <c r="AL376" i="74" s="1"/>
  <c r="AB369" i="74"/>
  <c r="AB366" i="74"/>
  <c r="AB367" i="74"/>
  <c r="AB365" i="74"/>
  <c r="AB370" i="74"/>
  <c r="AB244" i="74"/>
  <c r="AB247" i="74"/>
  <c r="AB248" i="74"/>
  <c r="AB242" i="74"/>
  <c r="AL249" i="74"/>
  <c r="AL250" i="74" s="1"/>
  <c r="AL253" i="74" s="1"/>
  <c r="AB123" i="74"/>
  <c r="AB127" i="74"/>
  <c r="AB122" i="74"/>
  <c r="AB121" i="74"/>
  <c r="AB126" i="74"/>
  <c r="AB125" i="74"/>
  <c r="AB124" i="74"/>
  <c r="AL128" i="74"/>
  <c r="A481" i="60"/>
  <c r="A478" i="60"/>
  <c r="L482" i="60"/>
  <c r="L479" i="60"/>
  <c r="B330" i="60"/>
  <c r="A63" i="60"/>
  <c r="AN1" i="60"/>
  <c r="A330" i="60"/>
  <c r="A328" i="60"/>
  <c r="Q38" i="33" l="1"/>
  <c r="P38" i="33"/>
  <c r="M39" i="33" s="1"/>
  <c r="AC10" i="80"/>
  <c r="AC11" i="80" s="1"/>
  <c r="BB129" i="74"/>
  <c r="BB130" i="74"/>
  <c r="BB378" i="74"/>
  <c r="BB379" i="74"/>
  <c r="BB254" i="74"/>
  <c r="BB253" i="74"/>
  <c r="M337" i="60"/>
  <c r="M340" i="60"/>
  <c r="A486" i="60"/>
  <c r="B486" i="60" s="1"/>
  <c r="O489" i="60" s="1"/>
  <c r="O492" i="60" s="1"/>
  <c r="B478" i="60"/>
  <c r="A484" i="60"/>
  <c r="B339" i="60"/>
  <c r="L340" i="60" s="1"/>
  <c r="L347" i="60"/>
  <c r="B336" i="60"/>
  <c r="L337" i="60" s="1"/>
  <c r="B328" i="60"/>
  <c r="M57" i="33" l="1"/>
  <c r="AD133" i="86"/>
  <c r="AH80" i="33"/>
  <c r="M46" i="33" s="1"/>
  <c r="R46" i="33" s="1"/>
  <c r="R47" i="33" s="1"/>
  <c r="AH90" i="33"/>
  <c r="AE257" i="105"/>
  <c r="AE94" i="76"/>
  <c r="M62" i="33"/>
  <c r="M63" i="33" s="1"/>
  <c r="AE304" i="105"/>
  <c r="A342" i="60"/>
  <c r="A344" i="60"/>
  <c r="B344" i="60" s="1"/>
  <c r="O496" i="60"/>
  <c r="AA496" i="60" s="1"/>
  <c r="B484" i="60"/>
  <c r="AA88" i="33" l="1"/>
  <c r="AA84" i="33"/>
  <c r="P45" i="33"/>
  <c r="AC82" i="33"/>
  <c r="V79" i="33"/>
  <c r="M48" i="33"/>
  <c r="AC100" i="33" s="1"/>
  <c r="P47" i="33"/>
  <c r="N354" i="60"/>
  <c r="B342" i="60"/>
  <c r="AA90" i="33" l="1"/>
  <c r="AC91" i="33" s="1"/>
  <c r="AC94" i="33" s="1"/>
  <c r="M72" i="33"/>
  <c r="AC101" i="33"/>
  <c r="O506" i="60"/>
  <c r="O354" i="60"/>
  <c r="C1" i="60" s="1"/>
  <c r="M83" i="33" l="1"/>
  <c r="M84" i="33" s="1"/>
  <c r="M86" i="33" s="1"/>
  <c r="M96" i="33"/>
  <c r="M97" i="33" s="1"/>
  <c r="M124" i="33"/>
  <c r="O109" i="33"/>
  <c r="AQ38" i="99"/>
  <c r="AA104" i="33"/>
  <c r="AC107" i="33" s="1"/>
  <c r="AC102" i="33"/>
  <c r="U40" i="68"/>
  <c r="AF113" i="2"/>
  <c r="AE80" i="76" s="1"/>
  <c r="AL81" i="76" s="1"/>
  <c r="AL82" i="76" s="1"/>
  <c r="M98" i="33" l="1"/>
  <c r="M112" i="33" s="1"/>
  <c r="M113" i="33" s="1"/>
  <c r="AC108" i="33"/>
  <c r="AE121" i="33"/>
  <c r="AC121" i="33" s="1"/>
  <c r="AE122" i="33"/>
  <c r="S40" i="68"/>
  <c r="AL123" i="2"/>
  <c r="AL124" i="2" s="1"/>
  <c r="AE195" i="76"/>
  <c r="M114" i="33" l="1"/>
  <c r="O115" i="33" s="1"/>
  <c r="P115" i="33" s="1"/>
  <c r="AQ45" i="99"/>
  <c r="AE115" i="33"/>
  <c r="AE114" i="33"/>
  <c r="E40" i="51"/>
  <c r="M120" i="33" l="1"/>
  <c r="M116" i="33"/>
  <c r="M121" i="33"/>
  <c r="P118" i="33"/>
  <c r="M117" i="33"/>
  <c r="M122" i="33" s="1"/>
  <c r="M126" i="33" s="1"/>
  <c r="M53" i="33" s="1"/>
  <c r="M58" i="33" s="1"/>
  <c r="M64" i="33" s="1"/>
  <c r="R64" i="33" s="1"/>
  <c r="AD34" i="79" s="1"/>
  <c r="AD35" i="79" s="1"/>
  <c r="AL97" i="2" s="1"/>
  <c r="AL98" i="2" s="1"/>
  <c r="M119" i="33"/>
  <c r="AE60" i="33" l="1"/>
  <c r="AD132" i="86"/>
  <c r="AD135" i="86" s="1"/>
  <c r="AD136" i="86" s="1"/>
  <c r="AK91" i="76"/>
  <c r="AX50" i="90"/>
  <c r="AC114" i="33"/>
  <c r="AC122" i="33" s="1"/>
  <c r="Y123" i="86" l="1"/>
  <c r="Y125" i="86" s="1"/>
  <c r="W21" i="80" s="1"/>
  <c r="D2" i="86"/>
  <c r="AE261" i="105" l="1"/>
  <c r="AC21" i="80"/>
  <c r="AE308" i="105"/>
  <c r="AQ41" i="99" l="1"/>
  <c r="AQ44" i="99" s="1"/>
  <c r="AX52" i="90"/>
  <c r="AX53" i="90" s="1"/>
  <c r="AX54" i="90" s="1"/>
  <c r="AE99" i="76"/>
  <c r="AE46" i="99" l="1"/>
  <c r="AE48" i="99"/>
  <c r="AC14" i="80" s="1"/>
  <c r="AE97" i="76" l="1"/>
  <c r="AE104" i="76" s="1"/>
  <c r="AK106" i="76" s="1"/>
  <c r="AK119" i="76" s="1"/>
  <c r="AL34" i="80"/>
  <c r="AL14" i="80"/>
  <c r="AE265" i="105"/>
  <c r="AE312" i="105"/>
  <c r="AQ143" i="108"/>
  <c r="AC34" i="80" l="1"/>
  <c r="AL35" i="80"/>
  <c r="AC35" i="80" s="1"/>
  <c r="AL100" i="2" s="1"/>
  <c r="AL101" i="2" s="1"/>
  <c r="AL102" i="2" s="1"/>
  <c r="U37" i="68" l="1"/>
  <c r="U42" i="68" s="1"/>
  <c r="AL104" i="2"/>
  <c r="AL125" i="2" l="1"/>
  <c r="E39" i="51"/>
  <c r="E47" i="51" s="1"/>
  <c r="V43" i="68"/>
  <c r="U41" i="68"/>
  <c r="S43" i="68" l="1"/>
  <c r="U44" i="68"/>
  <c r="U45" i="68" s="1"/>
  <c r="U48" i="68" s="1"/>
  <c r="C2" i="68" s="1"/>
  <c r="G43" i="51"/>
  <c r="AL126" i="2"/>
  <c r="E41" i="51"/>
  <c r="B41" i="51" s="1"/>
  <c r="B43" i="51"/>
  <c r="G41" i="51"/>
  <c r="Z17" i="68" l="1"/>
  <c r="U46" i="68"/>
  <c r="S68" i="68" s="1"/>
  <c r="U47" i="68"/>
  <c r="AD129" i="2"/>
  <c r="AU126" i="2"/>
  <c r="W48" i="68" l="1"/>
  <c r="AE41" i="68"/>
  <c r="AU136" i="2"/>
  <c r="E44" i="51"/>
  <c r="G44" i="51"/>
  <c r="B44" i="51"/>
  <c r="T77" i="68" l="1"/>
  <c r="T83" i="68" s="1"/>
  <c r="R77" i="68"/>
  <c r="R83" i="68" s="1"/>
  <c r="W52" i="68"/>
  <c r="B52" i="68" s="1"/>
  <c r="L78" i="68"/>
  <c r="C85" i="68" s="1"/>
  <c r="P77" i="68"/>
  <c r="V77" i="68"/>
  <c r="V83" i="68" s="1"/>
  <c r="AU127" i="2"/>
  <c r="W55" i="68"/>
  <c r="B53" i="68" s="1"/>
  <c r="W51" i="68"/>
  <c r="AC54" i="68"/>
  <c r="Z179" i="68" s="1"/>
  <c r="AC42" i="68"/>
  <c r="AC46" i="68"/>
  <c r="AC50" i="68" s="1"/>
  <c r="AL129" i="2"/>
  <c r="AL127" i="2"/>
  <c r="AL128" i="2"/>
  <c r="AB81" i="68" l="1"/>
  <c r="P83" i="68"/>
  <c r="P80" i="68" s="1"/>
  <c r="V91" i="68" s="1"/>
  <c r="V93" i="68" s="1"/>
  <c r="AU131" i="2"/>
  <c r="AW127" i="2"/>
  <c r="AB83" i="68" l="1"/>
  <c r="AB84" i="68"/>
  <c r="AB82" i="68"/>
  <c r="R95" i="68"/>
  <c r="T98" i="68"/>
  <c r="T117" i="68" s="1"/>
  <c r="T122" i="68" s="1"/>
  <c r="T95" i="68"/>
  <c r="T91" i="68"/>
  <c r="T93" i="68" s="1"/>
  <c r="R91" i="68"/>
  <c r="R93" i="68" s="1"/>
  <c r="P98" i="68"/>
  <c r="P117" i="68" s="1"/>
  <c r="T101" i="68"/>
  <c r="V88" i="68" s="1"/>
  <c r="V89" i="68" s="1"/>
  <c r="R101" i="68"/>
  <c r="T88" i="68" s="1"/>
  <c r="T89" i="68" s="1"/>
  <c r="P93" i="68"/>
  <c r="P101" i="68" s="1"/>
  <c r="R88" i="68" s="1"/>
  <c r="R89" i="68" s="1"/>
  <c r="R98" i="68"/>
  <c r="R117" i="68" s="1"/>
  <c r="R122" i="68" s="1"/>
  <c r="AU128" i="2"/>
  <c r="AU130" i="2"/>
  <c r="AU129" i="2"/>
  <c r="V98" i="68"/>
  <c r="V117" i="68" s="1"/>
  <c r="V101" i="68"/>
  <c r="T118" i="68" l="1"/>
  <c r="T119" i="68" s="1"/>
  <c r="T120" i="68" s="1"/>
  <c r="P122" i="68"/>
  <c r="R118" i="68"/>
  <c r="R119" i="68" s="1"/>
  <c r="R120" i="68" s="1"/>
  <c r="P118" i="68"/>
  <c r="P119" i="68" s="1"/>
  <c r="P120" i="68" s="1"/>
  <c r="V118" i="68"/>
  <c r="V119" i="68" s="1"/>
  <c r="V120" i="68" s="1"/>
  <c r="W158" i="68" s="1"/>
  <c r="V122" i="68" s="1"/>
  <c r="R121" i="68"/>
  <c r="R123" i="68"/>
  <c r="T121" i="68"/>
  <c r="T123" i="68"/>
  <c r="V123" i="68" l="1"/>
  <c r="V121" i="68"/>
  <c r="U158" i="68"/>
  <c r="U138" i="68"/>
  <c r="U148" i="68"/>
  <c r="P121" i="68"/>
  <c r="P123" i="68"/>
  <c r="S128" i="68"/>
  <c r="S138" i="68"/>
  <c r="S148" i="68"/>
  <c r="S158" i="68"/>
  <c r="Q138" i="68"/>
  <c r="Q158" i="68"/>
  <c r="Q148" i="68"/>
  <c r="Q128" i="68"/>
  <c r="R163" i="68"/>
  <c r="R139" i="68"/>
  <c r="R129" i="68"/>
  <c r="R133" i="68"/>
  <c r="R153" i="68"/>
  <c r="R159" i="68"/>
  <c r="R149" i="68"/>
  <c r="R143" i="68"/>
  <c r="T143" i="68"/>
  <c r="T149" i="68"/>
  <c r="T159" i="68"/>
  <c r="T139" i="68"/>
  <c r="T163" i="68"/>
  <c r="T153" i="68"/>
  <c r="V165" i="68"/>
  <c r="U107" i="68" s="1"/>
  <c r="AD132" i="2" s="1"/>
  <c r="V163" i="68" l="1"/>
  <c r="V159" i="68"/>
  <c r="P163" i="68"/>
  <c r="P139" i="68"/>
  <c r="P129" i="68"/>
  <c r="P153" i="68"/>
  <c r="P149" i="68"/>
  <c r="P159" i="68"/>
  <c r="P133" i="68"/>
  <c r="P143" i="68"/>
  <c r="B42" i="51"/>
  <c r="E42" i="51"/>
  <c r="G42" i="51"/>
  <c r="AL131" i="2"/>
  <c r="H132" i="2" l="1"/>
  <c r="E43" i="5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<sst xmlns="http://schemas.openxmlformats.org/spreadsheetml/2006/main" count="15426" uniqueCount="6823">
  <si>
    <t>-- DISCLAIMER --
These spreadsheets are provided "as is", 
with no warranty of any kind, expressed or implied, and
 in no event will Glenn Reeves be liable for 
direct, indirect, incidental, or consequential damages
 resulting from the use of any of these spreadsheets. 
Glenn Reeves specifically disclaims the role of tax adviser. 
These spreadsheets attempt to perform the mechanics of tax preparation
 in accordance with IRS forms and instructions. 
The user must assume responsibility as to the correctness and 
appropriateness of any and all amounts entered and results produced.</t>
  </si>
  <si>
    <r>
      <rPr>
        <b/>
        <sz val="10"/>
        <rFont val="Courier New"/>
        <family val="3"/>
      </rPr>
      <t>No password is needed.</t>
    </r>
    <r>
      <rPr>
        <sz val="10"/>
        <rFont val="Courier New"/>
        <family val="3"/>
      </rPr>
      <t xml:space="preserve"> 
If you find a data entry cell to be protected, it is because it is a calculated value using 
input from another location in the spreadsheet.  Read the instructions for that line to determine where 
the values are derived.  However, for most calculated cells, a manual override cell is provided if you 
need to override the calculated value.  After a while, you will figure out that the spreadsheet is completely functional without needing to unprotect it.</t>
    </r>
  </si>
  <si>
    <r>
      <rPr>
        <b/>
        <sz val="10"/>
        <rFont val="Courier New"/>
        <family val="3"/>
      </rPr>
      <t>Errors</t>
    </r>
    <r>
      <rPr>
        <sz val="10"/>
        <rFont val="Courier New"/>
        <family val="3"/>
      </rPr>
      <t xml:space="preserve">
If you find an error, first check the revision date/time above against the 
revision number of the latest spreadsheet to be published at:</t>
    </r>
    <r>
      <rPr>
        <b/>
        <sz val="11"/>
        <color theme="4" tint="-0.249977111117893"/>
        <rFont val="Courier New"/>
        <family val="3"/>
      </rPr>
      <t/>
    </r>
  </si>
  <si>
    <t>https://sites.google.com/view/incometaxspreadsheet/home/changes</t>
  </si>
  <si>
    <t xml:space="preserve">If you find you're using an earlier version, review the changes made since your version </t>
  </si>
  <si>
    <t>to determine if the problem you've encountered has already been fixed.</t>
  </si>
  <si>
    <t>If so, please download the latest version and begin again.  (There is no simple way to migrate...)</t>
  </si>
  <si>
    <t xml:space="preserve">If you cannot determine (or you're not sure) as to whether or not the problem(s) you've found </t>
  </si>
  <si>
    <t>has been corrected, please do your fellow taxpayers a favor by reporting the problem to:</t>
  </si>
  <si>
    <t>incometaxspreadsheet@gmail.com</t>
  </si>
  <si>
    <t>SUMMARY</t>
  </si>
  <si>
    <t>Adjusted Gross Income</t>
  </si>
  <si>
    <t>Form 1040, Line 11</t>
  </si>
  <si>
    <t>Single</t>
  </si>
  <si>
    <t>Total Deductions</t>
  </si>
  <si>
    <t>Form 1040, Line 14</t>
  </si>
  <si>
    <t>Taxable Income</t>
  </si>
  <si>
    <t>Form 1040, Line 15</t>
  </si>
  <si>
    <t>MFJ or QW</t>
  </si>
  <si>
    <t>Total Tax</t>
  </si>
  <si>
    <t>Form 1040, Line 24</t>
  </si>
  <si>
    <t>MFS</t>
  </si>
  <si>
    <t>Total Payments/Credits</t>
  </si>
  <si>
    <t>Form 1040, Line 33</t>
  </si>
  <si>
    <t>HOH</t>
  </si>
  <si>
    <t>Tax Bracket</t>
  </si>
  <si>
    <r>
      <t xml:space="preserve">This spreadsheet is free.  
</t>
    </r>
    <r>
      <rPr>
        <sz val="11"/>
        <color rgb="FF800000"/>
        <rFont val="Comic Sans MS"/>
        <family val="4"/>
      </rPr>
      <t xml:space="preserve">However, if you would like to show your appreciation, 
you may make a contribution by clicking one of the following links and 
sending money as indicated.
</t>
    </r>
  </si>
  <si>
    <t>PayPal</t>
  </si>
  <si>
    <t>Zelle (App)</t>
  </si>
  <si>
    <t>https://paypal.me/incometaxspreadsheet</t>
  </si>
  <si>
    <t>https://www.zellepay.com/</t>
  </si>
  <si>
    <t>(Send to:  IncomeTaxSpreadsheet@gmail.com )</t>
  </si>
  <si>
    <t xml:space="preserve">(Send to:  IncomeTaxSpreadsheet@gmail.com ) </t>
  </si>
  <si>
    <t>Google Pay</t>
  </si>
  <si>
    <t>https://pay.google.com/payments/</t>
  </si>
  <si>
    <t>US Mail:</t>
  </si>
  <si>
    <t>Glenn Reeves</t>
  </si>
  <si>
    <t>(Tax Calculator)</t>
  </si>
  <si>
    <t>4802 N 124th Ct</t>
  </si>
  <si>
    <t>Kansas City, KS  66109-3809</t>
  </si>
  <si>
    <t>Thank you for using my spreadsheet and for any money you decide to send!</t>
  </si>
  <si>
    <t>Federal Income Tax Spreadsheet</t>
  </si>
  <si>
    <t>Table of Contents</t>
  </si>
  <si>
    <t>Draft IRS</t>
  </si>
  <si>
    <t>Updated</t>
  </si>
  <si>
    <t>Final IRS</t>
  </si>
  <si>
    <t>Form</t>
  </si>
  <si>
    <t>Draft Form</t>
  </si>
  <si>
    <t>Instruction</t>
  </si>
  <si>
    <t>Final</t>
  </si>
  <si>
    <t>Title / Description</t>
  </si>
  <si>
    <t>Last checked</t>
  </si>
  <si>
    <t>Coversheet</t>
  </si>
  <si>
    <t>Possible tax return coversheet which includes a disclaimer, important notes, and a summary.</t>
  </si>
  <si>
    <t>Table of contents with links to the sheets included in this spreadsheet.</t>
  </si>
  <si>
    <t>Instructions</t>
  </si>
  <si>
    <t>Important notes, general notes, and instructions to help you get started.</t>
  </si>
  <si>
    <t>W-2s</t>
  </si>
  <si>
    <r>
      <rPr>
        <b/>
        <sz val="10"/>
        <rFont val="Arial"/>
        <family val="2"/>
      </rPr>
      <t>Form W-2</t>
    </r>
    <r>
      <rPr>
        <sz val="10"/>
        <rFont val="Arial"/>
        <family val="2"/>
      </rPr>
      <t>, Wage and Tax Statement</t>
    </r>
  </si>
  <si>
    <t>1099-INT</t>
  </si>
  <si>
    <r>
      <rPr>
        <b/>
        <sz val="10"/>
        <rFont val="Arial"/>
        <family val="2"/>
      </rPr>
      <t>Form 1099-INT</t>
    </r>
    <r>
      <rPr>
        <sz val="10"/>
        <rFont val="Arial"/>
        <family val="2"/>
      </rPr>
      <t>, Interest Income</t>
    </r>
  </si>
  <si>
    <t>1099-DIV</t>
  </si>
  <si>
    <r>
      <rPr>
        <b/>
        <sz val="10"/>
        <rFont val="Arial"/>
        <family val="2"/>
      </rPr>
      <t>Form 1099-DIV</t>
    </r>
    <r>
      <rPr>
        <sz val="10"/>
        <rFont val="Arial"/>
        <family val="2"/>
      </rPr>
      <t>, Dividend Income</t>
    </r>
  </si>
  <si>
    <t>1099-G</t>
  </si>
  <si>
    <r>
      <rPr>
        <b/>
        <sz val="10"/>
        <rFont val="Arial"/>
        <family val="2"/>
      </rPr>
      <t>Form 1099-G</t>
    </r>
    <r>
      <rPr>
        <sz val="10"/>
        <rFont val="Arial"/>
        <family val="2"/>
      </rPr>
      <t>, Certain Government Payments</t>
    </r>
  </si>
  <si>
    <t>1099-MISC</t>
  </si>
  <si>
    <r>
      <rPr>
        <b/>
        <sz val="10"/>
        <rFont val="Arial"/>
        <family val="2"/>
      </rPr>
      <t>Form 1099-MISC</t>
    </r>
    <r>
      <rPr>
        <sz val="10"/>
        <rFont val="Arial"/>
        <family val="2"/>
      </rPr>
      <t>, Miscellaneous Income   (Way too complicated -- included for information)</t>
    </r>
  </si>
  <si>
    <t>1099-R</t>
  </si>
  <si>
    <r>
      <rPr>
        <b/>
        <sz val="10"/>
        <rFont val="Arial"/>
        <family val="2"/>
      </rPr>
      <t>Form 1099-R</t>
    </r>
    <r>
      <rPr>
        <sz val="10"/>
        <rFont val="Arial"/>
        <family val="2"/>
      </rPr>
      <t>, Distributions From Pensions, Annuities, Retirement or Profit-Sharing  Plans, IRAs, Insurance Contracts, etc.</t>
    </r>
  </si>
  <si>
    <t>Lines 4ab (IRA Dist.)</t>
  </si>
  <si>
    <r>
      <rPr>
        <b/>
        <sz val="10"/>
        <rFont val="Arial"/>
        <family val="2"/>
      </rPr>
      <t>IRA Distributions</t>
    </r>
    <r>
      <rPr>
        <sz val="10"/>
        <rFont val="Arial"/>
        <family val="2"/>
      </rPr>
      <t xml:space="preserve"> -- Lines 4a and 4b -- to determine how to report non-taxable and taxable IRA distributions.</t>
    </r>
  </si>
  <si>
    <t>SSA-1099</t>
  </si>
  <si>
    <r>
      <rPr>
        <b/>
        <sz val="10"/>
        <rFont val="Arial"/>
        <family val="2"/>
      </rPr>
      <t>Form SSA-1099</t>
    </r>
    <r>
      <rPr>
        <sz val="10"/>
        <rFont val="Arial"/>
        <family val="2"/>
      </rPr>
      <t xml:space="preserve">, Social Security Benefit Statement and </t>
    </r>
    <r>
      <rPr>
        <b/>
        <sz val="10"/>
        <rFont val="Arial"/>
        <family val="2"/>
      </rPr>
      <t>IRS Notice 703</t>
    </r>
    <r>
      <rPr>
        <sz val="10"/>
        <rFont val="Arial"/>
        <family val="2"/>
      </rPr>
      <t>, To See If Your Social Security Benefits May Be Taxable</t>
    </r>
  </si>
  <si>
    <t>1040</t>
  </si>
  <si>
    <r>
      <rPr>
        <b/>
        <sz val="10"/>
        <rFont val="Arial"/>
        <family val="2"/>
      </rPr>
      <t>Form 1040</t>
    </r>
    <r>
      <rPr>
        <sz val="10"/>
        <rFont val="Arial"/>
        <family val="2"/>
      </rPr>
      <t>, U.S. Individual Income Tax Return</t>
    </r>
  </si>
  <si>
    <t>Sch. 1</t>
  </si>
  <si>
    <r>
      <rPr>
        <b/>
        <sz val="10"/>
        <rFont val="Arial"/>
        <family val="2"/>
      </rPr>
      <t>Schedule 1</t>
    </r>
    <r>
      <rPr>
        <sz val="10"/>
        <rFont val="Arial"/>
        <family val="2"/>
      </rPr>
      <t>, Additional Income and Adjustments to Income</t>
    </r>
  </si>
  <si>
    <t>State and Local Income Tax Refund Worksheet — Line 1</t>
  </si>
  <si>
    <t>Sch. 1 Line 20 (IRA)</t>
  </si>
  <si>
    <t>IRA Deduction Worksheet — Schedule 1, Line 20</t>
  </si>
  <si>
    <t>Sch. 1 Line 21 (Stu Loan)</t>
  </si>
  <si>
    <t>Student Loan Interest Deduction Worksheet — Schedule 1, Line 21</t>
  </si>
  <si>
    <t>Sch. 2</t>
  </si>
  <si>
    <r>
      <rPr>
        <b/>
        <sz val="10"/>
        <rFont val="Arial"/>
        <family val="2"/>
      </rPr>
      <t>Schedule 2</t>
    </r>
    <r>
      <rPr>
        <sz val="10"/>
        <rFont val="Arial"/>
        <family val="2"/>
      </rPr>
      <t>, Additional Taxes</t>
    </r>
  </si>
  <si>
    <t>Sch. 3</t>
  </si>
  <si>
    <t>Earned Inc WS</t>
  </si>
  <si>
    <r>
      <rPr>
        <b/>
        <sz val="10"/>
        <rFont val="Arial"/>
        <family val="2"/>
      </rPr>
      <t>Earned Income Worksheet</t>
    </r>
    <r>
      <rPr>
        <sz val="10"/>
        <rFont val="Arial"/>
        <family val="2"/>
      </rPr>
      <t xml:space="preserve">  — Used as input to Line 9 (SD Depnts), Line 13a (CTC), &amp; Form 8812.</t>
    </r>
  </si>
  <si>
    <t>Lines 5ab (Simplified Meth WS)</t>
  </si>
  <si>
    <r>
      <rPr>
        <b/>
        <sz val="10"/>
        <rFont val="Arial"/>
        <family val="2"/>
      </rPr>
      <t>Simplified Method Worksheet—Lines 5a and 5b</t>
    </r>
    <r>
      <rPr>
        <sz val="10"/>
        <rFont val="Arial"/>
        <family val="2"/>
      </rPr>
      <t xml:space="preserve">  -- to determine taxable amount of retirement pension or annuity.</t>
    </r>
  </si>
  <si>
    <t>Line 6ab (SS Bene)</t>
  </si>
  <si>
    <r>
      <rPr>
        <b/>
        <sz val="10"/>
        <rFont val="Arial"/>
        <family val="2"/>
      </rPr>
      <t>Social Security Benefits Worksheet – Lines 6a and 6b</t>
    </r>
    <r>
      <rPr>
        <sz val="10"/>
        <rFont val="Arial"/>
        <family val="2"/>
      </rPr>
      <t xml:space="preserve">  -- to determine taxable amount of Social Security benefits.</t>
    </r>
  </si>
  <si>
    <t>Line 16 (QDCG Tax)</t>
  </si>
  <si>
    <t>Qualified Dividends and Capital Gain Tax Worksheet—Line 16</t>
  </si>
  <si>
    <t>Sch. A</t>
  </si>
  <si>
    <t>Schedule A, Itemized Deductions</t>
  </si>
  <si>
    <t>Sch. B</t>
  </si>
  <si>
    <t>Schedule B, Interest and Ordinary Dividends</t>
  </si>
  <si>
    <t>Sch. C</t>
  </si>
  <si>
    <r>
      <t>Schedule C, Profit or Loss from Business</t>
    </r>
    <r>
      <rPr>
        <sz val="10"/>
        <rFont val="Arial"/>
        <family val="2"/>
      </rPr>
      <t xml:space="preserve">   (Two Schedule C's are included)</t>
    </r>
  </si>
  <si>
    <t>Sch. D</t>
  </si>
  <si>
    <t>Schedule D, Capital Gains and Losses</t>
  </si>
  <si>
    <t>Sch. D WS</t>
  </si>
  <si>
    <r>
      <rPr>
        <u/>
        <sz val="10"/>
        <rFont val="Arial"/>
        <family val="2"/>
      </rPr>
      <t>Schedule D Worksheets</t>
    </r>
    <r>
      <rPr>
        <b/>
        <sz val="10"/>
        <rFont val="Arial"/>
        <family val="2"/>
      </rPr>
      <t xml:space="preserve">
-  Capital Loss Carryover Worksheet—Schedule D, Lines 6 and 14
-  28% Rate Gain Worksheet—Schedule D, Line 18
-  Schedule D Tax Worksheet</t>
    </r>
  </si>
  <si>
    <t>Sch. E</t>
  </si>
  <si>
    <t>Schedule E, Supplemental Income and Loss (2 forms)</t>
  </si>
  <si>
    <t>Sch. E (2)</t>
  </si>
  <si>
    <t>Sch. F</t>
  </si>
  <si>
    <t>Schedule F, Profit or Loss from Farming</t>
  </si>
  <si>
    <t>Sch. R</t>
  </si>
  <si>
    <t>Schedule R, Credit for the Elderly or the Disabled</t>
  </si>
  <si>
    <t>Sch. SE</t>
  </si>
  <si>
    <r>
      <t>Schedule SE, Self-Employement Tax</t>
    </r>
    <r>
      <rPr>
        <sz val="10"/>
        <rFont val="Arial"/>
        <family val="2"/>
      </rPr>
      <t xml:space="preserve">   (Two Schedule SE's are included)</t>
    </r>
  </si>
  <si>
    <t>1116</t>
  </si>
  <si>
    <t>Form 1116, Foreign Tax Credit</t>
  </si>
  <si>
    <t>2210</t>
  </si>
  <si>
    <t>2441</t>
  </si>
  <si>
    <t>Form 2441, Child and Dependent Care Expenses</t>
  </si>
  <si>
    <t>2555</t>
  </si>
  <si>
    <t>Form 2555, Foreign Earned Income</t>
  </si>
  <si>
    <t>4562</t>
  </si>
  <si>
    <t>Form 4562, Depreciation and Amortization</t>
  </si>
  <si>
    <t>6251</t>
  </si>
  <si>
    <t>Form 6251, Alternative Minimum Tax—Individuals</t>
  </si>
  <si>
    <t>8283</t>
  </si>
  <si>
    <t>Form 8283, Noncash Charitable Contributions</t>
  </si>
  <si>
    <t>8606</t>
  </si>
  <si>
    <t>Form 8606, Nondeductible IRAs</t>
  </si>
  <si>
    <t>8812</t>
  </si>
  <si>
    <t>Schedule 8812, Additional Child Tax Credit</t>
  </si>
  <si>
    <t>Form 8829, Expenses for Business Use of Your Home</t>
  </si>
  <si>
    <t>8863</t>
  </si>
  <si>
    <t>Form 8863, Education Credits (American Opportunity and Lifetime Learning Credits)</t>
  </si>
  <si>
    <t>8880</t>
  </si>
  <si>
    <t>Form 8880, Credit for Qualified Retirement Savings Contributions</t>
  </si>
  <si>
    <t>8889</t>
  </si>
  <si>
    <t>Form 8889, Health Savings Accounts</t>
  </si>
  <si>
    <t>8949A</t>
  </si>
  <si>
    <t>Form 8949, Sales and Other Dispositions of Capital Assets</t>
  </si>
  <si>
    <t>8949B</t>
  </si>
  <si>
    <t>8949C</t>
  </si>
  <si>
    <t>8949D</t>
  </si>
  <si>
    <t>8959</t>
  </si>
  <si>
    <t>Form 8959, Additional Medicare Tax</t>
  </si>
  <si>
    <t>8960</t>
  </si>
  <si>
    <t>Form 8960, Net Investment Income Tax—Individuals, Estates, and Trusts</t>
  </si>
  <si>
    <t>8962</t>
  </si>
  <si>
    <t>Form 8962, Premium Tax Credit</t>
  </si>
  <si>
    <t>Form 8995, Qualified Business Income Deduction Simplified Computation</t>
  </si>
  <si>
    <t>EIC Table</t>
  </si>
  <si>
    <r>
      <t>Earned Income Credit (EIC) Table</t>
    </r>
    <r>
      <rPr>
        <sz val="10"/>
        <rFont val="Arial"/>
        <family val="2"/>
      </rPr>
      <t xml:space="preserve">  (From Form 1040, General Instructions)</t>
    </r>
  </si>
  <si>
    <t>Tax Table</t>
  </si>
  <si>
    <r>
      <rPr>
        <b/>
        <sz val="10"/>
        <rFont val="Arial"/>
        <family val="2"/>
      </rPr>
      <t xml:space="preserve">Tax Table </t>
    </r>
    <r>
      <rPr>
        <sz val="10"/>
        <rFont val="Arial"/>
        <family val="2"/>
      </rPr>
      <t xml:space="preserve"> (From Form 1040, General Instructions)</t>
    </r>
  </si>
  <si>
    <t>Changes</t>
  </si>
  <si>
    <t>Changes made to this spreadsheet since it's first publication this tax year</t>
  </si>
  <si>
    <t>Excel1040 -- Income Tax Spreadsheet</t>
  </si>
  <si>
    <t>Instructions for Use</t>
  </si>
  <si>
    <t>IMPORTANT NOTES:</t>
  </si>
  <si>
    <t>1.</t>
  </si>
  <si>
    <t>The purpose of this spreadsheet is to help U.S. taxpayers calculate their own federal income tax returns.</t>
  </si>
  <si>
    <r>
      <t xml:space="preserve">The spreadsheet </t>
    </r>
    <r>
      <rPr>
        <u/>
        <sz val="10"/>
        <rFont val="Arial"/>
        <family val="2"/>
      </rPr>
      <t>attempts</t>
    </r>
    <r>
      <rPr>
        <sz val="10"/>
        <rFont val="Arial"/>
        <family val="2"/>
      </rPr>
      <t xml:space="preserve"> to perform the mechanics of tax preparation (i.e. 'do the math') in accordance</t>
    </r>
  </si>
  <si>
    <t>with IRS forms and instructions.</t>
  </si>
  <si>
    <t>2.</t>
  </si>
  <si>
    <t>This spreadsheet is designed for taxpayers who are capable of preparing their own federal income tax returns.</t>
  </si>
  <si>
    <t>Users of this spreadsheet must know what information needs to be entered and where to enter it.</t>
  </si>
  <si>
    <t>Users of this spreadsheet must also be sufficiently familiar with the IRS forms and instructions that apply to</t>
  </si>
  <si>
    <t xml:space="preserve">their tax return in order to detect and correct any and all user and spreadsheet errors that might occur. </t>
  </si>
  <si>
    <t>Although some error checking is included, this spreadsheet will not prevent you from making mistakes.</t>
  </si>
  <si>
    <t>3.</t>
  </si>
  <si>
    <t>The user must assume full responsibility as to the correctness and appropriateness of any and all amounts</t>
  </si>
  <si>
    <t>entered and results produced.  Be sure to use current copies of actual IRS forms and instructions when</t>
  </si>
  <si>
    <t>https://www.irs.gov/downloads/irs-pdf</t>
  </si>
  <si>
    <t>4.</t>
  </si>
  <si>
    <t>GENERAL NOTES:</t>
  </si>
  <si>
    <t>Unprotected data entry cells have a light blue fill color.</t>
  </si>
  <si>
    <t>Cells containing calculated amounts are usually protected and have a darker blue fill color.</t>
  </si>
  <si>
    <t>Form and worksheet areas are protected.  However, users are able to adjust printing properties.</t>
  </si>
  <si>
    <r>
      <t>"</t>
    </r>
    <r>
      <rPr>
        <i/>
        <sz val="10"/>
        <rFont val="Arial"/>
        <family val="2"/>
      </rPr>
      <t>Manual override</t>
    </r>
    <r>
      <rPr>
        <sz val="10"/>
        <rFont val="Arial"/>
        <family val="2"/>
      </rPr>
      <t>" cells are available for many calculated cells.   The use of override cells is discouraged</t>
    </r>
  </si>
  <si>
    <t>because manual overrides can defeat the spreadsheet's automatic updating feature.  If you are having</t>
  </si>
  <si>
    <t>to use a manual override because of a spreadsheet error, be sure to report the error as soon as possible.</t>
  </si>
  <si>
    <t xml:space="preserve">NOTE:  To clear data from an override cell, highlight it and then press the &lt;Delete&gt; key. </t>
  </si>
  <si>
    <t>Do not press the &lt;space&gt; bar because, although it is invisible, the &lt;space&gt; character is treated the</t>
  </si>
  <si>
    <t>same as any visible character.</t>
  </si>
  <si>
    <t xml:space="preserve">To check a checkbox, simply type an 'X' (any character will work) in the box and press &lt;Enter&gt;. </t>
  </si>
  <si>
    <t xml:space="preserve">NOTE:  To clear an 'X' from an checkbox,  highlight it and then press the &lt;Delete&gt; key. </t>
  </si>
  <si>
    <t>5.</t>
  </si>
  <si>
    <r>
      <t>If using copy/paste to copy information from another source, be sure to paste using '</t>
    </r>
    <r>
      <rPr>
        <b/>
        <sz val="10"/>
        <rFont val="Arial"/>
        <family val="2"/>
      </rPr>
      <t>Paste-Values</t>
    </r>
    <r>
      <rPr>
        <sz val="10"/>
        <rFont val="Arial"/>
        <family val="2"/>
      </rPr>
      <t>'.</t>
    </r>
  </si>
  <si>
    <t>Otherwise, cell properties could be inadvertently changed.  (e.g. A normally unprotected cell could become</t>
  </si>
  <si>
    <t>protected.)</t>
  </si>
  <si>
    <t>6.</t>
  </si>
  <si>
    <t xml:space="preserve">On Form 1040, to save time, it's generally okay to enter alternate information (e.g. SSN = 111-22-3333).  </t>
  </si>
  <si>
    <t>INSTRUCTIONS:</t>
  </si>
  <si>
    <t>Click on the tab labeled 'W-2s' and enter any employment income reported to you on Form W-2.</t>
  </si>
  <si>
    <r>
      <t xml:space="preserve">Be sure to enter </t>
    </r>
    <r>
      <rPr>
        <u/>
        <sz val="10"/>
        <rFont val="Arial"/>
        <family val="2"/>
      </rPr>
      <t>your</t>
    </r>
    <r>
      <rPr>
        <sz val="10"/>
        <rFont val="Arial"/>
        <family val="2"/>
      </rPr>
      <t xml:space="preserve"> information in Rows 2 through 24 and your </t>
    </r>
    <r>
      <rPr>
        <u/>
        <sz val="10"/>
        <rFont val="Arial"/>
        <family val="2"/>
      </rPr>
      <t>spouse's</t>
    </r>
    <r>
      <rPr>
        <sz val="10"/>
        <rFont val="Arial"/>
        <family val="2"/>
      </rPr>
      <t xml:space="preserve"> information into Rows 31 through 53.</t>
    </r>
  </si>
  <si>
    <t>Click on the tab labeled '1099-INT' and enter any interest income reported to you on Form 1099-INT.</t>
  </si>
  <si>
    <t>(Interest income information will automatically appear on Schedule B, Line 1.)</t>
  </si>
  <si>
    <t>Click on the tab labeled '1099-DIV' and enter any dividend income reported on Form 1099-DIV.</t>
  </si>
  <si>
    <t>(Dividend income information will automatically appear on Schedule B, Line 5.)</t>
  </si>
  <si>
    <t>Click on the tab labeled '1099-R' and enter any IRA/pension/annuity income reported to you on Form 1099-R.</t>
  </si>
  <si>
    <t>7.</t>
  </si>
  <si>
    <t>Click on the tab labeled 'SSA-1099' and enter any Social Security income reported to you on Form SSA-1099.</t>
  </si>
  <si>
    <t>8.</t>
  </si>
  <si>
    <t>Begin a careful, line-by-line, review of the sheet labeled '1040'.  If additional information is needed for a</t>
  </si>
  <si>
    <t xml:space="preserve">particular line, then look for a sheet associated with that line (e.g. "Line 9 (QBID)") to determine if additional </t>
  </si>
  <si>
    <t>information needs to be entered.</t>
  </si>
  <si>
    <t>HINT:  Recommend regularly checking and saving your spreadsheet.</t>
  </si>
  <si>
    <t>9.</t>
  </si>
  <si>
    <t>Review every tab to determine its applicability to your tax return and make sure each sheet is completed.</t>
  </si>
  <si>
    <t>NOTE: At any time, you may change the tab color by right-mouse clicking on the tab.  Also, at any time,</t>
  </si>
  <si>
    <t>you may click and drag sheet tabs to be arranged in any order you desire.  Doing so will not affect</t>
  </si>
  <si>
    <t>the function of the spreadsheet.</t>
  </si>
  <si>
    <t>10.</t>
  </si>
  <si>
    <t>Recommend printing your return and reviewing the printed copy against actual IRS forms and instructions.</t>
  </si>
  <si>
    <t>11.</t>
  </si>
  <si>
    <t>Transfer results to an electronic filing service or hard copies of the forms.</t>
  </si>
  <si>
    <t>1).   Load the spreadsheet as an .xlsx file, then save it as an .fods file.</t>
  </si>
  <si>
    <t>2).   Close the .fods file. Then re-open the .fods file</t>
  </si>
  <si>
    <t>3).   Save the .fods file as an .ods file.</t>
  </si>
  <si>
    <t>4)    Close the .ods file.  Then, re-open the .ods file.</t>
  </si>
  <si>
    <t>Information from Form W-2, Wage and Tax Statement</t>
  </si>
  <si>
    <t>Maximum SS Tax Earnings:</t>
  </si>
  <si>
    <t>SS Tax Rate:</t>
  </si>
  <si>
    <t>Max. SS Tax:</t>
  </si>
  <si>
    <t>per person</t>
  </si>
  <si>
    <t>Notes</t>
  </si>
  <si>
    <t>Total</t>
  </si>
  <si>
    <t>Excess</t>
  </si>
  <si>
    <t>Used at:</t>
  </si>
  <si>
    <t>Date</t>
  </si>
  <si>
    <t>1</t>
  </si>
  <si>
    <t>Wages, tips, other compensation</t>
  </si>
  <si>
    <t>2</t>
  </si>
  <si>
    <t>Federal income tax withheld</t>
  </si>
  <si>
    <t>3</t>
  </si>
  <si>
    <t>Social security wages</t>
  </si>
  <si>
    <r>
      <rPr>
        <b/>
        <sz val="10"/>
        <rFont val="Arial"/>
        <family val="2"/>
      </rPr>
      <t>Sch. SE</t>
    </r>
    <r>
      <rPr>
        <sz val="10"/>
        <rFont val="Arial"/>
        <family val="2"/>
      </rPr>
      <t>, Line 8a</t>
    </r>
  </si>
  <si>
    <t>4</t>
  </si>
  <si>
    <t>Social security tax withheld</t>
  </si>
  <si>
    <t>5</t>
  </si>
  <si>
    <t>Medicare wages and tips</t>
  </si>
  <si>
    <t>6</t>
  </si>
  <si>
    <t>Medicare tax withheld</t>
  </si>
  <si>
    <r>
      <t xml:space="preserve">  Only </t>
    </r>
    <r>
      <rPr>
        <b/>
        <sz val="10"/>
        <color indexed="10"/>
        <rFont val="Arial"/>
        <family val="2"/>
      </rPr>
      <t>bolded</t>
    </r>
    <r>
      <rPr>
        <sz val="10"/>
        <color indexed="10"/>
        <rFont val="Arial"/>
        <family val="2"/>
      </rPr>
      <t xml:space="preserve"> amounts are used in this spreadsheet.</t>
    </r>
  </si>
  <si>
    <t>7</t>
  </si>
  <si>
    <t>Social Security Tips</t>
  </si>
  <si>
    <t>8</t>
  </si>
  <si>
    <t>Allocated Tips</t>
  </si>
  <si>
    <t>10</t>
  </si>
  <si>
    <t>Dependent Care Benefits</t>
  </si>
  <si>
    <t>11</t>
  </si>
  <si>
    <t>Nonqualified plans</t>
  </si>
  <si>
    <t>12c</t>
  </si>
  <si>
    <t>13</t>
  </si>
  <si>
    <t>Stat Emp / Retire / 3rd Party Sick</t>
  </si>
  <si>
    <t>14</t>
  </si>
  <si>
    <t>Other</t>
  </si>
  <si>
    <t>Railroad retire (RRTA) compensation</t>
  </si>
  <si>
    <t>RRTA medicare tax withheld (see Form CT-2)</t>
  </si>
  <si>
    <t>15</t>
  </si>
  <si>
    <t>State - Employer's state ID number</t>
  </si>
  <si>
    <t>- - -</t>
  </si>
  <si>
    <t>16</t>
  </si>
  <si>
    <t xml:space="preserve">State wages, tips, etc. </t>
  </si>
  <si>
    <t>17</t>
  </si>
  <si>
    <t>State income tax</t>
  </si>
  <si>
    <t>18</t>
  </si>
  <si>
    <t>Local wages, tips, etc.</t>
  </si>
  <si>
    <t>19</t>
  </si>
  <si>
    <t>Local income tax</t>
  </si>
  <si>
    <t>20</t>
  </si>
  <si>
    <t>Locality name</t>
  </si>
  <si>
    <t>Employer count (You)</t>
  </si>
  <si>
    <t>TOTALs</t>
  </si>
  <si>
    <t>Excess Soc. Sec. Tax Withheld</t>
  </si>
  <si>
    <r>
      <rPr>
        <b/>
        <sz val="10"/>
        <rFont val="Arial"/>
        <family val="2"/>
      </rPr>
      <t>Form 1040</t>
    </r>
    <r>
      <rPr>
        <sz val="10"/>
        <rFont val="Arial"/>
        <family val="2"/>
      </rPr>
      <t>, Line 1.</t>
    </r>
  </si>
  <si>
    <r>
      <rPr>
        <b/>
        <sz val="10"/>
        <rFont val="Arial"/>
        <family val="2"/>
      </rPr>
      <t>Form 1040</t>
    </r>
    <r>
      <rPr>
        <sz val="10"/>
        <rFont val="Arial"/>
        <family val="2"/>
      </rPr>
      <t>, Line 25a</t>
    </r>
  </si>
  <si>
    <r>
      <rPr>
        <b/>
        <sz val="10"/>
        <rFont val="Arial"/>
        <family val="2"/>
      </rPr>
      <t>Line 13a (CTC)</t>
    </r>
    <r>
      <rPr>
        <sz val="10"/>
        <rFont val="Arial"/>
        <family val="2"/>
      </rPr>
      <t xml:space="preserve">, Child Tax Credit W/S, Line 11 W/S, Line 6; </t>
    </r>
    <r>
      <rPr>
        <b/>
        <sz val="10"/>
        <rFont val="Arial"/>
        <family val="2"/>
      </rPr>
      <t>Form 8812</t>
    </r>
    <r>
      <rPr>
        <sz val="10"/>
        <rFont val="Arial"/>
        <family val="2"/>
      </rPr>
      <t>, Line 9 W/S, Line 1</t>
    </r>
  </si>
  <si>
    <r>
      <rPr>
        <b/>
        <sz val="10"/>
        <rFont val="Arial"/>
        <family val="2"/>
      </rPr>
      <t>Sch. 3</t>
    </r>
    <r>
      <rPr>
        <sz val="10"/>
        <rFont val="Arial"/>
        <family val="2"/>
      </rPr>
      <t>, Line 11</t>
    </r>
  </si>
  <si>
    <r>
      <rPr>
        <b/>
        <sz val="10"/>
        <rFont val="Arial"/>
        <family val="2"/>
      </rPr>
      <t>Form 8959, Who Must File, Criterion 3; Form 8959,</t>
    </r>
    <r>
      <rPr>
        <sz val="10"/>
        <rFont val="Arial"/>
        <family val="2"/>
      </rPr>
      <t xml:space="preserve"> Additional Medicare Tax, Line 1</t>
    </r>
  </si>
  <si>
    <r>
      <rPr>
        <b/>
        <sz val="10"/>
        <rFont val="Arial"/>
        <family val="2"/>
      </rPr>
      <t>Line 13a</t>
    </r>
    <r>
      <rPr>
        <sz val="10"/>
        <rFont val="Arial"/>
        <family val="2"/>
      </rPr>
      <t xml:space="preserve">, Child Tax Credit Worksheet, Line 14 Worksheet, Line 7; </t>
    </r>
    <r>
      <rPr>
        <b/>
        <sz val="10"/>
        <rFont val="Arial"/>
        <family val="2"/>
      </rPr>
      <t>Form 8812</t>
    </r>
    <r>
      <rPr>
        <sz val="10"/>
        <rFont val="Arial"/>
        <family val="2"/>
      </rPr>
      <t xml:space="preserve">, Line 9 W/S, Line 2; </t>
    </r>
    <r>
      <rPr>
        <b/>
        <sz val="10"/>
        <rFont val="Arial"/>
        <family val="2"/>
      </rPr>
      <t>Form 8959</t>
    </r>
    <r>
      <rPr>
        <sz val="10"/>
        <rFont val="Arial"/>
        <family val="2"/>
      </rPr>
      <t>, Additional Medicare Tax, Line 19</t>
    </r>
  </si>
  <si>
    <r>
      <rPr>
        <b/>
        <sz val="10"/>
        <rFont val="Arial"/>
        <family val="2"/>
      </rPr>
      <t>Form 2441</t>
    </r>
    <r>
      <rPr>
        <sz val="10"/>
        <rFont val="Arial"/>
        <family val="2"/>
      </rPr>
      <t>, Part III, Line 12</t>
    </r>
  </si>
  <si>
    <r>
      <rPr>
        <b/>
        <sz val="10"/>
        <rFont val="Arial"/>
        <family val="2"/>
      </rPr>
      <t>Form 8959</t>
    </r>
    <r>
      <rPr>
        <sz val="10"/>
        <rFont val="Arial"/>
        <family val="2"/>
      </rPr>
      <t>, Additional Medicare Tax, Who Must File, Criterion 2 and 4; Line 14</t>
    </r>
  </si>
  <si>
    <r>
      <rPr>
        <b/>
        <sz val="10"/>
        <rFont val="Arial"/>
        <family val="2"/>
      </rPr>
      <t>Form 8959</t>
    </r>
    <r>
      <rPr>
        <sz val="10"/>
        <rFont val="Arial"/>
        <family val="2"/>
      </rPr>
      <t>, Additional Medicare Tax, Line 23</t>
    </r>
  </si>
  <si>
    <r>
      <rPr>
        <b/>
        <sz val="10"/>
        <rFont val="Arial"/>
        <family val="2"/>
      </rPr>
      <t>Sch. A</t>
    </r>
    <r>
      <rPr>
        <sz val="10"/>
        <rFont val="Arial"/>
        <family val="2"/>
      </rPr>
      <t>, Line 5</t>
    </r>
  </si>
  <si>
    <t>Information from Form 1099-INT, Interest Income</t>
  </si>
  <si>
    <t>Payer #1</t>
  </si>
  <si>
    <t>Payer #2</t>
  </si>
  <si>
    <t>Payer #3</t>
  </si>
  <si>
    <t>Payer #4</t>
  </si>
  <si>
    <t>Payer #5</t>
  </si>
  <si>
    <t>Date:</t>
  </si>
  <si>
    <t>PAYER's name</t>
  </si>
  <si>
    <t>PAYER's Federal ID number</t>
  </si>
  <si>
    <t>Account number</t>
  </si>
  <si>
    <t>Interest income</t>
  </si>
  <si>
    <t>Early withdrawal penalty</t>
  </si>
  <si>
    <t>Interest on U.S. Savings Bonds &amp; Treas. Obligations</t>
  </si>
  <si>
    <t>3A</t>
  </si>
  <si>
    <t>Include Line 3 on Schedule B, Line 1?  (Y / N)</t>
  </si>
  <si>
    <t>N</t>
  </si>
  <si>
    <t>Investment expenses</t>
  </si>
  <si>
    <t>Foreign tax paid</t>
  </si>
  <si>
    <t>Foreign country or U.S. possession</t>
  </si>
  <si>
    <t>Tax-exempt interest</t>
  </si>
  <si>
    <t>Specified private activity bond interest</t>
  </si>
  <si>
    <t>Market discount</t>
  </si>
  <si>
    <t>Bond premium</t>
  </si>
  <si>
    <t>Bond premium on Treasury obligations</t>
  </si>
  <si>
    <t>Bond premium on tax–exempt bond</t>
  </si>
  <si>
    <t>Tax-exempt and tax credit bond CUSIP no.</t>
  </si>
  <si>
    <t>State</t>
  </si>
  <si>
    <t>State identification no.</t>
  </si>
  <si>
    <t>State tax withheld</t>
  </si>
  <si>
    <r>
      <t xml:space="preserve">  Only </t>
    </r>
    <r>
      <rPr>
        <b/>
        <sz val="10"/>
        <color rgb="FFFF0000"/>
        <rFont val="Arial"/>
        <family val="2"/>
      </rPr>
      <t>bolded</t>
    </r>
    <r>
      <rPr>
        <sz val="10"/>
        <color rgb="FFFF0000"/>
        <rFont val="Arial"/>
        <family val="2"/>
      </rPr>
      <t xml:space="preserve"> amounts are used in this spreadsheet.</t>
    </r>
  </si>
  <si>
    <t>Payer #6</t>
  </si>
  <si>
    <t>Payer #7</t>
  </si>
  <si>
    <t>Payer #8</t>
  </si>
  <si>
    <t>Payer #9</t>
  </si>
  <si>
    <t>Payer #10</t>
  </si>
  <si>
    <t>Payer #11</t>
  </si>
  <si>
    <t>Payer #12</t>
  </si>
  <si>
    <t>Payer #13</t>
  </si>
  <si>
    <t>Payer #14</t>
  </si>
  <si>
    <t>Payer #15</t>
  </si>
  <si>
    <t>Sch. B, Line 1</t>
  </si>
  <si>
    <t>Form 1040, Sch. 1, Line 18</t>
  </si>
  <si>
    <t>Sch. B, Line 1 (If line 3A is "Y")</t>
  </si>
  <si>
    <t>Form 1040, Line 25b</t>
  </si>
  <si>
    <t>Consideration (by you) in Sch. A, Line 9</t>
  </si>
  <si>
    <t>Sch. 3, Line 48   OR   Form 1116 (Cell A8)</t>
  </si>
  <si>
    <t>Form 1040, Line 2a</t>
  </si>
  <si>
    <t>Form 6251, Line 2g</t>
  </si>
  <si>
    <t>Sch. A, Line 5a and Form 8960, Line 9b</t>
  </si>
  <si>
    <t>Information from Form 1099-DIV, Dividends and Distributions</t>
  </si>
  <si>
    <t>1a</t>
  </si>
  <si>
    <t>Total ordinary dividends</t>
  </si>
  <si>
    <t>1b</t>
  </si>
  <si>
    <t>Qualified dividends</t>
  </si>
  <si>
    <t>2a</t>
  </si>
  <si>
    <t>Total capital gain distr.</t>
  </si>
  <si>
    <t>2b</t>
  </si>
  <si>
    <t>Unrecap. Sec. 1250 gain</t>
  </si>
  <si>
    <t>2c</t>
  </si>
  <si>
    <t>Section 1202 gain</t>
  </si>
  <si>
    <t>2d</t>
  </si>
  <si>
    <t>Collectibles (28%) gain</t>
  </si>
  <si>
    <t>Nondividend distributions</t>
  </si>
  <si>
    <t>Section 199A dividends</t>
  </si>
  <si>
    <t>Cash liquidation distributions</t>
  </si>
  <si>
    <t>Noncash liquidation distributions</t>
  </si>
  <si>
    <t>FATCA filing requirement</t>
  </si>
  <si>
    <t>Exempt-interest dividends</t>
  </si>
  <si>
    <t>Specified private activity bond interest dividends</t>
  </si>
  <si>
    <t>Payer #16</t>
  </si>
  <si>
    <t>Payer #17</t>
  </si>
  <si>
    <t>Payer #18</t>
  </si>
  <si>
    <t>Payer #19</t>
  </si>
  <si>
    <t>Sch. D, Line 13</t>
  </si>
  <si>
    <t>Sch. D. WS, 28% Rate Gain WS, Line 4</t>
  </si>
  <si>
    <t>1040, line 25b</t>
  </si>
  <si>
    <t>Form 8995, QBID, Line 6</t>
  </si>
  <si>
    <t>Form 1116</t>
  </si>
  <si>
    <t>Total of 1099-INT and 1099-DIV income:</t>
  </si>
  <si>
    <t>Form 1099-G, Certain Government Payments</t>
  </si>
  <si>
    <t>Your Total</t>
  </si>
  <si>
    <t>PAYER's TIN</t>
  </si>
  <si>
    <t>Unemployment Compensation</t>
  </si>
  <si>
    <t>Sch. 1 Line 8 WS', line 7</t>
  </si>
  <si>
    <t>State or local income tax refunds, credits, offsets</t>
  </si>
  <si>
    <t>Box 2 amount is for tax year</t>
  </si>
  <si>
    <t>---</t>
  </si>
  <si>
    <t>RTAA Payments</t>
  </si>
  <si>
    <t>Taxable grants</t>
  </si>
  <si>
    <t>7a</t>
  </si>
  <si>
    <t>Agriculture payments - Disaster payments</t>
  </si>
  <si>
    <t>7b</t>
  </si>
  <si>
    <t>Agriculture payments - Other payments</t>
  </si>
  <si>
    <t>Check if box 2 is trade or business income</t>
  </si>
  <si>
    <t>9</t>
  </si>
  <si>
    <t>Market gain</t>
  </si>
  <si>
    <t>10a</t>
  </si>
  <si>
    <t>10b</t>
  </si>
  <si>
    <t>State income tax withheld</t>
  </si>
  <si>
    <t>Spouse Total</t>
  </si>
  <si>
    <t>Sch. 1 Line 8 WS', line 8     /    Sch. 1, line 7</t>
  </si>
  <si>
    <t>Sch. F, Line 6a</t>
  </si>
  <si>
    <t>Sch. F, Line 4a</t>
  </si>
  <si>
    <t>Sch. A, Line 5a</t>
  </si>
  <si>
    <t>This form has yet to be implemented.</t>
  </si>
  <si>
    <t>Download and follow IRS instructions for where the information and amounts should be entered.</t>
  </si>
  <si>
    <t>NOTE:</t>
  </si>
  <si>
    <t>https://www.irs.gov/pub/irs-pdf/f1099msc.pdf</t>
  </si>
  <si>
    <t>Information from Form 1099-R, Distributions From Pensions, Annuities, Retirement or Profit-Sharing  Plans, IRAs, Insurance Contracts, etc.</t>
  </si>
  <si>
    <t>Enter payer's name here.</t>
  </si>
  <si>
    <t>Total
IRAs</t>
  </si>
  <si>
    <t>Total Pension / Annuities</t>
  </si>
  <si>
    <t xml:space="preserve">Qualified
CONVersion
to ROTH IRA </t>
  </si>
  <si>
    <t>IRA</t>
  </si>
  <si>
    <t>P/A</t>
  </si>
  <si>
    <t>CONV</t>
  </si>
  <si>
    <t>Enter "IRA" or "P/A" or "CONV" &gt;&gt;&gt;</t>
  </si>
  <si>
    <t>Gross distribution</t>
  </si>
  <si>
    <t>Taxable amount</t>
  </si>
  <si>
    <t>Taxable amount not determined / total distr.</t>
  </si>
  <si>
    <t>Capital gain (included in box 2a)</t>
  </si>
  <si>
    <t>Employee contributions / Insurance premiums / 
Designated Roth IRA contributions</t>
  </si>
  <si>
    <t>Net unrealized appreciation in employer's securities</t>
  </si>
  <si>
    <r>
      <t xml:space="preserve">Distribution code(s) </t>
    </r>
    <r>
      <rPr>
        <b/>
        <sz val="10"/>
        <rFont val="Arial"/>
        <family val="2"/>
      </rPr>
      <t>(Code D only)</t>
    </r>
  </si>
  <si>
    <t>9a</t>
  </si>
  <si>
    <t>Your percentage of  total distribution</t>
  </si>
  <si>
    <t>9b</t>
  </si>
  <si>
    <t>Total employee contributions</t>
  </si>
  <si>
    <t>Amount allocable to IRR within 5 years</t>
  </si>
  <si>
    <t>1st year of desig. Roth contrib.</t>
  </si>
  <si>
    <t>Date of Payment</t>
  </si>
  <si>
    <t>State/payer's state no.</t>
  </si>
  <si>
    <t>State distribution</t>
  </si>
  <si>
    <t>Local tax withheld</t>
  </si>
  <si>
    <t>Name of locality</t>
  </si>
  <si>
    <t>Local distribution</t>
  </si>
  <si>
    <t xml:space="preserve">Qualified
Conversion
to ROTH IRA </t>
  </si>
  <si>
    <t>Capital gain (not included in box 2a)</t>
  </si>
  <si>
    <t>Total Distributions</t>
  </si>
  <si>
    <t>Total          IRAs</t>
  </si>
  <si>
    <t>Total
Pension / Annuities</t>
  </si>
  <si>
    <r>
      <t xml:space="preserve">If your IRA is </t>
    </r>
    <r>
      <rPr>
        <u/>
        <sz val="10"/>
        <color rgb="FF008000"/>
        <rFont val="Arial"/>
        <family val="2"/>
      </rPr>
      <t>fully</t>
    </r>
    <r>
      <rPr>
        <sz val="10"/>
        <color rgb="FF008000"/>
        <rFont val="Arial"/>
        <family val="2"/>
      </rPr>
      <t xml:space="preserve"> </t>
    </r>
    <r>
      <rPr>
        <u/>
        <sz val="10"/>
        <color rgb="FF008000"/>
        <rFont val="Arial"/>
        <family val="2"/>
      </rPr>
      <t>taxable</t>
    </r>
    <r>
      <rPr>
        <sz val="10"/>
        <color rgb="FF008000"/>
        <rFont val="Arial"/>
        <family val="2"/>
      </rPr>
      <t>, this spreadsheet will automatically enter</t>
    </r>
  </si>
  <si>
    <t>Form 1040, Line 4a, 5a</t>
  </si>
  <si>
    <t>the total IRA distributions (from Form(s) 1099-R, box 2a) on line 4b;</t>
  </si>
  <si>
    <t>Form 1040, Line 4b, 5b</t>
  </si>
  <si>
    <t>do not make an entry on line 4a.</t>
  </si>
  <si>
    <r>
      <t xml:space="preserve">If your pension or annuity is </t>
    </r>
    <r>
      <rPr>
        <u/>
        <sz val="10"/>
        <color rgb="FF008000"/>
        <rFont val="Arial"/>
        <family val="2"/>
      </rPr>
      <t>fully</t>
    </r>
    <r>
      <rPr>
        <sz val="10"/>
        <color rgb="FF008000"/>
        <rFont val="Arial"/>
        <family val="2"/>
      </rPr>
      <t xml:space="preserve"> </t>
    </r>
    <r>
      <rPr>
        <u/>
        <sz val="10"/>
        <color rgb="FF008000"/>
        <rFont val="Arial"/>
        <family val="2"/>
      </rPr>
      <t>taxable</t>
    </r>
    <r>
      <rPr>
        <sz val="10"/>
        <color rgb="FF008000"/>
        <rFont val="Arial"/>
        <family val="2"/>
      </rPr>
      <t>, this spreadsheet will automatically</t>
    </r>
  </si>
  <si>
    <t>enter the total pension or annuity distributions (from Form(s) 1099-R, box 2a)</t>
  </si>
  <si>
    <t>on line 5b; do not make an entry on line 5a.</t>
  </si>
  <si>
    <t>If your Form 1099-R doesn't show the taxable amount, you must use</t>
  </si>
  <si>
    <r>
      <t xml:space="preserve">Distribution code(s) </t>
    </r>
    <r>
      <rPr>
        <b/>
        <sz val="10"/>
        <rFont val="Arial"/>
        <family val="2"/>
      </rPr>
      <t>(Portion of line 2a w/Code D)</t>
    </r>
  </si>
  <si>
    <t>Form 8960, Line 3 (for Dist. Code 'D' only)</t>
  </si>
  <si>
    <t>the General Rule explained in Pub. 939 to figure the taxable part to enter on</t>
  </si>
  <si>
    <t>line 4b. But if your annuity starting date was after July 1, 1986,</t>
  </si>
  <si>
    <t>Your percentage of total distribution</t>
  </si>
  <si>
    <r>
      <t xml:space="preserve">see Simplified Method, sheet </t>
    </r>
    <r>
      <rPr>
        <b/>
        <sz val="10"/>
        <color rgb="FF008000"/>
        <rFont val="Arial"/>
        <family val="2"/>
      </rPr>
      <t>"Lines 5ab (Simplified Meth WS)"</t>
    </r>
    <r>
      <rPr>
        <sz val="10"/>
        <color rgb="FF008000"/>
        <rFont val="Arial"/>
        <family val="2"/>
      </rPr>
      <t xml:space="preserve">, to find out if you </t>
    </r>
  </si>
  <si>
    <t>must use that method to figure the taxable part.  You can ask the IRS to figure the</t>
  </si>
  <si>
    <t>taxable part for you for a $1,000 fee. For details, see Pub. 939.</t>
  </si>
  <si>
    <r>
      <t xml:space="preserve">The sheet labeled </t>
    </r>
    <r>
      <rPr>
        <b/>
        <sz val="10"/>
        <color rgb="FF008000"/>
        <rFont val="Arial"/>
        <family val="2"/>
      </rPr>
      <t>"Line 5ab (Simplified Meth WS)"</t>
    </r>
    <r>
      <rPr>
        <sz val="10"/>
        <color rgb="FF008000"/>
        <rFont val="Arial"/>
        <family val="2"/>
      </rPr>
      <t xml:space="preserve"> is a stand-alone worksheet that</t>
    </r>
  </si>
  <si>
    <t>is used to calculate the taxable amount of a pension or annuity that is not fully taxable.</t>
  </si>
  <si>
    <t>Portion of state and local taxes w/Code D</t>
  </si>
  <si>
    <t xml:space="preserve">Lines 4a and 4b </t>
  </si>
  <si>
    <t>Note:  This worksheet is intended to be used for one IRA at a time.</t>
  </si>
  <si>
    <t>IRA Distributions Worksheet</t>
  </si>
  <si>
    <t xml:space="preserve">You should receive a Form 1099-R showing the total amount of any distribution from your IRA before income tax or other deductions were withheld. This amount should be shown in box 1 of Form 1099-R. </t>
  </si>
  <si>
    <t xml:space="preserve">Unless otherwise noted in the line 4a and 4b instructions, an IRA includes a traditional IRA, Roth IRA, simplified employee pension (SEP) IRA, and a savings incentive match plan for employees (SIMPLE) IRA. </t>
  </si>
  <si>
    <t>Exception 1.</t>
  </si>
  <si>
    <t>Enter the total distribution on line 4a</t>
  </si>
  <si>
    <t xml:space="preserve">if you rolled over part or all of the distribution from one: </t>
  </si>
  <si>
    <t>                         </t>
  </si>
  <si>
    <r>
      <t>·</t>
    </r>
    <r>
      <rPr>
        <sz val="11"/>
        <color rgb="FF000000"/>
        <rFont val="Times New Roman"/>
        <family val="1"/>
      </rPr>
      <t xml:space="preserve">         Roth IRA to another Roth IRA, or </t>
    </r>
  </si>
  <si>
    <r>
      <t>·</t>
    </r>
    <r>
      <rPr>
        <sz val="11"/>
        <color rgb="FF000000"/>
        <rFont val="Times New Roman"/>
        <family val="1"/>
      </rPr>
      <t xml:space="preserve">         IRA (other than a Roth IRA) to a qualified plan or another IRA (other than a Roth IRA). </t>
    </r>
  </si>
  <si>
    <t xml:space="preserve"> If  the  total  distribution  was  rolled  over,</t>
  </si>
  <si>
    <t xml:space="preserve">enter -0- on line 4b. </t>
  </si>
  <si>
    <t xml:space="preserve"> If  the  total  distribution  wasn't  rolled over,</t>
  </si>
  <si>
    <t>enter the part not rolled over on line 4b</t>
  </si>
  <si>
    <t xml:space="preserve">Also enter “Rollover” next to line 4b. </t>
  </si>
  <si>
    <t xml:space="preserve">Generally, a rollover must be made within 60 days after the day you received the distribution. For more details on rollovers, see Pub. 590-A and Pub. 590-B. </t>
  </si>
  <si>
    <t>Exception 2.</t>
  </si>
  <si>
    <t xml:space="preserve"> If any of the following apply,</t>
  </si>
  <si>
    <t>and</t>
  </si>
  <si>
    <t>see Form 8606 and its instructions to figure the amount to enter on line 4b.</t>
  </si>
  <si>
    <t>You received a distribution from a Roth IRA. But if either (a) or (b) below applies,</t>
  </si>
  <si>
    <t xml:space="preserve">enter -0- on line 4b;  you don’t have to see Form 8606 or its instructions. </t>
  </si>
  <si>
    <t xml:space="preserve">a.       Distribution code T is shown in box 7 of Form 1099-R and you made a contribution (including a conversion) to a Roth IRA for 2016 or an earlier year. </t>
  </si>
  <si>
    <t xml:space="preserve">b.       Distribution code Q is shown in box 7 of Form 1099-R. </t>
  </si>
  <si>
    <t xml:space="preserve">You re-characterized part or all of a contribution to a Roth IRA as a contribution to another type of IRA, or vice versa. </t>
  </si>
  <si>
    <t>Exception 3.</t>
  </si>
  <si>
    <r>
      <t xml:space="preserve">If all or part of the distribution is a </t>
    </r>
    <r>
      <rPr>
        <b/>
        <sz val="11"/>
        <rFont val="Times New Roman"/>
        <family val="1"/>
      </rPr>
      <t>qualified charitable distribution (QCD)</t>
    </r>
    <r>
      <rPr>
        <sz val="11"/>
        <rFont val="Times New Roman"/>
        <family val="1"/>
      </rPr>
      <t>,</t>
    </r>
  </si>
  <si>
    <t>If the  total  amount  distributed is a QCD,</t>
  </si>
  <si>
    <t>If only part of the distribution is a QCD,</t>
  </si>
  <si>
    <t>enter the part that is not a QCD on line 4b</t>
  </si>
  <si>
    <t>A QCD is a distribution made directly by the trustee of your IRA (other than an ongoing SEP or SIMPLE IRA) to an organization eligible to receive tax-deductible</t>
  </si>
  <si>
    <t xml:space="preserve">contributions (with certain exceptions). You must have been at least age 70 1/2 when the distribution was made. </t>
  </si>
  <si>
    <t>The amount of the QCD is limited to the amount that would otherwise be included in your income.</t>
  </si>
  <si>
    <t xml:space="preserve">If your IRA includes nondeductible contributions, the distribution is first considered to be paid out of otherwise taxable income. See Pub. 590-B for details. </t>
  </si>
  <si>
    <t xml:space="preserve">You can't claim a charitable contribution deduction for any QCD not included in your income. </t>
  </si>
  <si>
    <t>Exception 4.</t>
  </si>
  <si>
    <r>
      <t xml:space="preserve"> If all or part of the  distribution is a  </t>
    </r>
    <r>
      <rPr>
        <b/>
        <sz val="11"/>
        <rFont val="Times New Roman"/>
        <family val="1"/>
      </rPr>
      <t>health  savings  account (HSA)</t>
    </r>
    <r>
      <rPr>
        <sz val="11"/>
        <rFont val="Times New Roman"/>
        <family val="1"/>
      </rPr>
      <t xml:space="preserve">  </t>
    </r>
    <r>
      <rPr>
        <b/>
        <sz val="11"/>
        <rFont val="Times New Roman"/>
        <family val="1"/>
      </rPr>
      <t>funding distribution (HFD)</t>
    </r>
    <r>
      <rPr>
        <sz val="11"/>
        <rFont val="Times New Roman"/>
        <family val="1"/>
      </rPr>
      <t>,</t>
    </r>
  </si>
  <si>
    <t>If the total amount distributed is an HFD and you elect to exclude it from income,</t>
  </si>
  <si>
    <t>If  only  part of  the  distribution is an HFD  and  you elect to exclude that part from income,</t>
  </si>
  <si>
    <t>enter the part that isn't an HFD on line 4b</t>
  </si>
  <si>
    <t>An HFD is a distribution made directly by the trustee of your IRA (other than an ongoing SEP or SIMPLE IRA) to your HSA.</t>
  </si>
  <si>
    <t>If eligible, you can generally elect to exclude an HFD from your income once in your lifetime.</t>
  </si>
  <si>
    <t>You can't exclude more than the limit on HSA contributions or more than the amount that would otherwise be included in your income.</t>
  </si>
  <si>
    <t xml:space="preserve">If your IRA includes nondeductible contributions, the HFD is first considered to be paid out of otherwise taxable income. See Pub. 969 for details. </t>
  </si>
  <si>
    <t>CAUTION!</t>
  </si>
  <si>
    <t>The amount of an HFD reduces the amount you can contribute to your HSA for the year.</t>
  </si>
  <si>
    <t>If you fail to maintain eligibility for an HSA for the 12 months following the month of the HFD, you may have to report the HFD as income and</t>
  </si>
  <si>
    <t xml:space="preserve">pay an additional tax. See Form 8889, Part III. </t>
  </si>
  <si>
    <r>
      <rPr>
        <b/>
        <sz val="11"/>
        <rFont val="Times New Roman"/>
        <family val="1"/>
      </rPr>
      <t>More than one exception applies.</t>
    </r>
    <r>
      <rPr>
        <sz val="11"/>
        <rFont val="Times New Roman"/>
        <family val="1"/>
      </rPr>
      <t xml:space="preserve"> If more than one exception applies, include a statement showing the amount of each exception, instead of making an entry next to line 4b.</t>
    </r>
  </si>
  <si>
    <r>
      <rPr>
        <b/>
        <sz val="11"/>
        <rFont val="Times New Roman"/>
        <family val="1"/>
      </rPr>
      <t>More than one distribution.</t>
    </r>
    <r>
      <rPr>
        <sz val="11"/>
        <rFont val="Times New Roman"/>
        <family val="1"/>
      </rPr>
      <t xml:space="preserve"> If you (or your spouse if filing jointly) received more than one distribution, figure the taxable amount of each distribution and </t>
    </r>
  </si>
  <si>
    <t xml:space="preserve">Enter the total of the taxable amounts on line 4b. Enter the total amount of those distributions on line 4a. </t>
  </si>
  <si>
    <t>You may have to pay an additional tax if you received an early distribution from your IRA and the total wasn't rolled over. See the instructions for Schedule 2, line 8, for details.</t>
  </si>
  <si>
    <r>
      <rPr>
        <b/>
        <sz val="11"/>
        <rFont val="Times New Roman"/>
        <family val="1"/>
      </rPr>
      <t>More information.</t>
    </r>
    <r>
      <rPr>
        <sz val="11"/>
        <rFont val="Times New Roman"/>
        <family val="1"/>
      </rPr>
      <t xml:space="preserve"> For more information about IRAs, see Pub. 590-A and Pub. 590-B.</t>
    </r>
  </si>
  <si>
    <t>Information from Form SSA-1099, Social Security Benefit Statement</t>
  </si>
  <si>
    <t>Used on Notice 703, Line A (below)</t>
  </si>
  <si>
    <t>Voluntary Federal income Tax Withheld</t>
  </si>
  <si>
    <t>Used in 1040, line 25b</t>
  </si>
  <si>
    <t>Notice 703</t>
  </si>
  <si>
    <t>Department of the Treasury</t>
  </si>
  <si>
    <t>(Rev. October 2020)</t>
  </si>
  <si>
    <t>Internal Revenue Service</t>
  </si>
  <si>
    <t>Read This To See If Your Social Security Benefits May Be Taxable</t>
  </si>
  <si>
    <t>o  You exclude income from sources outside the United States or foreign housing, income earned by bona fide residents of American Samoa or Puerto Rico, interest income from series EE 
or I U.S. savings bonds issued after 1989, or employer-provided adoption benefits.</t>
  </si>
  <si>
    <r>
      <t xml:space="preserve">Manual
Override
</t>
    </r>
    <r>
      <rPr>
        <b/>
        <sz val="10"/>
        <rFont val="Wingdings"/>
        <charset val="2"/>
      </rPr>
      <t>ê</t>
    </r>
  </si>
  <si>
    <r>
      <rPr>
        <b/>
        <sz val="11"/>
        <rFont val="Arial"/>
        <family val="2"/>
      </rPr>
      <t>Note.</t>
    </r>
    <r>
      <rPr>
        <sz val="11"/>
        <rFont val="Arial"/>
        <family val="2"/>
      </rPr>
      <t xml:space="preserve"> If you plan to file a joint income tax return, include your spouse's amounts, if any, on lines A, C, and D</t>
    </r>
  </si>
  <si>
    <t>A</t>
  </si>
  <si>
    <r>
      <t xml:space="preserve">Enter the total amount from </t>
    </r>
    <r>
      <rPr>
        <b/>
        <sz val="10"/>
        <rFont val="Arial"/>
        <family val="2"/>
      </rPr>
      <t>box 5</t>
    </r>
    <r>
      <rPr>
        <sz val="10"/>
        <rFont val="Arial"/>
        <family val="2"/>
      </rPr>
      <t xml:space="preserve"> of all your </t>
    </r>
    <r>
      <rPr>
        <b/>
        <sz val="10"/>
        <rFont val="Arial"/>
        <family val="2"/>
      </rPr>
      <t>Forms SSA-1099</t>
    </r>
    <r>
      <rPr>
        <sz val="10"/>
        <rFont val="Arial"/>
        <family val="2"/>
      </rPr>
      <t>. Include the</t>
    </r>
  </si>
  <si>
    <t>Line A is used in</t>
  </si>
  <si>
    <r>
      <t>earlier years</t>
    </r>
    <r>
      <rPr>
        <b/>
        <sz val="10"/>
        <rFont val="Arial"/>
        <family val="2"/>
      </rPr>
      <t>.   .   .   .   .   .   .   .   .   .   .   .   .   .   .   .   .   .   .   .   .   .   .   .   .   .   .   .   .   .   .   .   .   .   .   .   .   .   .   .   .   .   .   .   .   .</t>
    </r>
  </si>
  <si>
    <t xml:space="preserve">   .   .   .   .   .   .   .   .   .   .   .   .   .   .   .   .   .   .   .   .   .   .   .   .   .   .   .   .   .   .   .   .   .   .   .   .   .   .   .   .   .   .   .   .   .</t>
  </si>
  <si>
    <t>Sheet "Line 6ab (SS Bene)", line 1.</t>
  </si>
  <si>
    <t>B</t>
  </si>
  <si>
    <t xml:space="preserve">.   .   .   .   .   .   .   .   .   .   .   .   .   .   .   .   .   .   .   .   .   .   .   .   .   .   .   .   .   .   .   .   .   .   .   .   .   .   .   .   .   .   .   .   .   .   .   .   .   .   . </t>
  </si>
  <si>
    <t>C</t>
  </si>
  <si>
    <r>
      <t>Enter your</t>
    </r>
    <r>
      <rPr>
        <b/>
        <sz val="10"/>
        <rFont val="Arial"/>
        <family val="2"/>
      </rPr>
      <t xml:space="preserve"> total income</t>
    </r>
    <r>
      <rPr>
        <sz val="10"/>
        <rFont val="Arial"/>
        <family val="2"/>
      </rPr>
      <t xml:space="preserve"> that is taxable (excluding Line A), such as pensions, wages, interest, ordinary
dividends, and capital gain distributions. </t>
    </r>
    <r>
      <rPr>
        <b/>
        <sz val="10"/>
        <rFont val="Arial"/>
        <family val="2"/>
      </rPr>
      <t>Do not</t>
    </r>
    <r>
      <rPr>
        <sz val="10"/>
        <rFont val="Arial"/>
        <family val="2"/>
      </rPr>
      <t xml:space="preserve"> reduce your income by any items such
as student loan interest deduction, the standard deduction (or itemized deductions), or</t>
    </r>
  </si>
  <si>
    <r>
      <t>exemptions</t>
    </r>
    <r>
      <rPr>
        <b/>
        <sz val="10"/>
        <rFont val="Arial"/>
        <family val="2"/>
      </rPr>
      <t xml:space="preserve"> .   .   .   .   .   .   .   .   .   .   .   .   .   .   .   .   .   .   .   .   .   .   .   .   .   .   .   .   .   .   .   .   .   .   .   .   .   .   .   .   .</t>
    </r>
  </si>
  <si>
    <t>D</t>
  </si>
  <si>
    <t>Enter any tax-exempt interest such as interest on municipal bonds</t>
  </si>
  <si>
    <t>.   .   .   .   .   .   .   .   .   .   .   .   .   .   .   .   .   .   .   .   .</t>
  </si>
  <si>
    <t>E</t>
  </si>
  <si>
    <r>
      <t xml:space="preserve">Add lines B, C, and D, and enter the total here. </t>
    </r>
    <r>
      <rPr>
        <b/>
        <sz val="10"/>
        <rFont val="Arial"/>
        <family val="2"/>
      </rPr>
      <t>Then, read the information below</t>
    </r>
  </si>
  <si>
    <t>.   .   .   .   .   .   .   .   .   .   .   .   .   .</t>
  </si>
  <si>
    <t>Part of your social security benefits may be taxable.</t>
  </si>
  <si>
    <r>
      <t xml:space="preserve">If </t>
    </r>
    <r>
      <rPr>
        <b/>
        <sz val="10"/>
        <rFont val="Arial"/>
        <family val="2"/>
      </rPr>
      <t>none</t>
    </r>
    <r>
      <rPr>
        <sz val="10"/>
        <rFont val="Arial"/>
        <family val="2"/>
      </rPr>
      <t xml:space="preserve"> of your benefits are taxable, but you must otherwise file a tax return, do the following</t>
    </r>
  </si>
  <si>
    <t>Railroad Retirement Benefits, for
rules on a lump-sum election you
can make that may reduce the
amount of your taxable benefits.</t>
  </si>
  <si>
    <r>
      <t xml:space="preserve">o  Enter the total amount from line A above on Form 1040, line 6a, </t>
    </r>
    <r>
      <rPr>
        <b/>
        <sz val="10"/>
        <rFont val="Arial"/>
        <family val="2"/>
      </rPr>
      <t>and</t>
    </r>
    <r>
      <rPr>
        <sz val="10"/>
        <rFont val="Arial"/>
        <family val="2"/>
      </rPr>
      <t xml:space="preserve"> enter -0- on Form 1040, line 6b.</t>
    </r>
  </si>
  <si>
    <t>Get More Information 
From the IRS</t>
  </si>
  <si>
    <t>Do not return this notice to the SSA or the IRS. Keep it with your records.</t>
  </si>
  <si>
    <t>IRS.gov</t>
  </si>
  <si>
    <t>Catalog No. 61879N</t>
  </si>
  <si>
    <t>NOTE:  Check every calculation carefully!!!</t>
  </si>
  <si>
    <t>www.excel1040.com</t>
  </si>
  <si>
    <r>
      <t xml:space="preserve">Check here to remove </t>
    </r>
    <r>
      <rPr>
        <b/>
        <sz val="9"/>
        <color rgb="FF0070C0"/>
        <rFont val="Arial"/>
        <family val="2"/>
      </rPr>
      <t>blue</t>
    </r>
    <r>
      <rPr>
        <b/>
        <sz val="9"/>
        <color rgb="FF008000"/>
        <rFont val="Arial"/>
        <family val="2"/>
      </rPr>
      <t xml:space="preserve"> &amp; green colors from all sheets.</t>
    </r>
  </si>
  <si>
    <t>Alaska</t>
  </si>
  <si>
    <t>Hawaii</t>
  </si>
  <si>
    <t>Maine</t>
  </si>
  <si>
    <t>Mass.</t>
  </si>
  <si>
    <t>D.C.</t>
  </si>
  <si>
    <t>OMB No. 1545-0074</t>
  </si>
  <si>
    <t>Filing Status:</t>
  </si>
  <si>
    <t>Filing Status</t>
  </si>
  <si>
    <t xml:space="preserve"> Single</t>
  </si>
  <si>
    <t>Married filing separately (MFS)</t>
  </si>
  <si>
    <t>Your first name and middle initial</t>
  </si>
  <si>
    <t>Your social security number</t>
  </si>
  <si>
    <t>For 'Patriots' Day or</t>
  </si>
  <si>
    <t>Emancipation Day (D.C.)</t>
  </si>
  <si>
    <t>If joint return, spouse's first name and middle initial</t>
  </si>
  <si>
    <t xml:space="preserve">   Last name</t>
  </si>
  <si>
    <t>Home address (number and street). If you have a P.O. box, see instructions.</t>
  </si>
  <si>
    <t xml:space="preserve">  Apt. no.</t>
  </si>
  <si>
    <t>Presidential Election Campaign</t>
  </si>
  <si>
    <t>Month (e.g. '11')</t>
  </si>
  <si>
    <t>Day (e.g. '9')</t>
  </si>
  <si>
    <t>Year (e.g. '1997')</t>
  </si>
  <si>
    <r>
      <t xml:space="preserve">City, town, or post office.  </t>
    </r>
    <r>
      <rPr>
        <sz val="8"/>
        <rFont val="Arial"/>
        <family val="2"/>
      </rPr>
      <t xml:space="preserve"> If you have a foreign address, also complete spaces below.</t>
    </r>
  </si>
  <si>
    <t>ZIP Code</t>
  </si>
  <si>
    <t xml:space="preserve">You </t>
  </si>
  <si>
    <t>Foreign country name</t>
  </si>
  <si>
    <t>Foreign province/state/county</t>
  </si>
  <si>
    <t>Foreign postal code</t>
  </si>
  <si>
    <t>You</t>
  </si>
  <si>
    <t>Spouse</t>
  </si>
  <si>
    <t>Yes</t>
  </si>
  <si>
    <t>No</t>
  </si>
  <si>
    <t>Someone can claim:</t>
  </si>
  <si>
    <t xml:space="preserve"> You as a dependent</t>
  </si>
  <si>
    <t>You:</t>
  </si>
  <si>
    <t xml:space="preserve"> Are blind</t>
  </si>
  <si>
    <t xml:space="preserve"> Is blind</t>
  </si>
  <si>
    <t>Dependents</t>
  </si>
  <si>
    <t>(4)</t>
  </si>
  <si>
    <t>If more 
than four 
dependents, 
see instructions 
and check</t>
  </si>
  <si>
    <t>Child tax credit</t>
  </si>
  <si>
    <t>Credit for other dependents</t>
  </si>
  <si>
    <t>Enter information for dependents on the 'Dependents' sheet.</t>
  </si>
  <si>
    <t>Number of qualifying children.</t>
  </si>
  <si>
    <t>Number of other dependents.</t>
  </si>
  <si>
    <t>Tax Family Size  (for Form 8962, Premium Tax Credit)</t>
  </si>
  <si>
    <t>here</t>
  </si>
  <si>
    <t>Manual
Override</t>
  </si>
  <si>
    <r>
      <t xml:space="preserve">Determine the number of individuals in your tax family using your tax return. Your tax family generally includes you, your spouse if you are filing a joint return, and your dependents. If you checked the “Someone can claim you as a dependent” box, or if you’re filing jointly and you checked the “Someone can claim your spouse as a dependent” box on your tax return, you or your spouse are not included in the tax family size calculation for purposes of </t>
    </r>
    <r>
      <rPr>
        <b/>
        <sz val="10"/>
        <rFont val="Arial"/>
        <family val="2"/>
      </rPr>
      <t>Form 8962, Premium Tax Credit, line 1</t>
    </r>
    <r>
      <rPr>
        <sz val="10"/>
        <rFont val="Arial"/>
        <family val="2"/>
      </rPr>
      <t>.</t>
    </r>
  </si>
  <si>
    <t>Income</t>
  </si>
  <si>
    <t>a</t>
  </si>
  <si>
    <t>Total amount from Form(s) W-2, box 1 (see instructions)</t>
  </si>
  <si>
    <t xml:space="preserve">.   .   .   .   .   .   .   .   .   .   .   .   .   .   .   .   . </t>
  </si>
  <si>
    <t>4a</t>
  </si>
  <si>
    <t>b</t>
  </si>
  <si>
    <t>Household employee wages not reported on Form(s) W-2</t>
  </si>
  <si>
    <t xml:space="preserve">.   .   .   .   .   .   .   .   .   .   .   .   .   .   .   . </t>
  </si>
  <si>
    <t>c</t>
  </si>
  <si>
    <t>Tip income not reported on line 1a (see instructions)</t>
  </si>
  <si>
    <t xml:space="preserve">.   .   .   .   .   .   .   .   .   .   .   .   .   .   .   .   .   . </t>
  </si>
  <si>
    <t>1c</t>
  </si>
  <si>
    <t>d</t>
  </si>
  <si>
    <t>Medicaid waiver payments not reported on Form(s) W-2 (see instructions)</t>
  </si>
  <si>
    <t xml:space="preserve">.   .   .   .   .   .   .   .   .   . </t>
  </si>
  <si>
    <t>1d</t>
  </si>
  <si>
    <t>e</t>
  </si>
  <si>
    <t>Taxable dependent care benefits from Form 2441, line 26</t>
  </si>
  <si>
    <t>1e</t>
  </si>
  <si>
    <t>f</t>
  </si>
  <si>
    <t>Employer provided adoption benefits from Form 8839, line 29</t>
  </si>
  <si>
    <t xml:space="preserve">.   .   .   .   .   .   .   .   .   .   .   .   .   .   . </t>
  </si>
  <si>
    <t>1f</t>
  </si>
  <si>
    <t>g</t>
  </si>
  <si>
    <t>Wages from Form 8919, line 6</t>
  </si>
  <si>
    <t xml:space="preserve">.   .   .   .   .   .   .   .   .   .   .   .   .   .   .   .   .   .   .   .   .   .   .   .   . </t>
  </si>
  <si>
    <t>1g</t>
  </si>
  <si>
    <t>If you did not 
get a Form W-2, 
see instructions.</t>
  </si>
  <si>
    <t>h</t>
  </si>
  <si>
    <t>Other earned income (see instructions)</t>
  </si>
  <si>
    <t xml:space="preserve">.   .   .   .   .   .   .   .   .   .   .   .   .   .   .   .   .   .   .   .   .   . </t>
  </si>
  <si>
    <t>1h</t>
  </si>
  <si>
    <t>i</t>
  </si>
  <si>
    <t>Nontaxable combat pay election (see instructions)</t>
  </si>
  <si>
    <t>1i</t>
  </si>
  <si>
    <t>z</t>
  </si>
  <si>
    <t>Add lines 1a through 1h</t>
  </si>
  <si>
    <t xml:space="preserve">.   .   .   .   .   .   .   .   . </t>
  </si>
  <si>
    <t>1z</t>
  </si>
  <si>
    <t>Attach Sch. B
if required.</t>
  </si>
  <si>
    <t xml:space="preserve">.   .   .   . </t>
  </si>
  <si>
    <t>Taxable interest</t>
  </si>
  <si>
    <t>5a</t>
  </si>
  <si>
    <t>Ordinary dividends</t>
  </si>
  <si>
    <t xml:space="preserve">.   .   .   .   .   .   .   . </t>
  </si>
  <si>
    <t>Standard</t>
  </si>
  <si>
    <t>IRA distributions</t>
  </si>
  <si>
    <t>Standard versus Itemized Deduction</t>
  </si>
  <si>
    <t>Pensions and annuities</t>
  </si>
  <si>
    <t xml:space="preserve">.   .   . </t>
  </si>
  <si>
    <t>•</t>
  </si>
  <si>
    <t>Social security benefits</t>
  </si>
  <si>
    <t>Rollover</t>
  </si>
  <si>
    <t>If you elect to use the lump-sum election method, check here (see instructions)</t>
  </si>
  <si>
    <t xml:space="preserve">. </t>
  </si>
  <si>
    <t>Capital gain or (loss).  Attach Schedule D if required. If not required, check here</t>
  </si>
  <si>
    <t xml:space="preserve">.   .   .   .   .   .   . </t>
  </si>
  <si>
    <t>Itemized</t>
  </si>
  <si>
    <t>Married filing</t>
  </si>
  <si>
    <t>Other income from Schedule 1, line 10</t>
  </si>
  <si>
    <t xml:space="preserve">.   .   .   .   .   .   .   .   .   .   .   .   .   .   .   .   .   .   .   .   .   .   . </t>
  </si>
  <si>
    <t xml:space="preserve">.   .   .   .   .   .   .   .   .   .   .   .   .   . </t>
  </si>
  <si>
    <t>Adjustments to income from Schedule 1, line 26</t>
  </si>
  <si>
    <t xml:space="preserve">.   .   .   .   .   .   .   .   .   .   .   .   .   .   .   .   .   .   .   .   . </t>
  </si>
  <si>
    <t>NQDL</t>
  </si>
  <si>
    <t>Qualified business income deduction from Form 8995 or Form 8995-A</t>
  </si>
  <si>
    <t xml:space="preserve">.   .   .   .   .   .   .   .   .   .   .   .   .   .   .   .   .   .   .   .   .   .   .   .   .   .   .   . </t>
  </si>
  <si>
    <t>Subtract line 14 from line 11.</t>
  </si>
  <si>
    <t>If zero or less, enter -0-.</t>
  </si>
  <si>
    <r>
      <t xml:space="preserve">This is your </t>
    </r>
    <r>
      <rPr>
        <b/>
        <sz val="9"/>
        <rFont val="Arial"/>
        <family val="2"/>
      </rPr>
      <t>taxable income</t>
    </r>
  </si>
  <si>
    <t>For Disclosure, Privacy Act, and Paperwork Reduction Act Notice, see separate instructions.</t>
  </si>
  <si>
    <t>Cat. No. 11320B</t>
  </si>
  <si>
    <r>
      <t xml:space="preserve">Form </t>
    </r>
    <r>
      <rPr>
        <b/>
        <sz val="12"/>
        <rFont val="Arial"/>
        <family val="2"/>
      </rPr>
      <t>1040</t>
    </r>
  </si>
  <si>
    <r>
      <rPr>
        <sz val="9"/>
        <rFont val="Arial"/>
        <family val="2"/>
      </rPr>
      <t xml:space="preserve">Page  </t>
    </r>
    <r>
      <rPr>
        <b/>
        <sz val="12"/>
        <rFont val="Arial"/>
        <family val="2"/>
      </rPr>
      <t>2</t>
    </r>
  </si>
  <si>
    <t>The tax in Line 16 is</t>
  </si>
  <si>
    <t>Taxable_Inc</t>
  </si>
  <si>
    <t>MFJ/QW</t>
  </si>
  <si>
    <t>Amount from Schedule 2, line 3</t>
  </si>
  <si>
    <t xml:space="preserve">.   .   .   .   .   .   .   .   .   .   .   .   .   .   .   .   .   .   .   .   .   .   .   . </t>
  </si>
  <si>
    <t>calculated using:</t>
  </si>
  <si>
    <t>Add lines 16 and 17</t>
  </si>
  <si>
    <t xml:space="preserve">.   .   .   .   .   .   .   .   .   .   .   .   .   .   .   .   .   .   .   .   .   .   .   .   .   .   .   .   . </t>
  </si>
  <si>
    <t>Child tax credit or credit for other dependents from Schedule 8812</t>
  </si>
  <si>
    <t xml:space="preserve">.   .   .   .   .   .   .   .   .   .   . </t>
  </si>
  <si>
    <t>Amount from Schedule 3, line 8</t>
  </si>
  <si>
    <t>Tax &gt;&gt;</t>
  </si>
  <si>
    <t>Add lines 19 and 20</t>
  </si>
  <si>
    <t>Subtract line 21 from line 18. If zero or less, enter -0-</t>
  </si>
  <si>
    <t>Other taxes, including self-employment tax, from Schedule 2, line 21</t>
  </si>
  <si>
    <t xml:space="preserve">.   .   .   .   .   .   .   .   .   .   .   .   . </t>
  </si>
  <si>
    <t xml:space="preserve">.   .   .   .   .   .   .   .   .   .   .   .   .   .   .   .   .   .   .   .   .   .   .   .   .   . </t>
  </si>
  <si>
    <t>Federal income tax withheld from:</t>
  </si>
  <si>
    <t>Form(s) W-2</t>
  </si>
  <si>
    <t>25a</t>
  </si>
  <si>
    <t>Form(s) 1099</t>
  </si>
  <si>
    <t>25b</t>
  </si>
  <si>
    <r>
      <t>25b</t>
    </r>
    <r>
      <rPr>
        <sz val="10"/>
        <rFont val="Arial"/>
        <family val="2"/>
      </rPr>
      <t xml:space="preserve"> (add)</t>
    </r>
  </si>
  <si>
    <t>Birthdate and age calculator</t>
  </si>
  <si>
    <t>Jan</t>
  </si>
  <si>
    <t>Other forms (see instructions)</t>
  </si>
  <si>
    <t>25c</t>
  </si>
  <si>
    <r>
      <t>25c</t>
    </r>
    <r>
      <rPr>
        <sz val="10"/>
        <rFont val="Arial"/>
        <family val="2"/>
      </rPr>
      <t xml:space="preserve"> (add)</t>
    </r>
  </si>
  <si>
    <t>Feb</t>
  </si>
  <si>
    <t>Add lines 25a through 25c</t>
  </si>
  <si>
    <t xml:space="preserve">.   .   .   .   .   .   .   .   .   .   .   .   .   .   .   .   .   .   .   .   .   .   .   .   .   .   . </t>
  </si>
  <si>
    <t>25d</t>
  </si>
  <si>
    <t>Mar</t>
  </si>
  <si>
    <t>Apr</t>
  </si>
  <si>
    <t>Earned income credit (EIC)</t>
  </si>
  <si>
    <t>27</t>
  </si>
  <si>
    <t>BadBirthday_Yours</t>
  </si>
  <si>
    <t>70th Birthday --&gt;</t>
  </si>
  <si>
    <t>May</t>
  </si>
  <si>
    <t>Jun</t>
  </si>
  <si>
    <t>American opportunity credit from Form 8863, line 8</t>
  </si>
  <si>
    <t xml:space="preserve">.   .   .   .   .   .   .   .   .   .   .   . </t>
  </si>
  <si>
    <t>Jul</t>
  </si>
  <si>
    <t>Reserved for future use</t>
  </si>
  <si>
    <t>Aug</t>
  </si>
  <si>
    <t>Amount from Schedule 3, line 15</t>
  </si>
  <si>
    <t>Sep</t>
  </si>
  <si>
    <t xml:space="preserve">.   .   .   .   .   . </t>
  </si>
  <si>
    <t xml:space="preserve"> </t>
  </si>
  <si>
    <t>End of tax year minus 6 months --&gt;</t>
  </si>
  <si>
    <t>Oct</t>
  </si>
  <si>
    <t>YOU &gt;=24 Test</t>
  </si>
  <si>
    <t>Nov</t>
  </si>
  <si>
    <t>YOU &gt;=25 Test</t>
  </si>
  <si>
    <t>Dec</t>
  </si>
  <si>
    <t>Refund</t>
  </si>
  <si>
    <t xml:space="preserve">.   .   .   .   . </t>
  </si>
  <si>
    <t>YOU &lt;65 Test</t>
  </si>
  <si>
    <t>Bad</t>
  </si>
  <si>
    <t>Direct deposit?</t>
  </si>
  <si>
    <t>Routing number</t>
  </si>
  <si>
    <r>
      <rPr>
        <b/>
        <sz val="9"/>
        <rFont val="Arial"/>
        <family val="2"/>
      </rPr>
      <t xml:space="preserve">c </t>
    </r>
    <r>
      <rPr>
        <sz val="9"/>
        <rFont val="Arial"/>
        <family val="2"/>
      </rPr>
      <t>Type:</t>
    </r>
  </si>
  <si>
    <t>Checking</t>
  </si>
  <si>
    <t>Savings</t>
  </si>
  <si>
    <t>BOTH</t>
  </si>
  <si>
    <t>See instructions</t>
  </si>
  <si>
    <t xml:space="preserve">  Line 39 ---&gt;</t>
  </si>
  <si>
    <t>Amount 
You Owe</t>
  </si>
  <si>
    <t>Tax Day</t>
  </si>
  <si>
    <t>Monday is a holiday in some places.</t>
  </si>
  <si>
    <t>Third Party Designee</t>
  </si>
  <si>
    <t>Do you want to allow another person to discuss this return with the IRS?</t>
  </si>
  <si>
    <r>
      <rPr>
        <b/>
        <sz val="9"/>
        <rFont val="Arial"/>
        <family val="2"/>
      </rPr>
      <t xml:space="preserve">Yes.  </t>
    </r>
    <r>
      <rPr>
        <sz val="9"/>
        <rFont val="Arial"/>
        <family val="2"/>
      </rPr>
      <t>Complete below.</t>
    </r>
  </si>
  <si>
    <t xml:space="preserve"> No</t>
  </si>
  <si>
    <t>Designee's name</t>
  </si>
  <si>
    <t>Phone no.</t>
  </si>
  <si>
    <t>Personal identification 
number (PIN)</t>
  </si>
  <si>
    <t>Sign 
Here</t>
  </si>
  <si>
    <t>Under penalties of perjury, I declare that I have examined this return and accompanying schedules and statements, and to the best of my knowledge and</t>
  </si>
  <si>
    <t>belief, they are true, correct, and complete. Declaration of preparer (other than taxpayer) is based on all information of which preparer has any knowledge.</t>
  </si>
  <si>
    <t>BadBirthdaySpouse</t>
  </si>
  <si>
    <t>Your signature</t>
  </si>
  <si>
    <t>Your occupation</t>
  </si>
  <si>
    <t>If the IRS sent you an identity Protection PIN, enter it here</t>
  </si>
  <si>
    <t>Joint return?</t>
  </si>
  <si>
    <t>See instructions.</t>
  </si>
  <si>
    <t>(see inst.)</t>
  </si>
  <si>
    <t>Spouse's occupation</t>
  </si>
  <si>
    <t>SPOUSE &gt;=24 Test</t>
  </si>
  <si>
    <t>Email address</t>
  </si>
  <si>
    <t>SPOUSE &gt;=25 Test</t>
  </si>
  <si>
    <t>Preparer’s name</t>
  </si>
  <si>
    <t>Preparer’s signature</t>
  </si>
  <si>
    <t>PTIN</t>
  </si>
  <si>
    <t>Check if:</t>
  </si>
  <si>
    <t>SPOUSE &lt;65 Test</t>
  </si>
  <si>
    <t>Self-employed</t>
  </si>
  <si>
    <t>Firm’s name</t>
  </si>
  <si>
    <t>Firm’s address</t>
  </si>
  <si>
    <t>Firm's EIN</t>
  </si>
  <si>
    <r>
      <rPr>
        <sz val="10"/>
        <rFont val="Arial"/>
        <family val="2"/>
      </rPr>
      <t xml:space="preserve">Form </t>
    </r>
    <r>
      <rPr>
        <b/>
        <sz val="14"/>
        <rFont val="Arial"/>
        <family val="2"/>
      </rPr>
      <t>1040</t>
    </r>
  </si>
  <si>
    <t>Download Form 1040 General Instructions from IRS</t>
  </si>
  <si>
    <t>Download Form 1040 from IRS</t>
  </si>
  <si>
    <t>Both (Error)</t>
  </si>
  <si>
    <t>Age</t>
  </si>
  <si>
    <t>Birthdate</t>
  </si>
  <si>
    <t>Valid SSN?</t>
  </si>
  <si>
    <t>Default SSN?</t>
  </si>
  <si>
    <t>QC</t>
  </si>
  <si>
    <t>More
Dependents</t>
  </si>
  <si>
    <t>Override</t>
  </si>
  <si>
    <t>Line 4</t>
  </si>
  <si>
    <t>Line 6</t>
  </si>
  <si>
    <t>Line 5</t>
  </si>
  <si>
    <t>Additional Income and Adjustments to Income</t>
  </si>
  <si>
    <t>Attach to Form 1040, 1040-SR, or 1040-NR.</t>
  </si>
  <si>
    <r>
      <t xml:space="preserve">Attachment
Sequence  </t>
    </r>
    <r>
      <rPr>
        <b/>
        <sz val="12"/>
        <rFont val="Arial"/>
        <family val="2"/>
      </rPr>
      <t>01</t>
    </r>
  </si>
  <si>
    <r>
      <t xml:space="preserve">Go to </t>
    </r>
    <r>
      <rPr>
        <b/>
        <i/>
        <sz val="10"/>
        <rFont val="Arial"/>
        <family val="2"/>
      </rPr>
      <t>www.irs.gov/Form1040</t>
    </r>
    <r>
      <rPr>
        <b/>
        <sz val="10"/>
        <rFont val="Arial"/>
        <family val="2"/>
      </rPr>
      <t xml:space="preserve"> for instructions and the latest information.</t>
    </r>
  </si>
  <si>
    <t>Name(s) shown on Form 1040, 1040-SR, or 1040-NR</t>
  </si>
  <si>
    <t>Part I</t>
  </si>
  <si>
    <t>Additional Income</t>
  </si>
  <si>
    <t>Source:</t>
  </si>
  <si>
    <t>Taxable refunds, credits, or offsets of state and local income taxes</t>
  </si>
  <si>
    <t xml:space="preserve">.   .   .   .   .   .   .   .   .   .  </t>
  </si>
  <si>
    <t>TIP</t>
  </si>
  <si>
    <t>Alimony received</t>
  </si>
  <si>
    <t xml:space="preserve">.   .   .   .   .   .   .   .   .   .   .   .   .   .   .   .   .   .   .   .   .   .   .   .   .   .   .   .   .   .  </t>
  </si>
  <si>
    <r>
      <rPr>
        <b/>
        <sz val="10"/>
        <rFont val="Arial"/>
        <family val="2"/>
      </rPr>
      <t>&lt;&lt;&lt;</t>
    </r>
    <r>
      <rPr>
        <sz val="10"/>
        <rFont val="Arial"/>
        <family val="2"/>
      </rPr>
      <t xml:space="preserve"> Enter </t>
    </r>
    <r>
      <rPr>
        <b/>
        <sz val="10"/>
        <rFont val="Arial"/>
        <family val="2"/>
      </rPr>
      <t>Alimony Received</t>
    </r>
    <r>
      <rPr>
        <sz val="10"/>
        <rFont val="Arial"/>
        <family val="2"/>
      </rPr>
      <t xml:space="preserve"> here.</t>
    </r>
  </si>
  <si>
    <t>Date of original divorce or separation agreement (see instructions)</t>
  </si>
  <si>
    <t>Enter amounts received as alimony or separate maintenance pursuant to a divorce or separation agreement entered into on or before December 31, 2018, unless that agreement was changed after December 31, 2018, to expressly provide that alimony received isn't included in your income. Alimony received is not included in your income if you entered into a divorce or separation agreement after December 31, 2018. If you are including alimony in your income, you must let the person who made the payments know your social security number. If you don’t, you may have to pay a penalty. For more details, see Pub. 504. If you are including alimony payments from more than one divorce or separation agreement in your income, enter the total of all alimony received on line 2a.</t>
  </si>
  <si>
    <t>Business income or (loss). Attach Schedule C</t>
  </si>
  <si>
    <t xml:space="preserve">.   .   .   .   .   .   .   .   .   .   .   .   .   .   .   .   .   .  </t>
  </si>
  <si>
    <t xml:space="preserve">.   .   .   .   .   .   .   .   .   .   .   .   .   .   .   .   .   .   .   .  </t>
  </si>
  <si>
    <t>Farm income or (loss). Attach Schedule F</t>
  </si>
  <si>
    <t>Form 1099-G</t>
  </si>
  <si>
    <t>Other income:</t>
  </si>
  <si>
    <t>Net operating loss</t>
  </si>
  <si>
    <t>8a</t>
  </si>
  <si>
    <t>(</t>
  </si>
  <si>
    <t>)</t>
  </si>
  <si>
    <t>Gambling</t>
  </si>
  <si>
    <t xml:space="preserve">.   .   .   .   .   .   .   .   .   .   .   .   .   .   .   .   .   .   .   .   .   .   .  </t>
  </si>
  <si>
    <t>8b</t>
  </si>
  <si>
    <t>Cancellation of debt</t>
  </si>
  <si>
    <t xml:space="preserve">.   .   .   .   .   .   .   .   .   .   .   .   .   .   .   .   .   .   .  </t>
  </si>
  <si>
    <t>8c</t>
  </si>
  <si>
    <t>Foreign earned income exclusion from Form 2555</t>
  </si>
  <si>
    <t xml:space="preserve">.   .   .   .   .   .   .  </t>
  </si>
  <si>
    <t>8d</t>
  </si>
  <si>
    <t>Income from Form 8853</t>
  </si>
  <si>
    <t xml:space="preserve">.   .   .   .   .   .   .   .   .   .   .   .   .   .   .   .   .  </t>
  </si>
  <si>
    <t>8e</t>
  </si>
  <si>
    <t>Income from Form 8889</t>
  </si>
  <si>
    <t>8f</t>
  </si>
  <si>
    <t>Alaska Permanent Fund dividends</t>
  </si>
  <si>
    <t xml:space="preserve">.   .   .   .   .   .   .   .   .   .   .   .   .   .  </t>
  </si>
  <si>
    <t>8g</t>
  </si>
  <si>
    <t>Jury duty pay</t>
  </si>
  <si>
    <t>8h</t>
  </si>
  <si>
    <t>Prizes and awards</t>
  </si>
  <si>
    <t>8i</t>
  </si>
  <si>
    <t>j</t>
  </si>
  <si>
    <t>Activity not engaged in for profit income</t>
  </si>
  <si>
    <t xml:space="preserve">.   .   .   .   .   .   .   .   .   .   .  </t>
  </si>
  <si>
    <t>8j</t>
  </si>
  <si>
    <t>k</t>
  </si>
  <si>
    <t>Stock options</t>
  </si>
  <si>
    <t xml:space="preserve">.   .  </t>
  </si>
  <si>
    <t>8k</t>
  </si>
  <si>
    <t>l</t>
  </si>
  <si>
    <t>for profit but were not in the business of renting such property</t>
  </si>
  <si>
    <t xml:space="preserve">.   .   .  </t>
  </si>
  <si>
    <t>8l</t>
  </si>
  <si>
    <t>m</t>
  </si>
  <si>
    <t>instructions)</t>
  </si>
  <si>
    <t>8m</t>
  </si>
  <si>
    <t>n</t>
  </si>
  <si>
    <t>Section 951(a) inclusion (see instructions)</t>
  </si>
  <si>
    <t>8n</t>
  </si>
  <si>
    <t>o</t>
  </si>
  <si>
    <t>Section 951A(a) inclusion (see instructions)</t>
  </si>
  <si>
    <t xml:space="preserve">.   .   .   .   .   .   .   .  </t>
  </si>
  <si>
    <t>8o</t>
  </si>
  <si>
    <t>p</t>
  </si>
  <si>
    <t>Section 461(l) excess business loss adjustment</t>
  </si>
  <si>
    <t>8p</t>
  </si>
  <si>
    <t>q</t>
  </si>
  <si>
    <t>Taxable distributions from an ABLE account (see instructions)</t>
  </si>
  <si>
    <t>8q</t>
  </si>
  <si>
    <t>r</t>
  </si>
  <si>
    <t>Scholarship and fellowship grants not reported on Form W-2</t>
  </si>
  <si>
    <t>8r</t>
  </si>
  <si>
    <t>s</t>
  </si>
  <si>
    <t>8s</t>
  </si>
  <si>
    <t>t</t>
  </si>
  <si>
    <t>Line 8z Entry</t>
  </si>
  <si>
    <t>8t</t>
  </si>
  <si>
    <t>Amount</t>
  </si>
  <si>
    <t>u</t>
  </si>
  <si>
    <t>Wages earned while incarcerated</t>
  </si>
  <si>
    <t>8u</t>
  </si>
  <si>
    <t>Other income.  List type and amount:</t>
  </si>
  <si>
    <t>8z</t>
  </si>
  <si>
    <t>Total other income. Add lines 8a through 8z</t>
  </si>
  <si>
    <t>For Paperwork Reduction Act Notice, see your tax return instructions.</t>
  </si>
  <si>
    <t>Cat. No. 71479F</t>
  </si>
  <si>
    <r>
      <t xml:space="preserve">Page </t>
    </r>
    <r>
      <rPr>
        <b/>
        <sz val="12"/>
        <rFont val="Arial"/>
        <family val="2"/>
      </rPr>
      <t>2</t>
    </r>
  </si>
  <si>
    <t>Part II</t>
  </si>
  <si>
    <t>Adjustments to Income</t>
  </si>
  <si>
    <t>Educator expenses</t>
  </si>
  <si>
    <t xml:space="preserve">.   .   .   .   .   .   .   .   .   .   .   .   .   .   .   .   .   .   .   .   .   .   .   .   .   .   .   .   .  </t>
  </si>
  <si>
    <t xml:space="preserve">.   .   .   .   .   .   .   .   .   .   .   .   .   .   .   .   .   .   .   .   .   .   .   .   .  </t>
  </si>
  <si>
    <t>Health savings account deduction. Attach Form 8889</t>
  </si>
  <si>
    <t xml:space="preserve">.   .   .   .   .   .   .   .   .   .   .   .  </t>
  </si>
  <si>
    <t xml:space="preserve">.   .   .   .  </t>
  </si>
  <si>
    <t>Deductible part of self-employment tax. Attach Schedule SE</t>
  </si>
  <si>
    <t xml:space="preserve">.   .   .   .   .   .   .   .   .  </t>
  </si>
  <si>
    <t>Self-employed SEP, SIMPLE, and qualified plans</t>
  </si>
  <si>
    <t>Self-employed health insurance deduction</t>
  </si>
  <si>
    <t>Penalty on early withdrawal of savings</t>
  </si>
  <si>
    <t>19a</t>
  </si>
  <si>
    <t>Alimony paid</t>
  </si>
  <si>
    <t>Sheet "8889", line 13</t>
  </si>
  <si>
    <t>Recipient's SSN</t>
  </si>
  <si>
    <t>Sch. SE, line 13 (Sum of both forms)</t>
  </si>
  <si>
    <t>Student loan interest deduction</t>
  </si>
  <si>
    <t xml:space="preserve">.   .   .   .   .   .   .   .   .   .   .   .   .   .   .   .   .   .   .   .   .   .  </t>
  </si>
  <si>
    <t>If you made payments to or for your spouse or former spouse under a divorce or separation agreement entered into on or before December 31, 2018, you may be able to take this deduction. You can't take a deduction for alimony payments you made to or for your spouse if you entered into your divorce or separation agreement after December 31, 2018, or if you entered into the agreement on or before December 31, 2018, and the agreement was changed after December 31, 2018, to expressly provide that alimony received is not included in your former spouse's income. Use Tax Topic 452 or see Pub. 504.</t>
  </si>
  <si>
    <t>Sheet "1099-INT", Line 2</t>
  </si>
  <si>
    <t>Archer MSA deduction</t>
  </si>
  <si>
    <t xml:space="preserve">.   .   .   .   .   .   .   .   .   .   .   .   .   .   .   .   .   .   .   .   .   .   .   .   .   .  </t>
  </si>
  <si>
    <t>Other adjustments:</t>
  </si>
  <si>
    <t>Jury duty pay (see instructions)</t>
  </si>
  <si>
    <t xml:space="preserve">.   .   .   .   .   .   .   .   .   .   .   .   .   .   .  </t>
  </si>
  <si>
    <t>24a</t>
  </si>
  <si>
    <t>Sheet "Sch. 1, Line 20 (IRA)"</t>
  </si>
  <si>
    <t>24b</t>
  </si>
  <si>
    <t>24c</t>
  </si>
  <si>
    <t>Reforestation amortization and expenses</t>
  </si>
  <si>
    <t>24d</t>
  </si>
  <si>
    <t>24e</t>
  </si>
  <si>
    <t>Contributions to section 501(c)(18)(D) pension plans</t>
  </si>
  <si>
    <t>24f</t>
  </si>
  <si>
    <t>Contributions by certain chaplains to section 403(b) plans</t>
  </si>
  <si>
    <t xml:space="preserve">.   .   .   .   .  </t>
  </si>
  <si>
    <t>24g</t>
  </si>
  <si>
    <t>24h</t>
  </si>
  <si>
    <t xml:space="preserve">.   .   .   .   .   .   .   .   .   .   .   .   .   .   .   .  </t>
  </si>
  <si>
    <t>24i</t>
  </si>
  <si>
    <t>Housing deduction from Form 2555</t>
  </si>
  <si>
    <t xml:space="preserve">.   .   .   .   .   .   .   .   .   .   .   .   .  </t>
  </si>
  <si>
    <t>24j</t>
  </si>
  <si>
    <t>Sheet "2555", line 50</t>
  </si>
  <si>
    <t>24z</t>
  </si>
  <si>
    <t>Total other adjustments. Add lines 24a through 24z</t>
  </si>
  <si>
    <t>®</t>
  </si>
  <si>
    <r>
      <rPr>
        <b/>
        <sz val="8"/>
        <rFont val="Arial"/>
        <family val="2"/>
      </rPr>
      <t>Exception.</t>
    </r>
    <r>
      <rPr>
        <sz val="8"/>
        <rFont val="Arial"/>
        <family val="2"/>
      </rPr>
      <t xml:space="preserve"> See </t>
    </r>
    <r>
      <rPr>
        <i/>
        <sz val="8"/>
        <rFont val="Arial"/>
        <family val="2"/>
      </rPr>
      <t>Itemized Deduction Recoveries</t>
    </r>
    <r>
      <rPr>
        <sz val="8"/>
        <rFont val="Arial"/>
        <family val="2"/>
      </rPr>
      <t xml:space="preserve"> in Pub. 525 instead of using the worksheet below if any of the following applies.</t>
    </r>
  </si>
  <si>
    <t>Single  (S)</t>
  </si>
  <si>
    <t xml:space="preserve">    credit claimed in an earlier year.</t>
  </si>
  <si>
    <t>Married filing jointly  (MFJ)</t>
  </si>
  <si>
    <t>Head of household  (HOH)</t>
  </si>
  <si>
    <t>Qualifying widow(er)  (QW)</t>
  </si>
  <si>
    <t>Claimed as dependent by someone else</t>
  </si>
  <si>
    <t xml:space="preserve">Check here if your spouse itemized </t>
  </si>
  <si>
    <t>State and Local Income Tax (SALT) Refund Worksheet -- Schedule 1, Line 1</t>
  </si>
  <si>
    <t>Keep for Your Records</t>
  </si>
  <si>
    <t>Before you begin:</t>
  </si>
  <si>
    <t>Ö</t>
  </si>
  <si>
    <r>
      <t xml:space="preserve">Be sure you have read the </t>
    </r>
    <r>
      <rPr>
        <b/>
        <i/>
        <sz val="10"/>
        <rFont val="Arial"/>
        <family val="2"/>
      </rPr>
      <t>Exception</t>
    </r>
    <r>
      <rPr>
        <sz val="10"/>
        <rFont val="Arial"/>
        <family val="2"/>
      </rPr>
      <t xml:space="preserve"> above to see if you can use this worksheet instead of</t>
    </r>
  </si>
  <si>
    <t>Pub. 525 to figure if any of your refund is taxable.</t>
  </si>
  <si>
    <r>
      <t xml:space="preserve">Override </t>
    </r>
    <r>
      <rPr>
        <b/>
        <sz val="10"/>
        <rFont val="Wingdings"/>
        <charset val="2"/>
      </rPr>
      <t>ê</t>
    </r>
  </si>
  <si>
    <r>
      <t xml:space="preserve">Enter the income tax refund from </t>
    </r>
    <r>
      <rPr>
        <b/>
        <sz val="10"/>
        <rFont val="Arial"/>
        <family val="2"/>
      </rPr>
      <t>Form(s) 1099-G</t>
    </r>
    <r>
      <rPr>
        <sz val="10"/>
        <rFont val="Arial"/>
        <family val="2"/>
      </rPr>
      <t xml:space="preserve"> (or similar statement).  </t>
    </r>
  </si>
  <si>
    <r>
      <t xml:space="preserve">But </t>
    </r>
    <r>
      <rPr>
        <b/>
        <sz val="10"/>
        <rFont val="Arial"/>
        <family val="2"/>
      </rPr>
      <t>don't</t>
    </r>
    <r>
      <rPr>
        <sz val="10"/>
        <rFont val="Arial"/>
        <family val="2"/>
      </rPr>
      <t xml:space="preserve"> enter more than the</t>
    </r>
  </si>
  <si>
    <t xml:space="preserve"> .   .   .   .   .   .</t>
  </si>
  <si>
    <t>Is the amount of state and local income taxes (or general sales taxes), real estate taxes, and personal property</t>
  </si>
  <si>
    <t>No.</t>
  </si>
  <si>
    <t>Enter the amount from line 1 on line 3 and go to line 4.</t>
  </si>
  <si>
    <t>Yes.</t>
  </si>
  <si>
    <t>from the amount of state and local income taxes (or</t>
  </si>
  <si>
    <t>general sales taxes), real estate taxes, and personal</t>
  </si>
  <si>
    <t>Is the amount on line 1 more than the amount on line 2?</t>
  </si>
  <si>
    <t xml:space="preserve"> No.</t>
  </si>
  <si>
    <t>STOP</t>
  </si>
  <si>
    <t>None of your refund is taxable.</t>
  </si>
  <si>
    <t xml:space="preserve"> Yes.</t>
  </si>
  <si>
    <t>Subtract line 2 from line 1.</t>
  </si>
  <si>
    <t>Note.</t>
  </si>
  <si>
    <t>line 4 on line 8, and go to line 9.</t>
  </si>
  <si>
    <t>Enter the amount shown below for the filing status claimed on your</t>
  </si>
  <si>
    <t>Check any boxes that apply. *</t>
  </si>
  <si>
    <t xml:space="preserve"> You are blind.</t>
  </si>
  <si>
    <t xml:space="preserve"> Spouse is blind.</t>
  </si>
  <si>
    <t>No boxes checked. Enter -0-.</t>
  </si>
  <si>
    <t>*If your filing status is married filing separately, you can check the boxes for your spouse only</t>
  </si>
  <si>
    <t>if your spouse had no income, isn't filing a return, and can't be claimed as a dependent on</t>
  </si>
  <si>
    <t>another person's return.</t>
  </si>
  <si>
    <t>Add lines 5 and 6</t>
  </si>
  <si>
    <t xml:space="preserve"> .   .   .   .   .   .   .   .   .   .   .   .   .   .   .   .   .   .   .   .   .   .</t>
  </si>
  <si>
    <t>Is the amount on line 7 less than the amount on line 4?</t>
  </si>
  <si>
    <r>
      <t>STOP</t>
    </r>
    <r>
      <rPr>
        <sz val="10"/>
        <rFont val="Arial"/>
        <family val="2"/>
      </rPr>
      <t xml:space="preserve">   None of your refund is taxable.</t>
    </r>
  </si>
  <si>
    <t>Subtract line 7 from line 4</t>
  </si>
  <si>
    <t>.   .   .   .   .   .   .   .   .   .   .   .   .   .   .   .   .   .   .   .   .   .   .   .   .</t>
  </si>
  <si>
    <r>
      <t>Taxable part of your refund.</t>
    </r>
    <r>
      <rPr>
        <sz val="10"/>
        <rFont val="Arial"/>
        <family val="2"/>
      </rPr>
      <t xml:space="preserve"> Enter the </t>
    </r>
    <r>
      <rPr>
        <b/>
        <sz val="10"/>
        <rFont val="Arial"/>
        <family val="2"/>
      </rPr>
      <t>smaller</t>
    </r>
    <r>
      <rPr>
        <sz val="10"/>
        <rFont val="Arial"/>
        <family val="2"/>
      </rPr>
      <t xml:space="preserve"> of line 3 or line 8 here and on Schedule 1, line 1.</t>
    </r>
  </si>
  <si>
    <t>IRA Deduction Worksheet – Schedule 1, Line 20</t>
  </si>
  <si>
    <t>Be sure you have read the the instructions for this line. You may not be able to use this worksheet.</t>
  </si>
  <si>
    <t>Your IRA</t>
  </si>
  <si>
    <t>Spouses IRA</t>
  </si>
  <si>
    <t>Retirement Plan)?</t>
  </si>
  <si>
    <t xml:space="preserve">.   .   .   .   .   .   .   .   .   .   .   .   .   .   .   .   .   .   .   .   .   .   .   .   .   .   </t>
  </si>
  <si>
    <t>1a.</t>
  </si>
  <si>
    <t>If married filing jointly, was your spouse covered by a retirement plan?</t>
  </si>
  <si>
    <t>1b.</t>
  </si>
  <si>
    <t>skip lines 2 through 6, enter the applicable amount below on line 7a (and line 7b if</t>
  </si>
  <si>
    <t>applicable), and go to line 8.</t>
  </si>
  <si>
    <t xml:space="preserve">· </t>
  </si>
  <si>
    <t>Otherwise, go to line 2.</t>
  </si>
  <si>
    <t>Enter the amount shown below that applies to you.</t>
  </si>
  <si>
    <t>covered by a plan</t>
  </si>
  <si>
    <t>Manual</t>
  </si>
  <si>
    <t>Enter the amount from Form 1040 or 1040-SR, line 9</t>
  </si>
  <si>
    <t>Enter the total of the amounts from</t>
  </si>
  <si>
    <t>Schedule 1, lines 11 through 19a, plus 23 and 25</t>
  </si>
  <si>
    <t>Subtract line 4 from line 3. If married filing jointly, enter the result in both columns</t>
  </si>
  <si>
    <t xml:space="preserve"> .   .   .   .   .   .   .   .  </t>
  </si>
  <si>
    <t>5b</t>
  </si>
  <si>
    <t>Is the amount on line 5 less than the amount on line 2?</t>
  </si>
  <si>
    <t xml:space="preserve">No.  Stop.  </t>
  </si>
  <si>
    <t>None of your IRA contributions are deductible. For details on</t>
  </si>
  <si>
    <t>nondeductible IRA contributions, see Form 8606.</t>
  </si>
  <si>
    <t>that applies to you.</t>
  </si>
  <si>
    <t>If single, head of household, or married filing separately, and the</t>
  </si>
  <si>
    <t>line 7 for that column and go to line 8.</t>
  </si>
  <si>
    <t>6a.</t>
  </si>
  <si>
    <t>6b.</t>
  </si>
  <si>
    <t>6a</t>
  </si>
  <si>
    <t>6b</t>
  </si>
  <si>
    <t>a person who was not covered by a retirement plan), enter the</t>
  </si>
  <si>
    <t>applicable amount below on line 7 for that column and go to line 8.</t>
  </si>
  <si>
    <t>Otherwise, go to line 7.</t>
  </si>
  <si>
    <t>Multiply lines 6a and 6b by the percentage below that applies to you. If the</t>
  </si>
  <si>
    <t>Single, HOH, MFS</t>
  </si>
  <si>
    <t>result is not a multiple of $10, increase it to the next multiple of $10 (for</t>
  </si>
  <si>
    <t>MFJ, QWidow(er)</t>
  </si>
  <si>
    <t>7a.</t>
  </si>
  <si>
    <t>7b.</t>
  </si>
  <si>
    <t>or 1b, then in the column for the IRA of the person who was not covered by a</t>
  </si>
  <si>
    <t>Enter the total of your (and your spouse’s if filing jointly):</t>
  </si>
  <si>
    <t>Wages, salaries, tips, etc. Generally, this is the</t>
  </si>
  <si>
    <t>amount reported in box 1 of Form W-2. Exceptions</t>
  </si>
  <si>
    <t>are explained earlier in these instructions for line 20.</t>
  </si>
  <si>
    <t xml:space="preserve">Alimony and separate maintenance payments </t>
  </si>
  <si>
    <t>reported on Schedule 1, line 2a</t>
  </si>
  <si>
    <t xml:space="preserve">Nontaxable combat pay. This amount should be </t>
  </si>
  <si>
    <t>reported in box 12 of Form W-2 with code Q or</t>
  </si>
  <si>
    <t>Form1040, line 1i</t>
  </si>
  <si>
    <t>reported on Form 1040, line 1i.</t>
  </si>
  <si>
    <t>Form W-2</t>
  </si>
  <si>
    <t>Code</t>
  </si>
  <si>
    <t>Enter the earned income you (and your spouse if filing jointly)</t>
  </si>
  <si>
    <t>12</t>
  </si>
  <si>
    <t>Q</t>
  </si>
  <si>
    <t>received as a self-employed individual or a partner. Generally,</t>
  </si>
  <si>
    <t>Nontaxable combat pay.</t>
  </si>
  <si>
    <t>this is your (and your spouse’s if filing jointly) net earnings from</t>
  </si>
  <si>
    <t>self-employment if your personal services were a material</t>
  </si>
  <si>
    <t>income-producing factor, minus any deductions on Schedule 1,</t>
  </si>
  <si>
    <t xml:space="preserve">lines 15 and 16. </t>
  </si>
  <si>
    <t>Add lines 8 and 9</t>
  </si>
  <si>
    <t xml:space="preserve">  .   .   .   .   .   .   .   .   .   .   .   .   .   .   .   .   .   .   .   .</t>
  </si>
  <si>
    <r>
      <t>stop here</t>
    </r>
    <r>
      <rPr>
        <i/>
        <sz val="11"/>
        <rFont val="Arial"/>
        <family val="2"/>
      </rPr>
      <t xml:space="preserve"> and </t>
    </r>
  </si>
  <si>
    <t>see Pub. 590-A to figure your IRA deduction.</t>
  </si>
  <si>
    <t>Enter traditional IRA contributions made, or that will be made by the due date</t>
  </si>
  <si>
    <t>11a.</t>
  </si>
  <si>
    <t>11b.</t>
  </si>
  <si>
    <t>and 12b and enter the total on Schedule 1, line 20. Or, if you want, you can deduct</t>
  </si>
  <si>
    <t>.   .   .   .   .   .   .   .</t>
  </si>
  <si>
    <t>12a.</t>
  </si>
  <si>
    <t>12b.</t>
  </si>
  <si>
    <t>Amount entered on Schedule 1, line 20 --&gt;</t>
  </si>
  <si>
    <t xml:space="preserve">    Student Loan Interest Deduction Worksheet—Schedule 1, Line 21</t>
  </si>
  <si>
    <r>
      <t xml:space="preserve">Be sure you have read the </t>
    </r>
    <r>
      <rPr>
        <b/>
        <sz val="10"/>
        <rFont val="Arial"/>
        <family val="2"/>
      </rPr>
      <t>Exception</t>
    </r>
    <r>
      <rPr>
        <sz val="10"/>
        <rFont val="Arial"/>
        <family val="2"/>
      </rPr>
      <t xml:space="preserve"> in the instructions for this line to see if you can use this worksheet instead of</t>
    </r>
  </si>
  <si>
    <t>Pub. 970 to figure your deduction.</t>
  </si>
  <si>
    <t xml:space="preserve"> .   .   .   .   .   .   .   .   .   .   .   .   </t>
  </si>
  <si>
    <t>Enter the total of the amounts from Schedule 1, lines 11 through 20, and 23 and 25</t>
  </si>
  <si>
    <t>Subtract line 3 from line 2</t>
  </si>
  <si>
    <t>Enter the amount shown below for your filing status.</t>
  </si>
  <si>
    <t>Is the amount on line 4 more than the amount on line 5?</t>
  </si>
  <si>
    <t xml:space="preserve">No. </t>
  </si>
  <si>
    <t>Skip lines 6 and 7, enter -0- on line 8, and go to line 9.</t>
  </si>
  <si>
    <t>Subtract line 5 from line 4</t>
  </si>
  <si>
    <t>(rounded to at least three places). If the result is 1.000 or more, enter 1.000</t>
  </si>
  <si>
    <t>Multiply line 1 by line 7</t>
  </si>
  <si>
    <r>
      <rPr>
        <b/>
        <sz val="10"/>
        <rFont val="Arial"/>
        <family val="2"/>
      </rPr>
      <t>Student loan interest deduction.</t>
    </r>
    <r>
      <rPr>
        <sz val="10"/>
        <rFont val="Arial"/>
        <family val="2"/>
      </rPr>
      <t xml:space="preserve"> Subtract line 8 from line 1. Enter the result here and on Schedule 1, line 21</t>
    </r>
  </si>
  <si>
    <t>Additional Taxes</t>
  </si>
  <si>
    <t>Attachment</t>
  </si>
  <si>
    <r>
      <t xml:space="preserve">Sequence No.  </t>
    </r>
    <r>
      <rPr>
        <b/>
        <sz val="12"/>
        <rFont val="Arial"/>
        <family val="2"/>
      </rPr>
      <t>02</t>
    </r>
  </si>
  <si>
    <t xml:space="preserve">  Your social security number</t>
  </si>
  <si>
    <t>Tax</t>
  </si>
  <si>
    <t>Alternative minimum tax.  Attach Form 6251</t>
  </si>
  <si>
    <t>Form 6251, Line 11</t>
  </si>
  <si>
    <t>Excess advance premium tax credit repayment. Attach Form 8962</t>
  </si>
  <si>
    <t>Form 8962, line 29</t>
  </si>
  <si>
    <t xml:space="preserve"> .   .   .  </t>
  </si>
  <si>
    <t>Other Taxes</t>
  </si>
  <si>
    <t>Form 1040, Sch. SE, line 12</t>
  </si>
  <si>
    <t xml:space="preserve">.   .   .   .   .   .   .   .   .   .   .   .   .   .   .   .   .   .   .   .   .  </t>
  </si>
  <si>
    <t>Total additional social security and Medicare tax.  Add lines 5 and 6</t>
  </si>
  <si>
    <t>Additional tax on IRAs or other tax-favored accounts. Attach Form 5329 if required</t>
  </si>
  <si>
    <t>If not required, check here</t>
  </si>
  <si>
    <t>Household employment taxes. Attach Schedule H</t>
  </si>
  <si>
    <t>Additional Medicare Tax.  Attach Form 8959</t>
  </si>
  <si>
    <t>Form 8959, line 18.</t>
  </si>
  <si>
    <t>Net investment income tax.  Attach Form 8960</t>
  </si>
  <si>
    <t>Form 8960, line 17.</t>
  </si>
  <si>
    <t xml:space="preserve">.   .   .   .   .   .   .   .   .   .   .   .   .   .   .   .   .   .   .   .   .   .   .   .   .   .   .   .  </t>
  </si>
  <si>
    <t>Recapture of low-income housing credit. Attach Form 8611</t>
  </si>
  <si>
    <t>(continued on page 2)</t>
  </si>
  <si>
    <t>Cat. No. 71478U</t>
  </si>
  <si>
    <t>Other additional taxes:</t>
  </si>
  <si>
    <t/>
  </si>
  <si>
    <t>17a</t>
  </si>
  <si>
    <t>17b</t>
  </si>
  <si>
    <t>Additional tax on HSA distributions.   Attach Form 8889</t>
  </si>
  <si>
    <t>17c</t>
  </si>
  <si>
    <t>17d</t>
  </si>
  <si>
    <t>Form 8889, line 21</t>
  </si>
  <si>
    <t>Additional tax on Archer MSA distributions. Attach Form 8853</t>
  </si>
  <si>
    <t xml:space="preserve">.  </t>
  </si>
  <si>
    <t>17e</t>
  </si>
  <si>
    <t>Additional tax on Medicare Advantage MSA distributions. Attach</t>
  </si>
  <si>
    <t>Form 8853</t>
  </si>
  <si>
    <t>17f</t>
  </si>
  <si>
    <t>Recapture of a charitable contribution deduction related to a</t>
  </si>
  <si>
    <t>fractional interest in tangible personal property</t>
  </si>
  <si>
    <t>17g</t>
  </si>
  <si>
    <t>17h</t>
  </si>
  <si>
    <t>17i</t>
  </si>
  <si>
    <t>Section 72(m)(5) excess benefits tax</t>
  </si>
  <si>
    <t>17j</t>
  </si>
  <si>
    <t>Golden parachute payments</t>
  </si>
  <si>
    <t>17k</t>
  </si>
  <si>
    <t>Tax on accumulation distribution of trusts</t>
  </si>
  <si>
    <t>17l</t>
  </si>
  <si>
    <t xml:space="preserve"> .   .   .   .   .   .   .   .   .   .   .   .   .   .   .   .   .   .   .   .   .   .   .   .  </t>
  </si>
  <si>
    <t>17m</t>
  </si>
  <si>
    <t>17n</t>
  </si>
  <si>
    <t>17o</t>
  </si>
  <si>
    <t>17p</t>
  </si>
  <si>
    <t>Any interest from Form 8621, line 24</t>
  </si>
  <si>
    <t>17q</t>
  </si>
  <si>
    <t>Any other taxes. List type and amount</t>
  </si>
  <si>
    <t>17z</t>
  </si>
  <si>
    <t>Total additional taxes.  Add lines 17a through 17z</t>
  </si>
  <si>
    <t>Section 965 net tax liability installment from Form 965-A</t>
  </si>
  <si>
    <t>on Form 1040 or 1040-SR, line 23, or Form 1040-NR, line 23b</t>
  </si>
  <si>
    <r>
      <t xml:space="preserve">SCHEDULE 3
</t>
    </r>
    <r>
      <rPr>
        <b/>
        <sz val="11"/>
        <rFont val="Arial"/>
        <family val="2"/>
      </rPr>
      <t>(Form 1040)</t>
    </r>
  </si>
  <si>
    <t>Additional Credits and Payments</t>
  </si>
  <si>
    <r>
      <t xml:space="preserve">Attachment
Sequence  </t>
    </r>
    <r>
      <rPr>
        <b/>
        <sz val="12"/>
        <rFont val="Arial"/>
        <family val="2"/>
      </rPr>
      <t>03</t>
    </r>
  </si>
  <si>
    <t>Nonrefundable Credits</t>
  </si>
  <si>
    <t>Foreign tax credit.  Attach Form 1116, if required</t>
  </si>
  <si>
    <t xml:space="preserve">.   .   .   .   .   .   .   .   .   .   .   .   .   .   .   .   .   .   .   .   .   .   .   .   .   .   .   .   .   .   .   .   .   .   .  </t>
  </si>
  <si>
    <t>Education credits from Form 8863, line 19</t>
  </si>
  <si>
    <t>Retirement savings contributions credit.  Attach Form 8880</t>
  </si>
  <si>
    <t>Other nonrefundable credits:</t>
  </si>
  <si>
    <t>General business credit.  Attach Form 3800</t>
  </si>
  <si>
    <t xml:space="preserve">.   .   .   .   .   .   .   .   .   .   .   </t>
  </si>
  <si>
    <t>Credit for prior year minimum tax.  Attach Form 8801</t>
  </si>
  <si>
    <t xml:space="preserve">.   .   .   .   .   .   .   </t>
  </si>
  <si>
    <t>Adoption credit. Attach Form 8839</t>
  </si>
  <si>
    <t xml:space="preserve">.   .   .   .   .   .   .   .   .   .   .   .   </t>
  </si>
  <si>
    <t>6c</t>
  </si>
  <si>
    <t>Credit for the elderly or disabled. Attach Schedule R</t>
  </si>
  <si>
    <t>6d</t>
  </si>
  <si>
    <t xml:space="preserve">.   .   .   .   .   .   .   .   </t>
  </si>
  <si>
    <t>6e</t>
  </si>
  <si>
    <t xml:space="preserve">.   .   .   .   .   .   </t>
  </si>
  <si>
    <t>6f</t>
  </si>
  <si>
    <t>Mortgage interest credit. Attach Form 8396</t>
  </si>
  <si>
    <t>6g</t>
  </si>
  <si>
    <t>District of Columbia first-time homebuyer credit. Attach Form 8859</t>
  </si>
  <si>
    <t xml:space="preserve">.   </t>
  </si>
  <si>
    <t>6h</t>
  </si>
  <si>
    <t>Qualified electric vehicle credit. Attach Form 8834</t>
  </si>
  <si>
    <t>6i</t>
  </si>
  <si>
    <t>Alternative fuel vehicle refueling property credit. Attach Form 8911</t>
  </si>
  <si>
    <t>6j</t>
  </si>
  <si>
    <t>Credit to holders of tax credit bonds. Attach Form 8912</t>
  </si>
  <si>
    <t>6k</t>
  </si>
  <si>
    <t>Amount on Form 8978, line 14. See instructions</t>
  </si>
  <si>
    <t xml:space="preserve">.   .   .   .   .   .   .   .   .   </t>
  </si>
  <si>
    <t>6l</t>
  </si>
  <si>
    <t>Other nonrefundable credits.  List type and amount:</t>
  </si>
  <si>
    <t>6z</t>
  </si>
  <si>
    <t>Total other nonrefundable credits. Add lines 6a through 6z</t>
  </si>
  <si>
    <t xml:space="preserve">.   .   .   .   .   .   .   .   .   .   .   .   .   .   .   .   .   .   .   .   .   .   .   .   .   .   .   .   .   .   .   .   .   .   .   .   .  </t>
  </si>
  <si>
    <t>Other Payments and Refundable Credits</t>
  </si>
  <si>
    <t>Net premium tax credit. Attach Form 8962</t>
  </si>
  <si>
    <t>Amount paid with request for extension to file (see instructions)</t>
  </si>
  <si>
    <t>Excess social security and tier 1 RRTA tax withheld</t>
  </si>
  <si>
    <t>Credit for federal tax on fuels. Attach Form 4136</t>
  </si>
  <si>
    <t>Other payments or refundable credits:</t>
  </si>
  <si>
    <t>Form 2439</t>
  </si>
  <si>
    <t xml:space="preserve">.   .   .   .   .   .   .   .   .   .   .   .   .   .   .   .   .   .   .   .   .   .   .   .   .   </t>
  </si>
  <si>
    <t>13a</t>
  </si>
  <si>
    <t>13b</t>
  </si>
  <si>
    <t xml:space="preserve">.   .   .   .   .   .   .   .   .   .   .   .   .   .   .   .   .   .   </t>
  </si>
  <si>
    <t>13c</t>
  </si>
  <si>
    <t xml:space="preserve">.   .   .   .   .   .   .   .   .   .   .   .   .   .   .   .   .   .   .   .   .   .   .   .   .   .   .   .   .   </t>
  </si>
  <si>
    <t>13d</t>
  </si>
  <si>
    <t>Deferred amount of net 965 tax liability (see instructions)</t>
  </si>
  <si>
    <t xml:space="preserve">.   .   .   .   .   .   .   .   .   .   .   .   .   .   .   .   .   .   .   </t>
  </si>
  <si>
    <t>13z</t>
  </si>
  <si>
    <t>Total other payments or refundable credits. Add lines 13a through 13z</t>
  </si>
  <si>
    <t xml:space="preserve">.    .   .   .   .   .   .   .   .   .  </t>
  </si>
  <si>
    <t xml:space="preserve"> Earned Income Worksheet</t>
  </si>
  <si>
    <t>for</t>
  </si>
  <si>
    <t>Sheet 'Line 12a, Standard Deduction for Dependents'</t>
  </si>
  <si>
    <t>Use this worksheet for input to:</t>
  </si>
  <si>
    <t>Disregard community property laws when figuring the amounts to enter on this worksheet.</t>
  </si>
  <si>
    <t>If married filing jointly, include your spouse's amounts with yours when completing this worksheet.</t>
  </si>
  <si>
    <t>b.</t>
  </si>
  <si>
    <r>
      <t xml:space="preserve">Enter the amount of any </t>
    </r>
    <r>
      <rPr>
        <b/>
        <sz val="10"/>
        <rFont val="Arial"/>
        <family val="2"/>
      </rPr>
      <t>nontaxable combat pay</t>
    </r>
    <r>
      <rPr>
        <sz val="10"/>
        <rFont val="Arial"/>
        <family val="2"/>
      </rPr>
      <t xml:space="preserve"> received.</t>
    </r>
  </si>
  <si>
    <t>This amount will automatically be entered on Schedule 8812, line 6b.</t>
  </si>
  <si>
    <t>This amount should be shown in Form(s) W-2, box 12, with code Q</t>
  </si>
  <si>
    <r>
      <rPr>
        <b/>
        <sz val="10"/>
        <rFont val="Arial"/>
        <family val="2"/>
      </rPr>
      <t>NEXT:</t>
    </r>
    <r>
      <rPr>
        <sz val="10"/>
        <rFont val="Arial"/>
        <family val="2"/>
      </rPr>
      <t xml:space="preserve">  If you are filing Schedule C, F, or SE, or you received a Schedule K-1 (Form 1065), go to line 2a. </t>
    </r>
  </si>
  <si>
    <t>2a.</t>
  </si>
  <si>
    <t>Enter any statutory employee income reported on line 1 of Schedule C.</t>
  </si>
  <si>
    <r>
      <t xml:space="preserve">Enter any </t>
    </r>
    <r>
      <rPr>
        <b/>
        <sz val="10"/>
        <rFont val="Arial"/>
        <family val="2"/>
      </rPr>
      <t>net profit or (loss) from Schedule C</t>
    </r>
    <r>
      <rPr>
        <sz val="10"/>
        <rFont val="Arial"/>
        <family val="2"/>
      </rPr>
      <t>, line 31, and Schedule K-1 (Form 1065), box 14,</t>
    </r>
  </si>
  <si>
    <t>code A (other than farming). Reduce any Schedule K-1 amounts as described in the instructions for</t>
  </si>
  <si>
    <t>completing Schedule SE in the Partner's Instructions for Schedule K-1. Do not include on this line</t>
  </si>
  <si>
    <t>any statutory employee income or any other amounts exempt from self-employment tax. Options</t>
  </si>
  <si>
    <t>and commodities dealers must add any gain or subtract any loss (in the normal course of dealing in</t>
  </si>
  <si>
    <t>or trading section 1256 contracts) from section 1256 contracts or related property</t>
  </si>
  <si>
    <t>2b.</t>
  </si>
  <si>
    <t>Sch. C, line 31</t>
  </si>
  <si>
    <t>c.</t>
  </si>
  <si>
    <r>
      <t xml:space="preserve">Enter any </t>
    </r>
    <r>
      <rPr>
        <b/>
        <sz val="10"/>
        <rFont val="Arial"/>
        <family val="2"/>
      </rPr>
      <t>net farm profit or (loss) from Schedule F</t>
    </r>
    <r>
      <rPr>
        <sz val="10"/>
        <rFont val="Arial"/>
        <family val="2"/>
      </rPr>
      <t>, line 34, and from farm</t>
    </r>
  </si>
  <si>
    <t>partnerships, Schedule K-1 (Form 1065), box 14, code A.* Reduce any</t>
  </si>
  <si>
    <t>Schedule K-1 amounts as described in the instructions for completing</t>
  </si>
  <si>
    <t>Schedule SE in the Partner's Instructions for Schedule K-1. Do not include on this</t>
  </si>
  <si>
    <t>line any amounts exempt from self-employment tax</t>
  </si>
  <si>
    <t>2c.</t>
  </si>
  <si>
    <t>Sch. F, line 34</t>
  </si>
  <si>
    <t>d.</t>
  </si>
  <si>
    <r>
      <t xml:space="preserve">If you used the </t>
    </r>
    <r>
      <rPr>
        <b/>
        <sz val="10"/>
        <rFont val="Arial"/>
        <family val="2"/>
      </rPr>
      <t>farm optional method</t>
    </r>
    <r>
      <rPr>
        <sz val="10"/>
        <rFont val="Arial"/>
        <family val="2"/>
      </rPr>
      <t xml:space="preserve"> to figure net earnings from self-employment,</t>
    </r>
  </si>
  <si>
    <r>
      <t xml:space="preserve">enter the amount from </t>
    </r>
    <r>
      <rPr>
        <b/>
        <sz val="10"/>
        <rFont val="Arial"/>
        <family val="2"/>
      </rPr>
      <t>Schedule SE, Section B, line 15</t>
    </r>
    <r>
      <rPr>
        <sz val="10"/>
        <rFont val="Arial"/>
        <family val="2"/>
      </rPr>
      <t>. Otherwise, skip this line</t>
    </r>
  </si>
  <si>
    <t>and enter on line 2e the amount from line 2c</t>
  </si>
  <si>
    <t>2d.</t>
  </si>
  <si>
    <t>Sch. SE, line 15</t>
  </si>
  <si>
    <t>(Sum of both forms)</t>
  </si>
  <si>
    <t>e.</t>
  </si>
  <si>
    <t>2e.</t>
  </si>
  <si>
    <t>If zero or less, stop. Do not complete the rest of this worksheet.</t>
  </si>
  <si>
    <t>a.</t>
  </si>
  <si>
    <t>4a.</t>
  </si>
  <si>
    <r>
      <rPr>
        <b/>
        <sz val="10"/>
        <rFont val="Arial"/>
        <family val="2"/>
      </rPr>
      <t>Earned Income.</t>
    </r>
    <r>
      <rPr>
        <sz val="10"/>
        <rFont val="Arial"/>
        <family val="2"/>
      </rPr>
      <t xml:space="preserve">   Subtract line 6 from line 3</t>
    </r>
  </si>
  <si>
    <r>
      <t xml:space="preserve">If you were sent here from </t>
    </r>
    <r>
      <rPr>
        <b/>
        <sz val="10"/>
        <rFont val="Arial"/>
        <family val="2"/>
      </rPr>
      <t>Line 12a, Standard Deduction for Dependents Worksheet,</t>
    </r>
  </si>
  <si>
    <t>enter this amount in the space provided prior to line 2.</t>
  </si>
  <si>
    <r>
      <t xml:space="preserve">If you were sent here from </t>
    </r>
    <r>
      <rPr>
        <b/>
        <sz val="10"/>
        <rFont val="Arial"/>
        <family val="2"/>
      </rPr>
      <t>Schedule 8812</t>
    </r>
    <r>
      <rPr>
        <sz val="10"/>
        <rFont val="Arial"/>
        <family val="2"/>
      </rPr>
      <t>, enter this amount on line 18a of that form.</t>
    </r>
  </si>
  <si>
    <t>*If you have any Schedule K-1 amounts and you are not required to file Schedule SE, complete the appropriate</t>
  </si>
  <si>
    <t>line(s) of Schedule SE, Section A. Put your name and social security number on Schedule SE and attach it to</t>
  </si>
  <si>
    <t>your return.</t>
  </si>
  <si>
    <t>Important Instructions for use of this Worksheet:</t>
  </si>
  <si>
    <r>
      <t>l</t>
    </r>
    <r>
      <rPr>
        <sz val="8"/>
        <rFont val="Arial"/>
        <family val="2"/>
      </rPr>
      <t xml:space="preserve"> </t>
    </r>
  </si>
  <si>
    <t xml:space="preserve">If your Form 1099-R doesn't show the taxable amount, you must use the General Rule explained in Pub. 939 to figure the </t>
  </si>
  <si>
    <t>If your Form 1099-R shows a taxable amount, you can report that amount on Form 1040, line 5b. But you may be able to report</t>
  </si>
  <si>
    <t>a lower taxable amount by using the General Rule or the Simplified Method or if the exclusion for retired public safety officers applies.</t>
  </si>
  <si>
    <r>
      <t xml:space="preserve">This worksheet is used as a tool for calculating the taxable amount of </t>
    </r>
    <r>
      <rPr>
        <u/>
        <sz val="10"/>
        <rFont val="Arial"/>
        <family val="2"/>
      </rPr>
      <t>one</t>
    </r>
    <r>
      <rPr>
        <sz val="10"/>
        <rFont val="Arial"/>
        <family val="2"/>
      </rPr>
      <t xml:space="preserve"> annuity.  </t>
    </r>
  </si>
  <si>
    <t>The output of this worksheet must be manually entered into line 2a of the sheet labeled "1099-R",</t>
  </si>
  <si>
    <t>Taxable Amount, for the annuity for which the Taxable Amount has not been determined OR</t>
  </si>
  <si>
    <t>for which a lower taxable amount is applicable for retired public safety officers.</t>
  </si>
  <si>
    <t>Annuity Starting Date</t>
  </si>
  <si>
    <t>Your annuity starting date is the later of the first day of:</t>
  </si>
  <si>
    <t>Annuity starting date</t>
  </si>
  <si>
    <t>or</t>
  </si>
  <si>
    <t>Simplified Method</t>
  </si>
  <si>
    <t>You must use the Simplified Method if either of the following applies.</t>
  </si>
  <si>
    <t xml:space="preserve"> Yes</t>
  </si>
  <si>
    <t>Were annuity payments for your life</t>
  </si>
  <si>
    <r>
      <t>and</t>
    </r>
    <r>
      <rPr>
        <sz val="10"/>
        <rFont val="Arial"/>
        <family val="2"/>
      </rPr>
      <t xml:space="preserve"> </t>
    </r>
    <r>
      <rPr>
        <b/>
        <sz val="10"/>
        <rFont val="Arial"/>
        <family val="2"/>
      </rPr>
      <t>both</t>
    </r>
    <r>
      <rPr>
        <sz val="10"/>
        <rFont val="Arial"/>
        <family val="2"/>
      </rPr>
      <t xml:space="preserve"> of the following apply.</t>
    </r>
  </si>
  <si>
    <r>
      <rPr>
        <u/>
        <sz val="8"/>
        <rFont val="Arial"/>
        <family val="2"/>
      </rPr>
      <t>and</t>
    </r>
    <r>
      <rPr>
        <sz val="8"/>
        <rFont val="Arial"/>
        <family val="2"/>
      </rPr>
      <t xml:space="preserve"> that of your beneficiary?</t>
    </r>
  </si>
  <si>
    <t>a. The payments are from a qualified employee plan, a qualified employee annuity, or a tax-sheltered annuity.</t>
  </si>
  <si>
    <t>b. On your annuity starting date, either:</t>
  </si>
  <si>
    <t xml:space="preserve">       or</t>
  </si>
  <si>
    <t>at annuity starting date</t>
  </si>
  <si>
    <t>Simplified Method Worksheet—Lines 5a and 5b</t>
  </si>
  <si>
    <r>
      <t xml:space="preserve">If you are the beneficiary of a deceased employee or former employee who died </t>
    </r>
    <r>
      <rPr>
        <b/>
        <sz val="10"/>
        <rFont val="Arial"/>
        <family val="2"/>
      </rPr>
      <t>before</t>
    </r>
    <r>
      <rPr>
        <sz val="10"/>
        <rFont val="Arial"/>
        <family val="2"/>
      </rPr>
      <t xml:space="preserve"> August 21, 1996, include</t>
    </r>
  </si>
  <si>
    <t>any death benefit exclusion that you are entitled to (up to $5,000) in the amount entered on line 2 below.</t>
  </si>
  <si>
    <r>
      <t>More than one pension or annuity:</t>
    </r>
    <r>
      <rPr>
        <sz val="9"/>
        <rFont val="Arial"/>
        <family val="2"/>
      </rPr>
      <t xml:space="preserve">  If you had more than one partially taxable pension or annuity, </t>
    </r>
    <r>
      <rPr>
        <b/>
        <sz val="9"/>
        <rFont val="Arial"/>
        <family val="2"/>
      </rPr>
      <t>figure the taxable part of each separately.</t>
    </r>
  </si>
  <si>
    <t>Enter the total of the taxable parts on Form 1040 or 1040-SR, line 5b.</t>
  </si>
  <si>
    <t>If you manually enter the taxable amount from line 9 of this worksheet into 1099-R, line 2a, this spreadsheet will automatically update Form 1040, line 5a.</t>
  </si>
  <si>
    <t>Also, include this amount on Form 1040 or 1040-SR, line 5a</t>
  </si>
  <si>
    <t>.   .   .   .   .   .   .   .   .   .   .   .   .   .   .   .   .</t>
  </si>
  <si>
    <t>Enter your cost in the plan at the annuity starting date</t>
  </si>
  <si>
    <t>.   .   .   .   .   .   .   .   .   .   .</t>
  </si>
  <si>
    <r>
      <t>Note.</t>
    </r>
    <r>
      <rPr>
        <sz val="9"/>
        <rFont val="Arial"/>
        <family val="2"/>
      </rPr>
      <t xml:space="preserve"> If you completed this worksheet last year, skip line 3 and enter the amount from line 4</t>
    </r>
  </si>
  <si>
    <t>of last year’s worksheet on line 4 below (even if the amount of your pension or annuity has changed).</t>
  </si>
  <si>
    <t xml:space="preserve">  Check here if you completed this worksheet last year.</t>
  </si>
  <si>
    <t>Otherwise, go to line 3.</t>
  </si>
  <si>
    <r>
      <t xml:space="preserve">Enter the appropriate number from </t>
    </r>
    <r>
      <rPr>
        <b/>
        <sz val="9"/>
        <rFont val="Arial"/>
        <family val="2"/>
      </rPr>
      <t>Table 1</t>
    </r>
    <r>
      <rPr>
        <sz val="9"/>
        <rFont val="Arial"/>
        <family val="2"/>
      </rPr>
      <t xml:space="preserve"> below. </t>
    </r>
    <r>
      <rPr>
        <b/>
        <sz val="9"/>
        <rFont val="Arial"/>
        <family val="2"/>
      </rPr>
      <t>But</t>
    </r>
    <r>
      <rPr>
        <sz val="9"/>
        <rFont val="Arial"/>
        <family val="2"/>
      </rPr>
      <t xml:space="preserve"> if your annuity starting date was </t>
    </r>
    <r>
      <rPr>
        <b/>
        <sz val="9"/>
        <rFont val="Arial"/>
        <family val="2"/>
      </rPr>
      <t>after</t>
    </r>
  </si>
  <si>
    <r>
      <t xml:space="preserve">1997 </t>
    </r>
    <r>
      <rPr>
        <b/>
        <sz val="9"/>
        <rFont val="Arial"/>
        <family val="2"/>
      </rPr>
      <t>and</t>
    </r>
    <r>
      <rPr>
        <sz val="9"/>
        <rFont val="Arial"/>
        <family val="2"/>
      </rPr>
      <t xml:space="preserve"> the payments are for your life and that of your beneficiary, enter the appropriate</t>
    </r>
  </si>
  <si>
    <r>
      <t xml:space="preserve">number from </t>
    </r>
    <r>
      <rPr>
        <b/>
        <sz val="9"/>
        <rFont val="Arial"/>
        <family val="2"/>
      </rPr>
      <t>Table 2</t>
    </r>
    <r>
      <rPr>
        <sz val="9"/>
        <rFont val="Arial"/>
        <family val="2"/>
      </rPr>
      <t xml:space="preserve"> below</t>
    </r>
  </si>
  <si>
    <t xml:space="preserve"> .   .   .   .   .   .   .   .   .   .   .   .   .   .   .   .   .   .   .</t>
  </si>
  <si>
    <t>Last year's amount</t>
  </si>
  <si>
    <t>Divide line 2 by the number on line 3</t>
  </si>
  <si>
    <t>.   .   .   .   .   .   .   .   .   .   .   .   .   .   .</t>
  </si>
  <si>
    <t>Multiply line 4 by the number of months for which this year’s payments were made. If your</t>
  </si>
  <si>
    <t>The number</t>
  </si>
  <si>
    <r>
      <t xml:space="preserve">annuity starting date was </t>
    </r>
    <r>
      <rPr>
        <b/>
        <sz val="9"/>
        <rFont val="Arial"/>
        <family val="2"/>
      </rPr>
      <t>before</t>
    </r>
    <r>
      <rPr>
        <sz val="9"/>
        <rFont val="Arial"/>
        <family val="2"/>
      </rPr>
      <t xml:space="preserve"> 1987, skip lines 6 and 7 and enter this amount on line 8.</t>
    </r>
  </si>
  <si>
    <t>of months</t>
  </si>
  <si>
    <t>Enter number of months for which</t>
  </si>
  <si>
    <t>Otherwise, go to line 6</t>
  </si>
  <si>
    <t>cannot be</t>
  </si>
  <si>
    <t>this year's payments were made.</t>
  </si>
  <si>
    <t>Enter the amount, if any, recovered tax free in years after 1986. If you completed this</t>
  </si>
  <si>
    <t>more than 12.</t>
  </si>
  <si>
    <r>
      <t>worksheet last year, enter the amount from line 10 of last year’s worksheet.</t>
    </r>
    <r>
      <rPr>
        <b/>
        <sz val="9"/>
        <rFont val="Arial"/>
        <family val="2"/>
      </rPr>
      <t xml:space="preserve">   .    .    .</t>
    </r>
  </si>
  <si>
    <t>Subtract line 6 from line 2.</t>
  </si>
  <si>
    <t>.   .   .   .   .   .   .   .   .   .   .   .   .   .   .   .   .   .   .</t>
  </si>
  <si>
    <r>
      <t xml:space="preserve">Enter the </t>
    </r>
    <r>
      <rPr>
        <b/>
        <sz val="9"/>
        <rFont val="Arial"/>
        <family val="2"/>
      </rPr>
      <t>smaller</t>
    </r>
    <r>
      <rPr>
        <sz val="9"/>
        <rFont val="Arial"/>
        <family val="2"/>
      </rPr>
      <t xml:space="preserve"> of line 5 or line 7</t>
    </r>
  </si>
  <si>
    <t>.   .   .   .   .   .   .   .   .   .   .   .   .   .   .   .   .   .   .   .   .   .   .   .</t>
  </si>
  <si>
    <r>
      <rPr>
        <b/>
        <sz val="9"/>
        <rFont val="Arial"/>
        <family val="2"/>
      </rPr>
      <t>Taxable amount.</t>
    </r>
    <r>
      <rPr>
        <sz val="9"/>
        <rFont val="Arial"/>
        <family val="2"/>
      </rPr>
      <t xml:space="preserve"> Subtract line 8 from line 1. Enter the result, but not less than zero. </t>
    </r>
    <r>
      <rPr>
        <b/>
        <sz val="9"/>
        <color rgb="FFFF0000"/>
        <rFont val="Arial"/>
        <family val="2"/>
      </rPr>
      <t>Also, enter this amount on Sheet</t>
    </r>
  </si>
  <si>
    <r>
      <t xml:space="preserve">Form 1099-R. If you are a retired public safety officer, see </t>
    </r>
    <r>
      <rPr>
        <i/>
        <sz val="9"/>
        <rFont val="Arial"/>
        <family val="2"/>
      </rPr>
      <t>Insurance Premiums for Retired Public Safety Officers</t>
    </r>
  </si>
  <si>
    <t>before entering an amount on line 5b of '1099-R'</t>
  </si>
  <si>
    <t>.   .   .   .   .   .   .   .   .   .   .   .   .   .   .   .   .   .   .   .   .   .</t>
  </si>
  <si>
    <t>Was your annuity starting date before 1987?</t>
  </si>
  <si>
    <r>
      <t xml:space="preserve"> Yes. </t>
    </r>
    <r>
      <rPr>
        <sz val="10"/>
        <rFont val="Arial"/>
        <family val="2"/>
      </rPr>
      <t xml:space="preserve">              STOP</t>
    </r>
  </si>
  <si>
    <t>Do not complete the rest of this worksheet.</t>
  </si>
  <si>
    <r>
      <t>No.</t>
    </r>
    <r>
      <rPr>
        <sz val="10"/>
        <rFont val="Arial"/>
        <family val="2"/>
      </rPr>
      <t xml:space="preserve">    Add lines 6 and 8.</t>
    </r>
  </si>
  <si>
    <r>
      <t xml:space="preserve">This is the </t>
    </r>
    <r>
      <rPr>
        <b/>
        <sz val="10"/>
        <rFont val="Arial"/>
        <family val="2"/>
      </rPr>
      <t>amount you have recovered tax free</t>
    </r>
    <r>
      <rPr>
        <sz val="10"/>
        <rFont val="Arial"/>
        <family val="2"/>
      </rPr>
      <t xml:space="preserve"> through</t>
    </r>
  </si>
  <si>
    <t xml:space="preserve">       You will need this number when you fill out this worksheet next year</t>
  </si>
  <si>
    <t xml:space="preserve">  .   .   .   .   .   .   .   .   .   .</t>
  </si>
  <si>
    <r>
      <rPr>
        <b/>
        <sz val="10"/>
        <rFont val="Arial"/>
        <family val="2"/>
      </rPr>
      <t>Balance of cost to be recovered.</t>
    </r>
    <r>
      <rPr>
        <sz val="10"/>
        <rFont val="Arial"/>
        <family val="2"/>
      </rPr>
      <t xml:space="preserve"> Subtract line 10 from line 2. If zero, you won’t have to complete this</t>
    </r>
  </si>
  <si>
    <t>worksheet next year. The payments you receive next year will generally be fully taxable</t>
  </si>
  <si>
    <t>.   .   .   .   .   .</t>
  </si>
  <si>
    <t>Table 1 For Line 3 Above</t>
  </si>
  <si>
    <t>Enter age</t>
  </si>
  <si>
    <t>AND your annuity starting date was----</t>
  </si>
  <si>
    <t>at annuity</t>
  </si>
  <si>
    <t>IF the age at annuity starting</t>
  </si>
  <si>
    <t>before</t>
  </si>
  <si>
    <t>after</t>
  </si>
  <si>
    <t>starting date</t>
  </si>
  <si>
    <t>date was …</t>
  </si>
  <si>
    <t xml:space="preserve">     enter on line 3 …</t>
  </si>
  <si>
    <t>enter on line 3 …</t>
  </si>
  <si>
    <t>(above)</t>
  </si>
  <si>
    <t>Table 2 For Line 3 Above</t>
  </si>
  <si>
    <t>IF the combined ages at annuity</t>
  </si>
  <si>
    <t xml:space="preserve"> starting date were . . .</t>
  </si>
  <si>
    <t>THEN enter on line 3. . .</t>
  </si>
  <si>
    <t>Social Security Benefits Worksheet – Lines 6a and 6b</t>
  </si>
  <si>
    <t xml:space="preserve"> .   .   .   .   .   .   .   .   .   .   .   .   .   .   .   .   .   .   .   .   .   .   .   .   .   .</t>
  </si>
  <si>
    <t xml:space="preserve">Publication 915, Social Security and Equivalent Railroad Retirement Benefits </t>
  </si>
  <si>
    <r>
      <t xml:space="preserve">Enter your total income that is taxable (excluding line A), such as </t>
    </r>
    <r>
      <rPr>
        <b/>
        <sz val="10"/>
        <rFont val="Arial"/>
        <family val="2"/>
      </rPr>
      <t>pensions</t>
    </r>
    <r>
      <rPr>
        <sz val="10"/>
        <rFont val="Arial"/>
        <family val="2"/>
      </rPr>
      <t>, wages, interest,</t>
    </r>
  </si>
  <si>
    <t>Enter the amount, if any, from Form 1040 or 1040-SR, line 2a</t>
  </si>
  <si>
    <t>ordinary dividends, and capital gain distributions. Don’t reduce your income by any deductions,</t>
  </si>
  <si>
    <t>.   .   .   .   .   .   .   .   .   .   .   .   .   .   .   .   .   .   .   .   .   .   .   .   .   .   .</t>
  </si>
  <si>
    <t>exclusions (listed earlier), or exemptions</t>
  </si>
  <si>
    <r>
      <rPr>
        <b/>
        <sz val="10"/>
        <rFont val="Arial"/>
        <family val="2"/>
      </rPr>
      <t xml:space="preserve"> No.                </t>
    </r>
    <r>
      <rPr>
        <sz val="10"/>
        <rFont val="Arial"/>
        <family val="2"/>
      </rPr>
      <t>None of your social security benefits are taxable.  Enter -0- on Form 1040</t>
    </r>
  </si>
  <si>
    <t xml:space="preserve">                       or 1040-SR, line 6b.</t>
  </si>
  <si>
    <t>.   .   .   .   .   .   .   .   .   .   .   .   .</t>
  </si>
  <si>
    <t>If you are:</t>
  </si>
  <si>
    <r>
      <t>l</t>
    </r>
    <r>
      <rPr>
        <sz val="10"/>
        <rFont val="Arial"/>
        <family val="2"/>
      </rPr>
      <t xml:space="preserve"> </t>
    </r>
  </si>
  <si>
    <t>Single, head of household, qualifying widow(er), or married filing</t>
  </si>
  <si>
    <r>
      <t xml:space="preserve">separately  and  you  </t>
    </r>
    <r>
      <rPr>
        <b/>
        <sz val="10"/>
        <rFont val="Arial"/>
        <family val="2"/>
      </rPr>
      <t>lived apart</t>
    </r>
    <r>
      <rPr>
        <sz val="10"/>
        <rFont val="Arial"/>
        <family val="2"/>
      </rPr>
      <t xml:space="preserve">  from your spouse  for all</t>
    </r>
  </si>
  <si>
    <t>Married filing separately and you lived with your spouse at any time</t>
  </si>
  <si>
    <r>
      <t xml:space="preserve">No.               </t>
    </r>
    <r>
      <rPr>
        <sz val="10"/>
        <rFont val="Arial"/>
        <family val="2"/>
      </rPr>
      <t>None of your social security benefits are taxable. Enter -0- on Form 1040 or 1040-SR, line 6b.</t>
    </r>
  </si>
  <si>
    <r>
      <t xml:space="preserve">If you are married filing separately and you </t>
    </r>
    <r>
      <rPr>
        <b/>
        <sz val="10"/>
        <rFont val="Arial"/>
        <family val="2"/>
      </rPr>
      <t>lived apart</t>
    </r>
    <r>
      <rPr>
        <sz val="10"/>
        <rFont val="Arial"/>
        <family val="2"/>
      </rPr>
      <t xml:space="preserve"> from your spouse for all of</t>
    </r>
  </si>
  <si>
    <t>.   .   .   .   .   .   .   .   .   .   .   .   .   .   .   .   .   .   .   .   .   .   .   .   .   .   .   .   .   .   .   .   .</t>
  </si>
  <si>
    <t>.   .   .   .   .   .   .   .   .   .   .   .   .   .   .   .   .   .   .   .   .   .   .</t>
  </si>
  <si>
    <t>.   .   .   .   .   .   .   .   .   .   .   .   .   .   .   .</t>
  </si>
  <si>
    <t>.   .   .   .   .   .   .   .   .   .   .   .   .   .   .   .   .   .   .   .   .   .   .   .   .   .   .   .</t>
  </si>
  <si>
    <t>Also, enter this amount on Form 1040 or 1040-SR, line 6b.</t>
  </si>
  <si>
    <t>Applicable?</t>
  </si>
  <si>
    <t>Use form anyway.</t>
  </si>
  <si>
    <r>
      <t xml:space="preserve">Use the worksheet </t>
    </r>
    <r>
      <rPr>
        <b/>
        <sz val="10"/>
        <rFont val="Arial"/>
        <family val="2"/>
      </rPr>
      <t>only</t>
    </r>
    <r>
      <rPr>
        <sz val="10"/>
        <rFont val="Arial"/>
        <family val="2"/>
      </rPr>
      <t xml:space="preserve"> if someone can claim you, or your spouse, if filing jointly, as a dependent.</t>
    </r>
  </si>
  <si>
    <r>
      <rPr>
        <b/>
        <sz val="10"/>
        <rFont val="Arial"/>
        <family val="2"/>
      </rPr>
      <t>You</t>
    </r>
    <r>
      <rPr>
        <sz val="10"/>
        <rFont val="Arial"/>
        <family val="2"/>
      </rPr>
      <t xml:space="preserve">  were  born   before</t>
    </r>
  </si>
  <si>
    <t>You  are blind</t>
  </si>
  <si>
    <t>Total number of boxes</t>
  </si>
  <si>
    <r>
      <rPr>
        <sz val="10"/>
        <rFont val="Arial"/>
        <family val="2"/>
      </rPr>
      <t xml:space="preserve">checked  </t>
    </r>
    <r>
      <rPr>
        <b/>
        <sz val="10"/>
        <rFont val="Arial"/>
        <family val="2"/>
      </rPr>
      <t xml:space="preserve">.   .   .   .   .   .   .   .   .   .   .   .   .   .  </t>
    </r>
  </si>
  <si>
    <r>
      <rPr>
        <b/>
        <sz val="10"/>
        <rFont val="Arial"/>
        <family val="2"/>
      </rPr>
      <t>Spouse</t>
    </r>
    <r>
      <rPr>
        <sz val="10"/>
        <rFont val="Arial"/>
        <family val="2"/>
      </rPr>
      <t xml:space="preserve"> was born before</t>
    </r>
  </si>
  <si>
    <t>Spouse is blind</t>
  </si>
  <si>
    <r>
      <t>Earned Income (from '</t>
    </r>
    <r>
      <rPr>
        <i/>
        <sz val="10"/>
        <rFont val="Arial"/>
        <family val="2"/>
      </rPr>
      <t>Earned Inc WS</t>
    </r>
    <r>
      <rPr>
        <sz val="10"/>
        <rFont val="Arial"/>
        <family val="2"/>
      </rPr>
      <t>', line 7)</t>
    </r>
  </si>
  <si>
    <r>
      <t xml:space="preserve">Is  your  </t>
    </r>
    <r>
      <rPr>
        <b/>
        <sz val="10"/>
        <rFont val="Arial"/>
        <family val="2"/>
      </rPr>
      <t>earned income*</t>
    </r>
    <r>
      <rPr>
        <sz val="10"/>
        <rFont val="Arial"/>
        <family val="2"/>
      </rPr>
      <t xml:space="preserve"> </t>
    </r>
  </si>
  <si>
    <t>Standard deduction.</t>
  </si>
  <si>
    <r>
      <rPr>
        <b/>
        <sz val="10"/>
        <rFont val="Arial"/>
        <family val="2"/>
      </rPr>
      <t>stop here</t>
    </r>
    <r>
      <rPr>
        <sz val="10"/>
        <rFont val="Arial"/>
        <family val="2"/>
      </rPr>
      <t xml:space="preserve"> and enter</t>
    </r>
  </si>
  <si>
    <t xml:space="preserve"> 4a.</t>
  </si>
  <si>
    <t>.   .   .   .   .   .   .   .   .   .   .   .   .   .   .   .   .   .   .   .   .   .   .   .   4b.</t>
  </si>
  <si>
    <t>.   .   .   .   .   .   .   .   .   4c.</t>
  </si>
  <si>
    <r>
      <t xml:space="preserve">  *</t>
    </r>
    <r>
      <rPr>
        <b/>
        <i/>
        <sz val="9"/>
        <rFont val="Arial"/>
        <family val="2"/>
      </rPr>
      <t>Earned income</t>
    </r>
    <r>
      <rPr>
        <i/>
        <sz val="9"/>
        <rFont val="Arial"/>
        <family val="2"/>
      </rPr>
      <t xml:space="preserve"> includes wages, salaries, tips, professional fees, and other compensation received for personal services you performed. It</t>
    </r>
  </si>
  <si>
    <t xml:space="preserve">    also includes any taxable scholarship or fellowship grant. Generally, your earned income is the total of the amount(s) you reported on Form</t>
  </si>
  <si>
    <t xml:space="preserve">   1040 or 1040-SR, line 1z,  and Schedule 1, lines 3, 6, 8r, 8t, and 8u, minus the amount, if any, on Schedule 1, line 15. </t>
  </si>
  <si>
    <t>NOTE:  This spreadsheet includes an "Earned Inc WS" which is designed to help you calculate your earned income.</t>
  </si>
  <si>
    <t>Qualified Dividends and</t>
  </si>
  <si>
    <t>Amount from Form 1040, Line 3a.</t>
  </si>
  <si>
    <t>Capital Gain Tax Worksheet</t>
  </si>
  <si>
    <t>Amount from Form 1040, Line 7, or smallest of Sch. D, Line 15 or 16.</t>
  </si>
  <si>
    <t>Sum of Lines 2 and 3.</t>
  </si>
  <si>
    <r>
      <t>h</t>
    </r>
    <r>
      <rPr>
        <sz val="10"/>
        <rFont val="Arial"/>
        <family val="2"/>
      </rPr>
      <t xml:space="preserve">  You are filing Schedule D and Schedule D, lines 15 and 16, are both more than zero </t>
    </r>
    <r>
      <rPr>
        <u/>
        <sz val="10"/>
        <rFont val="Arial"/>
        <family val="2"/>
      </rPr>
      <t>and</t>
    </r>
  </si>
  <si>
    <t>Line 26</t>
  </si>
  <si>
    <r>
      <t xml:space="preserve">      you are </t>
    </r>
    <r>
      <rPr>
        <u/>
        <sz val="10"/>
        <rFont val="Arial"/>
        <family val="2"/>
      </rPr>
      <t>not</t>
    </r>
    <r>
      <rPr>
        <sz val="10"/>
        <rFont val="Arial"/>
        <family val="2"/>
      </rPr>
      <t xml:space="preserve"> required to complete the </t>
    </r>
    <r>
      <rPr>
        <b/>
        <sz val="10"/>
        <rFont val="Arial"/>
        <family val="2"/>
      </rPr>
      <t>28% Rate Gain Worksheet</t>
    </r>
    <r>
      <rPr>
        <sz val="10"/>
        <rFont val="Arial"/>
        <family val="2"/>
      </rPr>
      <t xml:space="preserve"> (Sch. D, line 18) </t>
    </r>
    <r>
      <rPr>
        <u/>
        <sz val="10"/>
        <rFont val="Arial"/>
        <family val="2"/>
      </rPr>
      <t>and</t>
    </r>
  </si>
  <si>
    <r>
      <t xml:space="preserve">      you are </t>
    </r>
    <r>
      <rPr>
        <u/>
        <sz val="10"/>
        <rFont val="Arial"/>
        <family val="2"/>
      </rPr>
      <t>not</t>
    </r>
    <r>
      <rPr>
        <sz val="10"/>
        <rFont val="Arial"/>
        <family val="2"/>
      </rPr>
      <t xml:space="preserve"> required to complete the </t>
    </r>
    <r>
      <rPr>
        <b/>
        <sz val="10"/>
        <rFont val="Arial"/>
        <family val="2"/>
      </rPr>
      <t>Unrecaptured Section 1250 Gain Worksheet</t>
    </r>
    <r>
      <rPr>
        <sz val="10"/>
        <rFont val="Arial"/>
        <family val="2"/>
      </rPr>
      <t xml:space="preserve"> (Schedule D, line 19), </t>
    </r>
    <r>
      <rPr>
        <u/>
        <sz val="10"/>
        <rFont val="Arial"/>
        <family val="2"/>
      </rPr>
      <t>and</t>
    </r>
  </si>
  <si>
    <r>
      <t xml:space="preserve">      you are </t>
    </r>
    <r>
      <rPr>
        <u/>
        <sz val="10"/>
        <rFont val="Arial"/>
        <family val="2"/>
      </rPr>
      <t>not</t>
    </r>
    <r>
      <rPr>
        <sz val="10"/>
        <rFont val="Arial"/>
        <family val="2"/>
      </rPr>
      <t xml:space="preserve"> filing Form 4952. (See Schedule D, line 20.) </t>
    </r>
  </si>
  <si>
    <r>
      <rPr>
        <b/>
        <sz val="10"/>
        <rFont val="Arial"/>
        <family val="2"/>
      </rPr>
      <t>Note:</t>
    </r>
    <r>
      <rPr>
        <sz val="10"/>
        <rFont val="Arial"/>
        <family val="2"/>
      </rPr>
      <t xml:space="preserve"> If you had income from farming or fishing, your tax may be less if you choose to figure it using income averaging on </t>
    </r>
    <r>
      <rPr>
        <b/>
        <sz val="10"/>
        <rFont val="Arial"/>
        <family val="2"/>
      </rPr>
      <t>Schedule J</t>
    </r>
    <r>
      <rPr>
        <sz val="10"/>
        <rFont val="Arial"/>
        <family val="2"/>
      </rPr>
      <t>.</t>
    </r>
  </si>
  <si>
    <t>12.</t>
  </si>
  <si>
    <t>(Form 1040, Schedule J, Income Averaging for Farmers and Fishermen, is NOT included in this spreadsheet.)</t>
  </si>
  <si>
    <t>13.</t>
  </si>
  <si>
    <t>14.</t>
  </si>
  <si>
    <t>Check here to use this worksheet anyway.</t>
  </si>
  <si>
    <t>15.</t>
  </si>
  <si>
    <t>16.</t>
  </si>
  <si>
    <t>17.</t>
  </si>
  <si>
    <t>18.</t>
  </si>
  <si>
    <t>Line 24</t>
  </si>
  <si>
    <t>Keep for your records.</t>
  </si>
  <si>
    <t>19.</t>
  </si>
  <si>
    <t xml:space="preserve">Before you begin: </t>
  </si>
  <si>
    <t>P</t>
  </si>
  <si>
    <t>See the earlier instructions for line 16 to see if you can use this worksheet to figure your tax.</t>
  </si>
  <si>
    <t>20.</t>
  </si>
  <si>
    <t>Before completing this worksheet, complete Form 1040 or 1040-SR through line 15.</t>
  </si>
  <si>
    <t>21.</t>
  </si>
  <si>
    <t>If you do not have to file Schedule D and you received capital gain distributions, be sure</t>
  </si>
  <si>
    <t>22.</t>
  </si>
  <si>
    <t>Tax on Line 5.</t>
  </si>
  <si>
    <t>23.</t>
  </si>
  <si>
    <t>24.</t>
  </si>
  <si>
    <t>Tax on Line 1.</t>
  </si>
  <si>
    <t>25.</t>
  </si>
  <si>
    <t>Tax on all taxable income.</t>
  </si>
  <si>
    <t>line 3 of the Foreign Earned Income Tax Worksheet</t>
  </si>
  <si>
    <t xml:space="preserve"> .    .    .    .    .    .    .    .    .    .    . </t>
  </si>
  <si>
    <t>Enter the amount from Form 1040 or 1040-SR, line 3a* .    .    .    .    .    .    .</t>
  </si>
  <si>
    <t>Are you filing Schedule D?*</t>
  </si>
  <si>
    <t xml:space="preserve">  Yes.</t>
  </si>
  <si>
    <r>
      <t xml:space="preserve">Enter the </t>
    </r>
    <r>
      <rPr>
        <b/>
        <sz val="9"/>
        <rFont val="Arial"/>
        <family val="2"/>
      </rPr>
      <t>smaller</t>
    </r>
    <r>
      <rPr>
        <sz val="9"/>
        <rFont val="Arial"/>
        <family val="2"/>
      </rPr>
      <t xml:space="preserve"> of line 15 or 16 of</t>
    </r>
  </si>
  <si>
    <t>Schedule D. If either line 15 or line 16 is</t>
  </si>
  <si>
    <t>blank or a loss, enter -0-.</t>
  </si>
  <si>
    <t xml:space="preserve">  No.</t>
  </si>
  <si>
    <t xml:space="preserve">Enter the amount from Form 1040 or </t>
  </si>
  <si>
    <t>Add lines 2 and 3</t>
  </si>
  <si>
    <t xml:space="preserve"> .    .    .    .    .    .    .    .    .    .    .    .    . </t>
  </si>
  <si>
    <t>Subtract line 4 from line 1.  If zero or less, enter -0-</t>
  </si>
  <si>
    <t xml:space="preserve"> .    .    .    .    .    .    .    .    .    .    .    . </t>
  </si>
  <si>
    <r>
      <t>Enter</t>
    </r>
    <r>
      <rPr>
        <sz val="9"/>
        <rFont val="Arial"/>
        <family val="2"/>
      </rPr>
      <t>:</t>
    </r>
  </si>
  <si>
    <t xml:space="preserve"> .    .    .    .    .    .    .    . </t>
  </si>
  <si>
    <t>Enter the smaller of line 1 or line 6</t>
  </si>
  <si>
    <t xml:space="preserve"> .    .    .    .    .    .    .    .    .    .    .    .    .    .    .    .    . </t>
  </si>
  <si>
    <t>Enter the smaller of line 5 or line 7</t>
  </si>
  <si>
    <t xml:space="preserve">.    .    .    .    .    .    .    .    .    .    .    .    .    .    .    .    . </t>
  </si>
  <si>
    <t>Subtract line 8 from line 7. This amount is taxed at 0%</t>
  </si>
  <si>
    <t xml:space="preserve"> .    .    .    .    .    .    .    .    .    . </t>
  </si>
  <si>
    <t>Enter the smaller of line 1 or line 4</t>
  </si>
  <si>
    <t xml:space="preserve">  .    .    .    .    .    .    .    .    .    .    .    .    .    .    .    . </t>
  </si>
  <si>
    <t>Enter the amount from line 9</t>
  </si>
  <si>
    <t>Subtract line 11 from line 10</t>
  </si>
  <si>
    <t xml:space="preserve">   .    .    .    .    .    .    .    .    .    .    .    .    .    .    .    .    .    . </t>
  </si>
  <si>
    <t>CGTW_Line5</t>
  </si>
  <si>
    <t>Enter the smaller of line 1 or line 13</t>
  </si>
  <si>
    <t>Add lines 5 and 9</t>
  </si>
  <si>
    <t>Subtract line 15 from line 14. If zero or less, enter -0-</t>
  </si>
  <si>
    <t>Enter the smaller of line 12 or line 16</t>
  </si>
  <si>
    <t xml:space="preserve"> .    .    .    .    .    .    .    .    .    .    .    .    .    .    .    .    .    .    .    .    .    .    .    .    .    .  </t>
  </si>
  <si>
    <t>Add lines 9 and 17</t>
  </si>
  <si>
    <t xml:space="preserve">.    .    .    .    .    .    .    .    .    .    .    .    .    .    .    .    .    .    .    . </t>
  </si>
  <si>
    <t>Subtract line 19 from line 10</t>
  </si>
  <si>
    <t>CGTW_Line1</t>
  </si>
  <si>
    <t>Figure the tax on the amount on line 5. If the amount on line 5 is less than $100,000, use the Tax</t>
  </si>
  <si>
    <t>Table to figure this tax. If the amount on line 5 is $100,000 or more, use the Tax Computation</t>
  </si>
  <si>
    <t>Worksheet</t>
  </si>
  <si>
    <t xml:space="preserve">   .    .    .    .    .    .    .    .    .    .    .    .    .    .    .    .    .    .    .    .    .    .    .    .    .    .    .    .    .    .    .    .    . </t>
  </si>
  <si>
    <t>Add lines 18, 21, and 22</t>
  </si>
  <si>
    <t xml:space="preserve">.    .    .    .    .    .    .    .    .    .    .    .    .    .    .    .    .    .    .    .    .    .    .    .    .    .    .    . </t>
  </si>
  <si>
    <t>Figure the tax on the amount on line 1. If the amount on line 1 is less than $100,000, use the Tax</t>
  </si>
  <si>
    <t>Table to figure this tax. If the amount on line 1 is $100,000 or more, use the Tax Computation</t>
  </si>
  <si>
    <t xml:space="preserve">   .    .    .    .    .    .    .    .    .    .    .    .    .    .    .    .    .    .    .    .    .    .    .    .    .    .    .    .    .    .    .    .    .    . </t>
  </si>
  <si>
    <r>
      <t>Tax on all taxable income.</t>
    </r>
    <r>
      <rPr>
        <sz val="9"/>
        <rFont val="Arial"/>
        <family val="2"/>
      </rPr>
      <t xml:space="preserve">  Enter the </t>
    </r>
    <r>
      <rPr>
        <b/>
        <sz val="9"/>
        <rFont val="Arial"/>
        <family val="2"/>
      </rPr>
      <t>smaller</t>
    </r>
    <r>
      <rPr>
        <sz val="9"/>
        <rFont val="Arial"/>
        <family val="2"/>
      </rPr>
      <t xml:space="preserve"> of line 23 or line 24.   Also include this amount on the entry</t>
    </r>
  </si>
  <si>
    <t>space for Form 1040 or 1040-SR, line 16.  If you are filing Form 2555, do not enter this amount on the</t>
  </si>
  <si>
    <t>entry space on Form 1040 or 1040-SR, line 16. Instead, enter it on line 4 of the Foreign Earned Income</t>
  </si>
  <si>
    <t>Tax Worksheet</t>
  </si>
  <si>
    <t xml:space="preserve">.    .    .    .    .    .    .    .    .    .    .    .    .    .    .    .    .    .    .    .    .    .    .    .    .    .    .    .    .    .    .    .    . </t>
  </si>
  <si>
    <t>* If you are filing Form 2555, see the footnote in the Foreign Earned Income Tax Worksheet before completing this line.</t>
  </si>
  <si>
    <t>FEI_TW_Line3</t>
  </si>
  <si>
    <t>Foreign Earned Income Tax Worksheet — Line 16</t>
  </si>
  <si>
    <t>If Form 1040 or 1040-SR, line 15, is zero, do not complete this worksheet.</t>
  </si>
  <si>
    <t>Enter the amount from Form 1040 or 1040-SR, line 15</t>
  </si>
  <si>
    <t xml:space="preserve">.    .    .    .    .    .    .    .    .    .    .    .    .    .    .    .    .    . </t>
  </si>
  <si>
    <t>FEI_TW_Line2c</t>
  </si>
  <si>
    <r>
      <t xml:space="preserve">Enter the amount from your (and your spouse's, if filing jointly) Form 2555, lines 45 and 50  </t>
    </r>
    <r>
      <rPr>
        <b/>
        <sz val="10"/>
        <rFont val="Arial"/>
        <family val="2"/>
      </rPr>
      <t>.    .    .    .    .    .    .    .    .</t>
    </r>
  </si>
  <si>
    <t>Enter the total amount of any itemized deductions or exclusions you couldn't claim because they are</t>
  </si>
  <si>
    <t>related to excluded income</t>
  </si>
  <si>
    <t xml:space="preserve"> .    .    .    .    .    .    .    .    .    .    .    .    .    .    .    .    .    .    .    .    .    .    .    .    .    . </t>
  </si>
  <si>
    <t>Subtract line 2b from line 2a. If zero or less, enter -0-</t>
  </si>
  <si>
    <t xml:space="preserve">.    .    .    .    .    .    .    .    .    .    .    .    .    .    .    .    .    .    . </t>
  </si>
  <si>
    <t>Add lines 1 and 2c</t>
  </si>
  <si>
    <t xml:space="preserve">.    .    .    .    .    .    .    .    .    .    .    .    .    .    .    .    .    .    .    .    .    .    .    .    .    .    .    .    .    . </t>
  </si>
  <si>
    <t>FEITW, Line 3</t>
  </si>
  <si>
    <r>
      <rPr>
        <b/>
        <sz val="10"/>
        <rFont val="Arial"/>
        <family val="2"/>
      </rPr>
      <t>Figure the tax on the amount on line 3.</t>
    </r>
    <r>
      <rPr>
        <sz val="10"/>
        <rFont val="Arial"/>
        <family val="2"/>
      </rPr>
      <t xml:space="preserve"> Use the Tax Table, Tax Computation Worksheet,</t>
    </r>
  </si>
  <si>
    <t>computation method applies. (Do not use a second Foreign Earned Income Tax Worksheet to figure</t>
  </si>
  <si>
    <t>the tax on this line)</t>
  </si>
  <si>
    <t xml:space="preserve">.    .    .    .    .    .    .    .    .    .    .    .    .    .    .    .    .    .    .    .    .    .    .    .    .    .    .    .    . </t>
  </si>
  <si>
    <r>
      <rPr>
        <b/>
        <sz val="10"/>
        <rFont val="Arial"/>
        <family val="2"/>
      </rPr>
      <t>Figure the tax on the amount on line 2c.</t>
    </r>
    <r>
      <rPr>
        <sz val="10"/>
        <rFont val="Arial"/>
        <family val="2"/>
      </rPr>
      <t xml:space="preserve"> If the amount on line 2c is less than $100,000, use the</t>
    </r>
  </si>
  <si>
    <t>Tax Table to figure this tax. If the amount on line 2c is $100,000 or more, use the Tax Computation</t>
  </si>
  <si>
    <t xml:space="preserve">.    .    .    .    .    .    .    .    .    .    .    .    .    .    .    .    .    .    .    .    .    .    .    .    .    .    .    .    .    .    .    . </t>
  </si>
  <si>
    <t>Subtract line 5 from line 4. Enter the result. If zero or less, enter -0-. Also include this amount on</t>
  </si>
  <si>
    <t>Form 1040 or 1040-SR, line 16</t>
  </si>
  <si>
    <t xml:space="preserve">.    .    .    .    .    .    .    .    .    .    .    .    .    .    .    .    .    .    .    .    .    .    .    .    . </t>
  </si>
  <si>
    <t>*Enter the amount from line 3 above on line 1 of the Qualified Dividends and Capital Gain Tax Worksheet or Schedule D Tax Worksheet if you</t>
  </si>
  <si>
    <t>use either of those worksheets to figure the tax on line 4 above. Complete the rest of that worksheet through line 6 (line 10 if you use the</t>
  </si>
  <si>
    <t>Schedule D Tax Worksheet). Next, you must determine if you have a capital gain excess. To find out if you have a capital gain excess, subtract</t>
  </si>
  <si>
    <t>Form 1040 or 1040-SR, line 15, from line 4 of your Qualified Dividends and Capital Gain Tax Worksheet (line 10 of your Schedule D Tax</t>
  </si>
  <si>
    <t>Worksheet).  If the result is more than zero, that amount is your capital gain excess.</t>
  </si>
  <si>
    <t>If you don't have a capital gain excess, complete the rest of either of those worksheets according to the worksheet's instructions. Then</t>
  </si>
  <si>
    <t>complete lines 5 and 6 above.</t>
  </si>
  <si>
    <t>If you have a capital gain excess, complete a second Qualified Dividends and Capital Gain Tax Worksheet or Schedule D Tax Worksheet</t>
  </si>
  <si>
    <t>(whichever applies) as instructed above but in its entirety and with the following additional modifications. Then complete lines 5 and 6 above.</t>
  </si>
  <si>
    <t>These modifications are to be made only for purposes of filling out the Foreign Earned Income Tax Worksheet above.</t>
  </si>
  <si>
    <t>1. Reduce (but not below zero) the amount you would otherwise enter on line 3 of your Qualified Dividends and Capital Gain Tax Worksheet</t>
  </si>
  <si>
    <t>or line 9 of your Schedule D Tax Worksheet by your capital gain excess.</t>
  </si>
  <si>
    <t>2. Reduce (but not below zero) the amount you would otherwise enter on line 2 of your Qualified Dividends and Capital Gain Tax Worksheet</t>
  </si>
  <si>
    <t>Schedule D Tax Worksheet</t>
  </si>
  <si>
    <t>&lt;&lt; Used?</t>
  </si>
  <si>
    <t>or line 6 of your Schedule D Tax Worksheet by any of your capital gain excess not used in (1) above.</t>
  </si>
  <si>
    <t>&lt; FEITW, Line 3 &gt;</t>
  </si>
  <si>
    <t>3. Reduce (but not below zero) the amount on your Schedule D (Form 1040), line 18, by your capital gain excess.</t>
  </si>
  <si>
    <t>Form 1040, line 3a</t>
  </si>
  <si>
    <t>Form 4952, line 4g</t>
  </si>
  <si>
    <t>Schedule D (Form 1040).</t>
  </si>
  <si>
    <t>Form 4952, line 4e</t>
  </si>
  <si>
    <t>Subtract line 4 from 3</t>
  </si>
  <si>
    <t>Subtract line 5 from 2</t>
  </si>
  <si>
    <t>Smaller of Sch. D, L15 or 16</t>
  </si>
  <si>
    <t>Smaller of line 3 or 4</t>
  </si>
  <si>
    <t>Subtract line 8 from 7</t>
  </si>
  <si>
    <t>Add lines 6 and 9</t>
  </si>
  <si>
    <t>Add Sch. D, L 18 &amp; 19</t>
  </si>
  <si>
    <t>Smaller of line 9 or 11</t>
  </si>
  <si>
    <t>Subtract line 12 from 10</t>
  </si>
  <si>
    <t>Subtract line 13 from 1</t>
  </si>
  <si>
    <t>Sch. DTW line 15</t>
  </si>
  <si>
    <t>Smaller of line 1 or 15</t>
  </si>
  <si>
    <t>Smaller of line 14 or 16</t>
  </si>
  <si>
    <t>Subtract line 10 from 1</t>
  </si>
  <si>
    <t>Smaller of line 1 or Amt.</t>
  </si>
  <si>
    <t>Smaller of line 14 or 19</t>
  </si>
  <si>
    <t>Larger of line 18 or 20</t>
  </si>
  <si>
    <t>Subtract line 17 from 16</t>
  </si>
  <si>
    <t>Enter smaller of line 1 or 13</t>
  </si>
  <si>
    <t>Amt. from line 22.</t>
  </si>
  <si>
    <t>Subt. Line 24 from 23 (&gt;=0)</t>
  </si>
  <si>
    <t>Amt. from line 26</t>
  </si>
  <si>
    <t>27.</t>
  </si>
  <si>
    <t>Smaller of line 1 or 26</t>
  </si>
  <si>
    <t>28.</t>
  </si>
  <si>
    <t>Add lines 21 and 22</t>
  </si>
  <si>
    <t>29.</t>
  </si>
  <si>
    <t>Subt. line 28 from 27. (&gt;=0)</t>
  </si>
  <si>
    <t xml:space="preserve">   30</t>
  </si>
  <si>
    <t>Smaller of line 23 or 27</t>
  </si>
  <si>
    <t>31.</t>
  </si>
  <si>
    <t>32.</t>
  </si>
  <si>
    <t>Add lines 24 and 30</t>
  </si>
  <si>
    <t>33.</t>
  </si>
  <si>
    <t>Subtract line 32 from 23</t>
  </si>
  <si>
    <t>34.</t>
  </si>
  <si>
    <t>35.</t>
  </si>
  <si>
    <t>Smaller of L9 or SchD L19</t>
  </si>
  <si>
    <t>36.</t>
  </si>
  <si>
    <t>Add lines 10 and 21</t>
  </si>
  <si>
    <t>37.</t>
  </si>
  <si>
    <t>Amount from line 1</t>
  </si>
  <si>
    <t>38.</t>
  </si>
  <si>
    <t>Subt. line 37 from 36 (&gt;=0)</t>
  </si>
  <si>
    <t>39.</t>
  </si>
  <si>
    <t>Subt. line 38 from 35 (&gt;=0)</t>
  </si>
  <si>
    <t>40.</t>
  </si>
  <si>
    <t>41.</t>
  </si>
  <si>
    <t>Add line 21, 22, 30, 33, &amp; 39</t>
  </si>
  <si>
    <t>42.</t>
  </si>
  <si>
    <t>Subtract line 41 from 1</t>
  </si>
  <si>
    <t>43.</t>
  </si>
  <si>
    <t>44.</t>
  </si>
  <si>
    <t>Tax on Line 21</t>
  </si>
  <si>
    <t>45.</t>
  </si>
  <si>
    <t>Add line 31, 34, 40, 43, &amp; 44</t>
  </si>
  <si>
    <t>46.</t>
  </si>
  <si>
    <t>Tax on Line 1</t>
  </si>
  <si>
    <t>47.</t>
  </si>
  <si>
    <r>
      <rPr>
        <b/>
        <sz val="10"/>
        <rFont val="Arial"/>
        <family val="2"/>
      </rPr>
      <t>TAX:</t>
    </r>
    <r>
      <rPr>
        <sz val="10"/>
        <rFont val="Arial"/>
        <family val="2"/>
      </rPr>
      <t xml:space="preserve"> Smaller of line 45 or 46</t>
    </r>
  </si>
  <si>
    <t>Earned Income Credit (EIC)</t>
  </si>
  <si>
    <t>Step 1</t>
  </si>
  <si>
    <t>All Filers</t>
  </si>
  <si>
    <t>●</t>
  </si>
  <si>
    <t>3 or more children lived with you,</t>
  </si>
  <si>
    <t>MFJ</t>
  </si>
  <si>
    <t>2 children lived with you,</t>
  </si>
  <si>
    <t>1 child lived with you,</t>
  </si>
  <si>
    <t>No children lived with you,</t>
  </si>
  <si>
    <r>
      <rPr>
        <b/>
        <sz val="10"/>
        <rFont val="Arial"/>
        <family val="2"/>
      </rPr>
      <t>Yes.</t>
    </r>
    <r>
      <rPr>
        <sz val="10"/>
        <rFont val="Arial"/>
        <family val="2"/>
      </rPr>
      <t xml:space="preserve">  Continue.</t>
    </r>
  </si>
  <si>
    <r>
      <rPr>
        <b/>
        <sz val="10"/>
        <rFont val="Arial"/>
        <family val="2"/>
      </rPr>
      <t xml:space="preserve">No. </t>
    </r>
    <r>
      <rPr>
        <sz val="10"/>
        <rFont val="Arial"/>
        <family val="2"/>
      </rPr>
      <t xml:space="preserve"> STOP  You can't take the credit.</t>
    </r>
  </si>
  <si>
    <t>Do you, and your spouse if filing a joint return, have a social security number issued on or before the due date</t>
  </si>
  <si>
    <r>
      <rPr>
        <b/>
        <sz val="10"/>
        <rFont val="Arial"/>
        <family val="2"/>
      </rPr>
      <t>No.</t>
    </r>
    <r>
      <rPr>
        <sz val="10"/>
        <rFont val="Arial"/>
        <family val="2"/>
      </rPr>
      <t xml:space="preserve">  STOP  You cannot take the credit.</t>
    </r>
  </si>
  <si>
    <t>Are you filing Form 2555 (relating to foreign earned income)?</t>
  </si>
  <si>
    <r>
      <rPr>
        <b/>
        <sz val="10"/>
        <rFont val="Arial"/>
        <family val="2"/>
      </rPr>
      <t>Yes.</t>
    </r>
    <r>
      <rPr>
        <sz val="10"/>
        <rFont val="Arial"/>
        <family val="2"/>
      </rPr>
      <t xml:space="preserve">  STOP  You can't take the credit.</t>
    </r>
  </si>
  <si>
    <r>
      <rPr>
        <b/>
        <sz val="10"/>
        <color rgb="FF008000"/>
        <rFont val="Arial"/>
        <family val="2"/>
      </rPr>
      <t>No.</t>
    </r>
    <r>
      <rPr>
        <sz val="10"/>
        <rFont val="Arial"/>
        <family val="2"/>
      </rPr>
      <t xml:space="preserve">  </t>
    </r>
    <r>
      <rPr>
        <sz val="10"/>
        <color rgb="FF008000"/>
        <rFont val="Arial"/>
        <family val="2"/>
      </rPr>
      <t>Continue</t>
    </r>
  </si>
  <si>
    <r>
      <rPr>
        <b/>
        <sz val="10"/>
        <rFont val="Arial"/>
        <family val="2"/>
      </rPr>
      <t>No.</t>
    </r>
    <r>
      <rPr>
        <sz val="10"/>
        <rFont val="Arial"/>
        <family val="2"/>
      </rPr>
      <t xml:space="preserve">  Go to Step 2.</t>
    </r>
  </si>
  <si>
    <r>
      <t xml:space="preserve">See </t>
    </r>
    <r>
      <rPr>
        <i/>
        <sz val="10"/>
        <rFont val="Arial"/>
        <family val="2"/>
      </rPr>
      <t>Non-resident aliens</t>
    </r>
    <r>
      <rPr>
        <sz val="10"/>
        <rFont val="Arial"/>
        <family val="2"/>
      </rPr>
      <t xml:space="preserve">, later, </t>
    </r>
  </si>
  <si>
    <r>
      <t xml:space="preserve">under </t>
    </r>
    <r>
      <rPr>
        <i/>
        <sz val="10"/>
        <rFont val="Arial"/>
        <family val="2"/>
      </rPr>
      <t>Definitions and Special Rules</t>
    </r>
  </si>
  <si>
    <t>Step 2</t>
  </si>
  <si>
    <t>Investment Income</t>
  </si>
  <si>
    <r>
      <t xml:space="preserve">Add the amounts from Form 1040 or 1040-SR:       </t>
    </r>
    <r>
      <rPr>
        <i/>
        <sz val="10"/>
        <rFont val="Arial"/>
        <family val="2"/>
      </rPr>
      <t>(This is automatically completed.)</t>
    </r>
  </si>
  <si>
    <t xml:space="preserve">Line 2a     </t>
  </si>
  <si>
    <t>Line 2b   +</t>
  </si>
  <si>
    <t>Line 3b   +</t>
  </si>
  <si>
    <r>
      <rPr>
        <b/>
        <sz val="10"/>
        <rFont val="Arial"/>
        <family val="2"/>
      </rPr>
      <t>Investment Income</t>
    </r>
    <r>
      <rPr>
        <sz val="10"/>
        <rFont val="Arial"/>
        <family val="2"/>
      </rPr>
      <t xml:space="preserve"> =</t>
    </r>
  </si>
  <si>
    <r>
      <rPr>
        <b/>
        <sz val="10"/>
        <rFont val="Arial"/>
        <family val="2"/>
      </rPr>
      <t>Yes.</t>
    </r>
    <r>
      <rPr>
        <sz val="10"/>
        <rFont val="Arial"/>
        <family val="2"/>
      </rPr>
      <t xml:space="preserve">  Continue</t>
    </r>
  </si>
  <si>
    <r>
      <rPr>
        <b/>
        <sz val="10"/>
        <rFont val="Arial"/>
        <family val="2"/>
      </rPr>
      <t>No.</t>
    </r>
    <r>
      <rPr>
        <sz val="10"/>
        <rFont val="Arial"/>
        <family val="2"/>
      </rPr>
      <t xml:space="preserve">  Skip question 3; go to question 4.</t>
    </r>
  </si>
  <si>
    <t>Are you filing Form 4797 (relating to sales of business property)?</t>
  </si>
  <si>
    <r>
      <rPr>
        <b/>
        <sz val="10"/>
        <rFont val="Arial"/>
        <family val="2"/>
      </rPr>
      <t>Yes.</t>
    </r>
    <r>
      <rPr>
        <sz val="10"/>
        <rFont val="Arial"/>
        <family val="2"/>
      </rPr>
      <t xml:space="preserve">  See </t>
    </r>
    <r>
      <rPr>
        <i/>
        <sz val="10"/>
        <rFont val="Arial"/>
        <family val="2"/>
      </rPr>
      <t>Form 4797 filers</t>
    </r>
    <r>
      <rPr>
        <sz val="10"/>
        <rFont val="Arial"/>
        <family val="2"/>
      </rPr>
      <t>,</t>
    </r>
  </si>
  <si>
    <r>
      <rPr>
        <b/>
        <sz val="10"/>
        <rFont val="Arial"/>
        <family val="2"/>
      </rPr>
      <t>No.</t>
    </r>
    <r>
      <rPr>
        <sz val="10"/>
        <rFont val="Arial"/>
        <family val="2"/>
      </rPr>
      <t xml:space="preserve">  You cannot take the credit.</t>
    </r>
  </si>
  <si>
    <r>
      <t xml:space="preserve">You are filing Schedule E.      </t>
    </r>
    <r>
      <rPr>
        <i/>
        <sz val="10"/>
        <rFont val="Arial"/>
        <family val="2"/>
      </rPr>
      <t xml:space="preserve"> (This is automatically completed.)</t>
    </r>
  </si>
  <si>
    <t xml:space="preserve">You are reporting income or a loss from the rental of </t>
  </si>
  <si>
    <t>You are filing Form 8814 (relating to election to report child’s interest</t>
  </si>
  <si>
    <t>and dividends on your return).</t>
  </si>
  <si>
    <t>You have income or loss from a passive activity.</t>
  </si>
  <si>
    <r>
      <rPr>
        <b/>
        <sz val="10"/>
        <rFont val="Arial"/>
        <family val="2"/>
      </rPr>
      <t>Yes.</t>
    </r>
    <r>
      <rPr>
        <sz val="10"/>
        <rFont val="Arial"/>
        <family val="2"/>
      </rPr>
      <t xml:space="preserve">  Use Worksheet 1</t>
    </r>
  </si>
  <si>
    <t xml:space="preserve">         in Pub. 596 to see if you</t>
  </si>
  <si>
    <t xml:space="preserve">         can take the credit.</t>
  </si>
  <si>
    <t xml:space="preserve">Step 3 </t>
  </si>
  <si>
    <t>Qualifying Child</t>
  </si>
  <si>
    <t>See CAUTIONS and TIP in the instructions.</t>
  </si>
  <si>
    <t>A qualifying child for the EIC is a child who is your…</t>
  </si>
  <si>
    <t xml:space="preserve">Son, daughter, stepchild, foster child, brother, sister, stepbrother, stepsister, </t>
  </si>
  <si>
    <t>CAUTION:</t>
  </si>
  <si>
    <t>half brother, half sister, or a descendant of any of them</t>
  </si>
  <si>
    <t>You can't take the credit for a child who didn't live with you for more than half the year, even if you paid most of the child's living expenses.  The IRS may ask you for documents to show you lived with each qualifying child.  Documents you might want to keep for this purpose include school and child care records and other records that show your child's address.</t>
  </si>
  <si>
    <t>(for example, your grandchild, niece, or nephew)</t>
  </si>
  <si>
    <r>
      <t>and</t>
    </r>
    <r>
      <rPr>
        <sz val="10"/>
        <rFont val="Arial"/>
        <family val="2"/>
      </rPr>
      <t>,</t>
    </r>
  </si>
  <si>
    <t>was …</t>
  </si>
  <si>
    <t>TIP:</t>
  </si>
  <si>
    <t>estimated tax paid (see Pub. 596 for examples)</t>
  </si>
  <si>
    <t>&lt;-- Enter number of qualifying children here.</t>
  </si>
  <si>
    <t>Qualifying Child (Con't.)</t>
  </si>
  <si>
    <t>(Con't.)</t>
  </si>
  <si>
    <t>Do you have at least one child who meets the conditions to</t>
  </si>
  <si>
    <t>be your qualifying child for the purpose of claiming the EIC?</t>
  </si>
  <si>
    <r>
      <rPr>
        <b/>
        <sz val="10"/>
        <rFont val="Arial"/>
        <family val="2"/>
      </rPr>
      <t>No.</t>
    </r>
    <r>
      <rPr>
        <sz val="10"/>
        <rFont val="Arial"/>
        <family val="2"/>
      </rPr>
      <t xml:space="preserve">  Skip questions 2 through 6; go to Step 4.</t>
    </r>
  </si>
  <si>
    <r>
      <rPr>
        <b/>
        <sz val="10"/>
        <rFont val="Arial"/>
        <family val="2"/>
      </rPr>
      <t>Yes.</t>
    </r>
    <r>
      <rPr>
        <sz val="10"/>
        <rFont val="Arial"/>
        <family val="2"/>
      </rPr>
      <t xml:space="preserve">  Skip questions 3 through 6 and</t>
    </r>
  </si>
  <si>
    <r>
      <rPr>
        <b/>
        <sz val="10"/>
        <rFont val="Arial"/>
        <family val="2"/>
      </rPr>
      <t>No.</t>
    </r>
    <r>
      <rPr>
        <sz val="10"/>
        <rFont val="Arial"/>
        <family val="2"/>
      </rPr>
      <t xml:space="preserve">  Continue.</t>
    </r>
  </si>
  <si>
    <t xml:space="preserve">         Step 4; go to Step 5.</t>
  </si>
  <si>
    <t>Are you a married taxpayer whose filing status is married</t>
  </si>
  <si>
    <t>filing separately or head of household?</t>
  </si>
  <si>
    <r>
      <rPr>
        <b/>
        <sz val="10"/>
        <rFont val="Arial"/>
        <family val="2"/>
      </rPr>
      <t>No.</t>
    </r>
    <r>
      <rPr>
        <sz val="10"/>
        <rFont val="Arial"/>
        <family val="2"/>
      </rPr>
      <t xml:space="preserve">  Skip questions 4 and 5; </t>
    </r>
  </si>
  <si>
    <t>go to question 6.</t>
  </si>
  <si>
    <t>Did you and your spouse have the same principal residence</t>
  </si>
  <si>
    <r>
      <rPr>
        <b/>
        <sz val="10"/>
        <rFont val="Arial"/>
        <family val="2"/>
      </rPr>
      <t>No.</t>
    </r>
    <r>
      <rPr>
        <sz val="10"/>
        <rFont val="Arial"/>
        <family val="2"/>
      </rPr>
      <t xml:space="preserve">  Skip question 5; go to question 6.</t>
    </r>
  </si>
  <si>
    <t>Are you legally separated according to your state law under</t>
  </si>
  <si>
    <t>a written separation agreement or a decree of separate</t>
  </si>
  <si>
    <t>maintenance and you lived apart from your spouse at the</t>
  </si>
  <si>
    <r>
      <rPr>
        <b/>
        <sz val="10"/>
        <rFont val="Arial"/>
        <family val="2"/>
      </rPr>
      <t>No.</t>
    </r>
    <r>
      <rPr>
        <sz val="10"/>
        <rFont val="Arial"/>
        <family val="2"/>
      </rPr>
      <t xml:space="preserve">  Stop</t>
    </r>
  </si>
  <si>
    <t>You can't take the credit.</t>
  </si>
  <si>
    <t xml:space="preserve">(Check "No" if the other person is not rquired to file, and </t>
  </si>
  <si>
    <t>to claim a refund of withheld income tax or estimated tax</t>
  </si>
  <si>
    <t>paid (see Pub. 596 for examples).)</t>
  </si>
  <si>
    <r>
      <rPr>
        <b/>
        <sz val="10"/>
        <rFont val="Arial"/>
        <family val="2"/>
      </rPr>
      <t xml:space="preserve">Yes. </t>
    </r>
    <r>
      <rPr>
        <sz val="10"/>
        <rFont val="Arial"/>
        <family val="2"/>
      </rPr>
      <t xml:space="preserve"> You can't take the credit.</t>
    </r>
  </si>
  <si>
    <t xml:space="preserve">Step 4 </t>
  </si>
  <si>
    <t>Filers Without a Qualifying Child</t>
  </si>
  <si>
    <r>
      <rPr>
        <b/>
        <sz val="10"/>
        <rFont val="Arial"/>
        <family val="2"/>
      </rPr>
      <t>Yes.</t>
    </r>
    <r>
      <rPr>
        <sz val="10"/>
        <rFont val="Arial"/>
        <family val="2"/>
      </rPr>
      <t xml:space="preserve">  Stop.</t>
    </r>
  </si>
  <si>
    <r>
      <rPr>
        <b/>
        <sz val="10"/>
        <rFont val="Arial"/>
        <family val="2"/>
      </rPr>
      <t>No.</t>
    </r>
    <r>
      <rPr>
        <sz val="10"/>
        <rFont val="Arial"/>
        <family val="2"/>
      </rPr>
      <t xml:space="preserve">  Continue</t>
    </r>
  </si>
  <si>
    <t>Were you, or your spouse if filing a joint return, at least age</t>
  </si>
  <si>
    <t>(Check "Yes" if you, or your spouse if filing a joint return</t>
  </si>
  <si>
    <r>
      <rPr>
        <b/>
        <sz val="10"/>
        <rFont val="Arial"/>
        <family val="2"/>
      </rPr>
      <t>Yes.</t>
    </r>
    <r>
      <rPr>
        <sz val="10"/>
        <rFont val="Arial"/>
        <family val="2"/>
      </rPr>
      <t xml:space="preserve">   Continue</t>
    </r>
  </si>
  <si>
    <r>
      <rPr>
        <b/>
        <sz val="10"/>
        <rFont val="Arial"/>
        <family val="2"/>
      </rPr>
      <t>No.</t>
    </r>
    <r>
      <rPr>
        <sz val="10"/>
        <rFont val="Arial"/>
        <family val="2"/>
      </rPr>
      <t xml:space="preserve">    Stop.</t>
    </r>
  </si>
  <si>
    <t>You can't take the credit</t>
  </si>
  <si>
    <t>Was your main home, and your spouse's if filing a joint</t>
  </si>
  <si>
    <t>Members of the military stationed outside the United States,</t>
  </si>
  <si>
    <r>
      <t xml:space="preserve">see </t>
    </r>
    <r>
      <rPr>
        <i/>
        <sz val="10"/>
        <rFont val="Arial"/>
        <family val="2"/>
      </rPr>
      <t>Members of the military</t>
    </r>
    <r>
      <rPr>
        <sz val="10"/>
        <rFont val="Arial"/>
        <family val="2"/>
      </rPr>
      <t>, later, before you answer.</t>
    </r>
  </si>
  <si>
    <r>
      <rPr>
        <b/>
        <sz val="10"/>
        <rFont val="Arial"/>
        <family val="2"/>
      </rPr>
      <t>No.</t>
    </r>
    <r>
      <rPr>
        <sz val="10"/>
        <rFont val="Arial"/>
        <family val="2"/>
      </rPr>
      <t xml:space="preserve">    </t>
    </r>
    <r>
      <rPr>
        <b/>
        <sz val="10"/>
        <rFont val="Arial"/>
        <family val="2"/>
      </rPr>
      <t>STOP</t>
    </r>
  </si>
  <si>
    <r>
      <rPr>
        <b/>
        <sz val="10"/>
        <rFont val="Arial"/>
        <family val="2"/>
      </rPr>
      <t>Yes.</t>
    </r>
    <r>
      <rPr>
        <sz val="10"/>
        <rFont val="Arial"/>
        <family val="2"/>
      </rPr>
      <t xml:space="preserve">  Skip questions 5 and 6;</t>
    </r>
  </si>
  <si>
    <r>
      <rPr>
        <b/>
        <sz val="10"/>
        <rFont val="Arial"/>
        <family val="2"/>
      </rPr>
      <t>No.</t>
    </r>
    <r>
      <rPr>
        <sz val="10"/>
        <rFont val="Arial"/>
        <family val="2"/>
      </rPr>
      <t xml:space="preserve">    </t>
    </r>
    <r>
      <rPr>
        <b/>
        <sz val="10"/>
        <rFont val="Arial"/>
        <family val="2"/>
      </rPr>
      <t>Continue</t>
    </r>
  </si>
  <si>
    <t>go to Step 5.</t>
  </si>
  <si>
    <t>(Check “No” if the other person isn't required to file, and</t>
  </si>
  <si>
    <r>
      <rPr>
        <b/>
        <sz val="10"/>
        <rFont val="Arial"/>
        <family val="2"/>
      </rPr>
      <t>Yes.</t>
    </r>
    <r>
      <rPr>
        <sz val="10"/>
        <rFont val="Arial"/>
        <family val="2"/>
      </rPr>
      <t xml:space="preserve">  STOP</t>
    </r>
  </si>
  <si>
    <r>
      <rPr>
        <b/>
        <sz val="10"/>
        <rFont val="Arial"/>
        <family val="2"/>
      </rPr>
      <t>No.</t>
    </r>
    <r>
      <rPr>
        <sz val="10"/>
        <rFont val="Arial"/>
        <family val="2"/>
      </rPr>
      <t xml:space="preserve">    Continue</t>
    </r>
  </si>
  <si>
    <t xml:space="preserve">Step 5 </t>
  </si>
  <si>
    <t>Earned Income</t>
  </si>
  <si>
    <t>Are you filing Schedule SE because you were a member of the clergy or you had church employee income of $108.28 or more?</t>
  </si>
  <si>
    <r>
      <rPr>
        <b/>
        <sz val="10"/>
        <rFont val="Arial"/>
        <family val="2"/>
      </rPr>
      <t>No.</t>
    </r>
    <r>
      <rPr>
        <sz val="10"/>
        <rFont val="Arial"/>
        <family val="2"/>
      </rPr>
      <t xml:space="preserve">  Complete the</t>
    </r>
  </si>
  <si>
    <r>
      <t xml:space="preserve">See </t>
    </r>
    <r>
      <rPr>
        <i/>
        <sz val="10"/>
        <rFont val="Arial"/>
        <family val="2"/>
      </rPr>
      <t>Clergy or Church employees</t>
    </r>
    <r>
      <rPr>
        <sz val="10"/>
        <rFont val="Arial"/>
        <family val="2"/>
      </rPr>
      <t xml:space="preserve">, </t>
    </r>
  </si>
  <si>
    <t>following worksheet.</t>
  </si>
  <si>
    <t>whichever applies.</t>
  </si>
  <si>
    <t>Enter the amount from Form 1040, line 1z</t>
  </si>
  <si>
    <t>Enter all of your nontaxable combat pay if you</t>
  </si>
  <si>
    <t>elect to include it in earned income. Also enter</t>
  </si>
  <si>
    <t>the amount of your nontaxable combat pay</t>
  </si>
  <si>
    <t>on line 1i of Form 1040 or 1040-SR.</t>
  </si>
  <si>
    <t>Sources:</t>
  </si>
  <si>
    <r>
      <t xml:space="preserve">See </t>
    </r>
    <r>
      <rPr>
        <i/>
        <sz val="10"/>
        <rFont val="Arial"/>
        <family val="2"/>
      </rPr>
      <t>Combat pay, nontaxable</t>
    </r>
    <r>
      <rPr>
        <sz val="10"/>
        <rFont val="Arial"/>
        <family val="2"/>
      </rPr>
      <t>, later</t>
    </r>
  </si>
  <si>
    <t>W-2, line 12a, Code 12Q</t>
  </si>
  <si>
    <t>Form 1040, line 1i</t>
  </si>
  <si>
    <t>Electing to include nontaxable combat</t>
  </si>
  <si>
    <t>pay may increase or decrease your EIC. Figure</t>
  </si>
  <si>
    <t>the credit with and without your nontaxable</t>
  </si>
  <si>
    <t>combat pay before making the election.</t>
  </si>
  <si>
    <t>clergy or you had church employee income, or are you filing Schedule C as a statutory employee?</t>
  </si>
  <si>
    <r>
      <rPr>
        <b/>
        <sz val="10"/>
        <rFont val="Arial"/>
        <family val="2"/>
      </rPr>
      <t>Yes.</t>
    </r>
    <r>
      <rPr>
        <sz val="10"/>
        <rFont val="Arial"/>
        <family val="2"/>
      </rPr>
      <t xml:space="preserve">  Skip question 3 and Step 6;</t>
    </r>
  </si>
  <si>
    <r>
      <rPr>
        <b/>
        <sz val="10"/>
        <rFont val="Arial"/>
        <family val="2"/>
      </rPr>
      <t xml:space="preserve">No. </t>
    </r>
    <r>
      <rPr>
        <sz val="10"/>
        <rFont val="Arial"/>
        <family val="2"/>
      </rPr>
      <t xml:space="preserve"> Continue</t>
    </r>
  </si>
  <si>
    <t>go to Worksheet B.</t>
  </si>
  <si>
    <t>If you have:</t>
  </si>
  <si>
    <t>3 or more qualifying children,</t>
  </si>
  <si>
    <t>2 qualifying children,</t>
  </si>
  <si>
    <t>1 qualifying child,</t>
  </si>
  <si>
    <t>No qualifying children,</t>
  </si>
  <si>
    <r>
      <rPr>
        <b/>
        <sz val="10"/>
        <rFont val="Arial"/>
        <family val="2"/>
      </rPr>
      <t>Yes.</t>
    </r>
    <r>
      <rPr>
        <sz val="10"/>
        <rFont val="Arial"/>
        <family val="2"/>
      </rPr>
      <t xml:space="preserve">  Go to Step 6.</t>
    </r>
  </si>
  <si>
    <r>
      <rPr>
        <b/>
        <sz val="10"/>
        <rFont val="Arial"/>
        <family val="2"/>
      </rPr>
      <t>No.</t>
    </r>
    <r>
      <rPr>
        <sz val="10"/>
        <rFont val="Arial"/>
        <family val="2"/>
      </rPr>
      <t xml:space="preserve">  You can't take the credit.</t>
    </r>
  </si>
  <si>
    <t xml:space="preserve">Step 6 </t>
  </si>
  <si>
    <t>How To Figure the Credit</t>
  </si>
  <si>
    <t>Do you want the IRS to figure the credit for you?</t>
  </si>
  <si>
    <r>
      <t xml:space="preserve">Yes.  See </t>
    </r>
    <r>
      <rPr>
        <i/>
        <sz val="10"/>
        <rFont val="Arial"/>
        <family val="2"/>
      </rPr>
      <t>Credit figured by the IRS.</t>
    </r>
  </si>
  <si>
    <t>No.  Go to Worksheet A.</t>
  </si>
  <si>
    <r>
      <rPr>
        <i/>
        <sz val="10"/>
        <rFont val="Arial"/>
        <family val="2"/>
      </rPr>
      <t>figured by the IRS</t>
    </r>
    <r>
      <rPr>
        <sz val="10"/>
        <rFont val="Arial"/>
        <family val="2"/>
      </rPr>
      <t>, in the instructions.</t>
    </r>
  </si>
  <si>
    <r>
      <t xml:space="preserve">Worksheet </t>
    </r>
    <r>
      <rPr>
        <b/>
        <sz val="18"/>
        <rFont val="Arial"/>
        <family val="2"/>
      </rPr>
      <t>A</t>
    </r>
    <r>
      <rPr>
        <b/>
        <sz val="12"/>
        <rFont val="Arial"/>
        <family val="2"/>
      </rPr>
      <t xml:space="preserve">  —</t>
    </r>
  </si>
  <si>
    <t>PART 1</t>
  </si>
  <si>
    <t xml:space="preserve"> - All Filers Using Worksheet A</t>
  </si>
  <si>
    <r>
      <rPr>
        <b/>
        <i/>
        <sz val="10"/>
        <rFont val="Arial"/>
        <family val="2"/>
      </rPr>
      <t xml:space="preserve">Before you begin: </t>
    </r>
    <r>
      <rPr>
        <sz val="10"/>
        <rFont val="Arial"/>
        <family val="2"/>
      </rPr>
      <t xml:space="preserve"> Be sure you are using the correct worksheet.</t>
    </r>
  </si>
  <si>
    <t>Use this worksheet only if you answered "No" to Step 5, question 2.</t>
  </si>
  <si>
    <t>Otherwise, use Worksheet B.</t>
  </si>
  <si>
    <t>Enter your earned income from Step 5.</t>
  </si>
  <si>
    <t>EIC_EarnedIncome</t>
  </si>
  <si>
    <t>Look up the amount on line 1 above in the EIC Table (right</t>
  </si>
  <si>
    <t>No Qual. Children</t>
  </si>
  <si>
    <t>One Qualifying Child</t>
  </si>
  <si>
    <t>Two Qualify Children</t>
  </si>
  <si>
    <t>Three Qualify Children</t>
  </si>
  <si>
    <t>after Worksheet B) to find the credit. Be sure you use the correct column</t>
  </si>
  <si>
    <t>All others</t>
  </si>
  <si>
    <t>for your filing status and the number of children you have. Enter the</t>
  </si>
  <si>
    <t>credit here.</t>
  </si>
  <si>
    <t>If line 2 is zero, STOP you can't take the credit.</t>
  </si>
  <si>
    <t>Enter the amount from Form 1040 or 1040-SR, line 11.</t>
  </si>
  <si>
    <t>Are the amounts on lines 3 and 1 the same?</t>
  </si>
  <si>
    <r>
      <t>Yes.</t>
    </r>
    <r>
      <rPr>
        <sz val="10"/>
        <rFont val="Arial"/>
        <family val="2"/>
      </rPr>
      <t xml:space="preserve">  Skip line 5; enter the amount from line 2 on line 6.</t>
    </r>
  </si>
  <si>
    <r>
      <t>No.</t>
    </r>
    <r>
      <rPr>
        <sz val="10"/>
        <rFont val="Arial"/>
        <family val="2"/>
      </rPr>
      <t xml:space="preserve">   Go to line 5.</t>
    </r>
  </si>
  <si>
    <t>PART 2</t>
  </si>
  <si>
    <t>- Filers who answered "No" on Line 4.</t>
  </si>
  <si>
    <t>No qualifying children who have a valid SSN, is the amount on</t>
  </si>
  <si>
    <t>1 or more qualifying children who have a valid SSN, is the amount</t>
  </si>
  <si>
    <r>
      <t>Yes.</t>
    </r>
    <r>
      <rPr>
        <sz val="10"/>
        <rFont val="Arial"/>
        <family val="2"/>
      </rPr>
      <t xml:space="preserve">  Leave line 5 blank; enter the amount from line 2 on line 6.</t>
    </r>
  </si>
  <si>
    <t>Adj_Gross_Inc</t>
  </si>
  <si>
    <r>
      <t>No.</t>
    </r>
    <r>
      <rPr>
        <sz val="10"/>
        <rFont val="Arial"/>
        <family val="2"/>
      </rPr>
      <t xml:space="preserve">   Look up the amount on line 3 in the EIC Table to find the</t>
    </r>
  </si>
  <si>
    <t xml:space="preserve">        credit. Be sure you use the correct column for your filing</t>
  </si>
  <si>
    <t xml:space="preserve">        status and the number of children you have. Enter the credit</t>
  </si>
  <si>
    <t xml:space="preserve">        here.</t>
  </si>
  <si>
    <t xml:space="preserve">        Look at the amounts on lines 5 and 2.</t>
  </si>
  <si>
    <r>
      <t xml:space="preserve">        Then, enter the </t>
    </r>
    <r>
      <rPr>
        <b/>
        <sz val="10"/>
        <rFont val="Arial"/>
        <family val="2"/>
      </rPr>
      <t>smaller</t>
    </r>
    <r>
      <rPr>
        <sz val="10"/>
        <rFont val="Arial"/>
        <family val="2"/>
      </rPr>
      <t xml:space="preserve"> amount on line 6.</t>
    </r>
  </si>
  <si>
    <t>PART 3</t>
  </si>
  <si>
    <t>- Your Earned Income Credit</t>
  </si>
  <si>
    <t>This is your earned income credit.</t>
  </si>
  <si>
    <t>Reminder—</t>
  </si>
  <si>
    <t>If you have a qualifying child, complete and attach Schedule EIC.</t>
  </si>
  <si>
    <t>https://www.irs.gov/pub/irs-pdf/f1040sei.pdf</t>
  </si>
  <si>
    <t>If your EIC for a year after 1996 was reduced or disallowed, see</t>
  </si>
  <si>
    <t>Form 8862, who must  file, earlier, to find out if you must file Form 8862 to</t>
  </si>
  <si>
    <r>
      <t xml:space="preserve">Worksheet </t>
    </r>
    <r>
      <rPr>
        <b/>
        <sz val="18"/>
        <rFont val="Arial"/>
        <family val="2"/>
      </rPr>
      <t>B</t>
    </r>
    <r>
      <rPr>
        <b/>
        <sz val="12"/>
        <rFont val="Arial"/>
        <family val="2"/>
      </rPr>
      <t xml:space="preserve">  —</t>
    </r>
  </si>
  <si>
    <t>Use this worksheet if you answered “Yes” to Step 5, question 2.</t>
  </si>
  <si>
    <t>Complete the parts below (Parts 1 through 3) that apply to you. Then, continue to Part 4.</t>
  </si>
  <si>
    <t>If you are married filing a joint return, include your spouse’s amounts, if any, with yours to figure the amounts to enter in Parts 1 through 3.</t>
  </si>
  <si>
    <t>- Self-Employed, Members of the Clergy, and People With Church Employee Income Filing Schedule SE</t>
  </si>
  <si>
    <t>Check if PART 1 applies to you.</t>
  </si>
  <si>
    <t>Enter the amount from Schedule SE, Part I, line 3.</t>
  </si>
  <si>
    <t xml:space="preserve">1a.        </t>
  </si>
  <si>
    <t>Enter any amount from Schedule SE, Part I, line 4b and line 5a.</t>
  </si>
  <si>
    <t xml:space="preserve">1b.     + </t>
  </si>
  <si>
    <t>Combine lines 1a and 1b.</t>
  </si>
  <si>
    <t xml:space="preserve">1c.     = </t>
  </si>
  <si>
    <t>Enter the amount from Schedule SE, Part I, line 13.</t>
  </si>
  <si>
    <t xml:space="preserve">1d.      - </t>
  </si>
  <si>
    <t>Subtract line 1d from 1c.</t>
  </si>
  <si>
    <r>
      <t xml:space="preserve">1e.      </t>
    </r>
    <r>
      <rPr>
        <sz val="10"/>
        <rFont val="Arial"/>
        <family val="2"/>
      </rPr>
      <t xml:space="preserve">= </t>
    </r>
  </si>
  <si>
    <t>- Self-Employed NOT Required To File Schedule SE</t>
  </si>
  <si>
    <t>For example, your net earnings from self-employment were less than $400.</t>
  </si>
  <si>
    <t>Check if PART 2 applies to you.</t>
  </si>
  <si>
    <t>Don't include on these lines any statutory employee income, any net profit from services performed as a notary public,</t>
  </si>
  <si>
    <t>any amount exempt from self-employment tax as the result of the filing and approval of Form 4029 or Form 4361,</t>
  </si>
  <si>
    <t>or any other amounts exempt from self-employment tax.</t>
  </si>
  <si>
    <t>Schedule F, line 34</t>
  </si>
  <si>
    <t>Enter any net farm profit or (loss) from Schedule F, line 34, and</t>
  </si>
  <si>
    <t xml:space="preserve">2a.        </t>
  </si>
  <si>
    <t>Schedule K-1 (Form 1065), box 14, code A*</t>
  </si>
  <si>
    <t>from farm partnerships, Schedule K-1 (Form 1065), box 14, code A*.</t>
  </si>
  <si>
    <t>Schedule C, line 31 (excluding statutory employee income, etc.)</t>
  </si>
  <si>
    <t>Enter any net profit or (loss) from Schedule C, line 31; and</t>
  </si>
  <si>
    <t xml:space="preserve">2b.     + </t>
  </si>
  <si>
    <t>Schedule K-1 (Form 1065), box 14, code A (other than farming)</t>
  </si>
  <si>
    <t>Schedule K-1 (Form 1065), box 14, code A (other than farming)*.</t>
  </si>
  <si>
    <t>Combine lines 2a and 2b.</t>
  </si>
  <si>
    <t xml:space="preserve">2c.     = </t>
  </si>
  <si>
    <t>Reduce the Schedule K-1 amounts as described in the Partner’s Instructions for Schedule K-1. Enter</t>
  </si>
  <si>
    <t>your name and social security number on Schedule SE and attach it to your return.</t>
  </si>
  <si>
    <r>
      <t xml:space="preserve">Worksheet </t>
    </r>
    <r>
      <rPr>
        <b/>
        <sz val="16"/>
        <rFont val="Arial"/>
        <family val="2"/>
      </rPr>
      <t>B</t>
    </r>
  </si>
  <si>
    <t>- Statutory Employees Filing Schedule C</t>
  </si>
  <si>
    <t>Enter the amount from Schedule C, line 1, that</t>
  </si>
  <si>
    <t xml:space="preserve">3.   </t>
  </si>
  <si>
    <t>you are filing as a statutory employee.</t>
  </si>
  <si>
    <t>PART 4</t>
  </si>
  <si>
    <t>- All Filers Using Worksheet B</t>
  </si>
  <si>
    <r>
      <t>Note.</t>
    </r>
    <r>
      <rPr>
        <sz val="10"/>
        <rFont val="Arial"/>
        <family val="2"/>
      </rPr>
      <t xml:space="preserve"> If line 4b includes income on which you should have paid self-employment tax but didn't,</t>
    </r>
  </si>
  <si>
    <t>we may reduce your credit by the amount of self-employment tax not paid.</t>
  </si>
  <si>
    <t xml:space="preserve">4a.   </t>
  </si>
  <si>
    <t>Combine lines 1e, 2c, 3, and 4a.</t>
  </si>
  <si>
    <t>This is your total earned income.</t>
  </si>
  <si>
    <t xml:space="preserve">4b.   </t>
  </si>
  <si>
    <t xml:space="preserve">3 or more qualifying children, </t>
  </si>
  <si>
    <r>
      <t>Yes.</t>
    </r>
    <r>
      <rPr>
        <sz val="10"/>
        <rFont val="Arial"/>
        <family val="2"/>
      </rPr>
      <t xml:space="preserve">  If you want the IRS to figure your credit, see </t>
    </r>
    <r>
      <rPr>
        <i/>
        <sz val="10"/>
        <rFont val="Arial"/>
        <family val="2"/>
      </rPr>
      <t>Credit figured by the IRS</t>
    </r>
    <r>
      <rPr>
        <sz val="10"/>
        <rFont val="Arial"/>
        <family val="2"/>
      </rPr>
      <t>, earlier.</t>
    </r>
  </si>
  <si>
    <t xml:space="preserve">        If you want to figure the credit yourself, enter the amount from line 4b on line 6 of this worksheet.</t>
  </si>
  <si>
    <t>PART 5</t>
  </si>
  <si>
    <t>Enter your total earned income from Part 4, line 4b.</t>
  </si>
  <si>
    <t xml:space="preserve">6.  </t>
  </si>
  <si>
    <t>Look up the amount on line 6 above in the EIC Table to find</t>
  </si>
  <si>
    <t xml:space="preserve">7. </t>
  </si>
  <si>
    <t>If line 7 is zero,  STOP  you can't take the credit.</t>
  </si>
  <si>
    <t xml:space="preserve">8.  </t>
  </si>
  <si>
    <t>Are the amounts on lines 8 and 6 the same?</t>
  </si>
  <si>
    <r>
      <rPr>
        <b/>
        <sz val="10"/>
        <rFont val="Arial"/>
        <family val="2"/>
      </rPr>
      <t>Yes.</t>
    </r>
    <r>
      <rPr>
        <sz val="10"/>
        <rFont val="Arial"/>
        <family val="2"/>
      </rPr>
      <t xml:space="preserve">  Skip line 10; enter the amount from line 7 on line 11.</t>
    </r>
  </si>
  <si>
    <r>
      <rPr>
        <b/>
        <sz val="10"/>
        <rFont val="Arial"/>
        <family val="2"/>
      </rPr>
      <t xml:space="preserve">No. </t>
    </r>
    <r>
      <rPr>
        <sz val="10"/>
        <rFont val="Arial"/>
        <family val="2"/>
      </rPr>
      <t xml:space="preserve">  Go to line 10.</t>
    </r>
  </si>
  <si>
    <t>PART 6</t>
  </si>
  <si>
    <t>- Filers Who Answered “No” on Line 9</t>
  </si>
  <si>
    <t xml:space="preserve">● </t>
  </si>
  <si>
    <t>1 or more qualifying children,</t>
  </si>
  <si>
    <r>
      <rPr>
        <b/>
        <sz val="10"/>
        <rFont val="Arial"/>
        <family val="2"/>
      </rPr>
      <t>Yes.</t>
    </r>
    <r>
      <rPr>
        <sz val="10"/>
        <rFont val="Arial"/>
        <family val="2"/>
      </rPr>
      <t xml:space="preserve">  Leave line 10 blank; enter the amount from line 7 on line 11.</t>
    </r>
  </si>
  <si>
    <r>
      <rPr>
        <b/>
        <sz val="10"/>
        <rFont val="Arial"/>
        <family val="2"/>
      </rPr>
      <t>No.</t>
    </r>
    <r>
      <rPr>
        <sz val="10"/>
        <rFont val="Arial"/>
        <family val="2"/>
      </rPr>
      <t xml:space="preserve">  Look up the amount on line 8 in the EIC Table to find the</t>
    </r>
  </si>
  <si>
    <t>credit. Be sure you use the correct column for your filing</t>
  </si>
  <si>
    <t xml:space="preserve">10.      </t>
  </si>
  <si>
    <t>Look at the amounts on lines 10 and 7.</t>
  </si>
  <si>
    <r>
      <t xml:space="preserve">Then, enter the </t>
    </r>
    <r>
      <rPr>
        <b/>
        <sz val="10"/>
        <rFont val="Arial"/>
        <family val="2"/>
      </rPr>
      <t>smaller</t>
    </r>
    <r>
      <rPr>
        <sz val="10"/>
        <rFont val="Arial"/>
        <family val="2"/>
      </rPr>
      <t xml:space="preserve"> amount on line 11.</t>
    </r>
  </si>
  <si>
    <t>PART 7</t>
  </si>
  <si>
    <t xml:space="preserve">11.      </t>
  </si>
  <si>
    <t>Reminder  —</t>
  </si>
  <si>
    <r>
      <t>Form 8862,</t>
    </r>
    <r>
      <rPr>
        <i/>
        <sz val="10"/>
        <rFont val="Arial"/>
        <family val="2"/>
      </rPr>
      <t xml:space="preserve"> who must fi_x001F_le, earlier, to find out if you must file Form</t>
    </r>
  </si>
  <si>
    <t>Earned Income Credit =&gt;</t>
  </si>
  <si>
    <t>Medical and Dental Expenses Worksheet -- Line 1</t>
  </si>
  <si>
    <t>(There is no IRS worksheet like this.)</t>
  </si>
  <si>
    <r>
      <t xml:space="preserve">o   You can deduct the part of your </t>
    </r>
    <r>
      <rPr>
        <b/>
        <sz val="8"/>
        <rFont val="Arial"/>
        <family val="2"/>
      </rPr>
      <t>medical and dental expenses</t>
    </r>
    <r>
      <rPr>
        <sz val="8"/>
        <rFont val="Arial"/>
        <family val="2"/>
      </rPr>
      <t xml:space="preserve"> that exceed </t>
    </r>
  </si>
  <si>
    <t>Instruction for Line 5a</t>
  </si>
  <si>
    <r>
      <t xml:space="preserve">o   The amount you can deduct for qualified </t>
    </r>
    <r>
      <rPr>
        <b/>
        <sz val="8"/>
        <rFont val="Arial"/>
        <family val="2"/>
      </rPr>
      <t>long-term care insurance</t>
    </r>
    <r>
      <rPr>
        <sz val="8"/>
        <rFont val="Arial"/>
        <family val="2"/>
      </rPr>
      <t xml:space="preserve"> contracts (as defined in Pub. 502) depends on the age, at  the  end</t>
    </r>
  </si>
  <si>
    <t>The spreadsheet automatically includes, on line 5a, income taxes paid based on W-2 &amp; 1099 information.</t>
  </si>
  <si>
    <t>Worksheets for</t>
  </si>
  <si>
    <t>LTC Contr.</t>
  </si>
  <si>
    <t>Limit</t>
  </si>
  <si>
    <t>Enter total amount of premiums for qualified long-term insurance contracts</t>
  </si>
  <si>
    <t>SCHEDULE A</t>
  </si>
  <si>
    <t>Itemized Deductions</t>
  </si>
  <si>
    <t>Enter limit on long-term contract premiums (see instructions)</t>
  </si>
  <si>
    <t>(Form 1040)</t>
  </si>
  <si>
    <r>
      <t xml:space="preserve">Go to </t>
    </r>
    <r>
      <rPr>
        <b/>
        <i/>
        <sz val="9"/>
        <rFont val="Arial"/>
        <family val="2"/>
      </rPr>
      <t>www.irs.gov/ScheduleA</t>
    </r>
    <r>
      <rPr>
        <b/>
        <sz val="9"/>
        <rFont val="Arial"/>
        <family val="2"/>
      </rPr>
      <t xml:space="preserve"> for instructions and the latest information.</t>
    </r>
  </si>
  <si>
    <t>Attach to Form 1040 or 1040-SR.</t>
  </si>
  <si>
    <r>
      <rPr>
        <b/>
        <sz val="9"/>
        <rFont val="Arial"/>
        <family val="2"/>
      </rPr>
      <t>Caution:</t>
    </r>
    <r>
      <rPr>
        <sz val="9"/>
        <rFont val="Arial"/>
        <family val="2"/>
      </rPr>
      <t xml:space="preserve"> If you are claiming a net qualified disaster loss on Form 4684, see the instructions for line 16.</t>
    </r>
  </si>
  <si>
    <r>
      <t xml:space="preserve">Sequence No. </t>
    </r>
    <r>
      <rPr>
        <b/>
        <sz val="12"/>
        <rFont val="Arial"/>
        <family val="2"/>
      </rPr>
      <t>07</t>
    </r>
  </si>
  <si>
    <t>Name(s) shown on Form 1040 or 1040-SR</t>
  </si>
  <si>
    <r>
      <t xml:space="preserve">Column </t>
    </r>
    <r>
      <rPr>
        <b/>
        <sz val="10"/>
        <rFont val="Wingdings"/>
        <charset val="2"/>
      </rPr>
      <t>ê</t>
    </r>
  </si>
  <si>
    <t>Medical</t>
  </si>
  <si>
    <r>
      <t>Caution:</t>
    </r>
    <r>
      <rPr>
        <sz val="10"/>
        <rFont val="Arial"/>
        <family val="2"/>
      </rPr>
      <t xml:space="preserve"> Do not include expenses reimbursed or paid by others.</t>
    </r>
  </si>
  <si>
    <t>Medical and dental expenses (see instructions)</t>
  </si>
  <si>
    <t>.   .   .   .   .   .   .   .   .</t>
  </si>
  <si>
    <t>Dental</t>
  </si>
  <si>
    <t>Add lines 4 and 5.  Include this amount on Schedule A, line 1.</t>
  </si>
  <si>
    <t>Expenses</t>
  </si>
  <si>
    <t>Subtract line 3 from line 1.  If line 3 is more than line 1, enter -0-</t>
  </si>
  <si>
    <t>Taxes You</t>
  </si>
  <si>
    <t>Paid</t>
  </si>
  <si>
    <t>State and local income taxes or general sales taxes. You may include</t>
  </si>
  <si>
    <t>↓  Income Tax Override</t>
  </si>
  <si>
    <t>either income taxes or general sales taxes on line 5a, but not both.</t>
  </si>
  <si>
    <t>If you elect to include general sales taxes instead of income taxes,</t>
  </si>
  <si>
    <t>check this box</t>
  </si>
  <si>
    <t xml:space="preserve">State and local real estate taxes (see instructions) </t>
  </si>
  <si>
    <t xml:space="preserve">.   .   .   .   .   .  </t>
  </si>
  <si>
    <t>State and local personal property taxes</t>
  </si>
  <si>
    <t>5c</t>
  </si>
  <si>
    <t>Add lines 5a through 5c</t>
  </si>
  <si>
    <t>5d</t>
  </si>
  <si>
    <t>5e</t>
  </si>
  <si>
    <t xml:space="preserve">Other taxes.   List type and amount </t>
  </si>
  <si>
    <t>Add lines 5e and 6</t>
  </si>
  <si>
    <t>.   .   .   .   .   .   .   .   .   .   .   .   .   .   .   .   .   .   .   .   .   .   .   .   .   .   .   .   .</t>
  </si>
  <si>
    <t>Home mortgage interest and points. If you didn't use all of your</t>
  </si>
  <si>
    <t>home mortgage loan(s) to buy, build, or improve your home,</t>
  </si>
  <si>
    <t>Tax Withheld</t>
  </si>
  <si>
    <t>see instructions and check this box</t>
  </si>
  <si>
    <t>Home mortgage interest</t>
  </si>
  <si>
    <t>Home mortgage interest and points reported to you on Form 1098.</t>
  </si>
  <si>
    <t>See instructions if limited</t>
  </si>
  <si>
    <t>Home mortgage interest not reported to you on Form 1098.  See</t>
  </si>
  <si>
    <t>instructions if limited. If paid to the person from whom you bought the</t>
  </si>
  <si>
    <r>
      <rPr>
        <sz val="10"/>
        <rFont val="Arial"/>
        <family val="2"/>
      </rPr>
      <t>(</t>
    </r>
    <r>
      <rPr>
        <i/>
        <sz val="10"/>
        <rFont val="Arial"/>
        <family val="2"/>
      </rPr>
      <t>dd-mmm-yyyy</t>
    </r>
    <r>
      <rPr>
        <sz val="10"/>
        <rFont val="Arial"/>
        <family val="2"/>
      </rPr>
      <t>)</t>
    </r>
  </si>
  <si>
    <t>home, see instructions and show that person's name, identifying no.,</t>
  </si>
  <si>
    <t>and address</t>
  </si>
  <si>
    <t xml:space="preserve">.   .   .   .   .   .   .   .   .   .   .   .   .   .   .   .   .   .   .   .   .   .   .   .  </t>
  </si>
  <si>
    <t xml:space="preserve">  Limits on Home Mortgage Interest — Line 8a</t>
  </si>
  <si>
    <t>Debt Limit</t>
  </si>
  <si>
    <t>Loans taken out:</t>
  </si>
  <si>
    <t>(See instructions for exception for loans taken out prior to October 13, 1987.)</t>
  </si>
  <si>
    <t>Mortgage Insurance</t>
  </si>
  <si>
    <t>(See instructions for other limits on home mortgage interest deductions.)</t>
  </si>
  <si>
    <t>Investment interest. Attach Form 4952 if required.  See instructions</t>
  </si>
  <si>
    <t>Premiums</t>
  </si>
  <si>
    <t>.   .   .   .   .   .   .   .   .   .   .   .   .   .   .   .   .   .   .   .   .   .   .   .   .   .   .   .   .   .</t>
  </si>
  <si>
    <t>Gifts to</t>
  </si>
  <si>
    <t>Gifts by cash or check. If you made any gift of $250 or more, see</t>
  </si>
  <si>
    <t>Charity</t>
  </si>
  <si>
    <t>instructions</t>
  </si>
  <si>
    <t>Other than by cash or check. If any gift of $250 or more,</t>
  </si>
  <si>
    <r>
      <t xml:space="preserve">see instructions. You </t>
    </r>
    <r>
      <rPr>
        <b/>
        <sz val="11"/>
        <rFont val="Arial"/>
        <family val="2"/>
      </rPr>
      <t>must</t>
    </r>
    <r>
      <rPr>
        <sz val="11"/>
        <rFont val="Arial"/>
        <family val="2"/>
      </rPr>
      <t xml:space="preserve"> attach Form 8283 if over $500</t>
    </r>
  </si>
  <si>
    <t>Carryover from prior year</t>
  </si>
  <si>
    <t xml:space="preserve">.   .   .   .   .   .   .   .   .   .   .   .   .   .   .   .   .   .   . </t>
  </si>
  <si>
    <t xml:space="preserve">.   .   .   .   .   .   .   .   .   .   .   .   .   .   .   .   .   .   .   .   .   .   .   .   .   .   .   .   .   . </t>
  </si>
  <si>
    <t>Casualty and theft loss(es) from a federally declared disaster (other than net qualified</t>
  </si>
  <si>
    <t>Other Itemized</t>
  </si>
  <si>
    <t>disaster losses). Attach Form 4684 and enter the amount from line 18 of that form. See</t>
  </si>
  <si>
    <t>Deductions</t>
  </si>
  <si>
    <t xml:space="preserve">.   .   .   .   .   .   .   .   .   .   .   .   .   .   .   .   .   .   .   .   .   .   .   .   .   .   .   .   .   .   .   .   .   .   . </t>
  </si>
  <si>
    <t>Other--from list in instructions.  List type and amount.</t>
  </si>
  <si>
    <t>↑ Description ↑</t>
  </si>
  <si>
    <t>↑  Amount  ↑</t>
  </si>
  <si>
    <t>Add the amounts in the far right column for lines 4 through 16. Also, enter this amount on</t>
  </si>
  <si>
    <t>If you elect to itemize deductions even though they are less than your standard</t>
  </si>
  <si>
    <t xml:space="preserve">.   .   .   .   .   .   .   .   .   .   .   .   .   .   .   .   .   .   .   .   .   .   .   .   .   .   .   .   .   .   .  </t>
  </si>
  <si>
    <t>For Paperwork Reduction Act Notice, see the Instructions for Form 1040.</t>
  </si>
  <si>
    <t>Cat. No. 17145C</t>
  </si>
  <si>
    <t>Download Form 1040 Schedule A</t>
  </si>
  <si>
    <t>`</t>
  </si>
  <si>
    <t>.   .   .   .   .   .   .   .   .   .</t>
  </si>
  <si>
    <t>Download Form 1040 Schedule A Instructions</t>
  </si>
  <si>
    <t>.   .   .   .   .   .   .   .   .   .   .   .   .   .   .   .   .   .   .   .   .   .   .   .   .   .   .   .   .   .   .   .   .   .</t>
  </si>
  <si>
    <t xml:space="preserve">  Limits on Deductions — Line 14</t>
  </si>
  <si>
    <t>Reference:</t>
  </si>
  <si>
    <t>IRS Publication 526, Charitable Contributions</t>
  </si>
  <si>
    <t xml:space="preserve"> do not apply to you.</t>
  </si>
  <si>
    <t>The amount you can deduct for charitable contributions generally is limited to no more than 60% of your adjusted gross income (AGI).</t>
  </si>
  <si>
    <t>Your deduction may be further limited to 50%, 30%, or 20% of your AGI, depending on the type of property you give</t>
  </si>
  <si>
    <t>and the type of organization you give it to. A higher limit applies to certain qualified conservation contributions.</t>
  </si>
  <si>
    <t>These limits are described in detail in Publication 526.</t>
  </si>
  <si>
    <r>
      <t xml:space="preserve">Use </t>
    </r>
    <r>
      <rPr>
        <b/>
        <sz val="11"/>
        <color rgb="FF000000"/>
        <rFont val="Calibri"/>
        <family val="2"/>
        <scheme val="minor"/>
      </rPr>
      <t>Schedule B</t>
    </r>
    <r>
      <rPr>
        <sz val="11"/>
        <color rgb="FF000000"/>
        <rFont val="Calibri"/>
        <family val="2"/>
        <scheme val="minor"/>
      </rPr>
      <t xml:space="preserve"> (Form 1040) if any of the following applies. </t>
    </r>
  </si>
  <si>
    <t xml:space="preserve">You received interest from a seller-financed mortgage and the buyer used the property as a personal residence. </t>
  </si>
  <si>
    <t xml:space="preserve">You have accrued interest from a bond. </t>
  </si>
  <si>
    <t xml:space="preserve">You are reporting original issue discount (OID) of less than the amount shown on Form 1099-OID. </t>
  </si>
  <si>
    <t xml:space="preserve">You are reporting interest income of less than the amount shown on a Form 1099 due to amortizable bond premium. </t>
  </si>
  <si>
    <t xml:space="preserve">You are claiming the exclusion of interest from series EE or I U.S. savings bonds issued after 1989. </t>
  </si>
  <si>
    <t xml:space="preserve">You received interest or ordinary dividends as a nominee. </t>
  </si>
  <si>
    <t>You had a financial interest in, or signature authority over, a financial account in a foreign country or you</t>
  </si>
  <si>
    <t xml:space="preserve"> received a distribution from, or were a grantor of, or transfer-or to, a foreign trust. </t>
  </si>
  <si>
    <t>SCHEDULE B</t>
  </si>
  <si>
    <t>Interest and Ordinary Dividends</t>
  </si>
  <si>
    <r>
      <t xml:space="preserve">Go to </t>
    </r>
    <r>
      <rPr>
        <b/>
        <i/>
        <sz val="9"/>
        <rFont val="Arial"/>
        <family val="2"/>
      </rPr>
      <t>www.irs.gov/ScheduleB</t>
    </r>
    <r>
      <rPr>
        <b/>
        <sz val="9"/>
        <rFont val="Arial"/>
        <family val="2"/>
      </rPr>
      <t xml:space="preserve"> for instructions and the latest information.</t>
    </r>
  </si>
  <si>
    <t xml:space="preserve"> Attachment</t>
  </si>
  <si>
    <t>Internal Revenue Service (99)</t>
  </si>
  <si>
    <t>Name(s) shown on return</t>
  </si>
  <si>
    <t>List name of payer. If any interest is from a seller-financed mortgage and the</t>
  </si>
  <si>
    <t>Interest</t>
  </si>
  <si>
    <t>buyer used the property as a personal residence, see instructions and list this</t>
  </si>
  <si>
    <t>(See instructions</t>
  </si>
  <si>
    <t>and the</t>
  </si>
  <si>
    <t>The lines in Part I, Line 1, include hidden formula to automatically import information from the sheet labeled '1099-INT'.</t>
  </si>
  <si>
    <t>instructions for</t>
  </si>
  <si>
    <t xml:space="preserve">However, these formula are NOT PROTECTED. </t>
  </si>
  <si>
    <t>If you type in the lines in Step 1, this import feature will no longer work.</t>
  </si>
  <si>
    <r>
      <t xml:space="preserve">Add the amounts on line 1  </t>
    </r>
    <r>
      <rPr>
        <b/>
        <sz val="10"/>
        <rFont val="Arial"/>
        <family val="2"/>
      </rPr>
      <t>.   .   .   .   .   .   .   .   .   .   .   .   .   .   .   .   .   .   .   .   .   .   .   .   .   .   .   .   .   .   .   .   .   .   .   .</t>
    </r>
  </si>
  <si>
    <t xml:space="preserve">Excludable interest on series EE and I U.S. savings bonds issued after 1989. </t>
  </si>
  <si>
    <t>Attach Form 8815</t>
  </si>
  <si>
    <t xml:space="preserve"> .   .   .   .   .   .   .   .   .   .   .   .   .   .   .   .   .   .   .   .   .   .   .   .   .   .   .   .   .   .   .   .   .   .   .   .   .   .</t>
  </si>
  <si>
    <r>
      <t>Subtract line 3 from line 2. Enter the result here and on Form 1040 or 1040-SR, line 2b</t>
    </r>
    <r>
      <rPr>
        <b/>
        <sz val="9"/>
        <rFont val="Arial"/>
        <family val="2"/>
      </rPr>
      <t xml:space="preserve"> .</t>
    </r>
  </si>
  <si>
    <t>Note:</t>
  </si>
  <si>
    <t>List name of payer</t>
  </si>
  <si>
    <t>The top 15 full width lines in Part II, Line 5, include hidden formula to automatically import information from the sheet labeled '1099-DIV'.</t>
  </si>
  <si>
    <t>If you type in these lines in Step 5, this import feature will no longer work.</t>
  </si>
  <si>
    <r>
      <t xml:space="preserve">Add the amounts on line 5. Enter the total here and on Form 1040 or 1040-SR, line 3b </t>
    </r>
    <r>
      <rPr>
        <b/>
        <sz val="9"/>
        <rFont val="Arial"/>
        <family val="2"/>
      </rPr>
      <t>.   .</t>
    </r>
  </si>
  <si>
    <t>Part III</t>
  </si>
  <si>
    <t>Foreign Accounts 
and Trusts</t>
  </si>
  <si>
    <r>
      <rPr>
        <b/>
        <sz val="8"/>
        <rFont val="Arial"/>
        <family val="2"/>
      </rPr>
      <t>Caution:</t>
    </r>
    <r>
      <rPr>
        <sz val="8"/>
        <rFont val="Arial"/>
        <family val="2"/>
      </rPr>
      <t xml:space="preserve"> If 
required, failure to file FinCEN Form 114 may result in substantial penalties. 
Additionally, you may be required to file Form 8938, Statement of Specified Foreign Financial Assets.
See instructions.</t>
    </r>
  </si>
  <si>
    <t>account (such as a bank account, securities account, or brokerage account) located in a foreign</t>
  </si>
  <si>
    <t>country? See instructions</t>
  </si>
  <si>
    <t>If “Yes,” are you required to file FinCEN Form 114, Report of Foreign Bank and Financial</t>
  </si>
  <si>
    <t>Accounts (FBAR), to report that financial interest or signature authority? See FinCEN Form 114</t>
  </si>
  <si>
    <t>and its instructions for filing requirements and exceptions to those requirements</t>
  </si>
  <si>
    <t>If you are required to file FinCEN Form 114, enter the name of the foreign country where the</t>
  </si>
  <si>
    <t>foreign trust?  If "Yes," you may have to file Form 3520.  See instructions</t>
  </si>
  <si>
    <t xml:space="preserve">.   .   .   .   .   .   .   .   .   .   </t>
  </si>
  <si>
    <t>Cat. No. 17146N</t>
  </si>
  <si>
    <t>Download Form 1040 Schedule B</t>
  </si>
  <si>
    <t>Note:  This sheet includes 2 Schedule C forms.</t>
  </si>
  <si>
    <t>SCHEDULE C</t>
  </si>
  <si>
    <t>Profit or Loss from Business</t>
  </si>
  <si>
    <t>Your SSN</t>
  </si>
  <si>
    <t>(Sole Proprietorship)</t>
  </si>
  <si>
    <t>Spouse's SSN</t>
  </si>
  <si>
    <t>Department of the Treasury
Internal Revenue Service  (99)</t>
  </si>
  <si>
    <r>
      <t xml:space="preserve">Go to </t>
    </r>
    <r>
      <rPr>
        <b/>
        <i/>
        <sz val="10"/>
        <rFont val="Arial"/>
        <family val="2"/>
      </rPr>
      <t>www.irs.gov/ScheduleC</t>
    </r>
    <r>
      <rPr>
        <b/>
        <sz val="10"/>
        <rFont val="Arial"/>
        <family val="2"/>
      </rPr>
      <t xml:space="preserve"> for instructions and the latest information.</t>
    </r>
  </si>
  <si>
    <t>Attachment
Sequence No.</t>
  </si>
  <si>
    <t>09</t>
  </si>
  <si>
    <t>Attach to Form 1040, 1040-SR, 1040-NR, or 1041; partnerships generally must file Form 1065.</t>
  </si>
  <si>
    <t>x</t>
  </si>
  <si>
    <t>#1</t>
  </si>
  <si>
    <t>Name of Proprietor</t>
  </si>
  <si>
    <t xml:space="preserve">  Social security number (SSN)</t>
  </si>
  <si>
    <t>#2</t>
  </si>
  <si>
    <t>Principal business or profession, including product or service (see instructions)</t>
  </si>
  <si>
    <r>
      <rPr>
        <b/>
        <sz val="10"/>
        <rFont val="Arial"/>
        <family val="2"/>
      </rPr>
      <t>B</t>
    </r>
    <r>
      <rPr>
        <b/>
        <sz val="9"/>
        <rFont val="Arial"/>
        <family val="2"/>
      </rPr>
      <t xml:space="preserve">  Enter code from instructions</t>
    </r>
  </si>
  <si>
    <t>Neither</t>
  </si>
  <si>
    <t>Business name.  If no separate business name, leave blank.</t>
  </si>
  <si>
    <r>
      <rPr>
        <b/>
        <sz val="10"/>
        <rFont val="Arial"/>
        <family val="2"/>
      </rPr>
      <t>D</t>
    </r>
    <r>
      <rPr>
        <b/>
        <sz val="9"/>
        <rFont val="Arial"/>
        <family val="2"/>
      </rPr>
      <t xml:space="preserve">  Employer ID number (EIN)</t>
    </r>
    <r>
      <rPr>
        <sz val="9"/>
        <rFont val="Arial"/>
        <family val="2"/>
      </rPr>
      <t xml:space="preserve"> (see instr.)</t>
    </r>
  </si>
  <si>
    <t>Business address (including suite or room no.)</t>
  </si>
  <si>
    <t>City, town or post office, state, and ZIP code</t>
  </si>
  <si>
    <t>F</t>
  </si>
  <si>
    <r>
      <t xml:space="preserve">Accounting method:          </t>
    </r>
    <r>
      <rPr>
        <b/>
        <sz val="10"/>
        <rFont val="Arial"/>
        <family val="2"/>
      </rPr>
      <t>(1)</t>
    </r>
  </si>
  <si>
    <t>Cash</t>
  </si>
  <si>
    <t>Accrual</t>
  </si>
  <si>
    <t>Other (specify)</t>
  </si>
  <si>
    <t>G</t>
  </si>
  <si>
    <t>H</t>
  </si>
  <si>
    <t>I</t>
  </si>
  <si>
    <t>J</t>
  </si>
  <si>
    <t xml:space="preserve"> .   .   .   .   .   .   .   .   .   .   .   .   .   .   .   .   .   .   .   .   .   .   .  </t>
  </si>
  <si>
    <t xml:space="preserve">   Income</t>
  </si>
  <si>
    <t>Gross receipts or sales. See instructions for line 1 and check the box if this income was reported to you on</t>
  </si>
  <si>
    <t>Form W-2 and the “Statutory employee” box on that form was checked</t>
  </si>
  <si>
    <t>Returns and allowances</t>
  </si>
  <si>
    <t>Subtract line 2 from line 1</t>
  </si>
  <si>
    <t xml:space="preserve">.   .   .   .   .   .   .   .   .   .   .   .   .   .   .   .   .   .   .   .   .   .   .   .   .   .   .   .   .   .   .   .   .   .   .   .  </t>
  </si>
  <si>
    <t>Cost of goods sold  (from line 42)</t>
  </si>
  <si>
    <t xml:space="preserve">.   .   .   .   .   .   .   .   .   .   .   .   .   .   .   .   .   .   .   .   .   .   .   .   .   .   .   .   .   .   .   .   .   .  </t>
  </si>
  <si>
    <r>
      <t>Gross profit.</t>
    </r>
    <r>
      <rPr>
        <sz val="10"/>
        <rFont val="Arial"/>
        <family val="2"/>
      </rPr>
      <t xml:space="preserve">  Subtract line 4 from line 3</t>
    </r>
  </si>
  <si>
    <t>Other income, including federal and state gasoline or fuel tax credit or refund  (see instructions)</t>
  </si>
  <si>
    <r>
      <t>Gross income.</t>
    </r>
    <r>
      <rPr>
        <sz val="10"/>
        <rFont val="Arial"/>
        <family val="2"/>
      </rPr>
      <t xml:space="preserve">  Add lines 5 and 6</t>
    </r>
  </si>
  <si>
    <t>Expenses.</t>
  </si>
  <si>
    <r>
      <t xml:space="preserve">Enter expenses for business use of your home </t>
    </r>
    <r>
      <rPr>
        <b/>
        <sz val="12"/>
        <rFont val="Arial"/>
        <family val="2"/>
      </rPr>
      <t>only</t>
    </r>
    <r>
      <rPr>
        <sz val="12"/>
        <rFont val="Arial"/>
        <family val="2"/>
      </rPr>
      <t xml:space="preserve"> on line 30.</t>
    </r>
  </si>
  <si>
    <r>
      <t>Advertising</t>
    </r>
    <r>
      <rPr>
        <b/>
        <sz val="10"/>
        <rFont val="Arial"/>
        <family val="2"/>
      </rPr>
      <t xml:space="preserve"> .   .   .   .   .   .   .   .   .   .   .   .   .   .   .   .   .   .   .   .   .</t>
    </r>
  </si>
  <si>
    <t>Office Expense (see instructions)</t>
  </si>
  <si>
    <t>Car and truck expenses</t>
  </si>
  <si>
    <t>Pension and profit-sharing plans</t>
  </si>
  <si>
    <r>
      <t>(see instructions)</t>
    </r>
    <r>
      <rPr>
        <b/>
        <sz val="10"/>
        <rFont val="Arial"/>
        <family val="2"/>
      </rPr>
      <t xml:space="preserve">  .   .   .   .   .   .   .   .   .   .   .   .</t>
    </r>
  </si>
  <si>
    <t>Rent or lease (see instructions):</t>
  </si>
  <si>
    <t>Commissions and fees</t>
  </si>
  <si>
    <t>Vehicles, machinery and equipment</t>
  </si>
  <si>
    <t>20a</t>
  </si>
  <si>
    <t>Contract labor (see instructions)</t>
  </si>
  <si>
    <t xml:space="preserve"> .   .   .   .   .  </t>
  </si>
  <si>
    <t>Other business property</t>
  </si>
  <si>
    <t xml:space="preserve"> .   .   .   .   .   .   .   .   . </t>
  </si>
  <si>
    <t>20b</t>
  </si>
  <si>
    <r>
      <t xml:space="preserve">Depletion  </t>
    </r>
    <r>
      <rPr>
        <b/>
        <sz val="10"/>
        <rFont val="Arial"/>
        <family val="2"/>
      </rPr>
      <t xml:space="preserve">  .   .   .   .   .   .   .   .   .   .   .   .   .</t>
    </r>
  </si>
  <si>
    <t>Repairs and maintenance</t>
  </si>
  <si>
    <t xml:space="preserve">  .   .   .   .   .   .   .   . </t>
  </si>
  <si>
    <t>Depreciation and section 179 expense</t>
  </si>
  <si>
    <t>Supplies (not included in Part III)</t>
  </si>
  <si>
    <t>deduction (not included in Part III)</t>
  </si>
  <si>
    <t>Taxes and licenses</t>
  </si>
  <si>
    <t>(see instructions)</t>
  </si>
  <si>
    <t>Travel and meals:</t>
  </si>
  <si>
    <t>Employee benefit programs</t>
  </si>
  <si>
    <t>Travel</t>
  </si>
  <si>
    <t>(other than on line 19)</t>
  </si>
  <si>
    <t>Insurance (other than health)</t>
  </si>
  <si>
    <t>Interest:</t>
  </si>
  <si>
    <t>Utilities</t>
  </si>
  <si>
    <r>
      <t xml:space="preserve">Mortgage (paid to banks, etc.) </t>
    </r>
    <r>
      <rPr>
        <b/>
        <sz val="10"/>
        <rFont val="Arial"/>
        <family val="2"/>
      </rPr>
      <t xml:space="preserve">  .   .   .   .   .   .</t>
    </r>
  </si>
  <si>
    <t>16a</t>
  </si>
  <si>
    <t>Wages (less employment credits)</t>
  </si>
  <si>
    <r>
      <t>Other</t>
    </r>
    <r>
      <rPr>
        <b/>
        <sz val="10"/>
        <rFont val="Arial"/>
        <family val="2"/>
      </rPr>
      <t xml:space="preserve"> .   .   .   .   .   .   .   .   .   .   .   .   .   .   .   .</t>
    </r>
  </si>
  <si>
    <t>16b</t>
  </si>
  <si>
    <t>Other expenses (from line 48)</t>
  </si>
  <si>
    <t>27a</t>
  </si>
  <si>
    <t>Legal and professional services</t>
  </si>
  <si>
    <t>27b</t>
  </si>
  <si>
    <t xml:space="preserve">.   .   .   .   .   .   .   .   .   .   .      </t>
  </si>
  <si>
    <t>Tentative profit (loss).  Subtract line 28 from line 7</t>
  </si>
  <si>
    <t>Expenses for business use of your home. Do not report these expenses elsewhere. Attach Form 8829</t>
  </si>
  <si>
    <t>unless using the simplified method (see instructions).</t>
  </si>
  <si>
    <t>Simplified Method Worksheet  (See instructions for Schedule C, line 30.)</t>
  </si>
  <si>
    <r>
      <rPr>
        <b/>
        <sz val="10"/>
        <rFont val="Arial"/>
        <family val="2"/>
      </rPr>
      <t>Simplified method filers only:</t>
    </r>
    <r>
      <rPr>
        <sz val="10"/>
        <rFont val="Arial"/>
        <family val="2"/>
      </rPr>
      <t xml:space="preserve"> enter the total square footage of: (a) your home:</t>
    </r>
  </si>
  <si>
    <t>Gross income limitation</t>
  </si>
  <si>
    <t>and (b) the part of your home used for business:</t>
  </si>
  <si>
    <t>A.</t>
  </si>
  <si>
    <t>Sch. C, Line 29</t>
  </si>
  <si>
    <t>Use the Simplified Method Worksheet in the instructions to figure the amount to enter on line 30</t>
  </si>
  <si>
    <t>B.</t>
  </si>
  <si>
    <t>Use of home gain (F8949)</t>
  </si>
  <si>
    <r>
      <t>Net profit or (loss).</t>
    </r>
    <r>
      <rPr>
        <sz val="10"/>
        <rFont val="Arial"/>
        <family val="2"/>
      </rPr>
      <t xml:space="preserve">  Subtract line 30 from line 29.</t>
    </r>
  </si>
  <si>
    <t>C.</t>
  </si>
  <si>
    <t>Add lines A and B</t>
  </si>
  <si>
    <r>
      <t xml:space="preserve">• If a profit, enter on both </t>
    </r>
    <r>
      <rPr>
        <b/>
        <sz val="11"/>
        <rFont val="Arial"/>
        <family val="2"/>
      </rPr>
      <t>Schedule 1 (Form 1040), line 3,</t>
    </r>
    <r>
      <rPr>
        <sz val="11"/>
        <rFont val="Arial"/>
        <family val="2"/>
      </rPr>
      <t xml:space="preserve"> and on </t>
    </r>
    <r>
      <rPr>
        <b/>
        <sz val="11"/>
        <rFont val="Arial"/>
        <family val="2"/>
      </rPr>
      <t>Schedule SE, line 2.</t>
    </r>
    <r>
      <rPr>
        <sz val="11"/>
        <rFont val="Arial"/>
        <family val="2"/>
      </rPr>
      <t xml:space="preserve">  (If you</t>
    </r>
  </si>
  <si>
    <t>D.</t>
  </si>
  <si>
    <t>(as positive number)</t>
  </si>
  <si>
    <r>
      <t xml:space="preserve">checked the box on line 1, see instructions). Estates and trusts, enter on </t>
    </r>
    <r>
      <rPr>
        <b/>
        <sz val="11"/>
        <rFont val="Arial"/>
        <family val="2"/>
      </rPr>
      <t>Form 1041, line 3</t>
    </r>
    <r>
      <rPr>
        <sz val="11"/>
        <rFont val="Arial"/>
        <family val="2"/>
      </rPr>
      <t>.</t>
    </r>
  </si>
  <si>
    <t>E.</t>
  </si>
  <si>
    <t>Subtract line D from line C.</t>
  </si>
  <si>
    <r>
      <t xml:space="preserve">• If a loss, you </t>
    </r>
    <r>
      <rPr>
        <b/>
        <sz val="11"/>
        <rFont val="Arial"/>
        <family val="2"/>
      </rPr>
      <t>must</t>
    </r>
    <r>
      <rPr>
        <sz val="11"/>
        <rFont val="Arial"/>
        <family val="2"/>
      </rPr>
      <t xml:space="preserve"> go to line 32.</t>
    </r>
  </si>
  <si>
    <t>Allowable square footage.</t>
  </si>
  <si>
    <t>If you have a loss, check the box that describes your investment in this activity. See instructions.</t>
  </si>
  <si>
    <t>Simplified method amount</t>
  </si>
  <si>
    <r>
      <t xml:space="preserve">• If you checked 32a, enter the loss on both </t>
    </r>
    <r>
      <rPr>
        <b/>
        <sz val="10"/>
        <rFont val="Arial"/>
        <family val="2"/>
      </rPr>
      <t>Schedule 1 (Form 1040), line 3,</t>
    </r>
    <r>
      <rPr>
        <sz val="10"/>
        <rFont val="Arial"/>
        <family val="2"/>
      </rPr>
      <t xml:space="preserve"> and on </t>
    </r>
    <r>
      <rPr>
        <b/>
        <sz val="10"/>
        <rFont val="Arial"/>
        <family val="2"/>
      </rPr>
      <t>Schedule</t>
    </r>
  </si>
  <si>
    <t xml:space="preserve">32a </t>
  </si>
  <si>
    <t>All investment at risk.</t>
  </si>
  <si>
    <t>Maximum allowable amount</t>
  </si>
  <si>
    <r>
      <rPr>
        <b/>
        <sz val="10"/>
        <rFont val="Arial"/>
        <family val="2"/>
      </rPr>
      <t>SE, line 2</t>
    </r>
    <r>
      <rPr>
        <sz val="10"/>
        <rFont val="Arial"/>
        <family val="2"/>
      </rPr>
      <t>. (If you checked the box on line 1, see the line 31 instructions). Estates and trusts, enter on</t>
    </r>
  </si>
  <si>
    <t xml:space="preserve">32b </t>
  </si>
  <si>
    <t>Some investment is not</t>
  </si>
  <si>
    <t>Daycare decimal (See instr.)</t>
  </si>
  <si>
    <t>Enter as decimal.</t>
  </si>
  <si>
    <r>
      <rPr>
        <b/>
        <sz val="10"/>
        <rFont val="Arial"/>
        <family val="2"/>
      </rPr>
      <t>Form 1041, line 3</t>
    </r>
    <r>
      <rPr>
        <sz val="10"/>
        <rFont val="Arial"/>
        <family val="2"/>
      </rPr>
      <t>.</t>
    </r>
  </si>
  <si>
    <t>at risk.</t>
  </si>
  <si>
    <t>Multiply line 3a by line 3b.</t>
  </si>
  <si>
    <r>
      <t xml:space="preserve">• If you checked 32b, you </t>
    </r>
    <r>
      <rPr>
        <b/>
        <sz val="10"/>
        <rFont val="Arial"/>
        <family val="2"/>
      </rPr>
      <t>must</t>
    </r>
    <r>
      <rPr>
        <sz val="10"/>
        <rFont val="Arial"/>
        <family val="2"/>
      </rPr>
      <t xml:space="preserve"> attach </t>
    </r>
    <r>
      <rPr>
        <b/>
        <sz val="10"/>
        <rFont val="Arial"/>
        <family val="2"/>
      </rPr>
      <t>Form 6198</t>
    </r>
    <r>
      <rPr>
        <sz val="10"/>
        <rFont val="Arial"/>
        <family val="2"/>
      </rPr>
      <t>. Your loss may be limited.</t>
    </r>
  </si>
  <si>
    <t>Multiply line 2 by line 3c</t>
  </si>
  <si>
    <t>For Paperwork Reduction Act Notice, see the separate instructions.</t>
  </si>
  <si>
    <t xml:space="preserve">Cat. No. 11334P   </t>
  </si>
  <si>
    <t>Smaller of line 1 or 4. If &lt;=0, then 0.</t>
  </si>
  <si>
    <t>Enter on Sch C line 30</t>
  </si>
  <si>
    <t>Page</t>
  </si>
  <si>
    <r>
      <rPr>
        <b/>
        <sz val="11"/>
        <rFont val="Arial"/>
        <family val="2"/>
      </rPr>
      <t xml:space="preserve">   Cost of Goods Sold</t>
    </r>
    <r>
      <rPr>
        <sz val="11"/>
        <rFont val="Arial"/>
        <family val="2"/>
      </rPr>
      <t xml:space="preserve">  (see instructions)</t>
    </r>
  </si>
  <si>
    <t>Method(s) used to</t>
  </si>
  <si>
    <r>
      <t xml:space="preserve">value closing inventory    </t>
    </r>
    <r>
      <rPr>
        <b/>
        <sz val="10"/>
        <rFont val="Arial"/>
        <family val="2"/>
      </rPr>
      <t>a</t>
    </r>
  </si>
  <si>
    <t xml:space="preserve">Cost </t>
  </si>
  <si>
    <t xml:space="preserve">b </t>
  </si>
  <si>
    <t xml:space="preserve"> Lower cost or market</t>
  </si>
  <si>
    <t xml:space="preserve">c </t>
  </si>
  <si>
    <t xml:space="preserve"> Other (attach explanation)</t>
  </si>
  <si>
    <t>Was there any change in determining quantities, cost or valuations between opening and closing inventory?</t>
  </si>
  <si>
    <t>If "Yes", attach explanation</t>
  </si>
  <si>
    <t xml:space="preserve">.   .   .   .   .   .   .   .   .   .   .   .   .   .   .   .   .   .   .   .   .   .   .   .   .   .   .   .   .   .   .   .   .  </t>
  </si>
  <si>
    <t>Inventory at beginning of the year.  If different from last year's closing inventory, attach explanation</t>
  </si>
  <si>
    <t>Purchases less cost of items withdrawn for personal use</t>
  </si>
  <si>
    <t>Cost of labor.  Do not include any amounts paid to yourself</t>
  </si>
  <si>
    <t>Materials and supplies</t>
  </si>
  <si>
    <t xml:space="preserve">.   .   .   .   .   .   .   .   .   .   .   .   .   .   .   .   .   .   .   .   .   .   .   .   .   .   .   .   .   .   .   .   .   .   .   .   .   .   . </t>
  </si>
  <si>
    <t>Other costs</t>
  </si>
  <si>
    <t xml:space="preserve">.   .   .   .   .   .   .   .   .   .   .   .   .   .   .   .   .   .   .   .   .   .   .   .   .   .   .   .   .   .   .   .   .   .   .   .   .   .   .   .   .   .   .   .   .   . </t>
  </si>
  <si>
    <t>Add lines 35 through 39</t>
  </si>
  <si>
    <t xml:space="preserve">.   .   .   .   .   .   .   .   .   .   .   .   .   .   .   .   .   .   .   .   .   .   .   .   .   .   .   .   .   .   .   .   .   .   .   .   .   . </t>
  </si>
  <si>
    <t>Inventory at end of year</t>
  </si>
  <si>
    <r>
      <t>Cost of goods sold.</t>
    </r>
    <r>
      <rPr>
        <sz val="10"/>
        <rFont val="Arial"/>
        <family val="2"/>
      </rPr>
      <t xml:space="preserve">   Subtract line 41 from line 40.  Enter the result here and on line 4</t>
    </r>
  </si>
  <si>
    <t>Part IV</t>
  </si>
  <si>
    <r>
      <t xml:space="preserve">   </t>
    </r>
    <r>
      <rPr>
        <b/>
        <sz val="11"/>
        <rFont val="Arial"/>
        <family val="2"/>
      </rPr>
      <t>Information on Your Vehicle.</t>
    </r>
    <r>
      <rPr>
        <sz val="10"/>
        <rFont val="Arial"/>
        <family val="2"/>
      </rPr>
      <t/>
    </r>
  </si>
  <si>
    <r>
      <t xml:space="preserve">Complete this part </t>
    </r>
    <r>
      <rPr>
        <b/>
        <sz val="11"/>
        <rFont val="Arial"/>
        <family val="2"/>
      </rPr>
      <t>only</t>
    </r>
    <r>
      <rPr>
        <sz val="11"/>
        <rFont val="Arial"/>
        <family val="2"/>
      </rPr>
      <t xml:space="preserve"> if you are claiming car or truck expenses on line 9 and</t>
    </r>
  </si>
  <si>
    <t xml:space="preserve">   are not required to file Form 4562 for this business. See the instructions for line 13 on instructions to find out if you must file</t>
  </si>
  <si>
    <t xml:space="preserve">   Form 4562.</t>
  </si>
  <si>
    <r>
      <t>When did you place your vehicle in service for business purposes?   (month/day/year)</t>
    </r>
    <r>
      <rPr>
        <sz val="10"/>
        <rFont val="Arial"/>
        <family val="2"/>
      </rPr>
      <t/>
    </r>
  </si>
  <si>
    <t>/</t>
  </si>
  <si>
    <r>
      <t xml:space="preserve"> </t>
    </r>
    <r>
      <rPr>
        <b/>
        <sz val="10"/>
        <rFont val="Arial"/>
        <family val="2"/>
      </rPr>
      <t xml:space="preserve"> a</t>
    </r>
    <r>
      <rPr>
        <sz val="9"/>
        <rFont val="Arial"/>
        <family val="2"/>
      </rPr>
      <t xml:space="preserve">   </t>
    </r>
    <r>
      <rPr>
        <sz val="8"/>
        <rFont val="Arial"/>
        <family val="2"/>
      </rPr>
      <t xml:space="preserve">Business  </t>
    </r>
  </si>
  <si>
    <r>
      <rPr>
        <b/>
        <sz val="10"/>
        <rFont val="Arial"/>
        <family val="2"/>
      </rPr>
      <t>b</t>
    </r>
    <r>
      <rPr>
        <sz val="8"/>
        <rFont val="Arial"/>
        <family val="2"/>
      </rPr>
      <t xml:space="preserve"> Commuting (see instructions)</t>
    </r>
  </si>
  <si>
    <t>Was your vehicle available for use during off-duty hours?</t>
  </si>
  <si>
    <t>Do you (or your spouse) have another vehicle available for personal use?</t>
  </si>
  <si>
    <t xml:space="preserve">    47  a</t>
  </si>
  <si>
    <t>Do you have evidence to support your deduction?</t>
  </si>
  <si>
    <t>If "Yes", is the evidence written?</t>
  </si>
  <si>
    <t xml:space="preserve">.    .    .    .    .    .    .    .    .    .    .    .    .    .    .    .    .   .    .    .    .    .    .    .    .    .    . </t>
  </si>
  <si>
    <t>Part V</t>
  </si>
  <si>
    <t>Attachment Sequence No.</t>
  </si>
  <si>
    <t>X</t>
  </si>
  <si>
    <t xml:space="preserve"> .   .   .   .   .   .   .   .   .   .   .   .   .   .  </t>
  </si>
  <si>
    <r>
      <t xml:space="preserve">   </t>
    </r>
    <r>
      <rPr>
        <b/>
        <sz val="12"/>
        <rFont val="Arial"/>
        <family val="2"/>
      </rPr>
      <t>Expenses</t>
    </r>
  </si>
  <si>
    <r>
      <t xml:space="preserve">Enter expenses for business use of your home </t>
    </r>
    <r>
      <rPr>
        <b/>
        <sz val="11"/>
        <rFont val="Arial"/>
        <family val="2"/>
      </rPr>
      <t>only</t>
    </r>
    <r>
      <rPr>
        <sz val="11"/>
        <rFont val="Arial"/>
        <family val="2"/>
      </rPr>
      <t xml:space="preserve"> on line 30.</t>
    </r>
  </si>
  <si>
    <t xml:space="preserve">   .   .   .   .   .   .   .   .   .   .   .   .</t>
  </si>
  <si>
    <r>
      <t>(other than on line 19)</t>
    </r>
    <r>
      <rPr>
        <b/>
        <sz val="10"/>
        <rFont val="Arial"/>
        <family val="2"/>
      </rPr>
      <t xml:space="preserve">   .   .   .   .   .   .   .   .   .</t>
    </r>
  </si>
  <si>
    <r>
      <t>Insurance (other than health)</t>
    </r>
    <r>
      <rPr>
        <b/>
        <sz val="10"/>
        <rFont val="Arial"/>
        <family val="2"/>
      </rPr>
      <t>.   .   .   .   .   .   .</t>
    </r>
  </si>
  <si>
    <t xml:space="preserve">.   .   .   .   .   .   .   .   .      </t>
  </si>
  <si>
    <t>If you have a loss, check the box that describes your investment in this activity.  See instructions.</t>
  </si>
  <si>
    <r>
      <t xml:space="preserve">• If you checked 32a, enter the loss on both </t>
    </r>
    <r>
      <rPr>
        <b/>
        <sz val="10"/>
        <rFont val="Arial"/>
        <family val="2"/>
      </rPr>
      <t>Schedule 1 (Form 1040), line 3</t>
    </r>
    <r>
      <rPr>
        <sz val="10"/>
        <rFont val="Arial"/>
        <family val="2"/>
      </rPr>
      <t xml:space="preserve">, and on </t>
    </r>
    <r>
      <rPr>
        <b/>
        <sz val="10"/>
        <rFont val="Arial"/>
        <family val="2"/>
      </rPr>
      <t>Schedule</t>
    </r>
  </si>
  <si>
    <t>32a</t>
  </si>
  <si>
    <t>32b</t>
  </si>
  <si>
    <t>Form 1041, line 3.</t>
  </si>
  <si>
    <r>
      <t xml:space="preserve">value closing inventory     </t>
    </r>
    <r>
      <rPr>
        <b/>
        <sz val="10"/>
        <rFont val="Arial"/>
        <family val="2"/>
      </rPr>
      <t>a</t>
    </r>
  </si>
  <si>
    <t>Cost</t>
  </si>
  <si>
    <t>Lower cost or market</t>
  </si>
  <si>
    <t>Other (attach explanation)</t>
  </si>
  <si>
    <r>
      <t xml:space="preserve"> </t>
    </r>
    <r>
      <rPr>
        <b/>
        <sz val="10"/>
        <rFont val="Arial"/>
        <family val="2"/>
      </rPr>
      <t xml:space="preserve"> a</t>
    </r>
    <r>
      <rPr>
        <sz val="10"/>
        <rFont val="Arial"/>
        <family val="2"/>
      </rPr>
      <t xml:space="preserve">   Business</t>
    </r>
  </si>
  <si>
    <r>
      <t>b</t>
    </r>
    <r>
      <rPr>
        <sz val="8"/>
        <rFont val="Arial"/>
        <family val="2"/>
      </rPr>
      <t xml:space="preserve"> Commuting (see instructions)</t>
    </r>
  </si>
  <si>
    <t xml:space="preserve">  47  a</t>
  </si>
  <si>
    <t>Download Form 1040 Schedule C</t>
  </si>
  <si>
    <t>Download Form 1040 Schedule C Instructions</t>
  </si>
  <si>
    <t>SCHEDULE D</t>
  </si>
  <si>
    <t>Capital Gains and Losses</t>
  </si>
  <si>
    <t xml:space="preserve">  OMB No. 1545-0074</t>
  </si>
  <si>
    <t>Attach to Form 1040, 1040-SR, or Form 1040-NR.</t>
  </si>
  <si>
    <r>
      <t xml:space="preserve">   Go to </t>
    </r>
    <r>
      <rPr>
        <b/>
        <i/>
        <sz val="9"/>
        <rFont val="Arial"/>
        <family val="2"/>
      </rPr>
      <t>www.irs.gov/ScheduleD</t>
    </r>
    <r>
      <rPr>
        <b/>
        <sz val="9"/>
        <rFont val="Arial"/>
        <family val="2"/>
      </rPr>
      <t xml:space="preserve"> for instructions and the latest information.</t>
    </r>
  </si>
  <si>
    <t>Use Form 8949 to list your transactions for lines 1b, 2, 3, 8b, 9, and 10.</t>
  </si>
  <si>
    <t>(Applicability)</t>
  </si>
  <si>
    <t>(d)</t>
  </si>
  <si>
    <t>(e)</t>
  </si>
  <si>
    <t>(g)</t>
  </si>
  <si>
    <t>(h)</t>
  </si>
  <si>
    <t>Did you dispose of any investment(s) in a qualified opportunity fund during the tax year?</t>
  </si>
  <si>
    <t>If “Yes,” attach Form 8949 and see its instructions for additional requirements for reporting your gain or loss.</t>
  </si>
  <si>
    <t xml:space="preserve">Part I </t>
  </si>
  <si>
    <t>Short-Term Capital Gains and Losses</t>
  </si>
  <si>
    <r>
      <rPr>
        <b/>
        <sz val="7"/>
        <rFont val="Arial"/>
        <family val="2"/>
      </rPr>
      <t>(d)</t>
    </r>
    <r>
      <rPr>
        <sz val="7"/>
        <rFont val="Arial"/>
        <family val="2"/>
      </rPr>
      <t xml:space="preserve"> 
Proceeds 
(sales price)</t>
    </r>
  </si>
  <si>
    <r>
      <rPr>
        <b/>
        <sz val="7"/>
        <rFont val="Arial"/>
        <family val="2"/>
      </rPr>
      <t>(e)</t>
    </r>
    <r>
      <rPr>
        <sz val="7"/>
        <rFont val="Arial"/>
        <family val="2"/>
      </rPr>
      <t xml:space="preserve">
Cost
(or other basis)</t>
    </r>
  </si>
  <si>
    <r>
      <rPr>
        <b/>
        <sz val="7"/>
        <rFont val="Arial"/>
        <family val="2"/>
      </rPr>
      <t xml:space="preserve">(g)
</t>
    </r>
    <r>
      <rPr>
        <sz val="7"/>
        <rFont val="Arial"/>
        <family val="2"/>
      </rPr>
      <t>Adjustments 
to gain or loss from
Form(s) 8949, Part I,
line 2, column (g)</t>
    </r>
  </si>
  <si>
    <r>
      <rPr>
        <b/>
        <sz val="7"/>
        <rFont val="Arial"/>
        <family val="2"/>
      </rPr>
      <t xml:space="preserve">(h) Gain or (loss) </t>
    </r>
    <r>
      <rPr>
        <sz val="7"/>
        <rFont val="Arial"/>
        <family val="2"/>
      </rPr>
      <t xml:space="preserve">
Subtract column (e) 
from column (d) and 
combine the result 
with column (g)</t>
    </r>
  </si>
  <si>
    <r>
      <rPr>
        <b/>
        <sz val="7"/>
        <rFont val="Arial"/>
        <family val="2"/>
      </rPr>
      <t xml:space="preserve">(d)
</t>
    </r>
    <r>
      <rPr>
        <sz val="7"/>
        <rFont val="Arial"/>
        <family val="2"/>
      </rPr>
      <t>Proceeds
(sales price)</t>
    </r>
  </si>
  <si>
    <r>
      <rPr>
        <b/>
        <sz val="7"/>
        <rFont val="Arial"/>
        <family val="2"/>
      </rPr>
      <t xml:space="preserve">(g)
</t>
    </r>
    <r>
      <rPr>
        <sz val="7"/>
        <rFont val="Arial"/>
        <family val="2"/>
      </rPr>
      <t>Adjustments to
gain or loss from
Form(s) 8949, Part I,
line 2, column (g)</t>
    </r>
  </si>
  <si>
    <r>
      <t xml:space="preserve">Override  </t>
    </r>
    <r>
      <rPr>
        <b/>
        <sz val="10"/>
        <rFont val="Wingdings"/>
        <charset val="2"/>
      </rPr>
      <t>è</t>
    </r>
  </si>
  <si>
    <t>F8949A</t>
  </si>
  <si>
    <t>F8949B</t>
  </si>
  <si>
    <t>F8949C</t>
  </si>
  <si>
    <t>F8949D</t>
  </si>
  <si>
    <t xml:space="preserve">.   .   .   .   .   .   .   .   .   .   .   .   .   .   .   .   .   .   .   .   .   .   .   .   .   .   .   .   .   .   . </t>
  </si>
  <si>
    <r>
      <rPr>
        <b/>
        <sz val="8"/>
        <rFont val="Arial"/>
        <family val="2"/>
      </rPr>
      <t xml:space="preserve">(d)
</t>
    </r>
    <r>
      <rPr>
        <sz val="8"/>
        <rFont val="Arial"/>
        <family val="2"/>
      </rPr>
      <t>Proceeds 
(sales price)</t>
    </r>
  </si>
  <si>
    <r>
      <rPr>
        <b/>
        <sz val="8"/>
        <rFont val="Arial"/>
        <family val="2"/>
      </rPr>
      <t>(e)</t>
    </r>
    <r>
      <rPr>
        <sz val="8"/>
        <rFont val="Arial"/>
        <family val="2"/>
      </rPr>
      <t xml:space="preserve">
Cost
(or other basis)</t>
    </r>
  </si>
  <si>
    <r>
      <rPr>
        <b/>
        <sz val="7"/>
        <rFont val="Arial"/>
        <family val="2"/>
      </rPr>
      <t xml:space="preserve">(g)
</t>
    </r>
    <r>
      <rPr>
        <sz val="7"/>
        <rFont val="Arial"/>
        <family val="2"/>
      </rPr>
      <t>Adjustments
to gain or loss from
Form(s) 8949, Part II,
line 2, column (g)</t>
    </r>
  </si>
  <si>
    <r>
      <rPr>
        <b/>
        <sz val="7"/>
        <rFont val="Arial"/>
        <family val="2"/>
      </rPr>
      <t xml:space="preserve">(g)
</t>
    </r>
    <r>
      <rPr>
        <sz val="7"/>
        <rFont val="Arial"/>
        <family val="2"/>
      </rPr>
      <t>Adjustments to
gain or loss from
Form(s) 8949, Part II,
line 2, column (g)</t>
    </r>
  </si>
  <si>
    <t>Capital gain distributions. See the instructions</t>
  </si>
  <si>
    <t>Cat. No. 11338H</t>
  </si>
  <si>
    <r>
      <t>Page</t>
    </r>
    <r>
      <rPr>
        <sz val="9"/>
        <rFont val="Arial"/>
        <family val="2"/>
      </rPr>
      <t xml:space="preserve"> </t>
    </r>
    <r>
      <rPr>
        <sz val="12"/>
        <rFont val="Arial"/>
        <family val="2"/>
      </rPr>
      <t xml:space="preserve"> </t>
    </r>
    <r>
      <rPr>
        <b/>
        <sz val="12"/>
        <rFont val="Arial"/>
        <family val="2"/>
      </rPr>
      <t>2</t>
    </r>
  </si>
  <si>
    <t>PART III</t>
  </si>
  <si>
    <t xml:space="preserve"> Summary</t>
  </si>
  <si>
    <t>Combine lines 7 and 15 and enter the result.</t>
  </si>
  <si>
    <t xml:space="preserve"> .   .   .   .   .   .   .   .   .   .   .   .   .   .   .   .   .   .   .   .   .   . </t>
  </si>
  <si>
    <t>Then go to line 17 below.</t>
  </si>
  <si>
    <t>line 22.</t>
  </si>
  <si>
    <r>
      <t xml:space="preserve">Are lines 15 and 16 </t>
    </r>
    <r>
      <rPr>
        <b/>
        <sz val="11"/>
        <rFont val="Arial"/>
        <family val="2"/>
      </rPr>
      <t>both</t>
    </r>
    <r>
      <rPr>
        <sz val="11"/>
        <rFont val="Arial"/>
        <family val="2"/>
      </rPr>
      <t xml:space="preserve"> gains?</t>
    </r>
  </si>
  <si>
    <r>
      <t xml:space="preserve">Yes. </t>
    </r>
    <r>
      <rPr>
        <sz val="10"/>
        <rFont val="Arial"/>
        <family val="2"/>
      </rPr>
      <t>Go to line 18.</t>
    </r>
  </si>
  <si>
    <r>
      <t>No.</t>
    </r>
    <r>
      <rPr>
        <sz val="10"/>
        <rFont val="Arial"/>
        <family val="2"/>
      </rPr>
      <t xml:space="preserve"> Skip lines 18 through 21, and go to line 22.</t>
    </r>
  </si>
  <si>
    <r>
      <t xml:space="preserve">If you are required to complete the </t>
    </r>
    <r>
      <rPr>
        <b/>
        <sz val="11"/>
        <rFont val="Arial"/>
        <family val="2"/>
      </rPr>
      <t>28% Rate Gain Worksheet</t>
    </r>
    <r>
      <rPr>
        <sz val="11"/>
        <rFont val="Arial"/>
        <family val="2"/>
      </rPr>
      <t xml:space="preserve"> (see instructions), enter</t>
    </r>
  </si>
  <si>
    <t>the amount, if any, from line 7 of that worksheet</t>
  </si>
  <si>
    <t xml:space="preserve">.   .   .   .   .   .   .   .   .   .   .   .   .   .   .   .   .   .   .   . </t>
  </si>
  <si>
    <r>
      <t xml:space="preserve">If you are required to complete the </t>
    </r>
    <r>
      <rPr>
        <b/>
        <sz val="11"/>
        <rFont val="Arial"/>
        <family val="2"/>
      </rPr>
      <t>Unrecaptured Section 1250 Gain Worksheet</t>
    </r>
    <r>
      <rPr>
        <sz val="11"/>
        <rFont val="Arial"/>
        <family val="2"/>
      </rPr>
      <t xml:space="preserve"> (see</t>
    </r>
  </si>
  <si>
    <t>instructions), enter the amount, if any, from line 18 of that worksheet</t>
  </si>
  <si>
    <t>Are lines 18 and 19 both zero or blank and are you not filing Form 4952?</t>
  </si>
  <si>
    <t>Check here if</t>
  </si>
  <si>
    <t>filing Form 4952.</t>
  </si>
  <si>
    <t>and 22 below.</t>
  </si>
  <si>
    <t>The loss on line 16 or</t>
  </si>
  <si>
    <t>Do you have qualified dividends on Form 1040, 1040-SR, or 1040-NR, line 3a?</t>
  </si>
  <si>
    <t>Download Form 1040 Schedule D</t>
  </si>
  <si>
    <t>Download Form 1040 Schedule D Instructions</t>
  </si>
  <si>
    <t>Capital Loss Carryover Worksheet—Lines 6 and 14</t>
  </si>
  <si>
    <t>(a)</t>
  </si>
  <si>
    <t>(b)</t>
  </si>
  <si>
    <t xml:space="preserve"> less than zero if a negative amount on that line. Otherwise, you don't have any carryovers.</t>
  </si>
  <si>
    <t>any capital loss carryover from the joint return can be deducted only on the return of the spouse who actually had the loss.</t>
  </si>
  <si>
    <t>If the amount would have been a loss if you could enter a negative number on that line, enclose the amount in parentheses</t>
  </si>
  <si>
    <t>Combine lines 1 and 2. If zero or less, enter -0-</t>
  </si>
  <si>
    <t xml:space="preserve">.   .   .   .   .   .   .   .   .   .   .   .   .   .   .   .   .   .   .   .   .   .   .   .   .   .   .   .   .   .   .   .   .   .   .   </t>
  </si>
  <si>
    <r>
      <t xml:space="preserve">Enter the </t>
    </r>
    <r>
      <rPr>
        <b/>
        <sz val="10"/>
        <rFont val="Arial"/>
        <family val="2"/>
      </rPr>
      <t>smaller</t>
    </r>
    <r>
      <rPr>
        <sz val="10"/>
        <rFont val="Arial"/>
        <family val="2"/>
      </rPr>
      <t xml:space="preserve"> of line 2 or line 3</t>
    </r>
  </si>
  <si>
    <t xml:space="preserve"> .   .   .   .   .   .   .   .   .   .   .   .   .   .   .   .   .   . </t>
  </si>
  <si>
    <t>Add lines 4 and 6</t>
  </si>
  <si>
    <t xml:space="preserve">.   .   .   .   .   .   .   .   .   .   .   .   .   .   .   .   .   .   .   .   .   .   .   .   .   .   .   .   .   .   .   .   .   .   .   .   .   .   .   .   .   .   .   .   .   .   .   .   </t>
  </si>
  <si>
    <t>Subtract line 7 from line 5. If zero or less, enter -0-.</t>
  </si>
  <si>
    <t xml:space="preserve"> If more than zero, also enter this amount on Schedule D, line 6</t>
  </si>
  <si>
    <t>Subtract line 5 from line 4. If zero or less, enter -0-</t>
  </si>
  <si>
    <t>Add lines 10 and 11</t>
  </si>
  <si>
    <t xml:space="preserve">.   .   .   .   .   .   .   .   .   .   .   .   .   .   .   .   .   .   .   .   .   .   .   .   .   .   .   .   .   .   .   .   .   .   .   .   .   .   .   .   .   .   .   .   .   .   </t>
  </si>
  <si>
    <t>Subtract line 12 from line 9. If zero or less, enter -0-.</t>
  </si>
  <si>
    <t xml:space="preserve"> If more than zero, also enter this amount on Schedule D, line 14</t>
  </si>
  <si>
    <t xml:space="preserve">.   .   .   .   .   .   .   .   .   .   .   .   .   .   .   .   .   .   .   .   .   .   .   .   .   .   .   .   </t>
  </si>
  <si>
    <t>28% Rate Gain Worksheet — Line 18</t>
  </si>
  <si>
    <t>Enter as a positive number the total of:</t>
  </si>
  <si>
    <r>
      <t>l</t>
    </r>
    <r>
      <rPr>
        <sz val="9"/>
        <rFont val="Arial"/>
        <family val="2"/>
      </rPr>
      <t xml:space="preserve"> </t>
    </r>
  </si>
  <si>
    <t>Any section 1202 exclusion you reported in column (g) of Form 8949,</t>
  </si>
  <si>
    <t>2/3 of any section 1202 exclusion you reported in column (g) of Form</t>
  </si>
  <si>
    <t>1/3 of any section 1202 exclusion you reported in column (g) of Form</t>
  </si>
  <si>
    <t>Don't make an entry for any section 1202 exclusion that is 100% of the gain.</t>
  </si>
  <si>
    <t>Enter the total of any collectibles gain reported to you on:</t>
  </si>
  <si>
    <t>Form 1099-DIV, box 2d;</t>
  </si>
  <si>
    <t>Form 2439, box 1d; and</t>
  </si>
  <si>
    <t>Schedule K-1 from a partnership, S corporation, estate, or trust.</t>
  </si>
  <si>
    <t>Enter your long-term capital loss carryovers from Schedule D, line 14, and Schedule K-1 (Form 1041),</t>
  </si>
  <si>
    <t>box 11, code D</t>
  </si>
  <si>
    <t xml:space="preserve">.   .   .   .   .   .   .   .   .   .   .   .   .   .   .   .   .   .   .   .   .   .   .   .   .   .   .   .   .   .   .   .   .   .   .   .   .   .   .   .  </t>
  </si>
  <si>
    <t>Schedule K-1 (Form 1041)</t>
  </si>
  <si>
    <t>If Schedule D, line 7, is a (loss), enter that (loss) here. Otherwise, enter -0-</t>
  </si>
  <si>
    <t>Combine lines 1 through 6. If zero or less, enter -0-. If more than zero, also enter this amount on</t>
  </si>
  <si>
    <t>Schedule D, line 18</t>
  </si>
  <si>
    <t>.   .   .   .   .   .   .   .   .   .   .   .   .   .   .   .   .   .   .   .   .   .   .   .   .   .   .   .   .   .   .   .   .   .   .   .   .   .   .</t>
  </si>
  <si>
    <t>Schedule D</t>
  </si>
  <si>
    <t>Line 20</t>
  </si>
  <si>
    <t>Form 1040</t>
  </si>
  <si>
    <t>&gt;</t>
  </si>
  <si>
    <t>Complete this worksheet only if line 18 or line 19 of Schedule D is more than zero and lines 15 and 16 of Schedule D are gains or</t>
  </si>
  <si>
    <t>Line 18 &gt; 0</t>
  </si>
  <si>
    <t>Line 19 &gt; 0</t>
  </si>
  <si>
    <t>Line 3a = 0</t>
  </si>
  <si>
    <t>Line 15 &lt;= 0</t>
  </si>
  <si>
    <t>Line 16 &lt;= 0</t>
  </si>
  <si>
    <r>
      <t xml:space="preserve">if you file Form 4952, </t>
    </r>
    <r>
      <rPr>
        <b/>
        <u/>
        <sz val="9"/>
        <rFont val="Arial"/>
        <family val="2"/>
      </rPr>
      <t>Investment Interest Expense Deduction</t>
    </r>
    <r>
      <rPr>
        <b/>
        <sz val="9"/>
        <rFont val="Arial"/>
        <family val="2"/>
      </rPr>
      <t>, and you have an amount on line 4g, even if you don’t need to file Schedule D.</t>
    </r>
  </si>
  <si>
    <t>Worksheet used?</t>
  </si>
  <si>
    <t>Otherwise, complete the Qualified Dividends and Capital Gain Tax Worksheet in the Instructions for Form 1040, line 16, (or in the instructions for</t>
  </si>
  <si>
    <t>Form 1040-NR, line 16) to figure your tax.</t>
  </si>
  <si>
    <t>Before completing this worksheet, complete Form 1040, 1040-SR, or 1040-NR through line 15.</t>
  </si>
  <si>
    <r>
      <t>Exception:   Don't</t>
    </r>
    <r>
      <rPr>
        <sz val="9"/>
        <rFont val="Arial"/>
        <family val="2"/>
      </rPr>
      <t xml:space="preserve"> use the Qualified Dividends and Capital Gain Tax Worksheet </t>
    </r>
    <r>
      <rPr>
        <b/>
        <sz val="9"/>
        <rFont val="Arial"/>
        <family val="2"/>
      </rPr>
      <t>or</t>
    </r>
    <r>
      <rPr>
        <sz val="9"/>
        <rFont val="Arial"/>
        <family val="2"/>
      </rPr>
      <t xml:space="preserve"> this worksheet to figure your tax if:</t>
    </r>
  </si>
  <si>
    <r>
      <t xml:space="preserve">Line 15 or line 16 of Schedule D is zero or less </t>
    </r>
    <r>
      <rPr>
        <b/>
        <sz val="9"/>
        <rFont val="Arial"/>
        <family val="2"/>
      </rPr>
      <t>and</t>
    </r>
    <r>
      <rPr>
        <sz val="9"/>
        <rFont val="Arial"/>
        <family val="2"/>
      </rPr>
      <t xml:space="preserve"> you have no qualified dividends on Form 1040 or 1040-SR, line 3a;</t>
    </r>
  </si>
  <si>
    <t>Instead, see the instructions for Forms 1040 and 1040-SR, line 16 (or Form 1040-NR, line 16).</t>
  </si>
  <si>
    <t>Check here to</t>
  </si>
  <si>
    <t>&lt; Customize &gt;</t>
  </si>
  <si>
    <t xml:space="preserve">Form 2555 (relating to foreign earned income), enter instead the amount from line 3 of the </t>
  </si>
  <si>
    <t xml:space="preserve">complete this </t>
  </si>
  <si>
    <t>Foreign Earned Income Tax Worksheet in the Instructions for Form 1040 or 1040-SR, line 16)</t>
  </si>
  <si>
    <t>worksheet anyway.</t>
  </si>
  <si>
    <t>1040-SR, or 1040-NR, line 3a</t>
  </si>
  <si>
    <t>Enter the amount from Form 4952 (used to figure investment interest</t>
  </si>
  <si>
    <r>
      <t xml:space="preserve">expense deduction), line 4g  </t>
    </r>
    <r>
      <rPr>
        <b/>
        <sz val="10"/>
        <rFont val="Arial"/>
        <family val="2"/>
      </rPr>
      <t xml:space="preserve"> .   .   .   .   .   .   .   .   .   .</t>
    </r>
  </si>
  <si>
    <r>
      <t xml:space="preserve">Enter the amount from Form 4952, line 4e* </t>
    </r>
    <r>
      <rPr>
        <b/>
        <sz val="10"/>
        <rFont val="Arial"/>
        <family val="2"/>
      </rPr>
      <t>.   .   .   .   .   .   .   .   .   .</t>
    </r>
  </si>
  <si>
    <t>Subtract line 4 from line 3. If zero or less, enter -0-</t>
  </si>
  <si>
    <t>Subtract line 5 from line 2. If zero or less, enter -0-**</t>
  </si>
  <si>
    <t>.   .   .   .   .   .   .   .   .   .   .   .   .   .   .   .   .   .   .   .</t>
  </si>
  <si>
    <r>
      <t xml:space="preserve">Enter the </t>
    </r>
    <r>
      <rPr>
        <b/>
        <sz val="10"/>
        <rFont val="Arial"/>
        <family val="2"/>
      </rPr>
      <t>smaller</t>
    </r>
    <r>
      <rPr>
        <sz val="10"/>
        <rFont val="Arial"/>
        <family val="2"/>
      </rPr>
      <t xml:space="preserve"> of line 15 or line 16 of Schedule D</t>
    </r>
  </si>
  <si>
    <r>
      <t xml:space="preserve">Enter the </t>
    </r>
    <r>
      <rPr>
        <b/>
        <sz val="10"/>
        <rFont val="Arial"/>
        <family val="2"/>
      </rPr>
      <t>smaller</t>
    </r>
    <r>
      <rPr>
        <sz val="10"/>
        <rFont val="Arial"/>
        <family val="2"/>
      </rPr>
      <t xml:space="preserve"> of line 3 or line 4</t>
    </r>
  </si>
  <si>
    <t>Subtract line 8 from line 7. If zero or less, enter -0-**</t>
  </si>
  <si>
    <t>Add lines 18 and 19 of Schedule D**</t>
  </si>
  <si>
    <r>
      <t xml:space="preserve">Enter the </t>
    </r>
    <r>
      <rPr>
        <b/>
        <sz val="10"/>
        <rFont val="Arial"/>
        <family val="2"/>
      </rPr>
      <t>smaller</t>
    </r>
    <r>
      <rPr>
        <sz val="10"/>
        <rFont val="Arial"/>
        <family val="2"/>
      </rPr>
      <t xml:space="preserve"> of line 9 or line 11</t>
    </r>
  </si>
  <si>
    <t>Subtract line 12 from line 10</t>
  </si>
  <si>
    <t>.   .   .   .   .   .   .   .   .   .   .   .   .   .   .   .   .   .   .   .   .   .   .   .   .   .   .   .   .   .   .   .   .   .   .   .</t>
  </si>
  <si>
    <t>Subtract line 13 from line 1. If zero or less, enter -0-</t>
  </si>
  <si>
    <r>
      <t>Enter</t>
    </r>
    <r>
      <rPr>
        <sz val="10"/>
        <rFont val="Arial"/>
        <family val="2"/>
      </rPr>
      <t>:</t>
    </r>
  </si>
  <si>
    <t>.   .   .</t>
  </si>
  <si>
    <r>
      <t xml:space="preserve">Enter the </t>
    </r>
    <r>
      <rPr>
        <b/>
        <sz val="10"/>
        <rFont val="Arial"/>
        <family val="2"/>
      </rPr>
      <t>smaller</t>
    </r>
    <r>
      <rPr>
        <sz val="10"/>
        <rFont val="Arial"/>
        <family val="2"/>
      </rPr>
      <t xml:space="preserve"> of line 1 or line 15</t>
    </r>
  </si>
  <si>
    <r>
      <t>Enter the</t>
    </r>
    <r>
      <rPr>
        <b/>
        <sz val="10"/>
        <rFont val="Arial"/>
        <family val="2"/>
      </rPr>
      <t xml:space="preserve"> smaller</t>
    </r>
    <r>
      <rPr>
        <sz val="10"/>
        <rFont val="Arial"/>
        <family val="2"/>
      </rPr>
      <t xml:space="preserve"> of line 14 or line 16</t>
    </r>
  </si>
  <si>
    <t>Subtract line 10 from line 1. If zero or less, enter -0-</t>
  </si>
  <si>
    <r>
      <t xml:space="preserve">Enter the </t>
    </r>
    <r>
      <rPr>
        <b/>
        <sz val="10"/>
        <rFont val="Arial"/>
        <family val="2"/>
      </rPr>
      <t>smaller</t>
    </r>
    <r>
      <rPr>
        <sz val="10"/>
        <rFont val="Arial"/>
        <family val="2"/>
      </rPr>
      <t xml:space="preserve"> of line 1 or:</t>
    </r>
  </si>
  <si>
    <r>
      <t xml:space="preserve">Enter the </t>
    </r>
    <r>
      <rPr>
        <b/>
        <sz val="10"/>
        <rFont val="Arial"/>
        <family val="2"/>
      </rPr>
      <t>smaller</t>
    </r>
    <r>
      <rPr>
        <sz val="10"/>
        <rFont val="Arial"/>
        <family val="2"/>
      </rPr>
      <t xml:space="preserve"> of line 14 or line 19</t>
    </r>
  </si>
  <si>
    <r>
      <t xml:space="preserve">Enter the </t>
    </r>
    <r>
      <rPr>
        <b/>
        <sz val="10"/>
        <rFont val="Arial"/>
        <family val="2"/>
      </rPr>
      <t>larger</t>
    </r>
    <r>
      <rPr>
        <sz val="10"/>
        <rFont val="Arial"/>
        <family val="2"/>
      </rPr>
      <t xml:space="preserve"> of line 18 or line 20</t>
    </r>
  </si>
  <si>
    <t>Subtract line 17 from line 16. This amount is taxed at 0%.</t>
  </si>
  <si>
    <t>If lines 1 and 16 are the same, skip lines 23 through 43 and go to line 44. Otherwise, go to line 23.</t>
  </si>
  <si>
    <r>
      <t xml:space="preserve">Enter the </t>
    </r>
    <r>
      <rPr>
        <b/>
        <sz val="10"/>
        <rFont val="Arial"/>
        <family val="2"/>
      </rPr>
      <t>smaller</t>
    </r>
    <r>
      <rPr>
        <sz val="10"/>
        <rFont val="Arial"/>
        <family val="2"/>
      </rPr>
      <t xml:space="preserve"> of line 1 or line 13 </t>
    </r>
  </si>
  <si>
    <t>Enter the amount from line 22 (if line 22 is blank, enter -0-)</t>
  </si>
  <si>
    <t>Subtract line 24 from line 23. If zero or less, enter -0-</t>
  </si>
  <si>
    <t>Enter the smaller of line 1 or line 26</t>
  </si>
  <si>
    <t>Subtract line 28 from line 27. If zero or less, enter -0-</t>
  </si>
  <si>
    <r>
      <t xml:space="preserve">Enter the </t>
    </r>
    <r>
      <rPr>
        <b/>
        <sz val="10"/>
        <rFont val="Arial"/>
        <family val="2"/>
      </rPr>
      <t>smaller</t>
    </r>
    <r>
      <rPr>
        <sz val="10"/>
        <rFont val="Arial"/>
        <family val="2"/>
      </rPr>
      <t xml:space="preserve"> of line 25 or line 29</t>
    </r>
  </si>
  <si>
    <t>If lines 1 and 32 are the same, skip lines 33 through 43 and go to line 44. Otherwise, go to line 33.</t>
  </si>
  <si>
    <t>Subtract line 32 from line 23</t>
  </si>
  <si>
    <t>If Schedule D, line 19, is zero or blank, skip lines 35 through 40 and go to line 41. Otherwise, go to line 35.</t>
  </si>
  <si>
    <r>
      <t xml:space="preserve">Enter the </t>
    </r>
    <r>
      <rPr>
        <b/>
        <sz val="10"/>
        <rFont val="Arial"/>
        <family val="2"/>
      </rPr>
      <t>smaller</t>
    </r>
    <r>
      <rPr>
        <sz val="10"/>
        <rFont val="Arial"/>
        <family val="2"/>
      </rPr>
      <t xml:space="preserve"> of line 9 above or Schedule D, line 19</t>
    </r>
  </si>
  <si>
    <t>Enter the amount from line 1 above</t>
  </si>
  <si>
    <t xml:space="preserve"> .   .   .   .   .   .   . </t>
  </si>
  <si>
    <t>Subtract line 37 from line 36. If zero or less, enter -0-</t>
  </si>
  <si>
    <t>Subtract line 38 from line 35. If zero or less, enter -0-</t>
  </si>
  <si>
    <t>If Schedule D, line 18, is zero or blank, skip lines 41 through 43 and go to line 44. Otherwise, go to line 41.</t>
  </si>
  <si>
    <t>Add lines 21, 22, 30, 33, and 39</t>
  </si>
  <si>
    <t>Subtract line 41 from line 1</t>
  </si>
  <si>
    <t>SchDTW_Line21</t>
  </si>
  <si>
    <r>
      <t xml:space="preserve">Figure the tax on the amount on </t>
    </r>
    <r>
      <rPr>
        <b/>
        <sz val="10"/>
        <rFont val="Arial"/>
        <family val="2"/>
      </rPr>
      <t>line 21</t>
    </r>
    <r>
      <rPr>
        <sz val="10"/>
        <rFont val="Arial"/>
        <family val="2"/>
      </rPr>
      <t>. If the amount on line 21 is less than $100,000, use the Tax Table to figure the tax.</t>
    </r>
  </si>
  <si>
    <t>If the amount on line 21 is $100,000 or more, use the Tax Computation Worksheet</t>
  </si>
  <si>
    <t>Add lines 31, 34, 40, 43, and 44</t>
  </si>
  <si>
    <r>
      <t xml:space="preserve">Figure the tax on the amount on </t>
    </r>
    <r>
      <rPr>
        <b/>
        <sz val="10"/>
        <rFont val="Arial"/>
        <family val="2"/>
      </rPr>
      <t>line 1</t>
    </r>
    <r>
      <rPr>
        <sz val="10"/>
        <rFont val="Arial"/>
        <family val="2"/>
      </rPr>
      <t>. If the amount on line 1 is less than $100,000, use the Tax Table to figure the tax.</t>
    </r>
  </si>
  <si>
    <t>If the amount on line 1 is $100,000 or more, use the Tax Computation Worksheet</t>
  </si>
  <si>
    <r>
      <t>Tax on all taxable income (including capital gains and qualified dividends).</t>
    </r>
    <r>
      <rPr>
        <sz val="10"/>
        <rFont val="Arial"/>
        <family val="2"/>
      </rPr>
      <t xml:space="preserve"> Enter the </t>
    </r>
    <r>
      <rPr>
        <b/>
        <sz val="10"/>
        <rFont val="Arial"/>
        <family val="2"/>
      </rPr>
      <t>smaller</t>
    </r>
    <r>
      <rPr>
        <sz val="10"/>
        <rFont val="Arial"/>
        <family val="2"/>
      </rPr>
      <t xml:space="preserve"> of line 45 or line 46. Also</t>
    </r>
  </si>
  <si>
    <t>include this amount on Form 1040 or 1040-SR, line 16. (If you are filing Form 2555, don't enter this amount</t>
  </si>
  <si>
    <t>on Form 1040 or 1040-SR, line 16. Instead, enter it on line 4 of the Foreign Earned Income Tax Worksheet in the instructions</t>
  </si>
  <si>
    <t>SchDTW_Line1</t>
  </si>
  <si>
    <t>*If applicable, enter instead the smaller amount you entered on the dotted line next to line 4e of Form 4952.</t>
  </si>
  <si>
    <t>**If you are filing Form 2555, see the footnote in the Foreign Earned Income Tax Worksheet in the Instructions for</t>
  </si>
  <si>
    <t>Form 1040 and 1040-SR, line 16, before completing this line.</t>
  </si>
  <si>
    <t>Note:  This sheet includes two Schedule E forms.</t>
  </si>
  <si>
    <t>SCHEDULE E</t>
  </si>
  <si>
    <t>Supplemental Income and Loss</t>
  </si>
  <si>
    <t>Department of the Treasury Internal Revenue Service</t>
  </si>
  <si>
    <t>Attach to Form 1040, 1040-SR, 1040NR, or Form 1041.</t>
  </si>
  <si>
    <t>Attachment 
Sequence No.</t>
  </si>
  <si>
    <r>
      <t xml:space="preserve">Go to </t>
    </r>
    <r>
      <rPr>
        <b/>
        <i/>
        <sz val="10"/>
        <rFont val="Arial"/>
        <family val="2"/>
      </rPr>
      <t>www.irs.gov/ScheduleE</t>
    </r>
    <r>
      <rPr>
        <b/>
        <sz val="10"/>
        <rFont val="Arial"/>
        <family val="2"/>
      </rPr>
      <t xml:space="preserve"> for instructions and the latest information.</t>
    </r>
  </si>
  <si>
    <t>Income or Loss From Rental Real Estate and Royalties</t>
  </si>
  <si>
    <r>
      <rPr>
        <b/>
        <sz val="11"/>
        <rFont val="Arial"/>
        <family val="2"/>
      </rPr>
      <t>Note:</t>
    </r>
    <r>
      <rPr>
        <sz val="11"/>
        <rFont val="Arial"/>
        <family val="2"/>
      </rPr>
      <t xml:space="preserve"> If you are in business of renting personal property, use </t>
    </r>
    <r>
      <rPr>
        <b/>
        <sz val="11"/>
        <rFont val="Arial"/>
        <family val="2"/>
      </rPr>
      <t>Schedule C</t>
    </r>
    <r>
      <rPr>
        <sz val="11"/>
        <rFont val="Arial"/>
        <family val="2"/>
      </rPr>
      <t>.  See instructions.  If you are an individual,</t>
    </r>
  </si>
  <si>
    <t xml:space="preserve">  Yes</t>
  </si>
  <si>
    <t xml:space="preserve">  No</t>
  </si>
  <si>
    <t>Physical address of each property (street, city, state, ZIP code)</t>
  </si>
  <si>
    <t>Single Family Residence</t>
  </si>
  <si>
    <t>Type of Property (from list below)</t>
  </si>
  <si>
    <t>For each rental real estate property listed 
above, report the number of fair rental and 
personal use days. Check the QJV box only
if you meet the requirements to file as a 
qualified joint venture. See instructions.</t>
  </si>
  <si>
    <t>Fair Rental
Days</t>
  </si>
  <si>
    <t>Personal Use
Days</t>
  </si>
  <si>
    <t>QJV</t>
  </si>
  <si>
    <t>Multi-Family Residence</t>
  </si>
  <si>
    <t>Vacation / S.T. Rental</t>
  </si>
  <si>
    <t>Error?</t>
  </si>
  <si>
    <t>Commercial</t>
  </si>
  <si>
    <t>Land</t>
  </si>
  <si>
    <t>Royalties</t>
  </si>
  <si>
    <t>Type of Property:</t>
  </si>
  <si>
    <t>Self-Rental</t>
  </si>
  <si>
    <t>Vacation/Short-Term Rental</t>
  </si>
  <si>
    <t>Other  (describe)</t>
  </si>
  <si>
    <t>Properties:</t>
  </si>
  <si>
    <t>Income:</t>
  </si>
  <si>
    <t>Rents received</t>
  </si>
  <si>
    <t>Royalties received</t>
  </si>
  <si>
    <t>Expenses:</t>
  </si>
  <si>
    <t>Advertising</t>
  </si>
  <si>
    <t>Auto and travel (see instructions)</t>
  </si>
  <si>
    <t>Cleaning and maintenance</t>
  </si>
  <si>
    <t>Commissions</t>
  </si>
  <si>
    <t>Insurance</t>
  </si>
  <si>
    <t>Legal and other professional fees</t>
  </si>
  <si>
    <t>Management fees</t>
  </si>
  <si>
    <t>Mortgage interest paid to banks, etc. (see instructions)</t>
  </si>
  <si>
    <t>Other interest</t>
  </si>
  <si>
    <t>Repairs</t>
  </si>
  <si>
    <t>Supplies</t>
  </si>
  <si>
    <t>Taxes</t>
  </si>
  <si>
    <t>Depreciation expense or depletion</t>
  </si>
  <si>
    <t>Overrides</t>
  </si>
  <si>
    <t>Other (list)</t>
  </si>
  <si>
    <t>Total expenses. Add lines 5 through 19</t>
  </si>
  <si>
    <t>Subtract line 20 from line 3 (rents) and/or 4 (royalties).</t>
  </si>
  <si>
    <t>If result is a (loss), see instructions to find out if you</t>
  </si>
  <si>
    <t>Gains</t>
  </si>
  <si>
    <t>Losses</t>
  </si>
  <si>
    <r>
      <t xml:space="preserve">must file </t>
    </r>
    <r>
      <rPr>
        <b/>
        <sz val="11"/>
        <rFont val="Arial"/>
        <family val="2"/>
      </rPr>
      <t>Form 6198</t>
    </r>
  </si>
  <si>
    <t>Line 21</t>
  </si>
  <si>
    <t>Deductible rental real estate loss after limitation, if any,</t>
  </si>
  <si>
    <t>Line 22</t>
  </si>
  <si>
    <r>
      <t xml:space="preserve">on </t>
    </r>
    <r>
      <rPr>
        <b/>
        <sz val="11"/>
        <rFont val="Arial"/>
        <family val="2"/>
      </rPr>
      <t>Form 8582</t>
    </r>
    <r>
      <rPr>
        <sz val="11"/>
        <rFont val="Arial"/>
        <family val="2"/>
      </rPr>
      <t xml:space="preserve"> (see instructions)</t>
    </r>
  </si>
  <si>
    <t>Royalty losses</t>
  </si>
  <si>
    <t>23a</t>
  </si>
  <si>
    <t>Total of all amounts reported on line 3 for all rental properties</t>
  </si>
  <si>
    <t>Rental Real Estate Losses</t>
  </si>
  <si>
    <t>Total of all amounts reported on line 4 for all royalty properties</t>
  </si>
  <si>
    <t>23b</t>
  </si>
  <si>
    <t>Total of all amounts reported on line 12 for all properties</t>
  </si>
  <si>
    <t>23c</t>
  </si>
  <si>
    <t>Total of all amounts reported on line 18 for all properties</t>
  </si>
  <si>
    <t>23d</t>
  </si>
  <si>
    <t>Total of all amounts reported on line 20 for all properties</t>
  </si>
  <si>
    <t>23e</t>
  </si>
  <si>
    <r>
      <rPr>
        <b/>
        <sz val="11"/>
        <rFont val="Arial"/>
        <family val="2"/>
      </rPr>
      <t>Income.</t>
    </r>
    <r>
      <rPr>
        <sz val="11"/>
        <rFont val="Arial"/>
        <family val="2"/>
      </rPr>
      <t xml:space="preserve"> Add positive amounts shown on line 21. </t>
    </r>
    <r>
      <rPr>
        <b/>
        <sz val="11"/>
        <rFont val="Arial"/>
        <family val="2"/>
      </rPr>
      <t>Do not</t>
    </r>
    <r>
      <rPr>
        <sz val="11"/>
        <rFont val="Arial"/>
        <family val="2"/>
      </rPr>
      <t xml:space="preserve"> include any losses</t>
    </r>
  </si>
  <si>
    <r>
      <rPr>
        <b/>
        <sz val="10.5"/>
        <rFont val="Arial"/>
        <family val="2"/>
      </rPr>
      <t>Losses.</t>
    </r>
    <r>
      <rPr>
        <sz val="10.5"/>
        <rFont val="Arial"/>
        <family val="2"/>
      </rPr>
      <t xml:space="preserve"> Add royalty losses from line 21 and rental real estate losses from line 22. Enter total losses here</t>
    </r>
  </si>
  <si>
    <r>
      <rPr>
        <b/>
        <sz val="11"/>
        <rFont val="Arial"/>
        <family val="2"/>
      </rPr>
      <t>Total rental real estate and royalty income or (loss).</t>
    </r>
    <r>
      <rPr>
        <sz val="11"/>
        <rFont val="Arial"/>
        <family val="2"/>
      </rPr>
      <t xml:space="preserve"> Combine lines 24 and 25. Enter the result</t>
    </r>
  </si>
  <si>
    <t>here. If Parts II, III, IV, and line 40 on page 2 do not apply to you, also enter this amount on</t>
  </si>
  <si>
    <t>Schedule 1 (Form 1040), line 5. Otherwise, include this amount in the total on line 41 on page 2</t>
  </si>
  <si>
    <t xml:space="preserve">.   . </t>
  </si>
  <si>
    <t>Cat. No. 11344L</t>
  </si>
  <si>
    <t>Name(s) shown on return.</t>
  </si>
  <si>
    <t>Do not enter name and social security number if shown on other side.</t>
  </si>
  <si>
    <r>
      <rPr>
        <b/>
        <sz val="12"/>
        <rFont val="Arial"/>
        <family val="2"/>
      </rPr>
      <t>Caution:</t>
    </r>
    <r>
      <rPr>
        <sz val="11"/>
        <rFont val="Arial"/>
        <family val="2"/>
      </rPr>
      <t xml:space="preserve"> The IRS compares amounts reported on your tax return with amounts shown on Schedule(s) K-1.</t>
    </r>
  </si>
  <si>
    <t>Income or Loss From Partnerships and S Corporations</t>
  </si>
  <si>
    <r>
      <rPr>
        <b/>
        <sz val="10"/>
        <rFont val="Arial"/>
        <family val="2"/>
      </rPr>
      <t>Note:</t>
    </r>
    <r>
      <rPr>
        <sz val="10"/>
        <rFont val="Arial"/>
        <family val="2"/>
      </rPr>
      <t xml:space="preserve">  If you report a loss, receive a distribution, dispose of stock, or receive a loan repayment from an S corporation, you </t>
    </r>
    <r>
      <rPr>
        <b/>
        <sz val="10"/>
        <rFont val="Arial"/>
        <family val="2"/>
      </rPr>
      <t>must</t>
    </r>
    <r>
      <rPr>
        <sz val="10"/>
        <rFont val="Arial"/>
        <family val="2"/>
      </rPr>
      <t xml:space="preserve"> check</t>
    </r>
  </si>
  <si>
    <r>
      <t xml:space="preserve">the box in column (e) on line 28 and attach the required basis computation. If you report a loss from an at-risk activity for which </t>
    </r>
    <r>
      <rPr>
        <b/>
        <sz val="10"/>
        <rFont val="Arial"/>
        <family val="2"/>
      </rPr>
      <t>any</t>
    </r>
    <r>
      <rPr>
        <sz val="10"/>
        <rFont val="Arial"/>
        <family val="2"/>
      </rPr>
      <t xml:space="preserve"> </t>
    </r>
  </si>
  <si>
    <t>Are you reporting any loss not allowed in a prior year due to the at-risk or basis limitations, a prior year unallowed loss from a</t>
  </si>
  <si>
    <t>passive activity (if that loss was not reported on Form 8582), or unreimbursed partnership expenses?</t>
  </si>
  <si>
    <t>If you answered “Yes,” see instructions before completing this section</t>
  </si>
  <si>
    <r>
      <rPr>
        <b/>
        <sz val="8"/>
        <rFont val="Arial"/>
        <family val="2"/>
      </rPr>
      <t>(b)</t>
    </r>
    <r>
      <rPr>
        <sz val="8"/>
        <rFont val="Arial"/>
        <family val="2"/>
      </rPr>
      <t xml:space="preserve">  Enter </t>
    </r>
    <r>
      <rPr>
        <b/>
        <sz val="8"/>
        <rFont val="Arial"/>
        <family val="2"/>
      </rPr>
      <t>P</t>
    </r>
    <r>
      <rPr>
        <sz val="8"/>
        <rFont val="Arial"/>
        <family val="2"/>
      </rPr>
      <t xml:space="preserve"> for partnership; </t>
    </r>
    <r>
      <rPr>
        <b/>
        <sz val="8"/>
        <rFont val="Arial"/>
        <family val="2"/>
      </rPr>
      <t>S</t>
    </r>
    <r>
      <rPr>
        <sz val="8"/>
        <rFont val="Arial"/>
        <family val="2"/>
      </rPr>
      <t xml:space="preserve"> 
for S corporation</t>
    </r>
  </si>
  <si>
    <r>
      <rPr>
        <b/>
        <sz val="8"/>
        <rFont val="Arial"/>
        <family val="2"/>
      </rPr>
      <t>(c)</t>
    </r>
    <r>
      <rPr>
        <sz val="8"/>
        <rFont val="Arial"/>
        <family val="2"/>
      </rPr>
      <t xml:space="preserve">  Check if 
foreign 
partnership</t>
    </r>
  </si>
  <si>
    <r>
      <rPr>
        <b/>
        <sz val="8"/>
        <rFont val="Arial"/>
        <family val="2"/>
      </rPr>
      <t>(d)</t>
    </r>
    <r>
      <rPr>
        <sz val="8"/>
        <rFont val="Arial"/>
        <family val="2"/>
      </rPr>
      <t xml:space="preserve">  Employer 
identification 
number</t>
    </r>
  </si>
  <si>
    <r>
      <rPr>
        <b/>
        <sz val="8"/>
        <rFont val="Arial"/>
        <family val="2"/>
      </rPr>
      <t>(e)</t>
    </r>
    <r>
      <rPr>
        <sz val="8"/>
        <rFont val="Arial"/>
        <family val="2"/>
      </rPr>
      <t xml:space="preserve"> Check if 
basis computation 
is required</t>
    </r>
  </si>
  <si>
    <r>
      <rPr>
        <b/>
        <sz val="8"/>
        <rFont val="Arial"/>
        <family val="2"/>
      </rPr>
      <t>(f)</t>
    </r>
    <r>
      <rPr>
        <sz val="8"/>
        <rFont val="Arial"/>
        <family val="2"/>
      </rPr>
      <t xml:space="preserve">  Check if 
any amount is 
not at risk</t>
    </r>
  </si>
  <si>
    <r>
      <rPr>
        <b/>
        <sz val="10"/>
        <rFont val="Arial"/>
        <family val="2"/>
      </rPr>
      <t>(a)</t>
    </r>
    <r>
      <rPr>
        <sz val="10"/>
        <rFont val="Arial"/>
        <family val="2"/>
      </rPr>
      <t xml:space="preserve">  Name</t>
    </r>
  </si>
  <si>
    <t>Passive Income and Loss</t>
  </si>
  <si>
    <t>Nonpassive Income and Loss</t>
  </si>
  <si>
    <r>
      <rPr>
        <b/>
        <sz val="9"/>
        <rFont val="Arial"/>
        <family val="2"/>
      </rPr>
      <t>(g)</t>
    </r>
    <r>
      <rPr>
        <sz val="9"/>
        <rFont val="Arial"/>
        <family val="2"/>
      </rPr>
      <t xml:space="preserve">  Passive loss allowed
(attach </t>
    </r>
    <r>
      <rPr>
        <b/>
        <sz val="9"/>
        <rFont val="Arial"/>
        <family val="2"/>
      </rPr>
      <t>Form 8582</t>
    </r>
    <r>
      <rPr>
        <sz val="9"/>
        <rFont val="Arial"/>
        <family val="2"/>
      </rPr>
      <t xml:space="preserve"> if required)</t>
    </r>
  </si>
  <si>
    <r>
      <rPr>
        <b/>
        <sz val="9"/>
        <rFont val="Arial"/>
        <family val="2"/>
      </rPr>
      <t>(h)</t>
    </r>
    <r>
      <rPr>
        <sz val="9"/>
        <rFont val="Arial"/>
        <family val="2"/>
      </rPr>
      <t xml:space="preserve">  Passive income
from </t>
    </r>
    <r>
      <rPr>
        <b/>
        <sz val="9"/>
        <rFont val="Arial"/>
        <family val="2"/>
      </rPr>
      <t>Schedule K-1</t>
    </r>
  </si>
  <si>
    <r>
      <rPr>
        <b/>
        <sz val="9"/>
        <rFont val="Arial"/>
        <family val="2"/>
      </rPr>
      <t>(i)</t>
    </r>
    <r>
      <rPr>
        <sz val="9"/>
        <rFont val="Arial"/>
        <family val="2"/>
      </rPr>
      <t xml:space="preserve">  Nonpassive loss allowed
(see </t>
    </r>
    <r>
      <rPr>
        <b/>
        <sz val="9"/>
        <rFont val="Arial"/>
        <family val="2"/>
      </rPr>
      <t>Schedule K-1</t>
    </r>
    <r>
      <rPr>
        <sz val="9"/>
        <rFont val="Arial"/>
        <family val="2"/>
      </rPr>
      <t>)</t>
    </r>
  </si>
  <si>
    <r>
      <rPr>
        <b/>
        <sz val="9"/>
        <rFont val="Arial"/>
        <family val="2"/>
      </rPr>
      <t>(j)</t>
    </r>
    <r>
      <rPr>
        <sz val="9"/>
        <rFont val="Arial"/>
        <family val="2"/>
      </rPr>
      <t xml:space="preserve">  Section 179 expense
deduction from </t>
    </r>
    <r>
      <rPr>
        <b/>
        <sz val="9"/>
        <rFont val="Arial"/>
        <family val="2"/>
      </rPr>
      <t>Form 4562</t>
    </r>
  </si>
  <si>
    <r>
      <rPr>
        <b/>
        <sz val="9"/>
        <rFont val="Arial"/>
        <family val="2"/>
      </rPr>
      <t>(k)</t>
    </r>
    <r>
      <rPr>
        <sz val="9"/>
        <rFont val="Arial"/>
        <family val="2"/>
      </rPr>
      <t xml:space="preserve">  Nonpassive income
from </t>
    </r>
    <r>
      <rPr>
        <b/>
        <sz val="9"/>
        <rFont val="Arial"/>
        <family val="2"/>
      </rPr>
      <t>Schedule K-1</t>
    </r>
  </si>
  <si>
    <t>29a</t>
  </si>
  <si>
    <t>Totals</t>
  </si>
  <si>
    <t>Add columns (h) and (k) of line 29a</t>
  </si>
  <si>
    <t>Add columns (g), (i), and (j) of line 29b</t>
  </si>
  <si>
    <r>
      <rPr>
        <b/>
        <sz val="11"/>
        <rFont val="Arial"/>
        <family val="2"/>
      </rPr>
      <t>Total partnership and S corporation income or (loss).</t>
    </r>
    <r>
      <rPr>
        <sz val="11"/>
        <rFont val="Arial"/>
        <family val="2"/>
      </rPr>
      <t xml:space="preserve"> Combine lines 30 and 31</t>
    </r>
  </si>
  <si>
    <t>Income or Loss From Estates and Trusts</t>
  </si>
  <si>
    <r>
      <rPr>
        <b/>
        <sz val="9"/>
        <rFont val="Arial"/>
        <family val="2"/>
      </rPr>
      <t>(b)</t>
    </r>
    <r>
      <rPr>
        <sz val="9"/>
        <rFont val="Arial"/>
        <family val="2"/>
      </rPr>
      <t xml:space="preserve">  Employer 
identification number</t>
    </r>
  </si>
  <si>
    <r>
      <rPr>
        <b/>
        <sz val="10"/>
        <rFont val="Arial"/>
        <family val="2"/>
      </rPr>
      <t>(c)</t>
    </r>
    <r>
      <rPr>
        <sz val="10"/>
        <rFont val="Arial"/>
        <family val="2"/>
      </rPr>
      <t xml:space="preserve"> Passive deduction or loss allowed
(attach </t>
    </r>
    <r>
      <rPr>
        <b/>
        <sz val="10"/>
        <rFont val="Arial"/>
        <family val="2"/>
      </rPr>
      <t>Form 8582</t>
    </r>
    <r>
      <rPr>
        <sz val="10"/>
        <rFont val="Arial"/>
        <family val="2"/>
      </rPr>
      <t xml:space="preserve"> if required)</t>
    </r>
  </si>
  <si>
    <r>
      <rPr>
        <b/>
        <sz val="10"/>
        <rFont val="Arial"/>
        <family val="2"/>
      </rPr>
      <t>(d)</t>
    </r>
    <r>
      <rPr>
        <sz val="10"/>
        <rFont val="Arial"/>
        <family val="2"/>
      </rPr>
      <t xml:space="preserve"> Passive income
from </t>
    </r>
    <r>
      <rPr>
        <b/>
        <sz val="10"/>
        <rFont val="Arial"/>
        <family val="2"/>
      </rPr>
      <t>Schedule K-1</t>
    </r>
  </si>
  <si>
    <r>
      <rPr>
        <b/>
        <sz val="10"/>
        <rFont val="Arial"/>
        <family val="2"/>
      </rPr>
      <t>(e)</t>
    </r>
    <r>
      <rPr>
        <sz val="10"/>
        <rFont val="Arial"/>
        <family val="2"/>
      </rPr>
      <t xml:space="preserve"> Deduction or loss
from </t>
    </r>
    <r>
      <rPr>
        <b/>
        <sz val="10"/>
        <rFont val="Arial"/>
        <family val="2"/>
      </rPr>
      <t>Schedule K-1</t>
    </r>
  </si>
  <si>
    <r>
      <rPr>
        <b/>
        <sz val="10"/>
        <rFont val="Arial"/>
        <family val="2"/>
      </rPr>
      <t>(f)</t>
    </r>
    <r>
      <rPr>
        <sz val="10"/>
        <rFont val="Arial"/>
        <family val="2"/>
      </rPr>
      <t xml:space="preserve"> Other income from
</t>
    </r>
    <r>
      <rPr>
        <b/>
        <sz val="10"/>
        <rFont val="Arial"/>
        <family val="2"/>
      </rPr>
      <t>Schedule K-1</t>
    </r>
  </si>
  <si>
    <t>34a</t>
  </si>
  <si>
    <t>Add columns (d) and (f) of line 34a</t>
  </si>
  <si>
    <t>Add columns (c) and (e) of line 34b</t>
  </si>
  <si>
    <r>
      <rPr>
        <b/>
        <sz val="11"/>
        <rFont val="Arial"/>
        <family val="2"/>
      </rPr>
      <t>Total estate and trust income or (loss).</t>
    </r>
    <r>
      <rPr>
        <sz val="11"/>
        <rFont val="Arial"/>
        <family val="2"/>
      </rPr>
      <t xml:space="preserve"> Combine lines 35 and 36</t>
    </r>
  </si>
  <si>
    <t>Income or Loss From Real Estate Mortgage Investment Conduits (REMICs)—Residual Holder</t>
  </si>
  <si>
    <r>
      <rPr>
        <b/>
        <sz val="9"/>
        <rFont val="Arial"/>
        <family val="2"/>
      </rPr>
      <t>(a)</t>
    </r>
    <r>
      <rPr>
        <sz val="9"/>
        <rFont val="Arial"/>
        <family val="2"/>
      </rPr>
      <t xml:space="preserve">  Name</t>
    </r>
  </si>
  <si>
    <r>
      <rPr>
        <b/>
        <sz val="9"/>
        <rFont val="Arial"/>
        <family val="2"/>
      </rPr>
      <t>(b)</t>
    </r>
    <r>
      <rPr>
        <sz val="9"/>
        <rFont val="Arial"/>
        <family val="2"/>
      </rPr>
      <t xml:space="preserve"> Employer identification
number</t>
    </r>
  </si>
  <si>
    <r>
      <rPr>
        <b/>
        <sz val="8"/>
        <rFont val="Arial"/>
        <family val="2"/>
      </rPr>
      <t>(c)</t>
    </r>
    <r>
      <rPr>
        <sz val="8"/>
        <rFont val="Arial"/>
        <family val="2"/>
      </rPr>
      <t xml:space="preserve"> Excess inclusion from </t>
    </r>
    <r>
      <rPr>
        <b/>
        <sz val="8"/>
        <rFont val="Arial"/>
        <family val="2"/>
      </rPr>
      <t>Schedules Q</t>
    </r>
    <r>
      <rPr>
        <sz val="8"/>
        <rFont val="Arial"/>
        <family val="2"/>
      </rPr>
      <t>, line 2c 
(see instructions)</t>
    </r>
  </si>
  <si>
    <r>
      <rPr>
        <b/>
        <sz val="9"/>
        <rFont val="Arial"/>
        <family val="2"/>
      </rPr>
      <t>(d)</t>
    </r>
    <r>
      <rPr>
        <sz val="9"/>
        <rFont val="Arial"/>
        <family val="2"/>
      </rPr>
      <t xml:space="preserve">  Taxable income (net loss)
from </t>
    </r>
    <r>
      <rPr>
        <b/>
        <sz val="9"/>
        <rFont val="Arial"/>
        <family val="2"/>
      </rPr>
      <t>Schedules Q</t>
    </r>
    <r>
      <rPr>
        <sz val="9"/>
        <rFont val="Arial"/>
        <family val="2"/>
      </rPr>
      <t>, line 1b</t>
    </r>
  </si>
  <si>
    <r>
      <t xml:space="preserve">(e)  Income from
</t>
    </r>
    <r>
      <rPr>
        <b/>
        <sz val="9"/>
        <rFont val="Arial"/>
        <family val="2"/>
      </rPr>
      <t>Schedules Q</t>
    </r>
    <r>
      <rPr>
        <sz val="9"/>
        <rFont val="Arial"/>
        <family val="2"/>
      </rPr>
      <t>, line 3b</t>
    </r>
  </si>
  <si>
    <t>Combine columns (d) and (e) only. Enter the result here and include in the total on line 41 below</t>
  </si>
  <si>
    <t>Summary</t>
  </si>
  <si>
    <r>
      <t xml:space="preserve">Net farm rental income or (loss) from </t>
    </r>
    <r>
      <rPr>
        <b/>
        <sz val="11"/>
        <rFont val="Arial"/>
        <family val="2"/>
      </rPr>
      <t>Form 4835</t>
    </r>
    <r>
      <rPr>
        <sz val="11"/>
        <rFont val="Arial"/>
        <family val="2"/>
      </rPr>
      <t>. Also, complete line 42 below</t>
    </r>
  </si>
  <si>
    <r>
      <rPr>
        <b/>
        <sz val="11"/>
        <rFont val="Arial"/>
        <family val="2"/>
      </rPr>
      <t>Total income or (loss).</t>
    </r>
    <r>
      <rPr>
        <sz val="11"/>
        <rFont val="Arial"/>
        <family val="2"/>
      </rPr>
      <t xml:space="preserve"> Combine lines 26, 32, 37, 39, and 40. Enter the result here and on Schedule</t>
    </r>
  </si>
  <si>
    <t>1 (Form 1040), line 5</t>
  </si>
  <si>
    <r>
      <rPr>
        <b/>
        <sz val="12"/>
        <rFont val="Arial"/>
        <family val="2"/>
      </rPr>
      <t>Reconciliation of farming and fishing income.</t>
    </r>
    <r>
      <rPr>
        <sz val="11"/>
        <rFont val="Arial"/>
        <family val="2"/>
      </rPr>
      <t xml:space="preserve">  Enter your </t>
    </r>
    <r>
      <rPr>
        <b/>
        <sz val="11"/>
        <rFont val="Arial"/>
        <family val="2"/>
      </rPr>
      <t>gross</t>
    </r>
  </si>
  <si>
    <t>farming and fishing income reported on Form 4835, line 7; Schedule K-1</t>
  </si>
  <si>
    <t>Form 1065), box 14, code B; Schedule K-1 (Form 1120S), box 17, code</t>
  </si>
  <si>
    <t xml:space="preserve"> . </t>
  </si>
  <si>
    <r>
      <rPr>
        <b/>
        <sz val="11"/>
        <rFont val="Arial"/>
        <family val="2"/>
      </rPr>
      <t>Reconciliation for real estate professionals.</t>
    </r>
    <r>
      <rPr>
        <sz val="11"/>
        <rFont val="Arial"/>
        <family val="2"/>
      </rPr>
      <t xml:space="preserve"> If you were a real estate</t>
    </r>
  </si>
  <si>
    <t>professional (see instructions),  enter the net income or (loss) you</t>
  </si>
  <si>
    <t>reported  anywhere on Form 1040, Form 1040-SR, or Form 1040-NR</t>
  </si>
  <si>
    <t>from all rental real estate activities in which you materially participated</t>
  </si>
  <si>
    <t>under the passive activity loss rules</t>
  </si>
  <si>
    <t>Type of Property (from list below</t>
  </si>
  <si>
    <t>Fair Rental Days</t>
  </si>
  <si>
    <t>Personal Use Days</t>
  </si>
  <si>
    <t>Other (describe)</t>
  </si>
  <si>
    <r>
      <rPr>
        <b/>
        <sz val="12"/>
        <rFont val="Arial"/>
        <family val="2"/>
      </rPr>
      <t>Caution:</t>
    </r>
    <r>
      <rPr>
        <sz val="12"/>
        <rFont val="Arial"/>
        <family val="2"/>
      </rPr>
      <t xml:space="preserve"> </t>
    </r>
    <r>
      <rPr>
        <sz val="11"/>
        <rFont val="Arial"/>
        <family val="2"/>
      </rPr>
      <t>The IRS compares amounts reported on your tax return with amounts shown on Schedule(s) K-1.</t>
    </r>
  </si>
  <si>
    <t>Total income or (loss). Combine lines 26, 32, 37, 39, and 40. Enter the result here and on Schedule</t>
  </si>
  <si>
    <t>1 (Form 1040), line 5.</t>
  </si>
  <si>
    <r>
      <rPr>
        <b/>
        <sz val="14"/>
        <rFont val="Arial"/>
        <family val="2"/>
      </rPr>
      <t>SCHEDULE F</t>
    </r>
    <r>
      <rPr>
        <b/>
        <sz val="11"/>
        <rFont val="Arial"/>
        <family val="2"/>
      </rPr>
      <t xml:space="preserve">
(Form 1040)</t>
    </r>
  </si>
  <si>
    <t>Use which SSN?</t>
  </si>
  <si>
    <t>Profit or Loss from Farming</t>
  </si>
  <si>
    <t>Attach to Form 1040, Form 1040-SR, Form 1040NR, Form 1041, or Form 1065.</t>
  </si>
  <si>
    <r>
      <t xml:space="preserve">Attachment
Sequence No. </t>
    </r>
    <r>
      <rPr>
        <b/>
        <sz val="12"/>
        <rFont val="Arial"/>
        <family val="2"/>
      </rPr>
      <t>14</t>
    </r>
  </si>
  <si>
    <t>Go to www.irs.gov/ScheduleF for instructions and the latest information.</t>
  </si>
  <si>
    <t>Your's</t>
  </si>
  <si>
    <t>Name of proprietor</t>
  </si>
  <si>
    <t xml:space="preserve"> Social security number (SSN)</t>
  </si>
  <si>
    <t>Your spouse's</t>
  </si>
  <si>
    <t>Principal crop or activity</t>
  </si>
  <si>
    <r>
      <rPr>
        <b/>
        <sz val="10"/>
        <rFont val="Arial"/>
        <family val="2"/>
      </rPr>
      <t>B</t>
    </r>
    <r>
      <rPr>
        <b/>
        <sz val="9"/>
        <rFont val="Arial"/>
        <family val="2"/>
      </rPr>
      <t xml:space="preserve">  Enter code from Part IV</t>
    </r>
  </si>
  <si>
    <r>
      <t xml:space="preserve">D  Employer ID number (EIN), </t>
    </r>
    <r>
      <rPr>
        <sz val="8"/>
        <rFont val="Arial"/>
        <family val="2"/>
      </rPr>
      <t>(see instr)</t>
    </r>
  </si>
  <si>
    <t xml:space="preserve"> .   .   .   .   .   .   .   .   .   .   .   .   .   .   .   .   .   .   .   .   .   .   .   </t>
  </si>
  <si>
    <t>Farm Income—Cash Method.</t>
  </si>
  <si>
    <t>Complete Parts I and II (Accrual method. Complete Parts II and III, and Part I, line 9.)</t>
  </si>
  <si>
    <t>Sales of livestock and other resale items (see instructions)</t>
  </si>
  <si>
    <t xml:space="preserve">.   .   .   .   .   .   .   .   .   .   .   .   .   .   .   </t>
  </si>
  <si>
    <t>Cost or other basis of livestock or other items reported on line 1a</t>
  </si>
  <si>
    <t>Subtract line 1b from line 1a</t>
  </si>
  <si>
    <t xml:space="preserve">.   .   .   .   .   .   .   .   .   .   .   .   .   .   .   .   .   .   .   .   .   .   .   .   .   .   .   .   .   .   .   .   .   .   .   .   .   </t>
  </si>
  <si>
    <t>Sales of livestock, produce, grains, and other products you raised</t>
  </si>
  <si>
    <t xml:space="preserve">.   .   .   .   .   .   .   .   .   .   .   .   .   .   .   .   .   .   .   .   .   .   .   </t>
  </si>
  <si>
    <t>3a</t>
  </si>
  <si>
    <t>Cooperative distributions (Form(s) 1099-PATR)</t>
  </si>
  <si>
    <t>3b</t>
  </si>
  <si>
    <t>Agricultural program payments (see instructions)</t>
  </si>
  <si>
    <t>4b</t>
  </si>
  <si>
    <t>Commodity Credit Corporation (CCC) loans reported under election</t>
  </si>
  <si>
    <t xml:space="preserve">.   .   .   .   .   .   .   .   .   .   .   .   .   .   .   .   .   .   .   .   .   </t>
  </si>
  <si>
    <t>CCC loans forfeited</t>
  </si>
  <si>
    <t>Crop insurance proceeds and federal crop disaster payments (see instructions)</t>
  </si>
  <si>
    <t xml:space="preserve">.   .   .   .   .   .   .   .   .   .   .   .   .   .   </t>
  </si>
  <si>
    <t>Custom hire (machine work) income</t>
  </si>
  <si>
    <t xml:space="preserve">.   .   .   .   .   .   .   .   .   .   .   .   .   .   .   .   .   .   .   .   .   .   .   .   .   .   .   .   .   .   .   .   .   .   .   .   </t>
  </si>
  <si>
    <t>Other income, including federal and state gasoline or fuel tax credit or refund (see instructions)</t>
  </si>
  <si>
    <t>accrual method, enter the amount from Part III, line 50.  See instructions</t>
  </si>
  <si>
    <t>Farm Expenses—Cash and Accrual Method.</t>
  </si>
  <si>
    <t>Do not include personal or living expenses. See instructions.</t>
  </si>
  <si>
    <t>Car   and   truck  expenses   (see</t>
  </si>
  <si>
    <t>Chemicals</t>
  </si>
  <si>
    <t>Vehicles, machinery, equipment</t>
  </si>
  <si>
    <t>Conservation expenses (see instructions)</t>
  </si>
  <si>
    <t>Other (land, animals, etc.)</t>
  </si>
  <si>
    <t>Custom hire (machine work)</t>
  </si>
  <si>
    <t xml:space="preserve"> .   .   .   .   .   . </t>
  </si>
  <si>
    <t>Depreciation and section 179</t>
  </si>
  <si>
    <t>Seeds and plants</t>
  </si>
  <si>
    <t>expense (see instructions)</t>
  </si>
  <si>
    <t xml:space="preserve">   .   .   .   .   .   .   .   .</t>
  </si>
  <si>
    <t>Storage and warehousing</t>
  </si>
  <si>
    <t>Employee benefit programs other than</t>
  </si>
  <si>
    <t>on line 23</t>
  </si>
  <si>
    <t xml:space="preserve"> .   .   .   .   .   .   .   .   .   .   .   .   .   . </t>
  </si>
  <si>
    <t>Feed</t>
  </si>
  <si>
    <t xml:space="preserve">   .   .   .   .   .   .   .   .   .   .   .   .   .   .   .   .   .   . </t>
  </si>
  <si>
    <t>Fertilizers and lime</t>
  </si>
  <si>
    <t xml:space="preserve"> .   .   .   .   .   .   .   .   .   .   . </t>
  </si>
  <si>
    <t>Veterinary, breeding, and medicine</t>
  </si>
  <si>
    <t>Freight and trucking</t>
  </si>
  <si>
    <t>Other expenses (specify):</t>
  </si>
  <si>
    <t>Gasoline, fuel, and oil</t>
  </si>
  <si>
    <t>.   .   .   .   .   .   .</t>
  </si>
  <si>
    <t>32c</t>
  </si>
  <si>
    <t>21a</t>
  </si>
  <si>
    <t>32d</t>
  </si>
  <si>
    <t>21b</t>
  </si>
  <si>
    <t>32e</t>
  </si>
  <si>
    <t>Labor hired (less employment credits)</t>
  </si>
  <si>
    <t>32f</t>
  </si>
  <si>
    <t xml:space="preserve">.   .   .   .   .   .   .   .   .   .   .   .   .   </t>
  </si>
  <si>
    <t>Reserved for future use.</t>
  </si>
  <si>
    <t>Check the box that describes your investment in this activity and see instructions for where to report your loss.</t>
  </si>
  <si>
    <t>All investment is at risk.</t>
  </si>
  <si>
    <t>Some investment is not at risk.</t>
  </si>
  <si>
    <t>Cat. No. 11346H</t>
  </si>
  <si>
    <t>Sales of livestock, produce, grains, and other products (see instructions)</t>
  </si>
  <si>
    <t>38a</t>
  </si>
  <si>
    <t xml:space="preserve">.   .   .   .   .   </t>
  </si>
  <si>
    <t>38b</t>
  </si>
  <si>
    <t>39a</t>
  </si>
  <si>
    <t>Agricultural program payments</t>
  </si>
  <si>
    <t>39b</t>
  </si>
  <si>
    <t>Commodity Credit Corporation (CCC) loans:</t>
  </si>
  <si>
    <t>CCC loans reported under election</t>
  </si>
  <si>
    <t>40a</t>
  </si>
  <si>
    <t>40b</t>
  </si>
  <si>
    <t>40c</t>
  </si>
  <si>
    <t>Crop insurance proceeds</t>
  </si>
  <si>
    <t xml:space="preserve">.   .   .   .   .   .   .   .   .   .   .   .   .   .   .   .   .   .   .   .   .   .   .   .   .   .   .   .   .   .   .   .   .   .   .   .   .   .   .   .   .   .   </t>
  </si>
  <si>
    <t>Other income (see instructions)</t>
  </si>
  <si>
    <t xml:space="preserve">.   .   .   .   .   .   .   .   .   .   .   .   .   .   .   .   .   .   .   .   .   .   .   .   .   .   .   .   .   .   .   .   .   .   .   .   .   .   .   </t>
  </si>
  <si>
    <t>Add amounts in the right column for lines 37 through 43 (lines 37, 38b, 39b, 40a, 40c, 41, 42, and 43)</t>
  </si>
  <si>
    <t>Cost of livestock, produce, grains, and other products purchased during the</t>
  </si>
  <si>
    <t>year</t>
  </si>
  <si>
    <t xml:space="preserve">.   .   .   .   .   .   .   .   .   .   .   .   .   .   .   .   .   .   .   .   .   .   .   .   .   .   .   .   .   .   .   .   .   .   .   .   .   .   .   .   .   .  </t>
  </si>
  <si>
    <t>Add lines 45 and 46</t>
  </si>
  <si>
    <t>Inventory of livestock, produce, grains, and other products at end of year</t>
  </si>
  <si>
    <t>Cost of livestock, produce, grains, and other products sold. Subtract line 48 from line 47*</t>
  </si>
  <si>
    <t>*If you use the unit-livestock-price method or the farm-price method of valuing inventory and the amount on line 48 is larger than the amount on line</t>
  </si>
  <si>
    <t>47, subtract line 47 from line 48. Enter the result on line 49. Add lines 44 and 49. Enter the total on line 50 and on Part I, line 9.</t>
  </si>
  <si>
    <t xml:space="preserve">  Principal Agricultural Activity Codes</t>
  </si>
  <si>
    <t>Fruit and tree nut farming</t>
  </si>
  <si>
    <t>Greenhouse, nursery, and floriculture production</t>
  </si>
  <si>
    <t>• Income from providing agricultural services such as</t>
  </si>
  <si>
    <t>Other crop farming</t>
  </si>
  <si>
    <t>Animal Production</t>
  </si>
  <si>
    <t>Beef cattle ranching and farming</t>
  </si>
  <si>
    <t>Cattle feedlots</t>
  </si>
  <si>
    <t>• Income from breeding, raising, or caring for dogs, cats, or</t>
  </si>
  <si>
    <t>Dairy cattle and milk production</t>
  </si>
  <si>
    <t>Hog and pig farming</t>
  </si>
  <si>
    <t>• Sales of livestock held for draft, breeding, sport, or dairy</t>
  </si>
  <si>
    <t>Poultry and egg production</t>
  </si>
  <si>
    <t>Sheep and goat farming</t>
  </si>
  <si>
    <t>These codes for the Principal Agricultural Activity classify</t>
  </si>
  <si>
    <t>Aquaculture</t>
  </si>
  <si>
    <t>farms by their primary activity to facilitate the administration of</t>
  </si>
  <si>
    <t>Other animal production</t>
  </si>
  <si>
    <t>the Internal Revenue Code. These six-digit codes are based on</t>
  </si>
  <si>
    <t>Forestry and Logging</t>
  </si>
  <si>
    <t>the North American Industry Classification System (NAICS).</t>
  </si>
  <si>
    <t>Forestry and logging (including forest nurseries and</t>
  </si>
  <si>
    <t>Select the code that best identifies your primary farming</t>
  </si>
  <si>
    <t>timber tracts)</t>
  </si>
  <si>
    <t>activity and enter the six-digit number on line B.</t>
  </si>
  <si>
    <t>Timber tract operations</t>
  </si>
  <si>
    <t>Crop Production</t>
  </si>
  <si>
    <t>Forest nurseries and gathering of forest products</t>
  </si>
  <si>
    <t>Oilseed and grain farming</t>
  </si>
  <si>
    <t>Logging</t>
  </si>
  <si>
    <t>Vegetable and melon farming</t>
  </si>
  <si>
    <t>Download Form 1040 Schedule F</t>
  </si>
  <si>
    <t>Download Form 1040 Schedule F Instructions</t>
  </si>
  <si>
    <t xml:space="preserve">Under age 65? </t>
  </si>
  <si>
    <t>Only one.</t>
  </si>
  <si>
    <t>Schedule R
(Form 1040)</t>
  </si>
  <si>
    <t>Credit for the Elderly or the Disabled</t>
  </si>
  <si>
    <r>
      <t xml:space="preserve">Attachment
Sequence No. </t>
    </r>
    <r>
      <rPr>
        <b/>
        <sz val="12"/>
        <rFont val="Arial"/>
        <family val="2"/>
      </rPr>
      <t>16</t>
    </r>
  </si>
  <si>
    <t>Department of the Treasury
Internal Revenue Service</t>
  </si>
  <si>
    <t>Go to www.irs.gov/ScheduleR for instructions and latest information.</t>
  </si>
  <si>
    <t>Name(s) shown on Form 1040</t>
  </si>
  <si>
    <t xml:space="preserve">• </t>
  </si>
  <si>
    <t>You were age 65 or older</t>
  </si>
  <si>
    <r>
      <t xml:space="preserve">You were under age 65, you retired on </t>
    </r>
    <r>
      <rPr>
        <b/>
        <sz val="9"/>
        <rFont val="Arial"/>
        <family val="2"/>
      </rPr>
      <t xml:space="preserve">permanent and total </t>
    </r>
    <r>
      <rPr>
        <sz val="9"/>
        <rFont val="Arial"/>
        <family val="2"/>
      </rPr>
      <t>disability, and</t>
    </r>
  </si>
  <si>
    <t>you received taxable disability income.</t>
  </si>
  <si>
    <t>But you must also meet other tests. See instructions.</t>
  </si>
  <si>
    <t>In most cases, the IRS can figure the credit for you. See instructions.</t>
  </si>
  <si>
    <t xml:space="preserve">   Check the Box for Your Filing Status and Age</t>
  </si>
  <si>
    <t>If your filing status is:</t>
  </si>
  <si>
    <t>Check only one box:</t>
  </si>
  <si>
    <t>Single,</t>
  </si>
  <si>
    <t>You were 65 or older</t>
  </si>
  <si>
    <t>Head of household, or</t>
  </si>
  <si>
    <t>To override,</t>
  </si>
  <si>
    <t>Qualifying surviving spouse</t>
  </si>
  <si>
    <t>You were under 65 and you retired on permanent and total disability</t>
  </si>
  <si>
    <t>enter number</t>
  </si>
  <si>
    <t>of box to be</t>
  </si>
  <si>
    <t>checked.</t>
  </si>
  <si>
    <t>Both spouses were 65 or older</t>
  </si>
  <si>
    <t>Both spouses were under 65, but only one spouse retired on permanent and</t>
  </si>
  <si>
    <t>total disability</t>
  </si>
  <si>
    <t>Both spouses were under 65, and both retired on permanent and total</t>
  </si>
  <si>
    <t>jointly</t>
  </si>
  <si>
    <t>disability</t>
  </si>
  <si>
    <t>One spouse was 65 or older, and the other spouse was under 65 and retired</t>
  </si>
  <si>
    <t>on permanent and total disability</t>
  </si>
  <si>
    <t>retired on permanent and total disability</t>
  </si>
  <si>
    <t>separately</t>
  </si>
  <si>
    <t>You were under 65, you retired on permanent and total disability, and you</t>
  </si>
  <si>
    <t>Did you check</t>
  </si>
  <si>
    <t>—————</t>
  </si>
  <si>
    <t>——————————</t>
  </si>
  <si>
    <t xml:space="preserve">  Skip Part II and complete Part III on the back.</t>
  </si>
  <si>
    <t>box 1, 3, 7 or 8?</t>
  </si>
  <si>
    <t xml:space="preserve">  Complete Parts II and III.</t>
  </si>
  <si>
    <t xml:space="preserve">   Statement of Permanent and Total Disability</t>
  </si>
  <si>
    <r>
      <t xml:space="preserve">(Complete </t>
    </r>
    <r>
      <rPr>
        <b/>
        <sz val="10"/>
        <rFont val="Arial"/>
        <family val="2"/>
      </rPr>
      <t>only</t>
    </r>
    <r>
      <rPr>
        <sz val="10"/>
        <rFont val="Arial"/>
        <family val="2"/>
      </rPr>
      <t xml:space="preserve"> if you checked box 2, 4, 5, 6, or 9 above.)</t>
    </r>
  </si>
  <si>
    <t>If:</t>
  </si>
  <si>
    <t>You filed a physician’s statement for this disability for 1983 or an earlier year, or you filed or got a</t>
  </si>
  <si>
    <r>
      <t xml:space="preserve">statement for tax years after 1983 and your physician signed line B on the statement, </t>
    </r>
    <r>
      <rPr>
        <b/>
        <sz val="11"/>
        <rFont val="Arial"/>
        <family val="2"/>
      </rPr>
      <t>and</t>
    </r>
  </si>
  <si>
    <t>Due to your continued disabled condition, you were unable to engage in any substantial gainful activity</t>
  </si>
  <si>
    <r>
      <t xml:space="preserve">If you </t>
    </r>
    <r>
      <rPr>
        <b/>
        <sz val="11"/>
        <rFont val="Arial"/>
        <family val="2"/>
      </rPr>
      <t>didn’t</t>
    </r>
    <r>
      <rPr>
        <sz val="11"/>
        <rFont val="Arial"/>
        <family val="2"/>
      </rPr>
      <t xml:space="preserve"> check this box, have your physician complete the statement in the instructions. You </t>
    </r>
    <r>
      <rPr>
        <b/>
        <sz val="11"/>
        <rFont val="Arial"/>
        <family val="2"/>
      </rPr>
      <t>must</t>
    </r>
  </si>
  <si>
    <t>keep the statement for your records.</t>
  </si>
  <si>
    <t xml:space="preserve">Cat. No. 11359K </t>
  </si>
  <si>
    <t xml:space="preserve">   Figure Your Credit</t>
  </si>
  <si>
    <t>If you checked (in Part I):</t>
  </si>
  <si>
    <t>Enter:</t>
  </si>
  <si>
    <t>Box 1, 2, 4, or 7</t>
  </si>
  <si>
    <t>Box 3, 5, or 6</t>
  </si>
  <si>
    <t>Box 8 or 9</t>
  </si>
  <si>
    <t xml:space="preserve"> Did you check</t>
  </si>
  <si>
    <r>
      <t xml:space="preserve">You </t>
    </r>
    <r>
      <rPr>
        <b/>
        <sz val="9"/>
        <rFont val="Arial"/>
        <family val="2"/>
      </rPr>
      <t>must</t>
    </r>
    <r>
      <rPr>
        <sz val="9"/>
        <rFont val="Arial"/>
        <family val="2"/>
      </rPr>
      <t xml:space="preserve"> complete line 11.</t>
    </r>
  </si>
  <si>
    <t xml:space="preserve"> box 2, 4, 5, 6,</t>
  </si>
  <si>
    <t xml:space="preserve"> or 9 in Part I?</t>
  </si>
  <si>
    <t>spouse who was under age 65. Enter the total.</t>
  </si>
  <si>
    <t>Box 2, 4, or 9, enter your taxable disability income.</t>
  </si>
  <si>
    <t>Box 5, add your taxable disability income to your spouse’s</t>
  </si>
  <si>
    <t>taxable disability income. Enter the total.</t>
  </si>
  <si>
    <t>amount from line 10</t>
  </si>
  <si>
    <t xml:space="preserve">.   .   .   .   .   .   .   .   .   .   .   .   .   .   .   .   .   .   .   .   .   .   .   .   .   .   .   .   .   .   .   .  </t>
  </si>
  <si>
    <t>Add lines 13a and 13b. (Even though these income items aren’t</t>
  </si>
  <si>
    <t>Enter the amount from Form 1040,</t>
  </si>
  <si>
    <t>Box 1 or 2</t>
  </si>
  <si>
    <t>Box 3, 4, 5, 6, or 7</t>
  </si>
  <si>
    <t>Enter one-half of line 16</t>
  </si>
  <si>
    <t>Add lines 13c and 17</t>
  </si>
  <si>
    <t>Subtract line 18 from line 12.</t>
  </si>
  <si>
    <t>Otherwise,</t>
  </si>
  <si>
    <t>go to line 20</t>
  </si>
  <si>
    <t xml:space="preserve">.   .   .   .   .   .   .   .   .   .   .   .   .   .   .   .   .   .   .   .   .   .   .   .   .   .   .   .   .   .   .   .   .   .   .   .   .   .   .  </t>
  </si>
  <si>
    <t>Tax liability limit. Enter the amount from the Credit Limit Worksheet in the instructions</t>
  </si>
  <si>
    <t>this amount on Schedule 3 (Form 1040), line 6d</t>
  </si>
  <si>
    <t>Credit Limit Worksheet—Line 21</t>
  </si>
  <si>
    <t>Keep for your records</t>
  </si>
  <si>
    <t>Download Form 1040 Schedule R</t>
  </si>
  <si>
    <t>Enter the amount from Form 1040, line 18</t>
  </si>
  <si>
    <t>Download Form 1040 Schedule R Instructions</t>
  </si>
  <si>
    <t>Enter the amount from Schedule 3 (Form 1040), lines 1, 2, and 6l</t>
  </si>
  <si>
    <t>.   .   .   .</t>
  </si>
  <si>
    <t>Subtract line 2 from line 1. Enter this amount on Schedule R (Form 1040),</t>
  </si>
  <si>
    <t xml:space="preserve">line 21. </t>
  </si>
  <si>
    <r>
      <t xml:space="preserve">But if zero or less, </t>
    </r>
    <r>
      <rPr>
        <b/>
        <sz val="9"/>
        <rFont val="Arial"/>
        <family val="2"/>
      </rPr>
      <t>STOP</t>
    </r>
    <r>
      <rPr>
        <sz val="9"/>
        <rFont val="Arial"/>
        <family val="2"/>
      </rPr>
      <t>, you can't take this credit</t>
    </r>
  </si>
  <si>
    <t>.   .   .   .   .</t>
  </si>
  <si>
    <t>NOTE:  This sheet includes 2 Schedule SE forms.</t>
  </si>
  <si>
    <t>SCHEDULE SE</t>
  </si>
  <si>
    <t>Schedule SE #1</t>
  </si>
  <si>
    <t>Self-Employment Tax</t>
  </si>
  <si>
    <t>This Schedule SE is being completed for:</t>
  </si>
  <si>
    <r>
      <t xml:space="preserve">Attachment
Sequence No. </t>
    </r>
    <r>
      <rPr>
        <b/>
        <sz val="12"/>
        <rFont val="Arial"/>
        <family val="2"/>
      </rPr>
      <t>17</t>
    </r>
  </si>
  <si>
    <t xml:space="preserve">  Yourself</t>
  </si>
  <si>
    <r>
      <t xml:space="preserve">Manual
Overide </t>
    </r>
    <r>
      <rPr>
        <b/>
        <sz val="10"/>
        <rFont val="Wingdings"/>
        <charset val="2"/>
      </rPr>
      <t>ê</t>
    </r>
  </si>
  <si>
    <t>Note: Information from these check boxes are used in:  
Sch. SE, Section B, Line 8a, and  
Form 2441, Lines 4 and 5.</t>
  </si>
  <si>
    <r>
      <rPr>
        <b/>
        <sz val="10"/>
        <rFont val="Arial"/>
        <family val="2"/>
      </rPr>
      <t>Note:</t>
    </r>
    <r>
      <rPr>
        <sz val="10"/>
        <rFont val="Arial"/>
        <family val="2"/>
      </rPr>
      <t xml:space="preserve"> If your only income subject to self-employment tax is </t>
    </r>
    <r>
      <rPr>
        <b/>
        <sz val="10"/>
        <rFont val="Arial"/>
        <family val="2"/>
      </rPr>
      <t>church employee income</t>
    </r>
    <r>
      <rPr>
        <sz val="10"/>
        <rFont val="Arial"/>
        <family val="2"/>
      </rPr>
      <t>, see instructions for how to report your income</t>
    </r>
  </si>
  <si>
    <t>and the definition of church employee income.</t>
  </si>
  <si>
    <r>
      <t xml:space="preserve">If you are a minister, member of a religious order, or Christian Science practitioner </t>
    </r>
    <r>
      <rPr>
        <b/>
        <sz val="10"/>
        <rFont val="Arial"/>
        <family val="2"/>
      </rPr>
      <t>and</t>
    </r>
    <r>
      <rPr>
        <sz val="10"/>
        <rFont val="Arial"/>
        <family val="2"/>
      </rPr>
      <t xml:space="preserve"> you filed Form 4361, but you had</t>
    </r>
  </si>
  <si>
    <r>
      <rPr>
        <b/>
        <sz val="10"/>
        <rFont val="Arial"/>
        <family val="2"/>
      </rPr>
      <t>other</t>
    </r>
    <r>
      <rPr>
        <sz val="10"/>
        <rFont val="Arial"/>
        <family val="2"/>
      </rPr>
      <t xml:space="preserve"> net earnings</t>
    </r>
  </si>
  <si>
    <t>from self-employment, check here and continue with Part I</t>
  </si>
  <si>
    <t>Skip lines 1a and 1b if you use the farm optional method in Part II. See instructions.</t>
  </si>
  <si>
    <t>Net farm profit or (loss) from Schedule F, line 34, and farm partnerships, Schedule K-1 (Form 1065),</t>
  </si>
  <si>
    <r>
      <t xml:space="preserve">For </t>
    </r>
    <r>
      <rPr>
        <b/>
        <sz val="10"/>
        <rFont val="Arial"/>
        <family val="2"/>
      </rPr>
      <t>line 1a</t>
    </r>
    <r>
      <rPr>
        <sz val="10"/>
        <rFont val="Arial"/>
        <family val="2"/>
      </rPr>
      <t>, enter amount from Sch. K-1 (Form 1065),</t>
    </r>
  </si>
  <si>
    <t>box 14, code A</t>
  </si>
  <si>
    <t xml:space="preserve">.   .   .   .   .   .   .   .   .   .   .   .   .   .   .   .   .   .   .   .   .   .   .   .   .   .   .   .   .   .   .   .   . </t>
  </si>
  <si>
    <t>box 14, code A (for farm partnerships)</t>
  </si>
  <si>
    <t>If you received social security retirement or disability benefits, enter the amount of Conservation Reserve</t>
  </si>
  <si>
    <r>
      <t xml:space="preserve">For </t>
    </r>
    <r>
      <rPr>
        <b/>
        <sz val="10"/>
        <rFont val="Arial"/>
        <family val="2"/>
      </rPr>
      <t>line 1b</t>
    </r>
    <r>
      <rPr>
        <sz val="10"/>
        <rFont val="Arial"/>
        <family val="2"/>
      </rPr>
      <t>, enter amount of Conservation Reserve Program payments</t>
    </r>
  </si>
  <si>
    <t>from Sch. F, line 4b, or Sch. K-1, box 20, code AH</t>
  </si>
  <si>
    <t>Skip line 2 if you use the nonfarm optional method in Part II. See instructions.</t>
  </si>
  <si>
    <t>Net profit or (loss) from Schedule C, line 31; and Schedule K-1 (Form 1065), box 14, code A (other than</t>
  </si>
  <si>
    <r>
      <t xml:space="preserve">For </t>
    </r>
    <r>
      <rPr>
        <b/>
        <sz val="10"/>
        <rFont val="Arial"/>
        <family val="2"/>
      </rPr>
      <t>line 2</t>
    </r>
    <r>
      <rPr>
        <sz val="10"/>
        <rFont val="Arial"/>
        <family val="2"/>
      </rPr>
      <t>, enter amount from Sch. K-1 (Form 1065),</t>
    </r>
  </si>
  <si>
    <t>farming). See instructions for other income to report or if you are a minister or member of a religious order</t>
  </si>
  <si>
    <t>box 14, code A (other than farming)</t>
  </si>
  <si>
    <t xml:space="preserve">Combine lines 1a, 1b, and 2. </t>
  </si>
  <si>
    <t>Otherwise, enter the amount from line 3</t>
  </si>
  <si>
    <t>If you elect one or both of the optional methods, enter the total of lines 15 and 17 here</t>
  </si>
  <si>
    <t>No CEI and 4c&lt;$400</t>
  </si>
  <si>
    <r>
      <rPr>
        <b/>
        <sz val="10"/>
        <rFont val="Arial"/>
        <family val="2"/>
      </rPr>
      <t>stop</t>
    </r>
    <r>
      <rPr>
        <sz val="10"/>
        <rFont val="Arial"/>
        <family val="2"/>
      </rPr>
      <t xml:space="preserve">; you don’t owe self-employment tax. </t>
    </r>
    <r>
      <rPr>
        <b/>
        <sz val="10"/>
        <rFont val="Arial"/>
        <family val="2"/>
      </rPr>
      <t>Exception:</t>
    </r>
    <r>
      <rPr>
        <sz val="10"/>
        <rFont val="Arial"/>
        <family val="2"/>
      </rPr>
      <t xml:space="preserve"> If</t>
    </r>
  </si>
  <si>
    <t>CEI and 4c&lt;$400</t>
  </si>
  <si>
    <r>
      <t>you had c</t>
    </r>
    <r>
      <rPr>
        <b/>
        <sz val="10"/>
        <rFont val="Arial"/>
        <family val="2"/>
      </rPr>
      <t>hurch employee income</t>
    </r>
    <r>
      <rPr>
        <sz val="10"/>
        <rFont val="Arial"/>
        <family val="2"/>
      </rPr>
      <t>, enter -0- and continue</t>
    </r>
  </si>
  <si>
    <t>4c</t>
  </si>
  <si>
    <r>
      <t>Enter your</t>
    </r>
    <r>
      <rPr>
        <b/>
        <sz val="10"/>
        <rFont val="Arial"/>
        <family val="2"/>
      </rPr>
      <t xml:space="preserve">  church employee income</t>
    </r>
    <r>
      <rPr>
        <sz val="10"/>
        <rFont val="Arial"/>
        <family val="2"/>
      </rPr>
      <t xml:space="preserve">  from Form W-2.</t>
    </r>
  </si>
  <si>
    <t>See instructions for</t>
  </si>
  <si>
    <t>definition of church employee income</t>
  </si>
  <si>
    <t>Add lines 4c and 5b</t>
  </si>
  <si>
    <t>Maximum amount of combined wages and self-employment earnings subject to social security tax or</t>
  </si>
  <si>
    <t>Line</t>
  </si>
  <si>
    <t>Source</t>
  </si>
  <si>
    <t>Sch. F Line 34</t>
  </si>
  <si>
    <t>Total social security wages and tips (total of boxes 3 and 7 on Form(s) W-2)</t>
  </si>
  <si>
    <t>Railroad retirement 
(tier 1) compensation</t>
  </si>
  <si>
    <t>Sch. C1 &amp; C2 Line 31</t>
  </si>
  <si>
    <t>8a.</t>
  </si>
  <si>
    <t>W-2 SS W&amp;T</t>
  </si>
  <si>
    <t>lines 8b through 10, and go to line 11</t>
  </si>
  <si>
    <t>Sch C1 &amp; C2 St Emp</t>
  </si>
  <si>
    <t>Unreported tips subject to social security tax from Form 4137, line 10</t>
  </si>
  <si>
    <t>Wages subject to social security tax from Form 8919, line 10</t>
  </si>
  <si>
    <t>Add lines 8a, 8b, and 8c</t>
  </si>
  <si>
    <t>Subtract line 8d from line 7. If zero or less, enter -0- here and on line 10 and go to line 11</t>
  </si>
  <si>
    <t>Input to Form 2441</t>
  </si>
  <si>
    <r>
      <t xml:space="preserve">Multiply the  </t>
    </r>
    <r>
      <rPr>
        <b/>
        <sz val="10"/>
        <rFont val="Arial"/>
        <family val="2"/>
      </rPr>
      <t>smaller</t>
    </r>
    <r>
      <rPr>
        <sz val="10"/>
        <rFont val="Arial"/>
        <family val="2"/>
      </rPr>
      <t xml:space="preserve">  of  line 6  or  line 9 by</t>
    </r>
  </si>
  <si>
    <t>Line 3</t>
  </si>
  <si>
    <t>Clergy or Church Employee Income</t>
  </si>
  <si>
    <t>Deduction for one-half of self-employment tax.</t>
  </si>
  <si>
    <r>
      <t xml:space="preserve">Enter the result here and on </t>
    </r>
    <r>
      <rPr>
        <b/>
        <sz val="10"/>
        <rFont val="Arial"/>
        <family val="2"/>
      </rPr>
      <t>Schedule 1  (1040),</t>
    </r>
  </si>
  <si>
    <t>line 15</t>
  </si>
  <si>
    <t>Sch. SE 1</t>
  </si>
  <si>
    <t>Sch. SE 2</t>
  </si>
  <si>
    <r>
      <t xml:space="preserve">   Optional Methods To Figure Net Earnings </t>
    </r>
    <r>
      <rPr>
        <sz val="11"/>
        <rFont val="Arial"/>
        <family val="2"/>
      </rPr>
      <t>(see instructions)</t>
    </r>
  </si>
  <si>
    <t>Sch. C1 Line 31</t>
  </si>
  <si>
    <r>
      <t>Farm Optional Method.</t>
    </r>
    <r>
      <rPr>
        <sz val="10"/>
        <rFont val="Arial"/>
        <family val="2"/>
      </rPr>
      <t xml:space="preserve"> </t>
    </r>
    <r>
      <rPr>
        <sz val="10"/>
        <rFont val="Arial"/>
        <family val="2"/>
      </rPr>
      <t xml:space="preserve">You may use this method </t>
    </r>
    <r>
      <rPr>
        <b/>
        <sz val="10"/>
        <rFont val="Arial"/>
        <family val="2"/>
      </rPr>
      <t>only</t>
    </r>
    <r>
      <rPr>
        <sz val="10"/>
        <rFont val="Arial"/>
        <family val="2"/>
      </rPr>
      <t xml:space="preserve"> if </t>
    </r>
    <r>
      <rPr>
        <b/>
        <sz val="10"/>
        <rFont val="Arial"/>
        <family val="2"/>
      </rPr>
      <t>(a)</t>
    </r>
    <r>
      <rPr>
        <sz val="10"/>
        <rFont val="Arial"/>
        <family val="2"/>
      </rPr>
      <t xml:space="preserve"> your gross farm income</t>
    </r>
    <r>
      <rPr>
        <vertAlign val="superscript"/>
        <sz val="10"/>
        <rFont val="Arial"/>
        <family val="2"/>
      </rPr>
      <t>1</t>
    </r>
    <r>
      <rPr>
        <sz val="10"/>
        <rFont val="Arial"/>
        <family val="2"/>
      </rPr>
      <t xml:space="preserve"> was not more</t>
    </r>
  </si>
  <si>
    <t>Sch. C2 Line 31</t>
  </si>
  <si>
    <t>Maximum income for optional methods</t>
  </si>
  <si>
    <t>Sch C1 St Emp</t>
  </si>
  <si>
    <r>
      <t xml:space="preserve">Enter the </t>
    </r>
    <r>
      <rPr>
        <b/>
        <sz val="10"/>
        <rFont val="Arial"/>
        <family val="2"/>
      </rPr>
      <t>smaller</t>
    </r>
    <r>
      <rPr>
        <sz val="10"/>
        <rFont val="Arial"/>
        <family val="2"/>
      </rPr>
      <t xml:space="preserve"> of: two-thirds (2 ⁄3) of gross farm income</t>
    </r>
    <r>
      <rPr>
        <vertAlign val="superscript"/>
        <sz val="10"/>
        <rFont val="Arial"/>
        <family val="2"/>
      </rPr>
      <t xml:space="preserve">1 </t>
    </r>
    <r>
      <rPr>
        <sz val="10"/>
        <rFont val="Arial"/>
        <family val="2"/>
      </rPr>
      <t xml:space="preserve">(not less than zero)  </t>
    </r>
    <r>
      <rPr>
        <b/>
        <sz val="10"/>
        <rFont val="Arial"/>
        <family val="2"/>
      </rPr>
      <t>or</t>
    </r>
  </si>
  <si>
    <t>Also, include</t>
  </si>
  <si>
    <t>Sch C2 St Emp</t>
  </si>
  <si>
    <t>this amount on line 4b above</t>
  </si>
  <si>
    <r>
      <t xml:space="preserve">Nonfarm Optional Method.     </t>
    </r>
    <r>
      <rPr>
        <sz val="9"/>
        <rFont val="Arial"/>
        <family val="2"/>
      </rPr>
      <t xml:space="preserve">You may use this method </t>
    </r>
    <r>
      <rPr>
        <b/>
        <sz val="9"/>
        <rFont val="Arial"/>
        <family val="2"/>
      </rPr>
      <t>only</t>
    </r>
    <r>
      <rPr>
        <sz val="9"/>
        <rFont val="Arial"/>
        <family val="2"/>
      </rPr>
      <t xml:space="preserve"> if   </t>
    </r>
    <r>
      <rPr>
        <b/>
        <sz val="9"/>
        <rFont val="Arial"/>
        <family val="2"/>
      </rPr>
      <t>(a)</t>
    </r>
    <r>
      <rPr>
        <sz val="9"/>
        <rFont val="Arial"/>
        <family val="2"/>
      </rPr>
      <t xml:space="preserve"> your net nonfarm profits</t>
    </r>
    <r>
      <rPr>
        <vertAlign val="superscript"/>
        <sz val="9"/>
        <rFont val="Arial"/>
        <family val="2"/>
      </rPr>
      <t>3</t>
    </r>
    <r>
      <rPr>
        <sz val="9"/>
        <rFont val="Arial"/>
        <family val="2"/>
      </rPr>
      <t xml:space="preserve"> were  less</t>
    </r>
  </si>
  <si>
    <r>
      <t>gross nonfarm income</t>
    </r>
    <r>
      <rPr>
        <vertAlign val="superscript"/>
        <sz val="10"/>
        <rFont val="Arial"/>
        <family val="2"/>
      </rPr>
      <t>4</t>
    </r>
    <r>
      <rPr>
        <sz val="10"/>
        <rFont val="Arial"/>
        <family val="2"/>
      </rPr>
      <t xml:space="preserve"> </t>
    </r>
    <r>
      <rPr>
        <b/>
        <sz val="10"/>
        <rFont val="Arial"/>
        <family val="2"/>
      </rPr>
      <t>and (b)</t>
    </r>
    <r>
      <rPr>
        <sz val="10"/>
        <rFont val="Arial"/>
        <family val="2"/>
      </rPr>
      <t xml:space="preserve"> you had net earnings from self-</t>
    </r>
  </si>
  <si>
    <r>
      <rPr>
        <b/>
        <sz val="10"/>
        <rFont val="Arial"/>
        <family val="2"/>
      </rPr>
      <t>Caution:</t>
    </r>
    <r>
      <rPr>
        <sz val="10"/>
        <rFont val="Arial"/>
        <family val="2"/>
      </rPr>
      <t xml:space="preserve"> </t>
    </r>
    <r>
      <rPr>
        <sz val="9"/>
        <rFont val="Arial"/>
        <family val="2"/>
      </rPr>
      <t>You may use this method no more than five times.</t>
    </r>
  </si>
  <si>
    <t>Subtract line 15 from line 14</t>
  </si>
  <si>
    <t xml:space="preserve"> .   .   .   .   .   .   .   .   .   .   .   .   .   .   .   .   .   .   .   .   .   .   .   .   .   .   . </t>
  </si>
  <si>
    <r>
      <t xml:space="preserve">Enter the </t>
    </r>
    <r>
      <rPr>
        <b/>
        <sz val="10"/>
        <rFont val="Arial"/>
        <family val="2"/>
      </rPr>
      <t>smaller</t>
    </r>
    <r>
      <rPr>
        <sz val="10"/>
        <rFont val="Arial"/>
        <family val="2"/>
      </rPr>
      <t xml:space="preserve"> of: two-thirds (2 ⁄3) of gross nonfarm income</t>
    </r>
    <r>
      <rPr>
        <vertAlign val="superscript"/>
        <sz val="10"/>
        <rFont val="Arial"/>
        <family val="2"/>
      </rPr>
      <t>4</t>
    </r>
    <r>
      <rPr>
        <sz val="10"/>
        <rFont val="Arial"/>
        <family val="2"/>
      </rPr>
      <t xml:space="preserve"> (not less than zero) </t>
    </r>
    <r>
      <rPr>
        <b/>
        <sz val="10"/>
        <rFont val="Arial"/>
        <family val="2"/>
      </rPr>
      <t>or</t>
    </r>
    <r>
      <rPr>
        <sz val="10"/>
        <rFont val="Arial"/>
        <family val="2"/>
      </rPr>
      <t xml:space="preserve"> the amount on</t>
    </r>
  </si>
  <si>
    <t>line 16. Also include this amount on line 4b above</t>
  </si>
  <si>
    <t>From Sch. F, line 9, and Sch. K-1 (Form 1065), box 14, code B.</t>
  </si>
  <si>
    <t>From Sch. C, line 31; and Sch. K-1 (Form 1065), box 14, code A.</t>
  </si>
  <si>
    <t>From Sch. F, line 34, and Sch. K-1 (Form 1065),  box 14, code A - minus the amount you would've entered on line 1b had you not used the optional method.</t>
  </si>
  <si>
    <t>From Sch. C, line 7; and Sch. K-1 (Form 1065), box 14, code C.</t>
  </si>
  <si>
    <t>Cat. No. 11358Z</t>
  </si>
  <si>
    <t>Schedule SE #2</t>
  </si>
  <si>
    <r>
      <t xml:space="preserve">you had </t>
    </r>
    <r>
      <rPr>
        <b/>
        <sz val="10"/>
        <rFont val="Arial"/>
        <family val="2"/>
      </rPr>
      <t>church employee income</t>
    </r>
    <r>
      <rPr>
        <sz val="10"/>
        <rFont val="Arial"/>
        <family val="2"/>
      </rPr>
      <t>, enter -0- and continue</t>
    </r>
  </si>
  <si>
    <t>TOTAL Clergy or Church Employee Income</t>
  </si>
  <si>
    <t>Sch. SE #1 Line 12</t>
  </si>
  <si>
    <t>Sch. SE #2 Line 12</t>
  </si>
  <si>
    <t>Yourself</t>
  </si>
  <si>
    <t>Both</t>
  </si>
  <si>
    <t>Sch. SE #1 Line 13</t>
  </si>
  <si>
    <t>Sch. SE #2 Line 13</t>
  </si>
  <si>
    <t>Grand Total</t>
  </si>
  <si>
    <t xml:space="preserve"> &gt; to Sch. 1, line 15</t>
  </si>
  <si>
    <t>Download Form 1040 Schedule SE</t>
  </si>
  <si>
    <t>Download Form 1040 Schedule SE Instructions</t>
  </si>
  <si>
    <t>• Foreign taxes were paid on foreign “passive category income” (Box 'c') (which includes most interest and dividends).</t>
  </si>
  <si>
    <t xml:space="preserve">• All the income and any foreign taxes paid on it were reported to you on a qualified payee statement. </t>
  </si>
  <si>
    <t>• Your total creditable foreign taxes aren't more than $300 ($600 if married filing a joint return).</t>
  </si>
  <si>
    <r>
      <rPr>
        <sz val="9"/>
        <rFont val="Arial"/>
        <family val="2"/>
      </rPr>
      <t>Form</t>
    </r>
    <r>
      <rPr>
        <sz val="10"/>
        <rFont val="Arial"/>
        <family val="2"/>
      </rPr>
      <t xml:space="preserve"> </t>
    </r>
    <r>
      <rPr>
        <b/>
        <sz val="24"/>
        <rFont val="Arial"/>
        <family val="2"/>
      </rPr>
      <t>1116</t>
    </r>
  </si>
  <si>
    <t>Foreign Tax Credit</t>
  </si>
  <si>
    <t>OMB No. 1545-0121</t>
  </si>
  <si>
    <t>(Individual, Estate, or Trust)</t>
  </si>
  <si>
    <t>Attach to Form 1040, 1040-SR, 1040-NR, 1041, or 990-T.</t>
  </si>
  <si>
    <r>
      <t xml:space="preserve">Go to </t>
    </r>
    <r>
      <rPr>
        <b/>
        <i/>
        <sz val="9"/>
        <rFont val="Arial"/>
        <family val="2"/>
      </rPr>
      <t>www.irs.gov/Form1116</t>
    </r>
    <r>
      <rPr>
        <b/>
        <sz val="9"/>
        <rFont val="Arial"/>
        <family val="2"/>
      </rPr>
      <t xml:space="preserve"> for instructions and the latest information.</t>
    </r>
  </si>
  <si>
    <t>Name</t>
  </si>
  <si>
    <r>
      <rPr>
        <b/>
        <sz val="8"/>
        <rFont val="Arial"/>
        <family val="2"/>
      </rPr>
      <t>Identifying number</t>
    </r>
    <r>
      <rPr>
        <sz val="8"/>
        <rFont val="Arial"/>
        <family val="2"/>
      </rPr>
      <t xml:space="preserve"> as shown on page 1 of your tax return</t>
    </r>
  </si>
  <si>
    <r>
      <t xml:space="preserve">Use a separate Form 1116 for each category of income listed below. See </t>
    </r>
    <r>
      <rPr>
        <i/>
        <sz val="9"/>
        <rFont val="Arial"/>
        <family val="2"/>
      </rPr>
      <t>Categories of Income</t>
    </r>
    <r>
      <rPr>
        <sz val="9"/>
        <rFont val="Arial"/>
        <family val="2"/>
      </rPr>
      <t xml:space="preserve"> in the instructions. </t>
    </r>
  </si>
  <si>
    <t>Check only one box on each</t>
  </si>
  <si>
    <t xml:space="preserve">Form 1116. </t>
  </si>
  <si>
    <t>Report all amounts in U.S. dollars except where specified in Part II below.</t>
  </si>
  <si>
    <t>Section 951A income</t>
  </si>
  <si>
    <t>Passive category income</t>
  </si>
  <si>
    <t>Section 901(j) income</t>
  </si>
  <si>
    <t>Lump-sum distributions</t>
  </si>
  <si>
    <t>Foreign branch income</t>
  </si>
  <si>
    <t>General category income</t>
  </si>
  <si>
    <t>Certain income re-sourced by treaty</t>
  </si>
  <si>
    <t>Resident of (name of country)</t>
  </si>
  <si>
    <t>If you paid taxes to only one foreign country or U.S. possession, use column A in Part I and line A in Part II. If you paid taxes to</t>
  </si>
  <si>
    <r>
      <rPr>
        <b/>
        <sz val="10"/>
        <rFont val="Arial"/>
        <family val="2"/>
      </rPr>
      <t>more than one</t>
    </r>
    <r>
      <rPr>
        <sz val="10"/>
        <rFont val="Arial"/>
        <family val="2"/>
      </rPr>
      <t xml:space="preserve"> foreign country or U.S. possession, use a separate column and line for each country or possession.</t>
    </r>
  </si>
  <si>
    <r>
      <t xml:space="preserve"> Taxable Income or Loss From Sources Outside the United States </t>
    </r>
    <r>
      <rPr>
        <sz val="11"/>
        <rFont val="Arial"/>
        <family val="2"/>
      </rPr>
      <t>(for category checked above)</t>
    </r>
  </si>
  <si>
    <t>Foreign Country or U.S. Possession</t>
  </si>
  <si>
    <r>
      <rPr>
        <b/>
        <sz val="11"/>
        <rFont val="Arial"/>
        <family val="2"/>
      </rPr>
      <t xml:space="preserve">Total </t>
    </r>
    <r>
      <rPr>
        <sz val="10"/>
        <rFont val="Arial"/>
        <family val="2"/>
      </rPr>
      <t xml:space="preserve">
</t>
    </r>
    <r>
      <rPr>
        <sz val="9"/>
        <rFont val="Arial"/>
        <family val="2"/>
      </rPr>
      <t>(Add cols. A, B, and C.)</t>
    </r>
  </si>
  <si>
    <t>Enter the name of the foreign country or U.S.</t>
  </si>
  <si>
    <t>possession</t>
  </si>
  <si>
    <t>Gross income from sources within country shown</t>
  </si>
  <si>
    <t>above and of the type checked above (see</t>
  </si>
  <si>
    <t>instructions):</t>
  </si>
  <si>
    <t>Check if line 1a is compensation for personal</t>
  </si>
  <si>
    <r>
      <t xml:space="preserve"> </t>
    </r>
    <r>
      <rPr>
        <b/>
        <sz val="9"/>
        <rFont val="Arial"/>
        <family val="2"/>
      </rPr>
      <t>Deductions and losses (Caution:</t>
    </r>
    <r>
      <rPr>
        <sz val="9"/>
        <rFont val="Arial"/>
        <family val="2"/>
      </rPr>
      <t xml:space="preserve"> See instructions.):</t>
    </r>
  </si>
  <si>
    <r>
      <t xml:space="preserve">Expenses </t>
    </r>
    <r>
      <rPr>
        <b/>
        <sz val="9"/>
        <rFont val="Arial"/>
        <family val="2"/>
      </rPr>
      <t>definitely related</t>
    </r>
    <r>
      <rPr>
        <sz val="9"/>
        <rFont val="Arial"/>
        <family val="2"/>
      </rPr>
      <t xml:space="preserve"> to the income on line</t>
    </r>
  </si>
  <si>
    <t>line1a (attach statement)</t>
  </si>
  <si>
    <r>
      <t xml:space="preserve">Pro rata share of other deductions </t>
    </r>
    <r>
      <rPr>
        <b/>
        <sz val="9"/>
        <rFont val="Arial"/>
        <family val="2"/>
      </rPr>
      <t>not definitely</t>
    </r>
  </si>
  <si>
    <t>related:</t>
  </si>
  <si>
    <t>Certain itemized deductions or standard deduction</t>
  </si>
  <si>
    <t>Other deductions (attach statement)</t>
  </si>
  <si>
    <t>Add lines 3a and 3b</t>
  </si>
  <si>
    <t>Gross foreign source income (see instructions)</t>
  </si>
  <si>
    <t xml:space="preserve"> .  </t>
  </si>
  <si>
    <t>Gross income from all sources (see instructions)</t>
  </si>
  <si>
    <t>Divide line 3d by line 3e (see instructions)</t>
  </si>
  <si>
    <t>Multiply line 3c by line 3f</t>
  </si>
  <si>
    <t>Pro rata share of interest expense (see instructions):</t>
  </si>
  <si>
    <t>Home mortgage interest (use the Worksheet for</t>
  </si>
  <si>
    <t>Home Mortgage Interest in the instructions)</t>
  </si>
  <si>
    <t>Other interest expense</t>
  </si>
  <si>
    <t>Losses from foreign sources</t>
  </si>
  <si>
    <t>Add lines 2, 3g, 4a, 4b, and 5</t>
  </si>
  <si>
    <t>Subtract line 6 from line 1a. Enter the result here and on line 15, page 2</t>
  </si>
  <si>
    <r>
      <t xml:space="preserve">Foreign Taxes Paid or Accrued </t>
    </r>
    <r>
      <rPr>
        <sz val="12"/>
        <rFont val="Arial"/>
        <family val="2"/>
      </rPr>
      <t xml:space="preserve"> (see instructions)</t>
    </r>
  </si>
  <si>
    <t>Country</t>
  </si>
  <si>
    <t>Credit is claimed 
for taxes 
(you must check one)</t>
  </si>
  <si>
    <t>Foreign taxes paid or accrued</t>
  </si>
  <si>
    <t>(j)</t>
  </si>
  <si>
    <t xml:space="preserve"> Paid</t>
  </si>
  <si>
    <t>In foreign currency</t>
  </si>
  <si>
    <t>In U.S. dollars</t>
  </si>
  <si>
    <t>(k)</t>
  </si>
  <si>
    <t>Accrued</t>
  </si>
  <si>
    <t>Taxes withheld at source on:</t>
  </si>
  <si>
    <r>
      <rPr>
        <b/>
        <sz val="8"/>
        <rFont val="Arial"/>
        <family val="2"/>
      </rPr>
      <t>(p)</t>
    </r>
    <r>
      <rPr>
        <sz val="8"/>
        <rFont val="Arial"/>
        <family val="2"/>
      </rPr>
      <t xml:space="preserve"> Other
foreign taxes
paid or
accrued</t>
    </r>
  </si>
  <si>
    <r>
      <rPr>
        <b/>
        <sz val="8"/>
        <rFont val="Arial"/>
        <family val="2"/>
      </rPr>
      <t>(t)</t>
    </r>
    <r>
      <rPr>
        <sz val="8"/>
        <rFont val="Arial"/>
        <family val="2"/>
      </rPr>
      <t xml:space="preserve"> Other
foreign taxes
paid or
accrued</t>
    </r>
  </si>
  <si>
    <r>
      <rPr>
        <b/>
        <sz val="8"/>
        <rFont val="Arial"/>
        <family val="2"/>
      </rPr>
      <t>(u)</t>
    </r>
    <r>
      <rPr>
        <sz val="8"/>
        <rFont val="Arial"/>
        <family val="2"/>
      </rPr>
      <t xml:space="preserve"> Total foreign
taxes paid or
accrued (add cols.
(q) through (t))</t>
    </r>
  </si>
  <si>
    <t>(l) Date paid</t>
  </si>
  <si>
    <r>
      <rPr>
        <b/>
        <sz val="8"/>
        <rFont val="Arial"/>
        <family val="2"/>
      </rPr>
      <t xml:space="preserve">(m)
</t>
    </r>
    <r>
      <rPr>
        <sz val="8"/>
        <rFont val="Arial"/>
        <family val="2"/>
      </rPr>
      <t>Dividends</t>
    </r>
  </si>
  <si>
    <r>
      <rPr>
        <b/>
        <sz val="8"/>
        <rFont val="Arial"/>
        <family val="2"/>
      </rPr>
      <t>(n)</t>
    </r>
    <r>
      <rPr>
        <sz val="8"/>
        <rFont val="Arial"/>
        <family val="2"/>
      </rPr>
      <t xml:space="preserve"> Rents
and royalties</t>
    </r>
  </si>
  <si>
    <r>
      <rPr>
        <b/>
        <sz val="8"/>
        <rFont val="Arial"/>
        <family val="2"/>
      </rPr>
      <t>(o)</t>
    </r>
    <r>
      <rPr>
        <sz val="8"/>
        <rFont val="Arial"/>
        <family val="2"/>
      </rPr>
      <t xml:space="preserve"> Interest</t>
    </r>
  </si>
  <si>
    <r>
      <rPr>
        <b/>
        <sz val="8"/>
        <rFont val="Arial"/>
        <family val="2"/>
      </rPr>
      <t>(q)</t>
    </r>
    <r>
      <rPr>
        <sz val="8"/>
        <rFont val="Arial"/>
        <family val="2"/>
      </rPr>
      <t xml:space="preserve"> Dividends</t>
    </r>
  </si>
  <si>
    <r>
      <rPr>
        <b/>
        <sz val="8"/>
        <rFont val="Arial"/>
        <family val="2"/>
      </rPr>
      <t>(r)</t>
    </r>
    <r>
      <rPr>
        <sz val="8"/>
        <rFont val="Arial"/>
        <family val="2"/>
      </rPr>
      <t xml:space="preserve"> Rents
and royalties</t>
    </r>
  </si>
  <si>
    <r>
      <rPr>
        <b/>
        <sz val="8"/>
        <rFont val="Arial"/>
        <family val="2"/>
      </rPr>
      <t>(s)</t>
    </r>
    <r>
      <rPr>
        <sz val="8"/>
        <rFont val="Arial"/>
        <family val="2"/>
      </rPr>
      <t xml:space="preserve"> Interest</t>
    </r>
  </si>
  <si>
    <t>or accrued</t>
  </si>
  <si>
    <t>Add lines A through C, column (u). Enter the total here and on line 9, page 2</t>
  </si>
  <si>
    <t>For Paperwork Reduction Act Notice, see instructions.</t>
  </si>
  <si>
    <t>Cat. No. 11440U</t>
  </si>
  <si>
    <r>
      <t>Form</t>
    </r>
    <r>
      <rPr>
        <b/>
        <sz val="14"/>
        <rFont val="Arial"/>
        <family val="2"/>
      </rPr>
      <t xml:space="preserve"> </t>
    </r>
    <r>
      <rPr>
        <b/>
        <sz val="12"/>
        <rFont val="Arial"/>
        <family val="2"/>
      </rPr>
      <t>1116</t>
    </r>
  </si>
  <si>
    <r>
      <rPr>
        <sz val="9"/>
        <rFont val="Arial"/>
        <family val="2"/>
      </rPr>
      <t xml:space="preserve">Page </t>
    </r>
    <r>
      <rPr>
        <b/>
        <sz val="12"/>
        <rFont val="Arial"/>
        <family val="2"/>
      </rPr>
      <t>2</t>
    </r>
  </si>
  <si>
    <t>Figuring the Credit</t>
  </si>
  <si>
    <t>Enter the amount from line 8. These are your total foreign taxes paid</t>
  </si>
  <si>
    <t>or accrued for the category of income checked above Part I</t>
  </si>
  <si>
    <t>leave line 10 blank.)</t>
  </si>
  <si>
    <t>Add lines 9 and 10</t>
  </si>
  <si>
    <t>Reduction in foreign taxes (see instructions)</t>
  </si>
  <si>
    <t>Taxes reclassified under high tax kickout (see instructions)</t>
  </si>
  <si>
    <t>Combine lines 11, 12, and 13. This is the total amount of foreign taxes available for credit</t>
  </si>
  <si>
    <t>If you completed the Qualified Dividends and Capital Gain Tax Worksheet, you must figure the amount to enter on line 18 if:</t>
  </si>
  <si>
    <t>Enter the amount from line 7. This is your taxable income or (loss) from</t>
  </si>
  <si>
    <t>1. Line 5 of your Qualified Dividends and Capital Gain Tax Worksheet is greater than zero, and</t>
  </si>
  <si>
    <t>sources outside the United States (before adjustments) for the category</t>
  </si>
  <si>
    <t>2. Line 23 of your Qualified Dividends and Capital Gain Tax Worksheet is less than line 24 of that worksheet.</t>
  </si>
  <si>
    <t>of income checked above Part I (see instructions)</t>
  </si>
  <si>
    <t>Adjustments to line 15 (see instructions)</t>
  </si>
  <si>
    <t>See instructions for Form 1116 to see if you qualify for an exception that allows you to elect to NOT adjust your qualified</t>
  </si>
  <si>
    <r>
      <t xml:space="preserve">dividends and capital gains. If so, you must make this election by </t>
    </r>
    <r>
      <rPr>
        <u/>
        <sz val="10"/>
        <rFont val="Arial"/>
        <family val="2"/>
      </rPr>
      <t>not</t>
    </r>
    <r>
      <rPr>
        <sz val="10"/>
        <rFont val="Arial"/>
        <family val="2"/>
      </rPr>
      <t xml:space="preserve"> completing ths worsheet.</t>
    </r>
  </si>
  <si>
    <t>Worksheet for Line 18 (Worldwide Qualified Dividends and Capital Gains)</t>
  </si>
  <si>
    <t>See the instructions for line 18 below before starting this worksheet.</t>
  </si>
  <si>
    <r>
      <rPr>
        <b/>
        <sz val="10"/>
        <rFont val="Arial"/>
        <family val="2"/>
      </rPr>
      <t>Caution:</t>
    </r>
    <r>
      <rPr>
        <sz val="10"/>
        <rFont val="Arial"/>
        <family val="2"/>
      </rPr>
      <t xml:space="preserve"> If you figured your tax using the lower rates on qualified dividends or capital gains, see</t>
    </r>
  </si>
  <si>
    <r>
      <rPr>
        <b/>
        <sz val="10"/>
        <rFont val="Arial"/>
        <family val="2"/>
      </rPr>
      <t xml:space="preserve">Estates and trusts: </t>
    </r>
    <r>
      <rPr>
        <sz val="10"/>
        <rFont val="Arial"/>
        <family val="2"/>
      </rPr>
      <t>Enter taxable income without the deduction for your exemption</t>
    </r>
  </si>
  <si>
    <t>instructions.</t>
  </si>
  <si>
    <t>Divide line 17 by line 18. If line 17 is more than line 18, enter “1”</t>
  </si>
  <si>
    <r>
      <rPr>
        <b/>
        <sz val="10"/>
        <rFont val="Arial"/>
        <family val="2"/>
      </rPr>
      <t>Individuals:</t>
    </r>
    <r>
      <rPr>
        <sz val="10"/>
        <rFont val="Arial"/>
        <family val="2"/>
      </rPr>
      <t xml:space="preserve"> Enter the total of Form 1040 or 1040-SR, line 16, and Schedule 2 (Form 1040),</t>
    </r>
  </si>
  <si>
    <r>
      <t xml:space="preserve">line 2. </t>
    </r>
    <r>
      <rPr>
        <b/>
        <sz val="10"/>
        <rFont val="Arial"/>
        <family val="2"/>
      </rPr>
      <t>Estates and trusts:</t>
    </r>
    <r>
      <rPr>
        <sz val="10"/>
        <rFont val="Arial"/>
        <family val="2"/>
      </rPr>
      <t xml:space="preserve"> Enter the amount from Form 1041, Schedule G, line 1a; or the total of</t>
    </r>
  </si>
  <si>
    <t>Form 990-T, Part II, lines 2, 3, 4, and 6. Foreign estates and trusts should enter the amount from</t>
  </si>
  <si>
    <t>Form 1040-NR, line 16. See instructions</t>
  </si>
  <si>
    <r>
      <rPr>
        <b/>
        <sz val="10"/>
        <rFont val="Arial"/>
        <family val="2"/>
      </rPr>
      <t>Caution:</t>
    </r>
    <r>
      <rPr>
        <sz val="10"/>
        <rFont val="Arial"/>
        <family val="2"/>
      </rPr>
      <t xml:space="preserve"> If you are completing line 20 for separate category </t>
    </r>
    <r>
      <rPr>
        <b/>
        <sz val="10"/>
        <rFont val="Arial"/>
        <family val="2"/>
      </rPr>
      <t>g</t>
    </r>
    <r>
      <rPr>
        <sz val="10"/>
        <rFont val="Arial"/>
        <family val="2"/>
      </rPr>
      <t xml:space="preserve"> (lump-sum distributions), or, if you file</t>
    </r>
  </si>
  <si>
    <t>Form 8978, Partner’s Additional Reporting Year Tax, see instructions.</t>
  </si>
  <si>
    <t>Multiply line 20 by line 19 (maximum amount of credit)</t>
  </si>
  <si>
    <t>Add lines 3, 5, 7, 9, and 10</t>
  </si>
  <si>
    <t>Increase in limitation (section 960(c))</t>
  </si>
  <si>
    <t>Subtract line 11 from line 1. Enter the result here and on Form 1116, line 18</t>
  </si>
  <si>
    <t>Credit for taxes on section 951A income</t>
  </si>
  <si>
    <t>Credit for taxes on foreign branch income</t>
  </si>
  <si>
    <t>Credit for taxes on passive category income</t>
  </si>
  <si>
    <t>CarryBack from Current Year</t>
  </si>
  <si>
    <t>Line 21 less Line 33 (Must be &gt;=0)</t>
  </si>
  <si>
    <t>Credit for taxes on general category income</t>
  </si>
  <si>
    <t>CarryForward to Next Year</t>
  </si>
  <si>
    <t>Line 14 less Line 33 (Must be &gt;=0)</t>
  </si>
  <si>
    <t>Credit for taxes on section 901(j) income</t>
  </si>
  <si>
    <t>Credit for taxes on certain income re-sourced by treaty</t>
  </si>
  <si>
    <t>Important! - Retain these CarryBack and CarryForward amounts for EACH year you file Form 1116.</t>
  </si>
  <si>
    <t>Credit for taxes on lump-sum distributions</t>
  </si>
  <si>
    <t>They will be needed in future years when you can get a REFUND from CarryBack and for utilizing</t>
  </si>
  <si>
    <t>Add lines 25 through 31</t>
  </si>
  <si>
    <t>Unused CarryForward next year on Form 1116 Line 10.</t>
  </si>
  <si>
    <r>
      <t xml:space="preserve">Enter the </t>
    </r>
    <r>
      <rPr>
        <b/>
        <sz val="10"/>
        <rFont val="Arial"/>
        <family val="2"/>
      </rPr>
      <t>smaller</t>
    </r>
    <r>
      <rPr>
        <sz val="10"/>
        <rFont val="Arial"/>
        <family val="2"/>
      </rPr>
      <t xml:space="preserve"> of line 20 or line 32</t>
    </r>
  </si>
  <si>
    <t>Reduction of credit for international boycott operations. See instructions for line 12</t>
  </si>
  <si>
    <r>
      <t xml:space="preserve">Subtract line 34 from line 33. This is your </t>
    </r>
    <r>
      <rPr>
        <b/>
        <sz val="10"/>
        <rFont val="Arial"/>
        <family val="2"/>
      </rPr>
      <t>foreign tax credit</t>
    </r>
    <r>
      <rPr>
        <sz val="10"/>
        <rFont val="Arial"/>
        <family val="2"/>
      </rPr>
      <t>. Enter here and on Schedule 3 (Form</t>
    </r>
  </si>
  <si>
    <t>1040), line 1; Form 1041, Schedule G, line 2a; or Form 990-T, Part III, line 1a</t>
  </si>
  <si>
    <r>
      <t>Form</t>
    </r>
    <r>
      <rPr>
        <b/>
        <sz val="14"/>
        <rFont val="Arial"/>
        <family val="2"/>
      </rPr>
      <t xml:space="preserve"> 1116</t>
    </r>
  </si>
  <si>
    <r>
      <rPr>
        <sz val="9"/>
        <rFont val="Arial"/>
        <family val="2"/>
      </rPr>
      <t xml:space="preserve">Form </t>
    </r>
    <r>
      <rPr>
        <b/>
        <sz val="24"/>
        <rFont val="Arial"/>
        <family val="2"/>
      </rPr>
      <t>1116</t>
    </r>
  </si>
  <si>
    <r>
      <t xml:space="preserve"> </t>
    </r>
    <r>
      <rPr>
        <b/>
        <sz val="10"/>
        <rFont val="Arial"/>
        <family val="2"/>
      </rPr>
      <t>Deductions and losses (Caution:</t>
    </r>
    <r>
      <rPr>
        <sz val="10"/>
        <rFont val="Arial"/>
        <family val="2"/>
      </rPr>
      <t xml:space="preserve"> See instructions.):</t>
    </r>
  </si>
  <si>
    <r>
      <t xml:space="preserve">(l) </t>
    </r>
    <r>
      <rPr>
        <sz val="8"/>
        <rFont val="Arial"/>
        <family val="2"/>
      </rPr>
      <t>Date paid</t>
    </r>
  </si>
  <si>
    <t>Add lines A through C, column (s). Enter the total here and on line 9, page 2</t>
  </si>
  <si>
    <r>
      <t xml:space="preserve">Form </t>
    </r>
    <r>
      <rPr>
        <b/>
        <sz val="24"/>
        <rFont val="Arial"/>
        <family val="2"/>
      </rPr>
      <t>1116</t>
    </r>
  </si>
  <si>
    <t>Attachment   
Sequence No.</t>
  </si>
  <si>
    <r>
      <t xml:space="preserve">Foreign Taxes Paid or Accrued </t>
    </r>
    <r>
      <rPr>
        <sz val="14"/>
        <rFont val="Arial"/>
        <family val="2"/>
      </rPr>
      <t xml:space="preserve"> (see instructions)</t>
    </r>
  </si>
  <si>
    <t>Underpayment of Estimated Tax
by Individuals, Estates, and Trusts</t>
  </si>
  <si>
    <t>IF you file Form 1040, THEN include on line 2 the amounts on...</t>
  </si>
  <si>
    <t xml:space="preserve">(1) </t>
  </si>
  <si>
    <t>Attach to Form 1040, 1040-SR, 1040-NR, 1040NR-EZ, or 1041.</t>
  </si>
  <si>
    <r>
      <t xml:space="preserve">Sequence No. </t>
    </r>
    <r>
      <rPr>
        <b/>
        <sz val="12"/>
        <rFont val="Arial"/>
        <family val="2"/>
      </rPr>
      <t>06</t>
    </r>
  </si>
  <si>
    <t>Name(s) shown on tax return</t>
  </si>
  <si>
    <t>Identifying number</t>
  </si>
  <si>
    <t>Do You Have To File Form 2210?</t>
  </si>
  <si>
    <t>Refundable
Credits</t>
  </si>
  <si>
    <r>
      <rPr>
        <b/>
        <sz val="10"/>
        <rFont val="Arial"/>
        <family val="2"/>
      </rPr>
      <t>Don't file Form 2210.</t>
    </r>
    <r>
      <rPr>
        <sz val="10"/>
        <rFont val="Arial"/>
        <family val="2"/>
      </rPr>
      <t xml:space="preserve"> You don't owe a penalty.</t>
    </r>
  </si>
  <si>
    <t xml:space="preserve">(2) </t>
  </si>
  <si>
    <t>Complete lines 8 and 9 below. Is line 6 equal to or more than line 9?</t>
  </si>
  <si>
    <r>
      <t xml:space="preserve">You don't owe a penalty. </t>
    </r>
    <r>
      <rPr>
        <b/>
        <sz val="10"/>
        <rFont val="Arial"/>
        <family val="2"/>
      </rPr>
      <t xml:space="preserve">Don't </t>
    </r>
    <r>
      <rPr>
        <sz val="10"/>
        <rFont val="Arial"/>
        <family val="2"/>
      </rPr>
      <t xml:space="preserve">file Form 2210 unless
</t>
    </r>
    <r>
      <rPr>
        <b/>
        <sz val="10"/>
        <rFont val="Arial"/>
        <family val="2"/>
      </rPr>
      <t>box E</t>
    </r>
    <r>
      <rPr>
        <sz val="10"/>
        <rFont val="Arial"/>
        <family val="2"/>
      </rPr>
      <t xml:space="preserve"> in Part II applies, then file page 1 of Form 2210.</t>
    </r>
  </si>
  <si>
    <t>* If you’re a household employer, include your household employment taxes on line 2. 
Don’t include household employment taxes if both of the following are true: 
(1) You didn’t have federal income tax withheld from your income, and 
(2) You wouldn’t be required to make estimated tax payments even if the household employment taxes weren't included.</t>
  </si>
  <si>
    <t>You may owe a penalty. Does any box in Part II below apply?</t>
  </si>
  <si>
    <r>
      <t xml:space="preserve">You </t>
    </r>
    <r>
      <rPr>
        <b/>
        <sz val="10"/>
        <rFont val="Arial"/>
        <family val="2"/>
      </rPr>
      <t>must</t>
    </r>
    <r>
      <rPr>
        <sz val="10"/>
        <rFont val="Arial"/>
        <family val="2"/>
      </rPr>
      <t xml:space="preserve"> file Form 2210. Does box </t>
    </r>
    <r>
      <rPr>
        <b/>
        <sz val="10"/>
        <rFont val="Arial"/>
        <family val="2"/>
      </rPr>
      <t>B</t>
    </r>
    <r>
      <rPr>
        <sz val="10"/>
        <rFont val="Arial"/>
        <family val="2"/>
      </rPr>
      <t xml:space="preserve">, </t>
    </r>
    <r>
      <rPr>
        <b/>
        <sz val="10"/>
        <rFont val="Arial"/>
        <family val="2"/>
      </rPr>
      <t>C</t>
    </r>
    <r>
      <rPr>
        <sz val="10"/>
        <rFont val="Arial"/>
        <family val="2"/>
      </rPr>
      <t xml:space="preserve">, or </t>
    </r>
    <r>
      <rPr>
        <b/>
        <sz val="10"/>
        <rFont val="Arial"/>
        <family val="2"/>
      </rPr>
      <t>D</t>
    </r>
    <r>
      <rPr>
        <sz val="10"/>
        <rFont val="Arial"/>
        <family val="2"/>
      </rPr>
      <t xml:space="preserve"> in Part II apply?</t>
    </r>
  </si>
  <si>
    <t xml:space="preserve">Yes </t>
  </si>
  <si>
    <t>You must figure your penalty.</t>
  </si>
  <si>
    <r>
      <rPr>
        <b/>
        <sz val="11"/>
        <rFont val="Arial"/>
        <family val="2"/>
      </rPr>
      <t>Don't file Form 2210.</t>
    </r>
    <r>
      <rPr>
        <sz val="11"/>
        <rFont val="Arial"/>
        <family val="2"/>
      </rPr>
      <t xml:space="preserve"> You aren't required to figure
your penalty because the IRS will figure it and send
you a bill for any unpaid amount. If you want to figure
it, you may use Part III as a worksheet and enter
your penalty amount on your tax return, but </t>
    </r>
    <r>
      <rPr>
        <b/>
        <sz val="11"/>
        <rFont val="Arial"/>
        <family val="2"/>
      </rPr>
      <t>don't</t>
    </r>
    <r>
      <rPr>
        <sz val="11"/>
        <rFont val="Arial"/>
        <family val="2"/>
      </rPr>
      <t xml:space="preserve">
</t>
    </r>
    <r>
      <rPr>
        <b/>
        <sz val="11"/>
        <rFont val="Arial"/>
        <family val="2"/>
      </rPr>
      <t>file Form 2210.</t>
    </r>
  </si>
  <si>
    <r>
      <t xml:space="preserve">You </t>
    </r>
    <r>
      <rPr>
        <b/>
        <sz val="11"/>
        <rFont val="Arial"/>
        <family val="2"/>
      </rPr>
      <t>aren't</t>
    </r>
    <r>
      <rPr>
        <sz val="11"/>
        <rFont val="Arial"/>
        <family val="2"/>
      </rPr>
      <t xml:space="preserve"> required to figure your penalty because the IRS
will figure it and send you a bill for any unpaid amount. If
you want to figure it, you may use Part III as a worksheet
and enter your penalty amount on your tax return, but </t>
    </r>
    <r>
      <rPr>
        <b/>
        <sz val="11"/>
        <rFont val="Arial"/>
        <family val="2"/>
      </rPr>
      <t>file only page 1 of Form 2210.</t>
    </r>
  </si>
  <si>
    <t>Married Filing Jointly</t>
  </si>
  <si>
    <t>Line 3 -- Subtract refundable credits listed below:</t>
  </si>
  <si>
    <t>Head of Household</t>
  </si>
  <si>
    <t>Qualifying Widow(er)</t>
  </si>
  <si>
    <t>Earned income credit.</t>
  </si>
  <si>
    <t>Married Filing Separately</t>
  </si>
  <si>
    <t>Additional child tax credit.</t>
  </si>
  <si>
    <t xml:space="preserve"> Part I</t>
  </si>
  <si>
    <t>Required Annual Payment</t>
  </si>
  <si>
    <t>Refundable part of the American opportunity credit (Form 8863, line 8).</t>
  </si>
  <si>
    <t>instructions if not filing Form 1040.)</t>
  </si>
  <si>
    <t>Premium tax credit (Form 8962).</t>
  </si>
  <si>
    <t>Other taxes, including self-employment tax and, if applicable, Additional Medicare Tax and/or Net</t>
  </si>
  <si>
    <t>Credit for federal tax paid on fuels.</t>
  </si>
  <si>
    <t>Investment Income Tax (see instructions)</t>
  </si>
  <si>
    <t>Other payments and refundable credits (see instructions)</t>
  </si>
  <si>
    <t>Current year tax. Combine lines 1, 2, and 3.</t>
  </si>
  <si>
    <r>
      <rPr>
        <b/>
        <sz val="10"/>
        <rFont val="Arial"/>
        <family val="2"/>
      </rPr>
      <t>stop</t>
    </r>
    <r>
      <rPr>
        <sz val="10"/>
        <rFont val="Arial"/>
        <family val="2"/>
      </rPr>
      <t>; you don't owe a penalty.</t>
    </r>
  </si>
  <si>
    <r>
      <rPr>
        <b/>
        <sz val="10"/>
        <rFont val="Arial"/>
        <family val="2"/>
      </rPr>
      <t>Don't</t>
    </r>
    <r>
      <rPr>
        <sz val="10"/>
        <rFont val="Arial"/>
        <family val="2"/>
      </rPr>
      <t xml:space="preserve"> file Form 2210</t>
    </r>
  </si>
  <si>
    <r>
      <t xml:space="preserve">Withholding taxes. </t>
    </r>
    <r>
      <rPr>
        <b/>
        <sz val="10"/>
        <rFont val="Arial"/>
        <family val="2"/>
      </rPr>
      <t>Don't</t>
    </r>
    <r>
      <rPr>
        <sz val="10"/>
        <rFont val="Arial"/>
        <family val="2"/>
      </rPr>
      <t xml:space="preserve"> include estimated tax payments (see instructions)</t>
    </r>
  </si>
  <si>
    <t>Credit determined under section 1341(a)(5)(B).</t>
  </si>
  <si>
    <t xml:space="preserve">Subtract line 6 from line 4. </t>
  </si>
  <si>
    <r>
      <rPr>
        <b/>
        <sz val="10"/>
        <rFont val="Arial"/>
        <family val="2"/>
      </rPr>
      <t>stop</t>
    </r>
    <r>
      <rPr>
        <sz val="10"/>
        <rFont val="Arial"/>
        <family val="2"/>
      </rPr>
      <t xml:space="preserve">; you don't owe a penalty. </t>
    </r>
    <r>
      <rPr>
        <b/>
        <sz val="10"/>
        <rFont val="Arial"/>
        <family val="2"/>
      </rPr>
      <t>Don't</t>
    </r>
    <r>
      <rPr>
        <sz val="10"/>
        <rFont val="Arial"/>
        <family val="2"/>
      </rPr>
      <t xml:space="preserve"> file Form 2210.</t>
    </r>
  </si>
  <si>
    <t>Maximum required annual payment based on prior year’s tax (see instructions)</t>
  </si>
  <si>
    <t xml:space="preserve"> .   .   .   .   .   .   .   . </t>
  </si>
  <si>
    <t>Line 8 - Maximum required annual payment</t>
  </si>
  <si>
    <r>
      <rPr>
        <b/>
        <sz val="10"/>
        <rFont val="Arial"/>
        <family val="2"/>
      </rPr>
      <t>Required annual payment.</t>
    </r>
    <r>
      <rPr>
        <sz val="10"/>
        <rFont val="Arial"/>
        <family val="2"/>
      </rPr>
      <t xml:space="preserve"> Enter the </t>
    </r>
    <r>
      <rPr>
        <b/>
        <sz val="10"/>
        <rFont val="Arial"/>
        <family val="2"/>
      </rPr>
      <t>smaller</t>
    </r>
    <r>
      <rPr>
        <sz val="10"/>
        <rFont val="Arial"/>
        <family val="2"/>
      </rPr>
      <t xml:space="preserve"> of line 5 or line 8</t>
    </r>
  </si>
  <si>
    <r>
      <rPr>
        <b/>
        <sz val="10"/>
        <rFont val="Arial"/>
        <family val="2"/>
      </rPr>
      <t>Next:</t>
    </r>
    <r>
      <rPr>
        <sz val="10"/>
        <rFont val="Arial"/>
        <family val="2"/>
      </rPr>
      <t xml:space="preserve"> Is line 9 more than line 6?</t>
    </r>
  </si>
  <si>
    <r>
      <rPr>
        <b/>
        <sz val="10"/>
        <rFont val="Arial"/>
        <family val="2"/>
      </rPr>
      <t>No.</t>
    </r>
    <r>
      <rPr>
        <sz val="10"/>
        <rFont val="Arial"/>
        <family val="2"/>
      </rPr>
      <t xml:space="preserve">    You </t>
    </r>
    <r>
      <rPr>
        <b/>
        <sz val="10"/>
        <rFont val="Arial"/>
        <family val="2"/>
      </rPr>
      <t>don't</t>
    </r>
    <r>
      <rPr>
        <sz val="10"/>
        <rFont val="Arial"/>
        <family val="2"/>
      </rPr>
      <t xml:space="preserve"> owe a penalty. </t>
    </r>
    <r>
      <rPr>
        <b/>
        <sz val="10"/>
        <rFont val="Arial"/>
        <family val="2"/>
      </rPr>
      <t/>
    </r>
  </si>
  <si>
    <r>
      <t xml:space="preserve">  </t>
    </r>
    <r>
      <rPr>
        <b/>
        <sz val="10"/>
        <rFont val="Arial"/>
        <family val="2"/>
      </rPr>
      <t>Don't</t>
    </r>
    <r>
      <rPr>
        <sz val="10"/>
        <rFont val="Arial"/>
        <family val="2"/>
      </rPr>
      <t xml:space="preserve"> file Form 2210 unless</t>
    </r>
  </si>
  <si>
    <r>
      <t xml:space="preserve">box </t>
    </r>
    <r>
      <rPr>
        <b/>
        <sz val="10"/>
        <rFont val="Arial"/>
        <family val="2"/>
      </rPr>
      <t>E</t>
    </r>
    <r>
      <rPr>
        <sz val="10"/>
        <rFont val="Arial"/>
        <family val="2"/>
      </rPr>
      <t xml:space="preserve"> below applies.</t>
    </r>
  </si>
  <si>
    <r>
      <rPr>
        <b/>
        <sz val="10"/>
        <rFont val="Arial"/>
        <family val="2"/>
      </rPr>
      <t>Yes.</t>
    </r>
    <r>
      <rPr>
        <sz val="10"/>
        <rFont val="Arial"/>
        <family val="2"/>
      </rPr>
      <t xml:space="preserve"> You may owe a penalty, but </t>
    </r>
    <r>
      <rPr>
        <b/>
        <sz val="10"/>
        <rFont val="Arial"/>
        <family val="2"/>
      </rPr>
      <t>don't</t>
    </r>
    <r>
      <rPr>
        <sz val="10"/>
        <rFont val="Arial"/>
        <family val="2"/>
      </rPr>
      <t xml:space="preserve"> file Form 2210 unless one or more boxes in Part II below applies.</t>
    </r>
  </si>
  <si>
    <r>
      <t xml:space="preserve">If box </t>
    </r>
    <r>
      <rPr>
        <b/>
        <sz val="10"/>
        <rFont val="Arial"/>
        <family val="2"/>
      </rPr>
      <t>B</t>
    </r>
    <r>
      <rPr>
        <sz val="10"/>
        <rFont val="Arial"/>
        <family val="2"/>
      </rPr>
      <t xml:space="preserve">, </t>
    </r>
    <r>
      <rPr>
        <b/>
        <sz val="10"/>
        <rFont val="Arial"/>
        <family val="2"/>
      </rPr>
      <t>C</t>
    </r>
    <r>
      <rPr>
        <sz val="10"/>
        <rFont val="Arial"/>
        <family val="2"/>
      </rPr>
      <t xml:space="preserve">, or </t>
    </r>
    <r>
      <rPr>
        <b/>
        <sz val="10"/>
        <rFont val="Arial"/>
        <family val="2"/>
      </rPr>
      <t>D</t>
    </r>
    <r>
      <rPr>
        <sz val="10"/>
        <rFont val="Arial"/>
        <family val="2"/>
      </rPr>
      <t xml:space="preserve"> applies, you must figure your penalty and file Form 2210.</t>
    </r>
  </si>
  <si>
    <r>
      <t xml:space="preserve">If box </t>
    </r>
    <r>
      <rPr>
        <b/>
        <sz val="10"/>
        <rFont val="Arial"/>
        <family val="2"/>
      </rPr>
      <t>A</t>
    </r>
    <r>
      <rPr>
        <sz val="10"/>
        <rFont val="Arial"/>
        <family val="2"/>
      </rPr>
      <t xml:space="preserve"> or </t>
    </r>
    <r>
      <rPr>
        <b/>
        <sz val="10"/>
        <rFont val="Arial"/>
        <family val="2"/>
      </rPr>
      <t>E</t>
    </r>
    <r>
      <rPr>
        <sz val="10"/>
        <rFont val="Arial"/>
        <family val="2"/>
      </rPr>
      <t xml:space="preserve"> applies (but not </t>
    </r>
    <r>
      <rPr>
        <b/>
        <sz val="10"/>
        <rFont val="Arial"/>
        <family val="2"/>
      </rPr>
      <t>B</t>
    </r>
    <r>
      <rPr>
        <sz val="10"/>
        <rFont val="Arial"/>
        <family val="2"/>
      </rPr>
      <t>,</t>
    </r>
    <r>
      <rPr>
        <b/>
        <sz val="10"/>
        <rFont val="Arial"/>
        <family val="2"/>
      </rPr>
      <t xml:space="preserve"> C</t>
    </r>
    <r>
      <rPr>
        <sz val="10"/>
        <rFont val="Arial"/>
        <family val="2"/>
      </rPr>
      <t xml:space="preserve">, or </t>
    </r>
    <r>
      <rPr>
        <b/>
        <sz val="10"/>
        <rFont val="Arial"/>
        <family val="2"/>
      </rPr>
      <t>D</t>
    </r>
    <r>
      <rPr>
        <sz val="10"/>
        <rFont val="Arial"/>
        <family val="2"/>
      </rPr>
      <t xml:space="preserve">) file only page 1 of Form 2210. You </t>
    </r>
    <r>
      <rPr>
        <b/>
        <sz val="10"/>
        <rFont val="Arial"/>
        <family val="2"/>
      </rPr>
      <t>aren't</t>
    </r>
    <r>
      <rPr>
        <sz val="10"/>
        <rFont val="Arial"/>
        <family val="2"/>
      </rPr>
      <t xml:space="preserve"> required to figure your penalty; the IRS</t>
    </r>
  </si>
  <si>
    <t>will figure it and send you a bill for any unpaid amount. If you want to figure your penalty, you may use Part III as a worksheet</t>
  </si>
  <si>
    <t xml:space="preserve">                                                                         </t>
  </si>
  <si>
    <r>
      <t xml:space="preserve">and enter your penalty on your tax return, but </t>
    </r>
    <r>
      <rPr>
        <b/>
        <sz val="10"/>
        <rFont val="Arial"/>
        <family val="2"/>
      </rPr>
      <t>file only page 1 of Form 2210.</t>
    </r>
  </si>
  <si>
    <t xml:space="preserve"> Part II</t>
  </si>
  <si>
    <r>
      <rPr>
        <b/>
        <sz val="11"/>
        <rFont val="Arial"/>
        <family val="2"/>
      </rPr>
      <t>Reasons for Filing.</t>
    </r>
    <r>
      <rPr>
        <sz val="11"/>
        <rFont val="Arial"/>
        <family val="2"/>
      </rPr>
      <t xml:space="preserve">   </t>
    </r>
    <r>
      <rPr>
        <sz val="10"/>
        <rFont val="Arial"/>
        <family val="2"/>
      </rPr>
      <t>Check applicable boxes.</t>
    </r>
  </si>
  <si>
    <t>If none apply, don't file Form 2210.</t>
  </si>
  <si>
    <r>
      <t xml:space="preserve">You request a </t>
    </r>
    <r>
      <rPr>
        <b/>
        <sz val="10"/>
        <rFont val="Arial"/>
        <family val="2"/>
      </rPr>
      <t>waiver</t>
    </r>
    <r>
      <rPr>
        <sz val="10"/>
        <rFont val="Arial"/>
        <family val="2"/>
      </rPr>
      <t xml:space="preserve"> (see instructions) of your entire penalty. You must check this box and file page 1 of Form 2210, but you</t>
    </r>
  </si>
  <si>
    <t xml:space="preserve"> aren't required to figure your penalty.</t>
  </si>
  <si>
    <r>
      <t xml:space="preserve">You request a </t>
    </r>
    <r>
      <rPr>
        <b/>
        <sz val="10"/>
        <rFont val="Arial"/>
        <family val="2"/>
      </rPr>
      <t>waiver</t>
    </r>
    <r>
      <rPr>
        <sz val="10"/>
        <rFont val="Arial"/>
        <family val="2"/>
      </rPr>
      <t xml:space="preserve"> (see instructions) of part of your penalty. You must figure your penalty and waiver amount and file</t>
    </r>
  </si>
  <si>
    <t>Form 2210.</t>
  </si>
  <si>
    <r>
      <t xml:space="preserve">Your income varied during the year and your penalty is reduced or eliminated when figured using the </t>
    </r>
    <r>
      <rPr>
        <b/>
        <sz val="10"/>
        <rFont val="Arial"/>
        <family val="2"/>
      </rPr>
      <t>annualized income</t>
    </r>
  </si>
  <si>
    <r>
      <rPr>
        <b/>
        <sz val="10"/>
        <rFont val="Arial"/>
        <family val="2"/>
      </rPr>
      <t>installment method</t>
    </r>
    <r>
      <rPr>
        <sz val="10"/>
        <rFont val="Arial"/>
        <family val="2"/>
      </rPr>
      <t>. You must figure the penalty using Schedule Al and file Form 2210.</t>
    </r>
  </si>
  <si>
    <t>Your penalty is lower when figured by treating the federal income tax withheld from your income as paid on the dates it was</t>
  </si>
  <si>
    <t xml:space="preserve">   actually withheld, instead of in equal amounts on the payment due dates. You must figure your penalty and file Form 2210.</t>
  </si>
  <si>
    <r>
      <t xml:space="preserve">above. You must file page 1 of Form 2210, but you </t>
    </r>
    <r>
      <rPr>
        <b/>
        <sz val="10"/>
        <rFont val="Arial"/>
        <family val="2"/>
      </rPr>
      <t>aren't</t>
    </r>
    <r>
      <rPr>
        <sz val="10"/>
        <rFont val="Arial"/>
        <family val="2"/>
      </rPr>
      <t xml:space="preserve"> required to figure your penalty (unless box </t>
    </r>
    <r>
      <rPr>
        <b/>
        <sz val="10"/>
        <rFont val="Arial"/>
        <family val="2"/>
      </rPr>
      <t>B</t>
    </r>
    <r>
      <rPr>
        <sz val="10"/>
        <rFont val="Arial"/>
        <family val="2"/>
      </rPr>
      <t xml:space="preserve">, </t>
    </r>
    <r>
      <rPr>
        <b/>
        <sz val="10"/>
        <rFont val="Arial"/>
        <family val="2"/>
      </rPr>
      <t>C</t>
    </r>
    <r>
      <rPr>
        <sz val="10"/>
        <rFont val="Arial"/>
        <family val="2"/>
      </rPr>
      <t xml:space="preserve">, or </t>
    </r>
    <r>
      <rPr>
        <b/>
        <sz val="10"/>
        <rFont val="Arial"/>
        <family val="2"/>
      </rPr>
      <t>D</t>
    </r>
    <r>
      <rPr>
        <sz val="10"/>
        <rFont val="Arial"/>
        <family val="2"/>
      </rPr>
      <t xml:space="preserve"> applies).</t>
    </r>
  </si>
  <si>
    <t>For Paperwork Reduction Act Notice, see separate instructions.</t>
  </si>
  <si>
    <t>Cat. No. 11744P</t>
  </si>
  <si>
    <r>
      <t xml:space="preserve">Form  </t>
    </r>
    <r>
      <rPr>
        <b/>
        <sz val="11"/>
        <rFont val="Arial"/>
        <family val="2"/>
      </rPr>
      <t>2210</t>
    </r>
  </si>
  <si>
    <r>
      <t xml:space="preserve">Page </t>
    </r>
    <r>
      <rPr>
        <b/>
        <sz val="11"/>
        <rFont val="Arial"/>
        <family val="2"/>
      </rPr>
      <t>2</t>
    </r>
  </si>
  <si>
    <r>
      <t xml:space="preserve">Overrides   </t>
    </r>
    <r>
      <rPr>
        <b/>
        <sz val="9"/>
        <rFont val="Symbol"/>
        <family val="1"/>
        <charset val="2"/>
      </rPr>
      <t>®</t>
    </r>
  </si>
  <si>
    <t xml:space="preserve"> Part III</t>
  </si>
  <si>
    <t>Penalty Computation</t>
  </si>
  <si>
    <t>(See the instructions if you are filing Form 1040-NR.)</t>
  </si>
  <si>
    <t>See columns</t>
  </si>
  <si>
    <t>Section A—Figure Your Underpayment</t>
  </si>
  <si>
    <t>Payment Due Dates</t>
  </si>
  <si>
    <t xml:space="preserve">(c) </t>
  </si>
  <si>
    <r>
      <rPr>
        <b/>
        <sz val="12"/>
        <rFont val="Arial"/>
        <family val="2"/>
      </rPr>
      <t xml:space="preserve">Required installments. </t>
    </r>
    <r>
      <rPr>
        <sz val="12"/>
        <rFont val="Arial"/>
        <family val="2"/>
      </rPr>
      <t>If box C in Part II applies,</t>
    </r>
  </si>
  <si>
    <t>enter the amounts from Schedule AI, line 27.</t>
  </si>
  <si>
    <t>each column. For fiscal year filers, see instructions</t>
  </si>
  <si>
    <t>AJ through AQ</t>
  </si>
  <si>
    <t>Estimated tax paid and tax withheld (see the</t>
  </si>
  <si>
    <t>instructions). For column (a) only, also enter the</t>
  </si>
  <si>
    <t>amount from line 11 on line 15 column (a). If line 11</t>
  </si>
  <si>
    <t>is equal to or more than line 10 for all payment periods,</t>
  </si>
  <si>
    <t>stop here; you don't owe a penalty.</t>
  </si>
  <si>
    <t>Don't file</t>
  </si>
  <si>
    <t>Form 2210 unless you checked a box in Part II</t>
  </si>
  <si>
    <t>Enter the amount, if any, from line 18 in the previous</t>
  </si>
  <si>
    <t>column</t>
  </si>
  <si>
    <t>Add lines 11 and 12</t>
  </si>
  <si>
    <t>Add the amounts on lines 16 and 17 in the previous</t>
  </si>
  <si>
    <t xml:space="preserve">Subtract line 14 from line 13. If zero or less, enter -0-. </t>
  </si>
  <si>
    <t>For column (a) only, enter the amount from line 11</t>
  </si>
  <si>
    <t>If line 15 is zero, subtract line 13 from line 14.</t>
  </si>
  <si>
    <t>Otherwise, enter -0-</t>
  </si>
  <si>
    <r>
      <rPr>
        <b/>
        <sz val="12"/>
        <rFont val="Arial"/>
        <family val="2"/>
      </rPr>
      <t>Underpayment.</t>
    </r>
    <r>
      <rPr>
        <sz val="12"/>
        <rFont val="Arial"/>
        <family val="2"/>
      </rPr>
      <t xml:space="preserve"> If line 10 is equal to or more than</t>
    </r>
  </si>
  <si>
    <t>of the next column. Otherwise, go to line 18</t>
  </si>
  <si>
    <t xml:space="preserve"> .   .   .   . </t>
  </si>
  <si>
    <r>
      <rPr>
        <b/>
        <sz val="12"/>
        <rFont val="Arial"/>
        <family val="2"/>
      </rPr>
      <t>Overpayment.</t>
    </r>
    <r>
      <rPr>
        <sz val="12"/>
        <rFont val="Arial"/>
        <family val="2"/>
      </rPr>
      <t xml:space="preserve"> If line 15 is more than line 10,</t>
    </r>
  </si>
  <si>
    <t>subtract line 10 from line 15. Then go to line 12 of</t>
  </si>
  <si>
    <t>the next column</t>
  </si>
  <si>
    <r>
      <rPr>
        <b/>
        <sz val="12"/>
        <rFont val="Arial"/>
        <family val="2"/>
      </rPr>
      <t xml:space="preserve">Section B - Figure the Penalty   </t>
    </r>
    <r>
      <rPr>
        <sz val="12"/>
        <rFont val="Arial"/>
        <family val="2"/>
      </rPr>
      <t xml:space="preserve"> </t>
    </r>
    <r>
      <rPr>
        <sz val="11"/>
        <rFont val="Arial"/>
        <family val="2"/>
      </rPr>
      <t>(Use the Worksheet for Form 2210, Part III, Section B - Figure Penalty in the instructions.)</t>
    </r>
  </si>
  <si>
    <t>Figure the Penalty. Also include this amount on Form 1040, 1040-SR, or 1040-NR, line 38; or</t>
  </si>
  <si>
    <t>(c)</t>
  </si>
  <si>
    <t>14a</t>
  </si>
  <si>
    <t>14b</t>
  </si>
  <si>
    <t>14c</t>
  </si>
  <si>
    <t>Add lines 24 and 25</t>
  </si>
  <si>
    <t>Worksheet for Form 2210, Part III, Section B—Figure the Penalty</t>
  </si>
  <si>
    <t>(Penalty Worksheet)</t>
  </si>
  <si>
    <t xml:space="preserve">Complete Rate Period 1 of each column before going to the next column; then go to Rate Periods 2, 3, and 4 in the </t>
  </si>
  <si>
    <t>same manner. If multiple estimated tax payments are applied to the underpayment amount in a column of line 1a,</t>
  </si>
  <si>
    <t>you will need to make more than one computation for that column.</t>
  </si>
  <si>
    <t xml:space="preserve">1a  </t>
  </si>
  <si>
    <t>Enter your underpayment from Part III, Section A, line 17</t>
  </si>
  <si>
    <r>
      <t xml:space="preserve">Date and amount of each payment applied to the underpayment 
in the same column. Don't enter more than the underpayment amount on line 1a for each column (see instructions). 
</t>
    </r>
    <r>
      <rPr>
        <b/>
        <sz val="9"/>
        <rFont val="Arial"/>
        <family val="2"/>
      </rPr>
      <t>Note:</t>
    </r>
    <r>
      <rPr>
        <sz val="9"/>
        <rFont val="Arial"/>
        <family val="2"/>
      </rPr>
      <t xml:space="preserve"> Your payments are applied in the order made first to any underpayment balance in an earlier column until that 
underpayment is fully paid.</t>
    </r>
  </si>
  <si>
    <t>1.b</t>
  </si>
  <si>
    <t>Rate Period 1:</t>
  </si>
  <si>
    <t>Computation starting dates for this period</t>
  </si>
  <si>
    <t>Days:</t>
  </si>
  <si>
    <r>
      <t xml:space="preserve">Number of days </t>
    </r>
    <r>
      <rPr>
        <b/>
        <sz val="9"/>
        <rFont val="Arial"/>
        <family val="2"/>
      </rPr>
      <t>from</t>
    </r>
    <r>
      <rPr>
        <sz val="9"/>
        <rFont val="Arial"/>
        <family val="2"/>
      </rPr>
      <t xml:space="preserve"> the date on line 2 to the date the amount </t>
    </r>
  </si>
  <si>
    <r>
      <t xml:space="preserve">on line 1a was paid   </t>
    </r>
    <r>
      <rPr>
        <b/>
        <sz val="9"/>
        <rFont val="Arial"/>
        <family val="2"/>
      </rPr>
      <t>or</t>
    </r>
  </si>
  <si>
    <t>Underpayment</t>
  </si>
  <si>
    <t>Number of days</t>
  </si>
  <si>
    <t>on line 1a</t>
  </si>
  <si>
    <t>on line 3</t>
  </si>
  <si>
    <t>Rate Period 2:</t>
  </si>
  <si>
    <r>
      <t xml:space="preserve">Number of days </t>
    </r>
    <r>
      <rPr>
        <b/>
        <sz val="9"/>
        <rFont val="Arial"/>
        <family val="2"/>
      </rPr>
      <t>from</t>
    </r>
    <r>
      <rPr>
        <sz val="9"/>
        <rFont val="Arial"/>
        <family val="2"/>
      </rPr>
      <t xml:space="preserve"> the date on line 5 to the date the amount </t>
    </r>
  </si>
  <si>
    <t>on line 6</t>
  </si>
  <si>
    <t>Rate Period 3:</t>
  </si>
  <si>
    <r>
      <t xml:space="preserve">Number of days </t>
    </r>
    <r>
      <rPr>
        <b/>
        <sz val="9"/>
        <rFont val="Arial"/>
        <family val="2"/>
      </rPr>
      <t>from</t>
    </r>
    <r>
      <rPr>
        <sz val="9"/>
        <rFont val="Arial"/>
        <family val="2"/>
      </rPr>
      <t xml:space="preserve"> the date on line 8 to the date the amount </t>
    </r>
  </si>
  <si>
    <t>on line 9</t>
  </si>
  <si>
    <t>Rate Period 4:</t>
  </si>
  <si>
    <r>
      <t xml:space="preserve">Number of days </t>
    </r>
    <r>
      <rPr>
        <b/>
        <sz val="9"/>
        <rFont val="Arial"/>
        <family val="2"/>
      </rPr>
      <t>from</t>
    </r>
    <r>
      <rPr>
        <sz val="9"/>
        <rFont val="Arial"/>
        <family val="2"/>
      </rPr>
      <t xml:space="preserve"> the date on line 11 to the date the amount </t>
    </r>
  </si>
  <si>
    <t>on line 12</t>
  </si>
  <si>
    <t>Penalty. Add all amounts on lines 4, 7, 10, and 13 in all columns. Enter the total here and on line 19 of Part III,</t>
  </si>
  <si>
    <t>Section B</t>
  </si>
  <si>
    <t>-7-</t>
  </si>
  <si>
    <t>Download Form 2210</t>
  </si>
  <si>
    <t>Download Form 2210 Instructions</t>
  </si>
  <si>
    <t>PYMNT</t>
  </si>
  <si>
    <t>UNDER</t>
  </si>
  <si>
    <t>DATE</t>
  </si>
  <si>
    <t>AMT.</t>
  </si>
  <si>
    <t>TOTAL</t>
  </si>
  <si>
    <t>PYMT</t>
  </si>
  <si>
    <t>Add lines 1 and 2</t>
  </si>
  <si>
    <t>Tax on the amount on line 3.</t>
  </si>
  <si>
    <t>Married Persons Filing Separately  (See Form 2441 instructions.)</t>
  </si>
  <si>
    <t>Child and Dependent Care Expenses</t>
  </si>
  <si>
    <t xml:space="preserve">Generally, married persons must file a joint return to claim the credit. </t>
  </si>
  <si>
    <t xml:space="preserve">If your filing status is married filing separately and all of the following apply, </t>
  </si>
  <si>
    <t xml:space="preserve">Department of the Treasury  </t>
  </si>
  <si>
    <t xml:space="preserve">   Attach to Form 1040, 1040-SR, or 1040-NR.</t>
  </si>
  <si>
    <t xml:space="preserve">        Attachment </t>
  </si>
  <si>
    <t>you are considered unmarried for purposes of claiming the credit on Form 2441.</t>
  </si>
  <si>
    <t>Sequence No.</t>
  </si>
  <si>
    <t>Check 'Yes' or 'No'</t>
  </si>
  <si>
    <t>box to the right</t>
  </si>
  <si>
    <t>and below as to</t>
  </si>
  <si>
    <r>
      <rPr>
        <b/>
        <sz val="11"/>
        <rFont val="Arial"/>
        <family val="2"/>
      </rPr>
      <t>A</t>
    </r>
    <r>
      <rPr>
        <sz val="11"/>
        <rFont val="Arial"/>
        <family val="2"/>
      </rPr>
      <t xml:space="preserve">  You can't claim a credit for  child and dependent care expenses if your filing status is  married filing separately  unless you meet the</t>
    </r>
  </si>
  <si>
    <t xml:space="preserve">whether or not you </t>
  </si>
  <si>
    <r>
      <t xml:space="preserve">requirements listed in the instructions under </t>
    </r>
    <r>
      <rPr>
        <i/>
        <sz val="11"/>
        <rFont val="Arial"/>
        <family val="2"/>
      </rPr>
      <t>Married Persons Filing Separately</t>
    </r>
    <r>
      <rPr>
        <sz val="11"/>
        <rFont val="Arial"/>
        <family val="2"/>
      </rPr>
      <t>.</t>
    </r>
  </si>
  <si>
    <t>meet the requirements</t>
  </si>
  <si>
    <t>to be considered</t>
  </si>
  <si>
    <t>See instructions for Form 2441.</t>
  </si>
  <si>
    <t>unmarried' for the</t>
  </si>
  <si>
    <r>
      <t xml:space="preserve">   Persons or Organizations Who Provided the Care – </t>
    </r>
    <r>
      <rPr>
        <sz val="12"/>
        <rFont val="Arial"/>
        <family val="2"/>
      </rPr>
      <t xml:space="preserve">You </t>
    </r>
    <r>
      <rPr>
        <b/>
        <sz val="12"/>
        <rFont val="Arial"/>
        <family val="2"/>
      </rPr>
      <t>must</t>
    </r>
    <r>
      <rPr>
        <sz val="12"/>
        <rFont val="Arial"/>
        <family val="2"/>
      </rPr>
      <t xml:space="preserve"> complete this part.</t>
    </r>
  </si>
  <si>
    <t>purposes of claiming</t>
  </si>
  <si>
    <r>
      <t xml:space="preserve">If you meet all the requirements to be treated as unmarried </t>
    </r>
    <r>
      <rPr>
        <u/>
        <sz val="10"/>
        <rFont val="Arial"/>
        <family val="2"/>
      </rPr>
      <t>and</t>
    </r>
    <r>
      <rPr>
        <sz val="10"/>
        <rFont val="Arial"/>
        <family val="2"/>
      </rPr>
      <t xml:space="preserve"> meet items 2</t>
    </r>
  </si>
  <si>
    <t>If you have more than three care providers, see the instructions and check this box</t>
  </si>
  <si>
    <t>the credit on</t>
  </si>
  <si>
    <t>through 5 listed in the instructions, you can take the credit or the exclusion. If you</t>
  </si>
  <si>
    <t xml:space="preserve"> 1     (a)</t>
  </si>
  <si>
    <t xml:space="preserve"> Care provider's</t>
  </si>
  <si>
    <r>
      <t>(b)</t>
    </r>
    <r>
      <rPr>
        <sz val="8"/>
        <rFont val="Arial"/>
        <family val="2"/>
      </rPr>
      <t xml:space="preserve"> Address</t>
    </r>
  </si>
  <si>
    <r>
      <rPr>
        <b/>
        <sz val="8"/>
        <rFont val="Arial"/>
        <family val="2"/>
      </rPr>
      <t>(c)</t>
    </r>
    <r>
      <rPr>
        <sz val="8"/>
        <rFont val="Arial"/>
        <family val="2"/>
      </rPr>
      <t xml:space="preserve"> Identifying number 
(SSN or EIN)</t>
    </r>
  </si>
  <si>
    <r>
      <t xml:space="preserve">        (e)</t>
    </r>
    <r>
      <rPr>
        <sz val="8"/>
        <rFont val="Arial"/>
        <family val="2"/>
      </rPr>
      <t xml:space="preserve"> Amount paid</t>
    </r>
  </si>
  <si>
    <t>Form 2441.</t>
  </si>
  <si>
    <t>don't meet all the requirements to be treated as unmarried, you can't take the credit.</t>
  </si>
  <si>
    <t xml:space="preserve">    name</t>
  </si>
  <si>
    <t xml:space="preserve">     (number, street, apt. no., city, state, and ZIP code)</t>
  </si>
  <si>
    <t xml:space="preserve">        (see instructions)</t>
  </si>
  <si>
    <r>
      <t xml:space="preserve"> </t>
    </r>
    <r>
      <rPr>
        <b/>
        <sz val="10"/>
        <rFont val="Arial"/>
        <family val="2"/>
      </rPr>
      <t>Yes.</t>
    </r>
    <r>
      <rPr>
        <sz val="10"/>
        <rFont val="Arial"/>
        <family val="2"/>
      </rPr>
      <t xml:space="preserve">  I meet these requirements to be considered unmarried.</t>
    </r>
  </si>
  <si>
    <r>
      <t xml:space="preserve"> </t>
    </r>
    <r>
      <rPr>
        <b/>
        <sz val="10"/>
        <rFont val="Arial"/>
        <family val="2"/>
      </rPr>
      <t>No.</t>
    </r>
    <r>
      <rPr>
        <sz val="10"/>
        <rFont val="Arial"/>
        <family val="2"/>
      </rPr>
      <t xml:space="preserve">   I don't meet these requirements and, therefore, I can't take the credit.</t>
    </r>
  </si>
  <si>
    <t>Did you receive</t>
  </si>
  <si>
    <t>Complete only Part II below.</t>
  </si>
  <si>
    <t>Earned income for figuring the credit includes the following amounts.</t>
  </si>
  <si>
    <t xml:space="preserve"> dependent care benefits?</t>
  </si>
  <si>
    <t>Complete Part III on page 2 next.</t>
  </si>
  <si>
    <t>Credit for Child and Dependent Care Expenses</t>
  </si>
  <si>
    <r>
      <t xml:space="preserve">a. Excluded as foreign earned income (including any
housing exclusion) on </t>
    </r>
    <r>
      <rPr>
        <b/>
        <sz val="10"/>
        <rFont val="Arial"/>
        <family val="2"/>
      </rPr>
      <t>Form 2555, line 43</t>
    </r>
    <r>
      <rPr>
        <sz val="10"/>
        <rFont val="Arial"/>
        <family val="2"/>
      </rPr>
      <t>,</t>
    </r>
  </si>
  <si>
    <t>)(</t>
  </si>
  <si>
    <r>
      <t xml:space="preserve">Information about your </t>
    </r>
    <r>
      <rPr>
        <b/>
        <sz val="10"/>
        <rFont val="Arial"/>
        <family val="2"/>
      </rPr>
      <t>qualifying person(s).</t>
    </r>
    <r>
      <rPr>
        <sz val="10"/>
        <rFont val="Arial"/>
        <family val="2"/>
      </rPr>
      <t xml:space="preserve"> If you have more than three qualifying persons, see the instructions and check this box.</t>
    </r>
  </si>
  <si>
    <r>
      <t>(a)</t>
    </r>
    <r>
      <rPr>
        <sz val="8"/>
        <rFont val="Arial"/>
        <family val="2"/>
      </rPr>
      <t xml:space="preserve"> Qualifying person's name</t>
    </r>
  </si>
  <si>
    <r>
      <t xml:space="preserve"> </t>
    </r>
    <r>
      <rPr>
        <b/>
        <sz val="8"/>
        <rFont val="Arial"/>
        <family val="2"/>
      </rPr>
      <t>(b)</t>
    </r>
    <r>
      <rPr>
        <sz val="8"/>
        <rFont val="Arial"/>
        <family val="2"/>
      </rPr>
      <t xml:space="preserve"> Qualifying person's social
security number</t>
    </r>
  </si>
  <si>
    <t>(c) Check here if the qualifying person was over age 12 and disabled. (see instructions)</t>
  </si>
  <si>
    <r>
      <t>(d)</t>
    </r>
    <r>
      <rPr>
        <sz val="8"/>
        <rFont val="Arial"/>
        <family val="2"/>
      </rPr>
      <t xml:space="preserve"> </t>
    </r>
    <r>
      <rPr>
        <b/>
        <sz val="8"/>
        <rFont val="Arial"/>
        <family val="2"/>
      </rPr>
      <t>Qualified expenses</t>
    </r>
    <r>
      <rPr>
        <sz val="8"/>
        <rFont val="Arial"/>
        <family val="2"/>
      </rPr>
      <t xml:space="preserve"> you</t>
    </r>
  </si>
  <si>
    <t>First</t>
  </si>
  <si>
    <t>Last</t>
  </si>
  <si>
    <t>the person listed in column (a)</t>
  </si>
  <si>
    <t>No. of qualifying persons.</t>
  </si>
  <si>
    <r>
      <t xml:space="preserve">2. The amount shown on </t>
    </r>
    <r>
      <rPr>
        <b/>
        <sz val="10"/>
        <rFont val="Arial"/>
        <family val="2"/>
      </rPr>
      <t>Schedule SE, line 3</t>
    </r>
    <r>
      <rPr>
        <sz val="10"/>
        <rFont val="Arial"/>
        <family val="2"/>
      </rPr>
      <t xml:space="preserve">, </t>
    </r>
  </si>
  <si>
    <t>&lt;&lt;</t>
  </si>
  <si>
    <t>Don't</t>
  </si>
  <si>
    <r>
      <t xml:space="preserve">Enter your </t>
    </r>
    <r>
      <rPr>
        <b/>
        <sz val="10"/>
        <rFont val="Arial"/>
        <family val="2"/>
      </rPr>
      <t xml:space="preserve">earned income.   </t>
    </r>
    <r>
      <rPr>
        <sz val="10"/>
        <rFont val="Arial"/>
        <family val="2"/>
      </rPr>
      <t>See instructions</t>
    </r>
  </si>
  <si>
    <t>If married filing jointly,  enter your spouse’s earned income  (if you or your spouse was a student</t>
  </si>
  <si>
    <r>
      <t xml:space="preserve">or was disabled, see the instructions); </t>
    </r>
    <r>
      <rPr>
        <b/>
        <sz val="10"/>
        <rFont val="Arial"/>
        <family val="2"/>
      </rPr>
      <t>all others</t>
    </r>
    <r>
      <rPr>
        <sz val="10"/>
        <rFont val="Arial"/>
        <family val="2"/>
      </rPr>
      <t>, enter the amount from line 4</t>
    </r>
  </si>
  <si>
    <r>
      <t xml:space="preserve">Enter the </t>
    </r>
    <r>
      <rPr>
        <b/>
        <sz val="10"/>
        <rFont val="Arial"/>
        <family val="2"/>
      </rPr>
      <t>smallest</t>
    </r>
    <r>
      <rPr>
        <sz val="10"/>
        <rFont val="Arial"/>
        <family val="2"/>
      </rPr>
      <t xml:space="preserve"> of line 3, 4, or 5</t>
    </r>
  </si>
  <si>
    <t>Enter on line 8 the decimal amount shown below that applies to the amount on line 7.</t>
  </si>
  <si>
    <t>If line 7 is:</t>
  </si>
  <si>
    <t>But not</t>
  </si>
  <si>
    <t>Dec. amt.</t>
  </si>
  <si>
    <t>Over</t>
  </si>
  <si>
    <t>Decimal</t>
  </si>
  <si>
    <r>
      <t xml:space="preserve">3. If you are filing </t>
    </r>
    <r>
      <rPr>
        <b/>
        <sz val="10"/>
        <rFont val="Arial"/>
        <family val="2"/>
      </rPr>
      <t xml:space="preserve">Schedule C (Form 1040) </t>
    </r>
  </si>
  <si>
    <t>over</t>
  </si>
  <si>
    <t>amount is</t>
  </si>
  <si>
    <r>
      <rPr>
        <b/>
        <sz val="10"/>
        <rFont val="Arial"/>
        <family val="2"/>
      </rPr>
      <t>as a statutory employee</t>
    </r>
    <r>
      <rPr>
        <sz val="10"/>
        <rFont val="Arial"/>
        <family val="2"/>
      </rPr>
      <t>, the amount shown on</t>
    </r>
    <r>
      <rPr>
        <b/>
        <sz val="10"/>
        <rFont val="Arial"/>
        <family val="2"/>
      </rPr>
      <t xml:space="preserve"> line1</t>
    </r>
    <r>
      <rPr>
        <sz val="10"/>
        <rFont val="Arial"/>
        <family val="2"/>
      </rPr>
      <t xml:space="preserve"> of the</t>
    </r>
  </si>
  <si>
    <t>--</t>
  </si>
  <si>
    <t>schedule.</t>
  </si>
  <si>
    <t xml:space="preserve">X </t>
  </si>
  <si>
    <r>
      <t xml:space="preserve">4. </t>
    </r>
    <r>
      <rPr>
        <b/>
        <sz val="10"/>
        <rFont val="Arial"/>
        <family val="2"/>
      </rPr>
      <t>Nontaxable combat pay</t>
    </r>
    <r>
      <rPr>
        <sz val="10"/>
        <rFont val="Arial"/>
        <family val="2"/>
      </rPr>
      <t>, if you elect to include it in</t>
    </r>
  </si>
  <si>
    <t>earned income. However, including this income will only</t>
  </si>
  <si>
    <t>No limit</t>
  </si>
  <si>
    <t>give you a larger credit if your (or your spouse's) other</t>
  </si>
  <si>
    <t>earned income is less than the amount entered on line 3.</t>
  </si>
  <si>
    <t>To make the election, include all of your nontaxable</t>
  </si>
  <si>
    <t>Multiply line 6 by the decimal amount on line 8</t>
  </si>
  <si>
    <t>combat pay in the amount you enter on line 4 (line 5 for</t>
  </si>
  <si>
    <t xml:space="preserve">  b</t>
  </si>
  <si>
    <t>your spouse if filing jointly).</t>
  </si>
  <si>
    <t>If you are filing jointly and both you and your spouse</t>
  </si>
  <si>
    <t xml:space="preserve">  c</t>
  </si>
  <si>
    <t>Add lines 9a and 9b and enter the result.</t>
  </si>
  <si>
    <t>9c</t>
  </si>
  <si>
    <t>received nontaxable combat pay, you can each make</t>
  </si>
  <si>
    <r>
      <t xml:space="preserve">Tax liability limit. </t>
    </r>
    <r>
      <rPr>
        <sz val="9"/>
        <rFont val="Arial"/>
        <family val="2"/>
      </rPr>
      <t>Enter amount from the Credit Limit Worksheet in the instructions</t>
    </r>
  </si>
  <si>
    <t>your own election. (In other words, if one of you makes the</t>
  </si>
  <si>
    <t>election, the other one can also make it but does not have</t>
  </si>
  <si>
    <t>on Schedule 3 (Form 1040), line 2</t>
  </si>
  <si>
    <t>to.) The amount of your nontaxable combat pay should be</t>
  </si>
  <si>
    <t>Cat. No. 11862M</t>
  </si>
  <si>
    <t>shown in box 12 of your Form(s) W-2 with code Q.</t>
  </si>
  <si>
    <t xml:space="preserve">  Dependent Care Benefits</t>
  </si>
  <si>
    <r>
      <t xml:space="preserve">as an employee should be shown in box 10 of your Form(s) W-2. </t>
    </r>
    <r>
      <rPr>
        <b/>
        <sz val="11"/>
        <rFont val="Arial"/>
        <family val="2"/>
      </rPr>
      <t>Don’t</t>
    </r>
    <r>
      <rPr>
        <sz val="11"/>
        <rFont val="Arial"/>
        <family val="2"/>
      </rPr>
      <t xml:space="preserve"> include amounts</t>
    </r>
  </si>
  <si>
    <t>reported as wages in box 1 of Form(s) W-2. If you were self-employed or a partner, include</t>
  </si>
  <si>
    <t>Combine lines 12 through 14. See instructions</t>
  </si>
  <si>
    <t>Input to:</t>
  </si>
  <si>
    <r>
      <t xml:space="preserve">Enter the total amount of </t>
    </r>
    <r>
      <rPr>
        <b/>
        <sz val="11"/>
        <rFont val="Arial"/>
        <family val="2"/>
      </rPr>
      <t xml:space="preserve">qualified expenses </t>
    </r>
    <r>
      <rPr>
        <sz val="11"/>
        <rFont val="Arial"/>
        <family val="2"/>
      </rPr>
      <t xml:space="preserve"> incurred</t>
    </r>
  </si>
  <si>
    <r>
      <t xml:space="preserve">the care of </t>
    </r>
    <r>
      <rPr>
        <b/>
        <sz val="11"/>
        <rFont val="Arial"/>
        <family val="2"/>
      </rPr>
      <t>qualifying person(s)</t>
    </r>
  </si>
  <si>
    <r>
      <t xml:space="preserve">Enter the </t>
    </r>
    <r>
      <rPr>
        <b/>
        <sz val="12"/>
        <rFont val="Arial"/>
        <family val="2"/>
      </rPr>
      <t>smaller</t>
    </r>
    <r>
      <rPr>
        <sz val="12"/>
        <rFont val="Arial"/>
        <family val="2"/>
      </rPr>
      <t xml:space="preserve"> of line 15 or 16</t>
    </r>
  </si>
  <si>
    <t>Indicate at the top</t>
  </si>
  <si>
    <r>
      <t xml:space="preserve">Enter your </t>
    </r>
    <r>
      <rPr>
        <b/>
        <sz val="12"/>
        <rFont val="Arial"/>
        <family val="2"/>
      </rPr>
      <t>earned income.</t>
    </r>
    <r>
      <rPr>
        <sz val="12"/>
        <rFont val="Arial"/>
        <family val="2"/>
      </rPr>
      <t xml:space="preserve">  See instructions</t>
    </r>
  </si>
  <si>
    <t>and to the right</t>
  </si>
  <si>
    <t>as to whether or</t>
  </si>
  <si>
    <t>to you.</t>
  </si>
  <si>
    <t>not you meet the</t>
  </si>
  <si>
    <t>requirements to</t>
  </si>
  <si>
    <t xml:space="preserve">be considered </t>
  </si>
  <si>
    <t xml:space="preserve">     instructions for line 5).</t>
  </si>
  <si>
    <r>
      <t xml:space="preserve">Enter the </t>
    </r>
    <r>
      <rPr>
        <b/>
        <sz val="12"/>
        <rFont val="Arial"/>
        <family val="2"/>
      </rPr>
      <t>smallest</t>
    </r>
    <r>
      <rPr>
        <sz val="12"/>
        <rFont val="Arial"/>
        <family val="2"/>
      </rPr>
      <t xml:space="preserve"> of line 17, 18, or 19</t>
    </r>
  </si>
  <si>
    <r>
      <t xml:space="preserve"> filing separately </t>
    </r>
    <r>
      <rPr>
        <b/>
        <sz val="12"/>
        <rFont val="Arial"/>
        <family val="2"/>
      </rPr>
      <t>and</t>
    </r>
    <r>
      <rPr>
        <sz val="12"/>
        <rFont val="Arial"/>
        <family val="2"/>
      </rPr>
      <t xml:space="preserve"> you were</t>
    </r>
  </si>
  <si>
    <t>Is any amount on line 12 from your sole proprietorship or partnership?</t>
  </si>
  <si>
    <r>
      <rPr>
        <b/>
        <u/>
        <sz val="10"/>
        <rFont val="Arial"/>
        <family val="2"/>
      </rPr>
      <t xml:space="preserve">Lines 27 through 31 </t>
    </r>
    <r>
      <rPr>
        <sz val="10"/>
        <rFont val="Arial"/>
        <family val="2"/>
      </rPr>
      <t xml:space="preserve">
If you are reporting dependent care benefits in Part III of the form, you will need to complete lines 27 through 31 if you are also claiming the credit for child and dependent care expenses in Part II of the form.</t>
    </r>
  </si>
  <si>
    <r>
      <rPr>
        <b/>
        <sz val="12"/>
        <rFont val="Arial"/>
        <family val="2"/>
      </rPr>
      <t>No.</t>
    </r>
    <r>
      <rPr>
        <sz val="12"/>
        <rFont val="Arial"/>
        <family val="2"/>
      </rPr>
      <t xml:space="preserve">   Enter -0-. </t>
    </r>
  </si>
  <si>
    <r>
      <rPr>
        <b/>
        <sz val="12"/>
        <rFont val="Arial"/>
        <family val="2"/>
      </rPr>
      <t>Yes.</t>
    </r>
    <r>
      <rPr>
        <sz val="12"/>
        <rFont val="Arial"/>
        <family val="2"/>
      </rPr>
      <t xml:space="preserve">   Enter the amount here</t>
    </r>
  </si>
  <si>
    <t>Subtract line 22 from line 15</t>
  </si>
  <si>
    <r>
      <rPr>
        <b/>
        <sz val="12"/>
        <rFont val="Arial"/>
        <family val="2"/>
      </rPr>
      <t>Excluded benefits.</t>
    </r>
    <r>
      <rPr>
        <sz val="12"/>
        <rFont val="Arial"/>
        <family val="2"/>
      </rPr>
      <t xml:space="preserve"> </t>
    </r>
    <r>
      <rPr>
        <b/>
        <sz val="12"/>
        <rFont val="Arial"/>
        <family val="2"/>
      </rPr>
      <t xml:space="preserve"> </t>
    </r>
    <r>
      <rPr>
        <sz val="12"/>
        <rFont val="Arial"/>
        <family val="2"/>
      </rPr>
      <t>If you checked "No" on line 22, enter the smaller of line 20 or 21.</t>
    </r>
  </si>
  <si>
    <r>
      <t>Otherwise, subtract line 24 from the smaller of line 20 or line 21. If zero or less, enter -0-.</t>
    </r>
    <r>
      <rPr>
        <b/>
        <sz val="10"/>
        <rFont val="Arial"/>
        <family val="2"/>
      </rPr>
      <t/>
    </r>
  </si>
  <si>
    <r>
      <rPr>
        <b/>
        <sz val="11"/>
        <rFont val="Arial"/>
        <family val="2"/>
      </rPr>
      <t>Taxable benefits.</t>
    </r>
    <r>
      <rPr>
        <sz val="11"/>
        <rFont val="Arial"/>
        <family val="2"/>
      </rPr>
      <t xml:space="preserve"> Subtract line 25 from line 23. If zero or less, enter -0-. Also, enter this amount</t>
    </r>
  </si>
  <si>
    <t>on Form 1040, 1040-SR or 1040-NR, line 1e</t>
  </si>
  <si>
    <t>To claim the child and dependent care credit,</t>
  </si>
  <si>
    <t>complete lines 27 through 31 below.</t>
  </si>
  <si>
    <t>Subtract line 28 from line 27.</t>
  </si>
  <si>
    <r>
      <t xml:space="preserve">If zero or less, </t>
    </r>
    <r>
      <rPr>
        <b/>
        <sz val="11"/>
        <rFont val="Arial"/>
        <family val="2"/>
      </rPr>
      <t>stop</t>
    </r>
    <r>
      <rPr>
        <sz val="11"/>
        <rFont val="Arial"/>
        <family val="2"/>
      </rPr>
      <t>.    You can't take the credit.</t>
    </r>
  </si>
  <si>
    <r>
      <t xml:space="preserve">Complete line 2 on the front of this form. </t>
    </r>
    <r>
      <rPr>
        <b/>
        <sz val="11"/>
        <rFont val="Arial"/>
        <family val="2"/>
      </rPr>
      <t>Don't</t>
    </r>
    <r>
      <rPr>
        <sz val="11"/>
        <rFont val="Arial"/>
        <family val="2"/>
      </rPr>
      <t xml:space="preserve"> include in column (d) any benefits shown on</t>
    </r>
  </si>
  <si>
    <r>
      <t xml:space="preserve">Enter the </t>
    </r>
    <r>
      <rPr>
        <b/>
        <sz val="11"/>
        <rFont val="Arial"/>
        <family val="2"/>
      </rPr>
      <t>smaller</t>
    </r>
    <r>
      <rPr>
        <sz val="11"/>
        <rFont val="Arial"/>
        <family val="2"/>
      </rPr>
      <t xml:space="preserve"> of line 29 or 30. Also, enter this amount on line 3 on page 1 of this form and</t>
    </r>
  </si>
  <si>
    <t>complete lines 4 through 11</t>
  </si>
  <si>
    <t>Attachment to:</t>
  </si>
  <si>
    <r>
      <t xml:space="preserve">   Persons or Organizations Who Provided the Care –</t>
    </r>
    <r>
      <rPr>
        <sz val="12"/>
        <rFont val="Arial"/>
        <family val="2"/>
      </rPr>
      <t xml:space="preserve"> (Continued)</t>
    </r>
  </si>
  <si>
    <r>
      <rPr>
        <b/>
        <sz val="11"/>
        <rFont val="Arial"/>
        <family val="2"/>
      </rPr>
      <t xml:space="preserve"> 1</t>
    </r>
    <r>
      <rPr>
        <b/>
        <sz val="8"/>
        <rFont val="Arial"/>
        <family val="2"/>
      </rPr>
      <t xml:space="preserve">     (a)</t>
    </r>
  </si>
  <si>
    <r>
      <rPr>
        <b/>
        <sz val="8"/>
        <rFont val="Arial"/>
        <family val="2"/>
      </rPr>
      <t>(c)</t>
    </r>
    <r>
      <rPr>
        <sz val="8"/>
        <rFont val="Arial"/>
        <family val="2"/>
      </rPr>
      <t xml:space="preserve"> Identifying number</t>
    </r>
  </si>
  <si>
    <t>(SSN or EIN)</t>
  </si>
  <si>
    <r>
      <t xml:space="preserve">Credit for Child and Dependent Care Expenses </t>
    </r>
    <r>
      <rPr>
        <sz val="11"/>
        <rFont val="Arial"/>
        <family val="2"/>
      </rPr>
      <t>– (Continued)</t>
    </r>
  </si>
  <si>
    <t>Credit Limit Worksheet -- For Line 10.</t>
  </si>
  <si>
    <t>Complete this worksheet to figure the amount to enter on line 10.</t>
  </si>
  <si>
    <t>Enter the amount from Form 1040, 1040-SR, or</t>
  </si>
  <si>
    <t>1040-NR, line 18</t>
  </si>
  <si>
    <t>Enter the amount from Schedule 3 (Form 1040), line 1</t>
  </si>
  <si>
    <t>(foreign tax credit) and line 6l (Form 8978, line 14)</t>
  </si>
  <si>
    <t>Subtract line 2 from line 1. also, enter this amount on</t>
  </si>
  <si>
    <t>Form 2441, line 10. But If zero or less, stop; you can’t take the credit</t>
  </si>
  <si>
    <t>Worksheet A.</t>
  </si>
  <si>
    <t>Add the amounts on lines 1 and 2</t>
  </si>
  <si>
    <t>Number of qualifiying</t>
  </si>
  <si>
    <t>Subtract the amount on line 5 from the amount on line 4 and enter the result</t>
  </si>
  <si>
    <t>smaller amount</t>
  </si>
  <si>
    <t>Compare the amounts on lines 3, 6, and 7, and enter the smallest amount</t>
  </si>
  <si>
    <t>Subtract the amount on line 9 from the amount on line 8 and enter the result.</t>
  </si>
  <si>
    <t>If zero or less, stop here.</t>
  </si>
  <si>
    <t>But not over:</t>
  </si>
  <si>
    <t>THEN the decimal amount is:</t>
  </si>
  <si>
    <t>Multiply line 10 by line 12 and enter the amount here and on Form 2441, line 9b</t>
  </si>
  <si>
    <t>Name, address, and identifying number of persons or organizations who provided the care:</t>
  </si>
  <si>
    <t>First and last name and taxpayer identification number of the qualifying person that received the care:</t>
  </si>
  <si>
    <t>Attach to your tax return a copy of this worksheet or a statement explaining how you figured the credit for prior-year expenses that</t>
  </si>
  <si>
    <t>includes all the same information that is in the worksheet, including the name, address, and taxpayer identification number of the</t>
  </si>
  <si>
    <t>persons or organizations providing the care and the name and taxpayer identification number of the person for whom you paid for</t>
  </si>
  <si>
    <t>care.</t>
  </si>
  <si>
    <t>Download Form 2441</t>
  </si>
  <si>
    <t>Download Form 2441 Instructions</t>
  </si>
  <si>
    <t>Foreign Earned Income</t>
  </si>
  <si>
    <t>This form is for:</t>
  </si>
  <si>
    <t xml:space="preserve">   Attachment     </t>
  </si>
  <si>
    <t>Your spouse</t>
  </si>
  <si>
    <r>
      <t xml:space="preserve">Go to </t>
    </r>
    <r>
      <rPr>
        <b/>
        <i/>
        <sz val="9"/>
        <rFont val="Arial"/>
        <family val="2"/>
      </rPr>
      <t>www.irs.gov/Form2555</t>
    </r>
    <r>
      <rPr>
        <b/>
        <sz val="9"/>
        <rFont val="Arial"/>
        <family val="2"/>
      </rPr>
      <t xml:space="preserve"> for instructions and the latest information.</t>
    </r>
  </si>
  <si>
    <t>For Use by U.S. Citizens and Resident Aliens Only</t>
  </si>
  <si>
    <t>Name shown on Form 1040 or 1040-SR</t>
  </si>
  <si>
    <t>General Information</t>
  </si>
  <si>
    <t>Your foreign address (including country)</t>
  </si>
  <si>
    <t>Employer’s name</t>
  </si>
  <si>
    <t>4 a</t>
  </si>
  <si>
    <t>Employer’s U.S. address</t>
  </si>
  <si>
    <t>Employer’s foreign address</t>
  </si>
  <si>
    <t>Employer is (check
any that apply):</t>
  </si>
  <si>
    <t xml:space="preserve">a </t>
  </si>
  <si>
    <t xml:space="preserve"> A foreign entity</t>
  </si>
  <si>
    <t xml:space="preserve"> A U.S. company</t>
  </si>
  <si>
    <t xml:space="preserve"> Self</t>
  </si>
  <si>
    <t xml:space="preserve">d </t>
  </si>
  <si>
    <t xml:space="preserve"> A foreign affiliate of a U.S. company</t>
  </si>
  <si>
    <t xml:space="preserve">e </t>
  </si>
  <si>
    <t xml:space="preserve"> Other (specify)</t>
  </si>
  <si>
    <t>6 a</t>
  </si>
  <si>
    <t>If you previously filed Form 2555 or Form 2555-EZ, enter the last year you filed the form.</t>
  </si>
  <si>
    <t>If you didn't previously file Form 2555 or 2555-EZ to claim either of the exclusions, check here</t>
  </si>
  <si>
    <t xml:space="preserve"> and go to line 7.</t>
  </si>
  <si>
    <t>Have you ever revoked either of the exclusions?</t>
  </si>
  <si>
    <t>If you answered “Yes,” enter the type of exclusion and the tax year for which the revocation was effective.</t>
  </si>
  <si>
    <t>Of what country are you a citizen/national?</t>
  </si>
  <si>
    <t>8 a</t>
  </si>
  <si>
    <t>Did you maintain a separate foreign residence for your family because of adverse living conditions at your</t>
  </si>
  <si>
    <r>
      <t xml:space="preserve">tax home? See </t>
    </r>
    <r>
      <rPr>
        <b/>
        <i/>
        <sz val="10"/>
        <rFont val="Arial"/>
        <family val="2"/>
      </rPr>
      <t>Second foreign household</t>
    </r>
    <r>
      <rPr>
        <sz val="10"/>
        <rFont val="Arial"/>
        <family val="2"/>
      </rPr>
      <t xml:space="preserve"> in the instructions</t>
    </r>
  </si>
  <si>
    <t>If “Yes,” enter city and country of the separate foreign residence. Also, enter the number of days during your tax year that you</t>
  </si>
  <si>
    <t>maintained a second household at that address.</t>
  </si>
  <si>
    <t>List your tax home(s) during your tax year and date(s) established.</t>
  </si>
  <si>
    <t>Next, complete either Part II or Part III. If an item doesn't apply, enter “N/A.” If you don't give</t>
  </si>
  <si>
    <t>the information asked for, any exclusion or deduction you claim may be disallowed.</t>
  </si>
  <si>
    <t>Taxpayers Qualifying Under Bona Fide Residence Test</t>
  </si>
  <si>
    <r>
      <rPr>
        <b/>
        <sz val="12"/>
        <rFont val="Arial"/>
        <family val="2"/>
      </rPr>
      <t>Note:</t>
    </r>
    <r>
      <rPr>
        <sz val="12"/>
        <rFont val="Arial"/>
        <family val="2"/>
      </rPr>
      <t xml:space="preserve"> Only U.S. citizens and resident aliens who are citizens or nationals of U.S. treaty countries can use this</t>
    </r>
  </si>
  <si>
    <t>test. See instructions.</t>
  </si>
  <si>
    <t>Date bona fide residence began</t>
  </si>
  <si>
    <t>, and ended</t>
  </si>
  <si>
    <t>Kind of living quarters in foreign country</t>
  </si>
  <si>
    <t xml:space="preserve"> Purchased house</t>
  </si>
  <si>
    <t>Rented house or apartment</t>
  </si>
  <si>
    <t>Rented room</t>
  </si>
  <si>
    <t xml:space="preserve"> Quarters furnished by employer</t>
  </si>
  <si>
    <t xml:space="preserve">12 a </t>
  </si>
  <si>
    <t>Did any of your family live with you abroad during any part of the tax year?</t>
  </si>
  <si>
    <t>If “Yes,” who and for what period?</t>
  </si>
  <si>
    <t xml:space="preserve">13 a </t>
  </si>
  <si>
    <t>Have you submitted a statement to the authorities of the foreign country where you claim bona fide</t>
  </si>
  <si>
    <t>residence that you aren't a resident of that country? See instructions</t>
  </si>
  <si>
    <t>Are you required to pay income tax to the country where you claim bona fide residence? See instructions</t>
  </si>
  <si>
    <t>If you answered “Yes” to 13a and “No” to 13b, you don't qualify as a bona fide resident. Don't complete the rest of</t>
  </si>
  <si>
    <t>this part.</t>
  </si>
  <si>
    <r>
      <t xml:space="preserve">If you were present in the United States or its possessions during the tax year, complete columns </t>
    </r>
    <r>
      <rPr>
        <b/>
        <sz val="11"/>
        <rFont val="Arial"/>
        <family val="2"/>
      </rPr>
      <t>(a)–(d)</t>
    </r>
    <r>
      <rPr>
        <sz val="11"/>
        <rFont val="Arial"/>
        <family val="2"/>
      </rPr>
      <t xml:space="preserve"> below. </t>
    </r>
    <r>
      <rPr>
        <b/>
        <sz val="11"/>
        <rFont val="Arial"/>
        <family val="2"/>
      </rPr>
      <t>Don't</t>
    </r>
    <r>
      <rPr>
        <sz val="11"/>
        <rFont val="Arial"/>
        <family val="2"/>
      </rPr>
      <t xml:space="preserve"> include</t>
    </r>
  </si>
  <si>
    <r>
      <t xml:space="preserve">the income from column </t>
    </r>
    <r>
      <rPr>
        <b/>
        <sz val="11"/>
        <rFont val="Arial"/>
        <family val="2"/>
      </rPr>
      <t>(d)</t>
    </r>
    <r>
      <rPr>
        <sz val="11"/>
        <rFont val="Arial"/>
        <family val="2"/>
      </rPr>
      <t xml:space="preserve"> in Part IV, but report it on Form 1040 or 1040-SR.</t>
    </r>
  </si>
  <si>
    <r>
      <rPr>
        <b/>
        <sz val="8"/>
        <rFont val="Arial"/>
        <family val="2"/>
      </rPr>
      <t>(a)</t>
    </r>
    <r>
      <rPr>
        <sz val="8"/>
        <rFont val="Arial"/>
        <family val="2"/>
      </rPr>
      <t xml:space="preserve"> Date 
arrived in U.S.</t>
    </r>
  </si>
  <si>
    <r>
      <rPr>
        <b/>
        <sz val="8"/>
        <rFont val="Arial"/>
        <family val="2"/>
      </rPr>
      <t>(b)</t>
    </r>
    <r>
      <rPr>
        <sz val="8"/>
        <rFont val="Arial"/>
        <family val="2"/>
      </rPr>
      <t xml:space="preserve"> Date left
U.S.</t>
    </r>
  </si>
  <si>
    <r>
      <rPr>
        <b/>
        <sz val="8"/>
        <rFont val="Arial"/>
        <family val="2"/>
      </rPr>
      <t>(c)</t>
    </r>
    <r>
      <rPr>
        <sz val="8"/>
        <rFont val="Arial"/>
        <family val="2"/>
      </rPr>
      <t xml:space="preserve"> Number of
days in U.S. 
on business</t>
    </r>
  </si>
  <si>
    <r>
      <rPr>
        <b/>
        <sz val="8"/>
        <rFont val="Arial"/>
        <family val="2"/>
      </rPr>
      <t>(d)</t>
    </r>
    <r>
      <rPr>
        <sz val="8"/>
        <rFont val="Arial"/>
        <family val="2"/>
      </rPr>
      <t xml:space="preserve"> Income earned in 
U.S. on business 
(attach computation)</t>
    </r>
  </si>
  <si>
    <r>
      <t xml:space="preserve">(a) </t>
    </r>
    <r>
      <rPr>
        <sz val="8"/>
        <rFont val="Arial"/>
        <family val="2"/>
      </rPr>
      <t>Date 
arrived in U.S.</t>
    </r>
  </si>
  <si>
    <t xml:space="preserve">15 a </t>
  </si>
  <si>
    <t>List any contractual terms or other conditions relating to the length of your employment abroad.</t>
  </si>
  <si>
    <t>Enter the type of visa under which you entered the foreign country.</t>
  </si>
  <si>
    <t>Did your visa limit the length of your stay or employment in a foreign country? If “Yes,” attach explanation</t>
  </si>
  <si>
    <t>Did you maintain a home in the United States while living abroad?</t>
  </si>
  <si>
    <t>If “Yes,” enter address of your home, whether it was rented, the names of the occupants, and their relationship</t>
  </si>
  <si>
    <t>For Paperwork Reduction Act Notice, see the Form 1040 instructions.</t>
  </si>
  <si>
    <t>Cat. No. 11900P</t>
  </si>
  <si>
    <r>
      <rPr>
        <sz val="8"/>
        <rFont val="Arial"/>
        <family val="2"/>
      </rPr>
      <t xml:space="preserve">Form </t>
    </r>
    <r>
      <rPr>
        <b/>
        <sz val="14"/>
        <rFont val="Arial"/>
        <family val="2"/>
      </rPr>
      <t>2555</t>
    </r>
  </si>
  <si>
    <t>Taxpayers Qualifying Under Physical Presence Test</t>
  </si>
  <si>
    <r>
      <t xml:space="preserve">Note: </t>
    </r>
    <r>
      <rPr>
        <sz val="14"/>
        <rFont val="Arial"/>
        <family val="2"/>
      </rPr>
      <t>U.S. citizens and all resident aliens can use this test. See instructions.</t>
    </r>
  </si>
  <si>
    <t>The physical presence test is based on the 12-month period from</t>
  </si>
  <si>
    <t>through</t>
  </si>
  <si>
    <t>Enter your principal country of employment during your tax year.</t>
  </si>
  <si>
    <r>
      <t xml:space="preserve">If you traveled abroad during the 12-month period entered on line 16, complete columns </t>
    </r>
    <r>
      <rPr>
        <b/>
        <sz val="11"/>
        <rFont val="Arial"/>
        <family val="2"/>
      </rPr>
      <t>(a)–(f)</t>
    </r>
    <r>
      <rPr>
        <sz val="11"/>
        <rFont val="Arial"/>
        <family val="2"/>
      </rPr>
      <t xml:space="preserve"> below. Exclude travel between</t>
    </r>
  </si>
  <si>
    <t>foreign countries that didn't involve travel on or over international waters, or in or over the United States, for 24 hours or more.</t>
  </si>
  <si>
    <t>If you have no travel to report during the period, enter “Physically present in a foreign country or countries for the entire 12-</t>
  </si>
  <si>
    <r>
      <t xml:space="preserve">month period."  </t>
    </r>
    <r>
      <rPr>
        <b/>
        <sz val="11"/>
        <rFont val="Arial"/>
        <family val="2"/>
      </rPr>
      <t>Don't</t>
    </r>
    <r>
      <rPr>
        <sz val="11"/>
        <rFont val="Arial"/>
        <family val="2"/>
      </rPr>
      <t xml:space="preserve"> include the income from column </t>
    </r>
    <r>
      <rPr>
        <b/>
        <sz val="11"/>
        <rFont val="Arial"/>
        <family val="2"/>
      </rPr>
      <t>(f)</t>
    </r>
    <r>
      <rPr>
        <sz val="11"/>
        <rFont val="Arial"/>
        <family val="2"/>
      </rPr>
      <t xml:space="preserve"> below in Part IV, but report it on Form 1040 or 1040-SR.</t>
    </r>
  </si>
  <si>
    <t>(a) Name of country 
(including U.S.)</t>
  </si>
  <si>
    <t>(b) Date arrived</t>
  </si>
  <si>
    <t>(c) Date left</t>
  </si>
  <si>
    <t>(d) Full days 
present 
in country</t>
  </si>
  <si>
    <t>(e) Number of 
days in U.S. 
on business</t>
  </si>
  <si>
    <t>(f) Income earned in U.S. 
on business 
(attach computation)</t>
  </si>
  <si>
    <t>All Taxpayers</t>
  </si>
  <si>
    <r>
      <rPr>
        <b/>
        <sz val="11"/>
        <rFont val="Arial"/>
        <family val="2"/>
      </rPr>
      <t>Note:</t>
    </r>
    <r>
      <rPr>
        <sz val="11"/>
        <rFont val="Arial"/>
        <family val="2"/>
      </rPr>
      <t xml:space="preserve"> Enter on lines 19 through 23 all income, including noncash income, you earned and actually or constructively received during</t>
    </r>
  </si>
  <si>
    <r>
      <t xml:space="preserve">earned in a prior tax year, or will be earned in a later tax year (such as a bonus), see the instructions. </t>
    </r>
    <r>
      <rPr>
        <b/>
        <sz val="11"/>
        <rFont val="Arial"/>
        <family val="2"/>
      </rPr>
      <t>Don't</t>
    </r>
    <r>
      <rPr>
        <sz val="11"/>
        <rFont val="Arial"/>
        <family val="2"/>
      </rPr>
      <t xml:space="preserve"> include income from line</t>
    </r>
  </si>
  <si>
    <r>
      <t xml:space="preserve">14, column </t>
    </r>
    <r>
      <rPr>
        <b/>
        <sz val="11"/>
        <rFont val="Arial"/>
        <family val="2"/>
      </rPr>
      <t>(d)</t>
    </r>
    <r>
      <rPr>
        <sz val="11"/>
        <rFont val="Arial"/>
        <family val="2"/>
      </rPr>
      <t xml:space="preserve">, or line 18, column </t>
    </r>
    <r>
      <rPr>
        <b/>
        <sz val="11"/>
        <rFont val="Arial"/>
        <family val="2"/>
      </rPr>
      <t>(f)</t>
    </r>
    <r>
      <rPr>
        <sz val="11"/>
        <rFont val="Arial"/>
        <family val="2"/>
      </rPr>
      <t>. Report amounts in U.S. dollars, using the exchange rates in effect when you actually or</t>
    </r>
  </si>
  <si>
    <t>constructively received the income.</t>
  </si>
  <si>
    <t>performed the service.</t>
  </si>
  <si>
    <t>Amount 
(in U.S. dollars)</t>
  </si>
  <si>
    <t xml:space="preserve">19 </t>
  </si>
  <si>
    <t>Total wages, salaries, bonuses, commissions, etc.</t>
  </si>
  <si>
    <t xml:space="preserve"> .   .   .   .   .   .   .   .   .   .   .   .   .   .   .   .   .   .   .   . </t>
  </si>
  <si>
    <t xml:space="preserve">20 </t>
  </si>
  <si>
    <t>Allowable share of income for personal services performed (see instructions):</t>
  </si>
  <si>
    <t>In a business (including farming) or profession</t>
  </si>
  <si>
    <t>In a partnership. List partnership’s name and address and type of income.</t>
  </si>
  <si>
    <t xml:space="preserve">21 </t>
  </si>
  <si>
    <t>Noncash income (market value of property or facilities furnished by employer—attach statement</t>
  </si>
  <si>
    <t>showing how it was determined):</t>
  </si>
  <si>
    <t>Home (lodging)</t>
  </si>
  <si>
    <t xml:space="preserve">.   .   .   .   .   .   .   .   .   .   .   .   .   .   .   .   .   .   .   .   .   .   .   .   .   .   .   .   .   .   .   .   .   . </t>
  </si>
  <si>
    <t>Meals</t>
  </si>
  <si>
    <t>Car</t>
  </si>
  <si>
    <t xml:space="preserve">.   .   .   .   .   .   .   .   .   .   .   .   .   .   .   .   .   .   .   .   .   .   .   .   .   .   .   .   .   .   .   .   .   .   .   .   .   .   .   . </t>
  </si>
  <si>
    <t>21c</t>
  </si>
  <si>
    <t>Other property or facilities. List type and amount.</t>
  </si>
  <si>
    <t>21d</t>
  </si>
  <si>
    <t xml:space="preserve">22 </t>
  </si>
  <si>
    <t>Allowances, reimbursements, or expenses paid on your behalf for services you performed:</t>
  </si>
  <si>
    <t>Cost of living and overseas differential</t>
  </si>
  <si>
    <t>22a</t>
  </si>
  <si>
    <t>Family</t>
  </si>
  <si>
    <t>22b</t>
  </si>
  <si>
    <t>Education</t>
  </si>
  <si>
    <t>22c</t>
  </si>
  <si>
    <t>Home leave</t>
  </si>
  <si>
    <t>22d</t>
  </si>
  <si>
    <t>Quarters</t>
  </si>
  <si>
    <t>22e</t>
  </si>
  <si>
    <t xml:space="preserve">f </t>
  </si>
  <si>
    <t>For any other purpose. List type and amount.</t>
  </si>
  <si>
    <t>22f</t>
  </si>
  <si>
    <t xml:space="preserve">g </t>
  </si>
  <si>
    <t>Add lines 22a through 22f</t>
  </si>
  <si>
    <t>22g</t>
  </si>
  <si>
    <t xml:space="preserve">23 </t>
  </si>
  <si>
    <t>Other foreign earned income. List type and amount.</t>
  </si>
  <si>
    <t xml:space="preserve">24 </t>
  </si>
  <si>
    <t>Add lines 19 through 21d, line 22g, and line 23</t>
  </si>
  <si>
    <t xml:space="preserve">25 </t>
  </si>
  <si>
    <t>Total amount of meals and lodging included on line 24 that is excludable (see instructions)</t>
  </si>
  <si>
    <t xml:space="preserve">26 </t>
  </si>
  <si>
    <t>Subtract line 25 from line 24. Enter the result here and on line 27 on page 3.</t>
  </si>
  <si>
    <t>foreign earned income.</t>
  </si>
  <si>
    <r>
      <rPr>
        <sz val="10"/>
        <rFont val="Arial"/>
        <family val="2"/>
      </rPr>
      <t>Form</t>
    </r>
    <r>
      <rPr>
        <sz val="11"/>
        <rFont val="Arial"/>
        <family val="2"/>
      </rPr>
      <t xml:space="preserve"> </t>
    </r>
    <r>
      <rPr>
        <b/>
        <sz val="14"/>
        <rFont val="Arial"/>
        <family val="2"/>
      </rPr>
      <t>2555</t>
    </r>
  </si>
  <si>
    <t xml:space="preserve">27 </t>
  </si>
  <si>
    <t>Enter the amount from line 26</t>
  </si>
  <si>
    <t>Are you claiming the housing exclusion or housing deduction?</t>
  </si>
  <si>
    <r>
      <t xml:space="preserve"> </t>
    </r>
    <r>
      <rPr>
        <b/>
        <sz val="11"/>
        <rFont val="Arial"/>
        <family val="2"/>
      </rPr>
      <t xml:space="preserve">Yes. </t>
    </r>
    <r>
      <rPr>
        <sz val="11"/>
        <rFont val="Arial"/>
        <family val="2"/>
      </rPr>
      <t xml:space="preserve"> Complete Part VI.</t>
    </r>
  </si>
  <si>
    <r>
      <t xml:space="preserve"> </t>
    </r>
    <r>
      <rPr>
        <b/>
        <sz val="11"/>
        <rFont val="Arial"/>
        <family val="2"/>
      </rPr>
      <t>No.</t>
    </r>
    <r>
      <rPr>
        <sz val="11"/>
        <rFont val="Arial"/>
        <family val="2"/>
      </rPr>
      <t xml:space="preserve">   Go to Part VII.</t>
    </r>
  </si>
  <si>
    <t>Part VI</t>
  </si>
  <si>
    <t>Taxpayers Claiming the Housing Exclusion and/or Deduction</t>
  </si>
  <si>
    <t>28</t>
  </si>
  <si>
    <t>Qualified housing expenses for the tax year (see instructions)</t>
  </si>
  <si>
    <t xml:space="preserve">29 a </t>
  </si>
  <si>
    <t>Enter location where housing expenses incurred (see instructions)</t>
  </si>
  <si>
    <t>Enter limit on housing expenses (see instructions)</t>
  </si>
  <si>
    <t>29b</t>
  </si>
  <si>
    <t>30</t>
  </si>
  <si>
    <r>
      <t xml:space="preserve">Enter the </t>
    </r>
    <r>
      <rPr>
        <b/>
        <sz val="11"/>
        <rFont val="Arial"/>
        <family val="2"/>
      </rPr>
      <t>smaller</t>
    </r>
    <r>
      <rPr>
        <sz val="11"/>
        <rFont val="Arial"/>
        <family val="2"/>
      </rPr>
      <t xml:space="preserve"> of line 28 or line 29b</t>
    </r>
  </si>
  <si>
    <t>31</t>
  </si>
  <si>
    <t>Days in qualifying</t>
  </si>
  <si>
    <t>days</t>
  </si>
  <si>
    <t>&lt;</t>
  </si>
  <si>
    <t>period.</t>
  </si>
  <si>
    <t>32</t>
  </si>
  <si>
    <t>33</t>
  </si>
  <si>
    <t xml:space="preserve">Subtract line 32 from line 30. </t>
  </si>
  <si>
    <t>If the result is zero or less, don't complete the rest of this part or</t>
  </si>
  <si>
    <t>any of Part IX</t>
  </si>
  <si>
    <t>34</t>
  </si>
  <si>
    <t>Enter employer-provided amounts (see instructions)</t>
  </si>
  <si>
    <t>35</t>
  </si>
  <si>
    <t>Divide line 34 by line 27. Enter the result as a decimal (rounded to at least three places), but</t>
  </si>
  <si>
    <t>don't enter more than “1.000”</t>
  </si>
  <si>
    <t>36</t>
  </si>
  <si>
    <r>
      <rPr>
        <b/>
        <sz val="11"/>
        <rFont val="Arial"/>
        <family val="2"/>
      </rPr>
      <t xml:space="preserve">Housing exclusion. </t>
    </r>
    <r>
      <rPr>
        <sz val="11"/>
        <rFont val="Arial"/>
        <family val="2"/>
      </rPr>
      <t>Multiply line 33 by line 35. Enter the result but don't enter more than the</t>
    </r>
  </si>
  <si>
    <t>amount on line 34. Also, complete Part VIII</t>
  </si>
  <si>
    <r>
      <rPr>
        <b/>
        <sz val="11"/>
        <rFont val="Arial"/>
        <family val="2"/>
      </rPr>
      <t xml:space="preserve">Note: </t>
    </r>
    <r>
      <rPr>
        <sz val="11"/>
        <rFont val="Arial"/>
        <family val="2"/>
      </rPr>
      <t>The housing deduction is figured in Part IX. If you choose to claim the foreign earned income</t>
    </r>
  </si>
  <si>
    <t>exclusion, complete Parts VII and VIII before Part IX.</t>
  </si>
  <si>
    <t>Part VII</t>
  </si>
  <si>
    <t>Taxpayers Claiming the Foreign Earned Income Exclusion</t>
  </si>
  <si>
    <t>37</t>
  </si>
  <si>
    <t>38</t>
  </si>
  <si>
    <t>If you completed Part VI, enter the number from line 31.</t>
  </si>
  <si>
    <t>All others, enter the number of days in your qualifying period that</t>
  </si>
  <si>
    <t>No. of days of your</t>
  </si>
  <si>
    <t>qualifying period that fall within your</t>
  </si>
  <si>
    <t>39</t>
  </si>
  <si>
    <t>a decimal (rounded to at least three places).</t>
  </si>
  <si>
    <t>40</t>
  </si>
  <si>
    <t>Multiply line 37 by line 39</t>
  </si>
  <si>
    <t>41</t>
  </si>
  <si>
    <t>Subtract line 36 from line 27</t>
  </si>
  <si>
    <t>42</t>
  </si>
  <si>
    <r>
      <rPr>
        <b/>
        <sz val="10"/>
        <rFont val="Arial"/>
        <family val="2"/>
      </rPr>
      <t>Foreign earned income exclusion.</t>
    </r>
    <r>
      <rPr>
        <sz val="10"/>
        <rFont val="Arial"/>
        <family val="2"/>
      </rPr>
      <t xml:space="preserve"> Enter the </t>
    </r>
    <r>
      <rPr>
        <b/>
        <sz val="10"/>
        <rFont val="Arial"/>
        <family val="2"/>
      </rPr>
      <t>smaller</t>
    </r>
    <r>
      <rPr>
        <sz val="10"/>
        <rFont val="Arial"/>
        <family val="2"/>
      </rPr>
      <t xml:space="preserve"> of line 40 or line 41. Also, complete Part VIII</t>
    </r>
  </si>
  <si>
    <t xml:space="preserve"> .   .   . </t>
  </si>
  <si>
    <t>Part VIII</t>
  </si>
  <si>
    <t>Taxpayers Claiming the Housing Exclusion, Foreign Earned Income Exclusion, or Both</t>
  </si>
  <si>
    <t>43</t>
  </si>
  <si>
    <t>Add lines 36 and 42</t>
  </si>
  <si>
    <t>44</t>
  </si>
  <si>
    <t>45</t>
  </si>
  <si>
    <t>Subtract line 44 from line 43. Enter the result here and in parentheses on Schedule 1 (Form 1040),</t>
  </si>
  <si>
    <r>
      <t>Taxpayers Claiming the Housing Deduction</t>
    </r>
    <r>
      <rPr>
        <sz val="12"/>
        <rFont val="Arial"/>
        <family val="2"/>
      </rPr>
      <t>—Complete this part only if (a) line 33 is more than line 36, and
(b) line 27 is more than line 43.</t>
    </r>
  </si>
  <si>
    <t>Part IX</t>
  </si>
  <si>
    <t>46</t>
  </si>
  <si>
    <t>Subtract line 36 from line 33</t>
  </si>
  <si>
    <t>47</t>
  </si>
  <si>
    <t>Subtract line 43 from line 27</t>
  </si>
  <si>
    <t>48</t>
  </si>
  <si>
    <r>
      <t xml:space="preserve">Enter the </t>
    </r>
    <r>
      <rPr>
        <b/>
        <sz val="11"/>
        <rFont val="Arial"/>
        <family val="2"/>
      </rPr>
      <t>smaller</t>
    </r>
    <r>
      <rPr>
        <sz val="11"/>
        <rFont val="Arial"/>
        <family val="2"/>
      </rPr>
      <t xml:space="preserve"> of line 46 or line 47</t>
    </r>
  </si>
  <si>
    <r>
      <rPr>
        <b/>
        <sz val="11"/>
        <rFont val="Arial"/>
        <family val="2"/>
      </rPr>
      <t xml:space="preserve">Note:  </t>
    </r>
    <r>
      <rPr>
        <sz val="11"/>
        <rFont val="Arial"/>
        <family val="2"/>
      </rPr>
      <t xml:space="preserve">If line 47 is </t>
    </r>
    <r>
      <rPr>
        <b/>
        <sz val="11"/>
        <rFont val="Arial"/>
        <family val="2"/>
      </rPr>
      <t>more</t>
    </r>
    <r>
      <rPr>
        <sz val="11"/>
        <rFont val="Arial"/>
        <family val="2"/>
      </rPr>
      <t xml:space="preserve"> </t>
    </r>
    <r>
      <rPr>
        <b/>
        <sz val="11"/>
        <rFont val="Arial"/>
        <family val="2"/>
      </rPr>
      <t xml:space="preserve">than </t>
    </r>
    <r>
      <rPr>
        <sz val="11"/>
        <rFont val="Arial"/>
        <family val="2"/>
      </rPr>
      <t xml:space="preserve">line 48 and you couldn't  deduct </t>
    </r>
  </si>
  <si>
    <t>figure the amount to enter on line 49. Otherwise, go to line 50.</t>
  </si>
  <si>
    <t>49</t>
  </si>
  <si>
    <t>the instructions)</t>
  </si>
  <si>
    <t>50</t>
  </si>
  <si>
    <r>
      <rPr>
        <b/>
        <sz val="11"/>
        <rFont val="Arial"/>
        <family val="2"/>
      </rPr>
      <t>Housing deduction.</t>
    </r>
    <r>
      <rPr>
        <sz val="11"/>
        <rFont val="Arial"/>
        <family val="2"/>
      </rPr>
      <t xml:space="preserve">  Add lines 48 and 49. Enter the total here and on Schedule 1 (Form 1040),</t>
    </r>
  </si>
  <si>
    <t>line 24j. Complete the Foreign Earned Income Tax Worksheet in the Instructions for Forms 1040</t>
  </si>
  <si>
    <t>and 1040-SR an amount on this line</t>
  </si>
  <si>
    <r>
      <t xml:space="preserve">Form </t>
    </r>
    <r>
      <rPr>
        <b/>
        <sz val="14"/>
        <rFont val="Arial"/>
        <family val="2"/>
      </rPr>
      <t xml:space="preserve">2555 </t>
    </r>
  </si>
  <si>
    <t>Line 42, Foreign Income Exclusion</t>
  </si>
  <si>
    <t>42-1</t>
  </si>
  <si>
    <t>42-2</t>
  </si>
  <si>
    <t>42-Y</t>
  </si>
  <si>
    <t>42-S</t>
  </si>
  <si>
    <t>42-T</t>
  </si>
  <si>
    <t>Line 45</t>
  </si>
  <si>
    <t>45-1</t>
  </si>
  <si>
    <t>45-2</t>
  </si>
  <si>
    <t>45-Y</t>
  </si>
  <si>
    <t>45-S</t>
  </si>
  <si>
    <t>45-T</t>
  </si>
  <si>
    <t>Line 50, Foreign Housing Deduction</t>
  </si>
  <si>
    <t>50-1</t>
  </si>
  <si>
    <t>50-2</t>
  </si>
  <si>
    <t>50-Y</t>
  </si>
  <si>
    <t>50-S</t>
  </si>
  <si>
    <t>50-T</t>
  </si>
  <si>
    <r>
      <rPr>
        <b/>
        <sz val="18"/>
        <rFont val="Arial"/>
        <family val="2"/>
      </rPr>
      <t>Depreciation and Amortization</t>
    </r>
    <r>
      <rPr>
        <b/>
        <sz val="14"/>
        <rFont val="Arial"/>
        <family val="2"/>
      </rPr>
      <t xml:space="preserve">
</t>
    </r>
    <r>
      <rPr>
        <b/>
        <sz val="12"/>
        <rFont val="Arial"/>
        <family val="2"/>
      </rPr>
      <t>(Including Information on Listed Property)</t>
    </r>
  </si>
  <si>
    <t>Depreciation Worksheet (Keep for your records.)</t>
  </si>
  <si>
    <t>Attach to your tax return.</t>
  </si>
  <si>
    <t xml:space="preserve">   Attachment</t>
  </si>
  <si>
    <t>Description of Property</t>
  </si>
  <si>
    <t>Date Placed in Service</t>
  </si>
  <si>
    <t>Cost or Other Basis</t>
  </si>
  <si>
    <t>Business/ Investment Use %</t>
  </si>
  <si>
    <t>Section 179 Special Allowance, and Other Basis Reductions</t>
  </si>
  <si>
    <t>Depreciation Prior Years</t>
  </si>
  <si>
    <t>Basis for Depreciation</t>
  </si>
  <si>
    <t>Method/ Convention</t>
  </si>
  <si>
    <t>Recovery Period</t>
  </si>
  <si>
    <t>Rate or Table
%</t>
  </si>
  <si>
    <t>Depreciation Deduction</t>
  </si>
  <si>
    <r>
      <t xml:space="preserve">Go to </t>
    </r>
    <r>
      <rPr>
        <b/>
        <i/>
        <sz val="10"/>
        <rFont val="Arial"/>
        <family val="2"/>
      </rPr>
      <t>www.irs.gov/Form4562</t>
    </r>
    <r>
      <rPr>
        <b/>
        <sz val="10"/>
        <rFont val="Arial"/>
        <family val="2"/>
      </rPr>
      <t xml:space="preserve"> for instructions and the latest information.</t>
    </r>
  </si>
  <si>
    <t xml:space="preserve">Sequence No.  </t>
  </si>
  <si>
    <t>Name shown on your return</t>
  </si>
  <si>
    <t xml:space="preserve"> Business or activity to which this form relates</t>
  </si>
  <si>
    <t xml:space="preserve"> Identifying number</t>
  </si>
  <si>
    <t>Election To Expense Certain Property Under Section 179</t>
  </si>
  <si>
    <r>
      <rPr>
        <b/>
        <sz val="13"/>
        <rFont val="Arial"/>
        <family val="2"/>
      </rPr>
      <t>Note:</t>
    </r>
    <r>
      <rPr>
        <sz val="13"/>
        <rFont val="Arial"/>
        <family val="2"/>
      </rPr>
      <t xml:space="preserve"> If you have any listed property, complete Part V before you complete Part I.</t>
    </r>
  </si>
  <si>
    <t>Maximum amount (see instructions)</t>
  </si>
  <si>
    <t>Total cost of section 179 property placed in service (see instructions)</t>
  </si>
  <si>
    <t>Threshold cost of section 179 property before reduction in limitation (see instructions)</t>
  </si>
  <si>
    <t>Reduction in limitation. Subtract line 3 from line 2. If zero or less, enter -0-</t>
  </si>
  <si>
    <t>Dollar limitation for tax year. Subtract line 4 from line 1. If zero or less, enter -0-. If married filing</t>
  </si>
  <si>
    <t>separately, see instructions</t>
  </si>
  <si>
    <r>
      <rPr>
        <b/>
        <sz val="10"/>
        <rFont val="Arial"/>
        <family val="2"/>
      </rPr>
      <t>(a)</t>
    </r>
    <r>
      <rPr>
        <sz val="10"/>
        <rFont val="Arial"/>
        <family val="2"/>
      </rPr>
      <t xml:space="preserve"> Description of property</t>
    </r>
  </si>
  <si>
    <r>
      <rPr>
        <b/>
        <sz val="9"/>
        <rFont val="Arial"/>
        <family val="2"/>
      </rPr>
      <t>(b)</t>
    </r>
    <r>
      <rPr>
        <sz val="9"/>
        <rFont val="Arial"/>
        <family val="2"/>
      </rPr>
      <t xml:space="preserve"> Cost (business use only)</t>
    </r>
  </si>
  <si>
    <r>
      <rPr>
        <b/>
        <sz val="10"/>
        <rFont val="Arial"/>
        <family val="2"/>
      </rPr>
      <t>(c)</t>
    </r>
    <r>
      <rPr>
        <sz val="10"/>
        <rFont val="Arial"/>
        <family val="2"/>
      </rPr>
      <t xml:space="preserve"> Elected cost</t>
    </r>
  </si>
  <si>
    <t>Listed property. Enter the amount from line 29</t>
  </si>
  <si>
    <t>Total elected cost of section 179 property. Add amounts in column (c), lines 6 and 7</t>
  </si>
  <si>
    <r>
      <t xml:space="preserve">Tentative deduction. Enter the </t>
    </r>
    <r>
      <rPr>
        <b/>
        <sz val="12"/>
        <rFont val="Arial"/>
        <family val="2"/>
      </rPr>
      <t>smaller</t>
    </r>
    <r>
      <rPr>
        <sz val="12"/>
        <rFont val="Arial"/>
        <family val="2"/>
      </rPr>
      <t xml:space="preserve"> of line 5 or line 8</t>
    </r>
  </si>
  <si>
    <t>Business Income</t>
  </si>
  <si>
    <t>Business income limitation. Enter the smaller of business income (not less than zero) or line 5. See instructions</t>
  </si>
  <si>
    <t>Section 179 expense deduction. Add lines 9 and 10, but don’t enter more than line 11</t>
  </si>
  <si>
    <r>
      <t xml:space="preserve">Note:  </t>
    </r>
    <r>
      <rPr>
        <sz val="12"/>
        <rFont val="Arial"/>
        <family val="2"/>
      </rPr>
      <t>Don’t use Part II or Part III below for listed property. Instead, use Part V.</t>
    </r>
  </si>
  <si>
    <r>
      <t xml:space="preserve">Special Depreciation Allowance and Other Depreciation (Don’t </t>
    </r>
    <r>
      <rPr>
        <sz val="12"/>
        <rFont val="Arial"/>
        <family val="2"/>
      </rPr>
      <t>include listed property. See instructions</t>
    </r>
    <r>
      <rPr>
        <b/>
        <sz val="12"/>
        <rFont val="Arial"/>
        <family val="2"/>
      </rPr>
      <t>.)</t>
    </r>
  </si>
  <si>
    <t>Special depreciation allowance for qualified property (other than listed property) placed in service</t>
  </si>
  <si>
    <t>during the tax year. See instructions</t>
  </si>
  <si>
    <t xml:space="preserve">.   .   .   .   .   .   .   .   .   .   .   .   .   .   .   .   .   .   .   .   .   .   .   .   .   .   .  </t>
  </si>
  <si>
    <t>Property subject to section 168(f)(1) election</t>
  </si>
  <si>
    <t>Other depreciation (including ACRS)</t>
  </si>
  <si>
    <r>
      <t xml:space="preserve">MACRS Depreciation (Don’t </t>
    </r>
    <r>
      <rPr>
        <sz val="12"/>
        <rFont val="Arial"/>
        <family val="2"/>
      </rPr>
      <t>include listed property. See instructions.</t>
    </r>
    <r>
      <rPr>
        <b/>
        <sz val="12"/>
        <rFont val="Arial"/>
        <family val="2"/>
      </rPr>
      <t>)</t>
    </r>
  </si>
  <si>
    <t>Section A</t>
  </si>
  <si>
    <t>If you are electing to group any assets placed in service during the tax year into one or more general</t>
  </si>
  <si>
    <t>asset accounts, check here</t>
  </si>
  <si>
    <r>
      <rPr>
        <b/>
        <sz val="10"/>
        <rFont val="Arial"/>
        <family val="2"/>
      </rPr>
      <t>(a)</t>
    </r>
    <r>
      <rPr>
        <sz val="10"/>
        <rFont val="Arial"/>
        <family val="2"/>
      </rPr>
      <t xml:space="preserve"> Classification of property</t>
    </r>
  </si>
  <si>
    <r>
      <rPr>
        <b/>
        <sz val="10"/>
        <rFont val="Arial"/>
        <family val="2"/>
      </rPr>
      <t>(b)</t>
    </r>
    <r>
      <rPr>
        <sz val="10"/>
        <rFont val="Arial"/>
        <family val="2"/>
      </rPr>
      <t xml:space="preserve"> Month and year placed in 
service</t>
    </r>
  </si>
  <si>
    <r>
      <rPr>
        <b/>
        <sz val="9"/>
        <rFont val="Arial"/>
        <family val="2"/>
      </rPr>
      <t>(c)</t>
    </r>
    <r>
      <rPr>
        <sz val="9"/>
        <rFont val="Arial"/>
        <family val="2"/>
      </rPr>
      <t xml:space="preserve"> Basis for depreciation (business/investment use only—see instructions)</t>
    </r>
  </si>
  <si>
    <r>
      <rPr>
        <b/>
        <sz val="10"/>
        <rFont val="Arial"/>
        <family val="2"/>
      </rPr>
      <t>(d)</t>
    </r>
    <r>
      <rPr>
        <sz val="10"/>
        <rFont val="Arial"/>
        <family val="2"/>
      </rPr>
      <t xml:space="preserve"> Recovery period</t>
    </r>
  </si>
  <si>
    <r>
      <rPr>
        <b/>
        <sz val="10"/>
        <rFont val="Arial"/>
        <family val="2"/>
      </rPr>
      <t>(e)</t>
    </r>
    <r>
      <rPr>
        <sz val="10"/>
        <rFont val="Arial"/>
        <family val="2"/>
      </rPr>
      <t xml:space="preserve"> Convention</t>
    </r>
  </si>
  <si>
    <r>
      <rPr>
        <b/>
        <sz val="10"/>
        <rFont val="Arial"/>
        <family val="2"/>
      </rPr>
      <t>(f)</t>
    </r>
    <r>
      <rPr>
        <sz val="10"/>
        <rFont val="Arial"/>
        <family val="2"/>
      </rPr>
      <t xml:space="preserve"> Method</t>
    </r>
  </si>
  <si>
    <r>
      <rPr>
        <b/>
        <sz val="10"/>
        <rFont val="Arial"/>
        <family val="2"/>
      </rPr>
      <t xml:space="preserve">(g) </t>
    </r>
    <r>
      <rPr>
        <sz val="10"/>
        <rFont val="Arial"/>
        <family val="2"/>
      </rPr>
      <t>Depreciation deduction</t>
    </r>
  </si>
  <si>
    <t>3-year property</t>
  </si>
  <si>
    <r>
      <t xml:space="preserve">   </t>
    </r>
    <r>
      <rPr>
        <b/>
        <sz val="12"/>
        <rFont val="Arial"/>
        <family val="2"/>
      </rPr>
      <t xml:space="preserve">b </t>
    </r>
  </si>
  <si>
    <t>5-year property</t>
  </si>
  <si>
    <r>
      <t xml:space="preserve">   </t>
    </r>
    <r>
      <rPr>
        <b/>
        <sz val="12"/>
        <rFont val="Arial"/>
        <family val="2"/>
      </rPr>
      <t xml:space="preserve">c  </t>
    </r>
  </si>
  <si>
    <t>7-year property</t>
  </si>
  <si>
    <r>
      <t xml:space="preserve">   </t>
    </r>
    <r>
      <rPr>
        <b/>
        <sz val="12"/>
        <rFont val="Arial"/>
        <family val="2"/>
      </rPr>
      <t xml:space="preserve">d  </t>
    </r>
  </si>
  <si>
    <t>10-year property</t>
  </si>
  <si>
    <r>
      <t xml:space="preserve">   </t>
    </r>
    <r>
      <rPr>
        <b/>
        <sz val="12"/>
        <rFont val="Arial"/>
        <family val="2"/>
      </rPr>
      <t xml:space="preserve">e  </t>
    </r>
  </si>
  <si>
    <t>15-year property</t>
  </si>
  <si>
    <r>
      <t xml:space="preserve">   </t>
    </r>
    <r>
      <rPr>
        <b/>
        <sz val="12"/>
        <rFont val="Arial"/>
        <family val="2"/>
      </rPr>
      <t xml:space="preserve">f  </t>
    </r>
  </si>
  <si>
    <t>20-year property</t>
  </si>
  <si>
    <r>
      <t xml:space="preserve">   </t>
    </r>
    <r>
      <rPr>
        <b/>
        <sz val="12"/>
        <rFont val="Arial"/>
        <family val="2"/>
      </rPr>
      <t xml:space="preserve">g  </t>
    </r>
  </si>
  <si>
    <t>25-year property</t>
  </si>
  <si>
    <t>25 yrs.</t>
  </si>
  <si>
    <t>S/L</t>
  </si>
  <si>
    <t>Residential rental</t>
  </si>
  <si>
    <t>27.5 yrs.</t>
  </si>
  <si>
    <t>MM</t>
  </si>
  <si>
    <t>property</t>
  </si>
  <si>
    <t xml:space="preserve">   i  </t>
  </si>
  <si>
    <t>Nonresidential real</t>
  </si>
  <si>
    <t>39 yrs.</t>
  </si>
  <si>
    <t>Class life</t>
  </si>
  <si>
    <t>12-year</t>
  </si>
  <si>
    <t>12 yrs.</t>
  </si>
  <si>
    <t>30-year</t>
  </si>
  <si>
    <t>30 yrs.</t>
  </si>
  <si>
    <t>40-year</t>
  </si>
  <si>
    <t>40 yrs.</t>
  </si>
  <si>
    <r>
      <t xml:space="preserve">Summary </t>
    </r>
    <r>
      <rPr>
        <sz val="12"/>
        <rFont val="Arial"/>
        <family val="2"/>
      </rPr>
      <t>(See instructions.)</t>
    </r>
  </si>
  <si>
    <t>Listed property. Enter amount from line 28</t>
  </si>
  <si>
    <t>Cat. No. 12906N</t>
  </si>
  <si>
    <r>
      <rPr>
        <sz val="8"/>
        <rFont val="Arial"/>
        <family val="2"/>
      </rPr>
      <t xml:space="preserve">Form </t>
    </r>
    <r>
      <rPr>
        <b/>
        <sz val="12"/>
        <rFont val="Arial"/>
        <family val="2"/>
      </rPr>
      <t>4562</t>
    </r>
  </si>
  <si>
    <r>
      <rPr>
        <sz val="8"/>
        <rFont val="Arial"/>
        <family val="2"/>
      </rPr>
      <t xml:space="preserve">Page </t>
    </r>
    <r>
      <rPr>
        <b/>
        <sz val="12"/>
        <rFont val="Arial"/>
        <family val="2"/>
      </rPr>
      <t xml:space="preserve">2  </t>
    </r>
  </si>
  <si>
    <t>Listed Property</t>
  </si>
  <si>
    <t xml:space="preserve">(Include automobiles, certain other vehicles, certain aircraft, and property used for </t>
  </si>
  <si>
    <t>entertainment, recreation, or amusement.)</t>
  </si>
  <si>
    <r>
      <rPr>
        <b/>
        <sz val="12"/>
        <rFont val="Arial"/>
        <family val="2"/>
      </rPr>
      <t>Note:</t>
    </r>
    <r>
      <rPr>
        <sz val="14"/>
        <rFont val="Arial"/>
        <family val="2"/>
      </rPr>
      <t/>
    </r>
  </si>
  <si>
    <r>
      <t xml:space="preserve">For any vehicle for which you are using the standard mileage rate or deducting lease expense, complete </t>
    </r>
    <r>
      <rPr>
        <b/>
        <sz val="12"/>
        <rFont val="Arial"/>
        <family val="2"/>
      </rPr>
      <t>only</t>
    </r>
    <r>
      <rPr>
        <sz val="12"/>
        <rFont val="Arial"/>
        <family val="2"/>
      </rPr>
      <t xml:space="preserve"> 24a, </t>
    </r>
  </si>
  <si>
    <t>24b, columns (a) through (c) of Section A, all of Section B, and Section C if applicable.</t>
  </si>
  <si>
    <r>
      <t xml:space="preserve">Section A—Depreciation and Other Information (Caution: </t>
    </r>
    <r>
      <rPr>
        <sz val="13"/>
        <rFont val="Arial"/>
        <family val="2"/>
      </rPr>
      <t>See the instructions for limits for passenger automobiles.</t>
    </r>
    <r>
      <rPr>
        <b/>
        <sz val="13"/>
        <rFont val="Arial"/>
        <family val="2"/>
      </rPr>
      <t>)</t>
    </r>
  </si>
  <si>
    <t>Do you have evidence to support the business/investment use claimed?</t>
  </si>
  <si>
    <t>If “Yes,” is the evidence written?</t>
  </si>
  <si>
    <r>
      <rPr>
        <b/>
        <sz val="9"/>
        <rFont val="Arial"/>
        <family val="2"/>
      </rPr>
      <t>(a)</t>
    </r>
    <r>
      <rPr>
        <sz val="9"/>
        <rFont val="Arial"/>
        <family val="2"/>
      </rPr>
      <t xml:space="preserve">
Type of property (list
vehicles first)</t>
    </r>
  </si>
  <si>
    <r>
      <rPr>
        <b/>
        <sz val="9"/>
        <rFont val="Arial"/>
        <family val="2"/>
      </rPr>
      <t>(b)</t>
    </r>
    <r>
      <rPr>
        <sz val="9"/>
        <rFont val="Arial"/>
        <family val="2"/>
      </rPr>
      <t xml:space="preserve">
Date placed
in service</t>
    </r>
  </si>
  <si>
    <r>
      <rPr>
        <b/>
        <sz val="8"/>
        <rFont val="Arial"/>
        <family val="2"/>
      </rPr>
      <t>(c)</t>
    </r>
    <r>
      <rPr>
        <sz val="8"/>
        <rFont val="Arial"/>
        <family val="2"/>
      </rPr>
      <t xml:space="preserve">
Business/
investment use
percentage</t>
    </r>
  </si>
  <si>
    <r>
      <rPr>
        <b/>
        <sz val="10"/>
        <rFont val="Arial"/>
        <family val="2"/>
      </rPr>
      <t>(d)</t>
    </r>
    <r>
      <rPr>
        <sz val="10"/>
        <rFont val="Arial"/>
        <family val="2"/>
      </rPr>
      <t xml:space="preserve">
Cost or other basis</t>
    </r>
  </si>
  <si>
    <r>
      <rPr>
        <b/>
        <sz val="9"/>
        <rFont val="Arial"/>
        <family val="2"/>
      </rPr>
      <t>(e)</t>
    </r>
    <r>
      <rPr>
        <sz val="9"/>
        <rFont val="Arial"/>
        <family val="2"/>
      </rPr>
      <t xml:space="preserve">
Basis for depreciation
(business/investment
use only)</t>
    </r>
  </si>
  <si>
    <r>
      <rPr>
        <b/>
        <sz val="10"/>
        <rFont val="Arial"/>
        <family val="2"/>
      </rPr>
      <t>(f)</t>
    </r>
    <r>
      <rPr>
        <sz val="10"/>
        <rFont val="Arial"/>
        <family val="2"/>
      </rPr>
      <t xml:space="preserve">
Recovery
period</t>
    </r>
  </si>
  <si>
    <r>
      <rPr>
        <b/>
        <sz val="10"/>
        <rFont val="Arial"/>
        <family val="2"/>
      </rPr>
      <t>(g)</t>
    </r>
    <r>
      <rPr>
        <sz val="10"/>
        <rFont val="Arial"/>
        <family val="2"/>
      </rPr>
      <t xml:space="preserve">
Method/
Convention</t>
    </r>
  </si>
  <si>
    <r>
      <rPr>
        <b/>
        <sz val="10"/>
        <rFont val="Arial"/>
        <family val="2"/>
      </rPr>
      <t>(h)</t>
    </r>
    <r>
      <rPr>
        <sz val="10"/>
        <rFont val="Arial"/>
        <family val="2"/>
      </rPr>
      <t xml:space="preserve">
Depreciation 
deduction</t>
    </r>
  </si>
  <si>
    <r>
      <rPr>
        <b/>
        <sz val="10"/>
        <rFont val="Arial"/>
        <family val="2"/>
      </rPr>
      <t>(i)</t>
    </r>
    <r>
      <rPr>
        <sz val="10"/>
        <rFont val="Arial"/>
        <family val="2"/>
      </rPr>
      <t xml:space="preserve">
Elected Section 179 
cost</t>
    </r>
  </si>
  <si>
    <t>Special depreciation allowance for qualified listed property placed in service during</t>
  </si>
  <si>
    <t>the tax year and used more than 50% in a qualified business use. See instructions</t>
  </si>
  <si>
    <t>Property used more than 50% in a qualified business use:</t>
  </si>
  <si>
    <t>%</t>
  </si>
  <si>
    <t>Property used 50% or less in a qualified business use :</t>
  </si>
  <si>
    <t>S/L -</t>
  </si>
  <si>
    <t>Add amounts in column (h), lines 25 through 27. Enter here and on line 21, page 1</t>
  </si>
  <si>
    <t>Add amounts in column (i), line 26. Enter here and on line 7, page 1</t>
  </si>
  <si>
    <t>Section B—Information on Use of Vehicles</t>
  </si>
  <si>
    <t>Complete this section for vehicles used by a sole proprietor, partner, or other “more than 5% owner,” or related person. If you provided vehicles</t>
  </si>
  <si>
    <t>to you're employees, first answer the questions in Section C to see if you meet an exception to completing this section for those vehicles.</t>
  </si>
  <si>
    <t xml:space="preserve">
30</t>
  </si>
  <si>
    <r>
      <t>Total business/investment miles driven during
the year (</t>
    </r>
    <r>
      <rPr>
        <b/>
        <sz val="10"/>
        <rFont val="Arial"/>
        <family val="2"/>
      </rPr>
      <t>don’t</t>
    </r>
    <r>
      <rPr>
        <sz val="10"/>
        <rFont val="Arial"/>
        <family val="2"/>
      </rPr>
      <t xml:space="preserve"> include commuting miles)</t>
    </r>
  </si>
  <si>
    <r>
      <rPr>
        <b/>
        <sz val="10"/>
        <rFont val="Arial"/>
        <family val="2"/>
      </rPr>
      <t>(a)</t>
    </r>
    <r>
      <rPr>
        <sz val="10"/>
        <rFont val="Arial"/>
        <family val="2"/>
      </rPr>
      <t xml:space="preserve">
Vehicle 1</t>
    </r>
  </si>
  <si>
    <r>
      <rPr>
        <b/>
        <sz val="10"/>
        <rFont val="Arial"/>
        <family val="2"/>
      </rPr>
      <t>(b)</t>
    </r>
    <r>
      <rPr>
        <sz val="10"/>
        <rFont val="Arial"/>
        <family val="2"/>
      </rPr>
      <t xml:space="preserve">
Vehicle 2</t>
    </r>
  </si>
  <si>
    <r>
      <rPr>
        <b/>
        <sz val="10"/>
        <rFont val="Arial"/>
        <family val="2"/>
      </rPr>
      <t>(c)</t>
    </r>
    <r>
      <rPr>
        <sz val="10"/>
        <rFont val="Arial"/>
        <family val="2"/>
      </rPr>
      <t xml:space="preserve">
Vehicle 3</t>
    </r>
  </si>
  <si>
    <r>
      <rPr>
        <b/>
        <sz val="10"/>
        <rFont val="Arial"/>
        <family val="2"/>
      </rPr>
      <t>(d)</t>
    </r>
    <r>
      <rPr>
        <sz val="10"/>
        <rFont val="Arial"/>
        <family val="2"/>
      </rPr>
      <t xml:space="preserve">
Vehicle 4</t>
    </r>
  </si>
  <si>
    <r>
      <rPr>
        <b/>
        <sz val="10"/>
        <rFont val="Arial"/>
        <family val="2"/>
      </rPr>
      <t>(e)</t>
    </r>
    <r>
      <rPr>
        <sz val="10"/>
        <rFont val="Arial"/>
        <family val="2"/>
      </rPr>
      <t xml:space="preserve">
Vehicle 5</t>
    </r>
  </si>
  <si>
    <r>
      <rPr>
        <b/>
        <sz val="10"/>
        <rFont val="Arial"/>
        <family val="2"/>
      </rPr>
      <t>(f)</t>
    </r>
    <r>
      <rPr>
        <sz val="10"/>
        <rFont val="Arial"/>
        <family val="2"/>
      </rPr>
      <t xml:space="preserve">
Vehicle 6</t>
    </r>
  </si>
  <si>
    <t>Total commuting miles driven during the year</t>
  </si>
  <si>
    <t>Total other personal (noncommuting)</t>
  </si>
  <si>
    <t>miles driven</t>
  </si>
  <si>
    <t>Total miles driven during the year. Add</t>
  </si>
  <si>
    <t>lines 30 through 32</t>
  </si>
  <si>
    <t>Was the vehicle available for personal use during off-duty hours?</t>
  </si>
  <si>
    <t>Was the vehicle used primarily by a more than 5% owner or related person?</t>
  </si>
  <si>
    <t>Is another vehicle available for personal use?</t>
  </si>
  <si>
    <t>Section C—Questions for Employers Who Provide Vehicles for Use by Their Employees</t>
  </si>
  <si>
    <t>more than 5% owners or related persons. See instructions.</t>
  </si>
  <si>
    <t>Do you maintain a written policy statement that prohibits all personal use of vehicles, including commuting, by</t>
  </si>
  <si>
    <t>your employees?</t>
  </si>
  <si>
    <t xml:space="preserve">.   .   .   .   .   .   .   .   .   .   .   .   .   .   .   .   .   .   .   .   .   .   .   .   .   .   .   .   .   .   .   .   .   .   .   .   .   .   .   .   .   .   .   .   .  </t>
  </si>
  <si>
    <t>Do you maintain a written policy statement that prohibits personal use of vehicles, except commuting, by your</t>
  </si>
  <si>
    <t>employees? See the instructions for vehicles used by corporate officers, directors, or 1% or more owners</t>
  </si>
  <si>
    <t>Do you treat all use of vehicles by employees as personal use?</t>
  </si>
  <si>
    <t>Do you provide more than five vehicles to your employees, obtain information from your employees about the</t>
  </si>
  <si>
    <t>use of the vehicles, and retain the information received?</t>
  </si>
  <si>
    <t>Do you meet the requirements concerning qualified automobile demonstration use? See instructions</t>
  </si>
  <si>
    <r>
      <rPr>
        <b/>
        <sz val="12"/>
        <rFont val="Arial"/>
        <family val="2"/>
      </rPr>
      <t xml:space="preserve">Note: </t>
    </r>
    <r>
      <rPr>
        <sz val="12"/>
        <rFont val="Arial"/>
        <family val="2"/>
      </rPr>
      <t>If your answer to 37, 38, 39, 40, or 41 is “Yes,” don’t complete Section B for the covered vehicles.</t>
    </r>
  </si>
  <si>
    <t>Amortization</t>
  </si>
  <si>
    <t>(a)
Description of costs</t>
  </si>
  <si>
    <r>
      <rPr>
        <b/>
        <sz val="11"/>
        <rFont val="Arial"/>
        <family val="2"/>
      </rPr>
      <t>(b)</t>
    </r>
    <r>
      <rPr>
        <sz val="11"/>
        <rFont val="Arial"/>
        <family val="2"/>
      </rPr>
      <t xml:space="preserve">
Date amortization
begins</t>
    </r>
  </si>
  <si>
    <r>
      <rPr>
        <b/>
        <sz val="11"/>
        <rFont val="Arial"/>
        <family val="2"/>
      </rPr>
      <t>(c)</t>
    </r>
    <r>
      <rPr>
        <sz val="11"/>
        <rFont val="Arial"/>
        <family val="2"/>
      </rPr>
      <t xml:space="preserve">
Amortizable amount</t>
    </r>
  </si>
  <si>
    <r>
      <rPr>
        <b/>
        <sz val="11"/>
        <rFont val="Arial"/>
        <family val="2"/>
      </rPr>
      <t>(d)</t>
    </r>
    <r>
      <rPr>
        <sz val="11"/>
        <rFont val="Arial"/>
        <family val="2"/>
      </rPr>
      <t xml:space="preserve">
Code section</t>
    </r>
  </si>
  <si>
    <r>
      <rPr>
        <b/>
        <sz val="11"/>
        <rFont val="Arial"/>
        <family val="2"/>
      </rPr>
      <t>(e)</t>
    </r>
    <r>
      <rPr>
        <sz val="11"/>
        <rFont val="Arial"/>
        <family val="2"/>
      </rPr>
      <t xml:space="preserve">
Amortization
period or
percentage</t>
    </r>
  </si>
  <si>
    <r>
      <rPr>
        <b/>
        <sz val="11"/>
        <rFont val="Arial"/>
        <family val="2"/>
      </rPr>
      <t xml:space="preserve">(f)
</t>
    </r>
    <r>
      <rPr>
        <sz val="11"/>
        <rFont val="Arial"/>
        <family val="2"/>
      </rPr>
      <t>Amortization for this year</t>
    </r>
  </si>
  <si>
    <r>
      <rPr>
        <b/>
        <sz val="12"/>
        <rFont val="Arial"/>
        <family val="2"/>
      </rPr>
      <t>Total.</t>
    </r>
    <r>
      <rPr>
        <sz val="12"/>
        <rFont val="Arial"/>
        <family val="2"/>
      </rPr>
      <t xml:space="preserve"> Add amounts in column (f). See the instructions for where to report</t>
    </r>
  </si>
  <si>
    <r>
      <rPr>
        <sz val="8"/>
        <rFont val="Arial"/>
        <family val="2"/>
      </rPr>
      <t xml:space="preserve">Form </t>
    </r>
    <r>
      <rPr>
        <b/>
        <sz val="14"/>
        <rFont val="Arial"/>
        <family val="2"/>
      </rPr>
      <t>4562</t>
    </r>
  </si>
  <si>
    <t>Description of property</t>
  </si>
  <si>
    <t>Date
Placed in Service</t>
  </si>
  <si>
    <t>Cost or
Other
Basis</t>
  </si>
  <si>
    <t>Business/
Investment
Use %</t>
  </si>
  <si>
    <t>Section 179
Special
Allowance,
and Other
Basis
Reductions</t>
  </si>
  <si>
    <t>Method/
Convention</t>
  </si>
  <si>
    <t>Recovery
Period</t>
  </si>
  <si>
    <t>Rate or 
Table %</t>
  </si>
  <si>
    <t>Depreciation
Deduction</t>
  </si>
  <si>
    <t xml:space="preserve">Does Form 6251 need to be completed?    →  </t>
  </si>
  <si>
    <t>Alternative Minimum Tax—Individuals</t>
  </si>
  <si>
    <r>
      <t xml:space="preserve">Be sure you have read the </t>
    </r>
    <r>
      <rPr>
        <b/>
        <sz val="10"/>
        <rFont val="Arial"/>
        <family val="2"/>
      </rPr>
      <t>Exception</t>
    </r>
    <r>
      <rPr>
        <sz val="10"/>
        <rFont val="Arial"/>
        <family val="2"/>
      </rPr>
      <t xml:space="preserve"> in the instructions for this line to see if you must fill in</t>
    </r>
  </si>
  <si>
    <r>
      <rPr>
        <b/>
        <sz val="9"/>
        <rFont val="Arial"/>
        <family val="2"/>
      </rPr>
      <t xml:space="preserve">Go to </t>
    </r>
    <r>
      <rPr>
        <b/>
        <i/>
        <sz val="9"/>
        <rFont val="Arial"/>
        <family val="2"/>
      </rPr>
      <t>www.irs.gov/Form6251</t>
    </r>
    <r>
      <rPr>
        <b/>
        <sz val="9"/>
        <rFont val="Arial"/>
        <family val="2"/>
      </rPr>
      <t xml:space="preserve"> for instructions and the latest information.</t>
    </r>
  </si>
  <si>
    <t>Form 6251 instead of using this worksheet.</t>
  </si>
  <si>
    <r>
      <t xml:space="preserve">Sequence No. </t>
    </r>
    <r>
      <rPr>
        <b/>
        <sz val="12"/>
        <rFont val="Arial"/>
        <family val="2"/>
      </rPr>
      <t>32</t>
    </r>
  </si>
  <si>
    <t>Your deduction is being</t>
  </si>
  <si>
    <r>
      <t xml:space="preserve">Are you filing </t>
    </r>
    <r>
      <rPr>
        <b/>
        <sz val="10"/>
        <rFont val="Arial"/>
        <family val="2"/>
      </rPr>
      <t>Schedule A</t>
    </r>
    <r>
      <rPr>
        <sz val="10"/>
        <rFont val="Arial"/>
        <family val="2"/>
      </rPr>
      <t>?</t>
    </r>
  </si>
  <si>
    <r>
      <t xml:space="preserve">  Alternative Minimum Taxable Income </t>
    </r>
    <r>
      <rPr>
        <sz val="12"/>
        <rFont val="Arial"/>
        <family val="2"/>
      </rPr>
      <t xml:space="preserve">   (See instructions for how to complete each line.)</t>
    </r>
  </si>
  <si>
    <t>Skip lines 1 and 2; subtract Form 1040 or 1040-SR, line 13, or Form 1040-NR, line 13a, from Form</t>
  </si>
  <si>
    <t>Enter the amount from Form 1040, line 15, if more than zero. If Form 1040, line 15,</t>
  </si>
  <si>
    <t>1040, 1040-SR, or 1040-NR, line 11, and enter the result on line 3 and go to line 4.</t>
  </si>
  <si>
    <t>is zero, subtract lines 12 and 13 of Form 1040 from line 11 of Form 1040 and enter the result</t>
  </si>
  <si>
    <t>here. (If less than zero, enter as a negative amount.)</t>
  </si>
  <si>
    <t>Enter the amount from Form 1040, 1040-SR, or 1040-NR, line 15</t>
  </si>
  <si>
    <t>2   a</t>
  </si>
  <si>
    <t>If filing Schedule A (Form 1040), enter the taxes from Schedule A, line 7; otherwise, enter the amount from</t>
  </si>
  <si>
    <t>Enter the amount from Schedule A, line 7</t>
  </si>
  <si>
    <t>Tax refund from Schedule 1 (Form 1040), line 1 or line 8z</t>
  </si>
  <si>
    <t>Investment interest expense (difference between regular tax and AMT)</t>
  </si>
  <si>
    <t>Depletion (difference between regular tax and AMT)</t>
  </si>
  <si>
    <t>Net operating loss deduction from Schedule 1 (Form 1040), line 8a.</t>
  </si>
  <si>
    <t>Enter as positive amount.</t>
  </si>
  <si>
    <t>Enter any tax refund from Schedule 1, lines 1 and 8z</t>
  </si>
  <si>
    <t>Alternative tax net operating loss deduction</t>
  </si>
  <si>
    <r>
      <t xml:space="preserve">Portion of Line 8z attributed to tax refund  </t>
    </r>
    <r>
      <rPr>
        <b/>
        <sz val="9"/>
        <rFont val="Arial"/>
        <family val="2"/>
      </rPr>
      <t>↑</t>
    </r>
  </si>
  <si>
    <t>Interest from specified private activity bonds exempt from the regular tax</t>
  </si>
  <si>
    <t>(This is used here and Form 6251, Line 2b.)</t>
  </si>
  <si>
    <t>Qualified small business stock, see instructions</t>
  </si>
  <si>
    <t>Subtract line 4 from line 3</t>
  </si>
  <si>
    <t>Exercise of incentive stock options (excess of AMT income over regular tax income)</t>
  </si>
  <si>
    <t>Line 4 —  Alternative Minimum</t>
  </si>
  <si>
    <t>Estates and trusts (amount from Schedule K-1 (Form 1041), box 12, code A)</t>
  </si>
  <si>
    <t>Enter the amount shown below for your filing status</t>
  </si>
  <si>
    <t>Disposition of property (difference between AMT and regular tax gain or loss)</t>
  </si>
  <si>
    <t>If your filing status is married filing</t>
  </si>
  <si>
    <r>
      <t xml:space="preserve"> </t>
    </r>
    <r>
      <rPr>
        <sz val="8"/>
        <rFont val="Wingdings"/>
        <charset val="2"/>
      </rPr>
      <t>l</t>
    </r>
  </si>
  <si>
    <t>separately and line 4 is more than</t>
  </si>
  <si>
    <r>
      <t>Passive activities (difference between AMT and regular tax income or loss)</t>
    </r>
    <r>
      <rPr>
        <b/>
        <sz val="10"/>
        <rFont val="Arial"/>
        <family val="2"/>
      </rPr>
      <t xml:space="preserve"> </t>
    </r>
  </si>
  <si>
    <t xml:space="preserve">Loss limitations (difference between AMT and regular tax income or loss) </t>
  </si>
  <si>
    <t>additional amount on line 4. If line 4 is</t>
  </si>
  <si>
    <t xml:space="preserve">Circulation costs (difference between regular tax and AMT) </t>
  </si>
  <si>
    <t>Is the amount on line 5 more than the amount on line 6?</t>
  </si>
  <si>
    <t>Long-term contracts (difference between AMT and regular tax income)</t>
  </si>
  <si>
    <t>Mining costs (difference between regular tax and AMT)</t>
  </si>
  <si>
    <t>excess of the amount on line 28 over</t>
  </si>
  <si>
    <t>STOP  Don’t complete the rest of this worksheet. You don’t owe alternative minimum</t>
  </si>
  <si>
    <t>Research and experimental costs (difference between regular tax and AMT)</t>
  </si>
  <si>
    <t>tax and don’t need to fill out Form 6251. Leave Schedule 2, line 1 blank.</t>
  </si>
  <si>
    <t>Income from certain installment sales before January 1, 1987</t>
  </si>
  <si>
    <t>Subtract line 6 from line 5</t>
  </si>
  <si>
    <t>Intangible drilling costs preference</t>
  </si>
  <si>
    <t>Other adjustments, including income-based related adjustments</t>
  </si>
  <si>
    <t xml:space="preserve">     Alternative Minimum Tax (AMT)</t>
  </si>
  <si>
    <t>Exemption.</t>
  </si>
  <si>
    <t>IF your filing status is . . .</t>
  </si>
  <si>
    <t>AND line 4 is not over . . .</t>
  </si>
  <si>
    <t>THEN enter on line 5 . . .</t>
  </si>
  <si>
    <t xml:space="preserve"> Is the amount on line 5 more than the amount on line 8?</t>
  </si>
  <si>
    <t>Single or head of household</t>
  </si>
  <si>
    <t>Married filing jointly or qualifying widow(er)</t>
  </si>
  <si>
    <t>Enter -0-. Skip line 10. Enter on line 11 the amount from line 7, and go to line 12.</t>
  </si>
  <si>
    <t>Married filing separately</t>
  </si>
  <si>
    <t>.   .   .   .   .   .   .   .   .   .   .   .</t>
  </si>
  <si>
    <r>
      <t xml:space="preserve">If line 4 is </t>
    </r>
    <r>
      <rPr>
        <b/>
        <sz val="10"/>
        <rFont val="Arial"/>
        <family val="2"/>
      </rPr>
      <t>over</t>
    </r>
    <r>
      <rPr>
        <sz val="10"/>
        <rFont val="Arial"/>
        <family val="2"/>
      </rPr>
      <t xml:space="preserve"> the amount shown above for your filing status, see instructions.</t>
    </r>
  </si>
  <si>
    <t>Subtract line 8 from line 5</t>
  </si>
  <si>
    <t>If you are filing Form 2555, see instructions for the amount to enter.</t>
  </si>
  <si>
    <t>If you reported capital gain distributions directly on Form 1040 or 1040-SR, line 7; you reported</t>
  </si>
  <si>
    <t xml:space="preserve"> Add lines 7 and 10</t>
  </si>
  <si>
    <t>16 of Schedule D (Form 1040) (as refigured for the AMT, if necessary), complete Part III on the</t>
  </si>
  <si>
    <t>back and enter the amount from line 40 here.</t>
  </si>
  <si>
    <r>
      <rPr>
        <sz val="8"/>
        <rFont val="Arial"/>
        <family val="2"/>
      </rPr>
      <t xml:space="preserve"> </t>
    </r>
    <r>
      <rPr>
        <sz val="8"/>
        <rFont val="Wingdings"/>
        <charset val="2"/>
      </rPr>
      <t>l</t>
    </r>
  </si>
  <si>
    <t>All others:</t>
  </si>
  <si>
    <t>STOP  Fill in Form 6251 to see if you owe the alternative minimum tax.</t>
  </si>
  <si>
    <t>married filing separately) from the result.</t>
  </si>
  <si>
    <t>Alternative minimum tax foreign tax credit (see instructions)</t>
  </si>
  <si>
    <t>Add Form 1040, 1040-SR, or 1040-NR, line 16 (minus any tax from Form 4972), and Schedule 2, line 2.</t>
  </si>
  <si>
    <t>Add Form 1040 or 1040-SR, line 16 (minus any tax from Form 4972), and Schedule 2 (Form 1040), line 2.</t>
  </si>
  <si>
    <r>
      <t xml:space="preserve">Form 4972 here </t>
    </r>
    <r>
      <rPr>
        <sz val="8"/>
        <rFont val="Symbol"/>
        <family val="1"/>
        <charset val="2"/>
      </rPr>
      <t>¯</t>
    </r>
  </si>
  <si>
    <t>(If you used Schedule J to figure your tax on the entry space on Form 1040, 1040-SR, or 1040-NR, line 16, refigure that tax</t>
  </si>
  <si>
    <t>Subtract from the result Schedule 3 (Form 1040), line 1 and any negative amount reported on Form 8978,</t>
  </si>
  <si>
    <t xml:space="preserve"> without using Schedule J before including it in this calculation)</t>
  </si>
  <si>
    <t xml:space="preserve">line 14 (treated as a positive number). If zero or less, enter -0-. If you used Schedule J to figure your tax on </t>
  </si>
  <si>
    <r>
      <t xml:space="preserve">Tax from Form 4972  </t>
    </r>
    <r>
      <rPr>
        <b/>
        <sz val="10"/>
        <rFont val="Arial"/>
        <family val="2"/>
      </rPr>
      <t>↑</t>
    </r>
  </si>
  <si>
    <t>Form 1040 or 1040-SR, line 16, refigure that tax without using Schedule J before completing this line. See</t>
  </si>
  <si>
    <t xml:space="preserve"> .   .   .   .   .   .   .   .   .   .   .   .   .   .   .   .   .   .   .   .   .   .   .   .   .   .   .   .   .   .   .   .   .   .   . </t>
  </si>
  <si>
    <t>Next. Is the amount on line 12 more than the amount on line 13?</t>
  </si>
  <si>
    <r>
      <rPr>
        <b/>
        <sz val="10"/>
        <rFont val="Arial"/>
        <family val="2"/>
      </rPr>
      <t>AMT.</t>
    </r>
    <r>
      <rPr>
        <sz val="10"/>
        <rFont val="Arial"/>
        <family val="2"/>
      </rPr>
      <t xml:space="preserve"> Subtract line 10 from line 9. If zero or less, enter -0-. Enter here and on Schedule 2 (1040), line 1</t>
    </r>
  </si>
  <si>
    <t>Cat. No. 13600G</t>
  </si>
  <si>
    <r>
      <t>Form</t>
    </r>
    <r>
      <rPr>
        <sz val="10"/>
        <rFont val="Arial"/>
        <family val="2"/>
      </rPr>
      <t xml:space="preserve"> </t>
    </r>
    <r>
      <rPr>
        <b/>
        <sz val="11"/>
        <rFont val="Arial"/>
        <family val="2"/>
      </rPr>
      <t>6251</t>
    </r>
  </si>
  <si>
    <t>Fill in Form 6251 to see if you owe the alternative minimum tax.</t>
  </si>
  <si>
    <r>
      <t xml:space="preserve">Page   </t>
    </r>
    <r>
      <rPr>
        <b/>
        <sz val="12"/>
        <rFont val="Arial"/>
        <family val="2"/>
      </rPr>
      <t>2</t>
    </r>
  </si>
  <si>
    <t xml:space="preserve">  Tax Computation Using Maximum Capital Gains Rates</t>
  </si>
  <si>
    <t>Complete Part III only if you are required to do so by line 7 or by the Foreign Earned Income Tax Worksheet in the instructions.</t>
  </si>
  <si>
    <t>https://www.irs.gov/pub/irs-pdf/i6251.pdf</t>
  </si>
  <si>
    <t>worksheet in the instructions for line 7</t>
  </si>
  <si>
    <t>Exemption Worksheet—
Line 5</t>
  </si>
  <si>
    <t>Enter the amount from line 4 of the Qualified Dividends and Capital Gain Tax Worksheet in the Instructions</t>
  </si>
  <si>
    <t>for Forms 1040 or the amount from line 13 of the Schedule D Tax Worksheet in the Instructions for Schedule</t>
  </si>
  <si>
    <t xml:space="preserve">     Keep for Your Records                </t>
  </si>
  <si>
    <t>D (Form 1040), whichever applies (as refigured for the AMT, if necessary). See instructions. If you are filing</t>
  </si>
  <si>
    <t>Form 2555, see instructions for the amount to enter</t>
  </si>
  <si>
    <r>
      <t xml:space="preserve">  your exemption is zero. </t>
    </r>
    <r>
      <rPr>
        <b/>
        <sz val="10"/>
        <rFont val="Arial"/>
        <family val="2"/>
      </rPr>
      <t>Don't</t>
    </r>
    <r>
      <rPr>
        <sz val="10"/>
        <rFont val="Arial"/>
        <family val="2"/>
      </rPr>
      <t xml:space="preserve"> complete this worksheet; instead, enter the amount from Form 6251,</t>
    </r>
  </si>
  <si>
    <t xml:space="preserve">  line 4, on line 6 and go to line 7.</t>
  </si>
  <si>
    <t xml:space="preserve"> .   .   .   .   .   .   .   .   .   .   .   .   .   .   .   .   .   .   .   .   .   .   .   .   .   .   .   .   .   .   .   .   .   .   .   .   .   .   .   .   .   . </t>
  </si>
  <si>
    <r>
      <t xml:space="preserve">Enter the </t>
    </r>
    <r>
      <rPr>
        <b/>
        <sz val="10"/>
        <rFont val="Arial"/>
        <family val="2"/>
      </rPr>
      <t>smaller</t>
    </r>
    <r>
      <rPr>
        <sz val="10"/>
        <rFont val="Arial"/>
        <family val="2"/>
      </rPr>
      <t xml:space="preserve"> of line 12 or line 15</t>
    </r>
  </si>
  <si>
    <t>Enter your alternative minimum taxable income</t>
  </si>
  <si>
    <t>(AMTI) from Form 6251, line 4</t>
  </si>
  <si>
    <t>Subtract line 3 from line 2. If zero or less,</t>
  </si>
  <si>
    <r>
      <t>enter -0-</t>
    </r>
    <r>
      <rPr>
        <b/>
        <sz val="10"/>
        <rFont val="Arial"/>
        <family val="2"/>
      </rPr>
      <t xml:space="preserve"> </t>
    </r>
  </si>
  <si>
    <t xml:space="preserve">.   .   .   .   .   .   .   .   .   .   .   .   .   .   .   .   .   .   .   .   .   .   .   .   .   .   .   .   .   .   .   .   .   .   .   .   .   .   .   .   .   . </t>
  </si>
  <si>
    <t>Enter the amount from line 5 of the Qualified Dividends and Capital Gain Tax Worksheet or the amount from</t>
  </si>
  <si>
    <t>line 14 of the Schedule D Tax Worksheet, whichever applies (as figured for the regular tax). If you did not</t>
  </si>
  <si>
    <t>Subtract line 5 from line 1. If zero or less, enter -0-.</t>
  </si>
  <si>
    <t>complete either worksheet for the regular tax, enter the amount from Form 1040 or 1040-SR, line 15; if</t>
  </si>
  <si>
    <t>Also, enter this amount on Form 6251, line 5, and</t>
  </si>
  <si>
    <t>zero or less, enter -0-.</t>
  </si>
  <si>
    <t>If you are filing Form 2555, see instructions for the amount to enter</t>
  </si>
  <si>
    <t>Subtract line 20 from line 19. If zero or less, enter -0-</t>
  </si>
  <si>
    <r>
      <t xml:space="preserve">Enter the </t>
    </r>
    <r>
      <rPr>
        <b/>
        <sz val="10"/>
        <rFont val="Arial"/>
        <family val="2"/>
      </rPr>
      <t>smaller</t>
    </r>
    <r>
      <rPr>
        <sz val="10"/>
        <rFont val="Arial"/>
        <family val="2"/>
      </rPr>
      <t xml:space="preserve"> of line 12 or line 13</t>
    </r>
  </si>
  <si>
    <r>
      <t xml:space="preserve">Enter the </t>
    </r>
    <r>
      <rPr>
        <b/>
        <sz val="10"/>
        <rFont val="Arial"/>
        <family val="2"/>
      </rPr>
      <t>smaller</t>
    </r>
    <r>
      <rPr>
        <sz val="10"/>
        <rFont val="Arial"/>
        <family val="2"/>
      </rPr>
      <t xml:space="preserve"> of line 21 or line 22. This amount is taxed at 0%</t>
    </r>
  </si>
  <si>
    <t>Subtract line 23 from line 22</t>
  </si>
  <si>
    <t xml:space="preserve">.   .   .   .   .   .   .   .   .   .   .   .   .   .   .   .   .   .   .   .   .   .   .   .   .   .   .   .   .   .   .   . </t>
  </si>
  <si>
    <t>Foreign Earned Income Tax Worksheet—Line 7</t>
  </si>
  <si>
    <t xml:space="preserve">  Before you begin:</t>
  </si>
  <si>
    <t>If Form 6251, line 6, is zero, don't complete this worksheet.</t>
  </si>
  <si>
    <t>Enter the amount from Form 6251, line 6</t>
  </si>
  <si>
    <t>Enter the amount from your (and your spouse's if filing jointly) Form 2555,</t>
  </si>
  <si>
    <t>Enter the amount from line 21</t>
  </si>
  <si>
    <t xml:space="preserve">  .   .   .   .   .   .   .   .   .   .   .   .   .   .   .   .   .   .   .   .   .   .   .   .   .   .   .   .   . </t>
  </si>
  <si>
    <t>lines 45 and 50</t>
  </si>
  <si>
    <t>Enter the amount from line 5 of the Qualified Dividends &amp; Capital Gain Tax Worksheet or the amount from</t>
  </si>
  <si>
    <t>Enter the total amount of any itemized deductions or exclusions you</t>
  </si>
  <si>
    <t>line 21 of the Schedule D Tax Worksheet, whichever applies (as figured for the regular tax). If you did not</t>
  </si>
  <si>
    <t>couldn't claim because they are related to excluded income</t>
  </si>
  <si>
    <t>amount from Form 1040, line 11b; if zero or less, enter -0-. If you are filing Form 2555,</t>
  </si>
  <si>
    <t>Add line 26 and line 27</t>
  </si>
  <si>
    <t>Subtract line 28 from line 25. If zero or less, enter -0-</t>
  </si>
  <si>
    <t>qualified dividends on Form 1040, line 3a; or you had a gain on both lines 15 and 16 of Schedule D</t>
  </si>
  <si>
    <t>Enter the smaller of line 24 or line 29</t>
  </si>
  <si>
    <t>(Form 1040)(as refigured for the AMT, if necessary), enter the amount from line 3 of this worksheet</t>
  </si>
  <si>
    <t>on Form 6251, line 12. Complete the rest of Part III of Form 6251. However, before completing Part III, see</t>
  </si>
  <si>
    <t>Add lines 23 and 30</t>
  </si>
  <si>
    <t>If lines 32 and 12 are same, skip lines 33 through 37 and go to line 38. Otherwise, go to line 33.</t>
  </si>
  <si>
    <t>Subtract line 32 from line 22</t>
  </si>
  <si>
    <t>If line 14 is zero or blank, skip lines 35 through 37 and go to line 38. Otherwise, go to line 35.</t>
  </si>
  <si>
    <t>separately) from the result.</t>
  </si>
  <si>
    <t>Add lines 17, 32, and 33</t>
  </si>
  <si>
    <t xml:space="preserve">   .   .   .   .   .   .   .   .   .   .   .   .   .   .   .   .   .   .   .   .   .   .   .   .   .   .   .   .   .   .   . </t>
  </si>
  <si>
    <t>Subtract line 35 from line 12</t>
  </si>
  <si>
    <t>married filing separately) from the result</t>
  </si>
  <si>
    <t>Add lines 18, 31, 34, and 37</t>
  </si>
  <si>
    <t>Subtract line 5 from line 4. Enter the result here and on Form 6251, line 7</t>
  </si>
  <si>
    <r>
      <t xml:space="preserve">Enter the </t>
    </r>
    <r>
      <rPr>
        <b/>
        <sz val="10"/>
        <rFont val="Arial"/>
        <family val="2"/>
      </rPr>
      <t>smaller</t>
    </r>
    <r>
      <rPr>
        <sz val="10"/>
        <rFont val="Arial"/>
        <family val="2"/>
      </rPr>
      <t xml:space="preserve"> of line 38 or line 39 here and on line 7. If you are filing Form 2555, do not enter this</t>
    </r>
  </si>
  <si>
    <t>amount on line 7. Instead, enter it on line 4 of the worksheet in the instructions for line 7</t>
  </si>
  <si>
    <r>
      <t>Form</t>
    </r>
    <r>
      <rPr>
        <sz val="10"/>
        <rFont val="Arial"/>
        <family val="2"/>
      </rPr>
      <t xml:space="preserve"> </t>
    </r>
    <r>
      <rPr>
        <b/>
        <sz val="12"/>
        <rFont val="Arial"/>
        <family val="2"/>
      </rPr>
      <t>6251</t>
    </r>
  </si>
  <si>
    <t>Download Form 6251</t>
  </si>
  <si>
    <t>Download Form 6251 Instructions</t>
  </si>
  <si>
    <r>
      <t xml:space="preserve">Form </t>
    </r>
    <r>
      <rPr>
        <b/>
        <sz val="22"/>
        <rFont val="Arial"/>
        <family val="2"/>
      </rPr>
      <t>8283</t>
    </r>
  </si>
  <si>
    <t>Noncash Charitable Contributions</t>
  </si>
  <si>
    <t>Attach one or more Forms 8283 to your tax return if you claimed a total deduction</t>
  </si>
  <si>
    <t>of over $500 for all contributed property.</t>
  </si>
  <si>
    <r>
      <t xml:space="preserve">Go to </t>
    </r>
    <r>
      <rPr>
        <i/>
        <sz val="10"/>
        <rFont val="Arial"/>
        <family val="2"/>
      </rPr>
      <t>www.irs.gov/Form8283</t>
    </r>
    <r>
      <rPr>
        <sz val="10"/>
        <rFont val="Arial"/>
        <family val="2"/>
      </rPr>
      <t xml:space="preserve"> for instructions and the latest information.</t>
    </r>
  </si>
  <si>
    <t>Name(s) shown on your income tax return</t>
  </si>
  <si>
    <r>
      <rPr>
        <b/>
        <sz val="11"/>
        <rFont val="Arial"/>
        <family val="2"/>
      </rPr>
      <t>Note:</t>
    </r>
    <r>
      <rPr>
        <sz val="11"/>
        <rFont val="Arial"/>
        <family val="2"/>
      </rPr>
      <t xml:space="preserve"> </t>
    </r>
  </si>
  <si>
    <t>Figure the amount of your contribution deduction before completing this form. See your tax return instructions.</t>
  </si>
  <si>
    <r>
      <rPr>
        <b/>
        <sz val="13"/>
        <rFont val="Arial"/>
        <family val="2"/>
      </rPr>
      <t>Section A</t>
    </r>
    <r>
      <rPr>
        <sz val="13"/>
        <rFont val="Arial"/>
        <family val="2"/>
      </rPr>
      <t>.</t>
    </r>
  </si>
  <si>
    <r>
      <rPr>
        <b/>
        <sz val="12"/>
        <rFont val="Arial"/>
        <family val="2"/>
      </rPr>
      <t>Donated Property of $5,000 or Less and Publicly Traded Securities</t>
    </r>
    <r>
      <rPr>
        <sz val="12"/>
        <rFont val="Arial"/>
        <family val="2"/>
      </rPr>
      <t xml:space="preserve">—List in this section </t>
    </r>
    <r>
      <rPr>
        <b/>
        <sz val="12"/>
        <rFont val="Arial"/>
        <family val="2"/>
      </rPr>
      <t>only</t>
    </r>
    <r>
      <rPr>
        <sz val="12"/>
        <rFont val="Arial"/>
        <family val="2"/>
      </rPr>
      <t xml:space="preserve"> items</t>
    </r>
  </si>
  <si>
    <t>(or a group of similar items) for which you claimed a deduction of $5,000 or less. Also list publicly traded</t>
  </si>
  <si>
    <t>securities and certain other property even if the deduction is more than $5,000.  See instructions.</t>
  </si>
  <si>
    <r>
      <rPr>
        <b/>
        <sz val="12"/>
        <rFont val="Arial"/>
        <family val="2"/>
      </rPr>
      <t xml:space="preserve">Information on Donated Property </t>
    </r>
    <r>
      <rPr>
        <sz val="12"/>
        <rFont val="Arial"/>
        <family val="2"/>
      </rPr>
      <t>— If you need more space, attach a statement.</t>
    </r>
  </si>
  <si>
    <t>(a) Name and address of the donee organization</t>
  </si>
  <si>
    <t>(b) If donated property is a vehicle (see instructions),
check the box. Also enter the vehicle identification 
number (unless Form 1098-C is attached).</t>
  </si>
  <si>
    <t>(c) Description and condition of donated property 
(For a vehicle, enter the year, make, model, and 
mileage. For securities and other property, 
see instructions.)</t>
  </si>
  <si>
    <t>Hint:  Use Alt-Enter for carriage return.</t>
  </si>
  <si>
    <t>If the amount you claimed as a deduction for an item is $500 or less, you do not have to complete columns (e), (f), and (g).</t>
  </si>
  <si>
    <r>
      <rPr>
        <b/>
        <sz val="8"/>
        <rFont val="Arial"/>
        <family val="2"/>
      </rPr>
      <t>(d)</t>
    </r>
    <r>
      <rPr>
        <sz val="8"/>
        <rFont val="Arial"/>
        <family val="2"/>
      </rPr>
      <t xml:space="preserve"> Date of the contribution</t>
    </r>
  </si>
  <si>
    <r>
      <rPr>
        <b/>
        <sz val="8"/>
        <rFont val="Arial"/>
        <family val="2"/>
      </rPr>
      <t>(e)</t>
    </r>
    <r>
      <rPr>
        <sz val="8"/>
        <rFont val="Arial"/>
        <family val="2"/>
      </rPr>
      <t xml:space="preserve"> Date acquired 
by donor (mo., yr.)</t>
    </r>
  </si>
  <si>
    <r>
      <rPr>
        <b/>
        <sz val="8"/>
        <rFont val="Arial"/>
        <family val="2"/>
      </rPr>
      <t>(f)</t>
    </r>
    <r>
      <rPr>
        <sz val="8"/>
        <rFont val="Arial"/>
        <family val="2"/>
      </rPr>
      <t xml:space="preserve"> How acquired 
by donor</t>
    </r>
  </si>
  <si>
    <r>
      <rPr>
        <b/>
        <sz val="8"/>
        <rFont val="Arial"/>
        <family val="2"/>
      </rPr>
      <t>(g)</t>
    </r>
    <r>
      <rPr>
        <sz val="8"/>
        <rFont val="Arial"/>
        <family val="2"/>
      </rPr>
      <t xml:space="preserve"> Donor’s cost 
or adjusted basis</t>
    </r>
  </si>
  <si>
    <r>
      <rPr>
        <b/>
        <sz val="8"/>
        <rFont val="Arial"/>
        <family val="2"/>
      </rPr>
      <t>(h)</t>
    </r>
    <r>
      <rPr>
        <sz val="8"/>
        <rFont val="Arial"/>
        <family val="2"/>
      </rPr>
      <t xml:space="preserve"> Fair market value 
(see instructions)</t>
    </r>
  </si>
  <si>
    <r>
      <rPr>
        <b/>
        <sz val="8"/>
        <rFont val="Arial"/>
        <family val="2"/>
      </rPr>
      <t>(i)</t>
    </r>
    <r>
      <rPr>
        <sz val="8"/>
        <rFont val="Arial"/>
        <family val="2"/>
      </rPr>
      <t xml:space="preserve"> Method used to determine 
the fair market value</t>
    </r>
  </si>
  <si>
    <r>
      <rPr>
        <b/>
        <sz val="13"/>
        <rFont val="Arial"/>
        <family val="2"/>
      </rPr>
      <t>Section B</t>
    </r>
    <r>
      <rPr>
        <sz val="13"/>
        <rFont val="Arial"/>
        <family val="2"/>
      </rPr>
      <t>.</t>
    </r>
  </si>
  <si>
    <t>Donated Property Over $5,000 (Except Publicly Traded Securities, Vehicles, Intellectual Property or</t>
  </si>
  <si>
    <t>Information on Donated Property</t>
  </si>
  <si>
    <t xml:space="preserve"> Other Real Estate</t>
  </si>
  <si>
    <t xml:space="preserve"> Vehicles</t>
  </si>
  <si>
    <t xml:space="preserve"> Qualified Conservation Contribution</t>
  </si>
  <si>
    <t xml:space="preserve"> Securities</t>
  </si>
  <si>
    <t xml:space="preserve"> Equipment</t>
  </si>
  <si>
    <t xml:space="preserve"> Other</t>
  </si>
  <si>
    <t xml:space="preserve"> Art* (contribution of less than $20,000)</t>
  </si>
  <si>
    <t xml:space="preserve"> Intellectual Property</t>
  </si>
  <si>
    <r>
      <rPr>
        <b/>
        <sz val="9"/>
        <rFont val="Arial"/>
        <family val="2"/>
      </rPr>
      <t>(a)</t>
    </r>
    <r>
      <rPr>
        <sz val="9"/>
        <rFont val="Arial"/>
        <family val="2"/>
      </rPr>
      <t xml:space="preserve"> Description of donated property (if you need
more space, attach a separate statement)</t>
    </r>
  </si>
  <si>
    <r>
      <rPr>
        <b/>
        <sz val="9"/>
        <rFont val="Arial"/>
        <family val="2"/>
      </rPr>
      <t>(b)</t>
    </r>
    <r>
      <rPr>
        <sz val="9"/>
        <rFont val="Arial"/>
        <family val="2"/>
      </rPr>
      <t xml:space="preserve"> If any tangible personal property or real property was donated, give a brief
summary of the overall physical condition of the property at the time of the gift.</t>
    </r>
  </si>
  <si>
    <t>(c) Appraised fair
market value</t>
  </si>
  <si>
    <t>(d) Date acquired
by donor
(mo., yr.)</t>
  </si>
  <si>
    <t>(e) How acquired by donor</t>
  </si>
  <si>
    <t>(f) Donor’s cost or
adjusted basis</t>
  </si>
  <si>
    <t>(g) For bargain sales, enter amount received</t>
  </si>
  <si>
    <t>(h) Amount claimed 
as a deduction 
(see instructions)</t>
  </si>
  <si>
    <t>(i) Date of 
contribution 
(see instructions)</t>
  </si>
  <si>
    <t>Cat. No. 62299J</t>
  </si>
  <si>
    <r>
      <t>Form</t>
    </r>
    <r>
      <rPr>
        <b/>
        <sz val="14"/>
        <rFont val="Arial"/>
        <family val="2"/>
      </rPr>
      <t xml:space="preserve"> </t>
    </r>
    <r>
      <rPr>
        <b/>
        <sz val="12"/>
        <rFont val="Arial"/>
        <family val="2"/>
      </rPr>
      <t>8283</t>
    </r>
  </si>
  <si>
    <t>Partial Interests and Restricted Use Property (Other Than Qualified Conservation Contributions)—</t>
  </si>
  <si>
    <t>Complete lines 4a through 4e if you gave less than an entire interest in a property listed in Section B, Part I.</t>
  </si>
  <si>
    <t>Complete lines 5a through 5c if conditions were placed on a contribution listed in Section B, Part I; also</t>
  </si>
  <si>
    <t>attach the required statement. See instructions.</t>
  </si>
  <si>
    <t>Enter the letter from Section B, Part I that identifies the property for which you gave less than an entire interest</t>
  </si>
  <si>
    <t>If Section B, Part II applies to more than one property, attach a separate statement.</t>
  </si>
  <si>
    <t>Total amount claimed as a deduction for the property listed in Part I:</t>
  </si>
  <si>
    <t>(1)</t>
  </si>
  <si>
    <t>For this tax year</t>
  </si>
  <si>
    <t>(2)</t>
  </si>
  <si>
    <t>For any prior tax years</t>
  </si>
  <si>
    <t>Name and address of each organization to which any such contribution was made in a prior year (complete only if different</t>
  </si>
  <si>
    <t>from the donee organization in Section B, Part V, below):</t>
  </si>
  <si>
    <t>Name of charitable organization (donee)</t>
  </si>
  <si>
    <t>Address (number, street, and room or suite no.)</t>
  </si>
  <si>
    <t>City or town, state, and ZIP code</t>
  </si>
  <si>
    <t>For tangible property, enter the place where the property is located or kept</t>
  </si>
  <si>
    <t>Name of any person, other than the donee organization, having actual possession of the property</t>
  </si>
  <si>
    <t>Is there a restriction, either temporary or permanent, on the donee’s right to use or dispose of the donated property?</t>
  </si>
  <si>
    <t>Did you give to anyone (other than the donee organization or another organization participating with the donee</t>
  </si>
  <si>
    <t>organization in cooperative fundraising) the right to the income from the donated property or to the possession of</t>
  </si>
  <si>
    <t>the property, including the right to vote donated securities, to acquire the property by purchase or otherwise, or to</t>
  </si>
  <si>
    <t>designate the person having such income, possession, or right to acquire?</t>
  </si>
  <si>
    <t>Is there a restriction limiting the donated property for a particular use?</t>
  </si>
  <si>
    <r>
      <t>Taxpayer (Donor) Statement—</t>
    </r>
    <r>
      <rPr>
        <sz val="12"/>
        <rFont val="Arial"/>
        <family val="2"/>
      </rPr>
      <t>List each item included in Section B, Part I above that the appraisal identifies</t>
    </r>
  </si>
  <si>
    <t>as having a value of $500 or less. See instructions.</t>
  </si>
  <si>
    <t>I declare that the following item(s) included in Section B, Part I above has to the best of my knowledge and belief an appraised value</t>
  </si>
  <si>
    <t>of not more than $500 (per item). Enter identifying letter from Section B, Part I and describe the specific item. See instructions.</t>
  </si>
  <si>
    <t>Signature of taxpayer (donor)</t>
  </si>
  <si>
    <t>Declaration of Appraiser</t>
  </si>
  <si>
    <t>I declare that I am not the donor, the donee, a party to the transaction in which the donor acquired the property, employed by, or related to any of the foregoing persons, or
married to any person who is related to any of the foregoing persons. And, if regularly used by the donor, donee, or party to the transaction, I performed the majority of my
appraisals during my tax year for other persons.</t>
  </si>
  <si>
    <t>Sign Here</t>
  </si>
  <si>
    <t>Signature</t>
  </si>
  <si>
    <t>Appraiser name</t>
  </si>
  <si>
    <t>Title</t>
  </si>
  <si>
    <t>Business address (including room or suite no.)</t>
  </si>
  <si>
    <t>Donee Acknowledgment</t>
  </si>
  <si>
    <t>This charitable organization acknowledges that it is a qualified organization under section 170(c) and that it received the donated property as described</t>
  </si>
  <si>
    <t>as described in Section B, Part I, above on the following date</t>
  </si>
  <si>
    <t>Does the organization intend to use the property for an unrelated use?</t>
  </si>
  <si>
    <t>Employer identification number</t>
  </si>
  <si>
    <t>Authorized signature</t>
  </si>
  <si>
    <t>Passive Activity Loss Limitations</t>
  </si>
  <si>
    <t>See separate instructions.</t>
  </si>
  <si>
    <t>Attach for Form 1040, 1040-SR, or 1041.</t>
  </si>
  <si>
    <t>This Form 8582 is for:</t>
  </si>
  <si>
    <t>Go to www.irs.gov/Form8582 for instructions and the latest information.</t>
  </si>
  <si>
    <t>Names(s) shown on return</t>
  </si>
  <si>
    <r>
      <rPr>
        <b/>
        <sz val="12"/>
        <rFont val="Arial"/>
        <family val="2"/>
      </rPr>
      <t>Caution:</t>
    </r>
    <r>
      <rPr>
        <sz val="12"/>
        <rFont val="Arial"/>
        <family val="2"/>
      </rPr>
      <t xml:space="preserve"> Complete Parts IV and V before completing Part I.</t>
    </r>
  </si>
  <si>
    <t>Rental Real Estate Activities With Active Participation</t>
  </si>
  <si>
    <t>Activities with net income (enter the amount from Part IV, column (a))</t>
  </si>
  <si>
    <t xml:space="preserve"> b</t>
  </si>
  <si>
    <t>Activities with net loss (enter the amount from Part IV, column (b))</t>
  </si>
  <si>
    <t xml:space="preserve"> c</t>
  </si>
  <si>
    <t>Prior years’ unallowed losses (enter the amount from Part IV, column (c))</t>
  </si>
  <si>
    <t xml:space="preserve"> d</t>
  </si>
  <si>
    <t>Combine lines 1a, 1b, and 1c</t>
  </si>
  <si>
    <t>All Other Passive Activities</t>
  </si>
  <si>
    <t>Activities with net income (enter the amount from Part V, column (a))</t>
  </si>
  <si>
    <t>Activities with net loss (enter the amount from Part V, column (b))</t>
  </si>
  <si>
    <t>If line 3 is a loss and:</t>
  </si>
  <si>
    <t>Line 1d is a loss, go to Part II.</t>
  </si>
  <si>
    <t>Line 2d is a loss (and line 1d is zero or more), skip Part II and go to line 10.</t>
  </si>
  <si>
    <t>Part II. Instead, go to line 10.</t>
  </si>
  <si>
    <t>Special Allowance for Rental Real Estate Activities With Active Participation</t>
  </si>
  <si>
    <t>Enter modified adjusted gross income, but not less than zero. See instructions</t>
  </si>
  <si>
    <t>on line 9. Otherwise, go to line 7.</t>
  </si>
  <si>
    <t>Total Losses Allowed</t>
  </si>
  <si>
    <t>Add the income, if any, on lines 1a and 2a and enter the total</t>
  </si>
  <si>
    <r>
      <t xml:space="preserve">Complete This Part Before Part I, Lines 1a, 1b, and 1c. </t>
    </r>
    <r>
      <rPr>
        <sz val="14"/>
        <rFont val="Arial"/>
        <family val="2"/>
      </rPr>
      <t>See instructions.</t>
    </r>
  </si>
  <si>
    <t>Name of activity</t>
  </si>
  <si>
    <t>Current year</t>
  </si>
  <si>
    <t>Prior years</t>
  </si>
  <si>
    <t>Overall gain or loss</t>
  </si>
  <si>
    <r>
      <t>(d)</t>
    </r>
    <r>
      <rPr>
        <sz val="12"/>
        <rFont val="Arial"/>
        <family val="2"/>
      </rPr>
      <t xml:space="preserve"> Gain</t>
    </r>
  </si>
  <si>
    <r>
      <t>(e)</t>
    </r>
    <r>
      <rPr>
        <sz val="12"/>
        <rFont val="Arial"/>
        <family val="2"/>
      </rPr>
      <t xml:space="preserve">  Loss</t>
    </r>
  </si>
  <si>
    <r>
      <t xml:space="preserve">Total. </t>
    </r>
    <r>
      <rPr>
        <sz val="12"/>
        <rFont val="Arial"/>
        <family val="2"/>
      </rPr>
      <t>Enter on Part I, lines 1a, 1b, and 1c</t>
    </r>
  </si>
  <si>
    <t>For Privacy Act and Paperwork Reduction Act Notice, see separate instructions.</t>
  </si>
  <si>
    <t>Cat. No. 63704F</t>
  </si>
  <si>
    <r>
      <t xml:space="preserve">Use This Part if an Amount Is Shown on Part II, Line 9. </t>
    </r>
    <r>
      <rPr>
        <sz val="14"/>
        <rFont val="Arial"/>
        <family val="2"/>
      </rPr>
      <t>See instructions.</t>
    </r>
  </si>
  <si>
    <t>Form or schedule
and line number
to be reported on
(see instructions)</t>
  </si>
  <si>
    <r>
      <rPr>
        <b/>
        <sz val="12"/>
        <rFont val="Arial"/>
        <family val="2"/>
      </rPr>
      <t>(b)</t>
    </r>
    <r>
      <rPr>
        <sz val="12"/>
        <rFont val="Arial"/>
        <family val="2"/>
      </rPr>
      <t xml:space="preserve"> Ratio</t>
    </r>
  </si>
  <si>
    <r>
      <t>(c)</t>
    </r>
    <r>
      <rPr>
        <sz val="12"/>
        <rFont val="Arial"/>
        <family val="2"/>
      </rPr>
      <t xml:space="preserve"> Special allowance</t>
    </r>
  </si>
  <si>
    <r>
      <t>(d)</t>
    </r>
    <r>
      <rPr>
        <sz val="12"/>
        <rFont val="Arial"/>
        <family val="2"/>
      </rPr>
      <t xml:space="preserve">  Subtract
column (c) from
column (a).</t>
    </r>
  </si>
  <si>
    <t>If you completed Part I, enter the amount from line 11. Otherwise, enter your basis in the amount on</t>
  </si>
  <si>
    <t>Taxable  amount.</t>
  </si>
  <si>
    <t>Form 1040, 1040-SR, or 1040-NR, line 4b</t>
  </si>
  <si>
    <r>
      <t xml:space="preserve"> </t>
    </r>
    <r>
      <rPr>
        <b/>
        <sz val="11"/>
        <rFont val="Arial"/>
        <family val="2"/>
      </rPr>
      <t>Do not</t>
    </r>
    <r>
      <rPr>
        <sz val="11"/>
        <rFont val="Arial"/>
        <family val="2"/>
      </rPr>
      <t xml:space="preserve"> enter more than </t>
    </r>
  </si>
  <si>
    <t>by the total of all your prior qualified first-time homebuyer distributions</t>
  </si>
  <si>
    <t>21</t>
  </si>
  <si>
    <t xml:space="preserve">.   .   .   .   .   .   .   .   .   .   .   .   .   .   .   .   .   .   .   .   </t>
  </si>
  <si>
    <t>22</t>
  </si>
  <si>
    <t>Subtract line 22 from line 21. If zero or less, enter -0- and skip lines 24 and 25. If more than zero, you</t>
  </si>
  <si>
    <t>25 a</t>
  </si>
  <si>
    <t>Subtract line 24 from line 23. If zero or less, enter -0- and skip lines 25b and 25c</t>
  </si>
  <si>
    <t>Under penalties of perjury, I declare that I have examined this form, including accompanying attachments, and to the best of my knowledge and</t>
  </si>
  <si>
    <t>belief, it is true, correct, and complete. Declaration of preparer (other than taxpayer) is based on all information of which preparer has any knowledge.</t>
  </si>
  <si>
    <t>Paid Preparer Use Only</t>
  </si>
  <si>
    <t xml:space="preserve">  Print/Type preparer’s name</t>
  </si>
  <si>
    <t xml:space="preserve">  Preparer’s signature</t>
  </si>
  <si>
    <t xml:space="preserve">  Date</t>
  </si>
  <si>
    <t>Check</t>
  </si>
  <si>
    <t>if</t>
  </si>
  <si>
    <t xml:space="preserve"> PTIN</t>
  </si>
  <si>
    <t>self-employed</t>
  </si>
  <si>
    <t xml:space="preserve">  Firm's name</t>
  </si>
  <si>
    <t xml:space="preserve">  Firm's EIN</t>
  </si>
  <si>
    <t xml:space="preserve">  Firm's address</t>
  </si>
  <si>
    <t xml:space="preserve">  Phone no.</t>
  </si>
  <si>
    <r>
      <rPr>
        <sz val="8"/>
        <rFont val="Arial"/>
        <family val="2"/>
      </rPr>
      <t xml:space="preserve">Form </t>
    </r>
    <r>
      <rPr>
        <b/>
        <sz val="12"/>
        <rFont val="Arial"/>
        <family val="2"/>
      </rPr>
      <t>8606</t>
    </r>
  </si>
  <si>
    <t>Nondeductible IRAs</t>
  </si>
  <si>
    <t>Go to www.irs.gov/Form8606 for instructions and the latest information.</t>
  </si>
  <si>
    <t>This Form 8606 is for:</t>
  </si>
  <si>
    <t xml:space="preserve">   Your social security number</t>
  </si>
  <si>
    <t>Fill in Your Address
Only if You Are 
Filing This Form by 
Itself and Not With
Your Tax Return</t>
  </si>
  <si>
    <t xml:space="preserve"> Home address (number and street, or P.O. box if mail is not delivered to your home)</t>
  </si>
  <si>
    <t>Apt. no.</t>
  </si>
  <si>
    <t xml:space="preserve">  Foreign country name</t>
  </si>
  <si>
    <t xml:space="preserve"> Foreign province/state/county</t>
  </si>
  <si>
    <t xml:space="preserve"> Foreign postal code</t>
  </si>
  <si>
    <t>Complete this part only if one or more of the following apply.</t>
  </si>
  <si>
    <t>Enter your total basis in traditional IRAs. See instructions</t>
  </si>
  <si>
    <t xml:space="preserve">  Enter the amount from line 3 on line 14.</t>
  </si>
  <si>
    <t xml:space="preserve">  Do not complete the rest of Part I.</t>
  </si>
  <si>
    <t>Go to line 4.</t>
  </si>
  <si>
    <t>Add lines 6, 7, and 8</t>
  </si>
  <si>
    <t>Divide line 5 by line 9. Enter the result as a decimal rounded to at least 3</t>
  </si>
  <si>
    <t>places. If the result is 1.000 or more, enter “1.000”</t>
  </si>
  <si>
    <t>Multiply line 8 by line 10. This is the nontaxable portion of the amount you</t>
  </si>
  <si>
    <t>converted to Roth IRAs. Also enter this amount on line 17</t>
  </si>
  <si>
    <t>Add lines 11 and 12. This is the nontaxable portion of all your distributions</t>
  </si>
  <si>
    <t>Subtract line 13 from line 3.</t>
  </si>
  <si>
    <t>This is</t>
  </si>
  <si>
    <t>15 a</t>
  </si>
  <si>
    <t>Subtract line 12 from line 7</t>
  </si>
  <si>
    <t>15a</t>
  </si>
  <si>
    <t>15b</t>
  </si>
  <si>
    <t>Taxable amount.</t>
  </si>
  <si>
    <t>15c</t>
  </si>
  <si>
    <r>
      <rPr>
        <b/>
        <sz val="12"/>
        <rFont val="Arial"/>
        <family val="2"/>
      </rPr>
      <t>Note:</t>
    </r>
    <r>
      <rPr>
        <sz val="12"/>
        <rFont val="Arial"/>
        <family val="2"/>
      </rPr>
      <t xml:space="preserve"> You may be subject to an additional 10% tax on the amount on line 15c if you were under age</t>
    </r>
  </si>
  <si>
    <t>59½ at the time of the distribution. See instructions.</t>
  </si>
  <si>
    <t>Cat. No. 63966F</t>
  </si>
  <si>
    <t xml:space="preserve">
</t>
  </si>
  <si>
    <t>Important user information:</t>
  </si>
  <si>
    <t>To prevent being 'double taxed', leave Form 1099-R, line 2a, Taxable Amount, blank for every IRA for which the</t>
  </si>
  <si>
    <r>
      <t xml:space="preserve">taxable amount is being calculated by </t>
    </r>
    <r>
      <rPr>
        <b/>
        <sz val="10"/>
        <rFont val="Arial"/>
        <family val="2"/>
      </rPr>
      <t>Form 8606, Nondeductible IRAs</t>
    </r>
    <r>
      <rPr>
        <sz val="10"/>
        <rFont val="Arial"/>
        <family val="2"/>
      </rPr>
      <t>.</t>
    </r>
  </si>
  <si>
    <r>
      <t xml:space="preserve">This sheet includes </t>
    </r>
    <r>
      <rPr>
        <b/>
        <u/>
        <sz val="12"/>
        <color rgb="FF008000"/>
        <rFont val="Arial"/>
        <family val="2"/>
      </rPr>
      <t>two</t>
    </r>
    <r>
      <rPr>
        <sz val="12"/>
        <color rgb="FF008000"/>
        <rFont val="Arial"/>
        <family val="2"/>
      </rPr>
      <t xml:space="preserve"> Form 8606 forms.</t>
    </r>
  </si>
  <si>
    <t>SCHEDULE 8812</t>
  </si>
  <si>
    <t>Credits for Qualifying Children
and Other Dependents</t>
  </si>
  <si>
    <r>
      <t xml:space="preserve">Go to </t>
    </r>
    <r>
      <rPr>
        <b/>
        <i/>
        <sz val="9"/>
        <rFont val="Arial"/>
        <family val="2"/>
      </rPr>
      <t>www.irs.gov/Schedule8812</t>
    </r>
    <r>
      <rPr>
        <b/>
        <sz val="9"/>
        <rFont val="Arial"/>
        <family val="2"/>
      </rPr>
      <t xml:space="preserve"> for instructions and the latest information.</t>
    </r>
  </si>
  <si>
    <t>Child Tax Credit and Credit for Other Dependents</t>
  </si>
  <si>
    <t>Enter income from Puerto Rico that you excluded</t>
  </si>
  <si>
    <t>Enter the amounts from lines 45 and 50 of your Form 2555</t>
  </si>
  <si>
    <t>Enter the amount from line 15 of your  Form 4563</t>
  </si>
  <si>
    <t>Add lines 2a through 2c</t>
  </si>
  <si>
    <t>Add lines 1 and 2d</t>
  </si>
  <si>
    <t>Number of other dependents, including any qualifying children who are not under age</t>
  </si>
  <si>
    <t>Add lines 5 and 7</t>
  </si>
  <si>
    <t>Married filing jointly   ---</t>
  </si>
  <si>
    <t>All other filing statuses   ---</t>
  </si>
  <si>
    <t>Subtract line 9 from line 3.</t>
  </si>
  <si>
    <t>If more than zero and not a multiple of $1,000, enter the next multiple of $1,000.  For</t>
  </si>
  <si>
    <t>example, if the result is $425, enter $1,000; if the result is $1,025, enter $2,000, etc.</t>
  </si>
  <si>
    <t>Is the amount on line 8 more than the amount on line 11</t>
  </si>
  <si>
    <t>No. STOP.</t>
  </si>
  <si>
    <t>You cannot take the child tax credit, credit for other dependents, or additional child tax credit.</t>
  </si>
  <si>
    <t>Skip Parts II-A and II-B. Enter -0- on lines 14 and 27.</t>
  </si>
  <si>
    <r>
      <rPr>
        <b/>
        <sz val="10"/>
        <rFont val="Cambria"/>
        <family val="1"/>
        <scheme val="major"/>
      </rPr>
      <t>Yes</t>
    </r>
    <r>
      <rPr>
        <sz val="10"/>
        <rFont val="Cambria"/>
        <family val="1"/>
        <scheme val="major"/>
      </rPr>
      <t>. Subtract line 11 from line 8. Enter the result.</t>
    </r>
  </si>
  <si>
    <r>
      <t xml:space="preserve">Enter the amount from the </t>
    </r>
    <r>
      <rPr>
        <b/>
        <sz val="10"/>
        <rFont val="Cambria"/>
        <family val="1"/>
        <scheme val="major"/>
      </rPr>
      <t>Credit Limit Worksheet A</t>
    </r>
  </si>
  <si>
    <r>
      <t xml:space="preserve">Enter the smaller of line 12 or 13. </t>
    </r>
    <r>
      <rPr>
        <b/>
        <sz val="10"/>
        <rFont val="Cambria"/>
        <family val="1"/>
        <scheme val="major"/>
      </rPr>
      <t>This is your child tax credit and credit for other dependents</t>
    </r>
  </si>
  <si>
    <t>Enter this amount on Form 1040, 1040-SR, or 1040-NR, line 19.</t>
  </si>
  <si>
    <t>Cat. No. 59761M</t>
  </si>
  <si>
    <r>
      <rPr>
        <sz val="9"/>
        <rFont val="Arial"/>
        <family val="2"/>
      </rPr>
      <t>Page</t>
    </r>
    <r>
      <rPr>
        <b/>
        <sz val="9"/>
        <rFont val="Arial"/>
        <family val="2"/>
      </rPr>
      <t xml:space="preserve"> </t>
    </r>
    <r>
      <rPr>
        <b/>
        <sz val="14"/>
        <rFont val="Arial"/>
        <family val="2"/>
      </rPr>
      <t>2</t>
    </r>
  </si>
  <si>
    <t>Additional Child Tax Credit</t>
  </si>
  <si>
    <t>Part II-A</t>
  </si>
  <si>
    <t>Additional Child Tax Credit for All Filers</t>
  </si>
  <si>
    <t>(Entered into Form 1040, line 28.)</t>
  </si>
  <si>
    <r>
      <t>Caution:</t>
    </r>
    <r>
      <rPr>
        <sz val="10"/>
        <rFont val="Cambria"/>
        <family val="1"/>
        <scheme val="major"/>
      </rPr>
      <t xml:space="preserve"> If you file Form 2555, you cannot claim the additional child tax credit.</t>
    </r>
  </si>
  <si>
    <t>Subtract line 14 from line 12.</t>
  </si>
  <si>
    <t xml:space="preserve">If zero, </t>
  </si>
  <si>
    <r>
      <t xml:space="preserve">  </t>
    </r>
    <r>
      <rPr>
        <b/>
        <sz val="10"/>
        <rFont val="Arial"/>
        <family val="2"/>
      </rPr>
      <t>stop here</t>
    </r>
    <r>
      <rPr>
        <sz val="10"/>
        <rFont val="Arial"/>
        <family val="2"/>
      </rPr>
      <t>;</t>
    </r>
  </si>
  <si>
    <t>Number of qualifying children under 17 with the required social security number:</t>
  </si>
  <si>
    <t>Enter the result.</t>
  </si>
  <si>
    <r>
      <t>stop here</t>
    </r>
    <r>
      <rPr>
        <sz val="10"/>
        <rFont val="Cambria"/>
        <family val="1"/>
        <scheme val="major"/>
      </rPr>
      <t>;</t>
    </r>
  </si>
  <si>
    <r>
      <rPr>
        <b/>
        <sz val="10"/>
        <rFont val="Cambria"/>
        <family val="1"/>
        <scheme val="major"/>
      </rPr>
      <t>TIP:</t>
    </r>
    <r>
      <rPr>
        <sz val="10"/>
        <rFont val="Cambria"/>
        <family val="1"/>
        <scheme val="major"/>
      </rPr>
      <t xml:space="preserve"> The number of children you use for this line is the same as the number of children you used for line 4.</t>
    </r>
  </si>
  <si>
    <r>
      <t xml:space="preserve">Enter the </t>
    </r>
    <r>
      <rPr>
        <b/>
        <sz val="10"/>
        <rFont val="Cambria"/>
        <family val="1"/>
        <scheme val="major"/>
      </rPr>
      <t xml:space="preserve">smaller </t>
    </r>
    <r>
      <rPr>
        <sz val="10"/>
        <rFont val="Cambria"/>
        <family val="1"/>
        <scheme val="major"/>
      </rPr>
      <t>of line 16a or line 16b</t>
    </r>
  </si>
  <si>
    <t>18a</t>
  </si>
  <si>
    <t>Earned income (see instructions)</t>
  </si>
  <si>
    <t>18b</t>
  </si>
  <si>
    <r>
      <rPr>
        <b/>
        <sz val="10"/>
        <rFont val="Cambria"/>
        <family val="1"/>
        <scheme val="major"/>
      </rPr>
      <t xml:space="preserve"> No.</t>
    </r>
    <r>
      <rPr>
        <sz val="10"/>
        <rFont val="Cambria"/>
        <family val="1"/>
        <scheme val="major"/>
      </rPr>
      <t xml:space="preserve"> </t>
    </r>
  </si>
  <si>
    <t>Leave line 19 blank and enter -0- on line 20.</t>
  </si>
  <si>
    <t>Next.</t>
  </si>
  <si>
    <t>If you are a bona fide resident of Puerto Rico, go to line 21.  Otherwise, skip Part II-B and enter the</t>
  </si>
  <si>
    <t>smaller of line 17 or line 20 on line 27.</t>
  </si>
  <si>
    <t>If line 20 is equal to or more than line 17, skip Part II-B and enter the amount from line 17 on line 27.</t>
  </si>
  <si>
    <t>Otherwise, go to line 21.</t>
  </si>
  <si>
    <t>Part II-B</t>
  </si>
  <si>
    <t xml:space="preserve">  Certain Filers Who Have Three or More Qualifying Children and Bona Fide Residents of Puerto Rico</t>
  </si>
  <si>
    <t>Withheld social security, Medicare, and Additional Medicare taxes from Form(s) W-2,</t>
  </si>
  <si>
    <t>boxes 4 and 6. If married filing jointly, include your spouse’s amounts with yours.  If</t>
  </si>
  <si>
    <t>Enter the total of the amounts from Schedule 1 (Form 1040), line 15; Schedule 2 (Form</t>
  </si>
  <si>
    <t>1040), line 5; Schedule 2 (Form 1040), line 6; and Schedule 2 (Form 1040), line 13</t>
  </si>
  <si>
    <t>23</t>
  </si>
  <si>
    <t>24</t>
  </si>
  <si>
    <t>1040 and</t>
  </si>
  <si>
    <t>1040-SR filers:</t>
  </si>
  <si>
    <t>and Schedule 3 (Form 1040), line 11.</t>
  </si>
  <si>
    <t>1040-NR filers:</t>
  </si>
  <si>
    <t>Enter the amount from Schedule 3 (Form 1040), line 11.</t>
  </si>
  <si>
    <t>25</t>
  </si>
  <si>
    <t>26</t>
  </si>
  <si>
    <r>
      <t xml:space="preserve">Enter the </t>
    </r>
    <r>
      <rPr>
        <b/>
        <sz val="10"/>
        <rFont val="Cambria"/>
        <family val="1"/>
        <scheme val="major"/>
      </rPr>
      <t>larger</t>
    </r>
    <r>
      <rPr>
        <sz val="10"/>
        <rFont val="Cambria"/>
        <family val="1"/>
        <scheme val="major"/>
      </rPr>
      <t xml:space="preserve"> of line 20 or line 25</t>
    </r>
  </si>
  <si>
    <r>
      <rPr>
        <b/>
        <sz val="10"/>
        <rFont val="Cambria"/>
        <family val="1"/>
        <scheme val="major"/>
      </rPr>
      <t>Next,</t>
    </r>
    <r>
      <rPr>
        <sz val="10"/>
        <rFont val="Cambria"/>
        <family val="1"/>
        <scheme val="major"/>
      </rPr>
      <t xml:space="preserve"> enter the</t>
    </r>
    <r>
      <rPr>
        <b/>
        <sz val="10"/>
        <rFont val="Cambria"/>
        <family val="1"/>
        <scheme val="major"/>
      </rPr>
      <t xml:space="preserve"> smaller</t>
    </r>
    <r>
      <rPr>
        <sz val="10"/>
        <rFont val="Cambria"/>
        <family val="1"/>
        <scheme val="major"/>
      </rPr>
      <t xml:space="preserve"> of line 17 or line 26 on line 27.</t>
    </r>
  </si>
  <si>
    <t>Part II-C</t>
  </si>
  <si>
    <t>This is your additional child tax credit. Enter this amount on Form 1040, 1040-SR, or 1040-NR, line 28</t>
  </si>
  <si>
    <t>Schedule 8812 (Form 1040)</t>
  </si>
  <si>
    <t>Credit Limit Worksheet A</t>
  </si>
  <si>
    <t>Enter the amount from line 18 of your Form 1040, 1040-SR, or 1040-NR</t>
  </si>
  <si>
    <t>Add the following amounts (if applicable) from:</t>
  </si>
  <si>
    <r>
      <rPr>
        <b/>
        <sz val="9"/>
        <rFont val="Arial"/>
        <family val="2"/>
      </rPr>
      <t>Schedule 3,</t>
    </r>
    <r>
      <rPr>
        <sz val="9"/>
        <rFont val="Arial"/>
        <family val="2"/>
      </rPr>
      <t xml:space="preserve"> line 1</t>
    </r>
  </si>
  <si>
    <t>+</t>
  </si>
  <si>
    <r>
      <rPr>
        <b/>
        <sz val="9"/>
        <rFont val="Arial"/>
        <family val="2"/>
      </rPr>
      <t>Schedule 3,</t>
    </r>
    <r>
      <rPr>
        <sz val="9"/>
        <rFont val="Arial"/>
        <family val="2"/>
      </rPr>
      <t xml:space="preserve"> line 2</t>
    </r>
  </si>
  <si>
    <r>
      <rPr>
        <b/>
        <sz val="9"/>
        <rFont val="Arial"/>
        <family val="2"/>
      </rPr>
      <t>Schedule 3,</t>
    </r>
    <r>
      <rPr>
        <sz val="9"/>
        <rFont val="Arial"/>
        <family val="2"/>
      </rPr>
      <t xml:space="preserve"> line 3</t>
    </r>
  </si>
  <si>
    <r>
      <rPr>
        <b/>
        <sz val="9"/>
        <rFont val="Arial"/>
        <family val="2"/>
      </rPr>
      <t>Schedule 3,</t>
    </r>
    <r>
      <rPr>
        <sz val="9"/>
        <rFont val="Arial"/>
        <family val="2"/>
      </rPr>
      <t xml:space="preserve"> line 4</t>
    </r>
  </si>
  <si>
    <r>
      <rPr>
        <b/>
        <sz val="9"/>
        <rFont val="Arial"/>
        <family val="2"/>
      </rPr>
      <t>Schedule 3,</t>
    </r>
    <r>
      <rPr>
        <sz val="9"/>
        <rFont val="Arial"/>
        <family val="2"/>
      </rPr>
      <t xml:space="preserve"> line 6d</t>
    </r>
  </si>
  <si>
    <r>
      <rPr>
        <b/>
        <sz val="9"/>
        <rFont val="Arial"/>
        <family val="2"/>
      </rPr>
      <t>Schedule 3,</t>
    </r>
    <r>
      <rPr>
        <sz val="9"/>
        <rFont val="Arial"/>
        <family val="2"/>
      </rPr>
      <t xml:space="preserve"> line 6f</t>
    </r>
  </si>
  <si>
    <r>
      <rPr>
        <b/>
        <sz val="9"/>
        <rFont val="Arial"/>
        <family val="2"/>
      </rPr>
      <t>Schedule 3,</t>
    </r>
    <r>
      <rPr>
        <sz val="9"/>
        <rFont val="Arial"/>
        <family val="2"/>
      </rPr>
      <t xml:space="preserve"> line 6l (6L)</t>
    </r>
  </si>
  <si>
    <t xml:space="preserve"> .   .   .   .   .   .   .   .   .   .   .   .   .   .   .   .   .   .   .   .   . </t>
  </si>
  <si>
    <t>Enter the total.</t>
  </si>
  <si>
    <t>Complete
Credit Limit
Worksheet B?</t>
  </si>
  <si>
    <t>You are claiming one or more of the following credits.</t>
  </si>
  <si>
    <t>3.1</t>
  </si>
  <si>
    <t>Mortgage interest credit, Form 8396.</t>
  </si>
  <si>
    <t>Adoption credit, Form 8839.</t>
  </si>
  <si>
    <t>Residential energy efficient property credit, Form 5695, Part I.</t>
  </si>
  <si>
    <t>AND</t>
  </si>
  <si>
    <t>District of Columbia First-time homebuyer credit, Form 8859.</t>
  </si>
  <si>
    <t>You are not filing Form 2555.</t>
  </si>
  <si>
    <t>3.2</t>
  </si>
  <si>
    <t>Line 4 of Schedule 8812 is more than zero.</t>
  </si>
  <si>
    <t>3.3</t>
  </si>
  <si>
    <t xml:space="preserve">Subtract line 4 from line 3. Enter here and on Schedule 8812, line 13. </t>
  </si>
  <si>
    <t>- 4 -</t>
  </si>
  <si>
    <t>Credit Limit Worksheet B</t>
  </si>
  <si>
    <t>ü</t>
  </si>
  <si>
    <t>Complete the Earned Income Worksheet, later, in these instructions.</t>
  </si>
  <si>
    <t>Schedule 3, line 11 of your return if they apply to you.</t>
  </si>
  <si>
    <t>of your return if they apply to you.</t>
  </si>
  <si>
    <t>Enter the amount from Schedule 8812, line 12</t>
  </si>
  <si>
    <t>number:</t>
  </si>
  <si>
    <r>
      <rPr>
        <b/>
        <sz val="9"/>
        <rFont val="Arial"/>
        <family val="2"/>
      </rPr>
      <t>TIP:</t>
    </r>
    <r>
      <rPr>
        <sz val="9"/>
        <rFont val="Arial"/>
        <family val="2"/>
      </rPr>
      <t xml:space="preserve">  The number of children you use for this line is the same as the number of</t>
    </r>
  </si>
  <si>
    <t>children you used for line 4 of Schedule 8812.</t>
  </si>
  <si>
    <t>Enter your earned income from line 7 of the Earned</t>
  </si>
  <si>
    <t>Income Worksheet.</t>
  </si>
  <si>
    <t>Leave line 4 blank, enter -0- on line 5, and go</t>
  </si>
  <si>
    <t>to line 6.</t>
  </si>
  <si>
    <t>If you are a bona fide resident of Puerto Rico and line 5 above is less than</t>
  </si>
  <si>
    <t>line 1 above, go to line 7.</t>
  </si>
  <si>
    <t>If line 5 above is equal to or more than line 1 above, leave lines 7 through 10</t>
  </si>
  <si>
    <t>blank, enter -0- on line 11, and go to line 12. Otherwise, go to line 7.</t>
  </si>
  <si>
    <t>taxes, use the Additional Medicare Tax and RRTA Tax</t>
  </si>
  <si>
    <r>
      <rPr>
        <b/>
        <sz val="9"/>
        <rFont val="Arial"/>
        <family val="2"/>
      </rPr>
      <t>Schedule 1</t>
    </r>
    <r>
      <rPr>
        <sz val="9"/>
        <rFont val="Arial"/>
        <family val="2"/>
      </rPr>
      <t>, line 15;</t>
    </r>
  </si>
  <si>
    <r>
      <rPr>
        <b/>
        <sz val="9"/>
        <rFont val="Arial"/>
        <family val="2"/>
      </rPr>
      <t>Schedule 2</t>
    </r>
    <r>
      <rPr>
        <sz val="9"/>
        <rFont val="Arial"/>
        <family val="2"/>
      </rPr>
      <t>, line 5;</t>
    </r>
  </si>
  <si>
    <r>
      <rPr>
        <b/>
        <sz val="9"/>
        <rFont val="Arial"/>
        <family val="2"/>
      </rPr>
      <t>Schedule 2</t>
    </r>
    <r>
      <rPr>
        <sz val="9"/>
        <rFont val="Arial"/>
        <family val="2"/>
      </rPr>
      <t>, line 6; and</t>
    </r>
  </si>
  <si>
    <r>
      <rPr>
        <b/>
        <sz val="9"/>
        <rFont val="Arial"/>
        <family val="2"/>
      </rPr>
      <t>Schedule 2</t>
    </r>
    <r>
      <rPr>
        <sz val="9"/>
        <rFont val="Arial"/>
        <family val="2"/>
      </rPr>
      <t>, line 13.</t>
    </r>
  </si>
  <si>
    <t>- 5 -</t>
  </si>
  <si>
    <r>
      <rPr>
        <b/>
        <sz val="9"/>
        <rFont val="Arial"/>
        <family val="2"/>
      </rPr>
      <t>1040 and 1040-SR filers.</t>
    </r>
    <r>
      <rPr>
        <sz val="9"/>
        <rFont val="Arial"/>
        <family val="2"/>
      </rPr>
      <t xml:space="preserve"> Enter the total of the amounts</t>
    </r>
  </si>
  <si>
    <t>line 11.</t>
  </si>
  <si>
    <r>
      <rPr>
        <b/>
        <sz val="9"/>
        <rFont val="Arial"/>
        <family val="2"/>
      </rPr>
      <t>1040-NR filers.</t>
    </r>
    <r>
      <rPr>
        <sz val="9"/>
        <rFont val="Arial"/>
        <family val="2"/>
      </rPr>
      <t xml:space="preserve"> Enter the amount from Schedule 3,</t>
    </r>
  </si>
  <si>
    <t>Is the amount on line 13 of this worksheet more than the amount on line 1?</t>
  </si>
  <si>
    <t>Subtract line 13 from line 1. Enter the result.</t>
  </si>
  <si>
    <t>Enter -0-.</t>
  </si>
  <si>
    <r>
      <rPr>
        <b/>
        <sz val="9"/>
        <rFont val="Arial"/>
        <family val="2"/>
      </rPr>
      <t xml:space="preserve">Next, </t>
    </r>
    <r>
      <rPr>
        <sz val="9"/>
        <rFont val="Arial"/>
        <family val="2"/>
      </rPr>
      <t>figure the amount of any of the following credits that you are claiming.</t>
    </r>
  </si>
  <si>
    <t>Then, go to line 15.</t>
  </si>
  <si>
    <t>Enter the total of the amounts from—</t>
  </si>
  <si>
    <r>
      <rPr>
        <b/>
        <sz val="9"/>
        <rFont val="Arial"/>
        <family val="2"/>
      </rPr>
      <t>Schedule 3</t>
    </r>
    <r>
      <rPr>
        <sz val="9"/>
        <rFont val="Arial"/>
        <family val="2"/>
      </rPr>
      <t>, line 6c</t>
    </r>
  </si>
  <si>
    <t>Enter this amount on</t>
  </si>
  <si>
    <t>line 4 of Credit Limit</t>
  </si>
  <si>
    <t>8829</t>
  </si>
  <si>
    <t>Expenses for Business Use of Your Home</t>
  </si>
  <si>
    <t>File only with Schedule C (Form 1040). Use a separate Form 8829 for each home you used</t>
  </si>
  <si>
    <t>for business during the year.</t>
  </si>
  <si>
    <r>
      <t xml:space="preserve">Go to </t>
    </r>
    <r>
      <rPr>
        <i/>
        <sz val="10"/>
        <rFont val="Arial"/>
        <family val="2"/>
      </rPr>
      <t>www.irs.gov/Form8962</t>
    </r>
    <r>
      <rPr>
        <sz val="10"/>
        <rFont val="Arial"/>
        <family val="2"/>
      </rPr>
      <t xml:space="preserve"> for instructions and the latest information.</t>
    </r>
  </si>
  <si>
    <t>Name(s) of proprietor(s)</t>
  </si>
  <si>
    <t>Part of Your Home Used for Business</t>
  </si>
  <si>
    <t>Area used regularly and exclusively for business, regularly for daycare, or for storage of inventory</t>
  </si>
  <si>
    <t>or product samples (see instructions)</t>
  </si>
  <si>
    <t>Total area of home</t>
  </si>
  <si>
    <t>Divide line 1 by line 2. Enter the result as a percentage</t>
  </si>
  <si>
    <t>For daycare facilities not used exclusively for business, go to line 4. All others, go to line 7.</t>
  </si>
  <si>
    <t>Multiply days used for daycare during year by hours used per day</t>
  </si>
  <si>
    <t>hr.</t>
  </si>
  <si>
    <t>Check here if your busines was for 'daycare'.</t>
  </si>
  <si>
    <t>If you started or stopped using your home for daycare during the year,</t>
  </si>
  <si>
    <t>Divide line 4 by line 5. Enter the result as a decimal amount</t>
  </si>
  <si>
    <t>Business percentage. For daycare facilities not used exclusively for business, multiply line 6 by</t>
  </si>
  <si>
    <t>line 3 (enter the result as a percentage). All others, enter the amount from line 3</t>
  </si>
  <si>
    <t>Figure Your Allowable Deduction</t>
  </si>
  <si>
    <t>Sch. C Line 29</t>
  </si>
  <si>
    <t>Sch. C Form</t>
  </si>
  <si>
    <r>
      <t xml:space="preserve">Enter the amount from Schedule C, line 29, </t>
    </r>
    <r>
      <rPr>
        <b/>
        <sz val="11"/>
        <rFont val="Arial"/>
        <family val="2"/>
      </rPr>
      <t xml:space="preserve">plus </t>
    </r>
    <r>
      <rPr>
        <sz val="11"/>
        <rFont val="Arial"/>
        <family val="2"/>
      </rPr>
      <t>any gain derived from the business use of your home,</t>
    </r>
  </si>
  <si>
    <t>minus any loss from the trade or business not derived from the business use of your home. See instructions.</t>
  </si>
  <si>
    <t>Check if applicable.</t>
  </si>
  <si>
    <t>See instructions for columns (a) and (b) before completing lines 9–22.</t>
  </si>
  <si>
    <t>(a) Direct expenses</t>
  </si>
  <si>
    <t>(b) Indirect expenses</t>
  </si>
  <si>
    <t>Casualty losses (see instructions)</t>
  </si>
  <si>
    <t>NOTE:  Use this worksheet only if the total of your attributable state and</t>
  </si>
  <si>
    <t>Deductible mortgage interest (see instructions)</t>
  </si>
  <si>
    <t>Real estate taxes (see instructions)</t>
  </si>
  <si>
    <t>Add lines 9, 10, and 11</t>
  </si>
  <si>
    <t>Line 11 Worksheet</t>
  </si>
  <si>
    <t>Multiply line 12, column (b), by line 7</t>
  </si>
  <si>
    <t>Enter your state and local income taxes</t>
  </si>
  <si>
    <t>Add line 12, column (a), and line 13</t>
  </si>
  <si>
    <t xml:space="preserve"> (or, if you elect on Schedule A, your state</t>
  </si>
  <si>
    <t>Subtract line 14 from line 8. If zero or less, enter -0-</t>
  </si>
  <si>
    <t>and local general sales taxes) that are</t>
  </si>
  <si>
    <t>Excess mortgage interest (see instructions)</t>
  </si>
  <si>
    <t>personal expenses</t>
  </si>
  <si>
    <t>Excess real estate taxes (see instructions)</t>
  </si>
  <si>
    <t>Enter all the state and local real estate</t>
  </si>
  <si>
    <t>taxes you paid on the home in which you</t>
  </si>
  <si>
    <t>Rent</t>
  </si>
  <si>
    <t>conducted business</t>
  </si>
  <si>
    <t>Enter any other state and local real estate</t>
  </si>
  <si>
    <t>taxes you paid that are a personal expense</t>
  </si>
  <si>
    <t>Other expenses (see instructions)</t>
  </si>
  <si>
    <t>and not included in line 2</t>
  </si>
  <si>
    <t>Add lines 16 through 22</t>
  </si>
  <si>
    <t>Enter your state and local personal property</t>
  </si>
  <si>
    <t>Multiply line 23, column (b), by line 7</t>
  </si>
  <si>
    <t>taxes that are a personal expense</t>
  </si>
  <si>
    <t>Carryover of prior year operating expenses (see instructions)</t>
  </si>
  <si>
    <t>Add lines 1 through 4</t>
  </si>
  <si>
    <t>Add line 23, column (a), line 24, and line 25</t>
  </si>
  <si>
    <t>Multiply line 2 by the percentage on</t>
  </si>
  <si>
    <t>Form 8829, line 7</t>
  </si>
  <si>
    <t>Limit on excess casualty losses and depreciation. Subtract line 27 from line 15</t>
  </si>
  <si>
    <t>Excess casualty losses (see instructions)</t>
  </si>
  <si>
    <t>Depreciation of your home from line 42 below</t>
  </si>
  <si>
    <t>filing separately). If zero or less, enter -0-</t>
  </si>
  <si>
    <t>Carryover of prior year excess casualty losses and depreciation (see instructions)</t>
  </si>
  <si>
    <t>Real estate taxes reported on line 11.</t>
  </si>
  <si>
    <t>Add lines 29 through 31</t>
  </si>
  <si>
    <t>Enter the smaller of line 6 or line 8 here and in</t>
  </si>
  <si>
    <t>column (a) of Form 8829, line 11</t>
  </si>
  <si>
    <t>Add lines 14, 27, and 33</t>
  </si>
  <si>
    <t>Excess real estate taxes reported on line 17.</t>
  </si>
  <si>
    <t>Subtract line 9 from line 6</t>
  </si>
  <si>
    <t>Depreciation of Your Home</t>
  </si>
  <si>
    <t>Value of land included on line 37</t>
  </si>
  <si>
    <t>Basis of building. Subtract line 38 from line 37</t>
  </si>
  <si>
    <t>Business basis of building. Multiply line 39 by line 7</t>
  </si>
  <si>
    <t>Depreciation percentage (see instructions)</t>
  </si>
  <si>
    <t>Override (Line 42)</t>
  </si>
  <si>
    <t>Operating expenses. Subtract line 27 from line 26. If less than zero, enter -0-</t>
  </si>
  <si>
    <t>Excess casualty losses and depreciation. Subtract line 33 from line 32. If less than zero, enter -0-</t>
  </si>
  <si>
    <t>Cat. No. 13232M</t>
  </si>
  <si>
    <t>Download Form 8829</t>
  </si>
  <si>
    <t>Download Form 8829 Instructions</t>
  </si>
  <si>
    <r>
      <t xml:space="preserve">Go to </t>
    </r>
    <r>
      <rPr>
        <i/>
        <sz val="10"/>
        <rFont val="Arial"/>
        <family val="2"/>
      </rPr>
      <t>www.irs.gov/Form8863</t>
    </r>
    <r>
      <rPr>
        <sz val="10"/>
        <rFont val="Arial"/>
        <family val="2"/>
      </rPr>
      <t xml:space="preserve"> for instructions and the latest information.</t>
    </r>
  </si>
  <si>
    <t>American Opportunity Credit</t>
  </si>
  <si>
    <t>Student</t>
  </si>
  <si>
    <t>See below for</t>
  </si>
  <si>
    <t>Refundable American Opportunity Credit</t>
  </si>
  <si>
    <t>Part III, Line 30</t>
  </si>
  <si>
    <t>After completing Part III for each student, enter the total of all amounts from all Parts III, line 30</t>
  </si>
  <si>
    <t>or qualifying widow(er)</t>
  </si>
  <si>
    <t>T</t>
  </si>
  <si>
    <t>2555 or 4563, or you’re excluding income from Puerto Rico, see Pub. 970 for</t>
  </si>
  <si>
    <t>the amount to enter</t>
  </si>
  <si>
    <r>
      <rPr>
        <b/>
        <sz val="11"/>
        <rFont val="Arial"/>
        <family val="2"/>
      </rPr>
      <t>stop</t>
    </r>
    <r>
      <rPr>
        <sz val="11"/>
        <rFont val="Arial"/>
        <family val="2"/>
      </rPr>
      <t>; you can’t take any</t>
    </r>
  </si>
  <si>
    <t>education credit</t>
  </si>
  <si>
    <t>qualifying widow(er)</t>
  </si>
  <si>
    <t>If line 4 is:</t>
  </si>
  <si>
    <t>Equal to or more than line 5, enter 1.000 on line 6</t>
  </si>
  <si>
    <t>Less than line 5, divide line 4 by line 5. Enter the result as a decimal (rounded to</t>
  </si>
  <si>
    <t>at least three places)</t>
  </si>
  <si>
    <t xml:space="preserve">.   .   .   .   .    .   .   .   .   .   .   .   .   .   .   .   .   .   .   .   .   . </t>
  </si>
  <si>
    <r>
      <t>Multiply line 1 by line 6.</t>
    </r>
    <r>
      <rPr>
        <b/>
        <sz val="11"/>
        <rFont val="Arial"/>
        <family val="2"/>
      </rPr>
      <t xml:space="preserve"> Caution:</t>
    </r>
    <r>
      <rPr>
        <sz val="11"/>
        <rFont val="Arial"/>
        <family val="2"/>
      </rPr>
      <t xml:space="preserve"> If you were under age 24 at the end of the year </t>
    </r>
    <r>
      <rPr>
        <b/>
        <sz val="11"/>
        <rFont val="Arial"/>
        <family val="2"/>
      </rPr>
      <t>and</t>
    </r>
    <r>
      <rPr>
        <sz val="11"/>
        <rFont val="Arial"/>
        <family val="2"/>
      </rPr>
      <t xml:space="preserve"> meet the</t>
    </r>
  </si>
  <si>
    <r>
      <t xml:space="preserve">conditions described in the instructions, you </t>
    </r>
    <r>
      <rPr>
        <b/>
        <sz val="11"/>
        <rFont val="Arial"/>
        <family val="2"/>
      </rPr>
      <t>can’t</t>
    </r>
    <r>
      <rPr>
        <sz val="11"/>
        <rFont val="Arial"/>
        <family val="2"/>
      </rPr>
      <t xml:space="preserve"> take the refundable American opportunity credit;</t>
    </r>
  </si>
  <si>
    <t>skip line 8, enter the amount from line 7 on line 9, and check this box</t>
  </si>
  <si>
    <t>Refundable American opportunity credit.</t>
  </si>
  <si>
    <t>on Form 1040 or 1040-SR, line 29. Then go to line 9 below</t>
  </si>
  <si>
    <t>Nonrefundable Education Credits</t>
  </si>
  <si>
    <t>Subtract line 8 from line 7. Enter here and on line 2 of the Credit Limit Worksheet (see instructions)</t>
  </si>
  <si>
    <t>After completing Part III for each student, enter the total of all amounts from all Parts III, line 31. If</t>
  </si>
  <si>
    <t>zero, skip lines 11 through 17, enter -0- on line 18, and go to line 19</t>
  </si>
  <si>
    <t>Lifetime Learning Credit</t>
  </si>
  <si>
    <t>Part III, Line 31</t>
  </si>
  <si>
    <t>Enter the amount from Form 1040 or 1040-SR, line 11. If you're filing Form</t>
  </si>
  <si>
    <t>Subtract line 14 from line 13. If zero or less, skip lines 16 and 17, enter -0- on</t>
  </si>
  <si>
    <t>Credit Limit Worksheet from Instructions for Form 8863</t>
  </si>
  <si>
    <t>line 18, and go to line 19</t>
  </si>
  <si>
    <t>Complete this worksheet to figure the amount to enter on line 19.</t>
  </si>
  <si>
    <t>1.  Enter the amount from Form 8863, line 18.</t>
  </si>
  <si>
    <t>2.  Enter the amount from Form 8863, line 9.</t>
  </si>
  <si>
    <t>If line 15 is:</t>
  </si>
  <si>
    <t>3.  Add lines 1 and 2.</t>
  </si>
  <si>
    <t>Equal to or more than line 16, enter 1.000 on line 17 and go to line 18</t>
  </si>
  <si>
    <t>4.  Enter the amount from Form 1040 or 1040-SR, line 18</t>
  </si>
  <si>
    <t>5.  Enter the total of your credits from:</t>
  </si>
  <si>
    <t xml:space="preserve">           Schedule 3 (Form 1040), lines 1, 2, 6d and 6l</t>
  </si>
  <si>
    <t>Multiply line 12 by line 17. Enter here and on line 1 of the Credit Limit Worksheet (see instructions)</t>
  </si>
  <si>
    <t xml:space="preserve">  .   .   .   . </t>
  </si>
  <si>
    <t>6.  Subtract line 5 from line 4.</t>
  </si>
  <si>
    <r>
      <rPr>
        <b/>
        <sz val="11"/>
        <rFont val="Arial"/>
        <family val="2"/>
      </rPr>
      <t>Nonrefundable education credits.</t>
    </r>
    <r>
      <rPr>
        <sz val="11"/>
        <rFont val="Arial"/>
        <family val="2"/>
      </rPr>
      <t xml:space="preserve"> Enter the amount from line 7 of the Credit Limit Worksheet (see</t>
    </r>
  </si>
  <si>
    <t>7.  Enter the smaller of line 3 or line 6 here and on Form 8863, line 19.</t>
  </si>
  <si>
    <t>instructions) here and on Schedule 3 (Form 1040), line 3</t>
  </si>
  <si>
    <t>Cat. No. 25379M</t>
  </si>
  <si>
    <r>
      <rPr>
        <sz val="8"/>
        <rFont val="Arial"/>
        <family val="2"/>
      </rPr>
      <t xml:space="preserve">Form </t>
    </r>
    <r>
      <rPr>
        <b/>
        <sz val="12"/>
        <rFont val="Arial"/>
        <family val="2"/>
      </rPr>
      <t>8863</t>
    </r>
  </si>
  <si>
    <r>
      <t xml:space="preserve">Student and Educational Institution Information. </t>
    </r>
    <r>
      <rPr>
        <sz val="14"/>
        <rFont val="Arial"/>
        <family val="2"/>
      </rPr>
      <t>See instructions.</t>
    </r>
  </si>
  <si>
    <t>Student name (as shown on page 1 of your tax return)</t>
  </si>
  <si>
    <t>Student social security number (as shown on page 1 of</t>
  </si>
  <si>
    <t>your tax return)</t>
  </si>
  <si>
    <t>Educational institution information (see instructions)</t>
  </si>
  <si>
    <t>Name of first educational institution</t>
  </si>
  <si>
    <t>Name of second educational institution (if any)</t>
  </si>
  <si>
    <t>Address. Number and street (or P.O. box). City, town or</t>
  </si>
  <si>
    <t>post office, state, and ZIP code. If a foreign address, see</t>
  </si>
  <si>
    <t>(3)</t>
  </si>
  <si>
    <r>
      <t>Enter the institution’s employer identification number (EIN)
if you’re claiming the American opportunity credit or if you
checked “Yes” in (</t>
    </r>
    <r>
      <rPr>
        <b/>
        <sz val="11"/>
        <rFont val="Arial"/>
        <family val="2"/>
      </rPr>
      <t>2</t>
    </r>
    <r>
      <rPr>
        <sz val="11"/>
        <rFont val="Arial"/>
        <family val="2"/>
      </rPr>
      <t>) or (</t>
    </r>
    <r>
      <rPr>
        <b/>
        <sz val="11"/>
        <rFont val="Arial"/>
        <family val="2"/>
      </rPr>
      <t>3</t>
    </r>
    <r>
      <rPr>
        <sz val="11"/>
        <rFont val="Arial"/>
        <family val="2"/>
      </rPr>
      <t>). You can get the EIN from Form
1098-T or from the institution.</t>
    </r>
  </si>
  <si>
    <t>Adjusted Qualified Education Expenses Worksheet</t>
  </si>
  <si>
    <t>Complete a separate worksheet for each student for each academic period beginning or treated as beginning</t>
  </si>
  <si>
    <t>-</t>
  </si>
  <si>
    <t>Has the American opportunity credit been claimed for this</t>
  </si>
  <si>
    <r>
      <rPr>
        <b/>
        <sz val="10"/>
        <rFont val="Arial"/>
        <family val="2"/>
      </rPr>
      <t xml:space="preserve">1.  </t>
    </r>
    <r>
      <rPr>
        <sz val="10"/>
        <rFont val="Arial"/>
        <family val="2"/>
      </rPr>
      <t>Total qualified education expenses paid for or on behalf of the student in</t>
    </r>
  </si>
  <si>
    <t>student for any 4 prior tax years?</t>
  </si>
  <si>
    <r>
      <t xml:space="preserve">Yes -- </t>
    </r>
    <r>
      <rPr>
        <b/>
        <sz val="10"/>
        <rFont val="Arial"/>
        <family val="2"/>
      </rPr>
      <t>Stop!</t>
    </r>
  </si>
  <si>
    <t>No -- Go to line 24.</t>
  </si>
  <si>
    <t>Go to line 31 for this student.</t>
  </si>
  <si>
    <t>Was the student enrolled at least half-time for at least one</t>
  </si>
  <si>
    <r>
      <rPr>
        <b/>
        <sz val="10"/>
        <rFont val="Arial"/>
        <family val="2"/>
      </rPr>
      <t xml:space="preserve">2.  </t>
    </r>
    <r>
      <rPr>
        <sz val="10"/>
        <rFont val="Arial"/>
        <family val="2"/>
      </rPr>
      <t>Less adjustments</t>
    </r>
  </si>
  <si>
    <t>academic period that began or is treated as having begun</t>
  </si>
  <si>
    <t>the academic period</t>
  </si>
  <si>
    <t>leading towards a postsecondary degree, certificate, or</t>
  </si>
  <si>
    <t>Yes -- Go to line 25.</t>
  </si>
  <si>
    <r>
      <t xml:space="preserve">No -- </t>
    </r>
    <r>
      <rPr>
        <b/>
        <sz val="10"/>
        <rFont val="Arial"/>
        <family val="2"/>
      </rPr>
      <t>Stop!</t>
    </r>
    <r>
      <rPr>
        <sz val="10"/>
        <rFont val="Arial"/>
        <family val="2"/>
      </rPr>
      <t xml:space="preserve">  Go to Line 31.</t>
    </r>
  </si>
  <si>
    <t>other recognized postsecondary educational credential?</t>
  </si>
  <si>
    <t>for this student</t>
  </si>
  <si>
    <t>Did the student complete the first 4 years of post secondary</t>
  </si>
  <si>
    <t>No -- Go to line 26.</t>
  </si>
  <si>
    <r>
      <rPr>
        <b/>
        <sz val="10"/>
        <rFont val="Arial"/>
        <family val="2"/>
      </rPr>
      <t xml:space="preserve">3.  </t>
    </r>
    <r>
      <rPr>
        <sz val="10"/>
        <rFont val="Arial"/>
        <family val="2"/>
      </rPr>
      <t>Total adjustments (add lines 2a, 2b, and 2c)</t>
    </r>
  </si>
  <si>
    <t>felony for possession or distribution of a controlled</t>
  </si>
  <si>
    <t>No -- Complete lines 27</t>
  </si>
  <si>
    <t>4.  Adjusted qualified education expenses. Subtract line 3 from line 1</t>
  </si>
  <si>
    <t>substance?</t>
  </si>
  <si>
    <t>through 30 for this student.</t>
  </si>
  <si>
    <t>If zero or less, enter -0-</t>
  </si>
  <si>
    <r>
      <t xml:space="preserve">Enter result into Part III, line 27  </t>
    </r>
    <r>
      <rPr>
        <u/>
        <sz val="10"/>
        <rFont val="Arial"/>
        <family val="2"/>
      </rPr>
      <t>OR</t>
    </r>
    <r>
      <rPr>
        <sz val="10"/>
        <rFont val="Arial"/>
        <family val="2"/>
      </rPr>
      <t xml:space="preserve">  line 31.</t>
    </r>
  </si>
  <si>
    <t>If you complete lines 27 through 30 for this student, don’t complete line 31.</t>
  </si>
  <si>
    <t>&lt;&lt;&lt; Check here to use Lifetime Learnng Credit.</t>
  </si>
  <si>
    <t>Adjusted qualified education expenses (see instructions).</t>
  </si>
  <si>
    <t xml:space="preserve">.   .   .   .    .   .   .   .   .   .   .   .   .   .   .   .   .   .   .   .   . </t>
  </si>
  <si>
    <t xml:space="preserve">.   .   .   .   .    .   .   .   .   .   .   .   .    .   .   .   .   .   .   .   .   .   .   .   .   .   .   .   .   . </t>
  </si>
  <si>
    <t>If line 28 is zero, enter the amount from line 27. Otherwise, add $2,000 to the amount on line 29 and</t>
  </si>
  <si>
    <t>enter the result. Skip line 31. Include the total of all amounts from all Parts III, line 30, on Part I, line 1.</t>
  </si>
  <si>
    <r>
      <t>Enter the institution’s employer identification number (EIN)
if you’re claiming the American opportunity credit or if you
checked “Yes” in (</t>
    </r>
    <r>
      <rPr>
        <b/>
        <sz val="11"/>
        <rFont val="Arial"/>
        <family val="2"/>
      </rPr>
      <t>2)</t>
    </r>
    <r>
      <rPr>
        <sz val="11"/>
        <rFont val="Arial"/>
        <family val="2"/>
      </rPr>
      <t xml:space="preserve"> or (</t>
    </r>
    <r>
      <rPr>
        <b/>
        <sz val="11"/>
        <rFont val="Arial"/>
        <family val="2"/>
      </rPr>
      <t>3</t>
    </r>
    <r>
      <rPr>
        <sz val="11"/>
        <rFont val="Arial"/>
        <family val="2"/>
      </rPr>
      <t>). You can get the EIN from Form
1098-T or from the institution.</t>
    </r>
  </si>
  <si>
    <t>4.  Adjusted qualified education expenses. Subtract line 3 from line 1.</t>
  </si>
  <si>
    <t xml:space="preserve">4.  Adjusted qualified education expenses. Subtract line 3 from line 1. </t>
  </si>
  <si>
    <r>
      <t xml:space="preserve">You </t>
    </r>
    <r>
      <rPr>
        <b/>
        <sz val="12"/>
        <rFont val="Arial"/>
        <family val="2"/>
      </rPr>
      <t>can't</t>
    </r>
    <r>
      <rPr>
        <sz val="12"/>
        <rFont val="Arial"/>
        <family val="2"/>
      </rPr>
      <t xml:space="preserve"> take the American opportunity credit and the lifetime learning credit for the </t>
    </r>
    <r>
      <rPr>
        <b/>
        <sz val="12"/>
        <rFont val="Arial"/>
        <family val="2"/>
      </rPr>
      <t>same student</t>
    </r>
    <r>
      <rPr>
        <sz val="12"/>
        <rFont val="Arial"/>
        <family val="2"/>
      </rPr>
      <t xml:space="preserve"> in the same year.</t>
    </r>
  </si>
  <si>
    <t>Credit for Qualified Retirement Savings Contributions</t>
  </si>
  <si>
    <r>
      <t xml:space="preserve">Go to </t>
    </r>
    <r>
      <rPr>
        <i/>
        <sz val="10"/>
        <rFont val="Arial"/>
        <family val="2"/>
      </rPr>
      <t>www.irs.gov/Form8880</t>
    </r>
    <r>
      <rPr>
        <sz val="10"/>
        <rFont val="Arial"/>
        <family val="2"/>
      </rPr>
      <t xml:space="preserve"> for the latest information.</t>
    </r>
  </si>
  <si>
    <r>
      <t xml:space="preserve">You </t>
    </r>
    <r>
      <rPr>
        <b/>
        <sz val="12"/>
        <rFont val="Arial"/>
        <family val="2"/>
      </rPr>
      <t>cannot</t>
    </r>
    <r>
      <rPr>
        <sz val="12"/>
        <rFont val="Arial"/>
        <family val="2"/>
      </rPr>
      <t xml:space="preserve"> take this credit if </t>
    </r>
    <r>
      <rPr>
        <b/>
        <sz val="12"/>
        <rFont val="Arial"/>
        <family val="2"/>
      </rPr>
      <t>either</t>
    </r>
    <r>
      <rPr>
        <sz val="12"/>
        <rFont val="Arial"/>
        <family val="2"/>
      </rPr>
      <t xml:space="preserve"> of the following applies.</t>
    </r>
  </si>
  <si>
    <t>married filing jointly.</t>
  </si>
  <si>
    <r>
      <t xml:space="preserve">The person(s) who made the qualified contribution or elective deferral  </t>
    </r>
    <r>
      <rPr>
        <b/>
        <i/>
        <sz val="11"/>
        <rFont val="Arial"/>
        <family val="2"/>
      </rPr>
      <t>(a)</t>
    </r>
    <r>
      <rPr>
        <i/>
        <sz val="11"/>
        <rFont val="Arial"/>
        <family val="2"/>
      </rPr>
      <t xml:space="preserve"> </t>
    </r>
    <r>
      <rPr>
        <sz val="11"/>
        <rFont val="Arial"/>
        <family val="2"/>
      </rPr>
      <t>was</t>
    </r>
  </si>
  <si>
    <r>
      <rPr>
        <b/>
        <i/>
        <sz val="11"/>
        <rFont val="Arial"/>
        <family val="2"/>
      </rPr>
      <t>(b)</t>
    </r>
    <r>
      <rPr>
        <i/>
        <sz val="11"/>
        <rFont val="Arial"/>
        <family val="2"/>
      </rPr>
      <t xml:space="preserve"> is claimed as a</t>
    </r>
  </si>
  <si>
    <r>
      <t xml:space="preserve">or </t>
    </r>
    <r>
      <rPr>
        <b/>
        <i/>
        <sz val="11"/>
        <rFont val="Arial"/>
        <family val="2"/>
      </rPr>
      <t xml:space="preserve">(c) </t>
    </r>
    <r>
      <rPr>
        <i/>
        <sz val="11"/>
        <rFont val="Arial"/>
        <family val="2"/>
      </rPr>
      <t xml:space="preserve">was a </t>
    </r>
    <r>
      <rPr>
        <b/>
        <i/>
        <sz val="11"/>
        <rFont val="Arial"/>
        <family val="2"/>
      </rPr>
      <t>student</t>
    </r>
    <r>
      <rPr>
        <i/>
        <sz val="11"/>
        <rFont val="Arial"/>
        <family val="2"/>
      </rPr>
      <t xml:space="preserve"> (see instructions).</t>
    </r>
  </si>
  <si>
    <t>(a) You</t>
  </si>
  <si>
    <t>(b) Your spouse</t>
  </si>
  <si>
    <t>Traditional and Roth IRA contributions, and ABLE account contributions by the</t>
  </si>
  <si>
    <r>
      <rPr>
        <b/>
        <sz val="12"/>
        <rFont val="Arial"/>
        <family val="2"/>
      </rPr>
      <t>Do not</t>
    </r>
    <r>
      <rPr>
        <sz val="12"/>
        <rFont val="Arial"/>
        <family val="2"/>
      </rPr>
      <t xml:space="preserve"> include rollover contributions</t>
    </r>
  </si>
  <si>
    <t>Elective deferrals to 401(k) or other qualified employer plan, voluntary employee</t>
  </si>
  <si>
    <r>
      <t xml:space="preserve">Certain distributions received  </t>
    </r>
    <r>
      <rPr>
        <b/>
        <sz val="12"/>
        <rFont val="Arial"/>
        <family val="2"/>
      </rPr>
      <t>after</t>
    </r>
  </si>
  <si>
    <r>
      <t xml:space="preserve">and </t>
    </r>
    <r>
      <rPr>
        <b/>
        <sz val="12"/>
        <rFont val="Arial"/>
        <family val="2"/>
      </rPr>
      <t>before</t>
    </r>
    <r>
      <rPr>
        <sz val="12"/>
        <rFont val="Arial"/>
        <family val="2"/>
      </rPr>
      <t xml:space="preserve"> the due date (including</t>
    </r>
  </si>
  <si>
    <r>
      <t xml:space="preserve">include </t>
    </r>
    <r>
      <rPr>
        <b/>
        <sz val="12"/>
        <rFont val="Arial"/>
        <family val="2"/>
      </rPr>
      <t>both</t>
    </r>
    <r>
      <rPr>
        <sz val="12"/>
        <rFont val="Arial"/>
        <family val="2"/>
      </rPr>
      <t xml:space="preserve"> spouses’ amounts in </t>
    </r>
    <r>
      <rPr>
        <b/>
        <sz val="12"/>
        <rFont val="Arial"/>
        <family val="2"/>
      </rPr>
      <t>both</t>
    </r>
    <r>
      <rPr>
        <sz val="12"/>
        <rFont val="Arial"/>
        <family val="2"/>
      </rPr>
      <t xml:space="preserve"> columns. See instructions for exceptions</t>
    </r>
  </si>
  <si>
    <r>
      <t xml:space="preserve">In each column,  enter the  </t>
    </r>
    <r>
      <rPr>
        <b/>
        <sz val="12"/>
        <rFont val="Arial"/>
        <family val="2"/>
      </rPr>
      <t>smaller</t>
    </r>
    <r>
      <rPr>
        <sz val="12"/>
        <rFont val="Arial"/>
        <family val="2"/>
      </rPr>
      <t xml:space="preserve"> of  line  5  or</t>
    </r>
  </si>
  <si>
    <t>Add the amounts on line 6.</t>
  </si>
  <si>
    <r>
      <t xml:space="preserve">If zero, </t>
    </r>
    <r>
      <rPr>
        <b/>
        <sz val="12"/>
        <rFont val="Arial"/>
        <family val="2"/>
      </rPr>
      <t>stop</t>
    </r>
    <r>
      <rPr>
        <sz val="12"/>
        <rFont val="Arial"/>
        <family val="2"/>
      </rPr>
      <t>; you can’t take this credit</t>
    </r>
  </si>
  <si>
    <t>Enter the amount from Form 1040, 1040-SR, or 1040-NR, line 11*</t>
  </si>
  <si>
    <t>Enter the applicable decimal amount from the table below</t>
  </si>
  <si>
    <t>Line 11</t>
  </si>
  <si>
    <t>If line 8 is —</t>
  </si>
  <si>
    <t>And your filing status is—</t>
  </si>
  <si>
    <t>Before you complete the following worksheet, figure the amount of any</t>
  </si>
  <si>
    <t>Over ---</t>
  </si>
  <si>
    <t>But not
over ---</t>
  </si>
  <si>
    <t>Married
filing jointly</t>
  </si>
  <si>
    <t>Head of
household</t>
  </si>
  <si>
    <t>Single, Married filing separately, or 
Qualifying widow(er)</t>
  </si>
  <si>
    <t>credit for the elderly or the disabled you’re claiming on Schedule 3</t>
  </si>
  <si>
    <t>(Form 1040), line 6d. See Schedule R (Form 1040) to figure the credit.</t>
  </si>
  <si>
    <t>Enter on line 9 --</t>
  </si>
  <si>
    <t>Credit Limit Worksheet</t>
  </si>
  <si>
    <t>Complete this worksheet to figure the amount to enter on line 11.</t>
  </si>
  <si>
    <t>x 0.</t>
  </si>
  <si>
    <t>Enter the total of your credits from Schedule 3,</t>
  </si>
  <si>
    <t xml:space="preserve"> lines 1 through 3, 6d, and 6l</t>
  </si>
  <si>
    <t>Subtract line 2 from line 1. Also enter this amount</t>
  </si>
  <si>
    <r>
      <rPr>
        <b/>
        <sz val="12"/>
        <rFont val="Arial"/>
        <family val="2"/>
      </rPr>
      <t>Note:</t>
    </r>
    <r>
      <rPr>
        <sz val="12"/>
        <rFont val="Arial"/>
        <family val="2"/>
      </rPr>
      <t xml:space="preserve"> If line 9 is zero, </t>
    </r>
    <r>
      <rPr>
        <b/>
        <sz val="12"/>
        <rFont val="Arial"/>
        <family val="2"/>
      </rPr>
      <t>stop</t>
    </r>
    <r>
      <rPr>
        <sz val="12"/>
        <rFont val="Arial"/>
        <family val="2"/>
      </rPr>
      <t>; you can’t take this credit.</t>
    </r>
  </si>
  <si>
    <r>
      <t xml:space="preserve">on Form 8880, line 11.  But if zero or less, </t>
    </r>
    <r>
      <rPr>
        <b/>
        <sz val="10"/>
        <rFont val="Arial"/>
        <family val="2"/>
      </rPr>
      <t>stop;</t>
    </r>
  </si>
  <si>
    <t>Multiply line 7 by line 9</t>
  </si>
  <si>
    <t>you can’t take the credit—don’t file this form</t>
  </si>
  <si>
    <t>Limitation based on tax liability. Enter the amount from the Credit Limit Worksheet in the instructions</t>
  </si>
  <si>
    <r>
      <rPr>
        <b/>
        <sz val="12"/>
        <rFont val="Arial"/>
        <family val="2"/>
      </rPr>
      <t>Credit for qualified retirement savings contributions.</t>
    </r>
    <r>
      <rPr>
        <sz val="12"/>
        <rFont val="Arial"/>
        <family val="2"/>
      </rPr>
      <t xml:space="preserve"> Enter the smaller of line 10 or line 11 here</t>
    </r>
  </si>
  <si>
    <t>and on Schedule 3 (Form 1040), line 4</t>
  </si>
  <si>
    <t>*See Pub. 590-A for the amount to enter if you claim any exclusion or deduction for foreign earned income, foreign housing, or income from</t>
  </si>
  <si>
    <t>Puerto Rico or for bona fide residents of American Samoa.</t>
  </si>
  <si>
    <t>Cat. No. 33394D</t>
  </si>
  <si>
    <r>
      <rPr>
        <sz val="8"/>
        <rFont val="Arial"/>
        <family val="2"/>
      </rPr>
      <t xml:space="preserve">Form </t>
    </r>
    <r>
      <rPr>
        <b/>
        <sz val="14"/>
        <rFont val="Arial"/>
        <family val="2"/>
      </rPr>
      <t>8880</t>
    </r>
  </si>
  <si>
    <t>Download Form 8880 &amp; Instructions</t>
  </si>
  <si>
    <t>Dependent?</t>
  </si>
  <si>
    <t>Health Savings Accounts (HSAs)</t>
  </si>
  <si>
    <r>
      <t xml:space="preserve">Manual
Override </t>
    </r>
    <r>
      <rPr>
        <b/>
        <sz val="10"/>
        <rFont val="Wingdings"/>
        <charset val="2"/>
      </rPr>
      <t>ê</t>
    </r>
  </si>
  <si>
    <t>Attach to Form 1040 or 1040-SR or Form 1040-NR.</t>
  </si>
  <si>
    <t xml:space="preserve">      Attachment</t>
  </si>
  <si>
    <t>HSA</t>
  </si>
  <si>
    <t>Coverage Type?</t>
  </si>
  <si>
    <r>
      <t xml:space="preserve">Go to </t>
    </r>
    <r>
      <rPr>
        <b/>
        <i/>
        <sz val="8"/>
        <rFont val="Arial"/>
        <family val="2"/>
      </rPr>
      <t>www.irs.gov/Form8889</t>
    </r>
    <r>
      <rPr>
        <b/>
        <sz val="8"/>
        <rFont val="Arial"/>
        <family val="2"/>
      </rPr>
      <t xml:space="preserve"> for instructions and the latest information.</t>
    </r>
  </si>
  <si>
    <r>
      <t xml:space="preserve">Sequence No. </t>
    </r>
    <r>
      <rPr>
        <b/>
        <sz val="12"/>
        <rFont val="Arial"/>
        <family val="2"/>
      </rPr>
      <t>52</t>
    </r>
  </si>
  <si>
    <t>Beneficiary</t>
  </si>
  <si>
    <t>What coverage type did your HDHP provide on the 1st day of the month?</t>
  </si>
  <si>
    <t>Name(s) shown on Form 1040, 1040-SR, or Form 1040-NR</t>
  </si>
  <si>
    <t>Social security number of HSA beneficiary. 
If both spouses have HSAs, see instructions</t>
  </si>
  <si>
    <t>Line 3 Limitation Chart and Worksheet</t>
  </si>
  <si>
    <r>
      <t xml:space="preserve">  </t>
    </r>
    <r>
      <rPr>
        <b/>
        <i/>
        <sz val="11"/>
        <rFont val="Arial"/>
        <family val="2"/>
      </rPr>
      <t>Before you begin:</t>
    </r>
    <r>
      <rPr>
        <sz val="11"/>
        <rFont val="Arial"/>
        <family val="2"/>
      </rPr>
      <t xml:space="preserve">  </t>
    </r>
    <r>
      <rPr>
        <sz val="10"/>
        <rFont val="Arial"/>
        <family val="2"/>
      </rPr>
      <t>Complete Form 8853, Archer MSAs and Long-Term Care Insurance Contracts, if required.</t>
    </r>
  </si>
  <si>
    <t>Enrolled in Medicare? (Y/N)</t>
  </si>
  <si>
    <t>Eligible on 1st of Month? (Y/N)</t>
  </si>
  <si>
    <t>Coverage Type?  (Self/Family)</t>
  </si>
  <si>
    <r>
      <t xml:space="preserve"> </t>
    </r>
    <r>
      <rPr>
        <b/>
        <sz val="11"/>
        <rFont val="Arial"/>
        <family val="2"/>
      </rPr>
      <t>HSA Contributions and Deduction.</t>
    </r>
    <r>
      <rPr>
        <sz val="11"/>
        <rFont val="Arial"/>
        <family val="2"/>
      </rPr>
      <t xml:space="preserve"> See the instructions before completing this part. If you are filing jointly</t>
    </r>
  </si>
  <si>
    <t xml:space="preserve"> and both you and your spouse each have separate HSAs, complete a separate Part I for each spouse.</t>
  </si>
  <si>
    <t xml:space="preserve"> Self-only</t>
  </si>
  <si>
    <t xml:space="preserve"> Family</t>
  </si>
  <si>
    <t>Y or S</t>
  </si>
  <si>
    <t>contributions through a cafeteria plan, or rollovers.  See instructions</t>
  </si>
  <si>
    <t>Self</t>
  </si>
  <si>
    <t>&lt;55</t>
  </si>
  <si>
    <t>January</t>
  </si>
  <si>
    <t>Y</t>
  </si>
  <si>
    <r>
      <t xml:space="preserve">were,  or  were  considered,  an  eligible  individual  with  the  </t>
    </r>
    <r>
      <rPr>
        <b/>
        <sz val="9"/>
        <rFont val="Arial"/>
        <family val="2"/>
      </rPr>
      <t>same</t>
    </r>
    <r>
      <rPr>
        <sz val="9"/>
        <rFont val="Arial"/>
        <family val="2"/>
      </rPr>
      <t xml:space="preserve">  coverage, </t>
    </r>
  </si>
  <si>
    <t>&gt;=55</t>
  </si>
  <si>
    <t>Single*</t>
  </si>
  <si>
    <t>February</t>
  </si>
  <si>
    <r>
      <t xml:space="preserve">family coverage).   </t>
    </r>
    <r>
      <rPr>
        <b/>
        <sz val="9"/>
        <rFont val="Arial"/>
        <family val="2"/>
      </rPr>
      <t>All others</t>
    </r>
    <r>
      <rPr>
        <sz val="9"/>
        <rFont val="Arial"/>
        <family val="2"/>
      </rPr>
      <t>, see instructions for the amount to enter</t>
    </r>
  </si>
  <si>
    <t>Married</t>
  </si>
  <si>
    <t>March</t>
  </si>
  <si>
    <t>April</t>
  </si>
  <si>
    <t>*Or Married with Self Only Coverage Type</t>
  </si>
  <si>
    <t>include any amount contributed to your spouse’s Archer MSAs</t>
  </si>
  <si>
    <t>June</t>
  </si>
  <si>
    <t>Family coverage at any time?</t>
  </si>
  <si>
    <t>July</t>
  </si>
  <si>
    <t>Enter the amount from line 5. But if you and your spouse each have separate HSAs and had family</t>
  </si>
  <si>
    <t>Allocation</t>
  </si>
  <si>
    <t>August</t>
  </si>
  <si>
    <t>Family?</t>
  </si>
  <si>
    <t>September</t>
  </si>
  <si>
    <t>Rule 1</t>
  </si>
  <si>
    <t>October</t>
  </si>
  <si>
    <t>Rule 2</t>
  </si>
  <si>
    <t>November</t>
  </si>
  <si>
    <t>December</t>
  </si>
  <si>
    <t>Add lines 6 and 7</t>
  </si>
  <si>
    <t>Total for all months</t>
  </si>
  <si>
    <r>
      <rPr>
        <b/>
        <sz val="8"/>
        <rFont val="Arial"/>
        <family val="2"/>
      </rPr>
      <t>Limitation.</t>
    </r>
    <r>
      <rPr>
        <sz val="8"/>
        <rFont val="Arial"/>
        <family val="2"/>
      </rPr>
      <t xml:space="preserve"> Divide the total by 12.</t>
    </r>
  </si>
  <si>
    <t>Qualified HSA funding distributions</t>
  </si>
  <si>
    <t>Step 3</t>
  </si>
  <si>
    <t>Step 4</t>
  </si>
  <si>
    <t>Subtract line 11 from line 8. If zero or less, enter -0-</t>
  </si>
  <si>
    <t xml:space="preserve"> .   .   .   .   .   .   .   .   .   .   .   . </t>
  </si>
  <si>
    <t>Distributions included on line 14a that you rolled over to another HSA. Also include any excess</t>
  </si>
  <si>
    <t>contributions (and the earnings on those excess contributions) included on line 14a that were</t>
  </si>
  <si>
    <t>withdrawn by the due date of your return (see instructions)</t>
  </si>
  <si>
    <t xml:space="preserve"> .   .   .   .   .   .   .   .   .   .   .   .   .   .   .   . </t>
  </si>
  <si>
    <t>Subtract line 14b from line 14a</t>
  </si>
  <si>
    <t xml:space="preserve"> .   .   .   .   .   .   .   .   .   .   .   .   .   .   .   .   .   .   .   .   .   .   .   .   .   . </t>
  </si>
  <si>
    <t>Qualified medical expenses paid using HSA distributions (see instructions)</t>
  </si>
  <si>
    <t xml:space="preserve"> .   .   .   .   .   .   .   .   .   . </t>
  </si>
  <si>
    <t>(Form 1040), Part II, line 17c</t>
  </si>
  <si>
    <r>
      <rPr>
        <b/>
        <sz val="11"/>
        <rFont val="Arial"/>
        <family val="2"/>
      </rPr>
      <t xml:space="preserve"> Income and Additional Tax for Failure To Maintain HDHP Coverage</t>
    </r>
    <r>
      <rPr>
        <sz val="11"/>
        <rFont val="Arial"/>
        <family val="2"/>
      </rPr>
      <t>. See the instructions before</t>
    </r>
  </si>
  <si>
    <t xml:space="preserve"> completing this part. If you are filing jointly and both you and your spouse each have separate HSAs,</t>
  </si>
  <si>
    <t xml:space="preserve"> complete a separate Part III for each spouse.</t>
  </si>
  <si>
    <t>Last month rule</t>
  </si>
  <si>
    <t>Qualified HSA funding distribution</t>
  </si>
  <si>
    <r>
      <t xml:space="preserve">Total income. </t>
    </r>
    <r>
      <rPr>
        <sz val="10"/>
        <rFont val="Arial"/>
        <family val="2"/>
      </rPr>
      <t>Add lines 18 and 19. Include this amount on Schedule 1 (Form 1040), Part I, line 8f</t>
    </r>
  </si>
  <si>
    <t>Additional tax.</t>
  </si>
  <si>
    <t>(Form 1040), Part II, line 17d</t>
  </si>
  <si>
    <t>Cat. No. 37621P</t>
  </si>
  <si>
    <r>
      <t>Form</t>
    </r>
    <r>
      <rPr>
        <sz val="10"/>
        <rFont val="Arial"/>
        <family val="2"/>
      </rPr>
      <t xml:space="preserve"> </t>
    </r>
    <r>
      <rPr>
        <b/>
        <sz val="11"/>
        <rFont val="Arial"/>
        <family val="2"/>
      </rPr>
      <t>8889</t>
    </r>
  </si>
  <si>
    <r>
      <t xml:space="preserve">  </t>
    </r>
    <r>
      <rPr>
        <b/>
        <sz val="9"/>
        <rFont val="Marlett"/>
        <charset val="2"/>
      </rPr>
      <t>4</t>
    </r>
    <r>
      <rPr>
        <b/>
        <sz val="9"/>
        <rFont val="Arial"/>
        <family val="2"/>
      </rPr>
      <t xml:space="preserve">  Attach to Form 1040 or 1040-SR or Form 1040-NR.</t>
    </r>
  </si>
  <si>
    <r>
      <rPr>
        <b/>
        <sz val="8"/>
        <rFont val="Marlett"/>
        <charset val="2"/>
      </rPr>
      <t>4</t>
    </r>
    <r>
      <rPr>
        <b/>
        <sz val="8"/>
        <rFont val="Arial"/>
        <family val="2"/>
      </rPr>
      <t xml:space="preserve"> Go to </t>
    </r>
    <r>
      <rPr>
        <b/>
        <i/>
        <sz val="8"/>
        <rFont val="Arial"/>
        <family val="2"/>
      </rPr>
      <t>www.irs.gov/Form8889</t>
    </r>
    <r>
      <rPr>
        <b/>
        <sz val="8"/>
        <rFont val="Arial"/>
        <family val="2"/>
      </rPr>
      <t xml:space="preserve"> for instructions and the latest information.</t>
    </r>
  </si>
  <si>
    <t>Social security number of HSA beneficiary. If both spouses have HSAs, see instructions</t>
  </si>
  <si>
    <r>
      <t xml:space="preserve">  </t>
    </r>
    <r>
      <rPr>
        <b/>
        <i/>
        <sz val="11"/>
        <rFont val="Arial"/>
        <family val="2"/>
      </rPr>
      <t>Before you begin:</t>
    </r>
    <r>
      <rPr>
        <sz val="11"/>
        <rFont val="Arial"/>
        <family val="2"/>
      </rPr>
      <t xml:space="preserve"> </t>
    </r>
    <r>
      <rPr>
        <sz val="10"/>
        <rFont val="Arial"/>
        <family val="2"/>
      </rPr>
      <t xml:space="preserve"> Complete Form 8853, Archer MSAs and Long-Term Care Insurance Contracts, if required.</t>
    </r>
  </si>
  <si>
    <r>
      <t xml:space="preserve"> </t>
    </r>
    <r>
      <rPr>
        <b/>
        <sz val="10"/>
        <rFont val="Arial"/>
        <family val="2"/>
      </rPr>
      <t>HSA Contributions and Deduction.</t>
    </r>
    <r>
      <rPr>
        <sz val="10"/>
        <rFont val="Arial"/>
        <family val="2"/>
      </rPr>
      <t xml:space="preserve"> See the instructions before completing this part. If you are filing jointly</t>
    </r>
  </si>
  <si>
    <t xml:space="preserve">.   .   .   .   .   .   .   .   .   .   .   .   .   .   .   .   .   .   .   .   .   .   .   .   .   .   .   .   .   .   .   .   .   .   .   .   .   .   .   .   .   .   .   .   .   .   .   .   .   .   .   .   .   .   .   .   .   .   .   .   .   .   .    </t>
  </si>
  <si>
    <r>
      <rPr>
        <b/>
        <sz val="9"/>
        <rFont val="Arial"/>
        <family val="2"/>
      </rPr>
      <t>Do not</t>
    </r>
    <r>
      <rPr>
        <sz val="9"/>
        <rFont val="Arial"/>
        <family val="2"/>
      </rPr>
      <t xml:space="preserve"> include employer</t>
    </r>
  </si>
  <si>
    <t>contributions, contributions through a cafeteria plan, or rollovers (see instructions)</t>
  </si>
  <si>
    <r>
      <t xml:space="preserve">family coverage). </t>
    </r>
    <r>
      <rPr>
        <b/>
        <sz val="9"/>
        <rFont val="Arial"/>
        <family val="2"/>
      </rPr>
      <t>All others</t>
    </r>
    <r>
      <rPr>
        <sz val="9"/>
        <rFont val="Arial"/>
        <family val="2"/>
      </rPr>
      <t>, see the instructions for the amount to enter</t>
    </r>
  </si>
  <si>
    <r>
      <rPr>
        <b/>
        <sz val="10"/>
        <rFont val="Arial"/>
        <family val="2"/>
      </rPr>
      <t xml:space="preserve"> Income and Additional Tax for Failure To Maintain HDHP Coverage</t>
    </r>
    <r>
      <rPr>
        <sz val="10"/>
        <rFont val="Arial"/>
        <family val="2"/>
      </rPr>
      <t>. See the instructions before</t>
    </r>
  </si>
  <si>
    <t>Download Form 8889</t>
  </si>
  <si>
    <t>Line 13</t>
  </si>
  <si>
    <t>Line 16</t>
  </si>
  <si>
    <t>Download Form 8889 Instructions</t>
  </si>
  <si>
    <t>F1040 Line 25</t>
  </si>
  <si>
    <t>F1040 Line 21</t>
  </si>
  <si>
    <t>Destination</t>
  </si>
  <si>
    <t>Form 8889</t>
  </si>
  <si>
    <t>Schedule 1, Line 13</t>
  </si>
  <si>
    <t>Schedule 1, Line 8f</t>
  </si>
  <si>
    <t>Schedule 2, Line 17c</t>
  </si>
  <si>
    <t>Line 17b</t>
  </si>
  <si>
    <t>Schedule 2, Line 17d</t>
  </si>
  <si>
    <t>Check here to hide red formatting.   &gt;</t>
  </si>
  <si>
    <r>
      <rPr>
        <sz val="8"/>
        <rFont val="Arial"/>
        <family val="2"/>
      </rPr>
      <t>Form</t>
    </r>
    <r>
      <rPr>
        <sz val="10"/>
        <rFont val="Arial"/>
        <family val="2"/>
      </rPr>
      <t xml:space="preserve"> </t>
    </r>
    <r>
      <rPr>
        <b/>
        <sz val="26"/>
        <rFont val="Arial"/>
        <family val="2"/>
      </rPr>
      <t>8949</t>
    </r>
  </si>
  <si>
    <t>Sales and Other Dispositions of Capital Assets</t>
  </si>
  <si>
    <t>File with your Schedule D to list your transactions for lines 1b, 2, 3, 8b, 9, and 10 of Schedule D.</t>
  </si>
  <si>
    <t>12A</t>
  </si>
  <si>
    <t>Social security number or taxpayer identification number</t>
  </si>
  <si>
    <t>instructions). For long-term transactions, see page 2.</t>
  </si>
  <si>
    <t xml:space="preserve"> Check only one box. </t>
  </si>
  <si>
    <t>If more than one box applies for your short-term transactions,</t>
  </si>
  <si>
    <t>complete a separate Form 8949, page 1, for each applicable box. If you have more short-term transactions than will fit on this page</t>
  </si>
  <si>
    <t>Less than One Year</t>
  </si>
  <si>
    <t>Calendar Year is SAME</t>
  </si>
  <si>
    <t>Before This Month (Last Year)</t>
  </si>
  <si>
    <t>Before This Day and Month (Last Year)</t>
  </si>
  <si>
    <t>Paste data from other spreadsheets, reports, etc. here.  (Use 'Paste Special, Values')</t>
  </si>
  <si>
    <t>(b)
Date acquired
(Mo., day, yr.)</t>
  </si>
  <si>
    <r>
      <rPr>
        <b/>
        <sz val="7"/>
        <rFont val="Arial"/>
        <family val="2"/>
      </rPr>
      <t>Adjustment, if any, to gain or loss.</t>
    </r>
    <r>
      <rPr>
        <sz val="7"/>
        <rFont val="Arial"/>
        <family val="2"/>
      </rPr>
      <t xml:space="preserve"> 
If you enter an amount in column (g), 
enter a code in column (f). 
</t>
    </r>
    <r>
      <rPr>
        <b/>
        <sz val="7"/>
        <rFont val="Arial"/>
        <family val="2"/>
      </rPr>
      <t>See the separate instructions.</t>
    </r>
  </si>
  <si>
    <t>(a)
Description of property
(Example: 100 sh. XYZ Co.)</t>
  </si>
  <si>
    <t>(b)
Date acquired 
(Mo., day, yr.)</t>
  </si>
  <si>
    <t>(c)
Date sold or disposed
(Mo., day, yr.)</t>
  </si>
  <si>
    <t>(d)
Proceeds (sales price)
(see instructions)</t>
  </si>
  <si>
    <r>
      <rPr>
        <b/>
        <sz val="7"/>
        <rFont val="Arial"/>
        <family val="2"/>
      </rPr>
      <t>(e)</t>
    </r>
    <r>
      <rPr>
        <sz val="7"/>
        <rFont val="Arial"/>
        <family val="2"/>
      </rPr>
      <t xml:space="preserve">
Cost or other basis.
See the </t>
    </r>
    <r>
      <rPr>
        <b/>
        <sz val="7"/>
        <rFont val="Arial"/>
        <family val="2"/>
      </rPr>
      <t>Note</t>
    </r>
    <r>
      <rPr>
        <sz val="7"/>
        <rFont val="Arial"/>
        <family val="2"/>
      </rPr>
      <t xml:space="preserve"> below 
and see Column (e)
in the separate instructions</t>
    </r>
  </si>
  <si>
    <r>
      <rPr>
        <b/>
        <sz val="6"/>
        <rFont val="Arial"/>
        <family val="2"/>
      </rPr>
      <t>Adjustment, if any, to gain or loss.</t>
    </r>
    <r>
      <rPr>
        <sz val="6"/>
        <rFont val="Arial"/>
        <family val="2"/>
      </rPr>
      <t xml:space="preserve"> 
If you enter an amount in column (g), 
enter a code in column (f). 
</t>
    </r>
    <r>
      <rPr>
        <b/>
        <sz val="6"/>
        <rFont val="Arial"/>
        <family val="2"/>
      </rPr>
      <t>See the separate instructions.</t>
    </r>
  </si>
  <si>
    <t>(h) 
Gain or (loss). 
Subtract column (e) 
from column (d) and 
combine the result 
with column (g)</t>
  </si>
  <si>
    <r>
      <rPr>
        <b/>
        <sz val="8"/>
        <rFont val="Arial"/>
        <family val="2"/>
      </rPr>
      <t xml:space="preserve">(f) </t>
    </r>
    <r>
      <rPr>
        <sz val="8"/>
        <rFont val="Arial"/>
        <family val="2"/>
      </rPr>
      <t xml:space="preserve">
Code(s) from 
instructions</t>
    </r>
  </si>
  <si>
    <r>
      <rPr>
        <b/>
        <sz val="8"/>
        <rFont val="Arial"/>
        <family val="2"/>
      </rPr>
      <t xml:space="preserve">(g) </t>
    </r>
    <r>
      <rPr>
        <sz val="8"/>
        <rFont val="Arial"/>
        <family val="2"/>
      </rPr>
      <t xml:space="preserve">
Amount of 
adjustment</t>
    </r>
  </si>
  <si>
    <t>(f) 
Code(s) from 
instructions</t>
  </si>
  <si>
    <t>Cat. No. 37768Z</t>
  </si>
  <si>
    <r>
      <rPr>
        <sz val="8"/>
        <rFont val="Arial"/>
        <family val="2"/>
      </rPr>
      <t xml:space="preserve">Form </t>
    </r>
    <r>
      <rPr>
        <b/>
        <sz val="12"/>
        <rFont val="Arial"/>
        <family val="2"/>
      </rPr>
      <t>8949</t>
    </r>
  </si>
  <si>
    <r>
      <t xml:space="preserve">Attachment Sequence No. </t>
    </r>
    <r>
      <rPr>
        <b/>
        <sz val="12"/>
        <rFont val="Arial"/>
        <family val="2"/>
      </rPr>
      <t>12A</t>
    </r>
  </si>
  <si>
    <t>Name(s) shown on return. Name and SSN or taxpayer identification no. not required if shown on other side</t>
  </si>
  <si>
    <t>instructions). For short-term transactions, see page 1.</t>
  </si>
  <si>
    <r>
      <rPr>
        <b/>
        <sz val="8"/>
        <rFont val="Arial"/>
        <family val="2"/>
      </rPr>
      <t xml:space="preserve">(h) </t>
    </r>
    <r>
      <rPr>
        <sz val="8"/>
        <rFont val="Arial"/>
        <family val="2"/>
      </rPr>
      <t xml:space="preserve">
</t>
    </r>
    <r>
      <rPr>
        <b/>
        <sz val="8"/>
        <rFont val="Arial"/>
        <family val="2"/>
      </rPr>
      <t xml:space="preserve">Gain or (loss). </t>
    </r>
    <r>
      <rPr>
        <sz val="8"/>
        <rFont val="Arial"/>
        <family val="2"/>
      </rPr>
      <t xml:space="preserve">
Subtract column (e) 
from column (d) and 
combine the result 
with column (g)</t>
    </r>
  </si>
  <si>
    <r>
      <t>Who Must File -</t>
    </r>
    <r>
      <rPr>
        <sz val="10"/>
        <rFont val="Arial"/>
        <family val="2"/>
      </rPr>
      <t xml:space="preserve"> You must file Form 8959 if one or more of the following applies to you:</t>
    </r>
  </si>
  <si>
    <t>Check here to use this form.</t>
  </si>
  <si>
    <t>Additional Medicare Tax</t>
  </si>
  <si>
    <t>If any line doesn't apply to you, leave it blank. See separate instructions.</t>
  </si>
  <si>
    <t>Attach to Form 1040, 1040-SR, 1040NR, 1040-PR, or 1040-SS.</t>
  </si>
  <si>
    <r>
      <t xml:space="preserve">Go to </t>
    </r>
    <r>
      <rPr>
        <b/>
        <i/>
        <sz val="9"/>
        <rFont val="Arial"/>
        <family val="2"/>
      </rPr>
      <t>www.irs.gov/Form8959</t>
    </r>
    <r>
      <rPr>
        <b/>
        <sz val="9"/>
        <rFont val="Arial"/>
        <family val="2"/>
      </rPr>
      <t xml:space="preserve"> for instructions and the latest information.</t>
    </r>
  </si>
  <si>
    <r>
      <t xml:space="preserve">Sequence No. </t>
    </r>
    <r>
      <rPr>
        <b/>
        <sz val="12"/>
        <rFont val="Arial"/>
        <family val="2"/>
      </rPr>
      <t>71</t>
    </r>
  </si>
  <si>
    <t xml:space="preserve">  Additional Medicare Tax on Medicare Wages </t>
  </si>
  <si>
    <t>Medicare wages and tips from Form W-2, box 5. If you have more than</t>
  </si>
  <si>
    <t>one Form W-2, enter the total of the amounts from box 5</t>
  </si>
  <si>
    <t>Unreported tips from Form 4137, line 6</t>
  </si>
  <si>
    <t>Add lines 1 through 3</t>
  </si>
  <si>
    <t>Enter the following amount for your filing status:</t>
  </si>
  <si>
    <t>Married filing jointly</t>
  </si>
  <si>
    <t>Subtract line 5 from line 4. If the result is zero or less, enter -0-</t>
  </si>
  <si>
    <t xml:space="preserve"> .   .   .   .   .   .   .   .   .   .   .   .   .   .   . </t>
  </si>
  <si>
    <t>go to Part II</t>
  </si>
  <si>
    <t xml:space="preserve">     Additional Medicare Tax on Self-Employment Income</t>
  </si>
  <si>
    <t>Sch. SE Line 6</t>
  </si>
  <si>
    <t>Enter the amount from line 4</t>
  </si>
  <si>
    <t>Subtract line 10 from line 9. If zero or less, enter -0-</t>
  </si>
  <si>
    <t>Subtract line 11 from line 8. If the result is zero or less, enter -0-</t>
  </si>
  <si>
    <t xml:space="preserve">     Additional Medicare Tax on Railroad Retirement Tax Act (RRTA) Compensation</t>
  </si>
  <si>
    <t>Subtract line 15 from line 14. If the result is zero or less, enter -0-</t>
  </si>
  <si>
    <t>Enter here and go to Part IV</t>
  </si>
  <si>
    <t xml:space="preserve">     Total Additional Medicare Tax</t>
  </si>
  <si>
    <t xml:space="preserve">    Withholding Reconciliation</t>
  </si>
  <si>
    <t>Medicare tax withheld from Form W-2, box 6.  If you have more than one</t>
  </si>
  <si>
    <t>Form W-2, enter the total of the amounts from box 6</t>
  </si>
  <si>
    <t>Enter the amount from line 1</t>
  </si>
  <si>
    <t>withholding on Medicare wages</t>
  </si>
  <si>
    <t>Subtract line 21 from line 19.  If zero or less, enter -0-. This is your Additional Medicare Tax</t>
  </si>
  <si>
    <t>Additional Medicare Tax withholding on railroad retirement (RRTA) compensation from Form</t>
  </si>
  <si>
    <t>W-2, box 14 (see instructions)</t>
  </si>
  <si>
    <r>
      <rPr>
        <b/>
        <sz val="10"/>
        <rFont val="Arial"/>
        <family val="2"/>
      </rPr>
      <t>Total Additional Medicare Tax withholding.</t>
    </r>
    <r>
      <rPr>
        <sz val="10"/>
        <rFont val="Arial"/>
        <family val="2"/>
      </rPr>
      <t xml:space="preserve"> Add lines 22 and 23. Also include this amount</t>
    </r>
  </si>
  <si>
    <t>with federal income tax withholding on Form 1040, 1040-SR, or 1040-NR, line 25c</t>
  </si>
  <si>
    <t>Cat. No. 59475X</t>
  </si>
  <si>
    <r>
      <t>Form</t>
    </r>
    <r>
      <rPr>
        <sz val="10"/>
        <rFont val="Arial"/>
        <family val="2"/>
      </rPr>
      <t xml:space="preserve"> </t>
    </r>
    <r>
      <rPr>
        <b/>
        <sz val="12"/>
        <rFont val="Arial"/>
        <family val="2"/>
      </rPr>
      <t>8959</t>
    </r>
  </si>
  <si>
    <t>Download Form 8959</t>
  </si>
  <si>
    <t>Download Form 8959 Instructions</t>
  </si>
  <si>
    <r>
      <rPr>
        <b/>
        <sz val="9"/>
        <rFont val="Arial"/>
        <family val="2"/>
      </rPr>
      <t>Who Must File:</t>
    </r>
    <r>
      <rPr>
        <sz val="9"/>
        <rFont val="Arial"/>
        <family val="2"/>
      </rPr>
      <t xml:space="preserve">  Attach Form 8960 to your return if your modified adjusted gross income (MAGI) is greater than the applicable threshold amount.</t>
    </r>
  </si>
  <si>
    <r>
      <rPr>
        <b/>
        <sz val="10"/>
        <rFont val="Arial"/>
        <family val="2"/>
      </rPr>
      <t>Application to Individuals</t>
    </r>
    <r>
      <rPr>
        <sz val="10"/>
        <rFont val="Arial"/>
        <family val="2"/>
      </rPr>
      <t xml:space="preserve">
</t>
    </r>
  </si>
  <si>
    <r>
      <rPr>
        <b/>
        <sz val="10"/>
        <rFont val="Arial"/>
        <family val="2"/>
      </rPr>
      <t>U.S. citizens and residents.</t>
    </r>
    <r>
      <rPr>
        <sz val="10"/>
        <rFont val="Arial"/>
        <family val="2"/>
      </rPr>
      <t xml:space="preserve"> Individuals who have for the tax year </t>
    </r>
  </si>
  <si>
    <t xml:space="preserve">(a) MAGI that’s over an applicable threshold amount, and </t>
  </si>
  <si>
    <t xml:space="preserve">(b) net investment income, </t>
  </si>
  <si>
    <t>Net Investment Income Tax—</t>
  </si>
  <si>
    <t>Individuals, Estates, and Trusts</t>
  </si>
  <si>
    <t>The applicable threshold amount is based on your filing status.</t>
  </si>
  <si>
    <t>Go to www.irs.gov/Form8960 for instructions and the latest information.</t>
  </si>
  <si>
    <r>
      <t xml:space="preserve">Sequence No. </t>
    </r>
    <r>
      <rPr>
        <b/>
        <sz val="14"/>
        <rFont val="Arial"/>
        <family val="2"/>
      </rPr>
      <t>72</t>
    </r>
  </si>
  <si>
    <t>Name(s) shown on your tax return</t>
  </si>
  <si>
    <t>Your social security number or EIN</t>
  </si>
  <si>
    <t xml:space="preserve"> Investment Income</t>
  </si>
  <si>
    <t>Section 6013(g) election (see instructions)</t>
  </si>
  <si>
    <r>
      <rPr>
        <b/>
        <sz val="10"/>
        <rFont val="Arial"/>
        <family val="2"/>
      </rPr>
      <t>Net investment income.</t>
    </r>
    <r>
      <rPr>
        <sz val="10"/>
        <rFont val="Arial"/>
        <family val="2"/>
      </rPr>
      <t xml:space="preserve"> Generally, net investment income includes gross income from interest, dividends, annuities,</t>
    </r>
  </si>
  <si>
    <t>Section 6013(h) election (see instructions)</t>
  </si>
  <si>
    <t>royalties, and rents, unless they’re derived from the ordinary course of a trade or business that isn’t (a) a passive activity, or</t>
  </si>
  <si>
    <t>Regulations section 1.1411-10(g) election (see instructions)</t>
  </si>
  <si>
    <t xml:space="preserve"> (b) a trade or business of trading in financial instruments or commodities.  (See IRS Form 8960 instructions for more detail.)</t>
  </si>
  <si>
    <t>Taxable interest (see instructions)</t>
  </si>
  <si>
    <t>Ordinary dividends (see instructions)</t>
  </si>
  <si>
    <t>Annuities (see instructions)</t>
  </si>
  <si>
    <t>Adjustment for net income or loss derived in the ordinary course of a non-</t>
  </si>
  <si>
    <t>section 1411 trade or business (see instructions)</t>
  </si>
  <si>
    <t>Combine lines 4a and 4b</t>
  </si>
  <si>
    <t>Net gain or loss from disposition of property (see instructions)</t>
  </si>
  <si>
    <t>Combine lines 5a through 5c</t>
  </si>
  <si>
    <t>Changes to investment income for certain CFCs and PFICs (see instructions)</t>
  </si>
  <si>
    <t>Other modifications to investment income (see instructions)</t>
  </si>
  <si>
    <t>Total investment income. Combine lines 1, 2, 3, 4c, 5d, 6, and 7</t>
  </si>
  <si>
    <t xml:space="preserve">     Investment Expenses Allocable to Investment Income and Modifications</t>
  </si>
  <si>
    <t>Investment interest expenses (see instructions)</t>
  </si>
  <si>
    <t>State, local, and foreign income tax (see instructions)</t>
  </si>
  <si>
    <t>Miscellaneous investment expenses (see instructions)</t>
  </si>
  <si>
    <t>Add lines 9a, 9b, and 9c</t>
  </si>
  <si>
    <t>9d</t>
  </si>
  <si>
    <t>Additional modifications (see instructions)</t>
  </si>
  <si>
    <t>Total deductions and modifications. Add lines 9d and 10</t>
  </si>
  <si>
    <t>Form 1040, Schedule A</t>
  </si>
  <si>
    <t xml:space="preserve">     Tax Computation</t>
  </si>
  <si>
    <t>Line 5a, State &amp; local income taxes</t>
  </si>
  <si>
    <t>Net investment income. Subtract Part II, line 11 from Part I, line 8. Individuals complete lines 13–17.</t>
  </si>
  <si>
    <t>Estates and trusts complete lines 18a–21. If zero or less, enter -0-</t>
  </si>
  <si>
    <t xml:space="preserve"> .   .   .   .   .   .   .   .   .   .   .   .   . </t>
  </si>
  <si>
    <t>Form 8960</t>
  </si>
  <si>
    <t>Individuals:</t>
  </si>
  <si>
    <t>Line 8, Total investment income</t>
  </si>
  <si>
    <t>Modified adjusted gross income (see instructions)</t>
  </si>
  <si>
    <t>Threshold based on filing status (see instructions)</t>
  </si>
  <si>
    <t>Subtract line 14 from line 13. If zero or less, enter -0-</t>
  </si>
  <si>
    <t>Enter the smaller of line 12 or line 15</t>
  </si>
  <si>
    <r>
      <rPr>
        <b/>
        <sz val="11"/>
        <rFont val="Arial"/>
        <family val="2"/>
      </rPr>
      <t>Enter here and include on your tax return</t>
    </r>
    <r>
      <rPr>
        <sz val="11"/>
        <rFont val="Arial"/>
        <family val="2"/>
      </rPr>
      <t xml:space="preserve"> </t>
    </r>
  </si>
  <si>
    <t>Hide
note.</t>
  </si>
  <si>
    <t>Estates and Trusts:</t>
  </si>
  <si>
    <t>Net investment income (line 12 above)</t>
  </si>
  <si>
    <t>Line 13 — MAGI Worksheet</t>
  </si>
  <si>
    <t>Undistributed net investment income. Subtract line 18b from 18a (see</t>
  </si>
  <si>
    <t>1. Enter your Adjusted Gross Income</t>
  </si>
  <si>
    <t xml:space="preserve">instructions). </t>
  </si>
  <si>
    <t>18c</t>
  </si>
  <si>
    <t>Adjusted gross income (see instructions)</t>
  </si>
  <si>
    <t>2. Foreign Earned Income Exclusion:</t>
  </si>
  <si>
    <t>Highest tax bracket for estates and trusts for the year (see instructions)</t>
  </si>
  <si>
    <t>19b</t>
  </si>
  <si>
    <t>Enter your Foreign Earned Income Exclusion (from</t>
  </si>
  <si>
    <t>Subtract line 19b from line 19a.</t>
  </si>
  <si>
    <t>19c</t>
  </si>
  <si>
    <t>Line 42 of Form 2555)</t>
  </si>
  <si>
    <t>Enter the smaller of line 18c or line 19c</t>
  </si>
  <si>
    <t>Enter the deductions reported on Line 44 of Form</t>
  </si>
  <si>
    <t>2555 allocable to your Foreign Earned Income</t>
  </si>
  <si>
    <t>Exclusion</t>
  </si>
  <si>
    <t>Cat. No. 59474M</t>
  </si>
  <si>
    <t>Combine Lines 2(a) and 2(b)</t>
  </si>
  <si>
    <t>3. Adjustments for Certain CFCs and Certain PFICs</t>
  </si>
  <si>
    <t>Download Form 8960</t>
  </si>
  <si>
    <t>4. Enter the sum of Line 1, Line 2(c), and Line 3. (Enter this amount on Form 8960,</t>
  </si>
  <si>
    <t xml:space="preserve">    Line 13.)</t>
  </si>
  <si>
    <t>Download Form 8960 Instructions</t>
  </si>
  <si>
    <t>Please check one box to indicate where you live:</t>
  </si>
  <si>
    <t>Contiguous States or D.C.</t>
  </si>
  <si>
    <r>
      <rPr>
        <b/>
        <sz val="10"/>
        <color theme="0"/>
        <rFont val="Arial"/>
        <family val="2"/>
      </rPr>
      <t>Married filing separately.</t>
    </r>
    <r>
      <rPr>
        <sz val="10"/>
        <color theme="0"/>
        <rFont val="Arial"/>
        <family val="2"/>
      </rPr>
      <t xml:space="preserve"> If you do not qualify for relief from filing a joint return, you cannot take the PTC on a married filing separately return. You are not an applicable taxpayer and must repay some or all APTC. Complete lines 1 through 5 to figure your separate household income as a percentage of the Federal poverty line. Skip lines 6 through 8b and complete lines 9 and 10 (and Part 4, if applicable). When completing line 11 or lines 12 through 23, complete only column F. Then complete the rest of the form to determine how much you must repay.</t>
    </r>
  </si>
  <si>
    <t>Premium Tax Credit (PTC)</t>
  </si>
  <si>
    <r>
      <rPr>
        <b/>
        <sz val="10"/>
        <color theme="0"/>
        <rFont val="Arial"/>
        <family val="2"/>
      </rPr>
      <t>Relief.</t>
    </r>
    <r>
      <rPr>
        <sz val="10"/>
        <color theme="0"/>
        <rFont val="Arial"/>
        <family val="2"/>
      </rPr>
      <t xml:space="preserve"> Check this box if you are filing as </t>
    </r>
    <r>
      <rPr>
        <u/>
        <sz val="10"/>
        <color theme="0"/>
        <rFont val="Arial"/>
        <family val="2"/>
      </rPr>
      <t>married</t>
    </r>
    <r>
      <rPr>
        <sz val="10"/>
        <color theme="0"/>
        <rFont val="Arial"/>
        <family val="2"/>
      </rPr>
      <t xml:space="preserve"> </t>
    </r>
    <r>
      <rPr>
        <u/>
        <sz val="10"/>
        <color theme="0"/>
        <rFont val="Arial"/>
        <family val="2"/>
      </rPr>
      <t>filing</t>
    </r>
    <r>
      <rPr>
        <sz val="10"/>
        <color theme="0"/>
        <rFont val="Arial"/>
        <family val="2"/>
      </rPr>
      <t xml:space="preserve"> </t>
    </r>
    <r>
      <rPr>
        <u/>
        <sz val="10"/>
        <color theme="0"/>
        <rFont val="Arial"/>
        <family val="2"/>
      </rPr>
      <t>separately</t>
    </r>
    <r>
      <rPr>
        <sz val="10"/>
        <color theme="0"/>
        <rFont val="Arial"/>
        <family val="2"/>
      </rPr>
      <t xml:space="preserve"> and you are a victim of domestic abuse or spousal abandonment (see Situation 2 under Married taxpayers). By checking this box, you are certifying that you qualify for relief from filing a joint return with your spouse.</t>
    </r>
  </si>
  <si>
    <t>¬</t>
  </si>
  <si>
    <t>Annual and Monthly Contribution Amount</t>
  </si>
  <si>
    <t>Tax family size. Enter your tax family size (see instructions).</t>
  </si>
  <si>
    <r>
      <rPr>
        <b/>
        <sz val="10"/>
        <rFont val="Arial"/>
        <family val="2"/>
      </rPr>
      <t xml:space="preserve">Line 2a </t>
    </r>
    <r>
      <rPr>
        <sz val="10"/>
        <rFont val="Arial"/>
        <family val="2"/>
      </rPr>
      <t xml:space="preserve">Enter your modified AGI on line 2a. Use the worksheet next to figure your modified AGI from your tax return. </t>
    </r>
  </si>
  <si>
    <t>Modified AGI. Enter your modified AGI (see instructions)</t>
  </si>
  <si>
    <t>Enter the total of your dependents' modified AGI (see instructions)</t>
  </si>
  <si>
    <t>Household income. Add the amounts on lines 2a and 2b (see instructions)</t>
  </si>
  <si>
    <r>
      <t xml:space="preserve">Worksheet 1-1. </t>
    </r>
    <r>
      <rPr>
        <b/>
        <sz val="12"/>
        <rFont val="Arial"/>
        <family val="2"/>
      </rPr>
      <t>Taxpayer's Modified AGI—Line 2a</t>
    </r>
  </si>
  <si>
    <r>
      <t xml:space="preserve">Worksheet 1-2. </t>
    </r>
    <r>
      <rPr>
        <b/>
        <sz val="12"/>
        <rFont val="Arial"/>
        <family val="2"/>
      </rPr>
      <t>Dependents' Combined Modified AGI—Line 2b</t>
    </r>
  </si>
  <si>
    <t>Enter your adjusted gross income (AGI)* from Form 1040,</t>
  </si>
  <si>
    <t>Enter the AGI* for your dependents from Form 1040,</t>
  </si>
  <si>
    <t>Other 48 states and DC</t>
  </si>
  <si>
    <t>Household income as a percentage of federal poverty line (see instructions)</t>
  </si>
  <si>
    <t>Applicable Figure: Using your line 5 percentage, locate your “applicable figure” on the table in the instructions</t>
  </si>
  <si>
    <t>Enter any tax-exempt interest from Form 1040,</t>
  </si>
  <si>
    <t>Enter any tax-exempt interest for your dependents</t>
  </si>
  <si>
    <t>Annual contrib. amt. Multiply line 3 by</t>
  </si>
  <si>
    <t>Monthly contribution amount. Divide line 8a</t>
  </si>
  <si>
    <t>1040-SR, Form 1040-NR, line 2a.  .  .</t>
  </si>
  <si>
    <t>from Form 1040, 1040-SR, or Form 1040-NR,</t>
  </si>
  <si>
    <t>line 7. Round to nearest whole dollar.</t>
  </si>
  <si>
    <t>line 2a.  .  .  .  .  .  .  .  .  .  .  .  .  .  .  .  .  .  .  .  .  .  .  .  .  .  .  .  .</t>
  </si>
  <si>
    <t>Premium Tax Credit Claim and Reconciliation of Advance Payment of Premium Tax Credit</t>
  </si>
  <si>
    <t>Are you allocating policy amounts with another taxpayer or do you want to use the alternative calculation for year of marriage?  See instructions.</t>
  </si>
  <si>
    <t>Enter any amounts from Form 2555,</t>
  </si>
  <si>
    <t>Skip to</t>
  </si>
  <si>
    <r>
      <t>No.</t>
    </r>
    <r>
      <rPr>
        <sz val="10"/>
        <rFont val="Arial"/>
        <family val="2"/>
      </rPr>
      <t xml:space="preserve"> Continue to line 10.</t>
    </r>
  </si>
  <si>
    <t>lines 45 and 50.  .  .  .  .  .  .  .  .  .  .  .  .  .  .  .  .  .  .  .  .</t>
  </si>
  <si>
    <t>Enter any amounts for your dependents from</t>
  </si>
  <si>
    <t>Form 2555, lines 45 and 50.  .  .  .  .  .  .  .  .  .  .  .  .  .  .  .  .  .  .  .  .  .  .  .  .  .  .  .  .</t>
  </si>
  <si>
    <t>See the instructions to determine if you can use line 11 or must complete lines 12 through 23.</t>
  </si>
  <si>
    <r>
      <rPr>
        <b/>
        <sz val="9"/>
        <rFont val="Arial"/>
        <family val="2"/>
      </rPr>
      <t>Form 1040 or 1040-SR filers:</t>
    </r>
    <r>
      <rPr>
        <sz val="9"/>
        <rFont val="Arial"/>
        <family val="2"/>
      </rPr>
      <t xml:space="preserve"> If line 6a is more than</t>
    </r>
  </si>
  <si>
    <t>For each dependent filing Form 1040 or 1040-SR:</t>
  </si>
  <si>
    <t>line 6b, subtract line 6b from line 6a and enter the</t>
  </si>
  <si>
    <t>If line 6a is more than Form 1040, line 6b,</t>
  </si>
  <si>
    <t>Annual
Calculation</t>
  </si>
  <si>
    <r>
      <rPr>
        <b/>
        <sz val="9"/>
        <rFont val="Arial"/>
        <family val="2"/>
      </rPr>
      <t>(a)</t>
    </r>
    <r>
      <rPr>
        <sz val="9"/>
        <rFont val="Arial"/>
        <family val="2"/>
      </rPr>
      <t xml:space="preserve"> Annual enrollment premiums (Form(s) 
1095-A, line 33A)</t>
    </r>
  </si>
  <si>
    <r>
      <rPr>
        <b/>
        <sz val="9"/>
        <rFont val="Arial"/>
        <family val="2"/>
      </rPr>
      <t xml:space="preserve">(b) </t>
    </r>
    <r>
      <rPr>
        <sz val="9"/>
        <rFont val="Arial"/>
        <family val="2"/>
      </rPr>
      <t>Annual applicable 
SLCSP premium 
(Form(s) 1095-A, 
line 33B)</t>
    </r>
  </si>
  <si>
    <r>
      <rPr>
        <b/>
        <sz val="9"/>
        <rFont val="Arial"/>
        <family val="2"/>
      </rPr>
      <t>(c)</t>
    </r>
    <r>
      <rPr>
        <sz val="9"/>
        <rFont val="Arial"/>
        <family val="2"/>
      </rPr>
      <t xml:space="preserve"> Annual 
contribution amount 
(line 8a)</t>
    </r>
  </si>
  <si>
    <r>
      <rPr>
        <b/>
        <sz val="9"/>
        <rFont val="Arial"/>
        <family val="2"/>
      </rPr>
      <t>(d)</t>
    </r>
    <r>
      <rPr>
        <sz val="9"/>
        <rFont val="Arial"/>
        <family val="2"/>
      </rPr>
      <t xml:space="preserve"> Annual maximum 
premium assistance 
(subtract (c) from (b), if
zero or less, enter -0-)</t>
    </r>
  </si>
  <si>
    <r>
      <rPr>
        <b/>
        <sz val="9"/>
        <rFont val="Arial"/>
        <family val="2"/>
      </rPr>
      <t>(e)</t>
    </r>
    <r>
      <rPr>
        <sz val="9"/>
        <rFont val="Arial"/>
        <family val="2"/>
      </rPr>
      <t xml:space="preserve"> Annual premium tax 
credit allowed 
(smaller of (a) or (d))</t>
    </r>
  </si>
  <si>
    <r>
      <rPr>
        <b/>
        <sz val="9"/>
        <rFont val="Arial"/>
        <family val="2"/>
      </rPr>
      <t>(f)</t>
    </r>
    <r>
      <rPr>
        <sz val="9"/>
        <rFont val="Arial"/>
        <family val="2"/>
      </rPr>
      <t xml:space="preserve"> Annual advance 
payment of PTC 
(Form(s) 1095-A, 
line 33C)</t>
    </r>
  </si>
  <si>
    <t>result.  .  .  .  .  .  .  .  .  .  .  .  .  .  .  .  .  .  .  .  .  .  .  .  .  .  .  .  .</t>
  </si>
  <si>
    <t>subtract line 6b from line 6a and enter the result.  .  .  .</t>
  </si>
  <si>
    <t>Add lines 1 through 4. Enter here and on Form 8962,</t>
  </si>
  <si>
    <t xml:space="preserve">Annual Totals </t>
  </si>
  <si>
    <t>11c</t>
  </si>
  <si>
    <t>line 2a.  .  .  .  .  .  .  .  .  .  .  .  .  .  .  .  .  .  .  .  .  .  .  .  .  .  .  .  .  .</t>
  </si>
  <si>
    <t>line 2b</t>
  </si>
  <si>
    <t>Monthly
Calculation</t>
  </si>
  <si>
    <r>
      <rPr>
        <b/>
        <sz val="9"/>
        <rFont val="Arial"/>
        <family val="2"/>
      </rPr>
      <t>(a)</t>
    </r>
    <r>
      <rPr>
        <sz val="9"/>
        <rFont val="Arial"/>
        <family val="2"/>
      </rPr>
      <t xml:space="preserve"> Monthly enrollment premiums (Form(s) 1095-A, lines 21–32, column A)</t>
    </r>
  </si>
  <si>
    <r>
      <rPr>
        <b/>
        <sz val="9"/>
        <rFont val="Arial"/>
        <family val="2"/>
      </rPr>
      <t>(b)</t>
    </r>
    <r>
      <rPr>
        <sz val="9"/>
        <rFont val="Arial"/>
        <family val="2"/>
      </rPr>
      <t xml:space="preserve"> Monthly applicable SLCSP premium (Form(s) 1095-A, lines 21–32, column B)</t>
    </r>
  </si>
  <si>
    <r>
      <rPr>
        <b/>
        <sz val="9"/>
        <rFont val="Arial"/>
        <family val="2"/>
      </rPr>
      <t>(c)</t>
    </r>
    <r>
      <rPr>
        <sz val="9"/>
        <rFont val="Arial"/>
        <family val="2"/>
      </rPr>
      <t xml:space="preserve"> Monthly contribution amount (amount from line 8b or alternative marriage monthly calculation)</t>
    </r>
  </si>
  <si>
    <r>
      <rPr>
        <b/>
        <sz val="9"/>
        <rFont val="Arial"/>
        <family val="2"/>
      </rPr>
      <t>(d)</t>
    </r>
    <r>
      <rPr>
        <sz val="9"/>
        <rFont val="Arial"/>
        <family val="2"/>
      </rPr>
      <t xml:space="preserve"> Monthly maximum premium assistance (subtract (c) from (b), if zero or less, enter -0-)</t>
    </r>
  </si>
  <si>
    <r>
      <rPr>
        <b/>
        <sz val="9"/>
        <rFont val="Arial"/>
        <family val="2"/>
      </rPr>
      <t>(e)</t>
    </r>
    <r>
      <rPr>
        <sz val="9"/>
        <rFont val="Arial"/>
        <family val="2"/>
      </rPr>
      <t xml:space="preserve"> Monthly premium tax credit allowed (smaller of (a) or (d))</t>
    </r>
  </si>
  <si>
    <r>
      <rPr>
        <b/>
        <sz val="9"/>
        <rFont val="Arial"/>
        <family val="2"/>
      </rPr>
      <t>(f)</t>
    </r>
    <r>
      <rPr>
        <sz val="9"/>
        <rFont val="Arial"/>
        <family val="2"/>
      </rPr>
      <t xml:space="preserve"> Monthly advance payment of PTC (Form(s) 1095-A, 
lines 21–32, column C)</t>
    </r>
  </si>
  <si>
    <t>*Only include your dependents who are required to file an income tax return because their income meets the income tax return filing threshold.</t>
  </si>
  <si>
    <t>Worksheet 2 -- Household Income as a Percentage of Poverty Line</t>
  </si>
  <si>
    <t>Amount from Line 3 of Form 8962.</t>
  </si>
  <si>
    <t xml:space="preserve">1. </t>
  </si>
  <si>
    <t>Table 2. 
Applicable Figure</t>
  </si>
  <si>
    <t>16c</t>
  </si>
  <si>
    <t>Amount from Line 4 of Form 8962.</t>
  </si>
  <si>
    <t xml:space="preserve">2. </t>
  </si>
  <si>
    <t xml:space="preserve">3. </t>
  </si>
  <si>
    <t>Is the amount on line 1 more than the amount on line 3?</t>
  </si>
  <si>
    <r>
      <t xml:space="preserve">•  </t>
    </r>
    <r>
      <rPr>
        <b/>
        <sz val="8.5"/>
        <color rgb="FF000000"/>
        <rFont val="Arial"/>
        <family val="2"/>
      </rPr>
      <t>Yes.</t>
    </r>
  </si>
  <si>
    <t>The amount one line 1 is more than 400% of the federal poverty line.</t>
  </si>
  <si>
    <t>Manual &gt;</t>
  </si>
  <si>
    <t>20c</t>
  </si>
  <si>
    <t>Enter 401 here and on line 5 of Form 8962.</t>
  </si>
  <si>
    <t>Line 7</t>
  </si>
  <si>
    <r>
      <t xml:space="preserve">•  </t>
    </r>
    <r>
      <rPr>
        <b/>
        <sz val="8.5"/>
        <color rgb="FF000000"/>
        <rFont val="Arial"/>
        <family val="2"/>
      </rPr>
      <t>No.</t>
    </r>
  </si>
  <si>
    <t>Divide the amount on line 1 above by</t>
  </si>
  <si>
    <t>the amount on line 2 above.  Do not round;</t>
  </si>
  <si>
    <t>instead, multiply this number by 100 (to express</t>
  </si>
  <si>
    <t>it as a percentage) and then drop any numbers</t>
  </si>
  <si>
    <t>after the decimal point.  For example, for 0.9984,</t>
  </si>
  <si>
    <t>Net Premium Tax Credit. If line 24 is greater than line 25, subtract line 25 from line 24. Enter the difference here and</t>
  </si>
  <si>
    <t>enter the result as 99; for 1.8565, enter the</t>
  </si>
  <si>
    <t>on Schedule 3 (Form 1040), line 9. If line 24 equals line 25, enter -0- .</t>
  </si>
  <si>
    <t>Stop here.</t>
  </si>
  <si>
    <t>If line 25 is greater than line 24,</t>
  </si>
  <si>
    <t>result as 185; and for 3.997, enter the result as</t>
  </si>
  <si>
    <t>leave this line blank and continue to line 27</t>
  </si>
  <si>
    <t>399.* Enter the result here and on line 5 of Form</t>
  </si>
  <si>
    <t>Repayment of Excess Advance Payment of the Premium Tax Credit</t>
  </si>
  <si>
    <t>Excess advance payment of PTC. If line 25 is greater than line 24, subtract line 24 from line 25. Enter the difference here</t>
  </si>
  <si>
    <t>Repayment limitation (see instructions)</t>
  </si>
  <si>
    <r>
      <t xml:space="preserve">*If line 4 is below 100, see </t>
    </r>
    <r>
      <rPr>
        <i/>
        <sz val="8.5"/>
        <color rgb="FF000000"/>
        <rFont val="Arial"/>
        <family val="2"/>
      </rPr>
      <t>Household income below 100% of the federal poverty line</t>
    </r>
    <r>
      <rPr>
        <sz val="8.5"/>
        <color rgb="FF000000"/>
        <rFont val="Arial"/>
        <family val="2"/>
      </rPr>
      <t xml:space="preserve"> </t>
    </r>
  </si>
  <si>
    <t>29</t>
  </si>
  <si>
    <t>in the instructions.</t>
  </si>
  <si>
    <t>Cat. No. 37784Z</t>
  </si>
  <si>
    <r>
      <rPr>
        <sz val="8"/>
        <rFont val="Arial"/>
        <family val="2"/>
      </rPr>
      <t xml:space="preserve">Form </t>
    </r>
    <r>
      <rPr>
        <b/>
        <sz val="12"/>
        <rFont val="Arial"/>
        <family val="2"/>
      </rPr>
      <t>8962</t>
    </r>
  </si>
  <si>
    <t>Table 5. Repayment Limitation</t>
  </si>
  <si>
    <t>Line 5 &gt;=</t>
  </si>
  <si>
    <t>Line 5 &lt;</t>
  </si>
  <si>
    <t>Allocation of Policy Amounts</t>
  </si>
  <si>
    <t>Complete the following information for up to four shared policy allocations. See instructions for allocation details.</t>
  </si>
  <si>
    <t>Allocation 1</t>
  </si>
  <si>
    <t>Policy Number (Form 1095-A, line 2)</t>
  </si>
  <si>
    <t>SSN of other taxpayer</t>
  </si>
  <si>
    <t>Allocation start month</t>
  </si>
  <si>
    <t>Allocation stop month</t>
  </si>
  <si>
    <t>400 or more  .   .   .   .   .   .  leave line 28 blank</t>
  </si>
  <si>
    <t>Allocation percentage 
applied to monthly 
amounts</t>
  </si>
  <si>
    <t>(e) Premium Percentage</t>
  </si>
  <si>
    <t>(f) SLCSP Percentage</t>
  </si>
  <si>
    <t>(g) Advance Payment of the PTC
Percentage</t>
  </si>
  <si>
    <t>Year:</t>
  </si>
  <si>
    <t>Tables 1-1, 1-2 &amp; 1-3 Federal Poverty Line</t>
  </si>
  <si>
    <t>Fam. Size</t>
  </si>
  <si>
    <t>Contiguous</t>
  </si>
  <si>
    <t>Allocation 2</t>
  </si>
  <si>
    <t>More</t>
  </si>
  <si>
    <t>Allocation 3</t>
  </si>
  <si>
    <t>https://aspe.hhs.gov/poverty-guidelines</t>
  </si>
  <si>
    <t>Allocation 4</t>
  </si>
  <si>
    <t>Have you completed all policy amount allocations?</t>
  </si>
  <si>
    <t>Multiply the amounts on Form 1095-A by the allocation percentages entered by policy. Add all allocated policy amounts and non-</t>
  </si>
  <si>
    <t>See the instructions to report additional policy amount allocations.</t>
  </si>
  <si>
    <t>Alternative Calculation for Year of Marriage</t>
  </si>
  <si>
    <t>Complete line(s) 35 and/or 36 to elect the alternative calculation for year of marriage. For eligibility to make the election, see instructions for line 9.</t>
  </si>
  <si>
    <t>To complete line(s) 35 and/or 36 and compute the amounts for lines 12–23, see the instructions for this Part V.</t>
  </si>
  <si>
    <t>Alternative entries 
for your SSN</t>
  </si>
  <si>
    <t>Alternative family size</t>
  </si>
  <si>
    <t>Alternative monthly
contribution amount</t>
  </si>
  <si>
    <t>Alternative start month</t>
  </si>
  <si>
    <t>Alternative stop month</t>
  </si>
  <si>
    <t>Alternative entries
for your spouse's 
SSN</t>
  </si>
  <si>
    <r>
      <rPr>
        <sz val="8"/>
        <rFont val="Arial"/>
        <family val="2"/>
      </rPr>
      <t xml:space="preserve">Form </t>
    </r>
    <r>
      <rPr>
        <b/>
        <sz val="14"/>
        <rFont val="Arial"/>
        <family val="2"/>
      </rPr>
      <t>8962</t>
    </r>
  </si>
  <si>
    <t>Download Form 8962</t>
  </si>
  <si>
    <t>Download Form 8962 Instructions</t>
  </si>
  <si>
    <r>
      <t xml:space="preserve"> </t>
    </r>
    <r>
      <rPr>
        <sz val="9"/>
        <rFont val="Arial"/>
        <family val="2"/>
      </rPr>
      <t>Form</t>
    </r>
  </si>
  <si>
    <t>OMB No. 1545-0123</t>
  </si>
  <si>
    <t>Dates</t>
  </si>
  <si>
    <t>Qualified Business Income Deduction</t>
  </si>
  <si>
    <t>Simplified Computation</t>
  </si>
  <si>
    <r>
      <t xml:space="preserve">Go to </t>
    </r>
    <r>
      <rPr>
        <b/>
        <i/>
        <sz val="10"/>
        <rFont val="Arial"/>
        <family val="2"/>
      </rPr>
      <t>www.irs.gov/Form8995</t>
    </r>
    <r>
      <rPr>
        <b/>
        <sz val="10"/>
        <rFont val="Arial"/>
        <family val="2"/>
      </rPr>
      <t xml:space="preserve"> for instructions and the latest information.</t>
    </r>
  </si>
  <si>
    <t xml:space="preserve">  Your taxpayer identifcation number</t>
  </si>
  <si>
    <r>
      <rPr>
        <b/>
        <i/>
        <sz val="11"/>
        <rFont val="Arial"/>
        <family val="2"/>
      </rPr>
      <t>Note.</t>
    </r>
    <r>
      <rPr>
        <i/>
        <sz val="11"/>
        <rFont val="Arial"/>
        <family val="2"/>
      </rPr>
      <t xml:space="preserve"> You can claim the qualified business income deduction </t>
    </r>
    <r>
      <rPr>
        <b/>
        <i/>
        <sz val="11"/>
        <rFont val="Arial"/>
        <family val="2"/>
      </rPr>
      <t>only</t>
    </r>
    <r>
      <rPr>
        <i/>
        <sz val="11"/>
        <rFont val="Arial"/>
        <family val="2"/>
      </rPr>
      <t xml:space="preserve"> if you have qualified business income from a qualified trade or 
business, real estate investment trust dividends, publicly traded partnership income, or a domestic production activities deduction 
passed through from an agricultural or horticultural cooperative. See instructions.</t>
    </r>
  </si>
  <si>
    <t xml:space="preserve">
1</t>
  </si>
  <si>
    <r>
      <rPr>
        <sz val="8"/>
        <rFont val="Arial"/>
        <family val="2"/>
      </rPr>
      <t xml:space="preserve">
</t>
    </r>
    <r>
      <rPr>
        <sz val="10"/>
        <rFont val="Arial"/>
        <family val="2"/>
      </rPr>
      <t>(a)  Trade, business, or aggregation name</t>
    </r>
  </si>
  <si>
    <t>(b)  Taxpayer
identification number</t>
  </si>
  <si>
    <t>(c)  Qualified business
income or (loss)</t>
  </si>
  <si>
    <t>ii</t>
  </si>
  <si>
    <t>iii</t>
  </si>
  <si>
    <t>iv</t>
  </si>
  <si>
    <t>v</t>
  </si>
  <si>
    <t xml:space="preserve">Total qualified business income or (loss). Combine lines 1i through 1v, </t>
  </si>
  <si>
    <t>column (c )</t>
  </si>
  <si>
    <t>Qualified business net (loss) carryforward from the prior year</t>
  </si>
  <si>
    <t>Total qualified business income. Combine lines 2 &amp; 3. If zero or less, enter -0-</t>
  </si>
  <si>
    <t>Qualified REIT dividends and publicly traded partnership (PTP) income or (loss)</t>
  </si>
  <si>
    <t>Qualified REIT dividends and qualified PTP (loss) carryforward from the prior</t>
  </si>
  <si>
    <t>Total qualified REIT dividends and PTP income. Combine lines 6 and 7. If zero</t>
  </si>
  <si>
    <t>or less, enter -0-</t>
  </si>
  <si>
    <t>Qualified business income deduction before the income limitation. Add lines 5 and 9</t>
  </si>
  <si>
    <t>Subtract line 12 from line 11. If zero or less, enter -0-</t>
  </si>
  <si>
    <t>Qualified business income deduction. Enter the lesser of line 10 or line 14. Also enter this amount</t>
  </si>
  <si>
    <t>on the applicable line of your return</t>
  </si>
  <si>
    <t>Total qualified business (loss) carryforward. Combine lines 2 and 3. If greater than zero, enter -0-</t>
  </si>
  <si>
    <t>Total qualified REIT dividends and PTP (loss) carryforward. Combine lines 6 &amp; 7.  If greater than</t>
  </si>
  <si>
    <t>zero, enter -0-</t>
  </si>
  <si>
    <t>For Privacy Act and Paperwork Reduction Act Notice, see instructions.</t>
  </si>
  <si>
    <t>Cat. No. 37806C</t>
  </si>
  <si>
    <r>
      <t xml:space="preserve">Form </t>
    </r>
    <r>
      <rPr>
        <b/>
        <sz val="12"/>
        <rFont val="Arial"/>
        <family val="2"/>
      </rPr>
      <t>8995</t>
    </r>
  </si>
  <si>
    <t>Single, Head of Household, or Qualifying Widow(er)</t>
  </si>
  <si>
    <t>At least</t>
  </si>
  <si>
    <t>But less than</t>
  </si>
  <si>
    <t>No Children</t>
  </si>
  <si>
    <t>One Child</t>
  </si>
  <si>
    <t>Two Children</t>
  </si>
  <si>
    <t>Three Children+</t>
  </si>
  <si>
    <t>At Least</t>
  </si>
  <si>
    <t>But Less Than</t>
  </si>
  <si>
    <t>Married filing          separately</t>
  </si>
  <si>
    <t>Head of household</t>
  </si>
  <si>
    <t>OFFICIAL TAX RATES</t>
  </si>
  <si>
    <t>RATE</t>
  </si>
  <si>
    <t>BOTT</t>
  </si>
  <si>
    <t>BASE</t>
  </si>
  <si>
    <r>
      <t xml:space="preserve">Filing status:  </t>
    </r>
    <r>
      <rPr>
        <b/>
        <sz val="10"/>
        <rFont val="Courier New"/>
        <family val="3"/>
      </rPr>
      <t>Single</t>
    </r>
  </si>
  <si>
    <r>
      <rPr>
        <b/>
        <sz val="10"/>
        <rFont val="Arial"/>
        <family val="2"/>
      </rPr>
      <t>Schedule X</t>
    </r>
    <r>
      <rPr>
        <sz val="10"/>
        <rFont val="Arial"/>
        <family val="2"/>
      </rPr>
      <t xml:space="preserve"> -- If your filing status is </t>
    </r>
    <r>
      <rPr>
        <b/>
        <sz val="10"/>
        <rFont val="Arial"/>
        <family val="2"/>
      </rPr>
      <t>Single</t>
    </r>
  </si>
  <si>
    <t>But Not</t>
  </si>
  <si>
    <t>Rate</t>
  </si>
  <si>
    <t>Bottom of bracket</t>
  </si>
  <si>
    <t>Base amount</t>
  </si>
  <si>
    <t>Additional amount = Rate x (Taxable Income - Bottom of bracket)</t>
  </si>
  <si>
    <t>10% of Taxable Income</t>
  </si>
  <si>
    <r>
      <rPr>
        <b/>
        <sz val="10"/>
        <rFont val="Arial"/>
        <family val="2"/>
      </rPr>
      <t>Schedule Y-1</t>
    </r>
    <r>
      <rPr>
        <sz val="10"/>
        <rFont val="Arial"/>
        <family val="2"/>
      </rPr>
      <t xml:space="preserve"> -- If your filing status is </t>
    </r>
    <r>
      <rPr>
        <b/>
        <sz val="10"/>
        <rFont val="Arial"/>
        <family val="2"/>
      </rPr>
      <t>Married filing jointly</t>
    </r>
    <r>
      <rPr>
        <sz val="10"/>
        <rFont val="Arial"/>
        <family val="2"/>
      </rPr>
      <t xml:space="preserve"> or </t>
    </r>
    <r>
      <rPr>
        <b/>
        <sz val="10"/>
        <rFont val="Arial"/>
        <family val="2"/>
      </rPr>
      <t>Qualifying widow(er)</t>
    </r>
  </si>
  <si>
    <r>
      <t xml:space="preserve">Filing status:  </t>
    </r>
    <r>
      <rPr>
        <b/>
        <sz val="10"/>
        <rFont val="Courier New"/>
        <family val="3"/>
      </rPr>
      <t>Married Filing Jointly</t>
    </r>
  </si>
  <si>
    <t>Enter</t>
  </si>
  <si>
    <t>But Not Over</t>
  </si>
  <si>
    <t>10% of taxable income</t>
  </si>
  <si>
    <r>
      <rPr>
        <b/>
        <sz val="10"/>
        <rFont val="Arial"/>
        <family val="2"/>
      </rPr>
      <t>Schedule Y-2</t>
    </r>
    <r>
      <rPr>
        <sz val="10"/>
        <rFont val="Arial"/>
        <family val="2"/>
      </rPr>
      <t xml:space="preserve"> -- If your filing status is </t>
    </r>
    <r>
      <rPr>
        <b/>
        <sz val="10"/>
        <rFont val="Arial"/>
        <family val="2"/>
      </rPr>
      <t>Married filing separately</t>
    </r>
  </si>
  <si>
    <t>Section C</t>
  </si>
  <si>
    <r>
      <t xml:space="preserve">Filing status:  </t>
    </r>
    <r>
      <rPr>
        <b/>
        <sz val="9"/>
        <rFont val="Courier New"/>
        <family val="3"/>
      </rPr>
      <t>Married Filing Separately</t>
    </r>
  </si>
  <si>
    <t>Section D</t>
  </si>
  <si>
    <r>
      <rPr>
        <b/>
        <sz val="10"/>
        <rFont val="Arial"/>
        <family val="2"/>
      </rPr>
      <t>Schedule Z</t>
    </r>
    <r>
      <rPr>
        <sz val="10"/>
        <rFont val="Arial"/>
        <family val="2"/>
      </rPr>
      <t xml:space="preserve"> -- If your filing status is </t>
    </r>
    <r>
      <rPr>
        <b/>
        <sz val="10"/>
        <rFont val="Arial"/>
        <family val="2"/>
      </rPr>
      <t>Head of household</t>
    </r>
  </si>
  <si>
    <r>
      <t xml:space="preserve">Filing status:  </t>
    </r>
    <r>
      <rPr>
        <b/>
        <sz val="10"/>
        <rFont val="Courier New"/>
        <family val="3"/>
      </rPr>
      <t>Head of Household</t>
    </r>
  </si>
  <si>
    <t>Date &amp; Time</t>
  </si>
  <si>
    <t>Affected Sheet</t>
  </si>
  <si>
    <t>Changes Made</t>
  </si>
  <si>
    <t>http://www.excel1040.com</t>
  </si>
  <si>
    <t>&lt;&lt; Current Revision Date &amp; Time</t>
  </si>
  <si>
    <r>
      <t xml:space="preserve">(b) </t>
    </r>
    <r>
      <rPr>
        <sz val="12"/>
        <rFont val="Arial"/>
        <family val="2"/>
      </rPr>
      <t>Net loss
(line 1b)</t>
    </r>
  </si>
  <si>
    <r>
      <rPr>
        <b/>
        <sz val="12"/>
        <rFont val="Arial"/>
        <family val="2"/>
      </rPr>
      <t>(c)</t>
    </r>
    <r>
      <rPr>
        <sz val="12"/>
        <rFont val="Arial"/>
        <family val="2"/>
      </rPr>
      <t xml:space="preserve"> Unallowed
loss (line 1c)</t>
    </r>
  </si>
  <si>
    <r>
      <t xml:space="preserve">(a) </t>
    </r>
    <r>
      <rPr>
        <sz val="12"/>
        <rFont val="Arial"/>
        <family val="2"/>
      </rPr>
      <t>Net income
(line 1a)</t>
    </r>
  </si>
  <si>
    <r>
      <t xml:space="preserve">Allocation of Unallowed Losses. </t>
    </r>
    <r>
      <rPr>
        <sz val="14"/>
        <rFont val="Arial"/>
        <family val="2"/>
      </rPr>
      <t>See instructions.</t>
    </r>
  </si>
  <si>
    <r>
      <t xml:space="preserve">(a) </t>
    </r>
    <r>
      <rPr>
        <sz val="12"/>
        <rFont val="Arial"/>
        <family val="2"/>
      </rPr>
      <t>Loss</t>
    </r>
  </si>
  <si>
    <r>
      <t>(c)</t>
    </r>
    <r>
      <rPr>
        <sz val="12"/>
        <rFont val="Arial"/>
        <family val="2"/>
      </rPr>
      <t xml:space="preserve"> Allowed loss</t>
    </r>
  </si>
  <si>
    <r>
      <rPr>
        <b/>
        <sz val="12"/>
        <rFont val="Arial"/>
        <family val="2"/>
      </rPr>
      <t>(b)</t>
    </r>
    <r>
      <rPr>
        <sz val="12"/>
        <rFont val="Arial"/>
        <family val="2"/>
      </rPr>
      <t xml:space="preserve"> Unallowed loss</t>
    </r>
  </si>
  <si>
    <t>Activities With Losses Reported on Two or More Forms or Schedules.</t>
  </si>
  <si>
    <t>Name of activity:</t>
  </si>
  <si>
    <r>
      <t>(c)</t>
    </r>
    <r>
      <rPr>
        <sz val="12"/>
        <rFont val="Arial"/>
        <family val="2"/>
      </rPr>
      <t xml:space="preserve"> Ratio</t>
    </r>
  </si>
  <si>
    <r>
      <rPr>
        <b/>
        <sz val="12"/>
        <rFont val="Arial"/>
        <family val="2"/>
      </rPr>
      <t xml:space="preserve">(d) </t>
    </r>
    <r>
      <rPr>
        <sz val="12"/>
        <rFont val="Arial"/>
        <family val="2"/>
      </rPr>
      <t>Unallowed
loss</t>
    </r>
  </si>
  <si>
    <r>
      <t>(e)</t>
    </r>
    <r>
      <rPr>
        <sz val="12"/>
        <rFont val="Arial"/>
        <family val="2"/>
      </rPr>
      <t xml:space="preserve"> Allowed
loss</t>
    </r>
  </si>
  <si>
    <t>Net loss plus prior year unnallowed</t>
  </si>
  <si>
    <t>loss from form or schedule</t>
  </si>
  <si>
    <t>Form or schedule and line number to</t>
  </si>
  <si>
    <t>be reported on (see instructions):</t>
  </si>
  <si>
    <t>Subtract line 1b from line 1a. If zero or less, enter -0-</t>
  </si>
  <si>
    <t>Net income from form or schedule</t>
  </si>
  <si>
    <r>
      <rPr>
        <b/>
        <i/>
        <sz val="12"/>
        <rFont val="Arial"/>
        <family val="2"/>
      </rPr>
      <t>Allowance for Rental Real Estate Activities</t>
    </r>
    <r>
      <rPr>
        <sz val="12"/>
        <rFont val="Arial"/>
        <family val="2"/>
      </rPr>
      <t xml:space="preserve"> in the instructions.)</t>
    </r>
  </si>
  <si>
    <r>
      <t xml:space="preserve">Allowed Losses. </t>
    </r>
    <r>
      <rPr>
        <sz val="14"/>
        <rFont val="Arial"/>
        <family val="2"/>
      </rPr>
      <t>See instructions.</t>
    </r>
  </si>
  <si>
    <r>
      <t xml:space="preserve">Total.  </t>
    </r>
    <r>
      <rPr>
        <sz val="12"/>
        <rFont val="Arial"/>
        <family val="2"/>
      </rPr>
      <t>Enter on Part I, lines 2a, 2b, and 2c</t>
    </r>
  </si>
  <si>
    <t>Combine lines 2a, 2b, and 2c</t>
  </si>
  <si>
    <r>
      <rPr>
        <b/>
        <sz val="12"/>
        <rFont val="Arial"/>
        <family val="2"/>
      </rPr>
      <t>Note:</t>
    </r>
    <r>
      <rPr>
        <sz val="12"/>
        <rFont val="Arial"/>
        <family val="2"/>
      </rPr>
      <t xml:space="preserve"> If line 6 is greater than or equal to line 5, skip lines 7 and 8 and enter -0-</t>
    </r>
  </si>
  <si>
    <r>
      <t xml:space="preserve">Enter the </t>
    </r>
    <r>
      <rPr>
        <b/>
        <sz val="12"/>
        <rFont val="Arial"/>
        <family val="2"/>
      </rPr>
      <t>smaller</t>
    </r>
    <r>
      <rPr>
        <sz val="12"/>
        <rFont val="Arial"/>
        <family val="2"/>
      </rPr>
      <t xml:space="preserve"> of the loss on line 1d or the loss on line 3</t>
    </r>
  </si>
  <si>
    <r>
      <t xml:space="preserve">(For definition of active participation, see </t>
    </r>
    <r>
      <rPr>
        <b/>
        <i/>
        <sz val="12"/>
        <rFont val="Arial"/>
        <family val="2"/>
      </rPr>
      <t>Special</t>
    </r>
  </si>
  <si>
    <r>
      <rPr>
        <b/>
        <sz val="12"/>
        <rFont val="Arial"/>
        <family val="2"/>
      </rPr>
      <t>Note:</t>
    </r>
    <r>
      <rPr>
        <sz val="12"/>
        <rFont val="Arial"/>
        <family val="2"/>
      </rPr>
      <t xml:space="preserve"> Enter all numbers in Part II as positive amounts. See instructions for an example.</t>
    </r>
  </si>
  <si>
    <t>Overall</t>
  </si>
  <si>
    <t>1. Adjusted Gross Income (1040, line 11)</t>
  </si>
  <si>
    <r>
      <t xml:space="preserve">• </t>
    </r>
    <r>
      <rPr>
        <sz val="9.5"/>
        <color rgb="FF221E1F"/>
        <rFont val="Arial"/>
        <family val="2"/>
      </rPr>
      <t>Any overall loss from a PTP,</t>
    </r>
  </si>
  <si>
    <t>• The deduction allowed for the deductible part of self-employment taxes,</t>
  </si>
  <si>
    <t>• Deductible contributions to traditional individual retirement accounts (IRAs) and section 501(c)(18) pension plans,</t>
  </si>
  <si>
    <t>• The exclusion of amounts received under an employer's adoption assistance program,</t>
  </si>
  <si>
    <t>• The student loan interest deduction, or</t>
  </si>
  <si>
    <t>• The deduction allowed for foreign-derived intangible income and global intangible low-taxed income.</t>
  </si>
  <si>
    <t>• The taxable amount of social security and tier 1 railroad retirement benefits,</t>
  </si>
  <si>
    <t>• Any rental real estate loss allowed to real estate professionals</t>
  </si>
  <si>
    <t>• Passive income or loss included on Form 8582,</t>
  </si>
  <si>
    <t>except for:</t>
  </si>
  <si>
    <t>(Check both for 'Both')</t>
  </si>
  <si>
    <t>8582</t>
  </si>
  <si>
    <t>Form, 8582, Passive Activity Loss Limitations</t>
  </si>
  <si>
    <t>Modified Adjusted Gross Income  &gt; Part II, line 6</t>
  </si>
  <si>
    <t>Part VII, Column (c) Computation</t>
  </si>
  <si>
    <t>of Form 8582</t>
  </si>
  <si>
    <t>Enter as a positive amount, Part I, line 3,</t>
  </si>
  <si>
    <t>Enter Part II, line 9, of Form 8582</t>
  </si>
  <si>
    <t>Subtract line B from line A</t>
  </si>
  <si>
    <t>Multiply each ratio in column (b) by the amount on line C above,</t>
  </si>
  <si>
    <t>and enter the result in column (c).</t>
  </si>
  <si>
    <r>
      <t xml:space="preserve">Complete This Part Before Part I, Lines 2a, 2b, and 2c. </t>
    </r>
    <r>
      <rPr>
        <sz val="14"/>
        <rFont val="Arial"/>
        <family val="2"/>
      </rPr>
      <t>See instructions.</t>
    </r>
  </si>
  <si>
    <t>Form 8582 - Modified Adjusted Gross Income Worksheet - Line 6</t>
  </si>
  <si>
    <t>Enter all numbers in this calculation as positive amounts (greater than zero)</t>
  </si>
  <si>
    <t>Enter the loss from Part I, line 3</t>
  </si>
  <si>
    <t>smaller of Part II, line 4 or line 8</t>
  </si>
  <si>
    <t>Reduce line B by the amount of the</t>
  </si>
  <si>
    <t>prior unallowed CRD (as a positive</t>
  </si>
  <si>
    <t>amount), the amount on line A, or the</t>
  </si>
  <si>
    <t>amount on line C</t>
  </si>
  <si>
    <t>your spouse lived apart at all times during the year.</t>
  </si>
  <si>
    <t>or line 8) on line A if you’re married but filing a separate return and you and</t>
  </si>
  <si>
    <t>• The exclusion from income of interest from series EE and I U.S. savings bonds used to 
pay higher education expenses,</t>
  </si>
  <si>
    <t>any, of the smaller of Part II, line 4 or</t>
  </si>
  <si>
    <t>line 8.</t>
  </si>
  <si>
    <t>Enter the smallest of the amount of the prior</t>
  </si>
  <si>
    <t>Unallowed CRDs</t>
  </si>
  <si>
    <t>Prior year</t>
  </si>
  <si>
    <t>If line 1d of Part I is zero or more, and line 3 is a loss, complete this Worksheet and enter the result on line 9 as described below.
The remaining portion of the $25,000 allowance, if any, is available for the prior year unallowed CRD from rental real estate activities. Use the Worksheet to figure the maximum amount of prior year unallowed CRD allowed from rental real estate activities.</t>
  </si>
  <si>
    <t>Combine line D with the smaller of Line 4 or line 8 and enter the combined amount on line 9. Enter "CRD" and the dollar amount of the special allowance for CRD on the dotted line.</t>
  </si>
  <si>
    <r>
      <t xml:space="preserve">Check here to hide </t>
    </r>
    <r>
      <rPr>
        <b/>
        <sz val="9"/>
        <color theme="4" tint="-0.249977111117893"/>
        <rFont val="Arial"/>
        <family val="2"/>
      </rPr>
      <t>Social Security numbers</t>
    </r>
    <r>
      <rPr>
        <b/>
        <sz val="9"/>
        <color rgb="FF008000"/>
        <rFont val="Arial"/>
        <family val="2"/>
      </rPr>
      <t xml:space="preserve"> on forms.</t>
    </r>
  </si>
  <si>
    <t>see instructions</t>
  </si>
  <si>
    <t>Recapture of federal mortgage subsidy. If you sold your home</t>
  </si>
  <si>
    <t>Form 8889, line 17b</t>
  </si>
  <si>
    <t>Residential energy credit.  Attach Form 5695, line 15</t>
  </si>
  <si>
    <t>Energy efficient home improvement credit from Form 5695, line 32</t>
  </si>
  <si>
    <t>Credit for previously owned clean vehicles. Attach Form 8936</t>
  </si>
  <si>
    <t xml:space="preserve">.   .   .   </t>
  </si>
  <si>
    <t>Clergy or Church Emp. Income</t>
  </si>
  <si>
    <r>
      <t xml:space="preserve">Multiply  the  </t>
    </r>
    <r>
      <rPr>
        <b/>
        <sz val="10"/>
        <rFont val="Arial"/>
        <family val="2"/>
      </rPr>
      <t>smaller</t>
    </r>
    <r>
      <rPr>
        <sz val="10"/>
        <rFont val="Arial"/>
        <family val="2"/>
      </rPr>
      <t xml:space="preserve">  of  line 6 or line 9 by</t>
    </r>
  </si>
  <si>
    <t>Line 8d</t>
  </si>
  <si>
    <t>Line 9</t>
  </si>
  <si>
    <t>You Paid</t>
  </si>
  <si>
    <r>
      <rPr>
        <b/>
        <sz val="8"/>
        <rFont val="Arial"/>
        <family val="2"/>
      </rPr>
      <t>Caution:</t>
    </r>
    <r>
      <rPr>
        <sz val="8"/>
        <rFont val="Arial"/>
        <family val="2"/>
      </rPr>
      <t xml:space="preserve"> If you 
made a gift and
got a benefit for it, 
see instructions.</t>
    </r>
  </si>
  <si>
    <t>deduction, check this box</t>
  </si>
  <si>
    <t>line 2b.)</t>
  </si>
  <si>
    <t>Form 1040,</t>
  </si>
  <si>
    <t>interest first. Also, show that buyer’s social security number and address:</t>
  </si>
  <si>
    <t>line 3b.)</t>
  </si>
  <si>
    <r>
      <t xml:space="preserve">account; or </t>
    </r>
    <r>
      <rPr>
        <b/>
        <sz val="10"/>
        <rFont val="Arial"/>
        <family val="2"/>
      </rPr>
      <t>(c)</t>
    </r>
    <r>
      <rPr>
        <sz val="10"/>
        <rFont val="Arial"/>
        <family val="2"/>
      </rPr>
      <t xml:space="preserve"> received a distribution from, or were a grantor of, or a transferor to, a foreign trust.</t>
    </r>
  </si>
  <si>
    <r>
      <t>(b)</t>
    </r>
    <r>
      <rPr>
        <sz val="10"/>
        <rFont val="Arial"/>
        <family val="2"/>
      </rPr>
      <t xml:space="preserve"> had a foreign</t>
    </r>
  </si>
  <si>
    <r>
      <t xml:space="preserve">You  must  complete  this  part if you  </t>
    </r>
    <r>
      <rPr>
        <b/>
        <sz val="10"/>
        <rFont val="Arial"/>
        <family val="2"/>
      </rPr>
      <t>(a)</t>
    </r>
    <r>
      <rPr>
        <sz val="10"/>
        <rFont val="Arial"/>
        <family val="2"/>
      </rPr>
      <t xml:space="preserve"> had over</t>
    </r>
  </si>
  <si>
    <t xml:space="preserve">.   .   .   .   .   .   .   .   .   .   .   .   .   .   .   .   .   .   .   .   .   .   .   .   .   .   .   .   .   .   .   </t>
  </si>
  <si>
    <t>Energy efficient commercial bldgs</t>
  </si>
  <si>
    <t>deduction (attach Form 7205)</t>
  </si>
  <si>
    <t>Deductible meals (see instructions)</t>
  </si>
  <si>
    <t>Deductible meals (see instructions</t>
  </si>
  <si>
    <t>deduction (not included in Part III</t>
  </si>
  <si>
    <r>
      <t>Total expenses</t>
    </r>
    <r>
      <rPr>
        <sz val="10"/>
        <rFont val="Arial"/>
        <family val="2"/>
      </rPr>
      <t xml:space="preserve"> before expenses for business use of home.  Add lines 8 through 27b</t>
    </r>
  </si>
  <si>
    <r>
      <rPr>
        <b/>
        <sz val="11"/>
        <rFont val="Arial"/>
        <family val="2"/>
      </rPr>
      <t xml:space="preserve">   Cost of Goods Sold </t>
    </r>
    <r>
      <rPr>
        <sz val="11"/>
        <rFont val="Arial"/>
        <family val="2"/>
      </rPr>
      <t xml:space="preserve"> (see instructions)</t>
    </r>
  </si>
  <si>
    <t>alien. Also, do not include anyone you included on line 4.</t>
  </si>
  <si>
    <r>
      <rPr>
        <b/>
        <sz val="11"/>
        <rFont val="Cambria"/>
        <family val="1"/>
        <scheme val="major"/>
      </rPr>
      <t>Caution:</t>
    </r>
    <r>
      <rPr>
        <sz val="11"/>
        <rFont val="Cambria"/>
        <family val="1"/>
        <scheme val="major"/>
      </rPr>
      <t xml:space="preserve"> Do not include yourself, your spouse, or anyone who is not a U.S. citizen, U.S. national, or U.S. resident</t>
    </r>
  </si>
  <si>
    <t>Enter the amount from line 10 on line 12 and</t>
  </si>
  <si>
    <t>go to line 13.</t>
  </si>
  <si>
    <r>
      <t xml:space="preserve">For more details on what to include on line 11, see </t>
    </r>
    <r>
      <rPr>
        <sz val="10"/>
        <rFont val="Arial"/>
        <family val="2"/>
      </rPr>
      <t>Figure Your Credit</t>
    </r>
    <r>
      <rPr>
        <i/>
        <sz val="10"/>
        <rFont val="Arial"/>
        <family val="2"/>
      </rPr>
      <t xml:space="preserve"> in the instructions.</t>
    </r>
  </si>
  <si>
    <r>
      <t xml:space="preserve">If you completed line 11, enter the </t>
    </r>
    <r>
      <rPr>
        <b/>
        <sz val="10"/>
        <rFont val="Arial"/>
        <family val="2"/>
      </rPr>
      <t>smaller</t>
    </r>
    <r>
      <rPr>
        <sz val="10"/>
        <rFont val="Arial"/>
        <family val="2"/>
      </rPr>
      <t xml:space="preserve"> of line 10 or line 11. </t>
    </r>
    <r>
      <rPr>
        <b/>
        <sz val="10"/>
        <rFont val="Arial"/>
        <family val="2"/>
      </rPr>
      <t>All others</t>
    </r>
    <r>
      <rPr>
        <sz val="10"/>
        <rFont val="Arial"/>
        <family val="2"/>
      </rPr>
      <t>, enter the</t>
    </r>
  </si>
  <si>
    <r>
      <rPr>
        <b/>
        <sz val="10"/>
        <rFont val="Arial"/>
        <family val="2"/>
      </rPr>
      <t>Credit for the elderly or the disabled.</t>
    </r>
    <r>
      <rPr>
        <sz val="10"/>
        <rFont val="Arial"/>
        <family val="2"/>
      </rPr>
      <t xml:space="preserve"> Enter the </t>
    </r>
    <r>
      <rPr>
        <b/>
        <sz val="10"/>
        <rFont val="Arial"/>
        <family val="2"/>
      </rPr>
      <t>smaller</t>
    </r>
    <r>
      <rPr>
        <sz val="10"/>
        <rFont val="Arial"/>
        <family val="2"/>
      </rPr>
      <t xml:space="preserve"> of line 20 or line 21. Also enter</t>
    </r>
  </si>
  <si>
    <r>
      <t xml:space="preserve">If zero or less, </t>
    </r>
    <r>
      <rPr>
        <b/>
        <sz val="10"/>
        <rFont val="Arial"/>
        <family val="2"/>
      </rPr>
      <t>stop</t>
    </r>
    <r>
      <rPr>
        <sz val="10"/>
        <rFont val="Arial"/>
        <family val="2"/>
      </rPr>
      <t xml:space="preserve">; you </t>
    </r>
    <r>
      <rPr>
        <b/>
        <sz val="10"/>
        <rFont val="Arial"/>
        <family val="2"/>
      </rPr>
      <t>can’t</t>
    </r>
    <r>
      <rPr>
        <sz val="10"/>
        <rFont val="Arial"/>
        <family val="2"/>
      </rPr>
      <t xml:space="preserve"> take the credit.</t>
    </r>
  </si>
  <si>
    <t>tax year (see instructions)</t>
  </si>
  <si>
    <r>
      <t xml:space="preserve">Were you covered by a retirement plan (see </t>
    </r>
    <r>
      <rPr>
        <i/>
        <sz val="11"/>
        <rFont val="Arial"/>
        <family val="2"/>
      </rPr>
      <t>Were You Covered by a</t>
    </r>
  </si>
  <si>
    <r>
      <t>Next.</t>
    </r>
    <r>
      <rPr>
        <sz val="11"/>
        <rFont val="Arial"/>
        <family val="2"/>
      </rPr>
      <t xml:space="preserve"> If you checked “No” on line 1a (and “No” on line 1b if married filing jointly), </t>
    </r>
  </si>
  <si>
    <r>
      <t>For more details, see Pub. 590-A</t>
    </r>
    <r>
      <rPr>
        <b/>
        <sz val="11"/>
        <rFont val="Arial"/>
        <family val="2"/>
      </rPr>
      <t xml:space="preserve">.   .   .   .   .   .   .   .   .   .   .   .   .   .   .   .   .   .   .   .   .   .   . </t>
    </r>
  </si>
  <si>
    <r>
      <t xml:space="preserve">On line 12a, enter the </t>
    </r>
    <r>
      <rPr>
        <b/>
        <sz val="11"/>
        <rFont val="Arial"/>
        <family val="2"/>
      </rPr>
      <t>smallest</t>
    </r>
    <r>
      <rPr>
        <sz val="11"/>
        <rFont val="Arial"/>
        <family val="2"/>
      </rPr>
      <t xml:space="preserve"> of line 7a, 10, or 11a. On line 12b, enter the</t>
    </r>
  </si>
  <si>
    <r>
      <rPr>
        <b/>
        <sz val="11"/>
        <rFont val="Arial"/>
        <family val="2"/>
      </rPr>
      <t>smallest</t>
    </r>
    <r>
      <rPr>
        <sz val="11"/>
        <rFont val="Arial"/>
        <family val="2"/>
      </rPr>
      <t xml:space="preserve"> of line 7b, 10, or 11b. This is the most you can deduct. Add the amounts on lines 12a</t>
    </r>
  </si>
  <si>
    <t>Subtract line 5 from line 2 in each column.  Follow the instruction below</t>
  </si>
  <si>
    <r>
      <t xml:space="preserve">Single, head of household, or married filing separately and you </t>
    </r>
    <r>
      <rPr>
        <b/>
        <sz val="11"/>
        <rFont val="Arial"/>
        <family val="2"/>
      </rPr>
      <t>lived apart</t>
    </r>
  </si>
  <si>
    <t xml:space="preserve">    on net capital gain and qualified dividends in certain situations.</t>
  </si>
  <si>
    <t xml:space="preserve">    the same person.</t>
  </si>
  <si>
    <r>
      <rPr>
        <b/>
        <sz val="10"/>
        <rFont val="Arial"/>
        <family val="2"/>
      </rPr>
      <t>No.</t>
    </r>
    <r>
      <rPr>
        <sz val="10"/>
        <rFont val="Arial"/>
        <family val="2"/>
      </rPr>
      <t xml:space="preserve">  Go to Step 3.</t>
    </r>
  </si>
  <si>
    <t>If you and your spouse both received Medicaid waiver payments during the year, you and your spouse can make different choices about including the full amount of your payments in earned income. Enter only the amount of Medicaid waiver payments that you or your spouse, if filing a joint return, do not want to include in earned income. To include all nontaxable Medicaid waiver payment amounts in earned income, enter -0-.</t>
  </si>
  <si>
    <t>This is your earned income.</t>
  </si>
  <si>
    <t>Add lines 3 and 4.</t>
  </si>
  <si>
    <t>your employer withheld or you paid Additional Medicare Tax or tier 1 RRTA taxes, or</t>
  </si>
  <si>
    <t>if you are a bona fide resident of Puerto Rico, see instructions</t>
  </si>
  <si>
    <r>
      <rPr>
        <b/>
        <sz val="9"/>
        <rFont val="Arial"/>
        <family val="2"/>
      </rPr>
      <t>Schedule 3,</t>
    </r>
    <r>
      <rPr>
        <sz val="9"/>
        <rFont val="Arial"/>
        <family val="2"/>
      </rPr>
      <t xml:space="preserve"> line 5b</t>
    </r>
  </si>
  <si>
    <r>
      <rPr>
        <b/>
        <sz val="9"/>
        <rFont val="Arial"/>
        <family val="2"/>
      </rPr>
      <t>Schedule 3,</t>
    </r>
    <r>
      <rPr>
        <sz val="9"/>
        <rFont val="Arial"/>
        <family val="2"/>
      </rPr>
      <t xml:space="preserve"> line 6m</t>
    </r>
  </si>
  <si>
    <t>6m</t>
  </si>
  <si>
    <r>
      <t xml:space="preserve">Complete the Credit Limit Worksheet B </t>
    </r>
    <r>
      <rPr>
        <b/>
        <sz val="10"/>
        <color theme="4" tint="-0.249977111117893"/>
        <rFont val="Arial"/>
        <family val="2"/>
      </rPr>
      <t xml:space="preserve">only </t>
    </r>
    <r>
      <rPr>
        <sz val="10"/>
        <color theme="4" tint="-0.249977111117893"/>
        <rFont val="Arial"/>
        <family val="2"/>
      </rPr>
      <t>if you meet all of the following:</t>
    </r>
  </si>
  <si>
    <r>
      <rPr>
        <b/>
        <sz val="9"/>
        <rFont val="Arial"/>
        <family val="2"/>
      </rPr>
      <t>1040-NR filers.</t>
    </r>
    <r>
      <rPr>
        <sz val="9"/>
        <rFont val="Arial"/>
        <family val="2"/>
      </rPr>
      <t xml:space="preserve"> Complete Schedule 2, lines 5, 6, and 13; and Schedule 3, line 11</t>
    </r>
  </si>
  <si>
    <r>
      <rPr>
        <b/>
        <sz val="9"/>
        <rFont val="Arial"/>
        <family val="2"/>
      </rPr>
      <t>Caution.</t>
    </r>
    <r>
      <rPr>
        <i/>
        <sz val="9"/>
        <rFont val="Arial"/>
        <family val="2"/>
      </rPr>
      <t xml:space="preserve"> Use this worksheet only if you meet each of the items discussed under line 3 of Credit Limit Worksheet A,</t>
    </r>
  </si>
  <si>
    <t>enter -0- on line 11, and go to line 12.</t>
  </si>
  <si>
    <t xml:space="preserve">Otherwise, leave lines 7 through 10 blank, </t>
  </si>
  <si>
    <t>*If your employer withheld or you paid Additional Medicare Tax or Tier 1 RRTA</t>
  </si>
  <si>
    <t>Worksheet to figure the amount to enter; otherwise enter</t>
  </si>
  <si>
    <t>the total of the following amounts</t>
  </si>
  <si>
    <t>Social security tax withheld from Form(s) W-2, box 4,</t>
  </si>
  <si>
    <t>and Puerto Rico Form(s) 499-R2/W-2PR, box 21, and</t>
  </si>
  <si>
    <t>Puerto Rico Form(s) 499R-2/W-2PR, box 23.</t>
  </si>
  <si>
    <t>Medicare tax withheld from Form(s) W-2, box 6, and</t>
  </si>
  <si>
    <t>*If married filing jointly, include your spouse’s amounts with yours when completing lines 7 and 8.</t>
  </si>
  <si>
    <t>*Enter the total of any amounts from—</t>
  </si>
  <si>
    <t>Add lines 7 and 8. Enter the total</t>
  </si>
  <si>
    <r>
      <t>Credit Limit Worksheet B—</t>
    </r>
    <r>
      <rPr>
        <b/>
        <i/>
        <sz val="12"/>
        <rFont val="Arial"/>
        <family val="2"/>
      </rPr>
      <t>Continued</t>
    </r>
  </si>
  <si>
    <t>Subtract line 10 from line 9. If the result is zero or less, enter -0-</t>
  </si>
  <si>
    <r>
      <rPr>
        <b/>
        <sz val="9"/>
        <rFont val="Arial"/>
        <family val="2"/>
      </rPr>
      <t>Schedule 3</t>
    </r>
    <r>
      <rPr>
        <sz val="9"/>
        <rFont val="Arial"/>
        <family val="2"/>
      </rPr>
      <t>, line 6h</t>
    </r>
  </si>
  <si>
    <r>
      <rPr>
        <b/>
        <sz val="9"/>
        <rFont val="Arial"/>
        <family val="2"/>
      </rPr>
      <t>Schedule 3</t>
    </r>
    <r>
      <rPr>
        <sz val="9"/>
        <rFont val="Arial"/>
        <family val="2"/>
      </rPr>
      <t>, line 6g, and</t>
    </r>
  </si>
  <si>
    <r>
      <rPr>
        <b/>
        <sz val="9"/>
        <rFont val="Arial"/>
        <family val="2"/>
      </rPr>
      <t>Schedule 3</t>
    </r>
    <r>
      <rPr>
        <sz val="9"/>
        <rFont val="Arial"/>
        <family val="2"/>
      </rPr>
      <t>, line 5a</t>
    </r>
  </si>
  <si>
    <t>including that you are not filing Form 2555.</t>
  </si>
  <si>
    <t>Gain from Form 4797, Part I; long-term gain from Forms 2439 and 6252; and long-term gain or (loss)</t>
  </si>
  <si>
    <t xml:space="preserve">from Forms 4684, 6781, and 8824 </t>
  </si>
  <si>
    <t xml:space="preserve"> .   .   .   .   .   .   .   .   .   .   .   .   .   .   .   .   .   .   .   .   .   .   .   .   .   .   .  </t>
  </si>
  <si>
    <t>the back</t>
  </si>
  <si>
    <r>
      <t>Note:</t>
    </r>
    <r>
      <rPr>
        <sz val="11"/>
        <rFont val="Arial"/>
        <family val="2"/>
      </rPr>
      <t xml:space="preserve"> When figuring which amount is smaller, treat both amounts as positive numbers.</t>
    </r>
  </si>
  <si>
    <r>
      <t>No.</t>
    </r>
    <r>
      <rPr>
        <sz val="11"/>
        <rFont val="Arial"/>
        <family val="2"/>
      </rPr>
      <t xml:space="preserve">  Complete the rest of Form 1040, 1040-SR, or 1040-NR.</t>
    </r>
  </si>
  <si>
    <t>instructions for Form 1040 or 1040-SR, line 16.</t>
  </si>
  <si>
    <r>
      <t xml:space="preserve">Yes.  </t>
    </r>
    <r>
      <rPr>
        <sz val="11"/>
        <rFont val="Arial"/>
        <family val="2"/>
      </rPr>
      <t xml:space="preserve">Complete the </t>
    </r>
    <r>
      <rPr>
        <b/>
        <sz val="11"/>
        <rFont val="Arial"/>
        <family val="2"/>
      </rPr>
      <t>Qualified Dividends and Capital Gain Tax Worksheet</t>
    </r>
    <r>
      <rPr>
        <sz val="11"/>
        <rFont val="Arial"/>
        <family val="2"/>
      </rPr>
      <t xml:space="preserve"> in the</t>
    </r>
  </si>
  <si>
    <t>Part II, with code “Q” in column (f), that is 50% of the gain;</t>
  </si>
  <si>
    <t>8949, Part II, with code “Q” in column (f), that is 60% of the gain; and</t>
  </si>
  <si>
    <t>8949, Part II, with code “Q” in column (f), that is 75% of the gain.</t>
  </si>
  <si>
    <t>F8949 losses allocable to the business</t>
  </si>
  <si>
    <t>but not to business use of home</t>
  </si>
  <si>
    <t>If “Yes,” did you or will you file all required Form(s) 1099?</t>
  </si>
  <si>
    <t>If "Yes," did you or will you file all required Form(s) 1099?</t>
  </si>
  <si>
    <t xml:space="preserve">6d </t>
  </si>
  <si>
    <t xml:space="preserve"> .    .    .   .   .   .   .   </t>
  </si>
  <si>
    <t>Inventory of livestock, produce, grains, and other products at beginning of the year.</t>
  </si>
  <si>
    <t>Do not include sales reported on Form 4797</t>
  </si>
  <si>
    <t>Do not file Schedule F (Form 1040) to report the</t>
  </si>
  <si>
    <t>following.</t>
  </si>
  <si>
    <t>soil preparation, veterinary, farm labor, horticultural services</t>
  </si>
  <si>
    <t>if your principal source of income is from providing such services.</t>
  </si>
  <si>
    <t>Instead, see the Instructions for Schedule C (Form 1040).</t>
  </si>
  <si>
    <t>(Form 1040).</t>
  </si>
  <si>
    <t>other pet animals. Instead, see the Instructions for Schedule C</t>
  </si>
  <si>
    <t>• Income from managing a farm for a fee or on a contract basis.</t>
  </si>
  <si>
    <t>purposes. Instead, see the Instructions for Form 4797.</t>
  </si>
  <si>
    <t xml:space="preserve">Attach to Form 1040, 1040-SR,  1040-SS, or  1040NR.   </t>
  </si>
  <si>
    <r>
      <t xml:space="preserve">Go to </t>
    </r>
    <r>
      <rPr>
        <b/>
        <i/>
        <sz val="9"/>
        <rFont val="Arial"/>
        <family val="2"/>
      </rPr>
      <t>www.irs.gov/ScheduleSE</t>
    </r>
    <r>
      <rPr>
        <b/>
        <sz val="9"/>
        <rFont val="Arial"/>
        <family val="2"/>
      </rPr>
      <t xml:space="preserve"> for instructions and the latest information.</t>
    </r>
  </si>
  <si>
    <t>Form 1040-SS, Part I, line 3</t>
  </si>
  <si>
    <r>
      <rPr>
        <b/>
        <sz val="10"/>
        <rFont val="Arial"/>
        <family val="2"/>
      </rPr>
      <t>Self-employment tax.</t>
    </r>
    <r>
      <rPr>
        <sz val="10"/>
        <rFont val="Arial"/>
        <family val="2"/>
      </rPr>
      <t xml:space="preserve"> Add lines 10 and 11. Enter here and on </t>
    </r>
    <r>
      <rPr>
        <b/>
        <sz val="10"/>
        <rFont val="Arial"/>
        <family val="2"/>
      </rPr>
      <t>Schedule 2 (Form 1040), line 4</t>
    </r>
    <r>
      <rPr>
        <sz val="10"/>
        <rFont val="Arial"/>
        <family val="2"/>
      </rPr>
      <t>, or</t>
    </r>
  </si>
  <si>
    <t xml:space="preserve">.  . </t>
  </si>
  <si>
    <r>
      <t xml:space="preserve"> </t>
    </r>
    <r>
      <rPr>
        <b/>
        <sz val="10"/>
        <rFont val="Arial"/>
        <family val="2"/>
      </rPr>
      <t>HSA Distributions.</t>
    </r>
    <r>
      <rPr>
        <sz val="10"/>
        <rFont val="Arial"/>
        <family val="2"/>
      </rPr>
      <t xml:space="preserve"> If you are filing jointly and both you and your spouse each have separate HSAs, complete
a separate Part II for each spouse.</t>
    </r>
  </si>
  <si>
    <r>
      <rPr>
        <b/>
        <sz val="10"/>
        <rFont val="Arial"/>
        <family val="2"/>
      </rPr>
      <t>Taxable HSA distributions.</t>
    </r>
    <r>
      <rPr>
        <sz val="10"/>
        <rFont val="Arial"/>
        <family val="2"/>
      </rPr>
      <t xml:space="preserve">  Subtract line 15 from line 14c. If zero or less, enter -0-. Also, include</t>
    </r>
  </si>
  <si>
    <t>this amount in the total on Schedule 1 (Form 1040), Part I, line 8f</t>
  </si>
  <si>
    <t>If any of the distributions included on line 16 meet any of the</t>
  </si>
  <si>
    <r>
      <t>Tax</t>
    </r>
    <r>
      <rPr>
        <sz val="10"/>
        <rFont val="Arial"/>
        <family val="2"/>
      </rPr>
      <t xml:space="preserve"> (see instructions), check here</t>
    </r>
  </si>
  <si>
    <r>
      <t>(c)</t>
    </r>
    <r>
      <rPr>
        <sz val="12"/>
        <rFont val="Arial"/>
        <family val="2"/>
      </rPr>
      <t xml:space="preserve"> Unallowed loss</t>
    </r>
  </si>
  <si>
    <t>OMB No. 1545-1008</t>
  </si>
  <si>
    <t>Combine lines 1d and 2d and subtract any prior year unallowed CRD. See instructions. If this line is</t>
  </si>
  <si>
    <t>prior year unallowed losses entered on line 1c or 2c. Report the losses on the forms and schedules normally used.</t>
  </si>
  <si>
    <t>zero or more,</t>
  </si>
  <si>
    <t xml:space="preserve">and include this form with your return; all losses are allowed, including any </t>
  </si>
  <si>
    <r>
      <t xml:space="preserve">Enter the </t>
    </r>
    <r>
      <rPr>
        <b/>
        <sz val="12"/>
        <rFont val="Arial"/>
        <family val="2"/>
      </rPr>
      <t>smaller</t>
    </r>
    <r>
      <rPr>
        <sz val="12"/>
        <rFont val="Arial"/>
        <family val="2"/>
      </rPr>
      <t xml:space="preserve"> of line 4 or line 8.</t>
    </r>
  </si>
  <si>
    <t>If line 3 includes any CRD, see instructions</t>
  </si>
  <si>
    <r>
      <t xml:space="preserve">(a) </t>
    </r>
    <r>
      <rPr>
        <sz val="12"/>
        <rFont val="Arial"/>
        <family val="2"/>
      </rPr>
      <t>Net income
(line 2a)</t>
    </r>
  </si>
  <si>
    <r>
      <t xml:space="preserve">(b) </t>
    </r>
    <r>
      <rPr>
        <sz val="12"/>
        <rFont val="Arial"/>
        <family val="2"/>
      </rPr>
      <t>Net loss
(line 2b)</t>
    </r>
  </si>
  <si>
    <r>
      <rPr>
        <b/>
        <sz val="12"/>
        <rFont val="Arial"/>
        <family val="2"/>
      </rPr>
      <t>(c)</t>
    </r>
    <r>
      <rPr>
        <sz val="12"/>
        <rFont val="Arial"/>
        <family val="2"/>
      </rPr>
      <t xml:space="preserve"> Unallowed
loss (line 2c)</t>
    </r>
  </si>
  <si>
    <t xml:space="preserve"> Filing Status</t>
  </si>
  <si>
    <t xml:space="preserve"> Check only
 one box</t>
  </si>
  <si>
    <t xml:space="preserve">   .   .   .   .   .   .   .   .   .   .   .   . </t>
  </si>
  <si>
    <t>If you had a loss, enter -0-</t>
  </si>
  <si>
    <t>Self-employment income from Schedule SE (Form 1040), Part I, line 6.</t>
  </si>
  <si>
    <t>and go to Part III</t>
  </si>
  <si>
    <t>Railroad retirement (RRTA) compensation and tips from Form(s) W-2, box 14</t>
  </si>
  <si>
    <r>
      <t xml:space="preserve">Single, Head of household, or Qualifying surviving spouse </t>
    </r>
    <r>
      <rPr>
        <b/>
        <sz val="10"/>
        <rFont val="Arial"/>
        <family val="2"/>
      </rPr>
      <t xml:space="preserve">  .   .</t>
    </r>
  </si>
  <si>
    <t>Add lines 7, 13, and 17. Also include this amount on Schedule 2 (Form 1040), line 11, (Form 1040-SS</t>
  </si>
  <si>
    <t>filers, see instructions), and go to Part V</t>
  </si>
  <si>
    <t>(Form 1040-SS filers, see instructions)</t>
  </si>
  <si>
    <t>You cannot claim the PTC if your filing status is married filing separately unless you qualify for an exception (see instructions).</t>
  </si>
  <si>
    <t>If you qualify, check the box.</t>
  </si>
  <si>
    <t>appropriate box for the federal poverty table used.</t>
  </si>
  <si>
    <t>Federal poverty line. Enter the federal poverty line amount from Table 1-1, 1-2, or 1-3.  See instructions. Check the</t>
  </si>
  <si>
    <t>by 12. Round to whole dollar amount</t>
  </si>
  <si>
    <t>Clean vehicle credit. Attach Form 8936</t>
  </si>
  <si>
    <r>
      <rPr>
        <b/>
        <sz val="11"/>
        <rFont val="Arial"/>
        <family val="2"/>
      </rPr>
      <t>B</t>
    </r>
    <r>
      <rPr>
        <sz val="11"/>
        <rFont val="Arial"/>
        <family val="2"/>
      </rPr>
      <t xml:space="preserve">  If you</t>
    </r>
  </si>
  <si>
    <t>(number, street, apt. no., city, state, and ZIP code)</t>
  </si>
  <si>
    <r>
      <t>Caution:</t>
    </r>
    <r>
      <rPr>
        <sz val="11"/>
        <rFont val="Arial"/>
        <family val="2"/>
      </rPr>
      <t xml:space="preserve"> If the care provider is your household employee, you may owe employment taxes. For details, see the Instructions for</t>
    </r>
  </si>
  <si>
    <r>
      <t xml:space="preserve"> </t>
    </r>
    <r>
      <rPr>
        <b/>
        <sz val="8"/>
        <rFont val="Arial"/>
        <family val="2"/>
      </rPr>
      <t>(b)</t>
    </r>
    <r>
      <rPr>
        <sz val="8"/>
        <rFont val="Arial"/>
        <family val="2"/>
      </rPr>
      <t xml:space="preserve"> Qualifying person's 
social security number</t>
    </r>
  </si>
  <si>
    <t>from line 13 of the worksheet here. Otherwise, enter -0- on line 9b and go to line 9c</t>
  </si>
  <si>
    <r>
      <t>Credit for child and dependent care expenses.</t>
    </r>
    <r>
      <rPr>
        <sz val="11"/>
        <rFont val="Arial"/>
        <family val="2"/>
      </rPr>
      <t xml:space="preserve"> Enter the smaller of line 9c or line 10 here and</t>
    </r>
  </si>
  <si>
    <t>amounts you received under a dependent care assistance program from your sole proprietorship</t>
  </si>
  <si>
    <t>or partnership</t>
  </si>
  <si>
    <t xml:space="preserve">required to enter spouse’s earned income on line 19). </t>
  </si>
  <si>
    <t>However, don’t enter more than maximum amount allowed</t>
  </si>
  <si>
    <t>under your dependent care plan. See instructions</t>
  </si>
  <si>
    <t>on the appropriate line(s) of your return. See instructions</t>
  </si>
  <si>
    <r>
      <t>Deductible benefits.</t>
    </r>
    <r>
      <rPr>
        <sz val="12"/>
        <rFont val="Arial"/>
        <family val="2"/>
      </rPr>
      <t xml:space="preserve"> Enter the </t>
    </r>
    <r>
      <rPr>
        <b/>
        <sz val="12"/>
        <rFont val="Arial"/>
        <family val="2"/>
      </rPr>
      <t>smallest</t>
    </r>
    <r>
      <rPr>
        <sz val="12"/>
        <rFont val="Arial"/>
        <family val="2"/>
      </rPr>
      <t xml:space="preserve"> of line 20, 21, or 22. Also, include this amount</t>
    </r>
  </si>
  <si>
    <t>line 28 above. Then, add the amounts in column (d) and enter the total here</t>
  </si>
  <si>
    <t>Over:</t>
  </si>
  <si>
    <t>14a.</t>
  </si>
  <si>
    <t>14b.</t>
  </si>
  <si>
    <t>Was the care provider your household employee?</t>
  </si>
  <si>
    <t>15a.</t>
  </si>
  <si>
    <t>15b.</t>
  </si>
  <si>
    <t>Check here if the qualifying person was over age 12 at the time the care was provided and was disabled.</t>
  </si>
  <si>
    <r>
      <rPr>
        <b/>
        <sz val="14"/>
        <rFont val="Arial"/>
        <family val="2"/>
      </rPr>
      <t>Education Credits</t>
    </r>
    <r>
      <rPr>
        <b/>
        <sz val="12"/>
        <rFont val="Arial"/>
        <family val="2"/>
      </rPr>
      <t xml:space="preserve">
(American Opportunity and Lifetime Learning Credits)</t>
    </r>
  </si>
  <si>
    <t xml:space="preserve">Subtract line 3 from line 2. </t>
  </si>
  <si>
    <t>If zero or less,</t>
  </si>
  <si>
    <r>
      <t>a smaller amount and treat the rest as a nondeductible contribution (see Form 8606)</t>
    </r>
    <r>
      <rPr>
        <sz val="10"/>
        <rFont val="Arial"/>
        <family val="2"/>
      </rPr>
      <t xml:space="preserve"> </t>
    </r>
    <r>
      <rPr>
        <b/>
        <sz val="10"/>
        <rFont val="Arial"/>
        <family val="2"/>
      </rPr>
      <t>.   .   .   .   .</t>
    </r>
  </si>
  <si>
    <t>Sheet "Line 21 (Stu Loan)", Line 12</t>
  </si>
  <si>
    <r>
      <t xml:space="preserve"> (see the instructions for line 20).  </t>
    </r>
    <r>
      <rPr>
        <b/>
        <sz val="10"/>
        <rFont val="Arial"/>
        <family val="2"/>
      </rPr>
      <t>Don't</t>
    </r>
  </si>
  <si>
    <r>
      <t>go to Form 6251, line 6</t>
    </r>
    <r>
      <rPr>
        <b/>
        <sz val="9"/>
        <rFont val="Arial"/>
        <family val="2"/>
      </rPr>
      <t xml:space="preserve"> .   .   .   .   .   .   .   .   .   .   .   .   .   .   .   .   .   .   .   .   .   .   .   .   .   .   .   .   .   .   .   .   .   .   .   .   .   .</t>
    </r>
  </si>
  <si>
    <t>Recapture of other credits. List type, form number, and amount:</t>
  </si>
  <si>
    <t xml:space="preserve">Enter the total pension or annuity payments from Form 1099-R, box 1. </t>
  </si>
  <si>
    <r>
      <t xml:space="preserve">taxable part to enter on line 5b. </t>
    </r>
    <r>
      <rPr>
        <u/>
        <sz val="10"/>
        <rFont val="Arial"/>
        <family val="2"/>
      </rPr>
      <t>But</t>
    </r>
    <r>
      <rPr>
        <sz val="10"/>
        <rFont val="Arial"/>
        <family val="2"/>
      </rPr>
      <t xml:space="preserve"> if your annuity starting date was </t>
    </r>
    <r>
      <rPr>
        <u/>
        <sz val="10"/>
        <rFont val="Arial"/>
        <family val="2"/>
      </rPr>
      <t>after</t>
    </r>
    <r>
      <rPr>
        <sz val="10"/>
        <rFont val="Arial"/>
        <family val="2"/>
      </rPr>
      <t xml:space="preserve"> July 1, 1986, see </t>
    </r>
    <r>
      <rPr>
        <i/>
        <sz val="10"/>
        <rFont val="Arial"/>
        <family val="2"/>
      </rPr>
      <t>Simplified Method</t>
    </r>
    <r>
      <rPr>
        <sz val="10"/>
        <rFont val="Arial"/>
        <family val="2"/>
      </rPr>
      <t xml:space="preserve"> to find out</t>
    </r>
  </si>
  <si>
    <r>
      <t>Enter the</t>
    </r>
    <r>
      <rPr>
        <b/>
        <sz val="10"/>
        <rFont val="Arial"/>
        <family val="2"/>
      </rPr>
      <t xml:space="preserve"> smaller</t>
    </r>
    <r>
      <rPr>
        <sz val="10"/>
        <rFont val="Arial"/>
        <family val="2"/>
      </rPr>
      <t xml:space="preserve"> of line 2 or line 3.</t>
    </r>
  </si>
  <si>
    <t>If born after January 1,</t>
  </si>
  <si>
    <t>Enter the Medicaid waiver payment amounts excluded</t>
  </si>
  <si>
    <t>unless you choose to include these amounts in earned</t>
  </si>
  <si>
    <t>See the instructions for Schedule 1, line 8s.</t>
  </si>
  <si>
    <t>income, in which case enter -0-.</t>
  </si>
  <si>
    <t xml:space="preserve">from income on  Schedule 1 (Form 1040), line 8s, </t>
  </si>
  <si>
    <t>*If you have any Schedule K-1 amounts, complete the appropriate line(s) of Schedule SE, Part I.</t>
  </si>
  <si>
    <t>If line 4b is zero or less,   STOP  you can't take the credit.</t>
  </si>
  <si>
    <t>status and the number of qualifying children you have who</t>
  </si>
  <si>
    <t>Add lines 8a through 8c</t>
  </si>
  <si>
    <r>
      <t xml:space="preserve">Enter </t>
    </r>
    <r>
      <rPr>
        <b/>
        <u/>
        <sz val="10"/>
        <rFont val="Arial"/>
        <family val="2"/>
      </rPr>
      <t>all</t>
    </r>
    <r>
      <rPr>
        <sz val="10"/>
        <rFont val="Arial"/>
        <family val="2"/>
      </rPr>
      <t xml:space="preserve"> </t>
    </r>
    <r>
      <rPr>
        <b/>
        <u/>
        <sz val="10"/>
        <rFont val="Arial"/>
        <family val="2"/>
      </rPr>
      <t>other</t>
    </r>
    <r>
      <rPr>
        <sz val="10"/>
        <rFont val="Arial"/>
        <family val="2"/>
      </rPr>
      <t xml:space="preserve"> medical and dental expenses.  </t>
    </r>
    <r>
      <rPr>
        <i/>
        <sz val="10"/>
        <rFont val="Arial"/>
        <family val="2"/>
      </rPr>
      <t>(See instructions for Schedule A, line 1.)</t>
    </r>
  </si>
  <si>
    <t>for Form 1040.)</t>
  </si>
  <si>
    <t xml:space="preserve">  .   .   .   .   .   .   .   .   .   .   .   .   .   .   .   .   .   .   .   .   .   .   .   .   .   .   .   .   .   .   .   .   .   .   .   .   .   .   .   .   .   . </t>
  </si>
  <si>
    <t>For purposes of these Exceptions, Roth IRA includes Roth SEP IRA and Roth SIMPLE IRAs.</t>
  </si>
  <si>
    <r>
      <t xml:space="preserve">unless </t>
    </r>
    <r>
      <rPr>
        <b/>
        <i/>
        <sz val="11"/>
        <color rgb="FF000000"/>
        <rFont val="Times New Roman"/>
        <family val="1"/>
      </rPr>
      <t>Exception 2</t>
    </r>
    <r>
      <rPr>
        <sz val="11"/>
        <color rgb="FF000000"/>
        <rFont val="Times New Roman"/>
        <family val="1"/>
      </rPr>
      <t xml:space="preserve"> applies to that part.</t>
    </r>
  </si>
  <si>
    <r>
      <t xml:space="preserve">unless </t>
    </r>
    <r>
      <rPr>
        <b/>
        <i/>
        <sz val="11"/>
        <color rgb="FF000000"/>
        <rFont val="Times New Roman"/>
        <family val="1"/>
      </rPr>
      <t>Exception 2</t>
    </r>
    <r>
      <rPr>
        <sz val="11"/>
        <color rgb="FF000000"/>
        <rFont val="Times New Roman"/>
        <family val="1"/>
      </rPr>
      <t xml:space="preserve"> applies to the part not rolled over.</t>
    </r>
  </si>
  <si>
    <t>Generally, your total QCDs for the year can't be more than $100,000. This includes any amount (up to $50,000) of a one-time QCD to a split-interest entity.</t>
  </si>
  <si>
    <t>If you file a joint return, the same rules apply to your spouse.</t>
  </si>
  <si>
    <r>
      <t xml:space="preserve">unless </t>
    </r>
    <r>
      <rPr>
        <b/>
        <i/>
        <sz val="11"/>
        <rFont val="Times New Roman"/>
        <family val="1"/>
      </rPr>
      <t>Exception 2</t>
    </r>
    <r>
      <rPr>
        <sz val="11"/>
        <rFont val="Times New Roman"/>
        <family val="1"/>
      </rPr>
      <t xml:space="preserve"> applies to that part.</t>
    </r>
  </si>
  <si>
    <t xml:space="preserve">CAUTION! </t>
  </si>
  <si>
    <r>
      <t xml:space="preserve">For example: “Line 4b – $1,000 Rollover and $500 HFD.” But you do not need to attach a statement if only </t>
    </r>
    <r>
      <rPr>
        <b/>
        <i/>
        <sz val="11"/>
        <rFont val="Times New Roman"/>
        <family val="1"/>
      </rPr>
      <t>Exception 2</t>
    </r>
    <r>
      <rPr>
        <sz val="11"/>
        <rFont val="Times New Roman"/>
        <family val="1"/>
      </rPr>
      <t xml:space="preserve"> and one other exception apply. </t>
    </r>
  </si>
  <si>
    <t xml:space="preserve"> If you don’t receive the minimum distribution amount, you may have to pay an additional tax on the amount that should have been distributed.</t>
  </si>
  <si>
    <t>For details, including how to figure the minimum required distribution, see Pub. 590-B.</t>
  </si>
  <si>
    <t>Amounts of more than $600 will NOT typically be reported on Schedule 1 (Form 1040), Line 8 a - z.</t>
  </si>
  <si>
    <t>Form 1099-MISC and Instructions may be downloaded from the IRS:"</t>
  </si>
  <si>
    <r>
      <t xml:space="preserve">Enter the amount of </t>
    </r>
    <r>
      <rPr>
        <b/>
        <i/>
        <sz val="10"/>
        <rFont val="Arial"/>
        <family val="2"/>
      </rPr>
      <t>Earned Income</t>
    </r>
    <r>
      <rPr>
        <sz val="10"/>
        <rFont val="Arial"/>
        <family val="2"/>
      </rPr>
      <t xml:space="preserve"> from Form 1040 or 1040-SR, line 1</t>
    </r>
  </si>
  <si>
    <t>Combine lines 1a, 1b, 1c, 1d, 2a, 2b, and 2e.</t>
  </si>
  <si>
    <t>Source: Form 1040, line 1i.</t>
  </si>
  <si>
    <t>Go to www.irs.gov/Form8949 for instructions and the latest information.</t>
  </si>
  <si>
    <t>Rental real estate, royalties, partnerships, S corporations, trusts, trades or</t>
  </si>
  <si>
    <t>businesses, etc. (see instructions)</t>
  </si>
  <si>
    <t>Net gain or loss from disposition of property that is not subject to net</t>
  </si>
  <si>
    <t>investment income tax (see instructions)</t>
  </si>
  <si>
    <t>Adjustment from disposition of partnership interest or S corporation stock</t>
  </si>
  <si>
    <t>Deductions for distributions of net investment income and charitable</t>
  </si>
  <si>
    <t>deductions  (see instructions)</t>
  </si>
  <si>
    <r>
      <t>l</t>
    </r>
    <r>
      <rPr>
        <sz val="8"/>
        <rFont val="Arial"/>
        <family val="2"/>
      </rPr>
      <t xml:space="preserve"> </t>
    </r>
    <r>
      <rPr>
        <sz val="9"/>
        <rFont val="Arial"/>
        <family val="2"/>
      </rPr>
      <t xml:space="preserve"> Form 1040 or 1040-SR filers: Include this amount on</t>
    </r>
  </si>
  <si>
    <r>
      <t>l</t>
    </r>
    <r>
      <rPr>
        <sz val="8"/>
        <rFont val="Arial"/>
        <family val="2"/>
      </rPr>
      <t xml:space="preserve"> </t>
    </r>
    <r>
      <rPr>
        <sz val="9"/>
        <rFont val="Arial"/>
        <family val="2"/>
      </rPr>
      <t xml:space="preserve"> Form 1040-NR filers: Include this amount on the line of your</t>
    </r>
  </si>
  <si>
    <t>U.S. residency statement corresponding to Schedule 2 (Form</t>
  </si>
  <si>
    <t>1040), line 12, and see the Instructions for Form 1040-NR</t>
  </si>
  <si>
    <t>for the amount to report on your tax return.</t>
  </si>
  <si>
    <r>
      <t>l</t>
    </r>
    <r>
      <rPr>
        <sz val="8"/>
        <rFont val="Arial"/>
        <family val="2"/>
      </rPr>
      <t xml:space="preserve"> </t>
    </r>
    <r>
      <rPr>
        <sz val="9"/>
        <rFont val="Arial"/>
        <family val="2"/>
      </rPr>
      <t xml:space="preserve"> Form 1041 filers: Include this amount on Form 1041,</t>
    </r>
  </si>
  <si>
    <t>Schedule G, line 5, and see the instructions there.</t>
  </si>
  <si>
    <r>
      <t>l</t>
    </r>
    <r>
      <rPr>
        <sz val="8"/>
        <rFont val="Arial"/>
        <family val="2"/>
      </rPr>
      <t xml:space="preserve"> </t>
    </r>
    <r>
      <rPr>
        <sz val="9"/>
        <rFont val="Arial"/>
        <family val="2"/>
      </rPr>
      <t xml:space="preserve"> Form 1041-QFT filers: Include this amount on</t>
    </r>
  </si>
  <si>
    <t>on Form 1041-QFT, line 15, and see the instructions there.</t>
  </si>
  <si>
    <t>NOTE: This line is used only if you itemized you deductions on Schedule A (Form 1040).</t>
  </si>
  <si>
    <t>Line 21—Net Investment Income Tax for</t>
  </si>
  <si>
    <t>Estates and Trusts</t>
  </si>
  <si>
    <t>Line 17—Net Investment Income Tax for</t>
  </si>
  <si>
    <t>Individuals</t>
  </si>
  <si>
    <t>Schedule 2 (Form 1040), line 12, and see the instructions</t>
  </si>
  <si>
    <t>there.</t>
  </si>
  <si>
    <r>
      <t>Taxable income before qualified business income deduction (see instructions)</t>
    </r>
    <r>
      <rPr>
        <sz val="10"/>
        <rFont val="Arial"/>
        <family val="2"/>
      </rPr>
      <t xml:space="preserve">  </t>
    </r>
    <r>
      <rPr>
        <b/>
        <sz val="10"/>
        <rFont val="Arial"/>
        <family val="2"/>
      </rPr>
      <t>.</t>
    </r>
  </si>
  <si>
    <t>Enter your net capital gain, if any, increased by any qualified dividends</t>
  </si>
  <si>
    <t>(Rev. November 2022)</t>
  </si>
  <si>
    <r>
      <t>Inventory Reportable in Section A)—</t>
    </r>
    <r>
      <rPr>
        <sz val="11"/>
        <rFont val="Arial"/>
        <family val="2"/>
      </rPr>
      <t>Complete this section for one item (or a group of similar items) for</t>
    </r>
  </si>
  <si>
    <t>which you claimed a deduction of more than $5,000 per item or group (except contributions reportable in</t>
  </si>
  <si>
    <t>Section A). Provide a separate form for each item donated unless it is part of a group of similar items. A</t>
  </si>
  <si>
    <t>qualified appraisal is generally required for items reportable in Section B. See instructions.</t>
  </si>
  <si>
    <t>Check the box that describes the type of property donated:</t>
  </si>
  <si>
    <t xml:space="preserve"> Art* (contribution of $20,000 or more)</t>
  </si>
  <si>
    <t>Clothing and household items</t>
  </si>
  <si>
    <t xml:space="preserve"> Collectibles**</t>
  </si>
  <si>
    <t>*Art includes paintings, sculptures, watercolors, prints, drawings, ceramics, antiques, decorative arts, textiles, carpets, silver, rare manuscripts,</t>
  </si>
  <si>
    <t>historical memorabilia, and other similar objects.</t>
  </si>
  <si>
    <t>**Collectibles include coins, stamps, books, gems, jewelry, sports memorabilia, dolls, etc., but not art as defined above.</t>
  </si>
  <si>
    <r>
      <rPr>
        <b/>
        <sz val="11"/>
        <rFont val="Arial"/>
        <family val="2"/>
      </rPr>
      <t xml:space="preserve">Note. </t>
    </r>
    <r>
      <rPr>
        <sz val="11"/>
        <rFont val="Arial"/>
        <family val="2"/>
      </rPr>
      <t xml:space="preserve"> In certain cases, you must attach a qualified appraisal of the property.  See instructions.</t>
    </r>
  </si>
  <si>
    <t>(Rev. 11-2022)</t>
  </si>
  <si>
    <t>Form 8283 (Rev. 12-2021)</t>
  </si>
  <si>
    <t>Also, I declare that I perform appraisals on a regular basis; and that because of my qualifications as described in the appraisal, I am qualified to make appraisals of the type of property being valued. I certify that the appraisal fees were not based on a percentage of the appraised property value. Furthermore, I understand that a false or fraudulent overstatement of the property value as described in the qualified appraisal or this Form 8283 may subject me to the penalty under section 6701(a) (aiding and abetting the understatement of tax liability). I understand that my appraisal will be used in connection with a return or claim for refund. I also understand that, if there is a substantial or gross valuation misstatement of the value of the property claimed on the return or claim for refund that is based on my appraisal, I may be subject to a penalty under section 6695A of the Internal Revenue Code, as well as other applicable penalties. I affirm that I have not been at any time in the three-year period ending on the date of the appraisal barred from presenting evidence or testimony before the Department of the Treasury or the Internal Revenue Service pursuant to 31 U.S.C. 330(c).</t>
  </si>
  <si>
    <t>Furthermore, this organization affirms that in the event it sells, exchanges, or otherwise disposes of the property described in Section B, Part I</t>
  </si>
  <si>
    <r>
      <t xml:space="preserve">(or any portion thereof) within 3 years after the date of receipt, it will file </t>
    </r>
    <r>
      <rPr>
        <b/>
        <sz val="10"/>
        <rFont val="Arial"/>
        <family val="2"/>
      </rPr>
      <t>Form 8282</t>
    </r>
    <r>
      <rPr>
        <sz val="10"/>
        <rFont val="Arial"/>
        <family val="2"/>
      </rPr>
      <t>, Donee Information Return, with the IRS and give the</t>
    </r>
  </si>
  <si>
    <t>donor a copy of that form. This acknowledgment does not represent agreement with the claimed fair market value.</t>
  </si>
  <si>
    <r>
      <t xml:space="preserve">Go to </t>
    </r>
    <r>
      <rPr>
        <b/>
        <i/>
        <sz val="8"/>
        <rFont val="Arial"/>
        <family val="2"/>
      </rPr>
      <t>www.irs.gov/Form2210</t>
    </r>
    <r>
      <rPr>
        <b/>
        <sz val="8"/>
        <rFont val="Arial"/>
        <family val="2"/>
      </rPr>
      <t xml:space="preserve"> for instructions and the latest information.</t>
    </r>
  </si>
  <si>
    <r>
      <rPr>
        <b/>
        <sz val="12"/>
        <rFont val="Arial"/>
        <family val="2"/>
      </rPr>
      <t>NOTE:</t>
    </r>
    <r>
      <rPr>
        <sz val="10"/>
        <rFont val="Arial"/>
        <family val="2"/>
      </rPr>
      <t xml:space="preserve">
In each quarter, this spreadsheet uses the latest
date on which the underpayment was paid to determine the penalty.
If multiple payments were made in that quarter, a slightly higher penalty would be calculated.</t>
    </r>
  </si>
  <si>
    <r>
      <rPr>
        <b/>
        <sz val="9"/>
        <rFont val="Arial"/>
        <family val="2"/>
      </rPr>
      <t>Schedule 2 (Form 1040):</t>
    </r>
    <r>
      <rPr>
        <sz val="9"/>
        <rFont val="Arial"/>
        <family val="2"/>
      </rPr>
      <t xml:space="preserve">
Line 4,
Line 8 (additional tax on distributions only),
Line 9*, 
Line 10,
Line 11,
Line 12,
Line 14,
Line 15,
Line 16,</t>
    </r>
  </si>
  <si>
    <t xml:space="preserve">
Line 17a,
Line 17c,
Line 17d,
Line 17e,
Line 17f,
Line 17g,
Line 17h,
Line 17i,
Line 17j,
Line 17l, and
Line 17z.</t>
  </si>
  <si>
    <t xml:space="preserve">Qualified sick and family leave credits from Schedule(s) H </t>
  </si>
  <si>
    <t>(Schedule 3 (Form 1040), line 13z).</t>
  </si>
  <si>
    <t>Credit determined under section 1341(a)(5)(B). To figure the</t>
  </si>
  <si>
    <r>
      <t xml:space="preserve">amount of the section 1341 credit, see </t>
    </r>
    <r>
      <rPr>
        <i/>
        <sz val="10"/>
        <rFont val="Arial"/>
        <family val="2"/>
      </rPr>
      <t>Repayments</t>
    </r>
    <r>
      <rPr>
        <sz val="10"/>
        <rFont val="Arial"/>
        <family val="2"/>
      </rPr>
      <t xml:space="preserve"> in Pub. 525.</t>
    </r>
  </si>
  <si>
    <t>(2) Subtract refundable credits listed below.</t>
  </si>
  <si>
    <t>Subtract the total of the following refundable credits, if any, that you</t>
  </si>
  <si>
    <t>Premium tax Credit (Form 8962)</t>
  </si>
  <si>
    <t>Recovery rebate credit</t>
  </si>
  <si>
    <t>Credit for federal Tax paid on fuels</t>
  </si>
  <si>
    <t>Qualified sick and family leave credits from Schedule(s) H</t>
  </si>
  <si>
    <t>(Schedule 3 (Form 1040), lines 13b and 13h).</t>
  </si>
  <si>
    <t>Health coverage tax credit</t>
  </si>
  <si>
    <t>Form 1041, line 27.</t>
  </si>
  <si>
    <t>Don't file Form 2210 unless you checked a box in Part II.</t>
  </si>
  <si>
    <t>Form 2210, Underpayment of Estimated Tax by Individuals, Estates, and Trusts</t>
  </si>
  <si>
    <t>Draft / Final</t>
  </si>
  <si>
    <t>Date of Single Payment</t>
  </si>
  <si>
    <t>Number to lookup in 'TOTAL' column.</t>
  </si>
  <si>
    <t>Row number where U.P. was met.</t>
  </si>
  <si>
    <t>Lesser of 'Line a' or amount paid.</t>
  </si>
  <si>
    <t>1.a</t>
  </si>
  <si>
    <t>Taxes Withheld</t>
  </si>
  <si>
    <t xml:space="preserve">  .   .   .   .   .   .   . </t>
  </si>
  <si>
    <t>Net Qualified Disaster Loss</t>
  </si>
  <si>
    <t>Line 16 (+ or - )</t>
  </si>
  <si>
    <t>Line 17 (+ or - )</t>
  </si>
  <si>
    <t>Estimated</t>
  </si>
  <si>
    <t>Hide details.</t>
  </si>
  <si>
    <t>on the '1040' sheet.</t>
  </si>
  <si>
    <t xml:space="preserve">Enter your birthdate and, if filing Married - Filing Jointly, enter your spouse's birthdate to the right of </t>
  </si>
  <si>
    <t>the Form 1040.</t>
  </si>
  <si>
    <t>NOTES for LibreOffice Users:</t>
  </si>
  <si>
    <t>https://www.healthinsurance.org/glossary/federal-poverty-level/</t>
  </si>
  <si>
    <t>Credit Rate</t>
  </si>
  <si>
    <t>Add  the  amounts  in  column (d)  of line 2.</t>
  </si>
  <si>
    <r>
      <rPr>
        <b/>
        <sz val="10"/>
        <rFont val="Arial"/>
        <family val="2"/>
      </rPr>
      <t>SchD TW Used</t>
    </r>
    <r>
      <rPr>
        <sz val="10"/>
        <rFont val="Arial"/>
        <family val="2"/>
      </rPr>
      <t xml:space="preserve"> = Override  OR  [Cell W59 AND NOT Exception (Cell W65)]</t>
    </r>
  </si>
  <si>
    <t>Exception: Don't use the QDCG TW OR the Sch D TW</t>
  </si>
  <si>
    <t>OR( AND (Lines 18 or 19 &gt; 0, Lines 15 and 16 &gt; 0), Form 4952, line 4g includes an amount)</t>
  </si>
  <si>
    <t>Sch D Line 18 &gt; 0  OR  Sch D Line 19 &gt; 0</t>
  </si>
  <si>
    <t>Sch D Line 15 &gt; 0 AND Sch D Line 16 &gt; 0</t>
  </si>
  <si>
    <t>Form 4952, line 4g includes an amount</t>
  </si>
  <si>
    <t>Line 15 &gt; 0</t>
  </si>
  <si>
    <t>Form 4952</t>
  </si>
  <si>
    <t>Line 4g &gt;0</t>
  </si>
  <si>
    <t>=&gt;</t>
  </si>
  <si>
    <r>
      <t xml:space="preserve">Don't use the QDCG TW </t>
    </r>
    <r>
      <rPr>
        <b/>
        <u/>
        <sz val="10"/>
        <rFont val="Arial"/>
        <family val="2"/>
      </rPr>
      <t>or</t>
    </r>
    <r>
      <rPr>
        <sz val="10"/>
        <rFont val="Arial"/>
        <family val="2"/>
      </rPr>
      <t xml:space="preserve"> the Sch D TW.</t>
    </r>
  </si>
  <si>
    <t>(Taxable Inc.)</t>
  </si>
  <si>
    <r>
      <t xml:space="preserve">Use the </t>
    </r>
    <r>
      <rPr>
        <b/>
        <sz val="10"/>
        <rFont val="Arial"/>
        <family val="2"/>
      </rPr>
      <t>Schedule D Tax Worksheet</t>
    </r>
    <r>
      <rPr>
        <sz val="10"/>
        <rFont val="Arial"/>
        <family val="2"/>
      </rPr>
      <t xml:space="preserve"> in the Instructions for Schedule D to figure the amount to enter on 
Form 1040 or 1040-SR, line 16, if:</t>
    </r>
  </si>
  <si>
    <t>ForeignIncExclusionTotal</t>
  </si>
  <si>
    <t>FEI_HousingExclusion</t>
  </si>
  <si>
    <t>FEI_HousingDeduction</t>
  </si>
  <si>
    <t>FEI_Tax_WS_Required</t>
  </si>
  <si>
    <r>
      <rPr>
        <sz val="10"/>
        <rFont val="Marlett"/>
        <charset val="2"/>
      </rPr>
      <t>h</t>
    </r>
    <r>
      <rPr>
        <sz val="10"/>
        <rFont val="Arial"/>
        <family val="2"/>
      </rPr>
      <t xml:space="preserve">  you have to file Form 4952 and you have an amount on line 4g, even if you don't need to file Schedule D.</t>
    </r>
  </si>
  <si>
    <t>Enter the sum of any carryover of foreign taxes (from Schedule B,</t>
  </si>
  <si>
    <t>line 3, column (xiv)) plus any carrybacks to the current tax year. If</t>
  </si>
  <si>
    <t>you enter an amount on line 10 and you don’t need to attach</t>
  </si>
  <si>
    <t>Schedule B, check here (see instructions)</t>
  </si>
  <si>
    <t>(If your income was section 951A category income (box a above Part I),</t>
  </si>
  <si>
    <t>Input for Line 6:</t>
  </si>
  <si>
    <t>1099-DIV, line 5</t>
  </si>
  <si>
    <t>Residential Energy Credits</t>
  </si>
  <si>
    <t xml:space="preserve"> Qualifying Surviving Spouse (QSS)</t>
  </si>
  <si>
    <t xml:space="preserve"> Head of Household (HOH)</t>
  </si>
  <si>
    <t>Income from rental of personal property if you engaged in the rental</t>
  </si>
  <si>
    <t>Excess deductions of section 67(e) expenses from Sch. K-1 (Form 1041)</t>
  </si>
  <si>
    <t>Other adjustments.  List type and amount:</t>
  </si>
  <si>
    <t xml:space="preserve"> ending</t>
  </si>
  <si>
    <t>Add lines 1z and 2. Enter here and on Form 1040, 1040-SR, or 1040-NR, line 17</t>
  </si>
  <si>
    <t>Additions to tax:</t>
  </si>
  <si>
    <t>Repayment of new clean vehicle credit(s) transferred to a registered dealer</t>
  </si>
  <si>
    <t>Recapture of net EPE from Form 4255, line 2a, column (l)</t>
  </si>
  <si>
    <t>(I)</t>
  </si>
  <si>
    <t>(II)</t>
  </si>
  <si>
    <t>(III)</t>
  </si>
  <si>
    <t>(IV)</t>
  </si>
  <si>
    <t>20% EP from Form 4255. Check applicable box and enter amount. See</t>
  </si>
  <si>
    <t>amount.</t>
  </si>
  <si>
    <t>Other additions to tax (see instructions):</t>
  </si>
  <si>
    <t>1y</t>
  </si>
  <si>
    <t>y</t>
  </si>
  <si>
    <t>Excessive payments (EP) from Form 4255. Check applicable box and</t>
  </si>
  <si>
    <t>Add lines 1a through 1y</t>
  </si>
  <si>
    <t>from Schedule A (Form 8936), Part II. Attach Form 8936 and Schedule A</t>
  </si>
  <si>
    <t>Social security and Medicare tax on unreported tip income. Attach Form 4137</t>
  </si>
  <si>
    <t>Uncollected social security and Medicare tax on wages. Attach Form 8919</t>
  </si>
  <si>
    <t xml:space="preserve"> .   .  </t>
  </si>
  <si>
    <t>Form W-2, box 12</t>
  </si>
  <si>
    <t>Uncollected social security and Medicare or RRTA tax on tips or group-term life insurance from</t>
  </si>
  <si>
    <t>Interest on tax due on installment income from the sale of certain residential lots and timeshares</t>
  </si>
  <si>
    <t>Interest on deferred tax on gain from certain installment sales with a sales price over $150,000.</t>
  </si>
  <si>
    <t>Recapture of net EPE from Form 4255, line 1d, column (l)</t>
  </si>
  <si>
    <t>Department of Treasury Internal Revenue Service</t>
  </si>
  <si>
    <t xml:space="preserve">  .   .   .   .   .   .   .  </t>
  </si>
  <si>
    <t xml:space="preserve">  .   .   .   .   .   .   .   .   .   .   .   .   .  </t>
  </si>
  <si>
    <t>SCHEDULE 2
(Form 1040)</t>
  </si>
  <si>
    <t>Credit for child and dependent care expenses from Form 2441, line 11.  Attach Form 2441</t>
  </si>
  <si>
    <t>Add lines 9 through 12 and 14. Enter here and on Form 1040 or 1040-SR, line 31.</t>
  </si>
  <si>
    <r>
      <t>Note:</t>
    </r>
    <r>
      <rPr>
        <sz val="9"/>
        <rFont val="Arial"/>
        <family val="2"/>
      </rPr>
      <t xml:space="preserve"> If you received a 
Form 1099-INT, 
Form 1099-OID, 
or substitute
statement from 
a brokerage firm, 
list the firm’s 
name as the 
payer and enter 
the total interest 
shown on that 
form.</t>
    </r>
  </si>
  <si>
    <r>
      <t xml:space="preserve">Note: </t>
    </r>
    <r>
      <rPr>
        <sz val="9"/>
        <rFont val="Arial"/>
        <family val="2"/>
      </rPr>
      <t>If you
received a
Form 1099-DIV
or substitute
statement from
a brokerage firm,
list the firm’s
name as the
payer and enter
the ordinary
dividends shown
on that form.</t>
    </r>
  </si>
  <si>
    <t>08</t>
  </si>
  <si>
    <t>Ordinary Dividends</t>
  </si>
  <si>
    <t xml:space="preserve"> .   .   .   .   .   .   .   .   .   .   .   .   .   .   .   .   .    .   .   .   .   .   .   . </t>
  </si>
  <si>
    <t xml:space="preserve">.   .   .   .   .   .   .   .   .   .   .   .   .   .   .   .   .    .   .   .   .   .   .   . </t>
  </si>
  <si>
    <t>Long-Term Capital Gains and Losses  –  Generally Assets Held More Than One Year</t>
  </si>
  <si>
    <t xml:space="preserve"> .   .   .   .   . </t>
  </si>
  <si>
    <r>
      <t>Enter the total of all collectibles gain or (loss) from items you reported on Form 8949, Part II</t>
    </r>
    <r>
      <rPr>
        <b/>
        <sz val="9"/>
        <rFont val="Arial"/>
        <family val="2"/>
      </rPr>
      <t xml:space="preserve">    .   .   .   .   .   .   .   .</t>
    </r>
  </si>
  <si>
    <t>Enter the total of all collectibles gain or (loss) from Form 4684, line 4 (but only if Form 4684, line 15, is more than zero);</t>
  </si>
  <si>
    <r>
      <t xml:space="preserve">Form 6252; Form 6781, Part II; and Form 8824  </t>
    </r>
    <r>
      <rPr>
        <b/>
        <sz val="10"/>
        <rFont val="Arial"/>
        <family val="2"/>
      </rPr>
      <t xml:space="preserve">.   .   .   .   .   .   .   .   .   .   .   .   .   .   .   .   .   .   .   .   .   .   .   .   .   </t>
    </r>
  </si>
  <si>
    <t>Form 1040, 1040-SR, or 1040-NR, line 15 (Taxable Income), is zero or less.</t>
  </si>
  <si>
    <t xml:space="preserve">Enter your taxable income from Form 1040, 1040-SR, or 1040-NR, line 15. (However, if you are filing </t>
  </si>
  <si>
    <t>Enter your qualified dividends from Form 1040,</t>
  </si>
  <si>
    <t>AN; and Schedule K-1 (Form 1041), box 14, code F. See instructions</t>
  </si>
  <si>
    <r>
      <rPr>
        <b/>
        <sz val="10"/>
        <rFont val="Arial"/>
        <family val="2"/>
      </rPr>
      <t xml:space="preserve"> C</t>
    </r>
    <r>
      <rPr>
        <sz val="9"/>
        <rFont val="Arial"/>
        <family val="2"/>
      </rPr>
      <t xml:space="preserve"> </t>
    </r>
  </si>
  <si>
    <t>Accounting method:</t>
  </si>
  <si>
    <r>
      <t xml:space="preserve">   Farm Income — Accrual Method</t>
    </r>
    <r>
      <rPr>
        <sz val="12"/>
        <rFont val="Arial"/>
        <family val="2"/>
      </rPr>
      <t xml:space="preserve"> (see instructions)</t>
    </r>
  </si>
  <si>
    <t>Mortgage (paid to banks, etc.)</t>
  </si>
  <si>
    <r>
      <t xml:space="preserve">Total expenses.  </t>
    </r>
    <r>
      <rPr>
        <sz val="11"/>
        <rFont val="Arial"/>
        <family val="2"/>
      </rPr>
      <t>Add lines 10 through 32f. If line 32f is negative, see instructions</t>
    </r>
  </si>
  <si>
    <r>
      <t xml:space="preserve">instructions). Also attach </t>
    </r>
    <r>
      <rPr>
        <b/>
        <sz val="11"/>
        <rFont val="Arial"/>
        <family val="2"/>
      </rPr>
      <t>Form 4562</t>
    </r>
  </si>
  <si>
    <r>
      <rPr>
        <b/>
        <sz val="11"/>
        <rFont val="Arial"/>
        <family val="2"/>
      </rPr>
      <t xml:space="preserve">Gross income.  </t>
    </r>
    <r>
      <rPr>
        <sz val="11"/>
        <rFont val="Arial"/>
        <family val="2"/>
      </rPr>
      <t>Add amounts in the right column (lines 1c, 2, 3b, 4b, 5a, 5c, 6b, 6d, 7, and 8). If you use the</t>
    </r>
  </si>
  <si>
    <t xml:space="preserve"> .   .   .   .   .   .   .   .   .   </t>
  </si>
  <si>
    <r>
      <rPr>
        <b/>
        <sz val="11"/>
        <rFont val="Arial"/>
        <family val="2"/>
      </rPr>
      <t>Net farm profit or (loss).</t>
    </r>
    <r>
      <rPr>
        <sz val="11"/>
        <rFont val="Arial"/>
        <family val="2"/>
      </rPr>
      <t xml:space="preserve"> Subtract line 33 from line 9</t>
    </r>
  </si>
  <si>
    <r>
      <rPr>
        <b/>
        <sz val="11"/>
        <rFont val="Arial"/>
        <family val="2"/>
      </rPr>
      <t>Gross income.</t>
    </r>
    <r>
      <rPr>
        <sz val="11"/>
        <rFont val="Arial"/>
        <family val="2"/>
      </rPr>
      <t xml:space="preserve"> Subtract line 49 from line 44. Enter the result here and on Part I, line 9</t>
    </r>
  </si>
  <si>
    <t xml:space="preserve">.   .   .   .   .   .   .   .   .   .   .   .   .   .   .   .   .   </t>
  </si>
  <si>
    <r>
      <t xml:space="preserve">Sheet Name 
</t>
    </r>
    <r>
      <rPr>
        <u/>
        <sz val="11"/>
        <rFont val="Arial"/>
        <family val="2"/>
      </rPr>
      <t>(with hyperlink)</t>
    </r>
  </si>
  <si>
    <t>line 8d. Complete the Foreign Earned Income Tax Worksheet in the Instructions for Form 1040 if</t>
  </si>
  <si>
    <t>you enter an amount on this line</t>
  </si>
  <si>
    <t>are allocable to the excluded income. See instructions and attach computation</t>
  </si>
  <si>
    <t>Deductions allowed in figuring your adjusted gross income (Form 1040 or 1040-SR, line 11) that</t>
  </si>
  <si>
    <t>Residential clean energy credit, Form 5695, Part I.</t>
  </si>
  <si>
    <t>District of Columbia first-time homebuyer credit, Form 8859.</t>
  </si>
  <si>
    <r>
      <t xml:space="preserve">One spouse was 65 or older, and the other spouse was under 65 and </t>
    </r>
    <r>
      <rPr>
        <b/>
        <sz val="10"/>
        <rFont val="Arial"/>
        <family val="2"/>
      </rPr>
      <t>not</t>
    </r>
  </si>
  <si>
    <t xml:space="preserve"> .   .   .   .   .   .   .   .   .   .   .   .   .   .   .   .   .   .   .   .   .   .   .   .   .   .   .   .   .   .  </t>
  </si>
  <si>
    <t xml:space="preserve">.   .   .   .   .   .   .   .   .   .   .   .   .   .   .   .   .   .   .   .   .   .   .   .   .   .   .   .   .   .   .   .   .   .   .   .   .   .  </t>
  </si>
  <si>
    <t>5695</t>
  </si>
  <si>
    <t>Residential Clean Energy Credit</t>
  </si>
  <si>
    <t>(See instructions before completing this part.)</t>
  </si>
  <si>
    <t>Enter the complete address of the home where you installed the property and/or technology associated with lines 1 through 4 and 5b.</t>
  </si>
  <si>
    <t>For more than one home, see instructions.</t>
  </si>
  <si>
    <t>Number and street</t>
  </si>
  <si>
    <t>Unit no.</t>
  </si>
  <si>
    <t>City or town</t>
  </si>
  <si>
    <t>ZIP code</t>
  </si>
  <si>
    <t>Qualified solar electric property costs</t>
  </si>
  <si>
    <t>Qualified solar water heating property costs</t>
  </si>
  <si>
    <t>Qualified small wind energy property costs</t>
  </si>
  <si>
    <t>Qualified geothermal heat pump property costs</t>
  </si>
  <si>
    <t>Qualified battery storage technology. Does the qualified battery storage technology have a capacity of</t>
  </si>
  <si>
    <t>Uncheck 'No' box.</t>
  </si>
  <si>
    <t>If you checked the “Yes” box, enter the qualified battery technology costs</t>
  </si>
  <si>
    <t>Add lines 1 through 5b</t>
  </si>
  <si>
    <t>Enter the complete address of the main home where you installed the fuel cell property.</t>
  </si>
  <si>
    <t>If the special rule for joint occupants applies, check here</t>
  </si>
  <si>
    <t xml:space="preserve"> and attach a statement. (See instructions.)</t>
  </si>
  <si>
    <t>Qualified fuel cell property costs</t>
  </si>
  <si>
    <t>Kilowatt capacity of property on line 8 above</t>
  </si>
  <si>
    <t>Enter the smaller of line 9 or line 10</t>
  </si>
  <si>
    <t>Add lines 6b, 11, and 12</t>
  </si>
  <si>
    <t>Limitation based on tax liability. Enter the amount from the Residential Clean Energy Credit Limit</t>
  </si>
  <si>
    <t>Worksheet. (See instructions.)</t>
  </si>
  <si>
    <t>Schedule 3 (Form 1040), line 5a</t>
  </si>
  <si>
    <t>from line 13</t>
  </si>
  <si>
    <t>Cat. No. 13540P</t>
  </si>
  <si>
    <r>
      <rPr>
        <b/>
        <sz val="12"/>
        <rFont val="Arial"/>
        <family val="2"/>
      </rPr>
      <t>Residential clean energy credit.</t>
    </r>
    <r>
      <rPr>
        <sz val="12"/>
        <rFont val="Arial"/>
        <family val="2"/>
      </rPr>
      <t xml:space="preserve"> Enter the smaller of line 13 or line 14. Also include this amount on</t>
    </r>
  </si>
  <si>
    <r>
      <rPr>
        <sz val="11"/>
        <rFont val="Arial"/>
        <family val="2"/>
      </rPr>
      <t xml:space="preserve">Page </t>
    </r>
    <r>
      <rPr>
        <b/>
        <sz val="14"/>
        <rFont val="Arial"/>
        <family val="2"/>
      </rPr>
      <t>3</t>
    </r>
  </si>
  <si>
    <r>
      <t xml:space="preserve">Form  </t>
    </r>
    <r>
      <rPr>
        <b/>
        <sz val="14"/>
        <rFont val="Arial"/>
        <family val="2"/>
      </rPr>
      <t>5695</t>
    </r>
  </si>
  <si>
    <t>Energy Efficient Home Improvement Credit</t>
  </si>
  <si>
    <t>Section A -- Qualified Energy Efficiency Improvements</t>
  </si>
  <si>
    <t>Are the qualified energy efficiency improvements installed in or on your main home located in the</t>
  </si>
  <si>
    <t>United States? (See instructions.)</t>
  </si>
  <si>
    <t>Are you the original user of the qualified energy efficiency improvements?</t>
  </si>
  <si>
    <t>Are the components reasonably expected to remain in use for at least 5 years?</t>
  </si>
  <si>
    <t>If you checked the “No” box for line 17a, 17b, or 17c, you cannot claim the energy efficient home</t>
  </si>
  <si>
    <t>improvement credit. Do not complete Part II, Section A.</t>
  </si>
  <si>
    <t>Enter the complete address of the main home where you made the qualifying improvements.</t>
  </si>
  <si>
    <r>
      <rPr>
        <b/>
        <sz val="12"/>
        <rFont val="Arial"/>
        <family val="2"/>
      </rPr>
      <t>Caution:</t>
    </r>
    <r>
      <rPr>
        <sz val="12"/>
        <rFont val="Arial"/>
        <family val="2"/>
      </rPr>
      <t xml:space="preserve"> You can only have one main home at a time. (See instructions.)</t>
    </r>
  </si>
  <si>
    <t>If you checked the “Yes” box, you can only claim the energy efficient home improvement credit for</t>
  </si>
  <si>
    <t>qualifying improvements that were not related to the construction of the home. Do not include expenses</t>
  </si>
  <si>
    <t>related to the construction of your main home, even if the improvements were made after you moved</t>
  </si>
  <si>
    <t>into the home.</t>
  </si>
  <si>
    <t>Enter the cost of insulation material or system (include air sealing material or</t>
  </si>
  <si>
    <t>system) specifically and primarily designed to reduce heat loss or gain of your</t>
  </si>
  <si>
    <t>home that meets the criteria established by the IECC. (See instructions.)</t>
  </si>
  <si>
    <t>Enter the cost of the most expensive door you bought</t>
  </si>
  <si>
    <t>19d</t>
  </si>
  <si>
    <t>Windows and skylights that meet the Energy Star certification requirements.</t>
  </si>
  <si>
    <t>Section B -- Residential Energy Property Expenditures</t>
  </si>
  <si>
    <t>19e</t>
  </si>
  <si>
    <t>Did you incur costs for qualified energy property installed on or in connection with a home located in</t>
  </si>
  <si>
    <t>If you checked the “No” box for line 21a or 21b, you cannot claim the credit for your residential</t>
  </si>
  <si>
    <t>energy property costs. Skip lines 22 through 25 and line 29. Go to line 26.</t>
  </si>
  <si>
    <t>Enter the complete address of each home where you installed qualified energy property.</t>
  </si>
  <si>
    <t>Unit No.</t>
  </si>
  <si>
    <t>assembly, and original installation). (See instructions.)</t>
  </si>
  <si>
    <r>
      <rPr>
        <sz val="11"/>
        <rFont val="Arial"/>
        <family val="2"/>
      </rPr>
      <t xml:space="preserve">Page </t>
    </r>
    <r>
      <rPr>
        <b/>
        <sz val="14"/>
        <rFont val="Arial"/>
        <family val="2"/>
      </rPr>
      <t>2</t>
    </r>
  </si>
  <si>
    <t>Home energy audits.</t>
  </si>
  <si>
    <t>26a</t>
  </si>
  <si>
    <t>Did you incur costs for a home energy audit that included an inspection of your main home located in</t>
  </si>
  <si>
    <t>the United States and a written report prepared by a certified home energy auditor? (See instructions.)</t>
  </si>
  <si>
    <t>26b</t>
  </si>
  <si>
    <t>Enter the cost of the home energy audits</t>
  </si>
  <si>
    <t>26c</t>
  </si>
  <si>
    <t>Heat pumps and heat pump water heaters; biomass stoves and biomass boilers.</t>
  </si>
  <si>
    <t>29c</t>
  </si>
  <si>
    <t>29d</t>
  </si>
  <si>
    <t>29e</t>
  </si>
  <si>
    <t>amount on Schedule 3 (Form 1040), line 5b</t>
  </si>
  <si>
    <r>
      <t xml:space="preserve">Skip  lines 1 through 11  if you only have a </t>
    </r>
    <r>
      <rPr>
        <b/>
        <sz val="14"/>
        <rFont val="Arial"/>
        <family val="2"/>
      </rPr>
      <t>credit carryforward from</t>
    </r>
  </si>
  <si>
    <t>Residential Clean Energy Credit Limit Worksheet—Line 14</t>
  </si>
  <si>
    <t>Enter the total of the preceding credit(s)/adjustment(s), only if allowed and taken on</t>
  </si>
  <si>
    <t>Not all credits/adjustments are available for all years nor for all filers.</t>
  </si>
  <si>
    <t>Subtract line 2 from line 1. Also enter this amount on Form 5695, line 14.</t>
  </si>
  <si>
    <t>If zero or less, enter -0- on Form 5695, lines 14 and 15</t>
  </si>
  <si>
    <t>Limit Worksheet B.</t>
  </si>
  <si>
    <t>from Form 1040, 1040-SR, or 1040-NR, line 19, if the instructions for Schedule 8812 (Form 1040) direct you to complete Credit</t>
  </si>
  <si>
    <t>*Include the amount in the instructions for Schedule 8812 (Form 1040), Credit Limit Worksheet B, line 14, instead of the amount</t>
  </si>
  <si>
    <t>Amount on Schedule 3 (Form 1040), line 6l.</t>
  </si>
  <si>
    <r>
      <rPr>
        <b/>
        <sz val="12"/>
        <rFont val="Arial"/>
        <family val="2"/>
      </rPr>
      <t>Retirement Savings Contributions Credit</t>
    </r>
    <r>
      <rPr>
        <sz val="12"/>
        <rFont val="Arial"/>
        <family val="2"/>
      </rPr>
      <t>, Schedule 3 (Form 1040), line 4</t>
    </r>
  </si>
  <si>
    <r>
      <rPr>
        <b/>
        <sz val="12"/>
        <rFont val="Arial"/>
        <family val="2"/>
      </rPr>
      <t>Nonrefundable Education Credits</t>
    </r>
    <r>
      <rPr>
        <sz val="12"/>
        <rFont val="Arial"/>
        <family val="2"/>
      </rPr>
      <t>, Schedule 3 (Form 1040), line 3</t>
    </r>
  </si>
  <si>
    <r>
      <rPr>
        <b/>
        <sz val="12"/>
        <rFont val="Arial"/>
        <family val="2"/>
      </rPr>
      <t>Credit for the Elderly or the Disabled</t>
    </r>
    <r>
      <rPr>
        <sz val="12"/>
        <rFont val="Arial"/>
        <family val="2"/>
      </rPr>
      <t>, Schedule 3 (Form 1040), line 6d</t>
    </r>
  </si>
  <si>
    <r>
      <rPr>
        <b/>
        <sz val="12"/>
        <rFont val="Arial"/>
        <family val="2"/>
      </rPr>
      <t>Credit for Child and Dependent Care Expenses</t>
    </r>
    <r>
      <rPr>
        <sz val="12"/>
        <rFont val="Arial"/>
        <family val="2"/>
      </rPr>
      <t>, Schedule 3 (Form 1040), line 2  (Care Expenses)</t>
    </r>
  </si>
  <si>
    <r>
      <rPr>
        <b/>
        <sz val="12"/>
        <rFont val="Arial"/>
        <family val="2"/>
      </rPr>
      <t>Foreign Tax Credit</t>
    </r>
    <r>
      <rPr>
        <sz val="12"/>
        <rFont val="Arial"/>
        <family val="2"/>
      </rPr>
      <t>, Schedule 3 (Form 1040), line 1</t>
    </r>
  </si>
  <si>
    <r>
      <rPr>
        <b/>
        <sz val="12"/>
        <rFont val="Arial"/>
        <family val="2"/>
      </rPr>
      <t>Energy efficient home improvement credit</t>
    </r>
    <r>
      <rPr>
        <sz val="12"/>
        <rFont val="Arial"/>
        <family val="2"/>
      </rPr>
      <t>, Form 5695, line 32*</t>
    </r>
  </si>
  <si>
    <r>
      <rPr>
        <b/>
        <sz val="12"/>
        <rFont val="Arial"/>
        <family val="2"/>
      </rPr>
      <t>Credit for previously owned clean vehicles</t>
    </r>
    <r>
      <rPr>
        <sz val="12"/>
        <rFont val="Arial"/>
        <family val="2"/>
      </rPr>
      <t>, Schedule 3 (Form 1040), line 6m</t>
    </r>
  </si>
  <si>
    <r>
      <rPr>
        <b/>
        <sz val="12"/>
        <rFont val="Arial"/>
        <family val="2"/>
      </rPr>
      <t>Clean Vehicle Credit</t>
    </r>
    <r>
      <rPr>
        <sz val="12"/>
        <rFont val="Arial"/>
        <family val="2"/>
      </rPr>
      <t>, Schedule 3 (Form 1040), line 6f</t>
    </r>
  </si>
  <si>
    <r>
      <rPr>
        <b/>
        <sz val="12"/>
        <rFont val="Arial"/>
        <family val="2"/>
      </rPr>
      <t>Child tax credit or credit for other dependents</t>
    </r>
    <r>
      <rPr>
        <sz val="12"/>
        <rFont val="Arial"/>
        <family val="2"/>
      </rPr>
      <t>, Form 1040, 1040-SR, or 1040-NR, line 19*</t>
    </r>
  </si>
  <si>
    <r>
      <rPr>
        <b/>
        <sz val="12"/>
        <rFont val="Arial"/>
        <family val="2"/>
      </rPr>
      <t>Mortgage Interest Credit</t>
    </r>
    <r>
      <rPr>
        <sz val="12"/>
        <rFont val="Arial"/>
        <family val="2"/>
      </rPr>
      <t>, Schedule 3 (Form 1040), line 6g</t>
    </r>
  </si>
  <si>
    <r>
      <rPr>
        <b/>
        <sz val="12"/>
        <rFont val="Arial"/>
        <family val="2"/>
      </rPr>
      <t>Adoption Credit</t>
    </r>
    <r>
      <rPr>
        <sz val="12"/>
        <rFont val="Arial"/>
        <family val="2"/>
      </rPr>
      <t>, Schedule 3 (Form 1040), line 6c</t>
    </r>
  </si>
  <si>
    <r>
      <rPr>
        <b/>
        <sz val="12"/>
        <rFont val="Arial"/>
        <family val="2"/>
      </rPr>
      <t>Carryforward of the District of Columbia First-Time Homebuyer Credit</t>
    </r>
    <r>
      <rPr>
        <sz val="12"/>
        <rFont val="Arial"/>
        <family val="2"/>
      </rPr>
      <t>, Schedule 3 (Form 1040), line 6h</t>
    </r>
  </si>
  <si>
    <t>Enter the amount from Form 1040, 1040-SR, or 1040-NR, line 18  (Tax)</t>
  </si>
  <si>
    <r>
      <t xml:space="preserve">(Amount on Form 8978, </t>
    </r>
    <r>
      <rPr>
        <b/>
        <sz val="12"/>
        <rFont val="Arial"/>
        <family val="2"/>
      </rPr>
      <t>Partner's Additional Reporting Year Tax</t>
    </r>
    <r>
      <rPr>
        <sz val="12"/>
        <rFont val="Arial"/>
        <family val="2"/>
      </rPr>
      <t>, line 14.)</t>
    </r>
  </si>
  <si>
    <t>at least 3 kilowatt hours? (See instructions.)</t>
  </si>
  <si>
    <t>If you checked the “No” box, you cannot claim a credit for qualified battery storage technology</t>
  </si>
  <si>
    <t>Skip lines 7b through 11</t>
  </si>
  <si>
    <t>If you checked the “No” box, you cannot claim a credit for qualified fuel cell property.</t>
  </si>
  <si>
    <t>Energy Efficient Home Improvement Credit Limit Worksheet—Line 31</t>
  </si>
  <si>
    <t>Subtract line 2 from line 1. Also enter this amount on Form 5695, line 31.</t>
  </si>
  <si>
    <t>If zero or less, enter -0- on Form 5695, lines 31 and 32</t>
  </si>
  <si>
    <t>Qualified fuel cell property. Was qualified fuel cell property installed on, or in connection</t>
  </si>
  <si>
    <r>
      <t xml:space="preserve">with, your </t>
    </r>
    <r>
      <rPr>
        <b/>
        <sz val="12"/>
        <rFont val="Arial"/>
        <family val="2"/>
      </rPr>
      <t>main home</t>
    </r>
    <r>
      <rPr>
        <sz val="12"/>
        <rFont val="Arial"/>
        <family val="2"/>
      </rPr>
      <t xml:space="preserve"> located in the United States? (See instructions.)</t>
    </r>
  </si>
  <si>
    <t>Exterior doors that meet the applicable Energy Star requirements</t>
  </si>
  <si>
    <t xml:space="preserve">.   .   .   .   .   .   .   .   .   .   .   .   .   .   .   .   .   .   .   .   .   .   .   .   .   .   .   .   .   .   .   .   .   .   .   .   .   .   .   .   .  </t>
  </si>
  <si>
    <t>Program paymts included on Schedule F, line 4b, or listed on Schedule K-1 (Form 1065), box 20, code AQ</t>
  </si>
  <si>
    <r>
      <t xml:space="preserve">Go to </t>
    </r>
    <r>
      <rPr>
        <b/>
        <i/>
        <sz val="10"/>
        <rFont val="Arial"/>
        <family val="2"/>
      </rPr>
      <t>www.irs.gov/Form2441</t>
    </r>
    <r>
      <rPr>
        <b/>
        <sz val="10"/>
        <rFont val="Arial"/>
        <family val="2"/>
      </rPr>
      <t xml:space="preserve"> for instructions and the latest information.</t>
    </r>
  </si>
  <si>
    <r>
      <t xml:space="preserve">Enter total  amount of </t>
    </r>
    <r>
      <rPr>
        <b/>
        <sz val="11"/>
        <rFont val="Arial"/>
        <family val="2"/>
      </rPr>
      <t>dependent care benefits</t>
    </r>
  </si>
  <si>
    <r>
      <t>(c)</t>
    </r>
    <r>
      <rPr>
        <sz val="8"/>
        <rFont val="Arial"/>
        <family val="2"/>
      </rPr>
      <t xml:space="preserve"> </t>
    </r>
    <r>
      <rPr>
        <b/>
        <sz val="8"/>
        <rFont val="Arial"/>
        <family val="2"/>
      </rPr>
      <t>Qualified expenses</t>
    </r>
    <r>
      <rPr>
        <sz val="8"/>
        <rFont val="Arial"/>
        <family val="2"/>
      </rPr>
      <t xml:space="preserve"> you</t>
    </r>
  </si>
  <si>
    <r>
      <t xml:space="preserve">Information about your </t>
    </r>
    <r>
      <rPr>
        <b/>
        <sz val="11"/>
        <rFont val="Arial"/>
        <family val="2"/>
      </rPr>
      <t>qualifying person(s).</t>
    </r>
    <r>
      <rPr>
        <sz val="11"/>
        <rFont val="Arial"/>
        <family val="2"/>
      </rPr>
      <t xml:space="preserve"> </t>
    </r>
  </si>
  <si>
    <r>
      <t xml:space="preserve">1. The amount shown on </t>
    </r>
    <r>
      <rPr>
        <b/>
        <sz val="10"/>
        <rFont val="Arial"/>
        <family val="2"/>
      </rPr>
      <t>Form 1040</t>
    </r>
    <r>
      <rPr>
        <sz val="10"/>
        <rFont val="Arial"/>
        <family val="2"/>
      </rPr>
      <t xml:space="preserve">, </t>
    </r>
    <r>
      <rPr>
        <b/>
        <sz val="10"/>
        <rFont val="Arial"/>
        <family val="2"/>
      </rPr>
      <t>line 1z</t>
    </r>
    <r>
      <rPr>
        <sz val="10"/>
        <rFont val="Arial"/>
        <family val="2"/>
      </rPr>
      <t>;  (W-2, line 1)</t>
    </r>
  </si>
  <si>
    <r>
      <rPr>
        <b/>
        <sz val="10"/>
        <rFont val="Arial"/>
        <family val="2"/>
      </rPr>
      <t xml:space="preserve">TIP: </t>
    </r>
    <r>
      <rPr>
        <sz val="10"/>
        <rFont val="Arial"/>
        <family val="2"/>
      </rPr>
      <t xml:space="preserve">You can elect to include your nontaxable combat pay in earned income when figuring your credit, even if you elect not to include it in earned income for the earned income credit (EIC) or the exclusion or deduction for child and dependent care benefits. 
</t>
    </r>
    <r>
      <rPr>
        <b/>
        <sz val="10"/>
        <rFont val="Arial"/>
        <family val="2"/>
      </rPr>
      <t xml:space="preserve">CAUTION: </t>
    </r>
    <r>
      <rPr>
        <sz val="10"/>
        <rFont val="Arial"/>
        <family val="2"/>
      </rPr>
      <t>You must reduce your earned income by any loss from self-employment.
Child support payments received by you aren't included in your gross income and aren't considered as earned income for figuring this credit.
See Pub. 503 for additional details on what is considered earned income.  See instructions.</t>
    </r>
  </si>
  <si>
    <t xml:space="preserve">.    .   .   .   .   .   .   .   .   .   .   .   .   .   .   .   .   .   .   .   .   .   .   .   .   .   .   .   .   . </t>
  </si>
  <si>
    <r>
      <rPr>
        <sz val="9"/>
        <rFont val="Arial"/>
        <family val="2"/>
      </rPr>
      <t xml:space="preserve">enter   </t>
    </r>
    <r>
      <rPr>
        <b/>
        <sz val="10"/>
        <rFont val="Arial"/>
        <family val="2"/>
      </rPr>
      <t xml:space="preserve">.   .   .   .   .  </t>
    </r>
  </si>
  <si>
    <t xml:space="preserve">.   .   .   .   .   .   .   .   .   .   .   .   .   .   .   .   .   .   .   .   .   .   .   .   .   .   .   .   .   .   .   .   .   .   .   . </t>
  </si>
  <si>
    <r>
      <t xml:space="preserve">Allowable operating expenses. Enter the </t>
    </r>
    <r>
      <rPr>
        <b/>
        <sz val="12"/>
        <rFont val="Arial"/>
        <family val="2"/>
      </rPr>
      <t>smaller</t>
    </r>
    <r>
      <rPr>
        <sz val="12"/>
        <rFont val="Arial"/>
        <family val="2"/>
      </rPr>
      <t xml:space="preserve"> of line 15 or line 26</t>
    </r>
  </si>
  <si>
    <t xml:space="preserve"> .   .   .   .   .   .   .   .   .   .   .  </t>
  </si>
  <si>
    <r>
      <t xml:space="preserve">Allowable excess casualty losses and depreciation. Enter the </t>
    </r>
    <r>
      <rPr>
        <b/>
        <sz val="12"/>
        <rFont val="Arial"/>
        <family val="2"/>
      </rPr>
      <t>smaller</t>
    </r>
    <r>
      <rPr>
        <sz val="12"/>
        <rFont val="Arial"/>
        <family val="2"/>
      </rPr>
      <t xml:space="preserve"> of line 28 or line 32</t>
    </r>
  </si>
  <si>
    <r>
      <rPr>
        <b/>
        <sz val="12"/>
        <rFont val="Arial"/>
        <family val="2"/>
      </rPr>
      <t xml:space="preserve">Allowable expenses for business use of your home. </t>
    </r>
    <r>
      <rPr>
        <sz val="12"/>
        <rFont val="Arial"/>
        <family val="2"/>
      </rPr>
      <t>Subtract line 35 from line 34. Enter here</t>
    </r>
  </si>
  <si>
    <r>
      <t xml:space="preserve">Enter the </t>
    </r>
    <r>
      <rPr>
        <b/>
        <sz val="12"/>
        <rFont val="Arial"/>
        <family val="2"/>
      </rPr>
      <t>smaller</t>
    </r>
    <r>
      <rPr>
        <sz val="12"/>
        <rFont val="Arial"/>
        <family val="2"/>
      </rPr>
      <t xml:space="preserve"> of your home’s adjusted basis or its fair market value. See instructions</t>
    </r>
  </si>
  <si>
    <r>
      <t xml:space="preserve">Depreciation allowable (see instructions). Multiply line 40 by line 41. Enter here and on line 30 above   </t>
    </r>
    <r>
      <rPr>
        <b/>
        <sz val="12"/>
        <rFont val="Arial"/>
        <family val="2"/>
      </rPr>
      <t>.</t>
    </r>
  </si>
  <si>
    <r>
      <rPr>
        <sz val="10"/>
        <rFont val="Arial"/>
        <family val="2"/>
      </rPr>
      <t xml:space="preserve">Form </t>
    </r>
    <r>
      <rPr>
        <b/>
        <sz val="12"/>
        <rFont val="Arial"/>
        <family val="2"/>
      </rPr>
      <t>8829</t>
    </r>
  </si>
  <si>
    <r>
      <t xml:space="preserve">Casualty loss portion, if any, from lines 14 and 33. Carry amount to </t>
    </r>
    <r>
      <rPr>
        <b/>
        <sz val="12"/>
        <rFont val="Arial"/>
        <family val="2"/>
      </rPr>
      <t>Form 4684</t>
    </r>
    <r>
      <rPr>
        <sz val="12"/>
        <rFont val="Arial"/>
        <family val="2"/>
      </rPr>
      <t>. See instructions</t>
    </r>
    <r>
      <rPr>
        <b/>
        <sz val="12"/>
        <rFont val="Arial"/>
        <family val="2"/>
      </rPr>
      <t xml:space="preserve">  .   .   .</t>
    </r>
  </si>
  <si>
    <r>
      <t xml:space="preserve">and on Schedule C, line 30. If your home was used for more than one business, see instructions </t>
    </r>
    <r>
      <rPr>
        <b/>
        <sz val="12"/>
        <rFont val="Arial"/>
        <family val="2"/>
      </rPr>
      <t xml:space="preserve">  .   .   .</t>
    </r>
  </si>
  <si>
    <t>.   .    .   .   .   .   .</t>
  </si>
  <si>
    <t>Check lines 2 and 3 for amount changes.</t>
  </si>
  <si>
    <t>Qualified Dividends and Capital Gain Tax Worksheet*, Schedule D Tax Worksheet*, or Form 8615</t>
  </si>
  <si>
    <t>whichever applies. See the instructions for Form 1040 or 1040-SR, line 16 to see which tax</t>
  </si>
  <si>
    <t>Form 2555 (relating to foreign earned income), enter the amount from</t>
  </si>
  <si>
    <t>Enter the amount from Form 1040 or 1040-SR, line 15.  However, if you are filing</t>
  </si>
  <si>
    <t>Check lines 6 and 13 for amount changes.</t>
  </si>
  <si>
    <r>
      <t xml:space="preserve">(explained later under </t>
    </r>
    <r>
      <rPr>
        <i/>
        <sz val="10"/>
        <rFont val="Arial"/>
        <family val="2"/>
      </rPr>
      <t>Definitions and Special Rules</t>
    </r>
    <r>
      <rPr>
        <sz val="10"/>
        <rFont val="Arial"/>
        <family val="2"/>
      </rPr>
      <t>)?</t>
    </r>
  </si>
  <si>
    <t>Check Step 2, line 2, for amount changes.
Check Worksheet A, Part 2, line 5, for amount changes.</t>
  </si>
  <si>
    <t>All, except MFJ</t>
  </si>
  <si>
    <t>If the Worksheet Amount is:</t>
  </si>
  <si>
    <t>AGI</t>
  </si>
  <si>
    <t>MaxEITC</t>
  </si>
  <si>
    <t>MaxAGI-1</t>
  </si>
  <si>
    <t>MaxAGI-2</t>
  </si>
  <si>
    <t>MaxAGI-3</t>
  </si>
  <si>
    <t>Slope-1</t>
  </si>
  <si>
    <t>Slope-2</t>
  </si>
  <si>
    <t>Slope-3</t>
  </si>
  <si>
    <r>
      <rPr>
        <b/>
        <sz val="12"/>
        <rFont val="Arial"/>
        <family val="2"/>
      </rPr>
      <t>Energy efficient home improvement credit.</t>
    </r>
    <r>
      <rPr>
        <sz val="12"/>
        <rFont val="Arial"/>
        <family val="2"/>
      </rPr>
      <t xml:space="preserve"> Enter the smaller of line 30 or line 31. Also include this</t>
    </r>
  </si>
  <si>
    <r>
      <t xml:space="preserve">If you wish to deduct </t>
    </r>
    <r>
      <rPr>
        <i/>
        <sz val="9"/>
        <rFont val="Arial"/>
        <family val="2"/>
      </rPr>
      <t>General Sales Tax</t>
    </r>
    <r>
      <rPr>
        <sz val="9"/>
        <rFont val="Arial"/>
        <family val="2"/>
      </rPr>
      <t>, enter the tax amount in Column R and place an 'X' in box 5a.</t>
    </r>
  </si>
  <si>
    <t>Single or HOH</t>
  </si>
  <si>
    <t>MFJ or QSS</t>
  </si>
  <si>
    <t xml:space="preserve">  </t>
  </si>
  <si>
    <t>If married filing a joint return, enter your spouse's</t>
  </si>
  <si>
    <t>earned income (if you or your spouse was a</t>
  </si>
  <si>
    <t>student or was disabled, see the</t>
  </si>
  <si>
    <t>instructions for line 5).</t>
  </si>
  <si>
    <t>If married filing separately, see instructions</t>
  </si>
  <si>
    <t>All others, enter the amount from line 18.</t>
  </si>
  <si>
    <r>
      <t xml:space="preserve">Exception. </t>
    </r>
    <r>
      <rPr>
        <sz val="11"/>
        <rFont val="Arial"/>
        <family val="2"/>
      </rPr>
      <t>If you</t>
    </r>
  </si>
  <si>
    <r>
      <rPr>
        <b/>
        <sz val="10"/>
        <rFont val="Arial"/>
        <family val="2"/>
      </rPr>
      <t>Line 2b</t>
    </r>
    <r>
      <rPr>
        <sz val="10"/>
        <rFont val="Arial"/>
        <family val="2"/>
      </rPr>
      <t xml:space="preserve"> Enter on line 2b the combined modified AGI for your dependents who are required to file an income tax return because of their income meets the income tax return filing threshold. Use Worksheet 1-2 to figure the dependents' combined modified AGI.  Do not include the modified AGI of dependents who are filing a tax return only to claim a refund of tax withheld or estimated tax. </t>
    </r>
  </si>
  <si>
    <t>.  .  .  .  .  .  .  .  .  .  .  .  .  .  .  .  .  .  .  .  .  .  .  .  .  .  .  .</t>
  </si>
  <si>
    <t>Short-Term.</t>
  </si>
  <si>
    <t>Transactions involving capital assets you  held 1  year  or  less are generally short-term (see</t>
  </si>
  <si>
    <t>Long-Term.</t>
  </si>
  <si>
    <t>Transactions involving capital assets  you  held more  than  1  year are generally long-term (see</t>
  </si>
  <si>
    <t>There are three (3) Form 1116s on this sheet.</t>
  </si>
  <si>
    <t>Sch. 1, line 8z</t>
  </si>
  <si>
    <t xml:space="preserve">From 1099-G, line 5  </t>
  </si>
  <si>
    <t xml:space="preserve">From 1099-G, line 6  </t>
  </si>
  <si>
    <t>Schedule 8812, Instructions, Credit Limit Worksheet B, line 3.</t>
  </si>
  <si>
    <t>Schedule 8812, Credits for Qualifying Children and Other Dependents, line 18a, and/or</t>
  </si>
  <si>
    <r>
      <t xml:space="preserve">-   line 2 of the </t>
    </r>
    <r>
      <rPr>
        <b/>
        <sz val="10"/>
        <rFont val="Arial"/>
        <family val="2"/>
      </rPr>
      <t>Line 12, Standard Deductions for Dependents, Worksheet,</t>
    </r>
  </si>
  <si>
    <r>
      <t xml:space="preserve">-   line 18a of </t>
    </r>
    <r>
      <rPr>
        <b/>
        <sz val="10"/>
        <rFont val="Arial"/>
        <family val="2"/>
      </rPr>
      <t>Schedule 8812, Credits for Qualifying Children and Other Dependents</t>
    </r>
    <r>
      <rPr>
        <sz val="10"/>
        <rFont val="Arial"/>
        <family val="2"/>
      </rPr>
      <t xml:space="preserve">,  and/or </t>
    </r>
  </si>
  <si>
    <r>
      <t xml:space="preserve">-   line 3 of </t>
    </r>
    <r>
      <rPr>
        <b/>
        <sz val="10"/>
        <rFont val="Arial"/>
        <family val="2"/>
      </rPr>
      <t>Credit Limit Worksheet B</t>
    </r>
    <r>
      <rPr>
        <sz val="10"/>
        <rFont val="Arial"/>
        <family val="2"/>
      </rPr>
      <t xml:space="preserve"> in Schedule 8812 instructions.</t>
    </r>
  </si>
  <si>
    <t>Source: Form 1040, line 1z.</t>
  </si>
  <si>
    <t>Note from Standard Deduction Worksheet for Dependents -- Line 12</t>
  </si>
  <si>
    <r>
      <t xml:space="preserve">Earned income includes wages, salaries, tips, professional fees, and other compensation received for personal services you performed. It also includes any taxable scholarship or fellowship grant. </t>
    </r>
    <r>
      <rPr>
        <i/>
        <u/>
        <sz val="10"/>
        <rFont val="Arial"/>
        <family val="2"/>
      </rPr>
      <t>Generally</t>
    </r>
    <r>
      <rPr>
        <i/>
        <sz val="10"/>
        <rFont val="Arial"/>
        <family val="2"/>
      </rPr>
      <t>, your earned income is the total of the amount(s) you reported on Form 1040 or 1040-SR, line 1z, and Schedule 1, line 3 (Sch. C), line 6 (Sch. F), line 8r (Scholarships not reported on W-2), line 8t (Non-Qualified Pension/Annuity), and line 8u (Prison Pay) minus the amount, if any, on Schedule 1, line 15.</t>
    </r>
  </si>
  <si>
    <t>Otherwise, skip lines 2a through 2e and go to line 2f.</t>
  </si>
  <si>
    <t>Sch. C, line 1 (if box is checked)</t>
  </si>
  <si>
    <t>If line 2c is a profit, enter the smaller of line 2c or line 2d.</t>
  </si>
  <si>
    <t>If line 2c is a (loss), enter the (loss) from line 2c</t>
  </si>
  <si>
    <t>f.</t>
  </si>
  <si>
    <r>
      <t xml:space="preserve">Enter </t>
    </r>
    <r>
      <rPr>
        <b/>
        <sz val="10"/>
        <rFont val="Arial"/>
        <family val="2"/>
      </rPr>
      <t>Scholarships not Reported on W-2</t>
    </r>
    <r>
      <rPr>
        <sz val="10"/>
        <rFont val="Arial"/>
        <family val="2"/>
      </rPr>
      <t xml:space="preserve"> from </t>
    </r>
    <r>
      <rPr>
        <i/>
        <sz val="10"/>
        <rFont val="Arial"/>
        <family val="2"/>
      </rPr>
      <t>Schedule 1 line 8r</t>
    </r>
  </si>
  <si>
    <t>2f.</t>
  </si>
  <si>
    <t>Sch. 1, line 8r</t>
  </si>
  <si>
    <t>g.</t>
  </si>
  <si>
    <r>
      <t xml:space="preserve">Enter </t>
    </r>
    <r>
      <rPr>
        <b/>
        <sz val="10"/>
        <rFont val="Arial"/>
        <family val="2"/>
      </rPr>
      <t>Non-Qualified Pension/Annuity Income</t>
    </r>
    <r>
      <rPr>
        <sz val="10"/>
        <rFont val="Arial"/>
        <family val="2"/>
      </rPr>
      <t xml:space="preserve"> from </t>
    </r>
    <r>
      <rPr>
        <i/>
        <sz val="10"/>
        <rFont val="Arial"/>
        <family val="2"/>
      </rPr>
      <t>Schedule 1 line 8t</t>
    </r>
  </si>
  <si>
    <t>2g.</t>
  </si>
  <si>
    <t>Sch. 1, line 8t</t>
  </si>
  <si>
    <t>h.</t>
  </si>
  <si>
    <r>
      <t xml:space="preserve">Enter </t>
    </r>
    <r>
      <rPr>
        <b/>
        <sz val="10"/>
        <rFont val="Arial"/>
        <family val="2"/>
      </rPr>
      <t>Wages While Incarcerated</t>
    </r>
    <r>
      <rPr>
        <sz val="10"/>
        <rFont val="Arial"/>
        <family val="2"/>
      </rPr>
      <t xml:space="preserve"> from </t>
    </r>
    <r>
      <rPr>
        <i/>
        <sz val="10"/>
        <rFont val="Arial"/>
        <family val="2"/>
      </rPr>
      <t>Schedule 1 line 8u</t>
    </r>
  </si>
  <si>
    <t>2h.</t>
  </si>
  <si>
    <t>Sch. 1, line 8u</t>
  </si>
  <si>
    <t>Instead, enter -0- on line 18a of Schedule 8812, line 3 of the Credit Limit Worksheet B, or</t>
  </si>
  <si>
    <t>on the Line 12, Standard Deduction for Dependents Worksheet, whichever applies.</t>
  </si>
  <si>
    <t>If more than zero, continue to line 4.</t>
  </si>
  <si>
    <t>Enter the Medicaid waiver payment amounts excluded from income on Schedule 1 (Form 1040), 
line 8s, unless you choose to include these amounts in earned income. See the instructions for Schedule 1, line 8s. If you and your spouse both received Medicaid waiver payments during the year, you and your spouse can make different choices about including the full amount of your payments in earned income. Enter only the amount of the Medicaid waiver payments that you or your spouse, if filing a joint return, do not want to include in earned income. 
To include all nontaxable Medicaid waiver payment amounts in earned income, enter -0-</t>
  </si>
  <si>
    <t>Enter the amount from Schedule 1 (Form 1040), line 15</t>
  </si>
  <si>
    <t>Add lines 4 and 5</t>
  </si>
  <si>
    <r>
      <t xml:space="preserve">If you were sent here from </t>
    </r>
    <r>
      <rPr>
        <b/>
        <sz val="10"/>
        <rFont val="Arial"/>
        <family val="2"/>
      </rPr>
      <t>Credit Limit Worksheet B</t>
    </r>
    <r>
      <rPr>
        <sz val="10"/>
        <rFont val="Arial"/>
        <family val="2"/>
      </rPr>
      <t>, enter this amount on line 3 of that worksheet.</t>
    </r>
  </si>
  <si>
    <t>services as an employee, your total compensation</t>
  </si>
  <si>
    <t>from all sources is $250,000 or more, and you</t>
  </si>
  <si>
    <t>used an alternative basis to determine its source</t>
  </si>
  <si>
    <t>https://sites.google.com/view/incometaxspreadsheet/home</t>
  </si>
  <si>
    <t>Spreadsheet Revision Date/Time:</t>
  </si>
  <si>
    <t>Venmo</t>
  </si>
  <si>
    <t>https://www.venmo.com</t>
  </si>
  <si>
    <t>(Send to:  @Glenn-Reeves-2 )</t>
  </si>
  <si>
    <t>https://www.irs.gov/instructions/i1099mec</t>
  </si>
  <si>
    <r>
      <rPr>
        <b/>
        <sz val="9"/>
        <rFont val="Arial"/>
        <family val="2"/>
      </rPr>
      <t>HSA deduction.</t>
    </r>
    <r>
      <rPr>
        <sz val="9"/>
        <rFont val="Arial"/>
        <family val="2"/>
      </rPr>
      <t xml:space="preserve"> (see instructions)</t>
    </r>
  </si>
  <si>
    <r>
      <rPr>
        <b/>
        <sz val="8"/>
        <rFont val="Arial"/>
        <family val="2"/>
      </rPr>
      <t>Line 13</t>
    </r>
    <r>
      <rPr>
        <sz val="8"/>
        <rFont val="Arial"/>
        <family val="2"/>
      </rPr>
      <t xml:space="preserve">
Generally, enter the smaller of line 2 or line 12 on line 13 and
on Schedule 1 (Form 1040), Part II, line 13. However, if the
amount on line 2 is more than the amount on line 13, you or
someone on your behalf (or your employer) contributed more
to your HSA than is allowable and you may have to pay an
additional tax on the excess contributions. Figure the excess
contributions using the following instructions. See Form
5329, Additional Taxes on Qualified Plans (Including IRAs)
and Other Tax-Favored Accounts, to figure the additional tax.
</t>
    </r>
    <r>
      <rPr>
        <b/>
        <sz val="8"/>
        <rFont val="Arial"/>
        <family val="2"/>
      </rPr>
      <t>Note.</t>
    </r>
    <r>
      <rPr>
        <sz val="8"/>
        <rFont val="Arial"/>
        <family val="2"/>
      </rPr>
      <t xml:space="preserve"> If the amount on line 2 is less than the amount on
line 12 and you have prior year excess contributions, see
instructions.
See instructions for Form 8889 for more regarding line 13.</t>
    </r>
  </si>
  <si>
    <r>
      <rPr>
        <sz val="9"/>
        <rFont val="Arial"/>
        <family val="2"/>
      </rPr>
      <t xml:space="preserve">enter      </t>
    </r>
    <r>
      <rPr>
        <b/>
        <sz val="10"/>
        <rFont val="Arial"/>
        <family val="2"/>
      </rPr>
      <t xml:space="preserve">.   .   .   .   .  </t>
    </r>
    <r>
      <rPr>
        <b/>
        <sz val="9"/>
        <rFont val="Arial"/>
        <family val="2"/>
      </rPr>
      <t xml:space="preserve"> </t>
    </r>
  </si>
  <si>
    <t>See instructions at right     &gt;&gt;&gt;</t>
  </si>
  <si>
    <t>Tie lines 5 and 6 to previous year standard deduction amounts.</t>
  </si>
  <si>
    <t>Update line 1b limits and line 2 IRA deduction amounts</t>
  </si>
  <si>
    <t xml:space="preserve"> .   .   .   .   .   .   .   .   .   .   .   .   .   .   .   .   .   .   .   .   .   .   .   .   .   .   .   .  </t>
  </si>
  <si>
    <r>
      <rPr>
        <b/>
        <sz val="10"/>
        <rFont val="Arial"/>
        <family val="2"/>
      </rPr>
      <t xml:space="preserve">Don't </t>
    </r>
    <r>
      <rPr>
        <sz val="10"/>
        <rFont val="Arial"/>
        <family val="2"/>
      </rPr>
      <t xml:space="preserve">include this amount in figuring any other deduction on your return (such as on Schedule A, C, E, etc.)   </t>
    </r>
    <r>
      <rPr>
        <b/>
        <sz val="10"/>
        <rFont val="Arial"/>
        <family val="2"/>
      </rPr>
      <t>.</t>
    </r>
  </si>
  <si>
    <t>Date of original divorce or separation agreement (see instructions):</t>
  </si>
  <si>
    <t>8v</t>
  </si>
  <si>
    <t>Digital assets received as ordinary income not reported elsewhere.</t>
  </si>
  <si>
    <t>Other refundable credits (see instructions):</t>
  </si>
  <si>
    <t>Repayment of previously owned clean vehicle credit(s) transferred to a</t>
  </si>
  <si>
    <t>registered dealer from Schedule A (Form 8936), Part IV. Attach Form 8936</t>
  </si>
  <si>
    <t>and Schedule A (Form 8936)</t>
  </si>
  <si>
    <t>Income you received from a nonqualified deferred compensation plan that</t>
  </si>
  <si>
    <t>fails to meet the requirements of section 409A</t>
  </si>
  <si>
    <t>Compensation you received from a nonqualified deferred compensation</t>
  </si>
  <si>
    <t>plan described in section 457A</t>
  </si>
  <si>
    <r>
      <t>'</t>
    </r>
    <r>
      <rPr>
        <b/>
        <sz val="9"/>
        <color rgb="FFFF0000"/>
        <rFont val="Arial"/>
        <family val="2"/>
      </rPr>
      <t xml:space="preserve">1099-R', line 2a. </t>
    </r>
    <r>
      <rPr>
        <sz val="9"/>
        <rFont val="Arial"/>
        <family val="2"/>
      </rPr>
      <t xml:space="preserve"> If your Form 1099-R shows a larger amount, use the amount on this line instead of the amount from</t>
    </r>
  </si>
  <si>
    <r>
      <rPr>
        <b/>
        <sz val="9"/>
        <rFont val="Arial"/>
        <family val="2"/>
      </rPr>
      <t>Caution:</t>
    </r>
    <r>
      <rPr>
        <sz val="9"/>
        <rFont val="Arial"/>
        <family val="2"/>
      </rPr>
      <t xml:space="preserve">  Your mortgage interest deduction may be limited. See instructions.</t>
    </r>
  </si>
  <si>
    <t>Form 1040, line 15, is zero or less.</t>
  </si>
  <si>
    <t xml:space="preserve">Sch. D, line 15 &lt;=0 OR Sch. D, line 16 &lt;=0 </t>
  </si>
  <si>
    <t>No QDs on 1040, line 3a</t>
  </si>
  <si>
    <t>Excess advance PTC repayment. Enter the smaller of line 27 or line 28 here and on Schedule 2 (Form 1040), line 1a</t>
  </si>
  <si>
    <t>Also, enter this amount on Form 1040 or 1040-SR,  line 6a</t>
  </si>
  <si>
    <t>.   .   .   .   .   .   .   .  1.</t>
  </si>
  <si>
    <t xml:space="preserve">  .   .   .   .   .</t>
  </si>
  <si>
    <t>Were any of these improvements related to the construction of this main home?</t>
  </si>
  <si>
    <t>X135</t>
  </si>
  <si>
    <t>X115</t>
  </si>
  <si>
    <t>24k</t>
  </si>
  <si>
    <r>
      <rPr>
        <b/>
        <sz val="11"/>
        <rFont val="Arial"/>
        <family val="2"/>
      </rPr>
      <t>Penalty.</t>
    </r>
    <r>
      <rPr>
        <sz val="11"/>
        <rFont val="Arial"/>
        <family val="2"/>
      </rPr>
      <t xml:space="preserve"> Enter the total penalty from line 14 of the Worksheet for Form 2210, Part III, Section B -</t>
    </r>
  </si>
  <si>
    <t>Line18</t>
  </si>
  <si>
    <t>Earned income for figuring the amount of dependent care 
benefits you are able to exclude or deduct from your income is 
determined in the same way as earned income for figuring the 
credit is determined, as described earlier in the instructions for 
lines 4 and 5; however, for purposes of lines 18 and 19, earned 
income doesn’t include any dependent care benefits shown on 
line 12.</t>
  </si>
  <si>
    <t>Line 18</t>
  </si>
  <si>
    <r>
      <t xml:space="preserve">Add lines 4, 7 through 16, 18, and 19.  These are your </t>
    </r>
    <r>
      <rPr>
        <b/>
        <sz val="12"/>
        <rFont val="Arial"/>
        <family val="2"/>
      </rPr>
      <t>total other taxes</t>
    </r>
    <r>
      <rPr>
        <sz val="12"/>
        <rFont val="Arial"/>
        <family val="2"/>
      </rPr>
      <t>.  Enter here and</t>
    </r>
  </si>
  <si>
    <t>items sold at a loss</t>
  </si>
  <si>
    <r>
      <t xml:space="preserve">line 1z. </t>
    </r>
    <r>
      <rPr>
        <b/>
        <sz val="10"/>
        <rFont val="Arial"/>
        <family val="2"/>
      </rPr>
      <t>Estates and trusts:</t>
    </r>
    <r>
      <rPr>
        <sz val="10"/>
        <rFont val="Arial"/>
        <family val="2"/>
      </rPr>
      <t xml:space="preserve"> See instructions</t>
    </r>
  </si>
  <si>
    <r>
      <t xml:space="preserve">line 1z. </t>
    </r>
    <r>
      <rPr>
        <b/>
        <sz val="10"/>
        <rFont val="Arial"/>
        <family val="2"/>
      </rPr>
      <t>Estates and trusts:</t>
    </r>
    <r>
      <rPr>
        <sz val="10"/>
        <rFont val="Arial"/>
        <family val="2"/>
      </rPr>
      <t xml:space="preserve"> See instructions.</t>
    </r>
  </si>
  <si>
    <t>AE92</t>
  </si>
  <si>
    <t>AE72</t>
  </si>
  <si>
    <t>Effective Tax Rate</t>
  </si>
  <si>
    <t>Form 8801, Credit for Prior Year Minimum Tax - Individuals, Estates, and Trusts</t>
  </si>
  <si>
    <t>Form 8936, Clean Vehicle Credits</t>
  </si>
  <si>
    <t>1099-SEC</t>
  </si>
  <si>
    <t>1099-V, Payment Voucher for Individuals</t>
  </si>
  <si>
    <t>2210, Underpayment of Estimated Tax by Individuals, Estates, and Trusts</t>
  </si>
  <si>
    <t>No changes.</t>
  </si>
  <si>
    <t>zero or less, enter -0-. If you are filing Form 2555, see instructions for the amount to enter</t>
  </si>
  <si>
    <t>Depreciation on assets placed in service after 1986 (difference between regular tax and AMT)</t>
  </si>
  <si>
    <r>
      <t xml:space="preserve">If the amount on line 12 is more than the amount on line 14, you may be able to take the </t>
    </r>
    <r>
      <rPr>
        <b/>
        <sz val="11"/>
        <rFont val="Cambria"/>
        <family val="1"/>
        <scheme val="major"/>
      </rPr>
      <t>additional child tax credit</t>
    </r>
    <r>
      <rPr>
        <sz val="11"/>
        <rFont val="Cambria"/>
        <family val="1"/>
        <scheme val="major"/>
      </rPr>
      <t xml:space="preserve"> on Form 1040,</t>
    </r>
  </si>
  <si>
    <t>1040-SR, or 1040-NR, line 28. Complete your Form 1040 or 1040-SR through line 27a (or 1040-NR through line 26)</t>
  </si>
  <si>
    <t>(also complete Schedule 3, (Form 1040), line 11) before completing Part II-A.</t>
  </si>
  <si>
    <t>Nontaxable combat pay (see instructions)</t>
  </si>
  <si>
    <t>Enter the total of the amounts from Form 1040 or 1040-SR, line 27a,</t>
  </si>
  <si>
    <t xml:space="preserve"> Line 1a</t>
  </si>
  <si>
    <t xml:space="preserve"> Line 1d</t>
  </si>
  <si>
    <t xml:space="preserve"> Line 1c</t>
  </si>
  <si>
    <t xml:space="preserve"> Line 2a</t>
  </si>
  <si>
    <t>Self-employment tax. Attach Schedule SE. Check if any exemption from (see instructions):</t>
  </si>
  <si>
    <t>OBBBA: Implemented minimum $400 deduction for QBI &gt;=$1,000.</t>
  </si>
  <si>
    <r>
      <rPr>
        <b/>
        <sz val="10"/>
        <rFont val="Arial"/>
        <family val="2"/>
      </rPr>
      <t>Form 1040, line 13b</t>
    </r>
    <r>
      <rPr>
        <sz val="10"/>
        <rFont val="Arial"/>
        <family val="2"/>
      </rPr>
      <t>, worksheet</t>
    </r>
  </si>
  <si>
    <t>line 15, subtract line 15 from line 10. Then go to line 12</t>
  </si>
  <si>
    <t>M441</t>
  </si>
  <si>
    <t>M450</t>
  </si>
  <si>
    <t>Formatting of cells, rows, and columns is also available.</t>
  </si>
  <si>
    <t>Credit for Prior Year Minimum Tax—
Individuals, Estates, and Trusts</t>
  </si>
  <si>
    <t>Attach to Form 1040, 1040-SR, 1040-NR, or 1041.</t>
  </si>
  <si>
    <t>Go to www.irs.gov/Form8801 for instructions and the latest information.</t>
  </si>
  <si>
    <t>OMB No. 1545-1073</t>
  </si>
  <si>
    <t>8801</t>
  </si>
  <si>
    <t xml:space="preserve">  Identifying number</t>
  </si>
  <si>
    <t>This Form 8801 is for:</t>
  </si>
  <si>
    <t xml:space="preserve">Net Minimum Tax on Exclusion Items </t>
  </si>
  <si>
    <t>Enter adjustments and preferences treated as exclusion items (see instructions)</t>
  </si>
  <si>
    <t xml:space="preserve">Minimum tax credit net operating loss deduction (see instructions) </t>
  </si>
  <si>
    <t>Combine lines 1, 2, and 3. If zero or less, enter -0- here and on line 15 and go to Part II. If more than</t>
  </si>
  <si>
    <t>Subtract line 6 from line 4. If zero or less, enter -0- here and on line 8 and go to line 9</t>
  </si>
  <si>
    <t>1040-NR filers, see instructions</t>
  </si>
  <si>
    <t>1040-NR, line 7; you reported qualified dividends on Form 1040, 1040-SR, or 1040-NR, line 3a</t>
  </si>
  <si>
    <t>(lines 18a and 19, column (2), of Schedule D (Form 1041)), complete Part III of Form 8801 and</t>
  </si>
  <si>
    <t>enter the amount from line 55 here.</t>
  </si>
  <si>
    <t xml:space="preserve"> .    .   .   . </t>
  </si>
  <si>
    <t>Subtract line 8 from line 5. If zero or less, enter -0-</t>
  </si>
  <si>
    <t>Minimum tax foreign tax credit on exclusion items (see instructions)</t>
  </si>
  <si>
    <t>Tentative minimum tax on exclusion items. Subtract line 12 from line 11</t>
  </si>
  <si>
    <t xml:space="preserve">Cat. No. 10002S </t>
  </si>
  <si>
    <r>
      <rPr>
        <sz val="8"/>
        <rFont val="Arial"/>
        <family val="2"/>
      </rPr>
      <t xml:space="preserve">Form </t>
    </r>
    <r>
      <rPr>
        <b/>
        <sz val="12"/>
        <rFont val="Arial"/>
        <family val="2"/>
      </rPr>
      <t>8801</t>
    </r>
  </si>
  <si>
    <t>Enter the amount from line 15</t>
  </si>
  <si>
    <t>Subtract line 17 from line 16. If less than zero, enter as a negative amount</t>
  </si>
  <si>
    <t xml:space="preserve">Subtract line 23 from line 22. If zero or less, enter -0- </t>
  </si>
  <si>
    <t>Minimum tax credit.</t>
  </si>
  <si>
    <t>Schedule 3 (Form 1040), line 6b; or Form 1041, Schedule G, line 2c</t>
  </si>
  <si>
    <t>Subtract line 25 from line 21. Keep a record of this amount because</t>
  </si>
  <si>
    <t>you may use it in future years</t>
  </si>
  <si>
    <t>Tax Computation Using Maximum Capital Gains Rates</t>
  </si>
  <si>
    <t>Complete Part III only if you are required to do so by line 11 or by the Foreign Earned Income Tax Worksheet in the instructions.</t>
  </si>
  <si>
    <t>before completing this part.*</t>
  </si>
  <si>
    <t>3 of the Foreign Earned Income Tax Worksheet in the instructions</t>
  </si>
  <si>
    <t>Caution:</t>
  </si>
  <si>
    <t>29, and 30.</t>
  </si>
  <si>
    <t>you filed Form 1041 or 2555, see the instructions before completing lines 28,</t>
  </si>
  <si>
    <t xml:space="preserve">Schedule D (Form 1041), whichever applies (as refigured for the AMT, if necessary)* </t>
  </si>
  <si>
    <r>
      <t xml:space="preserve">Caution:  </t>
    </r>
    <r>
      <rPr>
        <sz val="12"/>
        <rFont val="Arial"/>
        <family val="2"/>
      </rPr>
      <t xml:space="preserve">If  </t>
    </r>
    <r>
      <rPr>
        <b/>
        <sz val="12"/>
        <rFont val="Arial"/>
        <family val="2"/>
      </rPr>
      <t>for</t>
    </r>
  </si>
  <si>
    <t xml:space="preserve">Worksheet, skip line 29 and enter the amount from line 28 on line 30. Otherwise, go to line 29. </t>
  </si>
  <si>
    <t>Subtract line 31 from line 27</t>
  </si>
  <si>
    <t xml:space="preserve">Subtract line 35 from line 34. If zero or less, enter -0- </t>
  </si>
  <si>
    <t>Subtract line 38 from line 37</t>
  </si>
  <si>
    <t>whichever applies. If you didn’t complete either worksheet, see instructions. Form 1041 filers, enter</t>
  </si>
  <si>
    <r>
      <t>Tax Computation Using Maximum Capital Gains Rates</t>
    </r>
    <r>
      <rPr>
        <i/>
        <sz val="12"/>
        <rFont val="Arial"/>
        <family val="2"/>
      </rPr>
      <t xml:space="preserve">  (continued)</t>
    </r>
  </si>
  <si>
    <t>Subtract line 43 from line 40. If zero or less, enter -0-</t>
  </si>
  <si>
    <r>
      <t xml:space="preserve">Enter the </t>
    </r>
    <r>
      <rPr>
        <b/>
        <sz val="12"/>
        <rFont val="Arial"/>
        <family val="2"/>
      </rPr>
      <t>smaller</t>
    </r>
    <r>
      <rPr>
        <sz val="12"/>
        <rFont val="Arial"/>
        <family val="2"/>
      </rPr>
      <t xml:space="preserve"> of line 39 or line 44</t>
    </r>
  </si>
  <si>
    <t>Add lines 38 and 45</t>
  </si>
  <si>
    <t>Subtract line 47 from line 37</t>
  </si>
  <si>
    <t>If line 29 is zero or blank, skip lines 50 through 52 and go to line 53. Otherwise, go to line 50.</t>
  </si>
  <si>
    <t>Add lines 32, 47, and 48</t>
  </si>
  <si>
    <t>Subtract line 50 from line 27</t>
  </si>
  <si>
    <t>Add lines 33, 46, 49, and 52</t>
  </si>
  <si>
    <t>this amount on line 11. Instead, enter it on line 4 of the Foreign Earned Income Tax Worksheet in the</t>
  </si>
  <si>
    <t>instructions for line 11</t>
  </si>
  <si>
    <t>you reported capital gain distributions directly on Form 1040, 1040-SR, or</t>
  </si>
  <si>
    <r>
      <t xml:space="preserve">(Form 1041, line 2b(2)); </t>
    </r>
    <r>
      <rPr>
        <b/>
        <sz val="12"/>
        <rFont val="Arial"/>
        <family val="2"/>
      </rPr>
      <t>or</t>
    </r>
    <r>
      <rPr>
        <sz val="12"/>
        <rFont val="Arial"/>
        <family val="2"/>
      </rPr>
      <t xml:space="preserve"> you had a gain on both lines 15 and 16 of Schedule D (Form 1040)</t>
    </r>
  </si>
  <si>
    <r>
      <rPr>
        <sz val="12"/>
        <rFont val="Arial"/>
        <family val="2"/>
      </rPr>
      <t xml:space="preserve">If   </t>
    </r>
    <r>
      <rPr>
        <b/>
        <sz val="12"/>
        <rFont val="Arial"/>
        <family val="2"/>
      </rPr>
      <t>for</t>
    </r>
  </si>
  <si>
    <t>Net minimum tax on exclusion items.</t>
  </si>
  <si>
    <t xml:space="preserve">Subtract line 14 from line 13. If zero or less, enter -0- </t>
  </si>
  <si>
    <t>Estate or Trust</t>
  </si>
  <si>
    <t>You and/or spouse</t>
  </si>
  <si>
    <t>Qualifying Surviving Spouse</t>
  </si>
  <si>
    <t xml:space="preserve">If lines 47 and 27 are the same, skip lines 48 through 52 and go to line 53. </t>
  </si>
  <si>
    <t>Otherwise, go to line 48.</t>
  </si>
  <si>
    <t xml:space="preserve">Combine lines 18 through 20. </t>
  </si>
  <si>
    <t>If zero or less, stop here and see the instructions</t>
  </si>
  <si>
    <t>Credit for Prior Year Minimum Tax — Individuals, Estates, and Trusts</t>
  </si>
  <si>
    <t>See Form 8801 Instructions:</t>
  </si>
  <si>
    <t>Foreign Earned Income Tax Worksheet—Line 11</t>
  </si>
  <si>
    <t>If Form 8801, line 10, is zero, don't complete this worksheet.</t>
  </si>
  <si>
    <t>Enter the amount from Form 8801, line 10</t>
  </si>
  <si>
    <t>and 50</t>
  </si>
  <si>
    <t>Enter the total amount of any itemized deductions or exclusion items you couldn't claim</t>
  </si>
  <si>
    <t>because they are related to excluded income</t>
  </si>
  <si>
    <t>you reported capital gain distributions directly on Form 1040 or 1040-SR,</t>
  </si>
  <si>
    <r>
      <t xml:space="preserve">line 7; </t>
    </r>
    <r>
      <rPr>
        <b/>
        <sz val="12"/>
        <rFont val="Arial"/>
        <family val="2"/>
      </rPr>
      <t>or</t>
    </r>
    <r>
      <rPr>
        <sz val="12"/>
        <rFont val="Arial"/>
        <family val="2"/>
      </rPr>
      <t xml:space="preserve"> you reported qualified dividends on Form 1040 or 1040-SR, line 3a; </t>
    </r>
    <r>
      <rPr>
        <b/>
        <sz val="12"/>
        <rFont val="Arial"/>
        <family val="2"/>
      </rPr>
      <t>or</t>
    </r>
    <r>
      <rPr>
        <sz val="12"/>
        <rFont val="Arial"/>
        <family val="2"/>
      </rPr>
      <t xml:space="preserve"> you had a</t>
    </r>
  </si>
  <si>
    <t xml:space="preserve">gain on both lines 15 and 16 of Schedule D (Form 1040), enter the amount from line 3 of </t>
  </si>
  <si>
    <t>this worksheet on Form 8801, line 27. Complete the rest of Part III of Form 8801. However,</t>
  </si>
  <si>
    <t>before completing Part III, see Form 2555, later, to see if you must complete Part III with</t>
  </si>
  <si>
    <t>certain modifications. Then enter the amount from Form 8801, line 55, here.</t>
  </si>
  <si>
    <t>Tax on the amount on line 2c.</t>
  </si>
  <si>
    <t>Subtract line 5 from line 4. Enter the result here and on Form 8801, line 11</t>
  </si>
  <si>
    <t>If for 2024 you claimed the foreign earned income exclusion,
housing exclusion, or housing deduction on Form 2555, you
must use the Foreign Earned Income Tax Worksheet in these
instructions to figure the amount to enter on line 11.</t>
  </si>
  <si>
    <t>Foreign Earned Income Exclusion 1</t>
  </si>
  <si>
    <t>Foreign Earned Income Exclusion 2</t>
  </si>
  <si>
    <t>Your Spouse</t>
  </si>
  <si>
    <t>Total Foreign Earned Income Exclusion (You and Spouse)</t>
  </si>
  <si>
    <t>Total Foreign Earned Income Exclusion (Both)</t>
  </si>
  <si>
    <t>Foreign Housing Deduction 1</t>
  </si>
  <si>
    <t>Foreign Housing Deduction 2</t>
  </si>
  <si>
    <t>Total Foreign Housing Deduction (You and Spouse)</t>
  </si>
  <si>
    <t>Total Foreign Housing Deduction (Both)</t>
  </si>
  <si>
    <t>Line 45_ 1</t>
  </si>
  <si>
    <t>Line 45 (You and Spouse)</t>
  </si>
  <si>
    <t>Total Line 45 (Both)</t>
  </si>
  <si>
    <r>
      <t xml:space="preserve">Add lines 28 and 29, and enter the </t>
    </r>
    <r>
      <rPr>
        <b/>
        <sz val="12"/>
        <rFont val="Arial"/>
        <family val="2"/>
      </rPr>
      <t>smaller</t>
    </r>
    <r>
      <rPr>
        <sz val="12"/>
        <rFont val="Arial"/>
        <family val="2"/>
      </rPr>
      <t xml:space="preserve"> of that result or the amount from line 10 of your</t>
    </r>
  </si>
  <si>
    <r>
      <t xml:space="preserve">Enter the </t>
    </r>
    <r>
      <rPr>
        <b/>
        <sz val="12"/>
        <rFont val="Arial"/>
        <family val="2"/>
      </rPr>
      <t>smaller</t>
    </r>
    <r>
      <rPr>
        <sz val="12"/>
        <rFont val="Arial"/>
        <family val="2"/>
      </rPr>
      <t xml:space="preserve"> of line 27 or line 30</t>
    </r>
  </si>
  <si>
    <r>
      <t xml:space="preserve">Enter the </t>
    </r>
    <r>
      <rPr>
        <b/>
        <sz val="12"/>
        <rFont val="Arial"/>
        <family val="2"/>
      </rPr>
      <t>smaller</t>
    </r>
    <r>
      <rPr>
        <sz val="12"/>
        <rFont val="Arial"/>
        <family val="2"/>
      </rPr>
      <t xml:space="preserve"> of line 27 or line 28</t>
    </r>
  </si>
  <si>
    <r>
      <t xml:space="preserve">Enter the </t>
    </r>
    <r>
      <rPr>
        <b/>
        <sz val="12"/>
        <rFont val="Arial"/>
        <family val="2"/>
      </rPr>
      <t>smaller</t>
    </r>
    <r>
      <rPr>
        <sz val="12"/>
        <rFont val="Arial"/>
        <family val="2"/>
      </rPr>
      <t xml:space="preserve"> of line 36 or line 37</t>
    </r>
  </si>
  <si>
    <t>Add lines 41 and 42</t>
  </si>
  <si>
    <r>
      <t xml:space="preserve">Enter the </t>
    </r>
    <r>
      <rPr>
        <b/>
        <sz val="12"/>
        <rFont val="Arial"/>
        <family val="2"/>
      </rPr>
      <t>smaller</t>
    </r>
    <r>
      <rPr>
        <sz val="12"/>
        <rFont val="Arial"/>
        <family val="2"/>
      </rPr>
      <t xml:space="preserve"> of line 53 or line 54 here and on line 11.</t>
    </r>
  </si>
  <si>
    <t>you claimed the foreign earned income exclusion, housing exclusion,</t>
  </si>
  <si>
    <t>instructions to figure the amount to enter here.</t>
  </si>
  <si>
    <t>or housing deduction on Form 2555, use the Foreign Earned Income Tax Worksheet in the</t>
  </si>
  <si>
    <t xml:space="preserve"> - Capital gains reported directly on line 7.</t>
  </si>
  <si>
    <t xml:space="preserve"> - Qualified dividends reported on line 3a.</t>
  </si>
  <si>
    <r>
      <rPr>
        <b/>
        <sz val="10"/>
        <rFont val="Arial"/>
        <family val="2"/>
      </rPr>
      <t>Housing deduction.</t>
    </r>
    <r>
      <rPr>
        <sz val="10"/>
        <rFont val="Arial"/>
        <family val="2"/>
      </rPr>
      <t xml:space="preserve">  Add lines 48 and 49. Enter the total here and on Schedule 1 (Form 1040),</t>
    </r>
  </si>
  <si>
    <t xml:space="preserve">Net long-term capital gain or (loss). </t>
  </si>
  <si>
    <t xml:space="preserve"> - Short-term capital gain (or loss) and long-term capital gain (or loss)</t>
  </si>
  <si>
    <t xml:space="preserve">Net short-term capital gain or (loss). </t>
  </si>
  <si>
    <t>Combine lines 7 and 15 and enter the result</t>
  </si>
  <si>
    <t>-   Combine amounts from all forms used.</t>
  </si>
  <si>
    <t xml:space="preserve"> .   .</t>
  </si>
  <si>
    <t>2e</t>
  </si>
  <si>
    <t xml:space="preserve">Net operating loss deduction from Schedule 1 (Form 1040), line 8a. </t>
  </si>
  <si>
    <t>Enter as a positive amount.</t>
  </si>
  <si>
    <t>Subtract line 9 from line 4.</t>
  </si>
  <si>
    <t>If zero or less, enter -0- here and on line 15 and go to Part II. Form</t>
  </si>
  <si>
    <t>.   .</t>
  </si>
  <si>
    <t>Subtract line 14 from line 11.  If zero or less, enter -0-.</t>
  </si>
  <si>
    <t xml:space="preserve">Subtract line 4 from line 1. </t>
  </si>
  <si>
    <t>Subtract line 13 from line 1.</t>
  </si>
  <si>
    <t>Subtract line 4 from line 3.</t>
  </si>
  <si>
    <t>Add lines 1 and 2c.</t>
  </si>
  <si>
    <t>Part I, line 1</t>
  </si>
  <si>
    <t>Part I, line 14</t>
  </si>
  <si>
    <t>Part II, line 16</t>
  </si>
  <si>
    <t>Part II, line 19</t>
  </si>
  <si>
    <t>Where used:</t>
  </si>
  <si>
    <t>Part III, line 42</t>
  </si>
  <si>
    <t>line 2a</t>
  </si>
  <si>
    <t>FEI TW line 2a</t>
  </si>
  <si>
    <t>Tax Worksheet (FEI TW)</t>
  </si>
  <si>
    <t>Part I, line 11, and</t>
  </si>
  <si>
    <t>FEI TW, line 4</t>
  </si>
  <si>
    <t>Used at Part I, line 11, and Foreign Earned Income Tax Worksheet, line 4</t>
  </si>
  <si>
    <t>Part I, line 11, and 
FEI TW, line 4</t>
  </si>
  <si>
    <t>Part III, line 29</t>
  </si>
  <si>
    <t>Part III, lines 35 and 42</t>
  </si>
  <si>
    <t>Part III, line 35</t>
  </si>
  <si>
    <t xml:space="preserve"> - Taxable income</t>
  </si>
  <si>
    <t xml:space="preserve">
Part I, line 11, and 
FEI TW, line 4</t>
  </si>
  <si>
    <t>Part III, line 30</t>
  </si>
  <si>
    <t>Part III, line 28</t>
  </si>
  <si>
    <t>(See FEI TW below.)</t>
  </si>
  <si>
    <t>Filed pursuant to section 301.9100-2</t>
  </si>
  <si>
    <t>Combat zone</t>
  </si>
  <si>
    <t>Deceased</t>
  </si>
  <si>
    <t>If treating a nonresident alien or dual-status alien spouse as a U.S. resident for the entire tax year, check the box and enter their</t>
  </si>
  <si>
    <t>name (see instructions and attach statement if required):</t>
  </si>
  <si>
    <t xml:space="preserve"> Married filing separately (MFS) Enter spouse's SSN above</t>
  </si>
  <si>
    <t>and full name here:</t>
  </si>
  <si>
    <t>Dependent 1</t>
  </si>
  <si>
    <t>Dependent 2</t>
  </si>
  <si>
    <t>Dependent 3</t>
  </si>
  <si>
    <t>Dependent 4</t>
  </si>
  <si>
    <t>And in the U.S.</t>
  </si>
  <si>
    <t>Full-time student</t>
  </si>
  <si>
    <t>Permanently and totally disabled</t>
  </si>
  <si>
    <t xml:space="preserve"> (a)</t>
  </si>
  <si>
    <t xml:space="preserve"> (b)</t>
  </si>
  <si>
    <t>8814</t>
  </si>
  <si>
    <r>
      <rPr>
        <b/>
        <sz val="10"/>
        <rFont val="Arial"/>
        <family val="2"/>
      </rPr>
      <t>(4)</t>
    </r>
    <r>
      <rPr>
        <sz val="10"/>
        <rFont val="Arial"/>
        <family val="2"/>
      </rPr>
      <t xml:space="preserve"> Relationship</t>
    </r>
  </si>
  <si>
    <r>
      <rPr>
        <b/>
        <sz val="10"/>
        <rFont val="Arial"/>
        <family val="2"/>
      </rPr>
      <t>(2)</t>
    </r>
    <r>
      <rPr>
        <sz val="10"/>
        <rFont val="Arial"/>
        <family val="2"/>
      </rPr>
      <t xml:space="preserve">  Last name</t>
    </r>
  </si>
  <si>
    <r>
      <rPr>
        <b/>
        <sz val="10"/>
        <rFont val="Arial"/>
        <family val="2"/>
      </rPr>
      <t>(1)</t>
    </r>
    <r>
      <rPr>
        <sz val="10"/>
        <rFont val="Arial"/>
        <family val="2"/>
      </rPr>
      <t xml:space="preserve">  First name</t>
    </r>
  </si>
  <si>
    <r>
      <t>(6)</t>
    </r>
    <r>
      <rPr>
        <sz val="9"/>
        <rFont val="Arial"/>
        <family val="2"/>
      </rPr>
      <t xml:space="preserve"> Check if</t>
    </r>
  </si>
  <si>
    <t>Check if your child's dividends are included in</t>
  </si>
  <si>
    <t>Line 3a</t>
  </si>
  <si>
    <t xml:space="preserve">1   </t>
  </si>
  <si>
    <t xml:space="preserve">2  </t>
  </si>
  <si>
    <t>Line 3b</t>
  </si>
  <si>
    <t>Check if (see instructions)</t>
  </si>
  <si>
    <t>QCD</t>
  </si>
  <si>
    <t>PSO</t>
  </si>
  <si>
    <t>If you are married filing separately and lived apart from your spouse the entire year (see inst.), check here</t>
  </si>
  <si>
    <t>Capital gain or (loss). Attach Schedule D if required</t>
  </si>
  <si>
    <t>Schedule D not required</t>
  </si>
  <si>
    <t>Includes child’s capital gain or (loss)</t>
  </si>
  <si>
    <t>11a</t>
  </si>
  <si>
    <t>Amount from line 11a (adjusted gross income)</t>
  </si>
  <si>
    <t>Spouse:</t>
  </si>
  <si>
    <t>Spouse itemizes on a separate return</t>
  </si>
  <si>
    <t>jointly or</t>
  </si>
  <si>
    <t>Qualifying</t>
  </si>
  <si>
    <t>Head of</t>
  </si>
  <si>
    <t>If you checked a</t>
  </si>
  <si>
    <t>a box on line</t>
  </si>
  <si>
    <t>12a, 12b, 12c,</t>
  </si>
  <si>
    <t>or 12d, see instr.</t>
  </si>
  <si>
    <t>Standard
deduction for ---</t>
  </si>
  <si>
    <t>Add lines 12e, 13a, and 13b</t>
  </si>
  <si>
    <t>Tax and
Credits</t>
  </si>
  <si>
    <r>
      <rPr>
        <b/>
        <sz val="10"/>
        <rFont val="Arial"/>
        <family val="2"/>
      </rPr>
      <t>3</t>
    </r>
  </si>
  <si>
    <t>Additional deductions from Schedule 1-A, line 38</t>
  </si>
  <si>
    <t>11b</t>
  </si>
  <si>
    <t>Your spouse as a dependent</t>
  </si>
  <si>
    <t>You were a dual-status alien</t>
  </si>
  <si>
    <t>Payments
and 
Refundable
Credits</t>
  </si>
  <si>
    <r>
      <t xml:space="preserve">Add lines 22 and 23. This is your </t>
    </r>
    <r>
      <rPr>
        <b/>
        <sz val="10"/>
        <rFont val="Arial"/>
        <family val="2"/>
      </rPr>
      <t>total tax</t>
    </r>
  </si>
  <si>
    <r>
      <t xml:space="preserve">Add lines 25d, 26, and 32. These are your </t>
    </r>
    <r>
      <rPr>
        <b/>
        <sz val="10"/>
        <rFont val="Arial"/>
        <family val="2"/>
      </rPr>
      <t>total payments</t>
    </r>
  </si>
  <si>
    <r>
      <t xml:space="preserve">If line 33 is more than line 24, subtract line 24 from line 33. This is the amount you </t>
    </r>
    <r>
      <rPr>
        <b/>
        <sz val="10"/>
        <rFont val="Arial"/>
        <family val="2"/>
      </rPr>
      <t>overpaid</t>
    </r>
  </si>
  <si>
    <r>
      <t xml:space="preserve">Amount of line 34 you want </t>
    </r>
    <r>
      <rPr>
        <b/>
        <sz val="10"/>
        <rFont val="Arial"/>
        <family val="2"/>
      </rPr>
      <t>refunded to you</t>
    </r>
    <r>
      <rPr>
        <sz val="10"/>
        <rFont val="Arial"/>
        <family val="2"/>
      </rPr>
      <t>. If Form 8888 is attached, check here</t>
    </r>
  </si>
  <si>
    <t>enter their SSN (see instructions):</t>
  </si>
  <si>
    <t>Clergy filing Schedule SE (see instructions)</t>
  </si>
  <si>
    <t>If you do not want to claim the EIC, check here</t>
  </si>
  <si>
    <t>Additional child tax credit (ACTC) from Schedule 8812. If you do not want</t>
  </si>
  <si>
    <t>to claim the ACTC, check here</t>
  </si>
  <si>
    <t>Refundable adoption credit from Form 8839, line 13</t>
  </si>
  <si>
    <r>
      <t xml:space="preserve">Add lines 27a, 28, 29, 30, and 31. These are your </t>
    </r>
    <r>
      <rPr>
        <b/>
        <sz val="10"/>
        <rFont val="Arial"/>
        <family val="2"/>
      </rPr>
      <t>total other payments and refundable credits</t>
    </r>
  </si>
  <si>
    <t>Deduct_Age_Bonus, Deduct_Tip_Income, Deduct_OT_Income, Deduct_New_AutoLoan_Interest</t>
  </si>
  <si>
    <t>If you have a qualifying child,
you may need to
attach Sch EIC.</t>
  </si>
  <si>
    <t>Keep a copy for your records.</t>
  </si>
  <si>
    <t>Paid
Preparer
Use Only</t>
  </si>
  <si>
    <t>Sch. 1-A</t>
  </si>
  <si>
    <r>
      <rPr>
        <b/>
        <sz val="10"/>
        <rFont val="Arial"/>
        <family val="2"/>
      </rPr>
      <t>Schedule 1-A</t>
    </r>
    <r>
      <rPr>
        <sz val="10"/>
        <rFont val="Arial"/>
        <family val="2"/>
      </rPr>
      <t>, Additional Deductions</t>
    </r>
  </si>
  <si>
    <r>
      <rPr>
        <b/>
        <sz val="12"/>
        <rFont val="Arial"/>
        <family val="2"/>
      </rPr>
      <t>SCHEDULE 1-A</t>
    </r>
    <r>
      <rPr>
        <b/>
        <sz val="11"/>
        <rFont val="Arial"/>
        <family val="2"/>
      </rPr>
      <t xml:space="preserve">
(Form 1040)</t>
    </r>
  </si>
  <si>
    <t>Additional Deductions</t>
  </si>
  <si>
    <t>1A</t>
  </si>
  <si>
    <t>Modified Adjusted Gross Income (MAGI) Amount</t>
  </si>
  <si>
    <t>Enter the amount from Form 1040, 1040-SR, or 1040-NR, line 11b</t>
  </si>
  <si>
    <t>Enter any income from Puerto Rico that you excluded</t>
  </si>
  <si>
    <t>Enter the amount from Form 2555, line 45</t>
  </si>
  <si>
    <t>Enter the amount from Form 2555, line 50</t>
  </si>
  <si>
    <t>Enter the amount from Form 4563, line 15</t>
  </si>
  <si>
    <t>Add lines 1 and 2e</t>
  </si>
  <si>
    <t>No Tax on Tips</t>
  </si>
  <si>
    <t>Qualified tips received in the course of a trade or business.</t>
  </si>
  <si>
    <t>Qualified tip amount included in Form 1099-NEC, box 1; Form 1099-MISC, box 3; or Form 1099-K,</t>
  </si>
  <si>
    <t>box 1a. Do not enter more than the net profit from the trade or business. If you received qualified tips</t>
  </si>
  <si>
    <t>Add lines 4c and 5</t>
  </si>
  <si>
    <t>Subtract line 9 from line 8. If zero or less, enter the amount from line 7 on line 13</t>
  </si>
  <si>
    <t>lower whole number. (For example, decrease 1.5 to 1, and decrease 0.05 to 0.)</t>
  </si>
  <si>
    <t>No Tax on Overtime</t>
  </si>
  <si>
    <t>Qualified overtime compensation included on Form W-2, box 1 (see instructions)</t>
  </si>
  <si>
    <t>Qualified overtime compensation included on Form 1099-NEC, box 1 or Form</t>
  </si>
  <si>
    <t>1099-MISC, box 3 (see instructions)</t>
  </si>
  <si>
    <t>overtime compensation must have a valid social security number to claim this deduction. If married, you must file jointly to claim this</t>
  </si>
  <si>
    <t>deduction. See instructions.</t>
  </si>
  <si>
    <t>Add lines 14a and 14b</t>
  </si>
  <si>
    <t>Enter the amount from line 3</t>
  </si>
  <si>
    <t>Subtract line 17 from line 16. If zero or less, enter the amount from line 15 on line 21</t>
  </si>
  <si>
    <t>Cat. No. 95872Q</t>
  </si>
  <si>
    <t>No Tax on Car Loan Interest</t>
  </si>
  <si>
    <t>Applicable passenger vehicle (see instructions). If more than two VINs, see instructions.</t>
  </si>
  <si>
    <t>Interest for this loan:</t>
  </si>
  <si>
    <r>
      <rPr>
        <b/>
        <sz val="10"/>
        <rFont val="Arial"/>
        <family val="2"/>
      </rPr>
      <t>(ii)</t>
    </r>
    <r>
      <rPr>
        <sz val="10"/>
        <rFont val="Arial"/>
        <family val="2"/>
      </rPr>
      <t xml:space="preserve"> Deducted on 
Schedule C, 
Schedule E, or 
Schedule F</t>
    </r>
  </si>
  <si>
    <r>
      <rPr>
        <b/>
        <sz val="10"/>
        <rFont val="Arial"/>
        <family val="2"/>
      </rPr>
      <t>(iii)</t>
    </r>
    <r>
      <rPr>
        <sz val="10"/>
        <rFont val="Arial"/>
        <family val="2"/>
      </rPr>
      <t xml:space="preserve"> Schedule 1-A</t>
    </r>
  </si>
  <si>
    <t>(i) Vehicle identification number (VIN)</t>
  </si>
  <si>
    <t>Add lines 22a and 22b, column (iii)</t>
  </si>
  <si>
    <t>Subtract line 26 from line 25. If zero or less, enter the amount from line 24 on line 30</t>
  </si>
  <si>
    <t xml:space="preserve"> .   .   .   .   .   .   .   .   .   .  </t>
  </si>
  <si>
    <t>Enhanced Deduction for Seniors</t>
  </si>
  <si>
    <t>Subtract line 32 from line 31. If zero or less, enter $6,000 on line 35</t>
  </si>
  <si>
    <t>enter the amount from line 35</t>
  </si>
  <si>
    <t>36a</t>
  </si>
  <si>
    <t xml:space="preserve">36a </t>
  </si>
  <si>
    <t>If you are married filing jointly, your spouse has a valid social security number (see instructions), and</t>
  </si>
  <si>
    <t>36b</t>
  </si>
  <si>
    <t>Total Additional Deductions</t>
  </si>
  <si>
    <t>Add lines 13, 21, 30, and 37. Enter here and on Form 1040 or 1040-SR, line 13b, or on Form 1040-NR,</t>
  </si>
  <si>
    <t>Add lines 2a, 2b, 2c, and 2d</t>
  </si>
  <si>
    <t>SD_Adj_Single</t>
  </si>
  <si>
    <t>SD_Adj_MFJW</t>
  </si>
  <si>
    <t>SD_Adj_MFS</t>
  </si>
  <si>
    <t>SD_Adj_HOH</t>
  </si>
  <si>
    <t>Standard Deduction Calculation</t>
  </si>
  <si>
    <t>Head-of-H</t>
  </si>
  <si>
    <t>Std. Deduct. (Base)</t>
  </si>
  <si>
    <t>plus age &gt; 64</t>
  </si>
  <si>
    <t>plus Blind</t>
  </si>
  <si>
    <t>Adj. Std. Deduct.</t>
  </si>
  <si>
    <t>Line 45, Housing Exclusion, Foreign Earned Income Exclusion, or Both</t>
  </si>
  <si>
    <t>Line 50, Housing Deduction</t>
  </si>
  <si>
    <t>Foreign Income Exclusion</t>
  </si>
  <si>
    <t>Housing Exclusion, Foreign Earned Income Exclusion, or Both</t>
  </si>
  <si>
    <t>Housing Deduction</t>
  </si>
  <si>
    <t>If you checked the HOH or QSS box, enter the child’s name
if the qualifying person is a child but not your dependent:</t>
  </si>
  <si>
    <t>surviving spouse,</t>
  </si>
  <si>
    <t>household,</t>
  </si>
  <si>
    <t>Single or Married filing separately,</t>
  </si>
  <si>
    <r>
      <rPr>
        <b/>
        <sz val="10"/>
        <rFont val="Arial"/>
        <family val="2"/>
      </rPr>
      <t>Standard deduction or itemized deductions</t>
    </r>
    <r>
      <rPr>
        <sz val="10"/>
        <rFont val="Arial"/>
        <family val="2"/>
      </rPr>
      <t xml:space="preserve"> (from Schedule A)</t>
    </r>
  </si>
  <si>
    <r>
      <t xml:space="preserve">This is your </t>
    </r>
    <r>
      <rPr>
        <b/>
        <sz val="10"/>
        <rFont val="Arial"/>
        <family val="2"/>
      </rPr>
      <t>taxable income</t>
    </r>
  </si>
  <si>
    <r>
      <rPr>
        <b/>
        <sz val="11"/>
        <rFont val="Arial"/>
        <family val="2"/>
      </rPr>
      <t>Tax</t>
    </r>
    <r>
      <rPr>
        <sz val="11"/>
        <rFont val="Arial"/>
        <family val="2"/>
      </rPr>
      <t xml:space="preserve"> </t>
    </r>
    <r>
      <rPr>
        <sz val="9"/>
        <rFont val="Arial"/>
        <family val="2"/>
      </rPr>
      <t xml:space="preserve">(see instructions). </t>
    </r>
    <r>
      <rPr>
        <sz val="10"/>
        <rFont val="Arial"/>
        <family val="2"/>
      </rPr>
      <t>Check if any from Form(s):</t>
    </r>
  </si>
  <si>
    <r>
      <t xml:space="preserve">Subtract line 33 from line 24. This is the </t>
    </r>
    <r>
      <rPr>
        <b/>
        <sz val="10"/>
        <rFont val="Arial"/>
        <family val="2"/>
      </rPr>
      <t>amount you owe.</t>
    </r>
    <r>
      <rPr>
        <sz val="10"/>
        <rFont val="Arial"/>
        <family val="2"/>
      </rPr>
      <t xml:space="preserve"> </t>
    </r>
  </si>
  <si>
    <r>
      <t xml:space="preserve">For details on how to pay, go to </t>
    </r>
    <r>
      <rPr>
        <i/>
        <sz val="10"/>
        <rFont val="Arial"/>
        <family val="2"/>
      </rPr>
      <t>www.irs.gov/Payments</t>
    </r>
    <r>
      <rPr>
        <sz val="10"/>
        <rFont val="Arial"/>
        <family val="2"/>
      </rPr>
      <t xml:space="preserve"> or see instructions</t>
    </r>
  </si>
  <si>
    <r>
      <t xml:space="preserve">Spouse’s signature. If a joint return, </t>
    </r>
    <r>
      <rPr>
        <b/>
        <sz val="9"/>
        <rFont val="Arial"/>
        <family val="2"/>
      </rPr>
      <t>both</t>
    </r>
    <r>
      <rPr>
        <sz val="9"/>
        <rFont val="Arial"/>
        <family val="2"/>
      </rPr>
      <t xml:space="preserve"> must sign.</t>
    </r>
  </si>
  <si>
    <t>You &gt; 64</t>
  </si>
  <si>
    <t>You blind</t>
  </si>
  <si>
    <t>Spouse &gt; 64</t>
  </si>
  <si>
    <t>Spouse blind</t>
  </si>
  <si>
    <t>you can check the appropriate boxes on the 'Age/Blindness' line.</t>
  </si>
  <si>
    <t xml:space="preserve">NOTE: If your filing status is married filing separately, your spouse had no income, isn't filing a return, can't be claimed as a dependent on another person's return, and your spouse &gt; 64 years old, or is blind, </t>
  </si>
  <si>
    <t>Totally Disabled</t>
  </si>
  <si>
    <t>Full-time Student</t>
  </si>
  <si>
    <t>General rules for dependents</t>
  </si>
  <si>
    <r>
      <t>These rules generally apply to </t>
    </r>
    <r>
      <rPr>
        <b/>
        <sz val="12"/>
        <color rgb="FF1B1B1B"/>
        <rFont val="Arial"/>
        <family val="2"/>
      </rPr>
      <t>all</t>
    </r>
    <r>
      <rPr>
        <sz val="12"/>
        <color rgb="FF1B1B1B"/>
        <rFont val="Arial"/>
        <family val="2"/>
      </rPr>
      <t> dependents:</t>
    </r>
  </si>
  <si>
    <t>A dependent must be a U.S. citizen, resident alien or national or a resident of Canada or Mexico</t>
  </si>
  <si>
    <t>A person can't be claimed as a dependent on more than one tax return, with rare exceptions</t>
  </si>
  <si>
    <t>A dependent can't claim a dependent on their own tax return</t>
  </si>
  <si>
    <t>You can't claim your spouse as a dependent if you file jointly</t>
  </si>
  <si>
    <t>Qualifying child</t>
  </si>
  <si>
    <t>To qualify as a dependent, a child must also pass these tests:</t>
  </si>
  <si>
    <t>Qualifying relative</t>
  </si>
  <si>
    <t>A qualifying relative must meet general rules for dependents and pass these tests:</t>
  </si>
  <si>
    <t>https://www.irs.gov/credits-deductions/individuals/dependents</t>
  </si>
  <si>
    <r>
      <rPr>
        <b/>
        <sz val="12"/>
        <rFont val="Arial"/>
        <family val="2"/>
      </rPr>
      <t>Residency:</t>
    </r>
    <r>
      <rPr>
        <sz val="12"/>
        <rFont val="Arial"/>
        <family val="2"/>
      </rPr>
      <t xml:space="preserve"> Live with you for more than half the year, with some exceptions</t>
    </r>
  </si>
  <si>
    <r>
      <rPr>
        <b/>
        <sz val="12"/>
        <rFont val="Arial"/>
        <family val="2"/>
      </rPr>
      <t>Support:</t>
    </r>
    <r>
      <rPr>
        <sz val="12"/>
        <rFont val="Arial"/>
        <family val="2"/>
      </rPr>
      <t xml:space="preserve"> Get more than half their financial support from you</t>
    </r>
  </si>
  <si>
    <r>
      <rPr>
        <b/>
        <sz val="12"/>
        <rFont val="Arial"/>
        <family val="2"/>
      </rPr>
      <t>Joint return:</t>
    </r>
    <r>
      <rPr>
        <sz val="12"/>
        <rFont val="Arial"/>
        <family val="2"/>
      </rPr>
      <t xml:space="preserve"> Not file as married filing jointly unless only to claim a refund of taxes paid or withheld</t>
    </r>
  </si>
  <si>
    <r>
      <rPr>
        <b/>
        <sz val="12"/>
        <rFont val="Arial"/>
        <family val="2"/>
      </rPr>
      <t xml:space="preserve">Not a qualifying child: </t>
    </r>
    <r>
      <rPr>
        <sz val="12"/>
        <rFont val="Arial"/>
        <family val="2"/>
      </rPr>
      <t>Isn't your qualifying child or the qualifying child of any other taxpayer</t>
    </r>
  </si>
  <si>
    <r>
      <rPr>
        <b/>
        <sz val="12"/>
        <rFont val="Arial"/>
        <family val="2"/>
      </rPr>
      <t>Member of household or relationship</t>
    </r>
    <r>
      <rPr>
        <b/>
        <sz val="12"/>
        <color rgb="FF1B1B1B"/>
        <rFont val="Arial"/>
        <family val="2"/>
      </rPr>
      <t>:</t>
    </r>
    <r>
      <rPr>
        <sz val="12"/>
        <color rgb="FF1B1B1B"/>
        <rFont val="Arial"/>
        <family val="2"/>
      </rPr>
      <t xml:space="preserve"> Lives with you all year as a member of your household or is a </t>
    </r>
    <r>
      <rPr>
        <sz val="12"/>
        <color rgb="FF00599C"/>
        <rFont val="Arial"/>
        <family val="2"/>
      </rPr>
      <t>specific type of relative</t>
    </r>
  </si>
  <si>
    <r>
      <rPr>
        <b/>
        <sz val="12"/>
        <rFont val="Arial"/>
        <family val="2"/>
      </rPr>
      <t>Support:</t>
    </r>
    <r>
      <rPr>
        <sz val="12"/>
        <rFont val="Arial"/>
        <family val="2"/>
      </rPr>
      <t xml:space="preserve"> Gets more than half their financial support from you</t>
    </r>
  </si>
  <si>
    <t>A dependent must be a Qualifying Child or Qualifying Relative</t>
  </si>
  <si>
    <t>Lived with you more than half the year</t>
  </si>
  <si>
    <r>
      <rPr>
        <b/>
        <sz val="10"/>
        <rFont val="Arial"/>
        <family val="2"/>
      </rPr>
      <t>AMT.</t>
    </r>
    <r>
      <rPr>
        <sz val="10"/>
        <rFont val="Arial"/>
        <family val="2"/>
      </rPr>
      <t xml:space="preserve"> Subtract line 10 from line 9. If zero or less, enter -0-. Enter here and on Schedule 2 (1040), line 2</t>
    </r>
  </si>
  <si>
    <t>You don’t owe alternative minimum tax and don’t need to fill out Form 6251. Leave Schedule 2, line 2, blank.</t>
  </si>
  <si>
    <t>Worksheet To See if You Should Fill in Form 6251—Schedule 2, Line 2</t>
  </si>
  <si>
    <t>Instructions for</t>
  </si>
  <si>
    <t>financial account(s) is (are) located</t>
  </si>
  <si>
    <t>See instructions for how to figure the amounts to enter on 
the lines below.
This form may be easier to complete if you round off cents 
to whole dollars.</t>
  </si>
  <si>
    <t>leave this line blank and go to line 1b</t>
  </si>
  <si>
    <t xml:space="preserve">Totals  for  all  short-term  transactions  reported  on 
Form 1099-B or Form 1099-DA for which basis was 
reported  to  the  IRS  and  for  which  you  have  no 
adjustments (see instructions).  However,  if you 
choose to report all these transactions on Form 8949, </t>
  </si>
  <si>
    <r>
      <t xml:space="preserve">Totals for all transactions reported on Form(s) 8949
with </t>
    </r>
    <r>
      <rPr>
        <b/>
        <sz val="9"/>
        <rFont val="Arial"/>
        <family val="2"/>
      </rPr>
      <t>Box A</t>
    </r>
    <r>
      <rPr>
        <sz val="9"/>
        <rFont val="Arial"/>
        <family val="2"/>
      </rPr>
      <t xml:space="preserve"> or </t>
    </r>
    <r>
      <rPr>
        <b/>
        <sz val="9"/>
        <rFont val="Arial"/>
        <family val="2"/>
      </rPr>
      <t>Box G</t>
    </r>
    <r>
      <rPr>
        <sz val="9"/>
        <rFont val="Arial"/>
        <family val="2"/>
      </rPr>
      <t xml:space="preserve"> checked</t>
    </r>
    <r>
      <rPr>
        <b/>
        <sz val="9"/>
        <rFont val="Arial"/>
        <family val="2"/>
      </rPr>
      <t xml:space="preserve">  .   .   .   .   .   .   .   .   . </t>
    </r>
  </si>
  <si>
    <r>
      <t>Short-term gain from Form 6252, and short-term gain or (loss) from Forms 4684, 6781, and 8824</t>
    </r>
    <r>
      <rPr>
        <b/>
        <sz val="10"/>
        <rFont val="Arial"/>
        <family val="2"/>
      </rPr>
      <t xml:space="preserve">  .   .   .   .</t>
    </r>
  </si>
  <si>
    <t>Totals for all long-term transactions reported on Form 
1099-B for which basis was reported to the IRS and for 
which you have no adjustments (see instructions). 
However, if you choose to report all these transactions 
on Form 8949, leave this line blank and go to line 8b.</t>
  </si>
  <si>
    <t>See instructions for how to figure the amounts to enter on 
the lines below.  
This form may be easier to complete if you round off cents to whole dollars.</t>
  </si>
  <si>
    <t>BOX</t>
  </si>
  <si>
    <r>
      <t xml:space="preserve">Go to </t>
    </r>
    <r>
      <rPr>
        <b/>
        <i/>
        <sz val="11"/>
        <rFont val="Arial"/>
        <family val="2"/>
      </rPr>
      <t>www.irs.gov/Form1040</t>
    </r>
    <r>
      <rPr>
        <b/>
        <sz val="11"/>
        <rFont val="Arial"/>
        <family val="2"/>
      </rPr>
      <t xml:space="preserve"> for instructions and the latest information.</t>
    </r>
  </si>
  <si>
    <r>
      <t xml:space="preserve">Caution: </t>
    </r>
    <r>
      <rPr>
        <sz val="14"/>
        <rFont val="Arial"/>
        <family val="2"/>
      </rPr>
      <t>Fill out Part II only if you received qualified tips. These tips must have been received in an occupation listed at</t>
    </r>
  </si>
  <si>
    <t>If married, you must file jointly to claim this deduction. See instructions.</t>
  </si>
  <si>
    <t>Qualified tips received as an employee. If you received tips as an employee with</t>
  </si>
  <si>
    <t>respect to employment with more than one employer, enter -0- on lines 4a and</t>
  </si>
  <si>
    <t>4b and see the instructions to determine the amount to enter on line 4c. If you</t>
  </si>
  <si>
    <t>received tips as an employee in more than one occupation, see the instructions.</t>
  </si>
  <si>
    <t>Enter qualified tips included on Form W-2, box 7, but see the instructions if</t>
  </si>
  <si>
    <t>subject to social security and Medicare taxes</t>
  </si>
  <si>
    <t>Qualified tips included on Form 4137, line 1, row A, column (c). If Form 4137 is</t>
  </si>
  <si>
    <t>not filed, enter -0-</t>
  </si>
  <si>
    <t>If you only received qualified tips as an employee with respect to employment with one employer,</t>
  </si>
  <si>
    <t>enter the larger of line 4a or line 4b. Otherwise, see the instructions to determine the amount to enter</t>
  </si>
  <si>
    <t>on line 4c. If you received tips as an employee in more than one occupation, see the instructions</t>
  </si>
  <si>
    <r>
      <rPr>
        <b/>
        <sz val="13"/>
        <rFont val="Arial"/>
        <family val="2"/>
      </rPr>
      <t>Qualified tips deduction.</t>
    </r>
    <r>
      <rPr>
        <sz val="13"/>
        <rFont val="Arial"/>
        <family val="2"/>
      </rPr>
      <t xml:space="preserve"> Subtract line 12 from line 7. If zero or less, enter -0-</t>
    </r>
  </si>
  <si>
    <r>
      <rPr>
        <b/>
        <sz val="13"/>
        <rFont val="Arial"/>
        <family val="2"/>
      </rPr>
      <t>Qualified overtime compensation deduction</t>
    </r>
    <r>
      <rPr>
        <sz val="13"/>
        <rFont val="Arial"/>
        <family val="2"/>
      </rPr>
      <t>. Subtract line 20 from line 15. If zero or less, enter -0-</t>
    </r>
  </si>
  <si>
    <r>
      <rPr>
        <i/>
        <sz val="14"/>
        <rFont val="Arial"/>
        <family val="2"/>
      </rPr>
      <t>IRS.gov/TippedOccupations</t>
    </r>
    <r>
      <rPr>
        <sz val="14"/>
        <rFont val="Arial"/>
        <family val="2"/>
      </rPr>
      <t>. You and/or your spouse who received qualified tips must have valid social security numbers</t>
    </r>
  </si>
  <si>
    <t>to claim the deduction.</t>
  </si>
  <si>
    <r>
      <t xml:space="preserve">Caution: </t>
    </r>
    <r>
      <rPr>
        <sz val="13"/>
        <rFont val="Arial"/>
        <family val="2"/>
      </rPr>
      <t>Fill out Part III only if you received qualified overtime compensation. You and/or your spouse who received the qualified</t>
    </r>
  </si>
  <si>
    <t xml:space="preserve">(QPVLI). Column (iii) is the total QPVLI paid in 2025 less the amounts reported in column (ii). See instructions. </t>
  </si>
  <si>
    <r>
      <t>Caution:</t>
    </r>
    <r>
      <rPr>
        <sz val="13"/>
        <rFont val="Arial"/>
        <family val="2"/>
      </rPr>
      <t xml:space="preserve"> Fill out Part IV only if you, or your spouse if married filing jointly, paid or accrued qualified passenger vehicle loan interest </t>
    </r>
  </si>
  <si>
    <r>
      <rPr>
        <b/>
        <sz val="13"/>
        <rFont val="Arial"/>
        <family val="2"/>
      </rPr>
      <t>Qualified car loan interest deduction.</t>
    </r>
    <r>
      <rPr>
        <sz val="13"/>
        <rFont val="Arial"/>
        <family val="2"/>
      </rPr>
      <t xml:space="preserve"> Subtract line 29 from line 24. If zero or less, enter -0-</t>
    </r>
  </si>
  <si>
    <r>
      <rPr>
        <b/>
        <sz val="13"/>
        <rFont val="Arial"/>
        <family val="2"/>
      </rPr>
      <t>Enhanced deduction for seniors.</t>
    </r>
    <r>
      <rPr>
        <sz val="13"/>
        <rFont val="Arial"/>
        <family val="2"/>
      </rPr>
      <t xml:space="preserve"> Add lines 36a and 36b</t>
    </r>
  </si>
  <si>
    <r>
      <rPr>
        <b/>
        <sz val="9"/>
        <rFont val="Arial"/>
        <family val="2"/>
      </rPr>
      <t>(a)</t>
    </r>
    <r>
      <rPr>
        <sz val="9"/>
        <rFont val="Arial"/>
        <family val="2"/>
      </rPr>
      <t xml:space="preserve">
Description of property
(Example: 100 sh. XYZ Co.)</t>
    </r>
  </si>
  <si>
    <r>
      <rPr>
        <b/>
        <sz val="9"/>
        <rFont val="Arial"/>
        <family val="2"/>
      </rPr>
      <t>(c)</t>
    </r>
    <r>
      <rPr>
        <sz val="9"/>
        <rFont val="Arial"/>
        <family val="2"/>
      </rPr>
      <t xml:space="preserve">
Date sold or
disposed of
(Mo., day, yr.)</t>
    </r>
  </si>
  <si>
    <r>
      <rPr>
        <b/>
        <sz val="9"/>
        <rFont val="Arial"/>
        <family val="2"/>
      </rPr>
      <t>(d)</t>
    </r>
    <r>
      <rPr>
        <sz val="9"/>
        <rFont val="Arial"/>
        <family val="2"/>
      </rPr>
      <t xml:space="preserve">
Proceeds 
(sales price) 
(see instructions)</t>
    </r>
  </si>
  <si>
    <r>
      <rPr>
        <b/>
        <sz val="8"/>
        <rFont val="Arial"/>
        <family val="2"/>
      </rPr>
      <t>(e)</t>
    </r>
    <r>
      <rPr>
        <sz val="8"/>
        <rFont val="Arial"/>
        <family val="2"/>
      </rPr>
      <t xml:space="preserve">
Cost or other basis. 
See the </t>
    </r>
    <r>
      <rPr>
        <b/>
        <sz val="8"/>
        <rFont val="Arial"/>
        <family val="2"/>
      </rPr>
      <t>Note</t>
    </r>
    <r>
      <rPr>
        <sz val="8"/>
        <rFont val="Arial"/>
        <family val="2"/>
      </rPr>
      <t xml:space="preserve"> below 
and see </t>
    </r>
    <r>
      <rPr>
        <i/>
        <sz val="8"/>
        <rFont val="Arial"/>
        <family val="2"/>
      </rPr>
      <t xml:space="preserve">Column (e) </t>
    </r>
    <r>
      <rPr>
        <sz val="8"/>
        <rFont val="Arial"/>
        <family val="2"/>
      </rPr>
      <t xml:space="preserve">
in the separate 
instructions</t>
    </r>
  </si>
  <si>
    <r>
      <t xml:space="preserve"> </t>
    </r>
    <r>
      <rPr>
        <b/>
        <sz val="11"/>
        <rFont val="Arial"/>
        <family val="2"/>
      </rPr>
      <t>(D)</t>
    </r>
    <r>
      <rPr>
        <sz val="11"/>
        <rFont val="Arial"/>
        <family val="2"/>
      </rPr>
      <t xml:space="preserve"> Long-term transactions reported on </t>
    </r>
    <r>
      <rPr>
        <b/>
        <sz val="11"/>
        <rFont val="Arial"/>
        <family val="2"/>
      </rPr>
      <t>Form(s) 1099-B</t>
    </r>
    <r>
      <rPr>
        <sz val="11"/>
        <rFont val="Arial"/>
        <family val="2"/>
      </rPr>
      <t xml:space="preserve"> showing basis </t>
    </r>
    <r>
      <rPr>
        <b/>
        <sz val="11"/>
        <rFont val="Arial"/>
        <family val="2"/>
      </rPr>
      <t>was</t>
    </r>
    <r>
      <rPr>
        <sz val="11"/>
        <rFont val="Arial"/>
        <family val="2"/>
      </rPr>
      <t xml:space="preserve"> reported to the IRS (see </t>
    </r>
    <r>
      <rPr>
        <b/>
        <sz val="11"/>
        <rFont val="Arial"/>
        <family val="2"/>
      </rPr>
      <t>Note</t>
    </r>
    <r>
      <rPr>
        <sz val="11"/>
        <rFont val="Arial"/>
        <family val="2"/>
      </rPr>
      <t xml:space="preserve"> above)</t>
    </r>
  </si>
  <si>
    <r>
      <t xml:space="preserve"> </t>
    </r>
    <r>
      <rPr>
        <b/>
        <sz val="11"/>
        <rFont val="Arial"/>
        <family val="2"/>
      </rPr>
      <t>(E)</t>
    </r>
    <r>
      <rPr>
        <sz val="11"/>
        <rFont val="Arial"/>
        <family val="2"/>
      </rPr>
      <t xml:space="preserve"> Long-term transactions reported on </t>
    </r>
    <r>
      <rPr>
        <b/>
        <sz val="11"/>
        <rFont val="Arial"/>
        <family val="2"/>
      </rPr>
      <t>Form(s) 1099-B</t>
    </r>
    <r>
      <rPr>
        <sz val="11"/>
        <rFont val="Arial"/>
        <family val="2"/>
      </rPr>
      <t xml:space="preserve"> showing basis </t>
    </r>
    <r>
      <rPr>
        <b/>
        <sz val="11"/>
        <rFont val="Arial"/>
        <family val="2"/>
      </rPr>
      <t>was not</t>
    </r>
    <r>
      <rPr>
        <sz val="11"/>
        <rFont val="Arial"/>
        <family val="2"/>
      </rPr>
      <t xml:space="preserve"> reported to the IRS</t>
    </r>
  </si>
  <si>
    <r>
      <rPr>
        <b/>
        <sz val="11"/>
        <rFont val="Arial"/>
        <family val="2"/>
      </rPr>
      <t xml:space="preserve"> (F)</t>
    </r>
    <r>
      <rPr>
        <sz val="11"/>
        <rFont val="Arial"/>
        <family val="2"/>
      </rPr>
      <t xml:space="preserve"> Long-term transactions, other than digital asset transactions, not reported to you on </t>
    </r>
    <r>
      <rPr>
        <b/>
        <sz val="11"/>
        <rFont val="Arial"/>
        <family val="2"/>
      </rPr>
      <t>Form 1099-B</t>
    </r>
    <r>
      <rPr>
        <sz val="11"/>
        <rFont val="Arial"/>
        <family val="2"/>
      </rPr>
      <t xml:space="preserve"> or </t>
    </r>
    <r>
      <rPr>
        <b/>
        <sz val="11"/>
        <rFont val="Arial"/>
        <family val="2"/>
      </rPr>
      <t>Form 1099-DA</t>
    </r>
  </si>
  <si>
    <r>
      <rPr>
        <b/>
        <sz val="11"/>
        <rFont val="Arial"/>
        <family val="2"/>
      </rPr>
      <t xml:space="preserve"> (J)</t>
    </r>
    <r>
      <rPr>
        <sz val="11"/>
        <rFont val="Arial"/>
        <family val="2"/>
      </rPr>
      <t xml:space="preserve"> Long-term transactions reported on </t>
    </r>
    <r>
      <rPr>
        <b/>
        <sz val="11"/>
        <rFont val="Arial"/>
        <family val="2"/>
      </rPr>
      <t>Form(s) 1099-DA</t>
    </r>
    <r>
      <rPr>
        <sz val="11"/>
        <rFont val="Arial"/>
        <family val="2"/>
      </rPr>
      <t xml:space="preserve"> showing basis </t>
    </r>
    <r>
      <rPr>
        <b/>
        <sz val="11"/>
        <rFont val="Arial"/>
        <family val="2"/>
      </rPr>
      <t>was</t>
    </r>
    <r>
      <rPr>
        <sz val="11"/>
        <rFont val="Arial"/>
        <family val="2"/>
      </rPr>
      <t xml:space="preserve"> reported to the IRS (see </t>
    </r>
    <r>
      <rPr>
        <b/>
        <sz val="11"/>
        <rFont val="Arial"/>
        <family val="2"/>
      </rPr>
      <t>Note</t>
    </r>
    <r>
      <rPr>
        <sz val="11"/>
        <rFont val="Arial"/>
        <family val="2"/>
      </rPr>
      <t xml:space="preserve"> above)</t>
    </r>
  </si>
  <si>
    <r>
      <rPr>
        <b/>
        <sz val="11"/>
        <rFont val="Arial"/>
        <family val="2"/>
      </rPr>
      <t xml:space="preserve"> (K) </t>
    </r>
    <r>
      <rPr>
        <sz val="11"/>
        <rFont val="Arial"/>
        <family val="2"/>
      </rPr>
      <t xml:space="preserve">Long-term transactions reported on </t>
    </r>
    <r>
      <rPr>
        <b/>
        <sz val="11"/>
        <rFont val="Arial"/>
        <family val="2"/>
      </rPr>
      <t>Form(s) 1099-DA</t>
    </r>
    <r>
      <rPr>
        <sz val="11"/>
        <rFont val="Arial"/>
        <family val="2"/>
      </rPr>
      <t xml:space="preserve"> showing basis was not reported to the </t>
    </r>
    <r>
      <rPr>
        <b/>
        <sz val="11"/>
        <rFont val="Arial"/>
        <family val="2"/>
      </rPr>
      <t>IRS</t>
    </r>
  </si>
  <si>
    <r>
      <rPr>
        <b/>
        <sz val="11"/>
        <rFont val="Arial"/>
        <family val="2"/>
      </rPr>
      <t xml:space="preserve"> (L)</t>
    </r>
    <r>
      <rPr>
        <sz val="11"/>
        <rFont val="Arial"/>
        <family val="2"/>
      </rPr>
      <t xml:space="preserve"> Long-term digital asset transactions not reported to you on </t>
    </r>
    <r>
      <rPr>
        <b/>
        <sz val="11"/>
        <rFont val="Arial"/>
        <family val="2"/>
      </rPr>
      <t>Form 1099-DA</t>
    </r>
    <r>
      <rPr>
        <sz val="11"/>
        <rFont val="Arial"/>
        <family val="2"/>
      </rPr>
      <t xml:space="preserve"> or </t>
    </r>
    <r>
      <rPr>
        <b/>
        <sz val="11"/>
        <rFont val="Arial"/>
        <family val="2"/>
      </rPr>
      <t>Form 1099-B</t>
    </r>
  </si>
  <si>
    <r>
      <t xml:space="preserve"> </t>
    </r>
    <r>
      <rPr>
        <b/>
        <sz val="11"/>
        <rFont val="Arial"/>
        <family val="2"/>
      </rPr>
      <t>(A)</t>
    </r>
    <r>
      <rPr>
        <sz val="11"/>
        <rFont val="Arial"/>
        <family val="2"/>
      </rPr>
      <t xml:space="preserve"> Short-term transactions reported on </t>
    </r>
    <r>
      <rPr>
        <b/>
        <sz val="11"/>
        <rFont val="Arial"/>
        <family val="2"/>
      </rPr>
      <t>Form(s) 1099-B</t>
    </r>
    <r>
      <rPr>
        <sz val="11"/>
        <rFont val="Arial"/>
        <family val="2"/>
      </rPr>
      <t xml:space="preserve"> showing basis </t>
    </r>
    <r>
      <rPr>
        <b/>
        <sz val="11"/>
        <rFont val="Arial"/>
        <family val="2"/>
      </rPr>
      <t>was</t>
    </r>
    <r>
      <rPr>
        <sz val="11"/>
        <rFont val="Arial"/>
        <family val="2"/>
      </rPr>
      <t xml:space="preserve"> reported to the IRS (see </t>
    </r>
    <r>
      <rPr>
        <b/>
        <sz val="11"/>
        <rFont val="Arial"/>
        <family val="2"/>
      </rPr>
      <t>Note</t>
    </r>
    <r>
      <rPr>
        <sz val="11"/>
        <rFont val="Arial"/>
        <family val="2"/>
      </rPr>
      <t xml:space="preserve"> above)</t>
    </r>
  </si>
  <si>
    <r>
      <t xml:space="preserve"> </t>
    </r>
    <r>
      <rPr>
        <b/>
        <sz val="11"/>
        <rFont val="Arial"/>
        <family val="2"/>
      </rPr>
      <t>(B)</t>
    </r>
    <r>
      <rPr>
        <sz val="11"/>
        <rFont val="Arial"/>
        <family val="2"/>
      </rPr>
      <t xml:space="preserve"> Short-term transactions reported on </t>
    </r>
    <r>
      <rPr>
        <b/>
        <sz val="11"/>
        <rFont val="Arial"/>
        <family val="2"/>
      </rPr>
      <t>Form(s) 1099-B</t>
    </r>
    <r>
      <rPr>
        <sz val="11"/>
        <rFont val="Arial"/>
        <family val="2"/>
      </rPr>
      <t xml:space="preserve"> showing basis </t>
    </r>
    <r>
      <rPr>
        <b/>
        <sz val="11"/>
        <rFont val="Arial"/>
        <family val="2"/>
      </rPr>
      <t>was not</t>
    </r>
    <r>
      <rPr>
        <sz val="11"/>
        <rFont val="Arial"/>
        <family val="2"/>
      </rPr>
      <t xml:space="preserve"> reported to the IRS</t>
    </r>
  </si>
  <si>
    <r>
      <rPr>
        <b/>
        <sz val="11"/>
        <rFont val="Arial"/>
        <family val="2"/>
      </rPr>
      <t xml:space="preserve"> (C)</t>
    </r>
    <r>
      <rPr>
        <sz val="11"/>
        <rFont val="Arial"/>
        <family val="2"/>
      </rPr>
      <t xml:space="preserve"> Short-term transactions, other than digital asset transactions, not reported to you on </t>
    </r>
    <r>
      <rPr>
        <b/>
        <sz val="11"/>
        <rFont val="Arial"/>
        <family val="2"/>
      </rPr>
      <t>Form 1099-B</t>
    </r>
    <r>
      <rPr>
        <sz val="11"/>
        <rFont val="Arial"/>
        <family val="2"/>
      </rPr>
      <t xml:space="preserve"> or </t>
    </r>
    <r>
      <rPr>
        <b/>
        <sz val="11"/>
        <rFont val="Arial"/>
        <family val="2"/>
      </rPr>
      <t>Form 1099-DA</t>
    </r>
  </si>
  <si>
    <r>
      <t xml:space="preserve"> </t>
    </r>
    <r>
      <rPr>
        <b/>
        <sz val="11"/>
        <rFont val="Arial"/>
        <family val="2"/>
      </rPr>
      <t>(G)</t>
    </r>
    <r>
      <rPr>
        <sz val="11"/>
        <rFont val="Arial"/>
        <family val="2"/>
      </rPr>
      <t xml:space="preserve"> Short-term transactions reported on </t>
    </r>
    <r>
      <rPr>
        <b/>
        <sz val="11"/>
        <rFont val="Arial"/>
        <family val="2"/>
      </rPr>
      <t>Form(s) 1099-DA</t>
    </r>
    <r>
      <rPr>
        <sz val="11"/>
        <rFont val="Arial"/>
        <family val="2"/>
      </rPr>
      <t xml:space="preserve"> showing basis </t>
    </r>
    <r>
      <rPr>
        <b/>
        <sz val="11"/>
        <rFont val="Arial"/>
        <family val="2"/>
      </rPr>
      <t>was</t>
    </r>
    <r>
      <rPr>
        <sz val="11"/>
        <rFont val="Arial"/>
        <family val="2"/>
      </rPr>
      <t xml:space="preserve"> reported to the IRS (see </t>
    </r>
    <r>
      <rPr>
        <b/>
        <sz val="11"/>
        <rFont val="Arial"/>
        <family val="2"/>
      </rPr>
      <t>Note</t>
    </r>
    <r>
      <rPr>
        <sz val="11"/>
        <rFont val="Arial"/>
        <family val="2"/>
      </rPr>
      <t xml:space="preserve"> above)</t>
    </r>
  </si>
  <si>
    <r>
      <t xml:space="preserve"> </t>
    </r>
    <r>
      <rPr>
        <b/>
        <sz val="11"/>
        <rFont val="Arial"/>
        <family val="2"/>
      </rPr>
      <t>(H)</t>
    </r>
    <r>
      <rPr>
        <sz val="11"/>
        <rFont val="Arial"/>
        <family val="2"/>
      </rPr>
      <t xml:space="preserve"> Short-term transactions reported on </t>
    </r>
    <r>
      <rPr>
        <b/>
        <sz val="11"/>
        <rFont val="Arial"/>
        <family val="2"/>
      </rPr>
      <t>Form(s) 1099-DA</t>
    </r>
    <r>
      <rPr>
        <sz val="11"/>
        <rFont val="Arial"/>
        <family val="2"/>
      </rPr>
      <t xml:space="preserve"> showing basis </t>
    </r>
    <r>
      <rPr>
        <b/>
        <sz val="11"/>
        <rFont val="Arial"/>
        <family val="2"/>
      </rPr>
      <t>was not</t>
    </r>
    <r>
      <rPr>
        <sz val="11"/>
        <rFont val="Arial"/>
        <family val="2"/>
      </rPr>
      <t xml:space="preserve"> reported to the IRS</t>
    </r>
  </si>
  <si>
    <r>
      <t xml:space="preserve"> </t>
    </r>
    <r>
      <rPr>
        <b/>
        <sz val="11"/>
        <rFont val="Arial"/>
        <family val="2"/>
      </rPr>
      <t xml:space="preserve">(I) </t>
    </r>
    <r>
      <rPr>
        <sz val="11"/>
        <rFont val="Arial"/>
        <family val="2"/>
      </rPr>
      <t xml:space="preserve">Short-term digital asset transactions not reported to you on </t>
    </r>
    <r>
      <rPr>
        <b/>
        <sz val="11"/>
        <rFont val="Arial"/>
        <family val="2"/>
      </rPr>
      <t>Form 1099-DA</t>
    </r>
    <r>
      <rPr>
        <sz val="11"/>
        <rFont val="Arial"/>
        <family val="2"/>
      </rPr>
      <t xml:space="preserve"> or </t>
    </r>
    <r>
      <rPr>
        <b/>
        <sz val="11"/>
        <rFont val="Arial"/>
        <family val="2"/>
      </rPr>
      <t>Form 1099-B</t>
    </r>
  </si>
  <si>
    <r>
      <rPr>
        <b/>
        <sz val="9"/>
        <rFont val="Arial"/>
        <family val="2"/>
      </rPr>
      <t>(b)</t>
    </r>
    <r>
      <rPr>
        <sz val="9"/>
        <rFont val="Arial"/>
        <family val="2"/>
      </rPr>
      <t xml:space="preserve">
Date acquired
(Mo., day, yr.)</t>
    </r>
  </si>
  <si>
    <t xml:space="preserve">complete a separate Form 8949, page 2, for each applicable box. If you have more long-term transactions than will fit on this page for </t>
  </si>
  <si>
    <t>If more than one box applies for your long-term transactions,</t>
  </si>
  <si>
    <t>K</t>
  </si>
  <si>
    <t>L</t>
  </si>
  <si>
    <t xml:space="preserve">  h</t>
  </si>
  <si>
    <t>50-year property</t>
  </si>
  <si>
    <t>50 yrs.</t>
  </si>
  <si>
    <t xml:space="preserve">   j  </t>
  </si>
  <si>
    <t>50-year</t>
  </si>
  <si>
    <r>
      <t xml:space="preserve">entertainment, recreation, or amusement.) </t>
    </r>
    <r>
      <rPr>
        <i/>
        <sz val="13"/>
        <rFont val="Arial"/>
        <family val="2"/>
      </rPr>
      <t>(continued)</t>
    </r>
  </si>
  <si>
    <t>If the instructions for Schedule 1, line 24z, have you enter a write-in adjustment on line 24z, figure that</t>
  </si>
  <si>
    <t>write-in before completing this worksheet (see the instructions for Schedule 1, line 24z).</t>
  </si>
  <si>
    <t>worksheet instead of a publication to find out if any of your benefits are taxable.</t>
  </si>
  <si>
    <r>
      <t xml:space="preserve">Be sure you have read the </t>
    </r>
    <r>
      <rPr>
        <i/>
        <sz val="11"/>
        <rFont val="Arial"/>
        <family val="2"/>
      </rPr>
      <t>Exception</t>
    </r>
    <r>
      <rPr>
        <sz val="11"/>
        <rFont val="Arial"/>
        <family val="2"/>
      </rPr>
      <t xml:space="preserve"> in the line 6a and 6b instructions to see if you can use this</t>
    </r>
  </si>
  <si>
    <r>
      <t xml:space="preserve">If  you  are  married  filing  separately  and  you  </t>
    </r>
    <r>
      <rPr>
        <b/>
        <sz val="11"/>
        <rFont val="Arial"/>
        <family val="2"/>
      </rPr>
      <t>lived apart</t>
    </r>
    <r>
      <rPr>
        <sz val="11"/>
        <rFont val="Arial"/>
        <family val="2"/>
      </rPr>
      <t xml:space="preserve"> from your</t>
    </r>
  </si>
  <si>
    <r>
      <t xml:space="preserve">Enter the total amount from </t>
    </r>
    <r>
      <rPr>
        <b/>
        <sz val="11"/>
        <rFont val="Arial"/>
        <family val="2"/>
      </rPr>
      <t>box 5</t>
    </r>
    <r>
      <rPr>
        <sz val="11"/>
        <rFont val="Arial"/>
        <family val="2"/>
      </rPr>
      <t xml:space="preserve"> of </t>
    </r>
    <r>
      <rPr>
        <b/>
        <sz val="11"/>
        <rFont val="Arial"/>
        <family val="2"/>
      </rPr>
      <t>all</t>
    </r>
    <r>
      <rPr>
        <sz val="11"/>
        <rFont val="Arial"/>
        <family val="2"/>
      </rPr>
      <t xml:space="preserve"> your </t>
    </r>
    <r>
      <rPr>
        <b/>
        <sz val="11"/>
        <rFont val="Arial"/>
        <family val="2"/>
      </rPr>
      <t>Forms SSA-1099</t>
    </r>
    <r>
      <rPr>
        <sz val="11"/>
        <rFont val="Arial"/>
        <family val="2"/>
      </rPr>
      <t xml:space="preserve"> and </t>
    </r>
    <r>
      <rPr>
        <b/>
        <sz val="11"/>
        <rFont val="Arial"/>
        <family val="2"/>
      </rPr>
      <t>RRB-1099.</t>
    </r>
  </si>
  <si>
    <t>Combine the amounts from Form 1040 or 1040-SR, lines 1z, 2b, 3b, 4b, 5b, 7a, and 8</t>
  </si>
  <si>
    <r>
      <t xml:space="preserve"> Yes.</t>
    </r>
    <r>
      <rPr>
        <sz val="10"/>
        <rFont val="Arial"/>
        <family val="2"/>
      </rPr>
      <t xml:space="preserve">  Subtract line 6 from line 5</t>
    </r>
  </si>
  <si>
    <t>Is the amount on line 6 less than the amount on line 5?</t>
  </si>
  <si>
    <t>Combine lines 2, 3, and 4</t>
  </si>
  <si>
    <t>Is the amount on line 8 less than the amount on line 7?</t>
  </si>
  <si>
    <t>12e</t>
  </si>
  <si>
    <t>Check here if you, or your spouse if filing jointly, want $3 to go to this fund.  Checking a box below will not change your tax or refund.</t>
  </si>
  <si>
    <t>Check here if your main home, and your spouse's,</t>
  </si>
  <si>
    <t xml:space="preserve"> Married filing jointly (even if only one had income)</t>
  </si>
  <si>
    <r>
      <t>If more
than four
dependents,
see instructions
and check
here</t>
    </r>
    <r>
      <rPr>
        <b/>
        <sz val="10"/>
        <rFont val="Arial"/>
        <family val="2"/>
      </rPr>
      <t xml:space="preserve">  .   .   .   .</t>
    </r>
  </si>
  <si>
    <r>
      <rPr>
        <b/>
        <sz val="11"/>
        <rFont val="Arial"/>
        <family val="2"/>
      </rPr>
      <t>(6)</t>
    </r>
    <r>
      <rPr>
        <sz val="11"/>
        <rFont val="Arial"/>
        <family val="2"/>
      </rPr>
      <t xml:space="preserve"> Check if</t>
    </r>
  </si>
  <si>
    <r>
      <rPr>
        <b/>
        <sz val="11"/>
        <rFont val="Arial"/>
        <family val="2"/>
      </rPr>
      <t>(7)</t>
    </r>
    <r>
      <rPr>
        <sz val="11"/>
        <rFont val="Arial"/>
        <family val="2"/>
      </rPr>
      <t xml:space="preserve"> Credits</t>
    </r>
  </si>
  <si>
    <r>
      <rPr>
        <b/>
        <sz val="11"/>
        <rFont val="Arial"/>
        <family val="2"/>
      </rPr>
      <t>(1)</t>
    </r>
    <r>
      <rPr>
        <sz val="11"/>
        <rFont val="Arial"/>
        <family val="2"/>
      </rPr>
      <t xml:space="preserve"> First name</t>
    </r>
  </si>
  <si>
    <r>
      <rPr>
        <b/>
        <sz val="11"/>
        <rFont val="Arial"/>
        <family val="2"/>
      </rPr>
      <t>(2)</t>
    </r>
    <r>
      <rPr>
        <sz val="11"/>
        <rFont val="Arial"/>
        <family val="2"/>
      </rPr>
      <t xml:space="preserve"> Last name</t>
    </r>
  </si>
  <si>
    <r>
      <rPr>
        <b/>
        <sz val="11"/>
        <rFont val="Arial"/>
        <family val="2"/>
      </rPr>
      <t>(3)</t>
    </r>
    <r>
      <rPr>
        <sz val="11"/>
        <rFont val="Arial"/>
        <family val="2"/>
      </rPr>
      <t xml:space="preserve"> SSN</t>
    </r>
  </si>
  <si>
    <r>
      <rPr>
        <b/>
        <sz val="11"/>
        <rFont val="Arial"/>
        <family val="2"/>
      </rPr>
      <t>(4)</t>
    </r>
    <r>
      <rPr>
        <sz val="11"/>
        <rFont val="Arial"/>
        <family val="2"/>
      </rPr>
      <t xml:space="preserve"> Relationship</t>
    </r>
  </si>
  <si>
    <r>
      <t xml:space="preserve">Yes. </t>
    </r>
    <r>
      <rPr>
        <sz val="10"/>
        <rFont val="Arial"/>
        <family val="2"/>
      </rPr>
      <t xml:space="preserve"> Subtract line 8 from line 7</t>
    </r>
  </si>
  <si>
    <t>.   .   .   .   .   .   .   .   .   .   .   .   .   .   .   .   .   .   .   .   .   .   .   .   .   .   .   .   .   .   .   .   .   .   .   .   .   .   .   .   .   .   .   .   .   .   .   .   .   .   .   .   .   .   .   .   .   .   .   .   .   .   .   .   .</t>
  </si>
  <si>
    <t>.   .   .   .   .   .   .   .   .   .   .   .   .   .   .   .   .   .   .   .   .   .   .   .   .   .   .   .   .   .   .   .   .   .   .   .   .   .   .   .   .   .   .   .   .</t>
  </si>
  <si>
    <t xml:space="preserve">Subtract line 10 from line 9. If zero or less, enter -0- </t>
  </si>
  <si>
    <r>
      <t xml:space="preserve">Enter the </t>
    </r>
    <r>
      <rPr>
        <b/>
        <sz val="10"/>
        <rFont val="Arial"/>
        <family val="2"/>
      </rPr>
      <t>smaller</t>
    </r>
    <r>
      <rPr>
        <sz val="10"/>
        <rFont val="Arial"/>
        <family val="2"/>
      </rPr>
      <t xml:space="preserve"> of line 9 or line 10</t>
    </r>
  </si>
  <si>
    <t>Enter one-half of line 12</t>
  </si>
  <si>
    <r>
      <t xml:space="preserve">Enter the </t>
    </r>
    <r>
      <rPr>
        <b/>
        <sz val="10"/>
        <rFont val="Arial"/>
        <family val="2"/>
      </rPr>
      <t>smaller</t>
    </r>
    <r>
      <rPr>
        <sz val="10"/>
        <rFont val="Arial"/>
        <family val="2"/>
      </rPr>
      <t xml:space="preserve"> of line 2 or line 13</t>
    </r>
  </si>
  <si>
    <t>Add lines 14 and 15</t>
  </si>
  <si>
    <r>
      <t>Taxable social security benefits.</t>
    </r>
    <r>
      <rPr>
        <sz val="10"/>
        <rFont val="Arial"/>
        <family val="2"/>
      </rPr>
      <t xml:space="preserve">  Enter the </t>
    </r>
    <r>
      <rPr>
        <b/>
        <sz val="10"/>
        <rFont val="Arial"/>
        <family val="2"/>
      </rPr>
      <t>smaller</t>
    </r>
    <r>
      <rPr>
        <sz val="10"/>
        <rFont val="Arial"/>
        <family val="2"/>
      </rPr>
      <t xml:space="preserve"> of line 16 or line 17</t>
    </r>
  </si>
  <si>
    <t>year, you may be able to reduce the taxable amount. See Lump-Sum Election in Pub. 915 for details.</t>
  </si>
  <si>
    <r>
      <rPr>
        <b/>
        <i/>
        <sz val="10"/>
        <rFont val="Arial"/>
        <family val="2"/>
      </rPr>
      <t>and</t>
    </r>
    <r>
      <rPr>
        <i/>
        <sz val="10"/>
        <rFont val="Arial"/>
        <family val="2"/>
      </rPr>
      <t xml:space="preserve"> they include a lump-sum benefit payment that was for an earlier</t>
    </r>
  </si>
  <si>
    <r>
      <t xml:space="preserve">widow(er), or married filing separately and you </t>
    </r>
    <r>
      <rPr>
        <b/>
        <sz val="10"/>
        <rFont val="Arial"/>
        <family val="2"/>
      </rPr>
      <t>lived apart</t>
    </r>
    <r>
      <rPr>
        <sz val="10"/>
        <rFont val="Arial"/>
        <family val="2"/>
      </rPr>
      <t xml:space="preserve">  from</t>
    </r>
  </si>
  <si>
    <t>Sch 1, Line 1 (SALT)</t>
  </si>
  <si>
    <t>this amount on Form 1040 or 1040-SR, line 12e. Otherwise, go to line 4b</t>
  </si>
  <si>
    <t xml:space="preserve">    Standard Deduction Worksheet for Dependents -- Line 12e</t>
  </si>
  <si>
    <t>Add lines 4a and 4b. Enter the total here and on Form 1040 or 1040-SR, line 12e</t>
  </si>
  <si>
    <t>→</t>
  </si>
  <si>
    <t>Line 12e (SD Depnts)</t>
  </si>
  <si>
    <t>Standard Deduction Worksheet for Dependents — Line 12e</t>
  </si>
  <si>
    <t>4. Include your capital gain excess as a loss on line 16 of your Unrecaptured Section 1250 Gain Worksheet in the Instructions for Schedule D.</t>
  </si>
  <si>
    <t>Other gains or (losses). Check if any from Form(s):</t>
  </si>
  <si>
    <t xml:space="preserve">  4797</t>
  </si>
  <si>
    <t xml:space="preserve">  4684</t>
  </si>
  <si>
    <t>enter amount repaid:</t>
  </si>
  <si>
    <t xml:space="preserve">  and</t>
  </si>
  <si>
    <t>Note: The remaining amounts reported to you on Form(s) 1099-K should be reported elsewhere on your return depending on the</t>
  </si>
  <si>
    <r>
      <t xml:space="preserve">nature of the transaction. </t>
    </r>
    <r>
      <rPr>
        <i/>
        <sz val="12"/>
        <rFont val="Arial"/>
        <family val="2"/>
      </rPr>
      <t>See www.irs.gov/1099k.</t>
    </r>
  </si>
  <si>
    <t>Rental real estate, royalties, partnerships, S corporations, trusts, etc. Attach Schedule E</t>
  </si>
  <si>
    <t>Nontaxable amount of Medicaid waiver payments included on Form 1040, line</t>
  </si>
  <si>
    <t>1a or 1d</t>
  </si>
  <si>
    <r>
      <t xml:space="preserve">Combine lines 1 through 7 and 9. This is your </t>
    </r>
    <r>
      <rPr>
        <b/>
        <sz val="12"/>
        <rFont val="Arial"/>
        <family val="2"/>
      </rPr>
      <t>additional income</t>
    </r>
    <r>
      <rPr>
        <sz val="12"/>
        <rFont val="Arial"/>
        <family val="2"/>
      </rPr>
      <t>. Enter here and on Form 1040,</t>
    </r>
  </si>
  <si>
    <t>1040-SR, or 1040-NR, line 8</t>
  </si>
  <si>
    <t>IRA deduction. If you are married filing separately and lived apart from your spouse for the entire year</t>
  </si>
  <si>
    <t>(see instructions), check here</t>
  </si>
  <si>
    <t>Certain business expenses of reservists, performing artists, and fee-basis government officials. Attach</t>
  </si>
  <si>
    <t>Form 2106</t>
  </si>
  <si>
    <t>Moving expenses for members of the Armed Forces. Attach Form 3903. If claiming only storage fees</t>
  </si>
  <si>
    <t>Deductible expenses related to income reported on line 8l from the rental of</t>
  </si>
  <si>
    <t>personal property engaged in for profit</t>
  </si>
  <si>
    <t>Nontaxable amount of the value of Olympic and Paralympic medals and USOC</t>
  </si>
  <si>
    <t>prize money reported on line 8m</t>
  </si>
  <si>
    <t>Repayment of supplemental unemployment benefits under the Trade Act of</t>
  </si>
  <si>
    <t>1974</t>
  </si>
  <si>
    <t>Attorney fees and court costs for actions involving certain unlawful</t>
  </si>
  <si>
    <t>discrimination claims (see instructions)</t>
  </si>
  <si>
    <t>Attorney fees and court costs you paid in connection with an award from the</t>
  </si>
  <si>
    <t>IRS for information you provided that helped the IRS detect tax law violations</t>
  </si>
  <si>
    <r>
      <t xml:space="preserve">Add lines 11 through 23 and 25. These are your </t>
    </r>
    <r>
      <rPr>
        <b/>
        <sz val="12"/>
        <rFont val="Arial"/>
        <family val="2"/>
      </rPr>
      <t>adjustments to income</t>
    </r>
    <r>
      <rPr>
        <sz val="12"/>
        <rFont val="Arial"/>
        <family val="2"/>
      </rPr>
      <t>. Enter here and on Form</t>
    </r>
  </si>
  <si>
    <t>1040, 1040-SR, or 1040-NR, line 10</t>
  </si>
  <si>
    <t>SCHEDULE 1
(Form 1040)</t>
  </si>
  <si>
    <t>Enter the amount from line 11a of your Form 1040, 1040-SR, or 1040-NR</t>
  </si>
  <si>
    <t>Age:</t>
  </si>
  <si>
    <r>
      <rPr>
        <b/>
        <sz val="12"/>
        <rFont val="Arial"/>
        <family val="2"/>
      </rPr>
      <t xml:space="preserve">Gross income: </t>
    </r>
    <r>
      <rPr>
        <sz val="12"/>
        <rFont val="Arial"/>
        <family val="2"/>
      </rPr>
      <t>Has gross income under $5,200</t>
    </r>
  </si>
  <si>
    <t>Number of qualifying children under age 17 with the required social security number</t>
  </si>
  <si>
    <t xml:space="preserve">.   .   .   .   .   .   .   .   .   .   .   .   .   .   .   .   .   .   .   .   .   .   .   .   .   .   .   .   .   .   .   .   </t>
  </si>
  <si>
    <t>Schedule 3, line 11.</t>
  </si>
  <si>
    <r>
      <t xml:space="preserve">Enter the </t>
    </r>
    <r>
      <rPr>
        <b/>
        <sz val="9"/>
        <rFont val="Arial"/>
        <family val="2"/>
      </rPr>
      <t>larger</t>
    </r>
    <r>
      <rPr>
        <sz val="9"/>
        <rFont val="Arial"/>
        <family val="2"/>
      </rPr>
      <t xml:space="preserve"> of line 5 or line 11</t>
    </r>
  </si>
  <si>
    <r>
      <t xml:space="preserve">Enter the </t>
    </r>
    <r>
      <rPr>
        <b/>
        <sz val="9"/>
        <rFont val="Arial"/>
        <family val="2"/>
      </rPr>
      <t>smaller</t>
    </r>
    <r>
      <rPr>
        <sz val="9"/>
        <rFont val="Arial"/>
        <family val="2"/>
      </rPr>
      <t xml:space="preserve"> of line 2 or line 12</t>
    </r>
  </si>
  <si>
    <r>
      <t xml:space="preserve">If you are </t>
    </r>
    <r>
      <rPr>
        <b/>
        <sz val="9"/>
        <rFont val="Arial"/>
        <family val="2"/>
      </rPr>
      <t>not</t>
    </r>
    <r>
      <rPr>
        <sz val="9"/>
        <rFont val="Arial"/>
        <family val="2"/>
      </rPr>
      <t xml:space="preserve"> completing Credit Limit Worksheet B, enter -0-; otherwise, enter the amount</t>
    </r>
  </si>
  <si>
    <t>from the Credit Limit Worksheet B.</t>
  </si>
  <si>
    <t xml:space="preserve">.   .   .   .   .   .   .   .   .   .   .   .   .   .   .   .   .   .   .   .   .   .   .   .   .   .   .   </t>
  </si>
  <si>
    <t>17 or who do not have the required social security number</t>
  </si>
  <si>
    <t>Qualifying Relative</t>
  </si>
  <si>
    <t>File jointly &amp; Spouse</t>
  </si>
  <si>
    <t>Birthdate Missing</t>
  </si>
  <si>
    <r>
      <t>(6)</t>
    </r>
    <r>
      <rPr>
        <sz val="9"/>
        <rFont val="Arial"/>
        <family val="2"/>
      </rPr>
      <t xml:space="preserve"> Check if child is:</t>
    </r>
  </si>
  <si>
    <t>Check if qualifying relative:</t>
  </si>
  <si>
    <r>
      <t xml:space="preserve">Has Gross Income
</t>
    </r>
    <r>
      <rPr>
        <u/>
        <sz val="8"/>
        <rFont val="Arial"/>
        <family val="2"/>
      </rPr>
      <t>&lt;</t>
    </r>
    <r>
      <rPr>
        <sz val="8"/>
        <rFont val="Arial"/>
        <family val="2"/>
      </rPr>
      <t xml:space="preserve"> $5,200</t>
    </r>
  </si>
  <si>
    <t>Relative's gross income 
&lt; $5,200</t>
  </si>
  <si>
    <t>Had over half of support provided by you</t>
  </si>
  <si>
    <t>You provided at least half of relative's support</t>
  </si>
  <si>
    <t>A US citizen or national, or resident of Canada or Mexico</t>
  </si>
  <si>
    <t>Has Gross Income
&lt; $5,200</t>
  </si>
  <si>
    <r>
      <t>(3)</t>
    </r>
    <r>
      <rPr>
        <sz val="10"/>
        <rFont val="Arial"/>
        <family val="2"/>
      </rPr>
      <t xml:space="preserve"> Social security 
number</t>
    </r>
    <r>
      <rPr>
        <b/>
        <sz val="10"/>
        <rFont val="Arial"/>
        <family val="2"/>
      </rPr>
      <t xml:space="preserve">
Enter 'N' if no SSN.</t>
    </r>
  </si>
  <si>
    <t>See IRS instructions.</t>
  </si>
  <si>
    <t>Didn't provide over half of their own support.</t>
  </si>
  <si>
    <r>
      <t>Younger than You</t>
    </r>
    <r>
      <rPr>
        <sz val="10"/>
        <rFont val="Arial"/>
        <family val="2"/>
      </rPr>
      <t xml:space="preserve"> (and your spouse if filing jointly)</t>
    </r>
  </si>
  <si>
    <t>03</t>
  </si>
  <si>
    <t>04</t>
  </si>
  <si>
    <t>05</t>
  </si>
  <si>
    <t>06</t>
  </si>
  <si>
    <t>07</t>
  </si>
  <si>
    <r>
      <rPr>
        <b/>
        <sz val="9"/>
        <rFont val="Arial"/>
        <family val="2"/>
      </rPr>
      <t>(5)</t>
    </r>
    <r>
      <rPr>
        <sz val="9"/>
        <rFont val="Arial"/>
        <family val="2"/>
      </rPr>
      <t xml:space="preserve"> Check if child</t>
    </r>
  </si>
  <si>
    <r>
      <t xml:space="preserve">Check if </t>
    </r>
    <r>
      <rPr>
        <b/>
        <sz val="9"/>
        <rFont val="Arial"/>
        <family val="2"/>
      </rPr>
      <t>qualifying relative</t>
    </r>
    <r>
      <rPr>
        <sz val="9"/>
        <rFont val="Arial"/>
        <family val="2"/>
      </rPr>
      <t>:</t>
    </r>
  </si>
  <si>
    <r>
      <t xml:space="preserve">Check if </t>
    </r>
    <r>
      <rPr>
        <b/>
        <sz val="9"/>
        <rFont val="Arial"/>
        <family val="2"/>
      </rPr>
      <t>child or other relative</t>
    </r>
    <r>
      <rPr>
        <sz val="9"/>
        <rFont val="Arial"/>
        <family val="2"/>
      </rPr>
      <t>:</t>
    </r>
  </si>
  <si>
    <t>Dependent</t>
  </si>
  <si>
    <t>QC Depend
or
QR Depend</t>
  </si>
  <si>
    <t>Other Dependents</t>
  </si>
  <si>
    <t>Other Dependent</t>
  </si>
  <si>
    <t>Qualifying Child and Dependent</t>
  </si>
  <si>
    <t>Qualifying Relative and Dependent</t>
  </si>
  <si>
    <t>A US citizen, US national, or US resident alien</t>
  </si>
  <si>
    <t>Was a
US citizen, 
US national, or
US resident alien</t>
  </si>
  <si>
    <t>Credit for other dependents
(CFOD)</t>
  </si>
  <si>
    <t>Child tax credit
(CTC)</t>
  </si>
  <si>
    <t>CTC - Qualifying child under 17 w/ SSN</t>
  </si>
  <si>
    <t>Credit for Other Dependent - Qualifying child not under 17</t>
  </si>
  <si>
    <t>Credit for Other Dependents - Qualifying Relative</t>
  </si>
  <si>
    <t>CTC - Qualifying childen under 17 w/ SSN</t>
  </si>
  <si>
    <t>Other qualifying dependents</t>
  </si>
  <si>
    <t>Total dependents</t>
  </si>
  <si>
    <t>Was a
US citizen, 
US national, 
US resident alien, or
resident of Canada
or 
Mexico</t>
  </si>
  <si>
    <t>Was a
US citizen, 
US national, or
resident of Canada
or 
Mexico</t>
  </si>
  <si>
    <t>Auto calculated.
To override,
click left to clear,
click right to check</t>
  </si>
  <si>
    <t>CFOD - Credit for Other Dependent - Qualifying childen not under 17</t>
  </si>
  <si>
    <t>Total Qualifying Children</t>
  </si>
  <si>
    <t>Total Other Dependents</t>
  </si>
  <si>
    <t>Lived with you more than half the year in the United States</t>
  </si>
  <si>
    <t>EIC - Qualifying child - Lived with you at least half in the U.S.</t>
  </si>
  <si>
    <r>
      <rPr>
        <b/>
        <sz val="12"/>
        <rFont val="Arial"/>
        <family val="2"/>
      </rPr>
      <t>Relationship:</t>
    </r>
    <r>
      <rPr>
        <sz val="12"/>
        <rFont val="Arial"/>
        <family val="2"/>
      </rPr>
      <t xml:space="preserve"> Be your son, daughter, stepchild, eligible foster child, brother, sister, half-sister or -brother, stepbrother, stepsister, </t>
    </r>
  </si>
  <si>
    <t>adopted child or the child of one of these</t>
  </si>
  <si>
    <t>Qualifying Child for EIC purposes</t>
  </si>
  <si>
    <t>Total Qualified Children for Earned Income Credit (EIC)</t>
  </si>
  <si>
    <t>Number of qualified children for EIC from 'Dependents' sheet</t>
  </si>
  <si>
    <t>Used on sheet '1040' to calculate 'Tax Family Size'.</t>
  </si>
  <si>
    <t>Used as input to Sch. 8812, line 6.</t>
  </si>
  <si>
    <t>Used as input to Sch. 8812, line 4.</t>
  </si>
  <si>
    <t>Used as input to 'Line 27 (EIC)', steps 1 and 3.</t>
  </si>
  <si>
    <t>CFOD - Credit for Other Dependents</t>
  </si>
  <si>
    <t>Used on sheet '1040' to check Dependents &gt; 4 box.</t>
  </si>
  <si>
    <r>
      <rPr>
        <b/>
        <sz val="10"/>
        <rFont val="Arial"/>
        <family val="2"/>
      </rPr>
      <t>(3)</t>
    </r>
    <r>
      <rPr>
        <sz val="10"/>
        <rFont val="Arial"/>
        <family val="2"/>
      </rPr>
      <t xml:space="preserve"> Social security 
number
</t>
    </r>
    <r>
      <rPr>
        <b/>
        <sz val="10"/>
        <rFont val="Arial"/>
        <family val="2"/>
      </rPr>
      <t xml:space="preserve">Enter 'N' if dependent has no SSN, ITIN or ATIN.
</t>
    </r>
    <r>
      <rPr>
        <sz val="10"/>
        <rFont val="Arial"/>
        <family val="2"/>
      </rPr>
      <t xml:space="preserve">
(See IRS instructions.)</t>
    </r>
  </si>
  <si>
    <r>
      <rPr>
        <b/>
        <sz val="8"/>
        <rFont val="Arial"/>
        <family val="2"/>
      </rPr>
      <t>Auto calculated.</t>
    </r>
    <r>
      <rPr>
        <sz val="8"/>
        <rFont val="Arial"/>
        <family val="2"/>
      </rPr>
      <t xml:space="preserve">
To override,
click left to clear,
click right to check.</t>
    </r>
  </si>
  <si>
    <r>
      <t xml:space="preserve">And in the U.S.
</t>
    </r>
    <r>
      <rPr>
        <b/>
        <sz val="8"/>
        <rFont val="Arial"/>
        <family val="2"/>
      </rPr>
      <t>(Needed to qualify for EIC.)</t>
    </r>
  </si>
  <si>
    <r>
      <rPr>
        <b/>
        <sz val="9"/>
        <rFont val="Arial"/>
        <family val="2"/>
      </rPr>
      <t>NOTE:</t>
    </r>
    <r>
      <rPr>
        <sz val="9"/>
        <rFont val="Arial"/>
        <family val="2"/>
      </rPr>
      <t xml:space="preserve"> To receive either the CTC or the credit for other dependents, 
</t>
    </r>
    <r>
      <rPr>
        <b/>
        <u/>
        <sz val="9"/>
        <rFont val="Arial"/>
        <family val="2"/>
      </rPr>
      <t>all three</t>
    </r>
    <r>
      <rPr>
        <sz val="9"/>
        <rFont val="Arial"/>
        <family val="2"/>
      </rPr>
      <t xml:space="preserve"> must be checked. 
Check if child or other relative:</t>
    </r>
  </si>
  <si>
    <t>Scroll down to view
Dependents Summary.</t>
  </si>
  <si>
    <t>Dependents Summary</t>
  </si>
  <si>
    <r>
      <t xml:space="preserve">To be counted as your </t>
    </r>
    <r>
      <rPr>
        <b/>
        <u/>
        <sz val="11"/>
        <rFont val="Arial"/>
        <family val="2"/>
      </rPr>
      <t>dependent</t>
    </r>
    <r>
      <rPr>
        <b/>
        <sz val="11"/>
        <rFont val="Arial"/>
        <family val="2"/>
      </rPr>
      <t>, 
that person must:
- be a qualifying child or dependent
- have a valid Social Security Number
- receive at least 1/2 of support from you
- be a US citizen, national, or resident alien, 
  or resident of Canada or Mexico
See general rules for dependents, below.</t>
    </r>
  </si>
  <si>
    <r>
      <t xml:space="preserve">
To be counted as a qualifying child for Earned Income Credit (EIC) purposes, a child must:
- be under 19 years old, 
- be a full-time student 
   under 24 years old, or 
- be permanently and 
   totally disabled
AND
- have lived with you, </t>
    </r>
    <r>
      <rPr>
        <b/>
        <u/>
        <sz val="11"/>
        <rFont val="Arial"/>
        <family val="2"/>
      </rPr>
      <t>in the U.S.</t>
    </r>
    <r>
      <rPr>
        <b/>
        <sz val="11"/>
        <rFont val="Arial"/>
        <family val="2"/>
      </rPr>
      <t>, 
   for at least half of the tax year.</t>
    </r>
  </si>
  <si>
    <t>Deceased spouse was &gt;65 years old.</t>
  </si>
  <si>
    <t>Deceased turned 65 years old during tax year.</t>
  </si>
  <si>
    <t>Spouse passed way before birthday</t>
  </si>
  <si>
    <t>Deceased spouse std. deduct. Credit for &gt;64</t>
  </si>
  <si>
    <t>Digital Assets</t>
  </si>
  <si>
    <r>
      <rPr>
        <b/>
        <sz val="11"/>
        <rFont val="Arial"/>
        <family val="2"/>
      </rPr>
      <t>(5)</t>
    </r>
    <r>
      <rPr>
        <sz val="11"/>
        <rFont val="Arial"/>
        <family val="2"/>
      </rPr>
      <t xml:space="preserve"> Check if lived with you more than</t>
    </r>
  </si>
  <si>
    <t>Attach Form(s)
W-2 here. Also attach Forms 
W-2G and 
1099-R if tax 
was withheld.</t>
  </si>
  <si>
    <t>Olympic and Paralympic medals and USOC prize money (see instructions)</t>
  </si>
  <si>
    <t>Pension or annuity from a nonqualifed deferred compensation plan or a</t>
  </si>
  <si>
    <t>nongovernmental section 457 plan</t>
  </si>
  <si>
    <r>
      <rPr>
        <b/>
        <sz val="10"/>
        <rFont val="Arial"/>
        <family val="2"/>
      </rPr>
      <t xml:space="preserve">No. </t>
    </r>
    <r>
      <rPr>
        <sz val="10"/>
        <rFont val="Arial"/>
        <family val="2"/>
      </rPr>
      <t>Continue to lines 12–23. Compute your monthly PTC and continue to line 24.</t>
    </r>
  </si>
  <si>
    <t>Part IV, Allocation of Policy Amounts, or Part V, Alternative Calculation for Year of Marriage</t>
  </si>
  <si>
    <r>
      <rPr>
        <b/>
        <sz val="10"/>
        <rFont val="Arial"/>
        <family val="2"/>
      </rPr>
      <t>Yes.</t>
    </r>
    <r>
      <rPr>
        <sz val="10"/>
        <rFont val="Arial"/>
        <family val="2"/>
      </rPr>
      <t xml:space="preserve"> Continue to line 11. Compute your annual PTC. Skip lines 12–23 and continue to line 24.</t>
    </r>
  </si>
  <si>
    <t>Total PTC. Enter the amount from line 11, column (e), or add lines 12 through 23, column (e), and enter the total</t>
  </si>
  <si>
    <t>Advance payment of PTC. Enter the amount from line 11, column (f), or add lines 12 through 23, column (f), and</t>
  </si>
  <si>
    <t>enter the total here</t>
  </si>
  <si>
    <t xml:space="preserve">.   .   .   .   .   .   .   .   .   .   .   .   .   .   .   .   .   .   .   .   .   .   .   .   .   .   .   .   .   .   .   .   .   .   .   .   .   .   .   .   .   .   .   .   . </t>
  </si>
  <si>
    <t xml:space="preserve">.   .   .   .   .   .   .   .   .   .   .   .   .   .   .   .   .   .   .   .   .   .   .   .   .   .   .   .   .   .   .   .   .   .   .   .   .   .   .   .   . </t>
  </si>
  <si>
    <t>on lines 12–23, columns (a), (b), and (f). Compute the amounts for lines 12–23, columns (c)–(e), and continue to line 24.</t>
  </si>
  <si>
    <t>allocated policy amounts from Forms 1095-A, if any, to compute a combined total for each month. Enter the combined total for each month</t>
  </si>
  <si>
    <t>1040-SR, or Form 1040-NR, line 11a.  .  .  .  .  .  .  .</t>
  </si>
  <si>
    <t>*If you are filing Form 8814 and the amount on Form 8814, line 4, is more than $1,350, you must enter certain amounts from that form on Worksheet 1-2. See Form 8814 under line 2b in the instructions.</t>
  </si>
  <si>
    <t>1040-SR, or Form 1040-NR, line 11a.  .  .  .  .  .  .  .  .  .  .  .  .  .  .  .  .  .  .  .  .  .  .  .  .  .  .  .  .</t>
  </si>
  <si>
    <t>LibreOffice users tell me LibreOffice version 25 will successfully open this spreadsheet.</t>
  </si>
  <si>
    <t>To save a copy of this spreadsheet in .ods format, try performing the following steps:</t>
  </si>
  <si>
    <t>Be aware, to perform an accurate tax calculation, the spreadsheet will need reasonably complete and</t>
  </si>
  <si>
    <t>accurate birthdate, accurate state of residence, and a valid SSN.  Don't leave these cells blank.</t>
  </si>
  <si>
    <t>Prior to printing, to remove colors from all forms and worksheets, place an 'X' in Cell AV2 on the '1040' sheet.</t>
  </si>
  <si>
    <t>Likewise, to remove social security numbers from all forms and worksheets, place an "X" in Cell AV3</t>
  </si>
  <si>
    <t>Any personal information entered into this spreadsheet is available only to you. This spreadsheet</t>
  </si>
  <si>
    <t>has no ability to transmit your information anywhere.</t>
  </si>
  <si>
    <t>It is vitally important to the continued success of this spreadsheet that users promptly report errors</t>
  </si>
  <si>
    <t>so that the spreadsheet can be corrected.</t>
  </si>
  <si>
    <t>validating the spreadsheet's results.</t>
  </si>
  <si>
    <t xml:space="preserve">IRS forms and instructions: </t>
  </si>
  <si>
    <t>Please report errors to:</t>
  </si>
  <si>
    <t>Click on the tab labeled '1040' and enter all of the taxpayer information required at the top of Form 1040.</t>
  </si>
  <si>
    <t>Check the box on line 27c.</t>
  </si>
  <si>
    <t xml:space="preserve">         Check the box on line 27c.</t>
  </si>
  <si>
    <t>Check the box on Form 1040 or 1040-SR, line 27c.</t>
  </si>
  <si>
    <r>
      <rPr>
        <b/>
        <sz val="11"/>
        <rFont val="Arial"/>
        <family val="2"/>
      </rPr>
      <t>Foreign earned income exclusion.</t>
    </r>
    <r>
      <rPr>
        <sz val="11"/>
        <rFont val="Arial"/>
        <family val="2"/>
      </rPr>
      <t xml:space="preserve"> Enter the </t>
    </r>
    <r>
      <rPr>
        <b/>
        <sz val="11"/>
        <rFont val="Arial"/>
        <family val="2"/>
      </rPr>
      <t>smaller</t>
    </r>
    <r>
      <rPr>
        <sz val="11"/>
        <rFont val="Arial"/>
        <family val="2"/>
      </rPr>
      <t xml:space="preserve"> of line 40 or line 41. Also, complete Part VIII</t>
    </r>
  </si>
  <si>
    <r>
      <t xml:space="preserve">tax home? See </t>
    </r>
    <r>
      <rPr>
        <b/>
        <i/>
        <sz val="11"/>
        <rFont val="Arial"/>
        <family val="2"/>
      </rPr>
      <t>Second foreign household</t>
    </r>
    <r>
      <rPr>
        <sz val="11"/>
        <rFont val="Arial"/>
        <family val="2"/>
      </rPr>
      <t xml:space="preserve"> in the instructions</t>
    </r>
  </si>
  <si>
    <t xml:space="preserve">Enter the amount from line 3 </t>
  </si>
  <si>
    <t>(a) Name of Employer</t>
  </si>
  <si>
    <t>(b) Amount of qualified tips reported by this employer on Form W-2, or reported by you to this employer on
Form(s) 4070</t>
  </si>
  <si>
    <t>(c) Qualified tips reported on 
Form 4137, 
column 1(c), 
for this employer</t>
  </si>
  <si>
    <t>(d) Enter the greater of column (b) or 
column (c)</t>
  </si>
  <si>
    <t>Add lines 1A through 1E, column (d), and enter this amount on Schedule 1-A, line 4c</t>
  </si>
  <si>
    <t>(a) Name of Your Business</t>
  </si>
  <si>
    <t>(c) Qualified tip amount from first Form 1099-NEC, box 1; Form 1099-MISC, box 3; or Form 1099-K, box 1a</t>
  </si>
  <si>
    <t>(d) Qualified tip amount from second Form 1099-NEC, box 1; Form 1099-MISC, box 3; or Form 1099-K, box 1a</t>
  </si>
  <si>
    <t>(e) Qualified tip amount from third Form 1099-NEC, box 1; Form 1099-MISC, box 3; or Form 1099-K, box 1a</t>
  </si>
  <si>
    <t>(g) Enter the lesser of 
column (b) and 
column (f)</t>
  </si>
  <si>
    <t>(f) Total qualified tip amount. Add columns
(c), (d), and (e)</t>
  </si>
  <si>
    <t>(b) Net profit of business from Sch. C, line 31; Sch. E, lines 28(g) thru 28(k); or 
Sch. F, line 34</t>
  </si>
  <si>
    <t>Add lines 1A through 1E, column (g), and enter the total on Schedule 1-A, line 5</t>
  </si>
  <si>
    <t>Enter tips using 
worksheets &gt;&gt;&gt;</t>
  </si>
  <si>
    <t>the course of more than one trade or business or in more than one occupation, see instructions</t>
  </si>
  <si>
    <t>Enter amount from Form 1040 or 1040-SR, line 11b</t>
  </si>
  <si>
    <t>Form 4563, or excluded income from Puerto Rico, see instructions</t>
  </si>
  <si>
    <t>Did you live in Alabama, Alaska, Arizona, Arkansas, Colorado, Georgia, Illinois, Kansas, Louisiana, Mississippi, Missouri, New York,</t>
  </si>
  <si>
    <r>
      <t xml:space="preserve"> </t>
    </r>
    <r>
      <rPr>
        <b/>
        <sz val="10"/>
        <rFont val="Arial"/>
        <family val="2"/>
      </rPr>
      <t>No.</t>
    </r>
    <r>
      <rPr>
        <sz val="10"/>
        <rFont val="Arial"/>
        <family val="2"/>
      </rPr>
      <t xml:space="preserve">  Enter -0-.</t>
    </r>
  </si>
  <si>
    <t>instructions for line 3 of the worksheet.</t>
  </si>
  <si>
    <r>
      <t xml:space="preserve"> </t>
    </r>
    <r>
      <rPr>
        <b/>
        <sz val="10"/>
        <rFont val="Arial"/>
        <family val="2"/>
      </rPr>
      <t>No.</t>
    </r>
    <r>
      <rPr>
        <sz val="10"/>
        <rFont val="Arial"/>
        <family val="2"/>
      </rPr>
      <t xml:space="preserve"> </t>
    </r>
  </si>
  <si>
    <t>Skip lines 3 through 5, enter -0- on line 6, and go to line 7.</t>
  </si>
  <si>
    <t xml:space="preserve">     of the person for whom the premiums were paid.</t>
  </si>
  <si>
    <t>Did you enter -0- on line 2?</t>
  </si>
  <si>
    <t>Enter your local general sales tax rate but omit the percentage sign. For example,</t>
  </si>
  <si>
    <t>if your local general sales tax rate was 2.5%, enter 2.5. If your local general sales tax rate</t>
  </si>
  <si>
    <t>changed or you lived in more than one locality in the same state during 2025, see the</t>
  </si>
  <si>
    <t>instructions for line 3 of the worksheet</t>
  </si>
  <si>
    <t>Skip lines 4 and 5 and go to line 6.</t>
  </si>
  <si>
    <t>Enter your state general sales tax rate (shown in the table heading for your state) but</t>
  </si>
  <si>
    <t>omit the percentage sign. For example, if your state general sales tax rate is 6%, enter 6.0</t>
  </si>
  <si>
    <t>Divide line 3 by line 4. Enter the result as a decimal (rounded to at least three places)</t>
  </si>
  <si>
    <t>Multiply line 2 by line 3.</t>
  </si>
  <si>
    <t>Multiply line 1 by line 5. If you lived in more than one locality in the same state during</t>
  </si>
  <si>
    <t>State and Local General Sales Tax Deduction Worksheet—Line 5a</t>
  </si>
  <si>
    <t>See the instructions for line 1 of the worksheet if you:</t>
  </si>
  <si>
    <t>Enter your state and local general sales taxes paid on specified items, if any.</t>
  </si>
  <si>
    <t>See the instructions for line 7 of the worksheet</t>
  </si>
  <si>
    <t>Deduction for general sales taxes. Add lines 1, 6, and 7. Enter the result here and the total from all your state and local</t>
  </si>
  <si>
    <t>general sales tax deduction worksheets, if you completed more than one, on Schedule A, line 5a. Be sure to check the</t>
  </si>
  <si>
    <t>box on that line</t>
  </si>
  <si>
    <t>↑  General Sales Tax Override</t>
  </si>
  <si>
    <t>State and local taxes (SALT)</t>
  </si>
  <si>
    <t>State and Local Tax Deduction Worksheet -- Line 5e</t>
  </si>
  <si>
    <t>from Schedule A, line 5d on Schedule A, line 5e. You don’t have to complete this worksheet.</t>
  </si>
  <si>
    <r>
      <t xml:space="preserve"> Before you begin:    </t>
    </r>
    <r>
      <rPr>
        <b/>
        <sz val="14"/>
        <rFont val="Wingdings 2"/>
        <family val="1"/>
        <charset val="2"/>
      </rPr>
      <t>P</t>
    </r>
  </si>
  <si>
    <t>Your deduction isn't limited. Enter the amount from Schedule A, line 5d on</t>
  </si>
  <si>
    <t>Schedule A, line 5e. Don't complete the rest of this worksheet.</t>
  </si>
  <si>
    <t>Massachusetts, Michigan, New Jersey, or Rhode Island, skip lines 2 through 5, enter -0- on line 6, and go to line 7.</t>
  </si>
  <si>
    <t>Enter the amount from Form 1040 or 1040-SR, line 11b</t>
  </si>
  <si>
    <t>3a.</t>
  </si>
  <si>
    <t>Add lines 3a through 3d</t>
  </si>
  <si>
    <t>3b.</t>
  </si>
  <si>
    <t>3c.</t>
  </si>
  <si>
    <t>3d.</t>
  </si>
  <si>
    <t>3e.</t>
  </si>
  <si>
    <t>Add lines 2 and 3e</t>
  </si>
  <si>
    <t>Skip lines 7 and 8 and enter the amount from line 1 on line 9.</t>
  </si>
  <si>
    <t>Subtract line 7 from line 1</t>
  </si>
  <si>
    <t>State and local tax deduction. Enter the smaller of the amount on line 9 (half the amount on line 9 if married filing</t>
  </si>
  <si>
    <t>separately) or the amount from Schedule A, line 5d here and on Schedule A, line 5e</t>
  </si>
  <si>
    <t xml:space="preserve">special rules </t>
  </si>
  <si>
    <t>Points not reported to you on Form 1098. See instructions for</t>
  </si>
  <si>
    <t>Form 1040 or 1040-SR, line 12e</t>
  </si>
  <si>
    <t>Qualified Overtime Compensation From More Than One Employer Worksheet</t>
  </si>
  <si>
    <t>(a) Name of employer</t>
  </si>
  <si>
    <t>(b) Qualified Overtime reported on Form W-2, box 1</t>
  </si>
  <si>
    <t>Add the amounts from lines 1A through 1E, column (b), and enter this amount on Schedule 1-A, line 14a</t>
  </si>
  <si>
    <t>Qualified Overtime Compensation From More Than One Payor Worksheet</t>
  </si>
  <si>
    <t>(b) Qualified overtime reported on Form 1099-NEC, box 1, or Form 1099-MISC, box 3</t>
  </si>
  <si>
    <r>
      <rPr>
        <b/>
        <sz val="8"/>
        <rFont val="Arial"/>
        <family val="2"/>
      </rPr>
      <t xml:space="preserve">
</t>
    </r>
    <r>
      <rPr>
        <b/>
        <sz val="10"/>
        <rFont val="Arial"/>
        <family val="2"/>
      </rPr>
      <t>(a) Payor’s name</t>
    </r>
  </si>
  <si>
    <t>Add the amounts from lines 1A through 1E, column (b) and enter this amount on Schedule 1-A, line 14b</t>
  </si>
  <si>
    <t>Enter OT using 
worksheets &gt;&gt;&gt;</t>
  </si>
  <si>
    <t>you cannot claim the additional child tax credit.</t>
  </si>
  <si>
    <t>you cannot take the additional child tax credit</t>
  </si>
  <si>
    <t xml:space="preserve"> .   .   .   .   .   .   .   .   .   .   .   .   .   .   .   .   .   .   .   .   .   .  </t>
  </si>
  <si>
    <t xml:space="preserve">from Form 1040 or 1040-SR, line 27a, and </t>
  </si>
  <si>
    <r>
      <rPr>
        <b/>
        <sz val="9"/>
        <rFont val="Arial"/>
        <family val="2"/>
      </rPr>
      <t>1040 and 1040-SR filers.</t>
    </r>
    <r>
      <rPr>
        <sz val="9"/>
        <rFont val="Arial"/>
        <family val="2"/>
      </rPr>
      <t xml:space="preserve"> Complete line 27a; Schedule 2, lines 5, 6, and 13; and</t>
    </r>
  </si>
  <si>
    <t xml:space="preserve">are available at the right. </t>
  </si>
  <si>
    <t>and Theft</t>
  </si>
  <si>
    <t>Casualty</t>
  </si>
  <si>
    <t>Lines 1, 5a, and 5e</t>
  </si>
  <si>
    <t>Instead of using this worksheet, you can find your deduction by using the Sales Tax Deduction Calculator at IRS.gov/SalesTax.</t>
  </si>
  <si>
    <t>Enter state
(Abbr.)</t>
  </si>
  <si>
    <t>P
P</t>
  </si>
  <si>
    <t>Lived in more than one state during 2025, or
Had any nontaxable income in 2025.</t>
  </si>
  <si>
    <r>
      <t xml:space="preserve">Totals for all transactions reported on Form(s) 8949
with </t>
    </r>
    <r>
      <rPr>
        <b/>
        <sz val="9"/>
        <rFont val="Arial"/>
        <family val="2"/>
      </rPr>
      <t>Box B</t>
    </r>
    <r>
      <rPr>
        <sz val="9"/>
        <rFont val="Arial"/>
        <family val="2"/>
      </rPr>
      <t xml:space="preserve"> or </t>
    </r>
    <r>
      <rPr>
        <b/>
        <sz val="9"/>
        <rFont val="Arial"/>
        <family val="2"/>
      </rPr>
      <t>Box H</t>
    </r>
    <r>
      <rPr>
        <sz val="9"/>
        <rFont val="Arial"/>
        <family val="2"/>
      </rPr>
      <t xml:space="preserve"> checked</t>
    </r>
    <r>
      <rPr>
        <b/>
        <sz val="9"/>
        <rFont val="Arial"/>
        <family val="2"/>
      </rPr>
      <t xml:space="preserve">  .   .   .   .   .   .   .   .   . </t>
    </r>
  </si>
  <si>
    <r>
      <t xml:space="preserve">Totals for all transactions reported on Form(s) 8949
with </t>
    </r>
    <r>
      <rPr>
        <b/>
        <sz val="9"/>
        <rFont val="Arial"/>
        <family val="2"/>
      </rPr>
      <t>Box C</t>
    </r>
    <r>
      <rPr>
        <sz val="9"/>
        <rFont val="Arial"/>
        <family val="2"/>
      </rPr>
      <t xml:space="preserve"> or </t>
    </r>
    <r>
      <rPr>
        <b/>
        <sz val="9"/>
        <rFont val="Arial"/>
        <family val="2"/>
      </rPr>
      <t>Box I</t>
    </r>
    <r>
      <rPr>
        <sz val="9"/>
        <rFont val="Arial"/>
        <family val="2"/>
      </rPr>
      <t xml:space="preserve"> checked</t>
    </r>
    <r>
      <rPr>
        <b/>
        <sz val="9"/>
        <rFont val="Arial"/>
        <family val="2"/>
      </rPr>
      <t xml:space="preserve">  .   .   .   .   .   .   .   .   . </t>
    </r>
  </si>
  <si>
    <r>
      <t xml:space="preserve">Totals for all transactions reported on Form(s) 8949
with </t>
    </r>
    <r>
      <rPr>
        <b/>
        <sz val="9"/>
        <rFont val="Arial"/>
        <family val="2"/>
      </rPr>
      <t>Box D</t>
    </r>
    <r>
      <rPr>
        <sz val="9"/>
        <rFont val="Arial"/>
        <family val="2"/>
      </rPr>
      <t xml:space="preserve"> or </t>
    </r>
    <r>
      <rPr>
        <b/>
        <sz val="9"/>
        <rFont val="Arial"/>
        <family val="2"/>
      </rPr>
      <t>Box J</t>
    </r>
    <r>
      <rPr>
        <sz val="9"/>
        <rFont val="Arial"/>
        <family val="2"/>
      </rPr>
      <t xml:space="preserve"> checked</t>
    </r>
    <r>
      <rPr>
        <b/>
        <sz val="9"/>
        <rFont val="Arial"/>
        <family val="2"/>
      </rPr>
      <t xml:space="preserve">  .   .   .   .   .   .   .   .   . </t>
    </r>
  </si>
  <si>
    <r>
      <t xml:space="preserve">Totals for all transactions reported on Form(s) 8949
with </t>
    </r>
    <r>
      <rPr>
        <b/>
        <sz val="9"/>
        <rFont val="Arial"/>
        <family val="2"/>
      </rPr>
      <t>Box E</t>
    </r>
    <r>
      <rPr>
        <sz val="9"/>
        <rFont val="Arial"/>
        <family val="2"/>
      </rPr>
      <t xml:space="preserve"> or </t>
    </r>
    <r>
      <rPr>
        <b/>
        <sz val="9"/>
        <rFont val="Arial"/>
        <family val="2"/>
      </rPr>
      <t>Box K</t>
    </r>
    <r>
      <rPr>
        <sz val="9"/>
        <rFont val="Arial"/>
        <family val="2"/>
      </rPr>
      <t xml:space="preserve"> checked</t>
    </r>
    <r>
      <rPr>
        <b/>
        <sz val="9"/>
        <rFont val="Arial"/>
        <family val="2"/>
      </rPr>
      <t xml:space="preserve">  .   .   .   .   .   .   .   .   . </t>
    </r>
  </si>
  <si>
    <r>
      <t xml:space="preserve">Totals for all transactions reported on Form(s) 8949
with </t>
    </r>
    <r>
      <rPr>
        <b/>
        <sz val="9"/>
        <rFont val="Arial"/>
        <family val="2"/>
      </rPr>
      <t>Box F</t>
    </r>
    <r>
      <rPr>
        <sz val="9"/>
        <rFont val="Arial"/>
        <family val="2"/>
      </rPr>
      <t xml:space="preserve"> or </t>
    </r>
    <r>
      <rPr>
        <b/>
        <sz val="9"/>
        <rFont val="Arial"/>
        <family val="2"/>
      </rPr>
      <t>Box L</t>
    </r>
    <r>
      <rPr>
        <sz val="9"/>
        <rFont val="Arial"/>
        <family val="2"/>
      </rPr>
      <t xml:space="preserve"> checked</t>
    </r>
    <r>
      <rPr>
        <b/>
        <sz val="9"/>
        <rFont val="Arial"/>
        <family val="2"/>
      </rPr>
      <t xml:space="preserve">   .   .   .   .   .   .   .   .   . </t>
    </r>
  </si>
  <si>
    <t>Net short-term gain (loss) from partnerships, S corporations, estates, and trusts from Schedules K-1</t>
  </si>
  <si>
    <t>on the back</t>
  </si>
  <si>
    <r>
      <t xml:space="preserve">Net long-term capital gain or (loss). </t>
    </r>
    <r>
      <rPr>
        <sz val="10"/>
        <rFont val="Arial"/>
        <family val="2"/>
      </rPr>
      <t>Combine lines 8a thru 14 in column (h). Then go to Part III</t>
    </r>
  </si>
  <si>
    <t>long-term capital gains or losses, go to Part II below. Otherwise, go to Part III on the back</t>
  </si>
  <si>
    <r>
      <t>Net short-term capital gain or (loss).</t>
    </r>
    <r>
      <rPr>
        <sz val="10"/>
        <rFont val="Arial"/>
        <family val="2"/>
      </rPr>
      <t xml:space="preserve"> Combine lines 1a through 6 in column (h). If you have any</t>
    </r>
  </si>
  <si>
    <r>
      <t>Carryover Worksheet</t>
    </r>
    <r>
      <rPr>
        <sz val="10"/>
        <rFont val="Arial"/>
        <family val="2"/>
      </rPr>
      <t xml:space="preserve"> in the instructions</t>
    </r>
  </si>
  <si>
    <r>
      <t xml:space="preserve">Short-term capital loss carryover. Enter the amount, if any, from line 8 of your </t>
    </r>
    <r>
      <rPr>
        <b/>
        <sz val="10"/>
        <rFont val="Arial"/>
        <family val="2"/>
      </rPr>
      <t>Capital Loss</t>
    </r>
  </si>
  <si>
    <r>
      <t xml:space="preserve">Yes. </t>
    </r>
    <r>
      <rPr>
        <sz val="10"/>
        <rFont val="Arial"/>
        <family val="2"/>
      </rPr>
      <t xml:space="preserve">Complete the </t>
    </r>
    <r>
      <rPr>
        <b/>
        <sz val="10"/>
        <rFont val="Arial"/>
        <family val="2"/>
      </rPr>
      <t>Qualified Dividends and Capital Gain Tax Worksheet</t>
    </r>
    <r>
      <rPr>
        <sz val="10"/>
        <rFont val="Arial"/>
        <family val="2"/>
      </rPr>
      <t xml:space="preserve"> in the</t>
    </r>
  </si>
  <si>
    <r>
      <t xml:space="preserve">instructions for Form 1040 or 1040-SR, line 16. </t>
    </r>
    <r>
      <rPr>
        <b/>
        <sz val="10"/>
        <rFont val="Arial"/>
        <family val="2"/>
      </rPr>
      <t>Don't</t>
    </r>
    <r>
      <rPr>
        <sz val="10"/>
        <rFont val="Arial"/>
        <family val="2"/>
      </rPr>
      <t xml:space="preserve"> complete lines 21 and 22 below</t>
    </r>
  </si>
  <si>
    <r>
      <t xml:space="preserve">No. </t>
    </r>
    <r>
      <rPr>
        <sz val="10"/>
        <rFont val="Arial"/>
        <family val="2"/>
      </rPr>
      <t xml:space="preserve">Complete the </t>
    </r>
    <r>
      <rPr>
        <b/>
        <sz val="10"/>
        <rFont val="Arial"/>
        <family val="2"/>
      </rPr>
      <t>Schedule D Tax Worksheet</t>
    </r>
    <r>
      <rPr>
        <sz val="10"/>
        <rFont val="Arial"/>
        <family val="2"/>
      </rPr>
      <t xml:space="preserve"> in the instructions. </t>
    </r>
    <r>
      <rPr>
        <b/>
        <sz val="10"/>
        <rFont val="Arial"/>
        <family val="2"/>
      </rPr>
      <t>Don't</t>
    </r>
    <r>
      <rPr>
        <sz val="10"/>
        <rFont val="Arial"/>
        <family val="2"/>
      </rPr>
      <t xml:space="preserve"> complete lines 21</t>
    </r>
  </si>
  <si>
    <r>
      <t xml:space="preserve">If line 16 is a </t>
    </r>
    <r>
      <rPr>
        <b/>
        <sz val="10"/>
        <rFont val="Arial"/>
        <family val="2"/>
      </rPr>
      <t>loss</t>
    </r>
    <r>
      <rPr>
        <sz val="10"/>
        <rFont val="Arial"/>
        <family val="2"/>
      </rPr>
      <t>, skip lines 17 through 20 below. Then go to line 21. Also be sure to complete</t>
    </r>
  </si>
  <si>
    <t>– Generally Assets Held One Year or Less</t>
  </si>
  <si>
    <r>
      <t xml:space="preserve">Long-term capital loss carryover. Enter the amount, if any, from line 13 of your </t>
    </r>
    <r>
      <rPr>
        <b/>
        <sz val="10"/>
        <rFont val="Arial"/>
        <family val="2"/>
      </rPr>
      <t>Capital Loss</t>
    </r>
  </si>
  <si>
    <r>
      <t xml:space="preserve">If line 16 is a </t>
    </r>
    <r>
      <rPr>
        <b/>
        <sz val="10"/>
        <rFont val="Arial"/>
        <family val="2"/>
      </rPr>
      <t>gain</t>
    </r>
    <r>
      <rPr>
        <sz val="10"/>
        <rFont val="Arial"/>
        <family val="2"/>
      </rPr>
      <t>, enter the amount from line 16 on Form 1040, 1040-SR, or 1040-NR, line 7a.</t>
    </r>
  </si>
  <si>
    <t>1040-NR, line 7a. Then go to line 22.</t>
  </si>
  <si>
    <r>
      <t xml:space="preserve">If line 16 is </t>
    </r>
    <r>
      <rPr>
        <b/>
        <sz val="10"/>
        <rFont val="Arial"/>
        <family val="2"/>
      </rPr>
      <t>zero</t>
    </r>
    <r>
      <rPr>
        <sz val="10"/>
        <rFont val="Arial"/>
        <family val="2"/>
      </rPr>
      <t>, skip lines 17 through 21 below and enter -0- on Form 1040, 1040-SR, or</t>
    </r>
  </si>
  <si>
    <r>
      <t xml:space="preserve">If line 16 is a loss, enter here and on Form 1040, 1040-SR, 1040-NR, line 7a, the </t>
    </r>
    <r>
      <rPr>
        <b/>
        <sz val="10"/>
        <rFont val="Arial"/>
        <family val="2"/>
      </rPr>
      <t>smaller</t>
    </r>
    <r>
      <rPr>
        <sz val="10"/>
        <rFont val="Arial"/>
        <family val="2"/>
      </rPr>
      <t xml:space="preserve"> of:</t>
    </r>
  </si>
  <si>
    <r>
      <t xml:space="preserve">report farm rental income or loss from </t>
    </r>
    <r>
      <rPr>
        <b/>
        <sz val="11"/>
        <rFont val="Arial"/>
        <family val="2"/>
      </rPr>
      <t>Form 4835</t>
    </r>
    <r>
      <rPr>
        <sz val="11"/>
        <rFont val="Arial"/>
        <family val="2"/>
      </rPr>
      <t xml:space="preserve"> on page 2, line 40.</t>
    </r>
  </si>
  <si>
    <r>
      <t xml:space="preserve">amount is not at risk, you must check the box in column </t>
    </r>
    <r>
      <rPr>
        <b/>
        <sz val="10"/>
        <rFont val="Arial"/>
        <family val="2"/>
      </rPr>
      <t>(f)</t>
    </r>
    <r>
      <rPr>
        <sz val="10"/>
        <rFont val="Arial"/>
        <family val="2"/>
      </rPr>
      <t xml:space="preserve"> on line 28 and attach </t>
    </r>
    <r>
      <rPr>
        <b/>
        <sz val="10"/>
        <rFont val="Arial"/>
        <family val="2"/>
      </rPr>
      <t>Form 6198.</t>
    </r>
    <r>
      <rPr>
        <sz val="10"/>
        <rFont val="Arial"/>
        <family val="2"/>
      </rPr>
      <t xml:space="preserve"> See instructions.</t>
    </r>
  </si>
  <si>
    <t>If a profit, stop here and see instructions for where to report. If a loss, complete line 36.</t>
  </si>
  <si>
    <r>
      <t xml:space="preserve">Form 2441 based on the income rules listed in the instructions under </t>
    </r>
    <r>
      <rPr>
        <i/>
        <sz val="10"/>
        <rFont val="Arial"/>
        <family val="2"/>
      </rPr>
      <t>If You or Your Spouse Was a Student or Disabled</t>
    </r>
    <r>
      <rPr>
        <sz val="10"/>
        <rFont val="Arial"/>
        <family val="2"/>
      </rPr>
      <t>, check this box</t>
    </r>
    <r>
      <rPr>
        <b/>
        <sz val="10"/>
        <rFont val="Arial"/>
        <family val="2"/>
      </rPr>
      <t xml:space="preserve">       .   .   .   .</t>
    </r>
  </si>
  <si>
    <t>Enter the amount from Form 1040, 1040-SR, or 1040-NR, line 11a</t>
  </si>
  <si>
    <r>
      <t xml:space="preserve">     </t>
    </r>
    <r>
      <rPr>
        <u/>
        <sz val="10"/>
        <rFont val="Arial"/>
        <family val="2"/>
      </rPr>
      <t>minus</t>
    </r>
    <r>
      <rPr>
        <sz val="10"/>
        <rFont val="Arial"/>
        <family val="2"/>
      </rPr>
      <t xml:space="preserve"> any amount:</t>
    </r>
  </si>
  <si>
    <t>If you received church employee income of $108.28 or more, subtract</t>
  </si>
  <si>
    <t>If you use either optional method to figure self-employment tax,</t>
  </si>
  <si>
    <t>Line 4, part 1</t>
  </si>
  <si>
    <t>Line 5, part 1</t>
  </si>
  <si>
    <t>Line 4, part 2</t>
  </si>
  <si>
    <t>Line 5, part 2</t>
  </si>
  <si>
    <t>Line 4, part 3</t>
  </si>
  <si>
    <t>Line 5, part 3</t>
  </si>
  <si>
    <t>Line 4, part 4</t>
  </si>
  <si>
    <t>Line 5, part 4</t>
  </si>
  <si>
    <t>Line 4 TOTAL</t>
  </si>
  <si>
    <t>Line 5 TOTAL</t>
  </si>
  <si>
    <r>
      <t>total the amounts shown on</t>
    </r>
    <r>
      <rPr>
        <b/>
        <sz val="10"/>
        <rFont val="Arial"/>
        <family val="2"/>
      </rPr>
      <t xml:space="preserve"> Schedule SE, lines 3, 4b, and 5a</t>
    </r>
  </si>
  <si>
    <r>
      <rPr>
        <b/>
        <sz val="10"/>
        <rFont val="Arial"/>
        <family val="2"/>
      </rPr>
      <t>minus</t>
    </r>
    <r>
      <rPr>
        <sz val="10"/>
        <rFont val="Arial"/>
        <family val="2"/>
      </rPr>
      <t xml:space="preserve"> any deduction you claim on</t>
    </r>
    <r>
      <rPr>
        <b/>
        <sz val="10"/>
        <rFont val="Arial"/>
        <family val="2"/>
      </rPr>
      <t xml:space="preserve"> Sch. 1 (Form 1040), line 15.</t>
    </r>
  </si>
  <si>
    <r>
      <t xml:space="preserve">total of the amounts shown on </t>
    </r>
    <r>
      <rPr>
        <b/>
        <sz val="10"/>
        <rFont val="Arial"/>
        <family val="2"/>
      </rPr>
      <t>Schedule SE, lines 3 and 4b,</t>
    </r>
  </si>
  <si>
    <r>
      <rPr>
        <b/>
        <sz val="10"/>
        <rFont val="Arial"/>
        <family val="2"/>
      </rPr>
      <t>minus</t>
    </r>
    <r>
      <rPr>
        <sz val="10"/>
        <rFont val="Arial"/>
        <family val="2"/>
      </rPr>
      <t xml:space="preserve"> any deduction you claim on </t>
    </r>
    <r>
      <rPr>
        <b/>
        <sz val="10"/>
        <rFont val="Arial"/>
        <family val="2"/>
      </rPr>
      <t>Schedule 1 (Form 1040), line 15</t>
    </r>
    <r>
      <rPr>
        <sz val="10"/>
        <rFont val="Arial"/>
        <family val="2"/>
      </rPr>
      <t>,.</t>
    </r>
  </si>
  <si>
    <r>
      <t>member of the</t>
    </r>
    <r>
      <rPr>
        <b/>
        <sz val="10"/>
        <rFont val="Arial"/>
        <family val="2"/>
      </rPr>
      <t xml:space="preserve"> clergy</t>
    </r>
    <r>
      <rPr>
        <sz val="10"/>
        <rFont val="Arial"/>
        <family val="2"/>
      </rPr>
      <t xml:space="preserve"> </t>
    </r>
    <r>
      <rPr>
        <b/>
        <u/>
        <sz val="10"/>
        <rFont val="Arial"/>
        <family val="2"/>
      </rPr>
      <t>OR</t>
    </r>
    <r>
      <rPr>
        <sz val="10"/>
        <rFont val="Arial"/>
        <family val="2"/>
      </rPr>
      <t xml:space="preserve">  your received $108.28 or more</t>
    </r>
  </si>
  <si>
    <r>
      <t xml:space="preserve">of </t>
    </r>
    <r>
      <rPr>
        <b/>
        <sz val="10"/>
        <rFont val="Arial"/>
        <family val="2"/>
      </rPr>
      <t>church employee income</t>
    </r>
    <r>
      <rPr>
        <sz val="10"/>
        <rFont val="Arial"/>
        <family val="2"/>
      </rPr>
      <t xml:space="preserve">. </t>
    </r>
  </si>
  <si>
    <t>Total for part 1:</t>
  </si>
  <si>
    <t>Total for part 2:</t>
  </si>
  <si>
    <t>Total for part 3:</t>
  </si>
  <si>
    <t>Total for part 4:</t>
  </si>
  <si>
    <t>b. Also reported on Schedule SE (Form 1040) because you were a</t>
  </si>
  <si>
    <r>
      <rPr>
        <b/>
        <sz val="10"/>
        <rFont val="Arial"/>
        <family val="2"/>
      </rPr>
      <t>minus</t>
    </r>
    <r>
      <rPr>
        <sz val="10"/>
        <rFont val="Arial"/>
        <family val="2"/>
      </rPr>
      <t xml:space="preserve"> any deduction you claim on </t>
    </r>
    <r>
      <rPr>
        <b/>
        <sz val="10"/>
        <rFont val="Arial"/>
        <family val="2"/>
      </rPr>
      <t>Schedule 1, line 15.</t>
    </r>
  </si>
  <si>
    <r>
      <rPr>
        <b/>
        <sz val="10"/>
        <rFont val="Arial"/>
        <family val="2"/>
      </rPr>
      <t>Note:</t>
    </r>
    <r>
      <rPr>
        <sz val="10"/>
        <rFont val="Arial"/>
        <family val="2"/>
      </rPr>
      <t xml:space="preserve"> Sch. 1, line 15, is derived from Sch. SE, line 13.</t>
    </r>
  </si>
  <si>
    <t>Sch. SE #1 Lines 3 &amp; 4b</t>
  </si>
  <si>
    <t>Sch. SE #2 Lines 3 &amp; 4b</t>
  </si>
  <si>
    <t>Total lines 3 &amp; 4b</t>
  </si>
  <si>
    <t>Sch. SE #1 Lines 3, 4b, &amp; 5a.</t>
  </si>
  <si>
    <t>Sch. SE #2 Lines 3, 4b, &amp; 5a.</t>
  </si>
  <si>
    <t>Total lines 3, 4b, &amp; 5a</t>
  </si>
  <si>
    <r>
      <t xml:space="preserve">Go to </t>
    </r>
    <r>
      <rPr>
        <b/>
        <i/>
        <sz val="11"/>
        <rFont val="Arial"/>
        <family val="2"/>
      </rPr>
      <t>www.irs.gov/Form5695</t>
    </r>
    <r>
      <rPr>
        <b/>
        <sz val="11"/>
        <rFont val="Arial"/>
        <family val="2"/>
      </rPr>
      <t xml:space="preserve"> for instructions and the latest information.</t>
    </r>
  </si>
  <si>
    <t>Enter the Qualified Manufacturer Identification Number of the door.</t>
  </si>
  <si>
    <t>Enter the Qualified Manufacturer Identification Number(s) and cost(s) of the</t>
  </si>
  <si>
    <t>two next most expensive door(s)</t>
  </si>
  <si>
    <t>$</t>
  </si>
  <si>
    <t xml:space="preserve">(i) </t>
  </si>
  <si>
    <t xml:space="preserve">(ii) </t>
  </si>
  <si>
    <t>Enter the cost of all other qualifying exterior doors. If none, enter -0-</t>
  </si>
  <si>
    <t>Add lines 19d and 19e</t>
  </si>
  <si>
    <t>19f</t>
  </si>
  <si>
    <t>19g</t>
  </si>
  <si>
    <t xml:space="preserve">(iii) </t>
  </si>
  <si>
    <t xml:space="preserve">(iv) </t>
  </si>
  <si>
    <t>19h</t>
  </si>
  <si>
    <t>(See instructions.)</t>
  </si>
  <si>
    <t>20d</t>
  </si>
  <si>
    <t>Add lines 20a and 20b</t>
  </si>
  <si>
    <t>Enter the cost of all other exterior windows and skylights. If none, enter -0-</t>
  </si>
  <si>
    <t>Do not enter more than</t>
  </si>
  <si>
    <r>
      <t xml:space="preserve">Do </t>
    </r>
    <r>
      <rPr>
        <b/>
        <sz val="12"/>
        <rFont val="Arial"/>
        <family val="2"/>
      </rPr>
      <t>not</t>
    </r>
    <r>
      <rPr>
        <sz val="12"/>
        <rFont val="Arial"/>
        <family val="2"/>
      </rPr>
      <t xml:space="preserve"> enter more than</t>
    </r>
  </si>
  <si>
    <t>Insulation or air sealing material or system</t>
  </si>
  <si>
    <t>the United States that you use as a residence?</t>
  </si>
  <si>
    <t>Was the qualified energy property originally placed into service by you?</t>
  </si>
  <si>
    <t>Enter the Qualified Manufacturer Identification Number and cost of the most</t>
  </si>
  <si>
    <t>expensive central air conditioner</t>
  </si>
  <si>
    <t>Enter the cost of all other central air conditioners. If none, enter -0-</t>
  </si>
  <si>
    <t xml:space="preserve"> .   .   .   .   .   .  </t>
  </si>
  <si>
    <t>Add lines 22a and 22b</t>
  </si>
  <si>
    <t>Enter the Qualified Manufacturer Identification Number(s) and cost(s) of the two</t>
  </si>
  <si>
    <t>most expensive natural gas, propane, or oil water heater(s). If none, enter -0- .</t>
  </si>
  <si>
    <t>four most expensive window(s)/skylight(s)</t>
  </si>
  <si>
    <t>expensive natural gas, propane, or oil furnace or hot water boiler</t>
  </si>
  <si>
    <t>Enter the cost of all other natural gas, propane, or oil furnace or hot water</t>
  </si>
  <si>
    <t>boilers. If none, enter -0-</t>
  </si>
  <si>
    <t>Add lines 24a and 24b</t>
  </si>
  <si>
    <t>Add lines 18b, 19h, 20d, 22d, 23d, 24d, 25e, and 26c</t>
  </si>
  <si>
    <r>
      <rPr>
        <sz val="11"/>
        <rFont val="Arial"/>
        <family val="2"/>
      </rPr>
      <t xml:space="preserve">Page </t>
    </r>
    <r>
      <rPr>
        <b/>
        <sz val="14"/>
        <rFont val="Arial"/>
        <family val="2"/>
      </rPr>
      <t>4</t>
    </r>
  </si>
  <si>
    <r>
      <t>Section B -- Residential Energy Property Expenditures</t>
    </r>
    <r>
      <rPr>
        <i/>
        <sz val="14"/>
        <rFont val="Arial"/>
        <family val="2"/>
      </rPr>
      <t xml:space="preserve">   (continued)</t>
    </r>
  </si>
  <si>
    <t>If you checked the “No” box, you cannot claim the home energy audit credit. Stop. Go to line 27.</t>
  </si>
  <si>
    <t>25e</t>
  </si>
  <si>
    <t xml:space="preserve">Do not enter more than </t>
  </si>
  <si>
    <t>Add lines 19c and 19g.</t>
  </si>
  <si>
    <t xml:space="preserve">Do  not  enter  more  than </t>
  </si>
  <si>
    <r>
      <t xml:space="preserve">Do </t>
    </r>
    <r>
      <rPr>
        <b/>
        <sz val="13"/>
        <rFont val="Arial"/>
        <family val="2"/>
      </rPr>
      <t>not</t>
    </r>
    <r>
      <rPr>
        <sz val="13"/>
        <rFont val="Arial"/>
        <family val="2"/>
      </rPr>
      <t xml:space="preserve"> enter more than </t>
    </r>
  </si>
  <si>
    <t>Enter the cost of all other electric or natural gas heat pumps. If none, enter -0-</t>
  </si>
  <si>
    <t>expensive electric or natural gas heat pump water heater</t>
  </si>
  <si>
    <t>expensive biomass stove or boiler</t>
  </si>
  <si>
    <t>Add lines 28 and 29h</t>
  </si>
  <si>
    <t>Enter the cost of all other biomass stoves &amp; biomass boilers. If none, enter -0-</t>
  </si>
  <si>
    <t>29g</t>
  </si>
  <si>
    <t>29f</t>
  </si>
  <si>
    <t>If you live in a condominium or cooperative and have a fractional share of the qualified energy efficiency</t>
  </si>
  <si>
    <t>improvements or residential energy property expenditures, check here</t>
  </si>
  <si>
    <t>. (See instructions.)</t>
  </si>
  <si>
    <t>Did you install improvements or replacements of panelboards, subpanelboards, branch circuits, or</t>
  </si>
  <si>
    <t>feeders (enabling property) to enable the installation and use of a separate qualified energy efficient</t>
  </si>
  <si>
    <t>improvement or qualified energy property (enabled property), and were both the enabling property</t>
  </si>
  <si>
    <t>If you checked the “No” box, you cannot claim the credit for enabling property. Skip lines 25b through</t>
  </si>
  <si>
    <t>25e. Go to line 26. (See instructions.)</t>
  </si>
  <si>
    <t>instructions.)</t>
  </si>
  <si>
    <t>Enter the cost of improvements or replacement of enabling property</t>
  </si>
  <si>
    <t>If you checked the “Yes” box for line 25a, enter the code for the type(s) of enabled property. (See</t>
  </si>
  <si>
    <t>Enter the Qualified Manufacturer Identification Number(s) of the enabling property.</t>
  </si>
  <si>
    <t>Add lines 29a through 29f</t>
  </si>
  <si>
    <t>Spouse's 
Employer #1</t>
  </si>
  <si>
    <t>Spouse's 
Employer #2</t>
  </si>
  <si>
    <t>Spouse's 
Employer #3</t>
  </si>
  <si>
    <t>Spouse's 
Employer #4</t>
  </si>
  <si>
    <t>Spouse's 
Employer #5</t>
  </si>
  <si>
    <t>Spouse's 
Employer #6</t>
  </si>
  <si>
    <r>
      <t xml:space="preserve">Qualified Tips From Employer Worksheet
</t>
    </r>
    <r>
      <rPr>
        <b/>
        <sz val="12"/>
        <color rgb="FF002060"/>
        <rFont val="Arial"/>
        <family val="2"/>
      </rPr>
      <t xml:space="preserve">  Important</t>
    </r>
    <r>
      <rPr>
        <b/>
        <sz val="11"/>
        <color rgb="FF002060"/>
        <rFont val="Arial"/>
        <family val="2"/>
      </rPr>
      <t>:</t>
    </r>
    <r>
      <rPr>
        <sz val="11"/>
        <color rgb="FF002060"/>
        <rFont val="Arial"/>
        <family val="2"/>
      </rPr>
      <t xml:space="preserve"> Columns (a) and (b) receive information from Form W-2. However, these cells are </t>
    </r>
    <r>
      <rPr>
        <u/>
        <sz val="11"/>
        <color rgb="FF002060"/>
        <rFont val="Arial"/>
        <family val="2"/>
      </rPr>
      <t>not</t>
    </r>
    <r>
      <rPr>
        <sz val="11"/>
        <color rgb="FF002060"/>
        <rFont val="Arial"/>
        <family val="2"/>
      </rPr>
      <t xml:space="preserve"> protected.</t>
    </r>
  </si>
  <si>
    <t>Cat. No. 71480G</t>
  </si>
  <si>
    <t>Add lines 1 through 4, 5a, 5b, and 7. Enter here and on Form 1040 or 1040-SR, line 20</t>
  </si>
  <si>
    <r>
      <t xml:space="preserve">Add lines 1z, 2b, 3b, 4b, 5b, 6b, 7a, and 8. This is your </t>
    </r>
    <r>
      <rPr>
        <b/>
        <sz val="10"/>
        <rFont val="Arial"/>
        <family val="2"/>
      </rPr>
      <t>total income</t>
    </r>
  </si>
  <si>
    <r>
      <t xml:space="preserve">Subtract line 10 from line 9. This is your </t>
    </r>
    <r>
      <rPr>
        <b/>
        <sz val="10"/>
        <rFont val="Arial"/>
        <family val="2"/>
      </rPr>
      <t>adjusted gross income</t>
    </r>
  </si>
  <si>
    <r>
      <t xml:space="preserve">Go to </t>
    </r>
    <r>
      <rPr>
        <i/>
        <sz val="11"/>
        <rFont val="Arial"/>
        <family val="2"/>
      </rPr>
      <t>www.irs.gov/Form1040</t>
    </r>
    <r>
      <rPr>
        <sz val="11"/>
        <rFont val="Arial"/>
        <family val="2"/>
      </rPr>
      <t xml:space="preserve"> for instructions and the latest information.</t>
    </r>
  </si>
  <si>
    <t>(Form 8936)</t>
  </si>
  <si>
    <t xml:space="preserve"> .   .   .   .   .   .   .   .   .   .   .   .   .   .   .   .   .   .   .   .   .   .   . </t>
  </si>
  <si>
    <r>
      <t>Other Taxes</t>
    </r>
    <r>
      <rPr>
        <i/>
        <sz val="12"/>
        <rFont val="Arial"/>
        <family val="2"/>
      </rPr>
      <t xml:space="preserve">  </t>
    </r>
    <r>
      <rPr>
        <i/>
        <sz val="14"/>
        <rFont val="Arial"/>
        <family val="2"/>
      </rPr>
      <t>(continued)</t>
    </r>
  </si>
  <si>
    <t>Additional tax on an HSA because you didn't remain an eligible individual</t>
  </si>
  <si>
    <t>Attach Form 8889</t>
  </si>
  <si>
    <t>Excise tax on insider stock compensation from an expatriated corporation</t>
  </si>
  <si>
    <t>Look-back interest under section 167(g) or 460(b) from From 8697 or 8866</t>
  </si>
  <si>
    <t>Tax on non-effectively connected income for any part of the year you were</t>
  </si>
  <si>
    <t>a nonresident alien from Form 1040-NR</t>
  </si>
  <si>
    <t xml:space="preserve">   .   .   .   .   .   .   .   .   .   .   .   .   .  </t>
  </si>
  <si>
    <t>Any interest from Form 8621, line 16f, relating to distributions from, and</t>
  </si>
  <si>
    <t>dispositions of, stock of a section 1291 fund</t>
  </si>
  <si>
    <t xml:space="preserve">   .   .   .   .    .   .   .   .   .   .   .   .   .   .   .   .   .  </t>
  </si>
  <si>
    <t>Net elective payment election amount from Form 3800, Part III, line 6, column (j)</t>
  </si>
  <si>
    <t>Section 1341 credit for repayment of amounts included in income from earlier</t>
  </si>
  <si>
    <t>years</t>
  </si>
  <si>
    <r>
      <rPr>
        <b/>
        <sz val="12"/>
        <rFont val="Arial"/>
        <family val="2"/>
      </rPr>
      <t>Caution:</t>
    </r>
    <r>
      <rPr>
        <sz val="12"/>
        <rFont val="Arial"/>
        <family val="2"/>
      </rPr>
      <t xml:space="preserve"> If your filing status is married filing separately and you lived with your spouse at any time during the year, </t>
    </r>
    <r>
      <rPr>
        <b/>
        <sz val="12"/>
        <rFont val="Arial"/>
        <family val="2"/>
      </rPr>
      <t>do not</t>
    </r>
    <r>
      <rPr>
        <sz val="12"/>
        <rFont val="Arial"/>
        <family val="2"/>
      </rPr>
      <t xml:space="preserve"> complete</t>
    </r>
  </si>
  <si>
    <t>29h</t>
  </si>
  <si>
    <r>
      <rPr>
        <sz val="12"/>
        <rFont val="Arial"/>
        <family val="2"/>
      </rPr>
      <t xml:space="preserve">   </t>
    </r>
    <r>
      <rPr>
        <b/>
        <sz val="12"/>
        <rFont val="Arial"/>
        <family val="2"/>
      </rPr>
      <t>Other expenses.</t>
    </r>
    <r>
      <rPr>
        <sz val="11"/>
        <rFont val="Arial"/>
        <family val="2"/>
      </rPr>
      <t xml:space="preserve"> </t>
    </r>
    <r>
      <rPr>
        <sz val="12"/>
        <rFont val="Arial"/>
        <family val="2"/>
      </rPr>
      <t xml:space="preserve"> List below business expenses not included on lines 8-27a, or line 30.</t>
    </r>
  </si>
  <si>
    <t>If the instructions for Schedule 1, line 24z, have you enter a write-in adjustment on line 24z, figure that write-in</t>
  </si>
  <si>
    <t>before completing this worksheet (see the instructions for Schedule 1, line 24z).</t>
  </si>
  <si>
    <t>If married filing jointly or qualifying surviving spouse, and the result is</t>
  </si>
  <si>
    <t>if you must use that method to figure the taxable part.  You can ask the IRS to figure the taxable for a $1,000 fee. For details, see Pub. 939.</t>
  </si>
  <si>
    <t>on line 6d.</t>
  </si>
  <si>
    <r>
      <rPr>
        <sz val="10"/>
        <rFont val="Marlett"/>
        <charset val="2"/>
      </rPr>
      <t>h</t>
    </r>
    <r>
      <rPr>
        <sz val="10"/>
        <rFont val="Arial"/>
        <family val="2"/>
      </rPr>
      <t xml:space="preserve">  You have to file Schedule D, line 18 or 19 of Schedule D is more than</t>
    </r>
    <r>
      <rPr>
        <sz val="10"/>
        <rFont val="Arial"/>
        <family val="2"/>
        <charset val="2"/>
      </rPr>
      <t xml:space="preserve"> zero, and lines 15 and 16 of Schedule D</t>
    </r>
  </si>
  <si>
    <t xml:space="preserve">      are gains; or</t>
  </si>
  <si>
    <r>
      <t xml:space="preserve">If you are filing Form 2555, you must use the </t>
    </r>
    <r>
      <rPr>
        <b/>
        <sz val="10"/>
        <rFont val="Arial"/>
        <family val="2"/>
      </rPr>
      <t>Foreign Earned Income Tax Worksheet</t>
    </r>
    <r>
      <rPr>
        <sz val="10"/>
        <rFont val="Arial"/>
        <family val="2"/>
      </rPr>
      <t xml:space="preserve"> (below) instead.</t>
    </r>
  </si>
  <si>
    <r>
      <t xml:space="preserve">if </t>
    </r>
    <r>
      <rPr>
        <u/>
        <sz val="10"/>
        <rFont val="Arial"/>
        <family val="2"/>
      </rPr>
      <t>any</t>
    </r>
    <r>
      <rPr>
        <sz val="10"/>
        <rFont val="Arial"/>
        <family val="2"/>
      </rPr>
      <t xml:space="preserve"> of the following applies:</t>
    </r>
  </si>
  <si>
    <t>Use this worksheet to figure your tax if you don't have to use the Sch. D Tax Worksheet and</t>
  </si>
  <si>
    <r>
      <t>h</t>
    </r>
    <r>
      <rPr>
        <sz val="10"/>
        <rFont val="Arial"/>
        <family val="2"/>
      </rPr>
      <t xml:space="preserve">  You reported qualified dividends on Form 1040 or 1040-SR, line 3a,</t>
    </r>
  </si>
  <si>
    <r>
      <t>h</t>
    </r>
    <r>
      <rPr>
        <sz val="10"/>
        <rFont val="Arial"/>
        <family val="2"/>
      </rPr>
      <t xml:space="preserve">  You don't have to file Schedule D and you reported capital gain distributions on Form 1040 or 1040-SR, line 7a.</t>
    </r>
  </si>
  <si>
    <t>you checked the box on Form 1040 or 1040-SR, line 7b.</t>
  </si>
  <si>
    <t>1040-SR, line 7a</t>
  </si>
  <si>
    <t>V89</t>
  </si>
  <si>
    <t>V93</t>
  </si>
  <si>
    <t>Created 4/23/25</t>
  </si>
  <si>
    <t>Created 4/14/25</t>
  </si>
  <si>
    <t>Enter the following pensions, annuities, or disability income that you</t>
  </si>
  <si>
    <t>Nontaxable part of social security benefits and nontaxable part of</t>
  </si>
  <si>
    <t>railroad retirement benefits treated as social security (see instructions)</t>
  </si>
  <si>
    <t>Nontaxable veterans’ pensions and any other pension, annuity, or</t>
  </si>
  <si>
    <t>disability benefit that is excluded from income under any other</t>
  </si>
  <si>
    <t>provision of law (see instructions)</t>
  </si>
  <si>
    <r>
      <t xml:space="preserve">taxable, they </t>
    </r>
    <r>
      <rPr>
        <b/>
        <sz val="10"/>
        <rFont val="Arial"/>
        <family val="2"/>
      </rPr>
      <t>must</t>
    </r>
    <r>
      <rPr>
        <sz val="10"/>
        <rFont val="Arial"/>
        <family val="2"/>
      </rPr>
      <t xml:space="preserve"> be included here to figure your credit.) If you didn't</t>
    </r>
  </si>
  <si>
    <t>receive any of the types of nontaxable income listed on line 13a or</t>
  </si>
  <si>
    <t>13b, enter -0- on line 13c</t>
  </si>
  <si>
    <t>line 11a</t>
  </si>
  <si>
    <t>enter -0-</t>
  </si>
  <si>
    <t>Subtract line 15 from line 14. If zero or less,</t>
  </si>
  <si>
    <t>The amount of credit you can claim is generally limited to the amount of your tax.</t>
  </si>
  <si>
    <t>Use the Credit Limit Worksheet to determine if your credit is limited.</t>
  </si>
  <si>
    <t>Created 5/6/25</t>
  </si>
  <si>
    <t>Created 5/7/25</t>
  </si>
  <si>
    <t>Name of person with self-employment income (as shown on Form 1040, 1040-SR, 1040-SS or 1040-NR)</t>
  </si>
  <si>
    <t xml:space="preserve">Created 9/16/25 </t>
  </si>
  <si>
    <r>
      <rPr>
        <b/>
        <sz val="10"/>
        <rFont val="Arial"/>
        <family val="2"/>
      </rPr>
      <t>Individuals:</t>
    </r>
    <r>
      <rPr>
        <sz val="10"/>
        <rFont val="Arial"/>
        <family val="2"/>
      </rPr>
      <t xml:space="preserve"> Enter the sum of (i) Form 1040, 1040-SR, 1040-NR, line 11b,</t>
    </r>
  </si>
  <si>
    <t>minus Form 1040, 1040-SR, or 1040-NR, line 14, and (ii) Schedule 1-A</t>
  </si>
  <si>
    <t>without the deduction for your exemption</t>
  </si>
  <si>
    <r>
      <t xml:space="preserve">(Form 1040), line 37. </t>
    </r>
    <r>
      <rPr>
        <b/>
        <sz val="10"/>
        <rFont val="Arial"/>
        <family val="2"/>
      </rPr>
      <t>Estates and trusts:</t>
    </r>
    <r>
      <rPr>
        <sz val="10"/>
        <rFont val="Arial"/>
        <family val="2"/>
      </rPr>
      <t xml:space="preserve">  Enter your taxable income</t>
    </r>
  </si>
  <si>
    <t>Combine the amounts on lines 15 and 16. This is your net foreign source</t>
  </si>
  <si>
    <t>taxable income. (If the result is zero or less, skip line 18 and enter -0- on</t>
  </si>
  <si>
    <t>line 19.)</t>
  </si>
  <si>
    <r>
      <t xml:space="preserve">Enter the </t>
    </r>
    <r>
      <rPr>
        <b/>
        <sz val="10"/>
        <rFont val="Arial"/>
        <family val="2"/>
      </rPr>
      <t>smaller</t>
    </r>
    <r>
      <rPr>
        <sz val="10"/>
        <rFont val="Arial"/>
        <family val="2"/>
      </rPr>
      <t xml:space="preserve"> of line 14 or line 23. Enter here and on the appropriate line of Part IV. See instructions</t>
    </r>
  </si>
  <si>
    <r>
      <t xml:space="preserve">Summary of Credits From Separate Parts III   </t>
    </r>
    <r>
      <rPr>
        <sz val="10"/>
        <rFont val="Arial"/>
        <family val="2"/>
      </rPr>
      <t>(Enter amounts from Part III, line 24, for each applicable</t>
    </r>
  </si>
  <si>
    <t>category of income. Don’t include taxes paid to sanctioned countries.) See instructions.</t>
  </si>
  <si>
    <r>
      <t xml:space="preserve">Subtract line 34 from line 33. This is your </t>
    </r>
    <r>
      <rPr>
        <b/>
        <sz val="10"/>
        <rFont val="Arial"/>
        <family val="2"/>
      </rPr>
      <t>foreign tax credit</t>
    </r>
    <r>
      <rPr>
        <sz val="10"/>
        <rFont val="Arial"/>
        <family val="2"/>
      </rPr>
      <t>. Enter here and on Schedule 3 (Form 1040),</t>
    </r>
  </si>
  <si>
    <t>line 1; Form 1041, Schedule G, line 2a; or Form 990-T, Part III, line 1a</t>
  </si>
  <si>
    <r>
      <rPr>
        <b/>
        <sz val="10"/>
        <rFont val="Arial"/>
        <family val="2"/>
      </rPr>
      <t>Individuals:</t>
    </r>
    <r>
      <rPr>
        <sz val="10"/>
        <rFont val="Arial"/>
        <family val="2"/>
      </rPr>
      <t xml:space="preserve"> Enter the sum of (i) Form 1040, 1040-SR, or 1040-NR, line 11b, minus Form</t>
    </r>
  </si>
  <si>
    <r>
      <t xml:space="preserve">1040, 1040-SR, or 1040-NR, line 14; </t>
    </r>
    <r>
      <rPr>
        <b/>
        <sz val="10"/>
        <rFont val="Arial"/>
        <family val="2"/>
      </rPr>
      <t>and</t>
    </r>
    <r>
      <rPr>
        <sz val="10"/>
        <rFont val="Arial"/>
        <family val="2"/>
      </rPr>
      <t xml:space="preserve"> (ii) Schedule 1-A (Form 1040), line 37.</t>
    </r>
  </si>
  <si>
    <t>(if the result is zero or less, enter -0-)</t>
  </si>
  <si>
    <t>Before you check Box A, B, C, G, H, or I below, see whether you received any Form(s) 1099-B, Form(s) 1099-DA, or substitute statement(s)
from your broker. A substitute statement will have the same information as Form 1099-B or Form 1099-DA. They will show whether your
basis (usually your cost) was reported to the IRS by your broker and may even tell you which box to check.</t>
  </si>
  <si>
    <r>
      <t xml:space="preserve">You </t>
    </r>
    <r>
      <rPr>
        <b/>
        <i/>
        <sz val="10"/>
        <rFont val="Arial"/>
        <family val="2"/>
      </rPr>
      <t>must</t>
    </r>
    <r>
      <rPr>
        <b/>
        <sz val="10"/>
        <rFont val="Arial"/>
        <family val="2"/>
      </rPr>
      <t xml:space="preserve"> check Box A, B, C, G, H, or I below. </t>
    </r>
  </si>
  <si>
    <r>
      <rPr>
        <b/>
        <sz val="11"/>
        <rFont val="Arial"/>
        <family val="2"/>
      </rPr>
      <t>Note.</t>
    </r>
    <r>
      <rPr>
        <sz val="11"/>
        <rFont val="Arial"/>
        <family val="2"/>
      </rPr>
      <t xml:space="preserve"> You may aggregate all short-term transactions reported on Form(s) 1099-B and Form(s) 1099-DA</t>
    </r>
  </si>
  <si>
    <t>showing basis was reported to the IRS and for which no adjustments or codes are required. Enter the totals</t>
  </si>
  <si>
    <t>directly on Schedule D, line 1a; you aren’t required to report these transactions on Form 8949 (see instructions).</t>
  </si>
  <si>
    <t>Before you check Box D, E, F, J, K, or L below, see whether you received any Form(s) 1099-B, Form(s) 1099-DA, or substitute statement(s)
from your broker. A substitute statement will have the same information as Form 1099-B or Form 1099-DA. They will show whether your
basis (usually your cost) was reported to the IRS by your broker and may even tell you which box to check.</t>
  </si>
  <si>
    <r>
      <rPr>
        <b/>
        <sz val="11"/>
        <rFont val="Arial"/>
        <family val="2"/>
      </rPr>
      <t>Note.</t>
    </r>
    <r>
      <rPr>
        <sz val="11"/>
        <rFont val="Arial"/>
        <family val="2"/>
      </rPr>
      <t xml:space="preserve"> You may aggregate all long-term transactions reported on Form(s) 1099-B and Form(s) 1099-DA</t>
    </r>
  </si>
  <si>
    <t>directly on Schedule D, line 8a; you aren’t required to report these transactions on Form 8949 (see instructions).</t>
  </si>
  <si>
    <r>
      <t xml:space="preserve">You </t>
    </r>
    <r>
      <rPr>
        <b/>
        <i/>
        <sz val="10"/>
        <rFont val="Arial"/>
        <family val="2"/>
      </rPr>
      <t>must</t>
    </r>
    <r>
      <rPr>
        <b/>
        <sz val="10"/>
        <rFont val="Arial"/>
        <family val="2"/>
      </rPr>
      <t xml:space="preserve"> check Box D, E, F, J, K, </t>
    </r>
    <r>
      <rPr>
        <b/>
        <i/>
        <sz val="10"/>
        <rFont val="Arial"/>
        <family val="2"/>
      </rPr>
      <t>or</t>
    </r>
    <r>
      <rPr>
        <b/>
        <sz val="10"/>
        <rFont val="Arial"/>
        <family val="2"/>
      </rPr>
      <t xml:space="preserve"> L below. </t>
    </r>
  </si>
  <si>
    <r>
      <rPr>
        <b/>
        <sz val="9"/>
        <rFont val="Arial"/>
        <family val="2"/>
      </rPr>
      <t>Note.</t>
    </r>
    <r>
      <rPr>
        <sz val="9"/>
        <rFont val="Arial"/>
        <family val="2"/>
      </rPr>
      <t xml:space="preserve"> If you checked Box D or Box J above but the basis reported to the IRS was incorrect, enter in column (e) the basis as reported to the IRS, and
enter an adjustment in column (g) to correct the basis. See Column (g) in the separate instructions for how to figure the amount of the adjustment.</t>
    </r>
  </si>
  <si>
    <r>
      <rPr>
        <b/>
        <sz val="9"/>
        <rFont val="Arial"/>
        <family val="2"/>
      </rPr>
      <t>Note:</t>
    </r>
    <r>
      <rPr>
        <sz val="9"/>
        <rFont val="Arial"/>
        <family val="2"/>
      </rPr>
      <t xml:space="preserve"> If you checked Box A or Box G above but the basis reported to the IRS was incorrect, enter in column (e) the basis as reported to the IRS, and
enter an adjustment in column (g) to correct the basis. See Column (g) in the separate instructions for how to figure the amount of the adjustment.</t>
    </r>
  </si>
  <si>
    <r>
      <rPr>
        <b/>
        <sz val="9"/>
        <rFont val="Arial"/>
        <family val="2"/>
      </rPr>
      <t>Totals</t>
    </r>
    <r>
      <rPr>
        <sz val="9"/>
        <rFont val="Arial"/>
        <family val="2"/>
      </rPr>
      <t xml:space="preserve">. Add the amounts in columns (d), (e), (g), and (h)
(subtract negative amounts). Enter each total here and
include on your Schedule D, </t>
    </r>
    <r>
      <rPr>
        <b/>
        <sz val="9"/>
        <rFont val="Arial"/>
        <family val="2"/>
      </rPr>
      <t>line 1b</t>
    </r>
    <r>
      <rPr>
        <sz val="9"/>
        <rFont val="Arial"/>
        <family val="2"/>
      </rPr>
      <t xml:space="preserve"> (if </t>
    </r>
    <r>
      <rPr>
        <b/>
        <sz val="9"/>
        <rFont val="Arial"/>
        <family val="2"/>
      </rPr>
      <t>Box A</t>
    </r>
    <r>
      <rPr>
        <sz val="9"/>
        <rFont val="Arial"/>
        <family val="2"/>
      </rPr>
      <t xml:space="preserve"> or </t>
    </r>
    <r>
      <rPr>
        <b/>
        <sz val="9"/>
        <rFont val="Arial"/>
        <family val="2"/>
      </rPr>
      <t>Box G</t>
    </r>
    <r>
      <rPr>
        <sz val="9"/>
        <rFont val="Arial"/>
        <family val="2"/>
      </rPr>
      <t xml:space="preserve">
above is checked), </t>
    </r>
    <r>
      <rPr>
        <b/>
        <sz val="9"/>
        <rFont val="Arial"/>
        <family val="2"/>
      </rPr>
      <t>line 2</t>
    </r>
    <r>
      <rPr>
        <sz val="9"/>
        <rFont val="Arial"/>
        <family val="2"/>
      </rPr>
      <t xml:space="preserve"> (if </t>
    </r>
    <r>
      <rPr>
        <b/>
        <sz val="9"/>
        <rFont val="Arial"/>
        <family val="2"/>
      </rPr>
      <t>Box B</t>
    </r>
    <r>
      <rPr>
        <sz val="9"/>
        <rFont val="Arial"/>
        <family val="2"/>
      </rPr>
      <t xml:space="preserve"> or </t>
    </r>
    <r>
      <rPr>
        <b/>
        <sz val="9"/>
        <rFont val="Arial"/>
        <family val="2"/>
      </rPr>
      <t>Box H</t>
    </r>
    <r>
      <rPr>
        <sz val="9"/>
        <rFont val="Arial"/>
        <family val="2"/>
      </rPr>
      <t xml:space="preserve"> above is
checked), or </t>
    </r>
    <r>
      <rPr>
        <b/>
        <sz val="9"/>
        <rFont val="Arial"/>
        <family val="2"/>
      </rPr>
      <t>line 3</t>
    </r>
    <r>
      <rPr>
        <sz val="9"/>
        <rFont val="Arial"/>
        <family val="2"/>
      </rPr>
      <t xml:space="preserve"> (if </t>
    </r>
    <r>
      <rPr>
        <b/>
        <sz val="9"/>
        <rFont val="Arial"/>
        <family val="2"/>
      </rPr>
      <t>Box C</t>
    </r>
    <r>
      <rPr>
        <sz val="9"/>
        <rFont val="Arial"/>
        <family val="2"/>
      </rPr>
      <t xml:space="preserve"> or </t>
    </r>
    <r>
      <rPr>
        <b/>
        <sz val="9"/>
        <rFont val="Arial"/>
        <family val="2"/>
      </rPr>
      <t>Box I</t>
    </r>
    <r>
      <rPr>
        <sz val="9"/>
        <rFont val="Arial"/>
        <family val="2"/>
      </rPr>
      <t xml:space="preserve"> above is checked)</t>
    </r>
  </si>
  <si>
    <r>
      <rPr>
        <b/>
        <sz val="9"/>
        <rFont val="Arial"/>
        <family val="2"/>
      </rPr>
      <t>Totals.</t>
    </r>
    <r>
      <rPr>
        <sz val="9"/>
        <rFont val="Arial"/>
        <family val="2"/>
      </rPr>
      <t xml:space="preserve"> Add the amounts in columns (d), (e), (g), and (h)
(subtract negative amounts). Enter each total here and
include on your Schedule D, </t>
    </r>
    <r>
      <rPr>
        <b/>
        <sz val="9"/>
        <rFont val="Arial"/>
        <family val="2"/>
      </rPr>
      <t>line 8b</t>
    </r>
    <r>
      <rPr>
        <sz val="9"/>
        <rFont val="Arial"/>
        <family val="2"/>
      </rPr>
      <t xml:space="preserve"> (if </t>
    </r>
    <r>
      <rPr>
        <b/>
        <sz val="9"/>
        <rFont val="Arial"/>
        <family val="2"/>
      </rPr>
      <t>Box D</t>
    </r>
    <r>
      <rPr>
        <sz val="9"/>
        <rFont val="Arial"/>
        <family val="2"/>
      </rPr>
      <t xml:space="preserve"> or </t>
    </r>
    <r>
      <rPr>
        <b/>
        <sz val="9"/>
        <rFont val="Arial"/>
        <family val="2"/>
      </rPr>
      <t>Box J</t>
    </r>
    <r>
      <rPr>
        <sz val="9"/>
        <rFont val="Arial"/>
        <family val="2"/>
      </rPr>
      <t xml:space="preserve">
above is checked), </t>
    </r>
    <r>
      <rPr>
        <b/>
        <sz val="9"/>
        <rFont val="Arial"/>
        <family val="2"/>
      </rPr>
      <t>line 9</t>
    </r>
    <r>
      <rPr>
        <sz val="9"/>
        <rFont val="Arial"/>
        <family val="2"/>
      </rPr>
      <t xml:space="preserve"> (if </t>
    </r>
    <r>
      <rPr>
        <b/>
        <sz val="9"/>
        <rFont val="Arial"/>
        <family val="2"/>
      </rPr>
      <t>Box E</t>
    </r>
    <r>
      <rPr>
        <sz val="9"/>
        <rFont val="Arial"/>
        <family val="2"/>
      </rPr>
      <t xml:space="preserve"> or </t>
    </r>
    <r>
      <rPr>
        <b/>
        <sz val="9"/>
        <rFont val="Arial"/>
        <family val="2"/>
      </rPr>
      <t>Box K</t>
    </r>
    <r>
      <rPr>
        <sz val="9"/>
        <rFont val="Arial"/>
        <family val="2"/>
      </rPr>
      <t xml:space="preserve"> above is
checked), or </t>
    </r>
    <r>
      <rPr>
        <b/>
        <sz val="9"/>
        <rFont val="Arial"/>
        <family val="2"/>
      </rPr>
      <t>line 10</t>
    </r>
    <r>
      <rPr>
        <sz val="9"/>
        <rFont val="Arial"/>
        <family val="2"/>
      </rPr>
      <t xml:space="preserve"> (if </t>
    </r>
    <r>
      <rPr>
        <b/>
        <sz val="9"/>
        <rFont val="Arial"/>
        <family val="2"/>
      </rPr>
      <t>Box F</t>
    </r>
    <r>
      <rPr>
        <sz val="9"/>
        <rFont val="Arial"/>
        <family val="2"/>
      </rPr>
      <t xml:space="preserve"> or </t>
    </r>
    <r>
      <rPr>
        <b/>
        <sz val="9"/>
        <rFont val="Arial"/>
        <family val="2"/>
      </rPr>
      <t>Box L</t>
    </r>
    <r>
      <rPr>
        <sz val="9"/>
        <rFont val="Arial"/>
        <family val="2"/>
      </rPr>
      <t xml:space="preserve"> above is checked)</t>
    </r>
  </si>
  <si>
    <t>Created 5/5/25</t>
  </si>
  <si>
    <t>Improvement ideas for 2025</t>
  </si>
  <si>
    <t>Created 10/9/25</t>
  </si>
  <si>
    <r>
      <rPr>
        <b/>
        <sz val="12"/>
        <rFont val="Arial"/>
        <family val="2"/>
      </rPr>
      <t>Total.</t>
    </r>
    <r>
      <rPr>
        <sz val="12"/>
        <rFont val="Arial"/>
        <family val="2"/>
      </rPr>
      <t xml:space="preserve"> </t>
    </r>
    <r>
      <rPr>
        <sz val="11"/>
        <rFont val="Arial"/>
        <family val="2"/>
      </rPr>
      <t>Add amounts from line 12, lines 14 through 17, lines 19 and 20 in column (g), and line 21. Enter</t>
    </r>
  </si>
  <si>
    <t>here and on the appropriate lines of your return. Partnerships and S corporations—see instructions .</t>
  </si>
  <si>
    <t>For assets shown in Part III that are placed in service during the current tax year,</t>
  </si>
  <si>
    <t>and have costs capitalized under section 263A, enter the amount of the basis</t>
  </si>
  <si>
    <t>attributable to interest costs capitalized under section 263A(f)</t>
  </si>
  <si>
    <t>For assets shown in Part III that are placed in service during the current tax year, and have</t>
  </si>
  <si>
    <t>costs capitalized under section 263A, enter the amount of the basis attributable to costs</t>
  </si>
  <si>
    <t>capitalized under section 263A other than interest costs capitalized under section 263A(f)</t>
  </si>
  <si>
    <t>Lease</t>
  </si>
  <si>
    <t>Charter</t>
  </si>
  <si>
    <t>Do you own, lease, or charter an aircraft? Check all that apply. See instructions</t>
  </si>
  <si>
    <t>Own</t>
  </si>
  <si>
    <r>
      <t xml:space="preserve">Answer these questions to determine if you meet an exception to completing Section B for vehicles used by employees who </t>
    </r>
    <r>
      <rPr>
        <b/>
        <sz val="12"/>
        <rFont val="Arial"/>
        <family val="2"/>
      </rPr>
      <t>aren’t</t>
    </r>
  </si>
  <si>
    <t>1   a</t>
  </si>
  <si>
    <t>Subtract Schedule 1-A (Form 1040), line 37, from Form 1040, 1040-SR, or</t>
  </si>
  <si>
    <t>1040-NR, line 14</t>
  </si>
  <si>
    <t>Subtract line 1a from Form 1040, 1040-SR, or 1040-NR, line 11b (if less than zero, enter as a negative</t>
  </si>
  <si>
    <t>amount)</t>
  </si>
  <si>
    <t>Subtract line 5 from line 4. If more than zero, go to line 7. If zero or less, enter -0- here and on lines 7, 9, and</t>
  </si>
  <si>
    <t>11 and go to line 10</t>
  </si>
  <si>
    <r>
      <t xml:space="preserve">qualified dividends on Form 1040 or 1040-SR, line 3a; </t>
    </r>
    <r>
      <rPr>
        <b/>
        <sz val="10"/>
        <rFont val="Arial"/>
        <family val="2"/>
      </rPr>
      <t>or</t>
    </r>
    <r>
      <rPr>
        <sz val="10"/>
        <rFont val="Arial"/>
        <family val="2"/>
      </rPr>
      <t xml:space="preserve"> you had a gain on both lines 15 and</t>
    </r>
  </si>
  <si>
    <t>Add Form 1040 or 1040-SR, line 16 (minus any tax from Form 4972), and Schedule 2 (Form 1040), line 1z.</t>
  </si>
  <si>
    <t>Enter the amount from Schedule D (Form 1040), line 19  (as refigured for the AMT, if necessary). See</t>
  </si>
  <si>
    <t>instructions. If you are filing Form 2555, see instructions for the amount to enter</t>
  </si>
  <si>
    <t>If you did not complete a Schedule D Tax Worksheet for the regular tax or the AMT, enter the amount from</t>
  </si>
  <si>
    <r>
      <t xml:space="preserve">line 13. Otherwise, add lines 13 and 14, and enter the </t>
    </r>
    <r>
      <rPr>
        <b/>
        <sz val="10"/>
        <rFont val="Arial"/>
        <family val="2"/>
      </rPr>
      <t xml:space="preserve">smaller </t>
    </r>
    <r>
      <rPr>
        <sz val="10"/>
        <rFont val="Arial"/>
        <family val="2"/>
      </rPr>
      <t>of that result or the amount from line 10 of</t>
    </r>
  </si>
  <si>
    <t>the Schedule D Tax Worksheet (as refigured for the AMT, if necessary). If you are filing Form 2555, see</t>
  </si>
  <si>
    <t>instructions for the amount to enter</t>
  </si>
  <si>
    <r>
      <t xml:space="preserve">Alternative minimum taxable income. </t>
    </r>
    <r>
      <rPr>
        <sz val="10"/>
        <rFont val="Arial"/>
        <family val="2"/>
      </rPr>
      <t>Combine lines 1b through 3. (If married filing separately and line 4</t>
    </r>
  </si>
  <si>
    <t>If you reported capital gain distributions directly on Form 1040 or 1040-SR, line 7a; or you reported</t>
  </si>
  <si>
    <r>
      <rPr>
        <i/>
        <sz val="8"/>
        <rFont val="Arial"/>
        <family val="2"/>
      </rPr>
      <t>Form 2555</t>
    </r>
    <r>
      <rPr>
        <sz val="8"/>
        <rFont val="Arial"/>
        <family val="2"/>
      </rPr>
      <t>, later, to see if you must complete Part III with certain modifications. Then enter</t>
    </r>
  </si>
  <si>
    <t>the amount from Form 6251, line 40, here.</t>
  </si>
  <si>
    <t>Complete a separate Part III on page 2 for each student for whom you’re claiming either credit before you</t>
  </si>
  <si>
    <t>complete Parts I and II.</t>
  </si>
  <si>
    <t>Enter the amount from Form 1040 or 1040-SR, line 11b. If you’re filing Form</t>
  </si>
  <si>
    <t>least three places)</t>
  </si>
  <si>
    <t>Less than line 16, divide line 15 by line 16. Enter the result as a decimal (rounded to at</t>
  </si>
  <si>
    <r>
      <rPr>
        <b/>
        <sz val="12"/>
        <rFont val="Arial"/>
        <family val="2"/>
      </rPr>
      <t>Caution:</t>
    </r>
    <r>
      <rPr>
        <sz val="12"/>
        <rFont val="Arial"/>
        <family val="2"/>
      </rPr>
      <t xml:space="preserve">  Complete Part III for each student for whom you’re claiming either the American opportunity credit or lifetime</t>
    </r>
  </si>
  <si>
    <t>learning credit. Use additional copies of page 2 as needed for each student.</t>
  </si>
  <si>
    <t>enter the result. Skip line 31. Include the total of all amounts from all Parts III, line 30, on Part I, line 1</t>
  </si>
  <si>
    <t>Parts III, line 31, on Part II, line 10</t>
  </si>
  <si>
    <t>Adjusted qualified education expenses (see instructions). Include the total of all amounts from all</t>
  </si>
  <si>
    <t>ALL</t>
  </si>
  <si>
    <t>Initial publication of 2025 Federal Income Tax Spreadsheet.</t>
  </si>
  <si>
    <t>Corrected reference to Form 8949C that was causing an error.  Thank you, Bryon McQ.</t>
  </si>
  <si>
    <t>Corrected calculation for line 1b.  Thank you, Fausto M.</t>
  </si>
  <si>
    <t>Removed override '0' from line 21. Thank you, Hang T. and Innes R.</t>
  </si>
  <si>
    <t>Corrected logic that was not 'activating' the QDGC worksheet when it should have. Thank you, David P.</t>
  </si>
  <si>
    <r>
      <t xml:space="preserve">Form 8978, line 14 (negative) </t>
    </r>
    <r>
      <rPr>
        <sz val="8"/>
        <rFont val="Symbol"/>
        <family val="1"/>
        <charset val="2"/>
      </rPr>
      <t>¯</t>
    </r>
  </si>
  <si>
    <t>Corrected calculation for line 10. Thank you, John Mc.</t>
  </si>
  <si>
    <t>Corrected logic that was not 'activating' the QDGC worksheet when it should have. Thank you for your persistence, David P.</t>
  </si>
  <si>
    <r>
      <t xml:space="preserve">Enter the </t>
    </r>
    <r>
      <rPr>
        <b/>
        <sz val="12"/>
        <rFont val="Arial"/>
        <family val="2"/>
      </rPr>
      <t>smaller</t>
    </r>
    <r>
      <rPr>
        <sz val="12"/>
        <rFont val="Arial"/>
        <family val="2"/>
      </rPr>
      <t xml:space="preserve"> of line 21 or line 24.</t>
    </r>
  </si>
  <si>
    <t>Enter the amount from line 36</t>
  </si>
  <si>
    <r>
      <t xml:space="preserve">Worksheet for Special Allowance for </t>
    </r>
    <r>
      <rPr>
        <b/>
        <u/>
        <sz val="12"/>
        <rFont val="Arial"/>
        <family val="2"/>
      </rPr>
      <t>Prior</t>
    </r>
    <r>
      <rPr>
        <b/>
        <sz val="12"/>
        <rFont val="Arial"/>
        <family val="2"/>
      </rPr>
      <t xml:space="preserve"> Unallowed Commercial Revitalization Deductions (CRDs) From Rental Real Estate Activities</t>
    </r>
  </si>
  <si>
    <r>
      <rPr>
        <b/>
        <sz val="12"/>
        <rFont val="Arial"/>
        <family val="2"/>
      </rPr>
      <t>Do not</t>
    </r>
    <r>
      <rPr>
        <sz val="12"/>
        <rFont val="Arial"/>
        <family val="2"/>
      </rPr>
      <t xml:space="preserve"> enter more than </t>
    </r>
  </si>
  <si>
    <t xml:space="preserve">Changed limits on lines 5 and 8 to accommodate filers who file as MFS and lived apart. Other fixes to make form work at is should. </t>
  </si>
  <si>
    <t>Sch. E, Sch E (2)</t>
  </si>
  <si>
    <t>Added notice to line 22 to alert user to see Form 8582 if AGI &gt; $150,000 ($75,000 if MFS &amp; lived apart) and the rental activity results in a loss. Thank you, Dave E.</t>
  </si>
  <si>
    <t>find out how to report the losses on your tax return</t>
  </si>
  <si>
    <t>Add lines 9 and 10. See instructions to</t>
  </si>
  <si>
    <t>Updated for 2025.</t>
  </si>
  <si>
    <t>Fine tuned for conditions where the EIC credit approaches zero.</t>
  </si>
  <si>
    <t>Line 7a*   +</t>
  </si>
  <si>
    <t>*If line 7a is a loss, enter -0-.</t>
  </si>
  <si>
    <t>(or your spouse, if filing jointly), If the child is a full-time student, check the "Full-time</t>
  </si>
  <si>
    <r>
      <t xml:space="preserve">student" box on row (6) of the </t>
    </r>
    <r>
      <rPr>
        <i/>
        <sz val="10"/>
        <rFont val="Arial"/>
        <family val="2"/>
      </rPr>
      <t>Dependents</t>
    </r>
    <r>
      <rPr>
        <sz val="10"/>
        <rFont val="Arial"/>
        <family val="2"/>
      </rPr>
      <t xml:space="preserve"> section on page 1 of Form 1040 or 1040-SR.</t>
    </r>
  </si>
  <si>
    <t>Any age and permanently and totally disabled (defined later). If the child is permanently</t>
  </si>
  <si>
    <t>and totally disabled, check the "permanently and totally disabled" box on row (6) of the</t>
  </si>
  <si>
    <r>
      <rPr>
        <i/>
        <sz val="10"/>
        <rFont val="Arial"/>
        <family val="2"/>
      </rPr>
      <t>Dependents</t>
    </r>
    <r>
      <rPr>
        <sz val="10"/>
        <rFont val="Arial"/>
        <family val="2"/>
      </rPr>
      <t xml:space="preserve"> section on page 1 of Form 1040 or 1040-SR.</t>
    </r>
  </si>
  <si>
    <t>Skip Step 4; go to Step 5.</t>
  </si>
  <si>
    <r>
      <rPr>
        <b/>
        <sz val="10"/>
        <rFont val="Arial"/>
        <family val="2"/>
      </rPr>
      <t xml:space="preserve">No. </t>
    </r>
    <r>
      <rPr>
        <sz val="10"/>
        <rFont val="Arial"/>
        <family val="2"/>
      </rPr>
      <t xml:space="preserve"> Check the box in the Dependents section</t>
    </r>
  </si>
  <si>
    <t>that discusses the special rule for separated spouses</t>
  </si>
  <si>
    <t>Special Rules.</t>
  </si>
  <si>
    <t xml:space="preserve">for separated spouses, later, under Definitions and </t>
  </si>
  <si>
    <r>
      <t xml:space="preserve">on page 1 of Form 1040 or 1040-SR. See </t>
    </r>
    <r>
      <rPr>
        <i/>
        <sz val="10"/>
        <rFont val="Arial"/>
        <family val="2"/>
      </rPr>
      <t>Special rule</t>
    </r>
  </si>
  <si>
    <t>Your main home can be any location where your regularly</t>
  </si>
  <si>
    <t xml:space="preserve">live. If your main home (and spous's if filing a joing return) </t>
  </si>
  <si>
    <r>
      <t xml:space="preserve">See </t>
    </r>
    <r>
      <rPr>
        <i/>
        <sz val="10"/>
        <rFont val="Arial"/>
        <family val="2"/>
      </rPr>
      <t>Main home</t>
    </r>
    <r>
      <rPr>
        <sz val="10"/>
        <rFont val="Arial"/>
        <family val="2"/>
      </rPr>
      <t xml:space="preserve"> and </t>
    </r>
    <r>
      <rPr>
        <i/>
        <sz val="10"/>
        <rFont val="Arial"/>
        <family val="2"/>
      </rPr>
      <t>United States</t>
    </r>
    <r>
      <rPr>
        <sz val="10"/>
        <rFont val="Arial"/>
        <family val="2"/>
      </rPr>
      <t>, later</t>
    </r>
  </si>
  <si>
    <t>box to the right of the address bock on page 1 for Form 1040.</t>
  </si>
  <si>
    <r>
      <rPr>
        <b/>
        <sz val="10"/>
        <rFont val="Arial"/>
        <family val="2"/>
      </rPr>
      <t>No.</t>
    </r>
    <r>
      <rPr>
        <sz val="10"/>
        <rFont val="Arial"/>
        <family val="2"/>
      </rPr>
      <t xml:space="preserve">   STOP  You can't take the credit. Check the box on Form 1040, line 27c.</t>
    </r>
  </si>
  <si>
    <t>the credit. Be sure you use the correct column for your filing status and</t>
  </si>
  <si>
    <t>Enter the credit here.</t>
  </si>
  <si>
    <t>the number of qualifying children you have who have valid SSNs.</t>
  </si>
  <si>
    <t>have valid SSNs. Enter the credit here.</t>
  </si>
  <si>
    <t>Form 1040 or 1040-SR,</t>
  </si>
  <si>
    <t>line 27a.</t>
  </si>
  <si>
    <t>line 27a --</t>
  </si>
  <si>
    <t>line 27a — Continued</t>
  </si>
  <si>
    <t>Line 27a (EIC)</t>
  </si>
  <si>
    <r>
      <t>Line 27a — Earned Income Credit Worksheet</t>
    </r>
    <r>
      <rPr>
        <sz val="10"/>
        <rFont val="Arial"/>
        <family val="2"/>
      </rPr>
      <t xml:space="preserve">  —  Spreadsheet provides assistance in completing this.</t>
    </r>
  </si>
  <si>
    <t xml:space="preserve">Created 4/3/25 </t>
  </si>
  <si>
    <r>
      <t>Total other expenses.</t>
    </r>
    <r>
      <rPr>
        <sz val="10"/>
        <rFont val="Arial"/>
        <family val="2"/>
      </rPr>
      <t xml:space="preserve">   Enter here and on line 27b</t>
    </r>
  </si>
  <si>
    <t>Unprotected line 27b and updated line 48 wording to refer to  27b (versus 27a). Thank you, Robert H.</t>
  </si>
  <si>
    <t>Corrected calculation for line 3 of the Worksheet To See if You Should Fill in Form 6251. 
Thank you, Charles H.</t>
  </si>
  <si>
    <t>Fixed the override boxes associated with lines 2a through 5a. Thank you, Gary R.</t>
  </si>
  <si>
    <r>
      <t xml:space="preserve">Caution: </t>
    </r>
    <r>
      <rPr>
        <sz val="13"/>
        <rFont val="Arial"/>
        <family val="2"/>
      </rPr>
      <t>You and/or your spouse must have a valid social security number.</t>
    </r>
  </si>
  <si>
    <t>If married, you must file jointly to claim this deduction.</t>
  </si>
  <si>
    <t>Corrected Part V, Enhanced Deduction for Seniors, to not allow if filing status is Married - Filing Separately. Thank you, Charlie R.</t>
  </si>
  <si>
    <t>Corrected calculations for lines 27a and 27b so that line 27b uses line 48. Thank you, Russell and Tony.</t>
  </si>
  <si>
    <t>Corrected override for line 31.</t>
  </si>
  <si>
    <t>preparation, assembly, and original installation). (See instructions.)</t>
  </si>
  <si>
    <t>Residential energy property costs (include labor costs for onsite</t>
  </si>
  <si>
    <t>Enter the cost of all other natural gas, propane, or oil water heaters. If none,</t>
  </si>
  <si>
    <r>
      <t xml:space="preserve">Do </t>
    </r>
    <r>
      <rPr>
        <b/>
        <sz val="12"/>
        <rFont val="Arial"/>
        <family val="2"/>
      </rPr>
      <t>not</t>
    </r>
    <r>
      <rPr>
        <sz val="12"/>
        <rFont val="Arial"/>
        <family val="2"/>
      </rPr>
      <t xml:space="preserve"> enter more than </t>
    </r>
  </si>
  <si>
    <t>Add lines 23a and 23b</t>
  </si>
  <si>
    <t>Enter the cost of all other electric or natural gas heat pump water heaters.</t>
  </si>
  <si>
    <t>If none, enter -0-</t>
  </si>
  <si>
    <t>At line 1a, removed link to W-2, line 7, Social Security Tips. Thank you, Milan J. and Adam G.</t>
  </si>
  <si>
    <t>Reworked 'blanking', especially around line 29, to make the form calculate correctly. Thank you, Tony G!</t>
  </si>
  <si>
    <t>Corrected inputs to cells V28, T31, T32, T91, and T92. Thank you, Mark T.</t>
  </si>
  <si>
    <t>Created 7/25/25</t>
  </si>
  <si>
    <t>Corrected Line 14, Moving Expenses for Armed Forces, which was causing an error with line 26.</t>
  </si>
  <si>
    <t>Corrected logic on the question before line 4 regarding taking a distribution. Thank you, Robert Y.</t>
  </si>
  <si>
    <t>taxable income. (If the result is zero or less, you have no foreign tax credit</t>
  </si>
  <si>
    <t>line 20.)</t>
  </si>
  <si>
    <r>
      <rPr>
        <b/>
        <sz val="10"/>
        <rFont val="Arial"/>
        <family val="2"/>
      </rPr>
      <t>Individuals:</t>
    </r>
    <r>
      <rPr>
        <sz val="10"/>
        <rFont val="Arial"/>
        <family val="2"/>
      </rPr>
      <t>Enter the sum of (i) Form 1040, 1040-SR, or 1040-NR, line 11b,</t>
    </r>
  </si>
  <si>
    <r>
      <t xml:space="preserve">(Form 1040), line 37. </t>
    </r>
    <r>
      <rPr>
        <b/>
        <sz val="10"/>
        <rFont val="Arial"/>
        <family val="2"/>
      </rPr>
      <t>Estates and trusts:</t>
    </r>
    <r>
      <rPr>
        <sz val="10"/>
        <rFont val="Arial"/>
        <family val="2"/>
      </rPr>
      <t xml:space="preserve"> Enter your taxable income without</t>
    </r>
  </si>
  <si>
    <t>the deduction for your exemption</t>
  </si>
  <si>
    <t>Corrected calculation on line 18 to add the amount from Sch. 1-A, line 37 (versus subtract). 
Also, changed logic as to when line 25-32 are completed per new Form 1116 instructions. Thank you, Richard F.</t>
  </si>
  <si>
    <t>S</t>
  </si>
  <si>
    <t>Corrected line 22 - it was not being used. Improved blanking regarding lines 25-32 such that if line 24 was the same for multiple forms, the earlier form would display lines 25-32.</t>
  </si>
  <si>
    <t>12 A</t>
  </si>
  <si>
    <t>Uncollected Social Security Tax on Tips</t>
  </si>
  <si>
    <t>12 B</t>
  </si>
  <si>
    <t>Uncollected Medicare tax on Tips</t>
  </si>
  <si>
    <t>12 H</t>
  </si>
  <si>
    <t>Elective Deferral to 501(c)(18)(D) plan</t>
  </si>
  <si>
    <t>12 K</t>
  </si>
  <si>
    <t>12 M</t>
  </si>
  <si>
    <t>Uncollected Social Security tax on group-term life (former employees)</t>
  </si>
  <si>
    <t>12 N</t>
  </si>
  <si>
    <t>Uncollected medicare tax on group-term life (former employees)</t>
  </si>
  <si>
    <t>12 P</t>
  </si>
  <si>
    <t>Excludable moving expense reinbursements for military</t>
  </si>
  <si>
    <t>12 Q</t>
  </si>
  <si>
    <t>Non Taxable Combat Pay</t>
  </si>
  <si>
    <t>20% Excise Tax on Excess 'golden parachute' payments</t>
  </si>
  <si>
    <t>Uncollected Social Security and  
Medicare Tax on Wages</t>
  </si>
  <si>
    <t>Attach to Form 1040, 1040-SR, 1040-NR, or 1040-SS.</t>
  </si>
  <si>
    <r>
      <t xml:space="preserve">Go to </t>
    </r>
    <r>
      <rPr>
        <b/>
        <i/>
        <sz val="10"/>
        <rFont val="Arial"/>
        <family val="2"/>
      </rPr>
      <t>www.irs.gov/Form8919</t>
    </r>
    <r>
      <rPr>
        <b/>
        <sz val="10"/>
        <rFont val="Arial"/>
        <family val="2"/>
      </rPr>
      <t xml:space="preserve"> for the latest information.</t>
    </r>
  </si>
  <si>
    <t>Name of person who must file this form. If married, complete a separate Form 8919 for each spouse who must file this form.</t>
  </si>
  <si>
    <t xml:space="preserve"> Social security number</t>
  </si>
  <si>
    <t>Who must file.</t>
  </si>
  <si>
    <t>You must file Form 8919 if all of the following apply.</t>
  </si>
  <si>
    <t>You performed services for a firm.</t>
  </si>
  <si>
    <t>You believe your pay from the firm wasn’t for services as an independent contractor.</t>
  </si>
  <si>
    <t>The firm didn’t withhold your share of social security and Medicare taxes from your pay.</t>
  </si>
  <si>
    <t>One of the reasons listed below under Reason codes applies to you</t>
  </si>
  <si>
    <t>Reason codes.</t>
  </si>
  <si>
    <t xml:space="preserve">For each firm listed below, enter in column (c) the applicable reason code for filing this form. If none of the reason </t>
  </si>
  <si>
    <t>Form SS-8 on or before the date you file your tax return.</t>
  </si>
  <si>
    <r>
      <t xml:space="preserve">codes apply to you, but you believe you should have been treated as an employee, enter reason code G and </t>
    </r>
    <r>
      <rPr>
        <b/>
        <sz val="12"/>
        <rFont val="Arial"/>
        <family val="2"/>
      </rPr>
      <t>file</t>
    </r>
  </si>
  <si>
    <t>I received other correspondence from the IRS stating that I am an employee.</t>
  </si>
  <si>
    <t>I filed Form SS-8 and received a determination letter stating that I am an employee of this firm.</t>
  </si>
  <si>
    <t>I filed Form SS-8 with the IRS and haven’t received a reply.</t>
  </si>
  <si>
    <t xml:space="preserve">I received a Form W-2 and a Form 1099-MISC and/or 1099-NEC from this firm for 2025. The amount on Form </t>
  </si>
  <si>
    <r>
      <t xml:space="preserve">1099-MISC and/or 1099-NEC should have been included as wages on Form W-2. </t>
    </r>
    <r>
      <rPr>
        <b/>
        <sz val="12"/>
        <rFont val="Arial"/>
        <family val="2"/>
      </rPr>
      <t xml:space="preserve">(Don’t file Form SS-8 if you </t>
    </r>
  </si>
  <si>
    <t>select reason code H.)</t>
  </si>
  <si>
    <r>
      <rPr>
        <b/>
        <i/>
        <sz val="10"/>
        <rFont val="Arial"/>
        <family val="2"/>
      </rPr>
      <t>(e)</t>
    </r>
    <r>
      <rPr>
        <i/>
        <sz val="10"/>
        <rFont val="Arial"/>
        <family val="2"/>
      </rPr>
      <t xml:space="preserve"> Check  
if Form 
1099-MISC 
and/or 
1099-NEC 
was received.</t>
    </r>
  </si>
  <si>
    <r>
      <rPr>
        <b/>
        <i/>
        <sz val="11"/>
        <rFont val="Arial"/>
        <family val="2"/>
      </rPr>
      <t>(d)</t>
    </r>
    <r>
      <rPr>
        <i/>
        <sz val="11"/>
        <rFont val="Arial"/>
        <family val="2"/>
      </rPr>
      <t xml:space="preserve"> Date of IRS 
determination or 
correspondence  
(MM/DD/YYYY) 
(see instructions)</t>
    </r>
  </si>
  <si>
    <r>
      <rPr>
        <b/>
        <i/>
        <sz val="11"/>
        <rFont val="Arial"/>
        <family val="2"/>
      </rPr>
      <t>(c)</t>
    </r>
    <r>
      <rPr>
        <i/>
        <sz val="11"/>
        <rFont val="Arial"/>
        <family val="2"/>
      </rPr>
      <t xml:space="preserve"> Enter
reason code
from above.</t>
    </r>
  </si>
  <si>
    <r>
      <rPr>
        <b/>
        <i/>
        <sz val="11"/>
        <rFont val="Arial"/>
        <family val="2"/>
      </rPr>
      <t>(b)</t>
    </r>
    <r>
      <rPr>
        <i/>
        <sz val="11"/>
        <rFont val="Arial"/>
        <family val="2"/>
      </rPr>
      <t xml:space="preserve"> Firm's federal
identification
number
(see instructions)</t>
    </r>
  </si>
  <si>
    <r>
      <rPr>
        <b/>
        <sz val="12"/>
        <rFont val="Arial"/>
        <family val="2"/>
      </rPr>
      <t xml:space="preserve">(a) </t>
    </r>
    <r>
      <rPr>
        <sz val="12"/>
        <rFont val="Arial"/>
        <family val="2"/>
      </rPr>
      <t>Name of firm</t>
    </r>
  </si>
  <si>
    <r>
      <rPr>
        <b/>
        <i/>
        <sz val="10"/>
        <rFont val="Arial"/>
        <family val="2"/>
      </rPr>
      <t>(f)</t>
    </r>
    <r>
      <rPr>
        <i/>
        <sz val="10"/>
        <rFont val="Arial"/>
        <family val="2"/>
      </rPr>
      <t xml:space="preserve"> Total wages 
received with 
no social security 
or Medicare tax 
withholding and not 
reported on Form W-2 </t>
    </r>
  </si>
  <si>
    <t>Total wages. Combine lines 1 through 5 in column (f). Enter here and on Form 1040, 1040-SR, or</t>
  </si>
  <si>
    <t>1040-NR, line 1g</t>
  </si>
  <si>
    <t>Maximum amount of wages subject to social security tax</t>
  </si>
  <si>
    <t>Total social security wages and social security tips (total of boxes 3 and 7 on</t>
  </si>
  <si>
    <t>Form(s) W-2), railroad retirement (RRTA) compensation (subject to the 6.2%</t>
  </si>
  <si>
    <t>rate), and unreported tips subject to social security tax from Form 4137, line</t>
  </si>
  <si>
    <t>10. See instructions</t>
  </si>
  <si>
    <t>Subtract line 8 from line 7. If line 8 is more than line 7, enter -0- here and on line 10</t>
  </si>
  <si>
    <t>Wages subject to social security tax. Enter the smaller of line 6 or line 9</t>
  </si>
  <si>
    <t>Multiply line 10 by 0.062 (social security tax rate)</t>
  </si>
  <si>
    <t>Multiply line 6 by 0.0145 (Medicare tax rate)</t>
  </si>
  <si>
    <t xml:space="preserve">Add lines 11 and 12. Enter here. Include as tax on your annual tax return (Schedule 2 (Form 1040), line 6, </t>
  </si>
  <si>
    <t xml:space="preserve">or Form 1040-SS, Part I, line 6c). See the instructions there </t>
  </si>
  <si>
    <t>Cat. No. 37730B</t>
  </si>
  <si>
    <r>
      <rPr>
        <sz val="11"/>
        <rFont val="Arial"/>
        <family val="2"/>
      </rPr>
      <t xml:space="preserve">Form </t>
    </r>
    <r>
      <rPr>
        <b/>
        <sz val="13"/>
        <rFont val="Arial"/>
        <family val="2"/>
      </rPr>
      <t>8919</t>
    </r>
  </si>
  <si>
    <t>Created 10/22/25</t>
  </si>
  <si>
    <t>Your 
Employer #1</t>
  </si>
  <si>
    <t>Your 
Employer #2</t>
  </si>
  <si>
    <t>Your 
Employer #3</t>
  </si>
  <si>
    <t>Your 
Employer #4</t>
  </si>
  <si>
    <t>Your 
Employer #5</t>
  </si>
  <si>
    <t>Your 
Employer #6</t>
  </si>
  <si>
    <t>Form 8919 (Spouse), lines 1-5</t>
  </si>
  <si>
    <t>Form 8919 (You), lines 1-5</t>
  </si>
  <si>
    <t>Form 8919, Uncollected Social Security and Medicare Tax on Wages</t>
  </si>
  <si>
    <r>
      <rPr>
        <b/>
        <sz val="10"/>
        <rFont val="Arial"/>
        <family val="2"/>
      </rPr>
      <t>Sch. 2</t>
    </r>
    <r>
      <rPr>
        <sz val="10"/>
        <rFont val="Arial"/>
        <family val="2"/>
      </rPr>
      <t>, line 5</t>
    </r>
  </si>
  <si>
    <r>
      <rPr>
        <b/>
        <sz val="10"/>
        <rFont val="Arial"/>
        <family val="2"/>
      </rPr>
      <t>Sch. SE</t>
    </r>
    <r>
      <rPr>
        <sz val="10"/>
        <rFont val="Arial"/>
        <family val="2"/>
      </rPr>
      <t>, Line 8a, Form 8919, line 8</t>
    </r>
  </si>
  <si>
    <t>Social Security and  Medicare Tax 
on Unreported Tip Income</t>
  </si>
  <si>
    <t>Attach to your tax return</t>
  </si>
  <si>
    <r>
      <t xml:space="preserve">Go to </t>
    </r>
    <r>
      <rPr>
        <b/>
        <i/>
        <sz val="10"/>
        <rFont val="Arial"/>
        <family val="2"/>
      </rPr>
      <t>www.irs.gov/Form4137</t>
    </r>
    <r>
      <rPr>
        <b/>
        <sz val="10"/>
        <rFont val="Arial"/>
        <family val="2"/>
      </rPr>
      <t xml:space="preserve"> for the latest information.</t>
    </r>
  </si>
  <si>
    <t xml:space="preserve">Name of person who received tips. If married, complete a separate Form 4137 for each spouse with unreported tips. </t>
  </si>
  <si>
    <r>
      <rPr>
        <b/>
        <i/>
        <sz val="11"/>
        <rFont val="Arial"/>
        <family val="2"/>
      </rPr>
      <t>(b)</t>
    </r>
    <r>
      <rPr>
        <i/>
        <sz val="11"/>
        <rFont val="Arial"/>
        <family val="2"/>
      </rPr>
      <t xml:space="preserve"> Employer's
identification
number
(see instructions)</t>
    </r>
  </si>
  <si>
    <r>
      <rPr>
        <b/>
        <sz val="11"/>
        <rFont val="Arial"/>
        <family val="2"/>
      </rPr>
      <t xml:space="preserve">
(a)</t>
    </r>
    <r>
      <rPr>
        <sz val="11"/>
        <rFont val="Arial"/>
        <family val="2"/>
      </rPr>
      <t xml:space="preserve"> Name of employer to whom you were required to 
but didn’t report all your tips (see instructions) </t>
    </r>
  </si>
  <si>
    <t>column (c)</t>
  </si>
  <si>
    <t>column (d)</t>
  </si>
  <si>
    <t>Subtract line 3 from line 2. Include as income on Form 1040, 1040-SR, or 1040-NR, line 1c. (See</t>
  </si>
  <si>
    <t>Allocated tips in the instructions.)</t>
  </si>
  <si>
    <t xml:space="preserve">Cash and charge tips you received but didn’t report to your employer because the total was less than </t>
  </si>
  <si>
    <t>Unreported tips subject to Medicare tax. Subtract line 5 from line 4 .</t>
  </si>
  <si>
    <t>Maximum amount of wages (including tips) subject to social security tax</t>
  </si>
  <si>
    <t xml:space="preserve">Total social security wages and social security tips (total of your Form(s) W-2, </t>
  </si>
  <si>
    <t xml:space="preserve">rate) (see instructions) </t>
  </si>
  <si>
    <t>Subtract line 8 from line 7. If line 8 is more than line 7, enter -0-</t>
  </si>
  <si>
    <t>as a federal, state, or local government employee, see instructions</t>
  </si>
  <si>
    <t xml:space="preserve">  .   .   .   .   .   .   .   .   .   .   .   .   .   .   .   .   .   .   .   .   .   .   .   . </t>
  </si>
  <si>
    <t>Add lines 11 and 12. Include as tax on Schedule 2 (Form 1040), line 5, or Form 1040-SS, Part I, line</t>
  </si>
  <si>
    <t>6a. (See instructions there.)</t>
  </si>
  <si>
    <t xml:space="preserve">  .   .   .   .   .   .   .   .   .   .   .   .   .   .   .   .   .   .   .   .   .   .   .   .   .   .   .   .   .   . </t>
  </si>
  <si>
    <r>
      <t xml:space="preserve">Unreported tips subject to social security tax. Enter the </t>
    </r>
    <r>
      <rPr>
        <b/>
        <sz val="12"/>
        <rFont val="Arial"/>
        <family val="2"/>
      </rPr>
      <t>smaller</t>
    </r>
    <r>
      <rPr>
        <sz val="12"/>
        <rFont val="Arial"/>
        <family val="2"/>
      </rPr>
      <t xml:space="preserve"> of line 6 or line 9. If you received tips</t>
    </r>
  </si>
  <si>
    <r>
      <rPr>
        <sz val="11"/>
        <rFont val="Arial"/>
        <family val="2"/>
      </rPr>
      <t xml:space="preserve">Form </t>
    </r>
    <r>
      <rPr>
        <b/>
        <sz val="13"/>
        <rFont val="Arial"/>
        <family val="2"/>
      </rPr>
      <t>4137</t>
    </r>
  </si>
  <si>
    <t>Created 3/27/25</t>
  </si>
  <si>
    <t>Cat. No. 12626C</t>
  </si>
  <si>
    <r>
      <rPr>
        <b/>
        <i/>
        <sz val="10"/>
        <rFont val="Arial"/>
        <family val="2"/>
      </rPr>
      <t>(c)</t>
    </r>
    <r>
      <rPr>
        <i/>
        <sz val="10"/>
        <rFont val="Arial"/>
        <family val="2"/>
      </rPr>
      <t xml:space="preserve"> Total cash and 
charge tips you </t>
    </r>
    <r>
      <rPr>
        <b/>
        <i/>
        <sz val="10"/>
        <rFont val="Arial"/>
        <family val="2"/>
      </rPr>
      <t xml:space="preserve">received </t>
    </r>
    <r>
      <rPr>
        <i/>
        <sz val="10"/>
        <rFont val="Arial"/>
        <family val="2"/>
      </rPr>
      <t xml:space="preserve">
(including unreported tips) 
(see instructions)</t>
    </r>
  </si>
  <si>
    <r>
      <rPr>
        <b/>
        <i/>
        <sz val="10"/>
        <rFont val="Arial"/>
        <family val="2"/>
      </rPr>
      <t>(d)</t>
    </r>
    <r>
      <rPr>
        <i/>
        <sz val="10"/>
        <rFont val="Arial"/>
        <family val="2"/>
      </rPr>
      <t xml:space="preserve"> Total cash and 
charge tips you </t>
    </r>
    <r>
      <rPr>
        <b/>
        <i/>
        <sz val="10"/>
        <rFont val="Arial"/>
        <family val="2"/>
      </rPr>
      <t xml:space="preserve">reported </t>
    </r>
    <r>
      <rPr>
        <i/>
        <sz val="10"/>
        <rFont val="Arial"/>
        <family val="2"/>
      </rPr>
      <t xml:space="preserve">
to your employer</t>
    </r>
  </si>
  <si>
    <r>
      <t xml:space="preserve">Total cash and charge tips you </t>
    </r>
    <r>
      <rPr>
        <b/>
        <sz val="12"/>
        <rFont val="Arial"/>
        <family val="2"/>
      </rPr>
      <t>received</t>
    </r>
  </si>
  <si>
    <r>
      <t xml:space="preserve">Total cash and charge tips you </t>
    </r>
    <r>
      <rPr>
        <b/>
        <sz val="12"/>
        <rFont val="Arial"/>
        <family val="2"/>
      </rPr>
      <t>reported</t>
    </r>
    <r>
      <rPr>
        <sz val="12"/>
        <rFont val="Arial"/>
        <family val="2"/>
      </rPr>
      <t xml:space="preserve"> to your employer(s)</t>
    </r>
  </si>
  <si>
    <t xml:space="preserve"> .   .   .   .   .   .   .   .   .    .   .   .   .   .   .   .   .   .   .   .   .   .   .   .   . </t>
  </si>
  <si>
    <t xml:space="preserve">.   .   .   .   .   .   .   .   .   .   .   .   .   .   .   .    .   .   .   .   .   .   .   .   .   .   .   .   .   .   .   . </t>
  </si>
  <si>
    <t xml:space="preserve">.   .   .   .   .   .   .   .   .    .   .   .   .   .   .   .   .   .   .   .   .   .   .   .   . </t>
  </si>
  <si>
    <t xml:space="preserve"> .   .   .   .   .   .    .   .   .   .   .   .   .   .   .   .   .   .   .   .   .   . </t>
  </si>
  <si>
    <t>Form 4137, Social Security and  Medicare Tax on Unreported Tip Income</t>
  </si>
  <si>
    <t>W-2</t>
  </si>
  <si>
    <t>Added new Form 4137, Social Security and  Medicare Tax on Unreported Tip Income</t>
  </si>
  <si>
    <t>Added new Form 8919, Uncollected Social Security and Medicare Tax on Wages</t>
  </si>
  <si>
    <r>
      <t xml:space="preserve">Form 1040, </t>
    </r>
    <r>
      <rPr>
        <b/>
        <sz val="10"/>
        <rFont val="Arial"/>
        <family val="2"/>
      </rPr>
      <t>Sch. 2</t>
    </r>
    <r>
      <rPr>
        <sz val="10"/>
        <rFont val="Arial"/>
        <family val="2"/>
      </rPr>
      <t>, line 17k</t>
    </r>
  </si>
  <si>
    <t>W-2, line 12, Code  K</t>
  </si>
  <si>
    <t>W-2, line 12, codes M &amp; N</t>
  </si>
  <si>
    <r>
      <t xml:space="preserve">Form 1040, </t>
    </r>
    <r>
      <rPr>
        <b/>
        <sz val="10"/>
        <rFont val="Arial"/>
        <family val="2"/>
      </rPr>
      <t>Sch. 2</t>
    </r>
    <r>
      <rPr>
        <sz val="10"/>
        <rFont val="Arial"/>
        <family val="2"/>
      </rPr>
      <t>, line 13</t>
    </r>
  </si>
  <si>
    <t>W-2, line 12, Code P, Excludable moving expense reimbursement for military</t>
  </si>
  <si>
    <r>
      <t xml:space="preserve">Form 1040, </t>
    </r>
    <r>
      <rPr>
        <b/>
        <sz val="10"/>
        <rFont val="Arial"/>
        <family val="2"/>
      </rPr>
      <t>Sch. 2</t>
    </r>
    <r>
      <rPr>
        <sz val="10"/>
        <rFont val="Arial"/>
        <family val="2"/>
      </rPr>
      <t>, line 14</t>
    </r>
  </si>
  <si>
    <t>Source: Form W-2, line 12 'Q'</t>
  </si>
  <si>
    <r>
      <rPr>
        <b/>
        <sz val="10"/>
        <rFont val="Arial"/>
        <family val="2"/>
      </rPr>
      <t>Form 1040</t>
    </r>
    <r>
      <rPr>
        <sz val="10"/>
        <rFont val="Arial"/>
        <family val="2"/>
      </rPr>
      <t>, line 1i</t>
    </r>
  </si>
  <si>
    <r>
      <t xml:space="preserve">Qualified Tips from Multiple Trades or Businesses Worksheet
</t>
    </r>
    <r>
      <rPr>
        <b/>
        <sz val="11"/>
        <rFont val="Arial"/>
        <family val="2"/>
      </rPr>
      <t>Note:</t>
    </r>
    <r>
      <rPr>
        <sz val="11"/>
        <rFont val="Arial"/>
        <family val="2"/>
      </rPr>
      <t xml:space="preserve"> As a minumun, amounts must be entered by the user into column (b) </t>
    </r>
    <r>
      <rPr>
        <u/>
        <sz val="11"/>
        <rFont val="Arial"/>
        <family val="2"/>
      </rPr>
      <t>and</t>
    </r>
    <r>
      <rPr>
        <sz val="11"/>
        <rFont val="Arial"/>
        <family val="2"/>
      </rPr>
      <t xml:space="preserve"> column (c), (d) or (e).</t>
    </r>
  </si>
  <si>
    <r>
      <t xml:space="preserve">Form 1040, </t>
    </r>
    <r>
      <rPr>
        <b/>
        <sz val="10"/>
        <rFont val="Arial"/>
        <family val="2"/>
      </rPr>
      <t>Sch. 1</t>
    </r>
    <r>
      <rPr>
        <sz val="10"/>
        <rFont val="Arial"/>
        <family val="2"/>
      </rPr>
      <t>, line 14</t>
    </r>
  </si>
  <si>
    <t>Removed blanking for Part V, Enhanced Deduction for Seniors, when AGI is zero.</t>
  </si>
  <si>
    <t>Added entry rows for Line 12, Codes A, B, H, M, N, P and Q.</t>
  </si>
  <si>
    <t>Corrected Part I, line 1, Taxable refunds … state and local income taxes to get input from 1099-G, line 2. Thank you, Julie A.</t>
  </si>
  <si>
    <t>Nonemployee compensation</t>
  </si>
  <si>
    <t>Payer made direct sales of $5,000 or more of consumer productes to recipient for resale</t>
  </si>
  <si>
    <t>Excess golden parachute payments</t>
  </si>
  <si>
    <t>State/Payer's state no.</t>
  </si>
  <si>
    <t>State income</t>
  </si>
  <si>
    <t>Source: 1099-NEC, Box 1</t>
  </si>
  <si>
    <t>Y/ N</t>
  </si>
  <si>
    <t>Form 1040, line 25b</t>
  </si>
  <si>
    <t>Sch. A, line 5a</t>
  </si>
  <si>
    <t>Sch C, line 1 (for your spouse)</t>
  </si>
  <si>
    <t>Sch C, line 1 (for you)</t>
  </si>
  <si>
    <t>Blanked line 4b when IRA distributions are fully taxable. Thank you, Rick E.</t>
  </si>
  <si>
    <t>Form 1099-NEC, Nonemployee Compensation</t>
  </si>
  <si>
    <r>
      <rPr>
        <b/>
        <sz val="10"/>
        <rFont val="Arial"/>
        <family val="2"/>
      </rPr>
      <t>Form 1099-NEC</t>
    </r>
    <r>
      <rPr>
        <sz val="10"/>
        <rFont val="Arial"/>
        <family val="2"/>
      </rPr>
      <t>, Nonemployee Compensation</t>
    </r>
  </si>
  <si>
    <t>1099-NEC</t>
  </si>
  <si>
    <t>Added new form. Incorporated it into Form 1040, line 25b; Sch. A, line 5a; and Sch. C, line 1.</t>
  </si>
  <si>
    <t>Corrected worksheet for Line 6  (Step 1) (Married w/separate HSAs). Thank you, David F.</t>
  </si>
  <si>
    <t>Line 16ab (SS Bene)</t>
  </si>
  <si>
    <t>Corrected response of lines 16 and 17 to MFS who did NOT live apart for the entire year. Thank you, Bob J.</t>
  </si>
  <si>
    <t>Corrected line 1 to receive input from Sch. 1 Line 1 (SALT) line 9. Thanks again, Ron W.</t>
  </si>
  <si>
    <t>Sch 1, Line 1 (SALT), line 9</t>
  </si>
  <si>
    <t>Reworked the entry cells associated with Line 8 to eliminate #VALUE! Error from occurring</t>
  </si>
  <si>
    <t>Reworking 'blanking logic' affecting line 9 through 15. Thank you, Anthony K.</t>
  </si>
  <si>
    <t>Mandatory contributions you made to state disability benefit funds, temporary disability benefit funds, etc.</t>
  </si>
  <si>
    <r>
      <rPr>
        <b/>
        <sz val="10"/>
        <rFont val="Arial"/>
        <family val="2"/>
      </rPr>
      <t>Additional State and Local Income Taxes Paid.</t>
    </r>
    <r>
      <rPr>
        <sz val="10"/>
        <rFont val="Arial"/>
        <family val="2"/>
      </rPr>
      <t xml:space="preserve">   Add lines 1 through 4.  </t>
    </r>
  </si>
  <si>
    <t xml:space="preserve"> If box 5a (for General Sales Tax) is NOT checked, these amounts will be added into Line 5a.</t>
  </si>
  <si>
    <t>State and Local Taxes Paid but NOT Reported on W-2s or 1099s —Line 5a</t>
  </si>
  <si>
    <t>Incorporated input from Form 1099-G, line 11, into Sch. A, line 5a.</t>
  </si>
  <si>
    <t>Restored State and Local Taxes Paid but NOT Reported on W-2s or 1099s —Line 5a Worksheet</t>
  </si>
  <si>
    <t>Deleted test data (4,444) from line 10. Thank you, Gabriel R.</t>
  </si>
  <si>
    <t>Updated line 11 calculations to match revised IRS instructions (26-Jan-2026) for line 11. Thank you, Sandy B.</t>
  </si>
  <si>
    <t>Corrected line 41 to yield 2.564% for years earlier than the current tax year. Thank you, Nike  C.</t>
  </si>
  <si>
    <t>Earned Income Worksheet</t>
  </si>
  <si>
    <t>Form 2441, Part 4 of Earned Income Worksheet for Line 4</t>
  </si>
  <si>
    <t>Form 2441, Part 4 of Earned Income Worksheet for Line 5</t>
  </si>
  <si>
    <t>In two places, corrected Code 12Q Non Taxable Combat Pay to be used in Form 2241, Part 4 of EIC worksheet for lines 4 and 5. Thank you, Brian B.</t>
  </si>
  <si>
    <t>Local</t>
  </si>
  <si>
    <t>Reworked State and Local General Sales Tax Deduction Worksheet—Line 5a. Corrected rounding and some logic. Thank you, Jason P.</t>
  </si>
  <si>
    <t>Corrected inputs from Form 8949A, B, C, &amp; D. In Part 2, line 9, some 'Box K' items were showing up as 'Box E' items. Thank you, Joe V.</t>
  </si>
  <si>
    <r>
      <rPr>
        <b/>
        <sz val="10"/>
        <rFont val="Arial"/>
        <family val="2"/>
      </rPr>
      <t>Do not</t>
    </r>
    <r>
      <rPr>
        <sz val="10"/>
        <rFont val="Arial"/>
        <family val="2"/>
      </rPr>
      <t xml:space="preserve"> include employer contributions,</t>
    </r>
  </si>
  <si>
    <r>
      <t xml:space="preserve">on  the  first day of  </t>
    </r>
    <r>
      <rPr>
        <b/>
        <sz val="9"/>
        <rFont val="Arial"/>
        <family val="2"/>
      </rPr>
      <t>every</t>
    </r>
    <r>
      <rPr>
        <sz val="9"/>
        <rFont val="Arial"/>
        <family val="2"/>
      </rPr>
      <t xml:space="preserve">  month</t>
    </r>
  </si>
  <si>
    <t>Are you a married taxpayer whose filing</t>
  </si>
  <si>
    <t>status is married filing separately or</t>
  </si>
  <si>
    <t>head of household?</t>
  </si>
  <si>
    <t>Added 'Exception' to Step 4, line 1, Filers Without a Qualifying Child, for married taxpayers who are filing status is Head of Housefold but are considered unmarried. Thank you, Zavier K.</t>
  </si>
  <si>
    <t>Corrected SSN on first Form 8889 to show spouse's SSN if the spouse was the only HSA beneficiary. Thank you, Chris T.</t>
  </si>
  <si>
    <t>enter the result on line 16. Then go to line 17</t>
  </si>
  <si>
    <t>Corrected calculation for line 16 for taxpayers filing as MFS but lived with their spouse for some of the tax years. Thank you, Sean R. NOTE: This should have been fixed on 2/8/2026.</t>
  </si>
  <si>
    <t>Net long-term gain (loss) from partnerships, S corporations, estates, &amp; trusts from Schedules K-1</t>
  </si>
  <si>
    <t>Line 27a (EIC) &amp; EIC Table</t>
  </si>
  <si>
    <t>Changed to cell names for the limits in Step 1, line 1, to part of the 'worksheet' scope (versus the 'EIC Table' scope). This should improve spreadsheet functionality for those using spreadsheets other than Excel. Thank you, Aaron P.</t>
  </si>
  <si>
    <t>Line 16 - Unprotected cell AY96 to allow entry if boxes 1, 2, or 3 are checked. Thank you, r h</t>
  </si>
  <si>
    <t>Corrected line 2 to bring in the correct lines from Schedule 2. Thank you, Nancy C.</t>
  </si>
  <si>
    <t>Created 11/4/25</t>
  </si>
  <si>
    <t>higher whole number. (For example, increase 1.5 to 2, and increase 0.05 to 1.)</t>
  </si>
  <si>
    <t>Corrected line 28 to match the IRS form. The result of the division should be increased (not decreased) to the nearest higher (not lower) whole number.  Thank you, Nick M.</t>
  </si>
  <si>
    <t>12 W</t>
  </si>
  <si>
    <t>Employer contribution to HSA.</t>
  </si>
  <si>
    <t>Form 8889, Part I, line 9</t>
  </si>
  <si>
    <t>Form 8889, Part I, line 9 (You)</t>
  </si>
  <si>
    <t>Form 8889, Part I, line 9 (Spouse)</t>
  </si>
  <si>
    <t>(W-2, Box 12W)</t>
  </si>
  <si>
    <t>Employer contributions to HSA.</t>
  </si>
  <si>
    <t>Added Line 2, Box 12, Code W for Employer contributions to HSA. Thank you, Darren McB.</t>
  </si>
  <si>
    <t>On both forms, modified line 9 to receive input from W-2, Box 12, Code W, for Employer contributions to HSA. Thank you, Darren McB.</t>
  </si>
  <si>
    <t>12 S</t>
  </si>
  <si>
    <t>Elective deferral to SIMPLE IRA</t>
  </si>
  <si>
    <t>Form 8880, line 2 (a)</t>
  </si>
  <si>
    <t>Form 8880, line 2 (b)</t>
  </si>
  <si>
    <t>Type</t>
  </si>
  <si>
    <t>Make line 8z entries to the right &gt;&gt;</t>
  </si>
  <si>
    <t>Modified line 2 to receive input from W-2, Box 12, Code H and Code S for elective deferrals to qualified employer retirement plans.</t>
  </si>
  <si>
    <t>Modified line 12 to not receive input from W-2, Box 12, Code H.</t>
  </si>
  <si>
    <t>Form 8880, line 2 (a) &amp; (b)</t>
  </si>
  <si>
    <t>=</t>
  </si>
  <si>
    <t>Added Line 2, Box 12, Code S for elective deferral to SIMPLE IRA.</t>
  </si>
  <si>
    <t>Modified Line 2, Box 12, Code H for elective deferral to 501(c)(18)(D) plans.</t>
  </si>
  <si>
    <t>LTOY</t>
  </si>
  <si>
    <t>8949A, B, C, D</t>
  </si>
  <si>
    <t>Reworked conditional formatting that caused dates to turn red when &gt; 1 year in short-term section and &lt;= 1 year in long term section. Thank you, John McC.</t>
  </si>
  <si>
    <t>Corrected calculation in 2nd Form 8889, line 6. Thank you, George R.</t>
  </si>
  <si>
    <r>
      <t>Form</t>
    </r>
    <r>
      <rPr>
        <sz val="10"/>
        <rFont val="Arial"/>
        <family val="2"/>
      </rPr>
      <t xml:space="preserve"> </t>
    </r>
    <r>
      <rPr>
        <b/>
        <sz val="10"/>
        <rFont val="Arial"/>
        <family val="2"/>
      </rPr>
      <t>8960</t>
    </r>
    <r>
      <rPr>
        <sz val="9"/>
        <rFont val="Arial"/>
        <family val="2"/>
      </rPr>
      <t xml:space="preserve"> </t>
    </r>
  </si>
  <si>
    <t xml:space="preserve">Enter here and </t>
  </si>
  <si>
    <r>
      <t>include on your tax return</t>
    </r>
    <r>
      <rPr>
        <sz val="10"/>
        <rFont val="Arial"/>
        <family val="2"/>
      </rPr>
      <t xml:space="preserve"> (see instructions)</t>
    </r>
  </si>
  <si>
    <t xml:space="preserve"> .   .   .   .   .   .   .   .   .   .   .   .   .   .   .   .   .   .   .   .   .   .   .   . </t>
  </si>
  <si>
    <r>
      <rPr>
        <b/>
        <sz val="12"/>
        <rFont val="Arial"/>
        <family val="2"/>
      </rPr>
      <t>Note:</t>
    </r>
    <r>
      <rPr>
        <sz val="12"/>
        <rFont val="Arial"/>
        <family val="2"/>
      </rPr>
      <t xml:space="preserve"> Except where stated otherwise, “traditional IRA” includes traditional SEP IRAs and traditional SIMPLE IRAs. “Roth IRA” includes</t>
    </r>
  </si>
  <si>
    <t>Roth SEP IRAs and Roth SIMPLE IRAs.</t>
  </si>
  <si>
    <t>Nondeductible Contributions to Traditional IRAs and Distributions From Traditional IRAs</t>
  </si>
  <si>
    <t>not include employer contributions made to a SEP IRA pursuant to a SEP arrangement or to a SIMPLE IRA pursuant to</t>
  </si>
  <si>
    <t>a SIMPLE IRA plan.</t>
  </si>
  <si>
    <t xml:space="preserve">qualified charitable distributions; a one-time distribution to fund an HSA; conversions to a Roth IRA; </t>
  </si>
  <si>
    <t>certain returned contributions; or recharacterizations of traditional IRA contributions. See instructions</t>
  </si>
  <si>
    <r>
      <rPr>
        <b/>
        <sz val="11"/>
        <rFont val="Arial"/>
        <family val="2"/>
      </rPr>
      <t>Do not</t>
    </r>
    <r>
      <rPr>
        <sz val="11"/>
        <rFont val="Arial"/>
        <family val="2"/>
      </rPr>
      <t xml:space="preserve"> include rollovers (but do include certain</t>
    </r>
  </si>
  <si>
    <r>
      <t xml:space="preserve">Also, </t>
    </r>
    <r>
      <rPr>
        <b/>
        <sz val="11"/>
        <rFont val="Arial"/>
        <family val="2"/>
      </rPr>
      <t>do not</t>
    </r>
    <r>
      <rPr>
        <sz val="11"/>
        <rFont val="Arial"/>
        <family val="2"/>
      </rPr>
      <t xml:space="preserve"> include</t>
    </r>
  </si>
  <si>
    <t>on line 16</t>
  </si>
  <si>
    <r>
      <t>Nondeductible Contributions to Traditional IRAs and Distributions From Traditional IRAs</t>
    </r>
    <r>
      <rPr>
        <i/>
        <sz val="12"/>
        <rFont val="Arial"/>
        <family val="2"/>
      </rPr>
      <t xml:space="preserve">  (continued)</t>
    </r>
  </si>
  <si>
    <t xml:space="preserve">plan distribution repayments (other than those reported on Form 8915-F) that are treated as rollovers. </t>
  </si>
  <si>
    <t>1040-NR, line 4b</t>
  </si>
  <si>
    <r>
      <t xml:space="preserve">1040-SR, </t>
    </r>
    <r>
      <rPr>
        <b/>
        <sz val="12"/>
        <rFont val="Arial"/>
        <family val="2"/>
      </rPr>
      <t>or</t>
    </r>
  </si>
  <si>
    <t>If you completed Part I, enter the amount from line 8. Otherwise, enter the net amount you converted</t>
  </si>
  <si>
    <r>
      <t xml:space="preserve">For this purpose, a distribution </t>
    </r>
    <r>
      <rPr>
        <b/>
        <sz val="12"/>
        <rFont val="Arial"/>
        <family val="2"/>
      </rPr>
      <t>does not</t>
    </r>
  </si>
  <si>
    <t>recharacterization, or return of certain contributions. See instructions.</t>
  </si>
  <si>
    <t>rollovers. See instructions</t>
  </si>
  <si>
    <t xml:space="preserve">.   .   .   .   .   .   .   .   .   .   .   .   .   .   .   .   .   .   .   .   .   .   .   .   .   .   .   .   .   .   .   .   .   .   </t>
  </si>
  <si>
    <t>may be subject to an additional tax. See instructions</t>
  </si>
  <si>
    <t>Enter your basis in conversions from traditional IRAs and rollovers from qualified retirement plans to a</t>
  </si>
  <si>
    <t>Roth IRA. See instructions</t>
  </si>
  <si>
    <t xml:space="preserve"> .   .   .   .   .   .   .   .   .   .   .   .   .   .   .   .   .   .   .   .   .   .   .   .   .   .   .   .   .   .   .   .   .   .   .   .  </t>
  </si>
  <si>
    <t>plan distribution repayments (other than those reported on Form 8915-F) that are treated as rollovers.</t>
  </si>
  <si>
    <t xml:space="preserve">.   .   .   .   .   .   .   .   .   .   .   .   .   .   .   .   .   .   .   .   .   .   .   .   .   .   .   .   .   .   .   .   .   .   .   .   .   .   .   .   .   .   .  </t>
  </si>
  <si>
    <t>Sign Here Only
if You Are Filing
This Form by Itself
and Not With Your 
Tax Return</t>
  </si>
  <si>
    <t>charitable distributions, one-time distributions to fund an HSA, conversions, recharacterizations, or returns of certain</t>
  </si>
  <si>
    <t>contributions.</t>
  </si>
  <si>
    <r>
      <t xml:space="preserve"> For this purpose, “distributions” </t>
    </r>
    <r>
      <rPr>
        <b/>
        <sz val="11"/>
        <rFont val="Arial"/>
        <family val="2"/>
      </rPr>
      <t>does not</t>
    </r>
    <r>
      <rPr>
        <sz val="11"/>
        <rFont val="Arial"/>
        <family val="2"/>
      </rPr>
      <t xml:space="preserve"> include rollovers</t>
    </r>
  </si>
  <si>
    <t xml:space="preserve"> City, town or post office, state, and ZIP code. If you have a foreign address, also complete the spaces below. See instructions.</t>
  </si>
  <si>
    <t>line 16. See instructions</t>
  </si>
  <si>
    <t>Qualified first-time homebuyer expenses. See instructions.</t>
  </si>
  <si>
    <t>retirement plan distribution repayments treated as rollovers (see instructions)). Also, it does not include qualified</t>
  </si>
  <si>
    <r>
      <t xml:space="preserve">instructions)). Also, it </t>
    </r>
    <r>
      <rPr>
        <b/>
        <sz val="12"/>
        <rFont val="Arial"/>
        <family val="2"/>
      </rPr>
      <t>does not</t>
    </r>
    <r>
      <rPr>
        <sz val="12"/>
        <rFont val="Arial"/>
        <family val="2"/>
      </rPr>
      <t xml:space="preserve"> include a qualified charitable distribution, one-time distribution to fund an HSA,</t>
    </r>
  </si>
  <si>
    <r>
      <t xml:space="preserve">Enter your basis in Roth IRA contributions. See instructions. If line 21 is zero, </t>
    </r>
    <r>
      <rPr>
        <b/>
        <sz val="12"/>
        <rFont val="Arial"/>
        <family val="2"/>
      </rPr>
      <t>stop here</t>
    </r>
  </si>
  <si>
    <t xml:space="preserve"> .   .    .   .   .   .   .   .   .   .   .   .   .   .   .   .   .   .   .   .   .   .   .   .   .   .  </t>
  </si>
  <si>
    <t>Distributions From Roth IRAs</t>
  </si>
  <si>
    <r>
      <t xml:space="preserve">Enter the value of </t>
    </r>
    <r>
      <rPr>
        <b/>
        <sz val="12"/>
        <rFont val="Arial"/>
        <family val="2"/>
      </rPr>
      <t>all</t>
    </r>
    <r>
      <rPr>
        <sz val="12"/>
        <rFont val="Arial"/>
        <family val="2"/>
      </rPr>
      <t xml:space="preserve"> your traditional IRAs as of</t>
    </r>
  </si>
  <si>
    <t>Multiply line 7 by line 10. This is the nontaxable portion of your distributions</t>
  </si>
  <si>
    <r>
      <t xml:space="preserve">Also, </t>
    </r>
    <r>
      <rPr>
        <b/>
        <sz val="12"/>
        <rFont val="Arial"/>
        <family val="2"/>
      </rPr>
      <t>do not</t>
    </r>
    <r>
      <rPr>
        <sz val="12"/>
        <rFont val="Arial"/>
        <family val="2"/>
      </rPr>
      <t xml:space="preserve"> include</t>
    </r>
  </si>
  <si>
    <t>that you did not convert to a Roth IRA</t>
  </si>
  <si>
    <t xml:space="preserve">.   .   .   .   .   .   .    .   .   .   .   .   .   .   .   . </t>
  </si>
  <si>
    <t xml:space="preserve"> .   .   .   .   .   .   .   .   .    .   .   .   .   .   .   .   .   . </t>
  </si>
  <si>
    <r>
      <rPr>
        <b/>
        <sz val="12"/>
        <rFont val="Arial"/>
        <family val="2"/>
      </rPr>
      <t>and</t>
    </r>
    <r>
      <rPr>
        <sz val="12"/>
        <rFont val="Arial"/>
        <family val="2"/>
      </rPr>
      <t xml:space="preserve"> you made nondeductible contributions to a traditional IRA in</t>
    </r>
  </si>
  <si>
    <t>IF the last Form 8606 you filed was for …</t>
  </si>
  <si>
    <t xml:space="preserve">THEN enter on line </t>
  </si>
  <si>
    <t>After year</t>
  </si>
  <si>
    <t>and before year</t>
  </si>
  <si>
    <t>the amount from line 14 of that Form 8606 as adjusted to include the amount from line 6 of the 
Line 15c Worksheet, if any, you completed the last time you filed a Form 8606 with Part I completed. 
See Line 14, earlier.</t>
  </si>
  <si>
    <t>the amount from line 14 of that Form 8606.</t>
  </si>
  <si>
    <t>the amount from line 12 of that Form 8606.</t>
  </si>
  <si>
    <t>the total of the amounts on lines 7 and 16 of that Form 8606.</t>
  </si>
  <si>
    <t>the total of the amounts on lines 4 and 13 of that Form 8606.</t>
  </si>
  <si>
    <t>Total Basis Chart -- Line 2.  See Form 8606 instructions.</t>
  </si>
  <si>
    <t>Corrected calculation for line 17. Thank you, Karen C.</t>
  </si>
  <si>
    <t>Corrected lines 5 and 7 to use line 5 as a negative number when lines 1 though 6 are combined on line 7. Thank you, Nancy C!</t>
  </si>
  <si>
    <r>
      <rPr>
        <b/>
        <sz val="10"/>
        <rFont val="Arial"/>
        <family val="2"/>
      </rPr>
      <t>Schedule 3</t>
    </r>
    <r>
      <rPr>
        <sz val="10"/>
        <rFont val="Arial"/>
        <family val="2"/>
      </rPr>
      <t>, Additional Credits and Payments</t>
    </r>
  </si>
  <si>
    <r>
      <rPr>
        <b/>
        <sz val="11"/>
        <rFont val="Arial"/>
        <family val="2"/>
      </rPr>
      <t>and</t>
    </r>
    <r>
      <rPr>
        <sz val="11"/>
        <rFont val="Arial"/>
        <family val="2"/>
      </rPr>
      <t xml:space="preserve">  you made nondeductible contributions</t>
    </r>
  </si>
  <si>
    <r>
      <rPr>
        <b/>
        <sz val="10"/>
        <rFont val="Wingdings"/>
        <charset val="2"/>
      </rPr>
      <t>é</t>
    </r>
    <r>
      <rPr>
        <b/>
        <sz val="10"/>
        <rFont val="Arial"/>
        <family val="2"/>
      </rPr>
      <t xml:space="preserve"> Line 17 entry </t>
    </r>
    <r>
      <rPr>
        <b/>
        <sz val="10"/>
        <rFont val="Wingdings"/>
        <charset val="2"/>
      </rPr>
      <t>é</t>
    </r>
  </si>
  <si>
    <t>Corrected calculation for line 9 of the 2nd Form 8606. Thank you Boryeu M!</t>
  </si>
  <si>
    <t>Corrected calculation for lines 12 and 15a of the 2nd Form 8606. Thank you Boryeu M!</t>
  </si>
  <si>
    <t>line 13b</t>
  </si>
  <si>
    <t>Miscellaneous itemized deductions have been terminated for tax years beginning after 2017. See section 67(h).
The overall limitation on itemized deductions is suspended for tax year 2025 under section 68.
While the IRS continues to discuss miscellaneous itemized deductions under section 67 (and the 2%-of-AGI limitation) and the overall limitation on itemized deductions under section 68, they are suspended for tax year 2025.</t>
  </si>
  <si>
    <t>Updated instructions for the line 9b worksheet. Thank you Kevin C.</t>
  </si>
  <si>
    <r>
      <rPr>
        <sz val="8"/>
        <rFont val="Arial"/>
        <family val="2"/>
      </rPr>
      <t xml:space="preserve">Page </t>
    </r>
    <r>
      <rPr>
        <b/>
        <sz val="12"/>
        <rFont val="Arial"/>
        <family val="2"/>
      </rPr>
      <t xml:space="preserve">3 </t>
    </r>
  </si>
  <si>
    <r>
      <rPr>
        <b/>
        <sz val="10"/>
        <rFont val="Arial"/>
        <family val="2"/>
      </rPr>
      <t>Line 9b—State, Local, and Foreign Income Tax</t>
    </r>
    <r>
      <rPr>
        <sz val="10"/>
        <rFont val="Arial"/>
        <family val="2"/>
      </rPr>
      <t xml:space="preserve">
Include state, local, and foreign income taxes you paid for the tax year </t>
    </r>
    <r>
      <rPr>
        <b/>
        <i/>
        <sz val="10"/>
        <rFont val="Arial"/>
        <family val="2"/>
      </rPr>
      <t>that are attributable to net investment income</t>
    </r>
    <r>
      <rPr>
        <sz val="10"/>
        <rFont val="Arial"/>
        <family val="2"/>
      </rPr>
      <t xml:space="preserve">. Include also state, local, and foreign real property taxes paid for the tax year, as well as state and local personal property taxes paid that are attributable to NII. See the Instructions for Schedule A (Form 1040) for information and potential limits to state and local income taxes. (Total taxes may be limited under section 164(b)(6) if the expense is not associated with a trade or business or with a section 212 activity for the production of income.)
Form 1040-NR filers include only taxes paid for the U.S. residency period of the tax year. Sales taxes are not deductible in computing net investment income. You may not take a deduction for any foreign income taxes paid for the tax year if you took a credit for any portion of it. See section 275(a)(4).
You can determine the portion of your state, local, and foreign income taxes allocable to net investment income using any reasonable method. See </t>
    </r>
    <r>
      <rPr>
        <b/>
        <sz val="10"/>
        <rFont val="Arial"/>
        <family val="2"/>
      </rPr>
      <t>Reasonable method allocations</t>
    </r>
    <r>
      <rPr>
        <sz val="10"/>
        <rFont val="Arial"/>
        <family val="2"/>
      </rPr>
      <t xml:space="preserve"> in IRS Form 8960 instructions.
Enter the amount of state, local, or foreign income taxes; state, local, and foreign real property taxes; as well as state and local personal property taxes on Form 8960, line 9b.
</t>
    </r>
    <r>
      <rPr>
        <b/>
        <sz val="10"/>
        <color rgb="FF008000"/>
        <rFont val="Arial"/>
        <family val="2"/>
      </rPr>
      <t>Note: IF YOU ITEMIZED YOUR DEDUCTIONS ON SCHEDULE A, this spreadsheet determines the amount for line 9b by multiplying the state and local income taxes paid by the fraction of investment income over adjusted gross income.</t>
    </r>
    <r>
      <rPr>
        <sz val="10"/>
        <rFont val="Arial"/>
        <family val="2"/>
      </rPr>
      <t xml:space="preserve">  Use the override cell (Q34) to enter a different amount.</t>
    </r>
  </si>
  <si>
    <t>Net Investment Income-to-gross income ratio</t>
  </si>
  <si>
    <t>B*D</t>
  </si>
  <si>
    <t>Line 9b, State income tax attributable to NII</t>
  </si>
  <si>
    <t>attributable to net investment income</t>
  </si>
  <si>
    <t>Line 9, Total income</t>
  </si>
  <si>
    <t>D = C/A</t>
  </si>
  <si>
    <t>Updated worksheet to use Form 1040, line 9, Total Income, instead of Form 1040, line 11a, Adjusted Gross Income, in its calculation of portion of SALT attributable to net investment income (NII). Thank you, Tim J.</t>
  </si>
  <si>
    <t>Corrected line 17 calculation which was including line 7 twice and not line 10 at all. Thank you, NPV.</t>
  </si>
  <si>
    <t>expensive electric or natural gas heat pump</t>
  </si>
  <si>
    <t>Improved Part VII, Allocation of Unallowed Losses, column (c), to not error if Part II, line 9, were to be blank. Thank you, Andrew 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</si>
</sst>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1">
    <numFmt numFmtId="5" formatCode="&quot;$&quot;#,##0_);\(&quot;$&quot;#,##0\)"/>
    <numFmt numFmtId="6" formatCode="&quot;$&quot;#,##0_);[Red]\(&quot;$&quot;#,##0\)"/>
    <numFmt numFmtId="7" formatCode="&quot;$&quot;#,##0.00_);\(&quot;$&quot;#,##0.00\)"/>
    <numFmt numFmtId="8" formatCode="&quot;$&quot;#,##0.00_);[Red]\(&quot;$&quot;#,##0.00\)"/>
    <numFmt numFmtId="42" formatCode="_(&quot;$&quot;* #,##0_);_(&quot;$&quot;* \(#,##0\);_(&quot;$&quot;* &quot;-&quot;_);_(@_)"/>
    <numFmt numFmtId="41" formatCode="_(* #,##0_);_(* \(#,##0\);_(* &quot;-&quot;_);_(@_)"/>
    <numFmt numFmtId="44" formatCode="_(&quot;$&quot;* #,##0.00_);_(&quot;$&quot;* \(#,##0.00\);_(&quot;$&quot;* &quot;-&quot;??_);_(@_)"/>
    <numFmt numFmtId="164" formatCode="0."/>
    <numFmt numFmtId="165" formatCode="[&lt;=9999999]###\-####;\(###\)\ ###\-####"/>
    <numFmt numFmtId="166" formatCode="000\-00\-0000"/>
    <numFmt numFmtId="167" formatCode="[&gt;9]&quot;X&quot;;#"/>
    <numFmt numFmtId="168" formatCode="&quot;$&quot;#,##0"/>
    <numFmt numFmtId="169" formatCode="mmmm\ d\,\ yyyy"/>
    <numFmt numFmtId="170" formatCode="0_);[Red]\(0\)"/>
    <numFmt numFmtId="171" formatCode="0.0%"/>
    <numFmt numFmtId="172" formatCode="#,##0.0_);\(#,##0.0\)"/>
    <numFmt numFmtId="173" formatCode="#,##0.000_);\(#,##0.000\)"/>
    <numFmt numFmtId="174" formatCode="m/d/yyyy;@"/>
    <numFmt numFmtId="175" formatCode="#,##0.000"/>
    <numFmt numFmtId="176" formatCode="0_);\(0\)"/>
    <numFmt numFmtId="177" formatCode="0.000"/>
    <numFmt numFmtId="178" formatCode="#,##0.000_);[Red]\(#,##0.000\)"/>
    <numFmt numFmtId="179" formatCode="[$-409]h:mm\ AM/PM;@"/>
    <numFmt numFmtId="180" formatCode="0.0000"/>
    <numFmt numFmtId="181" formatCode="0.0"/>
    <numFmt numFmtId="182" formatCode="[$-409]d\-mmm\-yyyy;@"/>
    <numFmt numFmtId="183" formatCode="[$-409]mmmm\ d\,\ yyyy;@"/>
    <numFmt numFmtId="184" formatCode="dd\-mmm\-yyyy\ h:mm\ AM/PM"/>
    <numFmt numFmtId="185" formatCode="dd\-mmm\-yyyy"/>
    <numFmt numFmtId="186" formatCode="mmmm"/>
    <numFmt numFmtId="187" formatCode="0.00000"/>
    <numFmt numFmtId="188" formatCode="m/d/yy;@"/>
    <numFmt numFmtId="189" formatCode="&quot;$&quot;#,##0.00"/>
    <numFmt numFmtId="190" formatCode="mmm\,\ yyyy"/>
    <numFmt numFmtId="191" formatCode="#,##0.0000_);\(#,##0.0000\)"/>
    <numFmt numFmtId="192" formatCode="#,##0.0000"/>
    <numFmt numFmtId="193" formatCode="_(* #,##0.0000_);_(* \(#,##0.0000\);_(* &quot;-&quot;????_);_(@_)"/>
    <numFmt numFmtId="194" formatCode="#,##0;[Red]#,##0"/>
    <numFmt numFmtId="195" formatCode="0.000_);\(0.000\)"/>
    <numFmt numFmtId="196" formatCode="0.00000_);\(0.00000\)"/>
    <numFmt numFmtId="197" formatCode="00000"/>
    <numFmt numFmtId="198" formatCode="mmm\-yyyy"/>
    <numFmt numFmtId="199" formatCode="0.00_);\(0.00\)"/>
    <numFmt numFmtId="200" formatCode="0.0_);\(0.0\)"/>
    <numFmt numFmtId="201" formatCode=".00"/>
    <numFmt numFmtId="202" formatCode="&quot;$&quot;0"/>
    <numFmt numFmtId="203" formatCode="0.000%"/>
    <numFmt numFmtId="204" formatCode="mmm\.\ d\,\ yyyy"/>
    <numFmt numFmtId="205" formatCode="mm/dd/yy;@"/>
    <numFmt numFmtId="206" formatCode="#,##0.000000"/>
    <numFmt numFmtId="207" formatCode="#,##0.00000_);\(#,##0.00000\)"/>
  </numFmts>
  <fonts count="377">
    <font>
      <sz val="10"/>
      <name val="Arial"/>
    </font>
    <font>
      <sz val="11"/>
      <color theme="1"/>
      <name val="Calibri"/>
      <family val="2"/>
      <scheme val="minor"/>
    </font>
    <font>
      <sz val="11"/>
      <color theme="1"/>
      <name val="Calibri"/>
      <family val="2"/>
      <scheme val="minor"/>
    </font>
    <font>
      <sz val="11"/>
      <color theme="1"/>
      <name val="Calibri"/>
      <family val="2"/>
      <scheme val="minor"/>
    </font>
    <font>
      <b/>
      <sz val="10"/>
      <name val="Arial"/>
      <family val="2"/>
    </font>
    <font>
      <i/>
      <sz val="10"/>
      <name val="Arial"/>
      <family val="2"/>
    </font>
    <font>
      <sz val="10"/>
      <name val="Arial"/>
      <family val="2"/>
    </font>
    <font>
      <b/>
      <sz val="10"/>
      <name val="Arial"/>
      <family val="2"/>
    </font>
    <font>
      <sz val="9"/>
      <name val="Arial"/>
      <family val="2"/>
    </font>
    <font>
      <b/>
      <sz val="9"/>
      <name val="Arial"/>
      <family val="2"/>
    </font>
    <font>
      <sz val="8"/>
      <name val="Arial"/>
      <family val="2"/>
    </font>
    <font>
      <b/>
      <sz val="12"/>
      <name val="Arial"/>
      <family val="2"/>
    </font>
    <font>
      <b/>
      <sz val="8"/>
      <name val="Arial"/>
      <family val="2"/>
    </font>
    <font>
      <sz val="8"/>
      <name val="Arial"/>
      <family val="2"/>
    </font>
    <font>
      <sz val="12"/>
      <name val="Arial"/>
      <family val="2"/>
    </font>
    <font>
      <b/>
      <sz val="11"/>
      <name val="Arial"/>
      <family val="2"/>
    </font>
    <font>
      <sz val="7"/>
      <name val="Arial"/>
      <family val="2"/>
    </font>
    <font>
      <sz val="10"/>
      <name val="Wingdings"/>
      <charset val="2"/>
    </font>
    <font>
      <sz val="10"/>
      <name val="Arial"/>
      <family val="2"/>
    </font>
    <font>
      <b/>
      <sz val="7"/>
      <name val="Arial"/>
      <family val="2"/>
    </font>
    <font>
      <b/>
      <sz val="14"/>
      <name val="Arial"/>
      <family val="2"/>
    </font>
    <font>
      <b/>
      <sz val="20"/>
      <name val="Arial"/>
      <family val="2"/>
    </font>
    <font>
      <sz val="10"/>
      <color indexed="9"/>
      <name val="Arial"/>
      <family val="2"/>
    </font>
    <font>
      <i/>
      <sz val="12"/>
      <name val="Arial"/>
      <family val="2"/>
    </font>
    <font>
      <i/>
      <sz val="11"/>
      <name val="Arial"/>
      <family val="2"/>
    </font>
    <font>
      <u/>
      <sz val="10"/>
      <name val="Arial"/>
      <family val="2"/>
    </font>
    <font>
      <b/>
      <u/>
      <sz val="10"/>
      <name val="Arial"/>
      <family val="2"/>
    </font>
    <font>
      <sz val="9"/>
      <name val="Wingdings"/>
      <charset val="2"/>
    </font>
    <font>
      <b/>
      <i/>
      <sz val="11"/>
      <name val="Arial"/>
      <family val="2"/>
    </font>
    <font>
      <sz val="8"/>
      <color indexed="9"/>
      <name val="Arial"/>
      <family val="2"/>
    </font>
    <font>
      <b/>
      <sz val="9"/>
      <color indexed="9"/>
      <name val="Arial"/>
      <family val="2"/>
    </font>
    <font>
      <sz val="9"/>
      <color indexed="8"/>
      <name val="Arial"/>
      <family val="2"/>
    </font>
    <font>
      <b/>
      <u/>
      <sz val="12"/>
      <color indexed="18"/>
      <name val="Arial"/>
      <family val="2"/>
    </font>
    <font>
      <u/>
      <sz val="8"/>
      <name val="Arial"/>
      <family val="2"/>
    </font>
    <font>
      <b/>
      <u/>
      <sz val="12"/>
      <name val="Arial"/>
      <family val="2"/>
    </font>
    <font>
      <sz val="8"/>
      <name val="Wingdings"/>
      <charset val="2"/>
    </font>
    <font>
      <sz val="10"/>
      <name val="Marlett"/>
      <charset val="2"/>
    </font>
    <font>
      <i/>
      <sz val="9"/>
      <name val="Arial"/>
      <family val="2"/>
    </font>
    <font>
      <b/>
      <sz val="12"/>
      <name val="Marlett"/>
      <charset val="2"/>
    </font>
    <font>
      <b/>
      <sz val="8"/>
      <name val="Marlett"/>
      <charset val="2"/>
    </font>
    <font>
      <b/>
      <i/>
      <sz val="12"/>
      <name val="Arial"/>
      <family val="2"/>
    </font>
    <font>
      <b/>
      <sz val="9"/>
      <name val="Marlett"/>
      <charset val="2"/>
    </font>
    <font>
      <sz val="11"/>
      <name val="Marlett"/>
      <charset val="2"/>
    </font>
    <font>
      <sz val="9"/>
      <color indexed="9"/>
      <name val="Arial"/>
      <family val="2"/>
    </font>
    <font>
      <b/>
      <sz val="16"/>
      <name val="Arial"/>
      <family val="2"/>
    </font>
    <font>
      <b/>
      <sz val="10"/>
      <name val="Wingdings"/>
      <charset val="2"/>
    </font>
    <font>
      <sz val="6"/>
      <name val="Arial"/>
      <family val="2"/>
    </font>
    <font>
      <sz val="11"/>
      <name val="Arial"/>
      <family val="2"/>
    </font>
    <font>
      <b/>
      <sz val="9"/>
      <name val="Wingdings"/>
      <charset val="2"/>
    </font>
    <font>
      <b/>
      <sz val="11"/>
      <color indexed="9"/>
      <name val="Arial"/>
      <family val="2"/>
    </font>
    <font>
      <b/>
      <sz val="6"/>
      <name val="Arial"/>
      <family val="2"/>
    </font>
    <font>
      <b/>
      <sz val="10"/>
      <color indexed="9"/>
      <name val="Arial"/>
      <family val="2"/>
    </font>
    <font>
      <sz val="9"/>
      <name val="Marlett"/>
      <charset val="2"/>
    </font>
    <font>
      <b/>
      <sz val="14"/>
      <name val="Marlett"/>
      <charset val="2"/>
    </font>
    <font>
      <sz val="11"/>
      <color indexed="9"/>
      <name val="Arial"/>
      <family val="2"/>
    </font>
    <font>
      <b/>
      <i/>
      <sz val="9"/>
      <name val="Arial"/>
      <family val="2"/>
    </font>
    <font>
      <b/>
      <i/>
      <sz val="10"/>
      <name val="Arial"/>
      <family val="2"/>
    </font>
    <font>
      <b/>
      <sz val="10"/>
      <color indexed="10"/>
      <name val="Arial"/>
      <family val="2"/>
    </font>
    <font>
      <b/>
      <sz val="22"/>
      <name val="Arial"/>
      <family val="2"/>
    </font>
    <font>
      <sz val="10"/>
      <name val="Symbol"/>
      <family val="1"/>
      <charset val="2"/>
    </font>
    <font>
      <i/>
      <sz val="12"/>
      <name val="Century Schoolbook"/>
      <family val="1"/>
    </font>
    <font>
      <b/>
      <i/>
      <sz val="14"/>
      <name val="Times New Roman"/>
      <family val="1"/>
    </font>
    <font>
      <b/>
      <sz val="12"/>
      <color indexed="10"/>
      <name val="Arial"/>
      <family val="2"/>
    </font>
    <font>
      <b/>
      <sz val="8"/>
      <color indexed="9"/>
      <name val="Arial"/>
      <family val="2"/>
    </font>
    <font>
      <sz val="8"/>
      <color indexed="8"/>
      <name val="Arial"/>
      <family val="2"/>
    </font>
    <font>
      <b/>
      <sz val="9"/>
      <color indexed="10"/>
      <name val="Arial"/>
      <family val="2"/>
    </font>
    <font>
      <b/>
      <sz val="11"/>
      <color indexed="10"/>
      <name val="Arial"/>
      <family val="2"/>
    </font>
    <font>
      <u/>
      <sz val="10"/>
      <color indexed="12"/>
      <name val="Arial"/>
      <family val="2"/>
    </font>
    <font>
      <i/>
      <sz val="12"/>
      <name val="Times New Roman"/>
      <family val="1"/>
    </font>
    <font>
      <sz val="10"/>
      <color indexed="10"/>
      <name val="Arial"/>
      <family val="2"/>
    </font>
    <font>
      <b/>
      <sz val="12"/>
      <color indexed="10"/>
      <name val="Symbol"/>
      <family val="1"/>
      <charset val="2"/>
    </font>
    <font>
      <b/>
      <i/>
      <sz val="9"/>
      <color indexed="10"/>
      <name val="Arial"/>
      <family val="2"/>
    </font>
    <font>
      <b/>
      <sz val="26"/>
      <name val="Arial"/>
      <family val="2"/>
    </font>
    <font>
      <b/>
      <sz val="13"/>
      <name val="Arial"/>
      <family val="2"/>
    </font>
    <font>
      <sz val="14"/>
      <name val="Arial"/>
      <family val="2"/>
    </font>
    <font>
      <b/>
      <sz val="12"/>
      <color indexed="9"/>
      <name val="Arial"/>
      <family val="2"/>
    </font>
    <font>
      <b/>
      <sz val="8"/>
      <color indexed="10"/>
      <name val="Arial"/>
      <family val="2"/>
    </font>
    <font>
      <vertAlign val="superscript"/>
      <sz val="10"/>
      <name val="Arial"/>
      <family val="2"/>
    </font>
    <font>
      <sz val="7"/>
      <color indexed="16"/>
      <name val="Arial"/>
      <family val="2"/>
    </font>
    <font>
      <b/>
      <i/>
      <sz val="10"/>
      <color indexed="10"/>
      <name val="Arial"/>
      <family val="2"/>
    </font>
    <font>
      <b/>
      <sz val="10"/>
      <color indexed="17"/>
      <name val="Arial"/>
      <family val="2"/>
    </font>
    <font>
      <sz val="10"/>
      <color indexed="22"/>
      <name val="Arial"/>
      <family val="2"/>
    </font>
    <font>
      <b/>
      <sz val="16"/>
      <name val="Wingdings 2"/>
      <family val="1"/>
      <charset val="2"/>
    </font>
    <font>
      <sz val="10"/>
      <color indexed="8"/>
      <name val="Arial"/>
      <family val="2"/>
    </font>
    <font>
      <b/>
      <sz val="10"/>
      <name val="Marlett"/>
      <charset val="2"/>
    </font>
    <font>
      <b/>
      <sz val="18"/>
      <name val="Arial"/>
      <family val="2"/>
    </font>
    <font>
      <sz val="12"/>
      <color indexed="9"/>
      <name val="Arial"/>
      <family val="2"/>
    </font>
    <font>
      <b/>
      <u/>
      <sz val="10"/>
      <color indexed="12"/>
      <name val="Arial"/>
      <family val="2"/>
    </font>
    <font>
      <sz val="8"/>
      <color indexed="10"/>
      <name val="Arial"/>
      <family val="2"/>
    </font>
    <font>
      <sz val="9"/>
      <color indexed="10"/>
      <name val="Arial"/>
      <family val="2"/>
    </font>
    <font>
      <sz val="8"/>
      <name val="Symbol"/>
      <family val="1"/>
      <charset val="2"/>
    </font>
    <font>
      <b/>
      <sz val="28"/>
      <name val="Arial"/>
      <family val="2"/>
    </font>
    <font>
      <sz val="22"/>
      <name val="Arial"/>
      <family val="2"/>
    </font>
    <font>
      <b/>
      <sz val="10"/>
      <name val="Symbol"/>
      <family val="1"/>
      <charset val="2"/>
    </font>
    <font>
      <b/>
      <sz val="10"/>
      <color indexed="8"/>
      <name val="Arial"/>
      <family val="2"/>
    </font>
    <font>
      <b/>
      <sz val="10"/>
      <color indexed="9"/>
      <name val="Marlett"/>
      <charset val="2"/>
    </font>
    <font>
      <sz val="10"/>
      <color indexed="17"/>
      <name val="Arial"/>
      <family val="2"/>
    </font>
    <font>
      <sz val="10"/>
      <name val="Arial"/>
      <family val="2"/>
    </font>
    <font>
      <sz val="12"/>
      <name val="Courier New"/>
      <family val="3"/>
    </font>
    <font>
      <sz val="12"/>
      <name val="Courier"/>
      <family val="3"/>
    </font>
    <font>
      <b/>
      <sz val="10"/>
      <name val="Courier New"/>
      <family val="3"/>
    </font>
    <font>
      <sz val="8"/>
      <color indexed="22"/>
      <name val="Arial"/>
      <family val="2"/>
    </font>
    <font>
      <b/>
      <sz val="12"/>
      <name val="Calibri"/>
      <family val="2"/>
    </font>
    <font>
      <sz val="10"/>
      <color indexed="9"/>
      <name val="Arial"/>
      <family val="2"/>
    </font>
    <font>
      <b/>
      <sz val="24"/>
      <name val="Arial"/>
      <family val="2"/>
    </font>
    <font>
      <u/>
      <sz val="10"/>
      <color indexed="12"/>
      <name val="Arial"/>
      <family val="2"/>
    </font>
    <font>
      <b/>
      <sz val="8"/>
      <color rgb="FFFF0000"/>
      <name val="Arial"/>
      <family val="2"/>
    </font>
    <font>
      <b/>
      <sz val="10"/>
      <color theme="0" tint="-0.499984740745262"/>
      <name val="Arial"/>
      <family val="2"/>
    </font>
    <font>
      <sz val="10"/>
      <color theme="0" tint="-0.499984740745262"/>
      <name val="Arial"/>
      <family val="2"/>
    </font>
    <font>
      <sz val="10"/>
      <color rgb="FFFF0000"/>
      <name val="Arial"/>
      <family val="2"/>
    </font>
    <font>
      <sz val="10"/>
      <color theme="0"/>
      <name val="Arial"/>
      <family val="2"/>
    </font>
    <font>
      <sz val="10"/>
      <color theme="0" tint="-0.24994659260841701"/>
      <name val="Arial"/>
      <family val="2"/>
    </font>
    <font>
      <sz val="8"/>
      <color theme="0"/>
      <name val="Arial"/>
      <family val="2"/>
    </font>
    <font>
      <sz val="10"/>
      <color theme="0" tint="-0.249977111117893"/>
      <name val="Arial"/>
      <family val="2"/>
    </font>
    <font>
      <b/>
      <i/>
      <sz val="8"/>
      <name val="Arial"/>
      <family val="2"/>
    </font>
    <font>
      <sz val="9"/>
      <color rgb="FFFF0000"/>
      <name val="Arial"/>
      <family val="2"/>
    </font>
    <font>
      <sz val="9"/>
      <color theme="0"/>
      <name val="Arial"/>
      <family val="2"/>
    </font>
    <font>
      <sz val="8"/>
      <color rgb="FFFF0000"/>
      <name val="Arial"/>
      <family val="2"/>
    </font>
    <font>
      <i/>
      <sz val="9"/>
      <color rgb="FFFF0000"/>
      <name val="Arial"/>
      <family val="2"/>
    </font>
    <font>
      <b/>
      <sz val="9"/>
      <color rgb="FFFF0000"/>
      <name val="Arial"/>
      <family val="2"/>
    </font>
    <font>
      <sz val="16"/>
      <name val="Arial"/>
      <family val="2"/>
    </font>
    <font>
      <b/>
      <sz val="10"/>
      <color rgb="FFFF0000"/>
      <name val="Arial"/>
      <family val="2"/>
    </font>
    <font>
      <b/>
      <sz val="9"/>
      <color theme="0"/>
      <name val="Arial"/>
      <family val="2"/>
    </font>
    <font>
      <b/>
      <sz val="12"/>
      <color theme="0"/>
      <name val="Arial"/>
      <family val="2"/>
    </font>
    <font>
      <sz val="26"/>
      <name val="Arial"/>
      <family val="2"/>
    </font>
    <font>
      <b/>
      <sz val="10"/>
      <color theme="0"/>
      <name val="Arial"/>
      <family val="2"/>
    </font>
    <font>
      <sz val="10"/>
      <color theme="0" tint="-4.9989318521683403E-2"/>
      <name val="Arial"/>
      <family val="2"/>
    </font>
    <font>
      <sz val="8"/>
      <color theme="0" tint="-0.249977111117893"/>
      <name val="Arial"/>
      <family val="2"/>
    </font>
    <font>
      <sz val="10"/>
      <name val="Courier New"/>
      <family val="3"/>
    </font>
    <font>
      <sz val="12"/>
      <color rgb="FFFF0000"/>
      <name val="Arial"/>
      <family val="2"/>
    </font>
    <font>
      <b/>
      <i/>
      <sz val="14"/>
      <name val="Arial"/>
      <family val="2"/>
    </font>
    <font>
      <sz val="10"/>
      <color theme="0" tint="-0.34998626667073579"/>
      <name val="Arial"/>
      <family val="2"/>
    </font>
    <font>
      <i/>
      <sz val="8"/>
      <name val="Arial"/>
      <family val="2"/>
    </font>
    <font>
      <sz val="24"/>
      <name val="Arial"/>
      <family val="2"/>
    </font>
    <font>
      <sz val="11"/>
      <color theme="0"/>
      <name val="Arial"/>
      <family val="2"/>
    </font>
    <font>
      <b/>
      <sz val="11"/>
      <name val="Courier New"/>
      <family val="3"/>
    </font>
    <font>
      <sz val="11"/>
      <name val="Courier New"/>
      <family val="3"/>
    </font>
    <font>
      <b/>
      <sz val="8"/>
      <color theme="0"/>
      <name val="Arial"/>
      <family val="2"/>
    </font>
    <font>
      <sz val="8"/>
      <color theme="0" tint="-4.9989318521683403E-2"/>
      <name val="Arial"/>
      <family val="2"/>
    </font>
    <font>
      <sz val="8.5"/>
      <color rgb="FF000000"/>
      <name val="Arial"/>
      <family val="2"/>
    </font>
    <font>
      <sz val="8.5"/>
      <name val="Arial"/>
      <family val="2"/>
    </font>
    <font>
      <b/>
      <sz val="8.5"/>
      <name val="Arial"/>
      <family val="2"/>
    </font>
    <font>
      <u/>
      <sz val="10"/>
      <color indexed="12"/>
      <name val="Arial"/>
      <family val="2"/>
    </font>
    <font>
      <b/>
      <sz val="10"/>
      <color rgb="FFC00000"/>
      <name val="Arial"/>
      <family val="2"/>
    </font>
    <font>
      <sz val="18"/>
      <color rgb="FF800000"/>
      <name val="Comic Sans MS"/>
      <family val="4"/>
    </font>
    <font>
      <sz val="11"/>
      <color rgb="FF800000"/>
      <name val="Comic Sans MS"/>
      <family val="4"/>
    </font>
    <font>
      <sz val="10"/>
      <color rgb="FFC00000"/>
      <name val="Arial"/>
      <family val="2"/>
    </font>
    <font>
      <b/>
      <sz val="30"/>
      <name val="Arial"/>
      <family val="2"/>
    </font>
    <font>
      <sz val="30"/>
      <name val="Arial"/>
      <family val="2"/>
    </font>
    <font>
      <b/>
      <sz val="8.5"/>
      <color rgb="FF000000"/>
      <name val="Arial"/>
      <family val="2"/>
    </font>
    <font>
      <sz val="8.5"/>
      <color rgb="FF000000"/>
      <name val="HelveticaWorld-Regular"/>
    </font>
    <font>
      <sz val="10"/>
      <name val="Cambria"/>
      <family val="1"/>
    </font>
    <font>
      <b/>
      <sz val="10"/>
      <name val="Cambria"/>
      <family val="1"/>
    </font>
    <font>
      <sz val="9"/>
      <name val="Cambria"/>
      <family val="1"/>
    </font>
    <font>
      <i/>
      <sz val="9"/>
      <name val="Cambria"/>
      <family val="1"/>
    </font>
    <font>
      <sz val="8.5"/>
      <name val="Cambria"/>
      <family val="1"/>
    </font>
    <font>
      <b/>
      <sz val="8.5"/>
      <name val="Cambria"/>
      <family val="1"/>
    </font>
    <font>
      <b/>
      <sz val="12"/>
      <color theme="0"/>
      <name val="Symbol"/>
      <family val="1"/>
      <charset val="2"/>
    </font>
    <font>
      <b/>
      <sz val="10"/>
      <color rgb="FF008000"/>
      <name val="Arial"/>
      <family val="2"/>
    </font>
    <font>
      <b/>
      <sz val="10"/>
      <color indexed="17"/>
      <name val="Symbol"/>
      <family val="1"/>
      <charset val="2"/>
    </font>
    <font>
      <b/>
      <sz val="10"/>
      <color rgb="FF008000"/>
      <name val="Symbol"/>
      <family val="1"/>
      <charset val="2"/>
    </font>
    <font>
      <b/>
      <sz val="14"/>
      <color rgb="FFFF0000"/>
      <name val="Arial"/>
      <family val="2"/>
    </font>
    <font>
      <b/>
      <sz val="10"/>
      <color theme="4" tint="-0.249977111117893"/>
      <name val="Arial"/>
      <family val="2"/>
    </font>
    <font>
      <b/>
      <sz val="9"/>
      <color rgb="FF008000"/>
      <name val="Arial"/>
      <family val="2"/>
    </font>
    <font>
      <b/>
      <sz val="10"/>
      <color theme="0" tint="-0.249977111117893"/>
      <name val="Arial"/>
      <family val="2"/>
    </font>
    <font>
      <sz val="6"/>
      <name val="Wingdings"/>
      <charset val="2"/>
    </font>
    <font>
      <b/>
      <sz val="12"/>
      <color rgb="FFC00000"/>
      <name val="Arial"/>
      <family val="2"/>
    </font>
    <font>
      <b/>
      <sz val="9"/>
      <color rgb="FFC00000"/>
      <name val="Arial"/>
      <family val="2"/>
    </font>
    <font>
      <b/>
      <sz val="11"/>
      <color theme="0"/>
      <name val="Arial"/>
      <family val="2"/>
    </font>
    <font>
      <sz val="11"/>
      <name val="Tempus Sans ITC"/>
      <family val="5"/>
    </font>
    <font>
      <b/>
      <sz val="10"/>
      <color rgb="FFFF0000"/>
      <name val="Symbol"/>
      <family val="1"/>
      <charset val="2"/>
    </font>
    <font>
      <b/>
      <sz val="9"/>
      <name val="Symbol"/>
      <family val="1"/>
      <charset val="2"/>
    </font>
    <font>
      <b/>
      <sz val="11"/>
      <color rgb="FFC00000"/>
      <name val="Arial"/>
      <family val="2"/>
    </font>
    <font>
      <b/>
      <sz val="11"/>
      <color rgb="FFFF0000"/>
      <name val="Arial"/>
      <family val="2"/>
    </font>
    <font>
      <sz val="9"/>
      <name val="Arial Unicode MS"/>
      <family val="2"/>
    </font>
    <font>
      <sz val="9"/>
      <color indexed="8"/>
      <name val="Courier New"/>
      <family val="3"/>
    </font>
    <font>
      <sz val="10"/>
      <color indexed="9"/>
      <name val="Courier New"/>
      <family val="3"/>
    </font>
    <font>
      <sz val="10"/>
      <color theme="0"/>
      <name val="Courier New"/>
      <family val="3"/>
    </font>
    <font>
      <sz val="12"/>
      <color theme="0"/>
      <name val="Courier New"/>
      <family val="3"/>
    </font>
    <font>
      <b/>
      <i/>
      <sz val="8"/>
      <color rgb="FFC00000"/>
      <name val="Arial"/>
      <family val="2"/>
    </font>
    <font>
      <sz val="9"/>
      <color rgb="FFC00000"/>
      <name val="Arial"/>
      <family val="2"/>
    </font>
    <font>
      <b/>
      <sz val="10"/>
      <color theme="0"/>
      <name val="Courier New"/>
      <family val="3"/>
    </font>
    <font>
      <vertAlign val="superscript"/>
      <sz val="9"/>
      <name val="Arial"/>
      <family val="2"/>
    </font>
    <font>
      <sz val="9"/>
      <color rgb="FF008000"/>
      <name val="Arial"/>
      <family val="2"/>
    </font>
    <font>
      <sz val="8"/>
      <color theme="0" tint="-0.34998626667073579"/>
      <name val="Arial"/>
      <family val="2"/>
    </font>
    <font>
      <sz val="10"/>
      <color rgb="FF00B050"/>
      <name val="Courier New"/>
      <family val="3"/>
    </font>
    <font>
      <sz val="10"/>
      <color theme="4" tint="0.59996337778862885"/>
      <name val="Arial"/>
      <family val="2"/>
    </font>
    <font>
      <sz val="11"/>
      <color indexed="22"/>
      <name val="Arial"/>
      <family val="2"/>
    </font>
    <font>
      <sz val="13"/>
      <name val="Arial"/>
      <family val="2"/>
    </font>
    <font>
      <u/>
      <sz val="10"/>
      <color theme="0"/>
      <name val="Arial"/>
      <family val="2"/>
    </font>
    <font>
      <b/>
      <sz val="9"/>
      <color rgb="FF555555"/>
      <name val="Inherit"/>
    </font>
    <font>
      <sz val="9"/>
      <name val="Courier New"/>
      <family val="3"/>
    </font>
    <font>
      <sz val="9"/>
      <color theme="0"/>
      <name val="Courier New"/>
      <family val="3"/>
    </font>
    <font>
      <sz val="9"/>
      <color rgb="FF555555"/>
      <name val="Arial"/>
      <family val="2"/>
    </font>
    <font>
      <sz val="9"/>
      <color rgb="FF555555"/>
      <name val="Courier New"/>
      <family val="3"/>
    </font>
    <font>
      <b/>
      <sz val="9"/>
      <color theme="0"/>
      <name val="Courier New"/>
      <family val="3"/>
    </font>
    <font>
      <b/>
      <sz val="16"/>
      <color theme="0"/>
      <name val="Symbol"/>
      <family val="1"/>
      <charset val="2"/>
    </font>
    <font>
      <sz val="12"/>
      <color theme="0"/>
      <name val="Arial"/>
      <family val="2"/>
    </font>
    <font>
      <sz val="12"/>
      <name val="Times New Roman"/>
      <family val="1"/>
    </font>
    <font>
      <sz val="8"/>
      <color rgb="FFC00000"/>
      <name val="Arial"/>
      <family val="2"/>
    </font>
    <font>
      <b/>
      <sz val="12"/>
      <name val="Cambria"/>
      <family val="1"/>
      <scheme val="major"/>
    </font>
    <font>
      <sz val="11"/>
      <name val="Cambria"/>
      <family val="1"/>
      <scheme val="major"/>
    </font>
    <font>
      <b/>
      <sz val="11"/>
      <name val="Cambria"/>
      <family val="1"/>
      <scheme val="major"/>
    </font>
    <font>
      <sz val="12"/>
      <name val="Cambria"/>
      <family val="1"/>
      <scheme val="major"/>
    </font>
    <font>
      <b/>
      <u/>
      <sz val="8"/>
      <name val="Arial"/>
      <family val="2"/>
    </font>
    <font>
      <b/>
      <sz val="8"/>
      <color rgb="FFC00000"/>
      <name val="Arial"/>
      <family val="2"/>
    </font>
    <font>
      <sz val="10"/>
      <color rgb="FF008000"/>
      <name val="Arial"/>
      <family val="2"/>
    </font>
    <font>
      <b/>
      <sz val="8"/>
      <color rgb="FF008000"/>
      <name val="Arial"/>
      <family val="2"/>
    </font>
    <font>
      <sz val="10.5"/>
      <name val="Arial"/>
      <family val="2"/>
    </font>
    <font>
      <b/>
      <sz val="10.5"/>
      <name val="Arial"/>
      <family val="2"/>
    </font>
    <font>
      <b/>
      <sz val="12"/>
      <color rgb="FFFF0000"/>
      <name val="Arial"/>
      <family val="2"/>
    </font>
    <font>
      <sz val="7"/>
      <color theme="0"/>
      <name val="Arial"/>
      <family val="2"/>
    </font>
    <font>
      <b/>
      <u/>
      <sz val="11"/>
      <name val="Arial"/>
      <family val="2"/>
    </font>
    <font>
      <b/>
      <i/>
      <sz val="12"/>
      <color rgb="FFC00000"/>
      <name val="Arial"/>
      <family val="2"/>
    </font>
    <font>
      <sz val="8"/>
      <color theme="0" tint="-0.499984740745262"/>
      <name val="Arial"/>
      <family val="2"/>
    </font>
    <font>
      <b/>
      <sz val="8"/>
      <color theme="0" tint="-0.499984740745262"/>
      <name val="Arial"/>
      <family val="2"/>
    </font>
    <font>
      <u/>
      <sz val="10"/>
      <color rgb="FF008000"/>
      <name val="Arial"/>
      <family val="2"/>
    </font>
    <font>
      <sz val="6"/>
      <color theme="0"/>
      <name val="Arial"/>
      <family val="2"/>
    </font>
    <font>
      <sz val="7"/>
      <color theme="0" tint="-0.14996795556505021"/>
      <name val="Arial"/>
      <family val="2"/>
    </font>
    <font>
      <sz val="7"/>
      <color theme="0" tint="-0.249977111117893"/>
      <name val="Arial"/>
      <family val="2"/>
    </font>
    <font>
      <b/>
      <sz val="9"/>
      <color rgb="FF0070C0"/>
      <name val="Arial"/>
      <family val="2"/>
    </font>
    <font>
      <b/>
      <sz val="10"/>
      <color rgb="FF800000"/>
      <name val="Comic Sans MS"/>
      <family val="4"/>
    </font>
    <font>
      <b/>
      <sz val="14"/>
      <color theme="9" tint="-0.499984740745262"/>
      <name val="Comic Sans MS"/>
      <family val="4"/>
    </font>
    <font>
      <b/>
      <sz val="14"/>
      <color theme="0"/>
      <name val="Arial"/>
      <family val="2"/>
    </font>
    <font>
      <sz val="14"/>
      <color theme="0"/>
      <name val="Arial"/>
      <family val="2"/>
    </font>
    <font>
      <b/>
      <sz val="14"/>
      <color indexed="9"/>
      <name val="Arial"/>
      <family val="2"/>
    </font>
    <font>
      <sz val="12"/>
      <name val="Marlett"/>
      <charset val="2"/>
    </font>
    <font>
      <sz val="8"/>
      <color theme="0" tint="-0.14999847407452621"/>
      <name val="Arial"/>
      <family val="2"/>
    </font>
    <font>
      <sz val="10"/>
      <color theme="0" tint="-0.14999847407452621"/>
      <name val="Arial"/>
      <family val="2"/>
    </font>
    <font>
      <sz val="12"/>
      <color theme="0" tint="-0.14999847407452621"/>
      <name val="Arial"/>
      <family val="2"/>
    </font>
    <font>
      <b/>
      <sz val="9"/>
      <color theme="4" tint="-0.249977111117893"/>
      <name val="Arial"/>
      <family val="2"/>
    </font>
    <font>
      <b/>
      <sz val="11"/>
      <color theme="4" tint="-0.249977111117893"/>
      <name val="Courier New"/>
      <family val="3"/>
    </font>
    <font>
      <u/>
      <sz val="10"/>
      <color indexed="12"/>
      <name val="Courier New"/>
      <family val="3"/>
    </font>
    <font>
      <sz val="8"/>
      <color rgb="FF008000"/>
      <name val="Arial"/>
      <family val="2"/>
    </font>
    <font>
      <sz val="10"/>
      <color rgb="FF000000"/>
      <name val="Times New Roman"/>
      <family val="1"/>
    </font>
    <font>
      <sz val="10"/>
      <color rgb="FF000000"/>
      <name val="Calibri"/>
      <family val="2"/>
      <scheme val="minor"/>
    </font>
    <font>
      <sz val="11"/>
      <color rgb="FF000000"/>
      <name val="Calibri"/>
      <family val="2"/>
      <scheme val="minor"/>
    </font>
    <font>
      <b/>
      <sz val="11"/>
      <color rgb="FF000000"/>
      <name val="Calibri"/>
      <family val="2"/>
      <scheme val="minor"/>
    </font>
    <font>
      <b/>
      <sz val="12"/>
      <color theme="0" tint="-0.249977111117893"/>
      <name val="Symbol"/>
      <family val="1"/>
      <charset val="2"/>
    </font>
    <font>
      <i/>
      <sz val="10"/>
      <color indexed="22"/>
      <name val="Arial"/>
      <family val="2"/>
    </font>
    <font>
      <b/>
      <i/>
      <sz val="16"/>
      <color theme="0"/>
      <name val="Symbol"/>
      <family val="1"/>
      <charset val="2"/>
    </font>
    <font>
      <i/>
      <sz val="13"/>
      <name val="Arial"/>
      <family val="2"/>
    </font>
    <font>
      <b/>
      <sz val="10"/>
      <color theme="0" tint="-0.34998626667073579"/>
      <name val="Arial"/>
      <family val="2"/>
    </font>
    <font>
      <sz val="12"/>
      <color rgb="FF008000"/>
      <name val="Arial"/>
      <family val="2"/>
    </font>
    <font>
      <b/>
      <sz val="10"/>
      <color theme="9" tint="-0.249977111117893"/>
      <name val="Arial"/>
      <family val="2"/>
    </font>
    <font>
      <sz val="10"/>
      <color rgb="FF002060"/>
      <name val="Arial"/>
      <family val="2"/>
    </font>
    <font>
      <sz val="10"/>
      <color theme="0" tint="-0.14996795556505021"/>
      <name val="Arial"/>
      <family val="2"/>
    </font>
    <font>
      <b/>
      <sz val="9"/>
      <name val="Courier New"/>
      <family val="3"/>
    </font>
    <font>
      <b/>
      <sz val="11"/>
      <name val="Calibri"/>
      <family val="2"/>
    </font>
    <font>
      <b/>
      <sz val="32"/>
      <name val="Arial"/>
      <family val="2"/>
    </font>
    <font>
      <sz val="32"/>
      <name val="Arial"/>
      <family val="2"/>
    </font>
    <font>
      <b/>
      <sz val="12"/>
      <name val="Calibri"/>
      <family val="2"/>
      <scheme val="minor"/>
    </font>
    <font>
      <b/>
      <sz val="14"/>
      <name val="Calibri"/>
      <family val="2"/>
      <scheme val="minor"/>
    </font>
    <font>
      <sz val="12"/>
      <name val="Tempus Sans ITC"/>
      <family val="5"/>
    </font>
    <font>
      <i/>
      <sz val="14"/>
      <name val="Arial"/>
      <family val="2"/>
    </font>
    <font>
      <b/>
      <sz val="9"/>
      <color rgb="FF000000"/>
      <name val="Arial"/>
      <family val="2"/>
    </font>
    <font>
      <b/>
      <sz val="11"/>
      <color rgb="FF000000"/>
      <name val="Arial"/>
      <family val="2"/>
    </font>
    <font>
      <sz val="11"/>
      <color rgb="FFC00000"/>
      <name val="Arial"/>
      <family val="2"/>
    </font>
    <font>
      <b/>
      <sz val="14"/>
      <name val="Arial Narrow"/>
      <family val="2"/>
    </font>
    <font>
      <sz val="11"/>
      <name val="Microsoft YaHei Light"/>
      <family val="2"/>
    </font>
    <font>
      <sz val="12"/>
      <name val="Microsoft YaHei UI Light"/>
      <family val="2"/>
    </font>
    <font>
      <b/>
      <sz val="26"/>
      <name val="Harvest"/>
    </font>
    <font>
      <sz val="10"/>
      <name val="Harvest"/>
    </font>
    <font>
      <sz val="10"/>
      <name val="Cambria"/>
      <family val="1"/>
      <scheme val="major"/>
    </font>
    <font>
      <b/>
      <sz val="10"/>
      <name val="Cambria"/>
      <family val="1"/>
      <scheme val="major"/>
    </font>
    <font>
      <b/>
      <sz val="12"/>
      <color rgb="FF008000"/>
      <name val="Arial"/>
      <family val="2"/>
    </font>
    <font>
      <b/>
      <sz val="10"/>
      <color indexed="22"/>
      <name val="Arial"/>
      <family val="2"/>
    </font>
    <font>
      <b/>
      <sz val="36"/>
      <name val="Arial"/>
      <family val="2"/>
    </font>
    <font>
      <sz val="36"/>
      <name val="Arial"/>
      <family val="2"/>
    </font>
    <font>
      <b/>
      <u/>
      <sz val="12"/>
      <color rgb="FF008000"/>
      <name val="Arial"/>
      <family val="2"/>
    </font>
    <font>
      <b/>
      <sz val="8"/>
      <color theme="0" tint="-0.249977111117893"/>
      <name val="Arial"/>
      <family val="2"/>
    </font>
    <font>
      <sz val="8"/>
      <color theme="3" tint="-0.249977111117893"/>
      <name val="Arial"/>
      <family val="2"/>
    </font>
    <font>
      <i/>
      <sz val="8.5"/>
      <color rgb="FF000000"/>
      <name val="Arial"/>
      <family val="2"/>
    </font>
    <font>
      <b/>
      <sz val="12"/>
      <color indexed="8"/>
      <name val="Arial"/>
      <family val="2"/>
    </font>
    <font>
      <sz val="10"/>
      <color rgb="FFB9FFF2"/>
      <name val="Arial"/>
      <family val="2"/>
    </font>
    <font>
      <sz val="11"/>
      <name val="Times New Roman"/>
      <family val="1"/>
    </font>
    <font>
      <sz val="10"/>
      <color theme="0"/>
      <name val="Cambria"/>
      <family val="1"/>
    </font>
    <font>
      <b/>
      <sz val="10"/>
      <color indexed="12"/>
      <name val="Arial"/>
      <family val="2"/>
    </font>
    <font>
      <sz val="9"/>
      <color rgb="FF0070C0"/>
      <name val="Arial"/>
      <family val="2"/>
    </font>
    <font>
      <sz val="10"/>
      <color rgb="FF0070C0"/>
      <name val="Arial"/>
      <family val="2"/>
    </font>
    <font>
      <sz val="11"/>
      <color rgb="FFC00000"/>
      <name val="Cambria"/>
      <family val="1"/>
    </font>
    <font>
      <b/>
      <u/>
      <sz val="9"/>
      <name val="Arial"/>
      <family val="2"/>
    </font>
    <font>
      <sz val="12"/>
      <name val="Wingdings"/>
      <charset val="2"/>
    </font>
    <font>
      <sz val="9"/>
      <color theme="0" tint="-0.14999847407452621"/>
      <name val="Arial"/>
      <family val="2"/>
    </font>
    <font>
      <b/>
      <sz val="9"/>
      <color theme="0" tint="-0.14999847407452621"/>
      <name val="Arial"/>
      <family val="2"/>
    </font>
    <font>
      <b/>
      <sz val="12"/>
      <name val="Courier New"/>
      <family val="3"/>
    </font>
    <font>
      <sz val="8.5"/>
      <color rgb="FFC00000"/>
      <name val="Arial"/>
      <family val="2"/>
    </font>
    <font>
      <b/>
      <sz val="14"/>
      <color rgb="FFC00000"/>
      <name val="Arial"/>
      <family val="2"/>
    </font>
    <font>
      <b/>
      <sz val="16"/>
      <color rgb="FFC00000"/>
      <name val="Arial"/>
      <family val="2"/>
    </font>
    <font>
      <b/>
      <u/>
      <sz val="14"/>
      <name val="Arial"/>
      <family val="2"/>
    </font>
    <font>
      <b/>
      <sz val="16"/>
      <color rgb="FF000000"/>
      <name val="Times New Roman"/>
      <family val="1"/>
    </font>
    <font>
      <sz val="18"/>
      <color theme="4" tint="-0.249977111117893"/>
      <name val="Times New Roman"/>
      <family val="1"/>
    </font>
    <font>
      <b/>
      <sz val="12"/>
      <color rgb="FFC00000"/>
      <name val="Times New Roman"/>
      <family val="1"/>
    </font>
    <font>
      <b/>
      <sz val="12"/>
      <color rgb="FF000000"/>
      <name val="Times New Roman"/>
      <family val="1"/>
    </font>
    <font>
      <sz val="11"/>
      <color rgb="FF000000"/>
      <name val="Times New Roman"/>
      <family val="1"/>
    </font>
    <font>
      <sz val="12"/>
      <color rgb="FFC00000"/>
      <name val="Arial"/>
      <family val="2"/>
    </font>
    <font>
      <b/>
      <sz val="16"/>
      <color rgb="FF008000"/>
      <name val="Times New Roman"/>
      <family val="1"/>
    </font>
    <font>
      <b/>
      <u/>
      <sz val="12"/>
      <color rgb="FF000000"/>
      <name val="Times New Roman"/>
      <family val="1"/>
    </font>
    <font>
      <sz val="11"/>
      <color rgb="FF000000"/>
      <name val="Symbol"/>
      <family val="1"/>
      <charset val="2"/>
    </font>
    <font>
      <b/>
      <sz val="11"/>
      <name val="Times New Roman"/>
      <family val="1"/>
    </font>
    <font>
      <i/>
      <sz val="11"/>
      <name val="Times New Roman"/>
      <family val="1"/>
    </font>
    <font>
      <b/>
      <sz val="10"/>
      <color theme="0"/>
      <name val="Cambria"/>
      <family val="1"/>
    </font>
    <font>
      <sz val="9.5"/>
      <color rgb="FF221E1F"/>
      <name val="Arial"/>
      <family val="2"/>
    </font>
    <font>
      <sz val="10"/>
      <color rgb="FF221E1F"/>
      <name val="Arial"/>
      <family val="2"/>
    </font>
    <font>
      <sz val="10"/>
      <color rgb="FF000000"/>
      <name val="HelveticaWorld-Regular"/>
    </font>
    <font>
      <b/>
      <sz val="12"/>
      <color rgb="FF000000"/>
      <name val="HelveticaWorld-Regular"/>
    </font>
    <font>
      <sz val="11"/>
      <color rgb="FF000000"/>
      <name val="HelveticaWorld-Regular"/>
    </font>
    <font>
      <sz val="11"/>
      <color rgb="FF221E1F"/>
      <name val="Arial"/>
      <family val="2"/>
    </font>
    <font>
      <sz val="7"/>
      <color rgb="FFC00000"/>
      <name val="Arial"/>
      <family val="2"/>
    </font>
    <font>
      <b/>
      <sz val="8"/>
      <color rgb="FF0070C0"/>
      <name val="Arial"/>
      <family val="2"/>
    </font>
    <font>
      <sz val="11"/>
      <name val="Symbol"/>
      <family val="1"/>
      <charset val="2"/>
    </font>
    <font>
      <sz val="10"/>
      <color theme="4" tint="-0.249977111117893"/>
      <name val="Arial"/>
      <family val="2"/>
    </font>
    <font>
      <b/>
      <sz val="14"/>
      <color rgb="FF0070C0"/>
      <name val="Arial"/>
      <family val="2"/>
    </font>
    <font>
      <sz val="8"/>
      <color rgb="FF0070C0"/>
      <name val="Arial"/>
      <family val="2"/>
    </font>
    <font>
      <b/>
      <sz val="10"/>
      <color rgb="FF0070C0"/>
      <name val="Arial"/>
      <family val="2"/>
    </font>
    <font>
      <sz val="20"/>
      <name val="Arial"/>
      <family val="2"/>
    </font>
    <font>
      <b/>
      <i/>
      <sz val="11"/>
      <color rgb="FF000000"/>
      <name val="Times New Roman"/>
      <family val="1"/>
    </font>
    <font>
      <b/>
      <i/>
      <sz val="11"/>
      <name val="Times New Roman"/>
      <family val="1"/>
    </font>
    <font>
      <b/>
      <sz val="12"/>
      <name val="Times New Roman"/>
      <family val="1"/>
    </font>
    <font>
      <sz val="9"/>
      <color theme="0" tint="-0.24994659260841701"/>
      <name val="Arial"/>
      <family val="2"/>
    </font>
    <font>
      <sz val="9"/>
      <color theme="0" tint="-0.249977111117893"/>
      <name val="Arial"/>
      <family val="2"/>
    </font>
    <font>
      <b/>
      <u/>
      <sz val="10"/>
      <color rgb="FFC00000"/>
      <name val="Arial"/>
      <family val="2"/>
    </font>
    <font>
      <sz val="10"/>
      <color rgb="FF000000"/>
      <name val="Arial"/>
      <family val="2"/>
    </font>
    <font>
      <sz val="11"/>
      <color rgb="FFFF0000"/>
      <name val="Arial"/>
      <family val="2"/>
    </font>
    <font>
      <sz val="10"/>
      <color rgb="FFC00000"/>
      <name val="Cambria"/>
      <family val="1"/>
    </font>
    <font>
      <sz val="10"/>
      <name val="Arial"/>
      <family val="2"/>
      <charset val="2"/>
    </font>
    <font>
      <b/>
      <sz val="11"/>
      <color theme="0" tint="-0.14999847407452621"/>
      <name val="Arial"/>
      <family val="2"/>
    </font>
    <font>
      <b/>
      <sz val="8"/>
      <name val="Courier New"/>
      <family val="3"/>
    </font>
    <font>
      <sz val="8"/>
      <name val="Courier New"/>
      <family val="3"/>
    </font>
    <font>
      <u/>
      <sz val="11"/>
      <name val="Arial"/>
      <family val="2"/>
    </font>
    <font>
      <i/>
      <sz val="12"/>
      <color indexed="22"/>
      <name val="Arial"/>
      <family val="2"/>
    </font>
    <font>
      <sz val="12"/>
      <color indexed="22"/>
      <name val="Arial"/>
      <family val="2"/>
    </font>
    <font>
      <i/>
      <sz val="10"/>
      <color theme="0"/>
      <name val="Arial"/>
      <family val="2"/>
    </font>
    <font>
      <i/>
      <sz val="12"/>
      <color theme="0"/>
      <name val="Arial"/>
      <family val="2"/>
    </font>
    <font>
      <b/>
      <sz val="11"/>
      <color rgb="FF0070C0"/>
      <name val="Arial"/>
      <family val="2"/>
    </font>
    <font>
      <sz val="28"/>
      <name val="Arial"/>
      <family val="2"/>
    </font>
    <font>
      <sz val="10"/>
      <color rgb="FF008000"/>
      <name val="Courier New"/>
      <family val="3"/>
    </font>
    <font>
      <i/>
      <u/>
      <sz val="10"/>
      <name val="Arial"/>
      <family val="2"/>
    </font>
    <font>
      <u/>
      <sz val="12"/>
      <color indexed="12"/>
      <name val="Arial"/>
      <family val="2"/>
    </font>
    <font>
      <b/>
      <i/>
      <sz val="10"/>
      <color rgb="FF008000"/>
      <name val="Arial"/>
      <family val="2"/>
    </font>
    <font>
      <b/>
      <sz val="9"/>
      <color theme="0" tint="-4.9989318521683403E-2"/>
      <name val="Arial"/>
      <family val="2"/>
    </font>
    <font>
      <b/>
      <sz val="11"/>
      <color theme="0" tint="-0.249977111117893"/>
      <name val="Arial"/>
      <family val="2"/>
    </font>
    <font>
      <b/>
      <sz val="10"/>
      <color rgb="FFC00000"/>
      <name val="Cambria"/>
      <family val="1"/>
    </font>
    <font>
      <sz val="12"/>
      <color rgb="FF002060"/>
      <name val="Arial"/>
      <family val="2"/>
    </font>
    <font>
      <b/>
      <sz val="10"/>
      <color rgb="FF002060"/>
      <name val="Arial"/>
      <family val="2"/>
    </font>
    <font>
      <b/>
      <sz val="16"/>
      <color rgb="FF002060"/>
      <name val="Arial"/>
      <family val="2"/>
    </font>
    <font>
      <b/>
      <sz val="12"/>
      <color theme="0"/>
      <name val="Marlett"/>
      <charset val="2"/>
    </font>
    <font>
      <b/>
      <sz val="18"/>
      <color rgb="FF1B1B1B"/>
      <name val="Arial"/>
      <family val="2"/>
    </font>
    <font>
      <sz val="12"/>
      <color rgb="FF1B1B1B"/>
      <name val="Arial"/>
      <family val="2"/>
    </font>
    <font>
      <b/>
      <sz val="12"/>
      <color rgb="FF1B1B1B"/>
      <name val="Arial"/>
      <family val="2"/>
    </font>
    <font>
      <sz val="12"/>
      <color rgb="FF00599C"/>
      <name val="Arial"/>
      <family val="2"/>
    </font>
    <font>
      <b/>
      <sz val="14"/>
      <color rgb="FF1B1B1B"/>
      <name val="Arial"/>
      <family val="2"/>
    </font>
    <font>
      <b/>
      <sz val="28"/>
      <name val="Harvest"/>
    </font>
    <font>
      <sz val="28"/>
      <name val="Harvest"/>
    </font>
    <font>
      <sz val="16"/>
      <name val="Wingdings"/>
      <charset val="2"/>
    </font>
    <font>
      <sz val="12"/>
      <color indexed="8"/>
      <name val="Arial"/>
      <family val="2"/>
    </font>
    <font>
      <b/>
      <sz val="16"/>
      <color rgb="FF008000"/>
      <name val="Arial"/>
      <family val="2"/>
    </font>
    <font>
      <b/>
      <sz val="14"/>
      <name val="Wingdings 2"/>
      <family val="1"/>
      <charset val="2"/>
    </font>
    <font>
      <sz val="9"/>
      <color rgb="FF006C31"/>
      <name val="Arial"/>
      <family val="2"/>
    </font>
    <font>
      <b/>
      <sz val="9"/>
      <color rgb="FF006C31"/>
      <name val="Arial"/>
      <family val="2"/>
    </font>
    <font>
      <b/>
      <sz val="11"/>
      <name val="Wingdings 2"/>
      <family val="1"/>
      <charset val="2"/>
    </font>
    <font>
      <b/>
      <sz val="12"/>
      <color rgb="FF0070C0"/>
      <name val="Arial"/>
      <family val="2"/>
    </font>
    <font>
      <b/>
      <sz val="12"/>
      <color rgb="FF002060"/>
      <name val="Arial"/>
      <family val="2"/>
    </font>
    <font>
      <b/>
      <sz val="11"/>
      <color rgb="FF002060"/>
      <name val="Arial"/>
      <family val="2"/>
    </font>
    <font>
      <sz val="11"/>
      <color rgb="FF002060"/>
      <name val="Arial"/>
      <family val="2"/>
    </font>
    <font>
      <u/>
      <sz val="11"/>
      <color rgb="FF002060"/>
      <name val="Arial"/>
      <family val="2"/>
    </font>
    <font>
      <b/>
      <sz val="8"/>
      <color theme="0" tint="-4.9989318521683403E-2"/>
      <name val="Arial"/>
      <family val="2"/>
    </font>
    <font>
      <b/>
      <sz val="11"/>
      <color rgb="FF008000"/>
      <name val="Symbol"/>
      <family val="1"/>
      <charset val="2"/>
    </font>
    <font>
      <sz val="10"/>
      <color rgb="FFC00000"/>
      <name val="Courier New"/>
      <family val="3"/>
    </font>
    <font>
      <b/>
      <i/>
      <sz val="12"/>
      <color rgb="FFFF0000"/>
      <name val="Arial"/>
      <family val="2"/>
    </font>
    <font>
      <b/>
      <i/>
      <sz val="13"/>
      <name val="Arial"/>
      <family val="2"/>
    </font>
    <font>
      <sz val="13"/>
      <color rgb="FFFF0000"/>
      <name val="Arial"/>
      <family val="2"/>
    </font>
    <font>
      <sz val="13"/>
      <color theme="0"/>
      <name val="Arial"/>
      <family val="2"/>
    </font>
    <font>
      <b/>
      <sz val="13"/>
      <color theme="0"/>
      <name val="Arial"/>
      <family val="2"/>
    </font>
    <font>
      <sz val="9"/>
      <color theme="0" tint="-4.9989318521683403E-2"/>
      <name val="Arial"/>
      <family val="2"/>
    </font>
    <font>
      <b/>
      <i/>
      <sz val="16"/>
      <name val="Symbol"/>
      <family val="1"/>
      <charset val="2"/>
    </font>
    <font>
      <b/>
      <sz val="10"/>
      <name val="Arial"/>
      <family val="2"/>
      <charset val="2"/>
    </font>
  </fonts>
  <fills count="46">
    <fill>
      <patternFill patternType="none"/>
    </fill>
    <fill>
      <patternFill patternType="gray125"/>
    </fill>
    <fill>
      <patternFill patternType="solid">
        <fgColor indexed="9"/>
        <bgColor indexed="64"/>
      </patternFill>
    </fill>
    <fill>
      <patternFill patternType="solid">
        <fgColor indexed="9"/>
        <bgColor indexed="9"/>
      </patternFill>
    </fill>
    <fill>
      <patternFill patternType="solid">
        <fgColor indexed="9"/>
        <bgColor indexed="26"/>
      </patternFill>
    </fill>
    <fill>
      <patternFill patternType="solid">
        <fgColor indexed="22"/>
        <bgColor indexed="64"/>
      </patternFill>
    </fill>
    <fill>
      <patternFill patternType="solid">
        <fgColor indexed="29"/>
        <bgColor indexed="64"/>
      </patternFill>
    </fill>
    <fill>
      <patternFill patternType="solid">
        <fgColor indexed="22"/>
        <bgColor indexed="9"/>
      </patternFill>
    </fill>
    <fill>
      <patternFill patternType="lightUp">
        <bgColor indexed="9"/>
      </patternFill>
    </fill>
    <fill>
      <patternFill patternType="solid">
        <fgColor indexed="8"/>
        <bgColor indexed="9"/>
      </patternFill>
    </fill>
    <fill>
      <patternFill patternType="lightUp"/>
    </fill>
    <fill>
      <patternFill patternType="solid">
        <fgColor indexed="47"/>
        <bgColor indexed="64"/>
      </patternFill>
    </fill>
    <fill>
      <patternFill patternType="solid">
        <fgColor indexed="22"/>
        <bgColor indexed="26"/>
      </patternFill>
    </fill>
    <fill>
      <patternFill patternType="solid">
        <fgColor indexed="8"/>
        <bgColor indexed="64"/>
      </patternFill>
    </fill>
    <fill>
      <patternFill patternType="solid">
        <fgColor theme="0"/>
        <bgColor indexed="9"/>
      </patternFill>
    </fill>
    <fill>
      <patternFill patternType="solid">
        <fgColor theme="0"/>
        <bgColor indexed="64"/>
      </patternFill>
    </fill>
    <fill>
      <patternFill patternType="solid">
        <fgColor theme="4" tint="0.79998168889431442"/>
        <bgColor indexed="64"/>
      </patternFill>
    </fill>
    <fill>
      <patternFill patternType="lightUp">
        <bgColor theme="0"/>
      </patternFill>
    </fill>
    <fill>
      <patternFill patternType="solid">
        <fgColor rgb="FFD1FFFF"/>
        <bgColor indexed="64"/>
      </patternFill>
    </fill>
    <fill>
      <patternFill patternType="solid">
        <fgColor theme="0" tint="-0.14996795556505021"/>
        <bgColor indexed="64"/>
      </patternFill>
    </fill>
    <fill>
      <patternFill patternType="solid">
        <fgColor theme="4" tint="0.79998168889431442"/>
        <bgColor indexed="9"/>
      </patternFill>
    </fill>
    <fill>
      <patternFill patternType="solid">
        <fgColor theme="0" tint="-0.24994659260841701"/>
        <bgColor indexed="64"/>
      </patternFill>
    </fill>
    <fill>
      <patternFill patternType="solid">
        <fgColor theme="0" tint="-0.14996795556505021"/>
        <bgColor indexed="9"/>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59999389629810485"/>
        <bgColor indexed="64"/>
      </patternFill>
    </fill>
    <fill>
      <patternFill patternType="solid">
        <fgColor theme="4" tint="0.59996337778862885"/>
        <bgColor indexed="9"/>
      </patternFill>
    </fill>
    <fill>
      <patternFill patternType="solid">
        <fgColor theme="4" tint="0.59996337778862885"/>
        <bgColor indexed="64"/>
      </patternFill>
    </fill>
    <fill>
      <patternFill patternType="solid">
        <fgColor theme="4" tint="0.59999389629810485"/>
        <bgColor indexed="9"/>
      </patternFill>
    </fill>
    <fill>
      <patternFill patternType="solid">
        <fgColor theme="0" tint="-4.9989318521683403E-2"/>
        <bgColor indexed="9"/>
      </patternFill>
    </fill>
    <fill>
      <patternFill patternType="solid">
        <fgColor theme="3" tint="0.59999389629810485"/>
        <bgColor indexed="64"/>
      </patternFill>
    </fill>
    <fill>
      <patternFill patternType="solid">
        <fgColor theme="1"/>
        <bgColor indexed="64"/>
      </patternFill>
    </fill>
    <fill>
      <patternFill patternType="solid">
        <fgColor theme="8" tint="0.79998168889431442"/>
        <bgColor indexed="64"/>
      </patternFill>
    </fill>
    <fill>
      <patternFill patternType="solid">
        <fgColor rgb="FFFEFEFE"/>
        <bgColor indexed="64"/>
      </patternFill>
    </fill>
    <fill>
      <patternFill patternType="solid">
        <fgColor rgb="FFF2F2F2"/>
        <bgColor indexed="64"/>
      </patternFill>
    </fill>
    <fill>
      <patternFill patternType="solid">
        <fgColor theme="0"/>
        <bgColor auto="1"/>
      </patternFill>
    </fill>
    <fill>
      <patternFill patternType="solid">
        <fgColor theme="0" tint="-0.24994659260841701"/>
        <bgColor indexed="9"/>
      </patternFill>
    </fill>
    <fill>
      <patternFill patternType="solid">
        <fgColor theme="0" tint="-0.249977111117893"/>
        <bgColor indexed="64"/>
      </patternFill>
    </fill>
    <fill>
      <patternFill patternType="lightUp">
        <fgColor auto="1"/>
        <bgColor indexed="9"/>
      </patternFill>
    </fill>
    <fill>
      <patternFill patternType="solid">
        <fgColor rgb="FFDDFFF9"/>
        <bgColor indexed="64"/>
      </patternFill>
    </fill>
    <fill>
      <patternFill patternType="solid">
        <fgColor theme="4" tint="0.79998168889431442"/>
        <bgColor auto="1"/>
      </patternFill>
    </fill>
    <fill>
      <patternFill patternType="solid">
        <fgColor theme="0"/>
        <bgColor theme="0"/>
      </patternFill>
    </fill>
    <fill>
      <patternFill patternType="solid">
        <fgColor theme="0" tint="-0.24994659260841701"/>
        <bgColor auto="1"/>
      </patternFill>
    </fill>
    <fill>
      <patternFill patternType="solid">
        <fgColor indexed="9"/>
        <bgColor theme="0"/>
      </patternFill>
    </fill>
    <fill>
      <patternFill patternType="solid">
        <fgColor rgb="FFFFFF00"/>
        <bgColor indexed="64"/>
      </patternFill>
    </fill>
    <fill>
      <patternFill patternType="solid">
        <fgColor theme="0" tint="-0.14999847407452621"/>
        <bgColor indexed="9"/>
      </patternFill>
    </fill>
  </fills>
  <borders count="244">
    <border>
      <left/>
      <right/>
      <top/>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top/>
      <bottom/>
      <diagonal/>
    </border>
    <border>
      <left/>
      <right/>
      <top/>
      <bottom style="medium">
        <color indexed="64"/>
      </bottom>
      <diagonal/>
    </border>
    <border>
      <left style="medium">
        <color indexed="64"/>
      </left>
      <right/>
      <top/>
      <bottom/>
      <diagonal/>
    </border>
    <border>
      <left style="thin">
        <color indexed="64"/>
      </left>
      <right style="thin">
        <color indexed="64"/>
      </right>
      <top/>
      <bottom/>
      <diagonal/>
    </border>
    <border>
      <left/>
      <right/>
      <top style="medium">
        <color indexed="64"/>
      </top>
      <bottom/>
      <diagonal/>
    </border>
    <border>
      <left/>
      <right/>
      <top style="thin">
        <color indexed="64"/>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thick">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style="thick">
        <color indexed="64"/>
      </top>
      <bottom/>
      <diagonal/>
    </border>
    <border>
      <left/>
      <right style="thin">
        <color indexed="64"/>
      </right>
      <top/>
      <bottom style="thick">
        <color indexed="64"/>
      </bottom>
      <diagonal/>
    </border>
    <border>
      <left style="thin">
        <color indexed="64"/>
      </left>
      <right style="dotted">
        <color indexed="64"/>
      </right>
      <top/>
      <bottom style="thin">
        <color indexed="64"/>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thin">
        <color indexed="64"/>
      </right>
      <top/>
      <bottom/>
      <diagonal/>
    </border>
    <border>
      <left/>
      <right/>
      <top style="thin">
        <color indexed="64"/>
      </top>
      <bottom style="thin">
        <color indexed="64"/>
      </bottom>
      <diagonal/>
    </border>
    <border>
      <left style="medium">
        <color indexed="64"/>
      </left>
      <right/>
      <top/>
      <bottom style="thin">
        <color indexed="64"/>
      </bottom>
      <diagonal/>
    </border>
    <border>
      <left/>
      <right/>
      <top style="medium">
        <color indexed="64"/>
      </top>
      <bottom style="thin">
        <color indexed="64"/>
      </bottom>
      <diagonal/>
    </border>
    <border>
      <left style="thin">
        <color indexed="64"/>
      </left>
      <right style="thin">
        <color indexed="64"/>
      </right>
      <top/>
      <bottom style="medium">
        <color indexed="64"/>
      </bottom>
      <diagonal/>
    </border>
    <border>
      <left/>
      <right style="medium">
        <color indexed="64"/>
      </right>
      <top/>
      <bottom style="thin">
        <color indexed="64"/>
      </bottom>
      <diagonal/>
    </border>
    <border>
      <left style="thin">
        <color indexed="64"/>
      </left>
      <right/>
      <top style="thin">
        <color indexed="64"/>
      </top>
      <bottom/>
      <diagonal/>
    </border>
    <border>
      <left/>
      <right/>
      <top style="thin">
        <color indexed="64"/>
      </top>
      <bottom style="medium">
        <color indexed="64"/>
      </bottom>
      <diagonal/>
    </border>
    <border>
      <left/>
      <right style="thick">
        <color indexed="64"/>
      </right>
      <top style="thick">
        <color indexed="64"/>
      </top>
      <bottom/>
      <diagonal/>
    </border>
    <border>
      <left/>
      <right style="thick">
        <color indexed="64"/>
      </right>
      <top/>
      <bottom style="thick">
        <color indexed="64"/>
      </bottom>
      <diagonal/>
    </border>
    <border>
      <left/>
      <right/>
      <top style="thick">
        <color indexed="64"/>
      </top>
      <bottom style="thin">
        <color indexed="64"/>
      </bottom>
      <diagonal/>
    </border>
    <border>
      <left style="thin">
        <color indexed="64"/>
      </left>
      <right/>
      <top/>
      <bottom style="thick">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top style="thin">
        <color indexed="64"/>
      </top>
      <bottom style="thin">
        <color indexed="64"/>
      </bottom>
      <diagonal/>
    </border>
    <border>
      <left/>
      <right style="medium">
        <color indexed="64"/>
      </right>
      <top style="medium">
        <color indexed="64"/>
      </top>
      <bottom style="dashed">
        <color indexed="64"/>
      </bottom>
      <diagonal/>
    </border>
    <border>
      <left/>
      <right style="medium">
        <color indexed="64"/>
      </right>
      <top style="dashed">
        <color indexed="64"/>
      </top>
      <bottom style="dashed">
        <color indexed="64"/>
      </bottom>
      <diagonal/>
    </border>
    <border>
      <left/>
      <right style="medium">
        <color indexed="64"/>
      </right>
      <top style="dashed">
        <color indexed="64"/>
      </top>
      <bottom style="medium">
        <color indexed="64"/>
      </bottom>
      <diagonal/>
    </border>
    <border>
      <left style="thin">
        <color indexed="64"/>
      </left>
      <right style="thin">
        <color indexed="64"/>
      </right>
      <top style="medium">
        <color indexed="64"/>
      </top>
      <bottom style="thin">
        <color indexed="64"/>
      </bottom>
      <diagonal/>
    </border>
    <border>
      <left/>
      <right/>
      <top/>
      <bottom style="double">
        <color indexed="64"/>
      </bottom>
      <diagonal/>
    </border>
    <border>
      <left/>
      <right/>
      <top style="thin">
        <color indexed="64"/>
      </top>
      <bottom style="double">
        <color indexed="64"/>
      </bottom>
      <diagonal/>
    </border>
    <border>
      <left style="medium">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diagonal/>
    </border>
    <border>
      <left style="thick">
        <color indexed="64"/>
      </left>
      <right style="thick">
        <color indexed="64"/>
      </right>
      <top style="thick">
        <color indexed="64"/>
      </top>
      <bottom style="thick">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right/>
      <top style="dotted">
        <color indexed="64"/>
      </top>
      <bottom/>
      <diagonal/>
    </border>
    <border>
      <left/>
      <right/>
      <top/>
      <bottom style="dotted">
        <color indexed="22"/>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ck">
        <color indexed="64"/>
      </left>
      <right/>
      <top style="thick">
        <color indexed="64"/>
      </top>
      <bottom/>
      <diagonal/>
    </border>
    <border>
      <left style="thick">
        <color indexed="64"/>
      </left>
      <right/>
      <top/>
      <bottom style="thick">
        <color indexed="64"/>
      </bottom>
      <diagonal/>
    </border>
    <border>
      <left/>
      <right style="thin">
        <color indexed="64"/>
      </right>
      <top style="thin">
        <color indexed="64"/>
      </top>
      <bottom style="medium">
        <color indexed="64"/>
      </bottom>
      <diagonal/>
    </border>
    <border>
      <left/>
      <right/>
      <top style="medium">
        <color indexed="64"/>
      </top>
      <bottom style="medium">
        <color indexed="64"/>
      </bottom>
      <diagonal/>
    </border>
    <border>
      <left/>
      <right style="thick">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style="dott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right/>
      <top/>
      <bottom style="dashed">
        <color indexed="64"/>
      </bottom>
      <diagonal/>
    </border>
    <border>
      <left/>
      <right style="medium">
        <color indexed="64"/>
      </right>
      <top style="thin">
        <color indexed="64"/>
      </top>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right style="thin">
        <color indexed="64"/>
      </right>
      <top/>
      <bottom style="dash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right style="thick">
        <color indexed="64"/>
      </right>
      <top/>
      <bottom style="thin">
        <color indexed="64"/>
      </bottom>
      <diagonal/>
    </border>
    <border>
      <left style="thin">
        <color indexed="64"/>
      </left>
      <right/>
      <top style="thin">
        <color indexed="64"/>
      </top>
      <bottom style="dotted">
        <color indexed="64"/>
      </bottom>
      <diagonal/>
    </border>
    <border>
      <left style="thin">
        <color indexed="64"/>
      </left>
      <right/>
      <top style="dotted">
        <color indexed="64"/>
      </top>
      <bottom style="thin">
        <color indexed="64"/>
      </bottom>
      <diagonal/>
    </border>
    <border>
      <left/>
      <right/>
      <top style="thin">
        <color indexed="64"/>
      </top>
      <bottom style="thick">
        <color indexed="64"/>
      </bottom>
      <diagonal/>
    </border>
    <border>
      <left style="thick">
        <color indexed="64"/>
      </left>
      <right/>
      <top/>
      <bottom/>
      <diagonal/>
    </border>
    <border>
      <left style="thick">
        <color indexed="64"/>
      </left>
      <right/>
      <top/>
      <bottom style="thin">
        <color indexed="64"/>
      </bottom>
      <diagonal/>
    </border>
    <border>
      <left style="medium">
        <color indexed="64"/>
      </left>
      <right style="medium">
        <color indexed="64"/>
      </right>
      <top/>
      <bottom/>
      <diagonal/>
    </border>
    <border>
      <left style="thin">
        <color indexed="64"/>
      </left>
      <right style="dotted">
        <color indexed="64"/>
      </right>
      <top/>
      <bottom/>
      <diagonal/>
    </border>
    <border>
      <left style="dotted">
        <color indexed="64"/>
      </left>
      <right style="thin">
        <color indexed="64"/>
      </right>
      <top/>
      <bottom/>
      <diagonal/>
    </border>
    <border>
      <left style="dotted">
        <color indexed="64"/>
      </left>
      <right style="thin">
        <color indexed="64"/>
      </right>
      <top/>
      <bottom style="thin">
        <color indexed="64"/>
      </bottom>
      <diagonal/>
    </border>
    <border>
      <left/>
      <right/>
      <top style="dashed">
        <color indexed="64"/>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right/>
      <top style="dashed">
        <color indexed="64"/>
      </top>
      <bottom style="dashed">
        <color indexed="64"/>
      </bottom>
      <diagonal/>
    </border>
    <border>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medium">
        <color theme="1"/>
      </top>
      <bottom style="dotted">
        <color indexed="22"/>
      </bottom>
      <diagonal/>
    </border>
    <border>
      <left/>
      <right/>
      <top/>
      <bottom style="medium">
        <color theme="1"/>
      </bottom>
      <diagonal/>
    </border>
    <border>
      <left/>
      <right style="thin">
        <color indexed="64"/>
      </right>
      <top style="dashed">
        <color indexed="64"/>
      </top>
      <bottom style="thin">
        <color indexed="64"/>
      </bottom>
      <diagonal/>
    </border>
    <border>
      <left style="thin">
        <color theme="1"/>
      </left>
      <right style="thin">
        <color theme="1"/>
      </right>
      <top/>
      <bottom style="thin">
        <color theme="1"/>
      </bottom>
      <diagonal/>
    </border>
    <border>
      <left/>
      <right/>
      <top style="double">
        <color auto="1"/>
      </top>
      <bottom/>
      <diagonal/>
    </border>
    <border>
      <left style="double">
        <color auto="1"/>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style="double">
        <color auto="1"/>
      </right>
      <top/>
      <bottom style="double">
        <color auto="1"/>
      </bottom>
      <diagonal/>
    </border>
    <border>
      <left style="medium">
        <color indexed="64"/>
      </left>
      <right style="medium">
        <color indexed="64"/>
      </right>
      <top style="double">
        <color indexed="64"/>
      </top>
      <bottom style="medium">
        <color indexed="64"/>
      </bottom>
      <diagonal/>
    </border>
    <border>
      <left style="double">
        <color auto="1"/>
      </left>
      <right/>
      <top style="double">
        <color auto="1"/>
      </top>
      <bottom style="double">
        <color auto="1"/>
      </bottom>
      <diagonal/>
    </border>
    <border>
      <left/>
      <right/>
      <top style="double">
        <color auto="1"/>
      </top>
      <bottom style="double">
        <color auto="1"/>
      </bottom>
      <diagonal/>
    </border>
    <border>
      <left/>
      <right style="double">
        <color auto="1"/>
      </right>
      <top style="double">
        <color auto="1"/>
      </top>
      <bottom style="double">
        <color auto="1"/>
      </bottom>
      <diagonal/>
    </border>
    <border>
      <left/>
      <right style="thin">
        <color indexed="64"/>
      </right>
      <top style="dashed">
        <color indexed="64"/>
      </top>
      <bottom style="dashed">
        <color indexed="64"/>
      </bottom>
      <diagonal/>
    </border>
    <border>
      <left/>
      <right/>
      <top style="dashed">
        <color indexed="64"/>
      </top>
      <bottom style="thin">
        <color indexed="64"/>
      </bottom>
      <diagonal/>
    </border>
    <border>
      <left/>
      <right/>
      <top style="double">
        <color indexed="64"/>
      </top>
      <bottom style="thin">
        <color indexed="64"/>
      </bottom>
      <diagonal/>
    </border>
    <border>
      <left style="medium">
        <color indexed="64"/>
      </left>
      <right style="thin">
        <color indexed="64"/>
      </right>
      <top style="medium">
        <color indexed="64"/>
      </top>
      <bottom style="dashed">
        <color indexed="64"/>
      </bottom>
      <diagonal/>
    </border>
    <border>
      <left style="thin">
        <color indexed="64"/>
      </left>
      <right style="thin">
        <color indexed="64"/>
      </right>
      <top style="medium">
        <color indexed="64"/>
      </top>
      <bottom style="dashed">
        <color indexed="64"/>
      </bottom>
      <diagonal/>
    </border>
    <border>
      <left style="thin">
        <color indexed="64"/>
      </left>
      <right/>
      <top style="medium">
        <color indexed="64"/>
      </top>
      <bottom style="dashed">
        <color indexed="64"/>
      </bottom>
      <diagonal/>
    </border>
    <border>
      <left style="thin">
        <color indexed="64"/>
      </left>
      <right style="medium">
        <color indexed="64"/>
      </right>
      <top style="medium">
        <color indexed="64"/>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thin">
        <color indexed="64"/>
      </right>
      <top style="dashed">
        <color indexed="64"/>
      </top>
      <bottom style="dashed">
        <color indexed="64"/>
      </bottom>
      <diagonal/>
    </border>
    <border>
      <left style="thin">
        <color indexed="64"/>
      </left>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thin">
        <color indexed="64"/>
      </right>
      <top style="dashed">
        <color indexed="64"/>
      </top>
      <bottom style="medium">
        <color indexed="64"/>
      </bottom>
      <diagonal/>
    </border>
    <border>
      <left style="thin">
        <color indexed="64"/>
      </left>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bottom style="medium">
        <color rgb="FFCCCCCC"/>
      </bottom>
      <diagonal/>
    </border>
    <border>
      <left/>
      <right/>
      <top/>
      <bottom style="dotted">
        <color auto="1"/>
      </bottom>
      <diagonal/>
    </border>
    <border>
      <left style="thin">
        <color indexed="64"/>
      </left>
      <right/>
      <top/>
      <bottom style="medium">
        <color theme="1"/>
      </bottom>
      <diagonal/>
    </border>
    <border>
      <left/>
      <right/>
      <top style="medium">
        <color theme="1"/>
      </top>
      <bottom/>
      <diagonal/>
    </border>
    <border>
      <left style="thin">
        <color indexed="64"/>
      </left>
      <right/>
      <top/>
      <bottom style="dotted">
        <color indexed="64"/>
      </bottom>
      <diagonal/>
    </border>
    <border>
      <left/>
      <right style="medium">
        <color indexed="64"/>
      </right>
      <top/>
      <bottom style="thick">
        <color indexed="64"/>
      </bottom>
      <diagonal/>
    </border>
    <border>
      <left/>
      <right/>
      <top/>
      <bottom style="mediumDashed">
        <color auto="1"/>
      </bottom>
      <diagonal/>
    </border>
    <border>
      <left/>
      <right/>
      <top style="medium">
        <color indexed="64"/>
      </top>
      <bottom style="dashed">
        <color indexed="64"/>
      </bottom>
      <diagonal/>
    </border>
    <border>
      <left style="dashed">
        <color indexed="64"/>
      </left>
      <right/>
      <top style="dashed">
        <color indexed="64"/>
      </top>
      <bottom/>
      <diagonal/>
    </border>
    <border>
      <left style="dashed">
        <color indexed="64"/>
      </left>
      <right/>
      <top/>
      <bottom/>
      <diagonal/>
    </border>
    <border>
      <left style="dashed">
        <color indexed="64"/>
      </left>
      <right/>
      <top/>
      <bottom style="dashed">
        <color indexed="64"/>
      </bottom>
      <diagonal/>
    </border>
    <border>
      <left style="medium">
        <color indexed="64"/>
      </left>
      <right style="thick">
        <color indexed="64"/>
      </right>
      <top style="thick">
        <color indexed="64"/>
      </top>
      <bottom style="medium">
        <color indexed="64"/>
      </bottom>
      <diagonal/>
    </border>
    <border>
      <left style="medium">
        <color indexed="64"/>
      </left>
      <right style="medium">
        <color indexed="64"/>
      </right>
      <top style="thick">
        <color indexed="64"/>
      </top>
      <bottom style="medium">
        <color indexed="64"/>
      </bottom>
      <diagonal/>
    </border>
    <border>
      <left style="medium">
        <color indexed="64"/>
      </left>
      <right style="thick">
        <color indexed="64"/>
      </right>
      <top style="medium">
        <color indexed="64"/>
      </top>
      <bottom style="medium">
        <color indexed="64"/>
      </bottom>
      <diagonal/>
    </border>
    <border>
      <left style="medium">
        <color indexed="64"/>
      </left>
      <right style="thick">
        <color indexed="64"/>
      </right>
      <top style="medium">
        <color indexed="64"/>
      </top>
      <bottom style="thick">
        <color indexed="64"/>
      </bottom>
      <diagonal/>
    </border>
    <border>
      <left style="thick">
        <color indexed="64"/>
      </left>
      <right style="medium">
        <color indexed="64"/>
      </right>
      <top style="thick">
        <color indexed="64"/>
      </top>
      <bottom style="medium">
        <color indexed="64"/>
      </bottom>
      <diagonal/>
    </border>
    <border>
      <left/>
      <right style="dashed">
        <color auto="1"/>
      </right>
      <top style="dashed">
        <color auto="1"/>
      </top>
      <bottom/>
      <diagonal/>
    </border>
    <border>
      <left/>
      <right style="dashed">
        <color auto="1"/>
      </right>
      <top/>
      <bottom/>
      <diagonal/>
    </border>
    <border>
      <left/>
      <right style="dashed">
        <color auto="1"/>
      </right>
      <top/>
      <bottom style="dashed">
        <color auto="1"/>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bottom style="thin">
        <color indexed="64"/>
      </bottom>
      <diagonal/>
    </border>
    <border>
      <left style="thin">
        <color indexed="64"/>
      </left>
      <right style="thin">
        <color indexed="64"/>
      </right>
      <top/>
      <bottom style="thick">
        <color indexed="64"/>
      </bottom>
      <diagonal/>
    </border>
    <border>
      <left style="thin">
        <color indexed="64"/>
      </left>
      <right/>
      <top style="thick">
        <color indexed="64"/>
      </top>
      <bottom/>
      <diagonal/>
    </border>
    <border>
      <left style="medium">
        <color indexed="64"/>
      </left>
      <right/>
      <top/>
      <bottom style="dashed">
        <color indexed="64"/>
      </bottom>
      <diagonal/>
    </border>
    <border>
      <left/>
      <right style="medium">
        <color indexed="64"/>
      </right>
      <top/>
      <bottom style="dashed">
        <color indexed="64"/>
      </bottom>
      <diagonal/>
    </border>
    <border>
      <left style="medium">
        <color indexed="64"/>
      </left>
      <right/>
      <top style="dashed">
        <color indexed="64"/>
      </top>
      <bottom/>
      <diagonal/>
    </border>
    <border>
      <left/>
      <right style="medium">
        <color indexed="64"/>
      </right>
      <top style="dashed">
        <color indexed="64"/>
      </top>
      <bottom/>
      <diagonal/>
    </border>
    <border>
      <left style="medium">
        <color indexed="64"/>
      </left>
      <right/>
      <top style="medium">
        <color indexed="64"/>
      </top>
      <bottom style="dashed">
        <color indexed="64"/>
      </bottom>
      <diagonal/>
    </border>
    <border>
      <left/>
      <right/>
      <top style="mediumDashed">
        <color auto="1"/>
      </top>
      <bottom/>
      <diagonal/>
    </border>
    <border>
      <left style="medium">
        <color indexed="64"/>
      </left>
      <right/>
      <top style="dashed">
        <color indexed="64"/>
      </top>
      <bottom style="dashed">
        <color indexed="64"/>
      </bottom>
      <diagonal/>
    </border>
    <border>
      <left style="mediumDashed">
        <color auto="1"/>
      </left>
      <right/>
      <top style="mediumDashed">
        <color auto="1"/>
      </top>
      <bottom/>
      <diagonal/>
    </border>
    <border>
      <left/>
      <right style="mediumDashed">
        <color auto="1"/>
      </right>
      <top style="mediumDashed">
        <color auto="1"/>
      </top>
      <bottom/>
      <diagonal/>
    </border>
    <border>
      <left style="mediumDashed">
        <color auto="1"/>
      </left>
      <right/>
      <top/>
      <bottom/>
      <diagonal/>
    </border>
    <border>
      <left/>
      <right style="mediumDashed">
        <color auto="1"/>
      </right>
      <top/>
      <bottom/>
      <diagonal/>
    </border>
    <border>
      <left style="mediumDashed">
        <color auto="1"/>
      </left>
      <right/>
      <top/>
      <bottom style="mediumDashed">
        <color auto="1"/>
      </bottom>
      <diagonal/>
    </border>
    <border>
      <left/>
      <right style="mediumDashed">
        <color auto="1"/>
      </right>
      <top/>
      <bottom style="mediumDashed">
        <color auto="1"/>
      </bottom>
      <diagonal/>
    </border>
    <border>
      <left style="thin">
        <color indexed="64"/>
      </left>
      <right/>
      <top style="thick">
        <color indexed="64"/>
      </top>
      <bottom style="thin">
        <color indexed="64"/>
      </bottom>
      <diagonal/>
    </border>
    <border>
      <left style="thin">
        <color indexed="64"/>
      </left>
      <right style="thin">
        <color indexed="64"/>
      </right>
      <top style="medium">
        <color auto="1"/>
      </top>
      <bottom/>
      <diagonal/>
    </border>
    <border>
      <left style="thin">
        <color indexed="64"/>
      </left>
      <right/>
      <top style="thin">
        <color indexed="64"/>
      </top>
      <bottom style="thick">
        <color indexed="64"/>
      </bottom>
      <diagonal/>
    </border>
    <border>
      <left style="medium">
        <color auto="1"/>
      </left>
      <right style="thin">
        <color auto="1"/>
      </right>
      <top/>
      <bottom/>
      <diagonal/>
    </border>
    <border>
      <left style="medium">
        <color auto="1"/>
      </left>
      <right style="thin">
        <color auto="1"/>
      </right>
      <top/>
      <bottom style="medium">
        <color indexed="64"/>
      </bottom>
      <diagonal/>
    </border>
    <border>
      <left style="medium">
        <color auto="1"/>
      </left>
      <right style="thin">
        <color auto="1"/>
      </right>
      <top style="medium">
        <color auto="1"/>
      </top>
      <bottom/>
      <diagonal/>
    </border>
    <border>
      <left style="thin">
        <color indexed="64"/>
      </left>
      <right style="medium">
        <color indexed="64"/>
      </right>
      <top style="medium">
        <color auto="1"/>
      </top>
      <bottom/>
      <diagonal/>
    </border>
    <border>
      <left style="medium">
        <color indexed="64"/>
      </left>
      <right/>
      <top/>
      <bottom style="thick">
        <color indexed="64"/>
      </bottom>
      <diagonal/>
    </border>
    <border>
      <left style="thin">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top/>
      <bottom style="dashed">
        <color indexed="64"/>
      </bottom>
      <diagonal/>
    </border>
    <border>
      <left/>
      <right/>
      <top style="dashed">
        <color indexed="64"/>
      </top>
      <bottom style="medium">
        <color auto="1"/>
      </bottom>
      <diagonal/>
    </border>
    <border>
      <left/>
      <right style="thin">
        <color indexed="64"/>
      </right>
      <top style="dashed">
        <color indexed="64"/>
      </top>
      <bottom style="medium">
        <color auto="1"/>
      </bottom>
      <diagonal/>
    </border>
    <border>
      <left/>
      <right style="thin">
        <color indexed="64"/>
      </right>
      <top style="medium">
        <color indexed="64"/>
      </top>
      <bottom style="thin">
        <color indexed="64"/>
      </bottom>
      <diagonal/>
    </border>
    <border>
      <left style="thick">
        <color indexed="64"/>
      </left>
      <right style="thick">
        <color indexed="64"/>
      </right>
      <top style="thick">
        <color indexed="64"/>
      </top>
      <bottom/>
      <diagonal/>
    </border>
    <border>
      <left style="thick">
        <color indexed="64"/>
      </left>
      <right style="thick">
        <color indexed="64"/>
      </right>
      <top/>
      <bottom style="thick">
        <color indexed="64"/>
      </bottom>
      <diagonal/>
    </border>
    <border>
      <left style="thick">
        <color indexed="64"/>
      </left>
      <right style="thick">
        <color indexed="64"/>
      </right>
      <top/>
      <bottom/>
      <diagonal/>
    </border>
    <border>
      <left/>
      <right style="thick">
        <color indexed="64"/>
      </right>
      <top/>
      <bottom style="medium">
        <color indexed="64"/>
      </bottom>
      <diagonal/>
    </border>
    <border>
      <left style="thick">
        <color indexed="64"/>
      </left>
      <right style="thick">
        <color indexed="64"/>
      </right>
      <top/>
      <bottom style="medium">
        <color indexed="64"/>
      </bottom>
      <diagonal/>
    </border>
    <border>
      <left style="thick">
        <color indexed="64"/>
      </left>
      <right style="thin">
        <color indexed="64"/>
      </right>
      <top/>
      <bottom/>
      <diagonal/>
    </border>
    <border>
      <left style="thick">
        <color indexed="64"/>
      </left>
      <right style="thin">
        <color indexed="64"/>
      </right>
      <top/>
      <bottom style="thick">
        <color indexed="64"/>
      </bottom>
      <diagonal/>
    </border>
    <border>
      <left/>
      <right style="thick">
        <color indexed="64"/>
      </right>
      <top style="thin">
        <color indexed="64"/>
      </top>
      <bottom/>
      <diagonal/>
    </border>
    <border>
      <left style="thick">
        <color indexed="64"/>
      </left>
      <right/>
      <top style="thin">
        <color indexed="64"/>
      </top>
      <bottom/>
      <diagonal/>
    </border>
    <border>
      <left style="hair">
        <color indexed="64"/>
      </left>
      <right style="hair">
        <color indexed="64"/>
      </right>
      <top style="dashed">
        <color indexed="64"/>
      </top>
      <bottom style="dashed">
        <color indexed="64"/>
      </bottom>
      <diagonal/>
    </border>
    <border>
      <left/>
      <right style="hair">
        <color indexed="64"/>
      </right>
      <top style="hair">
        <color indexed="64"/>
      </top>
      <bottom/>
      <diagonal/>
    </border>
    <border>
      <left style="hair">
        <color indexed="64"/>
      </left>
      <right style="thin">
        <color indexed="64"/>
      </right>
      <top style="dashed">
        <color indexed="64"/>
      </top>
      <bottom style="thin">
        <color indexed="64"/>
      </bottom>
      <diagonal/>
    </border>
    <border>
      <left/>
      <right/>
      <top/>
      <bottom style="dotted">
        <color indexed="64"/>
      </bottom>
      <diagonal/>
    </border>
    <border>
      <left style="dotted">
        <color indexed="64"/>
      </left>
      <right style="dotted">
        <color indexed="64"/>
      </right>
      <top/>
      <bottom style="thin">
        <color indexed="64"/>
      </bottom>
      <diagonal/>
    </border>
    <border>
      <left style="dotted">
        <color indexed="64"/>
      </left>
      <right/>
      <top/>
      <bottom style="thin">
        <color indexed="64"/>
      </bottom>
      <diagonal/>
    </border>
    <border>
      <left/>
      <right style="dotted">
        <color indexed="64"/>
      </right>
      <top/>
      <bottom style="thin">
        <color indexed="64"/>
      </bottom>
      <diagonal/>
    </border>
    <border>
      <left style="medium">
        <color auto="1"/>
      </left>
      <right style="thin">
        <color auto="1"/>
      </right>
      <top style="medium">
        <color auto="1"/>
      </top>
      <bottom style="dotted">
        <color indexed="64"/>
      </bottom>
      <diagonal/>
    </border>
    <border>
      <left style="medium">
        <color indexed="64"/>
      </left>
      <right/>
      <top style="dotted">
        <color indexed="64"/>
      </top>
      <bottom style="dotted">
        <color indexed="64"/>
      </bottom>
      <diagonal/>
    </border>
    <border>
      <left style="thin">
        <color indexed="64"/>
      </left>
      <right style="thin">
        <color indexed="64"/>
      </right>
      <top/>
      <bottom style="dotted">
        <color indexed="64"/>
      </bottom>
      <diagonal/>
    </border>
    <border>
      <left style="medium">
        <color indexed="64"/>
      </left>
      <right/>
      <top style="dotted">
        <color indexed="64"/>
      </top>
      <bottom style="thin">
        <color indexed="64"/>
      </bottom>
      <diagonal/>
    </border>
    <border>
      <left style="thick">
        <color indexed="64"/>
      </left>
      <right style="thin">
        <color indexed="64"/>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ck">
        <color indexed="64"/>
      </right>
      <top/>
      <bottom style="thick">
        <color indexed="64"/>
      </bottom>
      <diagonal/>
    </border>
    <border>
      <left style="thin">
        <color indexed="64"/>
      </left>
      <right style="thick">
        <color indexed="64"/>
      </right>
      <top style="thin">
        <color indexed="64"/>
      </top>
      <bottom style="thin">
        <color indexed="64"/>
      </bottom>
      <diagonal/>
    </border>
    <border>
      <left style="medium">
        <color indexed="64"/>
      </left>
      <right/>
      <top style="thin">
        <color indexed="64"/>
      </top>
      <bottom style="thick">
        <color indexed="64"/>
      </bottom>
      <diagonal/>
    </border>
    <border>
      <left style="thick">
        <color indexed="64"/>
      </left>
      <right/>
      <top style="thin">
        <color indexed="64"/>
      </top>
      <bottom style="thin">
        <color indexed="64"/>
      </bottom>
      <diagonal/>
    </border>
    <border>
      <left/>
      <right style="thick">
        <color indexed="64"/>
      </right>
      <top style="thin">
        <color indexed="64"/>
      </top>
      <bottom style="thin">
        <color indexed="64"/>
      </bottom>
      <diagonal/>
    </border>
    <border>
      <left style="thick">
        <color indexed="64"/>
      </left>
      <right/>
      <top style="thin">
        <color indexed="64"/>
      </top>
      <bottom style="thick">
        <color indexed="64"/>
      </bottom>
      <diagonal/>
    </border>
    <border>
      <left/>
      <right style="thick">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n">
        <color indexed="64"/>
      </left>
      <right/>
      <top style="dashed">
        <color indexed="64"/>
      </top>
      <bottom/>
      <diagonal/>
    </border>
    <border>
      <left/>
      <right style="thin">
        <color indexed="64"/>
      </right>
      <top style="dashed">
        <color indexed="64"/>
      </top>
      <bottom/>
      <diagonal/>
    </border>
    <border>
      <left style="medium">
        <color indexed="64"/>
      </left>
      <right style="thin">
        <color indexed="64"/>
      </right>
      <top style="thin">
        <color indexed="64"/>
      </top>
      <bottom/>
      <diagonal/>
    </border>
    <border>
      <left style="mediumDashed">
        <color indexed="64"/>
      </left>
      <right style="mediumDashed">
        <color indexed="64"/>
      </right>
      <top style="mediumDashed">
        <color indexed="64"/>
      </top>
      <bottom style="mediumDashed">
        <color indexed="64"/>
      </bottom>
      <diagonal/>
    </border>
  </borders>
  <cellStyleXfs count="12">
    <xf numFmtId="0" fontId="0" fillId="0" borderId="0"/>
    <xf numFmtId="44" fontId="6" fillId="0" borderId="0" applyFont="0" applyFill="0" applyBorder="0" applyAlignment="0" applyProtection="0"/>
    <xf numFmtId="0" fontId="67" fillId="0" borderId="0" applyNumberFormat="0" applyFill="0" applyBorder="0" applyAlignment="0" applyProtection="0">
      <alignment vertical="top"/>
      <protection locked="0"/>
    </xf>
    <xf numFmtId="0" fontId="105" fillId="0" borderId="0" applyNumberFormat="0" applyFill="0" applyBorder="0" applyAlignment="0" applyProtection="0">
      <alignment vertical="top"/>
      <protection locked="0"/>
    </xf>
    <xf numFmtId="0" fontId="6" fillId="0" borderId="0"/>
    <xf numFmtId="0" fontId="142" fillId="0" borderId="0" applyNumberFormat="0" applyFill="0" applyBorder="0" applyAlignment="0" applyProtection="0">
      <alignment vertical="top"/>
      <protection locked="0"/>
    </xf>
    <xf numFmtId="0" fontId="3" fillId="0" borderId="0"/>
    <xf numFmtId="0" fontId="67" fillId="0" borderId="0" applyNumberFormat="0" applyFill="0" applyBorder="0" applyAlignment="0" applyProtection="0">
      <alignment vertical="top"/>
      <protection locked="0"/>
    </xf>
    <xf numFmtId="0" fontId="67" fillId="0" borderId="0" applyNumberFormat="0" applyFill="0" applyBorder="0" applyAlignment="0" applyProtection="0">
      <alignment vertical="top"/>
      <protection locked="0"/>
    </xf>
    <xf numFmtId="0" fontId="2" fillId="0" borderId="0"/>
    <xf numFmtId="0" fontId="1" fillId="0" borderId="0"/>
    <xf numFmtId="0" fontId="1" fillId="0" borderId="0"/>
  </cellStyleXfs>
  <cellXfs count="11688">
    <xf numFmtId="0" fontId="0" fillId="0" borderId="0" xfId="0"/>
    <xf numFmtId="0" fontId="4" fillId="0" borderId="0" xfId="0" applyFont="1"/>
    <xf numFmtId="4" fontId="8" fillId="0" borderId="0" xfId="0" applyNumberFormat="1" applyFont="1"/>
    <xf numFmtId="0" fontId="10" fillId="0" borderId="0" xfId="0" applyFont="1"/>
    <xf numFmtId="4" fontId="0" fillId="0" borderId="0" xfId="0" applyNumberFormat="1"/>
    <xf numFmtId="0" fontId="22" fillId="0" borderId="0" xfId="0" applyFont="1"/>
    <xf numFmtId="39" fontId="8" fillId="0" borderId="0" xfId="0" applyNumberFormat="1" applyFont="1" applyAlignment="1" applyProtection="1">
      <alignment horizontal="right"/>
      <protection hidden="1"/>
    </xf>
    <xf numFmtId="0" fontId="9" fillId="0" borderId="0" xfId="0" applyFont="1" applyAlignment="1" applyProtection="1">
      <alignment horizontal="right"/>
      <protection hidden="1"/>
    </xf>
    <xf numFmtId="0" fontId="8" fillId="0" borderId="0" xfId="0" applyFont="1" applyAlignment="1" applyProtection="1">
      <alignment horizontal="left"/>
      <protection hidden="1"/>
    </xf>
    <xf numFmtId="4" fontId="8" fillId="0" borderId="0" xfId="0" applyNumberFormat="1" applyFont="1" applyAlignment="1" applyProtection="1">
      <alignment horizontal="left"/>
      <protection hidden="1"/>
    </xf>
    <xf numFmtId="4" fontId="8" fillId="0" borderId="0" xfId="0" applyNumberFormat="1" applyFont="1" applyAlignment="1" applyProtection="1">
      <alignment horizontal="center"/>
      <protection hidden="1"/>
    </xf>
    <xf numFmtId="0" fontId="22" fillId="2" borderId="0" xfId="0" applyFont="1" applyFill="1" applyProtection="1">
      <protection hidden="1"/>
    </xf>
    <xf numFmtId="0" fontId="8" fillId="0" borderId="0" xfId="0" applyFont="1"/>
    <xf numFmtId="0" fontId="4" fillId="3" borderId="1" xfId="0" applyFont="1" applyFill="1" applyBorder="1" applyProtection="1">
      <protection hidden="1"/>
    </xf>
    <xf numFmtId="4" fontId="0" fillId="3" borderId="1" xfId="0" applyNumberFormat="1" applyFill="1" applyBorder="1" applyProtection="1">
      <protection hidden="1"/>
    </xf>
    <xf numFmtId="4" fontId="8" fillId="3" borderId="0" xfId="0" applyNumberFormat="1" applyFont="1" applyFill="1" applyAlignment="1" applyProtection="1">
      <alignment horizontal="right"/>
      <protection hidden="1"/>
    </xf>
    <xf numFmtId="0" fontId="10" fillId="3" borderId="0" xfId="0" applyFont="1" applyFill="1" applyProtection="1">
      <protection hidden="1"/>
    </xf>
    <xf numFmtId="0" fontId="4" fillId="3" borderId="0" xfId="0" applyFont="1" applyFill="1" applyProtection="1">
      <protection hidden="1"/>
    </xf>
    <xf numFmtId="0" fontId="0" fillId="2" borderId="0" xfId="0" applyFill="1" applyProtection="1">
      <protection hidden="1"/>
    </xf>
    <xf numFmtId="0" fontId="4" fillId="2" borderId="0" xfId="0" applyFont="1" applyFill="1" applyProtection="1">
      <protection hidden="1"/>
    </xf>
    <xf numFmtId="0" fontId="0" fillId="4" borderId="0" xfId="0" applyFill="1" applyProtection="1">
      <protection locked="0"/>
    </xf>
    <xf numFmtId="0" fontId="10" fillId="2" borderId="5" xfId="0" applyFont="1" applyFill="1" applyBorder="1" applyProtection="1">
      <protection hidden="1"/>
    </xf>
    <xf numFmtId="0" fontId="10" fillId="2" borderId="0" xfId="0" applyFont="1" applyFill="1" applyProtection="1">
      <protection hidden="1"/>
    </xf>
    <xf numFmtId="0" fontId="0" fillId="2" borderId="7" xfId="0" applyFill="1" applyBorder="1" applyProtection="1">
      <protection hidden="1"/>
    </xf>
    <xf numFmtId="0" fontId="0" fillId="2" borderId="4" xfId="0" applyFill="1" applyBorder="1" applyProtection="1">
      <protection hidden="1"/>
    </xf>
    <xf numFmtId="0" fontId="4" fillId="2" borderId="0" xfId="0" applyFont="1" applyFill="1" applyAlignment="1" applyProtection="1">
      <alignment horizontal="center"/>
      <protection hidden="1"/>
    </xf>
    <xf numFmtId="0" fontId="0" fillId="0" borderId="0" xfId="0" applyProtection="1">
      <protection hidden="1"/>
    </xf>
    <xf numFmtId="0" fontId="0" fillId="2" borderId="5" xfId="0" applyFill="1" applyBorder="1" applyProtection="1">
      <protection hidden="1"/>
    </xf>
    <xf numFmtId="0" fontId="8" fillId="2" borderId="0" xfId="0" applyFont="1" applyFill="1" applyProtection="1">
      <protection hidden="1"/>
    </xf>
    <xf numFmtId="40" fontId="0" fillId="2" borderId="0" xfId="0" applyNumberFormat="1" applyFill="1" applyProtection="1">
      <protection hidden="1"/>
    </xf>
    <xf numFmtId="40" fontId="0" fillId="2" borderId="20" xfId="0" applyNumberFormat="1" applyFill="1" applyBorder="1" applyProtection="1">
      <protection hidden="1"/>
    </xf>
    <xf numFmtId="40" fontId="4" fillId="2" borderId="0" xfId="0" applyNumberFormat="1" applyFont="1" applyFill="1" applyProtection="1">
      <protection hidden="1"/>
    </xf>
    <xf numFmtId="40" fontId="4" fillId="2" borderId="0" xfId="0" applyNumberFormat="1" applyFont="1" applyFill="1" applyAlignment="1" applyProtection="1">
      <alignment horizontal="right"/>
      <protection hidden="1"/>
    </xf>
    <xf numFmtId="0" fontId="6" fillId="2" borderId="0" xfId="0" applyFont="1" applyFill="1" applyProtection="1">
      <protection hidden="1"/>
    </xf>
    <xf numFmtId="40" fontId="0" fillId="2" borderId="0" xfId="0" applyNumberFormat="1" applyFill="1" applyAlignment="1" applyProtection="1">
      <alignment horizontal="right"/>
      <protection hidden="1"/>
    </xf>
    <xf numFmtId="40" fontId="0" fillId="2" borderId="4" xfId="0" applyNumberFormat="1" applyFill="1" applyBorder="1" applyProtection="1">
      <protection hidden="1"/>
    </xf>
    <xf numFmtId="40" fontId="0" fillId="2" borderId="22" xfId="0" applyNumberFormat="1" applyFill="1" applyBorder="1" applyProtection="1">
      <protection hidden="1"/>
    </xf>
    <xf numFmtId="0" fontId="0" fillId="5" borderId="0" xfId="0" applyFill="1" applyProtection="1">
      <protection hidden="1"/>
    </xf>
    <xf numFmtId="0" fontId="0" fillId="5" borderId="4" xfId="0" applyFill="1" applyBorder="1" applyProtection="1">
      <protection hidden="1"/>
    </xf>
    <xf numFmtId="0" fontId="0" fillId="2" borderId="0" xfId="0" applyFill="1" applyAlignment="1" applyProtection="1">
      <alignment wrapText="1"/>
      <protection hidden="1"/>
    </xf>
    <xf numFmtId="0" fontId="0" fillId="2" borderId="23" xfId="0" applyFill="1" applyBorder="1" applyProtection="1">
      <protection hidden="1"/>
    </xf>
    <xf numFmtId="0" fontId="0" fillId="2" borderId="21" xfId="0" applyFill="1" applyBorder="1" applyProtection="1">
      <protection hidden="1"/>
    </xf>
    <xf numFmtId="0" fontId="0" fillId="5" borderId="23" xfId="0" applyFill="1" applyBorder="1" applyProtection="1">
      <protection hidden="1"/>
    </xf>
    <xf numFmtId="0" fontId="0" fillId="5" borderId="7" xfId="0" applyFill="1" applyBorder="1" applyProtection="1">
      <protection hidden="1"/>
    </xf>
    <xf numFmtId="0" fontId="0" fillId="5" borderId="5" xfId="0" applyFill="1" applyBorder="1" applyProtection="1">
      <protection hidden="1"/>
    </xf>
    <xf numFmtId="0" fontId="10" fillId="5" borderId="0" xfId="0" applyFont="1" applyFill="1" applyAlignment="1" applyProtection="1">
      <alignment horizontal="center"/>
      <protection hidden="1"/>
    </xf>
    <xf numFmtId="0" fontId="0" fillId="5" borderId="21" xfId="0" applyFill="1" applyBorder="1" applyProtection="1">
      <protection hidden="1"/>
    </xf>
    <xf numFmtId="0" fontId="10" fillId="5" borderId="4" xfId="0" applyFont="1" applyFill="1" applyBorder="1" applyAlignment="1" applyProtection="1">
      <alignment horizontal="center"/>
      <protection hidden="1"/>
    </xf>
    <xf numFmtId="0" fontId="0" fillId="2" borderId="19" xfId="0" applyFill="1" applyBorder="1" applyProtection="1">
      <protection hidden="1"/>
    </xf>
    <xf numFmtId="0" fontId="0" fillId="2" borderId="20" xfId="0" applyFill="1" applyBorder="1" applyProtection="1">
      <protection hidden="1"/>
    </xf>
    <xf numFmtId="0" fontId="0" fillId="2" borderId="22" xfId="0" applyFill="1" applyBorder="1" applyProtection="1">
      <protection hidden="1"/>
    </xf>
    <xf numFmtId="0" fontId="0" fillId="2" borderId="0" xfId="0" applyFill="1" applyAlignment="1" applyProtection="1">
      <alignment vertical="top"/>
      <protection hidden="1"/>
    </xf>
    <xf numFmtId="40" fontId="0" fillId="2" borderId="1" xfId="0" applyNumberFormat="1" applyFill="1" applyBorder="1" applyProtection="1">
      <protection hidden="1"/>
    </xf>
    <xf numFmtId="40" fontId="0" fillId="2" borderId="0" xfId="0" applyNumberFormat="1" applyFill="1" applyAlignment="1" applyProtection="1">
      <alignment horizontal="center"/>
      <protection hidden="1"/>
    </xf>
    <xf numFmtId="38" fontId="0" fillId="2" borderId="0" xfId="0" applyNumberFormat="1" applyFill="1" applyAlignment="1" applyProtection="1">
      <alignment horizontal="center"/>
      <protection hidden="1"/>
    </xf>
    <xf numFmtId="38" fontId="0" fillId="2" borderId="20" xfId="0" applyNumberFormat="1" applyFill="1" applyBorder="1" applyAlignment="1" applyProtection="1">
      <alignment horizontal="center"/>
      <protection hidden="1"/>
    </xf>
    <xf numFmtId="40" fontId="0" fillId="2" borderId="0" xfId="0" applyNumberFormat="1" applyFill="1" applyAlignment="1" applyProtection="1">
      <alignment horizontal="left"/>
      <protection hidden="1"/>
    </xf>
    <xf numFmtId="40" fontId="0" fillId="2" borderId="5" xfId="0" applyNumberFormat="1" applyFill="1" applyBorder="1" applyAlignment="1" applyProtection="1">
      <alignment horizontal="left"/>
      <protection hidden="1"/>
    </xf>
    <xf numFmtId="40" fontId="4" fillId="2" borderId="0" xfId="0" applyNumberFormat="1" applyFont="1" applyFill="1" applyAlignment="1" applyProtection="1">
      <alignment horizontal="center"/>
      <protection hidden="1"/>
    </xf>
    <xf numFmtId="40" fontId="6" fillId="2" borderId="0" xfId="0" applyNumberFormat="1" applyFont="1" applyFill="1" applyProtection="1">
      <protection hidden="1"/>
    </xf>
    <xf numFmtId="4" fontId="0" fillId="2" borderId="0" xfId="0" applyNumberFormat="1" applyFill="1" applyProtection="1">
      <protection hidden="1"/>
    </xf>
    <xf numFmtId="0" fontId="0" fillId="3" borderId="0" xfId="0" applyFill="1" applyProtection="1">
      <protection hidden="1"/>
    </xf>
    <xf numFmtId="4" fontId="0" fillId="3" borderId="0" xfId="0" applyNumberFormat="1" applyFill="1" applyProtection="1">
      <protection hidden="1"/>
    </xf>
    <xf numFmtId="0" fontId="12" fillId="3" borderId="0" xfId="0" applyFont="1" applyFill="1" applyProtection="1">
      <protection hidden="1"/>
    </xf>
    <xf numFmtId="0" fontId="10" fillId="3" borderId="1" xfId="0" applyFont="1" applyFill="1" applyBorder="1" applyProtection="1">
      <protection hidden="1"/>
    </xf>
    <xf numFmtId="4" fontId="8" fillId="3" borderId="0" xfId="0" applyNumberFormat="1" applyFont="1" applyFill="1" applyProtection="1">
      <protection hidden="1"/>
    </xf>
    <xf numFmtId="0" fontId="4" fillId="0" borderId="0" xfId="0" applyFont="1" applyProtection="1">
      <protection hidden="1"/>
    </xf>
    <xf numFmtId="4" fontId="0" fillId="3" borderId="14" xfId="0" applyNumberFormat="1" applyFill="1" applyBorder="1" applyProtection="1">
      <protection hidden="1"/>
    </xf>
    <xf numFmtId="0" fontId="10" fillId="3" borderId="25" xfId="0" applyFont="1" applyFill="1" applyBorder="1" applyProtection="1">
      <protection hidden="1"/>
    </xf>
    <xf numFmtId="4" fontId="0" fillId="3" borderId="8" xfId="0" applyNumberFormat="1" applyFill="1" applyBorder="1" applyProtection="1">
      <protection hidden="1"/>
    </xf>
    <xf numFmtId="0" fontId="4" fillId="3" borderId="0" xfId="0" applyFont="1" applyFill="1" applyAlignment="1" applyProtection="1">
      <alignment horizontal="right"/>
      <protection hidden="1"/>
    </xf>
    <xf numFmtId="0" fontId="4" fillId="3" borderId="4" xfId="0" applyFont="1" applyFill="1" applyBorder="1" applyProtection="1">
      <protection hidden="1"/>
    </xf>
    <xf numFmtId="0" fontId="10" fillId="3" borderId="4" xfId="0" applyFont="1" applyFill="1" applyBorder="1" applyProtection="1">
      <protection hidden="1"/>
    </xf>
    <xf numFmtId="0" fontId="4" fillId="3" borderId="7" xfId="0" applyFont="1" applyFill="1" applyBorder="1" applyProtection="1">
      <protection hidden="1"/>
    </xf>
    <xf numFmtId="0" fontId="9" fillId="3" borderId="0" xfId="0" applyFont="1" applyFill="1" applyProtection="1">
      <protection hidden="1"/>
    </xf>
    <xf numFmtId="0" fontId="9" fillId="3" borderId="0" xfId="0" applyFont="1" applyFill="1" applyAlignment="1" applyProtection="1">
      <alignment horizontal="center"/>
      <protection hidden="1"/>
    </xf>
    <xf numFmtId="0" fontId="8" fillId="3" borderId="0" xfId="0" applyFont="1" applyFill="1" applyProtection="1">
      <protection hidden="1"/>
    </xf>
    <xf numFmtId="4" fontId="0" fillId="3" borderId="24" xfId="0" applyNumberFormat="1" applyFill="1" applyBorder="1" applyProtection="1">
      <protection hidden="1"/>
    </xf>
    <xf numFmtId="0" fontId="47" fillId="3" borderId="25" xfId="0" applyFont="1" applyFill="1" applyBorder="1" applyProtection="1">
      <protection hidden="1"/>
    </xf>
    <xf numFmtId="39" fontId="19" fillId="3" borderId="0" xfId="0" applyNumberFormat="1" applyFont="1" applyFill="1" applyProtection="1">
      <protection hidden="1"/>
    </xf>
    <xf numFmtId="0" fontId="18" fillId="0" borderId="0" xfId="0" applyFont="1"/>
    <xf numFmtId="0" fontId="36" fillId="3" borderId="0" xfId="0" applyFont="1" applyFill="1" applyProtection="1">
      <protection hidden="1"/>
    </xf>
    <xf numFmtId="0" fontId="12" fillId="3" borderId="7" xfId="0" applyFont="1" applyFill="1" applyBorder="1" applyProtection="1">
      <protection hidden="1"/>
    </xf>
    <xf numFmtId="0" fontId="10" fillId="2" borderId="20" xfId="0" applyFont="1" applyFill="1" applyBorder="1" applyProtection="1">
      <protection hidden="1"/>
    </xf>
    <xf numFmtId="0" fontId="0" fillId="0" borderId="0" xfId="0" applyAlignment="1">
      <alignment horizontal="center"/>
    </xf>
    <xf numFmtId="0" fontId="8" fillId="3" borderId="0" xfId="0" applyFont="1" applyFill="1" applyAlignment="1" applyProtection="1">
      <alignment horizontal="left"/>
      <protection hidden="1"/>
    </xf>
    <xf numFmtId="0" fontId="9" fillId="2" borderId="0" xfId="0" applyFont="1" applyFill="1" applyProtection="1">
      <protection hidden="1"/>
    </xf>
    <xf numFmtId="0" fontId="8" fillId="2" borderId="0" xfId="0" applyFont="1" applyFill="1" applyAlignment="1" applyProtection="1">
      <alignment horizontal="left"/>
      <protection hidden="1"/>
    </xf>
    <xf numFmtId="0" fontId="0" fillId="2" borderId="0" xfId="0" applyFill="1"/>
    <xf numFmtId="0" fontId="0" fillId="2" borderId="7" xfId="0" applyFill="1" applyBorder="1"/>
    <xf numFmtId="0" fontId="0" fillId="2" borderId="20" xfId="0" applyFill="1" applyBorder="1"/>
    <xf numFmtId="0" fontId="0" fillId="2" borderId="4" xfId="0" applyFill="1" applyBorder="1"/>
    <xf numFmtId="40" fontId="60" fillId="2" borderId="0" xfId="0" applyNumberFormat="1" applyFont="1" applyFill="1" applyAlignment="1" applyProtection="1">
      <alignment horizontal="right"/>
      <protection hidden="1"/>
    </xf>
    <xf numFmtId="0" fontId="0" fillId="2" borderId="0" xfId="0" applyFill="1" applyAlignment="1" applyProtection="1">
      <alignment horizontal="left" vertical="center"/>
      <protection hidden="1"/>
    </xf>
    <xf numFmtId="0" fontId="0" fillId="0" borderId="0" xfId="0" applyAlignment="1" applyProtection="1">
      <alignment horizontal="center"/>
      <protection hidden="1"/>
    </xf>
    <xf numFmtId="1" fontId="63" fillId="2" borderId="0" xfId="0" applyNumberFormat="1" applyFont="1" applyFill="1" applyProtection="1">
      <protection hidden="1"/>
    </xf>
    <xf numFmtId="0" fontId="47" fillId="3" borderId="0" xfId="0" applyFont="1" applyFill="1" applyProtection="1">
      <protection hidden="1"/>
    </xf>
    <xf numFmtId="38" fontId="8" fillId="2" borderId="0" xfId="0" applyNumberFormat="1" applyFont="1" applyFill="1" applyProtection="1">
      <protection hidden="1"/>
    </xf>
    <xf numFmtId="0" fontId="4" fillId="3" borderId="10" xfId="0" applyFont="1" applyFill="1" applyBorder="1" applyAlignment="1" applyProtection="1">
      <alignment horizontal="center"/>
      <protection hidden="1"/>
    </xf>
    <xf numFmtId="0" fontId="4" fillId="3" borderId="15" xfId="0" applyFont="1" applyFill="1" applyBorder="1" applyAlignment="1" applyProtection="1">
      <alignment horizontal="center"/>
      <protection hidden="1"/>
    </xf>
    <xf numFmtId="0" fontId="4" fillId="3" borderId="6" xfId="0" applyFont="1" applyFill="1" applyBorder="1" applyAlignment="1" applyProtection="1">
      <alignment horizontal="center"/>
      <protection hidden="1"/>
    </xf>
    <xf numFmtId="0" fontId="4" fillId="3" borderId="12" xfId="0" applyFont="1" applyFill="1" applyBorder="1" applyAlignment="1" applyProtection="1">
      <alignment horizontal="center"/>
      <protection hidden="1"/>
    </xf>
    <xf numFmtId="0" fontId="16" fillId="2" borderId="0" xfId="0" applyFont="1" applyFill="1" applyProtection="1">
      <protection hidden="1"/>
    </xf>
    <xf numFmtId="0" fontId="15" fillId="2" borderId="0" xfId="0" applyFont="1" applyFill="1" applyAlignment="1" applyProtection="1">
      <alignment horizontal="left"/>
      <protection hidden="1"/>
    </xf>
    <xf numFmtId="0" fontId="0" fillId="0" borderId="0" xfId="0" applyAlignment="1" applyProtection="1">
      <alignment wrapText="1"/>
      <protection hidden="1"/>
    </xf>
    <xf numFmtId="0" fontId="9" fillId="3" borderId="0" xfId="0" applyFont="1" applyFill="1" applyAlignment="1" applyProtection="1">
      <alignment vertical="center"/>
      <protection hidden="1"/>
    </xf>
    <xf numFmtId="0" fontId="8" fillId="3" borderId="0" xfId="0" applyFont="1" applyFill="1" applyAlignment="1" applyProtection="1">
      <alignment vertical="center"/>
      <protection hidden="1"/>
    </xf>
    <xf numFmtId="4" fontId="8" fillId="3" borderId="0" xfId="0" applyNumberFormat="1" applyFont="1" applyFill="1" applyAlignment="1" applyProtection="1">
      <alignment vertical="center"/>
      <protection hidden="1"/>
    </xf>
    <xf numFmtId="39" fontId="8" fillId="3" borderId="0" xfId="0" applyNumberFormat="1" applyFont="1" applyFill="1" applyAlignment="1" applyProtection="1">
      <alignment horizontal="right" vertical="center"/>
      <protection hidden="1"/>
    </xf>
    <xf numFmtId="1" fontId="31" fillId="2" borderId="12" xfId="0" applyNumberFormat="1" applyFont="1" applyFill="1" applyBorder="1" applyProtection="1">
      <protection locked="0"/>
    </xf>
    <xf numFmtId="1" fontId="0" fillId="10" borderId="0" xfId="0" applyNumberFormat="1" applyFill="1" applyProtection="1">
      <protection hidden="1"/>
    </xf>
    <xf numFmtId="0" fontId="9" fillId="3" borderId="7" xfId="0" applyFont="1" applyFill="1" applyBorder="1" applyAlignment="1" applyProtection="1">
      <alignment horizontal="right"/>
      <protection hidden="1"/>
    </xf>
    <xf numFmtId="0" fontId="6" fillId="3" borderId="0" xfId="0" applyFont="1" applyFill="1" applyAlignment="1" applyProtection="1">
      <alignment horizontal="left"/>
      <protection hidden="1"/>
    </xf>
    <xf numFmtId="0" fontId="59" fillId="2" borderId="0" xfId="0" applyFont="1" applyFill="1" applyProtection="1">
      <protection hidden="1"/>
    </xf>
    <xf numFmtId="0" fontId="0" fillId="2" borderId="2" xfId="0" applyFill="1" applyBorder="1" applyProtection="1">
      <protection locked="0"/>
    </xf>
    <xf numFmtId="4" fontId="57" fillId="2" borderId="0" xfId="0" applyNumberFormat="1" applyFont="1" applyFill="1" applyProtection="1">
      <protection hidden="1"/>
    </xf>
    <xf numFmtId="0" fontId="20" fillId="2" borderId="0" xfId="0" applyFont="1" applyFill="1" applyAlignment="1" applyProtection="1">
      <alignment horizontal="left" vertical="center"/>
      <protection hidden="1"/>
    </xf>
    <xf numFmtId="0" fontId="10" fillId="2" borderId="0" xfId="0" applyFont="1" applyFill="1" applyAlignment="1" applyProtection="1">
      <alignment horizontal="center"/>
      <protection hidden="1"/>
    </xf>
    <xf numFmtId="37" fontId="8" fillId="3" borderId="1" xfId="0" applyNumberFormat="1" applyFont="1" applyFill="1" applyBorder="1" applyAlignment="1" applyProtection="1">
      <alignment horizontal="right"/>
      <protection locked="0"/>
    </xf>
    <xf numFmtId="40" fontId="26" fillId="2" borderId="0" xfId="0" applyNumberFormat="1" applyFont="1" applyFill="1" applyAlignment="1" applyProtection="1">
      <alignment horizontal="center"/>
      <protection hidden="1"/>
    </xf>
    <xf numFmtId="1" fontId="0" fillId="2" borderId="0" xfId="0" applyNumberFormat="1" applyFill="1" applyProtection="1">
      <protection hidden="1"/>
    </xf>
    <xf numFmtId="38" fontId="8" fillId="2" borderId="20" xfId="0" applyNumberFormat="1" applyFont="1" applyFill="1" applyBorder="1" applyProtection="1">
      <protection hidden="1"/>
    </xf>
    <xf numFmtId="38" fontId="0" fillId="2" borderId="20" xfId="0" applyNumberFormat="1" applyFill="1" applyBorder="1" applyProtection="1">
      <protection locked="0"/>
    </xf>
    <xf numFmtId="4" fontId="4" fillId="3" borderId="7" xfId="0" applyNumberFormat="1" applyFont="1" applyFill="1" applyBorder="1" applyAlignment="1" applyProtection="1">
      <alignment horizontal="right" vertical="top"/>
      <protection hidden="1"/>
    </xf>
    <xf numFmtId="3" fontId="0" fillId="2" borderId="12" xfId="0" applyNumberFormat="1" applyFill="1" applyBorder="1" applyAlignment="1" applyProtection="1">
      <alignment vertical="center"/>
      <protection locked="0"/>
    </xf>
    <xf numFmtId="0" fontId="9" fillId="2" borderId="2" xfId="0" applyFont="1" applyFill="1" applyBorder="1" applyAlignment="1" applyProtection="1">
      <alignment horizontal="center" vertical="center"/>
      <protection locked="0"/>
    </xf>
    <xf numFmtId="0" fontId="22" fillId="4" borderId="0" xfId="0" applyFont="1" applyFill="1" applyAlignment="1" applyProtection="1">
      <alignment horizontal="center"/>
      <protection locked="0"/>
    </xf>
    <xf numFmtId="0" fontId="16" fillId="3" borderId="7" xfId="0" applyFont="1" applyFill="1" applyBorder="1" applyProtection="1">
      <protection hidden="1"/>
    </xf>
    <xf numFmtId="4" fontId="0" fillId="3" borderId="11" xfId="0" applyNumberFormat="1" applyFill="1" applyBorder="1" applyProtection="1">
      <protection hidden="1"/>
    </xf>
    <xf numFmtId="0" fontId="9" fillId="0" borderId="0" xfId="0" applyFont="1" applyAlignment="1" applyProtection="1">
      <alignment horizontal="right" vertical="center"/>
      <protection hidden="1"/>
    </xf>
    <xf numFmtId="0" fontId="8" fillId="0" borderId="0" xfId="0" applyFont="1" applyAlignment="1" applyProtection="1">
      <alignment horizontal="left" vertical="center"/>
      <protection hidden="1"/>
    </xf>
    <xf numFmtId="39" fontId="8" fillId="0" borderId="0" xfId="0" applyNumberFormat="1" applyFont="1" applyAlignment="1">
      <alignment horizontal="center" vertical="center"/>
    </xf>
    <xf numFmtId="0" fontId="8" fillId="5" borderId="0" xfId="0" applyFont="1" applyFill="1" applyProtection="1">
      <protection hidden="1"/>
    </xf>
    <xf numFmtId="0" fontId="9" fillId="3" borderId="0" xfId="0" applyFont="1" applyFill="1" applyAlignment="1" applyProtection="1">
      <alignment horizontal="right"/>
      <protection hidden="1"/>
    </xf>
    <xf numFmtId="3" fontId="8" fillId="2" borderId="1" xfId="0" applyNumberFormat="1" applyFont="1" applyFill="1" applyBorder="1" applyProtection="1">
      <protection locked="0"/>
    </xf>
    <xf numFmtId="0" fontId="0" fillId="5" borderId="19" xfId="0" applyFill="1" applyBorder="1" applyProtection="1">
      <protection hidden="1"/>
    </xf>
    <xf numFmtId="0" fontId="10" fillId="5" borderId="20" xfId="0" applyFont="1" applyFill="1" applyBorder="1" applyAlignment="1" applyProtection="1">
      <alignment horizontal="center"/>
      <protection hidden="1"/>
    </xf>
    <xf numFmtId="0" fontId="10" fillId="5" borderId="22" xfId="0" applyFont="1" applyFill="1" applyBorder="1" applyAlignment="1" applyProtection="1">
      <alignment horizontal="center"/>
      <protection hidden="1"/>
    </xf>
    <xf numFmtId="0" fontId="0" fillId="0" borderId="0" xfId="0" applyAlignment="1">
      <alignment vertical="top"/>
    </xf>
    <xf numFmtId="0" fontId="0" fillId="5" borderId="0" xfId="0" applyFill="1"/>
    <xf numFmtId="39" fontId="9" fillId="3" borderId="0" xfId="0" applyNumberFormat="1" applyFont="1" applyFill="1" applyAlignment="1" applyProtection="1">
      <alignment horizontal="right"/>
      <protection hidden="1"/>
    </xf>
    <xf numFmtId="0" fontId="0" fillId="0" borderId="0" xfId="0" applyAlignment="1">
      <alignment vertical="center"/>
    </xf>
    <xf numFmtId="0" fontId="8" fillId="3" borderId="1" xfId="0" applyFont="1" applyFill="1" applyBorder="1" applyAlignment="1" applyProtection="1">
      <alignment horizontal="left"/>
      <protection hidden="1"/>
    </xf>
    <xf numFmtId="0" fontId="67" fillId="0" borderId="0" xfId="2" applyAlignment="1" applyProtection="1">
      <alignment horizontal="center"/>
    </xf>
    <xf numFmtId="0" fontId="0" fillId="5" borderId="0" xfId="0" applyFill="1" applyAlignment="1">
      <alignment vertical="center"/>
    </xf>
    <xf numFmtId="0" fontId="9" fillId="5" borderId="0" xfId="0" applyFont="1" applyFill="1" applyProtection="1">
      <protection hidden="1"/>
    </xf>
    <xf numFmtId="4" fontId="8" fillId="5" borderId="0" xfId="0" applyNumberFormat="1" applyFont="1" applyFill="1" applyProtection="1">
      <protection hidden="1"/>
    </xf>
    <xf numFmtId="39" fontId="8" fillId="5" borderId="0" xfId="0" applyNumberFormat="1" applyFont="1" applyFill="1" applyAlignment="1" applyProtection="1">
      <alignment horizontal="right"/>
      <protection hidden="1"/>
    </xf>
    <xf numFmtId="0" fontId="4" fillId="5" borderId="0" xfId="0" applyFont="1" applyFill="1"/>
    <xf numFmtId="0" fontId="45" fillId="5" borderId="0" xfId="0" applyFont="1" applyFill="1"/>
    <xf numFmtId="4" fontId="0" fillId="5" borderId="0" xfId="0" applyNumberFormat="1" applyFill="1"/>
    <xf numFmtId="0" fontId="0" fillId="5" borderId="0" xfId="0" applyFill="1" applyAlignment="1">
      <alignment vertical="top"/>
    </xf>
    <xf numFmtId="0" fontId="10" fillId="5" borderId="0" xfId="0" applyFont="1" applyFill="1" applyAlignment="1" applyProtection="1">
      <alignment wrapText="1"/>
      <protection hidden="1"/>
    </xf>
    <xf numFmtId="0" fontId="10" fillId="5" borderId="0" xfId="0" applyFont="1" applyFill="1" applyAlignment="1" applyProtection="1">
      <alignment horizontal="left"/>
      <protection hidden="1"/>
    </xf>
    <xf numFmtId="0" fontId="16" fillId="3" borderId="0" xfId="0" applyFont="1" applyFill="1" applyAlignment="1" applyProtection="1">
      <alignment horizontal="left"/>
      <protection hidden="1"/>
    </xf>
    <xf numFmtId="0" fontId="10" fillId="0" borderId="0" xfId="0" applyFont="1" applyAlignment="1" applyProtection="1">
      <alignment horizontal="left"/>
      <protection hidden="1"/>
    </xf>
    <xf numFmtId="40" fontId="70" fillId="2" borderId="20" xfId="0" applyNumberFormat="1" applyFont="1" applyFill="1" applyBorder="1" applyAlignment="1" applyProtection="1">
      <alignment horizontal="right"/>
      <protection hidden="1"/>
    </xf>
    <xf numFmtId="40" fontId="60" fillId="5" borderId="0" xfId="0" applyNumberFormat="1" applyFont="1" applyFill="1" applyAlignment="1" applyProtection="1">
      <alignment horizontal="right"/>
      <protection hidden="1"/>
    </xf>
    <xf numFmtId="40" fontId="0" fillId="5" borderId="0" xfId="0" applyNumberFormat="1" applyFill="1" applyProtection="1">
      <protection hidden="1"/>
    </xf>
    <xf numFmtId="38" fontId="8" fillId="5" borderId="0" xfId="0" applyNumberFormat="1" applyFont="1" applyFill="1" applyProtection="1">
      <protection hidden="1"/>
    </xf>
    <xf numFmtId="38" fontId="0" fillId="5" borderId="0" xfId="0" applyNumberFormat="1" applyFill="1" applyAlignment="1" applyProtection="1">
      <alignment horizontal="center"/>
      <protection hidden="1"/>
    </xf>
    <xf numFmtId="0" fontId="93" fillId="2" borderId="0" xfId="0" applyFont="1" applyFill="1" applyProtection="1">
      <protection hidden="1"/>
    </xf>
    <xf numFmtId="164" fontId="69" fillId="2" borderId="0" xfId="0" applyNumberFormat="1" applyFont="1" applyFill="1" applyAlignment="1" applyProtection="1">
      <alignment horizontal="right"/>
      <protection hidden="1"/>
    </xf>
    <xf numFmtId="38" fontId="22" fillId="2" borderId="0" xfId="0" applyNumberFormat="1" applyFont="1" applyFill="1" applyAlignment="1" applyProtection="1">
      <alignment horizontal="center"/>
      <protection hidden="1"/>
    </xf>
    <xf numFmtId="38" fontId="22" fillId="2" borderId="4" xfId="0" applyNumberFormat="1" applyFont="1" applyFill="1" applyBorder="1" applyAlignment="1" applyProtection="1">
      <alignment horizontal="center"/>
      <protection hidden="1"/>
    </xf>
    <xf numFmtId="14" fontId="22" fillId="2" borderId="4" xfId="0" applyNumberFormat="1" applyFont="1" applyFill="1" applyBorder="1" applyAlignment="1" applyProtection="1">
      <alignment horizontal="center"/>
      <protection hidden="1"/>
    </xf>
    <xf numFmtId="1" fontId="94" fillId="2" borderId="0" xfId="0" applyNumberFormat="1" applyFont="1" applyFill="1" applyProtection="1">
      <protection hidden="1"/>
    </xf>
    <xf numFmtId="0" fontId="10" fillId="5" borderId="19" xfId="0" applyFont="1" applyFill="1" applyBorder="1" applyAlignment="1" applyProtection="1">
      <alignment horizontal="center"/>
      <protection hidden="1"/>
    </xf>
    <xf numFmtId="40" fontId="69" fillId="2" borderId="0" xfId="0" applyNumberFormat="1" applyFont="1" applyFill="1" applyAlignment="1" applyProtection="1">
      <alignment horizontal="right"/>
      <protection hidden="1"/>
    </xf>
    <xf numFmtId="0" fontId="10" fillId="5" borderId="5" xfId="0" applyFont="1" applyFill="1" applyBorder="1" applyAlignment="1" applyProtection="1">
      <alignment horizontal="center"/>
      <protection hidden="1"/>
    </xf>
    <xf numFmtId="0" fontId="10" fillId="5" borderId="7" xfId="0" applyFont="1" applyFill="1" applyBorder="1" applyAlignment="1" applyProtection="1">
      <alignment horizontal="center"/>
      <protection hidden="1"/>
    </xf>
    <xf numFmtId="164" fontId="69" fillId="2" borderId="0" xfId="0" applyNumberFormat="1" applyFont="1" applyFill="1" applyAlignment="1" applyProtection="1">
      <alignment horizontal="center"/>
      <protection hidden="1"/>
    </xf>
    <xf numFmtId="40" fontId="70" fillId="2" borderId="20" xfId="0" applyNumberFormat="1" applyFont="1" applyFill="1" applyBorder="1" applyAlignment="1" applyProtection="1">
      <alignment horizontal="center"/>
      <protection hidden="1"/>
    </xf>
    <xf numFmtId="1" fontId="8" fillId="0" borderId="60" xfId="0" applyNumberFormat="1" applyFont="1" applyBorder="1" applyAlignment="1" applyProtection="1">
      <alignment horizontal="center"/>
      <protection locked="0"/>
    </xf>
    <xf numFmtId="1" fontId="43" fillId="2" borderId="0" xfId="0" applyNumberFormat="1" applyFont="1" applyFill="1" applyProtection="1">
      <protection hidden="1"/>
    </xf>
    <xf numFmtId="0" fontId="25" fillId="2" borderId="0" xfId="0" applyFont="1" applyFill="1" applyProtection="1">
      <protection hidden="1"/>
    </xf>
    <xf numFmtId="0" fontId="8" fillId="2" borderId="20" xfId="0" applyFont="1" applyFill="1" applyBorder="1" applyAlignment="1" applyProtection="1">
      <alignment horizontal="center"/>
      <protection hidden="1"/>
    </xf>
    <xf numFmtId="0" fontId="61" fillId="5" borderId="0" xfId="0" applyFont="1" applyFill="1" applyAlignment="1" applyProtection="1">
      <alignment horizontal="left"/>
      <protection hidden="1"/>
    </xf>
    <xf numFmtId="0" fontId="0" fillId="5" borderId="0" xfId="0" applyFill="1" applyAlignment="1" applyProtection="1">
      <alignment wrapText="1"/>
      <protection hidden="1"/>
    </xf>
    <xf numFmtId="38" fontId="0" fillId="5" borderId="0" xfId="0" applyNumberFormat="1" applyFill="1" applyProtection="1">
      <protection locked="0"/>
    </xf>
    <xf numFmtId="40" fontId="4" fillId="2" borderId="0" xfId="0" applyNumberFormat="1" applyFont="1" applyFill="1" applyAlignment="1" applyProtection="1">
      <alignment horizontal="left"/>
      <protection hidden="1"/>
    </xf>
    <xf numFmtId="0" fontId="0" fillId="4" borderId="0" xfId="0" applyFill="1" applyAlignment="1" applyProtection="1">
      <alignment vertical="center"/>
      <protection locked="0"/>
    </xf>
    <xf numFmtId="0" fontId="0" fillId="2" borderId="0" xfId="0" applyFill="1" applyAlignment="1">
      <alignment vertical="center"/>
    </xf>
    <xf numFmtId="0" fontId="0" fillId="2" borderId="5" xfId="0" applyFill="1" applyBorder="1" applyAlignment="1" applyProtection="1">
      <alignment horizontal="left" vertical="center"/>
      <protection hidden="1"/>
    </xf>
    <xf numFmtId="0" fontId="67" fillId="0" borderId="0" xfId="2" applyAlignment="1" applyProtection="1"/>
    <xf numFmtId="0" fontId="4" fillId="0" borderId="0" xfId="0" applyFont="1" applyAlignment="1">
      <alignment horizontal="center"/>
    </xf>
    <xf numFmtId="0" fontId="22" fillId="4" borderId="0" xfId="0" applyFont="1" applyFill="1" applyProtection="1">
      <protection locked="0"/>
    </xf>
    <xf numFmtId="3" fontId="0" fillId="2" borderId="1" xfId="0" applyNumberFormat="1" applyFill="1" applyBorder="1" applyProtection="1">
      <protection locked="0"/>
    </xf>
    <xf numFmtId="38" fontId="8" fillId="2" borderId="0" xfId="0" applyNumberFormat="1" applyFont="1" applyFill="1" applyProtection="1">
      <protection locked="0"/>
    </xf>
    <xf numFmtId="1" fontId="31" fillId="2" borderId="0" xfId="0" applyNumberFormat="1" applyFont="1" applyFill="1" applyProtection="1">
      <protection locked="0"/>
    </xf>
    <xf numFmtId="40" fontId="9" fillId="2" borderId="0" xfId="0" applyNumberFormat="1" applyFont="1" applyFill="1" applyProtection="1">
      <protection hidden="1"/>
    </xf>
    <xf numFmtId="0" fontId="8" fillId="2" borderId="0" xfId="0" applyFont="1" applyFill="1" applyAlignment="1" applyProtection="1">
      <alignment horizontal="left" vertical="center"/>
      <protection hidden="1"/>
    </xf>
    <xf numFmtId="0" fontId="4" fillId="3" borderId="0" xfId="0" applyFont="1" applyFill="1" applyProtection="1">
      <protection locked="0"/>
    </xf>
    <xf numFmtId="0" fontId="0" fillId="0" borderId="0" xfId="0" applyAlignment="1">
      <alignment horizontal="right"/>
    </xf>
    <xf numFmtId="0" fontId="0" fillId="0" borderId="0" xfId="0" applyProtection="1">
      <protection locked="0"/>
    </xf>
    <xf numFmtId="0" fontId="0" fillId="0" borderId="0" xfId="0" applyAlignment="1" applyProtection="1">
      <alignment horizontal="left"/>
      <protection hidden="1"/>
    </xf>
    <xf numFmtId="0" fontId="67" fillId="11" borderId="61" xfId="2" applyFill="1" applyBorder="1" applyAlignment="1" applyProtection="1">
      <alignment horizontal="centerContinuous"/>
    </xf>
    <xf numFmtId="0" fontId="67" fillId="11" borderId="62" xfId="2" applyFill="1" applyBorder="1" applyAlignment="1" applyProtection="1">
      <alignment horizontal="centerContinuous"/>
    </xf>
    <xf numFmtId="0" fontId="67" fillId="11" borderId="63" xfId="2" applyFill="1" applyBorder="1" applyAlignment="1" applyProtection="1">
      <alignment horizontal="centerContinuous"/>
    </xf>
    <xf numFmtId="0" fontId="10" fillId="2" borderId="22" xfId="0" applyFont="1" applyFill="1" applyBorder="1" applyProtection="1">
      <protection hidden="1"/>
    </xf>
    <xf numFmtId="0" fontId="57" fillId="5" borderId="0" xfId="0" applyFont="1" applyFill="1" applyAlignment="1">
      <alignment horizontal="center"/>
    </xf>
    <xf numFmtId="38" fontId="8" fillId="2" borderId="8" xfId="0" applyNumberFormat="1" applyFont="1" applyFill="1" applyBorder="1" applyProtection="1">
      <protection hidden="1"/>
    </xf>
    <xf numFmtId="0" fontId="22" fillId="2" borderId="0" xfId="0" applyFont="1" applyFill="1" applyAlignment="1">
      <alignment horizontal="right"/>
    </xf>
    <xf numFmtId="3" fontId="22" fillId="2" borderId="4" xfId="0" applyNumberFormat="1" applyFont="1" applyFill="1" applyBorder="1"/>
    <xf numFmtId="0" fontId="96" fillId="4" borderId="0" xfId="0" applyFont="1" applyFill="1" applyProtection="1">
      <protection locked="0"/>
    </xf>
    <xf numFmtId="0" fontId="96" fillId="4" borderId="0" xfId="0" applyFont="1" applyFill="1" applyAlignment="1" applyProtection="1">
      <alignment vertical="center"/>
      <protection locked="0"/>
    </xf>
    <xf numFmtId="0" fontId="57" fillId="5" borderId="0" xfId="0" applyFont="1" applyFill="1"/>
    <xf numFmtId="0" fontId="0" fillId="0" borderId="65" xfId="0" applyBorder="1"/>
    <xf numFmtId="0" fontId="0" fillId="0" borderId="0" xfId="0" applyAlignment="1" applyProtection="1">
      <alignment vertical="top"/>
      <protection hidden="1"/>
    </xf>
    <xf numFmtId="3" fontId="0" fillId="2" borderId="12" xfId="0" applyNumberFormat="1" applyFill="1" applyBorder="1" applyProtection="1">
      <protection locked="0"/>
    </xf>
    <xf numFmtId="0" fontId="0" fillId="5" borderId="0" xfId="0" applyFill="1" applyAlignment="1">
      <alignment horizontal="centerContinuous"/>
    </xf>
    <xf numFmtId="0" fontId="57" fillId="5" borderId="0" xfId="0" applyFont="1" applyFill="1" applyAlignment="1">
      <alignment horizontal="centerContinuous"/>
    </xf>
    <xf numFmtId="3" fontId="0" fillId="0" borderId="0" xfId="0" applyNumberFormat="1"/>
    <xf numFmtId="3" fontId="8" fillId="2" borderId="2" xfId="0" applyNumberFormat="1" applyFont="1" applyFill="1" applyBorder="1" applyAlignment="1" applyProtection="1">
      <alignment horizontal="center"/>
      <protection locked="0"/>
    </xf>
    <xf numFmtId="0" fontId="29" fillId="0" borderId="0" xfId="0" applyFont="1"/>
    <xf numFmtId="38" fontId="88" fillId="2" borderId="0" xfId="0" applyNumberFormat="1" applyFont="1" applyFill="1" applyProtection="1">
      <protection hidden="1"/>
    </xf>
    <xf numFmtId="0" fontId="9" fillId="3" borderId="71" xfId="0" applyFont="1" applyFill="1" applyBorder="1" applyProtection="1">
      <protection hidden="1"/>
    </xf>
    <xf numFmtId="39" fontId="8" fillId="3" borderId="0" xfId="0" applyNumberFormat="1" applyFont="1" applyFill="1" applyProtection="1">
      <protection hidden="1"/>
    </xf>
    <xf numFmtId="0" fontId="6" fillId="5" borderId="0" xfId="0" applyFont="1" applyFill="1" applyProtection="1">
      <protection hidden="1"/>
    </xf>
    <xf numFmtId="40" fontId="70" fillId="2" borderId="20" xfId="0" applyNumberFormat="1" applyFont="1" applyFill="1" applyBorder="1" applyAlignment="1" applyProtection="1">
      <alignment horizontal="left" vertical="center"/>
      <protection hidden="1"/>
    </xf>
    <xf numFmtId="0" fontId="6" fillId="2" borderId="0" xfId="0" quotePrefix="1" applyFont="1" applyFill="1" applyAlignment="1">
      <alignment horizontal="right"/>
    </xf>
    <xf numFmtId="0" fontId="6" fillId="3" borderId="0" xfId="0" applyFont="1" applyFill="1" applyProtection="1">
      <protection hidden="1"/>
    </xf>
    <xf numFmtId="0" fontId="9" fillId="3" borderId="25" xfId="0" applyFont="1" applyFill="1" applyBorder="1" applyAlignment="1" applyProtection="1">
      <alignment horizontal="right"/>
      <protection hidden="1"/>
    </xf>
    <xf numFmtId="0" fontId="0" fillId="2" borderId="8" xfId="0" applyFill="1" applyBorder="1" applyAlignment="1">
      <alignment horizontal="center" wrapText="1"/>
    </xf>
    <xf numFmtId="0" fontId="98" fillId="0" borderId="0" xfId="0" applyFont="1" applyProtection="1">
      <protection hidden="1"/>
    </xf>
    <xf numFmtId="0" fontId="6" fillId="2" borderId="25" xfId="0" applyFont="1" applyFill="1" applyBorder="1" applyProtection="1">
      <protection hidden="1"/>
    </xf>
    <xf numFmtId="0" fontId="4" fillId="2" borderId="0" xfId="0" applyFont="1" applyFill="1"/>
    <xf numFmtId="4" fontId="8" fillId="2" borderId="0" xfId="0" applyNumberFormat="1" applyFont="1" applyFill="1"/>
    <xf numFmtId="0" fontId="4" fillId="2" borderId="0" xfId="0" applyFont="1" applyFill="1" applyAlignment="1">
      <alignment horizontal="center"/>
    </xf>
    <xf numFmtId="0" fontId="10" fillId="2" borderId="0" xfId="0" applyFont="1" applyFill="1"/>
    <xf numFmtId="0" fontId="12" fillId="3" borderId="0" xfId="0" applyFont="1" applyFill="1" applyAlignment="1" applyProtection="1">
      <alignment horizontal="right"/>
      <protection hidden="1"/>
    </xf>
    <xf numFmtId="4" fontId="0" fillId="3" borderId="3" xfId="0" applyNumberFormat="1" applyFill="1" applyBorder="1" applyProtection="1">
      <protection hidden="1"/>
    </xf>
    <xf numFmtId="0" fontId="10" fillId="3" borderId="0" xfId="0" applyFont="1" applyFill="1" applyAlignment="1" applyProtection="1">
      <alignment vertical="top"/>
      <protection hidden="1"/>
    </xf>
    <xf numFmtId="0" fontId="12" fillId="3" borderId="7" xfId="0" applyFont="1" applyFill="1" applyBorder="1" applyAlignment="1" applyProtection="1">
      <alignment horizontal="right"/>
      <protection hidden="1"/>
    </xf>
    <xf numFmtId="0" fontId="10" fillId="3" borderId="31" xfId="0" applyFont="1" applyFill="1" applyBorder="1" applyProtection="1">
      <protection hidden="1"/>
    </xf>
    <xf numFmtId="0" fontId="4" fillId="3" borderId="31" xfId="0" applyFont="1" applyFill="1" applyBorder="1" applyAlignment="1" applyProtection="1">
      <alignment horizontal="center"/>
      <protection hidden="1"/>
    </xf>
    <xf numFmtId="4" fontId="0" fillId="3" borderId="31" xfId="0" applyNumberFormat="1" applyFill="1" applyBorder="1" applyProtection="1">
      <protection hidden="1"/>
    </xf>
    <xf numFmtId="0" fontId="16" fillId="3" borderId="7" xfId="0" applyFont="1" applyFill="1" applyBorder="1" applyAlignment="1" applyProtection="1">
      <alignment horizontal="right"/>
      <protection hidden="1"/>
    </xf>
    <xf numFmtId="0" fontId="0" fillId="0" borderId="0" xfId="0" applyAlignment="1" applyProtection="1">
      <alignment horizontal="left"/>
      <protection locked="0"/>
    </xf>
    <xf numFmtId="0" fontId="0" fillId="2" borderId="8" xfId="0" applyFill="1" applyBorder="1" applyAlignment="1" applyProtection="1">
      <alignment horizontal="left"/>
      <protection locked="0"/>
    </xf>
    <xf numFmtId="39" fontId="9" fillId="3" borderId="0" xfId="0" applyNumberFormat="1" applyFont="1" applyFill="1" applyProtection="1">
      <protection hidden="1"/>
    </xf>
    <xf numFmtId="0" fontId="4" fillId="3" borderId="74" xfId="0" applyFont="1" applyFill="1" applyBorder="1" applyAlignment="1" applyProtection="1">
      <alignment horizontal="center"/>
      <protection locked="0"/>
    </xf>
    <xf numFmtId="4" fontId="10" fillId="3" borderId="7" xfId="0" applyNumberFormat="1" applyFont="1" applyFill="1" applyBorder="1" applyAlignment="1" applyProtection="1">
      <alignment horizontal="center" vertical="top"/>
      <protection hidden="1"/>
    </xf>
    <xf numFmtId="3" fontId="100" fillId="0" borderId="0" xfId="0" applyNumberFormat="1" applyFont="1" applyAlignment="1" applyProtection="1">
      <alignment horizontal="center" wrapText="1"/>
      <protection hidden="1"/>
    </xf>
    <xf numFmtId="3" fontId="100" fillId="0" borderId="7" xfId="0" applyNumberFormat="1" applyFont="1" applyBorder="1" applyAlignment="1" applyProtection="1">
      <alignment horizontal="center" wrapText="1"/>
      <protection hidden="1"/>
    </xf>
    <xf numFmtId="39" fontId="8" fillId="2" borderId="0" xfId="0" applyNumberFormat="1" applyFont="1" applyFill="1" applyAlignment="1" applyProtection="1">
      <alignment horizontal="right"/>
      <protection locked="0"/>
    </xf>
    <xf numFmtId="39" fontId="8" fillId="2" borderId="0" xfId="0" applyNumberFormat="1" applyFont="1" applyFill="1" applyProtection="1">
      <protection locked="0"/>
    </xf>
    <xf numFmtId="0" fontId="8" fillId="2" borderId="0" xfId="0" applyFont="1" applyFill="1"/>
    <xf numFmtId="0" fontId="9" fillId="2" borderId="0" xfId="0" applyFont="1" applyFill="1" applyAlignment="1">
      <alignment horizontal="right"/>
    </xf>
    <xf numFmtId="3" fontId="10" fillId="0" borderId="12" xfId="0" applyNumberFormat="1" applyFont="1" applyBorder="1"/>
    <xf numFmtId="0" fontId="10" fillId="0" borderId="12" xfId="0" applyFont="1" applyBorder="1" applyAlignment="1">
      <alignment horizontal="center"/>
    </xf>
    <xf numFmtId="0" fontId="10" fillId="0" borderId="0" xfId="0" applyFont="1" applyAlignment="1">
      <alignment horizontal="right"/>
    </xf>
    <xf numFmtId="0" fontId="10" fillId="0" borderId="0" xfId="0" applyFont="1" applyAlignment="1" applyProtection="1">
      <alignment horizontal="right"/>
      <protection hidden="1"/>
    </xf>
    <xf numFmtId="0" fontId="0" fillId="15" borderId="0" xfId="0" applyFill="1"/>
    <xf numFmtId="0" fontId="57" fillId="2" borderId="59" xfId="0" applyFont="1" applyFill="1" applyBorder="1" applyAlignment="1" applyProtection="1">
      <alignment horizontal="right"/>
      <protection hidden="1"/>
    </xf>
    <xf numFmtId="0" fontId="57" fillId="2" borderId="60" xfId="0" applyFont="1" applyFill="1" applyBorder="1" applyAlignment="1" applyProtection="1">
      <alignment horizontal="right"/>
      <protection hidden="1"/>
    </xf>
    <xf numFmtId="0" fontId="0" fillId="2" borderId="60" xfId="0" applyFill="1" applyBorder="1" applyProtection="1">
      <protection hidden="1"/>
    </xf>
    <xf numFmtId="0" fontId="0" fillId="15" borderId="16" xfId="0" applyFill="1" applyBorder="1"/>
    <xf numFmtId="0" fontId="107" fillId="2" borderId="5" xfId="0" applyFont="1" applyFill="1" applyBorder="1" applyAlignment="1" applyProtection="1">
      <alignment horizontal="right"/>
      <protection hidden="1"/>
    </xf>
    <xf numFmtId="0" fontId="108" fillId="2" borderId="41" xfId="0" applyFont="1" applyFill="1" applyBorder="1" applyProtection="1">
      <protection hidden="1"/>
    </xf>
    <xf numFmtId="0" fontId="107" fillId="2" borderId="5" xfId="0" applyFont="1" applyFill="1" applyBorder="1" applyAlignment="1" applyProtection="1">
      <alignment horizontal="right" vertical="top"/>
      <protection hidden="1"/>
    </xf>
    <xf numFmtId="0" fontId="108" fillId="2" borderId="41" xfId="0" applyFont="1" applyFill="1" applyBorder="1" applyAlignment="1" applyProtection="1">
      <alignment wrapText="1"/>
      <protection hidden="1"/>
    </xf>
    <xf numFmtId="4" fontId="108" fillId="2" borderId="49" xfId="0" applyNumberFormat="1" applyFont="1" applyFill="1" applyBorder="1" applyAlignment="1" applyProtection="1">
      <alignment horizontal="center"/>
      <protection hidden="1"/>
    </xf>
    <xf numFmtId="0" fontId="107" fillId="2" borderId="21" xfId="0" applyFont="1" applyFill="1" applyBorder="1" applyAlignment="1" applyProtection="1">
      <alignment horizontal="right"/>
      <protection hidden="1"/>
    </xf>
    <xf numFmtId="0" fontId="111" fillId="5" borderId="0" xfId="0" applyFont="1" applyFill="1" applyAlignment="1" applyProtection="1">
      <alignment horizontal="center" vertical="center"/>
      <protection locked="0"/>
    </xf>
    <xf numFmtId="0" fontId="6" fillId="0" borderId="4" xfId="0" applyFont="1" applyBorder="1" applyAlignment="1" applyProtection="1">
      <alignment vertical="top"/>
      <protection hidden="1"/>
    </xf>
    <xf numFmtId="4" fontId="0" fillId="3" borderId="69" xfId="0" applyNumberFormat="1" applyFill="1" applyBorder="1" applyProtection="1">
      <protection hidden="1"/>
    </xf>
    <xf numFmtId="4" fontId="0" fillId="15" borderId="3" xfId="0" applyNumberFormat="1" applyFill="1" applyBorder="1" applyProtection="1">
      <protection hidden="1"/>
    </xf>
    <xf numFmtId="4" fontId="0" fillId="15" borderId="0" xfId="0" applyNumberFormat="1" applyFill="1" applyProtection="1">
      <protection hidden="1"/>
    </xf>
    <xf numFmtId="4" fontId="0" fillId="15" borderId="24" xfId="0" applyNumberFormat="1" applyFill="1" applyBorder="1" applyProtection="1">
      <protection hidden="1"/>
    </xf>
    <xf numFmtId="4" fontId="0" fillId="3" borderId="70" xfId="0" applyNumberFormat="1" applyFill="1" applyBorder="1" applyProtection="1">
      <protection hidden="1"/>
    </xf>
    <xf numFmtId="0" fontId="112" fillId="3" borderId="25" xfId="0" applyFont="1" applyFill="1" applyBorder="1" applyProtection="1">
      <protection hidden="1"/>
    </xf>
    <xf numFmtId="0" fontId="112" fillId="3" borderId="31" xfId="0" applyFont="1" applyFill="1" applyBorder="1" applyProtection="1">
      <protection hidden="1"/>
    </xf>
    <xf numFmtId="0" fontId="110" fillId="2" borderId="0" xfId="0" applyFont="1" applyFill="1" applyProtection="1">
      <protection hidden="1"/>
    </xf>
    <xf numFmtId="3" fontId="0" fillId="2" borderId="12" xfId="0" applyNumberFormat="1" applyFill="1" applyBorder="1" applyAlignment="1" applyProtection="1">
      <alignment horizontal="right" vertical="center"/>
      <protection locked="0"/>
    </xf>
    <xf numFmtId="0" fontId="0" fillId="15" borderId="0" xfId="0" applyFill="1" applyProtection="1">
      <protection hidden="1"/>
    </xf>
    <xf numFmtId="0" fontId="4" fillId="16" borderId="12" xfId="0" applyFont="1" applyFill="1" applyBorder="1" applyAlignment="1" applyProtection="1">
      <alignment horizontal="center" vertical="center"/>
      <protection locked="0"/>
    </xf>
    <xf numFmtId="0" fontId="4" fillId="16" borderId="2" xfId="0" applyFont="1" applyFill="1" applyBorder="1" applyAlignment="1" applyProtection="1">
      <alignment horizontal="center" vertical="center"/>
      <protection locked="0"/>
    </xf>
    <xf numFmtId="0" fontId="9" fillId="16" borderId="12" xfId="0" applyFont="1" applyFill="1" applyBorder="1" applyAlignment="1" applyProtection="1">
      <alignment horizontal="center" vertical="center"/>
      <protection locked="0"/>
    </xf>
    <xf numFmtId="167" fontId="9" fillId="16" borderId="12" xfId="0" applyNumberFormat="1" applyFont="1" applyFill="1" applyBorder="1" applyAlignment="1" applyProtection="1">
      <alignment horizontal="center"/>
      <protection locked="0"/>
    </xf>
    <xf numFmtId="0" fontId="9" fillId="16" borderId="2" xfId="0" applyFont="1" applyFill="1" applyBorder="1" applyAlignment="1" applyProtection="1">
      <alignment horizontal="center" vertical="center"/>
      <protection locked="0"/>
    </xf>
    <xf numFmtId="0" fontId="10" fillId="15" borderId="0" xfId="0" applyFont="1" applyFill="1" applyProtection="1">
      <protection hidden="1"/>
    </xf>
    <xf numFmtId="0" fontId="4" fillId="20" borderId="2" xfId="0" applyFont="1" applyFill="1" applyBorder="1" applyAlignment="1" applyProtection="1">
      <alignment horizontal="center" vertical="center"/>
      <protection locked="0"/>
    </xf>
    <xf numFmtId="0" fontId="8" fillId="3" borderId="8" xfId="0" applyFont="1" applyFill="1" applyBorder="1" applyProtection="1">
      <protection hidden="1"/>
    </xf>
    <xf numFmtId="49" fontId="4" fillId="20" borderId="10" xfId="0" applyNumberFormat="1" applyFont="1" applyFill="1" applyBorder="1" applyAlignment="1" applyProtection="1">
      <alignment horizontal="center" vertical="center"/>
      <protection locked="0"/>
    </xf>
    <xf numFmtId="49" fontId="4" fillId="20" borderId="18" xfId="0" applyNumberFormat="1" applyFont="1" applyFill="1" applyBorder="1" applyAlignment="1" applyProtection="1">
      <alignment horizontal="center" vertical="center"/>
      <protection locked="0"/>
    </xf>
    <xf numFmtId="49" fontId="4" fillId="20" borderId="11" xfId="0" applyNumberFormat="1" applyFont="1" applyFill="1" applyBorder="1" applyAlignment="1" applyProtection="1">
      <alignment horizontal="center" vertical="center"/>
      <protection locked="0"/>
    </xf>
    <xf numFmtId="37" fontId="9" fillId="20" borderId="10" xfId="0" applyNumberFormat="1" applyFont="1" applyFill="1" applyBorder="1" applyAlignment="1" applyProtection="1">
      <alignment horizontal="right"/>
      <protection locked="0"/>
    </xf>
    <xf numFmtId="37" fontId="9" fillId="16" borderId="10" xfId="0" applyNumberFormat="1" applyFont="1" applyFill="1" applyBorder="1" applyAlignment="1" applyProtection="1">
      <alignment horizontal="right"/>
      <protection locked="0"/>
    </xf>
    <xf numFmtId="0" fontId="0" fillId="21" borderId="0" xfId="0" applyFill="1"/>
    <xf numFmtId="39" fontId="8" fillId="21" borderId="0" xfId="0" applyNumberFormat="1" applyFont="1" applyFill="1" applyAlignment="1" applyProtection="1">
      <alignment horizontal="right"/>
      <protection locked="0"/>
    </xf>
    <xf numFmtId="39" fontId="8" fillId="21" borderId="0" xfId="0" applyNumberFormat="1" applyFont="1" applyFill="1" applyProtection="1">
      <protection locked="0"/>
    </xf>
    <xf numFmtId="0" fontId="6" fillId="2" borderId="1" xfId="0" applyFont="1" applyFill="1" applyBorder="1" applyProtection="1">
      <protection hidden="1"/>
    </xf>
    <xf numFmtId="0" fontId="9" fillId="0" borderId="12" xfId="0" applyFont="1" applyBorder="1" applyAlignment="1" applyProtection="1">
      <alignment horizontal="left" wrapText="1"/>
      <protection locked="0"/>
    </xf>
    <xf numFmtId="4" fontId="0" fillId="0" borderId="12" xfId="0" applyNumberFormat="1" applyBorder="1" applyAlignment="1" applyProtection="1">
      <alignment wrapText="1"/>
      <protection locked="0"/>
    </xf>
    <xf numFmtId="3" fontId="0" fillId="0" borderId="12" xfId="0" applyNumberFormat="1" applyBorder="1" applyAlignment="1" applyProtection="1">
      <alignment wrapText="1"/>
      <protection locked="0"/>
    </xf>
    <xf numFmtId="4" fontId="6" fillId="0" borderId="39" xfId="0" applyNumberFormat="1" applyFont="1" applyBorder="1" applyAlignment="1" applyProtection="1">
      <alignment horizontal="center" wrapText="1"/>
      <protection locked="0"/>
    </xf>
    <xf numFmtId="174" fontId="0" fillId="0" borderId="12" xfId="0" applyNumberFormat="1" applyBorder="1" applyAlignment="1" applyProtection="1">
      <alignment horizontal="center" wrapText="1"/>
      <protection locked="0"/>
    </xf>
    <xf numFmtId="0" fontId="0" fillId="15" borderId="20" xfId="0" applyFill="1" applyBorder="1" applyProtection="1">
      <protection hidden="1"/>
    </xf>
    <xf numFmtId="0" fontId="4" fillId="15" borderId="12" xfId="0" applyFont="1" applyFill="1" applyBorder="1" applyAlignment="1" applyProtection="1">
      <alignment horizontal="center" vertical="center"/>
      <protection locked="0"/>
    </xf>
    <xf numFmtId="0" fontId="11" fillId="16" borderId="2" xfId="0" applyFont="1" applyFill="1" applyBorder="1" applyAlignment="1" applyProtection="1">
      <alignment horizontal="center" vertical="center"/>
      <protection locked="0"/>
    </xf>
    <xf numFmtId="0" fontId="110" fillId="15" borderId="0" xfId="0" applyFont="1" applyFill="1" applyAlignment="1" applyProtection="1">
      <alignment horizontal="center"/>
      <protection hidden="1"/>
    </xf>
    <xf numFmtId="0" fontId="10" fillId="0" borderId="0" xfId="0" applyFont="1" applyAlignment="1">
      <alignment vertical="center"/>
    </xf>
    <xf numFmtId="164" fontId="4" fillId="2" borderId="2" xfId="0" applyNumberFormat="1" applyFont="1" applyFill="1" applyBorder="1" applyAlignment="1" applyProtection="1">
      <alignment horizontal="center" vertical="center"/>
      <protection locked="0"/>
    </xf>
    <xf numFmtId="0" fontId="110" fillId="0" borderId="0" xfId="0" applyFont="1"/>
    <xf numFmtId="40" fontId="57" fillId="2" borderId="0" xfId="0" applyNumberFormat="1" applyFont="1" applyFill="1" applyAlignment="1" applyProtection="1">
      <alignment horizontal="right" vertical="center"/>
      <protection hidden="1"/>
    </xf>
    <xf numFmtId="0" fontId="0" fillId="15" borderId="23" xfId="0" applyFill="1" applyBorder="1" applyProtection="1">
      <protection hidden="1"/>
    </xf>
    <xf numFmtId="0" fontId="0" fillId="15" borderId="7" xfId="0" applyFill="1" applyBorder="1" applyProtection="1">
      <protection hidden="1"/>
    </xf>
    <xf numFmtId="0" fontId="0" fillId="15" borderId="19" xfId="0" applyFill="1" applyBorder="1" applyProtection="1">
      <protection hidden="1"/>
    </xf>
    <xf numFmtId="0" fontId="6" fillId="15" borderId="0" xfId="0" applyFont="1" applyFill="1" applyProtection="1">
      <protection hidden="1"/>
    </xf>
    <xf numFmtId="0" fontId="0" fillId="15" borderId="5" xfId="0" applyFill="1" applyBorder="1" applyProtection="1">
      <protection hidden="1"/>
    </xf>
    <xf numFmtId="0" fontId="0" fillId="15" borderId="21" xfId="0" applyFill="1" applyBorder="1" applyProtection="1">
      <protection hidden="1"/>
    </xf>
    <xf numFmtId="0" fontId="0" fillId="15" borderId="4" xfId="0" applyFill="1" applyBorder="1" applyProtection="1">
      <protection hidden="1"/>
    </xf>
    <xf numFmtId="0" fontId="0" fillId="15" borderId="22" xfId="0" applyFill="1" applyBorder="1" applyProtection="1">
      <protection hidden="1"/>
    </xf>
    <xf numFmtId="0" fontId="6" fillId="0" borderId="0" xfId="0" applyFont="1" applyAlignment="1">
      <alignment horizontal="center"/>
    </xf>
    <xf numFmtId="0" fontId="113" fillId="5" borderId="0" xfId="0" applyFont="1" applyFill="1" applyProtection="1">
      <protection hidden="1"/>
    </xf>
    <xf numFmtId="0" fontId="11" fillId="26" borderId="1" xfId="0" quotePrefix="1" applyFont="1" applyFill="1" applyBorder="1" applyProtection="1">
      <protection hidden="1"/>
    </xf>
    <xf numFmtId="0" fontId="4" fillId="26" borderId="1" xfId="0" applyFont="1" applyFill="1" applyBorder="1" applyProtection="1">
      <protection hidden="1"/>
    </xf>
    <xf numFmtId="0" fontId="110" fillId="0" borderId="0" xfId="0" applyFont="1" applyAlignment="1">
      <alignment horizontal="center"/>
    </xf>
    <xf numFmtId="0" fontId="8" fillId="15" borderId="0" xfId="0" applyFont="1" applyFill="1" applyAlignment="1">
      <alignment horizontal="left" vertical="top"/>
    </xf>
    <xf numFmtId="0" fontId="6" fillId="15" borderId="3" xfId="0" applyFont="1" applyFill="1" applyBorder="1" applyAlignment="1">
      <alignment horizontal="center"/>
    </xf>
    <xf numFmtId="0" fontId="6" fillId="15" borderId="24" xfId="0" applyFont="1" applyFill="1" applyBorder="1" applyAlignment="1">
      <alignment horizontal="center"/>
    </xf>
    <xf numFmtId="0" fontId="16" fillId="15" borderId="0" xfId="0" applyFont="1" applyFill="1"/>
    <xf numFmtId="39" fontId="6" fillId="3" borderId="0" xfId="0" applyNumberFormat="1" applyFont="1" applyFill="1" applyProtection="1">
      <protection hidden="1"/>
    </xf>
    <xf numFmtId="37" fontId="6" fillId="2" borderId="1" xfId="0" applyNumberFormat="1" applyFont="1" applyFill="1" applyBorder="1" applyProtection="1">
      <protection locked="0"/>
    </xf>
    <xf numFmtId="0" fontId="4" fillId="16" borderId="12" xfId="0" applyFont="1" applyFill="1" applyBorder="1" applyAlignment="1" applyProtection="1">
      <alignment horizontal="center"/>
      <protection locked="0"/>
    </xf>
    <xf numFmtId="0" fontId="125" fillId="2" borderId="0" xfId="0" applyFont="1" applyFill="1" applyAlignment="1" applyProtection="1">
      <alignment horizontal="center"/>
      <protection hidden="1"/>
    </xf>
    <xf numFmtId="0" fontId="15" fillId="2" borderId="2" xfId="0" applyFont="1" applyFill="1" applyBorder="1" applyAlignment="1" applyProtection="1">
      <alignment horizontal="center" vertical="center"/>
      <protection locked="0"/>
    </xf>
    <xf numFmtId="0" fontId="0" fillId="2" borderId="4" xfId="0" applyFill="1" applyBorder="1" applyAlignment="1" applyProtection="1">
      <alignment vertical="top"/>
      <protection hidden="1"/>
    </xf>
    <xf numFmtId="0" fontId="6" fillId="0" borderId="0" xfId="0" applyFont="1"/>
    <xf numFmtId="0" fontId="129" fillId="15" borderId="0" xfId="0" applyFont="1" applyFill="1" applyProtection="1">
      <protection hidden="1"/>
    </xf>
    <xf numFmtId="38" fontId="8" fillId="27" borderId="1" xfId="0" applyNumberFormat="1" applyFont="1" applyFill="1" applyBorder="1" applyProtection="1">
      <protection hidden="1"/>
    </xf>
    <xf numFmtId="38" fontId="8" fillId="16" borderId="1" xfId="0" applyNumberFormat="1" applyFont="1" applyFill="1" applyBorder="1" applyProtection="1">
      <protection locked="0"/>
    </xf>
    <xf numFmtId="164" fontId="4" fillId="16" borderId="2" xfId="0" applyNumberFormat="1" applyFont="1" applyFill="1" applyBorder="1" applyAlignment="1" applyProtection="1">
      <alignment horizontal="center" vertical="center"/>
      <protection locked="0"/>
    </xf>
    <xf numFmtId="37" fontId="8" fillId="27" borderId="1" xfId="0" applyNumberFormat="1" applyFont="1" applyFill="1" applyBorder="1" applyProtection="1">
      <protection hidden="1"/>
    </xf>
    <xf numFmtId="37" fontId="8" fillId="20" borderId="9" xfId="0" applyNumberFormat="1" applyFont="1" applyFill="1" applyBorder="1" applyAlignment="1" applyProtection="1">
      <alignment horizontal="right"/>
      <protection locked="0"/>
    </xf>
    <xf numFmtId="37" fontId="8" fillId="14" borderId="30" xfId="0" applyNumberFormat="1" applyFont="1" applyFill="1" applyBorder="1" applyAlignment="1" applyProtection="1">
      <alignment horizontal="right"/>
      <protection locked="0"/>
    </xf>
    <xf numFmtId="4" fontId="4" fillId="20" borderId="12" xfId="0" applyNumberFormat="1" applyFont="1" applyFill="1" applyBorder="1" applyAlignment="1" applyProtection="1">
      <alignment horizontal="center" vertical="center"/>
      <protection locked="0"/>
    </xf>
    <xf numFmtId="0" fontId="0" fillId="15" borderId="23" xfId="0" applyFill="1" applyBorder="1"/>
    <xf numFmtId="0" fontId="6" fillId="15" borderId="7" xfId="0" applyFont="1" applyFill="1" applyBorder="1"/>
    <xf numFmtId="0" fontId="6" fillId="15" borderId="19" xfId="0" applyFont="1" applyFill="1" applyBorder="1"/>
    <xf numFmtId="0" fontId="0" fillId="15" borderId="5" xfId="0" applyFill="1" applyBorder="1"/>
    <xf numFmtId="0" fontId="11" fillId="15" borderId="0" xfId="0" applyFont="1" applyFill="1" applyAlignment="1">
      <alignment vertical="center"/>
    </xf>
    <xf numFmtId="0" fontId="10" fillId="15" borderId="0" xfId="0" applyFont="1" applyFill="1"/>
    <xf numFmtId="0" fontId="6" fillId="15" borderId="0" xfId="0" applyFont="1" applyFill="1"/>
    <xf numFmtId="0" fontId="4" fillId="15" borderId="0" xfId="0" quotePrefix="1" applyFont="1" applyFill="1" applyAlignment="1">
      <alignment horizontal="right"/>
    </xf>
    <xf numFmtId="0" fontId="6" fillId="15" borderId="20" xfId="0" applyFont="1" applyFill="1" applyBorder="1"/>
    <xf numFmtId="0" fontId="0" fillId="15" borderId="21" xfId="0" applyFill="1" applyBorder="1"/>
    <xf numFmtId="0" fontId="10" fillId="15" borderId="4" xfId="0" applyFont="1" applyFill="1" applyBorder="1"/>
    <xf numFmtId="0" fontId="4" fillId="15" borderId="0" xfId="0" applyFont="1" applyFill="1"/>
    <xf numFmtId="0" fontId="6" fillId="15" borderId="0" xfId="0" quotePrefix="1" applyFont="1" applyFill="1"/>
    <xf numFmtId="0" fontId="6" fillId="15" borderId="0" xfId="0" quotePrefix="1" applyFont="1" applyFill="1" applyAlignment="1">
      <alignment horizontal="right"/>
    </xf>
    <xf numFmtId="37" fontId="8" fillId="20" borderId="1" xfId="0" applyNumberFormat="1" applyFont="1" applyFill="1" applyBorder="1" applyAlignment="1" applyProtection="1">
      <alignment horizontal="right"/>
      <protection locked="0"/>
    </xf>
    <xf numFmtId="37" fontId="116" fillId="14" borderId="30" xfId="0" applyNumberFormat="1" applyFont="1" applyFill="1" applyBorder="1" applyAlignment="1" applyProtection="1">
      <alignment horizontal="right"/>
      <protection locked="0"/>
    </xf>
    <xf numFmtId="37" fontId="116" fillId="14" borderId="3" xfId="0" applyNumberFormat="1" applyFont="1" applyFill="1" applyBorder="1" applyAlignment="1" applyProtection="1">
      <alignment horizontal="right"/>
      <protection locked="0"/>
    </xf>
    <xf numFmtId="37" fontId="8" fillId="3" borderId="38" xfId="0" applyNumberFormat="1" applyFont="1" applyFill="1" applyBorder="1" applyAlignment="1" applyProtection="1">
      <alignment horizontal="right"/>
      <protection locked="0"/>
    </xf>
    <xf numFmtId="0" fontId="0" fillId="0" borderId="0" xfId="0" applyAlignment="1">
      <alignment vertical="top" wrapText="1"/>
    </xf>
    <xf numFmtId="0" fontId="0" fillId="0" borderId="0" xfId="0" applyAlignment="1">
      <alignment horizontal="center" vertical="top" wrapText="1"/>
    </xf>
    <xf numFmtId="0" fontId="4" fillId="0" borderId="4" xfId="0" applyFont="1" applyBorder="1" applyAlignment="1">
      <alignment horizontal="center" wrapText="1"/>
    </xf>
    <xf numFmtId="0" fontId="67" fillId="0" borderId="0" xfId="2" applyAlignment="1" applyProtection="1">
      <alignment horizontal="center" wrapText="1"/>
    </xf>
    <xf numFmtId="0" fontId="6" fillId="3" borderId="25" xfId="0" applyFont="1" applyFill="1" applyBorder="1" applyProtection="1">
      <protection hidden="1"/>
    </xf>
    <xf numFmtId="39" fontId="8" fillId="14" borderId="0" xfId="0" applyNumberFormat="1" applyFont="1" applyFill="1" applyAlignment="1" applyProtection="1">
      <alignment horizontal="left"/>
      <protection hidden="1"/>
    </xf>
    <xf numFmtId="0" fontId="0" fillId="15" borderId="0" xfId="0" applyFill="1" applyAlignment="1">
      <alignment horizontal="left"/>
    </xf>
    <xf numFmtId="0" fontId="9" fillId="3" borderId="0" xfId="0" applyFont="1" applyFill="1" applyAlignment="1" applyProtection="1">
      <alignment horizontal="right" indent="1"/>
      <protection hidden="1"/>
    </xf>
    <xf numFmtId="1" fontId="9" fillId="20" borderId="12" xfId="0" applyNumberFormat="1" applyFont="1" applyFill="1" applyBorder="1" applyAlignment="1" applyProtection="1">
      <alignment horizontal="center"/>
      <protection locked="0"/>
    </xf>
    <xf numFmtId="4" fontId="9" fillId="3" borderId="0" xfId="0" applyNumberFormat="1" applyFont="1" applyFill="1" applyAlignment="1" applyProtection="1">
      <alignment horizontal="right" vertical="center"/>
      <protection hidden="1"/>
    </xf>
    <xf numFmtId="0" fontId="6" fillId="15" borderId="0" xfId="0" applyFont="1" applyFill="1" applyAlignment="1">
      <alignment horizontal="centerContinuous" vertical="center"/>
    </xf>
    <xf numFmtId="0" fontId="12" fillId="14" borderId="26" xfId="0" applyFont="1" applyFill="1" applyBorder="1" applyAlignment="1" applyProtection="1">
      <alignment horizontal="center"/>
      <protection hidden="1"/>
    </xf>
    <xf numFmtId="0" fontId="0" fillId="15" borderId="1" xfId="0" applyFill="1" applyBorder="1" applyAlignment="1">
      <alignment horizontal="center"/>
    </xf>
    <xf numFmtId="1" fontId="9" fillId="3" borderId="0" xfId="0" applyNumberFormat="1" applyFont="1" applyFill="1" applyAlignment="1" applyProtection="1">
      <alignment horizontal="right"/>
      <protection hidden="1"/>
    </xf>
    <xf numFmtId="0" fontId="12" fillId="3" borderId="3" xfId="0" applyFont="1" applyFill="1" applyBorder="1" applyProtection="1">
      <protection hidden="1"/>
    </xf>
    <xf numFmtId="39" fontId="8" fillId="3" borderId="13" xfId="0" applyNumberFormat="1" applyFont="1" applyFill="1" applyBorder="1" applyAlignment="1" applyProtection="1">
      <alignment horizontal="right"/>
      <protection hidden="1"/>
    </xf>
    <xf numFmtId="39" fontId="11" fillId="3" borderId="13" xfId="0" applyNumberFormat="1" applyFont="1" applyFill="1" applyBorder="1" applyAlignment="1" applyProtection="1">
      <alignment horizontal="left"/>
      <protection hidden="1"/>
    </xf>
    <xf numFmtId="0" fontId="47" fillId="3" borderId="34" xfId="0" applyFont="1" applyFill="1" applyBorder="1" applyProtection="1">
      <protection hidden="1"/>
    </xf>
    <xf numFmtId="0" fontId="15" fillId="3" borderId="34" xfId="0" applyFont="1" applyFill="1" applyBorder="1" applyAlignment="1" applyProtection="1">
      <alignment vertical="center"/>
      <protection hidden="1"/>
    </xf>
    <xf numFmtId="0" fontId="8" fillId="3" borderId="4" xfId="0" applyFont="1" applyFill="1" applyBorder="1" applyProtection="1">
      <protection hidden="1"/>
    </xf>
    <xf numFmtId="39" fontId="9" fillId="3" borderId="8" xfId="0" applyNumberFormat="1" applyFont="1" applyFill="1" applyBorder="1" applyProtection="1">
      <protection hidden="1"/>
    </xf>
    <xf numFmtId="0" fontId="0" fillId="15" borderId="7" xfId="0" applyFill="1" applyBorder="1"/>
    <xf numFmtId="0" fontId="0" fillId="15" borderId="19" xfId="0" applyFill="1" applyBorder="1"/>
    <xf numFmtId="0" fontId="0" fillId="15" borderId="20" xfId="0" applyFill="1" applyBorder="1"/>
    <xf numFmtId="0" fontId="0" fillId="15" borderId="4" xfId="0" applyFill="1" applyBorder="1"/>
    <xf numFmtId="0" fontId="0" fillId="15" borderId="22" xfId="0" applyFill="1" applyBorder="1"/>
    <xf numFmtId="0" fontId="112" fillId="0" borderId="0" xfId="0" applyFont="1"/>
    <xf numFmtId="0" fontId="0" fillId="0" borderId="0" xfId="0" applyAlignment="1">
      <alignment wrapText="1"/>
    </xf>
    <xf numFmtId="0" fontId="11" fillId="16" borderId="12" xfId="0" applyFont="1" applyFill="1" applyBorder="1" applyAlignment="1" applyProtection="1">
      <alignment horizontal="center" vertical="center"/>
      <protection locked="0"/>
    </xf>
    <xf numFmtId="0" fontId="0" fillId="19" borderId="0" xfId="0" applyFill="1" applyProtection="1">
      <protection hidden="1"/>
    </xf>
    <xf numFmtId="0" fontId="0" fillId="15" borderId="8" xfId="0" applyFill="1" applyBorder="1" applyProtection="1">
      <protection hidden="1"/>
    </xf>
    <xf numFmtId="3" fontId="6" fillId="16" borderId="1" xfId="0" applyNumberFormat="1" applyFont="1" applyFill="1" applyBorder="1" applyProtection="1">
      <protection locked="0"/>
    </xf>
    <xf numFmtId="0" fontId="8" fillId="3" borderId="0" xfId="0" applyFont="1" applyFill="1" applyAlignment="1" applyProtection="1">
      <alignment vertical="top"/>
      <protection hidden="1"/>
    </xf>
    <xf numFmtId="0" fontId="0" fillId="2" borderId="23" xfId="0" applyFill="1" applyBorder="1"/>
    <xf numFmtId="0" fontId="20" fillId="3" borderId="0" xfId="0" applyFont="1" applyFill="1" applyAlignment="1" applyProtection="1">
      <alignment vertical="center"/>
      <protection hidden="1"/>
    </xf>
    <xf numFmtId="3" fontId="110" fillId="0" borderId="0" xfId="0" applyNumberFormat="1" applyFont="1"/>
    <xf numFmtId="3" fontId="6" fillId="0" borderId="2" xfId="0" applyNumberFormat="1" applyFont="1" applyBorder="1" applyProtection="1">
      <protection locked="0"/>
    </xf>
    <xf numFmtId="3" fontId="110" fillId="3" borderId="3" xfId="0" applyNumberFormat="1" applyFont="1" applyFill="1" applyBorder="1" applyProtection="1">
      <protection locked="0"/>
    </xf>
    <xf numFmtId="0" fontId="128" fillId="15" borderId="0" xfId="0" applyFont="1" applyFill="1" applyAlignment="1">
      <alignment horizontal="center" vertical="center" wrapText="1"/>
    </xf>
    <xf numFmtId="0" fontId="110" fillId="15" borderId="7" xfId="0" applyFont="1" applyFill="1" applyBorder="1" applyAlignment="1" applyProtection="1">
      <alignment horizontal="center" vertical="center"/>
      <protection hidden="1"/>
    </xf>
    <xf numFmtId="168" fontId="0" fillId="15" borderId="0" xfId="0" applyNumberFormat="1" applyFill="1" applyProtection="1">
      <protection hidden="1"/>
    </xf>
    <xf numFmtId="3" fontId="0" fillId="15" borderId="0" xfId="0" applyNumberFormat="1" applyFill="1" applyProtection="1">
      <protection hidden="1"/>
    </xf>
    <xf numFmtId="0" fontId="129" fillId="15" borderId="0" xfId="0" applyFont="1" applyFill="1" applyAlignment="1" applyProtection="1">
      <alignment horizontal="center"/>
      <protection hidden="1"/>
    </xf>
    <xf numFmtId="171" fontId="0" fillId="15" borderId="0" xfId="0" applyNumberFormat="1" applyFill="1" applyAlignment="1" applyProtection="1">
      <alignment horizontal="right"/>
      <protection hidden="1"/>
    </xf>
    <xf numFmtId="0" fontId="6" fillId="15" borderId="5" xfId="0" applyFont="1" applyFill="1" applyBorder="1" applyAlignment="1" applyProtection="1">
      <alignment horizontal="left" indent="1"/>
      <protection hidden="1"/>
    </xf>
    <xf numFmtId="0" fontId="0" fillId="15" borderId="5" xfId="0" applyFill="1" applyBorder="1" applyAlignment="1" applyProtection="1">
      <alignment horizontal="left" indent="1"/>
      <protection hidden="1"/>
    </xf>
    <xf numFmtId="0" fontId="0" fillId="15" borderId="21" xfId="0" applyFill="1" applyBorder="1" applyAlignment="1" applyProtection="1">
      <alignment horizontal="left" indent="1"/>
      <protection hidden="1"/>
    </xf>
    <xf numFmtId="0" fontId="26" fillId="15" borderId="23" xfId="0" applyFont="1" applyFill="1" applyBorder="1" applyAlignment="1" applyProtection="1">
      <alignment horizontal="left" indent="1"/>
      <protection hidden="1"/>
    </xf>
    <xf numFmtId="0" fontId="0" fillId="15" borderId="0" xfId="0" applyFill="1" applyAlignment="1">
      <alignment vertical="top" wrapText="1"/>
    </xf>
    <xf numFmtId="0" fontId="0" fillId="15" borderId="30" xfId="0" applyFill="1" applyBorder="1"/>
    <xf numFmtId="0" fontId="0" fillId="15" borderId="8" xfId="0" applyFill="1" applyBorder="1"/>
    <xf numFmtId="0" fontId="0" fillId="15" borderId="14" xfId="0" applyFill="1" applyBorder="1"/>
    <xf numFmtId="0" fontId="0" fillId="15" borderId="3" xfId="0" applyFill="1" applyBorder="1"/>
    <xf numFmtId="0" fontId="0" fillId="15" borderId="24" xfId="0" applyFill="1" applyBorder="1"/>
    <xf numFmtId="0" fontId="0" fillId="15" borderId="3" xfId="0" applyFill="1" applyBorder="1" applyAlignment="1">
      <alignment vertical="center"/>
    </xf>
    <xf numFmtId="0" fontId="0" fillId="15" borderId="0" xfId="0" applyFill="1" applyAlignment="1">
      <alignment vertical="center"/>
    </xf>
    <xf numFmtId="0" fontId="0" fillId="15" borderId="9" xfId="0" applyFill="1" applyBorder="1"/>
    <xf numFmtId="0" fontId="0" fillId="15" borderId="1" xfId="0" applyFill="1" applyBorder="1"/>
    <xf numFmtId="0" fontId="0" fillId="15" borderId="11" xfId="0" applyFill="1" applyBorder="1"/>
    <xf numFmtId="0" fontId="67" fillId="15" borderId="5" xfId="2" applyFill="1" applyBorder="1" applyAlignment="1" applyProtection="1">
      <alignment horizontal="center"/>
      <protection hidden="1"/>
    </xf>
    <xf numFmtId="0" fontId="0" fillId="15" borderId="0" xfId="0" applyFill="1" applyAlignment="1">
      <alignment horizontal="center"/>
    </xf>
    <xf numFmtId="0" fontId="0" fillId="15" borderId="20" xfId="0" applyFill="1" applyBorder="1" applyAlignment="1">
      <alignment horizontal="center"/>
    </xf>
    <xf numFmtId="1" fontId="0" fillId="15" borderId="12" xfId="0" applyNumberFormat="1" applyFill="1" applyBorder="1" applyProtection="1">
      <protection locked="0"/>
    </xf>
    <xf numFmtId="1" fontId="0" fillId="15" borderId="24" xfId="0" applyNumberFormat="1" applyFill="1" applyBorder="1" applyProtection="1">
      <protection locked="0"/>
    </xf>
    <xf numFmtId="3" fontId="6" fillId="0" borderId="0" xfId="0" applyNumberFormat="1" applyFont="1" applyProtection="1">
      <protection locked="0"/>
    </xf>
    <xf numFmtId="0" fontId="150" fillId="0" borderId="0" xfId="0" applyFont="1" applyAlignment="1">
      <alignment vertical="center" wrapText="1"/>
    </xf>
    <xf numFmtId="0" fontId="0" fillId="0" borderId="0" xfId="0" applyAlignment="1" applyProtection="1">
      <alignment horizontal="right"/>
      <protection hidden="1"/>
    </xf>
    <xf numFmtId="0" fontId="4" fillId="2" borderId="0" xfId="0" applyFont="1" applyFill="1" applyAlignment="1" applyProtection="1">
      <alignment horizontal="center"/>
      <protection locked="0"/>
    </xf>
    <xf numFmtId="3" fontId="4" fillId="2" borderId="1" xfId="0" applyNumberFormat="1" applyFont="1" applyFill="1" applyBorder="1" applyProtection="1">
      <protection locked="0"/>
    </xf>
    <xf numFmtId="0" fontId="5" fillId="2" borderId="0" xfId="0" applyFont="1" applyFill="1" applyProtection="1">
      <protection hidden="1"/>
    </xf>
    <xf numFmtId="0" fontId="12" fillId="0" borderId="1" xfId="0" applyFont="1" applyBorder="1" applyAlignment="1" applyProtection="1">
      <alignment horizontal="center"/>
      <protection hidden="1"/>
    </xf>
    <xf numFmtId="0" fontId="10" fillId="0" borderId="21" xfId="0" applyFont="1" applyBorder="1" applyAlignment="1" applyProtection="1">
      <alignment horizontal="right"/>
      <protection hidden="1"/>
    </xf>
    <xf numFmtId="0" fontId="10" fillId="0" borderId="22" xfId="0" applyFont="1" applyBorder="1" applyAlignment="1" applyProtection="1">
      <alignment horizontal="right"/>
      <protection hidden="1"/>
    </xf>
    <xf numFmtId="0" fontId="10" fillId="0" borderId="4" xfId="0" applyFont="1" applyBorder="1" applyAlignment="1" applyProtection="1">
      <alignment horizontal="center"/>
      <protection hidden="1"/>
    </xf>
    <xf numFmtId="0" fontId="10" fillId="0" borderId="22" xfId="0" applyFont="1" applyBorder="1" applyAlignment="1" applyProtection="1">
      <alignment horizontal="center"/>
      <protection hidden="1"/>
    </xf>
    <xf numFmtId="0" fontId="0" fillId="0" borderId="20" xfId="0" applyBorder="1" applyAlignment="1" applyProtection="1">
      <alignment horizontal="right"/>
      <protection hidden="1"/>
    </xf>
    <xf numFmtId="0" fontId="6" fillId="2" borderId="0" xfId="0" applyFont="1" applyFill="1" applyAlignment="1" applyProtection="1">
      <alignment horizontal="center"/>
      <protection hidden="1"/>
    </xf>
    <xf numFmtId="3" fontId="151" fillId="15" borderId="0" xfId="0" applyNumberFormat="1" applyFont="1" applyFill="1" applyProtection="1">
      <protection locked="0"/>
    </xf>
    <xf numFmtId="1" fontId="151" fillId="15" borderId="0" xfId="0" applyNumberFormat="1" applyFont="1" applyFill="1" applyProtection="1">
      <protection locked="0"/>
    </xf>
    <xf numFmtId="0" fontId="4" fillId="15" borderId="0" xfId="0" applyFont="1" applyFill="1" applyAlignment="1" applyProtection="1">
      <alignment horizontal="center"/>
      <protection locked="0"/>
    </xf>
    <xf numFmtId="0" fontId="0" fillId="15" borderId="1" xfId="0" applyFill="1" applyBorder="1" applyAlignment="1" applyProtection="1">
      <alignment vertical="top"/>
      <protection hidden="1"/>
    </xf>
    <xf numFmtId="0" fontId="0" fillId="15" borderId="0" xfId="0" applyFill="1" applyAlignment="1" applyProtection="1">
      <alignment vertical="center"/>
      <protection hidden="1"/>
    </xf>
    <xf numFmtId="3" fontId="0" fillId="0" borderId="2" xfId="0" applyNumberFormat="1" applyBorder="1" applyProtection="1">
      <protection locked="0"/>
    </xf>
    <xf numFmtId="0" fontId="151" fillId="15" borderId="2" xfId="0" applyFont="1" applyFill="1" applyBorder="1" applyProtection="1">
      <protection locked="0"/>
    </xf>
    <xf numFmtId="0" fontId="151" fillId="15" borderId="2" xfId="0" applyFont="1" applyFill="1" applyBorder="1" applyAlignment="1" applyProtection="1">
      <alignment horizontal="center"/>
      <protection locked="0"/>
    </xf>
    <xf numFmtId="0" fontId="110" fillId="2" borderId="0" xfId="0" applyFont="1" applyFill="1"/>
    <xf numFmtId="38" fontId="8" fillId="16" borderId="1" xfId="0" applyNumberFormat="1" applyFont="1" applyFill="1" applyBorder="1" applyAlignment="1" applyProtection="1">
      <alignment horizontal="right"/>
      <protection locked="0"/>
    </xf>
    <xf numFmtId="37" fontId="0" fillId="16" borderId="1" xfId="0" applyNumberFormat="1" applyFill="1" applyBorder="1" applyProtection="1">
      <protection locked="0"/>
    </xf>
    <xf numFmtId="0" fontId="136" fillId="0" borderId="0" xfId="0" applyFont="1" applyProtection="1">
      <protection hidden="1"/>
    </xf>
    <xf numFmtId="3" fontId="136" fillId="0" borderId="0" xfId="0" applyNumberFormat="1" applyFont="1" applyProtection="1">
      <protection hidden="1"/>
    </xf>
    <xf numFmtId="3" fontId="135" fillId="0" borderId="0" xfId="0" applyNumberFormat="1" applyFont="1" applyProtection="1">
      <protection hidden="1"/>
    </xf>
    <xf numFmtId="3" fontId="128" fillId="0" borderId="20" xfId="0" applyNumberFormat="1" applyFont="1" applyBorder="1" applyAlignment="1" applyProtection="1">
      <alignment horizontal="right"/>
      <protection hidden="1"/>
    </xf>
    <xf numFmtId="3" fontId="128" fillId="0" borderId="0" xfId="0" applyNumberFormat="1" applyFont="1" applyAlignment="1" applyProtection="1">
      <alignment horizontal="right"/>
      <protection hidden="1"/>
    </xf>
    <xf numFmtId="3" fontId="151" fillId="15" borderId="2" xfId="0" applyNumberFormat="1" applyFont="1" applyFill="1" applyBorder="1" applyProtection="1">
      <protection locked="0"/>
    </xf>
    <xf numFmtId="3" fontId="9" fillId="16" borderId="1" xfId="0" applyNumberFormat="1" applyFont="1" applyFill="1" applyBorder="1" applyProtection="1">
      <protection locked="0"/>
    </xf>
    <xf numFmtId="184" fontId="4" fillId="0" borderId="4" xfId="0" applyNumberFormat="1" applyFont="1" applyBorder="1" applyAlignment="1" applyProtection="1">
      <alignment horizontal="center" wrapText="1"/>
      <protection hidden="1"/>
    </xf>
    <xf numFmtId="184" fontId="0" fillId="0" borderId="0" xfId="0" applyNumberFormat="1" applyAlignment="1" applyProtection="1">
      <alignment horizontal="center" vertical="top" wrapText="1"/>
      <protection hidden="1"/>
    </xf>
    <xf numFmtId="1" fontId="151" fillId="15" borderId="2" xfId="0" applyNumberFormat="1" applyFont="1" applyFill="1" applyBorder="1" applyAlignment="1" applyProtection="1">
      <alignment horizontal="center"/>
      <protection locked="0"/>
    </xf>
    <xf numFmtId="0" fontId="6" fillId="5" borderId="0" xfId="0" applyFont="1" applyFill="1" applyAlignment="1" applyProtection="1">
      <alignment horizontal="center"/>
      <protection locked="0"/>
    </xf>
    <xf numFmtId="0" fontId="4" fillId="3" borderId="7" xfId="0" applyFont="1" applyFill="1" applyBorder="1" applyAlignment="1" applyProtection="1">
      <alignment horizontal="left" vertical="top"/>
      <protection hidden="1"/>
    </xf>
    <xf numFmtId="39" fontId="6" fillId="3" borderId="1" xfId="0" applyNumberFormat="1" applyFont="1" applyFill="1" applyBorder="1" applyProtection="1">
      <protection hidden="1"/>
    </xf>
    <xf numFmtId="40" fontId="110" fillId="2" borderId="0" xfId="0" applyNumberFormat="1" applyFont="1" applyFill="1" applyProtection="1">
      <protection hidden="1"/>
    </xf>
    <xf numFmtId="0" fontId="4" fillId="32" borderId="0" xfId="0" applyFont="1" applyFill="1" applyAlignment="1" applyProtection="1">
      <alignment horizontal="center" wrapText="1"/>
      <protection locked="0"/>
    </xf>
    <xf numFmtId="4" fontId="6" fillId="32" borderId="81" xfId="0" applyNumberFormat="1" applyFont="1" applyFill="1" applyBorder="1" applyAlignment="1" applyProtection="1">
      <alignment horizontal="center"/>
      <protection locked="0"/>
    </xf>
    <xf numFmtId="0" fontId="0" fillId="15" borderId="0" xfId="0" applyFill="1" applyAlignment="1" applyProtection="1">
      <alignment horizontal="center"/>
      <protection hidden="1"/>
    </xf>
    <xf numFmtId="37" fontId="8" fillId="29" borderId="0" xfId="0" applyNumberFormat="1" applyFont="1" applyFill="1" applyAlignment="1" applyProtection="1">
      <alignment horizontal="right"/>
      <protection locked="0"/>
    </xf>
    <xf numFmtId="0" fontId="10" fillId="15" borderId="1" xfId="0" applyFont="1" applyFill="1" applyBorder="1"/>
    <xf numFmtId="0" fontId="11" fillId="15" borderId="23" xfId="0" applyFont="1" applyFill="1" applyBorder="1" applyProtection="1">
      <protection hidden="1"/>
    </xf>
    <xf numFmtId="0" fontId="11" fillId="15" borderId="5" xfId="0" applyFont="1" applyFill="1" applyBorder="1" applyProtection="1">
      <protection hidden="1"/>
    </xf>
    <xf numFmtId="37" fontId="0" fillId="27" borderId="1" xfId="0" applyNumberFormat="1" applyFill="1" applyBorder="1" applyProtection="1">
      <protection hidden="1"/>
    </xf>
    <xf numFmtId="0" fontId="22" fillId="0" borderId="0" xfId="0" applyFont="1" applyProtection="1">
      <protection hidden="1"/>
    </xf>
    <xf numFmtId="1" fontId="31" fillId="0" borderId="2" xfId="0" applyNumberFormat="1" applyFont="1" applyBorder="1" applyProtection="1">
      <protection locked="0"/>
    </xf>
    <xf numFmtId="0" fontId="6" fillId="15" borderId="0" xfId="0" quotePrefix="1" applyFont="1" applyFill="1" applyAlignment="1" applyProtection="1">
      <alignment horizontal="right"/>
      <protection hidden="1"/>
    </xf>
    <xf numFmtId="0" fontId="6" fillId="15" borderId="5" xfId="0" quotePrefix="1" applyFont="1" applyFill="1" applyBorder="1" applyAlignment="1" applyProtection="1">
      <alignment horizontal="right"/>
      <protection hidden="1"/>
    </xf>
    <xf numFmtId="0" fontId="5" fillId="15" borderId="0" xfId="0" applyFont="1" applyFill="1" applyProtection="1">
      <protection hidden="1"/>
    </xf>
    <xf numFmtId="0" fontId="6" fillId="15" borderId="0" xfId="0" applyFont="1" applyFill="1" applyAlignment="1" applyProtection="1">
      <alignment horizontal="center"/>
      <protection hidden="1"/>
    </xf>
    <xf numFmtId="0" fontId="11" fillId="16" borderId="2" xfId="0" applyFont="1" applyFill="1" applyBorder="1" applyAlignment="1" applyProtection="1">
      <alignment horizontal="center"/>
      <protection locked="0"/>
    </xf>
    <xf numFmtId="0" fontId="6" fillId="15" borderId="0" xfId="0" applyFont="1" applyFill="1" applyAlignment="1" applyProtection="1">
      <alignment horizontal="right"/>
      <protection hidden="1"/>
    </xf>
    <xf numFmtId="0" fontId="6" fillId="15" borderId="5" xfId="4" applyFill="1" applyBorder="1" applyProtection="1">
      <protection hidden="1"/>
    </xf>
    <xf numFmtId="0" fontId="6" fillId="15" borderId="0" xfId="4" applyFill="1" applyProtection="1">
      <protection hidden="1"/>
    </xf>
    <xf numFmtId="0" fontId="6" fillId="15" borderId="0" xfId="4" applyFill="1" applyAlignment="1" applyProtection="1">
      <alignment horizontal="right"/>
      <protection hidden="1"/>
    </xf>
    <xf numFmtId="0" fontId="6" fillId="15" borderId="4" xfId="4" applyFill="1" applyBorder="1" applyAlignment="1" applyProtection="1">
      <alignment horizontal="center"/>
      <protection hidden="1"/>
    </xf>
    <xf numFmtId="0" fontId="10" fillId="15" borderId="0" xfId="0" applyFont="1" applyFill="1" applyAlignment="1" applyProtection="1">
      <alignment horizontal="center"/>
      <protection hidden="1"/>
    </xf>
    <xf numFmtId="0" fontId="87" fillId="21" borderId="0" xfId="2" applyFont="1" applyFill="1" applyAlignment="1" applyProtection="1">
      <alignment horizontal="center"/>
    </xf>
    <xf numFmtId="0" fontId="9" fillId="2" borderId="4" xfId="0" applyFont="1" applyFill="1" applyBorder="1" applyAlignment="1" applyProtection="1">
      <alignment horizontal="center" vertical="center"/>
      <protection locked="0"/>
    </xf>
    <xf numFmtId="182" fontId="43" fillId="2" borderId="0" xfId="0" applyNumberFormat="1" applyFont="1" applyFill="1" applyProtection="1">
      <protection hidden="1"/>
    </xf>
    <xf numFmtId="15" fontId="110" fillId="2" borderId="0" xfId="0" applyNumberFormat="1" applyFont="1" applyFill="1" applyProtection="1">
      <protection hidden="1"/>
    </xf>
    <xf numFmtId="0" fontId="9" fillId="2" borderId="20" xfId="0" applyFont="1" applyFill="1" applyBorder="1" applyProtection="1">
      <protection hidden="1"/>
    </xf>
    <xf numFmtId="40" fontId="70" fillId="2" borderId="20" xfId="0" applyNumberFormat="1" applyFont="1" applyFill="1" applyBorder="1" applyAlignment="1" applyProtection="1">
      <alignment horizontal="right" vertical="center"/>
      <protection hidden="1"/>
    </xf>
    <xf numFmtId="0" fontId="0" fillId="21" borderId="0" xfId="0" applyFill="1" applyAlignment="1" applyProtection="1">
      <alignment horizontal="center"/>
      <protection hidden="1"/>
    </xf>
    <xf numFmtId="0" fontId="0" fillId="21" borderId="20" xfId="0" applyFill="1" applyBorder="1" applyAlignment="1" applyProtection="1">
      <alignment horizontal="center"/>
      <protection hidden="1"/>
    </xf>
    <xf numFmtId="0" fontId="10" fillId="5" borderId="7" xfId="0" applyFont="1" applyFill="1" applyBorder="1" applyAlignment="1" applyProtection="1">
      <alignment horizontal="left"/>
      <protection hidden="1"/>
    </xf>
    <xf numFmtId="40" fontId="29" fillId="2" borderId="0" xfId="0" applyNumberFormat="1" applyFont="1" applyFill="1" applyAlignment="1" applyProtection="1">
      <alignment horizontal="right"/>
      <protection hidden="1"/>
    </xf>
    <xf numFmtId="164" fontId="4" fillId="2" borderId="7" xfId="0" applyNumberFormat="1" applyFont="1" applyFill="1" applyBorder="1" applyAlignment="1" applyProtection="1">
      <alignment horizontal="center" vertical="center"/>
      <protection locked="0"/>
    </xf>
    <xf numFmtId="164" fontId="4" fillId="2" borderId="0" xfId="0" applyNumberFormat="1" applyFont="1" applyFill="1" applyAlignment="1" applyProtection="1">
      <alignment horizontal="center" vertical="center"/>
      <protection locked="0"/>
    </xf>
    <xf numFmtId="0" fontId="35" fillId="2" borderId="0" xfId="0" applyFont="1" applyFill="1" applyAlignment="1" applyProtection="1">
      <alignment horizontal="right"/>
      <protection hidden="1"/>
    </xf>
    <xf numFmtId="182" fontId="110" fillId="2" borderId="0" xfId="0" applyNumberFormat="1" applyFont="1" applyFill="1" applyAlignment="1" applyProtection="1">
      <alignment horizontal="center"/>
      <protection hidden="1"/>
    </xf>
    <xf numFmtId="14" fontId="110" fillId="2" borderId="0" xfId="0" applyNumberFormat="1" applyFont="1" applyFill="1" applyAlignment="1" applyProtection="1">
      <alignment horizontal="center"/>
      <protection hidden="1"/>
    </xf>
    <xf numFmtId="0" fontId="110" fillId="2" borderId="0" xfId="0" applyFont="1" applyFill="1" applyAlignment="1" applyProtection="1">
      <alignment horizontal="center"/>
      <protection hidden="1"/>
    </xf>
    <xf numFmtId="182" fontId="8" fillId="2" borderId="0" xfId="0" applyNumberFormat="1" applyFont="1" applyFill="1" applyProtection="1">
      <protection locked="0"/>
    </xf>
    <xf numFmtId="0" fontId="109" fillId="15" borderId="7" xfId="0" applyFont="1" applyFill="1" applyBorder="1" applyProtection="1">
      <protection locked="0"/>
    </xf>
    <xf numFmtId="39" fontId="4" fillId="3" borderId="0" xfId="0" applyNumberFormat="1" applyFont="1" applyFill="1" applyAlignment="1" applyProtection="1">
      <alignment horizontal="center" vertical="center"/>
      <protection locked="0"/>
    </xf>
    <xf numFmtId="0" fontId="6" fillId="15" borderId="4" xfId="0" applyFont="1" applyFill="1" applyBorder="1"/>
    <xf numFmtId="0" fontId="6" fillId="15" borderId="22" xfId="0" applyFont="1" applyFill="1" applyBorder="1"/>
    <xf numFmtId="4" fontId="6" fillId="32" borderId="66" xfId="0" applyNumberFormat="1" applyFont="1" applyFill="1" applyBorder="1" applyProtection="1">
      <protection locked="0"/>
    </xf>
    <xf numFmtId="0" fontId="15" fillId="15" borderId="2" xfId="0" applyFont="1" applyFill="1" applyBorder="1" applyAlignment="1" applyProtection="1">
      <alignment horizontal="center"/>
      <protection locked="0"/>
    </xf>
    <xf numFmtId="0" fontId="0" fillId="0" borderId="0" xfId="0" applyAlignment="1">
      <alignment horizontal="center" vertical="center"/>
    </xf>
    <xf numFmtId="0" fontId="4" fillId="27" borderId="12" xfId="0" applyFont="1" applyFill="1" applyBorder="1" applyAlignment="1" applyProtection="1">
      <alignment horizontal="center" vertical="center"/>
      <protection hidden="1"/>
    </xf>
    <xf numFmtId="0" fontId="8" fillId="15" borderId="0" xfId="0" applyFont="1" applyFill="1"/>
    <xf numFmtId="0" fontId="10" fillId="15" borderId="0" xfId="0" applyFont="1" applyFill="1" applyAlignment="1">
      <alignment vertical="center"/>
    </xf>
    <xf numFmtId="0" fontId="47" fillId="0" borderId="0" xfId="0" applyFont="1"/>
    <xf numFmtId="0" fontId="6" fillId="15" borderId="1" xfId="0" applyFont="1" applyFill="1" applyBorder="1" applyAlignment="1">
      <alignment horizontal="left" vertical="center"/>
    </xf>
    <xf numFmtId="0" fontId="15" fillId="15" borderId="0" xfId="0" applyFont="1" applyFill="1" applyAlignment="1" applyProtection="1">
      <alignment horizontal="left" vertical="center"/>
      <protection hidden="1"/>
    </xf>
    <xf numFmtId="0" fontId="6" fillId="15" borderId="0" xfId="0" applyFont="1" applyFill="1" applyAlignment="1" applyProtection="1">
      <alignment horizontal="left" vertical="center"/>
      <protection hidden="1"/>
    </xf>
    <xf numFmtId="0" fontId="0" fillId="15" borderId="8" xfId="0" applyFill="1" applyBorder="1" applyAlignment="1">
      <alignment vertical="center"/>
    </xf>
    <xf numFmtId="0" fontId="47" fillId="15" borderId="0" xfId="0" applyFont="1" applyFill="1"/>
    <xf numFmtId="0" fontId="110" fillId="15" borderId="0" xfId="0" applyFont="1" applyFill="1"/>
    <xf numFmtId="0" fontId="6" fillId="15" borderId="0" xfId="0" applyFont="1" applyFill="1" applyAlignment="1" applyProtection="1">
      <alignment horizontal="left"/>
      <protection hidden="1"/>
    </xf>
    <xf numFmtId="0" fontId="11" fillId="15" borderId="0" xfId="0" applyFont="1" applyFill="1"/>
    <xf numFmtId="4" fontId="6" fillId="32" borderId="83" xfId="0" applyNumberFormat="1" applyFont="1" applyFill="1" applyBorder="1" applyAlignment="1" applyProtection="1">
      <alignment horizontal="center"/>
      <protection locked="0"/>
    </xf>
    <xf numFmtId="0" fontId="6" fillId="15" borderId="0" xfId="0" applyFont="1" applyFill="1" applyAlignment="1">
      <alignment vertical="center"/>
    </xf>
    <xf numFmtId="0" fontId="110" fillId="15" borderId="0" xfId="0" applyFont="1" applyFill="1" applyAlignment="1">
      <alignment wrapText="1"/>
    </xf>
    <xf numFmtId="3" fontId="8" fillId="0" borderId="2" xfId="0" applyNumberFormat="1" applyFont="1" applyBorder="1" applyProtection="1">
      <protection locked="0"/>
    </xf>
    <xf numFmtId="168" fontId="8" fillId="16" borderId="43" xfId="0" applyNumberFormat="1" applyFont="1" applyFill="1" applyBorder="1" applyAlignment="1" applyProtection="1">
      <alignment horizontal="right" wrapText="1"/>
      <protection locked="0"/>
    </xf>
    <xf numFmtId="168" fontId="8" fillId="16" borderId="12" xfId="0" applyNumberFormat="1" applyFont="1" applyFill="1" applyBorder="1" applyAlignment="1" applyProtection="1">
      <alignment horizontal="right" wrapText="1"/>
      <protection locked="0"/>
    </xf>
    <xf numFmtId="168" fontId="8" fillId="16" borderId="51" xfId="0" applyNumberFormat="1" applyFont="1" applyFill="1" applyBorder="1" applyAlignment="1" applyProtection="1">
      <alignment horizontal="right" wrapText="1"/>
      <protection locked="0"/>
    </xf>
    <xf numFmtId="188" fontId="8" fillId="16" borderId="46" xfId="0" applyNumberFormat="1" applyFont="1" applyFill="1" applyBorder="1" applyAlignment="1" applyProtection="1">
      <alignment horizontal="center" wrapText="1"/>
      <protection locked="0"/>
    </xf>
    <xf numFmtId="188" fontId="8" fillId="16" borderId="50" xfId="0" applyNumberFormat="1" applyFont="1" applyFill="1" applyBorder="1" applyAlignment="1" applyProtection="1">
      <alignment horizontal="center" wrapText="1"/>
      <protection locked="0"/>
    </xf>
    <xf numFmtId="0" fontId="4" fillId="2" borderId="40" xfId="0" applyFont="1" applyFill="1" applyBorder="1" applyProtection="1">
      <protection hidden="1"/>
    </xf>
    <xf numFmtId="0" fontId="4" fillId="2" borderId="41" xfId="0" applyFont="1" applyFill="1" applyBorder="1" applyProtection="1">
      <protection hidden="1"/>
    </xf>
    <xf numFmtId="0" fontId="4" fillId="2" borderId="23" xfId="0" applyFont="1" applyFill="1" applyBorder="1" applyAlignment="1" applyProtection="1">
      <alignment horizontal="right"/>
      <protection hidden="1"/>
    </xf>
    <xf numFmtId="0" fontId="4" fillId="2" borderId="5" xfId="0" applyFont="1" applyFill="1" applyBorder="1" applyAlignment="1" applyProtection="1">
      <alignment horizontal="right"/>
      <protection hidden="1"/>
    </xf>
    <xf numFmtId="0" fontId="128" fillId="15" borderId="0" xfId="0" applyFont="1" applyFill="1" applyProtection="1">
      <protection hidden="1"/>
    </xf>
    <xf numFmtId="3" fontId="100" fillId="15" borderId="30" xfId="0" applyNumberFormat="1" applyFont="1" applyFill="1" applyBorder="1" applyAlignment="1" applyProtection="1">
      <alignment horizontal="center"/>
      <protection hidden="1"/>
    </xf>
    <xf numFmtId="4" fontId="128" fillId="15" borderId="14" xfId="0" applyNumberFormat="1" applyFont="1" applyFill="1" applyBorder="1" applyProtection="1">
      <protection hidden="1"/>
    </xf>
    <xf numFmtId="3" fontId="100" fillId="15" borderId="3" xfId="0" applyNumberFormat="1" applyFont="1" applyFill="1" applyBorder="1" applyAlignment="1" applyProtection="1">
      <alignment horizontal="center"/>
      <protection hidden="1"/>
    </xf>
    <xf numFmtId="4" fontId="128" fillId="15" borderId="24" xfId="0" applyNumberFormat="1" applyFont="1" applyFill="1" applyBorder="1" applyProtection="1">
      <protection hidden="1"/>
    </xf>
    <xf numFmtId="3" fontId="128" fillId="15" borderId="3" xfId="0" applyNumberFormat="1" applyFont="1" applyFill="1" applyBorder="1" applyProtection="1">
      <protection hidden="1"/>
    </xf>
    <xf numFmtId="4" fontId="128" fillId="15" borderId="24" xfId="0" applyNumberFormat="1" applyFont="1" applyFill="1" applyBorder="1" applyAlignment="1" applyProtection="1">
      <alignment vertical="center"/>
      <protection hidden="1"/>
    </xf>
    <xf numFmtId="3" fontId="128" fillId="15" borderId="9" xfId="0" applyNumberFormat="1" applyFont="1" applyFill="1" applyBorder="1" applyProtection="1">
      <protection hidden="1"/>
    </xf>
    <xf numFmtId="4" fontId="128" fillId="15" borderId="11" xfId="0" applyNumberFormat="1" applyFont="1" applyFill="1" applyBorder="1" applyProtection="1">
      <protection hidden="1"/>
    </xf>
    <xf numFmtId="0" fontId="128" fillId="15" borderId="8" xfId="0" applyFont="1" applyFill="1" applyBorder="1" applyAlignment="1" applyProtection="1">
      <alignment horizontal="center"/>
      <protection hidden="1"/>
    </xf>
    <xf numFmtId="0" fontId="128" fillId="15" borderId="0" xfId="0" applyFont="1" applyFill="1" applyAlignment="1" applyProtection="1">
      <alignment horizontal="center"/>
      <protection hidden="1"/>
    </xf>
    <xf numFmtId="0" fontId="128" fillId="15" borderId="1" xfId="0" applyFont="1" applyFill="1" applyBorder="1" applyAlignment="1" applyProtection="1">
      <alignment horizontal="center"/>
      <protection hidden="1"/>
    </xf>
    <xf numFmtId="4" fontId="175" fillId="15" borderId="0" xfId="0" applyNumberFormat="1" applyFont="1" applyFill="1" applyProtection="1">
      <protection hidden="1"/>
    </xf>
    <xf numFmtId="4" fontId="175" fillId="15" borderId="0" xfId="0" applyNumberFormat="1" applyFont="1" applyFill="1" applyAlignment="1" applyProtection="1">
      <alignment horizontal="center"/>
      <protection hidden="1"/>
    </xf>
    <xf numFmtId="0" fontId="128" fillId="15" borderId="125" xfId="0" applyFont="1" applyFill="1" applyBorder="1" applyProtection="1">
      <protection hidden="1"/>
    </xf>
    <xf numFmtId="0" fontId="98" fillId="15" borderId="126" xfId="0" applyFont="1" applyFill="1" applyBorder="1" applyProtection="1">
      <protection hidden="1"/>
    </xf>
    <xf numFmtId="0" fontId="128" fillId="15" borderId="127" xfId="0" applyFont="1" applyFill="1" applyBorder="1" applyProtection="1">
      <protection hidden="1"/>
    </xf>
    <xf numFmtId="0" fontId="128" fillId="15" borderId="0" xfId="0" quotePrefix="1" applyFont="1" applyFill="1" applyAlignment="1" applyProtection="1">
      <alignment horizontal="center"/>
      <protection hidden="1"/>
    </xf>
    <xf numFmtId="0" fontId="98" fillId="15" borderId="128" xfId="0" applyFont="1" applyFill="1" applyBorder="1" applyProtection="1">
      <protection hidden="1"/>
    </xf>
    <xf numFmtId="4" fontId="128" fillId="15" borderId="0" xfId="0" applyNumberFormat="1" applyFont="1" applyFill="1" applyAlignment="1" applyProtection="1">
      <alignment horizontal="center"/>
      <protection hidden="1"/>
    </xf>
    <xf numFmtId="0" fontId="176" fillId="15" borderId="0" xfId="0" applyFont="1" applyFill="1" applyProtection="1">
      <protection hidden="1"/>
    </xf>
    <xf numFmtId="0" fontId="176" fillId="15" borderId="0" xfId="0" applyFont="1" applyFill="1" applyAlignment="1" applyProtection="1">
      <alignment horizontal="center"/>
      <protection hidden="1"/>
    </xf>
    <xf numFmtId="0" fontId="98" fillId="15" borderId="44" xfId="0" applyFont="1" applyFill="1" applyBorder="1" applyProtection="1">
      <protection hidden="1"/>
    </xf>
    <xf numFmtId="0" fontId="98" fillId="15" borderId="130" xfId="0" applyFont="1" applyFill="1" applyBorder="1" applyProtection="1">
      <protection hidden="1"/>
    </xf>
    <xf numFmtId="0" fontId="98" fillId="15" borderId="133" xfId="0" applyFont="1" applyFill="1" applyBorder="1" applyAlignment="1" applyProtection="1">
      <alignment horizontal="centerContinuous"/>
      <protection hidden="1"/>
    </xf>
    <xf numFmtId="0" fontId="98" fillId="15" borderId="134" xfId="0" applyFont="1" applyFill="1" applyBorder="1" applyAlignment="1" applyProtection="1">
      <alignment horizontal="centerContinuous"/>
      <protection hidden="1"/>
    </xf>
    <xf numFmtId="0" fontId="135" fillId="0" borderId="0" xfId="0" applyFont="1" applyAlignment="1" applyProtection="1">
      <alignment vertical="center"/>
      <protection hidden="1"/>
    </xf>
    <xf numFmtId="3" fontId="135" fillId="0" borderId="0" xfId="0" applyNumberFormat="1" applyFont="1" applyAlignment="1" applyProtection="1">
      <alignment vertical="center"/>
      <protection hidden="1"/>
    </xf>
    <xf numFmtId="3" fontId="136" fillId="0" borderId="0" xfId="0" applyNumberFormat="1" applyFont="1" applyAlignment="1" applyProtection="1">
      <alignment vertical="center"/>
      <protection hidden="1"/>
    </xf>
    <xf numFmtId="0" fontId="135" fillId="0" borderId="0" xfId="0" applyFont="1" applyProtection="1">
      <protection hidden="1"/>
    </xf>
    <xf numFmtId="0" fontId="177" fillId="15" borderId="127" xfId="0" applyFont="1" applyFill="1" applyBorder="1" applyAlignment="1" applyProtection="1">
      <alignment horizontal="right"/>
      <protection hidden="1"/>
    </xf>
    <xf numFmtId="0" fontId="177" fillId="15" borderId="127" xfId="0" applyFont="1" applyFill="1" applyBorder="1" applyProtection="1">
      <protection hidden="1"/>
    </xf>
    <xf numFmtId="0" fontId="178" fillId="15" borderId="129" xfId="0" applyFont="1" applyFill="1" applyBorder="1" applyProtection="1">
      <protection hidden="1"/>
    </xf>
    <xf numFmtId="0" fontId="177" fillId="15" borderId="124" xfId="0" quotePrefix="1" applyFont="1" applyFill="1" applyBorder="1" applyAlignment="1" applyProtection="1">
      <alignment horizontal="center"/>
      <protection hidden="1"/>
    </xf>
    <xf numFmtId="0" fontId="177" fillId="15" borderId="0" xfId="0" quotePrefix="1" applyFont="1" applyFill="1" applyAlignment="1" applyProtection="1">
      <alignment horizontal="center"/>
      <protection hidden="1"/>
    </xf>
    <xf numFmtId="0" fontId="0" fillId="15" borderId="0" xfId="0" applyFill="1" applyProtection="1">
      <protection locked="0"/>
    </xf>
    <xf numFmtId="0" fontId="4" fillId="15" borderId="3" xfId="0" applyFont="1" applyFill="1" applyBorder="1" applyAlignment="1" applyProtection="1">
      <alignment horizontal="center" vertical="center"/>
      <protection locked="0"/>
    </xf>
    <xf numFmtId="0" fontId="6" fillId="15" borderId="8" xfId="0" applyFont="1" applyFill="1" applyBorder="1"/>
    <xf numFmtId="0" fontId="6" fillId="15" borderId="3" xfId="0" applyFont="1" applyFill="1" applyBorder="1"/>
    <xf numFmtId="0" fontId="6" fillId="15" borderId="24" xfId="0" applyFont="1" applyFill="1" applyBorder="1"/>
    <xf numFmtId="0" fontId="6" fillId="15" borderId="9" xfId="0" applyFont="1" applyFill="1" applyBorder="1"/>
    <xf numFmtId="0" fontId="6" fillId="15" borderId="1" xfId="0" applyFont="1" applyFill="1" applyBorder="1"/>
    <xf numFmtId="0" fontId="6" fillId="15" borderId="11" xfId="0" applyFont="1" applyFill="1" applyBorder="1"/>
    <xf numFmtId="0" fontId="0" fillId="15" borderId="0" xfId="0" applyFill="1" applyAlignment="1">
      <alignment vertical="top"/>
    </xf>
    <xf numFmtId="0" fontId="4" fillId="20" borderId="12" xfId="0" applyFont="1" applyFill="1" applyBorder="1" applyAlignment="1" applyProtection="1">
      <alignment horizontal="center" vertical="center"/>
      <protection locked="0"/>
    </xf>
    <xf numFmtId="0" fontId="4" fillId="14" borderId="0" xfId="0" applyFont="1" applyFill="1" applyAlignment="1" applyProtection="1">
      <alignment horizontal="center" vertical="center"/>
      <protection locked="0"/>
    </xf>
    <xf numFmtId="3" fontId="181" fillId="0" borderId="7" xfId="0" applyNumberFormat="1" applyFont="1" applyBorder="1" applyAlignment="1" applyProtection="1">
      <alignment horizontal="center" wrapText="1"/>
      <protection hidden="1"/>
    </xf>
    <xf numFmtId="0" fontId="178" fillId="0" borderId="0" xfId="0" applyFont="1" applyProtection="1">
      <protection hidden="1"/>
    </xf>
    <xf numFmtId="3" fontId="177" fillId="0" borderId="0" xfId="0" applyNumberFormat="1" applyFont="1" applyProtection="1">
      <protection hidden="1"/>
    </xf>
    <xf numFmtId="0" fontId="110" fillId="15" borderId="0" xfId="0" applyFont="1" applyFill="1" applyAlignment="1" applyProtection="1">
      <alignment horizontal="center" vertical="center"/>
      <protection hidden="1"/>
    </xf>
    <xf numFmtId="4" fontId="6" fillId="2" borderId="0" xfId="0" applyNumberFormat="1" applyFont="1" applyFill="1" applyAlignment="1" applyProtection="1">
      <alignment horizontal="left" indent="1"/>
      <protection hidden="1"/>
    </xf>
    <xf numFmtId="0" fontId="109" fillId="0" borderId="0" xfId="0" applyFont="1"/>
    <xf numFmtId="0" fontId="109" fillId="15" borderId="0" xfId="0" applyFont="1" applyFill="1"/>
    <xf numFmtId="4" fontId="109" fillId="0" borderId="0" xfId="0" applyNumberFormat="1" applyFont="1" applyAlignment="1" applyProtection="1">
      <alignment vertical="top"/>
      <protection hidden="1"/>
    </xf>
    <xf numFmtId="0" fontId="108" fillId="2" borderId="0" xfId="0" applyFont="1" applyFill="1" applyAlignment="1" applyProtection="1">
      <alignment vertical="top"/>
      <protection hidden="1"/>
    </xf>
    <xf numFmtId="0" fontId="21" fillId="15" borderId="137" xfId="0" applyFont="1" applyFill="1" applyBorder="1" applyAlignment="1" applyProtection="1">
      <alignment horizontal="left" vertical="center"/>
      <protection hidden="1"/>
    </xf>
    <xf numFmtId="0" fontId="121" fillId="15" borderId="137" xfId="0" applyFont="1" applyFill="1" applyBorder="1" applyAlignment="1" applyProtection="1">
      <alignment horizontal="left"/>
      <protection hidden="1"/>
    </xf>
    <xf numFmtId="0" fontId="0" fillId="15" borderId="137" xfId="0" applyFill="1" applyBorder="1" applyAlignment="1" applyProtection="1">
      <alignment vertical="center" wrapText="1"/>
      <protection hidden="1"/>
    </xf>
    <xf numFmtId="0" fontId="0" fillId="15" borderId="137" xfId="0" applyFill="1" applyBorder="1"/>
    <xf numFmtId="0" fontId="20" fillId="2" borderId="45" xfId="0" applyFont="1" applyFill="1" applyBorder="1" applyAlignment="1" applyProtection="1">
      <alignment horizontal="left" vertical="center" wrapText="1"/>
      <protection hidden="1"/>
    </xf>
    <xf numFmtId="0" fontId="20" fillId="2" borderId="45" xfId="0" applyFont="1" applyFill="1" applyBorder="1" applyAlignment="1" applyProtection="1">
      <alignment horizontal="center" vertical="center" wrapText="1"/>
      <protection hidden="1"/>
    </xf>
    <xf numFmtId="0" fontId="74" fillId="2" borderId="0" xfId="0" applyFont="1" applyFill="1" applyAlignment="1" applyProtection="1">
      <alignment vertical="center" wrapText="1"/>
      <protection hidden="1"/>
    </xf>
    <xf numFmtId="0" fontId="74" fillId="0" borderId="0" xfId="0" applyFont="1" applyAlignment="1" applyProtection="1">
      <alignment vertical="center" wrapText="1"/>
      <protection hidden="1"/>
    </xf>
    <xf numFmtId="0" fontId="74" fillId="0" borderId="0" xfId="0" applyFont="1"/>
    <xf numFmtId="0" fontId="20" fillId="2" borderId="44" xfId="0" applyFont="1" applyFill="1" applyBorder="1" applyAlignment="1" applyProtection="1">
      <alignment horizontal="left"/>
      <protection hidden="1"/>
    </xf>
    <xf numFmtId="0" fontId="20" fillId="15" borderId="137" xfId="0" applyFont="1" applyFill="1" applyBorder="1" applyAlignment="1" applyProtection="1">
      <alignment horizontal="left"/>
      <protection hidden="1"/>
    </xf>
    <xf numFmtId="0" fontId="11" fillId="2" borderId="0" xfId="0" applyFont="1" applyFill="1" applyAlignment="1" applyProtection="1">
      <alignment horizontal="center" wrapText="1"/>
      <protection hidden="1"/>
    </xf>
    <xf numFmtId="49" fontId="6" fillId="32" borderId="142" xfId="0" applyNumberFormat="1" applyFont="1" applyFill="1" applyBorder="1" applyAlignment="1" applyProtection="1">
      <alignment horizontal="right"/>
      <protection locked="0"/>
    </xf>
    <xf numFmtId="49" fontId="6" fillId="32" borderId="143" xfId="0" applyNumberFormat="1" applyFont="1" applyFill="1" applyBorder="1" applyAlignment="1" applyProtection="1">
      <alignment horizontal="right"/>
      <protection locked="0"/>
    </xf>
    <xf numFmtId="49" fontId="10" fillId="32" borderId="142" xfId="0" applyNumberFormat="1" applyFont="1" applyFill="1" applyBorder="1" applyAlignment="1" applyProtection="1">
      <alignment horizontal="right"/>
      <protection locked="0"/>
    </xf>
    <xf numFmtId="49" fontId="10" fillId="32" borderId="143" xfId="0" applyNumberFormat="1" applyFont="1" applyFill="1" applyBorder="1" applyAlignment="1" applyProtection="1">
      <alignment horizontal="right"/>
      <protection locked="0"/>
    </xf>
    <xf numFmtId="49" fontId="10" fillId="32" borderId="144" xfId="0" applyNumberFormat="1" applyFont="1" applyFill="1" applyBorder="1" applyAlignment="1" applyProtection="1">
      <alignment horizontal="right"/>
      <protection locked="0"/>
    </xf>
    <xf numFmtId="49" fontId="10" fillId="32" borderId="145" xfId="0" applyNumberFormat="1" applyFont="1" applyFill="1" applyBorder="1" applyAlignment="1" applyProtection="1">
      <alignment horizontal="right"/>
      <protection locked="0"/>
    </xf>
    <xf numFmtId="4" fontId="6" fillId="32" borderId="138" xfId="0" applyNumberFormat="1" applyFont="1" applyFill="1" applyBorder="1" applyAlignment="1" applyProtection="1">
      <alignment horizontal="center"/>
      <protection locked="0"/>
    </xf>
    <xf numFmtId="4" fontId="6" fillId="32" borderId="139" xfId="0" applyNumberFormat="1" applyFont="1" applyFill="1" applyBorder="1" applyAlignment="1" applyProtection="1">
      <alignment horizontal="center"/>
      <protection locked="0"/>
    </xf>
    <xf numFmtId="4" fontId="6" fillId="32" borderId="141" xfId="0" applyNumberFormat="1" applyFont="1" applyFill="1" applyBorder="1" applyAlignment="1" applyProtection="1">
      <alignment horizontal="center"/>
      <protection locked="0"/>
    </xf>
    <xf numFmtId="4" fontId="6" fillId="32" borderId="138" xfId="0" applyNumberFormat="1" applyFont="1" applyFill="1" applyBorder="1" applyProtection="1">
      <protection locked="0"/>
    </xf>
    <xf numFmtId="4" fontId="6" fillId="32" borderId="139" xfId="0" applyNumberFormat="1" applyFont="1" applyFill="1" applyBorder="1" applyProtection="1">
      <protection locked="0"/>
    </xf>
    <xf numFmtId="4" fontId="6" fillId="32" borderId="142" xfId="0" applyNumberFormat="1" applyFont="1" applyFill="1" applyBorder="1" applyAlignment="1" applyProtection="1">
      <alignment horizontal="right"/>
      <protection locked="0"/>
    </xf>
    <xf numFmtId="4" fontId="6" fillId="32" borderId="143" xfId="0" applyNumberFormat="1" applyFont="1" applyFill="1" applyBorder="1" applyAlignment="1" applyProtection="1">
      <alignment horizontal="right"/>
      <protection locked="0"/>
    </xf>
    <xf numFmtId="4" fontId="6" fillId="32" borderId="144" xfId="0" applyNumberFormat="1" applyFont="1" applyFill="1" applyBorder="1" applyAlignment="1" applyProtection="1">
      <alignment horizontal="right"/>
      <protection locked="0"/>
    </xf>
    <xf numFmtId="4" fontId="6" fillId="32" borderId="145" xfId="0" applyNumberFormat="1" applyFont="1" applyFill="1" applyBorder="1" applyAlignment="1" applyProtection="1">
      <alignment horizontal="right"/>
      <protection locked="0"/>
    </xf>
    <xf numFmtId="49" fontId="6" fillId="32" borderId="144" xfId="0" applyNumberFormat="1" applyFont="1" applyFill="1" applyBorder="1" applyAlignment="1" applyProtection="1">
      <alignment horizontal="right"/>
      <protection locked="0"/>
    </xf>
    <xf numFmtId="49" fontId="6" fillId="32" borderId="145" xfId="0" applyNumberFormat="1" applyFont="1" applyFill="1" applyBorder="1" applyAlignment="1" applyProtection="1">
      <alignment horizontal="right"/>
      <protection locked="0"/>
    </xf>
    <xf numFmtId="171" fontId="6" fillId="32" borderId="142" xfId="0" applyNumberFormat="1" applyFont="1" applyFill="1" applyBorder="1" applyAlignment="1" applyProtection="1">
      <alignment horizontal="right"/>
      <protection locked="0"/>
    </xf>
    <xf numFmtId="171" fontId="6" fillId="32" borderId="143" xfId="0" applyNumberFormat="1" applyFont="1" applyFill="1" applyBorder="1" applyAlignment="1" applyProtection="1">
      <alignment horizontal="right"/>
      <protection locked="0"/>
    </xf>
    <xf numFmtId="171" fontId="6" fillId="32" borderId="144" xfId="0" applyNumberFormat="1" applyFont="1" applyFill="1" applyBorder="1" applyAlignment="1" applyProtection="1">
      <alignment horizontal="right"/>
      <protection locked="0"/>
    </xf>
    <xf numFmtId="171" fontId="6" fillId="32" borderId="145" xfId="0" applyNumberFormat="1" applyFont="1" applyFill="1" applyBorder="1" applyAlignment="1" applyProtection="1">
      <alignment horizontal="right"/>
      <protection locked="0"/>
    </xf>
    <xf numFmtId="4" fontId="6" fillId="32" borderId="146" xfId="0" applyNumberFormat="1" applyFont="1" applyFill="1" applyBorder="1" applyAlignment="1" applyProtection="1">
      <alignment horizontal="right"/>
      <protection locked="0"/>
    </xf>
    <xf numFmtId="4" fontId="6" fillId="32" borderId="147" xfId="0" applyNumberFormat="1" applyFont="1" applyFill="1" applyBorder="1" applyAlignment="1" applyProtection="1">
      <alignment horizontal="right"/>
      <protection locked="0"/>
    </xf>
    <xf numFmtId="4" fontId="6" fillId="32" borderId="148" xfId="0" applyNumberFormat="1" applyFont="1" applyFill="1" applyBorder="1" applyAlignment="1" applyProtection="1">
      <alignment horizontal="right"/>
      <protection locked="0"/>
    </xf>
    <xf numFmtId="4" fontId="6" fillId="32" borderId="149" xfId="0" applyNumberFormat="1" applyFont="1" applyFill="1" applyBorder="1" applyAlignment="1" applyProtection="1">
      <alignment horizontal="right"/>
      <protection locked="0"/>
    </xf>
    <xf numFmtId="4" fontId="6" fillId="2" borderId="49" xfId="0" applyNumberFormat="1" applyFont="1" applyFill="1" applyBorder="1" applyAlignment="1" applyProtection="1">
      <alignment horizontal="center"/>
      <protection hidden="1"/>
    </xf>
    <xf numFmtId="171" fontId="6" fillId="2" borderId="49" xfId="0" applyNumberFormat="1" applyFont="1" applyFill="1" applyBorder="1" applyAlignment="1" applyProtection="1">
      <alignment horizontal="right"/>
      <protection hidden="1"/>
    </xf>
    <xf numFmtId="0" fontId="6" fillId="0" borderId="0" xfId="0" applyFont="1" applyAlignment="1">
      <alignment wrapText="1"/>
    </xf>
    <xf numFmtId="4" fontId="100" fillId="0" borderId="7" xfId="0" applyNumberFormat="1" applyFont="1" applyBorder="1" applyAlignment="1" applyProtection="1">
      <alignment horizontal="center" wrapText="1"/>
      <protection hidden="1"/>
    </xf>
    <xf numFmtId="4" fontId="128" fillId="0" borderId="0" xfId="0" applyNumberFormat="1" applyFont="1" applyProtection="1">
      <protection hidden="1"/>
    </xf>
    <xf numFmtId="0" fontId="98" fillId="0" borderId="0" xfId="0" applyFont="1" applyAlignment="1" applyProtection="1">
      <alignment horizontal="center"/>
      <protection hidden="1"/>
    </xf>
    <xf numFmtId="0" fontId="110" fillId="15" borderId="0" xfId="0" applyFont="1" applyFill="1" applyAlignment="1" applyProtection="1">
      <alignment horizontal="right"/>
      <protection hidden="1"/>
    </xf>
    <xf numFmtId="4" fontId="4" fillId="2" borderId="5" xfId="0" applyNumberFormat="1" applyFont="1" applyFill="1" applyBorder="1" applyAlignment="1" applyProtection="1">
      <alignment horizontal="left" indent="1"/>
      <protection hidden="1"/>
    </xf>
    <xf numFmtId="4" fontId="57" fillId="2" borderId="0" xfId="0" applyNumberFormat="1" applyFont="1" applyFill="1" applyAlignment="1" applyProtection="1">
      <alignment vertical="top"/>
      <protection hidden="1"/>
    </xf>
    <xf numFmtId="49" fontId="6" fillId="32" borderId="142" xfId="0" applyNumberFormat="1" applyFont="1" applyFill="1" applyBorder="1" applyAlignment="1" applyProtection="1">
      <alignment horizontal="center"/>
      <protection locked="0"/>
    </xf>
    <xf numFmtId="49" fontId="6" fillId="32" borderId="143" xfId="0" applyNumberFormat="1" applyFont="1" applyFill="1" applyBorder="1" applyAlignment="1" applyProtection="1">
      <alignment horizontal="center"/>
      <protection locked="0"/>
    </xf>
    <xf numFmtId="49" fontId="6" fillId="32" borderId="145" xfId="0" applyNumberFormat="1" applyFont="1" applyFill="1" applyBorder="1" applyAlignment="1" applyProtection="1">
      <alignment horizontal="center"/>
      <protection locked="0"/>
    </xf>
    <xf numFmtId="49" fontId="6" fillId="32" borderId="146" xfId="0" applyNumberFormat="1" applyFont="1" applyFill="1" applyBorder="1" applyAlignment="1" applyProtection="1">
      <alignment horizontal="center"/>
      <protection locked="0"/>
    </xf>
    <xf numFmtId="49" fontId="6" fillId="32" borderId="147" xfId="0" applyNumberFormat="1" applyFont="1" applyFill="1" applyBorder="1" applyAlignment="1" applyProtection="1">
      <alignment horizontal="center"/>
      <protection locked="0"/>
    </xf>
    <xf numFmtId="49" fontId="6" fillId="32" borderId="149" xfId="0" applyNumberFormat="1" applyFont="1" applyFill="1" applyBorder="1" applyAlignment="1" applyProtection="1">
      <alignment horizontal="center"/>
      <protection locked="0"/>
    </xf>
    <xf numFmtId="0" fontId="4" fillId="0" borderId="0" xfId="0" applyFont="1" applyAlignment="1" applyProtection="1">
      <alignment horizontal="center" vertical="center"/>
      <protection locked="0"/>
    </xf>
    <xf numFmtId="0" fontId="112" fillId="15" borderId="0" xfId="0" applyFont="1" applyFill="1" applyAlignment="1" applyProtection="1">
      <alignment horizontal="center"/>
      <protection hidden="1"/>
    </xf>
    <xf numFmtId="4" fontId="185" fillId="0" borderId="0" xfId="0" applyNumberFormat="1" applyFont="1" applyProtection="1">
      <protection hidden="1"/>
    </xf>
    <xf numFmtId="0" fontId="4" fillId="2" borderId="0" xfId="0" applyFont="1" applyFill="1" applyAlignment="1" applyProtection="1">
      <alignment horizontal="center" wrapText="1"/>
      <protection hidden="1"/>
    </xf>
    <xf numFmtId="4" fontId="6" fillId="32" borderId="114" xfId="0" applyNumberFormat="1" applyFont="1" applyFill="1" applyBorder="1" applyProtection="1">
      <protection locked="0"/>
    </xf>
    <xf numFmtId="4" fontId="6" fillId="32" borderId="115" xfId="0" applyNumberFormat="1" applyFont="1" applyFill="1" applyBorder="1" applyProtection="1">
      <protection locked="0"/>
    </xf>
    <xf numFmtId="4" fontId="6" fillId="32" borderId="116" xfId="0" applyNumberFormat="1" applyFont="1" applyFill="1" applyBorder="1" applyProtection="1">
      <protection locked="0"/>
    </xf>
    <xf numFmtId="4" fontId="6" fillId="32" borderId="117" xfId="0" applyNumberFormat="1" applyFont="1" applyFill="1" applyBorder="1" applyProtection="1">
      <protection locked="0"/>
    </xf>
    <xf numFmtId="4" fontId="6" fillId="32" borderId="118" xfId="0" applyNumberFormat="1" applyFont="1" applyFill="1" applyBorder="1" applyProtection="1">
      <protection locked="0"/>
    </xf>
    <xf numFmtId="4" fontId="6" fillId="32" borderId="119" xfId="0" applyNumberFormat="1" applyFont="1" applyFill="1" applyBorder="1" applyProtection="1">
      <protection locked="0"/>
    </xf>
    <xf numFmtId="0" fontId="0" fillId="0" borderId="1" xfId="0" applyBorder="1" applyProtection="1">
      <protection hidden="1"/>
    </xf>
    <xf numFmtId="4" fontId="6" fillId="32" borderId="140" xfId="0" applyNumberFormat="1" applyFont="1" applyFill="1" applyBorder="1" applyProtection="1">
      <protection locked="0"/>
    </xf>
    <xf numFmtId="4" fontId="6" fillId="32" borderId="141" xfId="0" applyNumberFormat="1" applyFont="1" applyFill="1" applyBorder="1" applyProtection="1">
      <protection locked="0"/>
    </xf>
    <xf numFmtId="4" fontId="0" fillId="2" borderId="5" xfId="0" applyNumberFormat="1" applyFill="1" applyBorder="1" applyProtection="1">
      <protection hidden="1"/>
    </xf>
    <xf numFmtId="0" fontId="108" fillId="2" borderId="42" xfId="0" applyFont="1" applyFill="1" applyBorder="1" applyProtection="1">
      <protection hidden="1"/>
    </xf>
    <xf numFmtId="4" fontId="6" fillId="2" borderId="5" xfId="0" applyNumberFormat="1" applyFont="1" applyFill="1" applyBorder="1" applyAlignment="1" applyProtection="1">
      <alignment horizontal="left"/>
      <protection hidden="1"/>
    </xf>
    <xf numFmtId="4" fontId="109" fillId="2" borderId="5" xfId="0" applyNumberFormat="1" applyFont="1" applyFill="1" applyBorder="1" applyProtection="1">
      <protection hidden="1"/>
    </xf>
    <xf numFmtId="4" fontId="57" fillId="2" borderId="5" xfId="0" applyNumberFormat="1" applyFont="1" applyFill="1" applyBorder="1" applyProtection="1">
      <protection hidden="1"/>
    </xf>
    <xf numFmtId="1" fontId="22" fillId="2" borderId="0" xfId="0" applyNumberFormat="1" applyFont="1" applyFill="1" applyProtection="1">
      <protection hidden="1"/>
    </xf>
    <xf numFmtId="171" fontId="108" fillId="2" borderId="49" xfId="0" applyNumberFormat="1" applyFont="1" applyFill="1" applyBorder="1" applyProtection="1">
      <protection hidden="1"/>
    </xf>
    <xf numFmtId="4" fontId="15" fillId="24" borderId="0" xfId="0" applyNumberFormat="1" applyFont="1" applyFill="1" applyProtection="1">
      <protection locked="0"/>
    </xf>
    <xf numFmtId="4" fontId="0" fillId="24" borderId="0" xfId="0" applyNumberFormat="1" applyFill="1" applyProtection="1">
      <protection locked="0"/>
    </xf>
    <xf numFmtId="39" fontId="15" fillId="24" borderId="0" xfId="0" applyNumberFormat="1" applyFont="1" applyFill="1" applyProtection="1">
      <protection locked="0"/>
    </xf>
    <xf numFmtId="39" fontId="0" fillId="24" borderId="0" xfId="0" applyNumberFormat="1" applyFill="1" applyProtection="1">
      <protection locked="0"/>
    </xf>
    <xf numFmtId="39" fontId="10" fillId="24" borderId="0" xfId="0" applyNumberFormat="1" applyFont="1" applyFill="1" applyProtection="1">
      <protection locked="0"/>
    </xf>
    <xf numFmtId="39" fontId="15" fillId="24" borderId="4" xfId="0" applyNumberFormat="1" applyFont="1" applyFill="1" applyBorder="1" applyAlignment="1" applyProtection="1">
      <alignment horizontal="left"/>
      <protection locked="0"/>
    </xf>
    <xf numFmtId="39" fontId="21" fillId="24" borderId="4" xfId="0" applyNumberFormat="1" applyFont="1" applyFill="1" applyBorder="1" applyAlignment="1" applyProtection="1">
      <alignment horizontal="left" vertical="center"/>
      <protection locked="0"/>
    </xf>
    <xf numFmtId="39" fontId="0" fillId="24" borderId="0" xfId="0" applyNumberFormat="1" applyFill="1" applyAlignment="1" applyProtection="1">
      <alignment vertical="top"/>
      <protection locked="0"/>
    </xf>
    <xf numFmtId="39" fontId="74" fillId="24" borderId="0" xfId="0" applyNumberFormat="1" applyFont="1" applyFill="1" applyProtection="1">
      <protection locked="0"/>
    </xf>
    <xf numFmtId="39" fontId="6" fillId="24" borderId="0" xfId="0" applyNumberFormat="1" applyFont="1" applyFill="1" applyProtection="1">
      <protection locked="0"/>
    </xf>
    <xf numFmtId="39" fontId="0" fillId="24" borderId="0" xfId="0" applyNumberFormat="1" applyFill="1" applyAlignment="1" applyProtection="1">
      <alignment vertical="center"/>
      <protection locked="0"/>
    </xf>
    <xf numFmtId="39" fontId="15" fillId="24" borderId="0" xfId="0" applyNumberFormat="1" applyFont="1" applyFill="1" applyAlignment="1" applyProtection="1">
      <alignment vertical="top"/>
      <protection locked="0"/>
    </xf>
    <xf numFmtId="39" fontId="22" fillId="24" borderId="0" xfId="0" applyNumberFormat="1" applyFont="1" applyFill="1" applyAlignment="1" applyProtection="1">
      <alignment vertical="center"/>
      <protection locked="0"/>
    </xf>
    <xf numFmtId="39" fontId="14" fillId="24" borderId="0" xfId="0" applyNumberFormat="1" applyFont="1" applyFill="1" applyProtection="1">
      <protection locked="0"/>
    </xf>
    <xf numFmtId="39" fontId="86" fillId="24" borderId="0" xfId="0" applyNumberFormat="1" applyFont="1" applyFill="1" applyProtection="1">
      <protection locked="0"/>
    </xf>
    <xf numFmtId="39" fontId="22" fillId="24" borderId="0" xfId="0" applyNumberFormat="1" applyFont="1" applyFill="1" applyProtection="1">
      <protection locked="0"/>
    </xf>
    <xf numFmtId="39" fontId="0" fillId="24" borderId="64" xfId="0" applyNumberFormat="1" applyFill="1" applyBorder="1" applyProtection="1">
      <protection locked="0"/>
    </xf>
    <xf numFmtId="39" fontId="22" fillId="24" borderId="64" xfId="0" applyNumberFormat="1" applyFont="1" applyFill="1" applyBorder="1" applyProtection="1">
      <protection locked="0"/>
    </xf>
    <xf numFmtId="39" fontId="57" fillId="24" borderId="0" xfId="0" applyNumberFormat="1" applyFont="1" applyFill="1" applyProtection="1">
      <protection locked="0"/>
    </xf>
    <xf numFmtId="39" fontId="6" fillId="24" borderId="23" xfId="0" applyNumberFormat="1" applyFont="1" applyFill="1" applyBorder="1" applyAlignment="1" applyProtection="1">
      <alignment horizontal="right"/>
      <protection locked="0"/>
    </xf>
    <xf numFmtId="39" fontId="6" fillId="24" borderId="5" xfId="0" applyNumberFormat="1" applyFont="1" applyFill="1" applyBorder="1" applyAlignment="1" applyProtection="1">
      <alignment horizontal="right"/>
      <protection locked="0"/>
    </xf>
    <xf numFmtId="39" fontId="6" fillId="24" borderId="26" xfId="0" applyNumberFormat="1" applyFont="1" applyFill="1" applyBorder="1" applyAlignment="1" applyProtection="1">
      <alignment horizontal="center"/>
      <protection locked="0"/>
    </xf>
    <xf numFmtId="39" fontId="6" fillId="24" borderId="29" xfId="0" applyNumberFormat="1" applyFont="1" applyFill="1" applyBorder="1" applyAlignment="1" applyProtection="1">
      <alignment horizontal="center"/>
      <protection locked="0"/>
    </xf>
    <xf numFmtId="39" fontId="6" fillId="24" borderId="20" xfId="0" applyNumberFormat="1" applyFont="1" applyFill="1" applyBorder="1" applyAlignment="1" applyProtection="1">
      <alignment horizontal="center"/>
      <protection locked="0"/>
    </xf>
    <xf numFmtId="39" fontId="6" fillId="24" borderId="46" xfId="0" applyNumberFormat="1" applyFont="1" applyFill="1" applyBorder="1" applyAlignment="1" applyProtection="1">
      <alignment horizontal="right"/>
      <protection locked="0"/>
    </xf>
    <xf numFmtId="39" fontId="6" fillId="24" borderId="58" xfId="0" applyNumberFormat="1" applyFont="1" applyFill="1" applyBorder="1" applyAlignment="1" applyProtection="1">
      <alignment horizontal="right"/>
      <protection locked="0"/>
    </xf>
    <xf numFmtId="39" fontId="6" fillId="24" borderId="54" xfId="0" applyNumberFormat="1" applyFont="1" applyFill="1" applyBorder="1" applyAlignment="1" applyProtection="1">
      <alignment horizontal="right"/>
      <protection locked="0"/>
    </xf>
    <xf numFmtId="39" fontId="6" fillId="24" borderId="59" xfId="0" applyNumberFormat="1" applyFont="1" applyFill="1" applyBorder="1" applyAlignment="1" applyProtection="1">
      <alignment horizontal="right"/>
      <protection locked="0"/>
    </xf>
    <xf numFmtId="39" fontId="6" fillId="24" borderId="111" xfId="0" applyNumberFormat="1" applyFont="1" applyFill="1" applyBorder="1" applyAlignment="1" applyProtection="1">
      <alignment horizontal="right"/>
      <protection locked="0"/>
    </xf>
    <xf numFmtId="39" fontId="6" fillId="24" borderId="112" xfId="0" applyNumberFormat="1" applyFont="1" applyFill="1" applyBorder="1" applyAlignment="1" applyProtection="1">
      <alignment horizontal="right"/>
      <protection locked="0"/>
    </xf>
    <xf numFmtId="39" fontId="6" fillId="24" borderId="31" xfId="0" applyNumberFormat="1" applyFont="1" applyFill="1" applyBorder="1" applyAlignment="1" applyProtection="1">
      <alignment horizontal="right"/>
      <protection locked="0"/>
    </xf>
    <xf numFmtId="39" fontId="15" fillId="24" borderId="0" xfId="0" applyNumberFormat="1" applyFont="1" applyFill="1" applyAlignment="1" applyProtection="1">
      <alignment horizontal="left"/>
      <protection locked="0"/>
    </xf>
    <xf numFmtId="39" fontId="0" fillId="24" borderId="65" xfId="0" applyNumberFormat="1" applyFill="1" applyBorder="1" applyProtection="1">
      <protection locked="0"/>
    </xf>
    <xf numFmtId="0" fontId="10" fillId="0" borderId="0" xfId="0" applyFont="1" applyAlignment="1">
      <alignment horizontal="center"/>
    </xf>
    <xf numFmtId="0" fontId="10" fillId="15" borderId="0" xfId="0" applyFont="1" applyFill="1" applyAlignment="1">
      <alignment horizontal="center"/>
    </xf>
    <xf numFmtId="0" fontId="150" fillId="0" borderId="0" xfId="0" applyFont="1" applyAlignment="1">
      <alignment vertical="center"/>
    </xf>
    <xf numFmtId="0" fontId="115" fillId="2" borderId="0" xfId="0" quotePrefix="1" applyFont="1" applyFill="1" applyProtection="1">
      <protection hidden="1"/>
    </xf>
    <xf numFmtId="164" fontId="4" fillId="2" borderId="5" xfId="0" quotePrefix="1" applyNumberFormat="1" applyFont="1" applyFill="1" applyBorder="1" applyAlignment="1" applyProtection="1">
      <alignment horizontal="right"/>
      <protection hidden="1"/>
    </xf>
    <xf numFmtId="164" fontId="4" fillId="2" borderId="0" xfId="0" quotePrefix="1" applyNumberFormat="1" applyFont="1" applyFill="1" applyAlignment="1" applyProtection="1">
      <alignment horizontal="right"/>
      <protection hidden="1"/>
    </xf>
    <xf numFmtId="38" fontId="8" fillId="15" borderId="0" xfId="0" applyNumberFormat="1" applyFont="1" applyFill="1" applyProtection="1">
      <protection hidden="1"/>
    </xf>
    <xf numFmtId="0" fontId="121" fillId="2" borderId="0" xfId="0" applyFont="1" applyFill="1" applyAlignment="1" applyProtection="1">
      <alignment horizontal="right"/>
      <protection hidden="1"/>
    </xf>
    <xf numFmtId="176" fontId="112" fillId="3" borderId="0" xfId="0" applyNumberFormat="1" applyFont="1" applyFill="1" applyAlignment="1" applyProtection="1">
      <alignment horizontal="center"/>
      <protection hidden="1"/>
    </xf>
    <xf numFmtId="39" fontId="116" fillId="3" borderId="0" xfId="0" applyNumberFormat="1" applyFont="1" applyFill="1" applyAlignment="1" applyProtection="1">
      <alignment horizontal="center"/>
      <protection hidden="1"/>
    </xf>
    <xf numFmtId="0" fontId="67" fillId="15" borderId="0" xfId="2" applyFill="1" applyAlignment="1" applyProtection="1">
      <protection hidden="1"/>
    </xf>
    <xf numFmtId="0" fontId="67" fillId="15" borderId="4" xfId="2" applyFill="1" applyBorder="1" applyAlignment="1" applyProtection="1">
      <alignment horizontal="right"/>
    </xf>
    <xf numFmtId="0" fontId="191" fillId="0" borderId="0" xfId="0" applyFont="1" applyAlignment="1" applyProtection="1">
      <alignment horizontal="center" vertical="center"/>
      <protection hidden="1"/>
    </xf>
    <xf numFmtId="0" fontId="191" fillId="0" borderId="0" xfId="0" applyFont="1" applyProtection="1">
      <protection hidden="1"/>
    </xf>
    <xf numFmtId="0" fontId="191" fillId="0" borderId="0" xfId="0" applyFont="1" applyAlignment="1" applyProtection="1">
      <alignment horizontal="right"/>
      <protection hidden="1"/>
    </xf>
    <xf numFmtId="0" fontId="192" fillId="0" borderId="0" xfId="0" applyFont="1" applyAlignment="1" applyProtection="1">
      <alignment horizontal="center"/>
      <protection hidden="1"/>
    </xf>
    <xf numFmtId="0" fontId="190" fillId="33" borderId="153" xfId="0" applyFont="1" applyFill="1" applyBorder="1" applyAlignment="1" applyProtection="1">
      <alignment horizontal="left" vertical="center"/>
      <protection hidden="1"/>
    </xf>
    <xf numFmtId="0" fontId="194" fillId="34" borderId="153" xfId="0" applyFont="1" applyFill="1" applyBorder="1" applyAlignment="1" applyProtection="1">
      <alignment vertical="center"/>
      <protection hidden="1"/>
    </xf>
    <xf numFmtId="0" fontId="194" fillId="33" borderId="153" xfId="0" applyFont="1" applyFill="1" applyBorder="1" applyAlignment="1" applyProtection="1">
      <alignment vertical="center"/>
      <protection hidden="1"/>
    </xf>
    <xf numFmtId="0" fontId="194" fillId="34" borderId="153" xfId="0" applyFont="1" applyFill="1" applyBorder="1" applyAlignment="1" applyProtection="1">
      <alignment vertical="center" wrapText="1"/>
      <protection hidden="1"/>
    </xf>
    <xf numFmtId="3" fontId="195" fillId="0" borderId="7" xfId="0" applyNumberFormat="1" applyFont="1" applyBorder="1" applyAlignment="1" applyProtection="1">
      <alignment horizontal="center" wrapText="1"/>
      <protection hidden="1"/>
    </xf>
    <xf numFmtId="3" fontId="6" fillId="15" borderId="2" xfId="0" applyNumberFormat="1" applyFont="1" applyFill="1" applyBorder="1" applyProtection="1">
      <protection locked="0"/>
    </xf>
    <xf numFmtId="3" fontId="6" fillId="15" borderId="0" xfId="0" applyNumberFormat="1" applyFont="1" applyFill="1" applyProtection="1">
      <protection locked="0"/>
    </xf>
    <xf numFmtId="0" fontId="150" fillId="15" borderId="0" xfId="0" applyFont="1" applyFill="1" applyAlignment="1">
      <alignment vertical="center" wrapText="1"/>
    </xf>
    <xf numFmtId="0" fontId="4" fillId="15" borderId="0" xfId="0" applyFont="1" applyFill="1" applyAlignment="1" applyProtection="1">
      <alignment horizontal="center" vertical="center"/>
      <protection locked="0"/>
    </xf>
    <xf numFmtId="39" fontId="0" fillId="24" borderId="0" xfId="0" applyNumberFormat="1" applyFill="1" applyAlignment="1" applyProtection="1">
      <alignment horizontal="left"/>
      <protection locked="0"/>
    </xf>
    <xf numFmtId="0" fontId="6" fillId="15" borderId="1" xfId="0" applyFont="1" applyFill="1" applyBorder="1" applyAlignment="1" applyProtection="1">
      <alignment vertical="top"/>
      <protection hidden="1"/>
    </xf>
    <xf numFmtId="4" fontId="6" fillId="24" borderId="0" xfId="0" applyNumberFormat="1" applyFont="1" applyFill="1" applyAlignment="1" applyProtection="1">
      <alignment wrapText="1"/>
      <protection locked="0"/>
    </xf>
    <xf numFmtId="0" fontId="0" fillId="15" borderId="71" xfId="0" applyFill="1" applyBorder="1"/>
    <xf numFmtId="0" fontId="0" fillId="15" borderId="32" xfId="0" applyFill="1" applyBorder="1"/>
    <xf numFmtId="0" fontId="0" fillId="15" borderId="100" xfId="0" applyFill="1" applyBorder="1"/>
    <xf numFmtId="0" fontId="0" fillId="15" borderId="75" xfId="0" applyFill="1" applyBorder="1"/>
    <xf numFmtId="0" fontId="0" fillId="15" borderId="72" xfId="0" applyFill="1" applyBorder="1"/>
    <xf numFmtId="0" fontId="0" fillId="15" borderId="13" xfId="0" applyFill="1" applyBorder="1"/>
    <xf numFmtId="0" fontId="0" fillId="15" borderId="33" xfId="0" applyFill="1" applyBorder="1"/>
    <xf numFmtId="0" fontId="0" fillId="19" borderId="0" xfId="0" applyFill="1"/>
    <xf numFmtId="0" fontId="146" fillId="15" borderId="0" xfId="0" applyFont="1" applyFill="1"/>
    <xf numFmtId="0" fontId="67" fillId="15" borderId="0" xfId="2" applyFill="1" applyAlignment="1" applyProtection="1"/>
    <xf numFmtId="0" fontId="0" fillId="15" borderId="6" xfId="0" applyFill="1" applyBorder="1"/>
    <xf numFmtId="4" fontId="4" fillId="21" borderId="0" xfId="0" applyNumberFormat="1" applyFont="1" applyFill="1" applyAlignment="1" applyProtection="1">
      <alignment horizontal="center" vertical="center"/>
      <protection locked="0"/>
    </xf>
    <xf numFmtId="0" fontId="6" fillId="2" borderId="0" xfId="0" applyFont="1" applyFill="1" applyAlignment="1">
      <alignment horizontal="center"/>
    </xf>
    <xf numFmtId="0" fontId="22" fillId="2" borderId="0" xfId="0" applyFont="1" applyFill="1" applyAlignment="1">
      <alignment horizontal="center"/>
    </xf>
    <xf numFmtId="0" fontId="6" fillId="15" borderId="0" xfId="0" applyFont="1" applyFill="1" applyAlignment="1">
      <alignment horizontal="center"/>
    </xf>
    <xf numFmtId="37" fontId="31" fillId="2" borderId="10" xfId="0" applyNumberFormat="1" applyFont="1" applyFill="1" applyBorder="1" applyProtection="1">
      <protection locked="0"/>
    </xf>
    <xf numFmtId="37" fontId="31" fillId="2" borderId="12" xfId="0" applyNumberFormat="1" applyFont="1" applyFill="1" applyBorder="1" applyProtection="1">
      <protection locked="0"/>
    </xf>
    <xf numFmtId="0" fontId="9" fillId="15" borderId="0" xfId="0" applyFont="1" applyFill="1" applyAlignment="1">
      <alignment horizontal="center"/>
    </xf>
    <xf numFmtId="0" fontId="15" fillId="15" borderId="0" xfId="0" quotePrefix="1" applyFont="1" applyFill="1" applyAlignment="1">
      <alignment horizontal="right" vertical="center"/>
    </xf>
    <xf numFmtId="3" fontId="110" fillId="15" borderId="0" xfId="0" applyNumberFormat="1" applyFont="1" applyFill="1" applyAlignment="1">
      <alignment wrapText="1"/>
    </xf>
    <xf numFmtId="4" fontId="4" fillId="32" borderId="142" xfId="0" applyNumberFormat="1" applyFont="1" applyFill="1" applyBorder="1" applyAlignment="1" applyProtection="1">
      <alignment horizontal="center"/>
      <protection locked="0"/>
    </xf>
    <xf numFmtId="4" fontId="4" fillId="32" borderId="143" xfId="0" applyNumberFormat="1" applyFont="1" applyFill="1" applyBorder="1" applyAlignment="1" applyProtection="1">
      <alignment horizontal="center"/>
      <protection locked="0"/>
    </xf>
    <xf numFmtId="4" fontId="4" fillId="32" borderId="144" xfId="0" applyNumberFormat="1" applyFont="1" applyFill="1" applyBorder="1" applyAlignment="1" applyProtection="1">
      <alignment horizontal="center"/>
      <protection locked="0"/>
    </xf>
    <xf numFmtId="4" fontId="4" fillId="32" borderId="145" xfId="0" applyNumberFormat="1" applyFont="1" applyFill="1" applyBorder="1" applyAlignment="1" applyProtection="1">
      <alignment horizontal="center"/>
      <protection locked="0"/>
    </xf>
    <xf numFmtId="4" fontId="0" fillId="15" borderId="0" xfId="0" applyNumberFormat="1" applyFill="1"/>
    <xf numFmtId="49" fontId="4" fillId="32" borderId="142" xfId="0" applyNumberFormat="1" applyFont="1" applyFill="1" applyBorder="1" applyAlignment="1" applyProtection="1">
      <alignment horizontal="center"/>
      <protection locked="0"/>
    </xf>
    <xf numFmtId="49" fontId="4" fillId="32" borderId="143" xfId="0" applyNumberFormat="1" applyFont="1" applyFill="1" applyBorder="1" applyAlignment="1" applyProtection="1">
      <alignment horizontal="center"/>
      <protection locked="0"/>
    </xf>
    <xf numFmtId="49" fontId="4" fillId="32" borderId="144" xfId="0" applyNumberFormat="1" applyFont="1" applyFill="1" applyBorder="1" applyAlignment="1" applyProtection="1">
      <alignment horizontal="center"/>
      <protection locked="0"/>
    </xf>
    <xf numFmtId="49" fontId="4" fillId="32" borderId="145" xfId="0" applyNumberFormat="1" applyFont="1" applyFill="1" applyBorder="1" applyAlignment="1" applyProtection="1">
      <alignment horizontal="center"/>
      <protection locked="0"/>
    </xf>
    <xf numFmtId="4" fontId="109" fillId="15" borderId="0" xfId="0" applyNumberFormat="1" applyFont="1" applyFill="1" applyAlignment="1" applyProtection="1">
      <alignment vertical="top"/>
      <protection hidden="1"/>
    </xf>
    <xf numFmtId="4" fontId="109" fillId="15" borderId="0" xfId="0" applyNumberFormat="1" applyFont="1" applyFill="1" applyProtection="1">
      <protection hidden="1"/>
    </xf>
    <xf numFmtId="0" fontId="0" fillId="15" borderId="44" xfId="0" applyFill="1" applyBorder="1"/>
    <xf numFmtId="4" fontId="6" fillId="2" borderId="5" xfId="0" applyNumberFormat="1" applyFont="1" applyFill="1" applyBorder="1" applyProtection="1">
      <protection hidden="1"/>
    </xf>
    <xf numFmtId="39" fontId="4" fillId="7" borderId="0" xfId="0" applyNumberFormat="1" applyFont="1" applyFill="1" applyAlignment="1" applyProtection="1">
      <alignment horizontal="center" vertical="center"/>
      <protection locked="0"/>
    </xf>
    <xf numFmtId="39" fontId="109" fillId="24" borderId="0" xfId="0" applyNumberFormat="1" applyFont="1" applyFill="1" applyProtection="1">
      <protection locked="0"/>
    </xf>
    <xf numFmtId="39" fontId="11" fillId="24" borderId="0" xfId="0" applyNumberFormat="1" applyFont="1" applyFill="1" applyProtection="1">
      <protection locked="0"/>
    </xf>
    <xf numFmtId="37" fontId="9" fillId="20" borderId="29" xfId="0" applyNumberFormat="1" applyFont="1" applyFill="1" applyBorder="1" applyAlignment="1" applyProtection="1">
      <alignment horizontal="right"/>
      <protection locked="0"/>
    </xf>
    <xf numFmtId="37" fontId="9" fillId="16" borderId="77" xfId="0" applyNumberFormat="1" applyFont="1" applyFill="1" applyBorder="1" applyAlignment="1" applyProtection="1">
      <alignment horizontal="right"/>
      <protection locked="0"/>
    </xf>
    <xf numFmtId="37" fontId="9" fillId="16" borderId="29" xfId="0" applyNumberFormat="1" applyFont="1" applyFill="1" applyBorder="1" applyAlignment="1" applyProtection="1">
      <alignment horizontal="right"/>
      <protection locked="0"/>
    </xf>
    <xf numFmtId="37" fontId="9" fillId="16" borderId="79" xfId="0" applyNumberFormat="1" applyFont="1" applyFill="1" applyBorder="1" applyAlignment="1" applyProtection="1">
      <alignment horizontal="right"/>
      <protection locked="0"/>
    </xf>
    <xf numFmtId="4" fontId="0" fillId="0" borderId="2" xfId="0" applyNumberFormat="1" applyBorder="1" applyProtection="1">
      <protection locked="0"/>
    </xf>
    <xf numFmtId="0" fontId="15" fillId="5" borderId="0" xfId="0" applyFont="1" applyFill="1" applyAlignment="1" applyProtection="1">
      <alignment horizontal="center" vertical="center"/>
      <protection locked="0"/>
    </xf>
    <xf numFmtId="0" fontId="4" fillId="2" borderId="0" xfId="0" applyFont="1" applyFill="1" applyAlignment="1" applyProtection="1">
      <alignment horizontal="center" wrapText="1"/>
      <protection locked="0"/>
    </xf>
    <xf numFmtId="0" fontId="6" fillId="15" borderId="0" xfId="0" applyFont="1" applyFill="1" applyAlignment="1">
      <alignment horizontal="left"/>
    </xf>
    <xf numFmtId="8" fontId="194" fillId="34" borderId="12" xfId="0" applyNumberFormat="1" applyFont="1" applyFill="1" applyBorder="1" applyAlignment="1" applyProtection="1">
      <alignment horizontal="right" vertical="center"/>
      <protection hidden="1"/>
    </xf>
    <xf numFmtId="8" fontId="194" fillId="33" borderId="12" xfId="0" applyNumberFormat="1" applyFont="1" applyFill="1" applyBorder="1" applyAlignment="1" applyProtection="1">
      <alignment horizontal="right" vertical="center"/>
      <protection hidden="1"/>
    </xf>
    <xf numFmtId="0" fontId="4" fillId="3" borderId="0" xfId="0" applyFont="1" applyFill="1" applyAlignment="1" applyProtection="1">
      <alignment horizontal="center" vertical="center"/>
      <protection locked="0"/>
    </xf>
    <xf numFmtId="9" fontId="193" fillId="34" borderId="12" xfId="0" applyNumberFormat="1" applyFont="1" applyFill="1" applyBorder="1" applyAlignment="1" applyProtection="1">
      <alignment horizontal="center" vertical="center"/>
      <protection hidden="1"/>
    </xf>
    <xf numFmtId="9" fontId="193" fillId="33" borderId="12" xfId="0" applyNumberFormat="1" applyFont="1" applyFill="1" applyBorder="1" applyAlignment="1" applyProtection="1">
      <alignment horizontal="center" vertical="center"/>
      <protection hidden="1"/>
    </xf>
    <xf numFmtId="0" fontId="0" fillId="15" borderId="21" xfId="0" applyFill="1" applyBorder="1" applyAlignment="1">
      <alignment horizontal="center" vertical="center" wrapText="1"/>
    </xf>
    <xf numFmtId="0" fontId="0" fillId="0" borderId="0" xfId="0" applyAlignment="1">
      <alignment horizontal="centerContinuous"/>
    </xf>
    <xf numFmtId="0" fontId="0" fillId="0" borderId="20" xfId="0" applyBorder="1" applyAlignment="1">
      <alignment horizontal="centerContinuous"/>
    </xf>
    <xf numFmtId="14" fontId="15" fillId="24" borderId="0" xfId="0" applyNumberFormat="1" applyFont="1" applyFill="1" applyProtection="1">
      <protection locked="0"/>
    </xf>
    <xf numFmtId="14" fontId="0" fillId="24" borderId="0" xfId="0" applyNumberFormat="1" applyFill="1" applyProtection="1">
      <protection locked="0"/>
    </xf>
    <xf numFmtId="0" fontId="4" fillId="23" borderId="0" xfId="0" applyFont="1" applyFill="1" applyAlignment="1" applyProtection="1">
      <alignment horizontal="center" vertical="center"/>
      <protection locked="0"/>
    </xf>
    <xf numFmtId="4" fontId="9" fillId="16" borderId="12" xfId="0" applyNumberFormat="1" applyFont="1" applyFill="1" applyBorder="1" applyAlignment="1" applyProtection="1">
      <alignment horizontal="center"/>
      <protection locked="0"/>
    </xf>
    <xf numFmtId="0" fontId="99" fillId="15" borderId="0" xfId="0" applyFont="1" applyFill="1" applyAlignment="1">
      <alignment horizontal="center"/>
    </xf>
    <xf numFmtId="0" fontId="0" fillId="15" borderId="25" xfId="0" applyFill="1" applyBorder="1"/>
    <xf numFmtId="0" fontId="15" fillId="15" borderId="0" xfId="0" applyFont="1" applyFill="1" applyAlignment="1" applyProtection="1">
      <alignment horizontal="left"/>
      <protection hidden="1"/>
    </xf>
    <xf numFmtId="0" fontId="11" fillId="15" borderId="0" xfId="0" applyFont="1" applyFill="1" applyAlignment="1">
      <alignment horizontal="center" vertical="center"/>
    </xf>
    <xf numFmtId="0" fontId="0" fillId="15" borderId="12" xfId="0" applyFill="1" applyBorder="1" applyProtection="1">
      <protection locked="0"/>
    </xf>
    <xf numFmtId="37" fontId="0" fillId="15" borderId="12" xfId="0" applyNumberFormat="1" applyFill="1" applyBorder="1" applyProtection="1">
      <protection locked="0"/>
    </xf>
    <xf numFmtId="4" fontId="4" fillId="5" borderId="0" xfId="0" applyNumberFormat="1" applyFont="1" applyFill="1" applyAlignment="1" applyProtection="1">
      <alignment horizontal="center" vertical="center"/>
      <protection locked="0"/>
    </xf>
    <xf numFmtId="0" fontId="10" fillId="14" borderId="0" xfId="0" applyFont="1" applyFill="1" applyProtection="1">
      <protection locked="0"/>
    </xf>
    <xf numFmtId="0" fontId="0" fillId="14" borderId="0" xfId="0" applyFill="1" applyProtection="1">
      <protection locked="0"/>
    </xf>
    <xf numFmtId="49" fontId="10" fillId="14" borderId="0" xfId="1" applyNumberFormat="1" applyFont="1" applyFill="1" applyProtection="1">
      <protection locked="0"/>
    </xf>
    <xf numFmtId="0" fontId="12" fillId="14" borderId="0" xfId="0" applyFont="1" applyFill="1" applyProtection="1">
      <protection hidden="1"/>
    </xf>
    <xf numFmtId="0" fontId="12" fillId="14" borderId="20" xfId="0" applyFont="1" applyFill="1" applyBorder="1" applyProtection="1">
      <protection hidden="1"/>
    </xf>
    <xf numFmtId="0" fontId="205" fillId="2" borderId="0" xfId="0" applyFont="1" applyFill="1" applyProtection="1">
      <protection hidden="1"/>
    </xf>
    <xf numFmtId="0" fontId="205" fillId="14" borderId="5" xfId="0" applyFont="1" applyFill="1" applyBorder="1" applyAlignment="1" applyProtection="1">
      <alignment horizontal="center" vertical="center"/>
      <protection hidden="1"/>
    </xf>
    <xf numFmtId="0" fontId="0" fillId="5" borderId="3" xfId="0" applyFill="1" applyBorder="1"/>
    <xf numFmtId="0" fontId="0" fillId="5" borderId="24" xfId="0" applyFill="1" applyBorder="1"/>
    <xf numFmtId="4" fontId="0" fillId="3" borderId="4" xfId="0" applyNumberFormat="1" applyFill="1" applyBorder="1" applyProtection="1">
      <protection hidden="1"/>
    </xf>
    <xf numFmtId="4" fontId="0" fillId="3" borderId="9" xfId="0" applyNumberFormat="1" applyFill="1" applyBorder="1" applyProtection="1">
      <protection hidden="1"/>
    </xf>
    <xf numFmtId="0" fontId="6" fillId="14" borderId="0" xfId="0" applyFont="1" applyFill="1" applyProtection="1">
      <protection hidden="1"/>
    </xf>
    <xf numFmtId="0" fontId="143" fillId="15" borderId="5" xfId="0" applyFont="1" applyFill="1" applyBorder="1" applyAlignment="1" applyProtection="1">
      <alignment vertical="center"/>
      <protection hidden="1"/>
    </xf>
    <xf numFmtId="0" fontId="143" fillId="15" borderId="0" xfId="0" applyFont="1" applyFill="1" applyAlignment="1" applyProtection="1">
      <alignment horizontal="right"/>
      <protection hidden="1"/>
    </xf>
    <xf numFmtId="39" fontId="119" fillId="14" borderId="0" xfId="0" applyNumberFormat="1" applyFont="1" applyFill="1" applyProtection="1">
      <protection hidden="1"/>
    </xf>
    <xf numFmtId="0" fontId="121" fillId="15" borderId="0" xfId="0" applyFont="1" applyFill="1"/>
    <xf numFmtId="14" fontId="6" fillId="24" borderId="0" xfId="0" applyNumberFormat="1" applyFont="1" applyFill="1" applyProtection="1">
      <protection locked="0"/>
    </xf>
    <xf numFmtId="164" fontId="11" fillId="2" borderId="0" xfId="0" applyNumberFormat="1" applyFont="1" applyFill="1" applyProtection="1">
      <protection hidden="1"/>
    </xf>
    <xf numFmtId="0" fontId="15" fillId="2" borderId="0" xfId="0" applyFont="1" applyFill="1" applyAlignment="1" applyProtection="1">
      <alignment horizontal="center" vertical="center"/>
      <protection locked="0"/>
    </xf>
    <xf numFmtId="0" fontId="12" fillId="2" borderId="15" xfId="0" applyFont="1" applyFill="1" applyBorder="1" applyAlignment="1" applyProtection="1">
      <alignment horizontal="center" vertical="center" wrapText="1"/>
      <protection locked="0"/>
    </xf>
    <xf numFmtId="0" fontId="0" fillId="15" borderId="0" xfId="0" applyFill="1" applyAlignment="1">
      <alignment wrapText="1"/>
    </xf>
    <xf numFmtId="37" fontId="8" fillId="3" borderId="0" xfId="0" applyNumberFormat="1" applyFont="1" applyFill="1" applyAlignment="1" applyProtection="1">
      <alignment horizontal="right"/>
      <protection locked="0"/>
    </xf>
    <xf numFmtId="37" fontId="0" fillId="0" borderId="0" xfId="0" applyNumberFormat="1"/>
    <xf numFmtId="3" fontId="9" fillId="20" borderId="9" xfId="0" applyNumberFormat="1" applyFont="1" applyFill="1" applyBorder="1" applyProtection="1">
      <protection locked="0"/>
    </xf>
    <xf numFmtId="37" fontId="9" fillId="2" borderId="1" xfId="0" applyNumberFormat="1" applyFont="1" applyFill="1" applyBorder="1" applyProtection="1">
      <protection locked="0"/>
    </xf>
    <xf numFmtId="37" fontId="6" fillId="0" borderId="1" xfId="0" applyNumberFormat="1" applyFont="1" applyBorder="1" applyProtection="1">
      <protection locked="0"/>
    </xf>
    <xf numFmtId="0" fontId="4" fillId="5" borderId="0" xfId="0" applyFont="1" applyFill="1" applyAlignment="1" applyProtection="1">
      <alignment horizontal="center" vertical="center"/>
      <protection locked="0"/>
    </xf>
    <xf numFmtId="0" fontId="164" fillId="5" borderId="0" xfId="0" applyFont="1" applyFill="1" applyAlignment="1" applyProtection="1">
      <alignment horizontal="center" vertical="center"/>
      <protection hidden="1"/>
    </xf>
    <xf numFmtId="0" fontId="9" fillId="15" borderId="0" xfId="0" applyFont="1" applyFill="1"/>
    <xf numFmtId="0" fontId="11" fillId="0" borderId="0" xfId="0" applyFont="1" applyAlignment="1">
      <alignment vertical="center"/>
    </xf>
    <xf numFmtId="0" fontId="0" fillId="15" borderId="20" xfId="0" applyFill="1" applyBorder="1" applyAlignment="1">
      <alignment wrapText="1"/>
    </xf>
    <xf numFmtId="0" fontId="15" fillId="15" borderId="0" xfId="0" applyFont="1" applyFill="1"/>
    <xf numFmtId="37" fontId="0" fillId="2" borderId="2" xfId="0" applyNumberFormat="1" applyFill="1" applyBorder="1" applyProtection="1">
      <protection locked="0"/>
    </xf>
    <xf numFmtId="0" fontId="172" fillId="2" borderId="0" xfId="0" applyFont="1" applyFill="1" applyProtection="1">
      <protection hidden="1"/>
    </xf>
    <xf numFmtId="0" fontId="172" fillId="2" borderId="0" xfId="0" applyFont="1" applyFill="1"/>
    <xf numFmtId="0" fontId="4" fillId="3" borderId="0" xfId="0" applyFont="1" applyFill="1" applyAlignment="1" applyProtection="1">
      <alignment horizontal="right" vertical="center"/>
      <protection hidden="1"/>
    </xf>
    <xf numFmtId="39" fontId="0" fillId="0" borderId="0" xfId="0" applyNumberFormat="1" applyProtection="1">
      <protection locked="0"/>
    </xf>
    <xf numFmtId="14" fontId="0" fillId="0" borderId="0" xfId="0" applyNumberFormat="1" applyProtection="1">
      <protection locked="0"/>
    </xf>
    <xf numFmtId="0" fontId="4" fillId="15" borderId="0" xfId="0" applyFont="1" applyFill="1" applyAlignment="1">
      <alignment horizontal="center"/>
    </xf>
    <xf numFmtId="0" fontId="0" fillId="19" borderId="4" xfId="0" applyFill="1" applyBorder="1"/>
    <xf numFmtId="14" fontId="0" fillId="24" borderId="0" xfId="0" applyNumberFormat="1" applyFill="1" applyAlignment="1" applyProtection="1">
      <alignment horizontal="center"/>
      <protection locked="0"/>
    </xf>
    <xf numFmtId="1" fontId="6" fillId="15" borderId="0" xfId="0" applyNumberFormat="1" applyFont="1" applyFill="1" applyProtection="1">
      <protection locked="0"/>
    </xf>
    <xf numFmtId="1" fontId="15" fillId="16" borderId="2" xfId="0" applyNumberFormat="1" applyFont="1" applyFill="1" applyBorder="1" applyAlignment="1" applyProtection="1">
      <alignment horizontal="center"/>
      <protection locked="0"/>
    </xf>
    <xf numFmtId="3" fontId="12" fillId="16" borderId="1" xfId="0" applyNumberFormat="1" applyFont="1" applyFill="1" applyBorder="1" applyProtection="1">
      <protection locked="0"/>
    </xf>
    <xf numFmtId="0" fontId="6" fillId="15" borderId="0" xfId="0" quotePrefix="1" applyFont="1" applyFill="1" applyProtection="1">
      <protection hidden="1"/>
    </xf>
    <xf numFmtId="0" fontId="4" fillId="15" borderId="5" xfId="0" applyFont="1" applyFill="1" applyBorder="1" applyAlignment="1" applyProtection="1">
      <alignment horizontal="center" vertical="center"/>
      <protection locked="0"/>
    </xf>
    <xf numFmtId="182" fontId="15" fillId="24" borderId="0" xfId="0" applyNumberFormat="1" applyFont="1" applyFill="1" applyProtection="1">
      <protection locked="0"/>
    </xf>
    <xf numFmtId="182" fontId="6" fillId="24" borderId="0" xfId="0" applyNumberFormat="1" applyFont="1" applyFill="1" applyProtection="1">
      <protection locked="0"/>
    </xf>
    <xf numFmtId="182" fontId="0" fillId="24" borderId="0" xfId="0" applyNumberFormat="1" applyFill="1" applyProtection="1">
      <protection locked="0"/>
    </xf>
    <xf numFmtId="164" fontId="4" fillId="2" borderId="0" xfId="0" applyNumberFormat="1" applyFont="1" applyFill="1" applyProtection="1">
      <protection hidden="1"/>
    </xf>
    <xf numFmtId="0" fontId="4" fillId="0" borderId="161" xfId="0" applyFont="1" applyBorder="1"/>
    <xf numFmtId="0" fontId="0" fillId="0" borderId="106" xfId="0" applyBorder="1"/>
    <xf numFmtId="0" fontId="4" fillId="0" borderId="162" xfId="0" quotePrefix="1" applyFont="1" applyBorder="1" applyAlignment="1">
      <alignment horizontal="right"/>
    </xf>
    <xf numFmtId="0" fontId="0" fillId="0" borderId="170" xfId="0" applyBorder="1"/>
    <xf numFmtId="0" fontId="6" fillId="0" borderId="162" xfId="0" quotePrefix="1" applyFont="1" applyBorder="1" applyAlignment="1">
      <alignment horizontal="left" indent="2"/>
    </xf>
    <xf numFmtId="0" fontId="0" fillId="0" borderId="162" xfId="0" quotePrefix="1" applyBorder="1"/>
    <xf numFmtId="0" fontId="6" fillId="0" borderId="162" xfId="0" quotePrefix="1" applyFont="1" applyBorder="1" applyAlignment="1">
      <alignment horizontal="right" indent="2"/>
    </xf>
    <xf numFmtId="2" fontId="0" fillId="0" borderId="170" xfId="0" applyNumberFormat="1" applyBorder="1" applyAlignment="1">
      <alignment horizontal="center"/>
    </xf>
    <xf numFmtId="0" fontId="6" fillId="0" borderId="162" xfId="0" quotePrefix="1" applyFont="1" applyBorder="1"/>
    <xf numFmtId="0" fontId="0" fillId="0" borderId="170" xfId="0" applyBorder="1" applyAlignment="1">
      <alignment horizontal="center"/>
    </xf>
    <xf numFmtId="0" fontId="4" fillId="0" borderId="163" xfId="0" quotePrefix="1" applyFont="1" applyBorder="1" applyAlignment="1">
      <alignment horizontal="right"/>
    </xf>
    <xf numFmtId="0" fontId="6" fillId="0" borderId="87" xfId="0" applyFont="1" applyBorder="1"/>
    <xf numFmtId="0" fontId="0" fillId="0" borderId="87" xfId="0" applyBorder="1"/>
    <xf numFmtId="0" fontId="0" fillId="0" borderId="171" xfId="0" applyBorder="1"/>
    <xf numFmtId="0" fontId="6" fillId="0" borderId="169" xfId="0" applyFont="1" applyBorder="1"/>
    <xf numFmtId="0" fontId="158" fillId="5" borderId="0" xfId="0" applyFont="1" applyFill="1" applyAlignment="1">
      <alignment vertical="center"/>
    </xf>
    <xf numFmtId="37" fontId="6" fillId="0" borderId="2" xfId="0" applyNumberFormat="1" applyFont="1" applyBorder="1" applyProtection="1">
      <protection locked="0"/>
    </xf>
    <xf numFmtId="0" fontId="0" fillId="15" borderId="0" xfId="0" applyFill="1" applyAlignment="1">
      <alignment horizontal="left" vertical="top" wrapText="1"/>
    </xf>
    <xf numFmtId="4" fontId="206" fillId="2" borderId="5" xfId="0" applyNumberFormat="1" applyFont="1" applyFill="1" applyBorder="1" applyAlignment="1" applyProtection="1">
      <alignment horizontal="left" indent="1"/>
      <protection hidden="1"/>
    </xf>
    <xf numFmtId="0" fontId="0" fillId="0" borderId="0" xfId="0" applyAlignment="1" applyProtection="1">
      <alignment horizontal="right"/>
      <protection locked="0"/>
    </xf>
    <xf numFmtId="37" fontId="8" fillId="3" borderId="1" xfId="0" applyNumberFormat="1" applyFont="1" applyFill="1" applyBorder="1" applyAlignment="1" applyProtection="1">
      <alignment horizontal="right" vertical="center"/>
      <protection locked="0"/>
    </xf>
    <xf numFmtId="0" fontId="6" fillId="15" borderId="0" xfId="0" applyFont="1" applyFill="1" applyAlignment="1">
      <alignment horizontal="center" vertical="center" wrapText="1"/>
    </xf>
    <xf numFmtId="37" fontId="0" fillId="15" borderId="0" xfId="0" applyNumberFormat="1" applyFill="1"/>
    <xf numFmtId="1" fontId="183" fillId="10" borderId="0" xfId="0" applyNumberFormat="1" applyFont="1" applyFill="1" applyAlignment="1" applyProtection="1">
      <alignment horizontal="center" vertical="center" wrapText="1"/>
      <protection hidden="1"/>
    </xf>
    <xf numFmtId="39" fontId="8" fillId="3" borderId="0" xfId="0" applyNumberFormat="1" applyFont="1" applyFill="1" applyAlignment="1" applyProtection="1">
      <alignment horizontal="left"/>
      <protection hidden="1"/>
    </xf>
    <xf numFmtId="0" fontId="112" fillId="0" borderId="0" xfId="0" applyFont="1" applyAlignment="1">
      <alignment horizontal="center"/>
    </xf>
    <xf numFmtId="0" fontId="9" fillId="3" borderId="7" xfId="0" applyFont="1" applyFill="1" applyBorder="1" applyAlignment="1" applyProtection="1">
      <alignment horizontal="left" vertical="top"/>
      <protection hidden="1"/>
    </xf>
    <xf numFmtId="0" fontId="8" fillId="3" borderId="8" xfId="0" applyFont="1" applyFill="1" applyBorder="1" applyAlignment="1" applyProtection="1">
      <alignment horizontal="left"/>
      <protection hidden="1"/>
    </xf>
    <xf numFmtId="0" fontId="15" fillId="3" borderId="0" xfId="0" applyFont="1" applyFill="1" applyAlignment="1" applyProtection="1">
      <alignment horizontal="right"/>
      <protection hidden="1"/>
    </xf>
    <xf numFmtId="0" fontId="15" fillId="3" borderId="25" xfId="0" applyFont="1" applyFill="1" applyBorder="1" applyAlignment="1" applyProtection="1">
      <alignment vertical="center"/>
      <protection hidden="1"/>
    </xf>
    <xf numFmtId="39" fontId="4" fillId="3" borderId="25" xfId="0" applyNumberFormat="1" applyFont="1" applyFill="1" applyBorder="1" applyProtection="1">
      <protection hidden="1"/>
    </xf>
    <xf numFmtId="39" fontId="9" fillId="3" borderId="25" xfId="0" applyNumberFormat="1" applyFont="1" applyFill="1" applyBorder="1" applyProtection="1">
      <protection hidden="1"/>
    </xf>
    <xf numFmtId="39" fontId="9" fillId="3" borderId="25" xfId="0" applyNumberFormat="1" applyFont="1" applyFill="1" applyBorder="1" applyAlignment="1" applyProtection="1">
      <alignment horizontal="center"/>
      <protection hidden="1"/>
    </xf>
    <xf numFmtId="39" fontId="9" fillId="3" borderId="25" xfId="0" applyNumberFormat="1" applyFont="1" applyFill="1" applyBorder="1" applyAlignment="1" applyProtection="1">
      <alignment horizontal="left"/>
      <protection hidden="1"/>
    </xf>
    <xf numFmtId="176" fontId="137" fillId="3" borderId="25" xfId="0" applyNumberFormat="1" applyFont="1" applyFill="1" applyBorder="1" applyAlignment="1" applyProtection="1">
      <alignment horizontal="center"/>
      <protection hidden="1"/>
    </xf>
    <xf numFmtId="39" fontId="122" fillId="3" borderId="25" xfId="0" applyNumberFormat="1" applyFont="1" applyFill="1" applyBorder="1" applyAlignment="1" applyProtection="1">
      <alignment horizontal="center"/>
      <protection hidden="1"/>
    </xf>
    <xf numFmtId="176" fontId="12" fillId="3" borderId="25" xfId="0" applyNumberFormat="1" applyFont="1" applyFill="1" applyBorder="1" applyAlignment="1" applyProtection="1">
      <alignment horizontal="right"/>
      <protection hidden="1"/>
    </xf>
    <xf numFmtId="39" fontId="9" fillId="3" borderId="0" xfId="0" quotePrefix="1" applyNumberFormat="1" applyFont="1" applyFill="1" applyAlignment="1" applyProtection="1">
      <alignment horizontal="center"/>
      <protection hidden="1"/>
    </xf>
    <xf numFmtId="176" fontId="112" fillId="3" borderId="1" xfId="0" applyNumberFormat="1" applyFont="1" applyFill="1" applyBorder="1" applyAlignment="1" applyProtection="1">
      <alignment horizontal="center"/>
      <protection hidden="1"/>
    </xf>
    <xf numFmtId="39" fontId="116" fillId="3" borderId="1" xfId="0" applyNumberFormat="1" applyFont="1" applyFill="1" applyBorder="1" applyAlignment="1" applyProtection="1">
      <alignment horizontal="center"/>
      <protection hidden="1"/>
    </xf>
    <xf numFmtId="39" fontId="6" fillId="3" borderId="8" xfId="0" applyNumberFormat="1" applyFont="1" applyFill="1" applyBorder="1" applyProtection="1">
      <protection hidden="1"/>
    </xf>
    <xf numFmtId="176" fontId="112" fillId="3" borderId="8" xfId="0" applyNumberFormat="1" applyFont="1" applyFill="1" applyBorder="1" applyAlignment="1" applyProtection="1">
      <alignment horizontal="center"/>
      <protection hidden="1"/>
    </xf>
    <xf numFmtId="39" fontId="116" fillId="3" borderId="8" xfId="0" applyNumberFormat="1" applyFont="1" applyFill="1" applyBorder="1" applyAlignment="1" applyProtection="1">
      <alignment horizontal="center"/>
      <protection hidden="1"/>
    </xf>
    <xf numFmtId="0" fontId="8" fillId="14" borderId="0" xfId="0" applyFont="1" applyFill="1" applyAlignment="1" applyProtection="1">
      <alignment horizontal="left"/>
      <protection hidden="1"/>
    </xf>
    <xf numFmtId="0" fontId="6" fillId="15" borderId="0" xfId="0" applyFont="1" applyFill="1" applyAlignment="1">
      <alignment horizontal="center" vertical="center"/>
    </xf>
    <xf numFmtId="0" fontId="15" fillId="14" borderId="0" xfId="0" applyFont="1" applyFill="1" applyAlignment="1" applyProtection="1">
      <alignment vertical="center"/>
      <protection hidden="1"/>
    </xf>
    <xf numFmtId="0" fontId="6" fillId="3" borderId="25" xfId="0" applyFont="1" applyFill="1" applyBorder="1" applyAlignment="1" applyProtection="1">
      <alignment vertical="center"/>
      <protection hidden="1"/>
    </xf>
    <xf numFmtId="0" fontId="4" fillId="14" borderId="0" xfId="0" applyFont="1" applyFill="1" applyAlignment="1" applyProtection="1">
      <alignment horizontal="left"/>
      <protection hidden="1"/>
    </xf>
    <xf numFmtId="0" fontId="6" fillId="14" borderId="0" xfId="0" applyFont="1" applyFill="1" applyAlignment="1" applyProtection="1">
      <alignment vertical="center"/>
      <protection hidden="1"/>
    </xf>
    <xf numFmtId="39" fontId="4" fillId="3" borderId="0" xfId="0" quotePrefix="1" applyNumberFormat="1" applyFont="1" applyFill="1" applyAlignment="1" applyProtection="1">
      <alignment horizontal="center"/>
      <protection hidden="1"/>
    </xf>
    <xf numFmtId="4" fontId="12" fillId="3" borderId="7" xfId="0" applyNumberFormat="1" applyFont="1" applyFill="1" applyBorder="1" applyAlignment="1" applyProtection="1">
      <alignment horizontal="right" vertical="top"/>
      <protection hidden="1"/>
    </xf>
    <xf numFmtId="176" fontId="12" fillId="20" borderId="12" xfId="0" applyNumberFormat="1" applyFont="1" applyFill="1" applyBorder="1" applyAlignment="1" applyProtection="1">
      <alignment horizontal="center" vertical="center"/>
      <protection locked="0"/>
    </xf>
    <xf numFmtId="1" fontId="8" fillId="14" borderId="0" xfId="0" applyNumberFormat="1" applyFont="1" applyFill="1" applyAlignment="1" applyProtection="1">
      <alignment horizontal="right"/>
      <protection hidden="1"/>
    </xf>
    <xf numFmtId="39" fontId="10" fillId="14" borderId="0" xfId="0" applyNumberFormat="1" applyFont="1" applyFill="1" applyAlignment="1" applyProtection="1">
      <alignment horizontal="center"/>
      <protection hidden="1"/>
    </xf>
    <xf numFmtId="39" fontId="8" fillId="14" borderId="0" xfId="0" applyNumberFormat="1" applyFont="1" applyFill="1" applyAlignment="1" applyProtection="1">
      <alignment horizontal="right"/>
      <protection hidden="1"/>
    </xf>
    <xf numFmtId="0" fontId="12" fillId="3" borderId="10" xfId="0" applyFont="1" applyFill="1" applyBorder="1" applyAlignment="1" applyProtection="1">
      <alignment horizontal="center"/>
      <protection hidden="1"/>
    </xf>
    <xf numFmtId="3" fontId="8" fillId="14" borderId="0" xfId="0" applyNumberFormat="1" applyFont="1" applyFill="1" applyAlignment="1" applyProtection="1">
      <alignment horizontal="right"/>
      <protection hidden="1"/>
    </xf>
    <xf numFmtId="39" fontId="8" fillId="14" borderId="0" xfId="0" applyNumberFormat="1" applyFont="1" applyFill="1" applyProtection="1">
      <protection hidden="1"/>
    </xf>
    <xf numFmtId="0" fontId="8" fillId="14" borderId="0" xfId="0" applyFont="1" applyFill="1" applyProtection="1">
      <protection hidden="1"/>
    </xf>
    <xf numFmtId="0" fontId="47" fillId="14" borderId="0" xfId="0" applyFont="1" applyFill="1" applyProtection="1">
      <protection hidden="1"/>
    </xf>
    <xf numFmtId="0" fontId="217" fillId="3" borderId="0" xfId="0" applyFont="1" applyFill="1" applyAlignment="1" applyProtection="1">
      <alignment horizontal="center" vertical="center"/>
      <protection hidden="1"/>
    </xf>
    <xf numFmtId="0" fontId="15" fillId="3" borderId="0" xfId="0" applyFont="1" applyFill="1" applyAlignment="1" applyProtection="1">
      <alignment horizontal="right" vertical="center"/>
      <protection hidden="1"/>
    </xf>
    <xf numFmtId="0" fontId="10" fillId="5" borderId="0" xfId="0" applyFont="1" applyFill="1" applyAlignment="1" applyProtection="1">
      <alignment horizontal="right"/>
      <protection hidden="1"/>
    </xf>
    <xf numFmtId="1" fontId="9" fillId="3" borderId="10" xfId="0" applyNumberFormat="1" applyFont="1" applyFill="1" applyBorder="1" applyAlignment="1" applyProtection="1">
      <alignment horizontal="center"/>
      <protection hidden="1"/>
    </xf>
    <xf numFmtId="0" fontId="12" fillId="3" borderId="0" xfId="0" applyFont="1" applyFill="1" applyAlignment="1" applyProtection="1">
      <alignment horizontal="right" vertical="center"/>
      <protection hidden="1"/>
    </xf>
    <xf numFmtId="39" fontId="8" fillId="3" borderId="4" xfId="0" applyNumberFormat="1" applyFont="1" applyFill="1" applyBorder="1" applyProtection="1">
      <protection hidden="1"/>
    </xf>
    <xf numFmtId="0" fontId="12" fillId="3" borderId="28" xfId="0" applyFont="1" applyFill="1" applyBorder="1" applyAlignment="1" applyProtection="1">
      <alignment horizontal="center"/>
      <protection hidden="1"/>
    </xf>
    <xf numFmtId="39" fontId="9" fillId="3" borderId="70" xfId="0" applyNumberFormat="1" applyFont="1" applyFill="1" applyBorder="1" applyAlignment="1" applyProtection="1">
      <alignment horizontal="right"/>
      <protection hidden="1"/>
    </xf>
    <xf numFmtId="0" fontId="9" fillId="19" borderId="23" xfId="0" quotePrefix="1" applyFont="1" applyFill="1" applyBorder="1" applyAlignment="1" applyProtection="1">
      <alignment horizontal="right" vertical="center"/>
      <protection hidden="1"/>
    </xf>
    <xf numFmtId="4" fontId="8" fillId="19" borderId="7" xfId="0" applyNumberFormat="1" applyFont="1" applyFill="1" applyBorder="1" applyAlignment="1" applyProtection="1">
      <alignment horizontal="left" vertical="center"/>
      <protection hidden="1"/>
    </xf>
    <xf numFmtId="0" fontId="8" fillId="19" borderId="7" xfId="0" applyFont="1" applyFill="1" applyBorder="1" applyAlignment="1" applyProtection="1">
      <alignment horizontal="left" vertical="center"/>
      <protection hidden="1"/>
    </xf>
    <xf numFmtId="0" fontId="9" fillId="19" borderId="7" xfId="0" applyFont="1" applyFill="1" applyBorder="1" applyAlignment="1" applyProtection="1">
      <alignment horizontal="right" vertical="center"/>
      <protection hidden="1"/>
    </xf>
    <xf numFmtId="39" fontId="8" fillId="19" borderId="7" xfId="0" applyNumberFormat="1" applyFont="1" applyFill="1" applyBorder="1" applyAlignment="1" applyProtection="1">
      <alignment horizontal="center" vertical="center"/>
      <protection hidden="1"/>
    </xf>
    <xf numFmtId="39" fontId="8" fillId="19" borderId="7" xfId="0" applyNumberFormat="1" applyFont="1" applyFill="1" applyBorder="1" applyAlignment="1" applyProtection="1">
      <alignment horizontal="right" vertical="center"/>
      <protection hidden="1"/>
    </xf>
    <xf numFmtId="0" fontId="9" fillId="19" borderId="7" xfId="0" quotePrefix="1" applyFont="1" applyFill="1" applyBorder="1" applyAlignment="1" applyProtection="1">
      <alignment horizontal="right" vertical="center"/>
      <protection hidden="1"/>
    </xf>
    <xf numFmtId="0" fontId="0" fillId="19" borderId="19" xfId="0" applyFill="1" applyBorder="1"/>
    <xf numFmtId="0" fontId="9" fillId="19" borderId="5" xfId="0" quotePrefix="1" applyFont="1" applyFill="1" applyBorder="1" applyAlignment="1" applyProtection="1">
      <alignment horizontal="right" vertical="center"/>
      <protection hidden="1"/>
    </xf>
    <xf numFmtId="4" fontId="8" fillId="19" borderId="0" xfId="0" applyNumberFormat="1" applyFont="1" applyFill="1" applyAlignment="1" applyProtection="1">
      <alignment horizontal="left" vertical="center"/>
      <protection hidden="1"/>
    </xf>
    <xf numFmtId="0" fontId="8" fillId="19" borderId="0" xfId="0" applyFont="1" applyFill="1" applyAlignment="1" applyProtection="1">
      <alignment horizontal="left" vertical="center"/>
      <protection hidden="1"/>
    </xf>
    <xf numFmtId="0" fontId="9" fillId="19" borderId="0" xfId="0" applyFont="1" applyFill="1" applyAlignment="1" applyProtection="1">
      <alignment horizontal="right" vertical="center"/>
      <protection hidden="1"/>
    </xf>
    <xf numFmtId="39" fontId="8" fillId="19" borderId="0" xfId="0" applyNumberFormat="1" applyFont="1" applyFill="1" applyAlignment="1" applyProtection="1">
      <alignment horizontal="center" vertical="center"/>
      <protection hidden="1"/>
    </xf>
    <xf numFmtId="39" fontId="8" fillId="19" borderId="0" xfId="0" applyNumberFormat="1" applyFont="1" applyFill="1" applyAlignment="1" applyProtection="1">
      <alignment horizontal="right" vertical="center"/>
      <protection hidden="1"/>
    </xf>
    <xf numFmtId="0" fontId="9" fillId="19" borderId="0" xfId="0" quotePrefix="1" applyFont="1" applyFill="1" applyAlignment="1" applyProtection="1">
      <alignment horizontal="right" vertical="center"/>
      <protection hidden="1"/>
    </xf>
    <xf numFmtId="0" fontId="0" fillId="19" borderId="20" xfId="0" applyFill="1" applyBorder="1"/>
    <xf numFmtId="0" fontId="0" fillId="19" borderId="5" xfId="0" applyFill="1" applyBorder="1"/>
    <xf numFmtId="0" fontId="0" fillId="19" borderId="21" xfId="0" applyFill="1" applyBorder="1"/>
    <xf numFmtId="4" fontId="8" fillId="19" borderId="4" xfId="0" applyNumberFormat="1" applyFont="1" applyFill="1" applyBorder="1" applyAlignment="1" applyProtection="1">
      <alignment horizontal="left" vertical="center"/>
      <protection hidden="1"/>
    </xf>
    <xf numFmtId="0" fontId="0" fillId="19" borderId="22" xfId="0" applyFill="1" applyBorder="1"/>
    <xf numFmtId="37" fontId="8" fillId="27" borderId="27" xfId="0" applyNumberFormat="1" applyFont="1" applyFill="1" applyBorder="1" applyProtection="1">
      <protection hidden="1"/>
    </xf>
    <xf numFmtId="4" fontId="9" fillId="15" borderId="30" xfId="0" applyNumberFormat="1" applyFont="1" applyFill="1" applyBorder="1" applyAlignment="1" applyProtection="1">
      <alignment horizontal="left"/>
      <protection hidden="1"/>
    </xf>
    <xf numFmtId="4" fontId="9" fillId="15" borderId="8" xfId="0" applyNumberFormat="1" applyFont="1" applyFill="1" applyBorder="1" applyAlignment="1" applyProtection="1">
      <alignment horizontal="left"/>
      <protection hidden="1"/>
    </xf>
    <xf numFmtId="0" fontId="8" fillId="15" borderId="8" xfId="0" applyFont="1" applyFill="1" applyBorder="1" applyAlignment="1" applyProtection="1">
      <alignment horizontal="left"/>
      <protection hidden="1"/>
    </xf>
    <xf numFmtId="4" fontId="8" fillId="15" borderId="8" xfId="0" applyNumberFormat="1" applyFont="1" applyFill="1" applyBorder="1" applyAlignment="1" applyProtection="1">
      <alignment horizontal="left"/>
      <protection hidden="1"/>
    </xf>
    <xf numFmtId="0" fontId="9" fillId="15" borderId="8" xfId="0" applyFont="1" applyFill="1" applyBorder="1" applyAlignment="1" applyProtection="1">
      <alignment horizontal="right"/>
      <protection hidden="1"/>
    </xf>
    <xf numFmtId="39" fontId="8" fillId="15" borderId="8" xfId="0" applyNumberFormat="1" applyFont="1" applyFill="1" applyBorder="1" applyAlignment="1" applyProtection="1">
      <alignment horizontal="center"/>
      <protection hidden="1"/>
    </xf>
    <xf numFmtId="39" fontId="8" fillId="15" borderId="8" xfId="0" applyNumberFormat="1" applyFont="1" applyFill="1" applyBorder="1" applyAlignment="1" applyProtection="1">
      <alignment horizontal="right"/>
      <protection hidden="1"/>
    </xf>
    <xf numFmtId="0" fontId="37" fillId="15" borderId="8" xfId="0" applyFont="1" applyFill="1" applyBorder="1" applyAlignment="1" applyProtection="1">
      <alignment horizontal="right"/>
      <protection hidden="1"/>
    </xf>
    <xf numFmtId="4" fontId="8" fillId="15" borderId="4" xfId="0" applyNumberFormat="1" applyFont="1" applyFill="1" applyBorder="1" applyAlignment="1" applyProtection="1">
      <alignment horizontal="left" vertical="center"/>
      <protection hidden="1"/>
    </xf>
    <xf numFmtId="0" fontId="8" fillId="15" borderId="4" xfId="0" applyFont="1" applyFill="1" applyBorder="1" applyAlignment="1" applyProtection="1">
      <alignment horizontal="left" vertical="center"/>
      <protection hidden="1"/>
    </xf>
    <xf numFmtId="0" fontId="9" fillId="15" borderId="4" xfId="0" applyFont="1" applyFill="1" applyBorder="1" applyAlignment="1" applyProtection="1">
      <alignment horizontal="right" vertical="center"/>
      <protection hidden="1"/>
    </xf>
    <xf numFmtId="39" fontId="8" fillId="15" borderId="4" xfId="0" applyNumberFormat="1" applyFont="1" applyFill="1" applyBorder="1" applyAlignment="1">
      <alignment horizontal="center" vertical="center"/>
    </xf>
    <xf numFmtId="39" fontId="8" fillId="15" borderId="4" xfId="0" applyNumberFormat="1" applyFont="1" applyFill="1" applyBorder="1" applyAlignment="1" applyProtection="1">
      <alignment horizontal="right" vertical="center"/>
      <protection hidden="1"/>
    </xf>
    <xf numFmtId="0" fontId="0" fillId="15" borderId="70" xfId="0" applyFill="1" applyBorder="1"/>
    <xf numFmtId="0" fontId="218" fillId="19" borderId="4" xfId="0" applyFont="1" applyFill="1" applyBorder="1" applyProtection="1">
      <protection hidden="1"/>
    </xf>
    <xf numFmtId="37" fontId="8" fillId="2" borderId="1" xfId="0" applyNumberFormat="1" applyFont="1" applyFill="1" applyBorder="1" applyProtection="1">
      <protection locked="0"/>
    </xf>
    <xf numFmtId="0" fontId="121" fillId="5" borderId="0" xfId="0" applyFont="1" applyFill="1" applyAlignment="1" applyProtection="1">
      <alignment vertical="center"/>
      <protection hidden="1"/>
    </xf>
    <xf numFmtId="168" fontId="128" fillId="0" borderId="0" xfId="0" applyNumberFormat="1" applyFont="1" applyAlignment="1" applyProtection="1">
      <alignment horizontal="right"/>
      <protection hidden="1"/>
    </xf>
    <xf numFmtId="168" fontId="128" fillId="0" borderId="20" xfId="0" applyNumberFormat="1" applyFont="1" applyBorder="1" applyAlignment="1" applyProtection="1">
      <alignment horizontal="right"/>
      <protection hidden="1"/>
    </xf>
    <xf numFmtId="1" fontId="4" fillId="15" borderId="0" xfId="0" applyNumberFormat="1" applyFont="1" applyFill="1" applyAlignment="1" applyProtection="1">
      <alignment horizontal="center"/>
      <protection hidden="1"/>
    </xf>
    <xf numFmtId="1" fontId="6" fillId="15" borderId="0" xfId="0" applyNumberFormat="1" applyFont="1" applyFill="1" applyAlignment="1" applyProtection="1">
      <alignment horizontal="center"/>
      <protection hidden="1"/>
    </xf>
    <xf numFmtId="0" fontId="109" fillId="5" borderId="0" xfId="0" applyFont="1" applyFill="1" applyProtection="1">
      <protection hidden="1"/>
    </xf>
    <xf numFmtId="0" fontId="219" fillId="5" borderId="0" xfId="0" applyFont="1" applyFill="1" applyAlignment="1" applyProtection="1">
      <alignment horizontal="left"/>
      <protection hidden="1"/>
    </xf>
    <xf numFmtId="0" fontId="219" fillId="5" borderId="0" xfId="0" applyFont="1" applyFill="1" applyProtection="1">
      <protection hidden="1"/>
    </xf>
    <xf numFmtId="0" fontId="113" fillId="5" borderId="0" xfId="0" applyFont="1" applyFill="1" applyAlignment="1" applyProtection="1">
      <alignment horizontal="left"/>
      <protection hidden="1"/>
    </xf>
    <xf numFmtId="164" fontId="4" fillId="2" borderId="0" xfId="0" applyNumberFormat="1" applyFont="1" applyFill="1" applyAlignment="1" applyProtection="1">
      <alignment horizontal="right"/>
      <protection hidden="1"/>
    </xf>
    <xf numFmtId="164" fontId="6" fillId="2" borderId="0" xfId="0" applyNumberFormat="1" applyFont="1" applyFill="1" applyAlignment="1" applyProtection="1">
      <alignment horizontal="right"/>
      <protection hidden="1"/>
    </xf>
    <xf numFmtId="14" fontId="0" fillId="15" borderId="0" xfId="0" applyNumberFormat="1" applyFill="1" applyProtection="1">
      <protection locked="0"/>
    </xf>
    <xf numFmtId="39" fontId="0" fillId="15" borderId="0" xfId="0" applyNumberFormat="1" applyFill="1" applyProtection="1">
      <protection locked="0"/>
    </xf>
    <xf numFmtId="37" fontId="0" fillId="2" borderId="12" xfId="0" applyNumberFormat="1" applyFill="1" applyBorder="1" applyAlignment="1" applyProtection="1">
      <alignment horizontal="right" vertical="center"/>
      <protection locked="0"/>
    </xf>
    <xf numFmtId="14" fontId="4" fillId="24" borderId="0" xfId="0" applyNumberFormat="1" applyFont="1" applyFill="1" applyProtection="1">
      <protection locked="0"/>
    </xf>
    <xf numFmtId="37" fontId="0" fillId="2" borderId="1" xfId="0" applyNumberFormat="1" applyFill="1" applyBorder="1" applyProtection="1">
      <protection locked="0"/>
    </xf>
    <xf numFmtId="39" fontId="0" fillId="0" borderId="0" xfId="0" applyNumberFormat="1" applyAlignment="1" applyProtection="1">
      <alignment horizontal="center"/>
      <protection locked="0"/>
    </xf>
    <xf numFmtId="39" fontId="11" fillId="24" borderId="0" xfId="0" applyNumberFormat="1" applyFont="1" applyFill="1" applyAlignment="1" applyProtection="1">
      <alignment horizontal="left"/>
      <protection locked="0"/>
    </xf>
    <xf numFmtId="14" fontId="4" fillId="24" borderId="0" xfId="0" applyNumberFormat="1" applyFont="1" applyFill="1" applyAlignment="1" applyProtection="1">
      <alignment horizontal="center"/>
      <protection locked="0"/>
    </xf>
    <xf numFmtId="0" fontId="5" fillId="3" borderId="0" xfId="0" applyFont="1" applyFill="1" applyProtection="1">
      <protection hidden="1"/>
    </xf>
    <xf numFmtId="0" fontId="221" fillId="15" borderId="0" xfId="0" applyFont="1" applyFill="1"/>
    <xf numFmtId="0" fontId="26" fillId="15" borderId="0" xfId="0" applyFont="1" applyFill="1" applyAlignment="1">
      <alignment horizontal="left"/>
    </xf>
    <xf numFmtId="0" fontId="67" fillId="15" borderId="5" xfId="2" applyFill="1" applyBorder="1" applyAlignment="1" applyProtection="1">
      <protection hidden="1"/>
    </xf>
    <xf numFmtId="0" fontId="67" fillId="15" borderId="20" xfId="2" applyFill="1" applyBorder="1" applyAlignment="1" applyProtection="1"/>
    <xf numFmtId="0" fontId="222" fillId="15" borderId="0" xfId="0" applyFont="1" applyFill="1"/>
    <xf numFmtId="0" fontId="222" fillId="15" borderId="20" xfId="0" applyFont="1" applyFill="1" applyBorder="1"/>
    <xf numFmtId="0" fontId="145" fillId="15" borderId="0" xfId="0" applyFont="1" applyFill="1"/>
    <xf numFmtId="0" fontId="6" fillId="0" borderId="0" xfId="0" applyFont="1" applyAlignment="1">
      <alignment vertical="center"/>
    </xf>
    <xf numFmtId="0" fontId="6" fillId="5" borderId="0" xfId="0" applyFont="1" applyFill="1"/>
    <xf numFmtId="0" fontId="26" fillId="15" borderId="5" xfId="0" applyFont="1" applyFill="1" applyBorder="1" applyAlignment="1" applyProtection="1">
      <alignment horizontal="left" indent="1"/>
      <protection hidden="1"/>
    </xf>
    <xf numFmtId="37" fontId="0" fillId="24" borderId="0" xfId="0" applyNumberFormat="1" applyFill="1" applyProtection="1">
      <protection locked="0"/>
    </xf>
    <xf numFmtId="37" fontId="0" fillId="24" borderId="0" xfId="0" applyNumberFormat="1" applyFill="1" applyAlignment="1" applyProtection="1">
      <alignment vertical="top"/>
      <protection locked="0"/>
    </xf>
    <xf numFmtId="37" fontId="0" fillId="0" borderId="0" xfId="0" applyNumberFormat="1" applyProtection="1">
      <protection locked="0"/>
    </xf>
    <xf numFmtId="14" fontId="0" fillId="24" borderId="0" xfId="0" applyNumberFormat="1" applyFill="1" applyAlignment="1" applyProtection="1">
      <alignment vertical="top"/>
      <protection locked="0"/>
    </xf>
    <xf numFmtId="14" fontId="6" fillId="24" borderId="1" xfId="0" applyNumberFormat="1" applyFont="1" applyFill="1" applyBorder="1" applyAlignment="1" applyProtection="1">
      <alignment horizontal="center"/>
      <protection locked="0"/>
    </xf>
    <xf numFmtId="37" fontId="6" fillId="24" borderId="0" xfId="0" applyNumberFormat="1" applyFont="1" applyFill="1" applyProtection="1">
      <protection locked="0"/>
    </xf>
    <xf numFmtId="37" fontId="6" fillId="24" borderId="0" xfId="0" applyNumberFormat="1" applyFont="1" applyFill="1" applyAlignment="1" applyProtection="1">
      <alignment vertical="top"/>
      <protection locked="0"/>
    </xf>
    <xf numFmtId="37" fontId="0" fillId="24" borderId="1" xfId="0" applyNumberFormat="1" applyFill="1" applyBorder="1" applyAlignment="1" applyProtection="1">
      <alignment horizontal="center"/>
      <protection locked="0"/>
    </xf>
    <xf numFmtId="37" fontId="0" fillId="24" borderId="25" xfId="0" applyNumberFormat="1" applyFill="1" applyBorder="1" applyAlignment="1" applyProtection="1">
      <alignment horizontal="center"/>
      <protection locked="0"/>
    </xf>
    <xf numFmtId="37" fontId="6" fillId="24" borderId="0" xfId="0" applyNumberFormat="1" applyFont="1" applyFill="1" applyAlignment="1" applyProtection="1">
      <alignment horizontal="left" indent="1"/>
      <protection locked="0"/>
    </xf>
    <xf numFmtId="0" fontId="4" fillId="15" borderId="11" xfId="0" applyFont="1" applyFill="1" applyBorder="1" applyAlignment="1">
      <alignment horizontal="right" vertical="center"/>
    </xf>
    <xf numFmtId="0" fontId="11" fillId="15" borderId="3" xfId="0" applyFont="1" applyFill="1" applyBorder="1" applyAlignment="1">
      <alignment vertical="center"/>
    </xf>
    <xf numFmtId="0" fontId="9" fillId="2" borderId="5" xfId="0" applyFont="1" applyFill="1" applyBorder="1" applyAlignment="1" applyProtection="1">
      <alignment horizontal="left" indent="1"/>
      <protection hidden="1"/>
    </xf>
    <xf numFmtId="0" fontId="8" fillId="2" borderId="25" xfId="0" applyFont="1" applyFill="1" applyBorder="1" applyProtection="1">
      <protection hidden="1"/>
    </xf>
    <xf numFmtId="0" fontId="10" fillId="2" borderId="25" xfId="0" applyFont="1" applyFill="1" applyBorder="1" applyProtection="1">
      <protection hidden="1"/>
    </xf>
    <xf numFmtId="0" fontId="6" fillId="15" borderId="0" xfId="0" applyFont="1" applyFill="1" applyAlignment="1">
      <alignment vertical="top"/>
    </xf>
    <xf numFmtId="0" fontId="6" fillId="15" borderId="21" xfId="0" applyFont="1" applyFill="1" applyBorder="1" applyAlignment="1">
      <alignment vertical="top"/>
    </xf>
    <xf numFmtId="0" fontId="6" fillId="15" borderId="4" xfId="0" applyFont="1" applyFill="1" applyBorder="1" applyAlignment="1">
      <alignment vertical="top"/>
    </xf>
    <xf numFmtId="0" fontId="12" fillId="15" borderId="0" xfId="0" applyFont="1" applyFill="1" applyAlignment="1" applyProtection="1">
      <alignment horizontal="center" vertical="center"/>
      <protection locked="0"/>
    </xf>
    <xf numFmtId="182" fontId="4" fillId="16" borderId="2" xfId="0" applyNumberFormat="1" applyFont="1" applyFill="1" applyBorder="1" applyAlignment="1" applyProtection="1">
      <alignment horizontal="center"/>
      <protection locked="0"/>
    </xf>
    <xf numFmtId="1" fontId="6" fillId="32" borderId="142" xfId="0" applyNumberFormat="1" applyFont="1" applyFill="1" applyBorder="1" applyAlignment="1" applyProtection="1">
      <alignment horizontal="center" vertical="center"/>
      <protection locked="0"/>
    </xf>
    <xf numFmtId="1" fontId="6" fillId="32" borderId="143" xfId="0" applyNumberFormat="1" applyFont="1" applyFill="1" applyBorder="1" applyAlignment="1" applyProtection="1">
      <alignment horizontal="center" vertical="center"/>
      <protection locked="0"/>
    </xf>
    <xf numFmtId="0" fontId="6" fillId="15" borderId="0" xfId="0" applyFont="1" applyFill="1" applyAlignment="1">
      <alignment horizontal="left" vertical="top"/>
    </xf>
    <xf numFmtId="4" fontId="110" fillId="0" borderId="0" xfId="0" applyNumberFormat="1" applyFont="1"/>
    <xf numFmtId="0" fontId="15" fillId="21" borderId="0" xfId="0" applyFont="1" applyFill="1" applyAlignment="1" applyProtection="1">
      <alignment horizontal="center" vertical="center"/>
      <protection locked="0"/>
    </xf>
    <xf numFmtId="37" fontId="110" fillId="0" borderId="0" xfId="0" applyNumberFormat="1" applyFont="1" applyProtection="1">
      <protection locked="0"/>
    </xf>
    <xf numFmtId="37" fontId="110" fillId="15" borderId="0" xfId="0" applyNumberFormat="1" applyFont="1" applyFill="1"/>
    <xf numFmtId="37" fontId="110" fillId="15" borderId="0" xfId="0" applyNumberFormat="1" applyFont="1" applyFill="1" applyProtection="1">
      <protection hidden="1"/>
    </xf>
    <xf numFmtId="37" fontId="0" fillId="2" borderId="59" xfId="0" applyNumberFormat="1" applyFill="1" applyBorder="1" applyProtection="1">
      <protection locked="0"/>
    </xf>
    <xf numFmtId="0" fontId="112" fillId="15" borderId="0" xfId="0" applyFont="1" applyFill="1" applyAlignment="1">
      <alignment vertical="center"/>
    </xf>
    <xf numFmtId="0" fontId="11" fillId="15" borderId="0" xfId="0" applyFont="1" applyFill="1" applyAlignment="1" applyProtection="1">
      <alignment horizontal="right" vertical="center"/>
      <protection hidden="1"/>
    </xf>
    <xf numFmtId="0" fontId="11" fillId="15" borderId="0" xfId="0" applyFont="1" applyFill="1" applyProtection="1">
      <protection hidden="1"/>
    </xf>
    <xf numFmtId="0" fontId="0" fillId="0" borderId="0" xfId="0" applyAlignment="1">
      <alignment horizontal="left" indent="1"/>
    </xf>
    <xf numFmtId="0" fontId="11" fillId="15" borderId="32" xfId="0" applyFont="1" applyFill="1" applyBorder="1" applyAlignment="1">
      <alignment horizontal="left" indent="1"/>
    </xf>
    <xf numFmtId="0" fontId="4" fillId="15" borderId="75" xfId="0" applyFont="1" applyFill="1" applyBorder="1" applyAlignment="1">
      <alignment horizontal="left" indent="1"/>
    </xf>
    <xf numFmtId="0" fontId="6" fillId="15" borderId="75" xfId="0" applyFont="1" applyFill="1" applyBorder="1" applyAlignment="1">
      <alignment horizontal="left" indent="1"/>
    </xf>
    <xf numFmtId="0" fontId="0" fillId="15" borderId="33" xfId="0" applyFill="1" applyBorder="1" applyAlignment="1">
      <alignment horizontal="left" indent="1"/>
    </xf>
    <xf numFmtId="0" fontId="67" fillId="15" borderId="100" xfId="2" applyFill="1" applyBorder="1" applyAlignment="1" applyProtection="1">
      <alignment horizontal="right"/>
    </xf>
    <xf numFmtId="0" fontId="67" fillId="15" borderId="100" xfId="2" quotePrefix="1" applyFill="1" applyBorder="1" applyAlignment="1" applyProtection="1">
      <alignment horizontal="right"/>
    </xf>
    <xf numFmtId="0" fontId="0" fillId="15" borderId="72" xfId="0" applyFill="1" applyBorder="1" applyAlignment="1">
      <alignment horizontal="right"/>
    </xf>
    <xf numFmtId="0" fontId="26" fillId="15" borderId="75" xfId="0" applyFont="1" applyFill="1" applyBorder="1" applyAlignment="1">
      <alignment horizontal="left" indent="1"/>
    </xf>
    <xf numFmtId="0" fontId="67" fillId="15" borderId="102" xfId="2" applyFill="1" applyBorder="1" applyAlignment="1" applyProtection="1">
      <alignment horizontal="left" indent="1"/>
      <protection hidden="1"/>
    </xf>
    <xf numFmtId="0" fontId="0" fillId="15" borderId="37" xfId="0" applyFill="1" applyBorder="1" applyAlignment="1" applyProtection="1">
      <alignment horizontal="left" indent="1"/>
      <protection hidden="1"/>
    </xf>
    <xf numFmtId="0" fontId="0" fillId="15" borderId="38" xfId="0" applyFill="1" applyBorder="1" applyAlignment="1" applyProtection="1">
      <alignment horizontal="left" indent="1"/>
      <protection hidden="1"/>
    </xf>
    <xf numFmtId="0" fontId="6" fillId="0" borderId="0" xfId="0" applyFont="1" applyAlignment="1">
      <alignment vertical="top" wrapText="1"/>
    </xf>
    <xf numFmtId="0" fontId="6" fillId="15" borderId="0" xfId="0" applyFont="1" applyFill="1" applyAlignment="1">
      <alignment wrapText="1"/>
    </xf>
    <xf numFmtId="0" fontId="128" fillId="15" borderId="5" xfId="0" applyFont="1" applyFill="1" applyBorder="1" applyAlignment="1">
      <alignment vertical="center" wrapText="1"/>
    </xf>
    <xf numFmtId="0" fontId="128" fillId="15" borderId="0" xfId="0" applyFont="1" applyFill="1" applyAlignment="1">
      <alignment vertical="center" wrapText="1"/>
    </xf>
    <xf numFmtId="0" fontId="128" fillId="15" borderId="20" xfId="0" applyFont="1" applyFill="1" applyBorder="1" applyAlignment="1">
      <alignment vertical="center" wrapText="1"/>
    </xf>
    <xf numFmtId="0" fontId="128" fillId="15" borderId="5" xfId="0" applyFont="1" applyFill="1" applyBorder="1" applyAlignment="1">
      <alignment horizontal="centerContinuous" vertical="center" wrapText="1"/>
    </xf>
    <xf numFmtId="0" fontId="128" fillId="15" borderId="20" xfId="0" applyFont="1" applyFill="1" applyBorder="1" applyAlignment="1">
      <alignment horizontal="centerContinuous" vertical="center" wrapText="1"/>
    </xf>
    <xf numFmtId="0" fontId="128" fillId="15" borderId="21" xfId="0" applyFont="1" applyFill="1" applyBorder="1" applyAlignment="1">
      <alignment vertical="center" wrapText="1"/>
    </xf>
    <xf numFmtId="0" fontId="128" fillId="15" borderId="4" xfId="0" applyFont="1" applyFill="1" applyBorder="1" applyAlignment="1">
      <alignment vertical="center" wrapText="1"/>
    </xf>
    <xf numFmtId="0" fontId="128" fillId="15" borderId="22" xfId="0" applyFont="1" applyFill="1" applyBorder="1" applyAlignment="1">
      <alignment vertical="center" wrapText="1"/>
    </xf>
    <xf numFmtId="0" fontId="128" fillId="15" borderId="0" xfId="0" applyFont="1" applyFill="1" applyAlignment="1" applyProtection="1">
      <alignment horizontal="centerContinuous"/>
      <protection hidden="1"/>
    </xf>
    <xf numFmtId="0" fontId="232" fillId="15" borderId="4" xfId="2" applyFont="1" applyFill="1" applyBorder="1" applyAlignment="1" applyProtection="1">
      <alignment horizontal="center" vertical="top"/>
    </xf>
    <xf numFmtId="0" fontId="232" fillId="15" borderId="0" xfId="2" applyFont="1" applyFill="1" applyAlignment="1" applyProtection="1">
      <alignment horizontal="center" vertical="top"/>
    </xf>
    <xf numFmtId="4" fontId="0" fillId="0" borderId="0" xfId="0" applyNumberFormat="1" applyProtection="1">
      <protection locked="0"/>
    </xf>
    <xf numFmtId="0" fontId="0" fillId="24" borderId="0" xfId="0" applyFill="1"/>
    <xf numFmtId="0" fontId="4" fillId="0" borderId="0" xfId="0" quotePrefix="1" applyFont="1" applyAlignment="1">
      <alignment horizontal="left"/>
    </xf>
    <xf numFmtId="184" fontId="4" fillId="0" borderId="2" xfId="0" applyNumberFormat="1" applyFont="1" applyBorder="1" applyAlignment="1">
      <alignment horizontal="center" wrapText="1"/>
    </xf>
    <xf numFmtId="184" fontId="0" fillId="15" borderId="0" xfId="0" applyNumberFormat="1" applyFill="1" applyAlignment="1" applyProtection="1">
      <alignment horizontal="center" vertical="center"/>
      <protection hidden="1"/>
    </xf>
    <xf numFmtId="1" fontId="4" fillId="15" borderId="2" xfId="0" applyNumberFormat="1" applyFont="1" applyFill="1" applyBorder="1" applyAlignment="1" applyProtection="1">
      <alignment horizontal="center"/>
      <protection locked="0"/>
    </xf>
    <xf numFmtId="37" fontId="0" fillId="15" borderId="0" xfId="0" applyNumberFormat="1" applyFill="1" applyProtection="1">
      <protection locked="0"/>
    </xf>
    <xf numFmtId="37" fontId="4" fillId="15" borderId="0" xfId="0" quotePrefix="1" applyNumberFormat="1" applyFont="1" applyFill="1" applyAlignment="1" applyProtection="1">
      <alignment horizontal="right"/>
      <protection locked="0"/>
    </xf>
    <xf numFmtId="37" fontId="0" fillId="15" borderId="8" xfId="0" applyNumberFormat="1" applyFill="1" applyBorder="1" applyProtection="1">
      <protection locked="0"/>
    </xf>
    <xf numFmtId="37" fontId="6" fillId="16" borderId="1" xfId="0" applyNumberFormat="1" applyFont="1" applyFill="1" applyBorder="1" applyProtection="1">
      <protection locked="0"/>
    </xf>
    <xf numFmtId="37" fontId="0" fillId="16" borderId="2" xfId="0" applyNumberFormat="1" applyFill="1" applyBorder="1" applyProtection="1">
      <protection locked="0"/>
    </xf>
    <xf numFmtId="39" fontId="6" fillId="0" borderId="2" xfId="0" applyNumberFormat="1" applyFont="1" applyBorder="1" applyProtection="1">
      <protection locked="0"/>
    </xf>
    <xf numFmtId="3" fontId="110" fillId="15" borderId="0" xfId="0" applyNumberFormat="1" applyFont="1" applyFill="1" applyProtection="1">
      <protection locked="0"/>
    </xf>
    <xf numFmtId="0" fontId="11" fillId="27" borderId="39" xfId="0" applyFont="1" applyFill="1" applyBorder="1" applyAlignment="1" applyProtection="1">
      <alignment horizontal="center" vertical="center"/>
      <protection hidden="1"/>
    </xf>
    <xf numFmtId="0" fontId="11" fillId="27" borderId="25" xfId="0" applyFont="1" applyFill="1" applyBorder="1" applyAlignment="1" applyProtection="1">
      <alignment horizontal="center" vertical="center"/>
      <protection hidden="1"/>
    </xf>
    <xf numFmtId="0" fontId="20" fillId="27" borderId="25" xfId="0" applyFont="1" applyFill="1" applyBorder="1" applyAlignment="1" applyProtection="1">
      <alignment horizontal="center" vertical="center"/>
      <protection hidden="1"/>
    </xf>
    <xf numFmtId="0" fontId="6" fillId="15" borderId="4" xfId="4" applyFill="1" applyBorder="1" applyProtection="1">
      <protection hidden="1"/>
    </xf>
    <xf numFmtId="6" fontId="102" fillId="15" borderId="0" xfId="0" applyNumberFormat="1" applyFont="1" applyFill="1" applyAlignment="1" applyProtection="1">
      <alignment horizontal="center" vertical="center"/>
      <protection hidden="1"/>
    </xf>
    <xf numFmtId="0" fontId="110" fillId="15" borderId="0" xfId="0" applyFont="1" applyFill="1" applyAlignment="1">
      <alignment horizontal="center"/>
    </xf>
    <xf numFmtId="0" fontId="4" fillId="0" borderId="0" xfId="0" applyFont="1" applyAlignment="1">
      <alignment horizontal="right"/>
    </xf>
    <xf numFmtId="0" fontId="236" fillId="15" borderId="0" xfId="0" applyFont="1" applyFill="1" applyAlignment="1" applyProtection="1">
      <alignment vertical="center"/>
      <protection hidden="1"/>
    </xf>
    <xf numFmtId="0" fontId="234" fillId="15" borderId="0" xfId="0" applyFont="1" applyFill="1" applyAlignment="1" applyProtection="1">
      <alignment vertical="center"/>
      <protection hidden="1"/>
    </xf>
    <xf numFmtId="0" fontId="235" fillId="15" borderId="0" xfId="0" applyFont="1" applyFill="1" applyAlignment="1" applyProtection="1">
      <alignment vertical="center"/>
      <protection hidden="1"/>
    </xf>
    <xf numFmtId="0" fontId="47" fillId="14" borderId="0" xfId="0" applyFont="1" applyFill="1" applyAlignment="1" applyProtection="1">
      <alignment vertical="center"/>
      <protection hidden="1"/>
    </xf>
    <xf numFmtId="4" fontId="10" fillId="3" borderId="7" xfId="0" applyNumberFormat="1" applyFont="1" applyFill="1" applyBorder="1" applyAlignment="1" applyProtection="1">
      <alignment horizontal="left" vertical="top"/>
      <protection hidden="1"/>
    </xf>
    <xf numFmtId="37" fontId="8" fillId="16" borderId="12" xfId="0" applyNumberFormat="1" applyFont="1" applyFill="1" applyBorder="1" applyProtection="1">
      <protection locked="0"/>
    </xf>
    <xf numFmtId="37" fontId="8" fillId="0" borderId="1" xfId="0" applyNumberFormat="1" applyFont="1" applyBorder="1" applyProtection="1">
      <protection locked="0"/>
    </xf>
    <xf numFmtId="37" fontId="9" fillId="15" borderId="24" xfId="0" applyNumberFormat="1" applyFont="1" applyFill="1" applyBorder="1" applyProtection="1">
      <protection locked="0"/>
    </xf>
    <xf numFmtId="0" fontId="67" fillId="0" borderId="100" xfId="2" applyFill="1" applyBorder="1" applyAlignment="1" applyProtection="1">
      <alignment horizontal="right"/>
    </xf>
    <xf numFmtId="0" fontId="4" fillId="0" borderId="75" xfId="0" applyFont="1" applyBorder="1" applyAlignment="1">
      <alignment horizontal="left" indent="1"/>
    </xf>
    <xf numFmtId="0" fontId="6" fillId="14" borderId="0" xfId="0" applyFont="1" applyFill="1" applyProtection="1">
      <protection locked="0"/>
    </xf>
    <xf numFmtId="0" fontId="8" fillId="15" borderId="0" xfId="0" applyFont="1" applyFill="1" applyAlignment="1">
      <alignment vertical="center"/>
    </xf>
    <xf numFmtId="0" fontId="20" fillId="15" borderId="0" xfId="0" applyFont="1" applyFill="1" applyAlignment="1">
      <alignment horizontal="center"/>
    </xf>
    <xf numFmtId="0" fontId="8" fillId="15" borderId="7" xfId="0" applyFont="1" applyFill="1" applyBorder="1" applyAlignment="1">
      <alignment vertical="center"/>
    </xf>
    <xf numFmtId="0" fontId="8" fillId="15" borderId="1" xfId="0" applyFont="1" applyFill="1" applyBorder="1" applyAlignment="1">
      <alignment vertical="center"/>
    </xf>
    <xf numFmtId="0" fontId="4" fillId="20" borderId="2" xfId="0" applyFont="1" applyFill="1" applyBorder="1" applyAlignment="1" applyProtection="1">
      <alignment horizontal="centerContinuous"/>
      <protection locked="0"/>
    </xf>
    <xf numFmtId="4" fontId="6" fillId="32" borderId="181" xfId="0" applyNumberFormat="1" applyFont="1" applyFill="1" applyBorder="1" applyProtection="1">
      <protection locked="0"/>
    </xf>
    <xf numFmtId="4" fontId="6" fillId="32" borderId="183" xfId="0" applyNumberFormat="1" applyFont="1" applyFill="1" applyBorder="1" applyAlignment="1" applyProtection="1">
      <alignment horizontal="right"/>
      <protection locked="0"/>
    </xf>
    <xf numFmtId="0" fontId="4" fillId="15" borderId="0" xfId="0" applyFont="1" applyFill="1" applyAlignment="1">
      <alignment vertical="center"/>
    </xf>
    <xf numFmtId="0" fontId="25" fillId="15" borderId="0" xfId="0" applyFont="1" applyFill="1" applyAlignment="1">
      <alignment horizontal="center"/>
    </xf>
    <xf numFmtId="0" fontId="6" fillId="15" borderId="0" xfId="0" applyFont="1" applyFill="1" applyAlignment="1">
      <alignment horizontal="right"/>
    </xf>
    <xf numFmtId="0" fontId="10" fillId="2" borderId="67" xfId="0" applyFont="1" applyFill="1" applyBorder="1" applyAlignment="1" applyProtection="1">
      <alignment horizontal="left" vertical="center" indent="1"/>
      <protection hidden="1"/>
    </xf>
    <xf numFmtId="37" fontId="83" fillId="2" borderId="12" xfId="0" applyNumberFormat="1" applyFont="1" applyFill="1" applyBorder="1" applyProtection="1">
      <protection locked="0"/>
    </xf>
    <xf numFmtId="194" fontId="31" fillId="2" borderId="3" xfId="0" applyNumberFormat="1" applyFont="1" applyFill="1" applyBorder="1" applyProtection="1">
      <protection locked="0"/>
    </xf>
    <xf numFmtId="37" fontId="31" fillId="2" borderId="9" xfId="0" applyNumberFormat="1" applyFont="1" applyFill="1" applyBorder="1" applyProtection="1">
      <protection locked="0"/>
    </xf>
    <xf numFmtId="0" fontId="0" fillId="0" borderId="20" xfId="0" applyBorder="1"/>
    <xf numFmtId="37" fontId="31" fillId="2" borderId="0" xfId="0" applyNumberFormat="1" applyFont="1" applyFill="1" applyProtection="1">
      <protection locked="0"/>
    </xf>
    <xf numFmtId="0" fontId="11" fillId="15" borderId="21" xfId="0" applyFont="1" applyFill="1" applyBorder="1" applyProtection="1">
      <protection hidden="1"/>
    </xf>
    <xf numFmtId="0" fontId="11" fillId="15" borderId="4" xfId="0" applyFont="1" applyFill="1" applyBorder="1" applyProtection="1">
      <protection hidden="1"/>
    </xf>
    <xf numFmtId="0" fontId="44" fillId="15" borderId="5" xfId="0" applyFont="1" applyFill="1" applyBorder="1" applyProtection="1">
      <protection hidden="1"/>
    </xf>
    <xf numFmtId="0" fontId="56" fillId="15" borderId="5" xfId="0" applyFont="1" applyFill="1" applyBorder="1" applyProtection="1">
      <protection hidden="1"/>
    </xf>
    <xf numFmtId="0" fontId="6" fillId="15" borderId="5" xfId="0" quotePrefix="1" applyFont="1" applyFill="1" applyBorder="1" applyAlignment="1" applyProtection="1">
      <alignment horizontal="right" indent="1"/>
      <protection hidden="1"/>
    </xf>
    <xf numFmtId="0" fontId="6" fillId="15" borderId="5" xfId="0" applyFont="1" applyFill="1" applyBorder="1"/>
    <xf numFmtId="0" fontId="6" fillId="15" borderId="26" xfId="0" quotePrefix="1" applyFont="1" applyFill="1" applyBorder="1" applyAlignment="1" applyProtection="1">
      <alignment horizontal="right" vertical="top" indent="1"/>
      <protection hidden="1"/>
    </xf>
    <xf numFmtId="0" fontId="0" fillId="15" borderId="29" xfId="0" applyFill="1" applyBorder="1" applyAlignment="1" applyProtection="1">
      <alignment vertical="top"/>
      <protection hidden="1"/>
    </xf>
    <xf numFmtId="40" fontId="40" fillId="2" borderId="0" xfId="0" applyNumberFormat="1" applyFont="1" applyFill="1" applyAlignment="1" applyProtection="1">
      <alignment horizontal="right" vertical="center"/>
      <protection hidden="1"/>
    </xf>
    <xf numFmtId="0" fontId="14" fillId="15" borderId="0" xfId="0" applyFont="1" applyFill="1" applyAlignment="1" applyProtection="1">
      <alignment horizontal="right"/>
      <protection hidden="1"/>
    </xf>
    <xf numFmtId="0" fontId="10" fillId="15" borderId="0" xfId="0" quotePrefix="1" applyFont="1" applyFill="1" applyAlignment="1" applyProtection="1">
      <alignment horizontal="right"/>
      <protection hidden="1"/>
    </xf>
    <xf numFmtId="0" fontId="4" fillId="15" borderId="2" xfId="0" applyFont="1" applyFill="1" applyBorder="1" applyAlignment="1" applyProtection="1">
      <alignment horizontal="center"/>
      <protection locked="0"/>
    </xf>
    <xf numFmtId="0" fontId="100" fillId="15" borderId="132" xfId="0" applyFont="1" applyFill="1" applyBorder="1" applyAlignment="1" applyProtection="1">
      <alignment horizontal="centerContinuous" vertical="center"/>
      <protection hidden="1"/>
    </xf>
    <xf numFmtId="0" fontId="190" fillId="15" borderId="153" xfId="0" applyFont="1" applyFill="1" applyBorder="1" applyAlignment="1" applyProtection="1">
      <alignment horizontal="left" vertical="center"/>
      <protection hidden="1"/>
    </xf>
    <xf numFmtId="0" fontId="190" fillId="15" borderId="1" xfId="0" applyFont="1" applyFill="1" applyBorder="1" applyAlignment="1" applyProtection="1">
      <alignment horizontal="center" vertical="center"/>
      <protection hidden="1"/>
    </xf>
    <xf numFmtId="0" fontId="190" fillId="33" borderId="1" xfId="0" applyFont="1" applyFill="1" applyBorder="1" applyAlignment="1" applyProtection="1">
      <alignment horizontal="center" vertical="center"/>
      <protection hidden="1"/>
    </xf>
    <xf numFmtId="0" fontId="190" fillId="33" borderId="0" xfId="0" applyFont="1" applyFill="1" applyAlignment="1" applyProtection="1">
      <alignment horizontal="left"/>
      <protection hidden="1"/>
    </xf>
    <xf numFmtId="0" fontId="190" fillId="33" borderId="0" xfId="0" applyFont="1" applyFill="1" applyAlignment="1" applyProtection="1">
      <alignment horizontal="center"/>
      <protection hidden="1"/>
    </xf>
    <xf numFmtId="0" fontId="192" fillId="15" borderId="184" xfId="0" applyFont="1" applyFill="1" applyBorder="1" applyAlignment="1" applyProtection="1">
      <alignment horizontal="center"/>
      <protection hidden="1"/>
    </xf>
    <xf numFmtId="0" fontId="191" fillId="15" borderId="182" xfId="0" applyFont="1" applyFill="1" applyBorder="1" applyAlignment="1" applyProtection="1">
      <alignment horizontal="center" vertical="center"/>
      <protection hidden="1"/>
    </xf>
    <xf numFmtId="0" fontId="191" fillId="15" borderId="182" xfId="0" applyFont="1" applyFill="1" applyBorder="1" applyProtection="1">
      <protection hidden="1"/>
    </xf>
    <xf numFmtId="0" fontId="191" fillId="15" borderId="182" xfId="0" applyFont="1" applyFill="1" applyBorder="1" applyAlignment="1" applyProtection="1">
      <alignment horizontal="right"/>
      <protection hidden="1"/>
    </xf>
    <xf numFmtId="0" fontId="98" fillId="15" borderId="185" xfId="0" applyFont="1" applyFill="1" applyBorder="1" applyProtection="1">
      <protection hidden="1"/>
    </xf>
    <xf numFmtId="0" fontId="192" fillId="15" borderId="186" xfId="0" applyFont="1" applyFill="1" applyBorder="1" applyAlignment="1" applyProtection="1">
      <alignment horizontal="center"/>
      <protection hidden="1"/>
    </xf>
    <xf numFmtId="0" fontId="191" fillId="15" borderId="0" xfId="0" applyFont="1" applyFill="1" applyAlignment="1" applyProtection="1">
      <alignment horizontal="center" vertical="center"/>
      <protection hidden="1"/>
    </xf>
    <xf numFmtId="0" fontId="191" fillId="15" borderId="0" xfId="0" applyFont="1" applyFill="1" applyProtection="1">
      <protection hidden="1"/>
    </xf>
    <xf numFmtId="0" fontId="191" fillId="15" borderId="0" xfId="0" applyFont="1" applyFill="1" applyAlignment="1" applyProtection="1">
      <alignment horizontal="right"/>
      <protection hidden="1"/>
    </xf>
    <xf numFmtId="0" fontId="98" fillId="15" borderId="187" xfId="0" applyFont="1" applyFill="1" applyBorder="1" applyProtection="1">
      <protection hidden="1"/>
    </xf>
    <xf numFmtId="0" fontId="192" fillId="15" borderId="0" xfId="0" applyFont="1" applyFill="1" applyAlignment="1" applyProtection="1">
      <alignment horizontal="center" vertical="center"/>
      <protection hidden="1"/>
    </xf>
    <xf numFmtId="0" fontId="192" fillId="15" borderId="0" xfId="0" applyFont="1" applyFill="1" applyAlignment="1" applyProtection="1">
      <alignment horizontal="center"/>
      <protection hidden="1"/>
    </xf>
    <xf numFmtId="0" fontId="190" fillId="33" borderId="0" xfId="0" applyFont="1" applyFill="1" applyAlignment="1" applyProtection="1">
      <alignment horizontal="center" vertical="center"/>
      <protection hidden="1"/>
    </xf>
    <xf numFmtId="0" fontId="190" fillId="15" borderId="0" xfId="0" applyFont="1" applyFill="1" applyAlignment="1" applyProtection="1">
      <alignment horizontal="center" vertical="center"/>
      <protection hidden="1"/>
    </xf>
    <xf numFmtId="0" fontId="192" fillId="15" borderId="188" xfId="0" applyFont="1" applyFill="1" applyBorder="1" applyAlignment="1" applyProtection="1">
      <alignment horizontal="center"/>
      <protection hidden="1"/>
    </xf>
    <xf numFmtId="0" fontId="191" fillId="15" borderId="159" xfId="0" applyFont="1" applyFill="1" applyBorder="1" applyAlignment="1" applyProtection="1">
      <alignment horizontal="center" vertical="center"/>
      <protection hidden="1"/>
    </xf>
    <xf numFmtId="0" fontId="191" fillId="15" borderId="159" xfId="0" applyFont="1" applyFill="1" applyBorder="1" applyProtection="1">
      <protection hidden="1"/>
    </xf>
    <xf numFmtId="0" fontId="191" fillId="15" borderId="159" xfId="0" applyFont="1" applyFill="1" applyBorder="1" applyAlignment="1" applyProtection="1">
      <alignment horizontal="right"/>
      <protection hidden="1"/>
    </xf>
    <xf numFmtId="0" fontId="98" fillId="15" borderId="189" xfId="0" applyFont="1" applyFill="1" applyBorder="1" applyProtection="1">
      <protection hidden="1"/>
    </xf>
    <xf numFmtId="0" fontId="190" fillId="33" borderId="159" xfId="0" applyFont="1" applyFill="1" applyBorder="1" applyAlignment="1" applyProtection="1">
      <alignment horizontal="center"/>
      <protection hidden="1"/>
    </xf>
    <xf numFmtId="0" fontId="190" fillId="33" borderId="159" xfId="0" applyFont="1" applyFill="1" applyBorder="1" applyAlignment="1" applyProtection="1">
      <alignment horizontal="left"/>
      <protection hidden="1"/>
    </xf>
    <xf numFmtId="184" fontId="6" fillId="0" borderId="0" xfId="0" applyNumberFormat="1" applyFont="1" applyAlignment="1" applyProtection="1">
      <alignment horizontal="center" vertical="top" wrapText="1"/>
      <protection hidden="1"/>
    </xf>
    <xf numFmtId="3" fontId="0" fillId="8" borderId="1" xfId="0" applyNumberFormat="1" applyFill="1" applyBorder="1" applyProtection="1">
      <protection locked="0"/>
    </xf>
    <xf numFmtId="3" fontId="4" fillId="0" borderId="2" xfId="0" applyNumberFormat="1" applyFont="1" applyBorder="1" applyAlignment="1" applyProtection="1">
      <alignment horizontal="center"/>
      <protection locked="0"/>
    </xf>
    <xf numFmtId="166" fontId="20" fillId="15" borderId="9" xfId="0" applyNumberFormat="1" applyFont="1" applyFill="1" applyBorder="1" applyProtection="1">
      <protection locked="0"/>
    </xf>
    <xf numFmtId="0" fontId="15" fillId="16" borderId="12" xfId="0" applyFont="1" applyFill="1" applyBorder="1" applyAlignment="1" applyProtection="1">
      <alignment horizontal="center" vertical="center"/>
      <protection locked="0"/>
    </xf>
    <xf numFmtId="195" fontId="47" fillId="15" borderId="2" xfId="0" applyNumberFormat="1" applyFont="1" applyFill="1" applyBorder="1" applyProtection="1">
      <protection locked="0"/>
    </xf>
    <xf numFmtId="37" fontId="0" fillId="15" borderId="2" xfId="0" applyNumberFormat="1" applyFill="1" applyBorder="1" applyProtection="1">
      <protection locked="0"/>
    </xf>
    <xf numFmtId="39" fontId="5" fillId="24" borderId="0" xfId="0" applyNumberFormat="1" applyFont="1" applyFill="1" applyProtection="1">
      <protection locked="0"/>
    </xf>
    <xf numFmtId="39" fontId="5" fillId="0" borderId="0" xfId="0" applyNumberFormat="1" applyFont="1" applyProtection="1">
      <protection locked="0"/>
    </xf>
    <xf numFmtId="39" fontId="0" fillId="0" borderId="0" xfId="0" applyNumberFormat="1" applyAlignment="1" applyProtection="1">
      <alignment vertical="top"/>
      <protection locked="0"/>
    </xf>
    <xf numFmtId="39" fontId="14" fillId="15" borderId="0" xfId="0" applyNumberFormat="1" applyFont="1" applyFill="1" applyProtection="1">
      <protection locked="0"/>
    </xf>
    <xf numFmtId="39" fontId="14" fillId="15" borderId="0" xfId="0" applyNumberFormat="1" applyFont="1" applyFill="1" applyAlignment="1" applyProtection="1">
      <alignment vertical="top"/>
      <protection locked="0"/>
    </xf>
    <xf numFmtId="49" fontId="8" fillId="32" borderId="142" xfId="0" applyNumberFormat="1" applyFont="1" applyFill="1" applyBorder="1" applyAlignment="1" applyProtection="1">
      <alignment horizontal="right"/>
      <protection locked="0"/>
    </xf>
    <xf numFmtId="39" fontId="6" fillId="32" borderId="142" xfId="0" applyNumberFormat="1" applyFont="1" applyFill="1" applyBorder="1" applyAlignment="1" applyProtection="1">
      <alignment horizontal="right"/>
      <protection locked="0"/>
    </xf>
    <xf numFmtId="39" fontId="6" fillId="32" borderId="143" xfId="0" applyNumberFormat="1" applyFont="1" applyFill="1" applyBorder="1" applyAlignment="1" applyProtection="1">
      <alignment horizontal="right"/>
      <protection locked="0"/>
    </xf>
    <xf numFmtId="39" fontId="6" fillId="32" borderId="145" xfId="0" applyNumberFormat="1" applyFont="1" applyFill="1" applyBorder="1" applyAlignment="1" applyProtection="1">
      <alignment horizontal="right"/>
      <protection locked="0"/>
    </xf>
    <xf numFmtId="49" fontId="8" fillId="32" borderId="143" xfId="0" applyNumberFormat="1" applyFont="1" applyFill="1" applyBorder="1" applyAlignment="1" applyProtection="1">
      <alignment horizontal="right"/>
      <protection locked="0"/>
    </xf>
    <xf numFmtId="49" fontId="8" fillId="32" borderId="145" xfId="0" applyNumberFormat="1" applyFont="1" applyFill="1" applyBorder="1" applyAlignment="1" applyProtection="1">
      <alignment horizontal="right"/>
      <protection locked="0"/>
    </xf>
    <xf numFmtId="37" fontId="6" fillId="15" borderId="2" xfId="0" applyNumberFormat="1" applyFont="1" applyFill="1" applyBorder="1" applyProtection="1">
      <protection locked="0"/>
    </xf>
    <xf numFmtId="39" fontId="212" fillId="15" borderId="23" xfId="0" applyNumberFormat="1" applyFont="1" applyFill="1" applyBorder="1" applyAlignment="1" applyProtection="1">
      <alignment horizontal="centerContinuous" vertical="center"/>
      <protection locked="0"/>
    </xf>
    <xf numFmtId="39" fontId="0" fillId="15" borderId="7" xfId="0" applyNumberFormat="1" applyFill="1" applyBorder="1" applyAlignment="1" applyProtection="1">
      <alignment horizontal="centerContinuous"/>
      <protection locked="0"/>
    </xf>
    <xf numFmtId="39" fontId="0" fillId="15" borderId="19" xfId="0" applyNumberFormat="1" applyFill="1" applyBorder="1" applyAlignment="1" applyProtection="1">
      <alignment horizontal="centerContinuous"/>
      <protection locked="0"/>
    </xf>
    <xf numFmtId="39" fontId="6" fillId="15" borderId="5" xfId="0" applyNumberFormat="1" applyFont="1" applyFill="1" applyBorder="1" applyAlignment="1" applyProtection="1">
      <alignment horizontal="left" vertical="center" indent="1"/>
      <protection locked="0"/>
    </xf>
    <xf numFmtId="39" fontId="0" fillId="15" borderId="0" xfId="0" applyNumberFormat="1" applyFill="1" applyAlignment="1" applyProtection="1">
      <alignment vertical="top"/>
      <protection locked="0"/>
    </xf>
    <xf numFmtId="39" fontId="0" fillId="15" borderId="20" xfId="0" applyNumberFormat="1" applyFill="1" applyBorder="1" applyAlignment="1" applyProtection="1">
      <alignment vertical="top"/>
      <protection locked="0"/>
    </xf>
    <xf numFmtId="39" fontId="6" fillId="15" borderId="26" xfId="0" applyNumberFormat="1" applyFont="1" applyFill="1" applyBorder="1" applyAlignment="1" applyProtection="1">
      <alignment horizontal="left" vertical="center" indent="1"/>
      <protection locked="0"/>
    </xf>
    <xf numFmtId="39" fontId="0" fillId="15" borderId="1" xfId="0" applyNumberFormat="1" applyFill="1" applyBorder="1" applyProtection="1">
      <protection locked="0"/>
    </xf>
    <xf numFmtId="39" fontId="0" fillId="15" borderId="29" xfId="0" applyNumberFormat="1" applyFill="1" applyBorder="1" applyProtection="1">
      <protection locked="0"/>
    </xf>
    <xf numFmtId="39" fontId="6" fillId="15" borderId="5" xfId="0" applyNumberFormat="1" applyFont="1" applyFill="1" applyBorder="1" applyAlignment="1" applyProtection="1">
      <alignment horizontal="left" vertical="center"/>
      <protection locked="0"/>
    </xf>
    <xf numFmtId="39" fontId="0" fillId="15" borderId="20" xfId="0" applyNumberFormat="1" applyFill="1" applyBorder="1" applyProtection="1">
      <protection locked="0"/>
    </xf>
    <xf numFmtId="39" fontId="4" fillId="15" borderId="5" xfId="0" quotePrefix="1" applyNumberFormat="1" applyFont="1" applyFill="1" applyBorder="1" applyAlignment="1" applyProtection="1">
      <alignment horizontal="right"/>
      <protection locked="0"/>
    </xf>
    <xf numFmtId="39" fontId="6" fillId="15" borderId="0" xfId="0" applyNumberFormat="1" applyFont="1" applyFill="1" applyProtection="1">
      <protection locked="0"/>
    </xf>
    <xf numFmtId="39" fontId="5" fillId="15" borderId="20" xfId="0" applyNumberFormat="1" applyFont="1" applyFill="1" applyBorder="1" applyProtection="1">
      <protection locked="0"/>
    </xf>
    <xf numFmtId="39" fontId="5" fillId="15" borderId="5" xfId="0" applyNumberFormat="1" applyFont="1" applyFill="1" applyBorder="1" applyProtection="1">
      <protection locked="0"/>
    </xf>
    <xf numFmtId="39" fontId="5" fillId="15" borderId="0" xfId="0" applyNumberFormat="1" applyFont="1" applyFill="1" applyProtection="1">
      <protection locked="0"/>
    </xf>
    <xf numFmtId="39" fontId="0" fillId="15" borderId="21" xfId="0" applyNumberFormat="1" applyFill="1" applyBorder="1" applyProtection="1">
      <protection locked="0"/>
    </xf>
    <xf numFmtId="39" fontId="6" fillId="15" borderId="4" xfId="0" applyNumberFormat="1" applyFont="1" applyFill="1" applyBorder="1" applyProtection="1">
      <protection locked="0"/>
    </xf>
    <xf numFmtId="39" fontId="0" fillId="15" borderId="4" xfId="0" applyNumberFormat="1" applyFill="1" applyBorder="1" applyProtection="1">
      <protection locked="0"/>
    </xf>
    <xf numFmtId="39" fontId="0" fillId="15" borderId="22" xfId="0" applyNumberFormat="1" applyFill="1" applyBorder="1" applyProtection="1">
      <protection locked="0"/>
    </xf>
    <xf numFmtId="0" fontId="242" fillId="2" borderId="41" xfId="0" applyFont="1" applyFill="1" applyBorder="1" applyProtection="1">
      <protection hidden="1"/>
    </xf>
    <xf numFmtId="0" fontId="4" fillId="16" borderId="2" xfId="0" applyFont="1" applyFill="1" applyBorder="1" applyAlignment="1" applyProtection="1">
      <alignment horizontal="center"/>
      <protection locked="0"/>
    </xf>
    <xf numFmtId="0" fontId="47" fillId="15" borderId="0" xfId="0" applyFont="1" applyFill="1" applyAlignment="1" applyProtection="1">
      <alignment horizontal="center" vertical="center"/>
      <protection locked="0"/>
    </xf>
    <xf numFmtId="0" fontId="8" fillId="15" borderId="39" xfId="0" applyFont="1" applyFill="1" applyBorder="1" applyAlignment="1" applyProtection="1">
      <alignment horizontal="left" vertical="center"/>
      <protection locked="0"/>
    </xf>
    <xf numFmtId="0" fontId="47" fillId="15" borderId="25" xfId="0" applyFont="1" applyFill="1" applyBorder="1" applyAlignment="1" applyProtection="1">
      <alignment horizontal="center" vertical="center"/>
      <protection locked="0"/>
    </xf>
    <xf numFmtId="39" fontId="6" fillId="24" borderId="0" xfId="0" applyNumberFormat="1" applyFont="1" applyFill="1" applyAlignment="1" applyProtection="1">
      <alignment vertical="top"/>
      <protection locked="0"/>
    </xf>
    <xf numFmtId="0" fontId="0" fillId="15" borderId="0" xfId="0" applyFill="1" applyAlignment="1">
      <alignment vertical="center" wrapText="1"/>
    </xf>
    <xf numFmtId="0" fontId="4" fillId="0" borderId="194" xfId="0" applyFont="1" applyBorder="1" applyAlignment="1">
      <alignment horizontal="center"/>
    </xf>
    <xf numFmtId="0" fontId="4" fillId="0" borderId="79" xfId="0" applyFont="1" applyBorder="1" applyAlignment="1">
      <alignment horizontal="center"/>
    </xf>
    <xf numFmtId="182" fontId="0" fillId="0" borderId="193" xfId="0" applyNumberFormat="1" applyBorder="1" applyAlignment="1">
      <alignment horizontal="center"/>
    </xf>
    <xf numFmtId="182" fontId="0" fillId="0" borderId="78" xfId="0" applyNumberFormat="1" applyBorder="1" applyAlignment="1">
      <alignment horizontal="center"/>
    </xf>
    <xf numFmtId="182" fontId="6" fillId="0" borderId="193" xfId="0" applyNumberFormat="1" applyFont="1" applyBorder="1" applyAlignment="1">
      <alignment horizontal="center"/>
    </xf>
    <xf numFmtId="182" fontId="6" fillId="0" borderId="78" xfId="0" applyNumberFormat="1" applyFont="1" applyBorder="1" applyAlignment="1">
      <alignment horizontal="center"/>
    </xf>
    <xf numFmtId="182" fontId="0" fillId="0" borderId="6" xfId="0" applyNumberFormat="1" applyBorder="1" applyAlignment="1">
      <alignment horizontal="center"/>
    </xf>
    <xf numFmtId="182" fontId="6" fillId="0" borderId="6" xfId="0" applyNumberFormat="1" applyFont="1" applyBorder="1" applyAlignment="1">
      <alignment horizontal="center"/>
    </xf>
    <xf numFmtId="0" fontId="4" fillId="0" borderId="23" xfId="0" applyFont="1" applyBorder="1" applyAlignment="1">
      <alignment horizontal="center"/>
    </xf>
    <xf numFmtId="0" fontId="4" fillId="0" borderId="195" xfId="0" applyFont="1" applyBorder="1" applyAlignment="1">
      <alignment horizontal="center"/>
    </xf>
    <xf numFmtId="0" fontId="4" fillId="0" borderId="196" xfId="0" applyFont="1" applyBorder="1" applyAlignment="1">
      <alignment horizontal="center"/>
    </xf>
    <xf numFmtId="0" fontId="4" fillId="0" borderId="21" xfId="0" applyFont="1" applyBorder="1" applyAlignment="1">
      <alignment horizontal="center"/>
    </xf>
    <xf numFmtId="182" fontId="0" fillId="0" borderId="5" xfId="0" applyNumberFormat="1" applyBorder="1" applyAlignment="1">
      <alignment horizontal="center"/>
    </xf>
    <xf numFmtId="182" fontId="0" fillId="0" borderId="20" xfId="0" applyNumberFormat="1" applyBorder="1" applyAlignment="1">
      <alignment horizontal="center"/>
    </xf>
    <xf numFmtId="182" fontId="6" fillId="0" borderId="5" xfId="0" applyNumberFormat="1" applyFont="1" applyBorder="1" applyAlignment="1">
      <alignment horizontal="right" indent="1"/>
    </xf>
    <xf numFmtId="182" fontId="6" fillId="0" borderId="20" xfId="0" applyNumberFormat="1" applyFont="1" applyBorder="1" applyAlignment="1">
      <alignment horizontal="center"/>
    </xf>
    <xf numFmtId="182" fontId="0" fillId="0" borderId="21" xfId="0" applyNumberFormat="1" applyBorder="1" applyAlignment="1">
      <alignment horizontal="center"/>
    </xf>
    <xf numFmtId="4" fontId="10" fillId="3" borderId="7" xfId="0" applyNumberFormat="1" applyFont="1" applyFill="1" applyBorder="1" applyAlignment="1" applyProtection="1">
      <alignment horizontal="right" vertical="top"/>
      <protection hidden="1"/>
    </xf>
    <xf numFmtId="0" fontId="8" fillId="15" borderId="0" xfId="0" applyFont="1" applyFill="1" applyAlignment="1">
      <alignment horizontal="left" vertical="center"/>
    </xf>
    <xf numFmtId="0" fontId="4" fillId="16" borderId="198" xfId="0" applyFont="1" applyFill="1" applyBorder="1" applyAlignment="1" applyProtection="1">
      <alignment horizontal="center" vertical="center"/>
      <protection locked="0"/>
    </xf>
    <xf numFmtId="0" fontId="11" fillId="27" borderId="192" xfId="0" applyFont="1" applyFill="1" applyBorder="1" applyAlignment="1" applyProtection="1">
      <alignment horizontal="center" vertical="center"/>
      <protection hidden="1"/>
    </xf>
    <xf numFmtId="0" fontId="11" fillId="27" borderId="99" xfId="0" applyFont="1" applyFill="1" applyBorder="1" applyAlignment="1" applyProtection="1">
      <alignment horizontal="center" vertical="center"/>
      <protection hidden="1"/>
    </xf>
    <xf numFmtId="0" fontId="20" fillId="27" borderId="99" xfId="0" applyFont="1" applyFill="1" applyBorder="1" applyAlignment="1" applyProtection="1">
      <alignment horizontal="center" vertical="center"/>
      <protection hidden="1"/>
    </xf>
    <xf numFmtId="37" fontId="9" fillId="16" borderId="3" xfId="0" applyNumberFormat="1" applyFont="1" applyFill="1" applyBorder="1" applyProtection="1">
      <protection locked="0"/>
    </xf>
    <xf numFmtId="37" fontId="9" fillId="16" borderId="0" xfId="0" applyNumberFormat="1" applyFont="1" applyFill="1" applyProtection="1">
      <protection locked="0"/>
    </xf>
    <xf numFmtId="37" fontId="4" fillId="16" borderId="0" xfId="0" applyNumberFormat="1" applyFont="1" applyFill="1" applyProtection="1">
      <protection locked="0"/>
    </xf>
    <xf numFmtId="0" fontId="6" fillId="2" borderId="26" xfId="0" applyFont="1" applyFill="1" applyBorder="1" applyProtection="1">
      <protection hidden="1"/>
    </xf>
    <xf numFmtId="0" fontId="6" fillId="2" borderId="5" xfId="0" applyFont="1" applyFill="1" applyBorder="1" applyProtection="1">
      <protection hidden="1"/>
    </xf>
    <xf numFmtId="0" fontId="4" fillId="19" borderId="0" xfId="0" applyFont="1" applyFill="1" applyAlignment="1">
      <alignment horizontal="center"/>
    </xf>
    <xf numFmtId="168" fontId="9" fillId="2" borderId="2" xfId="0" applyNumberFormat="1" applyFont="1" applyFill="1" applyBorder="1" applyAlignment="1" applyProtection="1">
      <alignment horizontal="center"/>
      <protection locked="0"/>
    </xf>
    <xf numFmtId="0" fontId="9" fillId="2" borderId="0" xfId="0" applyFont="1" applyFill="1"/>
    <xf numFmtId="39" fontId="4" fillId="3" borderId="0" xfId="0" applyNumberFormat="1" applyFont="1" applyFill="1" applyProtection="1">
      <protection hidden="1"/>
    </xf>
    <xf numFmtId="0" fontId="6" fillId="0" borderId="162" xfId="0" quotePrefix="1" applyFont="1" applyBorder="1" applyAlignment="1">
      <alignment horizontal="right" indent="1"/>
    </xf>
    <xf numFmtId="0" fontId="4" fillId="0" borderId="170" xfId="0" applyFont="1" applyBorder="1"/>
    <xf numFmtId="39" fontId="6" fillId="24" borderId="1" xfId="0" applyNumberFormat="1" applyFont="1" applyFill="1" applyBorder="1" applyAlignment="1" applyProtection="1">
      <alignment horizontal="center"/>
      <protection locked="0"/>
    </xf>
    <xf numFmtId="176" fontId="12" fillId="26" borderId="12" xfId="0" applyNumberFormat="1" applyFont="1" applyFill="1" applyBorder="1" applyAlignment="1" applyProtection="1">
      <alignment horizontal="center"/>
      <protection hidden="1"/>
    </xf>
    <xf numFmtId="37" fontId="0" fillId="15" borderId="0" xfId="0" applyNumberFormat="1" applyFill="1" applyAlignment="1" applyProtection="1">
      <alignment horizontal="right" vertical="center"/>
      <protection locked="0"/>
    </xf>
    <xf numFmtId="173" fontId="8" fillId="15" borderId="0" xfId="0" applyNumberFormat="1" applyFont="1" applyFill="1" applyAlignment="1" applyProtection="1">
      <alignment vertical="center"/>
      <protection locked="0"/>
    </xf>
    <xf numFmtId="37" fontId="8" fillId="15" borderId="0" xfId="0" applyNumberFormat="1" applyFont="1" applyFill="1" applyAlignment="1" applyProtection="1">
      <alignment vertical="center"/>
      <protection locked="0"/>
    </xf>
    <xf numFmtId="37" fontId="8" fillId="15" borderId="0" xfId="0" applyNumberFormat="1" applyFont="1" applyFill="1" applyAlignment="1" applyProtection="1">
      <alignment horizontal="right" vertical="center"/>
      <protection locked="0"/>
    </xf>
    <xf numFmtId="37" fontId="6" fillId="15" borderId="0" xfId="0" applyNumberFormat="1" applyFont="1" applyFill="1"/>
    <xf numFmtId="37" fontId="0" fillId="15" borderId="4" xfId="0" applyNumberFormat="1" applyFill="1" applyBorder="1"/>
    <xf numFmtId="37" fontId="10" fillId="15" borderId="0" xfId="0" applyNumberFormat="1" applyFont="1" applyFill="1" applyAlignment="1" applyProtection="1">
      <alignment vertical="center"/>
      <protection locked="0"/>
    </xf>
    <xf numFmtId="0" fontId="6" fillId="15" borderId="0" xfId="0" applyFont="1" applyFill="1" applyAlignment="1">
      <alignment vertical="center" wrapText="1"/>
    </xf>
    <xf numFmtId="0" fontId="6" fillId="15" borderId="21" xfId="0" applyFont="1" applyFill="1" applyBorder="1"/>
    <xf numFmtId="0" fontId="110" fillId="15" borderId="0" xfId="0" applyFont="1" applyFill="1" applyAlignment="1">
      <alignment vertical="center" wrapText="1"/>
    </xf>
    <xf numFmtId="0" fontId="0" fillId="15" borderId="7" xfId="0" applyFill="1" applyBorder="1" applyAlignment="1">
      <alignment vertical="center"/>
    </xf>
    <xf numFmtId="37" fontId="0" fillId="16" borderId="2" xfId="0" applyNumberFormat="1" applyFill="1" applyBorder="1" applyAlignment="1" applyProtection="1">
      <alignment horizontal="right"/>
      <protection locked="0"/>
    </xf>
    <xf numFmtId="0" fontId="12" fillId="0" borderId="0" xfId="0" applyFont="1"/>
    <xf numFmtId="0" fontId="10" fillId="2" borderId="0" xfId="0" applyFont="1" applyFill="1" applyAlignment="1" applyProtection="1">
      <alignment vertical="center" wrapText="1"/>
      <protection hidden="1"/>
    </xf>
    <xf numFmtId="3" fontId="9" fillId="2" borderId="0" xfId="0" applyNumberFormat="1" applyFont="1" applyFill="1" applyAlignment="1" applyProtection="1">
      <alignment horizontal="center"/>
      <protection locked="0"/>
    </xf>
    <xf numFmtId="0" fontId="6" fillId="15" borderId="0" xfId="0" quotePrefix="1" applyFont="1" applyFill="1" applyAlignment="1">
      <alignment horizontal="center"/>
    </xf>
    <xf numFmtId="37" fontId="6" fillId="15" borderId="0" xfId="0" applyNumberFormat="1" applyFont="1" applyFill="1" applyAlignment="1">
      <alignment horizontal="center"/>
    </xf>
    <xf numFmtId="0" fontId="0" fillId="15" borderId="8" xfId="0" applyFill="1" applyBorder="1" applyAlignment="1">
      <alignment horizontal="center"/>
    </xf>
    <xf numFmtId="0" fontId="4" fillId="15" borderId="3" xfId="0" applyFont="1" applyFill="1" applyBorder="1" applyAlignment="1">
      <alignment horizontal="center"/>
    </xf>
    <xf numFmtId="37" fontId="8" fillId="15" borderId="0" xfId="0" applyNumberFormat="1" applyFont="1" applyFill="1" applyAlignment="1" applyProtection="1">
      <alignment horizontal="center" vertical="center"/>
      <protection locked="0"/>
    </xf>
    <xf numFmtId="37" fontId="10" fillId="15" borderId="48" xfId="0" applyNumberFormat="1" applyFont="1" applyFill="1" applyBorder="1" applyAlignment="1" applyProtection="1">
      <alignment vertical="center"/>
      <protection locked="0"/>
    </xf>
    <xf numFmtId="37" fontId="8" fillId="15" borderId="53" xfId="0" applyNumberFormat="1" applyFont="1" applyFill="1" applyBorder="1" applyAlignment="1" applyProtection="1">
      <alignment vertical="center"/>
      <protection locked="0"/>
    </xf>
    <xf numFmtId="4" fontId="4" fillId="2" borderId="0" xfId="0" applyNumberFormat="1" applyFont="1" applyFill="1" applyProtection="1">
      <protection hidden="1"/>
    </xf>
    <xf numFmtId="0" fontId="11" fillId="15" borderId="0" xfId="0" applyFont="1" applyFill="1" applyAlignment="1">
      <alignment horizontal="left" indent="1"/>
    </xf>
    <xf numFmtId="0" fontId="20" fillId="15" borderId="0" xfId="0" applyFont="1" applyFill="1" applyAlignment="1">
      <alignment horizontal="left" vertical="center"/>
    </xf>
    <xf numFmtId="0" fontId="20" fillId="15" borderId="0" xfId="0" quotePrefix="1" applyFont="1" applyFill="1" applyAlignment="1">
      <alignment horizontal="left" vertical="center"/>
    </xf>
    <xf numFmtId="0" fontId="0" fillId="15" borderId="0" xfId="0" applyFill="1" applyAlignment="1">
      <alignment horizontal="left" indent="1"/>
    </xf>
    <xf numFmtId="0" fontId="26" fillId="15" borderId="0" xfId="0" applyFont="1" applyFill="1" applyAlignment="1">
      <alignment horizontal="left" indent="1"/>
    </xf>
    <xf numFmtId="0" fontId="6" fillId="15" borderId="0" xfId="0" applyFont="1" applyFill="1" applyAlignment="1">
      <alignment horizontal="left" indent="1"/>
    </xf>
    <xf numFmtId="0" fontId="4" fillId="15" borderId="0" xfId="0" applyFont="1" applyFill="1" applyAlignment="1">
      <alignment horizontal="left" indent="1"/>
    </xf>
    <xf numFmtId="0" fontId="4" fillId="0" borderId="0" xfId="0" applyFont="1" applyAlignment="1">
      <alignment horizontal="left" indent="1"/>
    </xf>
    <xf numFmtId="0" fontId="135" fillId="15" borderId="0" xfId="0" applyFont="1" applyFill="1" applyProtection="1">
      <protection hidden="1"/>
    </xf>
    <xf numFmtId="2" fontId="135" fillId="15" borderId="0" xfId="0" applyNumberFormat="1" applyFont="1" applyFill="1" applyProtection="1">
      <protection hidden="1"/>
    </xf>
    <xf numFmtId="0" fontId="6" fillId="0" borderId="0" xfId="0" applyFont="1" applyAlignment="1">
      <alignment horizontal="center" vertical="top" wrapText="1"/>
    </xf>
    <xf numFmtId="0" fontId="20" fillId="3" borderId="0" xfId="0" applyFont="1" applyFill="1" applyProtection="1">
      <protection hidden="1"/>
    </xf>
    <xf numFmtId="0" fontId="146" fillId="0" borderId="0" xfId="0" applyFont="1"/>
    <xf numFmtId="0" fontId="0" fillId="15" borderId="75" xfId="0" applyFill="1" applyBorder="1" applyAlignment="1">
      <alignment horizontal="right" indent="1"/>
    </xf>
    <xf numFmtId="37" fontId="8" fillId="20" borderId="51" xfId="0" applyNumberFormat="1" applyFont="1" applyFill="1" applyBorder="1" applyAlignment="1" applyProtection="1">
      <alignment horizontal="right"/>
      <protection locked="0"/>
    </xf>
    <xf numFmtId="37" fontId="8" fillId="20" borderId="52" xfId="0" applyNumberFormat="1" applyFont="1" applyFill="1" applyBorder="1" applyAlignment="1" applyProtection="1">
      <alignment horizontal="right"/>
      <protection locked="0"/>
    </xf>
    <xf numFmtId="0" fontId="6" fillId="15" borderId="7" xfId="4" applyFill="1" applyBorder="1" applyProtection="1">
      <protection hidden="1"/>
    </xf>
    <xf numFmtId="0" fontId="4" fillId="0" borderId="0" xfId="0" applyFont="1" applyAlignment="1" applyProtection="1">
      <alignment horizontal="center" vertical="center" wrapText="1"/>
      <protection hidden="1"/>
    </xf>
    <xf numFmtId="4" fontId="4" fillId="2" borderId="82" xfId="0" applyNumberFormat="1" applyFont="1" applyFill="1" applyBorder="1" applyAlignment="1" applyProtection="1">
      <alignment horizontal="center"/>
      <protection hidden="1"/>
    </xf>
    <xf numFmtId="4" fontId="6" fillId="32" borderId="82" xfId="0" applyNumberFormat="1" applyFont="1" applyFill="1" applyBorder="1" applyAlignment="1" applyProtection="1">
      <alignment horizontal="center"/>
      <protection locked="0"/>
    </xf>
    <xf numFmtId="2" fontId="4" fillId="2" borderId="37" xfId="0" applyNumberFormat="1" applyFont="1" applyFill="1" applyBorder="1" applyAlignment="1" applyProtection="1">
      <alignment horizontal="center"/>
      <protection hidden="1"/>
    </xf>
    <xf numFmtId="39" fontId="11" fillId="15" borderId="0" xfId="0" applyNumberFormat="1" applyFont="1" applyFill="1" applyAlignment="1" applyProtection="1">
      <alignment horizontal="centerContinuous"/>
      <protection locked="0"/>
    </xf>
    <xf numFmtId="0" fontId="5" fillId="0" borderId="54" xfId="0" applyFont="1" applyBorder="1" applyProtection="1">
      <protection locked="0"/>
    </xf>
    <xf numFmtId="39" fontId="5" fillId="0" borderId="12" xfId="0" applyNumberFormat="1" applyFont="1" applyBorder="1" applyProtection="1">
      <protection locked="0"/>
    </xf>
    <xf numFmtId="39" fontId="5" fillId="0" borderId="39" xfId="0" applyNumberFormat="1" applyFont="1" applyBorder="1" applyProtection="1">
      <protection locked="0"/>
    </xf>
    <xf numFmtId="37" fontId="15" fillId="15" borderId="2" xfId="0" applyNumberFormat="1" applyFont="1" applyFill="1" applyBorder="1" applyProtection="1">
      <protection locked="0"/>
    </xf>
    <xf numFmtId="2" fontId="11" fillId="16" borderId="12" xfId="0" applyNumberFormat="1" applyFont="1" applyFill="1" applyBorder="1" applyAlignment="1" applyProtection="1">
      <alignment horizontal="center" vertical="center"/>
      <protection locked="0"/>
    </xf>
    <xf numFmtId="39" fontId="0" fillId="0" borderId="0" xfId="0" applyNumberFormat="1" applyAlignment="1" applyProtection="1">
      <alignment vertical="center"/>
      <protection locked="0"/>
    </xf>
    <xf numFmtId="0" fontId="14" fillId="15" borderId="0" xfId="0" applyFont="1" applyFill="1" applyAlignment="1" applyProtection="1">
      <alignment horizontal="center" vertical="center"/>
      <protection hidden="1"/>
    </xf>
    <xf numFmtId="0" fontId="0" fillId="15" borderId="2" xfId="0" applyFill="1" applyBorder="1" applyProtection="1">
      <protection locked="0"/>
    </xf>
    <xf numFmtId="39" fontId="47" fillId="24" borderId="0" xfId="0" applyNumberFormat="1" applyFont="1" applyFill="1" applyProtection="1">
      <protection locked="0"/>
    </xf>
    <xf numFmtId="1" fontId="110" fillId="15" borderId="0" xfId="0" applyNumberFormat="1" applyFont="1" applyFill="1" applyAlignment="1">
      <alignment horizontal="center"/>
    </xf>
    <xf numFmtId="4" fontId="15" fillId="5" borderId="0" xfId="0" applyNumberFormat="1" applyFont="1" applyFill="1" applyAlignment="1" applyProtection="1">
      <alignment horizontal="center" vertical="center"/>
      <protection locked="0"/>
    </xf>
    <xf numFmtId="0" fontId="239" fillId="15" borderId="12" xfId="0" applyFont="1" applyFill="1" applyBorder="1" applyAlignment="1" applyProtection="1">
      <alignment horizontal="center"/>
      <protection locked="0"/>
    </xf>
    <xf numFmtId="1" fontId="0" fillId="10" borderId="0" xfId="0" applyNumberFormat="1" applyFill="1" applyAlignment="1" applyProtection="1">
      <alignment vertical="top"/>
      <protection hidden="1"/>
    </xf>
    <xf numFmtId="182" fontId="6" fillId="0" borderId="193" xfId="0" quotePrefix="1" applyNumberFormat="1" applyFont="1" applyBorder="1" applyAlignment="1">
      <alignment horizontal="center"/>
    </xf>
    <xf numFmtId="0" fontId="8" fillId="15" borderId="0" xfId="0" applyFont="1" applyFill="1" applyProtection="1">
      <protection locked="0"/>
    </xf>
    <xf numFmtId="0" fontId="8" fillId="15" borderId="6" xfId="0" applyFont="1" applyFill="1" applyBorder="1" applyProtection="1">
      <protection locked="0"/>
    </xf>
    <xf numFmtId="37" fontId="110" fillId="0" borderId="0" xfId="0" applyNumberFormat="1" applyFont="1"/>
    <xf numFmtId="0" fontId="4" fillId="5" borderId="0" xfId="0" applyFont="1" applyFill="1" applyAlignment="1" applyProtection="1">
      <alignment horizontal="center"/>
      <protection locked="0"/>
    </xf>
    <xf numFmtId="0" fontId="4" fillId="0" borderId="0" xfId="0" applyFont="1" applyAlignment="1">
      <alignment horizontal="center" vertical="center"/>
    </xf>
    <xf numFmtId="182" fontId="6" fillId="0" borderId="5" xfId="0" applyNumberFormat="1" applyFont="1" applyBorder="1" applyAlignment="1">
      <alignment horizontal="right"/>
    </xf>
    <xf numFmtId="182" fontId="158" fillId="0" borderId="193" xfId="0" applyNumberFormat="1" applyFont="1" applyBorder="1" applyAlignment="1">
      <alignment horizontal="center"/>
    </xf>
    <xf numFmtId="37" fontId="11" fillId="15" borderId="30" xfId="0" applyNumberFormat="1" applyFont="1" applyFill="1" applyBorder="1" applyProtection="1">
      <protection locked="0"/>
    </xf>
    <xf numFmtId="37" fontId="11" fillId="15" borderId="8" xfId="0" applyNumberFormat="1" applyFont="1" applyFill="1" applyBorder="1" applyProtection="1">
      <protection locked="0"/>
    </xf>
    <xf numFmtId="37" fontId="11" fillId="15" borderId="14" xfId="0" applyNumberFormat="1" applyFont="1" applyFill="1" applyBorder="1" applyProtection="1">
      <protection locked="0"/>
    </xf>
    <xf numFmtId="166" fontId="4" fillId="39" borderId="0" xfId="0" applyNumberFormat="1" applyFont="1" applyFill="1" applyAlignment="1" applyProtection="1">
      <alignment horizontal="right"/>
      <protection locked="0"/>
    </xf>
    <xf numFmtId="166" fontId="4" fillId="39" borderId="0" xfId="0" applyNumberFormat="1" applyFont="1" applyFill="1" applyAlignment="1" applyProtection="1">
      <alignment horizontal="right" indent="1"/>
      <protection locked="0"/>
    </xf>
    <xf numFmtId="0" fontId="8" fillId="39" borderId="0" xfId="0" applyFont="1" applyFill="1" applyAlignment="1">
      <alignment horizontal="left"/>
    </xf>
    <xf numFmtId="0" fontId="10" fillId="39" borderId="0" xfId="0" applyFont="1" applyFill="1" applyAlignment="1">
      <alignment horizontal="left" vertical="center"/>
    </xf>
    <xf numFmtId="0" fontId="10" fillId="39" borderId="0" xfId="0" applyFont="1" applyFill="1" applyAlignment="1">
      <alignment horizontal="left" vertical="top" wrapText="1"/>
    </xf>
    <xf numFmtId="0" fontId="10" fillId="39" borderId="8" xfId="0" applyFont="1" applyFill="1" applyBorder="1" applyAlignment="1">
      <alignment horizontal="left" vertical="top" wrapText="1"/>
    </xf>
    <xf numFmtId="0" fontId="10" fillId="39" borderId="14" xfId="0" applyFont="1" applyFill="1" applyBorder="1" applyAlignment="1">
      <alignment horizontal="left" vertical="top" wrapText="1"/>
    </xf>
    <xf numFmtId="0" fontId="10" fillId="39" borderId="24" xfId="0" applyFont="1" applyFill="1" applyBorder="1" applyAlignment="1">
      <alignment horizontal="left" vertical="center"/>
    </xf>
    <xf numFmtId="0" fontId="10" fillId="39" borderId="3" xfId="0" applyFont="1" applyFill="1" applyBorder="1" applyAlignment="1">
      <alignment horizontal="left" vertical="center"/>
    </xf>
    <xf numFmtId="166" fontId="4" fillId="39" borderId="1" xfId="0" applyNumberFormat="1" applyFont="1" applyFill="1" applyBorder="1" applyAlignment="1" applyProtection="1">
      <alignment horizontal="right"/>
      <protection locked="0"/>
    </xf>
    <xf numFmtId="0" fontId="0" fillId="39" borderId="0" xfId="0" applyFill="1" applyAlignment="1">
      <alignment horizontal="center"/>
    </xf>
    <xf numFmtId="0" fontId="0" fillId="39" borderId="8" xfId="0" applyFill="1" applyBorder="1" applyAlignment="1">
      <alignment horizontal="center"/>
    </xf>
    <xf numFmtId="166" fontId="4" fillId="39" borderId="70" xfId="0" applyNumberFormat="1" applyFont="1" applyFill="1" applyBorder="1" applyAlignment="1" applyProtection="1">
      <alignment horizontal="right" indent="1"/>
      <protection locked="0"/>
    </xf>
    <xf numFmtId="166" fontId="4" fillId="39" borderId="14" xfId="0" applyNumberFormat="1" applyFont="1" applyFill="1" applyBorder="1" applyAlignment="1" applyProtection="1">
      <alignment horizontal="right" vertical="top" indent="1"/>
      <protection locked="0"/>
    </xf>
    <xf numFmtId="37" fontId="0" fillId="0" borderId="1" xfId="0" applyNumberFormat="1" applyBorder="1" applyProtection="1">
      <protection locked="0"/>
    </xf>
    <xf numFmtId="0" fontId="6" fillId="15" borderId="0" xfId="0" applyFont="1" applyFill="1" applyAlignment="1" applyProtection="1">
      <alignment horizontal="left" vertical="center" wrapText="1"/>
      <protection locked="0"/>
    </xf>
    <xf numFmtId="0" fontId="10" fillId="39" borderId="30" xfId="0" applyFont="1" applyFill="1" applyBorder="1" applyAlignment="1">
      <alignment horizontal="left" vertical="top" wrapText="1"/>
    </xf>
    <xf numFmtId="176" fontId="11" fillId="27" borderId="39" xfId="0" applyNumberFormat="1" applyFont="1" applyFill="1" applyBorder="1" applyAlignment="1" applyProtection="1">
      <alignment horizontal="center" vertical="center"/>
      <protection hidden="1"/>
    </xf>
    <xf numFmtId="176" fontId="11" fillId="27" borderId="192" xfId="0" applyNumberFormat="1" applyFont="1" applyFill="1" applyBorder="1" applyAlignment="1" applyProtection="1">
      <alignment horizontal="center" vertical="center"/>
      <protection hidden="1"/>
    </xf>
    <xf numFmtId="0" fontId="0" fillId="23" borderId="0" xfId="0" applyFill="1"/>
    <xf numFmtId="0" fontId="4" fillId="15" borderId="13" xfId="0" applyFont="1" applyFill="1" applyBorder="1" applyAlignment="1" applyProtection="1">
      <alignment horizontal="center" vertical="center"/>
      <protection hidden="1"/>
    </xf>
    <xf numFmtId="0" fontId="4" fillId="0" borderId="0" xfId="0" applyFont="1" applyAlignment="1">
      <alignment horizontal="center" wrapText="1"/>
    </xf>
    <xf numFmtId="0" fontId="6" fillId="15" borderId="0" xfId="0" applyFont="1" applyFill="1" applyAlignment="1" applyProtection="1">
      <alignment vertical="center" wrapText="1"/>
      <protection locked="0"/>
    </xf>
    <xf numFmtId="0" fontId="0" fillId="0" borderId="48" xfId="0" applyBorder="1" applyAlignment="1">
      <alignment horizontal="center"/>
    </xf>
    <xf numFmtId="0" fontId="0" fillId="0" borderId="49" xfId="0" applyBorder="1" applyAlignment="1">
      <alignment horizontal="center"/>
    </xf>
    <xf numFmtId="0" fontId="0" fillId="0" borderId="53" xfId="0" applyBorder="1" applyAlignment="1">
      <alignment horizontal="center"/>
    </xf>
    <xf numFmtId="0" fontId="0" fillId="0" borderId="8" xfId="0" applyBorder="1" applyAlignment="1">
      <alignment horizontal="center"/>
    </xf>
    <xf numFmtId="0" fontId="4" fillId="27" borderId="198" xfId="0" applyFont="1" applyFill="1" applyBorder="1" applyAlignment="1" applyProtection="1">
      <alignment horizontal="center" vertical="center"/>
      <protection hidden="1"/>
    </xf>
    <xf numFmtId="0" fontId="0" fillId="0" borderId="124" xfId="0" applyBorder="1" applyAlignment="1">
      <alignment horizontal="center"/>
    </xf>
    <xf numFmtId="182" fontId="6" fillId="0" borderId="78" xfId="0" quotePrefix="1" applyNumberFormat="1" applyFont="1" applyBorder="1" applyAlignment="1">
      <alignment horizontal="center"/>
    </xf>
    <xf numFmtId="1" fontId="6" fillId="0" borderId="5" xfId="0" applyNumberFormat="1" applyFont="1" applyBorder="1" applyAlignment="1">
      <alignment horizontal="right" indent="1"/>
    </xf>
    <xf numFmtId="0" fontId="4" fillId="15" borderId="8" xfId="0" applyFont="1" applyFill="1" applyBorder="1" applyAlignment="1">
      <alignment horizontal="center"/>
    </xf>
    <xf numFmtId="0" fontId="0" fillId="15" borderId="3" xfId="0" applyFill="1" applyBorder="1" applyAlignment="1">
      <alignment horizontal="center"/>
    </xf>
    <xf numFmtId="0" fontId="4" fillId="15" borderId="0" xfId="0" applyFont="1" applyFill="1" applyAlignment="1">
      <alignment horizontal="center" wrapText="1"/>
    </xf>
    <xf numFmtId="0" fontId="4" fillId="15" borderId="1" xfId="0" applyFont="1" applyFill="1" applyBorder="1" applyAlignment="1">
      <alignment horizontal="right"/>
    </xf>
    <xf numFmtId="0" fontId="4" fillId="15" borderId="1" xfId="0" applyFont="1" applyFill="1" applyBorder="1" applyAlignment="1">
      <alignment horizontal="center"/>
    </xf>
    <xf numFmtId="164" fontId="6" fillId="2" borderId="0" xfId="0" applyNumberFormat="1" applyFont="1" applyFill="1" applyAlignment="1" applyProtection="1">
      <alignment horizontal="left"/>
      <protection hidden="1"/>
    </xf>
    <xf numFmtId="0" fontId="11" fillId="15" borderId="0" xfId="0" applyFont="1" applyFill="1" applyAlignment="1" applyProtection="1">
      <alignment vertical="top"/>
      <protection hidden="1"/>
    </xf>
    <xf numFmtId="3" fontId="0" fillId="15" borderId="1" xfId="0" applyNumberFormat="1" applyFill="1" applyBorder="1" applyProtection="1">
      <protection locked="0"/>
    </xf>
    <xf numFmtId="39" fontId="5" fillId="3" borderId="0" xfId="0" applyNumberFormat="1" applyFont="1" applyFill="1" applyAlignment="1" applyProtection="1">
      <alignment vertical="center"/>
      <protection hidden="1"/>
    </xf>
    <xf numFmtId="0" fontId="47" fillId="22" borderId="6" xfId="0" applyFont="1" applyFill="1" applyBorder="1" applyProtection="1">
      <protection hidden="1"/>
    </xf>
    <xf numFmtId="49" fontId="6" fillId="16" borderId="9" xfId="0" applyNumberFormat="1" applyFont="1" applyFill="1" applyBorder="1" applyAlignment="1" applyProtection="1">
      <alignment vertical="center" wrapText="1"/>
      <protection locked="0"/>
    </xf>
    <xf numFmtId="49" fontId="6" fillId="16" borderId="1" xfId="0" applyNumberFormat="1" applyFont="1" applyFill="1" applyBorder="1" applyAlignment="1" applyProtection="1">
      <alignment vertical="center" wrapText="1"/>
      <protection locked="0"/>
    </xf>
    <xf numFmtId="49" fontId="6" fillId="16" borderId="11" xfId="0" applyNumberFormat="1" applyFont="1" applyFill="1" applyBorder="1" applyAlignment="1" applyProtection="1">
      <alignment vertical="center" wrapText="1"/>
      <protection locked="0"/>
    </xf>
    <xf numFmtId="37" fontId="6" fillId="16" borderId="1" xfId="0" applyNumberFormat="1" applyFont="1" applyFill="1" applyBorder="1" applyAlignment="1" applyProtection="1">
      <alignment horizontal="right"/>
      <protection locked="0"/>
    </xf>
    <xf numFmtId="1" fontId="6" fillId="16" borderId="12" xfId="0" applyNumberFormat="1" applyFont="1" applyFill="1" applyBorder="1" applyAlignment="1" applyProtection="1">
      <alignment horizontal="center" vertical="center"/>
      <protection locked="0"/>
    </xf>
    <xf numFmtId="0" fontId="107" fillId="16" borderId="0" xfId="0" applyFont="1" applyFill="1" applyAlignment="1" applyProtection="1">
      <alignment horizontal="center" vertical="center"/>
      <protection locked="0"/>
    </xf>
    <xf numFmtId="37" fontId="112" fillId="0" borderId="0" xfId="0" applyNumberFormat="1" applyFont="1"/>
    <xf numFmtId="0" fontId="4" fillId="0" borderId="20" xfId="0" applyFont="1" applyBorder="1" applyAlignment="1">
      <alignment horizontal="center"/>
    </xf>
    <xf numFmtId="182" fontId="0" fillId="24" borderId="0" xfId="0" applyNumberFormat="1" applyFill="1" applyAlignment="1" applyProtection="1">
      <alignment vertical="center"/>
      <protection locked="0"/>
    </xf>
    <xf numFmtId="0" fontId="67" fillId="15" borderId="100" xfId="2" applyFill="1" applyBorder="1" applyAlignment="1" applyProtection="1">
      <alignment horizontal="right" vertical="center"/>
    </xf>
    <xf numFmtId="0" fontId="4" fillId="15" borderId="75" xfId="0" applyFont="1" applyFill="1" applyBorder="1" applyAlignment="1">
      <alignment horizontal="left" wrapText="1" indent="1"/>
    </xf>
    <xf numFmtId="0" fontId="4" fillId="15" borderId="0" xfId="0" applyFont="1" applyFill="1" applyAlignment="1">
      <alignment horizontal="left" wrapText="1" indent="1"/>
    </xf>
    <xf numFmtId="182" fontId="6" fillId="0" borderId="5" xfId="0" applyNumberFormat="1" applyFont="1" applyBorder="1" applyAlignment="1">
      <alignment horizontal="right" vertical="center" indent="1"/>
    </xf>
    <xf numFmtId="182" fontId="6" fillId="0" borderId="193" xfId="0" applyNumberFormat="1" applyFont="1" applyBorder="1" applyAlignment="1">
      <alignment horizontal="center" vertical="center"/>
    </xf>
    <xf numFmtId="182" fontId="6" fillId="0" borderId="6" xfId="0" applyNumberFormat="1" applyFont="1" applyBorder="1" applyAlignment="1">
      <alignment horizontal="center" vertical="center"/>
    </xf>
    <xf numFmtId="182" fontId="6" fillId="0" borderId="78" xfId="0" applyNumberFormat="1" applyFont="1" applyBorder="1" applyAlignment="1">
      <alignment horizontal="center" vertical="center"/>
    </xf>
    <xf numFmtId="182" fontId="6" fillId="0" borderId="20" xfId="0" applyNumberFormat="1" applyFont="1" applyBorder="1" applyAlignment="1">
      <alignment horizontal="center" vertical="center"/>
    </xf>
    <xf numFmtId="0" fontId="151" fillId="16" borderId="2" xfId="0" applyFont="1" applyFill="1" applyBorder="1" applyAlignment="1" applyProtection="1">
      <alignment horizontal="center"/>
      <protection locked="0"/>
    </xf>
    <xf numFmtId="0" fontId="0" fillId="16" borderId="1" xfId="0" applyFill="1" applyBorder="1" applyProtection="1">
      <protection locked="0"/>
    </xf>
    <xf numFmtId="0" fontId="112" fillId="15" borderId="0" xfId="0" applyFont="1" applyFill="1" applyAlignment="1">
      <alignment horizontal="center"/>
    </xf>
    <xf numFmtId="39" fontId="4" fillId="14" borderId="54" xfId="0" applyNumberFormat="1" applyFont="1" applyFill="1" applyBorder="1" applyAlignment="1" applyProtection="1">
      <alignment horizontal="center" vertical="center"/>
      <protection locked="0"/>
    </xf>
    <xf numFmtId="0" fontId="8" fillId="15" borderId="8" xfId="0" applyFont="1" applyFill="1" applyBorder="1" applyAlignment="1">
      <alignment vertical="center"/>
    </xf>
    <xf numFmtId="0" fontId="4" fillId="15" borderId="0" xfId="0" applyFont="1" applyFill="1" applyAlignment="1">
      <alignment horizontal="right" vertical="center"/>
    </xf>
    <xf numFmtId="1" fontId="153" fillId="16" borderId="81" xfId="0" applyNumberFormat="1" applyFont="1" applyFill="1" applyBorder="1" applyAlignment="1" applyProtection="1">
      <alignment horizontal="center" vertical="center"/>
      <protection locked="0"/>
    </xf>
    <xf numFmtId="0" fontId="14" fillId="15" borderId="0" xfId="0" applyFont="1" applyFill="1"/>
    <xf numFmtId="14" fontId="20" fillId="24" borderId="0" xfId="0" applyNumberFormat="1" applyFont="1" applyFill="1" applyProtection="1">
      <protection locked="0"/>
    </xf>
    <xf numFmtId="0" fontId="0" fillId="15" borderId="0" xfId="0" applyFill="1" applyAlignment="1">
      <alignment horizontal="right"/>
    </xf>
    <xf numFmtId="37" fontId="0" fillId="0" borderId="0" xfId="0" applyNumberFormat="1" applyAlignment="1" applyProtection="1">
      <alignment vertical="center"/>
      <protection locked="0"/>
    </xf>
    <xf numFmtId="37" fontId="123" fillId="15" borderId="3" xfId="0" applyNumberFormat="1" applyFont="1" applyFill="1" applyBorder="1" applyProtection="1">
      <protection locked="0"/>
    </xf>
    <xf numFmtId="37" fontId="123" fillId="15" borderId="0" xfId="0" applyNumberFormat="1" applyFont="1" applyFill="1" applyProtection="1">
      <protection locked="0"/>
    </xf>
    <xf numFmtId="37" fontId="273" fillId="2" borderId="12" xfId="0" applyNumberFormat="1" applyFont="1" applyFill="1" applyBorder="1" applyProtection="1">
      <protection locked="0"/>
    </xf>
    <xf numFmtId="0" fontId="110" fillId="0" borderId="0" xfId="0" applyFont="1" applyAlignment="1">
      <alignment horizontal="right"/>
    </xf>
    <xf numFmtId="0" fontId="4" fillId="32" borderId="25" xfId="0" applyFont="1" applyFill="1" applyBorder="1" applyAlignment="1" applyProtection="1">
      <alignment horizontal="center" wrapText="1"/>
      <protection locked="0"/>
    </xf>
    <xf numFmtId="0" fontId="4" fillId="32" borderId="1" xfId="0" applyFont="1" applyFill="1" applyBorder="1" applyAlignment="1" applyProtection="1">
      <alignment horizontal="center" wrapText="1"/>
      <protection locked="0"/>
    </xf>
    <xf numFmtId="39" fontId="22" fillId="24" borderId="0" xfId="0" applyNumberFormat="1" applyFont="1" applyFill="1" applyAlignment="1" applyProtection="1">
      <alignment horizontal="left"/>
      <protection locked="0"/>
    </xf>
    <xf numFmtId="0" fontId="166" fillId="15" borderId="0" xfId="0" applyFont="1" applyFill="1" applyAlignment="1">
      <alignment horizontal="center"/>
    </xf>
    <xf numFmtId="4" fontId="274" fillId="32" borderId="142" xfId="0" applyNumberFormat="1" applyFont="1" applyFill="1" applyBorder="1" applyAlignment="1" applyProtection="1">
      <alignment horizontal="center"/>
      <protection locked="0"/>
    </xf>
    <xf numFmtId="4" fontId="274" fillId="32" borderId="143" xfId="0" applyNumberFormat="1" applyFont="1" applyFill="1" applyBorder="1" applyAlignment="1" applyProtection="1">
      <alignment horizontal="center"/>
      <protection locked="0"/>
    </xf>
    <xf numFmtId="0" fontId="123" fillId="15" borderId="0" xfId="0" applyFont="1" applyFill="1"/>
    <xf numFmtId="1" fontId="4" fillId="16" borderId="87" xfId="0" applyNumberFormat="1" applyFont="1" applyFill="1" applyBorder="1" applyAlignment="1" applyProtection="1">
      <alignment horizontal="center"/>
      <protection locked="0"/>
    </xf>
    <xf numFmtId="37" fontId="9" fillId="26" borderId="1" xfId="0" applyNumberFormat="1" applyFont="1" applyFill="1" applyBorder="1" applyAlignment="1" applyProtection="1">
      <alignment horizontal="right"/>
      <protection locked="0"/>
    </xf>
    <xf numFmtId="0" fontId="277" fillId="5" borderId="2" xfId="2" applyFont="1" applyFill="1" applyBorder="1" applyAlignment="1" applyProtection="1">
      <alignment horizontal="center" vertical="center"/>
    </xf>
    <xf numFmtId="37" fontId="31" fillId="2" borderId="15" xfId="0" applyNumberFormat="1" applyFont="1" applyFill="1" applyBorder="1" applyProtection="1">
      <protection locked="0"/>
    </xf>
    <xf numFmtId="37" fontId="10" fillId="15" borderId="49" xfId="0" applyNumberFormat="1" applyFont="1" applyFill="1" applyBorder="1" applyAlignment="1" applyProtection="1">
      <alignment vertical="center"/>
      <protection locked="0"/>
    </xf>
    <xf numFmtId="37" fontId="10" fillId="15" borderId="53" xfId="0" applyNumberFormat="1" applyFont="1" applyFill="1" applyBorder="1" applyAlignment="1" applyProtection="1">
      <alignment vertical="center"/>
      <protection locked="0"/>
    </xf>
    <xf numFmtId="0" fontId="4" fillId="0" borderId="12" xfId="0" applyFont="1" applyBorder="1" applyProtection="1">
      <protection hidden="1"/>
    </xf>
    <xf numFmtId="171" fontId="6" fillId="2" borderId="12" xfId="0" applyNumberFormat="1" applyFont="1" applyFill="1" applyBorder="1" applyAlignment="1" applyProtection="1">
      <alignment horizontal="right"/>
      <protection locked="0"/>
    </xf>
    <xf numFmtId="3" fontId="6" fillId="2" borderId="49" xfId="0" applyNumberFormat="1" applyFont="1" applyFill="1" applyBorder="1" applyProtection="1">
      <protection hidden="1"/>
    </xf>
    <xf numFmtId="3" fontId="6" fillId="2" borderId="53" xfId="0" applyNumberFormat="1" applyFont="1" applyFill="1" applyBorder="1" applyProtection="1">
      <protection hidden="1"/>
    </xf>
    <xf numFmtId="4" fontId="4" fillId="2" borderId="2" xfId="0" applyNumberFormat="1" applyFont="1" applyFill="1" applyBorder="1" applyAlignment="1" applyProtection="1">
      <alignment horizontal="center"/>
      <protection hidden="1"/>
    </xf>
    <xf numFmtId="3" fontId="6" fillId="2" borderId="48" xfId="0" applyNumberFormat="1" applyFont="1" applyFill="1" applyBorder="1" applyProtection="1">
      <protection hidden="1"/>
    </xf>
    <xf numFmtId="3" fontId="108" fillId="2" borderId="49" xfId="0" applyNumberFormat="1" applyFont="1" applyFill="1" applyBorder="1" applyProtection="1">
      <protection hidden="1"/>
    </xf>
    <xf numFmtId="3" fontId="108" fillId="2" borderId="49" xfId="0" applyNumberFormat="1" applyFont="1" applyFill="1" applyBorder="1" applyAlignment="1" applyProtection="1">
      <alignment horizontal="center"/>
      <protection hidden="1"/>
    </xf>
    <xf numFmtId="3" fontId="242" fillId="2" borderId="49" xfId="0" applyNumberFormat="1" applyFont="1" applyFill="1" applyBorder="1" applyProtection="1">
      <protection hidden="1"/>
    </xf>
    <xf numFmtId="3" fontId="108" fillId="2" borderId="53" xfId="0" applyNumberFormat="1" applyFont="1" applyFill="1" applyBorder="1" applyProtection="1">
      <protection hidden="1"/>
    </xf>
    <xf numFmtId="182" fontId="6" fillId="24" borderId="0" xfId="0" applyNumberFormat="1" applyFont="1" applyFill="1" applyAlignment="1" applyProtection="1">
      <alignment wrapText="1"/>
      <protection locked="0"/>
    </xf>
    <xf numFmtId="182" fontId="4" fillId="24" borderId="0" xfId="0" applyNumberFormat="1" applyFont="1" applyFill="1" applyAlignment="1" applyProtection="1">
      <alignment horizontal="center"/>
      <protection locked="0"/>
    </xf>
    <xf numFmtId="182" fontId="15" fillId="24" borderId="0" xfId="0" applyNumberFormat="1" applyFont="1" applyFill="1" applyAlignment="1" applyProtection="1">
      <alignment horizontal="center"/>
      <protection locked="0"/>
    </xf>
    <xf numFmtId="182" fontId="0" fillId="24" borderId="0" xfId="0" applyNumberFormat="1" applyFill="1" applyAlignment="1" applyProtection="1">
      <alignment horizontal="center"/>
      <protection locked="0"/>
    </xf>
    <xf numFmtId="182" fontId="109" fillId="24" borderId="0" xfId="0" applyNumberFormat="1" applyFont="1" applyFill="1" applyAlignment="1" applyProtection="1">
      <alignment horizontal="center"/>
      <protection locked="0"/>
    </xf>
    <xf numFmtId="182" fontId="6" fillId="24" borderId="0" xfId="0" applyNumberFormat="1" applyFont="1" applyFill="1" applyAlignment="1" applyProtection="1">
      <alignment horizontal="center" wrapText="1"/>
      <protection locked="0"/>
    </xf>
    <xf numFmtId="182" fontId="6" fillId="24" borderId="0" xfId="0" applyNumberFormat="1" applyFont="1" applyFill="1" applyAlignment="1" applyProtection="1">
      <alignment horizontal="center"/>
      <protection locked="0"/>
    </xf>
    <xf numFmtId="182" fontId="11" fillId="24" borderId="0" xfId="0" applyNumberFormat="1" applyFont="1" applyFill="1" applyAlignment="1" applyProtection="1">
      <alignment horizontal="center"/>
      <protection locked="0"/>
    </xf>
    <xf numFmtId="182" fontId="6" fillId="24" borderId="1" xfId="0" applyNumberFormat="1" applyFont="1" applyFill="1" applyBorder="1" applyAlignment="1" applyProtection="1">
      <alignment horizontal="center"/>
      <protection locked="0"/>
    </xf>
    <xf numFmtId="0" fontId="6" fillId="0" borderId="0" xfId="0" applyFont="1" applyProtection="1">
      <protection locked="0"/>
    </xf>
    <xf numFmtId="37" fontId="6" fillId="0" borderId="0" xfId="0" applyNumberFormat="1" applyFont="1" applyProtection="1">
      <protection locked="0"/>
    </xf>
    <xf numFmtId="182" fontId="15" fillId="24" borderId="1" xfId="0" applyNumberFormat="1" applyFont="1" applyFill="1" applyBorder="1" applyAlignment="1" applyProtection="1">
      <alignment horizontal="center"/>
      <protection locked="0"/>
    </xf>
    <xf numFmtId="182" fontId="0" fillId="0" borderId="0" xfId="0" applyNumberFormat="1" applyAlignment="1" applyProtection="1">
      <alignment horizontal="center"/>
      <protection locked="0"/>
    </xf>
    <xf numFmtId="0" fontId="4" fillId="15" borderId="0" xfId="0" applyFont="1" applyFill="1" applyAlignment="1" applyProtection="1">
      <alignment horizontal="left" vertical="center"/>
      <protection locked="0"/>
    </xf>
    <xf numFmtId="38" fontId="146" fillId="2" borderId="4" xfId="0" applyNumberFormat="1" applyFont="1" applyFill="1" applyBorder="1" applyAlignment="1" applyProtection="1">
      <alignment horizontal="center"/>
      <protection hidden="1"/>
    </xf>
    <xf numFmtId="164" fontId="125" fillId="2" borderId="0" xfId="0" applyNumberFormat="1" applyFont="1" applyFill="1" applyProtection="1">
      <protection hidden="1"/>
    </xf>
    <xf numFmtId="38" fontId="110" fillId="2" borderId="4" xfId="0" applyNumberFormat="1" applyFont="1" applyFill="1" applyBorder="1" applyAlignment="1" applyProtection="1">
      <alignment horizontal="center"/>
      <protection hidden="1"/>
    </xf>
    <xf numFmtId="0" fontId="4" fillId="15" borderId="8" xfId="0" applyFont="1" applyFill="1" applyBorder="1" applyAlignment="1" applyProtection="1">
      <alignment horizontal="left" vertical="center"/>
      <protection locked="0"/>
    </xf>
    <xf numFmtId="0" fontId="4" fillId="15" borderId="14" xfId="0" applyFont="1" applyFill="1" applyBorder="1" applyAlignment="1" applyProtection="1">
      <alignment horizontal="left" vertical="center"/>
      <protection locked="0"/>
    </xf>
    <xf numFmtId="0" fontId="4" fillId="15" borderId="0" xfId="0" applyFont="1" applyFill="1" applyAlignment="1" applyProtection="1">
      <alignment vertical="center"/>
      <protection locked="0"/>
    </xf>
    <xf numFmtId="3" fontId="4" fillId="16" borderId="12" xfId="0" applyNumberFormat="1" applyFont="1" applyFill="1" applyBorder="1" applyProtection="1">
      <protection locked="0"/>
    </xf>
    <xf numFmtId="168" fontId="128" fillId="0" borderId="23" xfId="0" applyNumberFormat="1" applyFont="1" applyBorder="1" applyAlignment="1" applyProtection="1">
      <alignment horizontal="right"/>
      <protection hidden="1"/>
    </xf>
    <xf numFmtId="168" fontId="128" fillId="0" borderId="7" xfId="0" applyNumberFormat="1" applyFont="1" applyBorder="1" applyAlignment="1" applyProtection="1">
      <alignment horizontal="right"/>
      <protection hidden="1"/>
    </xf>
    <xf numFmtId="168" fontId="128" fillId="0" borderId="19" xfId="0" applyNumberFormat="1" applyFont="1" applyBorder="1" applyAlignment="1" applyProtection="1">
      <alignment horizontal="right"/>
      <protection hidden="1"/>
    </xf>
    <xf numFmtId="3" fontId="128" fillId="0" borderId="5" xfId="0" applyNumberFormat="1" applyFont="1" applyBorder="1" applyAlignment="1" applyProtection="1">
      <alignment horizontal="right"/>
      <protection hidden="1"/>
    </xf>
    <xf numFmtId="0" fontId="11" fillId="0" borderId="2" xfId="0" applyFont="1" applyBorder="1" applyAlignment="1">
      <alignment horizontal="center"/>
    </xf>
    <xf numFmtId="3" fontId="10" fillId="0" borderId="4" xfId="0" applyNumberFormat="1" applyFont="1" applyBorder="1" applyAlignment="1" applyProtection="1">
      <alignment horizontal="center"/>
      <protection hidden="1"/>
    </xf>
    <xf numFmtId="3" fontId="10" fillId="0" borderId="22" xfId="0" applyNumberFormat="1" applyFont="1" applyBorder="1" applyAlignment="1" applyProtection="1">
      <alignment horizontal="center"/>
      <protection hidden="1"/>
    </xf>
    <xf numFmtId="3" fontId="0" fillId="0" borderId="0" xfId="0" applyNumberFormat="1" applyAlignment="1" applyProtection="1">
      <alignment horizontal="right"/>
      <protection hidden="1"/>
    </xf>
    <xf numFmtId="3" fontId="0" fillId="0" borderId="20" xfId="0" applyNumberFormat="1" applyBorder="1" applyAlignment="1" applyProtection="1">
      <alignment horizontal="right"/>
      <protection hidden="1"/>
    </xf>
    <xf numFmtId="14" fontId="0" fillId="15" borderId="23" xfId="0" applyNumberFormat="1" applyFill="1" applyBorder="1" applyProtection="1">
      <protection locked="0"/>
    </xf>
    <xf numFmtId="37" fontId="0" fillId="15" borderId="7" xfId="0" applyNumberFormat="1" applyFill="1" applyBorder="1" applyProtection="1">
      <protection locked="0"/>
    </xf>
    <xf numFmtId="37" fontId="0" fillId="15" borderId="19" xfId="0" applyNumberFormat="1" applyFill="1" applyBorder="1" applyProtection="1">
      <protection locked="0"/>
    </xf>
    <xf numFmtId="14" fontId="6" fillId="15" borderId="5" xfId="0" applyNumberFormat="1" applyFont="1" applyFill="1" applyBorder="1" applyAlignment="1" applyProtection="1">
      <alignment horizontal="left" indent="1"/>
      <protection locked="0"/>
    </xf>
    <xf numFmtId="37" fontId="6" fillId="15" borderId="0" xfId="0" applyNumberFormat="1" applyFont="1" applyFill="1" applyProtection="1">
      <protection locked="0"/>
    </xf>
    <xf numFmtId="37" fontId="0" fillId="15" borderId="20" xfId="0" applyNumberFormat="1" applyFill="1" applyBorder="1" applyProtection="1">
      <protection locked="0"/>
    </xf>
    <xf numFmtId="14" fontId="4" fillId="15" borderId="5" xfId="0" applyNumberFormat="1" applyFont="1" applyFill="1" applyBorder="1" applyProtection="1">
      <protection locked="0"/>
    </xf>
    <xf numFmtId="14" fontId="110" fillId="15" borderId="5" xfId="0" applyNumberFormat="1" applyFont="1" applyFill="1" applyBorder="1" applyProtection="1">
      <protection locked="0"/>
    </xf>
    <xf numFmtId="14" fontId="0" fillId="15" borderId="5" xfId="0" applyNumberFormat="1" applyFill="1" applyBorder="1" applyAlignment="1" applyProtection="1">
      <alignment horizontal="left" indent="1"/>
      <protection locked="0"/>
    </xf>
    <xf numFmtId="14" fontId="6" fillId="15" borderId="21" xfId="0" applyNumberFormat="1" applyFont="1" applyFill="1" applyBorder="1" applyAlignment="1" applyProtection="1">
      <alignment horizontal="left" vertical="top" indent="1"/>
      <protection locked="0"/>
    </xf>
    <xf numFmtId="37" fontId="6" fillId="15" borderId="4" xfId="0" applyNumberFormat="1" applyFont="1" applyFill="1" applyBorder="1" applyProtection="1">
      <protection locked="0"/>
    </xf>
    <xf numFmtId="37" fontId="0" fillId="15" borderId="4" xfId="0" applyNumberFormat="1" applyFill="1" applyBorder="1" applyProtection="1">
      <protection locked="0"/>
    </xf>
    <xf numFmtId="37" fontId="0" fillId="15" borderId="22" xfId="0" applyNumberFormat="1" applyFill="1" applyBorder="1" applyProtection="1">
      <protection locked="0"/>
    </xf>
    <xf numFmtId="182" fontId="25" fillId="24" borderId="0" xfId="0" applyNumberFormat="1" applyFont="1" applyFill="1" applyAlignment="1" applyProtection="1">
      <alignment horizontal="center"/>
      <protection locked="0"/>
    </xf>
    <xf numFmtId="182" fontId="0" fillId="24" borderId="0" xfId="0" applyNumberFormat="1" applyFill="1" applyAlignment="1" applyProtection="1">
      <alignment vertical="top"/>
      <protection locked="0"/>
    </xf>
    <xf numFmtId="171" fontId="6" fillId="2" borderId="0" xfId="0" applyNumberFormat="1" applyFont="1" applyFill="1" applyAlignment="1" applyProtection="1">
      <alignment horizontal="right"/>
      <protection locked="0"/>
    </xf>
    <xf numFmtId="0" fontId="4" fillId="15" borderId="0" xfId="0" quotePrefix="1" applyFont="1" applyFill="1" applyAlignment="1">
      <alignment horizontal="center"/>
    </xf>
    <xf numFmtId="0" fontId="4" fillId="15" borderId="0" xfId="0" applyFont="1" applyFill="1" applyAlignment="1">
      <alignment horizontal="right"/>
    </xf>
    <xf numFmtId="37" fontId="0" fillId="16" borderId="25" xfId="0" applyNumberFormat="1" applyFill="1" applyBorder="1" applyProtection="1">
      <protection locked="0"/>
    </xf>
    <xf numFmtId="3" fontId="0" fillId="16" borderId="1" xfId="0" applyNumberFormat="1" applyFill="1" applyBorder="1" applyProtection="1">
      <protection locked="0"/>
    </xf>
    <xf numFmtId="10" fontId="0" fillId="16" borderId="1" xfId="0" applyNumberFormat="1" applyFill="1" applyBorder="1" applyProtection="1">
      <protection locked="0"/>
    </xf>
    <xf numFmtId="0" fontId="14" fillId="0" borderId="0" xfId="0" applyFont="1"/>
    <xf numFmtId="0" fontId="15" fillId="15" borderId="30" xfId="0" applyFont="1" applyFill="1" applyBorder="1" applyProtection="1">
      <protection locked="0"/>
    </xf>
    <xf numFmtId="0" fontId="15" fillId="15" borderId="8" xfId="0" applyFont="1" applyFill="1" applyBorder="1" applyProtection="1">
      <protection locked="0"/>
    </xf>
    <xf numFmtId="0" fontId="15" fillId="15" borderId="3" xfId="0" applyFont="1" applyFill="1" applyBorder="1" applyProtection="1">
      <protection locked="0"/>
    </xf>
    <xf numFmtId="0" fontId="15" fillId="15" borderId="0" xfId="0" applyFont="1" applyFill="1" applyProtection="1">
      <protection locked="0"/>
    </xf>
    <xf numFmtId="37" fontId="0" fillId="15" borderId="1" xfId="0" applyNumberFormat="1" applyFill="1" applyBorder="1" applyProtection="1">
      <protection locked="0"/>
    </xf>
    <xf numFmtId="4" fontId="4" fillId="15" borderId="60" xfId="0" applyNumberFormat="1" applyFont="1" applyFill="1" applyBorder="1" applyAlignment="1" applyProtection="1">
      <alignment horizontal="center"/>
      <protection locked="0"/>
    </xf>
    <xf numFmtId="182" fontId="6" fillId="0" borderId="194" xfId="0" applyNumberFormat="1" applyFont="1" applyBorder="1" applyAlignment="1">
      <alignment horizontal="center"/>
    </xf>
    <xf numFmtId="182" fontId="6" fillId="0" borderId="28" xfId="0" applyNumberFormat="1" applyFont="1" applyBorder="1" applyAlignment="1">
      <alignment horizontal="center"/>
    </xf>
    <xf numFmtId="182" fontId="6" fillId="0" borderId="79" xfId="0" applyNumberFormat="1" applyFont="1" applyBorder="1" applyAlignment="1">
      <alignment horizontal="center"/>
    </xf>
    <xf numFmtId="182" fontId="6" fillId="0" borderId="22" xfId="0" applyNumberFormat="1" applyFont="1" applyBorder="1" applyAlignment="1">
      <alignment horizontal="center"/>
    </xf>
    <xf numFmtId="3" fontId="12" fillId="39" borderId="0" xfId="0" applyNumberFormat="1" applyFont="1" applyFill="1" applyAlignment="1" applyProtection="1">
      <alignment horizontal="center"/>
      <protection locked="0"/>
    </xf>
    <xf numFmtId="0" fontId="4" fillId="39" borderId="0" xfId="0" applyFont="1" applyFill="1"/>
    <xf numFmtId="37" fontId="83" fillId="2" borderId="39" xfId="0" applyNumberFormat="1" applyFont="1" applyFill="1" applyBorder="1" applyProtection="1">
      <protection locked="0"/>
    </xf>
    <xf numFmtId="166" fontId="4" fillId="39" borderId="11" xfId="0" applyNumberFormat="1" applyFont="1" applyFill="1" applyBorder="1" applyAlignment="1" applyProtection="1">
      <alignment horizontal="right"/>
      <protection locked="0"/>
    </xf>
    <xf numFmtId="166" fontId="4" fillId="39" borderId="24" xfId="0" applyNumberFormat="1" applyFont="1" applyFill="1" applyBorder="1" applyAlignment="1" applyProtection="1">
      <alignment horizontal="right" vertical="top"/>
      <protection locked="0"/>
    </xf>
    <xf numFmtId="0" fontId="0" fillId="0" borderId="8" xfId="0" applyBorder="1" applyAlignment="1">
      <alignment horizontal="center" vertical="top"/>
    </xf>
    <xf numFmtId="0" fontId="0" fillId="0" borderId="44" xfId="0" applyBorder="1"/>
    <xf numFmtId="0" fontId="11" fillId="16" borderId="82" xfId="0" applyFont="1" applyFill="1" applyBorder="1" applyAlignment="1" applyProtection="1">
      <alignment horizontal="center"/>
      <protection locked="0"/>
    </xf>
    <xf numFmtId="0" fontId="11" fillId="3" borderId="0" xfId="0" applyFont="1" applyFill="1" applyAlignment="1" applyProtection="1">
      <alignment vertical="center"/>
      <protection hidden="1"/>
    </xf>
    <xf numFmtId="14" fontId="47" fillId="24" borderId="0" xfId="0" applyNumberFormat="1" applyFont="1" applyFill="1" applyAlignment="1" applyProtection="1">
      <alignment vertical="center"/>
      <protection locked="0"/>
    </xf>
    <xf numFmtId="39" fontId="47" fillId="24" borderId="0" xfId="0" applyNumberFormat="1" applyFont="1" applyFill="1" applyAlignment="1" applyProtection="1">
      <alignment vertical="center"/>
      <protection locked="0"/>
    </xf>
    <xf numFmtId="39" fontId="47" fillId="0" borderId="0" xfId="0" applyNumberFormat="1" applyFont="1" applyAlignment="1" applyProtection="1">
      <alignment vertical="center"/>
      <protection locked="0"/>
    </xf>
    <xf numFmtId="49" fontId="0" fillId="16" borderId="1" xfId="0" applyNumberFormat="1" applyFill="1" applyBorder="1" applyAlignment="1" applyProtection="1">
      <alignment horizontal="center" vertical="top" wrapText="1"/>
      <protection locked="0"/>
    </xf>
    <xf numFmtId="49" fontId="0" fillId="41" borderId="1" xfId="0" applyNumberFormat="1" applyFill="1" applyBorder="1" applyAlignment="1" applyProtection="1">
      <alignment horizontal="center" vertical="top" wrapText="1"/>
      <protection locked="0"/>
    </xf>
    <xf numFmtId="39" fontId="8" fillId="3" borderId="0" xfId="0" applyNumberFormat="1" applyFont="1" applyFill="1" applyAlignment="1" applyProtection="1">
      <alignment vertical="center"/>
      <protection hidden="1"/>
    </xf>
    <xf numFmtId="0" fontId="8" fillId="3" borderId="71" xfId="0" applyFont="1" applyFill="1" applyBorder="1" applyAlignment="1" applyProtection="1">
      <alignment horizontal="left"/>
      <protection hidden="1"/>
    </xf>
    <xf numFmtId="39" fontId="6" fillId="3" borderId="16" xfId="0" applyNumberFormat="1" applyFont="1" applyFill="1" applyBorder="1" applyProtection="1">
      <protection hidden="1"/>
    </xf>
    <xf numFmtId="39" fontId="6" fillId="3" borderId="32" xfId="0" applyNumberFormat="1" applyFont="1" applyFill="1" applyBorder="1" applyProtection="1">
      <protection hidden="1"/>
    </xf>
    <xf numFmtId="39" fontId="6" fillId="3" borderId="75" xfId="0" applyNumberFormat="1" applyFont="1" applyFill="1" applyBorder="1" applyProtection="1">
      <protection hidden="1"/>
    </xf>
    <xf numFmtId="0" fontId="9" fillId="3" borderId="100" xfId="0" applyFont="1" applyFill="1" applyBorder="1" applyAlignment="1" applyProtection="1">
      <alignment horizontal="left"/>
      <protection hidden="1"/>
    </xf>
    <xf numFmtId="0" fontId="8" fillId="3" borderId="72" xfId="0" applyFont="1" applyFill="1" applyBorder="1" applyAlignment="1" applyProtection="1">
      <alignment horizontal="left"/>
      <protection hidden="1"/>
    </xf>
    <xf numFmtId="39" fontId="6" fillId="3" borderId="13" xfId="0" applyNumberFormat="1" applyFont="1" applyFill="1" applyBorder="1" applyProtection="1">
      <protection hidden="1"/>
    </xf>
    <xf numFmtId="39" fontId="6" fillId="3" borderId="33" xfId="0" applyNumberFormat="1" applyFont="1" applyFill="1" applyBorder="1" applyProtection="1">
      <protection hidden="1"/>
    </xf>
    <xf numFmtId="39" fontId="9" fillId="14" borderId="32" xfId="0" applyNumberFormat="1" applyFont="1" applyFill="1" applyBorder="1" applyProtection="1">
      <protection hidden="1"/>
    </xf>
    <xf numFmtId="0" fontId="9" fillId="3" borderId="100" xfId="0" applyFont="1" applyFill="1" applyBorder="1" applyProtection="1">
      <protection hidden="1"/>
    </xf>
    <xf numFmtId="39" fontId="9" fillId="14" borderId="75" xfId="0" applyNumberFormat="1" applyFont="1" applyFill="1" applyBorder="1" applyProtection="1">
      <protection hidden="1"/>
    </xf>
    <xf numFmtId="0" fontId="9" fillId="3" borderId="72" xfId="0" applyFont="1" applyFill="1" applyBorder="1" applyProtection="1">
      <protection hidden="1"/>
    </xf>
    <xf numFmtId="39" fontId="9" fillId="14" borderId="33" xfId="0" applyNumberFormat="1" applyFont="1" applyFill="1" applyBorder="1" applyProtection="1">
      <protection hidden="1"/>
    </xf>
    <xf numFmtId="37" fontId="6" fillId="14" borderId="30" xfId="0" applyNumberFormat="1" applyFont="1" applyFill="1" applyBorder="1" applyAlignment="1" applyProtection="1">
      <alignment wrapText="1"/>
      <protection locked="0"/>
    </xf>
    <xf numFmtId="37" fontId="6" fillId="14" borderId="8" xfId="0" applyNumberFormat="1" applyFont="1" applyFill="1" applyBorder="1" applyAlignment="1" applyProtection="1">
      <alignment wrapText="1"/>
      <protection locked="0"/>
    </xf>
    <xf numFmtId="166" fontId="4" fillId="14" borderId="25" xfId="0" applyNumberFormat="1" applyFont="1" applyFill="1" applyBorder="1" applyAlignment="1" applyProtection="1">
      <alignment vertical="center"/>
      <protection locked="0"/>
    </xf>
    <xf numFmtId="166" fontId="4" fillId="14" borderId="54" xfId="0" applyNumberFormat="1" applyFont="1" applyFill="1" applyBorder="1" applyAlignment="1" applyProtection="1">
      <alignment vertical="center"/>
      <protection locked="0"/>
    </xf>
    <xf numFmtId="49" fontId="11" fillId="16" borderId="12" xfId="0" applyNumberFormat="1" applyFont="1" applyFill="1" applyBorder="1" applyAlignment="1" applyProtection="1">
      <alignment horizontal="center" vertical="center" wrapText="1"/>
      <protection locked="0"/>
    </xf>
    <xf numFmtId="14" fontId="0" fillId="0" borderId="0" xfId="0" applyNumberFormat="1"/>
    <xf numFmtId="0" fontId="0" fillId="15" borderId="24" xfId="0" applyFill="1" applyBorder="1" applyAlignment="1">
      <alignment vertical="center"/>
    </xf>
    <xf numFmtId="0" fontId="4" fillId="2" borderId="0" xfId="0" applyFont="1" applyFill="1" applyAlignment="1" applyProtection="1">
      <alignment vertical="center"/>
      <protection hidden="1"/>
    </xf>
    <xf numFmtId="0" fontId="15" fillId="15" borderId="11" xfId="0" applyFont="1" applyFill="1" applyBorder="1" applyProtection="1">
      <protection locked="0"/>
    </xf>
    <xf numFmtId="0" fontId="8" fillId="3" borderId="7" xfId="0" applyFont="1" applyFill="1" applyBorder="1" applyAlignment="1" applyProtection="1">
      <alignment vertical="top"/>
      <protection hidden="1"/>
    </xf>
    <xf numFmtId="37" fontId="8" fillId="20" borderId="69" xfId="0" applyNumberFormat="1" applyFont="1" applyFill="1" applyBorder="1" applyAlignment="1" applyProtection="1">
      <alignment horizontal="right"/>
      <protection locked="0"/>
    </xf>
    <xf numFmtId="0" fontId="6" fillId="15" borderId="8" xfId="0" applyFont="1" applyFill="1" applyBorder="1" applyAlignment="1" applyProtection="1">
      <alignment horizontal="center"/>
      <protection hidden="1"/>
    </xf>
    <xf numFmtId="0" fontId="98" fillId="15" borderId="30" xfId="0" applyFont="1" applyFill="1" applyBorder="1" applyProtection="1">
      <protection hidden="1"/>
    </xf>
    <xf numFmtId="0" fontId="98" fillId="15" borderId="8" xfId="0" applyFont="1" applyFill="1" applyBorder="1" applyProtection="1">
      <protection hidden="1"/>
    </xf>
    <xf numFmtId="0" fontId="98" fillId="15" borderId="14" xfId="0" applyFont="1" applyFill="1" applyBorder="1" applyProtection="1">
      <protection hidden="1"/>
    </xf>
    <xf numFmtId="0" fontId="98" fillId="15" borderId="3" xfId="0" applyFont="1" applyFill="1" applyBorder="1" applyProtection="1">
      <protection hidden="1"/>
    </xf>
    <xf numFmtId="0" fontId="98" fillId="15" borderId="24" xfId="0" applyFont="1" applyFill="1" applyBorder="1" applyProtection="1">
      <protection hidden="1"/>
    </xf>
    <xf numFmtId="0" fontId="98" fillId="15" borderId="9" xfId="0" applyFont="1" applyFill="1" applyBorder="1" applyProtection="1">
      <protection hidden="1"/>
    </xf>
    <xf numFmtId="0" fontId="98" fillId="15" borderId="1" xfId="0" applyFont="1" applyFill="1" applyBorder="1" applyProtection="1">
      <protection hidden="1"/>
    </xf>
    <xf numFmtId="0" fontId="98" fillId="15" borderId="11" xfId="0" applyFont="1" applyFill="1" applyBorder="1" applyProtection="1">
      <protection hidden="1"/>
    </xf>
    <xf numFmtId="3" fontId="8" fillId="8" borderId="0" xfId="0" applyNumberFormat="1" applyFont="1" applyFill="1" applyProtection="1">
      <protection locked="0"/>
    </xf>
    <xf numFmtId="37" fontId="31" fillId="2" borderId="2" xfId="0" applyNumberFormat="1" applyFont="1" applyFill="1" applyBorder="1" applyProtection="1">
      <protection locked="0"/>
    </xf>
    <xf numFmtId="40" fontId="4" fillId="2" borderId="1" xfId="0" applyNumberFormat="1" applyFont="1" applyFill="1" applyBorder="1" applyAlignment="1" applyProtection="1">
      <alignment horizontal="left"/>
      <protection hidden="1"/>
    </xf>
    <xf numFmtId="40" fontId="4" fillId="2" borderId="1" xfId="0" applyNumberFormat="1" applyFont="1" applyFill="1" applyBorder="1" applyAlignment="1" applyProtection="1">
      <alignment horizontal="center"/>
      <protection hidden="1"/>
    </xf>
    <xf numFmtId="164" fontId="4" fillId="2" borderId="1" xfId="0" applyNumberFormat="1" applyFont="1" applyFill="1" applyBorder="1" applyProtection="1">
      <protection hidden="1"/>
    </xf>
    <xf numFmtId="0" fontId="47" fillId="15" borderId="0" xfId="0" applyFont="1" applyFill="1" applyAlignment="1">
      <alignment horizontal="right"/>
    </xf>
    <xf numFmtId="37" fontId="0" fillId="0" borderId="2" xfId="0" applyNumberFormat="1" applyBorder="1" applyProtection="1">
      <protection locked="0"/>
    </xf>
    <xf numFmtId="4" fontId="125" fillId="0" borderId="0" xfId="0" applyNumberFormat="1" applyFont="1" applyAlignment="1" applyProtection="1">
      <alignment horizontal="center"/>
      <protection locked="0"/>
    </xf>
    <xf numFmtId="0" fontId="6" fillId="32" borderId="117" xfId="0" applyFont="1" applyFill="1" applyBorder="1" applyProtection="1">
      <protection locked="0"/>
    </xf>
    <xf numFmtId="0" fontId="112" fillId="15" borderId="0" xfId="4" applyFont="1" applyFill="1" applyAlignment="1">
      <alignment vertical="center"/>
    </xf>
    <xf numFmtId="0" fontId="199" fillId="15" borderId="0" xfId="4" applyFont="1" applyFill="1"/>
    <xf numFmtId="0" fontId="47" fillId="15" borderId="0" xfId="4" applyFont="1" applyFill="1"/>
    <xf numFmtId="0" fontId="47" fillId="0" borderId="0" xfId="4" applyFont="1"/>
    <xf numFmtId="0" fontId="199" fillId="15" borderId="0" xfId="4" applyFont="1" applyFill="1" applyAlignment="1">
      <alignment vertical="center"/>
    </xf>
    <xf numFmtId="0" fontId="199" fillId="24" borderId="30" xfId="4" applyFont="1" applyFill="1" applyBorder="1"/>
    <xf numFmtId="0" fontId="290" fillId="24" borderId="8" xfId="4" applyFont="1" applyFill="1" applyBorder="1" applyAlignment="1">
      <alignment vertical="center"/>
    </xf>
    <xf numFmtId="0" fontId="47" fillId="24" borderId="8" xfId="4" applyFont="1" applyFill="1" applyBorder="1"/>
    <xf numFmtId="0" fontId="47" fillId="24" borderId="14" xfId="4" applyFont="1" applyFill="1" applyBorder="1"/>
    <xf numFmtId="0" fontId="199" fillId="24" borderId="3" xfId="4" applyFont="1" applyFill="1" applyBorder="1"/>
    <xf numFmtId="0" fontId="290" fillId="24" borderId="0" xfId="4" applyFont="1" applyFill="1" applyAlignment="1">
      <alignment vertical="center"/>
    </xf>
    <xf numFmtId="0" fontId="47" fillId="24" borderId="0" xfId="4" applyFont="1" applyFill="1"/>
    <xf numFmtId="0" fontId="291" fillId="24" borderId="0" xfId="4" applyFont="1" applyFill="1" applyAlignment="1">
      <alignment horizontal="left" vertical="center"/>
    </xf>
    <xf numFmtId="0" fontId="292" fillId="24" borderId="0" xfId="4" applyFont="1" applyFill="1" applyAlignment="1">
      <alignment vertical="center"/>
    </xf>
    <xf numFmtId="0" fontId="47" fillId="24" borderId="24" xfId="4" applyFont="1" applyFill="1" applyBorder="1"/>
    <xf numFmtId="0" fontId="293" fillId="24" borderId="0" xfId="4" applyFont="1" applyFill="1" applyAlignment="1">
      <alignment vertical="center"/>
    </xf>
    <xf numFmtId="0" fontId="294" fillId="24" borderId="0" xfId="4" applyFont="1" applyFill="1" applyAlignment="1">
      <alignment vertical="center"/>
    </xf>
    <xf numFmtId="0" fontId="295" fillId="24" borderId="3" xfId="4" applyFont="1" applyFill="1" applyBorder="1"/>
    <xf numFmtId="0" fontId="14" fillId="24" borderId="24" xfId="4" applyFont="1" applyFill="1" applyBorder="1"/>
    <xf numFmtId="0" fontId="14" fillId="15" borderId="0" xfId="4" applyFont="1" applyFill="1"/>
    <xf numFmtId="0" fontId="14" fillId="0" borderId="0" xfId="4" applyFont="1"/>
    <xf numFmtId="0" fontId="11" fillId="27" borderId="12" xfId="4" applyFont="1" applyFill="1" applyBorder="1" applyAlignment="1" applyProtection="1">
      <alignment horizontal="center"/>
      <protection hidden="1"/>
    </xf>
    <xf numFmtId="0" fontId="297" fillId="24" borderId="0" xfId="4" applyFont="1" applyFill="1" applyAlignment="1">
      <alignment horizontal="center" vertical="center"/>
    </xf>
    <xf numFmtId="0" fontId="275" fillId="24" borderId="0" xfId="4" applyFont="1" applyFill="1"/>
    <xf numFmtId="0" fontId="11" fillId="24" borderId="3" xfId="4" applyFont="1" applyFill="1" applyBorder="1" applyAlignment="1">
      <alignment horizontal="center"/>
    </xf>
    <xf numFmtId="0" fontId="11" fillId="24" borderId="0" xfId="4" applyFont="1" applyFill="1" applyAlignment="1">
      <alignment horizontal="center"/>
    </xf>
    <xf numFmtId="0" fontId="298" fillId="24" borderId="0" xfId="4" applyFont="1" applyFill="1" applyAlignment="1">
      <alignment horizontal="left" vertical="center" indent="4"/>
    </xf>
    <xf numFmtId="0" fontId="298" fillId="24" borderId="0" xfId="4" applyFont="1" applyFill="1" applyAlignment="1">
      <alignment horizontal="left" vertical="center"/>
    </xf>
    <xf numFmtId="0" fontId="11" fillId="16" borderId="12" xfId="4" applyFont="1" applyFill="1" applyBorder="1" applyAlignment="1" applyProtection="1">
      <alignment horizontal="center"/>
      <protection locked="0"/>
    </xf>
    <xf numFmtId="0" fontId="275" fillId="24" borderId="0" xfId="4" applyFont="1" applyFill="1" applyAlignment="1">
      <alignment vertical="center"/>
    </xf>
    <xf numFmtId="0" fontId="275" fillId="24" borderId="0" xfId="4" applyFont="1" applyFill="1" applyAlignment="1">
      <alignment horizontal="left" indent="1"/>
    </xf>
    <xf numFmtId="0" fontId="47" fillId="24" borderId="0" xfId="4" applyFont="1" applyFill="1" applyAlignment="1">
      <alignment horizontal="left"/>
    </xf>
    <xf numFmtId="0" fontId="293" fillId="24" borderId="0" xfId="4" applyFont="1" applyFill="1" applyAlignment="1">
      <alignment horizontal="center" vertical="center"/>
    </xf>
    <xf numFmtId="0" fontId="275" fillId="24" borderId="0" xfId="4" quotePrefix="1" applyFont="1" applyFill="1" applyAlignment="1">
      <alignment horizontal="right" vertical="center" indent="1"/>
    </xf>
    <xf numFmtId="0" fontId="275" fillId="24" borderId="0" xfId="4" applyFont="1" applyFill="1" applyAlignment="1">
      <alignment horizontal="left" vertical="center"/>
    </xf>
    <xf numFmtId="0" fontId="275" fillId="24" borderId="0" xfId="4" applyFont="1" applyFill="1" applyAlignment="1">
      <alignment horizontal="left" vertical="center" indent="6"/>
    </xf>
    <xf numFmtId="0" fontId="275" fillId="24" borderId="0" xfId="4" applyFont="1" applyFill="1" applyAlignment="1">
      <alignment horizontal="left" vertical="top"/>
    </xf>
    <xf numFmtId="0" fontId="300" fillId="24" borderId="0" xfId="4" applyFont="1" applyFill="1"/>
    <xf numFmtId="0" fontId="199" fillId="24" borderId="9" xfId="4" applyFont="1" applyFill="1" applyBorder="1"/>
    <xf numFmtId="0" fontId="47" fillId="24" borderId="1" xfId="4" applyFont="1" applyFill="1" applyBorder="1"/>
    <xf numFmtId="0" fontId="47" fillId="24" borderId="11" xfId="4" applyFont="1" applyFill="1" applyBorder="1"/>
    <xf numFmtId="0" fontId="112" fillId="0" borderId="0" xfId="4" applyFont="1" applyAlignment="1">
      <alignment vertical="center"/>
    </xf>
    <xf numFmtId="0" fontId="199" fillId="0" borderId="0" xfId="4" applyFont="1"/>
    <xf numFmtId="0" fontId="6" fillId="32" borderId="214" xfId="0" applyFont="1" applyFill="1" applyBorder="1" applyProtection="1">
      <protection locked="0"/>
    </xf>
    <xf numFmtId="176" fontId="6" fillId="0" borderId="117" xfId="0" applyNumberFormat="1" applyFont="1" applyBorder="1" applyAlignment="1" applyProtection="1">
      <alignment horizontal="center"/>
      <protection locked="0"/>
    </xf>
    <xf numFmtId="0" fontId="6" fillId="15" borderId="0" xfId="0" applyFont="1" applyFill="1" applyProtection="1">
      <protection locked="0"/>
    </xf>
    <xf numFmtId="0" fontId="110" fillId="4" borderId="0" xfId="0" applyFont="1" applyFill="1" applyProtection="1">
      <protection locked="0"/>
    </xf>
    <xf numFmtId="39" fontId="4" fillId="3" borderId="2" xfId="0" applyNumberFormat="1" applyFont="1" applyFill="1" applyBorder="1" applyAlignment="1" applyProtection="1">
      <alignment horizontal="center" vertical="center"/>
      <protection locked="0"/>
    </xf>
    <xf numFmtId="37" fontId="4" fillId="16" borderId="12" xfId="0" applyNumberFormat="1" applyFont="1" applyFill="1" applyBorder="1" applyAlignment="1" applyProtection="1">
      <alignment horizontal="right"/>
      <protection locked="0"/>
    </xf>
    <xf numFmtId="0" fontId="11" fillId="15" borderId="8" xfId="0" applyFont="1" applyFill="1" applyBorder="1" applyAlignment="1">
      <alignment horizontal="left" vertical="center"/>
    </xf>
    <xf numFmtId="0" fontId="11" fillId="15" borderId="0" xfId="0" applyFont="1" applyFill="1" applyAlignment="1">
      <alignment horizontal="left" vertical="center"/>
    </xf>
    <xf numFmtId="0" fontId="15" fillId="15" borderId="0" xfId="0" applyFont="1" applyFill="1" applyAlignment="1">
      <alignment horizontal="left" vertical="center"/>
    </xf>
    <xf numFmtId="0" fontId="206" fillId="0" borderId="0" xfId="0" applyFont="1" applyAlignment="1" applyProtection="1">
      <alignment horizontal="right"/>
      <protection hidden="1"/>
    </xf>
    <xf numFmtId="0" fontId="158" fillId="0" borderId="0" xfId="0" applyFont="1" applyAlignment="1" applyProtection="1">
      <alignment horizontal="right"/>
      <protection hidden="1"/>
    </xf>
    <xf numFmtId="3" fontId="12" fillId="39" borderId="0" xfId="0" applyNumberFormat="1" applyFont="1" applyFill="1" applyProtection="1">
      <protection locked="0"/>
    </xf>
    <xf numFmtId="4" fontId="4" fillId="2" borderId="0" xfId="0" applyNumberFormat="1" applyFont="1" applyFill="1" applyAlignment="1" applyProtection="1">
      <alignment horizontal="left" indent="1"/>
      <protection hidden="1"/>
    </xf>
    <xf numFmtId="4" fontId="4" fillId="3" borderId="1" xfId="0" applyNumberFormat="1" applyFont="1" applyFill="1" applyBorder="1" applyAlignment="1" applyProtection="1">
      <alignment horizontal="center"/>
      <protection hidden="1"/>
    </xf>
    <xf numFmtId="39" fontId="8" fillId="3" borderId="0" xfId="0" applyNumberFormat="1" applyFont="1" applyFill="1" applyAlignment="1" applyProtection="1">
      <alignment horizontal="center"/>
      <protection hidden="1"/>
    </xf>
    <xf numFmtId="39" fontId="8" fillId="14" borderId="0" xfId="0" applyNumberFormat="1" applyFont="1" applyFill="1" applyAlignment="1" applyProtection="1">
      <alignment horizontal="center"/>
      <protection hidden="1"/>
    </xf>
    <xf numFmtId="0" fontId="8" fillId="3" borderId="0" xfId="0" applyFont="1" applyFill="1" applyAlignment="1" applyProtection="1">
      <alignment horizontal="center"/>
      <protection hidden="1"/>
    </xf>
    <xf numFmtId="0" fontId="4" fillId="2" borderId="0" xfId="0" applyFont="1" applyFill="1" applyAlignment="1" applyProtection="1">
      <alignment horizontal="left" wrapText="1"/>
      <protection hidden="1"/>
    </xf>
    <xf numFmtId="0" fontId="11" fillId="2" borderId="0" xfId="0" applyFont="1" applyFill="1" applyAlignment="1" applyProtection="1">
      <alignment horizontal="center" wrapText="1"/>
      <protection locked="0"/>
    </xf>
    <xf numFmtId="0" fontId="4" fillId="15" borderId="137" xfId="0" applyFont="1" applyFill="1" applyBorder="1" applyAlignment="1" applyProtection="1">
      <alignment horizontal="left" vertical="center" wrapText="1"/>
      <protection hidden="1"/>
    </xf>
    <xf numFmtId="0" fontId="4" fillId="15" borderId="137" xfId="0" applyFont="1" applyFill="1" applyBorder="1" applyAlignment="1" applyProtection="1">
      <alignment horizontal="center" vertical="center" wrapText="1"/>
      <protection hidden="1"/>
    </xf>
    <xf numFmtId="4" fontId="4" fillId="2" borderId="81" xfId="0" applyNumberFormat="1" applyFont="1" applyFill="1" applyBorder="1" applyAlignment="1" applyProtection="1">
      <alignment horizontal="center"/>
      <protection hidden="1"/>
    </xf>
    <xf numFmtId="4" fontId="6" fillId="2" borderId="0" xfId="0" applyNumberFormat="1" applyFont="1" applyFill="1" applyAlignment="1" applyProtection="1">
      <alignment horizontal="right" vertical="top"/>
      <protection hidden="1"/>
    </xf>
    <xf numFmtId="4" fontId="6" fillId="2" borderId="0" xfId="0" applyNumberFormat="1" applyFont="1" applyFill="1" applyAlignment="1" applyProtection="1">
      <alignment vertical="top"/>
      <protection hidden="1"/>
    </xf>
    <xf numFmtId="0" fontId="4" fillId="0" borderId="0" xfId="0" applyFont="1" applyAlignment="1" applyProtection="1">
      <alignment vertical="top"/>
      <protection hidden="1"/>
    </xf>
    <xf numFmtId="0" fontId="4" fillId="2" borderId="124" xfId="0" applyFont="1" applyFill="1" applyBorder="1" applyAlignment="1" applyProtection="1">
      <alignment horizontal="left" wrapText="1"/>
      <protection hidden="1"/>
    </xf>
    <xf numFmtId="0" fontId="4" fillId="2" borderId="124" xfId="0" applyFont="1" applyFill="1" applyBorder="1" applyAlignment="1" applyProtection="1">
      <alignment horizontal="center" wrapText="1"/>
      <protection hidden="1"/>
    </xf>
    <xf numFmtId="2" fontId="4" fillId="2" borderId="59" xfId="0" applyNumberFormat="1" applyFont="1" applyFill="1" applyBorder="1" applyAlignment="1" applyProtection="1">
      <alignment horizontal="center"/>
      <protection hidden="1"/>
    </xf>
    <xf numFmtId="2" fontId="4" fillId="2" borderId="2" xfId="0" applyNumberFormat="1" applyFont="1" applyFill="1" applyBorder="1" applyAlignment="1" applyProtection="1">
      <alignment horizontal="center"/>
      <protection hidden="1"/>
    </xf>
    <xf numFmtId="3" fontId="4" fillId="2" borderId="48" xfId="0" applyNumberFormat="1" applyFont="1" applyFill="1" applyBorder="1" applyProtection="1">
      <protection hidden="1"/>
    </xf>
    <xf numFmtId="1" fontId="4" fillId="2" borderId="0" xfId="0" applyNumberFormat="1" applyFont="1" applyFill="1" applyProtection="1">
      <protection hidden="1"/>
    </xf>
    <xf numFmtId="3" fontId="4" fillId="2" borderId="49" xfId="0" applyNumberFormat="1" applyFont="1" applyFill="1" applyBorder="1" applyProtection="1">
      <protection hidden="1"/>
    </xf>
    <xf numFmtId="4" fontId="6" fillId="32" borderId="49" xfId="0" applyNumberFormat="1" applyFont="1" applyFill="1" applyBorder="1" applyAlignment="1" applyProtection="1">
      <alignment horizontal="right"/>
      <protection locked="0"/>
    </xf>
    <xf numFmtId="4" fontId="6" fillId="32" borderId="53" xfId="0" applyNumberFormat="1" applyFont="1" applyFill="1" applyBorder="1" applyAlignment="1" applyProtection="1">
      <alignment horizontal="right"/>
      <protection locked="0"/>
    </xf>
    <xf numFmtId="0" fontId="12" fillId="2" borderId="0" xfId="0" applyFont="1" applyFill="1" applyAlignment="1">
      <alignment horizontal="center" wrapText="1"/>
    </xf>
    <xf numFmtId="0" fontId="12" fillId="2" borderId="8" xfId="0" applyFont="1" applyFill="1" applyBorder="1" applyAlignment="1">
      <alignment horizontal="center" wrapText="1"/>
    </xf>
    <xf numFmtId="0" fontId="12" fillId="39" borderId="0" xfId="0" applyFont="1" applyFill="1" applyProtection="1">
      <protection locked="0"/>
    </xf>
    <xf numFmtId="164" fontId="4" fillId="2" borderId="5" xfId="0" applyNumberFormat="1" applyFont="1" applyFill="1" applyBorder="1" applyProtection="1">
      <protection hidden="1"/>
    </xf>
    <xf numFmtId="164" fontId="4" fillId="2" borderId="0" xfId="0" quotePrefix="1" applyNumberFormat="1" applyFont="1" applyFill="1" applyProtection="1">
      <protection hidden="1"/>
    </xf>
    <xf numFmtId="164" fontId="4" fillId="2" borderId="0" xfId="0" applyNumberFormat="1" applyFont="1" applyFill="1" applyAlignment="1" applyProtection="1">
      <alignment horizontal="center"/>
      <protection locked="0"/>
    </xf>
    <xf numFmtId="164" fontId="4" fillId="2" borderId="0" xfId="0" applyNumberFormat="1" applyFont="1" applyFill="1" applyAlignment="1" applyProtection="1">
      <alignment vertical="top"/>
      <protection hidden="1"/>
    </xf>
    <xf numFmtId="164" fontId="6" fillId="2" borderId="0" xfId="0" applyNumberFormat="1" applyFont="1" applyFill="1" applyProtection="1">
      <protection hidden="1"/>
    </xf>
    <xf numFmtId="40" fontId="6" fillId="2" borderId="20" xfId="0" applyNumberFormat="1" applyFont="1" applyFill="1" applyBorder="1" applyProtection="1">
      <protection hidden="1"/>
    </xf>
    <xf numFmtId="40" fontId="6" fillId="5" borderId="0" xfId="0" applyNumberFormat="1" applyFont="1" applyFill="1" applyProtection="1">
      <protection hidden="1"/>
    </xf>
    <xf numFmtId="0" fontId="6" fillId="2" borderId="0" xfId="0" applyFont="1" applyFill="1"/>
    <xf numFmtId="164" fontId="51" fillId="2" borderId="4" xfId="0" applyNumberFormat="1" applyFont="1" applyFill="1" applyBorder="1" applyProtection="1">
      <protection hidden="1"/>
    </xf>
    <xf numFmtId="0" fontId="4" fillId="5" borderId="0" xfId="0" applyFont="1" applyFill="1" applyAlignment="1">
      <alignment horizontal="center"/>
    </xf>
    <xf numFmtId="1" fontId="51" fillId="2" borderId="0" xfId="0" applyNumberFormat="1" applyFont="1" applyFill="1" applyProtection="1">
      <protection hidden="1"/>
    </xf>
    <xf numFmtId="164" fontId="4" fillId="2" borderId="4" xfId="0" applyNumberFormat="1" applyFont="1" applyFill="1" applyBorder="1" applyProtection="1">
      <protection hidden="1"/>
    </xf>
    <xf numFmtId="0" fontId="33" fillId="2" borderId="5" xfId="0" applyFont="1" applyFill="1" applyBorder="1" applyProtection="1">
      <protection hidden="1"/>
    </xf>
    <xf numFmtId="40" fontId="11" fillId="2" borderId="0" xfId="0" applyNumberFormat="1" applyFont="1" applyFill="1" applyAlignment="1" applyProtection="1">
      <alignment horizontal="right"/>
      <protection hidden="1"/>
    </xf>
    <xf numFmtId="0" fontId="6" fillId="2" borderId="19" xfId="0" applyFont="1" applyFill="1" applyBorder="1" applyProtection="1">
      <protection hidden="1"/>
    </xf>
    <xf numFmtId="0" fontId="28" fillId="2" borderId="0" xfId="0" applyFont="1" applyFill="1" applyProtection="1">
      <protection hidden="1"/>
    </xf>
    <xf numFmtId="0" fontId="6" fillId="2" borderId="20" xfId="0" applyFont="1" applyFill="1" applyBorder="1" applyProtection="1">
      <protection hidden="1"/>
    </xf>
    <xf numFmtId="0" fontId="5" fillId="2" borderId="1" xfId="0" applyFont="1" applyFill="1" applyBorder="1" applyProtection="1">
      <protection hidden="1"/>
    </xf>
    <xf numFmtId="40" fontId="6" fillId="2" borderId="1" xfId="0" applyNumberFormat="1" applyFont="1" applyFill="1" applyBorder="1" applyProtection="1">
      <protection hidden="1"/>
    </xf>
    <xf numFmtId="40" fontId="6" fillId="2" borderId="29" xfId="0" applyNumberFormat="1" applyFont="1" applyFill="1" applyBorder="1" applyProtection="1">
      <protection hidden="1"/>
    </xf>
    <xf numFmtId="0" fontId="5" fillId="2" borderId="25" xfId="0" applyFont="1" applyFill="1" applyBorder="1" applyProtection="1">
      <protection hidden="1"/>
    </xf>
    <xf numFmtId="40" fontId="6" fillId="2" borderId="25" xfId="0" applyNumberFormat="1" applyFont="1" applyFill="1" applyBorder="1" applyProtection="1">
      <protection hidden="1"/>
    </xf>
    <xf numFmtId="40" fontId="6" fillId="2" borderId="68" xfId="0" applyNumberFormat="1" applyFont="1" applyFill="1" applyBorder="1" applyProtection="1">
      <protection hidden="1"/>
    </xf>
    <xf numFmtId="164" fontId="4" fillId="2" borderId="5" xfId="0" applyNumberFormat="1" applyFont="1" applyFill="1" applyBorder="1" applyAlignment="1" applyProtection="1">
      <alignment horizontal="right"/>
      <protection hidden="1"/>
    </xf>
    <xf numFmtId="38" fontId="9" fillId="2" borderId="0" xfId="0" applyNumberFormat="1" applyFont="1" applyFill="1" applyProtection="1">
      <protection hidden="1"/>
    </xf>
    <xf numFmtId="164" fontId="4" fillId="2" borderId="0" xfId="0" applyNumberFormat="1" applyFont="1" applyFill="1" applyAlignment="1" applyProtection="1">
      <alignment horizontal="left" vertical="center"/>
      <protection hidden="1"/>
    </xf>
    <xf numFmtId="38" fontId="9" fillId="2" borderId="0" xfId="0" applyNumberFormat="1" applyFont="1" applyFill="1" applyAlignment="1" applyProtection="1">
      <alignment horizontal="left" vertical="center"/>
      <protection hidden="1"/>
    </xf>
    <xf numFmtId="170" fontId="6" fillId="2" borderId="0" xfId="0" applyNumberFormat="1" applyFont="1" applyFill="1" applyAlignment="1" applyProtection="1">
      <alignment horizontal="left"/>
      <protection hidden="1"/>
    </xf>
    <xf numFmtId="164" fontId="4" fillId="2" borderId="21" xfId="0" applyNumberFormat="1" applyFont="1" applyFill="1" applyBorder="1" applyProtection="1">
      <protection hidden="1"/>
    </xf>
    <xf numFmtId="38" fontId="6" fillId="2" borderId="0" xfId="0" applyNumberFormat="1" applyFont="1" applyFill="1" applyAlignment="1" applyProtection="1">
      <alignment horizontal="center"/>
      <protection hidden="1"/>
    </xf>
    <xf numFmtId="164" fontId="6" fillId="2" borderId="1" xfId="0" applyNumberFormat="1" applyFont="1" applyFill="1" applyBorder="1" applyAlignment="1" applyProtection="1">
      <alignment horizontal="left"/>
      <protection hidden="1"/>
    </xf>
    <xf numFmtId="164" fontId="6" fillId="2" borderId="1" xfId="0" applyNumberFormat="1" applyFont="1" applyFill="1" applyBorder="1" applyAlignment="1" applyProtection="1">
      <alignment horizontal="right"/>
      <protection hidden="1"/>
    </xf>
    <xf numFmtId="164" fontId="6" fillId="2" borderId="1" xfId="0" applyNumberFormat="1" applyFont="1" applyFill="1" applyBorder="1" applyProtection="1">
      <protection hidden="1"/>
    </xf>
    <xf numFmtId="164" fontId="4" fillId="5" borderId="0" xfId="0" applyNumberFormat="1" applyFont="1" applyFill="1" applyProtection="1">
      <protection hidden="1"/>
    </xf>
    <xf numFmtId="164" fontId="6" fillId="5" borderId="0" xfId="0" applyNumberFormat="1" applyFont="1" applyFill="1" applyProtection="1">
      <protection hidden="1"/>
    </xf>
    <xf numFmtId="164" fontId="4" fillId="2" borderId="0" xfId="0" applyNumberFormat="1" applyFont="1" applyFill="1" applyAlignment="1" applyProtection="1">
      <alignment horizontal="right" vertical="center"/>
      <protection hidden="1"/>
    </xf>
    <xf numFmtId="40" fontId="6" fillId="2" borderId="5" xfId="0" applyNumberFormat="1" applyFont="1" applyFill="1" applyBorder="1" applyAlignment="1" applyProtection="1">
      <alignment horizontal="left"/>
      <protection hidden="1"/>
    </xf>
    <xf numFmtId="164" fontId="4" fillId="2" borderId="20" xfId="0" applyNumberFormat="1" applyFont="1" applyFill="1" applyBorder="1" applyProtection="1">
      <protection hidden="1"/>
    </xf>
    <xf numFmtId="164" fontId="4" fillId="5" borderId="0" xfId="0" applyNumberFormat="1" applyFont="1" applyFill="1" applyAlignment="1" applyProtection="1">
      <alignment vertical="top"/>
      <protection hidden="1"/>
    </xf>
    <xf numFmtId="164" fontId="11" fillId="5" borderId="0" xfId="0" applyNumberFormat="1" applyFont="1" applyFill="1" applyProtection="1">
      <protection hidden="1"/>
    </xf>
    <xf numFmtId="164" fontId="11" fillId="5" borderId="0" xfId="0" applyNumberFormat="1" applyFont="1" applyFill="1" applyAlignment="1" applyProtection="1">
      <alignment horizontal="center"/>
      <protection hidden="1"/>
    </xf>
    <xf numFmtId="0" fontId="9" fillId="3" borderId="7" xfId="0" applyFont="1" applyFill="1" applyBorder="1" applyAlignment="1" applyProtection="1">
      <alignment horizontal="left"/>
      <protection hidden="1"/>
    </xf>
    <xf numFmtId="0" fontId="9" fillId="3" borderId="36" xfId="0" applyFont="1" applyFill="1" applyBorder="1" applyAlignment="1" applyProtection="1">
      <alignment horizontal="left"/>
      <protection hidden="1"/>
    </xf>
    <xf numFmtId="0" fontId="9" fillId="26" borderId="1" xfId="0" applyFont="1" applyFill="1" applyBorder="1" applyAlignment="1" applyProtection="1">
      <alignment horizontal="left"/>
      <protection hidden="1"/>
    </xf>
    <xf numFmtId="0" fontId="51" fillId="3" borderId="25" xfId="0" applyFont="1" applyFill="1" applyBorder="1" applyAlignment="1" applyProtection="1">
      <alignment horizontal="center"/>
      <protection hidden="1"/>
    </xf>
    <xf numFmtId="4" fontId="4" fillId="3" borderId="4" xfId="0" applyNumberFormat="1" applyFont="1" applyFill="1" applyBorder="1" applyAlignment="1" applyProtection="1">
      <alignment horizontal="right"/>
      <protection hidden="1"/>
    </xf>
    <xf numFmtId="4" fontId="4" fillId="3" borderId="4" xfId="0" applyNumberFormat="1" applyFont="1" applyFill="1" applyBorder="1" applyAlignment="1" applyProtection="1">
      <alignment horizontal="center" vertical="center"/>
      <protection locked="0"/>
    </xf>
    <xf numFmtId="4" fontId="4" fillId="3" borderId="0" xfId="0" applyNumberFormat="1" applyFont="1" applyFill="1" applyAlignment="1" applyProtection="1">
      <alignment horizontal="center" vertical="center"/>
      <protection locked="0"/>
    </xf>
    <xf numFmtId="49" fontId="4" fillId="16" borderId="9" xfId="0" applyNumberFormat="1" applyFont="1" applyFill="1" applyBorder="1" applyAlignment="1" applyProtection="1">
      <alignment horizontal="center" vertical="center"/>
      <protection locked="0"/>
    </xf>
    <xf numFmtId="39" fontId="12" fillId="3" borderId="0" xfId="0" applyNumberFormat="1" applyFont="1" applyFill="1" applyAlignment="1" applyProtection="1">
      <alignment horizontal="left"/>
      <protection locked="0"/>
    </xf>
    <xf numFmtId="0" fontId="12" fillId="3" borderId="0" xfId="0" applyFont="1" applyFill="1" applyAlignment="1" applyProtection="1">
      <alignment horizontal="center" vertical="center"/>
      <protection locked="0"/>
    </xf>
    <xf numFmtId="4" fontId="12" fillId="3" borderId="0" xfId="0" applyNumberFormat="1" applyFont="1" applyFill="1" applyAlignment="1" applyProtection="1">
      <alignment horizontal="center" vertical="center"/>
      <protection locked="0"/>
    </xf>
    <xf numFmtId="4" fontId="12" fillId="3" borderId="0" xfId="0" applyNumberFormat="1" applyFont="1" applyFill="1" applyProtection="1">
      <protection locked="0"/>
    </xf>
    <xf numFmtId="0" fontId="8" fillId="3" borderId="7" xfId="0" applyFont="1" applyFill="1" applyBorder="1" applyAlignment="1" applyProtection="1">
      <alignment horizontal="center" vertical="top"/>
      <protection hidden="1"/>
    </xf>
    <xf numFmtId="39" fontId="8" fillId="3" borderId="7" xfId="0" applyNumberFormat="1" applyFont="1" applyFill="1" applyBorder="1" applyAlignment="1" applyProtection="1">
      <alignment vertical="top"/>
      <protection hidden="1"/>
    </xf>
    <xf numFmtId="0" fontId="9" fillId="3" borderId="7" xfId="0" applyFont="1" applyFill="1" applyBorder="1" applyAlignment="1" applyProtection="1">
      <alignment horizontal="center" vertical="top"/>
      <protection hidden="1"/>
    </xf>
    <xf numFmtId="39" fontId="8" fillId="3" borderId="1" xfId="0" applyNumberFormat="1" applyFont="1" applyFill="1" applyBorder="1" applyProtection="1">
      <protection hidden="1"/>
    </xf>
    <xf numFmtId="39" fontId="6" fillId="24" borderId="0" xfId="0" applyNumberFormat="1" applyFont="1" applyFill="1" applyAlignment="1" applyProtection="1">
      <alignment vertical="center"/>
      <protection locked="0"/>
    </xf>
    <xf numFmtId="0" fontId="4" fillId="3" borderId="3" xfId="0" applyFont="1" applyFill="1" applyBorder="1" applyAlignment="1" applyProtection="1">
      <alignment horizontal="center" vertical="center"/>
      <protection locked="0"/>
    </xf>
    <xf numFmtId="0" fontId="4" fillId="2" borderId="1" xfId="0" applyFont="1" applyFill="1" applyBorder="1" applyProtection="1">
      <protection locked="0"/>
    </xf>
    <xf numFmtId="37" fontId="4" fillId="2" borderId="1" xfId="0" applyNumberFormat="1" applyFont="1" applyFill="1" applyBorder="1" applyProtection="1">
      <protection locked="0"/>
    </xf>
    <xf numFmtId="0" fontId="4" fillId="0" borderId="0" xfId="0" applyFont="1" applyAlignment="1">
      <alignment horizontal="left"/>
    </xf>
    <xf numFmtId="39" fontId="8" fillId="3" borderId="13" xfId="0" applyNumberFormat="1" applyFont="1" applyFill="1" applyBorder="1" applyProtection="1">
      <protection hidden="1"/>
    </xf>
    <xf numFmtId="0" fontId="9" fillId="3" borderId="4" xfId="0" applyFont="1" applyFill="1" applyBorder="1" applyAlignment="1" applyProtection="1">
      <alignment horizontal="center"/>
      <protection hidden="1"/>
    </xf>
    <xf numFmtId="39" fontId="8" fillId="3" borderId="8" xfId="0" applyNumberFormat="1" applyFont="1" applyFill="1" applyBorder="1" applyProtection="1">
      <protection hidden="1"/>
    </xf>
    <xf numFmtId="39" fontId="8" fillId="3" borderId="8" xfId="0" applyNumberFormat="1" applyFont="1" applyFill="1" applyBorder="1" applyAlignment="1" applyProtection="1">
      <alignment horizontal="center"/>
      <protection hidden="1"/>
    </xf>
    <xf numFmtId="39" fontId="8" fillId="3" borderId="0" xfId="0" applyNumberFormat="1" applyFont="1" applyFill="1" applyAlignment="1" applyProtection="1">
      <alignment horizontal="left" vertical="top"/>
      <protection hidden="1"/>
    </xf>
    <xf numFmtId="0" fontId="9" fillId="3" borderId="25" xfId="0" applyFont="1" applyFill="1" applyBorder="1" applyAlignment="1" applyProtection="1">
      <alignment horizontal="left"/>
      <protection hidden="1"/>
    </xf>
    <xf numFmtId="39" fontId="8" fillId="3" borderId="1" xfId="0" applyNumberFormat="1" applyFont="1" applyFill="1" applyBorder="1" applyAlignment="1" applyProtection="1">
      <alignment horizontal="center"/>
      <protection hidden="1"/>
    </xf>
    <xf numFmtId="39" fontId="8" fillId="3" borderId="1" xfId="0" applyNumberFormat="1" applyFont="1" applyFill="1" applyBorder="1" applyAlignment="1" applyProtection="1">
      <alignment horizontal="left"/>
      <protection hidden="1"/>
    </xf>
    <xf numFmtId="39" fontId="8" fillId="3" borderId="8" xfId="0" applyNumberFormat="1" applyFont="1" applyFill="1" applyBorder="1" applyAlignment="1" applyProtection="1">
      <alignment horizontal="left"/>
      <protection hidden="1"/>
    </xf>
    <xf numFmtId="39" fontId="8" fillId="22" borderId="15" xfId="0" applyNumberFormat="1" applyFont="1" applyFill="1" applyBorder="1" applyProtection="1">
      <protection hidden="1"/>
    </xf>
    <xf numFmtId="39" fontId="8" fillId="22" borderId="6" xfId="0" applyNumberFormat="1" applyFont="1" applyFill="1" applyBorder="1" applyProtection="1">
      <protection hidden="1"/>
    </xf>
    <xf numFmtId="5" fontId="8" fillId="3" borderId="0" xfId="0" applyNumberFormat="1" applyFont="1" applyFill="1" applyProtection="1">
      <protection hidden="1"/>
    </xf>
    <xf numFmtId="3" fontId="4" fillId="2" borderId="24" xfId="0" applyNumberFormat="1" applyFont="1" applyFill="1" applyBorder="1" applyAlignment="1" applyProtection="1">
      <alignment horizontal="right" vertical="center"/>
      <protection locked="0"/>
    </xf>
    <xf numFmtId="3" fontId="4" fillId="2" borderId="0" xfId="0" applyNumberFormat="1" applyFont="1" applyFill="1" applyAlignment="1" applyProtection="1">
      <alignment horizontal="right" vertical="center"/>
      <protection locked="0"/>
    </xf>
    <xf numFmtId="3" fontId="4" fillId="2" borderId="3" xfId="0" applyNumberFormat="1" applyFont="1" applyFill="1" applyBorder="1" applyAlignment="1" applyProtection="1">
      <alignment horizontal="right" vertical="center"/>
      <protection locked="0"/>
    </xf>
    <xf numFmtId="3" fontId="4" fillId="35" borderId="8" xfId="0" applyNumberFormat="1" applyFont="1" applyFill="1" applyBorder="1" applyAlignment="1" applyProtection="1">
      <alignment horizontal="right" vertical="center"/>
      <protection locked="0"/>
    </xf>
    <xf numFmtId="3" fontId="4" fillId="35" borderId="0" xfId="0" applyNumberFormat="1" applyFont="1" applyFill="1" applyAlignment="1" applyProtection="1">
      <alignment horizontal="right" vertical="center"/>
      <protection locked="0"/>
    </xf>
    <xf numFmtId="3" fontId="4" fillId="35" borderId="1" xfId="0" applyNumberFormat="1" applyFont="1" applyFill="1" applyBorder="1" applyAlignment="1" applyProtection="1">
      <alignment horizontal="right" vertical="center"/>
      <protection locked="0"/>
    </xf>
    <xf numFmtId="37" fontId="20" fillId="15" borderId="8" xfId="0" applyNumberFormat="1" applyFont="1" applyFill="1" applyBorder="1" applyAlignment="1" applyProtection="1">
      <alignment wrapText="1"/>
      <protection locked="0"/>
    </xf>
    <xf numFmtId="37" fontId="20" fillId="15" borderId="14" xfId="0" applyNumberFormat="1" applyFont="1" applyFill="1" applyBorder="1" applyAlignment="1" applyProtection="1">
      <alignment wrapText="1"/>
      <protection locked="0"/>
    </xf>
    <xf numFmtId="37" fontId="20" fillId="15" borderId="1" xfId="0" applyNumberFormat="1" applyFont="1" applyFill="1" applyBorder="1" applyAlignment="1" applyProtection="1">
      <alignment wrapText="1"/>
      <protection locked="0"/>
    </xf>
    <xf numFmtId="37" fontId="20" fillId="15" borderId="11" xfId="0" applyNumberFormat="1" applyFont="1" applyFill="1" applyBorder="1" applyAlignment="1" applyProtection="1">
      <alignment wrapText="1"/>
      <protection locked="0"/>
    </xf>
    <xf numFmtId="39" fontId="5" fillId="24" borderId="0" xfId="0" applyNumberFormat="1" applyFont="1" applyFill="1" applyAlignment="1" applyProtection="1">
      <alignment vertical="center"/>
      <protection locked="0"/>
    </xf>
    <xf numFmtId="37" fontId="11" fillId="15" borderId="2" xfId="0" applyNumberFormat="1" applyFont="1" applyFill="1" applyBorder="1" applyAlignment="1" applyProtection="1">
      <alignment horizontal="right" indent="1"/>
      <protection locked="0"/>
    </xf>
    <xf numFmtId="37" fontId="11" fillId="16" borderId="1" xfId="0" applyNumberFormat="1" applyFont="1" applyFill="1" applyBorder="1" applyProtection="1">
      <protection locked="0"/>
    </xf>
    <xf numFmtId="182" fontId="0" fillId="24" borderId="0" xfId="0" applyNumberFormat="1" applyFill="1" applyAlignment="1" applyProtection="1">
      <alignment horizontal="left"/>
      <protection locked="0"/>
    </xf>
    <xf numFmtId="182" fontId="0" fillId="24" borderId="0" xfId="0" applyNumberFormat="1" applyFill="1" applyAlignment="1" applyProtection="1">
      <alignment horizontal="left" vertical="center"/>
      <protection locked="0"/>
    </xf>
    <xf numFmtId="0" fontId="304" fillId="15" borderId="0" xfId="0" applyFont="1" applyFill="1" applyAlignment="1" applyProtection="1">
      <alignment vertical="center" wrapText="1"/>
      <protection locked="0"/>
    </xf>
    <xf numFmtId="0" fontId="150" fillId="15" borderId="0" xfId="0" applyFont="1" applyFill="1" applyAlignment="1" applyProtection="1">
      <alignment vertical="center" wrapText="1"/>
      <protection locked="0"/>
    </xf>
    <xf numFmtId="37" fontId="15" fillId="27" borderId="1" xfId="0" applyNumberFormat="1" applyFont="1" applyFill="1" applyBorder="1"/>
    <xf numFmtId="14" fontId="4" fillId="16" borderId="1" xfId="0" applyNumberFormat="1" applyFont="1" applyFill="1" applyBorder="1" applyAlignment="1" applyProtection="1">
      <alignment horizontal="center"/>
      <protection locked="0"/>
    </xf>
    <xf numFmtId="0" fontId="12" fillId="2" borderId="34" xfId="0" applyFont="1" applyFill="1" applyBorder="1" applyAlignment="1">
      <alignment horizontal="center" wrapText="1"/>
    </xf>
    <xf numFmtId="0" fontId="8" fillId="39" borderId="0" xfId="0" applyFont="1" applyFill="1" applyAlignment="1">
      <alignment horizontal="left" vertical="center"/>
    </xf>
    <xf numFmtId="0" fontId="6" fillId="3" borderId="1" xfId="0" applyFont="1" applyFill="1" applyBorder="1" applyAlignment="1" applyProtection="1">
      <alignment vertical="top"/>
      <protection hidden="1"/>
    </xf>
    <xf numFmtId="3" fontId="9" fillId="14" borderId="30" xfId="0" applyNumberFormat="1" applyFont="1" applyFill="1" applyBorder="1" applyProtection="1">
      <protection locked="0"/>
    </xf>
    <xf numFmtId="3" fontId="9" fillId="14" borderId="8" xfId="0" applyNumberFormat="1" applyFont="1" applyFill="1" applyBorder="1" applyProtection="1">
      <protection locked="0"/>
    </xf>
    <xf numFmtId="3" fontId="9" fillId="14" borderId="3" xfId="0" applyNumberFormat="1" applyFont="1" applyFill="1" applyBorder="1" applyProtection="1">
      <protection locked="0"/>
    </xf>
    <xf numFmtId="3" fontId="9" fillId="14" borderId="0" xfId="0" applyNumberFormat="1" applyFont="1" applyFill="1" applyProtection="1">
      <protection locked="0"/>
    </xf>
    <xf numFmtId="39" fontId="6" fillId="3" borderId="0" xfId="0" applyNumberFormat="1" applyFont="1" applyFill="1" applyAlignment="1" applyProtection="1">
      <alignment horizontal="left"/>
      <protection hidden="1"/>
    </xf>
    <xf numFmtId="39" fontId="6" fillId="3" borderId="4" xfId="0" applyNumberFormat="1" applyFont="1" applyFill="1" applyBorder="1" applyProtection="1">
      <protection hidden="1"/>
    </xf>
    <xf numFmtId="37" fontId="110" fillId="4" borderId="0" xfId="0" applyNumberFormat="1" applyFont="1" applyFill="1" applyAlignment="1" applyProtection="1">
      <alignment vertical="center"/>
      <protection locked="0"/>
    </xf>
    <xf numFmtId="37" fontId="110" fillId="4" borderId="0" xfId="0" applyNumberFormat="1" applyFont="1" applyFill="1" applyProtection="1">
      <protection locked="0"/>
    </xf>
    <xf numFmtId="0" fontId="4" fillId="15" borderId="24" xfId="0" applyFont="1" applyFill="1" applyBorder="1" applyAlignment="1">
      <alignment horizontal="right"/>
    </xf>
    <xf numFmtId="0" fontId="4" fillId="15" borderId="70" xfId="0" applyFont="1" applyFill="1" applyBorder="1" applyAlignment="1">
      <alignment horizontal="right"/>
    </xf>
    <xf numFmtId="49" fontId="15" fillId="20" borderId="17" xfId="0" applyNumberFormat="1" applyFont="1" applyFill="1" applyBorder="1" applyAlignment="1" applyProtection="1">
      <alignment horizontal="center" vertical="center"/>
      <protection locked="0"/>
    </xf>
    <xf numFmtId="0" fontId="12" fillId="15" borderId="0" xfId="0" applyFont="1" applyFill="1"/>
    <xf numFmtId="37" fontId="6" fillId="0" borderId="0" xfId="0" applyNumberFormat="1" applyFont="1"/>
    <xf numFmtId="37" fontId="8" fillId="15" borderId="38" xfId="0" applyNumberFormat="1" applyFont="1" applyFill="1" applyBorder="1" applyAlignment="1" applyProtection="1">
      <alignment vertical="center"/>
      <protection locked="0"/>
    </xf>
    <xf numFmtId="37" fontId="199" fillId="15" borderId="0" xfId="0" applyNumberFormat="1" applyFont="1" applyFill="1" applyAlignment="1" applyProtection="1">
      <alignment vertical="center"/>
      <protection locked="0"/>
    </xf>
    <xf numFmtId="37" fontId="11" fillId="15" borderId="0" xfId="0" applyNumberFormat="1" applyFont="1" applyFill="1"/>
    <xf numFmtId="0" fontId="10" fillId="15" borderId="0" xfId="0" applyFont="1" applyFill="1" applyAlignment="1">
      <alignment horizontal="left"/>
    </xf>
    <xf numFmtId="0" fontId="0" fillId="39" borderId="16" xfId="0" applyFill="1" applyBorder="1" applyAlignment="1">
      <alignment horizontal="center"/>
    </xf>
    <xf numFmtId="0" fontId="0" fillId="39" borderId="16" xfId="0" applyFill="1" applyBorder="1" applyAlignment="1">
      <alignment horizontal="right" indent="1"/>
    </xf>
    <xf numFmtId="182" fontId="4" fillId="15" borderId="0" xfId="0" applyNumberFormat="1" applyFont="1" applyFill="1" applyProtection="1">
      <protection locked="0"/>
    </xf>
    <xf numFmtId="182" fontId="6" fillId="15" borderId="0" xfId="0" applyNumberFormat="1" applyFont="1" applyFill="1" applyProtection="1">
      <protection locked="0"/>
    </xf>
    <xf numFmtId="3" fontId="6" fillId="3" borderId="3" xfId="0" applyNumberFormat="1" applyFont="1" applyFill="1" applyBorder="1" applyProtection="1">
      <protection locked="0"/>
    </xf>
    <xf numFmtId="3" fontId="6" fillId="3" borderId="0" xfId="0" applyNumberFormat="1" applyFont="1" applyFill="1" applyProtection="1">
      <protection locked="0"/>
    </xf>
    <xf numFmtId="0" fontId="47" fillId="15" borderId="0" xfId="0" applyFont="1" applyFill="1" applyAlignment="1">
      <alignment vertical="center"/>
    </xf>
    <xf numFmtId="0" fontId="20" fillId="24" borderId="0" xfId="4" applyFont="1" applyFill="1" applyAlignment="1">
      <alignment horizontal="right"/>
    </xf>
    <xf numFmtId="0" fontId="254" fillId="24" borderId="0" xfId="4" applyFont="1" applyFill="1"/>
    <xf numFmtId="0" fontId="68" fillId="24" borderId="0" xfId="4" applyFont="1" applyFill="1" applyAlignment="1">
      <alignment vertical="center"/>
    </xf>
    <xf numFmtId="0" fontId="299" fillId="24" borderId="0" xfId="4" applyFont="1" applyFill="1" applyAlignment="1">
      <alignment horizontal="right" vertical="center"/>
    </xf>
    <xf numFmtId="0" fontId="318" fillId="24" borderId="0" xfId="4" applyFont="1" applyFill="1" applyAlignment="1">
      <alignment horizontal="right" vertical="center"/>
    </xf>
    <xf numFmtId="0" fontId="15" fillId="15" borderId="7" xfId="0" applyFont="1" applyFill="1" applyBorder="1"/>
    <xf numFmtId="6" fontId="6" fillId="15" borderId="0" xfId="0" applyNumberFormat="1" applyFont="1" applyFill="1"/>
    <xf numFmtId="0" fontId="8" fillId="15" borderId="0" xfId="0" applyFont="1" applyFill="1" applyAlignment="1">
      <alignment vertical="top"/>
    </xf>
    <xf numFmtId="0" fontId="6" fillId="23" borderId="0" xfId="4" applyFill="1" applyProtection="1">
      <protection hidden="1"/>
    </xf>
    <xf numFmtId="0" fontId="6" fillId="0" borderId="0" xfId="4" applyProtection="1">
      <protection hidden="1"/>
    </xf>
    <xf numFmtId="39" fontId="15" fillId="24" borderId="0" xfId="4" applyNumberFormat="1" applyFont="1" applyFill="1" applyProtection="1">
      <protection locked="0"/>
    </xf>
    <xf numFmtId="39" fontId="6" fillId="24" borderId="0" xfId="4" applyNumberFormat="1" applyFill="1" applyProtection="1">
      <protection locked="0"/>
    </xf>
    <xf numFmtId="0" fontId="44" fillId="15" borderId="0" xfId="4" applyFont="1" applyFill="1" applyProtection="1">
      <protection hidden="1"/>
    </xf>
    <xf numFmtId="0" fontId="10" fillId="15" borderId="0" xfId="4" applyFont="1" applyFill="1" applyProtection="1">
      <protection hidden="1"/>
    </xf>
    <xf numFmtId="0" fontId="6" fillId="15" borderId="21" xfId="4" applyFill="1" applyBorder="1" applyProtection="1">
      <protection hidden="1"/>
    </xf>
    <xf numFmtId="0" fontId="6" fillId="15" borderId="23" xfId="4" applyFill="1" applyBorder="1" applyProtection="1">
      <protection hidden="1"/>
    </xf>
    <xf numFmtId="0" fontId="47" fillId="15" borderId="25" xfId="4" applyFont="1" applyFill="1" applyBorder="1" applyProtection="1">
      <protection hidden="1"/>
    </xf>
    <xf numFmtId="0" fontId="6" fillId="15" borderId="25" xfId="4" applyFill="1" applyBorder="1" applyProtection="1">
      <protection hidden="1"/>
    </xf>
    <xf numFmtId="0" fontId="188" fillId="15" borderId="0" xfId="4" applyFont="1" applyFill="1" applyProtection="1">
      <protection hidden="1"/>
    </xf>
    <xf numFmtId="0" fontId="14" fillId="15" borderId="0" xfId="4" applyFont="1" applyFill="1" applyProtection="1">
      <protection hidden="1"/>
    </xf>
    <xf numFmtId="0" fontId="14" fillId="23" borderId="0" xfId="4" applyFont="1" applyFill="1" applyProtection="1">
      <protection hidden="1"/>
    </xf>
    <xf numFmtId="0" fontId="14" fillId="15" borderId="25" xfId="4" applyFont="1" applyFill="1" applyBorder="1" applyProtection="1">
      <protection hidden="1"/>
    </xf>
    <xf numFmtId="0" fontId="14" fillId="0" borderId="0" xfId="4" applyFont="1" applyProtection="1">
      <protection hidden="1"/>
    </xf>
    <xf numFmtId="0" fontId="6" fillId="15" borderId="8" xfId="4" applyFill="1" applyBorder="1" applyAlignment="1" applyProtection="1">
      <alignment horizontal="center" vertical="center" wrapText="1"/>
      <protection hidden="1"/>
    </xf>
    <xf numFmtId="0" fontId="6" fillId="15" borderId="14" xfId="4" applyFill="1" applyBorder="1" applyAlignment="1" applyProtection="1">
      <alignment horizontal="center" vertical="center" wrapText="1"/>
      <protection hidden="1"/>
    </xf>
    <xf numFmtId="0" fontId="6" fillId="15" borderId="0" xfId="4" applyFill="1" applyAlignment="1" applyProtection="1">
      <alignment horizontal="center" vertical="center" wrapText="1"/>
      <protection hidden="1"/>
    </xf>
    <xf numFmtId="0" fontId="6" fillId="15" borderId="24" xfId="4" applyFill="1" applyBorder="1" applyAlignment="1" applyProtection="1">
      <alignment horizontal="center" vertical="center" wrapText="1"/>
      <protection hidden="1"/>
    </xf>
    <xf numFmtId="0" fontId="6" fillId="15" borderId="3" xfId="4" applyFill="1" applyBorder="1" applyAlignment="1" applyProtection="1">
      <alignment horizontal="center" vertical="center" wrapText="1"/>
      <protection hidden="1"/>
    </xf>
    <xf numFmtId="0" fontId="6" fillId="15" borderId="30" xfId="4" applyFill="1" applyBorder="1" applyAlignment="1" applyProtection="1">
      <alignment horizontal="center" vertical="center" wrapText="1"/>
      <protection hidden="1"/>
    </xf>
    <xf numFmtId="0" fontId="6" fillId="15" borderId="3" xfId="4" applyFill="1" applyBorder="1" applyProtection="1">
      <protection hidden="1"/>
    </xf>
    <xf numFmtId="0" fontId="4" fillId="16" borderId="15" xfId="4" applyFont="1" applyFill="1" applyBorder="1" applyAlignment="1" applyProtection="1">
      <alignment horizontal="center" vertical="center"/>
      <protection locked="0"/>
    </xf>
    <xf numFmtId="0" fontId="6" fillId="15" borderId="24" xfId="4" applyFill="1" applyBorder="1" applyProtection="1">
      <protection hidden="1"/>
    </xf>
    <xf numFmtId="0" fontId="4" fillId="15" borderId="0" xfId="4" applyFont="1" applyFill="1" applyProtection="1">
      <protection hidden="1"/>
    </xf>
    <xf numFmtId="0" fontId="9" fillId="16" borderId="57" xfId="4" applyFont="1" applyFill="1" applyBorder="1" applyAlignment="1" applyProtection="1">
      <alignment horizontal="center"/>
      <protection locked="0"/>
    </xf>
    <xf numFmtId="0" fontId="6" fillId="23" borderId="0" xfId="4" applyFill="1" applyAlignment="1" applyProtection="1">
      <alignment vertical="center"/>
      <protection hidden="1"/>
    </xf>
    <xf numFmtId="0" fontId="15" fillId="15" borderId="25" xfId="4" applyFont="1" applyFill="1" applyBorder="1" applyAlignment="1" applyProtection="1">
      <alignment vertical="center"/>
      <protection hidden="1"/>
    </xf>
    <xf numFmtId="0" fontId="6" fillId="15" borderId="25" xfId="4" applyFill="1" applyBorder="1" applyAlignment="1" applyProtection="1">
      <alignment vertical="center"/>
      <protection hidden="1"/>
    </xf>
    <xf numFmtId="0" fontId="6" fillId="0" borderId="0" xfId="4" applyAlignment="1" applyProtection="1">
      <alignment vertical="center"/>
      <protection hidden="1"/>
    </xf>
    <xf numFmtId="39" fontId="6" fillId="24" borderId="0" xfId="4" applyNumberFormat="1" applyFill="1" applyAlignment="1" applyProtection="1">
      <alignment vertical="center"/>
      <protection locked="0"/>
    </xf>
    <xf numFmtId="0" fontId="6" fillId="19" borderId="8" xfId="4" applyFill="1" applyBorder="1" applyAlignment="1" applyProtection="1">
      <alignment horizontal="center" vertical="center" wrapText="1"/>
      <protection hidden="1"/>
    </xf>
    <xf numFmtId="0" fontId="6" fillId="19" borderId="14" xfId="4" applyFill="1" applyBorder="1" applyAlignment="1" applyProtection="1">
      <alignment horizontal="center" vertical="center" wrapText="1"/>
      <protection hidden="1"/>
    </xf>
    <xf numFmtId="0" fontId="6" fillId="19" borderId="1" xfId="4" applyFill="1" applyBorder="1" applyProtection="1">
      <protection hidden="1"/>
    </xf>
    <xf numFmtId="0" fontId="6" fillId="19" borderId="11" xfId="4" applyFill="1" applyBorder="1" applyProtection="1">
      <protection hidden="1"/>
    </xf>
    <xf numFmtId="1" fontId="11" fillId="15" borderId="25" xfId="4" applyNumberFormat="1" applyFont="1" applyFill="1" applyBorder="1" applyAlignment="1" applyProtection="1">
      <alignment horizontal="center" vertical="center" wrapText="1"/>
      <protection hidden="1"/>
    </xf>
    <xf numFmtId="0" fontId="15" fillId="15" borderId="0" xfId="4" applyFont="1" applyFill="1" applyProtection="1">
      <protection hidden="1"/>
    </xf>
    <xf numFmtId="0" fontId="47" fillId="15" borderId="0" xfId="4" applyFont="1" applyFill="1" applyProtection="1">
      <protection hidden="1"/>
    </xf>
    <xf numFmtId="0" fontId="11" fillId="15" borderId="25" xfId="4" applyFont="1" applyFill="1" applyBorder="1" applyAlignment="1" applyProtection="1">
      <alignment vertical="center"/>
      <protection hidden="1"/>
    </xf>
    <xf numFmtId="0" fontId="15" fillId="15" borderId="0" xfId="4" applyFont="1" applyFill="1" applyAlignment="1" applyProtection="1">
      <alignment horizontal="right" vertical="center" wrapText="1" indent="1"/>
      <protection hidden="1"/>
    </xf>
    <xf numFmtId="0" fontId="15" fillId="15" borderId="0" xfId="4" applyFont="1" applyFill="1" applyAlignment="1">
      <alignment horizontal="right" vertical="center" wrapText="1" indent="1"/>
    </xf>
    <xf numFmtId="0" fontId="15" fillId="15" borderId="0" xfId="4" applyFont="1" applyFill="1" applyAlignment="1" applyProtection="1">
      <alignment horizontal="center"/>
      <protection hidden="1"/>
    </xf>
    <xf numFmtId="0" fontId="9" fillId="16" borderId="12" xfId="4" applyFont="1" applyFill="1" applyBorder="1" applyAlignment="1" applyProtection="1">
      <alignment horizontal="center"/>
      <protection locked="0"/>
    </xf>
    <xf numFmtId="0" fontId="8" fillId="15" borderId="0" xfId="4" applyFont="1" applyFill="1" applyAlignment="1" applyProtection="1">
      <alignment horizontal="left"/>
      <protection hidden="1"/>
    </xf>
    <xf numFmtId="0" fontId="8" fillId="15" borderId="0" xfId="4" applyFont="1" applyFill="1" applyProtection="1">
      <protection hidden="1"/>
    </xf>
    <xf numFmtId="0" fontId="121" fillId="15" borderId="0" xfId="4" applyFont="1" applyFill="1" applyProtection="1">
      <protection hidden="1"/>
    </xf>
    <xf numFmtId="0" fontId="47" fillId="15" borderId="0" xfId="4" applyFont="1" applyFill="1" applyAlignment="1" applyProtection="1">
      <alignment vertical="center"/>
      <protection hidden="1"/>
    </xf>
    <xf numFmtId="0" fontId="6" fillId="15" borderId="0" xfId="4" applyFill="1" applyAlignment="1" applyProtection="1">
      <alignment vertical="center"/>
      <protection hidden="1"/>
    </xf>
    <xf numFmtId="0" fontId="121" fillId="15" borderId="0" xfId="4" applyFont="1" applyFill="1" applyAlignment="1" applyProtection="1">
      <alignment vertical="center"/>
      <protection hidden="1"/>
    </xf>
    <xf numFmtId="0" fontId="4" fillId="15" borderId="0" xfId="4" applyFont="1" applyFill="1" applyAlignment="1" applyProtection="1">
      <alignment vertical="center"/>
      <protection hidden="1"/>
    </xf>
    <xf numFmtId="0" fontId="8" fillId="23" borderId="0" xfId="4" applyFont="1" applyFill="1" applyProtection="1">
      <protection hidden="1"/>
    </xf>
    <xf numFmtId="0" fontId="8" fillId="19" borderId="8" xfId="4" applyFont="1" applyFill="1" applyBorder="1" applyProtection="1">
      <protection hidden="1"/>
    </xf>
    <xf numFmtId="39" fontId="8" fillId="24" borderId="0" xfId="4" applyNumberFormat="1" applyFont="1" applyFill="1" applyProtection="1">
      <protection locked="0"/>
    </xf>
    <xf numFmtId="0" fontId="8" fillId="0" borderId="0" xfId="4" applyFont="1" applyProtection="1">
      <protection hidden="1"/>
    </xf>
    <xf numFmtId="0" fontId="8" fillId="19" borderId="0" xfId="4" applyFont="1" applyFill="1" applyProtection="1">
      <protection hidden="1"/>
    </xf>
    <xf numFmtId="0" fontId="4" fillId="15" borderId="0" xfId="4" applyFont="1" applyFill="1" applyAlignment="1" applyProtection="1">
      <alignment horizontal="left" vertical="center"/>
      <protection hidden="1"/>
    </xf>
    <xf numFmtId="0" fontId="6" fillId="15" borderId="0" xfId="4" applyFill="1" applyAlignment="1" applyProtection="1">
      <alignment horizontal="right" vertical="center"/>
      <protection hidden="1"/>
    </xf>
    <xf numFmtId="0" fontId="6" fillId="15" borderId="4" xfId="4" applyFill="1" applyBorder="1" applyAlignment="1" applyProtection="1">
      <alignment horizontal="right"/>
      <protection hidden="1"/>
    </xf>
    <xf numFmtId="0" fontId="4" fillId="15" borderId="23" xfId="4" applyFont="1" applyFill="1" applyBorder="1" applyAlignment="1" applyProtection="1">
      <alignment horizontal="left" indent="1"/>
      <protection hidden="1"/>
    </xf>
    <xf numFmtId="0" fontId="14" fillId="15" borderId="8" xfId="4" applyFont="1" applyFill="1" applyBorder="1" applyProtection="1">
      <protection hidden="1"/>
    </xf>
    <xf numFmtId="0" fontId="11" fillId="15" borderId="8" xfId="4" applyFont="1" applyFill="1" applyBorder="1" applyProtection="1">
      <protection hidden="1"/>
    </xf>
    <xf numFmtId="0" fontId="6" fillId="15" borderId="1" xfId="4" applyFill="1" applyBorder="1" applyProtection="1">
      <protection hidden="1"/>
    </xf>
    <xf numFmtId="0" fontId="14" fillId="15" borderId="1" xfId="4" applyFont="1" applyFill="1" applyBorder="1" applyProtection="1">
      <protection hidden="1"/>
    </xf>
    <xf numFmtId="0" fontId="6" fillId="15" borderId="0" xfId="4" applyFill="1" applyAlignment="1" applyProtection="1">
      <alignment horizontal="right" indent="1"/>
      <protection hidden="1"/>
    </xf>
    <xf numFmtId="49" fontId="15" fillId="15" borderId="0" xfId="4" applyNumberFormat="1" applyFont="1" applyFill="1" applyAlignment="1" applyProtection="1">
      <alignment horizontal="right" vertical="center"/>
      <protection hidden="1"/>
    </xf>
    <xf numFmtId="0" fontId="6" fillId="15" borderId="14" xfId="4" applyFill="1" applyBorder="1" applyProtection="1">
      <protection hidden="1"/>
    </xf>
    <xf numFmtId="0" fontId="11" fillId="15" borderId="0" xfId="4" applyFont="1" applyFill="1" applyAlignment="1" applyProtection="1">
      <alignment horizontal="right"/>
      <protection hidden="1"/>
    </xf>
    <xf numFmtId="0" fontId="6" fillId="19" borderId="30" xfId="4" applyFill="1" applyBorder="1" applyProtection="1">
      <protection hidden="1"/>
    </xf>
    <xf numFmtId="0" fontId="6" fillId="19" borderId="14" xfId="4" applyFill="1" applyBorder="1" applyProtection="1">
      <protection hidden="1"/>
    </xf>
    <xf numFmtId="0" fontId="6" fillId="19" borderId="8" xfId="4" applyFill="1" applyBorder="1" applyProtection="1">
      <protection hidden="1"/>
    </xf>
    <xf numFmtId="0" fontId="6" fillId="19" borderId="3" xfId="4" applyFill="1" applyBorder="1" applyProtection="1">
      <protection hidden="1"/>
    </xf>
    <xf numFmtId="0" fontId="6" fillId="19" borderId="24" xfId="4" applyFill="1" applyBorder="1" applyProtection="1">
      <protection hidden="1"/>
    </xf>
    <xf numFmtId="0" fontId="6" fillId="19" borderId="0" xfId="4" applyFill="1" applyProtection="1">
      <protection hidden="1"/>
    </xf>
    <xf numFmtId="0" fontId="11" fillId="15" borderId="24" xfId="4" applyFont="1" applyFill="1" applyBorder="1" applyAlignment="1" applyProtection="1">
      <alignment horizontal="right"/>
      <protection hidden="1"/>
    </xf>
    <xf numFmtId="0" fontId="47" fillId="15" borderId="4" xfId="4" applyFont="1" applyFill="1" applyBorder="1" applyProtection="1">
      <protection hidden="1"/>
    </xf>
    <xf numFmtId="0" fontId="11" fillId="15" borderId="4" xfId="4" applyFont="1" applyFill="1" applyBorder="1" applyAlignment="1" applyProtection="1">
      <alignment horizontal="right"/>
      <protection hidden="1"/>
    </xf>
    <xf numFmtId="0" fontId="14" fillId="15" borderId="1" xfId="4" applyFont="1" applyFill="1" applyBorder="1" applyAlignment="1" applyProtection="1">
      <alignment vertical="center"/>
      <protection hidden="1"/>
    </xf>
    <xf numFmtId="0" fontId="121" fillId="15" borderId="1" xfId="4" applyFont="1" applyFill="1" applyBorder="1" applyProtection="1">
      <protection hidden="1"/>
    </xf>
    <xf numFmtId="0" fontId="4" fillId="15" borderId="0" xfId="4" applyFont="1" applyFill="1" applyAlignment="1" applyProtection="1">
      <alignment wrapText="1"/>
      <protection hidden="1"/>
    </xf>
    <xf numFmtId="0" fontId="4" fillId="15" borderId="0" xfId="4" applyFont="1" applyFill="1" applyAlignment="1" applyProtection="1">
      <alignment horizontal="left"/>
      <protection hidden="1"/>
    </xf>
    <xf numFmtId="0" fontId="4" fillId="15" borderId="0" xfId="4" applyFont="1" applyFill="1" applyAlignment="1" applyProtection="1">
      <alignment horizontal="right"/>
      <protection hidden="1"/>
    </xf>
    <xf numFmtId="0" fontId="11" fillId="15" borderId="25" xfId="4" applyFont="1" applyFill="1" applyBorder="1" applyProtection="1">
      <protection hidden="1"/>
    </xf>
    <xf numFmtId="0" fontId="6" fillId="23" borderId="0" xfId="4" applyFill="1" applyAlignment="1" applyProtection="1">
      <alignment horizontal="left"/>
      <protection hidden="1"/>
    </xf>
    <xf numFmtId="0" fontId="6" fillId="0" borderId="0" xfId="4" applyAlignment="1" applyProtection="1">
      <alignment horizontal="left"/>
      <protection hidden="1"/>
    </xf>
    <xf numFmtId="39" fontId="6" fillId="24" borderId="0" xfId="4" applyNumberFormat="1" applyFill="1" applyAlignment="1" applyProtection="1">
      <alignment horizontal="left"/>
      <protection locked="0"/>
    </xf>
    <xf numFmtId="0" fontId="6" fillId="15" borderId="9" xfId="4" applyFill="1" applyBorder="1" applyProtection="1">
      <protection hidden="1"/>
    </xf>
    <xf numFmtId="0" fontId="4" fillId="15" borderId="1" xfId="4" applyFont="1" applyFill="1" applyBorder="1" applyAlignment="1" applyProtection="1">
      <alignment horizontal="right"/>
      <protection hidden="1"/>
    </xf>
    <xf numFmtId="0" fontId="6" fillId="15" borderId="39" xfId="4" applyFill="1" applyBorder="1" applyProtection="1">
      <protection hidden="1"/>
    </xf>
    <xf numFmtId="0" fontId="6" fillId="15" borderId="54" xfId="4" applyFill="1" applyBorder="1" applyProtection="1">
      <protection hidden="1"/>
    </xf>
    <xf numFmtId="0" fontId="121" fillId="15" borderId="39" xfId="4" applyFont="1" applyFill="1" applyBorder="1" applyProtection="1">
      <protection hidden="1"/>
    </xf>
    <xf numFmtId="0" fontId="4" fillId="15" borderId="25" xfId="4" applyFont="1" applyFill="1" applyBorder="1" applyAlignment="1" applyProtection="1">
      <alignment horizontal="right"/>
      <protection hidden="1"/>
    </xf>
    <xf numFmtId="0" fontId="6" fillId="15" borderId="8" xfId="4" applyFill="1" applyBorder="1" applyProtection="1">
      <protection hidden="1"/>
    </xf>
    <xf numFmtId="0" fontId="4" fillId="15" borderId="30" xfId="4" applyFont="1" applyFill="1" applyBorder="1" applyAlignment="1" applyProtection="1">
      <alignment horizontal="left" indent="1"/>
      <protection hidden="1"/>
    </xf>
    <xf numFmtId="0" fontId="6" fillId="15" borderId="0" xfId="4" applyFill="1" applyAlignment="1" applyProtection="1">
      <alignment vertical="top"/>
      <protection hidden="1"/>
    </xf>
    <xf numFmtId="0" fontId="121" fillId="15" borderId="0" xfId="4" applyFont="1" applyFill="1" applyAlignment="1" applyProtection="1">
      <alignment horizontal="center"/>
      <protection hidden="1"/>
    </xf>
    <xf numFmtId="0" fontId="4" fillId="16" borderId="12" xfId="4" applyFont="1" applyFill="1" applyBorder="1" applyAlignment="1" applyProtection="1">
      <alignment horizontal="center" vertical="center"/>
      <protection locked="0"/>
    </xf>
    <xf numFmtId="0" fontId="4" fillId="15" borderId="0" xfId="4" applyFont="1" applyFill="1" applyAlignment="1" applyProtection="1">
      <alignment horizontal="left" indent="1"/>
      <protection hidden="1"/>
    </xf>
    <xf numFmtId="0" fontId="110" fillId="15" borderId="0" xfId="4" applyFont="1" applyFill="1" applyAlignment="1" applyProtection="1">
      <alignment horizontal="center" vertical="center"/>
      <protection hidden="1"/>
    </xf>
    <xf numFmtId="0" fontId="110" fillId="15" borderId="0" xfId="4" applyFont="1" applyFill="1" applyAlignment="1" applyProtection="1">
      <alignment horizontal="center"/>
      <protection hidden="1"/>
    </xf>
    <xf numFmtId="0" fontId="10" fillId="15" borderId="1" xfId="4" applyFont="1" applyFill="1" applyBorder="1" applyProtection="1">
      <protection hidden="1"/>
    </xf>
    <xf numFmtId="0" fontId="4" fillId="15" borderId="30" xfId="4" applyFont="1" applyFill="1" applyBorder="1" applyProtection="1">
      <protection hidden="1"/>
    </xf>
    <xf numFmtId="0" fontId="6" fillId="15" borderId="30" xfId="4" applyFill="1" applyBorder="1" applyProtection="1">
      <protection hidden="1"/>
    </xf>
    <xf numFmtId="39" fontId="6" fillId="0" borderId="0" xfId="4" applyNumberFormat="1" applyProtection="1">
      <protection locked="0"/>
    </xf>
    <xf numFmtId="3" fontId="143" fillId="2" borderId="0" xfId="0" applyNumberFormat="1" applyFont="1" applyFill="1" applyAlignment="1" applyProtection="1">
      <alignment horizontal="right" vertical="center"/>
      <protection locked="0"/>
    </xf>
    <xf numFmtId="3" fontId="143" fillId="2" borderId="3" xfId="0" applyNumberFormat="1" applyFont="1" applyFill="1" applyBorder="1" applyAlignment="1" applyProtection="1">
      <alignment horizontal="right" vertical="center"/>
      <protection locked="0"/>
    </xf>
    <xf numFmtId="3" fontId="143" fillId="2" borderId="24" xfId="0" applyNumberFormat="1" applyFont="1" applyFill="1" applyBorder="1" applyAlignment="1" applyProtection="1">
      <alignment horizontal="right" vertical="center"/>
      <protection locked="0"/>
    </xf>
    <xf numFmtId="0" fontId="0" fillId="8" borderId="0" xfId="0" applyFill="1" applyProtection="1">
      <protection locked="0"/>
    </xf>
    <xf numFmtId="188" fontId="8" fillId="0" borderId="2" xfId="0" applyNumberFormat="1" applyFont="1" applyBorder="1" applyAlignment="1" applyProtection="1">
      <alignment horizontal="center"/>
      <protection locked="0"/>
    </xf>
    <xf numFmtId="37" fontId="8" fillId="2" borderId="2" xfId="0" applyNumberFormat="1" applyFont="1" applyFill="1" applyBorder="1" applyAlignment="1" applyProtection="1">
      <alignment horizontal="right"/>
      <protection locked="0"/>
    </xf>
    <xf numFmtId="3" fontId="9" fillId="16" borderId="2" xfId="0" applyNumberFormat="1" applyFont="1" applyFill="1" applyBorder="1" applyAlignment="1" applyProtection="1">
      <alignment horizontal="right" indent="1"/>
      <protection locked="0"/>
    </xf>
    <xf numFmtId="0" fontId="4" fillId="0" borderId="0" xfId="0" applyFont="1" applyAlignment="1" applyProtection="1">
      <alignment horizontal="center"/>
      <protection locked="0"/>
    </xf>
    <xf numFmtId="0" fontId="143" fillId="0" borderId="0" xfId="0" applyFont="1" applyAlignment="1">
      <alignment horizontal="left"/>
    </xf>
    <xf numFmtId="0" fontId="15" fillId="15" borderId="54" xfId="0" applyFont="1" applyFill="1" applyBorder="1" applyAlignment="1" applyProtection="1">
      <alignment horizontal="center" vertical="center"/>
      <protection locked="0"/>
    </xf>
    <xf numFmtId="37" fontId="10" fillId="15" borderId="2" xfId="0" applyNumberFormat="1" applyFont="1" applyFill="1" applyBorder="1" applyAlignment="1" applyProtection="1">
      <alignment vertical="center"/>
      <protection locked="0"/>
    </xf>
    <xf numFmtId="49" fontId="4" fillId="16" borderId="9" xfId="0" applyNumberFormat="1" applyFont="1" applyFill="1" applyBorder="1" applyAlignment="1" applyProtection="1">
      <alignment horizontal="left" vertical="center" indent="1"/>
      <protection locked="0"/>
    </xf>
    <xf numFmtId="0" fontId="11" fillId="5" borderId="0" xfId="0" applyFont="1" applyFill="1" applyAlignment="1" applyProtection="1">
      <alignment horizontal="center" vertical="center"/>
      <protection locked="0"/>
    </xf>
    <xf numFmtId="0" fontId="6" fillId="20" borderId="1" xfId="0" applyFont="1" applyFill="1" applyBorder="1" applyAlignment="1" applyProtection="1">
      <alignment horizontal="right"/>
      <protection locked="0"/>
    </xf>
    <xf numFmtId="0" fontId="11" fillId="5" borderId="0" xfId="0" applyFont="1" applyFill="1" applyAlignment="1" applyProtection="1">
      <alignment horizontal="center" vertical="center" wrapText="1"/>
      <protection locked="0"/>
    </xf>
    <xf numFmtId="0" fontId="158" fillId="15" borderId="0" xfId="0" applyFont="1" applyFill="1" applyAlignment="1">
      <alignment horizontal="center"/>
    </xf>
    <xf numFmtId="0" fontId="206" fillId="15" borderId="0" xfId="0" applyFont="1" applyFill="1" applyAlignment="1">
      <alignment horizontal="center"/>
    </xf>
    <xf numFmtId="0" fontId="158" fillId="15" borderId="0" xfId="0" applyFont="1" applyFill="1" applyAlignment="1">
      <alignment horizontal="center" vertical="center"/>
    </xf>
    <xf numFmtId="0" fontId="206" fillId="0" borderId="0" xfId="0" applyFont="1" applyAlignment="1">
      <alignment horizontal="center"/>
    </xf>
    <xf numFmtId="37" fontId="11" fillId="15" borderId="3" xfId="0" applyNumberFormat="1" applyFont="1" applyFill="1" applyBorder="1" applyProtection="1">
      <protection locked="0"/>
    </xf>
    <xf numFmtId="0" fontId="11" fillId="15" borderId="0" xfId="0" applyFont="1" applyFill="1" applyProtection="1">
      <protection locked="0"/>
    </xf>
    <xf numFmtId="0" fontId="14" fillId="15" borderId="24" xfId="0" applyFont="1" applyFill="1" applyBorder="1" applyProtection="1">
      <protection locked="0"/>
    </xf>
    <xf numFmtId="37" fontId="11" fillId="15" borderId="0" xfId="0" applyNumberFormat="1" applyFont="1" applyFill="1" applyProtection="1">
      <protection locked="0"/>
    </xf>
    <xf numFmtId="0" fontId="14" fillId="15" borderId="0" xfId="0" applyFont="1" applyFill="1" applyProtection="1">
      <protection locked="0"/>
    </xf>
    <xf numFmtId="0" fontId="14" fillId="15" borderId="8" xfId="0" applyFont="1" applyFill="1" applyBorder="1" applyProtection="1">
      <protection locked="0"/>
    </xf>
    <xf numFmtId="0" fontId="4" fillId="16" borderId="39" xfId="0" applyFont="1" applyFill="1" applyBorder="1" applyAlignment="1" applyProtection="1">
      <alignment horizontal="center" vertical="center"/>
      <protection locked="0"/>
    </xf>
    <xf numFmtId="0" fontId="4" fillId="5" borderId="0" xfId="0" applyFont="1" applyFill="1" applyAlignment="1">
      <alignment horizontal="center" vertical="center"/>
    </xf>
    <xf numFmtId="0" fontId="4" fillId="15" borderId="6" xfId="0" applyFont="1" applyFill="1" applyBorder="1" applyAlignment="1" applyProtection="1">
      <alignment horizontal="center" vertical="center"/>
      <protection locked="0"/>
    </xf>
    <xf numFmtId="0" fontId="10" fillId="2" borderId="4" xfId="0" applyFont="1" applyFill="1" applyBorder="1" applyAlignment="1" applyProtection="1">
      <alignment vertical="center" wrapText="1"/>
      <protection hidden="1"/>
    </xf>
    <xf numFmtId="0" fontId="10" fillId="2" borderId="21" xfId="0" applyFont="1" applyFill="1" applyBorder="1" applyAlignment="1" applyProtection="1">
      <alignment vertical="center"/>
      <protection hidden="1"/>
    </xf>
    <xf numFmtId="0" fontId="10" fillId="2" borderId="5" xfId="0" applyFont="1" applyFill="1" applyBorder="1" applyAlignment="1" applyProtection="1">
      <alignment vertical="center"/>
      <protection hidden="1"/>
    </xf>
    <xf numFmtId="0" fontId="20" fillId="3" borderId="8" xfId="0" applyFont="1" applyFill="1" applyBorder="1" applyAlignment="1" applyProtection="1">
      <alignment vertical="center"/>
      <protection hidden="1"/>
    </xf>
    <xf numFmtId="0" fontId="4" fillId="3" borderId="31" xfId="0" applyFont="1" applyFill="1" applyBorder="1" applyAlignment="1" applyProtection="1">
      <alignment horizontal="right"/>
      <protection hidden="1"/>
    </xf>
    <xf numFmtId="0" fontId="6" fillId="3" borderId="31" xfId="0" applyFont="1" applyFill="1" applyBorder="1" applyProtection="1">
      <protection hidden="1"/>
    </xf>
    <xf numFmtId="4" fontId="9" fillId="21" borderId="0" xfId="0" applyNumberFormat="1" applyFont="1" applyFill="1" applyAlignment="1" applyProtection="1">
      <alignment horizontal="center" vertical="center"/>
      <protection locked="0"/>
    </xf>
    <xf numFmtId="39" fontId="327" fillId="0" borderId="7" xfId="0" applyNumberFormat="1" applyFont="1" applyBorder="1" applyAlignment="1" applyProtection="1">
      <alignment horizontal="center" wrapText="1"/>
      <protection hidden="1"/>
    </xf>
    <xf numFmtId="39" fontId="328" fillId="0" borderId="0" xfId="0" applyNumberFormat="1" applyFont="1" applyProtection="1">
      <protection hidden="1"/>
    </xf>
    <xf numFmtId="0" fontId="11" fillId="23" borderId="0" xfId="0" applyFont="1" applyFill="1" applyAlignment="1" applyProtection="1">
      <alignment horizontal="center" vertical="center"/>
      <protection locked="0"/>
    </xf>
    <xf numFmtId="0" fontId="4" fillId="14" borderId="25" xfId="0" applyFont="1" applyFill="1" applyBorder="1" applyAlignment="1" applyProtection="1">
      <alignment horizontal="center" vertical="center"/>
      <protection locked="0"/>
    </xf>
    <xf numFmtId="0" fontId="20" fillId="15" borderId="75" xfId="0" applyFont="1" applyFill="1" applyBorder="1" applyAlignment="1">
      <alignment horizontal="center" vertical="center"/>
    </xf>
    <xf numFmtId="0" fontId="20" fillId="15" borderId="75" xfId="0" quotePrefix="1" applyFont="1" applyFill="1" applyBorder="1" applyAlignment="1">
      <alignment horizontal="center" vertical="center"/>
    </xf>
    <xf numFmtId="0" fontId="8" fillId="39" borderId="8" xfId="0" applyFont="1" applyFill="1" applyBorder="1" applyAlignment="1">
      <alignment horizontal="center" vertical="center"/>
    </xf>
    <xf numFmtId="0" fontId="8" fillId="39" borderId="0" xfId="0" applyFont="1" applyFill="1" applyAlignment="1">
      <alignment horizontal="center" vertical="center"/>
    </xf>
    <xf numFmtId="0" fontId="10" fillId="39" borderId="0" xfId="0" applyFont="1" applyFill="1" applyAlignment="1">
      <alignment horizontal="center" vertical="center"/>
    </xf>
    <xf numFmtId="0" fontId="12" fillId="15" borderId="0" xfId="0" applyFont="1" applyFill="1" applyAlignment="1">
      <alignment horizontal="center" vertical="center"/>
    </xf>
    <xf numFmtId="0" fontId="10" fillId="39" borderId="0" xfId="0" applyFont="1" applyFill="1" applyAlignment="1">
      <alignment horizontal="left"/>
    </xf>
    <xf numFmtId="0" fontId="10" fillId="39" borderId="0" xfId="0" applyFont="1" applyFill="1" applyAlignment="1">
      <alignment wrapText="1"/>
    </xf>
    <xf numFmtId="0" fontId="10" fillId="39" borderId="0" xfId="0" applyFont="1" applyFill="1" applyAlignment="1">
      <alignment horizontal="center" wrapText="1"/>
    </xf>
    <xf numFmtId="0" fontId="8" fillId="2" borderId="34" xfId="0" applyFont="1" applyFill="1" applyBorder="1" applyAlignment="1">
      <alignment vertical="center"/>
    </xf>
    <xf numFmtId="0" fontId="8" fillId="2" borderId="34" xfId="0" applyFont="1" applyFill="1" applyBorder="1"/>
    <xf numFmtId="0" fontId="10" fillId="2" borderId="34" xfId="0" applyFont="1" applyFill="1" applyBorder="1"/>
    <xf numFmtId="0" fontId="0" fillId="2" borderId="34" xfId="0" applyFill="1" applyBorder="1"/>
    <xf numFmtId="0" fontId="47" fillId="2" borderId="0" xfId="0" applyFont="1" applyFill="1"/>
    <xf numFmtId="0" fontId="44" fillId="2" borderId="8" xfId="0" applyFont="1" applyFill="1" applyBorder="1" applyAlignment="1">
      <alignment vertical="center"/>
    </xf>
    <xf numFmtId="0" fontId="10" fillId="2" borderId="8" xfId="0" applyFont="1" applyFill="1" applyBorder="1"/>
    <xf numFmtId="0" fontId="0" fillId="2" borderId="8" xfId="0" applyFill="1" applyBorder="1"/>
    <xf numFmtId="0" fontId="10" fillId="2" borderId="14" xfId="0" applyFont="1" applyFill="1" applyBorder="1"/>
    <xf numFmtId="0" fontId="8" fillId="2" borderId="8" xfId="0" applyFont="1" applyFill="1" applyBorder="1"/>
    <xf numFmtId="0" fontId="12" fillId="2" borderId="0" xfId="0" applyFont="1" applyFill="1" applyAlignment="1">
      <alignment horizontal="center" vertical="center" wrapText="1"/>
    </xf>
    <xf numFmtId="0" fontId="6" fillId="2" borderId="8" xfId="0" applyFont="1" applyFill="1" applyBorder="1"/>
    <xf numFmtId="0" fontId="8" fillId="39" borderId="3" xfId="0" applyFont="1" applyFill="1" applyBorder="1" applyAlignment="1">
      <alignment vertical="top"/>
    </xf>
    <xf numFmtId="0" fontId="6" fillId="39" borderId="0" xfId="0" applyFont="1" applyFill="1" applyAlignment="1">
      <alignment horizontal="right" vertical="top"/>
    </xf>
    <xf numFmtId="0" fontId="4" fillId="27" borderId="12" xfId="0" applyFont="1" applyFill="1" applyBorder="1" applyAlignment="1">
      <alignment horizontal="center" vertical="center"/>
    </xf>
    <xf numFmtId="0" fontId="9" fillId="39" borderId="0" xfId="0" applyFont="1" applyFill="1" applyAlignment="1">
      <alignment horizontal="left" vertical="center"/>
    </xf>
    <xf numFmtId="0" fontId="8" fillId="39" borderId="9" xfId="0" applyFont="1" applyFill="1" applyBorder="1" applyAlignment="1">
      <alignment vertical="top"/>
    </xf>
    <xf numFmtId="0" fontId="8" fillId="39" borderId="1" xfId="0" applyFont="1" applyFill="1" applyBorder="1" applyAlignment="1">
      <alignment vertical="top"/>
    </xf>
    <xf numFmtId="0" fontId="10" fillId="39" borderId="1" xfId="0" applyFont="1" applyFill="1" applyBorder="1" applyAlignment="1">
      <alignment horizontal="center" vertical="center"/>
    </xf>
    <xf numFmtId="49" fontId="91" fillId="15" borderId="0" xfId="0" applyNumberFormat="1" applyFont="1" applyFill="1" applyAlignment="1">
      <alignment horizontal="center" vertical="top" wrapText="1"/>
    </xf>
    <xf numFmtId="0" fontId="20" fillId="39" borderId="0" xfId="0" applyFont="1" applyFill="1" applyAlignment="1">
      <alignment vertical="center"/>
    </xf>
    <xf numFmtId="0" fontId="11" fillId="39" borderId="0" xfId="0" applyFont="1" applyFill="1" applyAlignment="1">
      <alignment horizontal="left"/>
    </xf>
    <xf numFmtId="0" fontId="16" fillId="39" borderId="0" xfId="0" applyFont="1" applyFill="1" applyAlignment="1">
      <alignment horizontal="center"/>
    </xf>
    <xf numFmtId="0" fontId="20" fillId="15" borderId="0" xfId="0" applyFont="1" applyFill="1" applyAlignment="1">
      <alignment horizontal="left" vertical="center" wrapText="1"/>
    </xf>
    <xf numFmtId="0" fontId="15" fillId="15" borderId="0" xfId="0" applyFont="1" applyFill="1" applyAlignment="1">
      <alignment vertical="center"/>
    </xf>
    <xf numFmtId="0" fontId="47" fillId="39" borderId="3" xfId="0" applyFont="1" applyFill="1" applyBorder="1" applyAlignment="1">
      <alignment horizontal="left" vertical="center"/>
    </xf>
    <xf numFmtId="0" fontId="6" fillId="39" borderId="0" xfId="0" applyFont="1" applyFill="1" applyAlignment="1">
      <alignment horizontal="left"/>
    </xf>
    <xf numFmtId="0" fontId="6" fillId="39" borderId="0" xfId="0" applyFont="1" applyFill="1" applyAlignment="1">
      <alignment horizontal="right"/>
    </xf>
    <xf numFmtId="0" fontId="47" fillId="39" borderId="0" xfId="0" applyFont="1" applyFill="1" applyAlignment="1">
      <alignment horizontal="left"/>
    </xf>
    <xf numFmtId="0" fontId="10" fillId="15" borderId="0" xfId="0" applyFont="1" applyFill="1" applyAlignment="1">
      <alignment horizontal="left" vertical="top"/>
    </xf>
    <xf numFmtId="0" fontId="6" fillId="39" borderId="0" xfId="0" applyFont="1" applyFill="1" applyAlignment="1">
      <alignment horizontal="left" vertical="top"/>
    </xf>
    <xf numFmtId="0" fontId="10" fillId="15" borderId="1" xfId="0" applyFont="1" applyFill="1" applyBorder="1" applyAlignment="1">
      <alignment horizontal="left"/>
    </xf>
    <xf numFmtId="0" fontId="8" fillId="15" borderId="1" xfId="0" applyFont="1" applyFill="1" applyBorder="1" applyAlignment="1">
      <alignment horizontal="left" vertical="top"/>
    </xf>
    <xf numFmtId="0" fontId="10" fillId="15" borderId="1" xfId="0" applyFont="1" applyFill="1" applyBorder="1" applyAlignment="1">
      <alignment horizontal="left" vertical="top"/>
    </xf>
    <xf numFmtId="0" fontId="6" fillId="39" borderId="1" xfId="0" applyFont="1" applyFill="1" applyBorder="1" applyAlignment="1">
      <alignment horizontal="left" vertical="top"/>
    </xf>
    <xf numFmtId="0" fontId="10" fillId="39" borderId="1" xfId="0" applyFont="1" applyFill="1" applyBorder="1" applyAlignment="1">
      <alignment horizontal="left"/>
    </xf>
    <xf numFmtId="0" fontId="8" fillId="39" borderId="0" xfId="0" applyFont="1" applyFill="1" applyAlignment="1">
      <alignment vertical="top"/>
    </xf>
    <xf numFmtId="0" fontId="10" fillId="39" borderId="1" xfId="0" applyFont="1" applyFill="1" applyBorder="1" applyAlignment="1">
      <alignment horizontal="centerContinuous" vertical="center"/>
    </xf>
    <xf numFmtId="0" fontId="6" fillId="39" borderId="1" xfId="0" applyFont="1" applyFill="1" applyBorder="1" applyAlignment="1">
      <alignment horizontal="right" vertical="top"/>
    </xf>
    <xf numFmtId="0" fontId="10" fillId="15" borderId="0" xfId="0" applyFont="1" applyFill="1" applyAlignment="1">
      <alignment horizontal="centerContinuous" vertical="center"/>
    </xf>
    <xf numFmtId="0" fontId="10" fillId="39" borderId="0" xfId="0" applyFont="1" applyFill="1" applyAlignment="1">
      <alignment horizontal="centerContinuous" vertical="center"/>
    </xf>
    <xf numFmtId="0" fontId="20" fillId="15" borderId="0" xfId="0" applyFont="1" applyFill="1" applyAlignment="1">
      <alignment horizontal="left" vertical="top" wrapText="1"/>
    </xf>
    <xf numFmtId="0" fontId="4" fillId="39" borderId="0" xfId="0" applyFont="1" applyFill="1" applyAlignment="1">
      <alignment horizontal="right" vertical="center"/>
    </xf>
    <xf numFmtId="0" fontId="44" fillId="2" borderId="0" xfId="0" applyFont="1" applyFill="1" applyAlignment="1">
      <alignment horizontal="left" vertical="center"/>
    </xf>
    <xf numFmtId="0" fontId="10" fillId="39" borderId="0" xfId="0" applyFont="1" applyFill="1"/>
    <xf numFmtId="1" fontId="4" fillId="39" borderId="10" xfId="0" applyNumberFormat="1" applyFont="1" applyFill="1" applyBorder="1" applyAlignment="1">
      <alignment horizontal="center"/>
    </xf>
    <xf numFmtId="1" fontId="4" fillId="8" borderId="0" xfId="0" applyNumberFormat="1" applyFont="1" applyFill="1"/>
    <xf numFmtId="0" fontId="12" fillId="2" borderId="0" xfId="0" applyFont="1" applyFill="1"/>
    <xf numFmtId="0" fontId="10" fillId="2" borderId="0" xfId="0" applyFont="1" applyFill="1" applyAlignment="1">
      <alignment horizontal="left" vertical="center" wrapText="1"/>
    </xf>
    <xf numFmtId="1" fontId="4" fillId="39" borderId="6" xfId="0" applyNumberFormat="1" applyFont="1" applyFill="1" applyBorder="1" applyAlignment="1">
      <alignment horizontal="center"/>
    </xf>
    <xf numFmtId="1" fontId="4" fillId="19" borderId="191" xfId="0" applyNumberFormat="1" applyFont="1" applyFill="1" applyBorder="1" applyAlignment="1">
      <alignment horizontal="center" vertical="center"/>
    </xf>
    <xf numFmtId="37" fontId="4" fillId="15" borderId="56" xfId="0" applyNumberFormat="1" applyFont="1" applyFill="1" applyBorder="1"/>
    <xf numFmtId="37" fontId="4" fillId="15" borderId="7" xfId="0" applyNumberFormat="1" applyFont="1" applyFill="1" applyBorder="1"/>
    <xf numFmtId="0" fontId="10" fillId="2" borderId="1" xfId="0" applyFont="1" applyFill="1" applyBorder="1" applyAlignment="1">
      <alignment horizontal="left" vertical="center" wrapText="1"/>
    </xf>
    <xf numFmtId="0" fontId="9" fillId="15" borderId="8" xfId="0" applyFont="1" applyFill="1" applyBorder="1" applyAlignment="1">
      <alignment horizontal="left" vertical="center" wrapText="1" indent="1"/>
    </xf>
    <xf numFmtId="0" fontId="12" fillId="39" borderId="0" xfId="0" applyFont="1" applyFill="1"/>
    <xf numFmtId="0" fontId="4" fillId="39" borderId="0" xfId="0" applyFont="1" applyFill="1" applyAlignment="1">
      <alignment horizontal="right"/>
    </xf>
    <xf numFmtId="0" fontId="6" fillId="39" borderId="0" xfId="0" applyFont="1" applyFill="1"/>
    <xf numFmtId="0" fontId="0" fillId="39" borderId="0" xfId="0" applyFill="1"/>
    <xf numFmtId="0" fontId="4" fillId="39" borderId="10" xfId="0" applyFont="1" applyFill="1" applyBorder="1" applyAlignment="1">
      <alignment horizontal="center"/>
    </xf>
    <xf numFmtId="0" fontId="4" fillId="8" borderId="0" xfId="0" applyFont="1" applyFill="1"/>
    <xf numFmtId="0" fontId="9" fillId="15" borderId="1" xfId="0" applyFont="1" applyFill="1" applyBorder="1" applyAlignment="1">
      <alignment horizontal="left" vertical="center" wrapText="1" indent="1"/>
    </xf>
    <xf numFmtId="0" fontId="4" fillId="2" borderId="8" xfId="0" applyFont="1" applyFill="1" applyBorder="1"/>
    <xf numFmtId="0" fontId="4" fillId="2" borderId="3" xfId="0" applyFont="1" applyFill="1" applyBorder="1"/>
    <xf numFmtId="6" fontId="10" fillId="2" borderId="0" xfId="0" applyNumberFormat="1" applyFont="1" applyFill="1" applyAlignment="1">
      <alignment horizontal="left"/>
    </xf>
    <xf numFmtId="0" fontId="8" fillId="39" borderId="0" xfId="0" applyFont="1" applyFill="1"/>
    <xf numFmtId="1" fontId="4" fillId="19" borderId="15" xfId="0" applyNumberFormat="1" applyFont="1" applyFill="1" applyBorder="1" applyAlignment="1">
      <alignment horizontal="center" vertical="center"/>
    </xf>
    <xf numFmtId="37" fontId="4" fillId="15" borderId="3" xfId="0" applyNumberFormat="1" applyFont="1" applyFill="1" applyBorder="1"/>
    <xf numFmtId="37" fontId="4" fillId="15" borderId="0" xfId="0" applyNumberFormat="1" applyFont="1" applyFill="1"/>
    <xf numFmtId="0" fontId="4" fillId="2" borderId="4" xfId="0" applyFont="1" applyFill="1" applyBorder="1"/>
    <xf numFmtId="1" fontId="4" fillId="19" borderId="28" xfId="0" applyNumberFormat="1" applyFont="1" applyFill="1" applyBorder="1" applyAlignment="1">
      <alignment horizontal="center" vertical="center"/>
    </xf>
    <xf numFmtId="0" fontId="8" fillId="39" borderId="4" xfId="0" applyFont="1" applyFill="1" applyBorder="1"/>
    <xf numFmtId="0" fontId="10" fillId="39" borderId="4" xfId="0" applyFont="1" applyFill="1" applyBorder="1"/>
    <xf numFmtId="0" fontId="4" fillId="39" borderId="4" xfId="0" applyFont="1" applyFill="1" applyBorder="1" applyAlignment="1">
      <alignment horizontal="right"/>
    </xf>
    <xf numFmtId="0" fontId="0" fillId="39" borderId="4" xfId="0" applyFill="1" applyBorder="1"/>
    <xf numFmtId="0" fontId="76" fillId="39" borderId="4" xfId="0" applyFont="1" applyFill="1" applyBorder="1"/>
    <xf numFmtId="4" fontId="8" fillId="39" borderId="4" xfId="0" applyNumberFormat="1" applyFont="1" applyFill="1" applyBorder="1"/>
    <xf numFmtId="0" fontId="205" fillId="39" borderId="4" xfId="0" applyFont="1" applyFill="1" applyBorder="1" applyAlignment="1">
      <alignment horizontal="right"/>
    </xf>
    <xf numFmtId="4" fontId="10" fillId="39" borderId="4" xfId="0" applyNumberFormat="1" applyFont="1" applyFill="1" applyBorder="1" applyAlignment="1">
      <alignment horizontal="right"/>
    </xf>
    <xf numFmtId="0" fontId="117" fillId="39" borderId="0" xfId="0" applyFont="1" applyFill="1"/>
    <xf numFmtId="0" fontId="10" fillId="2" borderId="9" xfId="0" applyFont="1" applyFill="1" applyBorder="1"/>
    <xf numFmtId="0" fontId="10" fillId="2" borderId="30" xfId="0" applyFont="1" applyFill="1" applyBorder="1"/>
    <xf numFmtId="0" fontId="0" fillId="39" borderId="0" xfId="0" applyFill="1" applyAlignment="1">
      <alignment horizontal="right"/>
    </xf>
    <xf numFmtId="0" fontId="8" fillId="39" borderId="0" xfId="0" applyFont="1" applyFill="1" applyAlignment="1">
      <alignment vertical="center"/>
    </xf>
    <xf numFmtId="0" fontId="10" fillId="2" borderId="7" xfId="0" applyFont="1" applyFill="1" applyBorder="1"/>
    <xf numFmtId="0" fontId="10" fillId="39" borderId="7" xfId="0" applyFont="1" applyFill="1" applyBorder="1"/>
    <xf numFmtId="0" fontId="10" fillId="8" borderId="0" xfId="0" applyFont="1" applyFill="1"/>
    <xf numFmtId="0" fontId="6" fillId="39" borderId="0" xfId="0" applyFont="1" applyFill="1" applyAlignment="1">
      <alignment horizontal="left" vertical="center"/>
    </xf>
    <xf numFmtId="0" fontId="4" fillId="39" borderId="0" xfId="0" quotePrefix="1" applyFont="1" applyFill="1" applyAlignment="1">
      <alignment horizontal="right"/>
    </xf>
    <xf numFmtId="0" fontId="10" fillId="39" borderId="0" xfId="0" applyFont="1" applyFill="1" applyAlignment="1">
      <alignment horizontal="right" vertical="top"/>
    </xf>
    <xf numFmtId="0" fontId="6" fillId="39" borderId="0" xfId="0" quotePrefix="1" applyFont="1" applyFill="1" applyAlignment="1">
      <alignment horizontal="left"/>
    </xf>
    <xf numFmtId="0" fontId="4" fillId="39" borderId="0" xfId="0" quotePrefix="1" applyFont="1" applyFill="1" applyAlignment="1">
      <alignment horizontal="right" vertical="center"/>
    </xf>
    <xf numFmtId="0" fontId="10" fillId="39" borderId="0" xfId="0" quotePrefix="1" applyFont="1" applyFill="1" applyAlignment="1">
      <alignment horizontal="left"/>
    </xf>
    <xf numFmtId="0" fontId="10" fillId="39" borderId="0" xfId="0" quotePrefix="1" applyFont="1" applyFill="1" applyAlignment="1">
      <alignment horizontal="right"/>
    </xf>
    <xf numFmtId="1" fontId="4" fillId="39" borderId="12" xfId="0" applyNumberFormat="1" applyFont="1" applyFill="1" applyBorder="1" applyAlignment="1">
      <alignment horizontal="center"/>
    </xf>
    <xf numFmtId="0" fontId="10" fillId="39" borderId="0" xfId="0" applyFont="1" applyFill="1" applyAlignment="1">
      <alignment horizontal="right"/>
    </xf>
    <xf numFmtId="0" fontId="26" fillId="39" borderId="0" xfId="0" applyFont="1" applyFill="1" applyAlignment="1">
      <alignment horizontal="right"/>
    </xf>
    <xf numFmtId="0" fontId="4" fillId="39" borderId="0" xfId="0" applyFont="1" applyFill="1" applyAlignment="1">
      <alignment horizontal="center"/>
    </xf>
    <xf numFmtId="0" fontId="4" fillId="39" borderId="0" xfId="0" applyFont="1" applyFill="1" applyAlignment="1">
      <alignment horizontal="left"/>
    </xf>
    <xf numFmtId="0" fontId="10" fillId="2" borderId="1" xfId="0" applyFont="1" applyFill="1" applyBorder="1"/>
    <xf numFmtId="0" fontId="4" fillId="39" borderId="1" xfId="0" applyFont="1" applyFill="1" applyBorder="1"/>
    <xf numFmtId="0" fontId="10" fillId="39" borderId="1" xfId="0" applyFont="1" applyFill="1" applyBorder="1"/>
    <xf numFmtId="37" fontId="4" fillId="15" borderId="30" xfId="0" applyNumberFormat="1" applyFont="1" applyFill="1" applyBorder="1" applyAlignment="1">
      <alignment horizontal="right"/>
    </xf>
    <xf numFmtId="37" fontId="4" fillId="15" borderId="8" xfId="0" applyNumberFormat="1" applyFont="1" applyFill="1" applyBorder="1" applyAlignment="1">
      <alignment horizontal="right"/>
    </xf>
    <xf numFmtId="0" fontId="20" fillId="2" borderId="0" xfId="0" applyFont="1" applyFill="1" applyAlignment="1">
      <alignment horizontal="left"/>
    </xf>
    <xf numFmtId="37" fontId="4" fillId="15" borderId="3" xfId="0" applyNumberFormat="1" applyFont="1" applyFill="1" applyBorder="1" applyAlignment="1">
      <alignment horizontal="right"/>
    </xf>
    <xf numFmtId="37" fontId="4" fillId="15" borderId="0" xfId="0" applyNumberFormat="1" applyFont="1" applyFill="1" applyAlignment="1">
      <alignment horizontal="right"/>
    </xf>
    <xf numFmtId="0" fontId="10" fillId="2" borderId="0" xfId="0" applyFont="1" applyFill="1" applyAlignment="1">
      <alignment vertical="top" wrapText="1"/>
    </xf>
    <xf numFmtId="0" fontId="10" fillId="2" borderId="25" xfId="0" applyFont="1" applyFill="1" applyBorder="1"/>
    <xf numFmtId="1" fontId="4" fillId="19" borderId="6" xfId="0" applyNumberFormat="1" applyFont="1" applyFill="1" applyBorder="1" applyAlignment="1">
      <alignment horizontal="center" vertical="center"/>
    </xf>
    <xf numFmtId="0" fontId="10" fillId="2" borderId="0" xfId="0" applyFont="1" applyFill="1" applyAlignment="1">
      <alignment vertical="center" wrapText="1"/>
    </xf>
    <xf numFmtId="0" fontId="9" fillId="39" borderId="0" xfId="0" applyFont="1" applyFill="1" applyAlignment="1">
      <alignment horizontal="right"/>
    </xf>
    <xf numFmtId="167" fontId="8" fillId="39" borderId="0" xfId="0" applyNumberFormat="1" applyFont="1" applyFill="1" applyAlignment="1">
      <alignment horizontal="left"/>
    </xf>
    <xf numFmtId="4" fontId="10" fillId="39" borderId="0" xfId="0" applyNumberFormat="1" applyFont="1" applyFill="1"/>
    <xf numFmtId="0" fontId="4" fillId="19" borderId="15" xfId="0" applyFont="1" applyFill="1" applyBorder="1" applyAlignment="1">
      <alignment horizontal="center"/>
    </xf>
    <xf numFmtId="0" fontId="4" fillId="19" borderId="6" xfId="0" applyFont="1" applyFill="1" applyBorder="1" applyAlignment="1">
      <alignment horizontal="center"/>
    </xf>
    <xf numFmtId="0" fontId="0" fillId="11" borderId="9" xfId="0" applyFill="1" applyBorder="1"/>
    <xf numFmtId="0" fontId="0" fillId="11" borderId="11" xfId="0" applyFill="1" applyBorder="1"/>
    <xf numFmtId="0" fontId="11" fillId="2" borderId="8" xfId="0" applyFont="1" applyFill="1" applyBorder="1" applyAlignment="1">
      <alignment horizontal="left" vertical="top" wrapText="1"/>
    </xf>
    <xf numFmtId="0" fontId="4" fillId="39" borderId="8" xfId="0" applyFont="1" applyFill="1" applyBorder="1" applyAlignment="1">
      <alignment horizontal="right"/>
    </xf>
    <xf numFmtId="0" fontId="4" fillId="39" borderId="8" xfId="0" applyFont="1" applyFill="1" applyBorder="1"/>
    <xf numFmtId="0" fontId="10" fillId="39" borderId="8" xfId="0" applyFont="1" applyFill="1" applyBorder="1"/>
    <xf numFmtId="0" fontId="12" fillId="39" borderId="8" xfId="0" applyFont="1" applyFill="1" applyBorder="1"/>
    <xf numFmtId="1" fontId="4" fillId="39" borderId="15" xfId="0" applyNumberFormat="1" applyFont="1" applyFill="1" applyBorder="1" applyAlignment="1">
      <alignment horizontal="center"/>
    </xf>
    <xf numFmtId="0" fontId="11" fillId="2" borderId="0" xfId="0" applyFont="1" applyFill="1" applyAlignment="1">
      <alignment horizontal="left" vertical="top" wrapText="1"/>
    </xf>
    <xf numFmtId="0" fontId="11" fillId="2" borderId="4" xfId="0" applyFont="1" applyFill="1" applyBorder="1" applyAlignment="1">
      <alignment horizontal="left" vertical="top" wrapText="1"/>
    </xf>
    <xf numFmtId="0" fontId="4" fillId="39" borderId="4" xfId="0" applyFont="1" applyFill="1" applyBorder="1"/>
    <xf numFmtId="0" fontId="4" fillId="39" borderId="28" xfId="0" applyFont="1" applyFill="1" applyBorder="1" applyAlignment="1">
      <alignment horizontal="center"/>
    </xf>
    <xf numFmtId="0" fontId="0" fillId="11" borderId="69" xfId="0" applyFill="1" applyBorder="1"/>
    <xf numFmtId="0" fontId="0" fillId="11" borderId="70" xfId="0" applyFill="1" applyBorder="1"/>
    <xf numFmtId="37" fontId="9" fillId="19" borderId="4" xfId="0" applyNumberFormat="1" applyFont="1" applyFill="1" applyBorder="1"/>
    <xf numFmtId="0" fontId="15" fillId="27" borderId="12" xfId="0" applyFont="1" applyFill="1" applyBorder="1" applyAlignment="1">
      <alignment horizontal="center" vertical="center"/>
    </xf>
    <xf numFmtId="0" fontId="10" fillId="39" borderId="0" xfId="0" applyFont="1" applyFill="1" applyAlignment="1">
      <alignment vertical="top"/>
    </xf>
    <xf numFmtId="0" fontId="10" fillId="15" borderId="3" xfId="0" applyFont="1" applyFill="1" applyBorder="1"/>
    <xf numFmtId="0" fontId="10" fillId="15" borderId="24" xfId="0" applyFont="1" applyFill="1" applyBorder="1"/>
    <xf numFmtId="0" fontId="10" fillId="15" borderId="0" xfId="0" applyFont="1" applyFill="1" applyAlignment="1">
      <alignment vertical="top"/>
    </xf>
    <xf numFmtId="0" fontId="16" fillId="15" borderId="0" xfId="0" applyFont="1" applyFill="1" applyAlignment="1">
      <alignment vertical="top"/>
    </xf>
    <xf numFmtId="0" fontId="16" fillId="15" borderId="0" xfId="0" applyFont="1" applyFill="1" applyAlignment="1">
      <alignment vertical="top" wrapText="1"/>
    </xf>
    <xf numFmtId="0" fontId="16" fillId="15" borderId="4" xfId="0" applyFont="1" applyFill="1" applyBorder="1" applyAlignment="1">
      <alignment vertical="top" wrapText="1"/>
    </xf>
    <xf numFmtId="0" fontId="10" fillId="15" borderId="4" xfId="0" applyFont="1" applyFill="1" applyBorder="1" applyAlignment="1">
      <alignment vertical="center"/>
    </xf>
    <xf numFmtId="0" fontId="15" fillId="15" borderId="0" xfId="0" applyFont="1" applyFill="1" applyAlignment="1">
      <alignment horizontal="left" vertical="center" wrapText="1"/>
    </xf>
    <xf numFmtId="14" fontId="10" fillId="2" borderId="0" xfId="0" applyNumberFormat="1" applyFont="1" applyFill="1"/>
    <xf numFmtId="0" fontId="10" fillId="2" borderId="0" xfId="0" applyFont="1" applyFill="1" applyAlignment="1">
      <alignment horizontal="right" vertical="center"/>
    </xf>
    <xf numFmtId="0" fontId="4" fillId="39" borderId="16" xfId="0" applyFont="1" applyFill="1" applyBorder="1" applyAlignment="1">
      <alignment horizontal="right"/>
    </xf>
    <xf numFmtId="0" fontId="4" fillId="39" borderId="16" xfId="0" applyFont="1" applyFill="1" applyBorder="1"/>
    <xf numFmtId="0" fontId="8" fillId="39" borderId="16" xfId="0" applyFont="1" applyFill="1" applyBorder="1"/>
    <xf numFmtId="0" fontId="10" fillId="39" borderId="16" xfId="0" applyFont="1" applyFill="1" applyBorder="1"/>
    <xf numFmtId="0" fontId="12" fillId="39" borderId="16" xfId="0" applyFont="1" applyFill="1" applyBorder="1"/>
    <xf numFmtId="0" fontId="8" fillId="39" borderId="16" xfId="0" applyFont="1" applyFill="1" applyBorder="1" applyAlignment="1">
      <alignment horizontal="center" vertical="center"/>
    </xf>
    <xf numFmtId="0" fontId="10" fillId="39" borderId="24" xfId="0" applyFont="1" applyFill="1" applyBorder="1" applyAlignment="1">
      <alignment horizontal="left" vertical="top" wrapText="1"/>
    </xf>
    <xf numFmtId="0" fontId="47" fillId="39" borderId="0" xfId="0" applyFont="1" applyFill="1" applyAlignment="1">
      <alignment horizontal="left" vertical="center"/>
    </xf>
    <xf numFmtId="0" fontId="11" fillId="27" borderId="12" xfId="0" applyFont="1" applyFill="1" applyBorder="1" applyAlignment="1">
      <alignment horizontal="center" vertical="center"/>
    </xf>
    <xf numFmtId="4" fontId="8" fillId="39" borderId="0" xfId="0" applyNumberFormat="1" applyFont="1" applyFill="1"/>
    <xf numFmtId="4" fontId="10" fillId="39" borderId="0" xfId="0" applyNumberFormat="1" applyFont="1" applyFill="1" applyAlignment="1">
      <alignment horizontal="right"/>
    </xf>
    <xf numFmtId="0" fontId="4" fillId="2" borderId="7" xfId="0" applyFont="1" applyFill="1" applyBorder="1"/>
    <xf numFmtId="0" fontId="4" fillId="27" borderId="2" xfId="0" applyFont="1" applyFill="1" applyBorder="1" applyAlignment="1">
      <alignment horizontal="center" vertical="center"/>
    </xf>
    <xf numFmtId="0" fontId="20" fillId="15" borderId="0" xfId="0" applyFont="1" applyFill="1" applyAlignment="1">
      <alignment horizontal="left"/>
    </xf>
    <xf numFmtId="0" fontId="9" fillId="15" borderId="0" xfId="0" applyFont="1" applyFill="1" applyAlignment="1">
      <alignment horizontal="right"/>
    </xf>
    <xf numFmtId="0" fontId="8" fillId="15" borderId="0" xfId="0" applyFont="1" applyFill="1" applyAlignment="1">
      <alignment horizontal="center" vertical="center"/>
    </xf>
    <xf numFmtId="37" fontId="9" fillId="15" borderId="0" xfId="0" applyNumberFormat="1" applyFont="1" applyFill="1"/>
    <xf numFmtId="0" fontId="117" fillId="15" borderId="0" xfId="0" applyFont="1" applyFill="1"/>
    <xf numFmtId="0" fontId="10" fillId="15" borderId="7" xfId="0" applyFont="1" applyFill="1" applyBorder="1"/>
    <xf numFmtId="0" fontId="4" fillId="15" borderId="7" xfId="0" applyFont="1" applyFill="1" applyBorder="1" applyAlignment="1">
      <alignment horizontal="right"/>
    </xf>
    <xf numFmtId="0" fontId="47" fillId="15" borderId="7" xfId="0" applyFont="1" applyFill="1" applyBorder="1"/>
    <xf numFmtId="0" fontId="47" fillId="15" borderId="1" xfId="0" applyFont="1" applyFill="1" applyBorder="1"/>
    <xf numFmtId="0" fontId="11" fillId="15" borderId="1" xfId="0" applyFont="1" applyFill="1" applyBorder="1"/>
    <xf numFmtId="0" fontId="14" fillId="15" borderId="1" xfId="0" applyFont="1" applyFill="1" applyBorder="1"/>
    <xf numFmtId="0" fontId="8" fillId="15" borderId="1" xfId="0" applyFont="1" applyFill="1" applyBorder="1" applyAlignment="1">
      <alignment horizontal="center" vertical="center"/>
    </xf>
    <xf numFmtId="0" fontId="14" fillId="15" borderId="1" xfId="0" applyFont="1" applyFill="1" applyBorder="1" applyAlignment="1">
      <alignment horizontal="center" vertical="center"/>
    </xf>
    <xf numFmtId="0" fontId="4" fillId="15" borderId="1" xfId="0" applyFont="1" applyFill="1" applyBorder="1" applyAlignment="1">
      <alignment vertical="center"/>
    </xf>
    <xf numFmtId="0" fontId="6" fillId="15" borderId="1" xfId="0" applyFont="1" applyFill="1" applyBorder="1" applyAlignment="1">
      <alignment vertical="center"/>
    </xf>
    <xf numFmtId="0" fontId="6" fillId="15" borderId="8" xfId="0" applyFont="1" applyFill="1" applyBorder="1" applyAlignment="1">
      <alignment vertical="center"/>
    </xf>
    <xf numFmtId="0" fontId="9" fillId="15" borderId="0" xfId="0" applyFont="1" applyFill="1" applyAlignment="1">
      <alignment horizontal="right" vertical="center"/>
    </xf>
    <xf numFmtId="0" fontId="4" fillId="15" borderId="0" xfId="0" applyFont="1" applyFill="1" applyAlignment="1">
      <alignment horizontal="center" vertical="center"/>
    </xf>
    <xf numFmtId="0" fontId="14" fillId="15" borderId="0" xfId="0" applyFont="1" applyFill="1" applyAlignment="1">
      <alignment vertical="top"/>
    </xf>
    <xf numFmtId="0" fontId="14" fillId="15" borderId="0" xfId="0" applyFont="1" applyFill="1" applyAlignment="1">
      <alignment horizontal="center" vertical="center"/>
    </xf>
    <xf numFmtId="0" fontId="11" fillId="15" borderId="1" xfId="0" applyFont="1" applyFill="1" applyBorder="1" applyAlignment="1">
      <alignment horizontal="center"/>
    </xf>
    <xf numFmtId="0" fontId="11" fillId="15" borderId="1" xfId="0" applyFont="1" applyFill="1" applyBorder="1" applyAlignment="1">
      <alignment horizontal="left"/>
    </xf>
    <xf numFmtId="0" fontId="14" fillId="15" borderId="1" xfId="0" applyFont="1" applyFill="1" applyBorder="1" applyAlignment="1">
      <alignment horizontal="left" vertical="center"/>
    </xf>
    <xf numFmtId="0" fontId="10" fillId="15" borderId="0" xfId="0" applyFont="1" applyFill="1" applyAlignment="1">
      <alignment horizontal="left" vertical="top" wrapText="1"/>
    </xf>
    <xf numFmtId="0" fontId="116" fillId="15" borderId="0" xfId="0" applyFont="1" applyFill="1"/>
    <xf numFmtId="0" fontId="81" fillId="5" borderId="0" xfId="0" applyFont="1" applyFill="1" applyAlignment="1">
      <alignment horizontal="center"/>
    </xf>
    <xf numFmtId="0" fontId="151" fillId="15" borderId="0" xfId="0" applyFont="1" applyFill="1"/>
    <xf numFmtId="0" fontId="47" fillId="15" borderId="4" xfId="0" applyFont="1" applyFill="1" applyBorder="1"/>
    <xf numFmtId="0" fontId="0" fillId="15" borderId="74" xfId="0" applyFill="1" applyBorder="1"/>
    <xf numFmtId="0" fontId="20" fillId="15" borderId="74" xfId="0" applyFont="1" applyFill="1" applyBorder="1" applyAlignment="1">
      <alignment horizontal="center"/>
    </xf>
    <xf numFmtId="0" fontId="4" fillId="15" borderId="3" xfId="0" applyFont="1" applyFill="1" applyBorder="1"/>
    <xf numFmtId="0" fontId="6" fillId="15" borderId="0" xfId="0" applyFont="1" applyFill="1" applyAlignment="1">
      <alignment horizontal="left" vertical="center" indent="1"/>
    </xf>
    <xf numFmtId="0" fontId="20" fillId="15" borderId="25" xfId="0" applyFont="1" applyFill="1" applyBorder="1" applyAlignment="1">
      <alignment horizontal="left" vertical="center" indent="1"/>
    </xf>
    <xf numFmtId="0" fontId="8" fillId="15" borderId="25" xfId="0" applyFont="1" applyFill="1" applyBorder="1" applyAlignment="1">
      <alignment horizontal="center" vertical="center"/>
    </xf>
    <xf numFmtId="0" fontId="15" fillId="15" borderId="0" xfId="0" quotePrefix="1" applyFont="1" applyFill="1" applyAlignment="1">
      <alignment horizontal="center"/>
    </xf>
    <xf numFmtId="0" fontId="15" fillId="15" borderId="3" xfId="0" quotePrefix="1" applyFont="1" applyFill="1" applyBorder="1" applyAlignment="1">
      <alignment horizontal="center"/>
    </xf>
    <xf numFmtId="0" fontId="6" fillId="15" borderId="0" xfId="0" applyFont="1" applyFill="1" applyAlignment="1">
      <alignment horizontal="left" vertical="center" wrapText="1"/>
    </xf>
    <xf numFmtId="0" fontId="151" fillId="15" borderId="0" xfId="0" applyFont="1" applyFill="1" applyAlignment="1">
      <alignment horizontal="left" vertical="center" wrapText="1"/>
    </xf>
    <xf numFmtId="0" fontId="15" fillId="15" borderId="0" xfId="0" quotePrefix="1" applyFont="1" applyFill="1" applyAlignment="1">
      <alignment horizontal="left" vertical="center"/>
    </xf>
    <xf numFmtId="0" fontId="155" fillId="15" borderId="0" xfId="0" applyFont="1" applyFill="1" applyAlignment="1">
      <alignment vertical="center" wrapText="1"/>
    </xf>
    <xf numFmtId="0" fontId="152" fillId="15" borderId="0" xfId="0" quotePrefix="1" applyFont="1" applyFill="1" applyAlignment="1">
      <alignment horizontal="right"/>
    </xf>
    <xf numFmtId="0" fontId="153" fillId="15" borderId="0" xfId="0" applyFont="1" applyFill="1"/>
    <xf numFmtId="0" fontId="0" fillId="15" borderId="88" xfId="0" applyFill="1" applyBorder="1"/>
    <xf numFmtId="4" fontId="4" fillId="3" borderId="24" xfId="0" applyNumberFormat="1" applyFont="1" applyFill="1" applyBorder="1" applyAlignment="1">
      <alignment horizontal="right"/>
    </xf>
    <xf numFmtId="177" fontId="151" fillId="15" borderId="0" xfId="0" applyNumberFormat="1" applyFont="1" applyFill="1" applyAlignment="1">
      <alignment horizontal="right"/>
    </xf>
    <xf numFmtId="0" fontId="74" fillId="15" borderId="0" xfId="0" applyFont="1" applyFill="1"/>
    <xf numFmtId="0" fontId="151" fillId="15" borderId="0" xfId="0" applyFont="1" applyFill="1" applyAlignment="1">
      <alignment horizontal="right"/>
    </xf>
    <xf numFmtId="0" fontId="153" fillId="15" borderId="0" xfId="0" applyFont="1" applyFill="1" applyAlignment="1">
      <alignment vertical="top"/>
    </xf>
    <xf numFmtId="0" fontId="8" fillId="15" borderId="8" xfId="0" applyFont="1" applyFill="1" applyBorder="1" applyAlignment="1">
      <alignment horizontal="center" vertical="center"/>
    </xf>
    <xf numFmtId="0" fontId="20" fillId="15" borderId="0" xfId="0" applyFont="1" applyFill="1" applyAlignment="1">
      <alignment horizontal="left" indent="1"/>
    </xf>
    <xf numFmtId="0" fontId="14" fillId="15" borderId="0" xfId="0" applyFont="1" applyFill="1" applyAlignment="1">
      <alignment horizontal="left" vertical="center"/>
    </xf>
    <xf numFmtId="0" fontId="11" fillId="15" borderId="0" xfId="0" applyFont="1" applyFill="1" applyAlignment="1">
      <alignment horizontal="right"/>
    </xf>
    <xf numFmtId="3" fontId="151" fillId="15" borderId="0" xfId="0" applyNumberFormat="1" applyFont="1" applyFill="1"/>
    <xf numFmtId="0" fontId="154" fillId="15" borderId="0" xfId="0" applyFont="1" applyFill="1" applyAlignment="1">
      <alignment horizontal="left" vertical="center" wrapText="1"/>
    </xf>
    <xf numFmtId="0" fontId="151" fillId="15" borderId="0" xfId="0" applyFont="1" applyFill="1" applyAlignment="1">
      <alignment horizontal="center"/>
    </xf>
    <xf numFmtId="181" fontId="151" fillId="15" borderId="0" xfId="0" applyNumberFormat="1" applyFont="1" applyFill="1" applyAlignment="1">
      <alignment horizontal="right"/>
    </xf>
    <xf numFmtId="0" fontId="15" fillId="15" borderId="0" xfId="0" applyFont="1" applyFill="1" applyAlignment="1">
      <alignment vertical="top"/>
    </xf>
    <xf numFmtId="0" fontId="153" fillId="15" borderId="0" xfId="0" applyFont="1" applyFill="1" applyAlignment="1">
      <alignment horizontal="center"/>
    </xf>
    <xf numFmtId="0" fontId="47" fillId="15" borderId="0" xfId="0" applyFont="1" applyFill="1" applyAlignment="1">
      <alignment vertical="top"/>
    </xf>
    <xf numFmtId="0" fontId="151" fillId="15" borderId="0" xfId="0" applyFont="1" applyFill="1" applyAlignment="1">
      <alignment horizontal="center" wrapText="1"/>
    </xf>
    <xf numFmtId="3" fontId="151" fillId="15" borderId="0" xfId="0" applyNumberFormat="1" applyFont="1" applyFill="1" applyAlignment="1">
      <alignment horizontal="center"/>
    </xf>
    <xf numFmtId="0" fontId="156" fillId="15" borderId="0" xfId="0" applyFont="1" applyFill="1" applyAlignment="1">
      <alignment horizontal="center" vertical="center"/>
    </xf>
    <xf numFmtId="49" fontId="151" fillId="15" borderId="0" xfId="0" applyNumberFormat="1" applyFont="1" applyFill="1" applyAlignment="1">
      <alignment horizontal="right"/>
    </xf>
    <xf numFmtId="0" fontId="155" fillId="15" borderId="0" xfId="0" applyFont="1" applyFill="1" applyAlignment="1">
      <alignment horizontal="left" vertical="center"/>
    </xf>
    <xf numFmtId="0" fontId="6" fillId="2" borderId="0" xfId="0" applyFont="1" applyFill="1" applyAlignment="1">
      <alignment horizontal="right"/>
    </xf>
    <xf numFmtId="0" fontId="0" fillId="15" borderId="13" xfId="0" applyFill="1" applyBorder="1" applyAlignment="1">
      <alignment horizontal="right"/>
    </xf>
    <xf numFmtId="0" fontId="20" fillId="15" borderId="13" xfId="0" applyFont="1" applyFill="1" applyBorder="1" applyAlignment="1">
      <alignment horizontal="left"/>
    </xf>
    <xf numFmtId="0" fontId="20" fillId="15" borderId="0" xfId="0" applyFont="1" applyFill="1" applyAlignment="1">
      <alignment horizontal="left" vertical="center" indent="1"/>
    </xf>
    <xf numFmtId="0" fontId="20" fillId="15" borderId="1" xfId="0" applyFont="1" applyFill="1" applyBorder="1" applyAlignment="1">
      <alignment horizontal="left" vertical="center" indent="1"/>
    </xf>
    <xf numFmtId="0" fontId="156" fillId="15" borderId="0" xfId="0" applyFont="1" applyFill="1" applyAlignment="1">
      <alignment vertical="center" wrapText="1"/>
    </xf>
    <xf numFmtId="0" fontId="155" fillId="15" borderId="0" xfId="0" applyFont="1" applyFill="1" applyAlignment="1">
      <alignment horizontal="left" wrapText="1"/>
    </xf>
    <xf numFmtId="0" fontId="151" fillId="15" borderId="0" xfId="0" applyFont="1" applyFill="1" applyAlignment="1">
      <alignment horizontal="left" wrapText="1"/>
    </xf>
    <xf numFmtId="0" fontId="155" fillId="15" borderId="0" xfId="0" applyFont="1" applyFill="1" applyAlignment="1">
      <alignment horizontal="left" vertical="top" wrapText="1"/>
    </xf>
    <xf numFmtId="0" fontId="151" fillId="15" borderId="0" xfId="0" applyFont="1" applyFill="1" applyAlignment="1">
      <alignment horizontal="left" vertical="top" wrapText="1"/>
    </xf>
    <xf numFmtId="0" fontId="11" fillId="15" borderId="0" xfId="0" applyFont="1" applyFill="1" applyAlignment="1">
      <alignment horizontal="left" vertical="center" indent="1"/>
    </xf>
    <xf numFmtId="0" fontId="47" fillId="15" borderId="0" xfId="0" applyFont="1" applyFill="1" applyAlignment="1">
      <alignment horizontal="left" indent="1"/>
    </xf>
    <xf numFmtId="0" fontId="155" fillId="15" borderId="0" xfId="0" applyFont="1" applyFill="1" applyAlignment="1">
      <alignment horizontal="center" vertical="center" wrapText="1"/>
    </xf>
    <xf numFmtId="3" fontId="155" fillId="15" borderId="0" xfId="0" quotePrefix="1" applyNumberFormat="1" applyFont="1" applyFill="1" applyAlignment="1">
      <alignment horizontal="center" vertical="center" wrapText="1"/>
    </xf>
    <xf numFmtId="3" fontId="155" fillId="15" borderId="0" xfId="0" applyNumberFormat="1" applyFont="1" applyFill="1" applyAlignment="1">
      <alignment vertical="center" wrapText="1"/>
    </xf>
    <xf numFmtId="0" fontId="81" fillId="5" borderId="0" xfId="0" applyFont="1" applyFill="1" applyAlignment="1">
      <alignment horizontal="center" vertical="top"/>
    </xf>
    <xf numFmtId="0" fontId="0" fillId="15" borderId="1" xfId="0" applyFill="1" applyBorder="1" applyAlignment="1">
      <alignment vertical="top"/>
    </xf>
    <xf numFmtId="0" fontId="15" fillId="15" borderId="1" xfId="0" applyFont="1" applyFill="1" applyBorder="1" applyAlignment="1">
      <alignment vertical="top"/>
    </xf>
    <xf numFmtId="0" fontId="4" fillId="15" borderId="1" xfId="0" applyFont="1" applyFill="1" applyBorder="1" applyAlignment="1">
      <alignment vertical="top"/>
    </xf>
    <xf numFmtId="0" fontId="151" fillId="15" borderId="0" xfId="0" applyFont="1" applyFill="1" applyAlignment="1">
      <alignment vertical="top"/>
    </xf>
    <xf numFmtId="0" fontId="155" fillId="15" borderId="0" xfId="0" applyFont="1" applyFill="1" applyAlignment="1">
      <alignment vertical="top" wrapText="1"/>
    </xf>
    <xf numFmtId="0" fontId="0" fillId="19" borderId="3" xfId="0" applyFill="1" applyBorder="1"/>
    <xf numFmtId="0" fontId="0" fillId="19" borderId="24" xfId="0" applyFill="1" applyBorder="1"/>
    <xf numFmtId="4" fontId="4" fillId="3" borderId="0" xfId="0" applyNumberFormat="1" applyFont="1" applyFill="1" applyAlignment="1">
      <alignment horizontal="right"/>
    </xf>
    <xf numFmtId="4" fontId="4" fillId="3" borderId="17" xfId="0" applyNumberFormat="1" applyFont="1" applyFill="1" applyBorder="1" applyAlignment="1">
      <alignment horizontal="right"/>
    </xf>
    <xf numFmtId="0" fontId="15" fillId="15" borderId="16" xfId="0" applyFont="1" applyFill="1" applyBorder="1" applyAlignment="1">
      <alignment horizontal="right"/>
    </xf>
    <xf numFmtId="0" fontId="0" fillId="15" borderId="16" xfId="0" applyFill="1" applyBorder="1" applyAlignment="1">
      <alignment horizontal="left"/>
    </xf>
    <xf numFmtId="0" fontId="0" fillId="15" borderId="16" xfId="0" applyFill="1" applyBorder="1" applyAlignment="1">
      <alignment horizontal="right"/>
    </xf>
    <xf numFmtId="0" fontId="6" fillId="15" borderId="13" xfId="0" applyFont="1" applyFill="1" applyBorder="1"/>
    <xf numFmtId="0" fontId="11" fillId="15" borderId="34" xfId="0" applyFont="1" applyFill="1" applyBorder="1" applyAlignment="1">
      <alignment horizontal="left" vertical="center" indent="1"/>
    </xf>
    <xf numFmtId="0" fontId="8" fillId="15" borderId="34" xfId="0" applyFont="1" applyFill="1" applyBorder="1" applyAlignment="1">
      <alignment horizontal="center" vertical="center"/>
    </xf>
    <xf numFmtId="37" fontId="276" fillId="15" borderId="0" xfId="0" applyNumberFormat="1" applyFont="1" applyFill="1"/>
    <xf numFmtId="0" fontId="276" fillId="15" borderId="0" xfId="0" applyFont="1" applyFill="1"/>
    <xf numFmtId="0" fontId="11" fillId="15" borderId="25" xfId="0" applyFont="1" applyFill="1" applyBorder="1" applyAlignment="1">
      <alignment horizontal="left" vertical="center" indent="1"/>
    </xf>
    <xf numFmtId="0" fontId="151" fillId="15" borderId="0" xfId="0" quotePrefix="1" applyFont="1" applyFill="1" applyAlignment="1">
      <alignment horizontal="center"/>
    </xf>
    <xf numFmtId="37" fontId="151" fillId="15" borderId="0" xfId="0" applyNumberFormat="1" applyFont="1" applyFill="1"/>
    <xf numFmtId="3" fontId="4" fillId="15" borderId="1" xfId="0" applyNumberFormat="1" applyFont="1" applyFill="1" applyBorder="1" applyAlignment="1">
      <alignment horizontal="right" indent="1"/>
    </xf>
    <xf numFmtId="3" fontId="4" fillId="15" borderId="1" xfId="0" applyNumberFormat="1" applyFont="1" applyFill="1" applyBorder="1" applyAlignment="1">
      <alignment horizontal="center"/>
    </xf>
    <xf numFmtId="0" fontId="11" fillId="15" borderId="27" xfId="0" applyFont="1" applyFill="1" applyBorder="1" applyAlignment="1">
      <alignment horizontal="left" vertical="center" indent="1"/>
    </xf>
    <xf numFmtId="0" fontId="8" fillId="15" borderId="27" xfId="0" applyFont="1" applyFill="1" applyBorder="1" applyAlignment="1">
      <alignment horizontal="center" vertical="center"/>
    </xf>
    <xf numFmtId="0" fontId="36" fillId="15" borderId="0" xfId="0" applyFont="1" applyFill="1" applyAlignment="1">
      <alignment horizontal="center"/>
    </xf>
    <xf numFmtId="0" fontId="121" fillId="15" borderId="0" xfId="0" applyFont="1" applyFill="1" applyAlignment="1">
      <alignment horizontal="right"/>
    </xf>
    <xf numFmtId="0" fontId="0" fillId="19" borderId="30" xfId="0" applyFill="1" applyBorder="1"/>
    <xf numFmtId="0" fontId="0" fillId="19" borderId="14" xfId="0" applyFill="1" applyBorder="1"/>
    <xf numFmtId="0" fontId="15" fillId="15" borderId="24" xfId="0" applyFont="1" applyFill="1" applyBorder="1"/>
    <xf numFmtId="0" fontId="123" fillId="31" borderId="8" xfId="0" applyFont="1" applyFill="1" applyBorder="1" applyAlignment="1">
      <alignment vertical="center"/>
    </xf>
    <xf numFmtId="0" fontId="123" fillId="31" borderId="0" xfId="0" applyFont="1" applyFill="1" applyAlignment="1">
      <alignment vertical="center"/>
    </xf>
    <xf numFmtId="0" fontId="276" fillId="15" borderId="0" xfId="0" applyFont="1" applyFill="1" applyAlignment="1">
      <alignment vertical="center"/>
    </xf>
    <xf numFmtId="0" fontId="47" fillId="15" borderId="0" xfId="0" applyFont="1" applyFill="1" applyAlignment="1">
      <alignment horizontal="left"/>
    </xf>
    <xf numFmtId="0" fontId="6" fillId="15" borderId="16" xfId="0" applyFont="1" applyFill="1" applyBorder="1" applyAlignment="1">
      <alignment horizontal="right" vertical="center"/>
    </xf>
    <xf numFmtId="0" fontId="0" fillId="15" borderId="16" xfId="0" applyFill="1" applyBorder="1" applyAlignment="1">
      <alignment horizontal="right" vertical="center"/>
    </xf>
    <xf numFmtId="0" fontId="276" fillId="15" borderId="0" xfId="0" applyFont="1" applyFill="1" applyAlignment="1">
      <alignment horizontal="center" vertical="center"/>
    </xf>
    <xf numFmtId="0" fontId="11" fillId="15" borderId="74" xfId="0" applyFont="1" applyFill="1" applyBorder="1" applyAlignment="1">
      <alignment horizontal="center"/>
    </xf>
    <xf numFmtId="0" fontId="276" fillId="15" borderId="0" xfId="0" applyFont="1" applyFill="1" applyAlignment="1">
      <alignment horizontal="center"/>
    </xf>
    <xf numFmtId="0" fontId="301" fillId="15" borderId="0" xfId="0" applyFont="1" applyFill="1" applyAlignment="1">
      <alignment horizontal="center"/>
    </xf>
    <xf numFmtId="0" fontId="301" fillId="15" borderId="0" xfId="0" applyFont="1" applyFill="1" applyAlignment="1">
      <alignment horizontal="left"/>
    </xf>
    <xf numFmtId="0" fontId="276" fillId="15" borderId="0" xfId="0" applyFont="1" applyFill="1" applyAlignment="1">
      <alignment horizontal="right"/>
    </xf>
    <xf numFmtId="0" fontId="324" fillId="15" borderId="0" xfId="0" applyFont="1" applyFill="1"/>
    <xf numFmtId="0" fontId="4" fillId="23" borderId="0" xfId="0" applyFont="1" applyFill="1" applyAlignment="1">
      <alignment horizontal="center"/>
    </xf>
    <xf numFmtId="0" fontId="206" fillId="23" borderId="0" xfId="0" applyFont="1" applyFill="1"/>
    <xf numFmtId="0" fontId="228" fillId="23" borderId="0" xfId="0" applyFont="1" applyFill="1"/>
    <xf numFmtId="0" fontId="0" fillId="23" borderId="0" xfId="0" applyFill="1" applyAlignment="1">
      <alignment vertical="center"/>
    </xf>
    <xf numFmtId="0" fontId="228" fillId="23" borderId="0" xfId="0" applyFont="1" applyFill="1" applyAlignment="1">
      <alignment vertical="center"/>
    </xf>
    <xf numFmtId="0" fontId="0" fillId="15" borderId="5" xfId="0" applyFill="1" applyBorder="1" applyAlignment="1">
      <alignment horizontal="left" vertical="center" wrapText="1" indent="2"/>
    </xf>
    <xf numFmtId="0" fontId="0" fillId="15" borderId="197" xfId="0" applyFill="1" applyBorder="1" applyAlignment="1">
      <alignment horizontal="left" vertical="center" wrapText="1" indent="2"/>
    </xf>
    <xf numFmtId="0" fontId="10" fillId="15" borderId="13" xfId="0" applyFont="1" applyFill="1" applyBorder="1" applyAlignment="1">
      <alignment horizontal="left" vertical="top" wrapText="1"/>
    </xf>
    <xf numFmtId="0" fontId="12" fillId="15" borderId="5" xfId="0" applyFont="1" applyFill="1" applyBorder="1"/>
    <xf numFmtId="0" fontId="14" fillId="23" borderId="0" xfId="0" applyFont="1" applyFill="1"/>
    <xf numFmtId="0" fontId="14" fillId="15" borderId="25" xfId="0" applyFont="1" applyFill="1" applyBorder="1"/>
    <xf numFmtId="0" fontId="73" fillId="15" borderId="25" xfId="0" applyFont="1" applyFill="1" applyBorder="1"/>
    <xf numFmtId="0" fontId="4" fillId="15" borderId="0" xfId="0" quotePrefix="1" applyFont="1" applyFill="1" applyAlignment="1">
      <alignment horizontal="center" vertical="top" wrapText="1"/>
    </xf>
    <xf numFmtId="0" fontId="263" fillId="15" borderId="0" xfId="0" applyFont="1" applyFill="1" applyAlignment="1">
      <alignment horizontal="left" vertical="center"/>
    </xf>
    <xf numFmtId="0" fontId="201" fillId="15" borderId="0" xfId="0" applyFont="1" applyFill="1" applyAlignment="1">
      <alignment vertical="center"/>
    </xf>
    <xf numFmtId="0" fontId="201" fillId="15" borderId="0" xfId="0" applyFont="1" applyFill="1" applyAlignment="1">
      <alignment horizontal="left" vertical="center"/>
    </xf>
    <xf numFmtId="0" fontId="6" fillId="15" borderId="0" xfId="0" applyFont="1" applyFill="1" applyAlignment="1">
      <alignment horizontal="left" vertical="center"/>
    </xf>
    <xf numFmtId="0" fontId="201" fillId="15" borderId="0" xfId="0" applyFont="1" applyFill="1" applyAlignment="1">
      <alignment horizontal="left"/>
    </xf>
    <xf numFmtId="0" fontId="4" fillId="19" borderId="3" xfId="0" applyFont="1" applyFill="1" applyBorder="1" applyAlignment="1">
      <alignment horizontal="center" vertical="center"/>
    </xf>
    <xf numFmtId="0" fontId="4" fillId="19" borderId="24" xfId="0" applyFont="1" applyFill="1" applyBorder="1" applyAlignment="1">
      <alignment horizontal="center" vertical="center"/>
    </xf>
    <xf numFmtId="3" fontId="4" fillId="15" borderId="3" xfId="0" applyNumberFormat="1" applyFont="1" applyFill="1" applyBorder="1" applyAlignment="1">
      <alignment vertical="center" wrapText="1"/>
    </xf>
    <xf numFmtId="3" fontId="0" fillId="15" borderId="0" xfId="0" applyNumberFormat="1" applyFill="1" applyAlignment="1">
      <alignment vertical="center" wrapText="1"/>
    </xf>
    <xf numFmtId="0" fontId="201" fillId="15" borderId="0" xfId="0" applyFont="1" applyFill="1"/>
    <xf numFmtId="0" fontId="201" fillId="15" borderId="0" xfId="0" applyFont="1" applyFill="1" applyAlignment="1">
      <alignment horizontal="center" vertical="center"/>
    </xf>
    <xf numFmtId="0" fontId="0" fillId="15" borderId="30" xfId="0" applyFill="1" applyBorder="1" applyAlignment="1">
      <alignment vertical="center"/>
    </xf>
    <xf numFmtId="0" fontId="0" fillId="15" borderId="14" xfId="0" applyFill="1" applyBorder="1" applyAlignment="1">
      <alignment vertical="center"/>
    </xf>
    <xf numFmtId="0" fontId="4" fillId="15" borderId="0" xfId="0" applyFont="1" applyFill="1" applyAlignment="1">
      <alignment horizontal="right" vertical="top" wrapText="1"/>
    </xf>
    <xf numFmtId="0" fontId="202" fillId="15" borderId="0" xfId="0" applyFont="1" applyFill="1" applyAlignment="1">
      <alignment horizontal="center" vertical="center"/>
    </xf>
    <xf numFmtId="0" fontId="9" fillId="23" borderId="0" xfId="0" applyFont="1" applyFill="1" applyAlignment="1">
      <alignment horizontal="center" vertical="center"/>
    </xf>
    <xf numFmtId="0" fontId="200" fillId="15" borderId="0" xfId="0" applyFont="1" applyFill="1" applyAlignment="1">
      <alignment horizontal="right"/>
    </xf>
    <xf numFmtId="0" fontId="263" fillId="15" borderId="0" xfId="0" applyFont="1" applyFill="1" applyAlignment="1">
      <alignment horizontal="left"/>
    </xf>
    <xf numFmtId="0" fontId="4" fillId="15" borderId="0" xfId="0" applyFont="1" applyFill="1" applyAlignment="1">
      <alignment horizontal="center" vertical="top" wrapText="1"/>
    </xf>
    <xf numFmtId="0" fontId="4" fillId="15" borderId="0" xfId="0" quotePrefix="1" applyFont="1" applyFill="1" applyAlignment="1">
      <alignment horizontal="center" vertical="center" wrapText="1"/>
    </xf>
    <xf numFmtId="0" fontId="0" fillId="19" borderId="30" xfId="0" applyFill="1" applyBorder="1" applyAlignment="1">
      <alignment vertical="center"/>
    </xf>
    <xf numFmtId="0" fontId="0" fillId="19" borderId="14" xfId="0" applyFill="1" applyBorder="1" applyAlignment="1">
      <alignment vertical="center"/>
    </xf>
    <xf numFmtId="0" fontId="4" fillId="15" borderId="0" xfId="0" applyFont="1" applyFill="1" applyAlignment="1">
      <alignment horizontal="center" vertical="center" wrapText="1"/>
    </xf>
    <xf numFmtId="0" fontId="0" fillId="19" borderId="3" xfId="0" applyFill="1" applyBorder="1" applyAlignment="1">
      <alignment vertical="center"/>
    </xf>
    <xf numFmtId="0" fontId="0" fillId="19" borderId="24" xfId="0" applyFill="1" applyBorder="1" applyAlignment="1">
      <alignment vertical="center"/>
    </xf>
    <xf numFmtId="0" fontId="110" fillId="15" borderId="3" xfId="0" applyFont="1" applyFill="1" applyBorder="1" applyAlignment="1">
      <alignment horizontal="center" vertical="center"/>
    </xf>
    <xf numFmtId="0" fontId="110" fillId="15" borderId="0" xfId="0" applyFont="1" applyFill="1" applyAlignment="1">
      <alignment horizontal="center" vertical="center"/>
    </xf>
    <xf numFmtId="0" fontId="6" fillId="19" borderId="3" xfId="0" applyFont="1" applyFill="1" applyBorder="1" applyAlignment="1">
      <alignment horizontal="left" vertical="center"/>
    </xf>
    <xf numFmtId="0" fontId="6" fillId="19" borderId="24" xfId="0" applyFont="1" applyFill="1" applyBorder="1" applyAlignment="1">
      <alignment horizontal="left" vertical="center"/>
    </xf>
    <xf numFmtId="0" fontId="263" fillId="15" borderId="0" xfId="0" applyFont="1" applyFill="1"/>
    <xf numFmtId="0" fontId="6" fillId="23" borderId="0" xfId="0" applyFont="1" applyFill="1"/>
    <xf numFmtId="0" fontId="4" fillId="15" borderId="0" xfId="0" quotePrefix="1" applyFont="1" applyFill="1" applyAlignment="1">
      <alignment horizontal="center" wrapText="1"/>
    </xf>
    <xf numFmtId="0" fontId="284" fillId="23" borderId="0" xfId="0" applyFont="1" applyFill="1" applyAlignment="1">
      <alignment horizontal="center" vertical="center"/>
    </xf>
    <xf numFmtId="0" fontId="264" fillId="15" borderId="0" xfId="0" applyFont="1" applyFill="1" applyAlignment="1">
      <alignment horizontal="left" vertical="center"/>
    </xf>
    <xf numFmtId="0" fontId="112" fillId="0" borderId="0" xfId="0" applyFont="1" applyAlignment="1">
      <alignment vertical="center"/>
    </xf>
    <xf numFmtId="0" fontId="110" fillId="15" borderId="0" xfId="0" applyFont="1" applyFill="1" applyAlignment="1">
      <alignment vertical="center"/>
    </xf>
    <xf numFmtId="0" fontId="110" fillId="0" borderId="0" xfId="0" applyFont="1" applyAlignment="1">
      <alignment vertical="center"/>
    </xf>
    <xf numFmtId="0" fontId="110" fillId="15" borderId="24" xfId="0" applyFont="1" applyFill="1" applyBorder="1" applyAlignment="1">
      <alignment vertical="center"/>
    </xf>
    <xf numFmtId="0" fontId="4" fillId="19" borderId="0" xfId="0" applyFont="1" applyFill="1" applyAlignment="1">
      <alignment horizontal="center" vertical="center"/>
    </xf>
    <xf numFmtId="0" fontId="4" fillId="15" borderId="0" xfId="0" applyFont="1" applyFill="1" applyAlignment="1">
      <alignment horizontal="left" vertical="center"/>
    </xf>
    <xf numFmtId="0" fontId="263" fillId="15" borderId="0" xfId="0" applyFont="1" applyFill="1" applyAlignment="1">
      <alignment horizontal="center" vertical="center"/>
    </xf>
    <xf numFmtId="0" fontId="264" fillId="15" borderId="0" xfId="0" applyFont="1" applyFill="1" applyAlignment="1">
      <alignment horizontal="center" vertical="center"/>
    </xf>
    <xf numFmtId="0" fontId="0" fillId="15" borderId="24" xfId="0" applyFill="1" applyBorder="1" applyAlignment="1">
      <alignment horizontal="center" vertical="center"/>
    </xf>
    <xf numFmtId="0" fontId="263" fillId="15" borderId="0" xfId="0" applyFont="1" applyFill="1" applyAlignment="1">
      <alignment vertical="center"/>
    </xf>
    <xf numFmtId="0" fontId="6" fillId="15" borderId="7" xfId="0" applyFont="1" applyFill="1" applyBorder="1" applyAlignment="1">
      <alignment horizontal="left" vertical="center"/>
    </xf>
    <xf numFmtId="0" fontId="264" fillId="15" borderId="7" xfId="0" applyFont="1" applyFill="1" applyBorder="1" applyAlignment="1">
      <alignment horizontal="left" vertical="center"/>
    </xf>
    <xf numFmtId="0" fontId="263" fillId="15" borderId="7" xfId="0" applyFont="1" applyFill="1" applyBorder="1" applyAlignment="1">
      <alignment horizontal="left" vertical="center"/>
    </xf>
    <xf numFmtId="0" fontId="263" fillId="15" borderId="7" xfId="0" applyFont="1" applyFill="1" applyBorder="1" applyAlignment="1">
      <alignment horizontal="center" vertical="center"/>
    </xf>
    <xf numFmtId="0" fontId="201" fillId="15" borderId="7" xfId="0" applyFont="1" applyFill="1" applyBorder="1" applyAlignment="1">
      <alignment horizontal="center" vertical="center"/>
    </xf>
    <xf numFmtId="0" fontId="110" fillId="15" borderId="7" xfId="0" applyFont="1" applyFill="1" applyBorder="1" applyAlignment="1">
      <alignment vertical="center"/>
    </xf>
    <xf numFmtId="0" fontId="4" fillId="15" borderId="7" xfId="0" applyFont="1" applyFill="1" applyBorder="1" applyAlignment="1">
      <alignment horizontal="center" vertical="center"/>
    </xf>
    <xf numFmtId="0" fontId="4" fillId="15" borderId="4" xfId="0" applyFont="1" applyFill="1" applyBorder="1" applyAlignment="1">
      <alignment horizontal="center" vertical="center"/>
    </xf>
    <xf numFmtId="0" fontId="9" fillId="15" borderId="7" xfId="0" applyFont="1" applyFill="1" applyBorder="1" applyAlignment="1">
      <alignment horizontal="left" vertical="center"/>
    </xf>
    <xf numFmtId="0" fontId="0" fillId="15" borderId="7" xfId="0" applyFill="1" applyBorder="1" applyAlignment="1">
      <alignment horizontal="right" vertical="center"/>
    </xf>
    <xf numFmtId="0" fontId="8" fillId="15" borderId="7" xfId="0" applyFont="1" applyFill="1" applyBorder="1" applyAlignment="1">
      <alignment horizontal="center" vertical="center"/>
    </xf>
    <xf numFmtId="0" fontId="6" fillId="15" borderId="0" xfId="0" applyFont="1" applyFill="1" applyAlignment="1">
      <alignment horizontal="right" vertical="center"/>
    </xf>
    <xf numFmtId="0" fontId="8" fillId="23" borderId="0" xfId="0" applyFont="1" applyFill="1" applyAlignment="1">
      <alignment horizontal="center"/>
    </xf>
    <xf numFmtId="0" fontId="8" fillId="15" borderId="13" xfId="0" applyFont="1" applyFill="1" applyBorder="1" applyAlignment="1">
      <alignment horizontal="left"/>
    </xf>
    <xf numFmtId="0" fontId="0" fillId="15" borderId="13" xfId="0" applyFill="1" applyBorder="1" applyAlignment="1">
      <alignment horizontal="right" vertical="center"/>
    </xf>
    <xf numFmtId="0" fontId="0" fillId="15" borderId="13" xfId="0" applyFill="1" applyBorder="1" applyAlignment="1">
      <alignment vertical="center"/>
    </xf>
    <xf numFmtId="0" fontId="8" fillId="15" borderId="13" xfId="0" applyFont="1" applyFill="1" applyBorder="1" applyAlignment="1">
      <alignment vertical="center"/>
    </xf>
    <xf numFmtId="0" fontId="8" fillId="15" borderId="13" xfId="0" applyFont="1" applyFill="1" applyBorder="1" applyAlignment="1">
      <alignment horizontal="center" vertical="center"/>
    </xf>
    <xf numFmtId="0" fontId="6" fillId="15" borderId="13" xfId="0" applyFont="1" applyFill="1" applyBorder="1" applyAlignment="1">
      <alignment horizontal="right" vertical="center"/>
    </xf>
    <xf numFmtId="0" fontId="9" fillId="15" borderId="13" xfId="0" applyFont="1" applyFill="1" applyBorder="1" applyAlignment="1">
      <alignment horizontal="right" vertical="center"/>
    </xf>
    <xf numFmtId="0" fontId="10" fillId="23" borderId="0" xfId="0" applyFont="1" applyFill="1" applyAlignment="1">
      <alignment horizontal="center"/>
    </xf>
    <xf numFmtId="0" fontId="11" fillId="15" borderId="1" xfId="0" applyFont="1" applyFill="1" applyBorder="1" applyAlignment="1">
      <alignment horizontal="left" indent="1"/>
    </xf>
    <xf numFmtId="0" fontId="14" fillId="15" borderId="27" xfId="0" applyFont="1" applyFill="1" applyBorder="1"/>
    <xf numFmtId="0" fontId="158" fillId="23" borderId="0" xfId="0" applyFont="1" applyFill="1" applyAlignment="1">
      <alignment horizontal="center"/>
    </xf>
    <xf numFmtId="0" fontId="264" fillId="15" borderId="25" xfId="0" applyFont="1" applyFill="1" applyBorder="1" applyAlignment="1">
      <alignment horizontal="left" vertical="center"/>
    </xf>
    <xf numFmtId="0" fontId="0" fillId="15" borderId="25" xfId="0" applyFill="1" applyBorder="1" applyAlignment="1">
      <alignment horizontal="right" vertical="center"/>
    </xf>
    <xf numFmtId="0" fontId="0" fillId="15" borderId="25" xfId="0" applyFill="1" applyBorder="1" applyAlignment="1">
      <alignment vertical="center"/>
    </xf>
    <xf numFmtId="0" fontId="8" fillId="15" borderId="25" xfId="0" applyFont="1" applyFill="1" applyBorder="1" applyAlignment="1">
      <alignment vertical="center"/>
    </xf>
    <xf numFmtId="0" fontId="15" fillId="23" borderId="0" xfId="0" applyFont="1" applyFill="1" applyAlignment="1">
      <alignment horizontal="center"/>
    </xf>
    <xf numFmtId="0" fontId="0" fillId="15" borderId="8" xfId="0" applyFill="1" applyBorder="1" applyAlignment="1">
      <alignment horizontal="right" vertical="center"/>
    </xf>
    <xf numFmtId="0" fontId="0" fillId="15" borderId="0" xfId="0" applyFill="1" applyAlignment="1">
      <alignment horizontal="right" vertical="center"/>
    </xf>
    <xf numFmtId="0" fontId="4" fillId="15" borderId="24" xfId="0" applyFont="1" applyFill="1" applyBorder="1" applyAlignment="1">
      <alignment horizontal="right" vertical="center"/>
    </xf>
    <xf numFmtId="37" fontId="8" fillId="15" borderId="0" xfId="0" applyNumberFormat="1" applyFont="1" applyFill="1" applyAlignment="1">
      <alignment vertical="center"/>
    </xf>
    <xf numFmtId="37" fontId="180" fillId="15" borderId="0" xfId="0" applyNumberFormat="1" applyFont="1" applyFill="1" applyAlignment="1">
      <alignment vertical="center"/>
    </xf>
    <xf numFmtId="0" fontId="146" fillId="15" borderId="0" xfId="0" applyFont="1" applyFill="1" applyAlignment="1">
      <alignment vertical="center"/>
    </xf>
    <xf numFmtId="0" fontId="283" fillId="23" borderId="0" xfId="0" applyFont="1" applyFill="1" applyAlignment="1">
      <alignment horizontal="center" vertical="center"/>
    </xf>
    <xf numFmtId="0" fontId="263" fillId="15" borderId="0" xfId="0" applyFont="1" applyFill="1" applyAlignment="1">
      <alignment horizontal="right" vertical="center"/>
    </xf>
    <xf numFmtId="0" fontId="264" fillId="15" borderId="0" xfId="0" applyFont="1" applyFill="1" applyAlignment="1">
      <alignment vertical="center"/>
    </xf>
    <xf numFmtId="0" fontId="0" fillId="19" borderId="3" xfId="0" applyFill="1" applyBorder="1" applyAlignment="1">
      <alignment horizontal="left" vertical="center"/>
    </xf>
    <xf numFmtId="0" fontId="0" fillId="19" borderId="24" xfId="0" applyFill="1" applyBorder="1" applyAlignment="1">
      <alignment horizontal="left" vertical="center"/>
    </xf>
    <xf numFmtId="0" fontId="4" fillId="15" borderId="0" xfId="0" quotePrefix="1" applyFont="1" applyFill="1" applyAlignment="1">
      <alignment horizontal="right" vertical="center"/>
    </xf>
    <xf numFmtId="0" fontId="0" fillId="19" borderId="30" xfId="0" applyFill="1" applyBorder="1" applyAlignment="1">
      <alignment horizontal="left" vertical="center"/>
    </xf>
    <xf numFmtId="0" fontId="0" fillId="19" borderId="14" xfId="0" applyFill="1" applyBorder="1" applyAlignment="1">
      <alignment horizontal="left" vertical="center"/>
    </xf>
    <xf numFmtId="0" fontId="116" fillId="15" borderId="0" xfId="0" applyFont="1" applyFill="1" applyAlignment="1">
      <alignment vertical="center"/>
    </xf>
    <xf numFmtId="0" fontId="110" fillId="15" borderId="8" xfId="0" applyFont="1" applyFill="1" applyBorder="1" applyAlignment="1">
      <alignment vertical="center"/>
    </xf>
    <xf numFmtId="0" fontId="0" fillId="19" borderId="8" xfId="0" applyFill="1" applyBorder="1" applyAlignment="1">
      <alignment vertical="center"/>
    </xf>
    <xf numFmtId="0" fontId="6" fillId="19" borderId="8" xfId="0" applyFont="1" applyFill="1" applyBorder="1" applyAlignment="1">
      <alignment horizontal="right" vertical="center"/>
    </xf>
    <xf numFmtId="0" fontId="9" fillId="19" borderId="8" xfId="0" applyFont="1" applyFill="1" applyBorder="1" applyAlignment="1">
      <alignment horizontal="right" vertical="center"/>
    </xf>
    <xf numFmtId="0" fontId="264" fillId="15" borderId="0" xfId="0" applyFont="1" applyFill="1" applyAlignment="1">
      <alignment horizontal="left" vertical="center" indent="1"/>
    </xf>
    <xf numFmtId="0" fontId="0" fillId="19" borderId="0" xfId="0" applyFill="1" applyAlignment="1">
      <alignment vertical="center"/>
    </xf>
    <xf numFmtId="0" fontId="6" fillId="19" borderId="0" xfId="0" applyFont="1" applyFill="1" applyAlignment="1">
      <alignment horizontal="right" vertical="center"/>
    </xf>
    <xf numFmtId="0" fontId="9" fillId="19" borderId="0" xfId="0" applyFont="1" applyFill="1" applyAlignment="1">
      <alignment horizontal="right" vertical="center"/>
    </xf>
    <xf numFmtId="0" fontId="10" fillId="23" borderId="0" xfId="0" applyFont="1" applyFill="1" applyAlignment="1">
      <alignment horizontal="center" vertical="top"/>
    </xf>
    <xf numFmtId="0" fontId="4" fillId="15" borderId="4" xfId="0" applyFont="1" applyFill="1" applyBorder="1" applyAlignment="1">
      <alignment horizontal="right" vertical="center"/>
    </xf>
    <xf numFmtId="0" fontId="6" fillId="15" borderId="4" xfId="0" applyFont="1" applyFill="1" applyBorder="1" applyAlignment="1">
      <alignment horizontal="right" vertical="center"/>
    </xf>
    <xf numFmtId="0" fontId="0" fillId="15" borderId="4" xfId="0" applyFill="1" applyBorder="1" applyAlignment="1">
      <alignment vertical="center"/>
    </xf>
    <xf numFmtId="0" fontId="263" fillId="15" borderId="4" xfId="0" applyFont="1" applyFill="1" applyBorder="1" applyAlignment="1">
      <alignment vertical="center"/>
    </xf>
    <xf numFmtId="0" fontId="115" fillId="15" borderId="4" xfId="0" applyFont="1" applyFill="1" applyBorder="1" applyAlignment="1">
      <alignment vertical="center"/>
    </xf>
    <xf numFmtId="0" fontId="115" fillId="15" borderId="4" xfId="0" applyFont="1" applyFill="1" applyBorder="1" applyAlignment="1">
      <alignment horizontal="center" vertical="center"/>
    </xf>
    <xf numFmtId="0" fontId="109" fillId="15" borderId="4" xfId="0" applyFont="1" applyFill="1" applyBorder="1" applyAlignment="1">
      <alignment vertical="center"/>
    </xf>
    <xf numFmtId="0" fontId="0" fillId="19" borderId="69" xfId="0" applyFill="1" applyBorder="1" applyAlignment="1">
      <alignment vertical="center"/>
    </xf>
    <xf numFmtId="0" fontId="0" fillId="19" borderId="4" xfId="0" applyFill="1" applyBorder="1" applyAlignment="1">
      <alignment vertical="center"/>
    </xf>
    <xf numFmtId="0" fontId="6" fillId="19" borderId="4" xfId="0" applyFont="1" applyFill="1" applyBorder="1" applyAlignment="1">
      <alignment horizontal="right" vertical="center"/>
    </xf>
    <xf numFmtId="0" fontId="9" fillId="19" borderId="4" xfId="0" applyFont="1" applyFill="1" applyBorder="1" applyAlignment="1">
      <alignment horizontal="right" vertical="center"/>
    </xf>
    <xf numFmtId="0" fontId="110" fillId="15" borderId="27" xfId="0" applyFont="1" applyFill="1" applyBorder="1"/>
    <xf numFmtId="0" fontId="8" fillId="15" borderId="4" xfId="0" applyFont="1" applyFill="1" applyBorder="1" applyAlignment="1">
      <alignment vertical="center"/>
    </xf>
    <xf numFmtId="0" fontId="8" fillId="15" borderId="4" xfId="0" applyFont="1" applyFill="1" applyBorder="1" applyAlignment="1">
      <alignment horizontal="center" vertical="center"/>
    </xf>
    <xf numFmtId="0" fontId="0" fillId="19" borderId="52" xfId="0" applyFill="1" applyBorder="1" applyAlignment="1">
      <alignment vertical="center"/>
    </xf>
    <xf numFmtId="0" fontId="0" fillId="19" borderId="31" xfId="0" applyFill="1" applyBorder="1" applyAlignment="1">
      <alignment vertical="center"/>
    </xf>
    <xf numFmtId="0" fontId="4" fillId="15" borderId="99" xfId="0" quotePrefix="1" applyFont="1" applyFill="1" applyBorder="1" applyAlignment="1">
      <alignment horizontal="right" vertical="center"/>
    </xf>
    <xf numFmtId="0" fontId="6" fillId="15" borderId="99" xfId="0" applyFont="1" applyFill="1" applyBorder="1" applyAlignment="1">
      <alignment horizontal="right" vertical="center"/>
    </xf>
    <xf numFmtId="0" fontId="264" fillId="15" borderId="99" xfId="0" applyFont="1" applyFill="1" applyBorder="1" applyAlignment="1">
      <alignment vertical="center"/>
    </xf>
    <xf numFmtId="0" fontId="0" fillId="15" borderId="99" xfId="0" applyFill="1" applyBorder="1" applyAlignment="1">
      <alignment vertical="center"/>
    </xf>
    <xf numFmtId="0" fontId="8" fillId="15" borderId="99" xfId="0" applyFont="1" applyFill="1" applyBorder="1" applyAlignment="1">
      <alignment vertical="center"/>
    </xf>
    <xf numFmtId="0" fontId="8" fillId="15" borderId="99" xfId="0" applyFont="1" applyFill="1" applyBorder="1" applyAlignment="1">
      <alignment horizontal="center" vertical="center"/>
    </xf>
    <xf numFmtId="0" fontId="4" fillId="15" borderId="16" xfId="0" applyFont="1" applyFill="1" applyBorder="1" applyAlignment="1">
      <alignment horizontal="right" vertical="center"/>
    </xf>
    <xf numFmtId="0" fontId="0" fillId="15" borderId="16" xfId="0" applyFill="1" applyBorder="1" applyAlignment="1">
      <alignment vertical="center"/>
    </xf>
    <xf numFmtId="0" fontId="8" fillId="15" borderId="16" xfId="0" applyFont="1" applyFill="1" applyBorder="1" applyAlignment="1">
      <alignment vertical="center"/>
    </xf>
    <xf numFmtId="0" fontId="8" fillId="15" borderId="16" xfId="0" applyFont="1" applyFill="1" applyBorder="1" applyAlignment="1">
      <alignment horizontal="center" vertical="center"/>
    </xf>
    <xf numFmtId="0" fontId="9" fillId="15" borderId="16" xfId="0" applyFont="1" applyFill="1" applyBorder="1" applyAlignment="1">
      <alignment horizontal="right" vertical="center"/>
    </xf>
    <xf numFmtId="0" fontId="8" fillId="15" borderId="13" xfId="0" applyFont="1" applyFill="1" applyBorder="1"/>
    <xf numFmtId="0" fontId="9" fillId="15" borderId="0" xfId="0" quotePrefix="1" applyFont="1" applyFill="1" applyAlignment="1">
      <alignment horizontal="center"/>
    </xf>
    <xf numFmtId="0" fontId="203" fillId="15" borderId="0" xfId="0" applyFont="1" applyFill="1" applyAlignment="1">
      <alignment horizontal="right"/>
    </xf>
    <xf numFmtId="0" fontId="122" fillId="15" borderId="0" xfId="0" quotePrefix="1" applyFont="1" applyFill="1" applyAlignment="1">
      <alignment horizontal="center"/>
    </xf>
    <xf numFmtId="0" fontId="311" fillId="15" borderId="0" xfId="0" applyFont="1" applyFill="1"/>
    <xf numFmtId="0" fontId="158" fillId="23" borderId="2" xfId="0" applyFont="1" applyFill="1" applyBorder="1" applyAlignment="1">
      <alignment horizontal="center" vertical="center"/>
    </xf>
    <xf numFmtId="0" fontId="116" fillId="15" borderId="0" xfId="0" quotePrefix="1" applyFont="1" applyFill="1" applyAlignment="1">
      <alignment horizontal="center"/>
    </xf>
    <xf numFmtId="0" fontId="8" fillId="15" borderId="0" xfId="0" quotePrefix="1" applyFont="1" applyFill="1" applyAlignment="1">
      <alignment horizontal="center"/>
    </xf>
    <xf numFmtId="0" fontId="6" fillId="23" borderId="0" xfId="0" quotePrefix="1" applyFont="1" applyFill="1"/>
    <xf numFmtId="0" fontId="206" fillId="23" borderId="0" xfId="0" applyFont="1" applyFill="1" applyAlignment="1">
      <alignment horizontal="center"/>
    </xf>
    <xf numFmtId="0" fontId="8" fillId="15" borderId="0" xfId="0" applyFont="1" applyFill="1" applyAlignment="1">
      <alignment horizontal="center"/>
    </xf>
    <xf numFmtId="0" fontId="8" fillId="15" borderId="0" xfId="0" quotePrefix="1" applyFont="1" applyFill="1"/>
    <xf numFmtId="0" fontId="0" fillId="23" borderId="0" xfId="0" applyFill="1" applyAlignment="1">
      <alignment horizontal="center"/>
    </xf>
    <xf numFmtId="0" fontId="4" fillId="23" borderId="0" xfId="0" applyFont="1" applyFill="1"/>
    <xf numFmtId="0" fontId="8" fillId="15" borderId="0" xfId="0" quotePrefix="1" applyFont="1" applyFill="1" applyAlignment="1">
      <alignment vertical="top"/>
    </xf>
    <xf numFmtId="0" fontId="9" fillId="15" borderId="13" xfId="0" quotePrefix="1" applyFont="1" applyFill="1" applyBorder="1" applyAlignment="1">
      <alignment horizontal="center"/>
    </xf>
    <xf numFmtId="0" fontId="8" fillId="15" borderId="8" xfId="0" applyFont="1" applyFill="1" applyBorder="1"/>
    <xf numFmtId="0" fontId="9" fillId="15" borderId="0" xfId="0" quotePrefix="1" applyFont="1" applyFill="1"/>
    <xf numFmtId="0" fontId="11" fillId="15" borderId="4" xfId="0" applyFont="1" applyFill="1" applyBorder="1" applyAlignment="1">
      <alignment vertical="top"/>
    </xf>
    <xf numFmtId="0" fontId="8" fillId="15" borderId="4" xfId="0" applyFont="1" applyFill="1" applyBorder="1"/>
    <xf numFmtId="0" fontId="8" fillId="15" borderId="7" xfId="0" applyFont="1" applyFill="1" applyBorder="1"/>
    <xf numFmtId="0" fontId="282" fillId="15" borderId="0" xfId="0" applyFont="1" applyFill="1" applyAlignment="1">
      <alignment horizontal="center" vertical="center"/>
    </xf>
    <xf numFmtId="0" fontId="37" fillId="15" borderId="0" xfId="0" applyFont="1" applyFill="1"/>
    <xf numFmtId="0" fontId="9" fillId="15" borderId="12" xfId="0" quotePrefix="1" applyFont="1" applyFill="1" applyBorder="1" applyAlignment="1">
      <alignment horizontal="center" vertical="center"/>
    </xf>
    <xf numFmtId="0" fontId="8" fillId="15" borderId="1" xfId="0" applyFont="1" applyFill="1" applyBorder="1"/>
    <xf numFmtId="0" fontId="9" fillId="15" borderId="0" xfId="0" quotePrefix="1" applyFont="1" applyFill="1" applyAlignment="1">
      <alignment horizontal="center" vertical="center"/>
    </xf>
    <xf numFmtId="37" fontId="116" fillId="15" borderId="0" xfId="0" applyNumberFormat="1" applyFont="1" applyFill="1" applyAlignment="1">
      <alignment vertical="center"/>
    </xf>
    <xf numFmtId="0" fontId="4" fillId="15" borderId="2" xfId="0" applyFont="1" applyFill="1" applyBorder="1" applyAlignment="1">
      <alignment horizontal="center" vertical="center"/>
    </xf>
    <xf numFmtId="0" fontId="10" fillId="15" borderId="0" xfId="0" applyFont="1" applyFill="1" applyAlignment="1">
      <alignment vertical="center" wrapText="1"/>
    </xf>
    <xf numFmtId="37" fontId="9" fillId="23" borderId="0" xfId="0" applyNumberFormat="1" applyFont="1" applyFill="1" applyAlignment="1">
      <alignment horizontal="right"/>
    </xf>
    <xf numFmtId="0" fontId="11" fillId="15" borderId="0" xfId="0" applyFont="1" applyFill="1" applyAlignment="1">
      <alignment vertical="top"/>
    </xf>
    <xf numFmtId="0" fontId="11" fillId="15" borderId="16" xfId="0" applyFont="1" applyFill="1" applyBorder="1" applyAlignment="1">
      <alignment vertical="top"/>
    </xf>
    <xf numFmtId="0" fontId="8" fillId="15" borderId="16" xfId="0" applyFont="1" applyFill="1" applyBorder="1"/>
    <xf numFmtId="37" fontId="9" fillId="15" borderId="0" xfId="0" applyNumberFormat="1" applyFont="1" applyFill="1" applyAlignment="1">
      <alignment vertical="center"/>
    </xf>
    <xf numFmtId="37" fontId="9" fillId="15" borderId="0" xfId="0" applyNumberFormat="1" applyFont="1" applyFill="1" applyAlignment="1">
      <alignment horizontal="right" vertical="center"/>
    </xf>
    <xf numFmtId="0" fontId="9" fillId="15" borderId="2" xfId="0" applyFont="1" applyFill="1" applyBorder="1" applyAlignment="1">
      <alignment horizontal="center" vertical="center"/>
    </xf>
    <xf numFmtId="0" fontId="14" fillId="15" borderId="0" xfId="0" applyFont="1" applyFill="1" applyAlignment="1">
      <alignment horizontal="center" vertical="top"/>
    </xf>
    <xf numFmtId="0" fontId="37" fillId="15" borderId="0" xfId="0" applyFont="1" applyFill="1" applyAlignment="1">
      <alignment vertical="top"/>
    </xf>
    <xf numFmtId="0" fontId="9" fillId="23" borderId="0" xfId="0" applyFont="1" applyFill="1" applyAlignment="1">
      <alignment horizontal="center"/>
    </xf>
    <xf numFmtId="0" fontId="4" fillId="3" borderId="100" xfId="0" applyFont="1" applyFill="1" applyBorder="1" applyAlignment="1" applyProtection="1">
      <alignment horizontal="left" indent="1"/>
      <protection hidden="1"/>
    </xf>
    <xf numFmtId="5" fontId="6" fillId="3" borderId="0" xfId="0" applyNumberFormat="1" applyFont="1" applyFill="1" applyProtection="1">
      <protection hidden="1"/>
    </xf>
    <xf numFmtId="0" fontId="4" fillId="19" borderId="0" xfId="0" applyFont="1" applyFill="1" applyAlignment="1">
      <alignment horizontal="right"/>
    </xf>
    <xf numFmtId="0" fontId="6" fillId="15" borderId="7" xfId="0" applyFont="1" applyFill="1" applyBorder="1" applyAlignment="1">
      <alignment horizontal="left" vertical="center" indent="1"/>
    </xf>
    <xf numFmtId="0" fontId="239" fillId="5" borderId="0" xfId="0" applyFont="1" applyFill="1" applyAlignment="1">
      <alignment horizontal="center"/>
    </xf>
    <xf numFmtId="0" fontId="241" fillId="15" borderId="8" xfId="0" applyFont="1" applyFill="1" applyBorder="1" applyAlignment="1">
      <alignment vertical="center"/>
    </xf>
    <xf numFmtId="0" fontId="5" fillId="15" borderId="8" xfId="0" applyFont="1" applyFill="1" applyBorder="1"/>
    <xf numFmtId="0" fontId="5" fillId="0" borderId="0" xfId="0" applyFont="1"/>
    <xf numFmtId="0" fontId="241" fillId="15" borderId="1" xfId="0" applyFont="1" applyFill="1" applyBorder="1" applyAlignment="1">
      <alignment vertical="center"/>
    </xf>
    <xf numFmtId="39" fontId="23" fillId="15" borderId="1" xfId="0" applyNumberFormat="1" applyFont="1" applyFill="1" applyBorder="1" applyAlignment="1">
      <alignment horizontal="left" vertical="top"/>
    </xf>
    <xf numFmtId="0" fontId="188" fillId="15" borderId="1" xfId="0" applyFont="1" applyFill="1" applyBorder="1" applyAlignment="1">
      <alignment vertical="center"/>
    </xf>
    <xf numFmtId="0" fontId="5" fillId="15" borderId="1" xfId="0" applyFont="1" applyFill="1" applyBorder="1"/>
    <xf numFmtId="0" fontId="14" fillId="15" borderId="0" xfId="0" applyFont="1" applyFill="1" applyAlignment="1">
      <alignment horizontal="left"/>
    </xf>
    <xf numFmtId="0" fontId="14" fillId="15" borderId="0" xfId="0" quotePrefix="1" applyFont="1" applyFill="1" applyAlignment="1">
      <alignment horizontal="left"/>
    </xf>
    <xf numFmtId="0" fontId="47" fillId="15" borderId="0" xfId="0" quotePrefix="1" applyFont="1" applyFill="1" applyAlignment="1">
      <alignment horizontal="center"/>
    </xf>
    <xf numFmtId="37" fontId="8" fillId="14" borderId="0" xfId="0" applyNumberFormat="1" applyFont="1" applyFill="1" applyAlignment="1">
      <alignment horizontal="right"/>
    </xf>
    <xf numFmtId="37" fontId="47" fillId="14" borderId="0" xfId="0" applyNumberFormat="1" applyFont="1" applyFill="1" applyAlignment="1">
      <alignment horizontal="right"/>
    </xf>
    <xf numFmtId="0" fontId="47" fillId="15" borderId="1" xfId="0" quotePrefix="1" applyFont="1" applyFill="1" applyBorder="1" applyAlignment="1">
      <alignment horizontal="left"/>
    </xf>
    <xf numFmtId="0" fontId="6" fillId="15" borderId="1" xfId="0" quotePrefix="1" applyFont="1" applyFill="1" applyBorder="1" applyAlignment="1">
      <alignment horizontal="center"/>
    </xf>
    <xf numFmtId="37" fontId="110" fillId="15" borderId="0" xfId="0" applyNumberFormat="1" applyFont="1" applyFill="1" applyAlignment="1">
      <alignment vertical="center"/>
    </xf>
    <xf numFmtId="0" fontId="81" fillId="5" borderId="0" xfId="0" applyFont="1" applyFill="1" applyAlignment="1">
      <alignment horizontal="center" vertical="center"/>
    </xf>
    <xf numFmtId="0" fontId="47" fillId="15" borderId="4" xfId="0" applyFont="1" applyFill="1" applyBorder="1" applyAlignment="1">
      <alignment horizontal="left"/>
    </xf>
    <xf numFmtId="0" fontId="47" fillId="15" borderId="4" xfId="0" applyFont="1" applyFill="1" applyBorder="1" applyAlignment="1">
      <alignment horizontal="center"/>
    </xf>
    <xf numFmtId="0" fontId="6" fillId="2" borderId="4" xfId="0" applyFont="1" applyFill="1" applyBorder="1" applyAlignment="1">
      <alignment horizontal="right"/>
    </xf>
    <xf numFmtId="0" fontId="188" fillId="15" borderId="8" xfId="0" applyFont="1" applyFill="1" applyBorder="1" applyAlignment="1">
      <alignment vertical="center"/>
    </xf>
    <xf numFmtId="0" fontId="14" fillId="15" borderId="0" xfId="0" applyFont="1" applyFill="1" applyAlignment="1">
      <alignment vertical="center"/>
    </xf>
    <xf numFmtId="0" fontId="11" fillId="15" borderId="8" xfId="0" applyFont="1" applyFill="1" applyBorder="1" applyAlignment="1">
      <alignment horizontal="center" vertical="center"/>
    </xf>
    <xf numFmtId="0" fontId="14" fillId="15" borderId="0" xfId="0" applyFont="1" applyFill="1" applyAlignment="1">
      <alignment horizontal="left" vertical="top"/>
    </xf>
    <xf numFmtId="0" fontId="15" fillId="15" borderId="56" xfId="0" applyFont="1" applyFill="1" applyBorder="1" applyAlignment="1">
      <alignment horizontal="left"/>
    </xf>
    <xf numFmtId="39" fontId="23" fillId="15" borderId="0" xfId="0" applyNumberFormat="1" applyFont="1" applyFill="1" applyAlignment="1">
      <alignment horizontal="left"/>
    </xf>
    <xf numFmtId="0" fontId="73" fillId="15" borderId="0" xfId="0" applyFont="1" applyFill="1" applyAlignment="1">
      <alignment vertical="center"/>
    </xf>
    <xf numFmtId="39" fontId="23" fillId="15" borderId="8" xfId="0" applyNumberFormat="1" applyFont="1" applyFill="1" applyBorder="1" applyAlignment="1">
      <alignment horizontal="left" vertical="top"/>
    </xf>
    <xf numFmtId="0" fontId="330" fillId="5" borderId="0" xfId="0" applyFont="1" applyFill="1" applyAlignment="1">
      <alignment horizontal="center"/>
    </xf>
    <xf numFmtId="0" fontId="23" fillId="15" borderId="0" xfId="0" applyFont="1" applyFill="1" applyAlignment="1">
      <alignment vertical="center"/>
    </xf>
    <xf numFmtId="0" fontId="23" fillId="15" borderId="0" xfId="0" applyFont="1" applyFill="1"/>
    <xf numFmtId="39" fontId="23" fillId="0" borderId="0" xfId="0" applyNumberFormat="1" applyFont="1" applyProtection="1">
      <protection locked="0"/>
    </xf>
    <xf numFmtId="0" fontId="23" fillId="0" borderId="0" xfId="0" applyFont="1"/>
    <xf numFmtId="0" fontId="44" fillId="15" borderId="0" xfId="0" applyFont="1" applyFill="1" applyAlignment="1">
      <alignment vertical="center"/>
    </xf>
    <xf numFmtId="0" fontId="254" fillId="15" borderId="0" xfId="0" applyFont="1" applyFill="1" applyAlignment="1">
      <alignment vertical="center"/>
    </xf>
    <xf numFmtId="0" fontId="74" fillId="15" borderId="0" xfId="0" applyFont="1" applyFill="1" applyAlignment="1">
      <alignment vertical="center"/>
    </xf>
    <xf numFmtId="0" fontId="331" fillId="5" borderId="0" xfId="0" applyFont="1" applyFill="1" applyAlignment="1">
      <alignment horizontal="center"/>
    </xf>
    <xf numFmtId="39" fontId="14" fillId="0" borderId="0" xfId="0" applyNumberFormat="1" applyFont="1" applyProtection="1">
      <protection locked="0"/>
    </xf>
    <xf numFmtId="0" fontId="20" fillId="15" borderId="0" xfId="0" applyFont="1" applyFill="1" applyAlignment="1">
      <alignment horizontal="right"/>
    </xf>
    <xf numFmtId="0" fontId="20" fillId="15" borderId="0" xfId="0" applyFont="1" applyFill="1"/>
    <xf numFmtId="37" fontId="11" fillId="15" borderId="9" xfId="0" applyNumberFormat="1" applyFont="1" applyFill="1" applyBorder="1"/>
    <xf numFmtId="37" fontId="11" fillId="15" borderId="1" xfId="0" applyNumberFormat="1" applyFont="1" applyFill="1" applyBorder="1"/>
    <xf numFmtId="37" fontId="11" fillId="15" borderId="3" xfId="0" applyNumberFormat="1" applyFont="1" applyFill="1" applyBorder="1"/>
    <xf numFmtId="37" fontId="11" fillId="15" borderId="30" xfId="0" applyNumberFormat="1" applyFont="1" applyFill="1" applyBorder="1"/>
    <xf numFmtId="37" fontId="11" fillId="15" borderId="8" xfId="0" applyNumberFormat="1" applyFont="1" applyFill="1" applyBorder="1"/>
    <xf numFmtId="37" fontId="20" fillId="16" borderId="12" xfId="0" applyNumberFormat="1" applyFont="1" applyFill="1" applyBorder="1" applyAlignment="1" applyProtection="1">
      <alignment horizontal="center" vertical="center"/>
      <protection locked="0"/>
    </xf>
    <xf numFmtId="37" fontId="20" fillId="27" borderId="12" xfId="0" applyNumberFormat="1" applyFont="1" applyFill="1" applyBorder="1" applyAlignment="1">
      <alignment horizontal="center" vertical="center"/>
    </xf>
    <xf numFmtId="0" fontId="20" fillId="15" borderId="54" xfId="0" applyFont="1" applyFill="1" applyBorder="1" applyAlignment="1" applyProtection="1">
      <alignment horizontal="center" vertical="center"/>
      <protection locked="0"/>
    </xf>
    <xf numFmtId="0" fontId="158" fillId="15" borderId="0" xfId="0" applyFont="1" applyFill="1"/>
    <xf numFmtId="0" fontId="11" fillId="23" borderId="3" xfId="0" applyFont="1" applyFill="1" applyBorder="1" applyAlignment="1">
      <alignment horizontal="center"/>
    </xf>
    <xf numFmtId="0" fontId="11" fillId="23" borderId="24" xfId="0" applyFont="1" applyFill="1" applyBorder="1" applyAlignment="1">
      <alignment horizontal="center"/>
    </xf>
    <xf numFmtId="0" fontId="14" fillId="15" borderId="0" xfId="0" quotePrefix="1" applyFont="1" applyFill="1"/>
    <xf numFmtId="0" fontId="11" fillId="23" borderId="0" xfId="0" applyFont="1" applyFill="1" applyAlignment="1">
      <alignment horizontal="center"/>
    </xf>
    <xf numFmtId="0" fontId="15" fillId="2" borderId="7" xfId="0" applyFont="1" applyFill="1" applyBorder="1" applyAlignment="1">
      <alignment horizontal="left"/>
    </xf>
    <xf numFmtId="0" fontId="6" fillId="2" borderId="7" xfId="0" applyFont="1" applyFill="1" applyBorder="1"/>
    <xf numFmtId="0" fontId="6" fillId="2" borderId="7" xfId="0" applyFont="1" applyFill="1" applyBorder="1" applyAlignment="1">
      <alignment horizontal="right"/>
    </xf>
    <xf numFmtId="0" fontId="14" fillId="2" borderId="7" xfId="0" applyFont="1" applyFill="1" applyBorder="1" applyAlignment="1">
      <alignment horizontal="right"/>
    </xf>
    <xf numFmtId="0" fontId="20" fillId="15" borderId="0" xfId="0" applyFont="1" applyFill="1" applyAlignment="1">
      <alignment horizontal="center" vertical="center"/>
    </xf>
    <xf numFmtId="39" fontId="74" fillId="0" borderId="0" xfId="0" applyNumberFormat="1" applyFont="1" applyProtection="1">
      <protection locked="0"/>
    </xf>
    <xf numFmtId="0" fontId="74" fillId="15" borderId="6" xfId="0" applyFont="1" applyFill="1" applyBorder="1"/>
    <xf numFmtId="0" fontId="20" fillId="15" borderId="10" xfId="0" applyFont="1" applyFill="1" applyBorder="1" applyAlignment="1">
      <alignment horizontal="center" vertical="center"/>
    </xf>
    <xf numFmtId="0" fontId="20" fillId="15" borderId="6" xfId="0" applyFont="1" applyFill="1" applyBorder="1" applyAlignment="1">
      <alignment horizontal="center" vertical="center"/>
    </xf>
    <xf numFmtId="0" fontId="6" fillId="15" borderId="4" xfId="0" quotePrefix="1" applyFont="1" applyFill="1" applyBorder="1" applyAlignment="1">
      <alignment horizontal="left"/>
    </xf>
    <xf numFmtId="0" fontId="20" fillId="15" borderId="0" xfId="0" applyFont="1" applyFill="1" applyAlignment="1">
      <alignment horizontal="right" vertical="center"/>
    </xf>
    <xf numFmtId="0" fontId="47" fillId="15" borderId="8" xfId="0" applyFont="1" applyFill="1" applyBorder="1"/>
    <xf numFmtId="0" fontId="73" fillId="16" borderId="12" xfId="0" applyFont="1" applyFill="1" applyBorder="1" applyAlignment="1" applyProtection="1">
      <alignment horizontal="center" vertical="center"/>
      <protection locked="0"/>
    </xf>
    <xf numFmtId="37" fontId="20" fillId="15" borderId="0" xfId="0" quotePrefix="1" applyNumberFormat="1" applyFont="1" applyFill="1"/>
    <xf numFmtId="37" fontId="20" fillId="15" borderId="24" xfId="0" quotePrefix="1" applyNumberFormat="1" applyFont="1" applyFill="1" applyBorder="1"/>
    <xf numFmtId="0" fontId="20" fillId="15" borderId="9" xfId="0" applyFont="1" applyFill="1" applyBorder="1"/>
    <xf numFmtId="0" fontId="20" fillId="15" borderId="11" xfId="0" applyFont="1" applyFill="1" applyBorder="1"/>
    <xf numFmtId="0" fontId="20" fillId="16" borderId="12" xfId="0" applyFont="1" applyFill="1" applyBorder="1" applyAlignment="1" applyProtection="1">
      <alignment horizontal="center" vertical="center"/>
      <protection locked="0"/>
    </xf>
    <xf numFmtId="37" fontId="20" fillId="15" borderId="2" xfId="0" applyNumberFormat="1" applyFont="1" applyFill="1" applyBorder="1" applyProtection="1">
      <protection locked="0"/>
    </xf>
    <xf numFmtId="39" fontId="110" fillId="0" borderId="0" xfId="0" applyNumberFormat="1" applyFont="1" applyProtection="1">
      <protection locked="0"/>
    </xf>
    <xf numFmtId="39" fontId="332" fillId="0" borderId="0" xfId="0" applyNumberFormat="1" applyFont="1" applyProtection="1">
      <protection locked="0"/>
    </xf>
    <xf numFmtId="39" fontId="333" fillId="0" borderId="0" xfId="0" applyNumberFormat="1" applyFont="1" applyProtection="1">
      <protection locked="0"/>
    </xf>
    <xf numFmtId="39" fontId="197" fillId="0" borderId="0" xfId="0" applyNumberFormat="1" applyFont="1" applyProtection="1">
      <protection locked="0"/>
    </xf>
    <xf numFmtId="39" fontId="110" fillId="0" borderId="0" xfId="0" applyNumberFormat="1" applyFont="1" applyAlignment="1" applyProtection="1">
      <alignment vertical="center"/>
      <protection locked="0"/>
    </xf>
    <xf numFmtId="0" fontId="125" fillId="2" borderId="0" xfId="0" applyFont="1" applyFill="1"/>
    <xf numFmtId="0" fontId="0" fillId="37" borderId="0" xfId="0" applyFill="1"/>
    <xf numFmtId="164" fontId="11" fillId="15" borderId="0" xfId="0" applyNumberFormat="1" applyFont="1" applyFill="1" applyAlignment="1">
      <alignment horizontal="center"/>
    </xf>
    <xf numFmtId="0" fontId="44" fillId="15" borderId="0" xfId="0" applyFont="1" applyFill="1"/>
    <xf numFmtId="0" fontId="74" fillId="15" borderId="0" xfId="0" quotePrefix="1" applyFont="1" applyFill="1" applyAlignment="1">
      <alignment horizontal="center"/>
    </xf>
    <xf numFmtId="0" fontId="40" fillId="15" borderId="0" xfId="0" applyFont="1" applyFill="1"/>
    <xf numFmtId="0" fontId="0" fillId="15" borderId="0" xfId="0" applyFill="1" applyAlignment="1">
      <alignment horizontal="right" indent="1"/>
    </xf>
    <xf numFmtId="0" fontId="334" fillId="2" borderId="0" xfId="0" applyFont="1" applyFill="1"/>
    <xf numFmtId="0" fontId="0" fillId="15" borderId="106" xfId="0" applyFill="1" applyBorder="1"/>
    <xf numFmtId="0" fontId="44" fillId="15" borderId="106" xfId="0" applyFont="1" applyFill="1" applyBorder="1"/>
    <xf numFmtId="0" fontId="73" fillId="15" borderId="8" xfId="0" applyFont="1" applyFill="1" applyBorder="1" applyAlignment="1">
      <alignment vertical="center"/>
    </xf>
    <xf numFmtId="0" fontId="73" fillId="16" borderId="217" xfId="0" applyFont="1" applyFill="1" applyBorder="1" applyAlignment="1" applyProtection="1">
      <alignment horizontal="center" vertical="center"/>
      <protection locked="0"/>
    </xf>
    <xf numFmtId="0" fontId="74" fillId="15" borderId="0" xfId="0" applyFont="1" applyFill="1" applyAlignment="1">
      <alignment horizontal="left"/>
    </xf>
    <xf numFmtId="0" fontId="74" fillId="15" borderId="0" xfId="0" quotePrefix="1" applyFont="1" applyFill="1" applyAlignment="1">
      <alignment horizontal="left"/>
    </xf>
    <xf numFmtId="0" fontId="14" fillId="15" borderId="0" xfId="0" quotePrefix="1" applyFont="1" applyFill="1" applyAlignment="1">
      <alignment horizontal="left" vertical="center"/>
    </xf>
    <xf numFmtId="39" fontId="6" fillId="24" borderId="0" xfId="0" quotePrefix="1" applyNumberFormat="1" applyFont="1" applyFill="1" applyProtection="1">
      <protection locked="0"/>
    </xf>
    <xf numFmtId="164" fontId="11" fillId="15" borderId="0" xfId="0" applyNumberFormat="1" applyFont="1" applyFill="1"/>
    <xf numFmtId="39" fontId="116" fillId="0" borderId="0" xfId="0" applyNumberFormat="1" applyFont="1" applyProtection="1">
      <protection locked="0"/>
    </xf>
    <xf numFmtId="0" fontId="116" fillId="0" borderId="0" xfId="0" applyFont="1"/>
    <xf numFmtId="0" fontId="20" fillId="5" borderId="0" xfId="0" applyFont="1" applyFill="1" applyAlignment="1" applyProtection="1">
      <alignment horizontal="center" vertical="center"/>
      <protection locked="0"/>
    </xf>
    <xf numFmtId="3" fontId="0" fillId="0" borderId="0" xfId="0" applyNumberFormat="1" applyProtection="1">
      <protection locked="0"/>
    </xf>
    <xf numFmtId="0" fontId="11" fillId="16" borderId="12" xfId="0" applyFont="1" applyFill="1" applyBorder="1" applyAlignment="1" applyProtection="1">
      <alignment horizontal="center"/>
      <protection locked="0"/>
    </xf>
    <xf numFmtId="0" fontId="11" fillId="5" borderId="0" xfId="0" applyFont="1" applyFill="1" applyAlignment="1" applyProtection="1">
      <alignment horizontal="center"/>
      <protection locked="0"/>
    </xf>
    <xf numFmtId="0" fontId="0" fillId="0" borderId="0" xfId="0" applyAlignment="1">
      <alignment horizontal="left"/>
    </xf>
    <xf numFmtId="0" fontId="166" fillId="2" borderId="0" xfId="0" applyFont="1" applyFill="1" applyAlignment="1" applyProtection="1">
      <alignment horizontal="center"/>
      <protection hidden="1"/>
    </xf>
    <xf numFmtId="0" fontId="143" fillId="5" borderId="0" xfId="0" applyFont="1" applyFill="1" applyAlignment="1">
      <alignment horizontal="center"/>
    </xf>
    <xf numFmtId="40" fontId="0" fillId="2" borderId="0" xfId="0" applyNumberFormat="1" applyFill="1"/>
    <xf numFmtId="164" fontId="11" fillId="2" borderId="4" xfId="0" applyNumberFormat="1" applyFont="1" applyFill="1" applyBorder="1"/>
    <xf numFmtId="164" fontId="4" fillId="2" borderId="4" xfId="0" applyNumberFormat="1" applyFont="1" applyFill="1" applyBorder="1"/>
    <xf numFmtId="40" fontId="14" fillId="2" borderId="4" xfId="0" applyNumberFormat="1" applyFont="1" applyFill="1" applyBorder="1" applyAlignment="1">
      <alignment horizontal="right"/>
    </xf>
    <xf numFmtId="40" fontId="68" fillId="2" borderId="4" xfId="0" applyNumberFormat="1" applyFont="1" applyFill="1" applyBorder="1" applyAlignment="1">
      <alignment horizontal="left"/>
    </xf>
    <xf numFmtId="40" fontId="68" fillId="2" borderId="4" xfId="0" applyNumberFormat="1" applyFont="1" applyFill="1" applyBorder="1" applyAlignment="1">
      <alignment horizontal="right"/>
    </xf>
    <xf numFmtId="40" fontId="5" fillId="2" borderId="0" xfId="0" applyNumberFormat="1" applyFont="1" applyFill="1" applyAlignment="1">
      <alignment horizontal="right"/>
    </xf>
    <xf numFmtId="40" fontId="5" fillId="5" borderId="0" xfId="0" applyNumberFormat="1" applyFont="1" applyFill="1" applyAlignment="1">
      <alignment horizontal="right"/>
    </xf>
    <xf numFmtId="0" fontId="14" fillId="5" borderId="0" xfId="0" applyFont="1" applyFill="1"/>
    <xf numFmtId="0" fontId="14" fillId="2" borderId="23" xfId="0" applyFont="1" applyFill="1" applyBorder="1"/>
    <xf numFmtId="164" fontId="11" fillId="2" borderId="0" xfId="0" applyNumberFormat="1" applyFont="1" applyFill="1"/>
    <xf numFmtId="0" fontId="14" fillId="2" borderId="0" xfId="0" applyFont="1" applyFill="1" applyAlignment="1">
      <alignment wrapText="1"/>
    </xf>
    <xf numFmtId="40" fontId="14" fillId="2" borderId="0" xfId="0" applyNumberFormat="1" applyFont="1" applyFill="1" applyAlignment="1">
      <alignment horizontal="right"/>
    </xf>
    <xf numFmtId="40" fontId="14" fillId="2" borderId="0" xfId="0" applyNumberFormat="1" applyFont="1" applyFill="1" applyAlignment="1">
      <alignment horizontal="left"/>
    </xf>
    <xf numFmtId="40" fontId="0" fillId="2" borderId="19" xfId="0" applyNumberFormat="1" applyFill="1" applyBorder="1"/>
    <xf numFmtId="40" fontId="0" fillId="5" borderId="0" xfId="0" applyNumberFormat="1" applyFill="1"/>
    <xf numFmtId="0" fontId="0" fillId="2" borderId="30" xfId="0" applyFill="1" applyBorder="1"/>
    <xf numFmtId="0" fontId="89" fillId="2" borderId="0" xfId="0" applyFont="1" applyFill="1"/>
    <xf numFmtId="0" fontId="0" fillId="2" borderId="14" xfId="0" applyFill="1" applyBorder="1"/>
    <xf numFmtId="0" fontId="0" fillId="2" borderId="5" xfId="0" applyFill="1" applyBorder="1"/>
    <xf numFmtId="164" fontId="59" fillId="2" borderId="0" xfId="0" applyNumberFormat="1" applyFont="1" applyFill="1" applyAlignment="1">
      <alignment horizontal="center"/>
    </xf>
    <xf numFmtId="164" fontId="4" fillId="2" borderId="0" xfId="0" applyNumberFormat="1" applyFont="1" applyFill="1"/>
    <xf numFmtId="0" fontId="6" fillId="2" borderId="0" xfId="0" applyFont="1" applyFill="1" applyAlignment="1">
      <alignment horizontal="left"/>
    </xf>
    <xf numFmtId="164" fontId="4" fillId="2" borderId="0" xfId="0" applyNumberFormat="1" applyFont="1" applyFill="1" applyAlignment="1">
      <alignment horizontal="left"/>
    </xf>
    <xf numFmtId="40" fontId="6" fillId="2" borderId="0" xfId="0" applyNumberFormat="1" applyFont="1" applyFill="1" applyAlignment="1">
      <alignment horizontal="left"/>
    </xf>
    <xf numFmtId="40" fontId="0" fillId="2" borderId="20" xfId="0" applyNumberFormat="1" applyFill="1" applyBorder="1"/>
    <xf numFmtId="0" fontId="110" fillId="2" borderId="3" xfId="0" applyFont="1" applyFill="1" applyBorder="1"/>
    <xf numFmtId="0" fontId="65" fillId="2" borderId="0" xfId="0" applyFont="1" applyFill="1"/>
    <xf numFmtId="0" fontId="57" fillId="2" borderId="24" xfId="0" applyFont="1" applyFill="1" applyBorder="1" applyAlignment="1">
      <alignment vertical="center"/>
    </xf>
    <xf numFmtId="0" fontId="146" fillId="0" borderId="0" xfId="0" applyFont="1" applyAlignment="1">
      <alignment vertical="center"/>
    </xf>
    <xf numFmtId="0" fontId="0" fillId="2" borderId="0" xfId="0" applyFill="1" applyAlignment="1">
      <alignment horizontal="left"/>
    </xf>
    <xf numFmtId="40" fontId="57" fillId="2" borderId="0" xfId="0" applyNumberFormat="1" applyFont="1" applyFill="1" applyAlignment="1">
      <alignment horizontal="right"/>
    </xf>
    <xf numFmtId="40" fontId="55" fillId="2" borderId="0" xfId="0" applyNumberFormat="1" applyFont="1" applyFill="1" applyAlignment="1">
      <alignment horizontal="right"/>
    </xf>
    <xf numFmtId="40" fontId="71" fillId="2" borderId="0" xfId="0" applyNumberFormat="1" applyFont="1" applyFill="1" applyAlignment="1">
      <alignment horizontal="right" vertical="center"/>
    </xf>
    <xf numFmtId="40" fontId="55" fillId="2" borderId="20" xfId="0" applyNumberFormat="1" applyFont="1" applyFill="1" applyBorder="1" applyAlignment="1">
      <alignment horizontal="right"/>
    </xf>
    <xf numFmtId="40" fontId="55" fillId="5" borderId="0" xfId="0" applyNumberFormat="1" applyFont="1" applyFill="1" applyAlignment="1">
      <alignment horizontal="right"/>
    </xf>
    <xf numFmtId="0" fontId="0" fillId="2" borderId="3" xfId="0" applyFill="1" applyBorder="1"/>
    <xf numFmtId="0" fontId="57" fillId="2" borderId="0" xfId="0" applyFont="1" applyFill="1" applyAlignment="1">
      <alignment vertical="center"/>
    </xf>
    <xf numFmtId="0" fontId="0" fillId="2" borderId="24" xfId="0" applyFill="1" applyBorder="1"/>
    <xf numFmtId="0" fontId="0" fillId="2" borderId="1" xfId="0" applyFill="1" applyBorder="1"/>
    <xf numFmtId="0" fontId="0" fillId="2" borderId="11" xfId="0" applyFill="1" applyBorder="1"/>
    <xf numFmtId="0" fontId="0" fillId="2" borderId="26" xfId="0" applyFill="1" applyBorder="1"/>
    <xf numFmtId="0" fontId="24" fillId="2" borderId="1" xfId="0" applyFont="1" applyFill="1" applyBorder="1"/>
    <xf numFmtId="0" fontId="23" fillId="2" borderId="1" xfId="0" applyFont="1" applyFill="1" applyBorder="1"/>
    <xf numFmtId="0" fontId="166" fillId="2" borderId="1" xfId="0" applyFont="1" applyFill="1" applyBorder="1" applyAlignment="1">
      <alignment horizontal="center"/>
    </xf>
    <xf numFmtId="0" fontId="14" fillId="2" borderId="1" xfId="0" applyFont="1" applyFill="1" applyBorder="1"/>
    <xf numFmtId="40" fontId="0" fillId="2" borderId="1" xfId="0" applyNumberFormat="1" applyFill="1" applyBorder="1"/>
    <xf numFmtId="40" fontId="0" fillId="2" borderId="29" xfId="0" applyNumberFormat="1" applyFill="1" applyBorder="1"/>
    <xf numFmtId="0" fontId="22" fillId="2" borderId="0" xfId="0" applyFont="1" applyFill="1"/>
    <xf numFmtId="0" fontId="24" fillId="2" borderId="0" xfId="0" applyFont="1" applyFill="1"/>
    <xf numFmtId="0" fontId="23" fillId="2" borderId="0" xfId="0" applyFont="1" applyFill="1"/>
    <xf numFmtId="0" fontId="40" fillId="2" borderId="0" xfId="0" applyFont="1" applyFill="1"/>
    <xf numFmtId="0" fontId="14" fillId="2" borderId="0" xfId="0" applyFont="1" applyFill="1"/>
    <xf numFmtId="164" fontId="4" fillId="2" borderId="0" xfId="0" quotePrefix="1" applyNumberFormat="1" applyFont="1" applyFill="1"/>
    <xf numFmtId="0" fontId="4" fillId="2" borderId="0" xfId="0" applyFont="1" applyFill="1" applyAlignment="1">
      <alignment vertical="top"/>
    </xf>
    <xf numFmtId="164" fontId="4" fillId="2" borderId="0" xfId="0" applyNumberFormat="1" applyFont="1" applyFill="1" applyAlignment="1">
      <alignment vertical="top"/>
    </xf>
    <xf numFmtId="0" fontId="6" fillId="2" borderId="0" xfId="0" applyFont="1" applyFill="1" applyAlignment="1">
      <alignment vertical="top"/>
    </xf>
    <xf numFmtId="164" fontId="4" fillId="2" borderId="0" xfId="0" applyNumberFormat="1" applyFont="1" applyFill="1" applyAlignment="1">
      <alignment horizontal="right"/>
    </xf>
    <xf numFmtId="40" fontId="4" fillId="2" borderId="0" xfId="0" applyNumberFormat="1" applyFont="1" applyFill="1" applyAlignment="1">
      <alignment horizontal="right"/>
    </xf>
    <xf numFmtId="37" fontId="6" fillId="27" borderId="1" xfId="0" applyNumberFormat="1" applyFont="1" applyFill="1" applyBorder="1" applyAlignment="1">
      <alignment horizontal="right"/>
    </xf>
    <xf numFmtId="40" fontId="6" fillId="2" borderId="0" xfId="0" applyNumberFormat="1" applyFont="1" applyFill="1" applyAlignment="1">
      <alignment horizontal="right"/>
    </xf>
    <xf numFmtId="40" fontId="112" fillId="2" borderId="0" xfId="0" applyNumberFormat="1" applyFont="1" applyFill="1"/>
    <xf numFmtId="38" fontId="6" fillId="2" borderId="20" xfId="0" applyNumberFormat="1" applyFont="1" applyFill="1" applyBorder="1" applyAlignment="1">
      <alignment horizontal="right"/>
    </xf>
    <xf numFmtId="38" fontId="6" fillId="5" borderId="0" xfId="0" applyNumberFormat="1" applyFont="1" applyFill="1" applyAlignment="1">
      <alignment horizontal="right"/>
    </xf>
    <xf numFmtId="38" fontId="6" fillId="2" borderId="0" xfId="0" applyNumberFormat="1" applyFont="1" applyFill="1" applyAlignment="1">
      <alignment horizontal="right"/>
    </xf>
    <xf numFmtId="40" fontId="6" fillId="2" borderId="20" xfId="0" applyNumberFormat="1" applyFont="1" applyFill="1" applyBorder="1"/>
    <xf numFmtId="40" fontId="6" fillId="5" borderId="0" xfId="0" applyNumberFormat="1" applyFont="1" applyFill="1"/>
    <xf numFmtId="40" fontId="6" fillId="2" borderId="0" xfId="0" applyNumberFormat="1" applyFont="1" applyFill="1"/>
    <xf numFmtId="0" fontId="6" fillId="2" borderId="0" xfId="0" quotePrefix="1" applyFont="1" applyFill="1"/>
    <xf numFmtId="40" fontId="4" fillId="2" borderId="2" xfId="0" applyNumberFormat="1" applyFont="1" applyFill="1" applyBorder="1" applyAlignment="1">
      <alignment horizontal="center"/>
    </xf>
    <xf numFmtId="0" fontId="4" fillId="2" borderId="2" xfId="0" applyFont="1" applyFill="1" applyBorder="1" applyAlignment="1">
      <alignment horizontal="center"/>
    </xf>
    <xf numFmtId="40" fontId="4" fillId="2" borderId="0" xfId="0" applyNumberFormat="1" applyFont="1" applyFill="1" applyAlignment="1">
      <alignment vertical="center"/>
    </xf>
    <xf numFmtId="40" fontId="4" fillId="2" borderId="0" xfId="0" applyNumberFormat="1" applyFont="1" applyFill="1" applyAlignment="1">
      <alignment horizontal="right" vertical="center"/>
    </xf>
    <xf numFmtId="38" fontId="6" fillId="27" borderId="1" xfId="0" applyNumberFormat="1" applyFont="1" applyFill="1" applyBorder="1" applyAlignment="1">
      <alignment horizontal="right"/>
    </xf>
    <xf numFmtId="0" fontId="17" fillId="2" borderId="0" xfId="0" applyFont="1" applyFill="1" applyAlignment="1">
      <alignment horizontal="center"/>
    </xf>
    <xf numFmtId="3" fontId="110" fillId="2" borderId="0" xfId="0" applyNumberFormat="1" applyFont="1" applyFill="1"/>
    <xf numFmtId="0" fontId="110" fillId="2" borderId="0" xfId="0" applyFont="1" applyFill="1" applyAlignment="1">
      <alignment horizontal="right"/>
    </xf>
    <xf numFmtId="3" fontId="22" fillId="2" borderId="0" xfId="0" applyNumberFormat="1" applyFont="1" applyFill="1" applyAlignment="1">
      <alignment horizontal="right"/>
    </xf>
    <xf numFmtId="40" fontId="0" fillId="2" borderId="0" xfId="0" applyNumberFormat="1" applyFill="1" applyAlignment="1">
      <alignment horizontal="left"/>
    </xf>
    <xf numFmtId="170" fontId="0" fillId="2" borderId="0" xfId="0" applyNumberFormat="1" applyFill="1" applyAlignment="1">
      <alignment horizontal="left"/>
    </xf>
    <xf numFmtId="40" fontId="4" fillId="2" borderId="0" xfId="0" applyNumberFormat="1" applyFont="1" applyFill="1"/>
    <xf numFmtId="0" fontId="0" fillId="5" borderId="0" xfId="0" applyFill="1" applyAlignment="1">
      <alignment horizontal="left"/>
    </xf>
    <xf numFmtId="0" fontId="0" fillId="2" borderId="5" xfId="0" applyFill="1" applyBorder="1" applyAlignment="1">
      <alignment horizontal="left"/>
    </xf>
    <xf numFmtId="40" fontId="4" fillId="2" borderId="0" xfId="0" applyNumberFormat="1" applyFont="1" applyFill="1" applyAlignment="1">
      <alignment horizontal="left"/>
    </xf>
    <xf numFmtId="40" fontId="0" fillId="2" borderId="20" xfId="0" applyNumberFormat="1" applyFill="1" applyBorder="1" applyAlignment="1">
      <alignment horizontal="left"/>
    </xf>
    <xf numFmtId="40" fontId="0" fillId="5" borderId="0" xfId="0" applyNumberFormat="1" applyFill="1" applyAlignment="1">
      <alignment horizontal="left"/>
    </xf>
    <xf numFmtId="40" fontId="25" fillId="2" borderId="0" xfId="0" applyNumberFormat="1" applyFont="1" applyFill="1" applyAlignment="1">
      <alignment horizontal="center"/>
    </xf>
    <xf numFmtId="40" fontId="0" fillId="2" borderId="0" xfId="0" applyNumberFormat="1" applyFill="1" applyAlignment="1">
      <alignment horizontal="center"/>
    </xf>
    <xf numFmtId="38" fontId="0" fillId="2" borderId="0" xfId="0" applyNumberFormat="1" applyFill="1" applyAlignment="1">
      <alignment horizontal="center"/>
    </xf>
    <xf numFmtId="38" fontId="0" fillId="2" borderId="20" xfId="0" applyNumberFormat="1" applyFill="1" applyBorder="1" applyAlignment="1">
      <alignment horizontal="right"/>
    </xf>
    <xf numFmtId="38" fontId="0" fillId="5" borderId="0" xfId="0" applyNumberFormat="1" applyFill="1" applyAlignment="1">
      <alignment horizontal="right"/>
    </xf>
    <xf numFmtId="38" fontId="0" fillId="2" borderId="20" xfId="0" applyNumberFormat="1" applyFill="1" applyBorder="1" applyAlignment="1">
      <alignment horizontal="center"/>
    </xf>
    <xf numFmtId="38" fontId="0" fillId="5" borderId="0" xfId="0" applyNumberFormat="1" applyFill="1" applyAlignment="1">
      <alignment horizontal="center"/>
    </xf>
    <xf numFmtId="0" fontId="27" fillId="2" borderId="0" xfId="0" applyFont="1" applyFill="1"/>
    <xf numFmtId="40" fontId="5" fillId="2" borderId="0" xfId="0" applyNumberFormat="1" applyFont="1" applyFill="1" applyAlignment="1">
      <alignment horizontal="left"/>
    </xf>
    <xf numFmtId="0" fontId="11" fillId="2" borderId="0" xfId="0" applyFont="1" applyFill="1" applyAlignment="1">
      <alignment horizontal="right"/>
    </xf>
    <xf numFmtId="0" fontId="0" fillId="2" borderId="21" xfId="0" applyFill="1" applyBorder="1"/>
    <xf numFmtId="0" fontId="0" fillId="2" borderId="22" xfId="0" applyFill="1" applyBorder="1"/>
    <xf numFmtId="182" fontId="6" fillId="24" borderId="0" xfId="0" applyNumberFormat="1" applyFont="1" applyFill="1" applyAlignment="1" applyProtection="1">
      <alignment vertical="top"/>
      <protection locked="0"/>
    </xf>
    <xf numFmtId="182" fontId="4" fillId="24" borderId="0" xfId="0" applyNumberFormat="1" applyFont="1" applyFill="1" applyProtection="1">
      <protection locked="0"/>
    </xf>
    <xf numFmtId="182" fontId="0" fillId="0" borderId="0" xfId="0" applyNumberFormat="1" applyProtection="1">
      <protection locked="0"/>
    </xf>
    <xf numFmtId="39" fontId="0" fillId="24" borderId="0" xfId="0" applyNumberFormat="1" applyFill="1"/>
    <xf numFmtId="39" fontId="0" fillId="24" borderId="0" xfId="0" applyNumberFormat="1" applyFill="1" applyAlignment="1">
      <alignment horizontal="left"/>
    </xf>
    <xf numFmtId="39" fontId="0" fillId="0" borderId="0" xfId="0" applyNumberFormat="1"/>
    <xf numFmtId="0" fontId="10" fillId="2" borderId="0" xfId="0" applyFont="1" applyFill="1" applyAlignment="1">
      <alignment horizontal="left"/>
    </xf>
    <xf numFmtId="0" fontId="8" fillId="2" borderId="0" xfId="0" applyFont="1" applyFill="1" applyAlignment="1">
      <alignment horizontal="left"/>
    </xf>
    <xf numFmtId="37" fontId="0" fillId="27" borderId="1" xfId="0" applyNumberFormat="1" applyFill="1" applyBorder="1"/>
    <xf numFmtId="0" fontId="0" fillId="0" borderId="20" xfId="0" applyBorder="1" applyAlignment="1">
      <alignment horizontal="center"/>
    </xf>
    <xf numFmtId="0" fontId="4" fillId="2" borderId="8" xfId="0" applyFont="1" applyFill="1" applyBorder="1" applyAlignment="1">
      <alignment horizontal="left"/>
    </xf>
    <xf numFmtId="0" fontId="4" fillId="2" borderId="0" xfId="0" applyFont="1" applyFill="1" applyAlignment="1">
      <alignment horizontal="left"/>
    </xf>
    <xf numFmtId="0" fontId="0" fillId="0" borderId="4" xfId="0" applyBorder="1"/>
    <xf numFmtId="0" fontId="6" fillId="15" borderId="26" xfId="0" applyFont="1" applyFill="1" applyBorder="1" applyAlignment="1">
      <alignment horizontal="center"/>
    </xf>
    <xf numFmtId="0" fontId="166" fillId="15" borderId="0" xfId="0" applyFont="1" applyFill="1" applyAlignment="1">
      <alignment horizontal="center" vertical="center"/>
    </xf>
    <xf numFmtId="0" fontId="0" fillId="0" borderId="7" xfId="0" applyBorder="1"/>
    <xf numFmtId="49" fontId="9" fillId="5" borderId="0" xfId="0" applyNumberFormat="1" applyFont="1" applyFill="1" applyAlignment="1">
      <alignment horizontal="right"/>
    </xf>
    <xf numFmtId="0" fontId="111" fillId="5" borderId="0" xfId="0" applyFont="1" applyFill="1"/>
    <xf numFmtId="49" fontId="9" fillId="15" borderId="7" xfId="0" applyNumberFormat="1" applyFont="1" applyFill="1" applyBorder="1" applyAlignment="1">
      <alignment horizontal="right"/>
    </xf>
    <xf numFmtId="0" fontId="113" fillId="5" borderId="0" xfId="0" applyFont="1" applyFill="1"/>
    <xf numFmtId="49" fontId="9" fillId="15" borderId="4" xfId="0" applyNumberFormat="1" applyFont="1" applyFill="1" applyBorder="1" applyAlignment="1">
      <alignment horizontal="right"/>
    </xf>
    <xf numFmtId="0" fontId="325" fillId="15" borderId="0" xfId="0" applyFont="1" applyFill="1"/>
    <xf numFmtId="49" fontId="9" fillId="15" borderId="0" xfId="0" applyNumberFormat="1" applyFont="1" applyFill="1" applyAlignment="1">
      <alignment horizontal="right"/>
    </xf>
    <xf numFmtId="0" fontId="325" fillId="15" borderId="4" xfId="0" applyFont="1" applyFill="1" applyBorder="1"/>
    <xf numFmtId="0" fontId="36" fillId="15" borderId="0" xfId="0" applyFont="1" applyFill="1" applyAlignment="1">
      <alignment vertical="center"/>
    </xf>
    <xf numFmtId="0" fontId="125" fillId="15" borderId="0" xfId="0" applyFont="1" applyFill="1"/>
    <xf numFmtId="0" fontId="37" fillId="15" borderId="4" xfId="0" applyFont="1" applyFill="1" applyBorder="1"/>
    <xf numFmtId="0" fontId="166" fillId="2" borderId="0" xfId="0" applyFont="1" applyFill="1" applyAlignment="1">
      <alignment vertical="top"/>
    </xf>
    <xf numFmtId="49" fontId="9" fillId="2" borderId="0" xfId="0" applyNumberFormat="1" applyFont="1" applyFill="1" applyAlignment="1">
      <alignment horizontal="right"/>
    </xf>
    <xf numFmtId="0" fontId="11" fillId="2" borderId="4" xfId="0" applyFont="1" applyFill="1" applyBorder="1"/>
    <xf numFmtId="49" fontId="9" fillId="2" borderId="4" xfId="0" applyNumberFormat="1" applyFont="1" applyFill="1" applyBorder="1" applyAlignment="1">
      <alignment horizontal="right"/>
    </xf>
    <xf numFmtId="49" fontId="24" fillId="2" borderId="4" xfId="0" applyNumberFormat="1" applyFont="1" applyFill="1" applyBorder="1" applyAlignment="1">
      <alignment horizontal="right"/>
    </xf>
    <xf numFmtId="40" fontId="68" fillId="2" borderId="0" xfId="0" applyNumberFormat="1" applyFont="1" applyFill="1" applyAlignment="1">
      <alignment horizontal="right"/>
    </xf>
    <xf numFmtId="40" fontId="68" fillId="2" borderId="0" xfId="0" applyNumberFormat="1" applyFont="1" applyFill="1" applyAlignment="1">
      <alignment horizontal="center"/>
    </xf>
    <xf numFmtId="40" fontId="20" fillId="2" borderId="4" xfId="0" applyNumberFormat="1" applyFont="1" applyFill="1" applyBorder="1" applyAlignment="1">
      <alignment horizontal="right"/>
    </xf>
    <xf numFmtId="0" fontId="0" fillId="5" borderId="0" xfId="0" applyFill="1" applyAlignment="1">
      <alignment horizontal="left" vertical="center"/>
    </xf>
    <xf numFmtId="49" fontId="9" fillId="2" borderId="23" xfId="0" applyNumberFormat="1" applyFont="1" applyFill="1" applyBorder="1" applyAlignment="1">
      <alignment horizontal="right"/>
    </xf>
    <xf numFmtId="0" fontId="40" fillId="2" borderId="7" xfId="0" applyFont="1" applyFill="1" applyBorder="1"/>
    <xf numFmtId="0" fontId="82" fillId="2" borderId="0" xfId="0" applyFont="1" applyFill="1" applyAlignment="1">
      <alignment horizontal="center"/>
    </xf>
    <xf numFmtId="49" fontId="9" fillId="2" borderId="7" xfId="0" applyNumberFormat="1" applyFont="1" applyFill="1" applyBorder="1" applyAlignment="1">
      <alignment horizontal="right"/>
    </xf>
    <xf numFmtId="49" fontId="24" fillId="2" borderId="7" xfId="0" applyNumberFormat="1" applyFont="1" applyFill="1" applyBorder="1" applyAlignment="1">
      <alignment horizontal="right"/>
    </xf>
    <xf numFmtId="40" fontId="20" fillId="2" borderId="7" xfId="0" applyNumberFormat="1" applyFont="1" applyFill="1" applyBorder="1" applyAlignment="1">
      <alignment horizontal="right"/>
    </xf>
    <xf numFmtId="40" fontId="20" fillId="2" borderId="19" xfId="0" applyNumberFormat="1" applyFont="1" applyFill="1" applyBorder="1" applyAlignment="1">
      <alignment horizontal="right"/>
    </xf>
    <xf numFmtId="49" fontId="9" fillId="2" borderId="5" xfId="0" applyNumberFormat="1" applyFont="1" applyFill="1" applyBorder="1" applyAlignment="1">
      <alignment horizontal="right"/>
    </xf>
    <xf numFmtId="0" fontId="6" fillId="2" borderId="0" xfId="0" applyFont="1" applyFill="1" applyAlignment="1">
      <alignment horizontal="left" vertical="top"/>
    </xf>
    <xf numFmtId="49" fontId="24" fillId="2" borderId="0" xfId="0" applyNumberFormat="1" applyFont="1" applyFill="1" applyAlignment="1">
      <alignment horizontal="right"/>
    </xf>
    <xf numFmtId="40" fontId="20" fillId="2" borderId="0" xfId="0" applyNumberFormat="1" applyFont="1" applyFill="1" applyAlignment="1">
      <alignment horizontal="right"/>
    </xf>
    <xf numFmtId="40" fontId="20" fillId="2" borderId="20" xfId="0" applyNumberFormat="1" applyFont="1" applyFill="1" applyBorder="1" applyAlignment="1">
      <alignment horizontal="right"/>
    </xf>
    <xf numFmtId="0" fontId="11" fillId="2" borderId="0" xfId="0" applyFont="1" applyFill="1"/>
    <xf numFmtId="40" fontId="62" fillId="2" borderId="0" xfId="0" applyNumberFormat="1" applyFont="1" applyFill="1" applyAlignment="1">
      <alignment horizontal="right"/>
    </xf>
    <xf numFmtId="49" fontId="9" fillId="2" borderId="21" xfId="0" applyNumberFormat="1" applyFont="1" applyFill="1" applyBorder="1" applyAlignment="1">
      <alignment horizontal="right"/>
    </xf>
    <xf numFmtId="0" fontId="82" fillId="2" borderId="4" xfId="0" applyFont="1" applyFill="1" applyBorder="1" applyAlignment="1">
      <alignment horizontal="center"/>
    </xf>
    <xf numFmtId="0" fontId="6" fillId="2" borderId="4" xfId="0" applyFont="1" applyFill="1" applyBorder="1"/>
    <xf numFmtId="40" fontId="57" fillId="2" borderId="4" xfId="0" applyNumberFormat="1" applyFont="1" applyFill="1" applyBorder="1" applyAlignment="1">
      <alignment horizontal="left"/>
    </xf>
    <xf numFmtId="40" fontId="57" fillId="2" borderId="4" xfId="0" applyNumberFormat="1" applyFont="1" applyFill="1" applyBorder="1" applyAlignment="1">
      <alignment horizontal="center"/>
    </xf>
    <xf numFmtId="40" fontId="57" fillId="2" borderId="4" xfId="0" applyNumberFormat="1" applyFont="1" applyFill="1" applyBorder="1" applyAlignment="1">
      <alignment horizontal="right"/>
    </xf>
    <xf numFmtId="40" fontId="20" fillId="2" borderId="22" xfId="0" applyNumberFormat="1" applyFont="1" applyFill="1" applyBorder="1" applyAlignment="1">
      <alignment horizontal="right"/>
    </xf>
    <xf numFmtId="49" fontId="9" fillId="2" borderId="5" xfId="0" applyNumberFormat="1" applyFont="1" applyFill="1" applyBorder="1" applyAlignment="1">
      <alignment horizontal="left" vertical="center"/>
    </xf>
    <xf numFmtId="0" fontId="0" fillId="2" borderId="0" xfId="0" applyFill="1" applyAlignment="1">
      <alignment horizontal="left" vertical="center"/>
    </xf>
    <xf numFmtId="0" fontId="0" fillId="2" borderId="20" xfId="0" applyFill="1" applyBorder="1" applyAlignment="1">
      <alignment horizontal="left" vertical="center"/>
    </xf>
    <xf numFmtId="0" fontId="4" fillId="5" borderId="0" xfId="0" applyFont="1" applyFill="1" applyAlignment="1">
      <alignment horizontal="left"/>
    </xf>
    <xf numFmtId="37" fontId="8" fillId="27" borderId="1" xfId="0" applyNumberFormat="1" applyFont="1" applyFill="1" applyBorder="1"/>
    <xf numFmtId="0" fontId="8" fillId="2" borderId="20" xfId="0" applyFont="1" applyFill="1" applyBorder="1"/>
    <xf numFmtId="37" fontId="116" fillId="2" borderId="8" xfId="0" applyNumberFormat="1" applyFont="1" applyFill="1" applyBorder="1"/>
    <xf numFmtId="0" fontId="9" fillId="27" borderId="2" xfId="0" applyFont="1" applyFill="1" applyBorder="1" applyAlignment="1">
      <alignment horizontal="center" vertical="center"/>
    </xf>
    <xf numFmtId="0" fontId="6" fillId="0" borderId="0" xfId="0" applyFont="1" applyAlignment="1">
      <alignment horizontal="right"/>
    </xf>
    <xf numFmtId="0" fontId="9" fillId="2" borderId="0" xfId="0" applyFont="1" applyFill="1" applyAlignment="1">
      <alignment horizontal="center"/>
    </xf>
    <xf numFmtId="37" fontId="8" fillId="27" borderId="0" xfId="0" applyNumberFormat="1" applyFont="1" applyFill="1"/>
    <xf numFmtId="37" fontId="8" fillId="2" borderId="8" xfId="0" applyNumberFormat="1" applyFont="1" applyFill="1" applyBorder="1"/>
    <xf numFmtId="37" fontId="8" fillId="2" borderId="0" xfId="0" applyNumberFormat="1" applyFont="1" applyFill="1"/>
    <xf numFmtId="0" fontId="8" fillId="2" borderId="0" xfId="0" applyFont="1" applyFill="1" applyAlignment="1">
      <alignment horizontal="center"/>
    </xf>
    <xf numFmtId="0" fontId="29" fillId="2" borderId="0" xfId="0" applyFont="1" applyFill="1"/>
    <xf numFmtId="49" fontId="39" fillId="2" borderId="0" xfId="0" applyNumberFormat="1" applyFont="1" applyFill="1" applyAlignment="1">
      <alignment horizontal="center"/>
    </xf>
    <xf numFmtId="3" fontId="116" fillId="2" borderId="0" xfId="0" applyNumberFormat="1" applyFont="1" applyFill="1"/>
    <xf numFmtId="3" fontId="8" fillId="2" borderId="20" xfId="0" applyNumberFormat="1" applyFont="1" applyFill="1" applyBorder="1"/>
    <xf numFmtId="49" fontId="9" fillId="2" borderId="0" xfId="0" quotePrefix="1" applyNumberFormat="1" applyFont="1" applyFill="1" applyAlignment="1">
      <alignment horizontal="right"/>
    </xf>
    <xf numFmtId="4" fontId="8" fillId="2" borderId="20" xfId="0" applyNumberFormat="1" applyFont="1" applyFill="1" applyBorder="1"/>
    <xf numFmtId="0" fontId="8" fillId="2" borderId="5" xfId="0" applyFont="1" applyFill="1" applyBorder="1"/>
    <xf numFmtId="3" fontId="43" fillId="2" borderId="0" xfId="0" applyNumberFormat="1" applyFont="1" applyFill="1"/>
    <xf numFmtId="0" fontId="52" fillId="2" borderId="0" xfId="0" applyFont="1" applyFill="1"/>
    <xf numFmtId="0" fontId="9" fillId="2" borderId="20" xfId="0" applyFont="1" applyFill="1" applyBorder="1" applyAlignment="1">
      <alignment horizontal="center"/>
    </xf>
    <xf numFmtId="3" fontId="6" fillId="15" borderId="165" xfId="0" applyNumberFormat="1" applyFont="1" applyFill="1" applyBorder="1" applyAlignment="1">
      <alignment horizontal="right"/>
    </xf>
    <xf numFmtId="3" fontId="6" fillId="15" borderId="164" xfId="0" applyNumberFormat="1" applyFont="1" applyFill="1" applyBorder="1" applyAlignment="1">
      <alignment horizontal="right"/>
    </xf>
    <xf numFmtId="3" fontId="6" fillId="15" borderId="2" xfId="0" applyNumberFormat="1" applyFont="1" applyFill="1" applyBorder="1" applyAlignment="1">
      <alignment horizontal="right"/>
    </xf>
    <xf numFmtId="3" fontId="6" fillId="15" borderId="166" xfId="0" applyNumberFormat="1" applyFont="1" applyFill="1" applyBorder="1" applyAlignment="1">
      <alignment horizontal="right"/>
    </xf>
    <xf numFmtId="3" fontId="6" fillId="15" borderId="100" xfId="0" applyNumberFormat="1" applyFont="1" applyFill="1" applyBorder="1" applyAlignment="1">
      <alignment horizontal="right"/>
    </xf>
    <xf numFmtId="0" fontId="6" fillId="15" borderId="75" xfId="0" applyFont="1" applyFill="1" applyBorder="1" applyAlignment="1">
      <alignment horizontal="right"/>
    </xf>
    <xf numFmtId="39" fontId="116" fillId="2" borderId="0" xfId="0" applyNumberFormat="1" applyFont="1" applyFill="1"/>
    <xf numFmtId="3" fontId="6" fillId="15" borderId="72" xfId="0" applyNumberFormat="1" applyFont="1" applyFill="1" applyBorder="1" applyAlignment="1">
      <alignment horizontal="right"/>
    </xf>
    <xf numFmtId="0" fontId="6" fillId="15" borderId="13" xfId="0" applyFont="1" applyFill="1" applyBorder="1" applyAlignment="1">
      <alignment horizontal="right"/>
    </xf>
    <xf numFmtId="3" fontId="6" fillId="15" borderId="167" xfId="0" applyNumberFormat="1" applyFont="1" applyFill="1" applyBorder="1" applyAlignment="1">
      <alignment horizontal="right"/>
    </xf>
    <xf numFmtId="49" fontId="37" fillId="2" borderId="0" xfId="0" quotePrefix="1" applyNumberFormat="1" applyFont="1" applyFill="1" applyAlignment="1">
      <alignment horizontal="left"/>
    </xf>
    <xf numFmtId="0" fontId="10" fillId="2" borderId="4" xfId="0" applyFont="1" applyFill="1" applyBorder="1"/>
    <xf numFmtId="0" fontId="8" fillId="2" borderId="4" xfId="0" applyFont="1" applyFill="1" applyBorder="1"/>
    <xf numFmtId="3" fontId="43" fillId="2" borderId="4" xfId="0" applyNumberFormat="1" applyFont="1" applyFill="1" applyBorder="1"/>
    <xf numFmtId="4" fontId="43" fillId="2" borderId="22" xfId="0" applyNumberFormat="1" applyFont="1" applyFill="1" applyBorder="1"/>
    <xf numFmtId="0" fontId="11" fillId="2" borderId="1" xfId="0" applyFont="1" applyFill="1" applyBorder="1" applyAlignment="1">
      <alignment horizontal="left"/>
    </xf>
    <xf numFmtId="0" fontId="11" fillId="15" borderId="1" xfId="0" applyFont="1" applyFill="1" applyBorder="1" applyAlignment="1">
      <alignment horizontal="left" vertical="center"/>
    </xf>
    <xf numFmtId="0" fontId="11" fillId="2" borderId="1" xfId="0" applyFont="1" applyFill="1" applyBorder="1" applyAlignment="1">
      <alignment horizontal="left" vertical="center"/>
    </xf>
    <xf numFmtId="0" fontId="0" fillId="15" borderId="1" xfId="0" applyFill="1" applyBorder="1" applyAlignment="1">
      <alignment horizontal="left" vertical="center"/>
    </xf>
    <xf numFmtId="0" fontId="121" fillId="15" borderId="1" xfId="0" applyFont="1" applyFill="1" applyBorder="1" applyAlignment="1">
      <alignment horizontal="right" vertical="top"/>
    </xf>
    <xf numFmtId="0" fontId="23" fillId="2" borderId="1" xfId="0" applyFont="1" applyFill="1" applyBorder="1" applyAlignment="1">
      <alignment horizontal="left"/>
    </xf>
    <xf numFmtId="0" fontId="25" fillId="15" borderId="1" xfId="0" applyFont="1" applyFill="1" applyBorder="1"/>
    <xf numFmtId="0" fontId="6" fillId="2" borderId="1" xfId="0" applyFont="1" applyFill="1" applyBorder="1"/>
    <xf numFmtId="0" fontId="4" fillId="15" borderId="5" xfId="0" applyFont="1" applyFill="1" applyBorder="1"/>
    <xf numFmtId="0" fontId="113" fillId="37" borderId="0" xfId="0" applyFont="1" applyFill="1" applyAlignment="1">
      <alignment horizontal="center" vertical="center"/>
    </xf>
    <xf numFmtId="0" fontId="4" fillId="15" borderId="26" xfId="0" applyFont="1" applyFill="1" applyBorder="1"/>
    <xf numFmtId="0" fontId="121" fillId="2" borderId="1" xfId="0" applyFont="1" applyFill="1" applyBorder="1"/>
    <xf numFmtId="0" fontId="5" fillId="2" borderId="1" xfId="0" applyFont="1" applyFill="1" applyBorder="1" applyAlignment="1">
      <alignment horizontal="left" indent="1"/>
    </xf>
    <xf numFmtId="0" fontId="25" fillId="2" borderId="1" xfId="0" applyFont="1" applyFill="1" applyBorder="1" applyAlignment="1">
      <alignment horizontal="center" vertical="center"/>
    </xf>
    <xf numFmtId="0" fontId="25" fillId="2" borderId="1" xfId="0" applyFont="1" applyFill="1" applyBorder="1"/>
    <xf numFmtId="0" fontId="106" fillId="15" borderId="29" xfId="0" applyFont="1" applyFill="1" applyBorder="1" applyAlignment="1">
      <alignment horizontal="right" vertical="top"/>
    </xf>
    <xf numFmtId="0" fontId="51" fillId="2" borderId="0" xfId="0" applyFont="1" applyFill="1"/>
    <xf numFmtId="37" fontId="6" fillId="2" borderId="0" xfId="0" applyNumberFormat="1" applyFont="1" applyFill="1"/>
    <xf numFmtId="37" fontId="22" fillId="2" borderId="0" xfId="0" applyNumberFormat="1" applyFont="1" applyFill="1"/>
    <xf numFmtId="37" fontId="22" fillId="2" borderId="0" xfId="0" applyNumberFormat="1" applyFont="1" applyFill="1" applyAlignment="1">
      <alignment horizontal="right"/>
    </xf>
    <xf numFmtId="3" fontId="22" fillId="2" borderId="0" xfId="0" applyNumberFormat="1" applyFont="1" applyFill="1"/>
    <xf numFmtId="0" fontId="4" fillId="2" borderId="0" xfId="0" quotePrefix="1" applyFont="1" applyFill="1" applyAlignment="1">
      <alignment horizontal="right"/>
    </xf>
    <xf numFmtId="3" fontId="4" fillId="2" borderId="0" xfId="0" quotePrefix="1" applyNumberFormat="1" applyFont="1" applyFill="1" applyAlignment="1">
      <alignment horizontal="right"/>
    </xf>
    <xf numFmtId="0" fontId="6" fillId="0" borderId="23" xfId="0" quotePrefix="1" applyFont="1" applyBorder="1" applyAlignment="1">
      <alignment horizontal="center"/>
    </xf>
    <xf numFmtId="37" fontId="0" fillId="0" borderId="43" xfId="0" applyNumberFormat="1" applyBorder="1"/>
    <xf numFmtId="0" fontId="6" fillId="0" borderId="7" xfId="0" applyFont="1" applyBorder="1"/>
    <xf numFmtId="0" fontId="4" fillId="0" borderId="7" xfId="0" applyFont="1" applyBorder="1"/>
    <xf numFmtId="0" fontId="0" fillId="0" borderId="19" xfId="0" applyBorder="1"/>
    <xf numFmtId="37" fontId="0" fillId="0" borderId="12" xfId="0" applyNumberFormat="1" applyBorder="1"/>
    <xf numFmtId="0" fontId="4" fillId="0" borderId="20" xfId="0" applyFont="1" applyBorder="1" applyAlignment="1">
      <alignment horizontal="right"/>
    </xf>
    <xf numFmtId="0" fontId="6" fillId="2" borderId="0" xfId="0" applyFont="1" applyFill="1" applyAlignment="1">
      <alignment vertical="center"/>
    </xf>
    <xf numFmtId="0" fontId="6" fillId="0" borderId="5" xfId="0" quotePrefix="1" applyFont="1" applyBorder="1" applyAlignment="1">
      <alignment horizontal="center"/>
    </xf>
    <xf numFmtId="37" fontId="6" fillId="0" borderId="0" xfId="0" applyNumberFormat="1" applyFont="1" applyAlignment="1">
      <alignment horizontal="center"/>
    </xf>
    <xf numFmtId="0" fontId="6" fillId="0" borderId="20" xfId="0" applyFont="1" applyBorder="1"/>
    <xf numFmtId="0" fontId="4" fillId="5" borderId="20" xfId="0" applyFont="1" applyFill="1" applyBorder="1"/>
    <xf numFmtId="0" fontId="37" fillId="2" borderId="5" xfId="0" quotePrefix="1" applyFont="1" applyFill="1" applyBorder="1" applyAlignment="1">
      <alignment horizontal="left" indent="1"/>
    </xf>
    <xf numFmtId="0" fontId="4" fillId="0" borderId="5" xfId="0" quotePrefix="1" applyFont="1" applyBorder="1" applyAlignment="1">
      <alignment horizontal="right"/>
    </xf>
    <xf numFmtId="0" fontId="4" fillId="0" borderId="21" xfId="0" quotePrefix="1" applyFont="1" applyBorder="1" applyAlignment="1">
      <alignment horizontal="right"/>
    </xf>
    <xf numFmtId="37" fontId="0" fillId="0" borderId="4" xfId="0" applyNumberFormat="1" applyBorder="1"/>
    <xf numFmtId="0" fontId="4" fillId="0" borderId="4" xfId="0" applyFont="1" applyBorder="1"/>
    <xf numFmtId="0" fontId="0" fillId="0" borderId="22" xfId="0" applyBorder="1"/>
    <xf numFmtId="37" fontId="8" fillId="26" borderId="1" xfId="0" applyNumberFormat="1" applyFont="1" applyFill="1" applyBorder="1" applyAlignment="1">
      <alignment horizontal="right"/>
    </xf>
    <xf numFmtId="0" fontId="4" fillId="15" borderId="21" xfId="0" applyFont="1" applyFill="1" applyBorder="1"/>
    <xf numFmtId="0" fontId="4" fillId="2" borderId="4" xfId="0" quotePrefix="1" applyFont="1" applyFill="1" applyBorder="1" applyAlignment="1">
      <alignment horizontal="right"/>
    </xf>
    <xf numFmtId="0" fontId="132" fillId="2" borderId="4" xfId="0" quotePrefix="1" applyFont="1" applyFill="1" applyBorder="1" applyAlignment="1">
      <alignment horizontal="left"/>
    </xf>
    <xf numFmtId="37" fontId="22" fillId="2" borderId="4" xfId="0" applyNumberFormat="1" applyFont="1" applyFill="1" applyBorder="1"/>
    <xf numFmtId="0" fontId="22" fillId="2" borderId="4" xfId="0" applyFont="1" applyFill="1" applyBorder="1"/>
    <xf numFmtId="0" fontId="10" fillId="0" borderId="162" xfId="0" applyFont="1" applyBorder="1" applyAlignment="1">
      <alignment horizontal="center"/>
    </xf>
    <xf numFmtId="37" fontId="8" fillId="26" borderId="87" xfId="0" applyNumberFormat="1" applyFont="1" applyFill="1" applyBorder="1" applyAlignment="1">
      <alignment horizontal="right"/>
    </xf>
    <xf numFmtId="0" fontId="166" fillId="15" borderId="1" xfId="0" applyFont="1" applyFill="1" applyBorder="1" applyAlignment="1">
      <alignment horizontal="center" vertical="center"/>
    </xf>
    <xf numFmtId="0" fontId="22" fillId="2" borderId="0" xfId="0" applyFont="1" applyFill="1" applyAlignment="1">
      <alignment horizontal="center" vertical="center"/>
    </xf>
    <xf numFmtId="0" fontId="51" fillId="2" borderId="0" xfId="0" applyFont="1" applyFill="1" applyAlignment="1">
      <alignment horizontal="center" vertical="center"/>
    </xf>
    <xf numFmtId="0" fontId="80" fillId="2" borderId="0" xfId="0" applyFont="1" applyFill="1" applyAlignment="1">
      <alignment horizontal="left" vertical="center"/>
    </xf>
    <xf numFmtId="0" fontId="143" fillId="2" borderId="0" xfId="0" applyFont="1" applyFill="1" applyAlignment="1">
      <alignment horizontal="center" vertical="center"/>
    </xf>
    <xf numFmtId="0" fontId="110" fillId="2" borderId="0" xfId="0" applyFont="1" applyFill="1" applyAlignment="1">
      <alignment horizontal="center" vertical="center"/>
    </xf>
    <xf numFmtId="0" fontId="11" fillId="2" borderId="0" xfId="0" applyFont="1" applyFill="1" applyAlignment="1">
      <alignment horizontal="left"/>
    </xf>
    <xf numFmtId="0" fontId="0" fillId="2" borderId="0" xfId="0" applyFill="1" applyAlignment="1">
      <alignment horizontal="right"/>
    </xf>
    <xf numFmtId="0" fontId="51" fillId="2" borderId="0" xfId="0" applyFont="1" applyFill="1" applyAlignment="1">
      <alignment horizontal="right"/>
    </xf>
    <xf numFmtId="0" fontId="0" fillId="2" borderId="0" xfId="0" applyFill="1" applyAlignment="1">
      <alignment horizontal="center"/>
    </xf>
    <xf numFmtId="0" fontId="123" fillId="31" borderId="0" xfId="0" applyFont="1" applyFill="1" applyAlignment="1">
      <alignment horizontal="center"/>
    </xf>
    <xf numFmtId="0" fontId="11" fillId="2" borderId="0" xfId="0" applyFont="1" applyFill="1" applyAlignment="1">
      <alignment horizontal="left" indent="1"/>
    </xf>
    <xf numFmtId="0" fontId="0" fillId="2" borderId="0" xfId="0" quotePrefix="1" applyFill="1" applyAlignment="1">
      <alignment horizontal="right"/>
    </xf>
    <xf numFmtId="0" fontId="206" fillId="2" borderId="0" xfId="0" applyFont="1" applyFill="1"/>
    <xf numFmtId="0" fontId="160" fillId="2" borderId="0" xfId="0" applyFont="1" applyFill="1" applyAlignment="1">
      <alignment horizontal="center"/>
    </xf>
    <xf numFmtId="0" fontId="110" fillId="2" borderId="0" xfId="0" applyFont="1" applyFill="1" applyAlignment="1">
      <alignment horizontal="center"/>
    </xf>
    <xf numFmtId="0" fontId="80" fillId="2" borderId="0" xfId="0" applyFont="1" applyFill="1" applyAlignment="1">
      <alignment horizontal="center"/>
    </xf>
    <xf numFmtId="0" fontId="4" fillId="27" borderId="12" xfId="0" applyFont="1" applyFill="1" applyBorder="1" applyAlignment="1">
      <alignment horizontal="center"/>
    </xf>
    <xf numFmtId="0" fontId="22" fillId="2" borderId="1" xfId="0" applyFont="1" applyFill="1" applyBorder="1"/>
    <xf numFmtId="0" fontId="146" fillId="2" borderId="0" xfId="0" applyFont="1" applyFill="1"/>
    <xf numFmtId="0" fontId="22" fillId="2" borderId="8" xfId="0" applyFont="1" applyFill="1" applyBorder="1"/>
    <xf numFmtId="0" fontId="121" fillId="2" borderId="0" xfId="0" applyFont="1" applyFill="1"/>
    <xf numFmtId="0" fontId="4" fillId="25" borderId="12" xfId="0" applyFont="1" applyFill="1" applyBorder="1" applyAlignment="1">
      <alignment horizontal="center"/>
    </xf>
    <xf numFmtId="0" fontId="0" fillId="2" borderId="64" xfId="0" applyFill="1" applyBorder="1"/>
    <xf numFmtId="0" fontId="4" fillId="2" borderId="64" xfId="0" applyFont="1" applyFill="1" applyBorder="1" applyAlignment="1">
      <alignment horizontal="center"/>
    </xf>
    <xf numFmtId="0" fontId="22" fillId="2" borderId="64" xfId="0" applyFont="1" applyFill="1" applyBorder="1"/>
    <xf numFmtId="0" fontId="86" fillId="2" borderId="0" xfId="0" applyFont="1" applyFill="1"/>
    <xf numFmtId="3" fontId="4" fillId="2" borderId="1" xfId="0" applyNumberFormat="1" applyFont="1" applyFill="1" applyBorder="1"/>
    <xf numFmtId="0" fontId="80" fillId="2" borderId="0" xfId="0" applyFont="1" applyFill="1" applyAlignment="1">
      <alignment horizontal="right"/>
    </xf>
    <xf numFmtId="0" fontId="80" fillId="0" borderId="0" xfId="0" applyFont="1" applyAlignment="1">
      <alignment horizontal="right"/>
    </xf>
    <xf numFmtId="0" fontId="10" fillId="2" borderId="3" xfId="0" applyFont="1" applyFill="1" applyBorder="1"/>
    <xf numFmtId="40" fontId="110" fillId="2" borderId="0" xfId="0" applyNumberFormat="1" applyFont="1" applyFill="1" applyAlignment="1">
      <alignment horizontal="left"/>
    </xf>
    <xf numFmtId="40" fontId="157" fillId="2" borderId="0" xfId="0" applyNumberFormat="1" applyFont="1" applyFill="1" applyAlignment="1">
      <alignment horizontal="right"/>
    </xf>
    <xf numFmtId="0" fontId="5" fillId="2" borderId="0" xfId="0" applyFont="1" applyFill="1"/>
    <xf numFmtId="0" fontId="125" fillId="31" borderId="0" xfId="0" applyFont="1" applyFill="1" applyAlignment="1">
      <alignment horizontal="center"/>
    </xf>
    <xf numFmtId="0" fontId="132" fillId="2" borderId="0" xfId="0" applyFont="1" applyFill="1" applyAlignment="1">
      <alignment horizontal="left" vertical="top" wrapText="1"/>
    </xf>
    <xf numFmtId="0" fontId="80" fillId="2" borderId="0" xfId="0" applyFont="1" applyFill="1"/>
    <xf numFmtId="0" fontId="4" fillId="25" borderId="12" xfId="0" applyFont="1" applyFill="1" applyBorder="1" applyAlignment="1" applyProtection="1">
      <alignment horizontal="center"/>
      <protection locked="0"/>
    </xf>
    <xf numFmtId="0" fontId="80" fillId="15" borderId="0" xfId="0" applyFont="1" applyFill="1" applyAlignment="1">
      <alignment horizontal="right"/>
    </xf>
    <xf numFmtId="0" fontId="80" fillId="2" borderId="0" xfId="0" applyFont="1" applyFill="1" applyAlignment="1">
      <alignment horizontal="center" vertical="center"/>
    </xf>
    <xf numFmtId="0" fontId="197" fillId="2" borderId="0" xfId="0" applyFont="1" applyFill="1"/>
    <xf numFmtId="0" fontId="143" fillId="2" borderId="0" xfId="0" applyFont="1" applyFill="1"/>
    <xf numFmtId="0" fontId="22" fillId="2" borderId="0" xfId="0" applyFont="1" applyFill="1" applyAlignment="1">
      <alignment horizontal="left"/>
    </xf>
    <xf numFmtId="0" fontId="116" fillId="2" borderId="0" xfId="0" applyFont="1" applyFill="1"/>
    <xf numFmtId="0" fontId="37" fillId="2" borderId="0" xfId="0" applyFont="1" applyFill="1" applyAlignment="1">
      <alignment horizontal="left" vertical="center" wrapText="1"/>
    </xf>
    <xf numFmtId="0" fontId="37" fillId="2" borderId="0" xfId="0" applyFont="1" applyFill="1" applyAlignment="1">
      <alignment horizontal="left"/>
    </xf>
    <xf numFmtId="0" fontId="159" fillId="2" borderId="0" xfId="0" applyFont="1" applyFill="1" applyAlignment="1">
      <alignment horizontal="center"/>
    </xf>
    <xf numFmtId="0" fontId="146" fillId="2" borderId="0" xfId="0" applyFont="1" applyFill="1" applyAlignment="1">
      <alignment horizontal="center"/>
    </xf>
    <xf numFmtId="0" fontId="23" fillId="2" borderId="0" xfId="0" applyFont="1" applyFill="1" applyAlignment="1">
      <alignment horizontal="right"/>
    </xf>
    <xf numFmtId="0" fontId="6" fillId="15" borderId="46" xfId="0" applyFont="1" applyFill="1" applyBorder="1" applyAlignment="1">
      <alignment horizontal="right"/>
    </xf>
    <xf numFmtId="0" fontId="6" fillId="15" borderId="58" xfId="0" applyFont="1" applyFill="1" applyBorder="1" applyAlignment="1">
      <alignment horizontal="right"/>
    </xf>
    <xf numFmtId="0" fontId="6" fillId="15" borderId="54" xfId="0" applyFont="1" applyFill="1" applyBorder="1" applyAlignment="1">
      <alignment horizontal="right"/>
    </xf>
    <xf numFmtId="0" fontId="11" fillId="2" borderId="0" xfId="0" quotePrefix="1" applyFont="1" applyFill="1" applyAlignment="1">
      <alignment horizontal="left"/>
    </xf>
    <xf numFmtId="3" fontId="0" fillId="2" borderId="0" xfId="0" applyNumberFormat="1" applyFill="1"/>
    <xf numFmtId="0" fontId="67" fillId="2" borderId="0" xfId="2" applyFill="1" applyAlignment="1" applyProtection="1"/>
    <xf numFmtId="0" fontId="67" fillId="2" borderId="8" xfId="2" applyFill="1" applyBorder="1" applyAlignment="1" applyProtection="1"/>
    <xf numFmtId="0" fontId="37" fillId="2" borderId="0" xfId="0" applyFont="1" applyFill="1"/>
    <xf numFmtId="0" fontId="0" fillId="2" borderId="106" xfId="0" applyFill="1" applyBorder="1"/>
    <xf numFmtId="0" fontId="4" fillId="2" borderId="106" xfId="0" applyFont="1" applyFill="1" applyBorder="1" applyAlignment="1">
      <alignment horizontal="center"/>
    </xf>
    <xf numFmtId="0" fontId="22" fillId="2" borderId="106" xfId="0" applyFont="1" applyFill="1" applyBorder="1"/>
    <xf numFmtId="0" fontId="24" fillId="2" borderId="0" xfId="0" applyFont="1" applyFill="1" applyAlignment="1">
      <alignment horizontal="right"/>
    </xf>
    <xf numFmtId="0" fontId="93" fillId="2" borderId="0" xfId="0" applyFont="1" applyFill="1"/>
    <xf numFmtId="0" fontId="15" fillId="2" borderId="0" xfId="0" quotePrefix="1" applyFont="1" applyFill="1" applyAlignment="1">
      <alignment horizontal="left"/>
    </xf>
    <xf numFmtId="0" fontId="143" fillId="2" borderId="0" xfId="0" applyFont="1" applyFill="1" applyAlignment="1">
      <alignment horizontal="right"/>
    </xf>
    <xf numFmtId="0" fontId="57" fillId="2" borderId="0" xfId="0" applyFont="1" applyFill="1"/>
    <xf numFmtId="0" fontId="57" fillId="2" borderId="0" xfId="0" applyFont="1" applyFill="1" applyAlignment="1">
      <alignment horizontal="center"/>
    </xf>
    <xf numFmtId="0" fontId="51" fillId="2" borderId="0" xfId="0" applyFont="1" applyFill="1" applyAlignment="1">
      <alignment horizontal="center"/>
    </xf>
    <xf numFmtId="0" fontId="180" fillId="2" borderId="0" xfId="0" applyFont="1" applyFill="1"/>
    <xf numFmtId="3" fontId="6" fillId="15" borderId="23" xfId="0" applyNumberFormat="1" applyFont="1" applyFill="1" applyBorder="1" applyAlignment="1">
      <alignment horizontal="right"/>
    </xf>
    <xf numFmtId="3" fontId="6" fillId="15" borderId="5" xfId="0" applyNumberFormat="1" applyFont="1" applyFill="1" applyBorder="1" applyAlignment="1">
      <alignment horizontal="right"/>
    </xf>
    <xf numFmtId="0" fontId="6" fillId="15" borderId="29" xfId="0" applyFont="1" applyFill="1" applyBorder="1" applyAlignment="1">
      <alignment horizontal="center"/>
    </xf>
    <xf numFmtId="0" fontId="6" fillId="15" borderId="20" xfId="0" applyFont="1" applyFill="1" applyBorder="1" applyAlignment="1">
      <alignment horizontal="center"/>
    </xf>
    <xf numFmtId="0" fontId="6" fillId="15" borderId="5" xfId="0" applyFont="1" applyFill="1" applyBorder="1" applyAlignment="1">
      <alignment horizontal="right"/>
    </xf>
    <xf numFmtId="3" fontId="6" fillId="15" borderId="59" xfId="0" applyNumberFormat="1" applyFont="1" applyFill="1" applyBorder="1" applyAlignment="1">
      <alignment horizontal="right"/>
    </xf>
    <xf numFmtId="0" fontId="6" fillId="15" borderId="111" xfId="0" applyFont="1" applyFill="1" applyBorder="1" applyAlignment="1">
      <alignment horizontal="right"/>
    </xf>
    <xf numFmtId="0" fontId="6" fillId="15" borderId="112" xfId="0" applyFont="1" applyFill="1" applyBorder="1" applyAlignment="1">
      <alignment horizontal="right"/>
    </xf>
    <xf numFmtId="0" fontId="6" fillId="15" borderId="31" xfId="0" applyFont="1" applyFill="1" applyBorder="1" applyAlignment="1">
      <alignment horizontal="right"/>
    </xf>
    <xf numFmtId="37" fontId="110" fillId="2" borderId="0" xfId="0" applyNumberFormat="1" applyFont="1" applyFill="1"/>
    <xf numFmtId="0" fontId="93" fillId="2" borderId="0" xfId="0" applyFont="1" applyFill="1" applyAlignment="1">
      <alignment horizontal="right"/>
    </xf>
    <xf numFmtId="0" fontId="4" fillId="2" borderId="0" xfId="0" applyFont="1" applyFill="1" applyAlignment="1">
      <alignment horizontal="right"/>
    </xf>
    <xf numFmtId="37" fontId="6" fillId="2" borderId="2" xfId="0" applyNumberFormat="1" applyFont="1" applyFill="1" applyBorder="1"/>
    <xf numFmtId="0" fontId="158" fillId="15" borderId="0" xfId="0" applyFont="1" applyFill="1" applyAlignment="1">
      <alignment horizontal="center" vertical="top"/>
    </xf>
    <xf numFmtId="0" fontId="4" fillId="15" borderId="0" xfId="0" applyFont="1" applyFill="1" applyAlignment="1">
      <alignment horizontal="left" vertical="top"/>
    </xf>
    <xf numFmtId="182" fontId="6" fillId="0" borderId="5" xfId="0" applyNumberFormat="1" applyFont="1" applyBorder="1" applyAlignment="1">
      <alignment horizontal="right" vertical="center"/>
    </xf>
    <xf numFmtId="37" fontId="9" fillId="20" borderId="9" xfId="0" applyNumberFormat="1" applyFont="1" applyFill="1" applyBorder="1" applyAlignment="1" applyProtection="1">
      <alignment horizontal="center"/>
      <protection locked="0"/>
    </xf>
    <xf numFmtId="0" fontId="6" fillId="15" borderId="0" xfId="0" applyFont="1" applyFill="1" applyAlignment="1">
      <alignment horizontal="left" vertical="top" wrapText="1"/>
    </xf>
    <xf numFmtId="37" fontId="8" fillId="28" borderId="1" xfId="0" applyNumberFormat="1" applyFont="1" applyFill="1" applyBorder="1" applyAlignment="1">
      <alignment horizontal="right"/>
    </xf>
    <xf numFmtId="0" fontId="14" fillId="15" borderId="0" xfId="0" applyFont="1" applyFill="1" applyAlignment="1">
      <alignment horizontal="center"/>
    </xf>
    <xf numFmtId="0" fontId="14" fillId="15" borderId="8" xfId="0" applyFont="1" applyFill="1" applyBorder="1" applyAlignment="1">
      <alignment horizontal="center"/>
    </xf>
    <xf numFmtId="0" fontId="14" fillId="15" borderId="1" xfId="0" applyFont="1" applyFill="1" applyBorder="1" applyAlignment="1">
      <alignment horizontal="center"/>
    </xf>
    <xf numFmtId="0" fontId="66" fillId="5" borderId="0" xfId="0" applyFont="1" applyFill="1" applyAlignment="1">
      <alignment vertical="top"/>
    </xf>
    <xf numFmtId="0" fontId="57" fillId="5" borderId="0" xfId="0" applyFont="1" applyFill="1" applyAlignment="1">
      <alignment vertical="top"/>
    </xf>
    <xf numFmtId="0" fontId="8" fillId="5" borderId="0" xfId="0" applyFont="1" applyFill="1" applyAlignment="1">
      <alignment vertical="top"/>
    </xf>
    <xf numFmtId="0" fontId="6" fillId="15" borderId="23" xfId="0" applyFont="1" applyFill="1" applyBorder="1" applyAlignment="1">
      <alignment vertical="top"/>
    </xf>
    <xf numFmtId="0" fontId="6" fillId="15" borderId="7" xfId="0" applyFont="1" applyFill="1" applyBorder="1" applyAlignment="1">
      <alignment vertical="top" wrapText="1"/>
    </xf>
    <xf numFmtId="0" fontId="6" fillId="15" borderId="19" xfId="0" applyFont="1" applyFill="1" applyBorder="1" applyAlignment="1">
      <alignment vertical="top" wrapText="1"/>
    </xf>
    <xf numFmtId="0" fontId="66" fillId="5" borderId="0" xfId="0" applyFont="1" applyFill="1"/>
    <xf numFmtId="0" fontId="8" fillId="5" borderId="0" xfId="0" applyFont="1" applyFill="1"/>
    <xf numFmtId="0" fontId="0" fillId="5" borderId="0" xfId="0" applyFill="1" applyAlignment="1">
      <alignment horizontal="right"/>
    </xf>
    <xf numFmtId="0" fontId="6" fillId="15" borderId="5" xfId="0" applyFont="1" applyFill="1" applyBorder="1" applyAlignment="1">
      <alignment horizontal="left" vertical="center" indent="1"/>
    </xf>
    <xf numFmtId="0" fontId="6" fillId="15" borderId="20" xfId="0" applyFont="1" applyFill="1" applyBorder="1" applyAlignment="1">
      <alignment vertical="top"/>
    </xf>
    <xf numFmtId="0" fontId="6" fillId="15" borderId="5" xfId="0" applyFont="1" applyFill="1" applyBorder="1" applyAlignment="1">
      <alignment vertical="top"/>
    </xf>
    <xf numFmtId="0" fontId="172" fillId="15" borderId="0" xfId="0" applyFont="1" applyFill="1" applyAlignment="1">
      <alignment horizontal="center"/>
    </xf>
    <xf numFmtId="182" fontId="143" fillId="15" borderId="0" xfId="0" applyNumberFormat="1" applyFont="1" applyFill="1" applyAlignment="1">
      <alignment horizontal="center"/>
    </xf>
    <xf numFmtId="0" fontId="121" fillId="15" borderId="0" xfId="0" applyFont="1" applyFill="1" applyAlignment="1">
      <alignment horizontal="center"/>
    </xf>
    <xf numFmtId="0" fontId="143" fillId="15" borderId="0" xfId="0" applyFont="1" applyFill="1"/>
    <xf numFmtId="0" fontId="172" fillId="2" borderId="0" xfId="0" applyFont="1" applyFill="1" applyAlignment="1">
      <alignment horizontal="right" indent="2"/>
    </xf>
    <xf numFmtId="0" fontId="20" fillId="14" borderId="5" xfId="0" applyFont="1" applyFill="1" applyBorder="1"/>
    <xf numFmtId="0" fontId="20" fillId="14" borderId="0" xfId="0" applyFont="1" applyFill="1"/>
    <xf numFmtId="0" fontId="20" fillId="14" borderId="0" xfId="0" applyFont="1" applyFill="1" applyAlignment="1">
      <alignment horizontal="center"/>
    </xf>
    <xf numFmtId="1" fontId="12" fillId="7" borderId="0" xfId="0" applyNumberFormat="1" applyFont="1" applyFill="1" applyAlignment="1">
      <alignment horizontal="center"/>
    </xf>
    <xf numFmtId="1" fontId="12" fillId="3" borderId="0" xfId="0" applyNumberFormat="1" applyFont="1" applyFill="1" applyAlignment="1">
      <alignment horizontal="center"/>
    </xf>
    <xf numFmtId="0" fontId="6" fillId="15" borderId="5" xfId="0" applyFont="1" applyFill="1" applyBorder="1" applyAlignment="1">
      <alignment horizontal="left" vertical="top" indent="1"/>
    </xf>
    <xf numFmtId="1" fontId="20" fillId="7" borderId="0" xfId="0" applyNumberFormat="1" applyFont="1" applyFill="1" applyAlignment="1">
      <alignment horizontal="left"/>
    </xf>
    <xf numFmtId="1" fontId="20" fillId="3" borderId="0" xfId="0" applyNumberFormat="1" applyFont="1" applyFill="1" applyAlignment="1">
      <alignment horizontal="left"/>
    </xf>
    <xf numFmtId="0" fontId="10" fillId="3" borderId="0" xfId="0" applyFont="1" applyFill="1" applyAlignment="1">
      <alignment horizontal="left"/>
    </xf>
    <xf numFmtId="0" fontId="4" fillId="15" borderId="5" xfId="0" applyFont="1" applyFill="1" applyBorder="1" applyAlignment="1">
      <alignment horizontal="right" vertical="center"/>
    </xf>
    <xf numFmtId="0" fontId="10" fillId="3" borderId="0" xfId="0" applyFont="1" applyFill="1"/>
    <xf numFmtId="0" fontId="9" fillId="3" borderId="0" xfId="0" applyFont="1" applyFill="1"/>
    <xf numFmtId="0" fontId="0" fillId="3" borderId="0" xfId="0" applyFill="1"/>
    <xf numFmtId="4" fontId="0" fillId="3" borderId="0" xfId="0" applyNumberFormat="1" applyFill="1"/>
    <xf numFmtId="4" fontId="0" fillId="3" borderId="0" xfId="0" applyNumberFormat="1" applyFill="1" applyAlignment="1">
      <alignment horizontal="center"/>
    </xf>
    <xf numFmtId="4" fontId="8" fillId="15" borderId="0" xfId="0" applyNumberFormat="1" applyFont="1" applyFill="1"/>
    <xf numFmtId="0" fontId="49" fillId="9" borderId="8" xfId="0" applyFont="1" applyFill="1" applyBorder="1" applyAlignment="1">
      <alignment horizontal="center" vertical="center"/>
    </xf>
    <xf numFmtId="0" fontId="8" fillId="15" borderId="30" xfId="0" applyFont="1" applyFill="1" applyBorder="1"/>
    <xf numFmtId="0" fontId="14" fillId="15" borderId="8" xfId="0" applyFont="1" applyFill="1" applyBorder="1"/>
    <xf numFmtId="1" fontId="4" fillId="7" borderId="0" xfId="0" applyNumberFormat="1" applyFont="1" applyFill="1" applyAlignment="1">
      <alignment horizontal="center"/>
    </xf>
    <xf numFmtId="1" fontId="4" fillId="3" borderId="0" xfId="0" applyNumberFormat="1" applyFont="1" applyFill="1" applyAlignment="1">
      <alignment horizontal="center"/>
    </xf>
    <xf numFmtId="0" fontId="8" fillId="15" borderId="3" xfId="0" applyFont="1" applyFill="1" applyBorder="1"/>
    <xf numFmtId="0" fontId="0" fillId="15" borderId="1" xfId="0" applyFill="1" applyBorder="1" applyAlignment="1">
      <alignment horizontal="left" vertical="top"/>
    </xf>
    <xf numFmtId="0" fontId="0" fillId="15" borderId="11" xfId="0" applyFill="1" applyBorder="1" applyAlignment="1">
      <alignment horizontal="left" vertical="top"/>
    </xf>
    <xf numFmtId="0" fontId="8" fillId="15" borderId="9" xfId="0" applyFont="1" applyFill="1" applyBorder="1"/>
    <xf numFmtId="0" fontId="4" fillId="3" borderId="0" xfId="0" applyFont="1" applyFill="1" applyAlignment="1">
      <alignment horizontal="right"/>
    </xf>
    <xf numFmtId="0" fontId="6" fillId="3" borderId="0" xfId="0" applyFont="1" applyFill="1" applyAlignment="1">
      <alignment horizontal="left"/>
    </xf>
    <xf numFmtId="0" fontId="8" fillId="3" borderId="0" xfId="0" applyFont="1" applyFill="1" applyAlignment="1">
      <alignment horizontal="left"/>
    </xf>
    <xf numFmtId="4" fontId="10" fillId="3" borderId="0" xfId="0" applyNumberFormat="1" applyFont="1" applyFill="1" applyAlignment="1">
      <alignment horizontal="left"/>
    </xf>
    <xf numFmtId="4" fontId="10" fillId="3" borderId="0" xfId="0" applyNumberFormat="1" applyFont="1" applyFill="1" applyAlignment="1">
      <alignment horizontal="center"/>
    </xf>
    <xf numFmtId="0" fontId="4" fillId="3" borderId="10" xfId="0" applyFont="1" applyFill="1" applyBorder="1" applyAlignment="1">
      <alignment horizontal="center"/>
    </xf>
    <xf numFmtId="37" fontId="8" fillId="28" borderId="9" xfId="0" applyNumberFormat="1" applyFont="1" applyFill="1" applyBorder="1" applyAlignment="1">
      <alignment horizontal="right"/>
    </xf>
    <xf numFmtId="39" fontId="6" fillId="7" borderId="0" xfId="0" applyNumberFormat="1" applyFont="1" applyFill="1" applyAlignment="1">
      <alignment horizontal="right"/>
    </xf>
    <xf numFmtId="39" fontId="6" fillId="3" borderId="0" xfId="0" applyNumberFormat="1" applyFont="1" applyFill="1" applyAlignment="1">
      <alignment horizontal="right"/>
    </xf>
    <xf numFmtId="0" fontId="6" fillId="15" borderId="22" xfId="0" applyFont="1" applyFill="1" applyBorder="1" applyAlignment="1">
      <alignment vertical="top"/>
    </xf>
    <xf numFmtId="0" fontId="29" fillId="15" borderId="7" xfId="0" applyFont="1" applyFill="1" applyBorder="1"/>
    <xf numFmtId="0" fontId="29" fillId="15" borderId="19" xfId="0" applyFont="1" applyFill="1" applyBorder="1"/>
    <xf numFmtId="4" fontId="10" fillId="3" borderId="6" xfId="0" applyNumberFormat="1" applyFont="1" applyFill="1" applyBorder="1" applyAlignment="1">
      <alignment horizontal="center"/>
    </xf>
    <xf numFmtId="4" fontId="10" fillId="7" borderId="6" xfId="0" applyNumberFormat="1" applyFont="1" applyFill="1" applyBorder="1"/>
    <xf numFmtId="37" fontId="199" fillId="3" borderId="3" xfId="0" applyNumberFormat="1" applyFont="1" applyFill="1" applyBorder="1" applyAlignment="1">
      <alignment horizontal="left"/>
    </xf>
    <xf numFmtId="39" fontId="10" fillId="7" borderId="0" xfId="0" applyNumberFormat="1" applyFont="1" applyFill="1" applyAlignment="1">
      <alignment horizontal="right"/>
    </xf>
    <xf numFmtId="39" fontId="112" fillId="3" borderId="0" xfId="0" applyNumberFormat="1" applyFont="1" applyFill="1" applyAlignment="1">
      <alignment horizontal="right"/>
    </xf>
    <xf numFmtId="0" fontId="89" fillId="5" borderId="0" xfId="0" applyFont="1" applyFill="1" applyAlignment="1">
      <alignment horizontal="center"/>
    </xf>
    <xf numFmtId="0" fontId="29" fillId="15" borderId="0" xfId="0" applyFont="1" applyFill="1"/>
    <xf numFmtId="0" fontId="29" fillId="15" borderId="20" xfId="0" applyFont="1" applyFill="1" applyBorder="1"/>
    <xf numFmtId="39" fontId="199" fillId="3" borderId="3" xfId="0" applyNumberFormat="1" applyFont="1" applyFill="1" applyBorder="1" applyAlignment="1">
      <alignment horizontal="left"/>
    </xf>
    <xf numFmtId="39" fontId="110" fillId="3" borderId="0" xfId="0" applyNumberFormat="1" applyFont="1" applyFill="1" applyAlignment="1">
      <alignment horizontal="right"/>
    </xf>
    <xf numFmtId="0" fontId="9" fillId="5" borderId="0" xfId="0" applyFont="1" applyFill="1" applyAlignment="1">
      <alignment horizontal="left"/>
    </xf>
    <xf numFmtId="39" fontId="6" fillId="3" borderId="3" xfId="0" applyNumberFormat="1" applyFont="1" applyFill="1" applyBorder="1" applyAlignment="1">
      <alignment horizontal="right"/>
    </xf>
    <xf numFmtId="37" fontId="8" fillId="3" borderId="3" xfId="0" applyNumberFormat="1" applyFont="1" applyFill="1" applyBorder="1" applyAlignment="1">
      <alignment horizontal="right"/>
    </xf>
    <xf numFmtId="0" fontId="49" fillId="9" borderId="25" xfId="0" applyFont="1" applyFill="1" applyBorder="1" applyAlignment="1">
      <alignment horizontal="center" vertical="center"/>
    </xf>
    <xf numFmtId="1" fontId="12" fillId="7" borderId="0" xfId="0" applyNumberFormat="1" applyFont="1" applyFill="1" applyAlignment="1">
      <alignment horizontal="center" vertical="center"/>
    </xf>
    <xf numFmtId="1" fontId="12" fillId="3" borderId="0" xfId="0" applyNumberFormat="1" applyFont="1" applyFill="1" applyAlignment="1">
      <alignment horizontal="center" vertical="center"/>
    </xf>
    <xf numFmtId="3" fontId="29" fillId="15" borderId="0" xfId="0" applyNumberFormat="1" applyFont="1" applyFill="1" applyAlignment="1">
      <alignment horizontal="right"/>
    </xf>
    <xf numFmtId="0" fontId="25" fillId="15" borderId="0" xfId="0" applyFont="1" applyFill="1" applyAlignment="1">
      <alignment horizontal="left" vertical="top" wrapText="1"/>
    </xf>
    <xf numFmtId="0" fontId="121" fillId="15" borderId="0" xfId="0" applyFont="1" applyFill="1" applyAlignment="1">
      <alignment horizontal="center" vertical="top"/>
    </xf>
    <xf numFmtId="39" fontId="6" fillId="3" borderId="30" xfId="0" applyNumberFormat="1" applyFont="1" applyFill="1" applyBorder="1" applyAlignment="1">
      <alignment horizontal="right"/>
    </xf>
    <xf numFmtId="0" fontId="121" fillId="15" borderId="0" xfId="0" applyFont="1" applyFill="1" applyAlignment="1">
      <alignment horizontal="left" vertical="top" wrapText="1"/>
    </xf>
    <xf numFmtId="37" fontId="173" fillId="15" borderId="0" xfId="0" applyNumberFormat="1" applyFont="1" applyFill="1" applyAlignment="1">
      <alignment horizontal="right" vertical="top" wrapText="1"/>
    </xf>
    <xf numFmtId="0" fontId="4" fillId="3" borderId="3" xfId="0" applyFont="1" applyFill="1" applyBorder="1" applyAlignment="1">
      <alignment horizontal="right"/>
    </xf>
    <xf numFmtId="173" fontId="110" fillId="3" borderId="3" xfId="0" applyNumberFormat="1" applyFont="1" applyFill="1" applyBorder="1" applyAlignment="1">
      <alignment horizontal="right"/>
    </xf>
    <xf numFmtId="37" fontId="6" fillId="15" borderId="0" xfId="0" applyNumberFormat="1" applyFont="1" applyFill="1" applyAlignment="1">
      <alignment horizontal="right" vertical="top" wrapText="1"/>
    </xf>
    <xf numFmtId="0" fontId="4" fillId="3" borderId="3" xfId="0" applyFont="1" applyFill="1" applyBorder="1" applyAlignment="1">
      <alignment horizontal="center"/>
    </xf>
    <xf numFmtId="39" fontId="29" fillId="3" borderId="0" xfId="0" applyNumberFormat="1" applyFont="1" applyFill="1" applyAlignment="1">
      <alignment horizontal="right"/>
    </xf>
    <xf numFmtId="0" fontId="89" fillId="15" borderId="0" xfId="0" applyFont="1" applyFill="1"/>
    <xf numFmtId="0" fontId="15" fillId="3" borderId="0" xfId="0" applyFont="1" applyFill="1" applyAlignment="1">
      <alignment horizontal="left" vertical="top"/>
    </xf>
    <xf numFmtId="37" fontId="173" fillId="15" borderId="0" xfId="0" applyNumberFormat="1" applyFont="1" applyFill="1" applyAlignment="1">
      <alignment horizontal="left" vertical="top"/>
    </xf>
    <xf numFmtId="37" fontId="172" fillId="15" borderId="0" xfId="0" applyNumberFormat="1" applyFont="1" applyFill="1" applyAlignment="1">
      <alignment horizontal="right" vertical="top"/>
    </xf>
    <xf numFmtId="0" fontId="207" fillId="15" borderId="0" xfId="0" applyFont="1" applyFill="1"/>
    <xf numFmtId="0" fontId="47" fillId="3" borderId="0" xfId="0" applyFont="1" applyFill="1" applyAlignment="1">
      <alignment horizontal="left" vertical="top"/>
    </xf>
    <xf numFmtId="4" fontId="37" fillId="3" borderId="0" xfId="0" applyNumberFormat="1" applyFont="1" applyFill="1" applyAlignment="1">
      <alignment horizontal="left"/>
    </xf>
    <xf numFmtId="0" fontId="207" fillId="15" borderId="0" xfId="0" applyFont="1" applyFill="1" applyAlignment="1">
      <alignment vertical="center"/>
    </xf>
    <xf numFmtId="0" fontId="11" fillId="3" borderId="0" xfId="0" applyFont="1" applyFill="1" applyAlignment="1">
      <alignment horizontal="left"/>
    </xf>
    <xf numFmtId="37" fontId="8" fillId="26" borderId="9" xfId="0" applyNumberFormat="1" applyFont="1" applyFill="1" applyBorder="1" applyAlignment="1">
      <alignment horizontal="right"/>
    </xf>
    <xf numFmtId="39" fontId="6" fillId="14" borderId="3" xfId="0" applyNumberFormat="1" applyFont="1" applyFill="1" applyBorder="1" applyAlignment="1">
      <alignment horizontal="right"/>
    </xf>
    <xf numFmtId="0" fontId="207" fillId="15" borderId="0" xfId="0" applyFont="1" applyFill="1" applyAlignment="1">
      <alignment vertical="top"/>
    </xf>
    <xf numFmtId="0" fontId="23" fillId="15" borderId="0" xfId="0" applyFont="1" applyFill="1" applyAlignment="1">
      <alignment horizontal="center"/>
    </xf>
    <xf numFmtId="0" fontId="23" fillId="15" borderId="0" xfId="0" applyFont="1" applyFill="1" applyAlignment="1">
      <alignment horizontal="right"/>
    </xf>
    <xf numFmtId="0" fontId="132" fillId="15" borderId="0" xfId="0" applyFont="1" applyFill="1"/>
    <xf numFmtId="0" fontId="10" fillId="15" borderId="20" xfId="0" applyFont="1" applyFill="1" applyBorder="1"/>
    <xf numFmtId="0" fontId="0" fillId="15" borderId="80" xfId="0" applyFill="1" applyBorder="1"/>
    <xf numFmtId="0" fontId="10" fillId="15" borderId="8" xfId="0" applyFont="1" applyFill="1" applyBorder="1"/>
    <xf numFmtId="0" fontId="10" fillId="15" borderId="88" xfId="0" applyFont="1" applyFill="1" applyBorder="1"/>
    <xf numFmtId="0" fontId="4" fillId="3" borderId="0" xfId="0" applyFont="1" applyFill="1" applyAlignment="1">
      <alignment horizontal="left"/>
    </xf>
    <xf numFmtId="0" fontId="9" fillId="3" borderId="7" xfId="0" applyFont="1" applyFill="1" applyBorder="1"/>
    <xf numFmtId="0" fontId="12" fillId="3" borderId="7" xfId="0" applyFont="1" applyFill="1" applyBorder="1"/>
    <xf numFmtId="4" fontId="12" fillId="3" borderId="7" xfId="0" applyNumberFormat="1" applyFont="1" applyFill="1" applyBorder="1"/>
    <xf numFmtId="4" fontId="10" fillId="3" borderId="7" xfId="0" applyNumberFormat="1" applyFont="1" applyFill="1" applyBorder="1"/>
    <xf numFmtId="4" fontId="10" fillId="3" borderId="7" xfId="0" applyNumberFormat="1" applyFont="1" applyFill="1" applyBorder="1" applyAlignment="1">
      <alignment horizontal="center"/>
    </xf>
    <xf numFmtId="4" fontId="8" fillId="3" borderId="7" xfId="0" applyNumberFormat="1" applyFont="1" applyFill="1" applyBorder="1" applyAlignment="1">
      <alignment horizontal="right"/>
    </xf>
    <xf numFmtId="1" fontId="8" fillId="3" borderId="7" xfId="0" applyNumberFormat="1" applyFont="1" applyFill="1" applyBorder="1" applyAlignment="1">
      <alignment horizontal="left"/>
    </xf>
    <xf numFmtId="1" fontId="8" fillId="7" borderId="0" xfId="0" applyNumberFormat="1" applyFont="1" applyFill="1" applyAlignment="1">
      <alignment horizontal="center"/>
    </xf>
    <xf numFmtId="4" fontId="0" fillId="5" borderId="0" xfId="0" applyNumberFormat="1" applyFill="1" applyAlignment="1">
      <alignment horizontal="center"/>
    </xf>
    <xf numFmtId="4" fontId="0" fillId="5" borderId="0" xfId="0" applyNumberFormat="1" applyFill="1" applyAlignment="1">
      <alignment horizontal="right"/>
    </xf>
    <xf numFmtId="4" fontId="0" fillId="0" borderId="0" xfId="0" applyNumberFormat="1" applyAlignment="1">
      <alignment horizontal="center"/>
    </xf>
    <xf numFmtId="4" fontId="0" fillId="0" borderId="0" xfId="0" applyNumberFormat="1" applyAlignment="1">
      <alignment horizontal="right"/>
    </xf>
    <xf numFmtId="4" fontId="0" fillId="0" borderId="0" xfId="0" applyNumberFormat="1" applyAlignment="1">
      <alignment horizontal="left"/>
    </xf>
    <xf numFmtId="0" fontId="10" fillId="15" borderId="22" xfId="0" applyFont="1" applyFill="1" applyBorder="1"/>
    <xf numFmtId="0" fontId="15" fillId="15" borderId="0" xfId="0" applyFont="1" applyFill="1" applyAlignment="1">
      <alignment horizontal="left" indent="1"/>
    </xf>
    <xf numFmtId="0" fontId="212" fillId="15" borderId="0" xfId="0" applyFont="1" applyFill="1" applyAlignment="1">
      <alignment horizontal="left" vertical="top"/>
    </xf>
    <xf numFmtId="0" fontId="15" fillId="15" borderId="0" xfId="0" applyFont="1" applyFill="1" applyAlignment="1">
      <alignment horizontal="left" vertical="top" indent="1"/>
    </xf>
    <xf numFmtId="0" fontId="10" fillId="15" borderId="5" xfId="0" applyFont="1" applyFill="1" applyBorder="1" applyAlignment="1">
      <alignment horizontal="left"/>
    </xf>
    <xf numFmtId="0" fontId="35" fillId="15" borderId="0" xfId="0" applyFont="1" applyFill="1" applyAlignment="1">
      <alignment horizontal="left"/>
    </xf>
    <xf numFmtId="0" fontId="10" fillId="15" borderId="5" xfId="0" applyFont="1" applyFill="1" applyBorder="1"/>
    <xf numFmtId="0" fontId="35" fillId="15" borderId="0" xfId="0" applyFont="1" applyFill="1" applyAlignment="1">
      <alignment horizontal="left" indent="1"/>
    </xf>
    <xf numFmtId="6" fontId="6" fillId="15" borderId="5" xfId="0" applyNumberFormat="1" applyFont="1" applyFill="1" applyBorder="1"/>
    <xf numFmtId="0" fontId="15" fillId="15" borderId="23" xfId="0" applyFont="1" applyFill="1" applyBorder="1" applyAlignment="1">
      <alignment horizontal="left" indent="1"/>
    </xf>
    <xf numFmtId="0" fontId="15" fillId="15" borderId="7" xfId="0" applyFont="1" applyFill="1" applyBorder="1" applyAlignment="1">
      <alignment horizontal="left"/>
    </xf>
    <xf numFmtId="0" fontId="15" fillId="15" borderId="5" xfId="0" applyFont="1" applyFill="1" applyBorder="1" applyAlignment="1">
      <alignment horizontal="left" vertical="top" indent="1"/>
    </xf>
    <xf numFmtId="0" fontId="6" fillId="15" borderId="5" xfId="0" applyFont="1" applyFill="1" applyBorder="1" applyAlignment="1">
      <alignment horizontal="left" indent="1"/>
    </xf>
    <xf numFmtId="0" fontId="8" fillId="15" borderId="0" xfId="0" applyFont="1" applyFill="1" applyAlignment="1">
      <alignment horizontal="left" indent="1"/>
    </xf>
    <xf numFmtId="0" fontId="35" fillId="15" borderId="5" xfId="0" applyFont="1" applyFill="1" applyBorder="1" applyAlignment="1">
      <alignment horizontal="left" indent="1"/>
    </xf>
    <xf numFmtId="0" fontId="8" fillId="15" borderId="0" xfId="0" applyFont="1" applyFill="1" applyAlignment="1">
      <alignment horizontal="left"/>
    </xf>
    <xf numFmtId="0" fontId="0" fillId="5" borderId="0" xfId="0" applyFill="1" applyAlignment="1" applyProtection="1">
      <alignment vertical="top"/>
      <protection locked="0"/>
    </xf>
    <xf numFmtId="0" fontId="15" fillId="5" borderId="0" xfId="0" applyFont="1" applyFill="1" applyAlignment="1">
      <alignment horizontal="center" vertical="center"/>
    </xf>
    <xf numFmtId="0" fontId="0" fillId="0" borderId="0" xfId="0" applyAlignment="1">
      <alignment horizontal="left" vertical="top" wrapText="1"/>
    </xf>
    <xf numFmtId="168" fontId="128" fillId="0" borderId="0" xfId="0" applyNumberFormat="1" applyFont="1" applyAlignment="1" applyProtection="1">
      <alignment horizontal="center"/>
      <protection hidden="1"/>
    </xf>
    <xf numFmtId="0" fontId="10" fillId="0" borderId="111" xfId="0" applyFont="1" applyBorder="1" applyAlignment="1" applyProtection="1">
      <alignment horizontal="center"/>
      <protection hidden="1"/>
    </xf>
    <xf numFmtId="168" fontId="336" fillId="0" borderId="0" xfId="0" applyNumberFormat="1" applyFont="1" applyAlignment="1" applyProtection="1">
      <alignment horizontal="right"/>
      <protection hidden="1"/>
    </xf>
    <xf numFmtId="3" fontId="336" fillId="0" borderId="0" xfId="0" applyNumberFormat="1" applyFont="1" applyAlignment="1" applyProtection="1">
      <alignment horizontal="right"/>
      <protection hidden="1"/>
    </xf>
    <xf numFmtId="192" fontId="128" fillId="0" borderId="0" xfId="0" applyNumberFormat="1" applyFont="1" applyAlignment="1" applyProtection="1">
      <alignment horizontal="right"/>
      <protection hidden="1"/>
    </xf>
    <xf numFmtId="180" fontId="128" fillId="0" borderId="0" xfId="0" applyNumberFormat="1" applyFont="1" applyAlignment="1" applyProtection="1">
      <alignment horizontal="right"/>
      <protection hidden="1"/>
    </xf>
    <xf numFmtId="0" fontId="158" fillId="0" borderId="0" xfId="0" applyFont="1" applyAlignment="1" applyProtection="1">
      <alignment horizontal="left"/>
      <protection hidden="1"/>
    </xf>
    <xf numFmtId="189" fontId="0" fillId="0" borderId="0" xfId="0" applyNumberFormat="1" applyAlignment="1" applyProtection="1">
      <alignment horizontal="right"/>
      <protection hidden="1"/>
    </xf>
    <xf numFmtId="180" fontId="0" fillId="0" borderId="0" xfId="0" applyNumberFormat="1" applyAlignment="1" applyProtection="1">
      <alignment horizontal="right"/>
      <protection hidden="1"/>
    </xf>
    <xf numFmtId="0" fontId="109" fillId="2" borderId="0" xfId="0" applyFont="1" applyFill="1"/>
    <xf numFmtId="0" fontId="109" fillId="2" borderId="0" xfId="0" applyFont="1" applyFill="1" applyAlignment="1">
      <alignment horizontal="right"/>
    </xf>
    <xf numFmtId="0" fontId="121" fillId="2" borderId="0" xfId="0" applyFont="1" applyFill="1" applyAlignment="1">
      <alignment horizontal="left" indent="1"/>
    </xf>
    <xf numFmtId="0" fontId="6" fillId="0" borderId="0" xfId="0" applyFont="1" applyAlignment="1">
      <alignment horizontal="left" vertical="top" wrapText="1"/>
    </xf>
    <xf numFmtId="0" fontId="4" fillId="15" borderId="24" xfId="0" applyFont="1" applyFill="1" applyBorder="1" applyAlignment="1">
      <alignment horizontal="center"/>
    </xf>
    <xf numFmtId="0" fontId="20" fillId="15" borderId="1" xfId="0" applyFont="1" applyFill="1" applyBorder="1" applyAlignment="1">
      <alignment vertical="center"/>
    </xf>
    <xf numFmtId="0" fontId="20" fillId="15" borderId="0" xfId="0" applyFont="1" applyFill="1" applyAlignment="1">
      <alignment vertical="center"/>
    </xf>
    <xf numFmtId="1" fontId="0" fillId="10" borderId="0" xfId="0" applyNumberFormat="1" applyFill="1"/>
    <xf numFmtId="0" fontId="287" fillId="15" borderId="0" xfId="0" applyFont="1" applyFill="1"/>
    <xf numFmtId="0" fontId="6" fillId="15" borderId="5" xfId="0" applyFont="1" applyFill="1" applyBorder="1" applyAlignment="1">
      <alignment horizontal="left" indent="2"/>
    </xf>
    <xf numFmtId="0" fontId="0" fillId="15" borderId="0" xfId="0" applyFill="1" applyAlignment="1">
      <alignment horizontal="left" vertical="center" wrapText="1"/>
    </xf>
    <xf numFmtId="0" fontId="4" fillId="15" borderId="4" xfId="0" applyFont="1" applyFill="1" applyBorder="1" applyAlignment="1">
      <alignment horizontal="centerContinuous"/>
    </xf>
    <xf numFmtId="0" fontId="0" fillId="15" borderId="4" xfId="0" applyFill="1" applyBorder="1" applyAlignment="1">
      <alignment horizontal="centerContinuous"/>
    </xf>
    <xf numFmtId="0" fontId="6" fillId="15" borderId="4" xfId="0" applyFont="1" applyFill="1" applyBorder="1" applyAlignment="1">
      <alignment horizontal="centerContinuous"/>
    </xf>
    <xf numFmtId="0" fontId="6" fillId="15" borderId="21" xfId="0" applyFont="1" applyFill="1" applyBorder="1" applyAlignment="1">
      <alignment horizontal="left" indent="2"/>
    </xf>
    <xf numFmtId="0" fontId="0" fillId="15" borderId="4" xfId="0" applyFill="1" applyBorder="1" applyAlignment="1">
      <alignment horizontal="left" vertical="center" wrapText="1"/>
    </xf>
    <xf numFmtId="0" fontId="12" fillId="15" borderId="56" xfId="0" applyFont="1" applyFill="1" applyBorder="1"/>
    <xf numFmtId="0" fontId="9" fillId="15" borderId="56" xfId="0" applyFont="1" applyFill="1" applyBorder="1" applyAlignment="1">
      <alignment horizontal="center"/>
    </xf>
    <xf numFmtId="1" fontId="12" fillId="10" borderId="0" xfId="0" applyNumberFormat="1" applyFont="1" applyFill="1"/>
    <xf numFmtId="0" fontId="117" fillId="0" borderId="0" xfId="0" applyFont="1"/>
    <xf numFmtId="0" fontId="0" fillId="23" borderId="0" xfId="0" applyFill="1" applyAlignment="1">
      <alignment vertical="top"/>
    </xf>
    <xf numFmtId="1" fontId="206" fillId="10" borderId="0" xfId="0" applyNumberFormat="1" applyFont="1" applyFill="1"/>
    <xf numFmtId="0" fontId="0" fillId="15" borderId="15" xfId="0" applyFill="1" applyBorder="1"/>
    <xf numFmtId="0" fontId="4" fillId="15" borderId="30" xfId="0" applyFont="1" applyFill="1" applyBorder="1"/>
    <xf numFmtId="0" fontId="4" fillId="15" borderId="8" xfId="0" applyFont="1" applyFill="1" applyBorder="1"/>
    <xf numFmtId="0" fontId="0" fillId="23" borderId="15" xfId="0" applyFill="1" applyBorder="1"/>
    <xf numFmtId="0" fontId="0" fillId="23" borderId="6" xfId="0" applyFill="1" applyBorder="1"/>
    <xf numFmtId="0" fontId="4" fillId="15" borderId="10" xfId="0" applyFont="1" applyFill="1" applyBorder="1" applyAlignment="1">
      <alignment horizontal="center"/>
    </xf>
    <xf numFmtId="37" fontId="4" fillId="27" borderId="9" xfId="0" quotePrefix="1" applyNumberFormat="1" applyFont="1" applyFill="1" applyBorder="1" applyAlignment="1">
      <alignment horizontal="center"/>
    </xf>
    <xf numFmtId="37" fontId="4" fillId="27" borderId="1" xfId="0" quotePrefix="1" applyNumberFormat="1" applyFont="1" applyFill="1" applyBorder="1"/>
    <xf numFmtId="0" fontId="4" fillId="15" borderId="15" xfId="0" applyFont="1" applyFill="1" applyBorder="1" applyAlignment="1">
      <alignment horizontal="center"/>
    </xf>
    <xf numFmtId="37" fontId="15" fillId="27" borderId="39" xfId="0" quotePrefix="1" applyNumberFormat="1" applyFont="1" applyFill="1" applyBorder="1" applyAlignment="1">
      <alignment horizontal="center"/>
    </xf>
    <xf numFmtId="37" fontId="15" fillId="27" borderId="25" xfId="0" quotePrefix="1" applyNumberFormat="1" applyFont="1" applyFill="1" applyBorder="1" applyAlignment="1">
      <alignment horizontal="center"/>
    </xf>
    <xf numFmtId="37" fontId="47" fillId="15" borderId="24" xfId="0" applyNumberFormat="1" applyFont="1" applyFill="1" applyBorder="1" applyAlignment="1">
      <alignment horizontal="right"/>
    </xf>
    <xf numFmtId="37" fontId="9" fillId="15" borderId="30" xfId="0" applyNumberFormat="1" applyFont="1" applyFill="1" applyBorder="1"/>
    <xf numFmtId="37" fontId="9" fillId="15" borderId="8" xfId="0" applyNumberFormat="1" applyFont="1" applyFill="1" applyBorder="1"/>
    <xf numFmtId="37" fontId="4" fillId="15" borderId="8" xfId="0" applyNumberFormat="1" applyFont="1" applyFill="1" applyBorder="1"/>
    <xf numFmtId="37" fontId="15" fillId="27" borderId="69" xfId="0" quotePrefix="1" applyNumberFormat="1" applyFont="1" applyFill="1" applyBorder="1" applyAlignment="1">
      <alignment horizontal="center"/>
    </xf>
    <xf numFmtId="37" fontId="15" fillId="27" borderId="4" xfId="0" quotePrefix="1" applyNumberFormat="1" applyFont="1" applyFill="1" applyBorder="1" applyAlignment="1">
      <alignment horizontal="center"/>
    </xf>
    <xf numFmtId="0" fontId="4" fillId="15" borderId="7" xfId="0" applyFont="1" applyFill="1" applyBorder="1" applyAlignment="1">
      <alignment horizontal="left"/>
    </xf>
    <xf numFmtId="0" fontId="0" fillId="15" borderId="7" xfId="0" applyFill="1" applyBorder="1" applyAlignment="1">
      <alignment horizontal="right" indent="1"/>
    </xf>
    <xf numFmtId="0" fontId="8" fillId="15" borderId="7" xfId="0" applyFont="1" applyFill="1" applyBorder="1" applyAlignment="1">
      <alignment horizontal="right"/>
    </xf>
    <xf numFmtId="0" fontId="143" fillId="2" borderId="0" xfId="0" applyFont="1" applyFill="1" applyAlignment="1">
      <alignment horizontal="right" indent="2"/>
    </xf>
    <xf numFmtId="0" fontId="0" fillId="15" borderId="5" xfId="0" applyFill="1" applyBorder="1" applyAlignment="1">
      <alignment horizontal="left"/>
    </xf>
    <xf numFmtId="0" fontId="0" fillId="15" borderId="20" xfId="0" applyFill="1" applyBorder="1" applyAlignment="1">
      <alignment horizontal="left"/>
    </xf>
    <xf numFmtId="0" fontId="4" fillId="15" borderId="56" xfId="0" applyFont="1" applyFill="1" applyBorder="1"/>
    <xf numFmtId="0" fontId="24" fillId="15" borderId="0" xfId="0" applyFont="1" applyFill="1" applyAlignment="1">
      <alignment vertical="center"/>
    </xf>
    <xf numFmtId="0" fontId="24" fillId="15" borderId="0" xfId="0" applyFont="1" applyFill="1" applyAlignment="1">
      <alignment vertical="top"/>
    </xf>
    <xf numFmtId="0" fontId="4" fillId="15" borderId="47" xfId="0" applyFont="1" applyFill="1" applyBorder="1" applyAlignment="1">
      <alignment horizontal="center"/>
    </xf>
    <xf numFmtId="0" fontId="11" fillId="15" borderId="0" xfId="0" quotePrefix="1" applyFont="1" applyFill="1" applyAlignment="1">
      <alignment horizontal="center"/>
    </xf>
    <xf numFmtId="0" fontId="4" fillId="15" borderId="10" xfId="0" quotePrefix="1" applyFont="1" applyFill="1" applyBorder="1" applyAlignment="1">
      <alignment horizontal="center"/>
    </xf>
    <xf numFmtId="0" fontId="4" fillId="15" borderId="28" xfId="0" quotePrefix="1" applyFont="1" applyFill="1" applyBorder="1" applyAlignment="1">
      <alignment horizontal="center"/>
    </xf>
    <xf numFmtId="0" fontId="4" fillId="15" borderId="43" xfId="0" quotePrefix="1" applyFont="1" applyFill="1" applyBorder="1" applyAlignment="1">
      <alignment horizontal="center"/>
    </xf>
    <xf numFmtId="0" fontId="4" fillId="15" borderId="6" xfId="0" applyFont="1" applyFill="1" applyBorder="1" applyAlignment="1">
      <alignment horizontal="center"/>
    </xf>
    <xf numFmtId="0" fontId="4" fillId="15" borderId="6" xfId="0" quotePrefix="1" applyFont="1" applyFill="1" applyBorder="1" applyAlignment="1">
      <alignment horizontal="center"/>
    </xf>
    <xf numFmtId="0" fontId="4" fillId="15" borderId="51" xfId="0" quotePrefix="1" applyFont="1" applyFill="1" applyBorder="1" applyAlignment="1">
      <alignment horizontal="center"/>
    </xf>
    <xf numFmtId="0" fontId="0" fillId="19" borderId="6" xfId="0" applyFill="1" applyBorder="1"/>
    <xf numFmtId="0" fontId="110" fillId="15" borderId="1" xfId="0" applyFont="1" applyFill="1" applyBorder="1"/>
    <xf numFmtId="0" fontId="4" fillId="15" borderId="12" xfId="0" applyFont="1" applyFill="1" applyBorder="1" applyAlignment="1">
      <alignment horizontal="center"/>
    </xf>
    <xf numFmtId="0" fontId="0" fillId="15" borderId="12" xfId="0" applyFill="1" applyBorder="1" applyAlignment="1">
      <alignment horizontal="center"/>
    </xf>
    <xf numFmtId="37" fontId="0" fillId="15" borderId="12" xfId="0" applyNumberFormat="1" applyFill="1" applyBorder="1"/>
    <xf numFmtId="0" fontId="11" fillId="15" borderId="8" xfId="0" applyFont="1" applyFill="1" applyBorder="1"/>
    <xf numFmtId="0" fontId="47" fillId="15" borderId="9" xfId="0" applyFont="1" applyFill="1" applyBorder="1"/>
    <xf numFmtId="0" fontId="14" fillId="15" borderId="1" xfId="0" applyFont="1" applyFill="1" applyBorder="1" applyAlignment="1">
      <alignment horizontal="right"/>
    </xf>
    <xf numFmtId="0" fontId="15" fillId="15" borderId="16" xfId="0" applyFont="1" applyFill="1" applyBorder="1" applyAlignment="1">
      <alignment vertical="center"/>
    </xf>
    <xf numFmtId="0" fontId="6" fillId="15" borderId="16" xfId="0" applyFont="1" applyFill="1" applyBorder="1"/>
    <xf numFmtId="0" fontId="10" fillId="15" borderId="16" xfId="0" applyFont="1" applyFill="1" applyBorder="1" applyAlignment="1">
      <alignment vertical="top"/>
    </xf>
    <xf numFmtId="0" fontId="6" fillId="15" borderId="16" xfId="0" applyFont="1" applyFill="1" applyBorder="1" applyAlignment="1">
      <alignment horizontal="right"/>
    </xf>
    <xf numFmtId="0" fontId="151" fillId="0" borderId="0" xfId="0" applyFont="1"/>
    <xf numFmtId="180" fontId="0" fillId="0" borderId="0" xfId="0" applyNumberFormat="1"/>
    <xf numFmtId="0" fontId="9" fillId="0" borderId="0" xfId="0" applyFont="1" applyAlignment="1">
      <alignment horizontal="right"/>
    </xf>
    <xf numFmtId="0" fontId="8" fillId="0" borderId="0" xfId="0" applyFont="1" applyAlignment="1">
      <alignment horizontal="left"/>
    </xf>
    <xf numFmtId="0" fontId="9" fillId="0" borderId="0" xfId="0" applyFont="1" applyAlignment="1">
      <alignment horizontal="right" vertical="center"/>
    </xf>
    <xf numFmtId="0" fontId="8" fillId="0" borderId="0" xfId="0" applyFont="1" applyAlignment="1">
      <alignment horizontal="left" vertical="center"/>
    </xf>
    <xf numFmtId="37" fontId="158" fillId="15" borderId="12" xfId="0" applyNumberFormat="1" applyFont="1" applyFill="1" applyBorder="1"/>
    <xf numFmtId="37" fontId="9" fillId="28" borderId="1" xfId="0" applyNumberFormat="1" applyFont="1" applyFill="1" applyBorder="1" applyAlignment="1">
      <alignment horizontal="right"/>
    </xf>
    <xf numFmtId="37" fontId="9" fillId="27" borderId="1" xfId="0" applyNumberFormat="1" applyFont="1" applyFill="1" applyBorder="1"/>
    <xf numFmtId="0" fontId="66" fillId="5" borderId="0" xfId="0" applyFont="1" applyFill="1" applyAlignment="1">
      <alignment horizontal="centerContinuous"/>
    </xf>
    <xf numFmtId="0" fontId="57" fillId="5" borderId="0" xfId="0" applyFont="1" applyFill="1" applyAlignment="1">
      <alignment horizontal="left"/>
    </xf>
    <xf numFmtId="0" fontId="57" fillId="5" borderId="0" xfId="0" applyFont="1" applyFill="1" applyAlignment="1">
      <alignment horizontal="right"/>
    </xf>
    <xf numFmtId="0" fontId="57" fillId="5" borderId="0" xfId="0" applyFont="1" applyFill="1" applyAlignment="1">
      <alignment vertical="center"/>
    </xf>
    <xf numFmtId="0" fontId="11" fillId="29" borderId="107" xfId="0" applyFont="1" applyFill="1" applyBorder="1"/>
    <xf numFmtId="0" fontId="6" fillId="24" borderId="27" xfId="0" applyFont="1" applyFill="1" applyBorder="1"/>
    <xf numFmtId="0" fontId="0" fillId="24" borderId="27" xfId="0" applyFill="1" applyBorder="1" applyAlignment="1">
      <alignment horizontal="center"/>
    </xf>
    <xf numFmtId="0" fontId="11" fillId="29" borderId="27" xfId="0" applyFont="1" applyFill="1" applyBorder="1"/>
    <xf numFmtId="0" fontId="14" fillId="24" borderId="27" xfId="0" applyFont="1" applyFill="1" applyBorder="1"/>
    <xf numFmtId="0" fontId="14" fillId="24" borderId="108" xfId="0" applyFont="1" applyFill="1" applyBorder="1"/>
    <xf numFmtId="0" fontId="4" fillId="24" borderId="5" xfId="0" applyFont="1" applyFill="1" applyBorder="1" applyAlignment="1">
      <alignment horizontal="left"/>
    </xf>
    <xf numFmtId="0" fontId="6" fillId="24" borderId="0" xfId="0" applyFont="1" applyFill="1"/>
    <xf numFmtId="0" fontId="4" fillId="24" borderId="0" xfId="0" applyFont="1" applyFill="1" applyAlignment="1">
      <alignment horizontal="left"/>
    </xf>
    <xf numFmtId="0" fontId="6" fillId="24" borderId="20" xfId="0" applyFont="1" applyFill="1" applyBorder="1"/>
    <xf numFmtId="0" fontId="6" fillId="24" borderId="26" xfId="0" applyFont="1" applyFill="1" applyBorder="1"/>
    <xf numFmtId="0" fontId="6" fillId="24" borderId="1" xfId="0" applyFont="1" applyFill="1" applyBorder="1"/>
    <xf numFmtId="0" fontId="0" fillId="24" borderId="1" xfId="0" applyFill="1" applyBorder="1" applyAlignment="1">
      <alignment horizontal="center"/>
    </xf>
    <xf numFmtId="0" fontId="0" fillId="24" borderId="1" xfId="0" applyFill="1" applyBorder="1"/>
    <xf numFmtId="0" fontId="0" fillId="24" borderId="1" xfId="0" applyFill="1" applyBorder="1" applyAlignment="1">
      <alignment horizontal="left"/>
    </xf>
    <xf numFmtId="0" fontId="6" fillId="24" borderId="1" xfId="0" applyFont="1" applyFill="1" applyBorder="1" applyAlignment="1">
      <alignment vertical="top"/>
    </xf>
    <xf numFmtId="0" fontId="6" fillId="24" borderId="29" xfId="0" applyFont="1" applyFill="1" applyBorder="1"/>
    <xf numFmtId="0" fontId="6" fillId="5" borderId="0" xfId="0" applyFont="1" applyFill="1" applyAlignment="1">
      <alignment horizontal="center"/>
    </xf>
    <xf numFmtId="0" fontId="6" fillId="24" borderId="5" xfId="0" applyFont="1" applyFill="1" applyBorder="1"/>
    <xf numFmtId="0" fontId="0" fillId="24" borderId="0" xfId="0" applyFill="1" applyAlignment="1">
      <alignment horizontal="center"/>
    </xf>
    <xf numFmtId="0" fontId="0" fillId="24" borderId="0" xfId="0" applyFill="1" applyAlignment="1">
      <alignment horizontal="left"/>
    </xf>
    <xf numFmtId="0" fontId="6" fillId="24" borderId="0" xfId="0" applyFont="1" applyFill="1" applyAlignment="1">
      <alignment vertical="top"/>
    </xf>
    <xf numFmtId="0" fontId="10" fillId="24" borderId="5" xfId="0" applyFont="1" applyFill="1" applyBorder="1" applyAlignment="1">
      <alignment horizontal="center"/>
    </xf>
    <xf numFmtId="0" fontId="10" fillId="24" borderId="0" xfId="0" applyFont="1" applyFill="1" applyAlignment="1">
      <alignment horizontal="center"/>
    </xf>
    <xf numFmtId="49" fontId="9" fillId="24" borderId="0" xfId="0" applyNumberFormat="1" applyFont="1" applyFill="1" applyAlignment="1">
      <alignment horizontal="center" vertical="center"/>
    </xf>
    <xf numFmtId="0" fontId="6" fillId="24" borderId="0" xfId="0" applyFont="1" applyFill="1" applyAlignment="1">
      <alignment horizontal="left" vertical="center"/>
    </xf>
    <xf numFmtId="0" fontId="4" fillId="2" borderId="0" xfId="0" applyFont="1" applyFill="1" applyAlignment="1">
      <alignment horizontal="center" vertical="center"/>
    </xf>
    <xf numFmtId="0" fontId="10" fillId="24" borderId="0" xfId="0" applyFont="1" applyFill="1" applyAlignment="1">
      <alignment horizontal="left"/>
    </xf>
    <xf numFmtId="0" fontId="8" fillId="24" borderId="0" xfId="0" applyFont="1" applyFill="1"/>
    <xf numFmtId="0" fontId="51" fillId="9" borderId="25" xfId="0" applyFont="1" applyFill="1" applyBorder="1" applyAlignment="1">
      <alignment horizontal="center"/>
    </xf>
    <xf numFmtId="37" fontId="112" fillId="0" borderId="0" xfId="0" applyNumberFormat="1" applyFont="1" applyAlignment="1">
      <alignment horizontal="right"/>
    </xf>
    <xf numFmtId="37" fontId="9" fillId="28" borderId="2" xfId="0" applyNumberFormat="1" applyFont="1" applyFill="1" applyBorder="1" applyAlignment="1">
      <alignment horizontal="center" vertical="center"/>
    </xf>
    <xf numFmtId="0" fontId="9" fillId="24" borderId="0" xfId="0" applyFont="1" applyFill="1" applyAlignment="1">
      <alignment horizontal="left"/>
    </xf>
    <xf numFmtId="0" fontId="8" fillId="24" borderId="0" xfId="0" applyFont="1" applyFill="1" applyAlignment="1">
      <alignment horizontal="left"/>
    </xf>
    <xf numFmtId="0" fontId="119" fillId="24" borderId="0" xfId="0" applyFont="1" applyFill="1" applyAlignment="1">
      <alignment horizontal="center"/>
    </xf>
    <xf numFmtId="0" fontId="4" fillId="3" borderId="0" xfId="0" applyFont="1" applyFill="1" applyAlignment="1">
      <alignment horizontal="center"/>
    </xf>
    <xf numFmtId="0" fontId="47" fillId="3" borderId="0" xfId="0" applyFont="1" applyFill="1" applyAlignment="1">
      <alignment horizontal="left" vertical="center"/>
    </xf>
    <xf numFmtId="37" fontId="8" fillId="3" borderId="30" xfId="0" applyNumberFormat="1" applyFont="1" applyFill="1" applyBorder="1" applyAlignment="1">
      <alignment horizontal="right"/>
    </xf>
    <xf numFmtId="39" fontId="110" fillId="3" borderId="0" xfId="0" applyNumberFormat="1" applyFont="1" applyFill="1" applyAlignment="1">
      <alignment horizontal="center"/>
    </xf>
    <xf numFmtId="0" fontId="10" fillId="2" borderId="0" xfId="0" applyFont="1" applyFill="1" applyAlignment="1">
      <alignment horizontal="center"/>
    </xf>
    <xf numFmtId="37" fontId="116" fillId="3" borderId="3" xfId="0" applyNumberFormat="1" applyFont="1" applyFill="1" applyBorder="1" applyAlignment="1">
      <alignment horizontal="right"/>
    </xf>
    <xf numFmtId="39" fontId="6" fillId="3" borderId="0" xfId="0" applyNumberFormat="1" applyFont="1" applyFill="1" applyAlignment="1">
      <alignment horizontal="center"/>
    </xf>
    <xf numFmtId="0" fontId="199" fillId="2" borderId="0" xfId="0" applyFont="1" applyFill="1" applyAlignment="1">
      <alignment horizontal="center"/>
    </xf>
    <xf numFmtId="3" fontId="12" fillId="24" borderId="0" xfId="0" applyNumberFormat="1" applyFont="1" applyFill="1" applyAlignment="1">
      <alignment horizontal="right"/>
    </xf>
    <xf numFmtId="0" fontId="9" fillId="24" borderId="0" xfId="0" quotePrefix="1" applyFont="1" applyFill="1" applyAlignment="1">
      <alignment horizontal="center"/>
    </xf>
    <xf numFmtId="0" fontId="4" fillId="3" borderId="0" xfId="0" quotePrefix="1" applyFont="1" applyFill="1" applyAlignment="1">
      <alignment horizontal="right"/>
    </xf>
    <xf numFmtId="0" fontId="9" fillId="3" borderId="0" xfId="0" applyFont="1" applyFill="1" applyAlignment="1">
      <alignment horizontal="left"/>
    </xf>
    <xf numFmtId="0" fontId="4" fillId="3" borderId="15" xfId="0" applyFont="1" applyFill="1" applyBorder="1" applyAlignment="1">
      <alignment horizontal="center"/>
    </xf>
    <xf numFmtId="3" fontId="113" fillId="5" borderId="0" xfId="0" applyNumberFormat="1" applyFont="1" applyFill="1"/>
    <xf numFmtId="0" fontId="64" fillId="24" borderId="20" xfId="0" applyFont="1" applyFill="1" applyBorder="1"/>
    <xf numFmtId="0" fontId="12" fillId="24" borderId="5" xfId="0" applyFont="1" applyFill="1" applyBorder="1" applyAlignment="1">
      <alignment horizontal="center"/>
    </xf>
    <xf numFmtId="49" fontId="9" fillId="24" borderId="0" xfId="0" applyNumberFormat="1" applyFont="1" applyFill="1" applyAlignment="1">
      <alignment horizontal="center"/>
    </xf>
    <xf numFmtId="4" fontId="4" fillId="3" borderId="0" xfId="0" applyNumberFormat="1" applyFont="1" applyFill="1" applyAlignment="1">
      <alignment horizontal="left"/>
    </xf>
    <xf numFmtId="4" fontId="8" fillId="3" borderId="0" xfId="0" applyNumberFormat="1" applyFont="1" applyFill="1" applyAlignment="1">
      <alignment horizontal="left"/>
    </xf>
    <xf numFmtId="4" fontId="6" fillId="3" borderId="0" xfId="0" applyNumberFormat="1" applyFont="1" applyFill="1" applyAlignment="1">
      <alignment horizontal="left"/>
    </xf>
    <xf numFmtId="4" fontId="8" fillId="3" borderId="0" xfId="0" applyNumberFormat="1" applyFont="1" applyFill="1" applyAlignment="1">
      <alignment horizontal="right"/>
    </xf>
    <xf numFmtId="4" fontId="6" fillId="3" borderId="0" xfId="0" applyNumberFormat="1" applyFont="1" applyFill="1" applyAlignment="1">
      <alignment horizontal="right"/>
    </xf>
    <xf numFmtId="0" fontId="12" fillId="24" borderId="0" xfId="0" applyFont="1" applyFill="1" applyAlignment="1">
      <alignment horizontal="right"/>
    </xf>
    <xf numFmtId="4" fontId="9" fillId="3" borderId="0" xfId="0" applyNumberFormat="1" applyFont="1" applyFill="1" applyAlignment="1">
      <alignment horizontal="left"/>
    </xf>
    <xf numFmtId="0" fontId="8" fillId="24" borderId="0" xfId="0" applyFont="1" applyFill="1" applyAlignment="1">
      <alignment horizontal="right"/>
    </xf>
    <xf numFmtId="0" fontId="10" fillId="24" borderId="0" xfId="0" applyFont="1" applyFill="1" applyAlignment="1">
      <alignment horizontal="right" vertical="top"/>
    </xf>
    <xf numFmtId="0" fontId="167" fillId="5" borderId="0" xfId="0" applyFont="1" applyFill="1" applyAlignment="1">
      <alignment horizontal="center"/>
    </xf>
    <xf numFmtId="0" fontId="127" fillId="5" borderId="0" xfId="0" applyFont="1" applyFill="1" applyAlignment="1">
      <alignment horizontal="center"/>
    </xf>
    <xf numFmtId="3" fontId="112" fillId="0" borderId="0" xfId="0" applyNumberFormat="1" applyFont="1"/>
    <xf numFmtId="3" fontId="138" fillId="24" borderId="0" xfId="0" applyNumberFormat="1" applyFont="1" applyFill="1" applyAlignment="1">
      <alignment horizontal="center"/>
    </xf>
    <xf numFmtId="0" fontId="8" fillId="24" borderId="0" xfId="0" applyFont="1" applyFill="1" applyAlignment="1">
      <alignment horizontal="center"/>
    </xf>
    <xf numFmtId="0" fontId="8" fillId="24" borderId="0" xfId="0" applyFont="1" applyFill="1" applyAlignment="1">
      <alignment horizontal="left" vertical="top"/>
    </xf>
    <xf numFmtId="0" fontId="9" fillId="3" borderId="0" xfId="0" applyFont="1" applyFill="1" applyAlignment="1">
      <alignment horizontal="right"/>
    </xf>
    <xf numFmtId="37" fontId="116" fillId="3" borderId="30" xfId="0" applyNumberFormat="1" applyFont="1" applyFill="1" applyBorder="1" applyAlignment="1">
      <alignment horizontal="right"/>
    </xf>
    <xf numFmtId="5" fontId="167" fillId="5" borderId="0" xfId="0" applyNumberFormat="1" applyFont="1" applyFill="1" applyAlignment="1">
      <alignment horizontal="right"/>
    </xf>
    <xf numFmtId="0" fontId="6" fillId="3" borderId="0" xfId="0" applyFont="1" applyFill="1" applyAlignment="1">
      <alignment horizontal="left" vertical="center"/>
    </xf>
    <xf numFmtId="3" fontId="112" fillId="0" borderId="0" xfId="0" applyNumberFormat="1" applyFont="1" applyAlignment="1">
      <alignment horizontal="center"/>
    </xf>
    <xf numFmtId="3" fontId="12" fillId="24" borderId="0" xfId="0" applyNumberFormat="1" applyFont="1" applyFill="1" applyAlignment="1">
      <alignment horizontal="center"/>
    </xf>
    <xf numFmtId="0" fontId="49" fillId="9" borderId="25" xfId="0" applyFont="1" applyFill="1" applyBorder="1" applyAlignment="1">
      <alignment vertical="center"/>
    </xf>
    <xf numFmtId="1" fontId="4" fillId="3" borderId="0" xfId="0" applyNumberFormat="1" applyFont="1" applyFill="1" applyAlignment="1">
      <alignment horizontal="center" vertical="center"/>
    </xf>
    <xf numFmtId="0" fontId="6" fillId="5" borderId="0" xfId="0" applyFont="1" applyFill="1" applyAlignment="1">
      <alignment vertical="center"/>
    </xf>
    <xf numFmtId="3" fontId="112" fillId="0" borderId="0" xfId="0" applyNumberFormat="1" applyFont="1" applyAlignment="1">
      <alignment horizontal="right"/>
    </xf>
    <xf numFmtId="1" fontId="4" fillId="7" borderId="15" xfId="0" applyNumberFormat="1" applyFont="1" applyFill="1" applyBorder="1" applyAlignment="1">
      <alignment horizontal="right"/>
    </xf>
    <xf numFmtId="37" fontId="8" fillId="14" borderId="3" xfId="0" applyNumberFormat="1" applyFont="1" applyFill="1" applyBorder="1" applyAlignment="1">
      <alignment horizontal="right"/>
    </xf>
    <xf numFmtId="39" fontId="29" fillId="7" borderId="0" xfId="0" applyNumberFormat="1" applyFont="1" applyFill="1" applyAlignment="1">
      <alignment horizontal="right"/>
    </xf>
    <xf numFmtId="4" fontId="12" fillId="3" borderId="0" xfId="0" applyNumberFormat="1" applyFont="1" applyFill="1" applyAlignment="1">
      <alignment horizontal="left"/>
    </xf>
    <xf numFmtId="1" fontId="4" fillId="7" borderId="6" xfId="0" applyNumberFormat="1" applyFont="1" applyFill="1" applyBorder="1" applyAlignment="1">
      <alignment horizontal="right"/>
    </xf>
    <xf numFmtId="0" fontId="112" fillId="0" borderId="20" xfId="0" applyFont="1" applyBorder="1"/>
    <xf numFmtId="168" fontId="8" fillId="3" borderId="0" xfId="0" applyNumberFormat="1" applyFont="1" applyFill="1" applyAlignment="1">
      <alignment horizontal="right"/>
    </xf>
    <xf numFmtId="168" fontId="8" fillId="3" borderId="0" xfId="0" applyNumberFormat="1" applyFont="1" applyFill="1"/>
    <xf numFmtId="3" fontId="8" fillId="3" borderId="0" xfId="0" applyNumberFormat="1" applyFont="1" applyFill="1" applyAlignment="1">
      <alignment horizontal="right"/>
    </xf>
    <xf numFmtId="3" fontId="8" fillId="3" borderId="0" xfId="0" applyNumberFormat="1" applyFont="1" applyFill="1"/>
    <xf numFmtId="39" fontId="22" fillId="3" borderId="0" xfId="0" applyNumberFormat="1" applyFont="1" applyFill="1" applyAlignment="1">
      <alignment horizontal="center"/>
    </xf>
    <xf numFmtId="0" fontId="279" fillId="5" borderId="0" xfId="0" applyFont="1" applyFill="1" applyAlignment="1">
      <alignment horizontal="center"/>
    </xf>
    <xf numFmtId="4" fontId="4" fillId="3" borderId="24" xfId="0" applyNumberFormat="1" applyFont="1" applyFill="1" applyBorder="1" applyAlignment="1">
      <alignment horizontal="right" vertical="top"/>
    </xf>
    <xf numFmtId="0" fontId="4" fillId="3" borderId="10" xfId="0" applyFont="1" applyFill="1" applyBorder="1" applyAlignment="1">
      <alignment horizontal="right"/>
    </xf>
    <xf numFmtId="37" fontId="112" fillId="0" borderId="0" xfId="0" applyNumberFormat="1" applyFont="1" applyAlignment="1">
      <alignment horizontal="center"/>
    </xf>
    <xf numFmtId="4" fontId="8" fillId="3" borderId="24" xfId="0" applyNumberFormat="1" applyFont="1" applyFill="1" applyBorder="1" applyAlignment="1">
      <alignment horizontal="left"/>
    </xf>
    <xf numFmtId="0" fontId="35" fillId="3" borderId="0" xfId="0" applyFont="1" applyFill="1" applyAlignment="1">
      <alignment horizontal="left"/>
    </xf>
    <xf numFmtId="4" fontId="10" fillId="3" borderId="24" xfId="0" applyNumberFormat="1" applyFont="1" applyFill="1" applyBorder="1" applyAlignment="1">
      <alignment horizontal="left"/>
    </xf>
    <xf numFmtId="37" fontId="199" fillId="3" borderId="30" xfId="0" applyNumberFormat="1" applyFont="1" applyFill="1" applyBorder="1" applyAlignment="1">
      <alignment horizontal="right"/>
    </xf>
    <xf numFmtId="0" fontId="146" fillId="5" borderId="0" xfId="0" applyFont="1" applyFill="1" applyAlignment="1">
      <alignment horizontal="center"/>
    </xf>
    <xf numFmtId="0" fontId="0" fillId="24" borderId="0" xfId="0" applyFill="1" applyAlignment="1">
      <alignment vertical="center"/>
    </xf>
    <xf numFmtId="37" fontId="199" fillId="3" borderId="3" xfId="0" applyNumberFormat="1" applyFont="1" applyFill="1" applyBorder="1" applyAlignment="1">
      <alignment horizontal="right"/>
    </xf>
    <xf numFmtId="0" fontId="10" fillId="24" borderId="0" xfId="0" applyFont="1" applyFill="1"/>
    <xf numFmtId="0" fontId="205" fillId="0" borderId="0" xfId="0" applyFont="1" applyAlignment="1">
      <alignment horizontal="center"/>
    </xf>
    <xf numFmtId="3" fontId="43" fillId="3" borderId="24" xfId="0" applyNumberFormat="1" applyFont="1" applyFill="1" applyBorder="1" applyAlignment="1">
      <alignment horizontal="right"/>
    </xf>
    <xf numFmtId="1" fontId="4" fillId="7" borderId="24" xfId="0" applyNumberFormat="1" applyFont="1" applyFill="1" applyBorder="1" applyAlignment="1">
      <alignment horizontal="right"/>
    </xf>
    <xf numFmtId="0" fontId="137" fillId="0" borderId="0" xfId="0" applyFont="1" applyAlignment="1">
      <alignment horizontal="center"/>
    </xf>
    <xf numFmtId="37" fontId="167" fillId="3" borderId="3" xfId="0" applyNumberFormat="1" applyFont="1" applyFill="1" applyBorder="1" applyAlignment="1">
      <alignment horizontal="center"/>
    </xf>
    <xf numFmtId="0" fontId="8" fillId="3" borderId="0" xfId="0" applyFont="1" applyFill="1" applyAlignment="1">
      <alignment horizontal="left" vertical="center"/>
    </xf>
    <xf numFmtId="3" fontId="4" fillId="0" borderId="0" xfId="0" applyNumberFormat="1" applyFont="1"/>
    <xf numFmtId="0" fontId="4" fillId="3" borderId="12" xfId="0" applyFont="1" applyFill="1" applyBorder="1" applyAlignment="1">
      <alignment horizontal="right"/>
    </xf>
    <xf numFmtId="4" fontId="4" fillId="3" borderId="0" xfId="0" applyNumberFormat="1" applyFont="1" applyFill="1" applyAlignment="1">
      <alignment horizontal="center"/>
    </xf>
    <xf numFmtId="4" fontId="12" fillId="3" borderId="24" xfId="0" applyNumberFormat="1" applyFont="1" applyFill="1" applyBorder="1" applyAlignment="1">
      <alignment horizontal="center"/>
    </xf>
    <xf numFmtId="4" fontId="6" fillId="3" borderId="0" xfId="0" applyNumberFormat="1" applyFont="1" applyFill="1" applyAlignment="1">
      <alignment horizontal="center"/>
    </xf>
    <xf numFmtId="0" fontId="10" fillId="5" borderId="102" xfId="0" applyFont="1" applyFill="1" applyBorder="1" applyAlignment="1">
      <alignment horizontal="center"/>
    </xf>
    <xf numFmtId="4" fontId="12" fillId="3" borderId="0" xfId="0" applyNumberFormat="1" applyFont="1" applyFill="1" applyAlignment="1">
      <alignment horizontal="center"/>
    </xf>
    <xf numFmtId="0" fontId="112" fillId="24" borderId="0" xfId="0" applyFont="1" applyFill="1"/>
    <xf numFmtId="0" fontId="10" fillId="24" borderId="0" xfId="0" applyFont="1" applyFill="1" applyAlignment="1">
      <alignment horizontal="right"/>
    </xf>
    <xf numFmtId="3" fontId="29" fillId="24" borderId="5" xfId="0" applyNumberFormat="1" applyFont="1" applyFill="1" applyBorder="1" applyAlignment="1">
      <alignment horizontal="right"/>
    </xf>
    <xf numFmtId="0" fontId="6" fillId="3" borderId="0" xfId="0" applyFont="1" applyFill="1" applyAlignment="1">
      <alignment horizontal="right"/>
    </xf>
    <xf numFmtId="0" fontId="4" fillId="3" borderId="3" xfId="0" quotePrefix="1" applyFont="1" applyFill="1" applyBorder="1" applyAlignment="1">
      <alignment horizontal="right"/>
    </xf>
    <xf numFmtId="37" fontId="8" fillId="28" borderId="69" xfId="0" applyNumberFormat="1" applyFont="1" applyFill="1" applyBorder="1" applyAlignment="1">
      <alignment horizontal="right"/>
    </xf>
    <xf numFmtId="4" fontId="8" fillId="3" borderId="7" xfId="0" applyNumberFormat="1" applyFont="1" applyFill="1" applyBorder="1" applyAlignment="1">
      <alignment horizontal="right" vertical="center"/>
    </xf>
    <xf numFmtId="4" fontId="12" fillId="7" borderId="0" xfId="0" applyNumberFormat="1" applyFont="1" applyFill="1" applyAlignment="1">
      <alignment horizontal="right"/>
    </xf>
    <xf numFmtId="0" fontId="64" fillId="24" borderId="0" xfId="0" applyFont="1" applyFill="1"/>
    <xf numFmtId="0" fontId="12" fillId="3" borderId="0" xfId="0" applyFont="1" applyFill="1"/>
    <xf numFmtId="4" fontId="12" fillId="3" borderId="0" xfId="0" applyNumberFormat="1" applyFont="1" applyFill="1"/>
    <xf numFmtId="4" fontId="10" fillId="3" borderId="0" xfId="0" applyNumberFormat="1" applyFont="1" applyFill="1"/>
    <xf numFmtId="1" fontId="8" fillId="3" borderId="0" xfId="0" applyNumberFormat="1" applyFont="1" applyFill="1" applyAlignment="1">
      <alignment horizontal="center"/>
    </xf>
    <xf numFmtId="39" fontId="125" fillId="3" borderId="0" xfId="0" applyNumberFormat="1" applyFont="1" applyFill="1" applyAlignment="1">
      <alignment horizontal="center"/>
    </xf>
    <xf numFmtId="0" fontId="10" fillId="3" borderId="4" xfId="0" applyFont="1" applyFill="1" applyBorder="1" applyAlignment="1">
      <alignment vertical="top"/>
    </xf>
    <xf numFmtId="0" fontId="12" fillId="3" borderId="4" xfId="0" applyFont="1" applyFill="1" applyBorder="1"/>
    <xf numFmtId="4" fontId="12" fillId="3" borderId="4" xfId="0" applyNumberFormat="1" applyFont="1" applyFill="1" applyBorder="1"/>
    <xf numFmtId="4" fontId="10" fillId="3" borderId="4" xfId="0" applyNumberFormat="1" applyFont="1" applyFill="1" applyBorder="1" applyAlignment="1">
      <alignment horizontal="right"/>
    </xf>
    <xf numFmtId="4" fontId="4" fillId="3" borderId="4" xfId="0" applyNumberFormat="1" applyFont="1" applyFill="1" applyBorder="1"/>
    <xf numFmtId="4" fontId="8" fillId="3" borderId="4" xfId="0" applyNumberFormat="1" applyFont="1" applyFill="1" applyBorder="1" applyAlignment="1">
      <alignment horizontal="right"/>
    </xf>
    <xf numFmtId="4" fontId="8" fillId="7" borderId="0" xfId="0" applyNumberFormat="1" applyFont="1" applyFill="1" applyAlignment="1">
      <alignment horizontal="right"/>
    </xf>
    <xf numFmtId="3" fontId="29" fillId="24" borderId="0" xfId="0" applyNumberFormat="1" applyFont="1" applyFill="1" applyAlignment="1">
      <alignment horizontal="right"/>
    </xf>
    <xf numFmtId="0" fontId="10" fillId="3" borderId="7" xfId="0" applyFont="1" applyFill="1" applyBorder="1"/>
    <xf numFmtId="4" fontId="10" fillId="3" borderId="7" xfId="0" applyNumberFormat="1" applyFont="1" applyFill="1" applyBorder="1" applyAlignment="1">
      <alignment horizontal="right"/>
    </xf>
    <xf numFmtId="4" fontId="4" fillId="3" borderId="7" xfId="0" applyNumberFormat="1" applyFont="1" applyFill="1" applyBorder="1"/>
    <xf numFmtId="4" fontId="112" fillId="0" borderId="0" xfId="0" applyNumberFormat="1" applyFont="1" applyAlignment="1">
      <alignment horizontal="right"/>
    </xf>
    <xf numFmtId="0" fontId="29" fillId="24" borderId="21" xfId="0" applyFont="1" applyFill="1" applyBorder="1" applyAlignment="1">
      <alignment horizontal="center"/>
    </xf>
    <xf numFmtId="3" fontId="29" fillId="24" borderId="4" xfId="0" applyNumberFormat="1" applyFont="1" applyFill="1" applyBorder="1" applyAlignment="1">
      <alignment horizontal="right"/>
    </xf>
    <xf numFmtId="3" fontId="10" fillId="24" borderId="4" xfId="0" applyNumberFormat="1" applyFont="1" applyFill="1" applyBorder="1" applyAlignment="1">
      <alignment horizontal="center"/>
    </xf>
    <xf numFmtId="0" fontId="10" fillId="24" borderId="4" xfId="0" applyFont="1" applyFill="1" applyBorder="1" applyAlignment="1">
      <alignment horizontal="left"/>
    </xf>
    <xf numFmtId="0" fontId="10" fillId="24" borderId="4" xfId="0" applyFont="1" applyFill="1" applyBorder="1" applyAlignment="1">
      <alignment horizontal="center"/>
    </xf>
    <xf numFmtId="0" fontId="64" fillId="24" borderId="4" xfId="0" applyFont="1" applyFill="1" applyBorder="1"/>
    <xf numFmtId="0" fontId="64" fillId="24" borderId="22" xfId="0" applyFont="1" applyFill="1" applyBorder="1"/>
    <xf numFmtId="0" fontId="49" fillId="9" borderId="0" xfId="0" applyFont="1" applyFill="1" applyAlignment="1">
      <alignment horizontal="center" vertical="center"/>
    </xf>
    <xf numFmtId="0" fontId="20" fillId="3" borderId="0" xfId="0" applyFont="1" applyFill="1" applyAlignment="1">
      <alignment vertical="center"/>
    </xf>
    <xf numFmtId="0" fontId="4" fillId="3" borderId="0" xfId="0" applyFont="1" applyFill="1"/>
    <xf numFmtId="0" fontId="47" fillId="3" borderId="0" xfId="0" applyFont="1" applyFill="1"/>
    <xf numFmtId="4" fontId="47" fillId="3" borderId="0" xfId="0" applyNumberFormat="1" applyFont="1" applyFill="1"/>
    <xf numFmtId="39" fontId="54" fillId="3" borderId="0" xfId="0" applyNumberFormat="1" applyFont="1" applyFill="1"/>
    <xf numFmtId="39" fontId="54" fillId="7" borderId="0" xfId="0" applyNumberFormat="1" applyFont="1" applyFill="1"/>
    <xf numFmtId="0" fontId="29" fillId="0" borderId="0" xfId="0" applyFont="1" applyAlignment="1">
      <alignment horizontal="center"/>
    </xf>
    <xf numFmtId="3" fontId="29" fillId="0" borderId="0" xfId="0" applyNumberFormat="1" applyFont="1" applyAlignment="1">
      <alignment horizontal="right"/>
    </xf>
    <xf numFmtId="3" fontId="10" fillId="0" borderId="0" xfId="0" applyNumberFormat="1" applyFont="1" applyAlignment="1">
      <alignment horizontal="center"/>
    </xf>
    <xf numFmtId="0" fontId="10" fillId="0" borderId="0" xfId="0" applyFont="1" applyAlignment="1">
      <alignment horizontal="left"/>
    </xf>
    <xf numFmtId="0" fontId="64" fillId="0" borderId="0" xfId="0" applyFont="1"/>
    <xf numFmtId="0" fontId="4" fillId="3" borderId="1" xfId="0" applyFont="1" applyFill="1" applyBorder="1" applyAlignment="1">
      <alignment horizontal="right"/>
    </xf>
    <xf numFmtId="0" fontId="4" fillId="3" borderId="1" xfId="0" applyFont="1" applyFill="1" applyBorder="1"/>
    <xf numFmtId="0" fontId="6" fillId="3" borderId="1" xfId="0" applyFont="1" applyFill="1" applyBorder="1"/>
    <xf numFmtId="0" fontId="47" fillId="3" borderId="1" xfId="0" applyFont="1" applyFill="1" applyBorder="1"/>
    <xf numFmtId="4" fontId="47" fillId="3" borderId="1" xfId="0" applyNumberFormat="1" applyFont="1" applyFill="1" applyBorder="1"/>
    <xf numFmtId="39" fontId="54" fillId="3" borderId="1" xfId="0" applyNumberFormat="1" applyFont="1" applyFill="1" applyBorder="1"/>
    <xf numFmtId="0" fontId="6" fillId="5" borderId="0" xfId="0" applyFont="1" applyFill="1" applyAlignment="1">
      <alignment horizontal="right"/>
    </xf>
    <xf numFmtId="0" fontId="37" fillId="3" borderId="0" xfId="0" applyFont="1" applyFill="1" applyAlignment="1">
      <alignment horizontal="left" vertical="top"/>
    </xf>
    <xf numFmtId="1" fontId="4" fillId="3" borderId="6" xfId="0" applyNumberFormat="1" applyFont="1" applyFill="1" applyBorder="1" applyAlignment="1">
      <alignment horizontal="right"/>
    </xf>
    <xf numFmtId="37" fontId="43" fillId="3" borderId="3" xfId="0" applyNumberFormat="1" applyFont="1" applyFill="1" applyBorder="1" applyAlignment="1">
      <alignment horizontal="right"/>
    </xf>
    <xf numFmtId="0" fontId="6" fillId="5" borderId="0" xfId="0" applyFont="1" applyFill="1" applyAlignment="1">
      <alignment horizontal="left"/>
    </xf>
    <xf numFmtId="0" fontId="67" fillId="15" borderId="4" xfId="2" applyFill="1" applyBorder="1" applyAlignment="1" applyProtection="1">
      <alignment horizontal="left"/>
    </xf>
    <xf numFmtId="0" fontId="0" fillId="15" borderId="4" xfId="0" applyFill="1" applyBorder="1" applyAlignment="1">
      <alignment horizontal="left"/>
    </xf>
    <xf numFmtId="0" fontId="6" fillId="24" borderId="7" xfId="0" applyFont="1" applyFill="1" applyBorder="1" applyAlignment="1">
      <alignment horizontal="left" vertical="top"/>
    </xf>
    <xf numFmtId="0" fontId="6" fillId="24" borderId="19" xfId="0" applyFont="1" applyFill="1" applyBorder="1" applyAlignment="1">
      <alignment horizontal="left" vertical="top"/>
    </xf>
    <xf numFmtId="4" fontId="10" fillId="7" borderId="15" xfId="0" applyNumberFormat="1" applyFont="1" applyFill="1" applyBorder="1"/>
    <xf numFmtId="0" fontId="6" fillId="24" borderId="0" xfId="0" applyFont="1" applyFill="1" applyAlignment="1">
      <alignment horizontal="left" vertical="top"/>
    </xf>
    <xf numFmtId="0" fontId="6" fillId="24" borderId="20" xfId="0" applyFont="1" applyFill="1" applyBorder="1" applyAlignment="1">
      <alignment horizontal="left" vertical="top"/>
    </xf>
    <xf numFmtId="0" fontId="5" fillId="24" borderId="4" xfId="0" applyFont="1" applyFill="1" applyBorder="1" applyAlignment="1">
      <alignment horizontal="left"/>
    </xf>
    <xf numFmtId="0" fontId="6" fillId="24" borderId="22" xfId="0" applyFont="1" applyFill="1" applyBorder="1" applyAlignment="1">
      <alignment horizontal="left" vertical="top"/>
    </xf>
    <xf numFmtId="0" fontId="4" fillId="24" borderId="23" xfId="0" applyFont="1" applyFill="1" applyBorder="1" applyAlignment="1">
      <alignment horizontal="right"/>
    </xf>
    <xf numFmtId="0" fontId="6" fillId="24" borderId="7" xfId="0" applyFont="1" applyFill="1" applyBorder="1"/>
    <xf numFmtId="0" fontId="6" fillId="24" borderId="19" xfId="0" applyFont="1" applyFill="1" applyBorder="1"/>
    <xf numFmtId="164" fontId="4" fillId="24" borderId="5" xfId="0" applyNumberFormat="1" applyFont="1" applyFill="1" applyBorder="1" applyAlignment="1">
      <alignment horizontal="right"/>
    </xf>
    <xf numFmtId="0" fontId="6" fillId="24" borderId="0" xfId="0" applyFont="1" applyFill="1" applyAlignment="1">
      <alignment vertical="center"/>
    </xf>
    <xf numFmtId="0" fontId="4" fillId="24" borderId="0" xfId="0" applyFont="1" applyFill="1"/>
    <xf numFmtId="4" fontId="8" fillId="24" borderId="0" xfId="0" applyNumberFormat="1" applyFont="1" applyFill="1"/>
    <xf numFmtId="0" fontId="9" fillId="24" borderId="0" xfId="0" applyFont="1" applyFill="1"/>
    <xf numFmtId="3" fontId="8" fillId="24" borderId="0" xfId="0" applyNumberFormat="1" applyFont="1" applyFill="1"/>
    <xf numFmtId="0" fontId="0" fillId="24" borderId="20" xfId="0" applyFill="1" applyBorder="1"/>
    <xf numFmtId="0" fontId="4" fillId="24" borderId="5" xfId="0" applyFont="1" applyFill="1" applyBorder="1" applyAlignment="1">
      <alignment horizontal="right"/>
    </xf>
    <xf numFmtId="4" fontId="9" fillId="24" borderId="0" xfId="0" applyNumberFormat="1" applyFont="1" applyFill="1" applyAlignment="1">
      <alignment horizontal="right"/>
    </xf>
    <xf numFmtId="164" fontId="9" fillId="24" borderId="0" xfId="0" applyNumberFormat="1" applyFont="1" applyFill="1" applyAlignment="1">
      <alignment horizontal="right"/>
    </xf>
    <xf numFmtId="3" fontId="8" fillId="27" borderId="1" xfId="0" applyNumberFormat="1" applyFont="1" applyFill="1" applyBorder="1"/>
    <xf numFmtId="0" fontId="4" fillId="24" borderId="5" xfId="0" applyFont="1" applyFill="1" applyBorder="1" applyAlignment="1">
      <alignment vertical="top"/>
    </xf>
    <xf numFmtId="0" fontId="10" fillId="24" borderId="0" xfId="0" applyFont="1" applyFill="1" applyAlignment="1">
      <alignment vertical="top"/>
    </xf>
    <xf numFmtId="0" fontId="9" fillId="24" borderId="0" xfId="0" applyFont="1" applyFill="1" applyAlignment="1">
      <alignment horizontal="right" vertical="top"/>
    </xf>
    <xf numFmtId="164" fontId="9" fillId="24" borderId="0" xfId="0" applyNumberFormat="1" applyFont="1" applyFill="1" applyAlignment="1">
      <alignment vertical="top"/>
    </xf>
    <xf numFmtId="3" fontId="8" fillId="24" borderId="0" xfId="0" applyNumberFormat="1" applyFont="1" applyFill="1" applyAlignment="1">
      <alignment vertical="top"/>
    </xf>
    <xf numFmtId="0" fontId="0" fillId="24" borderId="20" xfId="0" applyFill="1" applyBorder="1" applyAlignment="1">
      <alignment vertical="top"/>
    </xf>
    <xf numFmtId="0" fontId="4" fillId="24" borderId="5" xfId="0" applyFont="1" applyFill="1" applyBorder="1"/>
    <xf numFmtId="0" fontId="8" fillId="24" borderId="0" xfId="0" applyFont="1" applyFill="1" applyAlignment="1">
      <alignment vertical="center"/>
    </xf>
    <xf numFmtId="164" fontId="9" fillId="24" borderId="0" xfId="0" applyNumberFormat="1" applyFont="1" applyFill="1"/>
    <xf numFmtId="0" fontId="9" fillId="24" borderId="0" xfId="0" applyFont="1" applyFill="1" applyAlignment="1">
      <alignment horizontal="right"/>
    </xf>
    <xf numFmtId="4" fontId="9" fillId="3" borderId="24" xfId="0" applyNumberFormat="1" applyFont="1" applyFill="1" applyBorder="1" applyAlignment="1">
      <alignment horizontal="left" vertical="center"/>
    </xf>
    <xf numFmtId="0" fontId="12" fillId="24" borderId="5" xfId="0" applyFont="1" applyFill="1" applyBorder="1" applyAlignment="1">
      <alignment horizontal="right"/>
    </xf>
    <xf numFmtId="0" fontId="27" fillId="3" borderId="0" xfId="0" applyFont="1" applyFill="1" applyAlignment="1">
      <alignment horizontal="center"/>
    </xf>
    <xf numFmtId="0" fontId="12" fillId="24" borderId="5" xfId="0" applyFont="1" applyFill="1" applyBorder="1" applyAlignment="1">
      <alignment horizontal="right" vertical="top"/>
    </xf>
    <xf numFmtId="0" fontId="9" fillId="24" borderId="0" xfId="0" applyFont="1" applyFill="1" applyAlignment="1">
      <alignment vertical="top"/>
    </xf>
    <xf numFmtId="4" fontId="10" fillId="7" borderId="0" xfId="0" applyNumberFormat="1" applyFont="1" applyFill="1"/>
    <xf numFmtId="0" fontId="88" fillId="0" borderId="0" xfId="0" applyFont="1"/>
    <xf numFmtId="0" fontId="12" fillId="0" borderId="0" xfId="0" applyFont="1" applyAlignment="1">
      <alignment horizontal="center"/>
    </xf>
    <xf numFmtId="39" fontId="110" fillId="3" borderId="3" xfId="0" applyNumberFormat="1" applyFont="1" applyFill="1" applyBorder="1" applyAlignment="1">
      <alignment horizontal="right"/>
    </xf>
    <xf numFmtId="39" fontId="110" fillId="0" borderId="0" xfId="0" applyNumberFormat="1" applyFont="1" applyAlignment="1">
      <alignment horizontal="right"/>
    </xf>
    <xf numFmtId="0" fontId="47" fillId="0" borderId="0" xfId="0" applyFont="1" applyAlignment="1">
      <alignment horizontal="center"/>
    </xf>
    <xf numFmtId="0" fontId="162" fillId="5" borderId="0" xfId="0" applyFont="1" applyFill="1"/>
    <xf numFmtId="4" fontId="6" fillId="24" borderId="0" xfId="0" applyNumberFormat="1" applyFont="1" applyFill="1"/>
    <xf numFmtId="4" fontId="8" fillId="24" borderId="8" xfId="0" applyNumberFormat="1" applyFont="1" applyFill="1" applyBorder="1" applyAlignment="1">
      <alignment vertical="center" wrapText="1"/>
    </xf>
    <xf numFmtId="164" fontId="9" fillId="24" borderId="5" xfId="0" applyNumberFormat="1" applyFont="1" applyFill="1" applyBorder="1" applyAlignment="1">
      <alignment horizontal="right"/>
    </xf>
    <xf numFmtId="4" fontId="8" fillId="24" borderId="0" xfId="0" applyNumberFormat="1" applyFont="1" applyFill="1" applyAlignment="1">
      <alignment vertical="center" wrapText="1"/>
    </xf>
    <xf numFmtId="0" fontId="12" fillId="24" borderId="21" xfId="0" applyFont="1" applyFill="1" applyBorder="1" applyAlignment="1">
      <alignment horizontal="right"/>
    </xf>
    <xf numFmtId="0" fontId="57" fillId="24" borderId="4" xfId="0" applyFont="1" applyFill="1" applyBorder="1" applyAlignment="1">
      <alignment vertical="center"/>
    </xf>
    <xf numFmtId="0" fontId="10" fillId="24" borderId="4" xfId="0" applyFont="1" applyFill="1" applyBorder="1"/>
    <xf numFmtId="0" fontId="12" fillId="24" borderId="4" xfId="0" applyFont="1" applyFill="1" applyBorder="1" applyAlignment="1">
      <alignment horizontal="right"/>
    </xf>
    <xf numFmtId="4" fontId="8" fillId="24" borderId="4" xfId="0" applyNumberFormat="1" applyFont="1" applyFill="1" applyBorder="1"/>
    <xf numFmtId="0" fontId="9" fillId="24" borderId="4" xfId="0" applyFont="1" applyFill="1" applyBorder="1"/>
    <xf numFmtId="3" fontId="8" fillId="24" borderId="4" xfId="0" applyNumberFormat="1" applyFont="1" applyFill="1" applyBorder="1"/>
    <xf numFmtId="0" fontId="0" fillId="24" borderId="22" xfId="0" applyFill="1" applyBorder="1"/>
    <xf numFmtId="0" fontId="4" fillId="24" borderId="23" xfId="0" applyFont="1" applyFill="1" applyBorder="1" applyAlignment="1">
      <alignment horizontal="left" vertical="center"/>
    </xf>
    <xf numFmtId="0" fontId="0" fillId="24" borderId="7" xfId="0" applyFill="1" applyBorder="1" applyAlignment="1">
      <alignment horizontal="left" vertical="center"/>
    </xf>
    <xf numFmtId="37" fontId="8" fillId="28" borderId="39" xfId="0" applyNumberFormat="1" applyFont="1" applyFill="1" applyBorder="1" applyAlignment="1">
      <alignment horizontal="right"/>
    </xf>
    <xf numFmtId="0" fontId="15" fillId="24" borderId="5" xfId="0" applyFont="1" applyFill="1" applyBorder="1" applyAlignment="1">
      <alignment horizontal="left" vertical="center"/>
    </xf>
    <xf numFmtId="0" fontId="0" fillId="24" borderId="0" xfId="0" applyFill="1" applyAlignment="1">
      <alignment horizontal="left" vertical="center"/>
    </xf>
    <xf numFmtId="0" fontId="0" fillId="24" borderId="21" xfId="0" applyFill="1" applyBorder="1" applyAlignment="1">
      <alignment horizontal="left" vertical="center"/>
    </xf>
    <xf numFmtId="0" fontId="0" fillId="24" borderId="4" xfId="0" applyFill="1" applyBorder="1" applyAlignment="1">
      <alignment horizontal="left" vertical="center"/>
    </xf>
    <xf numFmtId="0" fontId="5" fillId="24" borderId="4" xfId="0" applyFont="1" applyFill="1" applyBorder="1" applyAlignment="1">
      <alignment horizontal="right"/>
    </xf>
    <xf numFmtId="0" fontId="35" fillId="3" borderId="0" xfId="0" applyFont="1" applyFill="1" applyAlignment="1">
      <alignment horizontal="center"/>
    </xf>
    <xf numFmtId="0" fontId="4" fillId="24" borderId="107" xfId="0" applyFont="1" applyFill="1" applyBorder="1"/>
    <xf numFmtId="0" fontId="0" fillId="24" borderId="27" xfId="0" applyFill="1" applyBorder="1"/>
    <xf numFmtId="0" fontId="138" fillId="24" borderId="27" xfId="0" applyFont="1" applyFill="1" applyBorder="1"/>
    <xf numFmtId="0" fontId="0" fillId="24" borderId="108" xfId="0" applyFill="1" applyBorder="1"/>
    <xf numFmtId="0" fontId="10" fillId="24" borderId="80" xfId="0" applyFont="1" applyFill="1" applyBorder="1" applyAlignment="1">
      <alignment horizontal="right"/>
    </xf>
    <xf numFmtId="0" fontId="10" fillId="24" borderId="8" xfId="0" applyFont="1" applyFill="1" applyBorder="1"/>
    <xf numFmtId="0" fontId="10" fillId="24" borderId="88" xfId="0" applyFont="1" applyFill="1" applyBorder="1"/>
    <xf numFmtId="0" fontId="10" fillId="24" borderId="5" xfId="0" applyFont="1" applyFill="1" applyBorder="1" applyAlignment="1">
      <alignment horizontal="right"/>
    </xf>
    <xf numFmtId="0" fontId="10" fillId="24" borderId="0" xfId="0" applyFont="1" applyFill="1" applyAlignment="1">
      <alignment horizontal="left" indent="1"/>
    </xf>
    <xf numFmtId="3" fontId="9" fillId="27" borderId="1" xfId="0" applyNumberFormat="1" applyFont="1" applyFill="1" applyBorder="1"/>
    <xf numFmtId="0" fontId="10" fillId="24" borderId="20" xfId="0" applyFont="1" applyFill="1" applyBorder="1"/>
    <xf numFmtId="4" fontId="10" fillId="7" borderId="24" xfId="0" applyNumberFormat="1" applyFont="1" applyFill="1" applyBorder="1"/>
    <xf numFmtId="39" fontId="112" fillId="3" borderId="3" xfId="0" applyNumberFormat="1" applyFont="1" applyFill="1" applyBorder="1" applyAlignment="1">
      <alignment horizontal="right"/>
    </xf>
    <xf numFmtId="37" fontId="8" fillId="3" borderId="0" xfId="0" applyNumberFormat="1" applyFont="1" applyFill="1" applyAlignment="1">
      <alignment horizontal="right"/>
    </xf>
    <xf numFmtId="0" fontId="12" fillId="24" borderId="0" xfId="0" applyFont="1" applyFill="1" applyAlignment="1">
      <alignment horizontal="left" indent="1"/>
    </xf>
    <xf numFmtId="0" fontId="165" fillId="24" borderId="5" xfId="0" applyFont="1" applyFill="1" applyBorder="1" applyAlignment="1">
      <alignment horizontal="right"/>
    </xf>
    <xf numFmtId="37" fontId="9" fillId="3" borderId="0" xfId="0" applyNumberFormat="1" applyFont="1" applyFill="1" applyAlignment="1">
      <alignment horizontal="left"/>
    </xf>
    <xf numFmtId="1" fontId="6" fillId="3" borderId="0" xfId="0" applyNumberFormat="1" applyFont="1" applyFill="1" applyAlignment="1">
      <alignment horizontal="center"/>
    </xf>
    <xf numFmtId="0" fontId="278" fillId="5" borderId="0" xfId="0" applyFont="1" applyFill="1"/>
    <xf numFmtId="3" fontId="112" fillId="24" borderId="0" xfId="0" applyNumberFormat="1" applyFont="1" applyFill="1"/>
    <xf numFmtId="4" fontId="110" fillId="2" borderId="0" xfId="0" applyNumberFormat="1" applyFont="1" applyFill="1" applyAlignment="1">
      <alignment horizontal="center"/>
    </xf>
    <xf numFmtId="4" fontId="6" fillId="2" borderId="0" xfId="0" applyNumberFormat="1" applyFont="1" applyFill="1" applyAlignment="1">
      <alignment horizontal="center"/>
    </xf>
    <xf numFmtId="4" fontId="112" fillId="24" borderId="0" xfId="0" applyNumberFormat="1" applyFont="1" applyFill="1"/>
    <xf numFmtId="4" fontId="6" fillId="0" borderId="0" xfId="0" applyNumberFormat="1" applyFont="1" applyAlignment="1">
      <alignment horizontal="center"/>
    </xf>
    <xf numFmtId="3" fontId="116" fillId="3" borderId="0" xfId="0" applyNumberFormat="1" applyFont="1" applyFill="1" applyAlignment="1">
      <alignment horizontal="right"/>
    </xf>
    <xf numFmtId="0" fontId="125" fillId="3" borderId="3" xfId="0" applyFont="1" applyFill="1" applyBorder="1" applyAlignment="1">
      <alignment horizontal="right"/>
    </xf>
    <xf numFmtId="4" fontId="6" fillId="15" borderId="0" xfId="0" applyNumberFormat="1" applyFont="1" applyFill="1" applyAlignment="1">
      <alignment horizontal="center"/>
    </xf>
    <xf numFmtId="0" fontId="10" fillId="24" borderId="21" xfId="0" applyFont="1" applyFill="1" applyBorder="1" applyAlignment="1">
      <alignment horizontal="right"/>
    </xf>
    <xf numFmtId="0" fontId="10" fillId="24" borderId="4" xfId="0" applyFont="1" applyFill="1" applyBorder="1" applyAlignment="1">
      <alignment horizontal="left" indent="1"/>
    </xf>
    <xf numFmtId="0" fontId="10" fillId="24" borderId="22" xfId="0" applyFont="1" applyFill="1" applyBorder="1"/>
    <xf numFmtId="0" fontId="6" fillId="3" borderId="0" xfId="0" applyFont="1" applyFill="1" applyAlignment="1">
      <alignment horizontal="left" vertical="top"/>
    </xf>
    <xf numFmtId="0" fontId="4" fillId="3" borderId="30" xfId="0" applyFont="1" applyFill="1" applyBorder="1" applyAlignment="1">
      <alignment horizontal="right"/>
    </xf>
    <xf numFmtId="0" fontId="161" fillId="0" borderId="0" xfId="0" applyFont="1" applyAlignment="1">
      <alignment horizontal="center" vertical="center"/>
    </xf>
    <xf numFmtId="0" fontId="6" fillId="0" borderId="1" xfId="0" applyFont="1" applyBorder="1" applyAlignment="1">
      <alignment horizontal="center"/>
    </xf>
    <xf numFmtId="0" fontId="10" fillId="2" borderId="0" xfId="0" applyFont="1" applyFill="1" applyAlignment="1">
      <alignment horizontal="center" vertical="center"/>
    </xf>
    <xf numFmtId="0" fontId="67" fillId="0" borderId="0" xfId="2" applyAlignment="1" applyProtection="1">
      <alignment horizontal="center" vertical="top" wrapText="1"/>
    </xf>
    <xf numFmtId="184" fontId="6" fillId="0" borderId="0" xfId="0" applyNumberFormat="1" applyFont="1" applyAlignment="1">
      <alignment horizontal="center" vertical="top" wrapText="1"/>
    </xf>
    <xf numFmtId="0" fontId="6" fillId="0" borderId="0" xfId="0" quotePrefix="1" applyFont="1" applyAlignment="1">
      <alignment horizontal="left" vertical="top"/>
    </xf>
    <xf numFmtId="1" fontId="4" fillId="3" borderId="0" xfId="0" applyNumberFormat="1" applyFont="1" applyFill="1" applyAlignment="1">
      <alignment horizontal="right"/>
    </xf>
    <xf numFmtId="4" fontId="9" fillId="3" borderId="0" xfId="0" applyNumberFormat="1" applyFont="1" applyFill="1" applyAlignment="1">
      <alignment horizontal="right"/>
    </xf>
    <xf numFmtId="39" fontId="10" fillId="3" borderId="0" xfId="0" applyNumberFormat="1" applyFont="1" applyFill="1" applyAlignment="1">
      <alignment horizontal="right"/>
    </xf>
    <xf numFmtId="39" fontId="29" fillId="3" borderId="0" xfId="0" applyNumberFormat="1" applyFont="1" applyFill="1" applyAlignment="1">
      <alignment horizontal="center"/>
    </xf>
    <xf numFmtId="0" fontId="40" fillId="3" borderId="0" xfId="0" applyFont="1" applyFill="1" applyAlignment="1">
      <alignment horizontal="right"/>
    </xf>
    <xf numFmtId="0" fontId="29" fillId="2" borderId="0" xfId="0" applyFont="1" applyFill="1" applyAlignment="1">
      <alignment horizontal="center"/>
    </xf>
    <xf numFmtId="0" fontId="4" fillId="29" borderId="23" xfId="0" applyFont="1" applyFill="1" applyBorder="1" applyAlignment="1">
      <alignment horizontal="right"/>
    </xf>
    <xf numFmtId="0" fontId="4" fillId="29" borderId="7" xfId="0" applyFont="1" applyFill="1" applyBorder="1" applyAlignment="1">
      <alignment horizontal="right"/>
    </xf>
    <xf numFmtId="0" fontId="6" fillId="29" borderId="7" xfId="0" applyFont="1" applyFill="1" applyBorder="1" applyAlignment="1">
      <alignment horizontal="left"/>
    </xf>
    <xf numFmtId="0" fontId="10" fillId="29" borderId="7" xfId="0" applyFont="1" applyFill="1" applyBorder="1" applyAlignment="1">
      <alignment horizontal="left"/>
    </xf>
    <xf numFmtId="0" fontId="10" fillId="29" borderId="7" xfId="0" applyFont="1" applyFill="1" applyBorder="1" applyAlignment="1">
      <alignment horizontal="right"/>
    </xf>
    <xf numFmtId="0" fontId="117" fillId="29" borderId="7" xfId="0" applyFont="1" applyFill="1" applyBorder="1" applyAlignment="1">
      <alignment horizontal="right"/>
    </xf>
    <xf numFmtId="0" fontId="10" fillId="29" borderId="19" xfId="0" applyFont="1" applyFill="1" applyBorder="1" applyAlignment="1">
      <alignment horizontal="left"/>
    </xf>
    <xf numFmtId="0" fontId="112" fillId="15" borderId="0" xfId="0" applyFont="1" applyFill="1"/>
    <xf numFmtId="0" fontId="4" fillId="29" borderId="5" xfId="0" applyFont="1" applyFill="1" applyBorder="1" applyAlignment="1">
      <alignment horizontal="right"/>
    </xf>
    <xf numFmtId="0" fontId="6" fillId="29" borderId="0" xfId="0" applyFont="1" applyFill="1" applyAlignment="1">
      <alignment horizontal="left"/>
    </xf>
    <xf numFmtId="0" fontId="10" fillId="29" borderId="0" xfId="0" applyFont="1" applyFill="1" applyAlignment="1">
      <alignment horizontal="left"/>
    </xf>
    <xf numFmtId="0" fontId="4" fillId="29" borderId="0" xfId="0" applyFont="1" applyFill="1" applyAlignment="1">
      <alignment horizontal="right"/>
    </xf>
    <xf numFmtId="0" fontId="10" fillId="29" borderId="20" xfId="0" applyFont="1" applyFill="1" applyBorder="1" applyAlignment="1">
      <alignment horizontal="left"/>
    </xf>
    <xf numFmtId="0" fontId="10" fillId="15" borderId="97" xfId="0" applyFont="1" applyFill="1" applyBorder="1"/>
    <xf numFmtId="0" fontId="0" fillId="15" borderId="94" xfId="0" applyFill="1" applyBorder="1"/>
    <xf numFmtId="0" fontId="10" fillId="15" borderId="94" xfId="0" quotePrefix="1" applyFont="1" applyFill="1" applyBorder="1"/>
    <xf numFmtId="0" fontId="0" fillId="15" borderId="95" xfId="0" applyFill="1" applyBorder="1"/>
    <xf numFmtId="0" fontId="10" fillId="15" borderId="0" xfId="0" quotePrefix="1" applyFont="1" applyFill="1"/>
    <xf numFmtId="0" fontId="4" fillId="29" borderId="0" xfId="0" applyFont="1" applyFill="1" applyAlignment="1">
      <alignment horizontal="left"/>
    </xf>
    <xf numFmtId="0" fontId="10" fillId="29" borderId="0" xfId="0" applyFont="1" applyFill="1" applyAlignment="1">
      <alignment horizontal="right"/>
    </xf>
    <xf numFmtId="0" fontId="10" fillId="2" borderId="0" xfId="0" applyFont="1" applyFill="1" applyAlignment="1">
      <alignment horizontal="left" vertical="center"/>
    </xf>
    <xf numFmtId="0" fontId="10" fillId="15" borderId="157" xfId="0" applyFont="1" applyFill="1" applyBorder="1"/>
    <xf numFmtId="0" fontId="0" fillId="15" borderId="154" xfId="0" applyFill="1" applyBorder="1"/>
    <xf numFmtId="0" fontId="10" fillId="15" borderId="154" xfId="0" applyFont="1" applyFill="1" applyBorder="1"/>
    <xf numFmtId="0" fontId="0" fillId="15" borderId="84" xfId="0" applyFill="1" applyBorder="1"/>
    <xf numFmtId="0" fontId="6" fillId="29" borderId="0" xfId="0" applyFont="1" applyFill="1" applyAlignment="1">
      <alignment horizontal="right"/>
    </xf>
    <xf numFmtId="0" fontId="121" fillId="29" borderId="0" xfId="0" applyFont="1" applyFill="1" applyAlignment="1">
      <alignment horizontal="left"/>
    </xf>
    <xf numFmtId="0" fontId="10" fillId="15" borderId="98" xfId="0" applyFont="1" applyFill="1" applyBorder="1"/>
    <xf numFmtId="39" fontId="112" fillId="3" borderId="0" xfId="0" applyNumberFormat="1" applyFont="1" applyFill="1" applyAlignment="1">
      <alignment horizontal="center"/>
    </xf>
    <xf numFmtId="0" fontId="106" fillId="15" borderId="0" xfId="0" applyFont="1" applyFill="1"/>
    <xf numFmtId="0" fontId="199" fillId="2" borderId="0" xfId="0" applyFont="1" applyFill="1"/>
    <xf numFmtId="37" fontId="112" fillId="3" borderId="0" xfId="0" applyNumberFormat="1" applyFont="1" applyFill="1" applyAlignment="1">
      <alignment horizontal="center"/>
    </xf>
    <xf numFmtId="0" fontId="112" fillId="2" borderId="0" xfId="0" applyFont="1" applyFill="1" applyAlignment="1">
      <alignment horizontal="left"/>
    </xf>
    <xf numFmtId="176" fontId="138" fillId="29" borderId="0" xfId="0" applyNumberFormat="1" applyFont="1" applyFill="1" applyAlignment="1">
      <alignment horizontal="right"/>
    </xf>
    <xf numFmtId="0" fontId="4" fillId="29" borderId="26" xfId="0" applyFont="1" applyFill="1" applyBorder="1" applyAlignment="1">
      <alignment horizontal="right" vertical="center"/>
    </xf>
    <xf numFmtId="0" fontId="6" fillId="29" borderId="1" xfId="0" applyFont="1" applyFill="1" applyBorder="1" applyAlignment="1">
      <alignment horizontal="left" vertical="center"/>
    </xf>
    <xf numFmtId="0" fontId="10" fillId="29" borderId="1" xfId="0" applyFont="1" applyFill="1" applyBorder="1" applyAlignment="1">
      <alignment horizontal="left" vertical="center"/>
    </xf>
    <xf numFmtId="0" fontId="4" fillId="29" borderId="1" xfId="0" applyFont="1" applyFill="1" applyBorder="1" applyAlignment="1">
      <alignment horizontal="right" vertical="center"/>
    </xf>
    <xf numFmtId="0" fontId="10" fillId="29" borderId="29" xfId="0" applyFont="1" applyFill="1" applyBorder="1" applyAlignment="1">
      <alignment horizontal="left" vertical="center"/>
    </xf>
    <xf numFmtId="39" fontId="29" fillId="3" borderId="0" xfId="0" applyNumberFormat="1" applyFont="1" applyFill="1" applyAlignment="1">
      <alignment horizontal="center" vertical="center"/>
    </xf>
    <xf numFmtId="0" fontId="10" fillId="2" borderId="0" xfId="0" applyFont="1" applyFill="1" applyAlignment="1">
      <alignment vertical="center"/>
    </xf>
    <xf numFmtId="0" fontId="4" fillId="29" borderId="5" xfId="0" quotePrefix="1" applyFont="1" applyFill="1" applyBorder="1" applyAlignment="1">
      <alignment horizontal="right"/>
    </xf>
    <xf numFmtId="0" fontId="4" fillId="29" borderId="0" xfId="0" quotePrefix="1" applyFont="1" applyFill="1" applyAlignment="1">
      <alignment horizontal="right"/>
    </xf>
    <xf numFmtId="0" fontId="8" fillId="29" borderId="0" xfId="0" applyFont="1" applyFill="1" applyAlignment="1">
      <alignment horizontal="left"/>
    </xf>
    <xf numFmtId="1" fontId="4" fillId="29" borderId="0" xfId="0" applyNumberFormat="1" applyFont="1" applyFill="1" applyAlignment="1">
      <alignment horizontal="right"/>
    </xf>
    <xf numFmtId="3" fontId="9" fillId="29" borderId="0" xfId="0" applyNumberFormat="1" applyFont="1" applyFill="1" applyAlignment="1">
      <alignment horizontal="right"/>
    </xf>
    <xf numFmtId="39" fontId="10" fillId="29" borderId="0" xfId="0" applyNumberFormat="1" applyFont="1" applyFill="1" applyAlignment="1">
      <alignment horizontal="right"/>
    </xf>
    <xf numFmtId="39" fontId="10" fillId="29" borderId="20" xfId="0" applyNumberFormat="1" applyFont="1" applyFill="1" applyBorder="1" applyAlignment="1">
      <alignment horizontal="right"/>
    </xf>
    <xf numFmtId="3" fontId="8" fillId="3" borderId="0" xfId="0" applyNumberFormat="1" applyFont="1" applyFill="1" applyAlignment="1">
      <alignment horizontal="center"/>
    </xf>
    <xf numFmtId="0" fontId="12" fillId="29" borderId="0" xfId="0" applyFont="1" applyFill="1" applyAlignment="1">
      <alignment horizontal="right"/>
    </xf>
    <xf numFmtId="3" fontId="278" fillId="3" borderId="0" xfId="0" applyNumberFormat="1" applyFont="1" applyFill="1" applyAlignment="1">
      <alignment horizontal="center"/>
    </xf>
    <xf numFmtId="1" fontId="4" fillId="29" borderId="0" xfId="0" quotePrefix="1" applyNumberFormat="1" applyFont="1" applyFill="1" applyAlignment="1">
      <alignment horizontal="right"/>
    </xf>
    <xf numFmtId="3" fontId="106" fillId="29" borderId="0" xfId="0" applyNumberFormat="1" applyFont="1" applyFill="1" applyAlignment="1">
      <alignment horizontal="right"/>
    </xf>
    <xf numFmtId="0" fontId="112" fillId="29" borderId="0" xfId="0" applyFont="1" applyFill="1" applyAlignment="1">
      <alignment horizontal="center"/>
    </xf>
    <xf numFmtId="39" fontId="10" fillId="29" borderId="26" xfId="0" applyNumberFormat="1" applyFont="1" applyFill="1" applyBorder="1" applyAlignment="1">
      <alignment horizontal="right"/>
    </xf>
    <xf numFmtId="39" fontId="10" fillId="29" borderId="1" xfId="0" applyNumberFormat="1" applyFont="1" applyFill="1" applyBorder="1" applyAlignment="1">
      <alignment horizontal="right"/>
    </xf>
    <xf numFmtId="39" fontId="10" fillId="29" borderId="29" xfId="0" applyNumberFormat="1" applyFont="1" applyFill="1" applyBorder="1" applyAlignment="1">
      <alignment horizontal="right"/>
    </xf>
    <xf numFmtId="0" fontId="11" fillId="3" borderId="1" xfId="0" applyFont="1" applyFill="1" applyBorder="1" applyAlignment="1">
      <alignment horizontal="left"/>
    </xf>
    <xf numFmtId="0" fontId="10" fillId="3" borderId="1" xfId="0" applyFont="1" applyFill="1" applyBorder="1" applyAlignment="1">
      <alignment horizontal="left"/>
    </xf>
    <xf numFmtId="0" fontId="40" fillId="3" borderId="1" xfId="0" applyFont="1" applyFill="1" applyBorder="1" applyAlignment="1">
      <alignment horizontal="right"/>
    </xf>
    <xf numFmtId="39" fontId="40" fillId="3" borderId="1" xfId="0" applyNumberFormat="1" applyFont="1" applyFill="1" applyBorder="1" applyAlignment="1">
      <alignment horizontal="right"/>
    </xf>
    <xf numFmtId="39" fontId="10" fillId="3" borderId="1" xfId="0" applyNumberFormat="1" applyFont="1" applyFill="1" applyBorder="1" applyAlignment="1">
      <alignment horizontal="right"/>
    </xf>
    <xf numFmtId="0" fontId="27" fillId="29" borderId="0" xfId="0" applyFont="1" applyFill="1" applyAlignment="1">
      <alignment horizontal="left"/>
    </xf>
    <xf numFmtId="0" fontId="9" fillId="29" borderId="0" xfId="0" applyFont="1" applyFill="1" applyAlignment="1">
      <alignment horizontal="right" vertical="center"/>
    </xf>
    <xf numFmtId="0" fontId="27" fillId="29" borderId="5" xfId="0" applyFont="1" applyFill="1" applyBorder="1" applyAlignment="1">
      <alignment horizontal="right"/>
    </xf>
    <xf numFmtId="0" fontId="27" fillId="29" borderId="0" xfId="0" applyFont="1" applyFill="1" applyAlignment="1">
      <alignment horizontal="right"/>
    </xf>
    <xf numFmtId="39" fontId="10" fillId="29" borderId="21" xfId="0" applyNumberFormat="1" applyFont="1" applyFill="1" applyBorder="1" applyAlignment="1">
      <alignment horizontal="right"/>
    </xf>
    <xf numFmtId="39" fontId="10" fillId="29" borderId="4" xfId="0" applyNumberFormat="1" applyFont="1" applyFill="1" applyBorder="1" applyAlignment="1">
      <alignment horizontal="right"/>
    </xf>
    <xf numFmtId="39" fontId="10" fillId="29" borderId="22" xfId="0" applyNumberFormat="1" applyFont="1" applyFill="1" applyBorder="1" applyAlignment="1">
      <alignment horizontal="right"/>
    </xf>
    <xf numFmtId="0" fontId="0" fillId="0" borderId="12" xfId="0" applyBorder="1"/>
    <xf numFmtId="4" fontId="0" fillId="2" borderId="0" xfId="0" applyNumberFormat="1" applyFill="1"/>
    <xf numFmtId="4" fontId="63" fillId="3" borderId="0" xfId="0" applyNumberFormat="1" applyFont="1" applyFill="1" applyAlignment="1">
      <alignment horizontal="right"/>
    </xf>
    <xf numFmtId="4" fontId="12" fillId="3" borderId="0" xfId="0" applyNumberFormat="1" applyFont="1" applyFill="1" applyAlignment="1">
      <alignment horizontal="right"/>
    </xf>
    <xf numFmtId="0" fontId="4" fillId="3" borderId="1" xfId="0" applyFont="1" applyFill="1" applyBorder="1" applyAlignment="1">
      <alignment horizontal="left"/>
    </xf>
    <xf numFmtId="0" fontId="56" fillId="3" borderId="1" xfId="0" applyFont="1" applyFill="1" applyBorder="1" applyAlignment="1">
      <alignment horizontal="right"/>
    </xf>
    <xf numFmtId="0" fontId="123" fillId="3" borderId="30" xfId="0" applyFont="1" applyFill="1" applyBorder="1" applyAlignment="1">
      <alignment horizontal="right" vertical="center"/>
    </xf>
    <xf numFmtId="0" fontId="22" fillId="3" borderId="0" xfId="0" applyFont="1" applyFill="1" applyAlignment="1">
      <alignment horizontal="center"/>
    </xf>
    <xf numFmtId="4" fontId="12" fillId="3" borderId="8" xfId="0" applyNumberFormat="1" applyFont="1" applyFill="1" applyBorder="1" applyAlignment="1">
      <alignment horizontal="right"/>
    </xf>
    <xf numFmtId="39" fontId="29" fillId="3" borderId="5" xfId="0" applyNumberFormat="1" applyFont="1" applyFill="1" applyBorder="1" applyAlignment="1">
      <alignment horizontal="right" vertical="center"/>
    </xf>
    <xf numFmtId="0" fontId="123" fillId="3" borderId="3" xfId="0" applyFont="1" applyFill="1" applyBorder="1" applyAlignment="1">
      <alignment horizontal="right" vertical="center"/>
    </xf>
    <xf numFmtId="0" fontId="4" fillId="3" borderId="3" xfId="0" applyFont="1" applyFill="1" applyBorder="1" applyAlignment="1">
      <alignment horizontal="left"/>
    </xf>
    <xf numFmtId="0" fontId="9" fillId="3" borderId="0" xfId="0" applyFont="1" applyFill="1" applyAlignment="1">
      <alignment horizontal="left" vertical="center"/>
    </xf>
    <xf numFmtId="39" fontId="112" fillId="3" borderId="5" xfId="0" applyNumberFormat="1" applyFont="1" applyFill="1" applyBorder="1" applyAlignment="1">
      <alignment horizontal="center" vertical="center"/>
    </xf>
    <xf numFmtId="0" fontId="57" fillId="2" borderId="2" xfId="0" applyFont="1" applyFill="1" applyBorder="1" applyAlignment="1" applyProtection="1">
      <alignment horizontal="center"/>
      <protection locked="0"/>
    </xf>
    <xf numFmtId="0" fontId="9" fillId="3" borderId="0" xfId="0" applyFont="1" applyFill="1" applyAlignment="1">
      <alignment horizontal="left" vertical="top"/>
    </xf>
    <xf numFmtId="0" fontId="12" fillId="3" borderId="0" xfId="0" applyFont="1" applyFill="1" applyAlignment="1">
      <alignment horizontal="right"/>
    </xf>
    <xf numFmtId="0" fontId="12" fillId="3" borderId="0" xfId="0" quotePrefix="1" applyFont="1" applyFill="1" applyAlignment="1">
      <alignment horizontal="center"/>
    </xf>
    <xf numFmtId="0" fontId="0" fillId="0" borderId="2" xfId="0" applyBorder="1"/>
    <xf numFmtId="39" fontId="112" fillId="3" borderId="5" xfId="0" applyNumberFormat="1" applyFont="1" applyFill="1" applyBorder="1" applyAlignment="1">
      <alignment horizontal="right"/>
    </xf>
    <xf numFmtId="0" fontId="27" fillId="3" borderId="0" xfId="0" applyFont="1" applyFill="1" applyAlignment="1">
      <alignment horizontal="left"/>
    </xf>
    <xf numFmtId="0" fontId="29" fillId="3" borderId="0" xfId="0" applyFont="1" applyFill="1" applyAlignment="1">
      <alignment horizontal="center"/>
    </xf>
    <xf numFmtId="0" fontId="29" fillId="3" borderId="0" xfId="0" applyFont="1" applyFill="1" applyAlignment="1">
      <alignment horizontal="left"/>
    </xf>
    <xf numFmtId="0" fontId="95" fillId="3" borderId="3" xfId="0" applyFont="1" applyFill="1" applyBorder="1" applyAlignment="1">
      <alignment horizontal="right"/>
    </xf>
    <xf numFmtId="39" fontId="112" fillId="3" borderId="5" xfId="0" applyNumberFormat="1" applyFont="1" applyFill="1" applyBorder="1" applyAlignment="1">
      <alignment vertical="center"/>
    </xf>
    <xf numFmtId="0" fontId="205" fillId="5" borderId="0" xfId="0" applyFont="1" applyFill="1" applyAlignment="1">
      <alignment horizontal="center"/>
    </xf>
    <xf numFmtId="0" fontId="8" fillId="3" borderId="3" xfId="0" applyFont="1" applyFill="1" applyBorder="1" applyAlignment="1">
      <alignment horizontal="left"/>
    </xf>
    <xf numFmtId="0" fontId="43" fillId="3" borderId="0" xfId="0" applyFont="1" applyFill="1" applyAlignment="1">
      <alignment horizontal="center"/>
    </xf>
    <xf numFmtId="0" fontId="8" fillId="3" borderId="9" xfId="0" applyFont="1" applyFill="1" applyBorder="1" applyAlignment="1">
      <alignment horizontal="left"/>
    </xf>
    <xf numFmtId="0" fontId="8" fillId="3" borderId="1" xfId="0" applyFont="1" applyFill="1" applyBorder="1" applyAlignment="1">
      <alignment horizontal="left"/>
    </xf>
    <xf numFmtId="0" fontId="43" fillId="3" borderId="1" xfId="0" applyFont="1" applyFill="1" applyBorder="1" applyAlignment="1">
      <alignment horizontal="center"/>
    </xf>
    <xf numFmtId="4" fontId="8" fillId="3" borderId="29" xfId="0" applyNumberFormat="1" applyFont="1" applyFill="1" applyBorder="1" applyAlignment="1">
      <alignment horizontal="right"/>
    </xf>
    <xf numFmtId="0" fontId="43" fillId="3" borderId="8" xfId="0" applyFont="1" applyFill="1" applyBorder="1" applyAlignment="1">
      <alignment horizontal="center"/>
    </xf>
    <xf numFmtId="0" fontId="4" fillId="5" borderId="7" xfId="0" applyFont="1" applyFill="1" applyBorder="1" applyAlignment="1">
      <alignment horizontal="center" vertical="center"/>
    </xf>
    <xf numFmtId="164" fontId="4" fillId="3" borderId="3" xfId="0" applyNumberFormat="1" applyFont="1" applyFill="1" applyBorder="1" applyAlignment="1">
      <alignment horizontal="right"/>
    </xf>
    <xf numFmtId="0" fontId="4" fillId="0" borderId="0" xfId="0" quotePrefix="1" applyFont="1" applyAlignment="1">
      <alignment horizontal="right"/>
    </xf>
    <xf numFmtId="164" fontId="4" fillId="3" borderId="0" xfId="0" applyNumberFormat="1" applyFont="1" applyFill="1" applyAlignment="1">
      <alignment horizontal="right"/>
    </xf>
    <xf numFmtId="39" fontId="29" fillId="3" borderId="5" xfId="0" applyNumberFormat="1" applyFont="1" applyFill="1" applyBorder="1" applyAlignment="1">
      <alignment horizontal="right"/>
    </xf>
    <xf numFmtId="0" fontId="10" fillId="5" borderId="0" xfId="0" applyFont="1" applyFill="1"/>
    <xf numFmtId="0" fontId="6" fillId="3" borderId="0" xfId="0" quotePrefix="1" applyFont="1" applyFill="1" applyAlignment="1">
      <alignment horizontal="left"/>
    </xf>
    <xf numFmtId="39" fontId="22" fillId="3" borderId="5" xfId="0" applyNumberFormat="1" applyFont="1" applyFill="1" applyBorder="1" applyAlignment="1">
      <alignment horizontal="right"/>
    </xf>
    <xf numFmtId="164" fontId="4" fillId="3" borderId="3" xfId="0" quotePrefix="1" applyNumberFormat="1" applyFont="1" applyFill="1" applyBorder="1" applyAlignment="1">
      <alignment horizontal="right" vertical="top"/>
    </xf>
    <xf numFmtId="164" fontId="9" fillId="3" borderId="0" xfId="0" applyNumberFormat="1" applyFont="1" applyFill="1" applyAlignment="1">
      <alignment horizontal="right"/>
    </xf>
    <xf numFmtId="164" fontId="4" fillId="3" borderId="3" xfId="0" quotePrefix="1" applyNumberFormat="1" applyFont="1" applyFill="1" applyBorder="1" applyAlignment="1">
      <alignment horizontal="right"/>
    </xf>
    <xf numFmtId="3" fontId="8" fillId="3" borderId="8" xfId="0" applyNumberFormat="1" applyFont="1" applyFill="1" applyBorder="1" applyAlignment="1">
      <alignment horizontal="right"/>
    </xf>
    <xf numFmtId="0" fontId="6" fillId="0" borderId="0" xfId="0" quotePrefix="1" applyFont="1" applyAlignment="1">
      <alignment horizontal="center"/>
    </xf>
    <xf numFmtId="39" fontId="6" fillId="3" borderId="8" xfId="0" applyNumberFormat="1" applyFont="1" applyFill="1" applyBorder="1" applyAlignment="1">
      <alignment horizontal="right"/>
    </xf>
    <xf numFmtId="0" fontId="76" fillId="5" borderId="0" xfId="0" applyFont="1" applyFill="1" applyAlignment="1">
      <alignment horizontal="center"/>
    </xf>
    <xf numFmtId="0" fontId="12" fillId="5" borderId="0" xfId="0" applyFont="1" applyFill="1" applyAlignment="1">
      <alignment horizontal="center"/>
    </xf>
    <xf numFmtId="0" fontId="27" fillId="3" borderId="0" xfId="0" applyFont="1" applyFill="1" applyAlignment="1">
      <alignment horizontal="center" vertical="center"/>
    </xf>
    <xf numFmtId="37" fontId="43" fillId="3" borderId="0" xfId="0" applyNumberFormat="1" applyFont="1" applyFill="1" applyAlignment="1">
      <alignment horizontal="right"/>
    </xf>
    <xf numFmtId="3" fontId="29" fillId="3" borderId="0" xfId="0" applyNumberFormat="1" applyFont="1" applyFill="1" applyAlignment="1">
      <alignment horizontal="right"/>
    </xf>
    <xf numFmtId="37" fontId="116" fillId="3" borderId="0" xfId="0" applyNumberFormat="1" applyFont="1" applyFill="1" applyAlignment="1">
      <alignment horizontal="right"/>
    </xf>
    <xf numFmtId="3" fontId="10" fillId="3" borderId="0" xfId="0" applyNumberFormat="1" applyFont="1" applyFill="1" applyAlignment="1">
      <alignment horizontal="center"/>
    </xf>
    <xf numFmtId="4" fontId="233" fillId="3" borderId="0" xfId="0" applyNumberFormat="1" applyFont="1" applyFill="1" applyAlignment="1">
      <alignment horizontal="center"/>
    </xf>
    <xf numFmtId="3" fontId="29" fillId="3" borderId="0" xfId="0" applyNumberFormat="1" applyFont="1" applyFill="1" applyAlignment="1">
      <alignment horizontal="right" vertical="center"/>
    </xf>
    <xf numFmtId="49" fontId="42" fillId="3" borderId="0" xfId="0" applyNumberFormat="1" applyFont="1" applyFill="1" applyAlignment="1">
      <alignment horizontal="right"/>
    </xf>
    <xf numFmtId="4" fontId="12" fillId="3" borderId="0" xfId="0" applyNumberFormat="1" applyFont="1" applyFill="1" applyAlignment="1">
      <alignment horizontal="left" vertical="center"/>
    </xf>
    <xf numFmtId="39" fontId="10" fillId="3" borderId="5" xfId="0" applyNumberFormat="1" applyFont="1" applyFill="1" applyBorder="1" applyAlignment="1">
      <alignment horizontal="right"/>
    </xf>
    <xf numFmtId="0" fontId="101" fillId="5" borderId="0" xfId="0" applyFont="1" applyFill="1"/>
    <xf numFmtId="0" fontId="97" fillId="0" borderId="0" xfId="0" applyFont="1"/>
    <xf numFmtId="0" fontId="106" fillId="5" borderId="0" xfId="0" applyFont="1" applyFill="1" applyAlignment="1">
      <alignment horizontal="center"/>
    </xf>
    <xf numFmtId="4" fontId="29" fillId="3" borderId="0" xfId="0" applyNumberFormat="1" applyFont="1" applyFill="1" applyAlignment="1">
      <alignment horizontal="center"/>
    </xf>
    <xf numFmtId="37" fontId="180" fillId="3" borderId="0" xfId="0" applyNumberFormat="1" applyFont="1" applyFill="1" applyAlignment="1">
      <alignment horizontal="right"/>
    </xf>
    <xf numFmtId="4" fontId="76" fillId="3" borderId="0" xfId="0" applyNumberFormat="1" applyFont="1" applyFill="1" applyAlignment="1">
      <alignment horizontal="left" vertical="center"/>
    </xf>
    <xf numFmtId="164" fontId="4" fillId="3" borderId="0" xfId="0" quotePrefix="1" applyNumberFormat="1" applyFont="1" applyFill="1" applyAlignment="1">
      <alignment horizontal="right"/>
    </xf>
    <xf numFmtId="4" fontId="76" fillId="3" borderId="0" xfId="0" applyNumberFormat="1" applyFont="1" applyFill="1" applyAlignment="1">
      <alignment horizontal="left"/>
    </xf>
    <xf numFmtId="0" fontId="6" fillId="3" borderId="1" xfId="0" applyFont="1" applyFill="1" applyBorder="1" applyAlignment="1">
      <alignment horizontal="left"/>
    </xf>
    <xf numFmtId="4" fontId="10" fillId="3" borderId="1" xfId="0" applyNumberFormat="1" applyFont="1" applyFill="1" applyBorder="1" applyAlignment="1">
      <alignment horizontal="left"/>
    </xf>
    <xf numFmtId="1" fontId="4" fillId="3" borderId="1" xfId="0" applyNumberFormat="1" applyFont="1" applyFill="1" applyBorder="1" applyAlignment="1">
      <alignment horizontal="right"/>
    </xf>
    <xf numFmtId="39" fontId="10" fillId="3" borderId="20" xfId="0" applyNumberFormat="1" applyFont="1" applyFill="1" applyBorder="1" applyAlignment="1">
      <alignment horizontal="right"/>
    </xf>
    <xf numFmtId="0" fontId="4" fillId="3" borderId="35" xfId="0" applyFont="1" applyFill="1" applyBorder="1" applyAlignment="1">
      <alignment horizontal="right"/>
    </xf>
    <xf numFmtId="0" fontId="4" fillId="3" borderId="13" xfId="0" applyFont="1" applyFill="1" applyBorder="1" applyAlignment="1">
      <alignment horizontal="right"/>
    </xf>
    <xf numFmtId="0" fontId="6" fillId="3" borderId="13" xfId="0" applyFont="1" applyFill="1" applyBorder="1" applyAlignment="1">
      <alignment horizontal="left"/>
    </xf>
    <xf numFmtId="0" fontId="10" fillId="3" borderId="13" xfId="0" applyFont="1" applyFill="1" applyBorder="1" applyAlignment="1">
      <alignment horizontal="left"/>
    </xf>
    <xf numFmtId="0" fontId="10" fillId="3" borderId="158" xfId="0" applyFont="1" applyFill="1" applyBorder="1" applyAlignment="1">
      <alignment horizontal="left"/>
    </xf>
    <xf numFmtId="4" fontId="11" fillId="2" borderId="0" xfId="0" applyNumberFormat="1" applyFont="1" applyFill="1" applyAlignment="1">
      <alignment horizontal="center" vertical="center"/>
    </xf>
    <xf numFmtId="4" fontId="22" fillId="2" borderId="0" xfId="0" applyNumberFormat="1" applyFont="1" applyFill="1"/>
    <xf numFmtId="0" fontId="0" fillId="15" borderId="7" xfId="0" applyFill="1" applyBorder="1" applyAlignment="1">
      <alignment horizontal="centerContinuous"/>
    </xf>
    <xf numFmtId="0" fontId="20" fillId="15" borderId="25" xfId="0" applyFont="1" applyFill="1" applyBorder="1" applyAlignment="1">
      <alignment horizontal="left" vertical="center"/>
    </xf>
    <xf numFmtId="0" fontId="15" fillId="15" borderId="0" xfId="0" applyFont="1" applyFill="1" applyAlignment="1">
      <alignment horizontal="center"/>
    </xf>
    <xf numFmtId="164" fontId="4" fillId="12" borderId="0" xfId="0" applyNumberFormat="1" applyFont="1" applyFill="1" applyProtection="1">
      <protection locked="0"/>
    </xf>
    <xf numFmtId="0" fontId="0" fillId="12" borderId="0" xfId="0" applyFill="1" applyAlignment="1" applyProtection="1">
      <alignment wrapText="1"/>
      <protection locked="0"/>
    </xf>
    <xf numFmtId="40" fontId="11" fillId="12" borderId="0" xfId="0" applyNumberFormat="1" applyFont="1" applyFill="1" applyAlignment="1" applyProtection="1">
      <alignment horizontal="right"/>
      <protection locked="0"/>
    </xf>
    <xf numFmtId="40" fontId="20" fillId="12" borderId="0" xfId="0" applyNumberFormat="1" applyFont="1" applyFill="1" applyAlignment="1" applyProtection="1">
      <alignment horizontal="right"/>
      <protection locked="0"/>
    </xf>
    <xf numFmtId="164" fontId="11" fillId="4" borderId="0" xfId="0" applyNumberFormat="1" applyFont="1" applyFill="1" applyAlignment="1" applyProtection="1">
      <alignment vertical="center"/>
      <protection locked="0"/>
    </xf>
    <xf numFmtId="0" fontId="0" fillId="4" borderId="4" xfId="0" applyFill="1" applyBorder="1"/>
    <xf numFmtId="40" fontId="40" fillId="2" borderId="4" xfId="0" applyNumberFormat="1" applyFont="1" applyFill="1" applyBorder="1" applyAlignment="1">
      <alignment horizontal="right" vertical="center"/>
    </xf>
    <xf numFmtId="40" fontId="68" fillId="5" borderId="0" xfId="0" applyNumberFormat="1" applyFont="1" applyFill="1" applyAlignment="1">
      <alignment horizontal="right"/>
    </xf>
    <xf numFmtId="0" fontId="28" fillId="2" borderId="23" xfId="0" applyFont="1" applyFill="1" applyBorder="1" applyAlignment="1">
      <alignment vertical="center"/>
    </xf>
    <xf numFmtId="0" fontId="0" fillId="4" borderId="7" xfId="0" applyFill="1" applyBorder="1" applyProtection="1">
      <protection locked="0"/>
    </xf>
    <xf numFmtId="0" fontId="59" fillId="4" borderId="7" xfId="0" applyFont="1" applyFill="1" applyBorder="1" applyAlignment="1" applyProtection="1">
      <alignment horizontal="right"/>
      <protection locked="0"/>
    </xf>
    <xf numFmtId="164" fontId="47" fillId="2" borderId="7" xfId="0" applyNumberFormat="1" applyFont="1" applyFill="1" applyBorder="1" applyAlignment="1">
      <alignment horizontal="left" vertical="center"/>
    </xf>
    <xf numFmtId="0" fontId="0" fillId="4" borderId="20" xfId="0" applyFill="1" applyBorder="1" applyProtection="1">
      <protection locked="0"/>
    </xf>
    <xf numFmtId="0" fontId="0" fillId="12" borderId="0" xfId="0" applyFill="1" applyProtection="1">
      <protection locked="0"/>
    </xf>
    <xf numFmtId="0" fontId="0" fillId="4" borderId="5" xfId="0" applyFill="1" applyBorder="1" applyProtection="1">
      <protection locked="0"/>
    </xf>
    <xf numFmtId="0" fontId="59" fillId="4" borderId="0" xfId="0" applyFont="1" applyFill="1" applyAlignment="1" applyProtection="1">
      <alignment horizontal="right"/>
      <protection locked="0"/>
    </xf>
    <xf numFmtId="164" fontId="47" fillId="2" borderId="0" xfId="0" applyNumberFormat="1" applyFont="1" applyFill="1" applyAlignment="1">
      <alignment horizontal="left" vertical="center"/>
    </xf>
    <xf numFmtId="164" fontId="6" fillId="2" borderId="0" xfId="0" applyNumberFormat="1" applyFont="1" applyFill="1" applyAlignment="1" applyProtection="1">
      <alignment horizontal="left" vertical="top"/>
      <protection locked="0"/>
    </xf>
    <xf numFmtId="0" fontId="28" fillId="2" borderId="26" xfId="0" applyFont="1" applyFill="1" applyBorder="1" applyAlignment="1">
      <alignment vertical="center"/>
    </xf>
    <xf numFmtId="0" fontId="23" fillId="2" borderId="1" xfId="0" applyFont="1" applyFill="1" applyBorder="1" applyAlignment="1">
      <alignment vertical="center"/>
    </xf>
    <xf numFmtId="164" fontId="47" fillId="2" borderId="1" xfId="0" applyNumberFormat="1" applyFont="1" applyFill="1" applyBorder="1" applyAlignment="1" applyProtection="1">
      <alignment horizontal="left" vertical="top"/>
      <protection locked="0"/>
    </xf>
    <xf numFmtId="0" fontId="14" fillId="2" borderId="1" xfId="0" applyFont="1" applyFill="1" applyBorder="1" applyAlignment="1">
      <alignment vertical="center"/>
    </xf>
    <xf numFmtId="0" fontId="14" fillId="2" borderId="29" xfId="0" applyFont="1" applyFill="1" applyBorder="1" applyAlignment="1">
      <alignment vertical="center"/>
    </xf>
    <xf numFmtId="0" fontId="14" fillId="5" borderId="0" xfId="0" applyFont="1" applyFill="1" applyAlignment="1">
      <alignment vertical="center"/>
    </xf>
    <xf numFmtId="0" fontId="28" fillId="2" borderId="5" xfId="0" applyFont="1" applyFill="1" applyBorder="1" applyAlignment="1">
      <alignment vertical="center"/>
    </xf>
    <xf numFmtId="0" fontId="23" fillId="2" borderId="0" xfId="0" applyFont="1" applyFill="1" applyAlignment="1">
      <alignment vertical="center"/>
    </xf>
    <xf numFmtId="0" fontId="213" fillId="2" borderId="0" xfId="0" applyFont="1" applyFill="1" applyAlignment="1">
      <alignment vertical="center"/>
    </xf>
    <xf numFmtId="164" fontId="59" fillId="2" borderId="0" xfId="0" applyNumberFormat="1" applyFont="1" applyFill="1" applyAlignment="1">
      <alignment horizontal="left" vertical="center"/>
    </xf>
    <xf numFmtId="0" fontId="14" fillId="2" borderId="0" xfId="0" applyFont="1" applyFill="1" applyAlignment="1">
      <alignment vertical="center"/>
    </xf>
    <xf numFmtId="164" fontId="4" fillId="2" borderId="0" xfId="0" applyNumberFormat="1" applyFont="1" applyFill="1" applyAlignment="1">
      <alignment horizontal="centerContinuous" vertical="center"/>
    </xf>
    <xf numFmtId="0" fontId="14" fillId="2" borderId="0" xfId="0" applyFont="1" applyFill="1" applyAlignment="1">
      <alignment horizontal="centerContinuous" vertical="center"/>
    </xf>
    <xf numFmtId="164" fontId="4" fillId="2" borderId="0" xfId="0" applyNumberFormat="1" applyFont="1" applyFill="1" applyAlignment="1">
      <alignment horizontal="center" vertical="center"/>
    </xf>
    <xf numFmtId="40" fontId="4" fillId="2" borderId="0" xfId="0" applyNumberFormat="1" applyFont="1" applyFill="1" applyAlignment="1">
      <alignment horizontal="centerContinuous" vertical="center"/>
    </xf>
    <xf numFmtId="0" fontId="14" fillId="2" borderId="20" xfId="0" applyFont="1" applyFill="1" applyBorder="1" applyAlignment="1">
      <alignment vertical="center"/>
    </xf>
    <xf numFmtId="164" fontId="15" fillId="2" borderId="5" xfId="0" applyNumberFormat="1" applyFont="1" applyFill="1" applyBorder="1" applyAlignment="1">
      <alignment horizontal="center"/>
    </xf>
    <xf numFmtId="164" fontId="4" fillId="27" borderId="2" xfId="0" applyNumberFormat="1" applyFont="1" applyFill="1" applyBorder="1" applyAlignment="1">
      <alignment horizontal="center" vertical="center"/>
    </xf>
    <xf numFmtId="0" fontId="15" fillId="2" borderId="0" xfId="0" applyFont="1" applyFill="1"/>
    <xf numFmtId="40" fontId="4" fillId="2" borderId="0" xfId="0" applyNumberFormat="1" applyFont="1" applyFill="1" applyAlignment="1">
      <alignment horizontal="center"/>
    </xf>
    <xf numFmtId="164" fontId="4" fillId="2" borderId="0" xfId="0" applyNumberFormat="1" applyFont="1" applyFill="1" applyAlignment="1">
      <alignment horizontal="center"/>
    </xf>
    <xf numFmtId="40" fontId="4" fillId="2" borderId="20" xfId="0" applyNumberFormat="1" applyFont="1" applyFill="1" applyBorder="1"/>
    <xf numFmtId="40" fontId="4" fillId="5" borderId="0" xfId="0" applyNumberFormat="1" applyFont="1" applyFill="1"/>
    <xf numFmtId="40" fontId="47" fillId="2" borderId="0" xfId="0" applyNumberFormat="1" applyFont="1" applyFill="1"/>
    <xf numFmtId="40" fontId="121" fillId="2" borderId="0" xfId="0" applyNumberFormat="1" applyFont="1" applyFill="1" applyAlignment="1">
      <alignment horizontal="right"/>
    </xf>
    <xf numFmtId="0" fontId="22" fillId="4" borderId="0" xfId="0" applyFont="1" applyFill="1" applyAlignment="1">
      <alignment horizontal="center"/>
    </xf>
    <xf numFmtId="40" fontId="12" fillId="2" borderId="0" xfId="0" applyNumberFormat="1" applyFont="1" applyFill="1"/>
    <xf numFmtId="0" fontId="310" fillId="2" borderId="0" xfId="0" applyFont="1" applyFill="1" applyAlignment="1">
      <alignment horizontal="right"/>
    </xf>
    <xf numFmtId="40" fontId="57" fillId="2" borderId="0" xfId="0" applyNumberFormat="1" applyFont="1" applyFill="1" applyAlignment="1">
      <alignment horizontal="center"/>
    </xf>
    <xf numFmtId="0" fontId="65" fillId="2" borderId="0" xfId="0" applyFont="1" applyFill="1" applyAlignment="1">
      <alignment horizontal="center" vertical="center"/>
    </xf>
    <xf numFmtId="40" fontId="110" fillId="2" borderId="0" xfId="0" applyNumberFormat="1" applyFont="1" applyFill="1"/>
    <xf numFmtId="0" fontId="109" fillId="2" borderId="7" xfId="0" applyFont="1" applyFill="1" applyBorder="1"/>
    <xf numFmtId="0" fontId="0" fillId="2" borderId="19" xfId="0" applyFill="1" applyBorder="1"/>
    <xf numFmtId="0" fontId="119" fillId="2" borderId="0" xfId="0" applyFont="1" applyFill="1"/>
    <xf numFmtId="38" fontId="0" fillId="2" borderId="20" xfId="0" applyNumberFormat="1" applyFill="1" applyBorder="1"/>
    <xf numFmtId="38" fontId="0" fillId="5" borderId="0" xfId="0" applyNumberFormat="1" applyFill="1"/>
    <xf numFmtId="40" fontId="57" fillId="2" borderId="0" xfId="0" applyNumberFormat="1" applyFont="1" applyFill="1"/>
    <xf numFmtId="40" fontId="22" fillId="2" borderId="0" xfId="0" applyNumberFormat="1" applyFont="1" applyFill="1"/>
    <xf numFmtId="0" fontId="69" fillId="2" borderId="0" xfId="0" applyFont="1" applyFill="1"/>
    <xf numFmtId="0" fontId="4" fillId="5" borderId="0" xfId="0" applyFont="1" applyFill="1" applyAlignment="1">
      <alignment horizontal="right"/>
    </xf>
    <xf numFmtId="164" fontId="4" fillId="2" borderId="5" xfId="0" applyNumberFormat="1" applyFont="1" applyFill="1" applyBorder="1" applyAlignment="1">
      <alignment horizontal="center"/>
    </xf>
    <xf numFmtId="0" fontId="121" fillId="2" borderId="0" xfId="0" applyFont="1" applyFill="1" applyAlignment="1">
      <alignment horizontal="center"/>
    </xf>
    <xf numFmtId="0" fontId="4" fillId="2" borderId="20" xfId="0" applyFont="1" applyFill="1" applyBorder="1" applyAlignment="1">
      <alignment horizontal="center"/>
    </xf>
    <xf numFmtId="40" fontId="69" fillId="2" borderId="0" xfId="0" applyNumberFormat="1" applyFont="1" applyFill="1"/>
    <xf numFmtId="0" fontId="47" fillId="2" borderId="0" xfId="0" applyFont="1" applyFill="1" applyAlignment="1">
      <alignment vertical="center"/>
    </xf>
    <xf numFmtId="0" fontId="47" fillId="2" borderId="0" xfId="0" applyFont="1" applyFill="1" applyAlignment="1">
      <alignment vertical="top"/>
    </xf>
    <xf numFmtId="0" fontId="47" fillId="2" borderId="0" xfId="0" applyFont="1" applyFill="1" applyAlignment="1">
      <alignment horizontal="left" indent="2"/>
    </xf>
    <xf numFmtId="164" fontId="6" fillId="2" borderId="5" xfId="0" applyNumberFormat="1" applyFont="1" applyFill="1" applyBorder="1" applyAlignment="1">
      <alignment horizontal="center"/>
    </xf>
    <xf numFmtId="164" fontId="6" fillId="2" borderId="0" xfId="0" applyNumberFormat="1" applyFont="1" applyFill="1"/>
    <xf numFmtId="0" fontId="15" fillId="2" borderId="0" xfId="0" applyFont="1" applyFill="1" applyAlignment="1">
      <alignment horizontal="center"/>
    </xf>
    <xf numFmtId="37" fontId="198" fillId="0" borderId="0" xfId="0" applyNumberFormat="1" applyFont="1"/>
    <xf numFmtId="164" fontId="4" fillId="2" borderId="21" xfId="0" applyNumberFormat="1" applyFont="1" applyFill="1" applyBorder="1" applyAlignment="1">
      <alignment horizontal="center"/>
    </xf>
    <xf numFmtId="0" fontId="4" fillId="2" borderId="4" xfId="0" applyFont="1" applyFill="1" applyBorder="1" applyAlignment="1">
      <alignment horizontal="center"/>
    </xf>
    <xf numFmtId="0" fontId="47" fillId="2" borderId="4" xfId="0" applyFont="1" applyFill="1" applyBorder="1"/>
    <xf numFmtId="164" fontId="51" fillId="2" borderId="4" xfId="0" applyNumberFormat="1" applyFont="1" applyFill="1" applyBorder="1"/>
    <xf numFmtId="164" fontId="51" fillId="2" borderId="4" xfId="0" applyNumberFormat="1" applyFont="1" applyFill="1" applyBorder="1" applyAlignment="1">
      <alignment horizontal="right"/>
    </xf>
    <xf numFmtId="3" fontId="51" fillId="2" borderId="4" xfId="0" applyNumberFormat="1" applyFont="1" applyFill="1" applyBorder="1"/>
    <xf numFmtId="38" fontId="0" fillId="2" borderId="22" xfId="0" applyNumberFormat="1" applyFill="1" applyBorder="1" applyAlignment="1">
      <alignment horizontal="right"/>
    </xf>
    <xf numFmtId="164" fontId="4" fillId="13" borderId="5" xfId="0" applyNumberFormat="1" applyFont="1" applyFill="1" applyBorder="1" applyAlignment="1">
      <alignment horizontal="center"/>
    </xf>
    <xf numFmtId="0" fontId="4" fillId="13" borderId="0" xfId="0" applyFont="1" applyFill="1" applyAlignment="1">
      <alignment horizontal="center"/>
    </xf>
    <xf numFmtId="0" fontId="6" fillId="13" borderId="0" xfId="0" applyFont="1" applyFill="1"/>
    <xf numFmtId="0" fontId="0" fillId="13" borderId="0" xfId="0" applyFill="1"/>
    <xf numFmtId="164" fontId="51" fillId="13" borderId="0" xfId="0" applyNumberFormat="1" applyFont="1" applyFill="1"/>
    <xf numFmtId="164" fontId="51" fillId="13" borderId="0" xfId="0" applyNumberFormat="1" applyFont="1" applyFill="1" applyAlignment="1">
      <alignment horizontal="right"/>
    </xf>
    <xf numFmtId="3" fontId="51" fillId="13" borderId="0" xfId="0" applyNumberFormat="1" applyFont="1" applyFill="1"/>
    <xf numFmtId="3" fontId="22" fillId="13" borderId="0" xfId="0" applyNumberFormat="1" applyFont="1" applyFill="1"/>
    <xf numFmtId="38" fontId="0" fillId="13" borderId="20" xfId="0" applyNumberFormat="1" applyFill="1" applyBorder="1" applyAlignment="1">
      <alignment horizontal="right"/>
    </xf>
    <xf numFmtId="164" fontId="11" fillId="4" borderId="5" xfId="0" applyNumberFormat="1" applyFont="1" applyFill="1" applyBorder="1" applyAlignment="1" applyProtection="1">
      <alignment horizontal="left" indent="1"/>
      <protection locked="0"/>
    </xf>
    <xf numFmtId="0" fontId="6" fillId="4" borderId="0" xfId="0" applyFont="1" applyFill="1" applyProtection="1">
      <protection locked="0"/>
    </xf>
    <xf numFmtId="40" fontId="25" fillId="2" borderId="0" xfId="0" applyNumberFormat="1" applyFont="1" applyFill="1" applyAlignment="1">
      <alignment horizontal="right" vertical="center"/>
    </xf>
    <xf numFmtId="40" fontId="68" fillId="2" borderId="20" xfId="0" applyNumberFormat="1" applyFont="1" applyFill="1" applyBorder="1" applyAlignment="1">
      <alignment horizontal="right"/>
    </xf>
    <xf numFmtId="0" fontId="47" fillId="2" borderId="0" xfId="0" applyFont="1" applyFill="1" applyAlignment="1">
      <alignment horizontal="left"/>
    </xf>
    <xf numFmtId="164" fontId="57" fillId="2" borderId="0" xfId="0" applyNumberFormat="1" applyFont="1" applyFill="1"/>
    <xf numFmtId="164" fontId="51" fillId="2" borderId="0" xfId="0" applyNumberFormat="1" applyFont="1" applyFill="1"/>
    <xf numFmtId="164" fontId="51" fillId="2" borderId="0" xfId="0" applyNumberFormat="1" applyFont="1" applyFill="1" applyAlignment="1">
      <alignment horizontal="right"/>
    </xf>
    <xf numFmtId="38" fontId="96" fillId="2" borderId="20" xfId="0" applyNumberFormat="1" applyFont="1" applyFill="1" applyBorder="1" applyAlignment="1">
      <alignment horizontal="right"/>
    </xf>
    <xf numFmtId="40" fontId="96" fillId="5" borderId="0" xfId="0" applyNumberFormat="1" applyFont="1" applyFill="1"/>
    <xf numFmtId="0" fontId="96" fillId="2" borderId="0" xfId="0" applyFont="1" applyFill="1"/>
    <xf numFmtId="40" fontId="96" fillId="2" borderId="20" xfId="0" applyNumberFormat="1" applyFont="1" applyFill="1" applyBorder="1"/>
    <xf numFmtId="40" fontId="96" fillId="2" borderId="0" xfId="0" applyNumberFormat="1" applyFont="1" applyFill="1"/>
    <xf numFmtId="178" fontId="22" fillId="2" borderId="0" xfId="0" applyNumberFormat="1" applyFont="1" applyFill="1"/>
    <xf numFmtId="40" fontId="96" fillId="2" borderId="0" xfId="0" applyNumberFormat="1" applyFont="1" applyFill="1" applyAlignment="1">
      <alignment horizontal="right"/>
    </xf>
    <xf numFmtId="164" fontId="80" fillId="2" borderId="0" xfId="0" applyNumberFormat="1" applyFont="1" applyFill="1"/>
    <xf numFmtId="40" fontId="65" fillId="2" borderId="0" xfId="0" applyNumberFormat="1" applyFont="1" applyFill="1" applyAlignment="1">
      <alignment horizontal="right"/>
    </xf>
    <xf numFmtId="40" fontId="65" fillId="2" borderId="0" xfId="0" applyNumberFormat="1" applyFont="1" applyFill="1" applyAlignment="1">
      <alignment horizontal="center"/>
    </xf>
    <xf numFmtId="38" fontId="83" fillId="2" borderId="0" xfId="0" applyNumberFormat="1" applyFont="1" applyFill="1" applyAlignment="1">
      <alignment horizontal="right"/>
    </xf>
    <xf numFmtId="0" fontId="65" fillId="2" borderId="0" xfId="0" applyFont="1" applyFill="1" applyAlignment="1">
      <alignment horizontal="center"/>
    </xf>
    <xf numFmtId="38" fontId="0" fillId="2" borderId="0" xfId="0" applyNumberFormat="1" applyFill="1"/>
    <xf numFmtId="0" fontId="65" fillId="2" borderId="0" xfId="0" applyFont="1" applyFill="1" applyAlignment="1">
      <alignment horizontal="right"/>
    </xf>
    <xf numFmtId="0" fontId="4" fillId="5" borderId="0" xfId="0" quotePrefix="1" applyFont="1" applyFill="1" applyAlignment="1">
      <alignment horizontal="center"/>
    </xf>
    <xf numFmtId="0" fontId="0" fillId="5" borderId="8" xfId="0" applyFill="1" applyBorder="1"/>
    <xf numFmtId="4" fontId="6" fillId="5" borderId="8" xfId="0" applyNumberFormat="1" applyFont="1" applyFill="1" applyBorder="1" applyAlignment="1">
      <alignment horizontal="center"/>
    </xf>
    <xf numFmtId="0" fontId="10" fillId="5" borderId="8" xfId="0" applyFont="1" applyFill="1" applyBorder="1" applyAlignment="1">
      <alignment horizontal="center"/>
    </xf>
    <xf numFmtId="4" fontId="6" fillId="5" borderId="0" xfId="0" applyNumberFormat="1" applyFont="1" applyFill="1" applyAlignment="1">
      <alignment horizontal="center"/>
    </xf>
    <xf numFmtId="0" fontId="10" fillId="5" borderId="0" xfId="0" applyFont="1" applyFill="1" applyAlignment="1">
      <alignment horizontal="center"/>
    </xf>
    <xf numFmtId="39" fontId="0" fillId="27" borderId="1" xfId="0" applyNumberFormat="1" applyFill="1" applyBorder="1" applyAlignment="1">
      <alignment horizontal="center"/>
    </xf>
    <xf numFmtId="4" fontId="8" fillId="5" borderId="0" xfId="0" applyNumberFormat="1" applyFont="1" applyFill="1" applyAlignment="1">
      <alignment horizontal="center"/>
    </xf>
    <xf numFmtId="1" fontId="0" fillId="5" borderId="0" xfId="0" applyNumberFormat="1" applyFill="1"/>
    <xf numFmtId="1" fontId="47" fillId="2" borderId="0" xfId="0" applyNumberFormat="1" applyFont="1" applyFill="1"/>
    <xf numFmtId="1" fontId="0" fillId="2" borderId="0" xfId="0" applyNumberFormat="1" applyFill="1"/>
    <xf numFmtId="1" fontId="4" fillId="2" borderId="0" xfId="0" applyNumberFormat="1" applyFont="1" applyFill="1"/>
    <xf numFmtId="1" fontId="4" fillId="2" borderId="0" xfId="0" applyNumberFormat="1" applyFont="1" applyFill="1" applyAlignment="1">
      <alignment horizontal="right"/>
    </xf>
    <xf numFmtId="1" fontId="83" fillId="2" borderId="0" xfId="0" applyNumberFormat="1" applyFont="1" applyFill="1" applyAlignment="1">
      <alignment horizontal="right"/>
    </xf>
    <xf numFmtId="1" fontId="0" fillId="2" borderId="0" xfId="0" applyNumberFormat="1" applyFill="1" applyAlignment="1">
      <alignment horizontal="right"/>
    </xf>
    <xf numFmtId="1" fontId="0" fillId="2" borderId="20" xfId="0" applyNumberFormat="1" applyFill="1" applyBorder="1" applyAlignment="1">
      <alignment horizontal="right"/>
    </xf>
    <xf numFmtId="1" fontId="0" fillId="5" borderId="0" xfId="0" applyNumberFormat="1" applyFill="1" applyAlignment="1">
      <alignment horizontal="right"/>
    </xf>
    <xf numFmtId="1" fontId="0" fillId="0" borderId="0" xfId="0" applyNumberFormat="1"/>
    <xf numFmtId="164" fontId="4" fillId="2" borderId="7" xfId="0" applyNumberFormat="1" applyFont="1" applyFill="1" applyBorder="1" applyAlignment="1">
      <alignment vertical="top"/>
    </xf>
    <xf numFmtId="0" fontId="24" fillId="2" borderId="7" xfId="0" applyFont="1" applyFill="1" applyBorder="1" applyAlignment="1">
      <alignment horizontal="left"/>
    </xf>
    <xf numFmtId="40" fontId="0" fillId="2" borderId="7" xfId="0" applyNumberFormat="1" applyFill="1" applyBorder="1"/>
    <xf numFmtId="164" fontId="4" fillId="2" borderId="7" xfId="0" applyNumberFormat="1" applyFont="1" applyFill="1" applyBorder="1"/>
    <xf numFmtId="40" fontId="6" fillId="2" borderId="0" xfId="0" applyNumberFormat="1" applyFont="1" applyFill="1" applyAlignment="1">
      <alignment horizontal="center"/>
    </xf>
    <xf numFmtId="40" fontId="56" fillId="2" borderId="0" xfId="0" applyNumberFormat="1" applyFont="1" applyFill="1" applyAlignment="1">
      <alignment horizontal="left"/>
    </xf>
    <xf numFmtId="40" fontId="28" fillId="2" borderId="0" xfId="0" applyNumberFormat="1" applyFont="1" applyFill="1" applyAlignment="1">
      <alignment horizontal="left"/>
    </xf>
    <xf numFmtId="40" fontId="22" fillId="2" borderId="0" xfId="0" applyNumberFormat="1" applyFont="1" applyFill="1" applyAlignment="1">
      <alignment horizontal="center"/>
    </xf>
    <xf numFmtId="1" fontId="51" fillId="2" borderId="0" xfId="0" applyNumberFormat="1" applyFont="1" applyFill="1"/>
    <xf numFmtId="164" fontId="4" fillId="2" borderId="4" xfId="0" applyNumberFormat="1" applyFont="1" applyFill="1" applyBorder="1" applyAlignment="1">
      <alignment vertical="top"/>
    </xf>
    <xf numFmtId="0" fontId="79" fillId="2" borderId="4" xfId="0" applyFont="1" applyFill="1" applyBorder="1"/>
    <xf numFmtId="40" fontId="0" fillId="2" borderId="4" xfId="0" applyNumberFormat="1" applyFill="1" applyBorder="1" applyAlignment="1">
      <alignment horizontal="center"/>
    </xf>
    <xf numFmtId="40" fontId="47" fillId="2" borderId="0" xfId="0" applyNumberFormat="1" applyFont="1" applyFill="1" applyAlignment="1">
      <alignment horizontal="left"/>
    </xf>
    <xf numFmtId="183" fontId="110" fillId="2" borderId="0" xfId="0" applyNumberFormat="1" applyFont="1" applyFill="1" applyAlignment="1">
      <alignment horizontal="center"/>
    </xf>
    <xf numFmtId="40" fontId="51" fillId="2" borderId="0" xfId="0" applyNumberFormat="1" applyFont="1" applyFill="1"/>
    <xf numFmtId="40" fontId="51" fillId="2" borderId="20" xfId="0" applyNumberFormat="1" applyFont="1" applyFill="1" applyBorder="1"/>
    <xf numFmtId="40" fontId="51" fillId="5" borderId="0" xfId="0" applyNumberFormat="1" applyFont="1" applyFill="1"/>
    <xf numFmtId="164" fontId="15" fillId="2" borderId="5" xfId="0" applyNumberFormat="1" applyFont="1" applyFill="1" applyBorder="1" applyAlignment="1">
      <alignment vertical="top"/>
    </xf>
    <xf numFmtId="164" fontId="12" fillId="2" borderId="0" xfId="0" applyNumberFormat="1" applyFont="1" applyFill="1"/>
    <xf numFmtId="164" fontId="15" fillId="2" borderId="21" xfId="0" applyNumberFormat="1" applyFont="1" applyFill="1" applyBorder="1" applyAlignment="1">
      <alignment vertical="top"/>
    </xf>
    <xf numFmtId="40" fontId="0" fillId="2" borderId="4" xfId="0" applyNumberFormat="1" applyFill="1" applyBorder="1"/>
    <xf numFmtId="40" fontId="0" fillId="2" borderId="22" xfId="0" applyNumberFormat="1" applyFill="1" applyBorder="1"/>
    <xf numFmtId="164" fontId="4" fillId="2" borderId="23" xfId="0" applyNumberFormat="1" applyFont="1" applyFill="1" applyBorder="1" applyAlignment="1">
      <alignment vertical="top"/>
    </xf>
    <xf numFmtId="0" fontId="0" fillId="2" borderId="0" xfId="0" applyFill="1" applyAlignment="1">
      <alignment wrapText="1"/>
    </xf>
    <xf numFmtId="164" fontId="34" fillId="2" borderId="5" xfId="0" applyNumberFormat="1" applyFont="1" applyFill="1" applyBorder="1" applyAlignment="1">
      <alignment vertical="top"/>
    </xf>
    <xf numFmtId="164" fontId="9" fillId="2" borderId="0" xfId="0" applyNumberFormat="1" applyFont="1" applyFill="1" applyAlignment="1">
      <alignment horizontal="right"/>
    </xf>
    <xf numFmtId="164" fontId="34" fillId="2" borderId="21" xfId="0" applyNumberFormat="1" applyFont="1" applyFill="1" applyBorder="1" applyAlignment="1">
      <alignment vertical="top"/>
    </xf>
    <xf numFmtId="0" fontId="0" fillId="2" borderId="4" xfId="0" applyFill="1" applyBorder="1" applyAlignment="1">
      <alignment wrapText="1"/>
    </xf>
    <xf numFmtId="164" fontId="12" fillId="2" borderId="4" xfId="0" applyNumberFormat="1" applyFont="1" applyFill="1" applyBorder="1" applyAlignment="1">
      <alignment horizontal="right"/>
    </xf>
    <xf numFmtId="38" fontId="0" fillId="2" borderId="4" xfId="0" applyNumberFormat="1" applyFill="1" applyBorder="1"/>
    <xf numFmtId="0" fontId="64" fillId="0" borderId="0" xfId="0" applyFont="1" applyAlignment="1">
      <alignment horizontal="right"/>
    </xf>
    <xf numFmtId="3" fontId="199" fillId="0" borderId="0" xfId="0" applyNumberFormat="1" applyFont="1" applyAlignment="1">
      <alignment horizontal="right"/>
    </xf>
    <xf numFmtId="0" fontId="12" fillId="0" borderId="0" xfId="0" applyFont="1" applyAlignment="1">
      <alignment horizontal="right"/>
    </xf>
    <xf numFmtId="0" fontId="172" fillId="5" borderId="0" xfId="0" applyFont="1" applyFill="1" applyAlignment="1">
      <alignment horizontal="left"/>
    </xf>
    <xf numFmtId="0" fontId="6" fillId="0" borderId="1" xfId="0" applyFont="1" applyBorder="1"/>
    <xf numFmtId="0" fontId="0" fillId="0" borderId="1" xfId="0" applyBorder="1"/>
    <xf numFmtId="0" fontId="11" fillId="3" borderId="25" xfId="0" applyFont="1" applyFill="1" applyBorder="1" applyAlignment="1">
      <alignment vertical="center"/>
    </xf>
    <xf numFmtId="0" fontId="81" fillId="5" borderId="0" xfId="0" applyFont="1" applyFill="1"/>
    <xf numFmtId="0" fontId="6" fillId="15" borderId="30" xfId="0" applyFont="1" applyFill="1" applyBorder="1"/>
    <xf numFmtId="0" fontId="6" fillId="15" borderId="14" xfId="0" applyFont="1" applyFill="1" applyBorder="1"/>
    <xf numFmtId="0" fontId="44" fillId="3" borderId="5" xfId="0" applyFont="1" applyFill="1" applyBorder="1"/>
    <xf numFmtId="0" fontId="44" fillId="3" borderId="0" xfId="0" applyFont="1" applyFill="1"/>
    <xf numFmtId="0" fontId="44" fillId="3" borderId="20" xfId="0" applyFont="1" applyFill="1" applyBorder="1"/>
    <xf numFmtId="0" fontId="10" fillId="3" borderId="20" xfId="0" applyFont="1" applyFill="1" applyBorder="1" applyAlignment="1">
      <alignment horizontal="left"/>
    </xf>
    <xf numFmtId="0" fontId="10" fillId="3" borderId="5" xfId="0" applyFont="1" applyFill="1" applyBorder="1" applyAlignment="1">
      <alignment horizontal="right" indent="1"/>
    </xf>
    <xf numFmtId="0" fontId="10" fillId="3" borderId="0" xfId="0" applyFont="1" applyFill="1" applyAlignment="1">
      <alignment vertical="top"/>
    </xf>
    <xf numFmtId="0" fontId="10" fillId="3" borderId="0" xfId="0" applyFont="1" applyFill="1" applyAlignment="1">
      <alignment vertical="center"/>
    </xf>
    <xf numFmtId="0" fontId="10" fillId="3" borderId="20" xfId="0" applyFont="1" applyFill="1" applyBorder="1" applyAlignment="1">
      <alignment vertical="center"/>
    </xf>
    <xf numFmtId="0" fontId="10" fillId="3" borderId="5" xfId="0" applyFont="1" applyFill="1" applyBorder="1" applyAlignment="1">
      <alignment horizontal="right"/>
    </xf>
    <xf numFmtId="0" fontId="10" fillId="3" borderId="16" xfId="0" applyFont="1" applyFill="1" applyBorder="1"/>
    <xf numFmtId="0" fontId="9" fillId="3" borderId="16" xfId="0" applyFont="1" applyFill="1" applyBorder="1"/>
    <xf numFmtId="0" fontId="0" fillId="3" borderId="16" xfId="0" applyFill="1" applyBorder="1"/>
    <xf numFmtId="4" fontId="0" fillId="3" borderId="16" xfId="0" applyNumberFormat="1" applyFill="1" applyBorder="1"/>
    <xf numFmtId="0" fontId="10" fillId="3" borderId="16" xfId="0" applyFont="1" applyFill="1" applyBorder="1" applyAlignment="1">
      <alignment horizontal="right"/>
    </xf>
    <xf numFmtId="4" fontId="81" fillId="5" borderId="0" xfId="0" applyNumberFormat="1" applyFont="1" applyFill="1"/>
    <xf numFmtId="0" fontId="15" fillId="26" borderId="4" xfId="0" quotePrefix="1" applyFont="1" applyFill="1" applyBorder="1"/>
    <xf numFmtId="0" fontId="47" fillId="27" borderId="4" xfId="0" applyFont="1" applyFill="1" applyBorder="1"/>
    <xf numFmtId="166" fontId="15" fillId="26" borderId="4" xfId="0" applyNumberFormat="1" applyFont="1" applyFill="1" applyBorder="1"/>
    <xf numFmtId="0" fontId="47" fillId="3" borderId="0" xfId="0" applyFont="1" applyFill="1" applyAlignment="1">
      <alignment vertical="top"/>
    </xf>
    <xf numFmtId="0" fontId="84" fillId="3" borderId="0" xfId="0" applyFont="1" applyFill="1"/>
    <xf numFmtId="0" fontId="84" fillId="3" borderId="0" xfId="0" applyFont="1" applyFill="1" applyAlignment="1">
      <alignment vertical="top"/>
    </xf>
    <xf numFmtId="0" fontId="47" fillId="3" borderId="1" xfId="0" applyFont="1" applyFill="1" applyBorder="1" applyAlignment="1">
      <alignment vertical="top"/>
    </xf>
    <xf numFmtId="0" fontId="0" fillId="3" borderId="1" xfId="0" applyFill="1" applyBorder="1"/>
    <xf numFmtId="0" fontId="84" fillId="3" borderId="1" xfId="0" applyFont="1" applyFill="1" applyBorder="1"/>
    <xf numFmtId="0" fontId="47" fillId="3" borderId="1" xfId="0" applyFont="1" applyFill="1" applyBorder="1" applyAlignment="1">
      <alignment horizontal="right" vertical="top" indent="1"/>
    </xf>
    <xf numFmtId="0" fontId="4" fillId="26" borderId="12" xfId="0" applyFont="1" applyFill="1" applyBorder="1" applyAlignment="1">
      <alignment horizontal="center" vertical="center"/>
    </xf>
    <xf numFmtId="0" fontId="47" fillId="3" borderId="8" xfId="0" applyFont="1" applyFill="1" applyBorder="1" applyAlignment="1">
      <alignment vertical="center"/>
    </xf>
    <xf numFmtId="0" fontId="4" fillId="3" borderId="0" xfId="0" applyFont="1" applyFill="1" applyAlignment="1">
      <alignment vertical="top"/>
    </xf>
    <xf numFmtId="0" fontId="6" fillId="3" borderId="0" xfId="0" applyFont="1" applyFill="1" applyAlignment="1">
      <alignment vertical="top"/>
    </xf>
    <xf numFmtId="0" fontId="6" fillId="3" borderId="1" xfId="0" applyFont="1" applyFill="1" applyBorder="1" applyAlignment="1">
      <alignment horizontal="right" vertical="top" indent="2"/>
    </xf>
    <xf numFmtId="0" fontId="51" fillId="9" borderId="0" xfId="0" applyFont="1" applyFill="1" applyAlignment="1">
      <alignment horizontal="center" vertical="center"/>
    </xf>
    <xf numFmtId="0" fontId="11" fillId="3" borderId="0" xfId="0" applyFont="1" applyFill="1"/>
    <xf numFmtId="0" fontId="143" fillId="3" borderId="0" xfId="0" applyFont="1" applyFill="1" applyAlignment="1">
      <alignment horizontal="center"/>
    </xf>
    <xf numFmtId="0" fontId="4" fillId="3" borderId="24" xfId="0" applyFont="1" applyFill="1" applyBorder="1" applyAlignment="1">
      <alignment horizontal="right"/>
    </xf>
    <xf numFmtId="0" fontId="0" fillId="3" borderId="14" xfId="0" applyFill="1" applyBorder="1"/>
    <xf numFmtId="0" fontId="10" fillId="3" borderId="1" xfId="0" applyFont="1" applyFill="1" applyBorder="1" applyAlignment="1">
      <alignment horizontal="left" vertical="top"/>
    </xf>
    <xf numFmtId="0" fontId="10" fillId="3" borderId="1" xfId="0" applyFont="1" applyFill="1" applyBorder="1" applyAlignment="1">
      <alignment horizontal="center"/>
    </xf>
    <xf numFmtId="0" fontId="10" fillId="3" borderId="11" xfId="0" applyFont="1" applyFill="1" applyBorder="1"/>
    <xf numFmtId="0" fontId="10" fillId="3" borderId="9" xfId="0" applyFont="1" applyFill="1" applyBorder="1" applyAlignment="1">
      <alignment vertical="top"/>
    </xf>
    <xf numFmtId="0" fontId="10" fillId="3" borderId="1" xfId="0" applyFont="1" applyFill="1" applyBorder="1"/>
    <xf numFmtId="49" fontId="6" fillId="14" borderId="30" xfId="0" applyNumberFormat="1" applyFont="1" applyFill="1" applyBorder="1" applyAlignment="1">
      <alignment vertical="center" wrapText="1"/>
    </xf>
    <xf numFmtId="49" fontId="6" fillId="15" borderId="8" xfId="0" applyNumberFormat="1" applyFont="1" applyFill="1" applyBorder="1" applyAlignment="1">
      <alignment vertical="center" wrapText="1"/>
    </xf>
    <xf numFmtId="49" fontId="6" fillId="15" borderId="14" xfId="0" applyNumberFormat="1" applyFont="1" applyFill="1" applyBorder="1" applyAlignment="1">
      <alignment vertical="center" wrapText="1"/>
    </xf>
    <xf numFmtId="49" fontId="6" fillId="15" borderId="11" xfId="0" applyNumberFormat="1" applyFont="1" applyFill="1" applyBorder="1" applyAlignment="1">
      <alignment vertical="center" wrapText="1"/>
    </xf>
    <xf numFmtId="0" fontId="34" fillId="0" borderId="0" xfId="0" applyFont="1" applyAlignment="1">
      <alignment vertical="center"/>
    </xf>
    <xf numFmtId="0" fontId="4" fillId="3" borderId="20" xfId="0" applyFont="1" applyFill="1" applyBorder="1" applyAlignment="1">
      <alignment horizontal="left"/>
    </xf>
    <xf numFmtId="0" fontId="80" fillId="3" borderId="0" xfId="0" applyFont="1" applyFill="1"/>
    <xf numFmtId="0" fontId="57" fillId="3" borderId="0" xfId="0" applyFont="1" applyFill="1" applyAlignment="1">
      <alignment horizontal="center"/>
    </xf>
    <xf numFmtId="0" fontId="57" fillId="3" borderId="0" xfId="0" applyFont="1" applyFill="1" applyAlignment="1">
      <alignment horizontal="right"/>
    </xf>
    <xf numFmtId="0" fontId="6" fillId="3" borderId="0" xfId="0" applyFont="1" applyFill="1"/>
    <xf numFmtId="0" fontId="0" fillId="3" borderId="72" xfId="0" applyFill="1" applyBorder="1"/>
    <xf numFmtId="0" fontId="0" fillId="3" borderId="13" xfId="0" applyFill="1" applyBorder="1"/>
    <xf numFmtId="0" fontId="0" fillId="3" borderId="33" xfId="0" applyFill="1" applyBorder="1"/>
    <xf numFmtId="0" fontId="57" fillId="3" borderId="0" xfId="0" applyFont="1" applyFill="1"/>
    <xf numFmtId="0" fontId="125" fillId="10" borderId="0" xfId="0" applyFont="1" applyFill="1" applyAlignment="1">
      <alignment horizontal="center"/>
    </xf>
    <xf numFmtId="0" fontId="143" fillId="0" borderId="0" xfId="0" applyFont="1" applyAlignment="1">
      <alignment vertical="center"/>
    </xf>
    <xf numFmtId="0" fontId="15" fillId="3" borderId="0" xfId="0" applyFont="1" applyFill="1" applyAlignment="1">
      <alignment horizontal="left"/>
    </xf>
    <xf numFmtId="0" fontId="14" fillId="3" borderId="0" xfId="0" applyFont="1" applyFill="1"/>
    <xf numFmtId="37" fontId="0" fillId="15" borderId="1" xfId="0" applyNumberFormat="1" applyFill="1" applyBorder="1"/>
    <xf numFmtId="0" fontId="47" fillId="3" borderId="0" xfId="0" applyFont="1" applyFill="1" applyAlignment="1">
      <alignment horizontal="left"/>
    </xf>
    <xf numFmtId="0" fontId="47" fillId="3" borderId="1" xfId="0" applyFont="1" applyFill="1" applyBorder="1" applyAlignment="1">
      <alignment horizontal="left" vertical="center"/>
    </xf>
    <xf numFmtId="0" fontId="75" fillId="9" borderId="0" xfId="0" applyFont="1" applyFill="1" applyAlignment="1">
      <alignment horizontal="center" vertical="center"/>
    </xf>
    <xf numFmtId="0" fontId="4" fillId="3" borderId="25" xfId="0" applyFont="1" applyFill="1" applyBorder="1"/>
    <xf numFmtId="0" fontId="0" fillId="3" borderId="25" xfId="0" applyFill="1" applyBorder="1"/>
    <xf numFmtId="0" fontId="173" fillId="3" borderId="25" xfId="0" applyFont="1" applyFill="1" applyBorder="1" applyAlignment="1">
      <alignment vertical="center"/>
    </xf>
    <xf numFmtId="0" fontId="6" fillId="0" borderId="0" xfId="0" quotePrefix="1" applyFont="1"/>
    <xf numFmtId="0" fontId="15" fillId="3" borderId="1" xfId="0" applyFont="1" applyFill="1" applyBorder="1" applyAlignment="1">
      <alignment horizontal="right" indent="1"/>
    </xf>
    <xf numFmtId="0" fontId="4" fillId="3" borderId="11" xfId="0" applyFont="1" applyFill="1" applyBorder="1" applyAlignment="1">
      <alignment horizontal="right"/>
    </xf>
    <xf numFmtId="0" fontId="10" fillId="3" borderId="0" xfId="0" applyFont="1" applyFill="1" applyAlignment="1">
      <alignment horizontal="center"/>
    </xf>
    <xf numFmtId="0" fontId="10" fillId="3" borderId="0" xfId="0" applyFont="1" applyFill="1" applyAlignment="1">
      <alignment horizontal="center" vertical="center"/>
    </xf>
    <xf numFmtId="0" fontId="10" fillId="3" borderId="1" xfId="0" applyFont="1" applyFill="1" applyBorder="1" applyAlignment="1">
      <alignment horizontal="right"/>
    </xf>
    <xf numFmtId="0" fontId="0" fillId="0" borderId="9" xfId="0" applyBorder="1"/>
    <xf numFmtId="0" fontId="6" fillId="0" borderId="0" xfId="0" applyFont="1" applyAlignment="1">
      <alignment horizontal="center" wrapText="1"/>
    </xf>
    <xf numFmtId="0" fontId="266" fillId="5" borderId="0" xfId="0" quotePrefix="1" applyFont="1" applyFill="1" applyAlignment="1">
      <alignment horizontal="left"/>
    </xf>
    <xf numFmtId="0" fontId="15" fillId="3" borderId="0" xfId="0" applyFont="1" applyFill="1" applyAlignment="1">
      <alignment horizontal="right" indent="1"/>
    </xf>
    <xf numFmtId="0" fontId="81" fillId="7" borderId="6" xfId="0" applyFont="1" applyFill="1" applyBorder="1"/>
    <xf numFmtId="0" fontId="47" fillId="3" borderId="0" xfId="0" applyFont="1" applyFill="1" applyAlignment="1">
      <alignment horizontal="right" indent="1"/>
    </xf>
    <xf numFmtId="0" fontId="4" fillId="3" borderId="24" xfId="0" applyFont="1" applyFill="1" applyBorder="1" applyAlignment="1">
      <alignment horizontal="right" vertical="top"/>
    </xf>
    <xf numFmtId="0" fontId="15" fillId="3" borderId="9" xfId="0" applyFont="1" applyFill="1" applyBorder="1" applyAlignment="1">
      <alignment horizontal="center"/>
    </xf>
    <xf numFmtId="0" fontId="47" fillId="3" borderId="3" xfId="0" applyFont="1" applyFill="1" applyBorder="1"/>
    <xf numFmtId="4" fontId="6" fillId="3" borderId="3" xfId="0" applyNumberFormat="1" applyFont="1" applyFill="1" applyBorder="1"/>
    <xf numFmtId="4" fontId="6" fillId="3" borderId="0" xfId="0" applyNumberFormat="1" applyFont="1" applyFill="1"/>
    <xf numFmtId="0" fontId="8" fillId="3" borderId="0" xfId="0" applyFont="1" applyFill="1" applyAlignment="1">
      <alignment vertical="top"/>
    </xf>
    <xf numFmtId="0" fontId="6" fillId="3" borderId="0" xfId="0" applyFont="1" applyFill="1" applyAlignment="1">
      <alignment vertical="center"/>
    </xf>
    <xf numFmtId="0" fontId="8" fillId="3" borderId="0" xfId="0" applyFont="1" applyFill="1"/>
    <xf numFmtId="0" fontId="0" fillId="7" borderId="6" xfId="0" applyFill="1" applyBorder="1"/>
    <xf numFmtId="4" fontId="0" fillId="3" borderId="3" xfId="0" applyNumberFormat="1" applyFill="1" applyBorder="1"/>
    <xf numFmtId="37" fontId="110" fillId="3" borderId="3" xfId="0" applyNumberFormat="1" applyFont="1" applyFill="1" applyBorder="1" applyAlignment="1">
      <alignment horizontal="right"/>
    </xf>
    <xf numFmtId="37" fontId="110" fillId="3" borderId="0" xfId="0" applyNumberFormat="1" applyFont="1" applyFill="1" applyAlignment="1">
      <alignment horizontal="right"/>
    </xf>
    <xf numFmtId="0" fontId="4" fillId="3" borderId="0" xfId="0" applyFont="1" applyFill="1" applyAlignment="1">
      <alignment horizontal="right" indent="1"/>
    </xf>
    <xf numFmtId="37" fontId="0" fillId="15" borderId="8" xfId="0" applyNumberFormat="1" applyFill="1" applyBorder="1"/>
    <xf numFmtId="0" fontId="6" fillId="3" borderId="0" xfId="0" quotePrefix="1" applyFont="1" applyFill="1" applyAlignment="1">
      <alignment horizontal="center"/>
    </xf>
    <xf numFmtId="3" fontId="0" fillId="3" borderId="0" xfId="0" applyNumberFormat="1" applyFill="1" applyAlignment="1">
      <alignment horizontal="left"/>
    </xf>
    <xf numFmtId="201" fontId="0" fillId="3" borderId="20" xfId="0" applyNumberFormat="1" applyFill="1" applyBorder="1" applyAlignment="1">
      <alignment horizontal="center"/>
    </xf>
    <xf numFmtId="3" fontId="0" fillId="3" borderId="8" xfId="0" applyNumberFormat="1" applyFill="1" applyBorder="1"/>
    <xf numFmtId="0" fontId="6" fillId="3" borderId="8" xfId="0" quotePrefix="1" applyFont="1" applyFill="1" applyBorder="1" applyAlignment="1">
      <alignment horizontal="center"/>
    </xf>
    <xf numFmtId="3" fontId="0" fillId="3" borderId="8" xfId="0" applyNumberFormat="1" applyFill="1" applyBorder="1" applyAlignment="1">
      <alignment horizontal="left"/>
    </xf>
    <xf numFmtId="201" fontId="0" fillId="3" borderId="88" xfId="0" applyNumberFormat="1" applyFill="1" applyBorder="1" applyAlignment="1">
      <alignment horizontal="center"/>
    </xf>
    <xf numFmtId="201" fontId="0" fillId="3" borderId="8" xfId="0" applyNumberFormat="1" applyFill="1" applyBorder="1" applyAlignment="1">
      <alignment horizontal="center"/>
    </xf>
    <xf numFmtId="0" fontId="0" fillId="3" borderId="8" xfId="0" applyFill="1" applyBorder="1"/>
    <xf numFmtId="3" fontId="0" fillId="3" borderId="0" xfId="0" applyNumberFormat="1" applyFill="1"/>
    <xf numFmtId="201" fontId="0" fillId="3" borderId="0" xfId="0" applyNumberFormat="1" applyFill="1" applyAlignment="1">
      <alignment horizontal="center"/>
    </xf>
    <xf numFmtId="4" fontId="4" fillId="3" borderId="3" xfId="0" quotePrefix="1" applyNumberFormat="1" applyFont="1" applyFill="1" applyBorder="1" applyAlignment="1">
      <alignment horizontal="right"/>
    </xf>
    <xf numFmtId="199" fontId="6" fillId="26" borderId="1" xfId="0" applyNumberFormat="1" applyFont="1" applyFill="1" applyBorder="1"/>
    <xf numFmtId="199" fontId="112" fillId="0" borderId="0" xfId="0" applyNumberFormat="1" applyFont="1"/>
    <xf numFmtId="37" fontId="10" fillId="0" borderId="0" xfId="0" applyNumberFormat="1" applyFont="1"/>
    <xf numFmtId="0" fontId="6" fillId="3" borderId="1" xfId="0" quotePrefix="1" applyFont="1" applyFill="1" applyBorder="1" applyAlignment="1">
      <alignment horizontal="center"/>
    </xf>
    <xf numFmtId="3" fontId="0" fillId="3" borderId="1" xfId="0" applyNumberFormat="1" applyFill="1" applyBorder="1" applyAlignment="1">
      <alignment horizontal="left"/>
    </xf>
    <xf numFmtId="201" fontId="0" fillId="3" borderId="29" xfId="0" applyNumberFormat="1" applyFill="1" applyBorder="1" applyAlignment="1">
      <alignment horizontal="center"/>
    </xf>
    <xf numFmtId="3" fontId="0" fillId="3" borderId="1" xfId="0" applyNumberFormat="1" applyFill="1" applyBorder="1"/>
    <xf numFmtId="201" fontId="0" fillId="3" borderId="1" xfId="0" applyNumberFormat="1" applyFill="1" applyBorder="1" applyAlignment="1">
      <alignment horizontal="center"/>
    </xf>
    <xf numFmtId="0" fontId="15" fillId="3" borderId="0" xfId="0" applyFont="1" applyFill="1" applyAlignment="1">
      <alignment horizontal="center"/>
    </xf>
    <xf numFmtId="0" fontId="0" fillId="14" borderId="6" xfId="0" applyFill="1" applyBorder="1"/>
    <xf numFmtId="4" fontId="22" fillId="3" borderId="3" xfId="0" applyNumberFormat="1" applyFont="1" applyFill="1" applyBorder="1"/>
    <xf numFmtId="4" fontId="22" fillId="3" borderId="0" xfId="0" applyNumberFormat="1" applyFont="1" applyFill="1"/>
    <xf numFmtId="0" fontId="110" fillId="0" borderId="0" xfId="0" applyFont="1" applyAlignment="1">
      <alignment horizontal="left" vertical="top"/>
    </xf>
    <xf numFmtId="0" fontId="15" fillId="3" borderId="10" xfId="0" applyFont="1" applyFill="1" applyBorder="1" applyAlignment="1">
      <alignment horizontal="center"/>
    </xf>
    <xf numFmtId="4" fontId="121" fillId="3" borderId="3" xfId="0" applyNumberFormat="1" applyFont="1" applyFill="1" applyBorder="1" applyAlignment="1">
      <alignment wrapText="1"/>
    </xf>
    <xf numFmtId="4" fontId="121" fillId="3" borderId="0" xfId="0" applyNumberFormat="1" applyFont="1" applyFill="1" applyAlignment="1">
      <alignment wrapText="1"/>
    </xf>
    <xf numFmtId="0" fontId="15" fillId="3" borderId="0" xfId="0" applyFont="1" applyFill="1" applyAlignment="1">
      <alignment vertical="top"/>
    </xf>
    <xf numFmtId="0" fontId="0" fillId="3" borderId="24" xfId="0" applyFill="1" applyBorder="1"/>
    <xf numFmtId="0" fontId="0" fillId="3" borderId="3" xfId="0" applyFill="1" applyBorder="1"/>
    <xf numFmtId="4" fontId="110" fillId="3" borderId="3" xfId="0" applyNumberFormat="1" applyFont="1" applyFill="1" applyBorder="1"/>
    <xf numFmtId="4" fontId="110" fillId="3" borderId="0" xfId="0" applyNumberFormat="1" applyFont="1" applyFill="1"/>
    <xf numFmtId="0" fontId="4" fillId="3" borderId="4" xfId="0" applyFont="1" applyFill="1" applyBorder="1" applyAlignment="1">
      <alignment horizontal="center"/>
    </xf>
    <xf numFmtId="0" fontId="47" fillId="3" borderId="4" xfId="0" applyFont="1" applyFill="1" applyBorder="1" applyAlignment="1">
      <alignment vertical="top"/>
    </xf>
    <xf numFmtId="0" fontId="8" fillId="3" borderId="4" xfId="0" applyFont="1" applyFill="1" applyBorder="1"/>
    <xf numFmtId="0" fontId="0" fillId="3" borderId="4" xfId="0" applyFill="1" applyBorder="1"/>
    <xf numFmtId="4" fontId="4" fillId="3" borderId="0" xfId="0" applyNumberFormat="1" applyFont="1" applyFill="1" applyAlignment="1">
      <alignment horizontal="right" vertical="top"/>
    </xf>
    <xf numFmtId="0" fontId="15" fillId="3" borderId="69" xfId="0" applyFont="1" applyFill="1" applyBorder="1" applyAlignment="1">
      <alignment horizontal="center" vertical="top"/>
    </xf>
    <xf numFmtId="0" fontId="15" fillId="3" borderId="7" xfId="0" applyFont="1" applyFill="1" applyBorder="1" applyAlignment="1">
      <alignment vertical="center"/>
    </xf>
    <xf numFmtId="0" fontId="0" fillId="3" borderId="7" xfId="0" applyFill="1" applyBorder="1" applyAlignment="1">
      <alignment vertical="center"/>
    </xf>
    <xf numFmtId="0" fontId="10" fillId="3" borderId="7" xfId="0" applyFont="1" applyFill="1" applyBorder="1" applyAlignment="1">
      <alignment vertical="center"/>
    </xf>
    <xf numFmtId="0" fontId="4" fillId="3" borderId="0" xfId="0" applyFont="1" applyFill="1" applyAlignment="1">
      <alignment horizontal="right" vertical="center"/>
    </xf>
    <xf numFmtId="0" fontId="81" fillId="5" borderId="0" xfId="0" applyFont="1" applyFill="1" applyAlignment="1">
      <alignment vertical="center"/>
    </xf>
    <xf numFmtId="0" fontId="6" fillId="3" borderId="4" xfId="0" applyFont="1" applyFill="1" applyBorder="1" applyAlignment="1">
      <alignment horizontal="right"/>
    </xf>
    <xf numFmtId="0" fontId="225" fillId="9" borderId="1" xfId="0" applyFont="1" applyFill="1" applyBorder="1" applyAlignment="1">
      <alignment horizontal="center" vertical="center"/>
    </xf>
    <xf numFmtId="0" fontId="11" fillId="3" borderId="1" xfId="0" applyFont="1" applyFill="1" applyBorder="1" applyAlignment="1">
      <alignment vertical="center"/>
    </xf>
    <xf numFmtId="0" fontId="0" fillId="3" borderId="1" xfId="0" applyFill="1" applyBorder="1" applyAlignment="1">
      <alignment vertical="center"/>
    </xf>
    <xf numFmtId="0" fontId="0" fillId="3" borderId="27" xfId="0" applyFill="1" applyBorder="1" applyAlignment="1">
      <alignment vertical="center"/>
    </xf>
    <xf numFmtId="0" fontId="47" fillId="3" borderId="0" xfId="0" applyFont="1" applyFill="1" applyAlignment="1">
      <alignment horizontal="right"/>
    </xf>
    <xf numFmtId="4" fontId="0" fillId="3" borderId="30" xfId="0" applyNumberFormat="1" applyFill="1" applyBorder="1"/>
    <xf numFmtId="0" fontId="0" fillId="3" borderId="0" xfId="0" applyFill="1" applyAlignment="1">
      <alignment horizontal="right" indent="1"/>
    </xf>
    <xf numFmtId="0" fontId="47" fillId="3" borderId="0" xfId="0" applyFont="1" applyFill="1" applyAlignment="1">
      <alignment vertical="center"/>
    </xf>
    <xf numFmtId="0" fontId="6" fillId="0" borderId="0" xfId="0" applyFont="1" applyAlignment="1">
      <alignment horizontal="left" vertical="top"/>
    </xf>
    <xf numFmtId="0" fontId="4" fillId="14" borderId="30" xfId="0" applyFont="1" applyFill="1" applyBorder="1" applyAlignment="1">
      <alignment horizontal="center"/>
    </xf>
    <xf numFmtId="37" fontId="6" fillId="14" borderId="30" xfId="0" applyNumberFormat="1" applyFont="1" applyFill="1" applyBorder="1" applyAlignment="1">
      <alignment horizontal="right"/>
    </xf>
    <xf numFmtId="37" fontId="6" fillId="14" borderId="8" xfId="0" applyNumberFormat="1" applyFont="1" applyFill="1" applyBorder="1" applyAlignment="1">
      <alignment horizontal="right"/>
    </xf>
    <xf numFmtId="0" fontId="4" fillId="3" borderId="9" xfId="0" quotePrefix="1" applyFont="1" applyFill="1" applyBorder="1" applyAlignment="1">
      <alignment horizontal="center"/>
    </xf>
    <xf numFmtId="0" fontId="12" fillId="10" borderId="0" xfId="0" applyFont="1" applyFill="1" applyAlignment="1">
      <alignment horizontal="center" vertical="top"/>
    </xf>
    <xf numFmtId="0" fontId="4" fillId="3" borderId="9" xfId="0" applyFont="1" applyFill="1" applyBorder="1" applyAlignment="1">
      <alignment horizontal="center"/>
    </xf>
    <xf numFmtId="0" fontId="15" fillId="3" borderId="0" xfId="0" applyFont="1" applyFill="1" applyAlignment="1">
      <alignment horizontal="right" vertical="center" indent="1"/>
    </xf>
    <xf numFmtId="0" fontId="4" fillId="0" borderId="0" xfId="0" applyFont="1" applyAlignment="1">
      <alignment horizontal="right" vertical="top"/>
    </xf>
    <xf numFmtId="37" fontId="0" fillId="0" borderId="2" xfId="0" applyNumberFormat="1" applyBorder="1"/>
    <xf numFmtId="0" fontId="6" fillId="0" borderId="0" xfId="0" applyFont="1" applyAlignment="1">
      <alignment horizontal="right" vertical="top"/>
    </xf>
    <xf numFmtId="0" fontId="47" fillId="3" borderId="0" xfId="0" applyFont="1" applyFill="1" applyAlignment="1">
      <alignment horizontal="right" vertical="center"/>
    </xf>
    <xf numFmtId="0" fontId="0" fillId="3" borderId="0" xfId="0" applyFill="1" applyAlignment="1">
      <alignment vertical="center"/>
    </xf>
    <xf numFmtId="0" fontId="4" fillId="3" borderId="0" xfId="0" applyFont="1" applyFill="1" applyAlignment="1">
      <alignment vertical="center"/>
    </xf>
    <xf numFmtId="0" fontId="4" fillId="7" borderId="6" xfId="0" applyFont="1" applyFill="1" applyBorder="1" applyAlignment="1">
      <alignment horizontal="right"/>
    </xf>
    <xf numFmtId="0" fontId="0" fillId="7" borderId="6" xfId="0" applyFill="1" applyBorder="1" applyAlignment="1">
      <alignment horizontal="center"/>
    </xf>
    <xf numFmtId="3" fontId="110" fillId="3" borderId="30" xfId="0" applyNumberFormat="1" applyFont="1" applyFill="1" applyBorder="1"/>
    <xf numFmtId="3" fontId="110" fillId="3" borderId="8" xfId="0" applyNumberFormat="1" applyFont="1" applyFill="1" applyBorder="1"/>
    <xf numFmtId="3" fontId="110" fillId="3" borderId="14" xfId="0" applyNumberFormat="1" applyFont="1" applyFill="1" applyBorder="1"/>
    <xf numFmtId="0" fontId="226" fillId="3" borderId="0" xfId="0" applyFont="1" applyFill="1"/>
    <xf numFmtId="0" fontId="36" fillId="3" borderId="0" xfId="0" applyFont="1" applyFill="1" applyAlignment="1">
      <alignment vertical="top"/>
    </xf>
    <xf numFmtId="0" fontId="36" fillId="3" borderId="0" xfId="0" applyFont="1" applyFill="1" applyAlignment="1">
      <alignment vertical="center"/>
    </xf>
    <xf numFmtId="0" fontId="0" fillId="7" borderId="6" xfId="0" applyFill="1" applyBorder="1" applyAlignment="1">
      <alignment horizontal="center" vertical="center"/>
    </xf>
    <xf numFmtId="4" fontId="6" fillId="3" borderId="0" xfId="0" applyNumberFormat="1" applyFont="1" applyFill="1" applyAlignment="1">
      <alignment vertical="center"/>
    </xf>
    <xf numFmtId="4" fontId="6" fillId="3" borderId="24" xfId="0" applyNumberFormat="1" applyFont="1" applyFill="1" applyBorder="1" applyAlignment="1">
      <alignment vertical="center"/>
    </xf>
    <xf numFmtId="0" fontId="0" fillId="7" borderId="6" xfId="0" applyFill="1" applyBorder="1" applyAlignment="1">
      <alignment vertical="center"/>
    </xf>
    <xf numFmtId="0" fontId="125" fillId="10" borderId="0" xfId="0" applyFont="1" applyFill="1" applyAlignment="1">
      <alignment horizontal="center" vertical="center"/>
    </xf>
    <xf numFmtId="4" fontId="6" fillId="3" borderId="24" xfId="0" applyNumberFormat="1" applyFont="1" applyFill="1" applyBorder="1"/>
    <xf numFmtId="0" fontId="36" fillId="3" borderId="0" xfId="0" applyFont="1" applyFill="1"/>
    <xf numFmtId="3" fontId="22" fillId="3" borderId="0" xfId="0" applyNumberFormat="1" applyFont="1" applyFill="1"/>
    <xf numFmtId="3" fontId="22" fillId="3" borderId="24" xfId="0" applyNumberFormat="1" applyFont="1" applyFill="1" applyBorder="1"/>
    <xf numFmtId="0" fontId="4" fillId="3" borderId="24" xfId="0" applyFont="1" applyFill="1" applyBorder="1" applyAlignment="1">
      <alignment horizontal="center"/>
    </xf>
    <xf numFmtId="0" fontId="106" fillId="10" borderId="0" xfId="0" applyFont="1" applyFill="1" applyAlignment="1">
      <alignment horizontal="center"/>
    </xf>
    <xf numFmtId="0" fontId="4" fillId="26" borderId="2" xfId="0" applyFont="1" applyFill="1" applyBorder="1" applyAlignment="1">
      <alignment horizontal="center" vertical="center"/>
    </xf>
    <xf numFmtId="0" fontId="14" fillId="3" borderId="0" xfId="0" applyFont="1" applyFill="1" applyAlignment="1">
      <alignment vertical="center"/>
    </xf>
    <xf numFmtId="0" fontId="121" fillId="3" borderId="0" xfId="0" applyFont="1" applyFill="1" applyAlignment="1">
      <alignment vertical="center"/>
    </xf>
    <xf numFmtId="3" fontId="121" fillId="3" borderId="3" xfId="0" applyNumberFormat="1" applyFont="1" applyFill="1" applyBorder="1" applyAlignment="1">
      <alignment horizontal="center"/>
    </xf>
    <xf numFmtId="3" fontId="121" fillId="3" borderId="0" xfId="0" applyNumberFormat="1" applyFont="1" applyFill="1" applyAlignment="1">
      <alignment horizontal="center"/>
    </xf>
    <xf numFmtId="0" fontId="0" fillId="7" borderId="3" xfId="0" applyFill="1" applyBorder="1"/>
    <xf numFmtId="37" fontId="122" fillId="10" borderId="0" xfId="0" applyNumberFormat="1" applyFont="1" applyFill="1" applyAlignment="1">
      <alignment horizontal="right"/>
    </xf>
    <xf numFmtId="3" fontId="6" fillId="3" borderId="3" xfId="0" applyNumberFormat="1" applyFont="1" applyFill="1" applyBorder="1"/>
    <xf numFmtId="3" fontId="6" fillId="3" borderId="0" xfId="0" applyNumberFormat="1" applyFont="1" applyFill="1"/>
    <xf numFmtId="0" fontId="8" fillId="14" borderId="3" xfId="0" applyFont="1" applyFill="1" applyBorder="1" applyAlignment="1">
      <alignment horizontal="center"/>
    </xf>
    <xf numFmtId="0" fontId="8" fillId="14" borderId="0" xfId="0" applyFont="1" applyFill="1" applyAlignment="1">
      <alignment horizontal="center"/>
    </xf>
    <xf numFmtId="0" fontId="8" fillId="14" borderId="24" xfId="0" applyFont="1" applyFill="1" applyBorder="1" applyAlignment="1">
      <alignment horizontal="center"/>
    </xf>
    <xf numFmtId="0" fontId="8" fillId="14" borderId="6" xfId="0" applyFont="1" applyFill="1" applyBorder="1" applyAlignment="1">
      <alignment horizontal="center"/>
    </xf>
    <xf numFmtId="0" fontId="0" fillId="3" borderId="1" xfId="0" applyFill="1" applyBorder="1" applyAlignment="1">
      <alignment horizontal="center"/>
    </xf>
    <xf numFmtId="0" fontId="14" fillId="3" borderId="0" xfId="0" applyFont="1" applyFill="1" applyAlignment="1">
      <alignment horizontal="center"/>
    </xf>
    <xf numFmtId="0" fontId="0" fillId="14" borderId="6" xfId="0" applyFill="1" applyBorder="1" applyAlignment="1">
      <alignment horizontal="center"/>
    </xf>
    <xf numFmtId="0" fontId="15" fillId="3" borderId="0" xfId="0" applyFont="1" applyFill="1" applyAlignment="1">
      <alignment vertical="center"/>
    </xf>
    <xf numFmtId="0" fontId="0" fillId="14" borderId="3" xfId="0" applyFill="1" applyBorder="1" applyAlignment="1">
      <alignment horizontal="center"/>
    </xf>
    <xf numFmtId="0" fontId="0" fillId="14" borderId="0" xfId="0" applyFill="1" applyAlignment="1">
      <alignment horizontal="center"/>
    </xf>
    <xf numFmtId="0" fontId="0" fillId="14" borderId="24" xfId="0" applyFill="1" applyBorder="1" applyAlignment="1">
      <alignment horizontal="center"/>
    </xf>
    <xf numFmtId="0" fontId="6" fillId="3" borderId="4" xfId="0" applyFont="1" applyFill="1" applyBorder="1" applyAlignment="1">
      <alignment horizontal="right" indent="1"/>
    </xf>
    <xf numFmtId="0" fontId="4" fillId="3" borderId="4" xfId="0" applyFont="1" applyFill="1" applyBorder="1" applyAlignment="1">
      <alignment horizontal="right"/>
    </xf>
    <xf numFmtId="0" fontId="4" fillId="3" borderId="28" xfId="0" applyFont="1" applyFill="1" applyBorder="1" applyAlignment="1">
      <alignment horizontal="center"/>
    </xf>
    <xf numFmtId="0" fontId="4" fillId="3" borderId="4" xfId="0" applyFont="1" applyFill="1" applyBorder="1" applyAlignment="1">
      <alignment horizontal="right" vertical="center"/>
    </xf>
    <xf numFmtId="0" fontId="4" fillId="3" borderId="7" xfId="0" applyFont="1" applyFill="1" applyBorder="1"/>
    <xf numFmtId="0" fontId="0" fillId="3" borderId="7" xfId="0" applyFill="1" applyBorder="1"/>
    <xf numFmtId="0" fontId="15" fillId="3" borderId="0" xfId="0" applyFont="1" applyFill="1" applyAlignment="1">
      <alignment horizontal="right"/>
    </xf>
    <xf numFmtId="0" fontId="0" fillId="3" borderId="19" xfId="0" applyFill="1" applyBorder="1"/>
    <xf numFmtId="0" fontId="10" fillId="3" borderId="21" xfId="0" applyFont="1" applyFill="1" applyBorder="1" applyAlignment="1">
      <alignment horizontal="center" vertical="center"/>
    </xf>
    <xf numFmtId="0" fontId="0" fillId="3" borderId="22" xfId="0" applyFill="1" applyBorder="1" applyAlignment="1">
      <alignment vertical="center"/>
    </xf>
    <xf numFmtId="0" fontId="21" fillId="3" borderId="0" xfId="0" applyFont="1" applyFill="1" applyAlignment="1">
      <alignment horizontal="left" vertical="center"/>
    </xf>
    <xf numFmtId="0" fontId="21" fillId="3" borderId="0" xfId="0" applyFont="1" applyFill="1" applyAlignment="1">
      <alignment horizontal="center" vertical="center"/>
    </xf>
    <xf numFmtId="0" fontId="10" fillId="3" borderId="8" xfId="0" applyFont="1" applyFill="1" applyBorder="1"/>
    <xf numFmtId="0" fontId="9" fillId="3" borderId="8" xfId="0" applyFont="1" applyFill="1" applyBorder="1"/>
    <xf numFmtId="4" fontId="0" fillId="3" borderId="8" xfId="0" applyNumberFormat="1" applyFill="1" applyBorder="1"/>
    <xf numFmtId="0" fontId="10" fillId="3" borderId="8" xfId="0" applyFont="1" applyFill="1" applyBorder="1" applyAlignment="1">
      <alignment horizontal="right"/>
    </xf>
    <xf numFmtId="4" fontId="12" fillId="3" borderId="30" xfId="0" applyNumberFormat="1" applyFont="1" applyFill="1" applyBorder="1"/>
    <xf numFmtId="4" fontId="12" fillId="3" borderId="8" xfId="0" applyNumberFormat="1" applyFont="1" applyFill="1" applyBorder="1"/>
    <xf numFmtId="0" fontId="9" fillId="28" borderId="1" xfId="0" applyFont="1" applyFill="1" applyBorder="1"/>
    <xf numFmtId="0" fontId="0" fillId="28" borderId="1" xfId="0" applyFill="1" applyBorder="1"/>
    <xf numFmtId="4" fontId="0" fillId="28" borderId="1" xfId="0" applyNumberFormat="1" applyFill="1" applyBorder="1"/>
    <xf numFmtId="39" fontId="6" fillId="28" borderId="1" xfId="0" applyNumberFormat="1" applyFont="1" applyFill="1" applyBorder="1"/>
    <xf numFmtId="0" fontId="15" fillId="3" borderId="25" xfId="0" applyFont="1" applyFill="1" applyBorder="1" applyAlignment="1">
      <alignment vertical="center"/>
    </xf>
    <xf numFmtId="0" fontId="0" fillId="7" borderId="0" xfId="0" applyFill="1"/>
    <xf numFmtId="0" fontId="0" fillId="14" borderId="0" xfId="0" applyFill="1"/>
    <xf numFmtId="0" fontId="15" fillId="14" borderId="0" xfId="0" applyFont="1" applyFill="1"/>
    <xf numFmtId="0" fontId="4" fillId="14" borderId="0" xfId="0" applyFont="1" applyFill="1"/>
    <xf numFmtId="0" fontId="6" fillId="14" borderId="0" xfId="0" applyFont="1" applyFill="1"/>
    <xf numFmtId="0" fontId="5" fillId="14" borderId="0" xfId="0" applyFont="1" applyFill="1"/>
    <xf numFmtId="0" fontId="6" fillId="14" borderId="0" xfId="0" quotePrefix="1" applyFont="1" applyFill="1" applyAlignment="1">
      <alignment horizontal="right"/>
    </xf>
    <xf numFmtId="0" fontId="0" fillId="14" borderId="0" xfId="0" applyFill="1" applyAlignment="1">
      <alignment horizontal="right"/>
    </xf>
    <xf numFmtId="0" fontId="6" fillId="15" borderId="30" xfId="0" applyFont="1" applyFill="1" applyBorder="1" applyAlignment="1">
      <alignment horizontal="left"/>
    </xf>
    <xf numFmtId="0" fontId="6" fillId="15" borderId="8" xfId="0" applyFont="1" applyFill="1" applyBorder="1" applyAlignment="1">
      <alignment horizontal="left"/>
    </xf>
    <xf numFmtId="0" fontId="6" fillId="15" borderId="14" xfId="0" applyFont="1" applyFill="1" applyBorder="1" applyAlignment="1">
      <alignment horizontal="left"/>
    </xf>
    <xf numFmtId="0" fontId="47" fillId="15" borderId="3" xfId="0" applyFont="1" applyFill="1" applyBorder="1" applyAlignment="1">
      <alignment horizontal="left"/>
    </xf>
    <xf numFmtId="0" fontId="15" fillId="15" borderId="0" xfId="0" applyFont="1" applyFill="1" applyAlignment="1">
      <alignment horizontal="left"/>
    </xf>
    <xf numFmtId="0" fontId="6" fillId="15" borderId="24" xfId="0" applyFont="1" applyFill="1" applyBorder="1" applyAlignment="1">
      <alignment horizontal="left"/>
    </xf>
    <xf numFmtId="0" fontId="6" fillId="15" borderId="3" xfId="0" applyFont="1" applyFill="1" applyBorder="1" applyAlignment="1">
      <alignment horizontal="left"/>
    </xf>
    <xf numFmtId="0" fontId="56" fillId="15" borderId="0" xfId="0" applyFont="1" applyFill="1" applyAlignment="1">
      <alignment horizontal="right"/>
    </xf>
    <xf numFmtId="0" fontId="5" fillId="15" borderId="0" xfId="0" applyFont="1" applyFill="1" applyAlignment="1">
      <alignment horizontal="right"/>
    </xf>
    <xf numFmtId="0" fontId="5" fillId="15" borderId="0" xfId="0" applyFont="1" applyFill="1" applyAlignment="1">
      <alignment horizontal="left"/>
    </xf>
    <xf numFmtId="0" fontId="6" fillId="15" borderId="3" xfId="0" quotePrefix="1" applyFont="1" applyFill="1" applyBorder="1" applyAlignment="1">
      <alignment horizontal="right"/>
    </xf>
    <xf numFmtId="3" fontId="4" fillId="15" borderId="0" xfId="0" applyNumberFormat="1" applyFont="1" applyFill="1"/>
    <xf numFmtId="3" fontId="4" fillId="15" borderId="0" xfId="0" applyNumberFormat="1" applyFont="1" applyFill="1" applyAlignment="1">
      <alignment horizontal="right"/>
    </xf>
    <xf numFmtId="0" fontId="8" fillId="0" borderId="0" xfId="0" applyFont="1" applyAlignment="1">
      <alignment vertical="center"/>
    </xf>
    <xf numFmtId="0" fontId="8" fillId="0" borderId="0" xfId="0" applyFont="1" applyAlignment="1">
      <alignment vertical="top"/>
    </xf>
    <xf numFmtId="0" fontId="6" fillId="15" borderId="3" xfId="0" applyFont="1" applyFill="1" applyBorder="1" applyAlignment="1">
      <alignment horizontal="right"/>
    </xf>
    <xf numFmtId="0" fontId="112" fillId="15" borderId="0" xfId="0" applyFont="1" applyFill="1" applyAlignment="1">
      <alignment horizontal="center" vertical="center"/>
    </xf>
    <xf numFmtId="2" fontId="6" fillId="27" borderId="1" xfId="0" applyNumberFormat="1" applyFont="1" applyFill="1" applyBorder="1" applyAlignment="1">
      <alignment horizontal="right" indent="1"/>
    </xf>
    <xf numFmtId="0" fontId="4" fillId="15" borderId="0" xfId="0" applyFont="1" applyFill="1" applyAlignment="1">
      <alignment horizontal="left"/>
    </xf>
    <xf numFmtId="0" fontId="4" fillId="15" borderId="0" xfId="0" applyFont="1" applyFill="1" applyAlignment="1">
      <alignment wrapText="1"/>
    </xf>
    <xf numFmtId="202" fontId="8" fillId="15" borderId="3" xfId="0" applyNumberFormat="1" applyFont="1" applyFill="1" applyBorder="1"/>
    <xf numFmtId="202" fontId="8" fillId="15" borderId="0" xfId="0" applyNumberFormat="1" applyFont="1" applyFill="1"/>
    <xf numFmtId="3" fontId="8" fillId="15" borderId="0" xfId="0" applyNumberFormat="1" applyFont="1" applyFill="1" applyAlignment="1">
      <alignment horizontal="right"/>
    </xf>
    <xf numFmtId="2" fontId="6" fillId="15" borderId="8" xfId="0" applyNumberFormat="1" applyFont="1" applyFill="1" applyBorder="1"/>
    <xf numFmtId="3" fontId="8" fillId="15" borderId="3" xfId="0" applyNumberFormat="1" applyFont="1" applyFill="1" applyBorder="1"/>
    <xf numFmtId="3" fontId="8" fillId="15" borderId="0" xfId="0" applyNumberFormat="1" applyFont="1" applyFill="1"/>
    <xf numFmtId="2" fontId="6" fillId="15" borderId="0" xfId="0" applyNumberFormat="1" applyFont="1" applyFill="1"/>
    <xf numFmtId="0" fontId="4" fillId="15" borderId="3" xfId="0" applyFont="1" applyFill="1" applyBorder="1" applyAlignment="1">
      <alignment horizontal="left"/>
    </xf>
    <xf numFmtId="0" fontId="4" fillId="15" borderId="24" xfId="0" applyFont="1" applyFill="1" applyBorder="1" applyAlignment="1">
      <alignment horizontal="left"/>
    </xf>
    <xf numFmtId="0" fontId="6" fillId="15" borderId="9" xfId="0" applyFont="1" applyFill="1" applyBorder="1" applyAlignment="1">
      <alignment horizontal="left"/>
    </xf>
    <xf numFmtId="0" fontId="6" fillId="15" borderId="1" xfId="0" applyFont="1" applyFill="1" applyBorder="1" applyAlignment="1">
      <alignment horizontal="left"/>
    </xf>
    <xf numFmtId="0" fontId="6" fillId="15" borderId="11" xfId="0" applyFont="1" applyFill="1" applyBorder="1" applyAlignment="1">
      <alignment horizontal="left"/>
    </xf>
    <xf numFmtId="49" fontId="261" fillId="15" borderId="0" xfId="0" applyNumberFormat="1" applyFont="1" applyFill="1" applyAlignment="1">
      <alignment horizontal="center" vertical="center" wrapText="1"/>
    </xf>
    <xf numFmtId="49" fontId="261" fillId="15" borderId="13" xfId="0" applyNumberFormat="1" applyFont="1" applyFill="1" applyBorder="1" applyAlignment="1">
      <alignment horizontal="center" vertical="center" wrapText="1"/>
    </xf>
    <xf numFmtId="0" fontId="0" fillId="15" borderId="1" xfId="0" applyFill="1" applyBorder="1" applyAlignment="1">
      <alignment horizontal="center" vertical="center" wrapText="1"/>
    </xf>
    <xf numFmtId="0" fontId="0" fillId="15" borderId="4" xfId="0" applyFill="1" applyBorder="1" applyAlignment="1">
      <alignment horizontal="center" vertical="center" wrapText="1"/>
    </xf>
    <xf numFmtId="0" fontId="15" fillId="15" borderId="30" xfId="0" applyFont="1" applyFill="1" applyBorder="1" applyAlignment="1">
      <alignment horizontal="center"/>
    </xf>
    <xf numFmtId="0" fontId="15" fillId="15" borderId="0" xfId="0" quotePrefix="1" applyFont="1" applyFill="1" applyAlignment="1">
      <alignment horizontal="center" vertical="center"/>
    </xf>
    <xf numFmtId="0" fontId="4" fillId="0" borderId="0" xfId="0" applyFont="1" applyAlignment="1">
      <alignment vertical="center"/>
    </xf>
    <xf numFmtId="0" fontId="6" fillId="15" borderId="1" xfId="0" applyFont="1" applyFill="1" applyBorder="1" applyAlignment="1">
      <alignment horizontal="center" vertical="center"/>
    </xf>
    <xf numFmtId="0" fontId="6" fillId="0" borderId="12" xfId="0" applyFont="1" applyBorder="1" applyAlignment="1">
      <alignment horizontal="center" wrapText="1"/>
    </xf>
    <xf numFmtId="0" fontId="125" fillId="15" borderId="0" xfId="0" applyFont="1" applyFill="1" applyAlignment="1">
      <alignment horizontal="center"/>
    </xf>
    <xf numFmtId="0" fontId="15" fillId="5" borderId="0" xfId="0" applyFont="1" applyFill="1" applyAlignment="1">
      <alignment horizontal="left"/>
    </xf>
    <xf numFmtId="0" fontId="121" fillId="5" borderId="0" xfId="0" applyFont="1" applyFill="1" applyAlignment="1">
      <alignment horizontal="center"/>
    </xf>
    <xf numFmtId="0" fontId="6" fillId="15" borderId="0" xfId="0" applyFont="1" applyFill="1" applyAlignment="1">
      <alignment horizontal="center" wrapText="1"/>
    </xf>
    <xf numFmtId="0" fontId="0" fillId="15" borderId="56" xfId="0" applyFill="1" applyBorder="1"/>
    <xf numFmtId="0" fontId="15" fillId="15" borderId="0" xfId="0" applyFont="1" applyFill="1" applyAlignment="1">
      <alignment horizontal="center" vertical="center"/>
    </xf>
    <xf numFmtId="0" fontId="196" fillId="15" borderId="0" xfId="0" applyFont="1" applyFill="1" applyAlignment="1">
      <alignment vertical="center"/>
    </xf>
    <xf numFmtId="0" fontId="125" fillId="15" borderId="0" xfId="0" applyFont="1" applyFill="1" applyAlignment="1">
      <alignment vertical="center"/>
    </xf>
    <xf numFmtId="0" fontId="121" fillId="15" borderId="25" xfId="0" applyFont="1" applyFill="1" applyBorder="1" applyAlignment="1">
      <alignment horizontal="right"/>
    </xf>
    <xf numFmtId="0" fontId="119" fillId="15" borderId="25" xfId="0" applyFont="1" applyFill="1" applyBorder="1" applyAlignment="1">
      <alignment horizontal="right" vertical="center"/>
    </xf>
    <xf numFmtId="0" fontId="143" fillId="15" borderId="0" xfId="0" applyFont="1" applyFill="1" applyAlignment="1">
      <alignment vertical="center"/>
    </xf>
    <xf numFmtId="0" fontId="121" fillId="15" borderId="0" xfId="0" applyFont="1" applyFill="1" applyAlignment="1">
      <alignment vertical="center"/>
    </xf>
    <xf numFmtId="3" fontId="6" fillId="15" borderId="0" xfId="0" applyNumberFormat="1" applyFont="1" applyFill="1" applyAlignment="1">
      <alignment horizontal="right"/>
    </xf>
    <xf numFmtId="0" fontId="0" fillId="15" borderId="14" xfId="0" applyFill="1" applyBorder="1" applyAlignment="1">
      <alignment horizontal="left" vertical="center" wrapText="1"/>
    </xf>
    <xf numFmtId="0" fontId="0" fillId="15" borderId="24" xfId="0" applyFill="1" applyBorder="1" applyAlignment="1">
      <alignment horizontal="left" vertical="center" wrapText="1"/>
    </xf>
    <xf numFmtId="0" fontId="15" fillId="15" borderId="0" xfId="0" quotePrefix="1" applyFont="1" applyFill="1" applyAlignment="1">
      <alignment horizontal="right"/>
    </xf>
    <xf numFmtId="0" fontId="15" fillId="15" borderId="24" xfId="0" quotePrefix="1" applyFont="1" applyFill="1" applyBorder="1" applyAlignment="1">
      <alignment horizontal="center"/>
    </xf>
    <xf numFmtId="37" fontId="9" fillId="14" borderId="3" xfId="0" applyNumberFormat="1" applyFont="1" applyFill="1" applyBorder="1" applyAlignment="1">
      <alignment horizontal="right"/>
    </xf>
    <xf numFmtId="3" fontId="110" fillId="15" borderId="0" xfId="0" applyNumberFormat="1" applyFont="1" applyFill="1"/>
    <xf numFmtId="0" fontId="4" fillId="15" borderId="3" xfId="0" quotePrefix="1" applyFont="1" applyFill="1" applyBorder="1" applyAlignment="1">
      <alignment horizontal="right"/>
    </xf>
    <xf numFmtId="3" fontId="6" fillId="25" borderId="1" xfId="0" applyNumberFormat="1" applyFont="1" applyFill="1" applyBorder="1"/>
    <xf numFmtId="1" fontId="4" fillId="0" borderId="1" xfId="0" applyNumberFormat="1" applyFont="1" applyBorder="1" applyAlignment="1">
      <alignment horizontal="center"/>
    </xf>
    <xf numFmtId="0" fontId="0" fillId="19" borderId="12" xfId="0" applyFill="1" applyBorder="1"/>
    <xf numFmtId="0" fontId="0" fillId="19" borderId="25" xfId="0" applyFill="1" applyBorder="1"/>
    <xf numFmtId="1" fontId="207" fillId="15" borderId="0" xfId="0" applyNumberFormat="1" applyFont="1" applyFill="1" applyAlignment="1">
      <alignment wrapText="1"/>
    </xf>
    <xf numFmtId="1" fontId="207" fillId="15" borderId="24" xfId="0" applyNumberFormat="1" applyFont="1" applyFill="1" applyBorder="1" applyAlignment="1">
      <alignment wrapText="1"/>
    </xf>
    <xf numFmtId="37" fontId="6" fillId="25" borderId="1" xfId="0" applyNumberFormat="1" applyFont="1" applyFill="1" applyBorder="1"/>
    <xf numFmtId="0" fontId="15" fillId="15" borderId="28" xfId="0" quotePrefix="1" applyFont="1" applyFill="1" applyBorder="1" applyAlignment="1">
      <alignment horizontal="center"/>
    </xf>
    <xf numFmtId="0" fontId="4" fillId="15" borderId="28" xfId="0" applyFont="1" applyFill="1" applyBorder="1" applyAlignment="1">
      <alignment horizontal="center"/>
    </xf>
    <xf numFmtId="177" fontId="0" fillId="15" borderId="0" xfId="0" applyNumberFormat="1" applyFill="1" applyAlignment="1">
      <alignment horizontal="right"/>
    </xf>
    <xf numFmtId="0" fontId="4" fillId="15" borderId="0" xfId="0" quotePrefix="1" applyFont="1" applyFill="1" applyAlignment="1">
      <alignment horizontal="right" vertical="top"/>
    </xf>
    <xf numFmtId="3" fontId="6" fillId="30" borderId="1" xfId="0" applyNumberFormat="1" applyFont="1" applyFill="1" applyBorder="1"/>
    <xf numFmtId="0" fontId="15" fillId="15" borderId="25" xfId="0" quotePrefix="1" applyFont="1" applyFill="1" applyBorder="1" applyAlignment="1">
      <alignment horizontal="right"/>
    </xf>
    <xf numFmtId="181" fontId="110" fillId="15" borderId="0" xfId="0" applyNumberFormat="1" applyFont="1" applyFill="1" applyAlignment="1">
      <alignment horizontal="right"/>
    </xf>
    <xf numFmtId="0" fontId="15" fillId="15" borderId="25" xfId="0" quotePrefix="1" applyFont="1" applyFill="1" applyBorder="1" applyAlignment="1">
      <alignment horizontal="center"/>
    </xf>
    <xf numFmtId="0" fontId="149" fillId="15" borderId="30" xfId="0" applyFont="1" applyFill="1" applyBorder="1" applyAlignment="1">
      <alignment horizontal="centerContinuous" vertical="center"/>
    </xf>
    <xf numFmtId="0" fontId="149" fillId="15" borderId="8" xfId="0" applyFont="1" applyFill="1" applyBorder="1" applyAlignment="1">
      <alignment horizontal="centerContinuous" vertical="center"/>
    </xf>
    <xf numFmtId="0" fontId="149" fillId="15" borderId="8" xfId="0" applyFont="1" applyFill="1" applyBorder="1" applyAlignment="1">
      <alignment horizontal="centerContinuous" vertical="center" wrapText="1"/>
    </xf>
    <xf numFmtId="0" fontId="4" fillId="15" borderId="8" xfId="0" applyFont="1" applyFill="1" applyBorder="1" applyAlignment="1">
      <alignment horizontal="centerContinuous"/>
    </xf>
    <xf numFmtId="0" fontId="0" fillId="15" borderId="8" xfId="0" applyFill="1" applyBorder="1" applyAlignment="1">
      <alignment horizontal="centerContinuous"/>
    </xf>
    <xf numFmtId="49" fontId="4" fillId="15" borderId="3" xfId="0" applyNumberFormat="1" applyFont="1" applyFill="1" applyBorder="1" applyAlignment="1">
      <alignment horizontal="right"/>
    </xf>
    <xf numFmtId="0" fontId="139" fillId="15" borderId="0" xfId="0" applyFont="1" applyFill="1" applyAlignment="1">
      <alignment horizontal="left" vertical="center"/>
    </xf>
    <xf numFmtId="0" fontId="139" fillId="15" borderId="0" xfId="0" applyFont="1" applyFill="1" applyAlignment="1">
      <alignment vertical="center" wrapText="1"/>
    </xf>
    <xf numFmtId="49" fontId="4" fillId="15" borderId="0" xfId="0" quotePrefix="1" applyNumberFormat="1" applyFont="1" applyFill="1" applyAlignment="1">
      <alignment horizontal="right"/>
    </xf>
    <xf numFmtId="37" fontId="12" fillId="27" borderId="1" xfId="0" applyNumberFormat="1" applyFont="1" applyFill="1" applyBorder="1"/>
    <xf numFmtId="49" fontId="6" fillId="15" borderId="0" xfId="0" applyNumberFormat="1" applyFont="1" applyFill="1" applyAlignment="1">
      <alignment horizontal="right"/>
    </xf>
    <xf numFmtId="0" fontId="152" fillId="15" borderId="0" xfId="0" applyFont="1" applyFill="1" applyAlignment="1">
      <alignment horizontal="center"/>
    </xf>
    <xf numFmtId="1" fontId="153" fillId="27" borderId="81" xfId="0" applyNumberFormat="1" applyFont="1" applyFill="1" applyBorder="1" applyAlignment="1">
      <alignment horizontal="center" vertical="center"/>
    </xf>
    <xf numFmtId="180" fontId="153" fillId="27" borderId="82" xfId="0" applyNumberFormat="1" applyFont="1" applyFill="1" applyBorder="1" applyAlignment="1">
      <alignment horizontal="center" vertical="center"/>
    </xf>
    <xf numFmtId="0" fontId="150" fillId="15" borderId="0" xfId="0" applyFont="1" applyFill="1" applyAlignment="1">
      <alignment vertical="center"/>
    </xf>
    <xf numFmtId="49" fontId="4" fillId="15" borderId="3" xfId="0" quotePrefix="1" applyNumberFormat="1" applyFont="1" applyFill="1" applyBorder="1" applyAlignment="1">
      <alignment horizontal="right"/>
    </xf>
    <xf numFmtId="180" fontId="0" fillId="15" borderId="0" xfId="0" applyNumberFormat="1" applyFill="1"/>
    <xf numFmtId="0" fontId="139" fillId="15" borderId="3" xfId="0" applyFont="1" applyFill="1" applyBorder="1" applyAlignment="1">
      <alignment horizontal="center" vertical="center"/>
    </xf>
    <xf numFmtId="0" fontId="139" fillId="15" borderId="0" xfId="0" applyFont="1" applyFill="1" applyAlignment="1">
      <alignment vertical="center"/>
    </xf>
    <xf numFmtId="49" fontId="6" fillId="15" borderId="3" xfId="0" applyNumberFormat="1" applyFont="1" applyFill="1" applyBorder="1" applyAlignment="1">
      <alignment horizontal="right"/>
    </xf>
    <xf numFmtId="0" fontId="149" fillId="15" borderId="0" xfId="0" applyFont="1" applyFill="1" applyAlignment="1">
      <alignment vertical="center" wrapText="1"/>
    </xf>
    <xf numFmtId="0" fontId="139" fillId="15" borderId="0" xfId="0" applyFont="1" applyFill="1" applyAlignment="1">
      <alignment wrapText="1"/>
    </xf>
    <xf numFmtId="0" fontId="139" fillId="15" borderId="3" xfId="0" applyFont="1" applyFill="1" applyBorder="1" applyAlignment="1">
      <alignment wrapText="1"/>
    </xf>
    <xf numFmtId="0" fontId="139" fillId="15" borderId="0" xfId="0" applyFont="1" applyFill="1" applyAlignment="1">
      <alignment vertical="top" wrapText="1"/>
    </xf>
    <xf numFmtId="0" fontId="15" fillId="15" borderId="31" xfId="0" quotePrefix="1" applyFont="1" applyFill="1" applyBorder="1" applyAlignment="1">
      <alignment horizontal="right"/>
    </xf>
    <xf numFmtId="0" fontId="15" fillId="15" borderId="31" xfId="0" quotePrefix="1" applyFont="1" applyFill="1" applyBorder="1" applyAlignment="1">
      <alignment horizontal="center"/>
    </xf>
    <xf numFmtId="0" fontId="139" fillId="15" borderId="3" xfId="0" applyFont="1" applyFill="1" applyBorder="1" applyAlignment="1">
      <alignment vertical="top" wrapText="1"/>
    </xf>
    <xf numFmtId="0" fontId="15" fillId="15" borderId="7" xfId="0" quotePrefix="1" applyFont="1" applyFill="1" applyBorder="1" applyAlignment="1">
      <alignment horizontal="right"/>
    </xf>
    <xf numFmtId="0" fontId="137" fillId="15" borderId="0" xfId="0" applyFont="1" applyFill="1" applyAlignment="1">
      <alignment horizontal="center"/>
    </xf>
    <xf numFmtId="0" fontId="0" fillId="15" borderId="24" xfId="0" applyFill="1" applyBorder="1" applyAlignment="1">
      <alignment horizontal="left"/>
    </xf>
    <xf numFmtId="0" fontId="110" fillId="15" borderId="3" xfId="0" applyFont="1" applyFill="1" applyBorder="1"/>
    <xf numFmtId="0" fontId="4" fillId="15" borderId="11" xfId="0" applyFont="1" applyFill="1" applyBorder="1" applyAlignment="1">
      <alignment horizontal="right"/>
    </xf>
    <xf numFmtId="0" fontId="11" fillId="15" borderId="1" xfId="0" applyFont="1" applyFill="1" applyBorder="1" applyAlignment="1">
      <alignment vertical="center"/>
    </xf>
    <xf numFmtId="37" fontId="10" fillId="15" borderId="0" xfId="0" applyNumberFormat="1" applyFont="1" applyFill="1" applyAlignment="1">
      <alignment horizontal="right"/>
    </xf>
    <xf numFmtId="37" fontId="10" fillId="27" borderId="1" xfId="0" applyNumberFormat="1" applyFont="1" applyFill="1" applyBorder="1"/>
    <xf numFmtId="0" fontId="286" fillId="15" borderId="3" xfId="0" applyFont="1" applyFill="1" applyBorder="1" applyAlignment="1">
      <alignment vertical="center" wrapText="1"/>
    </xf>
    <xf numFmtId="0" fontId="139" fillId="15" borderId="3" xfId="0" applyFont="1" applyFill="1" applyBorder="1" applyAlignment="1">
      <alignment horizontal="left" indent="1"/>
    </xf>
    <xf numFmtId="0" fontId="139" fillId="15" borderId="0" xfId="0" applyFont="1" applyFill="1" applyAlignment="1">
      <alignment horizontal="left" wrapText="1" indent="1"/>
    </xf>
    <xf numFmtId="0" fontId="139" fillId="15" borderId="9" xfId="0" applyFont="1" applyFill="1" applyBorder="1" applyAlignment="1">
      <alignment horizontal="left" vertical="top" indent="1"/>
    </xf>
    <xf numFmtId="0" fontId="139" fillId="15" borderId="1" xfId="0" applyFont="1" applyFill="1" applyBorder="1" applyAlignment="1">
      <alignment vertical="top"/>
    </xf>
    <xf numFmtId="49" fontId="0" fillId="15" borderId="0" xfId="0" applyNumberFormat="1" applyFill="1" applyAlignment="1">
      <alignment horizontal="right"/>
    </xf>
    <xf numFmtId="0" fontId="81" fillId="5" borderId="7" xfId="0" applyFont="1" applyFill="1" applyBorder="1" applyAlignment="1">
      <alignment horizontal="center"/>
    </xf>
    <xf numFmtId="0" fontId="4" fillId="2" borderId="7" xfId="0" applyFont="1" applyFill="1" applyBorder="1" applyAlignment="1">
      <alignment vertical="top"/>
    </xf>
    <xf numFmtId="0" fontId="10" fillId="2" borderId="7" xfId="0" applyFont="1" applyFill="1" applyBorder="1" applyAlignment="1">
      <alignment vertical="top"/>
    </xf>
    <xf numFmtId="0" fontId="141" fillId="0" borderId="59" xfId="0" applyFont="1" applyBorder="1" applyAlignment="1">
      <alignment horizontal="centerContinuous"/>
    </xf>
    <xf numFmtId="0" fontId="140" fillId="0" borderId="74" xfId="0" applyFont="1" applyBorder="1" applyAlignment="1">
      <alignment horizontal="centerContinuous" wrapText="1"/>
    </xf>
    <xf numFmtId="0" fontId="6" fillId="0" borderId="60" xfId="0" applyFont="1" applyBorder="1" applyAlignment="1">
      <alignment horizontal="centerContinuous"/>
    </xf>
    <xf numFmtId="0" fontId="140" fillId="0" borderId="55" xfId="0" applyFont="1" applyBorder="1" applyAlignment="1">
      <alignment horizontal="center" vertical="center"/>
    </xf>
    <xf numFmtId="0" fontId="140" fillId="0" borderId="10" xfId="0" applyFont="1" applyBorder="1" applyAlignment="1">
      <alignment horizontal="center" vertical="center" wrapText="1"/>
    </xf>
    <xf numFmtId="0" fontId="140" fillId="0" borderId="66" xfId="0" applyFont="1" applyBorder="1" applyAlignment="1">
      <alignment horizontal="center" vertical="center" wrapText="1"/>
    </xf>
    <xf numFmtId="0" fontId="140" fillId="0" borderId="46" xfId="0" quotePrefix="1" applyFont="1" applyBorder="1" applyAlignment="1">
      <alignment horizontal="center" vertical="center" wrapText="1"/>
    </xf>
    <xf numFmtId="3" fontId="140" fillId="0" borderId="12" xfId="0" applyNumberFormat="1" applyFont="1" applyBorder="1" applyAlignment="1">
      <alignment horizontal="center" vertical="center" wrapText="1"/>
    </xf>
    <xf numFmtId="168" fontId="140" fillId="0" borderId="12" xfId="0" applyNumberFormat="1" applyFont="1" applyBorder="1" applyAlignment="1">
      <alignment vertical="center" wrapText="1"/>
    </xf>
    <xf numFmtId="168" fontId="140" fillId="0" borderId="58" xfId="0" applyNumberFormat="1" applyFont="1" applyBorder="1" applyAlignment="1">
      <alignment vertical="center" wrapText="1"/>
    </xf>
    <xf numFmtId="0" fontId="47" fillId="15" borderId="25" xfId="0" applyFont="1" applyFill="1" applyBorder="1"/>
    <xf numFmtId="3" fontId="6" fillId="15" borderId="0" xfId="0" applyNumberFormat="1" applyFont="1" applyFill="1"/>
    <xf numFmtId="0" fontId="15" fillId="15" borderId="8" xfId="0" applyFont="1" applyFill="1" applyBorder="1" applyAlignment="1">
      <alignment horizontal="center"/>
    </xf>
    <xf numFmtId="0" fontId="255" fillId="15" borderId="0" xfId="0" applyFont="1" applyFill="1" applyAlignment="1">
      <alignment horizontal="right" vertical="center" wrapText="1"/>
    </xf>
    <xf numFmtId="0" fontId="256" fillId="15" borderId="0" xfId="0" applyFont="1" applyFill="1" applyAlignment="1">
      <alignment horizontal="center" vertical="center" wrapText="1"/>
    </xf>
    <xf numFmtId="0" fontId="9" fillId="0" borderId="81" xfId="0" applyFont="1" applyBorder="1" applyAlignment="1">
      <alignment horizontal="centerContinuous"/>
    </xf>
    <xf numFmtId="0" fontId="6" fillId="0" borderId="83" xfId="0" applyFont="1" applyBorder="1" applyAlignment="1">
      <alignment horizontal="centerContinuous"/>
    </xf>
    <xf numFmtId="0" fontId="6" fillId="0" borderId="82" xfId="0" applyFont="1" applyBorder="1" applyAlignment="1">
      <alignment horizontal="centerContinuous"/>
    </xf>
    <xf numFmtId="0" fontId="8" fillId="0" borderId="55" xfId="0" applyFont="1" applyBorder="1" applyAlignment="1">
      <alignment horizontal="center"/>
    </xf>
    <xf numFmtId="0" fontId="8" fillId="0" borderId="10" xfId="0" applyFont="1" applyBorder="1" applyAlignment="1">
      <alignment horizontal="center"/>
    </xf>
    <xf numFmtId="0" fontId="8" fillId="0" borderId="77" xfId="0" applyFont="1" applyBorder="1" applyAlignment="1">
      <alignment horizontal="center"/>
    </xf>
    <xf numFmtId="0" fontId="6" fillId="0" borderId="46" xfId="0" applyFont="1" applyBorder="1" applyAlignment="1">
      <alignment horizontal="center"/>
    </xf>
    <xf numFmtId="0" fontId="6" fillId="0" borderId="58" xfId="0" applyFont="1" applyBorder="1" applyAlignment="1">
      <alignment horizontal="center" wrapText="1"/>
    </xf>
    <xf numFmtId="3" fontId="8" fillId="0" borderId="12" xfId="0" applyNumberFormat="1" applyFont="1" applyBorder="1" applyAlignment="1">
      <alignment horizontal="center" vertical="center"/>
    </xf>
    <xf numFmtId="3" fontId="8" fillId="0" borderId="58" xfId="0" applyNumberFormat="1" applyFont="1" applyBorder="1" applyAlignment="1">
      <alignment horizontal="center" vertical="center"/>
    </xf>
    <xf numFmtId="6" fontId="0" fillId="15" borderId="0" xfId="0" applyNumberFormat="1" applyFill="1"/>
    <xf numFmtId="0" fontId="6" fillId="0" borderId="111" xfId="0" quotePrefix="1" applyFont="1" applyBorder="1" applyAlignment="1">
      <alignment horizontal="center"/>
    </xf>
    <xf numFmtId="3" fontId="8" fillId="0" borderId="51" xfId="0" applyNumberFormat="1" applyFont="1" applyBorder="1" applyAlignment="1">
      <alignment horizontal="center" vertical="center"/>
    </xf>
    <xf numFmtId="3" fontId="8" fillId="0" borderId="110" xfId="0" applyNumberFormat="1" applyFont="1" applyBorder="1" applyAlignment="1">
      <alignment horizontal="center" vertical="center"/>
    </xf>
    <xf numFmtId="0" fontId="245" fillId="15" borderId="0" xfId="0" applyFont="1" applyFill="1" applyAlignment="1">
      <alignment horizontal="center"/>
    </xf>
    <xf numFmtId="3" fontId="245" fillId="15" borderId="0" xfId="0" applyNumberFormat="1" applyFont="1" applyFill="1" applyAlignment="1">
      <alignment horizontal="left"/>
    </xf>
    <xf numFmtId="3" fontId="110" fillId="15" borderId="0" xfId="0" applyNumberFormat="1" applyFont="1" applyFill="1" applyAlignment="1">
      <alignment horizontal="center"/>
    </xf>
    <xf numFmtId="0" fontId="322" fillId="15" borderId="0" xfId="0" applyFont="1" applyFill="1" applyAlignment="1">
      <alignment vertical="center"/>
    </xf>
    <xf numFmtId="0" fontId="151" fillId="15" borderId="0" xfId="0" applyFont="1" applyFill="1" applyAlignment="1">
      <alignment vertical="center"/>
    </xf>
    <xf numFmtId="180" fontId="0" fillId="15" borderId="0" xfId="0" applyNumberFormat="1" applyFill="1" applyAlignment="1">
      <alignment vertical="center"/>
    </xf>
    <xf numFmtId="0" fontId="11" fillId="15" borderId="27" xfId="0" applyFont="1" applyFill="1" applyBorder="1" applyAlignment="1">
      <alignment vertical="center"/>
    </xf>
    <xf numFmtId="0" fontId="0" fillId="15" borderId="27" xfId="0" applyFill="1" applyBorder="1"/>
    <xf numFmtId="0" fontId="4" fillId="15" borderId="8" xfId="0" applyFont="1" applyFill="1" applyBorder="1" applyAlignment="1">
      <alignment horizontal="center" vertical="center" wrapText="1"/>
    </xf>
    <xf numFmtId="0" fontId="15" fillId="15" borderId="8" xfId="0" applyFont="1" applyFill="1" applyBorder="1" applyAlignment="1">
      <alignment horizontal="center" vertical="top"/>
    </xf>
    <xf numFmtId="0" fontId="15" fillId="15" borderId="30" xfId="0" applyFont="1" applyFill="1" applyBorder="1" applyAlignment="1">
      <alignment horizontal="center" vertical="top"/>
    </xf>
    <xf numFmtId="0" fontId="10" fillId="2" borderId="0" xfId="0" applyFont="1" applyFill="1" applyAlignment="1">
      <alignment vertical="top"/>
    </xf>
    <xf numFmtId="185" fontId="10" fillId="5" borderId="0" xfId="0" applyNumberFormat="1" applyFont="1" applyFill="1" applyAlignment="1">
      <alignment horizontal="center"/>
    </xf>
    <xf numFmtId="0" fontId="32" fillId="6" borderId="23" xfId="0" applyFont="1" applyFill="1" applyBorder="1" applyAlignment="1">
      <alignment horizontal="centerContinuous"/>
    </xf>
    <xf numFmtId="0" fontId="32" fillId="6" borderId="7" xfId="0" applyFont="1" applyFill="1" applyBorder="1" applyAlignment="1">
      <alignment horizontal="centerContinuous"/>
    </xf>
    <xf numFmtId="0" fontId="32" fillId="6" borderId="0" xfId="0" applyFont="1" applyFill="1" applyAlignment="1">
      <alignment horizontal="centerContinuous"/>
    </xf>
    <xf numFmtId="0" fontId="0" fillId="6" borderId="0" xfId="0" applyFill="1" applyAlignment="1">
      <alignment horizontal="centerContinuous"/>
    </xf>
    <xf numFmtId="0" fontId="112" fillId="2" borderId="0" xfId="0" applyFont="1" applyFill="1" applyAlignment="1">
      <alignment horizontal="center" wrapText="1"/>
    </xf>
    <xf numFmtId="179" fontId="10" fillId="5" borderId="0" xfId="0" applyNumberFormat="1" applyFont="1" applyFill="1" applyAlignment="1">
      <alignment horizontal="center" vertical="top"/>
    </xf>
    <xf numFmtId="0" fontId="8" fillId="6" borderId="0" xfId="0" applyFont="1" applyFill="1"/>
    <xf numFmtId="0" fontId="0" fillId="6" borderId="0" xfId="0" applyFill="1"/>
    <xf numFmtId="0" fontId="0" fillId="6" borderId="0" xfId="0" applyFill="1" applyAlignment="1">
      <alignment horizontal="right"/>
    </xf>
    <xf numFmtId="0" fontId="67" fillId="5" borderId="0" xfId="2" applyFill="1" applyAlignment="1" applyProtection="1">
      <alignment horizontal="center"/>
    </xf>
    <xf numFmtId="0" fontId="163" fillId="2" borderId="0" xfId="0" applyFont="1" applyFill="1" applyAlignment="1">
      <alignment horizontal="left" vertical="center"/>
    </xf>
    <xf numFmtId="182" fontId="6" fillId="15" borderId="0" xfId="0" applyNumberFormat="1" applyFont="1" applyFill="1" applyAlignment="1">
      <alignment horizontal="center"/>
    </xf>
    <xf numFmtId="0" fontId="6" fillId="15" borderId="109" xfId="0" applyFont="1" applyFill="1" applyBorder="1"/>
    <xf numFmtId="0" fontId="6" fillId="15" borderId="66" xfId="0" applyFont="1" applyFill="1" applyBorder="1"/>
    <xf numFmtId="0" fontId="21" fillId="5" borderId="0" xfId="0" applyFont="1" applyFill="1" applyAlignment="1">
      <alignment horizontal="center" vertical="center"/>
    </xf>
    <xf numFmtId="0" fontId="4" fillId="2" borderId="39" xfId="0" applyFont="1" applyFill="1" applyBorder="1" applyAlignment="1">
      <alignment horizontal="left" vertical="center"/>
    </xf>
    <xf numFmtId="0" fontId="119" fillId="2" borderId="25" xfId="0" applyFont="1" applyFill="1" applyBorder="1" applyAlignment="1">
      <alignment horizontal="left" vertical="top"/>
    </xf>
    <xf numFmtId="0" fontId="158" fillId="15" borderId="25" xfId="0" applyFont="1" applyFill="1" applyBorder="1" applyAlignment="1">
      <alignment vertical="center"/>
    </xf>
    <xf numFmtId="0" fontId="0" fillId="15" borderId="54" xfId="0" applyFill="1" applyBorder="1"/>
    <xf numFmtId="0" fontId="6" fillId="15" borderId="46" xfId="0" applyFont="1" applyFill="1" applyBorder="1"/>
    <xf numFmtId="0" fontId="6" fillId="15" borderId="58" xfId="0" applyFont="1" applyFill="1" applyBorder="1"/>
    <xf numFmtId="0" fontId="6" fillId="15" borderId="46" xfId="0" applyFont="1" applyFill="1" applyBorder="1" applyAlignment="1">
      <alignment horizontal="center"/>
    </xf>
    <xf numFmtId="0" fontId="6" fillId="15" borderId="58" xfId="0" applyFont="1" applyFill="1" applyBorder="1" applyAlignment="1">
      <alignment horizontal="center"/>
    </xf>
    <xf numFmtId="0" fontId="8" fillId="2" borderId="30" xfId="0" applyFont="1" applyFill="1" applyBorder="1"/>
    <xf numFmtId="0" fontId="6" fillId="15" borderId="50" xfId="0" applyFont="1" applyFill="1" applyBorder="1"/>
    <xf numFmtId="0" fontId="6" fillId="15" borderId="110" xfId="0" applyFont="1" applyFill="1" applyBorder="1"/>
    <xf numFmtId="0" fontId="10" fillId="5" borderId="0" xfId="0" applyFont="1" applyFill="1" applyAlignment="1">
      <alignment horizontal="left"/>
    </xf>
    <xf numFmtId="0" fontId="109" fillId="15" borderId="87" xfId="0" applyFont="1" applyFill="1" applyBorder="1"/>
    <xf numFmtId="0" fontId="112" fillId="2" borderId="0" xfId="0" applyFont="1" applyFill="1"/>
    <xf numFmtId="0" fontId="10" fillId="15" borderId="23" xfId="0" applyFont="1" applyFill="1" applyBorder="1" applyAlignment="1">
      <alignment horizontal="left"/>
    </xf>
    <xf numFmtId="0" fontId="121" fillId="15" borderId="7" xfId="0" applyFont="1" applyFill="1" applyBorder="1" applyAlignment="1">
      <alignment vertical="center"/>
    </xf>
    <xf numFmtId="0" fontId="117" fillId="2" borderId="0" xfId="0" applyFont="1" applyFill="1"/>
    <xf numFmtId="0" fontId="38" fillId="15" borderId="5" xfId="0" applyFont="1" applyFill="1" applyBorder="1" applyAlignment="1">
      <alignment horizontal="left"/>
    </xf>
    <xf numFmtId="0" fontId="38" fillId="15" borderId="20" xfId="0" applyFont="1" applyFill="1" applyBorder="1" applyAlignment="1">
      <alignment horizontal="left"/>
    </xf>
    <xf numFmtId="0" fontId="38" fillId="15" borderId="0" xfId="0" applyFont="1" applyFill="1" applyAlignment="1">
      <alignment horizontal="left"/>
    </xf>
    <xf numFmtId="0" fontId="106" fillId="2" borderId="0" xfId="0" applyFont="1" applyFill="1" applyAlignment="1">
      <alignment horizontal="left"/>
    </xf>
    <xf numFmtId="0" fontId="78" fillId="2" borderId="5" xfId="0" applyFont="1" applyFill="1" applyBorder="1" applyAlignment="1">
      <alignment horizontal="left" vertical="top"/>
    </xf>
    <xf numFmtId="0" fontId="16" fillId="0" borderId="0" xfId="0" applyFont="1" applyAlignment="1">
      <alignment horizontal="left"/>
    </xf>
    <xf numFmtId="0" fontId="106" fillId="2" borderId="0" xfId="0" applyFont="1" applyFill="1" applyAlignment="1">
      <alignment horizontal="left" vertical="center"/>
    </xf>
    <xf numFmtId="0" fontId="308" fillId="2" borderId="5" xfId="0" applyFont="1" applyFill="1" applyBorder="1" applyAlignment="1">
      <alignment horizontal="left" vertical="top"/>
    </xf>
    <xf numFmtId="0" fontId="308" fillId="15" borderId="0" xfId="0" applyFont="1" applyFill="1" applyAlignment="1">
      <alignment horizontal="left"/>
    </xf>
    <xf numFmtId="0" fontId="308" fillId="15" borderId="20" xfId="0" applyFont="1" applyFill="1" applyBorder="1" applyAlignment="1">
      <alignment horizontal="center" wrapText="1"/>
    </xf>
    <xf numFmtId="0" fontId="10" fillId="39" borderId="24" xfId="0" applyFont="1" applyFill="1" applyBorder="1" applyAlignment="1">
      <alignment horizontal="left"/>
    </xf>
    <xf numFmtId="0" fontId="106" fillId="2" borderId="0" xfId="0" applyFont="1" applyFill="1" applyAlignment="1">
      <alignment horizontal="left" vertical="top"/>
    </xf>
    <xf numFmtId="0" fontId="308" fillId="2" borderId="5" xfId="0" applyFont="1" applyFill="1" applyBorder="1" applyAlignment="1">
      <alignment horizontal="left"/>
    </xf>
    <xf numFmtId="0" fontId="308" fillId="2" borderId="0" xfId="0" applyFont="1" applyFill="1" applyAlignment="1">
      <alignment horizontal="center"/>
    </xf>
    <xf numFmtId="0" fontId="199" fillId="15" borderId="0" xfId="0" applyFont="1" applyFill="1"/>
    <xf numFmtId="0" fontId="146" fillId="15" borderId="20" xfId="0" applyFont="1" applyFill="1" applyBorder="1"/>
    <xf numFmtId="0" fontId="308" fillId="15" borderId="0" xfId="0" applyFont="1" applyFill="1"/>
    <xf numFmtId="0" fontId="199" fillId="15" borderId="0" xfId="0" applyFont="1" applyFill="1" applyAlignment="1">
      <alignment vertical="top"/>
    </xf>
    <xf numFmtId="0" fontId="308" fillId="15" borderId="0" xfId="0" applyFont="1" applyFill="1" applyAlignment="1">
      <alignment horizontal="right" wrapText="1"/>
    </xf>
    <xf numFmtId="0" fontId="16" fillId="15" borderId="0" xfId="0" applyFont="1" applyFill="1" applyAlignment="1">
      <alignment horizontal="right" wrapText="1"/>
    </xf>
    <xf numFmtId="0" fontId="158" fillId="15" borderId="0" xfId="0" applyFont="1" applyFill="1" applyAlignment="1">
      <alignment horizontal="right"/>
    </xf>
    <xf numFmtId="0" fontId="211" fillId="15" borderId="0" xfId="0" applyFont="1" applyFill="1"/>
    <xf numFmtId="0" fontId="163" fillId="15" borderId="0" xfId="0" applyFont="1" applyFill="1" applyAlignment="1">
      <alignment vertical="center"/>
    </xf>
    <xf numFmtId="0" fontId="110" fillId="15" borderId="7" xfId="0" applyFont="1" applyFill="1" applyBorder="1"/>
    <xf numFmtId="0" fontId="6" fillId="39" borderId="0" xfId="0" applyFont="1" applyFill="1" applyAlignment="1">
      <alignment horizontal="left" vertical="center" indent="1"/>
    </xf>
    <xf numFmtId="0" fontId="11" fillId="15" borderId="8" xfId="0" applyFont="1" applyFill="1" applyBorder="1" applyAlignment="1">
      <alignment horizontal="left" vertical="top"/>
    </xf>
    <xf numFmtId="0" fontId="11" fillId="15" borderId="0" xfId="0" applyFont="1" applyFill="1" applyAlignment="1">
      <alignment horizontal="left" vertical="top"/>
    </xf>
    <xf numFmtId="0" fontId="308" fillId="15" borderId="0" xfId="0" applyFont="1" applyFill="1" applyAlignment="1">
      <alignment horizontal="center" wrapText="1"/>
    </xf>
    <xf numFmtId="0" fontId="11" fillId="15" borderId="1" xfId="0" applyFont="1" applyFill="1" applyBorder="1" applyAlignment="1">
      <alignment horizontal="left" vertical="top"/>
    </xf>
    <xf numFmtId="0" fontId="308" fillId="2" borderId="0" xfId="0" applyFont="1" applyFill="1" applyAlignment="1">
      <alignment horizontal="left" vertical="top"/>
    </xf>
    <xf numFmtId="0" fontId="8" fillId="39" borderId="3" xfId="0" applyFont="1" applyFill="1" applyBorder="1" applyAlignment="1">
      <alignment horizontal="left" vertical="top"/>
    </xf>
    <xf numFmtId="0" fontId="308" fillId="2" borderId="0" xfId="0" applyFont="1" applyFill="1" applyAlignment="1">
      <alignment horizontal="left"/>
    </xf>
    <xf numFmtId="0" fontId="78" fillId="5" borderId="0" xfId="0" applyFont="1" applyFill="1" applyAlignment="1">
      <alignment horizontal="left"/>
    </xf>
    <xf numFmtId="0" fontId="78" fillId="2" borderId="0" xfId="0" applyFont="1" applyFill="1" applyAlignment="1">
      <alignment horizontal="left"/>
    </xf>
    <xf numFmtId="3" fontId="112" fillId="2" borderId="0" xfId="0" applyNumberFormat="1" applyFont="1" applyFill="1" applyAlignment="1">
      <alignment horizontal="center"/>
    </xf>
    <xf numFmtId="1" fontId="15" fillId="27" borderId="2" xfId="0" applyNumberFormat="1" applyFont="1" applyFill="1" applyBorder="1" applyAlignment="1">
      <alignment horizontal="center" vertical="center"/>
    </xf>
    <xf numFmtId="0" fontId="206" fillId="15" borderId="67" xfId="0" applyFont="1" applyFill="1" applyBorder="1" applyAlignment="1">
      <alignment vertical="center"/>
    </xf>
    <xf numFmtId="0" fontId="206" fillId="15" borderId="67" xfId="0" applyFont="1" applyFill="1" applyBorder="1"/>
    <xf numFmtId="0" fontId="158" fillId="15" borderId="21" xfId="0" applyFont="1" applyFill="1" applyBorder="1"/>
    <xf numFmtId="0" fontId="127" fillId="5" borderId="0" xfId="0" applyFont="1" applyFill="1" applyAlignment="1">
      <alignment horizontal="center" vertical="center"/>
    </xf>
    <xf numFmtId="4" fontId="110" fillId="2" borderId="0" xfId="0" quotePrefix="1" applyNumberFormat="1" applyFont="1" applyFill="1"/>
    <xf numFmtId="4" fontId="116" fillId="2" borderId="0" xfId="0" applyNumberFormat="1" applyFont="1" applyFill="1" applyAlignment="1">
      <alignment vertical="center"/>
    </xf>
    <xf numFmtId="1" fontId="0" fillId="10" borderId="15" xfId="0" applyNumberFormat="1" applyFill="1" applyBorder="1" applyAlignment="1">
      <alignment vertical="center"/>
    </xf>
    <xf numFmtId="1" fontId="0" fillId="10" borderId="6" xfId="0" applyNumberFormat="1" applyFill="1" applyBorder="1" applyAlignment="1">
      <alignment vertical="center"/>
    </xf>
    <xf numFmtId="1" fontId="0" fillId="15" borderId="3" xfId="0" applyNumberFormat="1" applyFill="1" applyBorder="1" applyAlignment="1">
      <alignment vertical="center"/>
    </xf>
    <xf numFmtId="1" fontId="0" fillId="10" borderId="10" xfId="0" applyNumberFormat="1" applyFill="1" applyBorder="1" applyAlignment="1">
      <alignment vertical="center"/>
    </xf>
    <xf numFmtId="1" fontId="4" fillId="39" borderId="10" xfId="0" applyNumberFormat="1" applyFont="1" applyFill="1" applyBorder="1" applyAlignment="1">
      <alignment horizontal="center" vertical="center"/>
    </xf>
    <xf numFmtId="0" fontId="233" fillId="15" borderId="0" xfId="0" applyFont="1" applyFill="1" applyAlignment="1">
      <alignment horizontal="left"/>
    </xf>
    <xf numFmtId="0" fontId="233" fillId="15" borderId="24" xfId="0" applyFont="1" applyFill="1" applyBorder="1" applyAlignment="1">
      <alignment horizontal="left"/>
    </xf>
    <xf numFmtId="0" fontId="4" fillId="39" borderId="1" xfId="0" applyFont="1" applyFill="1" applyBorder="1" applyAlignment="1">
      <alignment horizontal="right"/>
    </xf>
    <xf numFmtId="0" fontId="4" fillId="15" borderId="1" xfId="0" applyFont="1" applyFill="1" applyBorder="1" applyAlignment="1">
      <alignment wrapText="1"/>
    </xf>
    <xf numFmtId="0" fontId="4" fillId="15" borderId="8" xfId="0" applyFont="1" applyFill="1" applyBorder="1" applyAlignment="1">
      <alignment horizontal="right"/>
    </xf>
    <xf numFmtId="0" fontId="4" fillId="15" borderId="8" xfId="0" applyFont="1" applyFill="1" applyBorder="1" applyAlignment="1">
      <alignment horizontal="left"/>
    </xf>
    <xf numFmtId="4" fontId="22" fillId="5" borderId="0" xfId="0" applyNumberFormat="1" applyFont="1" applyFill="1" applyAlignment="1">
      <alignment horizontal="center"/>
    </xf>
    <xf numFmtId="0" fontId="4" fillId="15" borderId="1" xfId="0" applyFont="1" applyFill="1" applyBorder="1"/>
    <xf numFmtId="0" fontId="158" fillId="0" borderId="1" xfId="0" applyFont="1" applyBorder="1"/>
    <xf numFmtId="14" fontId="6" fillId="15" borderId="1" xfId="0" applyNumberFormat="1" applyFont="1" applyFill="1" applyBorder="1" applyAlignment="1">
      <alignment horizontal="center"/>
    </xf>
    <xf numFmtId="4" fontId="158" fillId="15" borderId="0" xfId="0" applyNumberFormat="1" applyFont="1" applyFill="1" applyAlignment="1">
      <alignment horizontal="center" vertical="center" wrapText="1"/>
    </xf>
    <xf numFmtId="4" fontId="158" fillId="15" borderId="24" xfId="0" applyNumberFormat="1" applyFont="1" applyFill="1" applyBorder="1" applyAlignment="1">
      <alignment horizontal="center" vertical="center" wrapText="1"/>
    </xf>
    <xf numFmtId="6" fontId="102" fillId="2" borderId="3" xfId="0" applyNumberFormat="1" applyFont="1" applyFill="1" applyBorder="1" applyAlignment="1">
      <alignment horizontal="center" vertical="center"/>
    </xf>
    <xf numFmtId="4" fontId="31" fillId="15" borderId="0" xfId="0" applyNumberFormat="1" applyFont="1" applyFill="1"/>
    <xf numFmtId="194" fontId="31" fillId="2" borderId="30" xfId="0" applyNumberFormat="1" applyFont="1" applyFill="1" applyBorder="1"/>
    <xf numFmtId="0" fontId="25" fillId="15" borderId="3" xfId="0" applyFont="1" applyFill="1" applyBorder="1" applyAlignment="1">
      <alignment horizontal="right"/>
    </xf>
    <xf numFmtId="0" fontId="25" fillId="15" borderId="0" xfId="0" applyFont="1" applyFill="1" applyAlignment="1">
      <alignment horizontal="right"/>
    </xf>
    <xf numFmtId="4" fontId="110" fillId="15" borderId="0" xfId="0" applyNumberFormat="1" applyFont="1" applyFill="1"/>
    <xf numFmtId="168" fontId="8" fillId="2" borderId="0" xfId="0" applyNumberFormat="1" applyFont="1" applyFill="1" applyAlignment="1">
      <alignment horizontal="left"/>
    </xf>
    <xf numFmtId="194" fontId="31" fillId="2" borderId="3" xfId="0" applyNumberFormat="1" applyFont="1" applyFill="1" applyBorder="1"/>
    <xf numFmtId="1" fontId="4" fillId="39" borderId="12" xfId="0" applyNumberFormat="1" applyFont="1" applyFill="1" applyBorder="1" applyAlignment="1">
      <alignment horizontal="center" vertical="center"/>
    </xf>
    <xf numFmtId="0" fontId="0" fillId="15" borderId="0" xfId="0" applyFill="1" applyAlignment="1">
      <alignment horizontal="centerContinuous"/>
    </xf>
    <xf numFmtId="4" fontId="69" fillId="5" borderId="0" xfId="0" applyNumberFormat="1" applyFont="1" applyFill="1"/>
    <xf numFmtId="4" fontId="233" fillId="2" borderId="0" xfId="0" applyNumberFormat="1" applyFont="1" applyFill="1" applyAlignment="1">
      <alignment vertical="center" wrapText="1"/>
    </xf>
    <xf numFmtId="6" fontId="8" fillId="2" borderId="0" xfId="0" applyNumberFormat="1" applyFont="1" applyFill="1" applyAlignment="1">
      <alignment horizontal="left"/>
    </xf>
    <xf numFmtId="4" fontId="233" fillId="15" borderId="0" xfId="0" applyNumberFormat="1" applyFont="1" applyFill="1" applyAlignment="1">
      <alignment vertical="center" wrapText="1"/>
    </xf>
    <xf numFmtId="0" fontId="4" fillId="15" borderId="25" xfId="0" applyFont="1" applyFill="1" applyBorder="1" applyAlignment="1">
      <alignment horizontal="right"/>
    </xf>
    <xf numFmtId="0" fontId="4" fillId="15" borderId="25" xfId="0" applyFont="1" applyFill="1" applyBorder="1" applyAlignment="1">
      <alignment horizontal="left"/>
    </xf>
    <xf numFmtId="0" fontId="4" fillId="39" borderId="0" xfId="0" applyFont="1" applyFill="1" applyAlignment="1">
      <alignment vertical="center"/>
    </xf>
    <xf numFmtId="6" fontId="37" fillId="2" borderId="0" xfId="0" applyNumberFormat="1" applyFont="1" applyFill="1"/>
    <xf numFmtId="6" fontId="132" fillId="2" borderId="3" xfId="0" applyNumberFormat="1" applyFont="1" applyFill="1" applyBorder="1"/>
    <xf numFmtId="6" fontId="132" fillId="2" borderId="3" xfId="0" applyNumberFormat="1" applyFont="1" applyFill="1" applyBorder="1" applyAlignment="1">
      <alignment horizontal="center"/>
    </xf>
    <xf numFmtId="4" fontId="22" fillId="5" borderId="0" xfId="0" applyNumberFormat="1" applyFont="1" applyFill="1"/>
    <xf numFmtId="0" fontId="12" fillId="39" borderId="0" xfId="0" applyFont="1" applyFill="1" applyAlignment="1">
      <alignment horizontal="left" vertical="center"/>
    </xf>
    <xf numFmtId="0" fontId="0" fillId="39" borderId="0" xfId="0" applyFill="1" applyAlignment="1">
      <alignment vertical="center"/>
    </xf>
    <xf numFmtId="0" fontId="10" fillId="39" borderId="0" xfId="0" applyFont="1" applyFill="1" applyAlignment="1">
      <alignment vertical="center"/>
    </xf>
    <xf numFmtId="0" fontId="16" fillId="39" borderId="0" xfId="0" applyFont="1" applyFill="1" applyAlignment="1">
      <alignment horizontal="left" vertical="center"/>
    </xf>
    <xf numFmtId="1" fontId="10" fillId="39" borderId="0" xfId="0" applyNumberFormat="1" applyFont="1" applyFill="1" applyAlignment="1">
      <alignment horizontal="center" vertical="center"/>
    </xf>
    <xf numFmtId="1" fontId="10" fillId="39" borderId="0" xfId="0" applyNumberFormat="1" applyFont="1" applyFill="1" applyAlignment="1">
      <alignment horizontal="right" vertical="center"/>
    </xf>
    <xf numFmtId="1" fontId="8" fillId="39" borderId="0" xfId="0" applyNumberFormat="1" applyFont="1" applyFill="1" applyAlignment="1">
      <alignment horizontal="right" vertical="center"/>
    </xf>
    <xf numFmtId="1" fontId="22" fillId="5" borderId="0" xfId="0" applyNumberFormat="1" applyFont="1" applyFill="1" applyAlignment="1">
      <alignment horizontal="right" vertical="center"/>
    </xf>
    <xf numFmtId="0" fontId="22" fillId="5" borderId="0" xfId="0" applyFont="1" applyFill="1"/>
    <xf numFmtId="4" fontId="8" fillId="21" borderId="0" xfId="0" applyNumberFormat="1" applyFont="1" applyFill="1" applyAlignment="1">
      <alignment horizontal="center"/>
    </xf>
    <xf numFmtId="0" fontId="8" fillId="21" borderId="0" xfId="0" applyFont="1" applyFill="1" applyAlignment="1">
      <alignment horizontal="center"/>
    </xf>
    <xf numFmtId="0" fontId="8" fillId="21" borderId="24" xfId="0" applyFont="1" applyFill="1" applyBorder="1" applyAlignment="1">
      <alignment horizontal="center"/>
    </xf>
    <xf numFmtId="0" fontId="4" fillId="39" borderId="6" xfId="0" applyFont="1" applyFill="1" applyBorder="1" applyAlignment="1">
      <alignment horizontal="center"/>
    </xf>
    <xf numFmtId="0" fontId="207" fillId="15" borderId="3" xfId="0" applyFont="1" applyFill="1" applyBorder="1" applyAlignment="1">
      <alignment wrapText="1"/>
    </xf>
    <xf numFmtId="3" fontId="109" fillId="15" borderId="0" xfId="0" applyNumberFormat="1" applyFont="1" applyFill="1" applyAlignment="1">
      <alignment horizontal="right"/>
    </xf>
    <xf numFmtId="0" fontId="109" fillId="15" borderId="0" xfId="0" applyFont="1" applyFill="1" applyAlignment="1">
      <alignment horizontal="right"/>
    </xf>
    <xf numFmtId="4" fontId="12" fillId="15" borderId="0" xfId="0" applyNumberFormat="1" applyFont="1" applyFill="1" applyAlignment="1">
      <alignment vertical="center"/>
    </xf>
    <xf numFmtId="4" fontId="206" fillId="2" borderId="0" xfId="0" applyNumberFormat="1" applyFont="1" applyFill="1" applyAlignment="1">
      <alignment horizontal="left"/>
    </xf>
    <xf numFmtId="4" fontId="206" fillId="2" borderId="24" xfId="0" applyNumberFormat="1" applyFont="1" applyFill="1" applyBorder="1" applyAlignment="1">
      <alignment horizontal="left"/>
    </xf>
    <xf numFmtId="1" fontId="0" fillId="10" borderId="0" xfId="0" applyNumberFormat="1" applyFill="1" applyAlignment="1">
      <alignment vertical="center"/>
    </xf>
    <xf numFmtId="0" fontId="146" fillId="15" borderId="3" xfId="0" applyFont="1" applyFill="1" applyBorder="1"/>
    <xf numFmtId="0" fontId="4" fillId="39" borderId="10" xfId="0" quotePrefix="1" applyFont="1" applyFill="1" applyBorder="1" applyAlignment="1">
      <alignment horizontal="right"/>
    </xf>
    <xf numFmtId="4" fontId="206" fillId="2" borderId="0" xfId="0" applyNumberFormat="1" applyFont="1" applyFill="1" applyAlignment="1">
      <alignment horizontal="center"/>
    </xf>
    <xf numFmtId="4" fontId="110" fillId="2" borderId="0" xfId="0" applyNumberFormat="1" applyFont="1" applyFill="1"/>
    <xf numFmtId="0" fontId="110" fillId="15" borderId="23" xfId="4" applyFont="1" applyFill="1" applyBorder="1"/>
    <xf numFmtId="0" fontId="110" fillId="15" borderId="7" xfId="4" applyFont="1" applyFill="1" applyBorder="1"/>
    <xf numFmtId="0" fontId="123" fillId="15" borderId="7" xfId="4" applyFont="1" applyFill="1" applyBorder="1"/>
    <xf numFmtId="0" fontId="110" fillId="15" borderId="7" xfId="4" applyFont="1" applyFill="1" applyBorder="1" applyAlignment="1">
      <alignment horizontal="center"/>
    </xf>
    <xf numFmtId="0" fontId="6" fillId="15" borderId="7" xfId="4" applyFill="1" applyBorder="1" applyAlignment="1">
      <alignment horizontal="center"/>
    </xf>
    <xf numFmtId="0" fontId="6" fillId="15" borderId="19" xfId="4" applyFill="1" applyBorder="1" applyAlignment="1">
      <alignment horizontal="center"/>
    </xf>
    <xf numFmtId="0" fontId="4" fillId="39" borderId="12" xfId="0" quotePrefix="1" applyFont="1" applyFill="1" applyBorder="1" applyAlignment="1">
      <alignment horizontal="right"/>
    </xf>
    <xf numFmtId="4" fontId="4" fillId="2" borderId="0" xfId="0" applyNumberFormat="1" applyFont="1" applyFill="1"/>
    <xf numFmtId="0" fontId="6" fillId="15" borderId="5" xfId="4" applyFill="1" applyBorder="1"/>
    <xf numFmtId="0" fontId="6" fillId="15" borderId="0" xfId="4" applyFill="1"/>
    <xf numFmtId="0" fontId="6" fillId="15" borderId="0" xfId="4" applyFill="1" applyAlignment="1">
      <alignment horizontal="center"/>
    </xf>
    <xf numFmtId="0" fontId="6" fillId="15" borderId="20" xfId="4" applyFill="1" applyBorder="1" applyAlignment="1">
      <alignment horizontal="center"/>
    </xf>
    <xf numFmtId="4" fontId="207" fillId="15" borderId="0" xfId="0" applyNumberFormat="1" applyFont="1" applyFill="1" applyAlignment="1">
      <alignment horizontal="left"/>
    </xf>
    <xf numFmtId="0" fontId="0" fillId="15" borderId="0" xfId="0" applyFill="1" applyAlignment="1">
      <alignment horizontal="center" vertical="center"/>
    </xf>
    <xf numFmtId="0" fontId="206" fillId="15" borderId="0" xfId="0" applyFont="1" applyFill="1" applyAlignment="1">
      <alignment horizontal="left"/>
    </xf>
    <xf numFmtId="182" fontId="143" fillId="15" borderId="0" xfId="4" applyNumberFormat="1" applyFont="1" applyFill="1" applyAlignment="1">
      <alignment horizontal="center"/>
    </xf>
    <xf numFmtId="0" fontId="6" fillId="15" borderId="0" xfId="4" applyFill="1" applyAlignment="1">
      <alignment horizontal="right"/>
    </xf>
    <xf numFmtId="3" fontId="137" fillId="15" borderId="0" xfId="0" applyNumberFormat="1" applyFont="1" applyFill="1" applyAlignment="1">
      <alignment horizontal="center"/>
    </xf>
    <xf numFmtId="0" fontId="6" fillId="15" borderId="5" xfId="4" applyFill="1" applyBorder="1" applyAlignment="1">
      <alignment horizontal="center"/>
    </xf>
    <xf numFmtId="0" fontId="6" fillId="15" borderId="12" xfId="4" applyFill="1" applyBorder="1"/>
    <xf numFmtId="0" fontId="6" fillId="15" borderId="0" xfId="4" quotePrefix="1" applyFill="1" applyAlignment="1">
      <alignment horizontal="right"/>
    </xf>
    <xf numFmtId="0" fontId="6" fillId="15" borderId="2" xfId="4" applyFill="1" applyBorder="1"/>
    <xf numFmtId="4" fontId="137" fillId="15" borderId="0" xfId="0" applyNumberFormat="1" applyFont="1" applyFill="1"/>
    <xf numFmtId="1" fontId="6" fillId="15" borderId="0" xfId="4" applyNumberFormat="1" applyFill="1" applyAlignment="1">
      <alignment horizontal="center"/>
    </xf>
    <xf numFmtId="182" fontId="6" fillId="15" borderId="0" xfId="4" applyNumberFormat="1" applyFill="1" applyAlignment="1">
      <alignment horizontal="center"/>
    </xf>
    <xf numFmtId="4" fontId="57" fillId="15" borderId="0" xfId="0" applyNumberFormat="1" applyFont="1" applyFill="1"/>
    <xf numFmtId="0" fontId="6" fillId="15" borderId="5" xfId="4" applyFill="1" applyBorder="1" applyAlignment="1">
      <alignment horizontal="right"/>
    </xf>
    <xf numFmtId="4" fontId="207" fillId="15" borderId="0" xfId="0" applyNumberFormat="1" applyFont="1" applyFill="1" applyAlignment="1">
      <alignment horizontal="center"/>
    </xf>
    <xf numFmtId="0" fontId="206" fillId="15" borderId="24" xfId="0" applyFont="1" applyFill="1" applyBorder="1" applyAlignment="1">
      <alignment horizontal="center"/>
    </xf>
    <xf numFmtId="0" fontId="6" fillId="15" borderId="5" xfId="4" quotePrefix="1" applyFill="1" applyBorder="1" applyAlignment="1">
      <alignment horizontal="left"/>
    </xf>
    <xf numFmtId="0" fontId="6" fillId="15" borderId="1" xfId="4" applyFill="1" applyBorder="1" applyAlignment="1">
      <alignment horizontal="center"/>
    </xf>
    <xf numFmtId="0" fontId="6" fillId="15" borderId="29" xfId="4" applyFill="1" applyBorder="1" applyAlignment="1">
      <alignment horizontal="center"/>
    </xf>
    <xf numFmtId="4" fontId="106" fillId="15" borderId="0" xfId="0" applyNumberFormat="1" applyFont="1" applyFill="1" applyAlignment="1">
      <alignment horizontal="right" vertical="center"/>
    </xf>
    <xf numFmtId="0" fontId="117" fillId="15" borderId="0" xfId="0" applyFont="1" applyFill="1" applyAlignment="1">
      <alignment horizontal="right" vertical="center"/>
    </xf>
    <xf numFmtId="4" fontId="12" fillId="15" borderId="0" xfId="0" applyNumberFormat="1" applyFont="1" applyFill="1"/>
    <xf numFmtId="167" fontId="9" fillId="39" borderId="24" xfId="0" applyNumberFormat="1" applyFont="1" applyFill="1" applyBorder="1" applyAlignment="1">
      <alignment horizontal="right" vertical="center"/>
    </xf>
    <xf numFmtId="4" fontId="137" fillId="15" borderId="0" xfId="0" applyNumberFormat="1" applyFont="1" applyFill="1" applyAlignment="1">
      <alignment horizontal="right" vertical="center"/>
    </xf>
    <xf numFmtId="0" fontId="112" fillId="15" borderId="0" xfId="0" applyFont="1" applyFill="1" applyAlignment="1">
      <alignment horizontal="right" vertical="center"/>
    </xf>
    <xf numFmtId="0" fontId="137" fillId="15" borderId="0" xfId="0" applyFont="1" applyFill="1" applyAlignment="1">
      <alignment horizontal="center" vertical="center"/>
    </xf>
    <xf numFmtId="14" fontId="6" fillId="15" borderId="0" xfId="4" applyNumberFormat="1" applyFill="1" applyAlignment="1">
      <alignment horizontal="center"/>
    </xf>
    <xf numFmtId="0" fontId="4" fillId="39" borderId="0" xfId="0" applyFont="1" applyFill="1" applyAlignment="1">
      <alignment horizontal="right" indent="1"/>
    </xf>
    <xf numFmtId="0" fontId="11" fillId="15" borderId="0" xfId="4" applyFont="1" applyFill="1" applyAlignment="1">
      <alignment horizontal="center"/>
    </xf>
    <xf numFmtId="0" fontId="11" fillId="15" borderId="0" xfId="4" applyFont="1" applyFill="1"/>
    <xf numFmtId="182" fontId="6" fillId="15" borderId="30" xfId="0" applyNumberFormat="1" applyFont="1" applyFill="1" applyBorder="1" applyAlignment="1">
      <alignment horizontal="center"/>
    </xf>
    <xf numFmtId="182" fontId="6" fillId="15" borderId="2" xfId="0" applyNumberFormat="1" applyFont="1" applyFill="1" applyBorder="1" applyAlignment="1">
      <alignment horizontal="center"/>
    </xf>
    <xf numFmtId="0" fontId="6" fillId="15" borderId="9" xfId="0" applyFont="1" applyFill="1" applyBorder="1" applyAlignment="1">
      <alignment horizontal="center"/>
    </xf>
    <xf numFmtId="0" fontId="6" fillId="15" borderId="43" xfId="0" applyFont="1" applyFill="1" applyBorder="1" applyAlignment="1">
      <alignment horizontal="center"/>
    </xf>
    <xf numFmtId="4" fontId="112" fillId="15" borderId="0" xfId="0" applyNumberFormat="1" applyFont="1" applyFill="1"/>
    <xf numFmtId="4" fontId="22" fillId="15" borderId="0" xfId="0" applyNumberFormat="1" applyFont="1" applyFill="1"/>
    <xf numFmtId="14" fontId="143" fillId="15" borderId="20" xfId="4" applyNumberFormat="1" applyFont="1" applyFill="1" applyBorder="1"/>
    <xf numFmtId="185" fontId="6" fillId="15" borderId="0" xfId="4" applyNumberFormat="1" applyFill="1" applyAlignment="1">
      <alignment horizontal="center"/>
    </xf>
    <xf numFmtId="4" fontId="106" fillId="15" borderId="0" xfId="0" applyNumberFormat="1" applyFont="1" applyFill="1" applyAlignment="1">
      <alignment horizontal="right"/>
    </xf>
    <xf numFmtId="0" fontId="6" fillId="15" borderId="21" xfId="4" applyFill="1" applyBorder="1"/>
    <xf numFmtId="0" fontId="6" fillId="15" borderId="4" xfId="4" applyFill="1" applyBorder="1"/>
    <xf numFmtId="0" fontId="6" fillId="15" borderId="4" xfId="4" applyFill="1" applyBorder="1" applyAlignment="1">
      <alignment horizontal="center"/>
    </xf>
    <xf numFmtId="0" fontId="6" fillId="15" borderId="22" xfId="4" applyFill="1" applyBorder="1" applyAlignment="1">
      <alignment horizontal="center"/>
    </xf>
    <xf numFmtId="37" fontId="4" fillId="27" borderId="58" xfId="0" applyNumberFormat="1" applyFont="1" applyFill="1" applyBorder="1"/>
    <xf numFmtId="37" fontId="4" fillId="27" borderId="110" xfId="0" applyNumberFormat="1" applyFont="1" applyFill="1" applyBorder="1"/>
    <xf numFmtId="0" fontId="11" fillId="15" borderId="5" xfId="0" applyFont="1" applyFill="1" applyBorder="1" applyAlignment="1" applyProtection="1">
      <alignment vertical="top"/>
      <protection hidden="1"/>
    </xf>
    <xf numFmtId="0" fontId="0" fillId="15" borderId="20" xfId="0" applyFill="1" applyBorder="1" applyAlignment="1" applyProtection="1">
      <alignment vertical="top"/>
      <protection hidden="1"/>
    </xf>
    <xf numFmtId="0" fontId="56" fillId="15" borderId="0" xfId="0" applyFont="1" applyFill="1" applyAlignment="1">
      <alignment horizontal="left"/>
    </xf>
    <xf numFmtId="0" fontId="10" fillId="15" borderId="0" xfId="0" applyFont="1" applyFill="1" applyAlignment="1" applyProtection="1">
      <alignment horizontal="center" vertical="top"/>
      <protection hidden="1"/>
    </xf>
    <xf numFmtId="0" fontId="110" fillId="15" borderId="0" xfId="0" quotePrefix="1" applyFont="1" applyFill="1" applyAlignment="1" applyProtection="1">
      <alignment horizontal="center"/>
      <protection hidden="1"/>
    </xf>
    <xf numFmtId="0" fontId="0" fillId="15" borderId="8" xfId="0" applyFill="1" applyBorder="1" applyAlignment="1">
      <alignment vertical="top"/>
    </xf>
    <xf numFmtId="0" fontId="8" fillId="15" borderId="8" xfId="0" applyFont="1" applyFill="1" applyBorder="1" applyAlignment="1">
      <alignment horizontal="left"/>
    </xf>
    <xf numFmtId="0" fontId="314" fillId="23" borderId="0" xfId="0" applyFont="1" applyFill="1"/>
    <xf numFmtId="0" fontId="227" fillId="23" borderId="0" xfId="0" applyFont="1" applyFill="1"/>
    <xf numFmtId="0" fontId="158" fillId="23" borderId="0" xfId="0" applyFont="1" applyFill="1"/>
    <xf numFmtId="0" fontId="227" fillId="23" borderId="0" xfId="0" applyFont="1" applyFill="1" applyAlignment="1">
      <alignment horizontal="center"/>
    </xf>
    <xf numFmtId="0" fontId="6" fillId="23" borderId="0" xfId="0" applyFont="1" applyFill="1" applyAlignment="1">
      <alignment horizontal="left" vertical="center" indent="1"/>
    </xf>
    <xf numFmtId="0" fontId="0" fillId="23" borderId="0" xfId="0" applyFill="1" applyAlignment="1">
      <alignment horizontal="left" vertical="center" indent="1"/>
    </xf>
    <xf numFmtId="37" fontId="227" fillId="23" borderId="0" xfId="0" applyNumberFormat="1" applyFont="1" applyFill="1" applyAlignment="1">
      <alignment horizontal="center"/>
    </xf>
    <xf numFmtId="37" fontId="4" fillId="19" borderId="0" xfId="0" applyNumberFormat="1" applyFont="1" applyFill="1"/>
    <xf numFmtId="0" fontId="288" fillId="15" borderId="5" xfId="0" applyFont="1" applyFill="1" applyBorder="1" applyAlignment="1">
      <alignment vertical="center"/>
    </xf>
    <xf numFmtId="0" fontId="109" fillId="15" borderId="0" xfId="0" applyFont="1" applyFill="1" applyAlignment="1">
      <alignment vertical="center"/>
    </xf>
    <xf numFmtId="0" fontId="0" fillId="15" borderId="5" xfId="0" applyFill="1" applyBorder="1" applyAlignment="1">
      <alignment wrapText="1"/>
    </xf>
    <xf numFmtId="0" fontId="0" fillId="15" borderId="8" xfId="0" applyFill="1" applyBorder="1" applyAlignment="1">
      <alignment horizontal="right"/>
    </xf>
    <xf numFmtId="0" fontId="206" fillId="15" borderId="0" xfId="0" applyFont="1" applyFill="1"/>
    <xf numFmtId="3" fontId="146" fillId="15" borderId="0" xfId="0" applyNumberFormat="1" applyFont="1" applyFill="1" applyAlignment="1">
      <alignment wrapText="1"/>
    </xf>
    <xf numFmtId="0" fontId="197" fillId="15" borderId="0" xfId="0" applyFont="1" applyFill="1"/>
    <xf numFmtId="0" fontId="210" fillId="15" borderId="0" xfId="0" applyFont="1" applyFill="1" applyAlignment="1">
      <alignment vertical="center"/>
    </xf>
    <xf numFmtId="3" fontId="109" fillId="15" borderId="0" xfId="0" applyNumberFormat="1" applyFont="1" applyFill="1" applyAlignment="1">
      <alignment wrapText="1"/>
    </xf>
    <xf numFmtId="0" fontId="15" fillId="15" borderId="0" xfId="0" applyFont="1" applyFill="1" applyAlignment="1">
      <alignment horizontal="right" vertical="center" wrapText="1" indent="1"/>
    </xf>
    <xf numFmtId="0" fontId="134" fillId="15" borderId="0" xfId="0" applyFont="1" applyFill="1"/>
    <xf numFmtId="0" fontId="15" fillId="15" borderId="25" xfId="0" applyFont="1" applyFill="1" applyBorder="1" applyAlignment="1">
      <alignment horizontal="center"/>
    </xf>
    <xf numFmtId="0" fontId="6" fillId="15" borderId="25" xfId="0" applyFont="1" applyFill="1" applyBorder="1"/>
    <xf numFmtId="0" fontId="110" fillId="15" borderId="0" xfId="0" applyFont="1" applyFill="1" applyAlignment="1">
      <alignment horizontal="right"/>
    </xf>
    <xf numFmtId="0" fontId="0" fillId="15" borderId="1" xfId="0" applyFill="1" applyBorder="1" applyAlignment="1">
      <alignment horizontal="right" indent="1"/>
    </xf>
    <xf numFmtId="0" fontId="229" fillId="23" borderId="0" xfId="0" applyFont="1" applyFill="1"/>
    <xf numFmtId="0" fontId="228" fillId="23" borderId="0" xfId="0" applyFont="1" applyFill="1" applyAlignment="1">
      <alignment vertical="top"/>
    </xf>
    <xf numFmtId="0" fontId="9" fillId="15" borderId="0" xfId="0" applyFont="1" applyFill="1" applyAlignment="1">
      <alignment vertical="top"/>
    </xf>
    <xf numFmtId="0" fontId="4" fillId="15" borderId="0" xfId="0" applyFont="1" applyFill="1" applyAlignment="1">
      <alignment horizontal="right" vertical="top"/>
    </xf>
    <xf numFmtId="0" fontId="0" fillId="15" borderId="30" xfId="0" applyFill="1" applyBorder="1" applyAlignment="1">
      <alignment vertical="top"/>
    </xf>
    <xf numFmtId="0" fontId="6" fillId="15" borderId="1" xfId="0" applyFont="1" applyFill="1" applyBorder="1" applyAlignment="1">
      <alignment vertical="top"/>
    </xf>
    <xf numFmtId="0" fontId="0" fillId="19" borderId="9" xfId="0" applyFill="1" applyBorder="1"/>
    <xf numFmtId="0" fontId="0" fillId="19" borderId="1" xfId="0" applyFill="1" applyBorder="1"/>
    <xf numFmtId="0" fontId="0" fillId="19" borderId="11" xfId="0" applyFill="1" applyBorder="1"/>
    <xf numFmtId="0" fontId="4" fillId="15" borderId="0" xfId="0" applyFont="1" applyFill="1" applyAlignment="1">
      <alignment horizontal="right" vertical="center" wrapText="1" indent="1"/>
    </xf>
    <xf numFmtId="0" fontId="6" fillId="19" borderId="3" xfId="0" applyFont="1" applyFill="1" applyBorder="1"/>
    <xf numFmtId="0" fontId="6" fillId="19" borderId="0" xfId="0" applyFont="1" applyFill="1"/>
    <xf numFmtId="0" fontId="6" fillId="19" borderId="24" xfId="0" applyFont="1" applyFill="1" applyBorder="1"/>
    <xf numFmtId="0" fontId="112" fillId="15" borderId="3" xfId="0" applyFont="1" applyFill="1" applyBorder="1" applyAlignment="1">
      <alignment horizontal="center"/>
    </xf>
    <xf numFmtId="0" fontId="11" fillId="15" borderId="24" xfId="0" applyFont="1" applyFill="1" applyBorder="1" applyAlignment="1">
      <alignment horizontal="left"/>
    </xf>
    <xf numFmtId="0" fontId="109" fillId="15" borderId="0" xfId="0" applyFont="1" applyFill="1" applyAlignment="1">
      <alignment horizontal="left"/>
    </xf>
    <xf numFmtId="0" fontId="129" fillId="15" borderId="0" xfId="0" applyFont="1" applyFill="1" applyAlignment="1">
      <alignment horizontal="left"/>
    </xf>
    <xf numFmtId="0" fontId="168" fillId="15" borderId="3" xfId="0" applyFont="1" applyFill="1" applyBorder="1" applyAlignment="1">
      <alignment horizontal="left" vertical="center"/>
    </xf>
    <xf numFmtId="0" fontId="8" fillId="15" borderId="24" xfId="0" applyFont="1" applyFill="1" applyBorder="1"/>
    <xf numFmtId="0" fontId="9" fillId="15" borderId="9" xfId="0" applyFont="1" applyFill="1" applyBorder="1" applyAlignment="1">
      <alignment horizontal="right" vertical="center"/>
    </xf>
    <xf numFmtId="0" fontId="8" fillId="15" borderId="11" xfId="0" applyFont="1" applyFill="1" applyBorder="1"/>
    <xf numFmtId="0" fontId="15" fillId="15" borderId="0" xfId="0" applyFont="1" applyFill="1" applyAlignment="1">
      <alignment horizontal="right" vertical="center"/>
    </xf>
    <xf numFmtId="0" fontId="168" fillId="15" borderId="0" xfId="0" applyFont="1" applyFill="1" applyAlignment="1">
      <alignment horizontal="right" vertical="center"/>
    </xf>
    <xf numFmtId="0" fontId="15" fillId="15" borderId="1" xfId="0" applyFont="1" applyFill="1" applyBorder="1" applyAlignment="1">
      <alignment horizontal="right" vertical="center"/>
    </xf>
    <xf numFmtId="0" fontId="12" fillId="15" borderId="9" xfId="0" applyFont="1" applyFill="1" applyBorder="1" applyAlignment="1">
      <alignment horizontal="right" vertical="center"/>
    </xf>
    <xf numFmtId="0" fontId="10" fillId="15" borderId="11" xfId="0" applyFont="1" applyFill="1" applyBorder="1"/>
    <xf numFmtId="41" fontId="228" fillId="23" borderId="0" xfId="0" applyNumberFormat="1" applyFont="1" applyFill="1"/>
    <xf numFmtId="1" fontId="11" fillId="15" borderId="25" xfId="0" applyNumberFormat="1" applyFont="1" applyFill="1" applyBorder="1" applyAlignment="1">
      <alignment horizontal="center" vertical="center" wrapText="1"/>
    </xf>
    <xf numFmtId="0" fontId="227" fillId="23" borderId="0" xfId="0" applyFont="1" applyFill="1" applyAlignment="1">
      <alignment vertical="center"/>
    </xf>
    <xf numFmtId="0" fontId="4" fillId="15" borderId="25" xfId="0" applyFont="1" applyFill="1" applyBorder="1"/>
    <xf numFmtId="0" fontId="4" fillId="15" borderId="54" xfId="0" applyFont="1" applyFill="1" applyBorder="1" applyAlignment="1">
      <alignment horizontal="right"/>
    </xf>
    <xf numFmtId="0" fontId="6" fillId="15" borderId="4" xfId="0" applyFont="1" applyFill="1" applyBorder="1" applyAlignment="1">
      <alignment horizontal="right"/>
    </xf>
    <xf numFmtId="0" fontId="11" fillId="15" borderId="25" xfId="0" applyFont="1" applyFill="1" applyBorder="1"/>
    <xf numFmtId="0" fontId="4" fillId="0" borderId="24" xfId="0" applyFont="1" applyBorder="1" applyAlignment="1">
      <alignment horizontal="center"/>
    </xf>
    <xf numFmtId="37" fontId="0" fillId="15" borderId="19" xfId="0" applyNumberFormat="1" applyFill="1" applyBorder="1"/>
    <xf numFmtId="37" fontId="0" fillId="15" borderId="29" xfId="0" applyNumberFormat="1" applyFill="1" applyBorder="1"/>
    <xf numFmtId="14" fontId="0" fillId="15" borderId="5" xfId="0" applyNumberFormat="1" applyFill="1" applyBorder="1"/>
    <xf numFmtId="37" fontId="0" fillId="15" borderId="20" xfId="0" applyNumberFormat="1" applyFill="1" applyBorder="1"/>
    <xf numFmtId="14" fontId="4" fillId="15" borderId="5" xfId="0" quotePrefix="1" applyNumberFormat="1" applyFont="1" applyFill="1" applyBorder="1" applyAlignment="1">
      <alignment horizontal="right"/>
    </xf>
    <xf numFmtId="37" fontId="4" fillId="15" borderId="0" xfId="0" quotePrefix="1" applyNumberFormat="1" applyFont="1" applyFill="1" applyAlignment="1">
      <alignment horizontal="right"/>
    </xf>
    <xf numFmtId="39" fontId="112" fillId="15" borderId="0" xfId="0" applyNumberFormat="1" applyFont="1" applyFill="1"/>
    <xf numFmtId="191" fontId="112" fillId="15" borderId="0" xfId="0" applyNumberFormat="1" applyFont="1" applyFill="1"/>
    <xf numFmtId="0" fontId="0" fillId="15" borderId="3" xfId="0" applyFill="1" applyBorder="1" applyAlignment="1">
      <alignment wrapText="1"/>
    </xf>
    <xf numFmtId="0" fontId="15" fillId="15" borderId="4" xfId="0" applyFont="1" applyFill="1" applyBorder="1" applyAlignment="1">
      <alignment horizontal="center" wrapText="1"/>
    </xf>
    <xf numFmtId="14" fontId="0" fillId="15" borderId="21" xfId="0" applyNumberFormat="1" applyFill="1" applyBorder="1"/>
    <xf numFmtId="37" fontId="0" fillId="15" borderId="22" xfId="0" applyNumberFormat="1" applyFill="1" applyBorder="1"/>
    <xf numFmtId="0" fontId="11" fillId="15" borderId="25" xfId="0" applyFont="1" applyFill="1" applyBorder="1" applyAlignment="1">
      <alignment vertical="center"/>
    </xf>
    <xf numFmtId="0" fontId="246" fillId="19" borderId="0" xfId="0" applyFont="1" applyFill="1"/>
    <xf numFmtId="0" fontId="4" fillId="15" borderId="4" xfId="0" applyFont="1" applyFill="1" applyBorder="1" applyAlignment="1">
      <alignment horizontal="center" wrapText="1"/>
    </xf>
    <xf numFmtId="0" fontId="121" fillId="15" borderId="4" xfId="0" applyFont="1" applyFill="1" applyBorder="1"/>
    <xf numFmtId="0" fontId="6" fillId="19" borderId="9" xfId="0" applyFont="1" applyFill="1" applyBorder="1"/>
    <xf numFmtId="0" fontId="6" fillId="19" borderId="1" xfId="0" applyFont="1" applyFill="1" applyBorder="1"/>
    <xf numFmtId="0" fontId="6" fillId="19" borderId="11" xfId="0" applyFont="1" applyFill="1" applyBorder="1"/>
    <xf numFmtId="0" fontId="6" fillId="15" borderId="0" xfId="0" applyFont="1" applyFill="1" applyAlignment="1">
      <alignment horizontal="right" indent="1"/>
    </xf>
    <xf numFmtId="0" fontId="14" fillId="15" borderId="34" xfId="0" applyFont="1" applyFill="1" applyBorder="1"/>
    <xf numFmtId="0" fontId="11" fillId="15" borderId="34" xfId="0" applyFont="1" applyFill="1" applyBorder="1"/>
    <xf numFmtId="0" fontId="115" fillId="15" borderId="0" xfId="0" applyFont="1" applyFill="1" applyAlignment="1">
      <alignment vertical="center"/>
    </xf>
    <xf numFmtId="0" fontId="15" fillId="15" borderId="0" xfId="0" applyFont="1" applyFill="1" applyAlignment="1">
      <alignment horizontal="right" vertical="top"/>
    </xf>
    <xf numFmtId="0" fontId="0" fillId="15" borderId="3" xfId="0" applyFill="1" applyBorder="1" applyAlignment="1">
      <alignment vertical="top"/>
    </xf>
    <xf numFmtId="14" fontId="0" fillId="15" borderId="21" xfId="0" applyNumberFormat="1" applyFill="1" applyBorder="1" applyAlignment="1">
      <alignment vertical="top"/>
    </xf>
    <xf numFmtId="37" fontId="0" fillId="15" borderId="4" xfId="0" applyNumberFormat="1" applyFill="1" applyBorder="1" applyAlignment="1">
      <alignment vertical="top"/>
    </xf>
    <xf numFmtId="37" fontId="0" fillId="15" borderId="22" xfId="0" applyNumberFormat="1" applyFill="1" applyBorder="1" applyAlignment="1">
      <alignment vertical="top"/>
    </xf>
    <xf numFmtId="0" fontId="6" fillId="15" borderId="25" xfId="0" applyFont="1" applyFill="1" applyBorder="1" applyAlignment="1">
      <alignment vertical="center"/>
    </xf>
    <xf numFmtId="0" fontId="0" fillId="15" borderId="36" xfId="0" applyFill="1" applyBorder="1"/>
    <xf numFmtId="0" fontId="228" fillId="0" borderId="0" xfId="0" applyFont="1"/>
    <xf numFmtId="0" fontId="338" fillId="15" borderId="0" xfId="2" applyFont="1" applyFill="1" applyAlignment="1" applyProtection="1">
      <alignment vertical="center"/>
      <protection hidden="1"/>
    </xf>
    <xf numFmtId="0" fontId="11" fillId="15" borderId="0" xfId="0" applyFont="1" applyFill="1" applyAlignment="1" applyProtection="1">
      <alignment horizontal="left" vertical="center"/>
      <protection hidden="1"/>
    </xf>
    <xf numFmtId="0" fontId="8" fillId="0" borderId="0" xfId="0" applyFont="1" applyAlignment="1">
      <alignment horizontal="center"/>
    </xf>
    <xf numFmtId="0" fontId="0" fillId="15" borderId="4" xfId="0" applyFill="1" applyBorder="1" applyAlignment="1">
      <alignment horizontal="center"/>
    </xf>
    <xf numFmtId="0" fontId="121" fillId="15" borderId="0" xfId="0" applyFont="1" applyFill="1" applyAlignment="1">
      <alignment horizontal="left"/>
    </xf>
    <xf numFmtId="0" fontId="10" fillId="0" borderId="0" xfId="0" applyFont="1" applyAlignment="1">
      <alignment horizontal="center" vertical="center"/>
    </xf>
    <xf numFmtId="37" fontId="110" fillId="3" borderId="30" xfId="0" applyNumberFormat="1" applyFont="1" applyFill="1" applyBorder="1" applyAlignment="1">
      <alignment horizontal="right"/>
    </xf>
    <xf numFmtId="0" fontId="110" fillId="15" borderId="8" xfId="0" applyFont="1" applyFill="1" applyBorder="1"/>
    <xf numFmtId="0" fontId="4" fillId="15" borderId="0" xfId="0" quotePrefix="1" applyFont="1" applyFill="1" applyAlignment="1">
      <alignment horizontal="center" vertical="center"/>
    </xf>
    <xf numFmtId="0" fontId="47" fillId="15" borderId="0" xfId="0" applyFont="1" applyFill="1" applyAlignment="1">
      <alignment horizontal="center"/>
    </xf>
    <xf numFmtId="3" fontId="10" fillId="15" borderId="0" xfId="0" applyNumberFormat="1" applyFont="1" applyFill="1"/>
    <xf numFmtId="0" fontId="111" fillId="5" borderId="0" xfId="0" applyFont="1" applyFill="1" applyAlignment="1">
      <alignment horizontal="left" vertical="center"/>
    </xf>
    <xf numFmtId="0" fontId="172" fillId="5" borderId="0" xfId="0" applyFont="1" applyFill="1" applyAlignment="1">
      <alignment horizontal="left" vertical="center"/>
    </xf>
    <xf numFmtId="0" fontId="109" fillId="2" borderId="0" xfId="0" applyFont="1" applyFill="1" applyAlignment="1">
      <alignment horizontal="center"/>
    </xf>
    <xf numFmtId="0" fontId="119" fillId="2" borderId="0" xfId="0" applyFont="1" applyFill="1" applyAlignment="1">
      <alignment horizontal="left"/>
    </xf>
    <xf numFmtId="0" fontId="167" fillId="2" borderId="0" xfId="0" applyFont="1" applyFill="1"/>
    <xf numFmtId="0" fontId="121" fillId="2" borderId="0" xfId="0" applyFont="1" applyFill="1" applyAlignment="1">
      <alignment horizontal="right"/>
    </xf>
    <xf numFmtId="0" fontId="10" fillId="0" borderId="1" xfId="0" applyFont="1" applyBorder="1" applyAlignment="1">
      <alignment horizontal="center"/>
    </xf>
    <xf numFmtId="1" fontId="20" fillId="3" borderId="0" xfId="0" applyNumberFormat="1" applyFont="1" applyFill="1" applyAlignment="1">
      <alignment horizontal="center"/>
    </xf>
    <xf numFmtId="0" fontId="11" fillId="0" borderId="0" xfId="0" applyFont="1" applyAlignment="1">
      <alignment horizontal="center"/>
    </xf>
    <xf numFmtId="0" fontId="11" fillId="15" borderId="0" xfId="0" applyFont="1" applyFill="1" applyAlignment="1">
      <alignment horizontal="center"/>
    </xf>
    <xf numFmtId="1" fontId="12" fillId="3" borderId="144" xfId="0" applyNumberFormat="1" applyFont="1" applyFill="1" applyBorder="1"/>
    <xf numFmtId="0" fontId="270" fillId="5" borderId="0" xfId="0" applyFont="1" applyFill="1" applyAlignment="1">
      <alignment horizontal="center"/>
    </xf>
    <xf numFmtId="0" fontId="4" fillId="15" borderId="0" xfId="0" quotePrefix="1" applyFont="1" applyFill="1" applyAlignment="1">
      <alignment horizontal="left"/>
    </xf>
    <xf numFmtId="0" fontId="8" fillId="3" borderId="7" xfId="0" applyFont="1" applyFill="1" applyBorder="1" applyAlignment="1">
      <alignment vertical="top"/>
    </xf>
    <xf numFmtId="0" fontId="279" fillId="2" borderId="0" xfId="0" applyFont="1" applyFill="1" applyAlignment="1">
      <alignment horizontal="center"/>
    </xf>
    <xf numFmtId="4" fontId="8" fillId="0" borderId="0" xfId="0" applyNumberFormat="1" applyFont="1" applyAlignment="1">
      <alignment horizontal="center"/>
    </xf>
    <xf numFmtId="4" fontId="8" fillId="15" borderId="0" xfId="0" applyNumberFormat="1" applyFont="1" applyFill="1" applyAlignment="1">
      <alignment horizontal="center"/>
    </xf>
    <xf numFmtId="1" fontId="309" fillId="3" borderId="0" xfId="0" applyNumberFormat="1" applyFont="1" applyFill="1" applyAlignment="1">
      <alignment horizontal="center"/>
    </xf>
    <xf numFmtId="4" fontId="9" fillId="15" borderId="0" xfId="0" applyNumberFormat="1" applyFont="1" applyFill="1" applyAlignment="1">
      <alignment horizontal="center" wrapText="1"/>
    </xf>
    <xf numFmtId="0" fontId="47" fillId="15" borderId="1" xfId="0" applyFont="1" applyFill="1" applyBorder="1" applyAlignment="1">
      <alignment horizontal="left" vertical="center"/>
    </xf>
    <xf numFmtId="0" fontId="16" fillId="15" borderId="1" xfId="0" applyFont="1" applyFill="1" applyBorder="1" applyAlignment="1">
      <alignment wrapText="1"/>
    </xf>
    <xf numFmtId="1" fontId="312" fillId="3" borderId="0" xfId="0" applyNumberFormat="1" applyFont="1" applyFill="1" applyAlignment="1">
      <alignment horizontal="center"/>
    </xf>
    <xf numFmtId="0" fontId="76" fillId="5" borderId="0" xfId="0" applyFont="1" applyFill="1" applyAlignment="1">
      <alignment vertical="center" wrapText="1"/>
    </xf>
    <xf numFmtId="4" fontId="8" fillId="15" borderId="5" xfId="0" applyNumberFormat="1" applyFont="1" applyFill="1" applyBorder="1"/>
    <xf numFmtId="0" fontId="49" fillId="9" borderId="25" xfId="0" applyFont="1" applyFill="1" applyBorder="1" applyAlignment="1">
      <alignment horizontal="center"/>
    </xf>
    <xf numFmtId="39" fontId="313" fillId="3" borderId="0" xfId="0" applyNumberFormat="1" applyFont="1" applyFill="1" applyAlignment="1">
      <alignment horizontal="center"/>
    </xf>
    <xf numFmtId="0" fontId="4" fillId="14" borderId="25" xfId="0" applyFont="1" applyFill="1" applyBorder="1" applyAlignment="1">
      <alignment horizontal="center"/>
    </xf>
    <xf numFmtId="176" fontId="313" fillId="3" borderId="0" xfId="0" applyNumberFormat="1" applyFont="1" applyFill="1" applyAlignment="1">
      <alignment horizontal="center"/>
    </xf>
    <xf numFmtId="0" fontId="4" fillId="14" borderId="8" xfId="0" applyFont="1" applyFill="1" applyBorder="1" applyAlignment="1">
      <alignment horizontal="center"/>
    </xf>
    <xf numFmtId="0" fontId="8" fillId="14" borderId="8" xfId="0" applyFont="1" applyFill="1" applyBorder="1" applyAlignment="1">
      <alignment horizontal="left" wrapText="1" indent="1"/>
    </xf>
    <xf numFmtId="0" fontId="8" fillId="15" borderId="8" xfId="0" applyFont="1" applyFill="1" applyBorder="1" applyAlignment="1">
      <alignment horizontal="left" wrapText="1" indent="1"/>
    </xf>
    <xf numFmtId="1" fontId="314" fillId="3" borderId="0" xfId="0" applyNumberFormat="1" applyFont="1" applyFill="1" applyAlignment="1">
      <alignment horizontal="center"/>
    </xf>
    <xf numFmtId="0" fontId="109" fillId="5" borderId="0" xfId="0" applyFont="1" applyFill="1" applyAlignment="1">
      <alignment horizontal="center" vertical="center" wrapText="1"/>
    </xf>
    <xf numFmtId="37" fontId="8" fillId="3" borderId="0" xfId="0" applyNumberFormat="1" applyFont="1" applyFill="1" applyAlignment="1">
      <alignment horizontal="left"/>
    </xf>
    <xf numFmtId="176" fontId="112" fillId="3" borderId="0" xfId="0" applyNumberFormat="1" applyFont="1" applyFill="1" applyAlignment="1">
      <alignment horizontal="center"/>
    </xf>
    <xf numFmtId="0" fontId="65" fillId="5" borderId="0" xfId="0" applyFont="1" applyFill="1" applyAlignment="1">
      <alignment vertical="center" wrapText="1"/>
    </xf>
    <xf numFmtId="0" fontId="10" fillId="15" borderId="5" xfId="0" applyFont="1" applyFill="1" applyBorder="1" applyAlignment="1">
      <alignment horizontal="center"/>
    </xf>
    <xf numFmtId="4" fontId="4" fillId="3" borderId="24" xfId="0" applyNumberFormat="1" applyFont="1" applyFill="1" applyBorder="1" applyAlignment="1">
      <alignment horizontal="right" indent="1"/>
    </xf>
    <xf numFmtId="0" fontId="113" fillId="5" borderId="0" xfId="0" applyFont="1" applyFill="1" applyAlignment="1">
      <alignment horizontal="center"/>
    </xf>
    <xf numFmtId="4" fontId="9" fillId="3" borderId="0" xfId="0" applyNumberFormat="1" applyFont="1" applyFill="1" applyAlignment="1">
      <alignment horizontal="center"/>
    </xf>
    <xf numFmtId="0" fontId="4" fillId="3" borderId="30" xfId="0" applyFont="1" applyFill="1" applyBorder="1" applyAlignment="1">
      <alignment horizontal="center"/>
    </xf>
    <xf numFmtId="37" fontId="6" fillId="3" borderId="30" xfId="0" applyNumberFormat="1" applyFont="1" applyFill="1" applyBorder="1" applyAlignment="1">
      <alignment horizontal="right"/>
    </xf>
    <xf numFmtId="0" fontId="10" fillId="0" borderId="12" xfId="0" quotePrefix="1" applyFont="1" applyBorder="1" applyAlignment="1">
      <alignment horizontal="center"/>
    </xf>
    <xf numFmtId="3" fontId="309" fillId="0" borderId="12" xfId="0" applyNumberFormat="1" applyFont="1" applyBorder="1" applyAlignment="1">
      <alignment horizontal="center"/>
    </xf>
    <xf numFmtId="3" fontId="10" fillId="15" borderId="0" xfId="0" applyNumberFormat="1" applyFont="1" applyFill="1" applyAlignment="1">
      <alignment horizontal="center"/>
    </xf>
    <xf numFmtId="0" fontId="10" fillId="15" borderId="5" xfId="0" applyFont="1" applyFill="1" applyBorder="1" applyAlignment="1">
      <alignment horizontal="right"/>
    </xf>
    <xf numFmtId="0" fontId="10" fillId="16" borderId="0" xfId="0" applyFont="1" applyFill="1" applyAlignment="1" applyProtection="1">
      <alignment horizontal="center"/>
      <protection locked="0"/>
    </xf>
    <xf numFmtId="0" fontId="8" fillId="3" borderId="0" xfId="0" applyFont="1" applyFill="1" applyAlignment="1">
      <alignment horizontal="right" indent="2"/>
    </xf>
    <xf numFmtId="37" fontId="6" fillId="3" borderId="3" xfId="0" applyNumberFormat="1" applyFont="1" applyFill="1" applyBorder="1" applyAlignment="1">
      <alignment horizontal="right"/>
    </xf>
    <xf numFmtId="39" fontId="279" fillId="3" borderId="0" xfId="0" applyNumberFormat="1" applyFont="1" applyFill="1" applyAlignment="1">
      <alignment horizontal="center"/>
    </xf>
    <xf numFmtId="3" fontId="10" fillId="0" borderId="12" xfId="0" applyNumberFormat="1" applyFont="1" applyBorder="1" applyAlignment="1">
      <alignment horizontal="center"/>
    </xf>
    <xf numFmtId="0" fontId="4" fillId="3" borderId="43" xfId="0" applyFont="1" applyFill="1" applyBorder="1" applyAlignment="1">
      <alignment horizontal="center"/>
    </xf>
    <xf numFmtId="37" fontId="8" fillId="28" borderId="47" xfId="0" applyNumberFormat="1" applyFont="1" applyFill="1" applyBorder="1" applyAlignment="1">
      <alignment horizontal="right"/>
    </xf>
    <xf numFmtId="39" fontId="110" fillId="3" borderId="30" xfId="0" applyNumberFormat="1" applyFont="1" applyFill="1" applyBorder="1" applyAlignment="1">
      <alignment horizontal="center"/>
    </xf>
    <xf numFmtId="0" fontId="214" fillId="0" borderId="12" xfId="0" applyFont="1" applyBorder="1" applyAlignment="1">
      <alignment horizontal="center"/>
    </xf>
    <xf numFmtId="37" fontId="10" fillId="0" borderId="0" xfId="0" applyNumberFormat="1" applyFont="1" applyAlignment="1">
      <alignment horizontal="center"/>
    </xf>
    <xf numFmtId="37" fontId="214" fillId="0" borderId="0" xfId="0" applyNumberFormat="1" applyFont="1" applyAlignment="1">
      <alignment horizontal="center"/>
    </xf>
    <xf numFmtId="3" fontId="10" fillId="15" borderId="44" xfId="0" applyNumberFormat="1" applyFont="1" applyFill="1" applyBorder="1"/>
    <xf numFmtId="0" fontId="10" fillId="15" borderId="44" xfId="0" applyFont="1" applyFill="1" applyBorder="1"/>
    <xf numFmtId="4" fontId="10" fillId="7" borderId="6" xfId="0" applyNumberFormat="1" applyFont="1" applyFill="1" applyBorder="1" applyAlignment="1">
      <alignment horizontal="center"/>
    </xf>
    <xf numFmtId="4" fontId="10" fillId="0" borderId="0" xfId="0" applyNumberFormat="1" applyFont="1" applyAlignment="1">
      <alignment horizontal="center"/>
    </xf>
    <xf numFmtId="4" fontId="214" fillId="0" borderId="0" xfId="0" applyNumberFormat="1" applyFont="1" applyAlignment="1">
      <alignment horizontal="center"/>
    </xf>
    <xf numFmtId="0" fontId="4" fillId="3" borderId="51" xfId="0" applyFont="1" applyFill="1" applyBorder="1" applyAlignment="1">
      <alignment horizontal="center"/>
    </xf>
    <xf numFmtId="0" fontId="10" fillId="15" borderId="0" xfId="0" applyFont="1" applyFill="1" applyAlignment="1">
      <alignment horizontal="right"/>
    </xf>
    <xf numFmtId="0" fontId="143" fillId="15" borderId="0" xfId="0" applyFont="1" applyFill="1" applyAlignment="1">
      <alignment horizontal="center" wrapText="1"/>
    </xf>
    <xf numFmtId="0" fontId="8" fillId="3" borderId="4" xfId="0" applyFont="1" applyFill="1" applyBorder="1" applyAlignment="1">
      <alignment horizontal="left"/>
    </xf>
    <xf numFmtId="0" fontId="6" fillId="3" borderId="4" xfId="0" applyFont="1" applyFill="1" applyBorder="1" applyAlignment="1">
      <alignment horizontal="left"/>
    </xf>
    <xf numFmtId="0" fontId="10" fillId="3" borderId="4" xfId="0" applyFont="1" applyFill="1" applyBorder="1" applyAlignment="1">
      <alignment horizontal="left"/>
    </xf>
    <xf numFmtId="4" fontId="10" fillId="3" borderId="4" xfId="0" applyNumberFormat="1" applyFont="1" applyFill="1" applyBorder="1" applyAlignment="1">
      <alignment horizontal="left"/>
    </xf>
    <xf numFmtId="4" fontId="4" fillId="3" borderId="70" xfId="0" applyNumberFormat="1" applyFont="1" applyFill="1" applyBorder="1" applyAlignment="1">
      <alignment horizontal="right"/>
    </xf>
    <xf numFmtId="0" fontId="4" fillId="3" borderId="69" xfId="0" applyFont="1" applyFill="1" applyBorder="1" applyAlignment="1">
      <alignment horizontal="center"/>
    </xf>
    <xf numFmtId="0" fontId="10" fillId="15" borderId="23" xfId="0" applyFont="1" applyFill="1" applyBorder="1"/>
    <xf numFmtId="0" fontId="10" fillId="15" borderId="7" xfId="0" applyFont="1" applyFill="1" applyBorder="1" applyAlignment="1">
      <alignment horizontal="center"/>
    </xf>
    <xf numFmtId="3" fontId="10" fillId="15" borderId="7" xfId="0" applyNumberFormat="1" applyFont="1" applyFill="1" applyBorder="1"/>
    <xf numFmtId="0" fontId="75" fillId="9" borderId="1" xfId="0" applyFont="1" applyFill="1" applyBorder="1" applyAlignment="1">
      <alignment horizontal="center" vertical="center"/>
    </xf>
    <xf numFmtId="0" fontId="179" fillId="15" borderId="0" xfId="0" applyFont="1" applyFill="1" applyAlignment="1">
      <alignment horizontal="left"/>
    </xf>
    <xf numFmtId="0" fontId="179" fillId="5" borderId="0" xfId="0" applyFont="1" applyFill="1" applyAlignment="1">
      <alignment horizontal="left"/>
    </xf>
    <xf numFmtId="0" fontId="47" fillId="3" borderId="8" xfId="0" applyFont="1" applyFill="1" applyBorder="1" applyAlignment="1">
      <alignment horizontal="left" wrapText="1" indent="1"/>
    </xf>
    <xf numFmtId="0" fontId="89" fillId="15" borderId="0" xfId="0" applyFont="1" applyFill="1" applyAlignment="1">
      <alignment horizontal="center"/>
    </xf>
    <xf numFmtId="0" fontId="12" fillId="15" borderId="5" xfId="0" applyFont="1" applyFill="1" applyBorder="1" applyAlignment="1">
      <alignment horizontal="right"/>
    </xf>
    <xf numFmtId="181" fontId="10" fillId="16" borderId="0" xfId="0" applyNumberFormat="1" applyFont="1" applyFill="1" applyAlignment="1" applyProtection="1">
      <alignment horizontal="center"/>
      <protection locked="0"/>
    </xf>
    <xf numFmtId="181" fontId="10" fillId="27" borderId="0" xfId="0" applyNumberFormat="1" applyFont="1" applyFill="1" applyAlignment="1">
      <alignment horizontal="center"/>
    </xf>
    <xf numFmtId="0" fontId="12" fillId="15" borderId="0" xfId="0" applyFont="1" applyFill="1" applyAlignment="1">
      <alignment horizontal="left"/>
    </xf>
    <xf numFmtId="0" fontId="4" fillId="14" borderId="1" xfId="0" applyFont="1" applyFill="1" applyBorder="1" applyAlignment="1">
      <alignment horizontal="center"/>
    </xf>
    <xf numFmtId="1" fontId="125" fillId="3" borderId="0" xfId="0" applyNumberFormat="1" applyFont="1" applyFill="1" applyAlignment="1">
      <alignment horizontal="center"/>
    </xf>
    <xf numFmtId="0" fontId="10" fillId="15" borderId="21" xfId="0" applyFont="1" applyFill="1" applyBorder="1" applyAlignment="1">
      <alignment horizontal="center"/>
    </xf>
    <xf numFmtId="0" fontId="12" fillId="15" borderId="4" xfId="0" applyFont="1" applyFill="1" applyBorder="1" applyAlignment="1">
      <alignment horizontal="center" textRotation="90"/>
    </xf>
    <xf numFmtId="0" fontId="10" fillId="15" borderId="4" xfId="0" applyFont="1" applyFill="1" applyBorder="1" applyAlignment="1">
      <alignment horizontal="center"/>
    </xf>
    <xf numFmtId="3" fontId="10" fillId="15" borderId="4" xfId="0" applyNumberFormat="1" applyFont="1" applyFill="1" applyBorder="1"/>
    <xf numFmtId="0" fontId="12" fillId="15" borderId="7" xfId="0" applyFont="1" applyFill="1" applyBorder="1" applyAlignment="1">
      <alignment horizontal="center" textRotation="90"/>
    </xf>
    <xf numFmtId="3" fontId="112" fillId="15" borderId="0" xfId="0" applyNumberFormat="1" applyFont="1" applyFill="1"/>
    <xf numFmtId="0" fontId="4" fillId="3" borderId="28" xfId="0" applyFont="1" applyFill="1" applyBorder="1" applyAlignment="1">
      <alignment horizontal="right"/>
    </xf>
    <xf numFmtId="0" fontId="89" fillId="0" borderId="0" xfId="0" applyFont="1" applyAlignment="1">
      <alignment horizontal="center"/>
    </xf>
    <xf numFmtId="0" fontId="180" fillId="5" borderId="0" xfId="0" applyFont="1" applyFill="1" applyAlignment="1">
      <alignment horizontal="center"/>
    </xf>
    <xf numFmtId="0" fontId="4" fillId="3" borderId="0" xfId="0" applyFont="1" applyFill="1" applyAlignment="1">
      <alignment horizontal="left" vertical="center"/>
    </xf>
    <xf numFmtId="3" fontId="8" fillId="5" borderId="0" xfId="0" applyNumberFormat="1" applyFont="1" applyFill="1" applyAlignment="1">
      <alignment horizontal="right"/>
    </xf>
    <xf numFmtId="0" fontId="75" fillId="9" borderId="25" xfId="0" applyFont="1" applyFill="1" applyBorder="1" applyAlignment="1">
      <alignment horizontal="center"/>
    </xf>
    <xf numFmtId="39" fontId="110" fillId="3" borderId="30" xfId="0" applyNumberFormat="1" applyFont="1" applyFill="1" applyBorder="1" applyAlignment="1">
      <alignment horizontal="right"/>
    </xf>
    <xf numFmtId="0" fontId="10" fillId="3" borderId="0" xfId="0" applyFont="1" applyFill="1" applyAlignment="1">
      <alignment horizontal="left" vertical="center"/>
    </xf>
    <xf numFmtId="4" fontId="10" fillId="3" borderId="0" xfId="0" applyNumberFormat="1" applyFont="1" applyFill="1" applyAlignment="1">
      <alignment horizontal="left" vertical="center"/>
    </xf>
    <xf numFmtId="4" fontId="4" fillId="3" borderId="24" xfId="0" applyNumberFormat="1" applyFont="1" applyFill="1" applyBorder="1" applyAlignment="1">
      <alignment horizontal="right" vertical="center"/>
    </xf>
    <xf numFmtId="0" fontId="4" fillId="3" borderId="10" xfId="0" applyFont="1" applyFill="1" applyBorder="1" applyAlignment="1">
      <alignment horizontal="center" vertical="center"/>
    </xf>
    <xf numFmtId="37" fontId="8" fillId="28" borderId="9" xfId="0" applyNumberFormat="1" applyFont="1" applyFill="1" applyBorder="1" applyAlignment="1">
      <alignment horizontal="right" vertical="center"/>
    </xf>
    <xf numFmtId="39" fontId="6" fillId="7" borderId="0" xfId="0" applyNumberFormat="1" applyFont="1" applyFill="1" applyAlignment="1">
      <alignment horizontal="right" vertical="center"/>
    </xf>
    <xf numFmtId="39" fontId="6" fillId="3" borderId="0" xfId="0" applyNumberFormat="1" applyFont="1" applyFill="1" applyAlignment="1">
      <alignment horizontal="center" vertical="center"/>
    </xf>
    <xf numFmtId="0" fontId="20" fillId="3" borderId="5" xfId="0" applyFont="1" applyFill="1" applyBorder="1"/>
    <xf numFmtId="0" fontId="20" fillId="3" borderId="0" xfId="0" applyFont="1" applyFill="1"/>
    <xf numFmtId="0" fontId="20" fillId="3" borderId="20" xfId="0" applyFont="1" applyFill="1" applyBorder="1"/>
    <xf numFmtId="1" fontId="110" fillId="3" borderId="0" xfId="0" applyNumberFormat="1" applyFont="1" applyFill="1" applyAlignment="1">
      <alignment horizontal="center"/>
    </xf>
    <xf numFmtId="1" fontId="112" fillId="3" borderId="0" xfId="0" applyNumberFormat="1" applyFont="1" applyFill="1" applyAlignment="1">
      <alignment horizontal="center"/>
    </xf>
    <xf numFmtId="0" fontId="8" fillId="3" borderId="0" xfId="0" applyFont="1" applyFill="1" applyAlignment="1">
      <alignment horizontal="right" indent="1"/>
    </xf>
    <xf numFmtId="0" fontId="12" fillId="0" borderId="2" xfId="0" applyFont="1" applyBorder="1" applyAlignment="1">
      <alignment horizontal="center"/>
    </xf>
    <xf numFmtId="9" fontId="215" fillId="0" borderId="12" xfId="0" applyNumberFormat="1" applyFont="1" applyBorder="1" applyAlignment="1">
      <alignment horizontal="center"/>
    </xf>
    <xf numFmtId="9" fontId="12" fillId="0" borderId="12" xfId="0" applyNumberFormat="1" applyFont="1" applyBorder="1" applyAlignment="1">
      <alignment horizontal="center"/>
    </xf>
    <xf numFmtId="39" fontId="214" fillId="0" borderId="0" xfId="0" applyNumberFormat="1" applyFont="1" applyAlignment="1">
      <alignment horizontal="center"/>
    </xf>
    <xf numFmtId="0" fontId="10" fillId="15" borderId="21" xfId="0" applyFont="1" applyFill="1" applyBorder="1"/>
    <xf numFmtId="0" fontId="75" fillId="14" borderId="8" xfId="0" applyFont="1" applyFill="1" applyBorder="1" applyAlignment="1">
      <alignment horizontal="center" vertical="center"/>
    </xf>
    <xf numFmtId="4" fontId="110" fillId="0" borderId="0" xfId="0" applyNumberFormat="1" applyFont="1" applyAlignment="1">
      <alignment horizontal="right"/>
    </xf>
    <xf numFmtId="4" fontId="110" fillId="0" borderId="0" xfId="0" applyNumberFormat="1" applyFont="1" applyAlignment="1">
      <alignment horizontal="center"/>
    </xf>
    <xf numFmtId="0" fontId="10" fillId="15" borderId="14" xfId="0" applyFont="1" applyFill="1" applyBorder="1"/>
    <xf numFmtId="0" fontId="6" fillId="15" borderId="1" xfId="0" applyFont="1" applyFill="1" applyBorder="1" applyAlignment="1">
      <alignment horizontal="center"/>
    </xf>
    <xf numFmtId="3" fontId="10" fillId="0" borderId="0" xfId="0" applyNumberFormat="1" applyFont="1"/>
    <xf numFmtId="37" fontId="6" fillId="15" borderId="1" xfId="0" applyNumberFormat="1" applyFont="1" applyFill="1" applyBorder="1"/>
    <xf numFmtId="0" fontId="6" fillId="15" borderId="0" xfId="0" applyFont="1" applyFill="1" applyAlignment="1">
      <alignment horizontal="center" vertical="top"/>
    </xf>
    <xf numFmtId="4" fontId="6" fillId="15" borderId="0" xfId="0" applyNumberFormat="1" applyFont="1" applyFill="1"/>
    <xf numFmtId="0" fontId="6" fillId="15" borderId="1" xfId="0" applyFont="1" applyFill="1" applyBorder="1" applyAlignment="1">
      <alignment horizontal="center" vertical="top"/>
    </xf>
    <xf numFmtId="0" fontId="18" fillId="0" borderId="0" xfId="0" applyFont="1" applyAlignment="1">
      <alignment horizontal="center"/>
    </xf>
    <xf numFmtId="0" fontId="75" fillId="9" borderId="1" xfId="0" applyFont="1" applyFill="1" applyBorder="1" applyAlignment="1">
      <alignment horizontal="center"/>
    </xf>
    <xf numFmtId="0" fontId="6" fillId="3" borderId="4" xfId="0" applyFont="1" applyFill="1" applyBorder="1" applyAlignment="1">
      <alignment horizontal="left" vertical="center"/>
    </xf>
    <xf numFmtId="0" fontId="4" fillId="2" borderId="0" xfId="0" applyFont="1" applyFill="1" applyAlignment="1">
      <alignment horizontal="center" wrapText="1"/>
    </xf>
    <xf numFmtId="40" fontId="164" fillId="21" borderId="0" xfId="0" applyNumberFormat="1" applyFont="1" applyFill="1" applyAlignment="1">
      <alignment horizontal="right"/>
    </xf>
    <xf numFmtId="40" fontId="238" fillId="21" borderId="20" xfId="0" applyNumberFormat="1" applyFont="1" applyFill="1" applyBorder="1" applyAlignment="1">
      <alignment horizontal="right"/>
    </xf>
    <xf numFmtId="0" fontId="0" fillId="2" borderId="23" xfId="0" applyFill="1" applyBorder="1" applyAlignment="1">
      <alignment horizontal="center"/>
    </xf>
    <xf numFmtId="40" fontId="0" fillId="2" borderId="7" xfId="0" applyNumberFormat="1" applyFill="1" applyBorder="1" applyAlignment="1">
      <alignment horizontal="left"/>
    </xf>
    <xf numFmtId="0" fontId="0" fillId="2" borderId="5" xfId="0" applyFill="1" applyBorder="1" applyAlignment="1">
      <alignment horizontal="center"/>
    </xf>
    <xf numFmtId="40" fontId="6" fillId="2" borderId="0" xfId="0" applyNumberFormat="1" applyFont="1" applyFill="1" applyAlignment="1">
      <alignment horizontal="left" vertical="center"/>
    </xf>
    <xf numFmtId="0" fontId="10" fillId="2" borderId="0" xfId="0" applyFont="1" applyFill="1" applyAlignment="1">
      <alignment horizontal="left" vertical="top"/>
    </xf>
    <xf numFmtId="0" fontId="22" fillId="2" borderId="5" xfId="0" applyFont="1" applyFill="1" applyBorder="1" applyAlignment="1">
      <alignment horizontal="center"/>
    </xf>
    <xf numFmtId="0" fontId="22" fillId="2" borderId="21" xfId="0" applyFont="1" applyFill="1" applyBorder="1" applyAlignment="1">
      <alignment horizontal="center"/>
    </xf>
    <xf numFmtId="0" fontId="22" fillId="2" borderId="23" xfId="0" applyFont="1" applyFill="1" applyBorder="1" applyAlignment="1">
      <alignment horizontal="center"/>
    </xf>
    <xf numFmtId="0" fontId="57" fillId="2" borderId="7" xfId="0" applyFont="1" applyFill="1" applyBorder="1"/>
    <xf numFmtId="0" fontId="9" fillId="2" borderId="7" xfId="0" applyFont="1" applyFill="1" applyBorder="1" applyAlignment="1">
      <alignment horizontal="center"/>
    </xf>
    <xf numFmtId="0" fontId="110" fillId="2" borderId="20" xfId="0" applyFont="1" applyFill="1" applyBorder="1"/>
    <xf numFmtId="0" fontId="0" fillId="2" borderId="26" xfId="0" applyFill="1" applyBorder="1" applyAlignment="1">
      <alignment horizontal="center"/>
    </xf>
    <xf numFmtId="0" fontId="9" fillId="2" borderId="1" xfId="0" applyFont="1" applyFill="1" applyBorder="1" applyAlignment="1">
      <alignment horizontal="center"/>
    </xf>
    <xf numFmtId="0" fontId="0" fillId="2" borderId="29" xfId="0" applyFill="1" applyBorder="1"/>
    <xf numFmtId="0" fontId="22" fillId="2" borderId="80" xfId="0" applyFont="1" applyFill="1" applyBorder="1" applyAlignment="1">
      <alignment horizontal="center"/>
    </xf>
    <xf numFmtId="0" fontId="57" fillId="2" borderId="8" xfId="0" applyFont="1" applyFill="1" applyBorder="1"/>
    <xf numFmtId="0" fontId="0" fillId="2" borderId="88" xfId="0" applyFill="1" applyBorder="1"/>
    <xf numFmtId="164" fontId="24" fillId="2" borderId="0" xfId="0" applyNumberFormat="1" applyFont="1" applyFill="1" applyAlignment="1">
      <alignment horizontal="center"/>
    </xf>
    <xf numFmtId="164" fontId="24" fillId="2" borderId="0" xfId="0" applyNumberFormat="1" applyFont="1" applyFill="1" applyAlignment="1">
      <alignment horizontal="right"/>
    </xf>
    <xf numFmtId="0" fontId="0" fillId="2" borderId="21" xfId="0" applyFill="1" applyBorder="1" applyAlignment="1">
      <alignment horizontal="center"/>
    </xf>
    <xf numFmtId="0" fontId="9" fillId="2" borderId="74" xfId="0" applyFont="1" applyFill="1" applyBorder="1" applyAlignment="1">
      <alignment horizontal="center"/>
    </xf>
    <xf numFmtId="0" fontId="110" fillId="2" borderId="4" xfId="0" applyFont="1" applyFill="1" applyBorder="1" applyAlignment="1">
      <alignment vertical="top"/>
    </xf>
    <xf numFmtId="164" fontId="4" fillId="2" borderId="23" xfId="0" applyNumberFormat="1" applyFont="1" applyFill="1" applyBorder="1"/>
    <xf numFmtId="0" fontId="0" fillId="2" borderId="7" xfId="0" applyFill="1" applyBorder="1" applyAlignment="1">
      <alignment wrapText="1"/>
    </xf>
    <xf numFmtId="0" fontId="93" fillId="2" borderId="7" xfId="0" applyFont="1" applyFill="1" applyBorder="1"/>
    <xf numFmtId="164" fontId="6" fillId="2" borderId="7" xfId="0" applyNumberFormat="1" applyFont="1" applyFill="1" applyBorder="1"/>
    <xf numFmtId="164" fontId="24" fillId="2" borderId="7" xfId="0" applyNumberFormat="1" applyFont="1" applyFill="1" applyBorder="1" applyAlignment="1">
      <alignment horizontal="center"/>
    </xf>
    <xf numFmtId="164" fontId="24" fillId="2" borderId="7" xfId="0" applyNumberFormat="1" applyFont="1" applyFill="1" applyBorder="1" applyAlignment="1">
      <alignment horizontal="right"/>
    </xf>
    <xf numFmtId="0" fontId="0" fillId="2" borderId="7" xfId="0" applyFill="1" applyBorder="1" applyAlignment="1">
      <alignment horizontal="center"/>
    </xf>
    <xf numFmtId="0" fontId="110" fillId="2" borderId="7" xfId="0" applyFont="1" applyFill="1" applyBorder="1"/>
    <xf numFmtId="164" fontId="4" fillId="2" borderId="26" xfId="0" applyNumberFormat="1" applyFont="1" applyFill="1" applyBorder="1"/>
    <xf numFmtId="164" fontId="4" fillId="2" borderId="1" xfId="0" applyNumberFormat="1" applyFont="1" applyFill="1" applyBorder="1" applyAlignment="1">
      <alignment vertical="top"/>
    </xf>
    <xf numFmtId="0" fontId="0" fillId="2" borderId="1" xfId="0" applyFill="1" applyBorder="1" applyAlignment="1">
      <alignment wrapText="1"/>
    </xf>
    <xf numFmtId="0" fontId="93" fillId="2" borderId="1" xfId="0" applyFont="1" applyFill="1" applyBorder="1"/>
    <xf numFmtId="0" fontId="0" fillId="2" borderId="1" xfId="0" applyFill="1" applyBorder="1" applyAlignment="1">
      <alignment vertical="top"/>
    </xf>
    <xf numFmtId="164" fontId="24" fillId="2" borderId="1" xfId="0" applyNumberFormat="1" applyFont="1" applyFill="1" applyBorder="1" applyAlignment="1">
      <alignment horizontal="center"/>
    </xf>
    <xf numFmtId="164" fontId="24" fillId="2" borderId="1" xfId="0" applyNumberFormat="1" applyFont="1" applyFill="1" applyBorder="1" applyAlignment="1">
      <alignment horizontal="right"/>
    </xf>
    <xf numFmtId="40" fontId="20" fillId="2" borderId="1" xfId="0" applyNumberFormat="1" applyFont="1" applyFill="1" applyBorder="1" applyAlignment="1">
      <alignment horizontal="right"/>
    </xf>
    <xf numFmtId="40" fontId="20" fillId="2" borderId="29" xfId="0" applyNumberFormat="1" applyFont="1" applyFill="1" applyBorder="1" applyAlignment="1">
      <alignment horizontal="right"/>
    </xf>
    <xf numFmtId="164" fontId="4" fillId="2" borderId="5" xfId="0" applyNumberFormat="1" applyFont="1" applyFill="1" applyBorder="1"/>
    <xf numFmtId="164" fontId="4" fillId="2" borderId="5" xfId="0" applyNumberFormat="1" applyFont="1" applyFill="1" applyBorder="1" applyAlignment="1">
      <alignment vertical="top"/>
    </xf>
    <xf numFmtId="40" fontId="8" fillId="2" borderId="20" xfId="0" applyNumberFormat="1" applyFont="1" applyFill="1" applyBorder="1"/>
    <xf numFmtId="164" fontId="4" fillId="2" borderId="5" xfId="0" applyNumberFormat="1" applyFont="1" applyFill="1" applyBorder="1" applyAlignment="1">
      <alignment horizontal="right" vertical="top"/>
    </xf>
    <xf numFmtId="38" fontId="8" fillId="2" borderId="0" xfId="0" applyNumberFormat="1" applyFont="1" applyFill="1"/>
    <xf numFmtId="38" fontId="116" fillId="2" borderId="0" xfId="0" applyNumberFormat="1" applyFont="1" applyFill="1"/>
    <xf numFmtId="37" fontId="8" fillId="27" borderId="12" xfId="0" applyNumberFormat="1" applyFont="1" applyFill="1" applyBorder="1"/>
    <xf numFmtId="40" fontId="110" fillId="2" borderId="0" xfId="0" applyNumberFormat="1" applyFont="1" applyFill="1" applyAlignment="1">
      <alignment vertical="center"/>
    </xf>
    <xf numFmtId="40" fontId="6" fillId="2" borderId="0" xfId="0" applyNumberFormat="1" applyFont="1" applyFill="1" applyAlignment="1">
      <alignment vertical="center"/>
    </xf>
    <xf numFmtId="37" fontId="0" fillId="5" borderId="0" xfId="0" applyNumberFormat="1" applyFill="1"/>
    <xf numFmtId="37" fontId="4" fillId="2" borderId="5" xfId="0" applyNumberFormat="1" applyFont="1" applyFill="1" applyBorder="1" applyAlignment="1">
      <alignment vertical="top"/>
    </xf>
    <xf numFmtId="37" fontId="0" fillId="2" borderId="0" xfId="0" applyNumberFormat="1" applyFill="1"/>
    <xf numFmtId="37" fontId="6" fillId="2" borderId="0" xfId="0" applyNumberFormat="1" applyFont="1" applyFill="1" applyAlignment="1">
      <alignment vertical="center"/>
    </xf>
    <xf numFmtId="37" fontId="116" fillId="2" borderId="0" xfId="0" applyNumberFormat="1" applyFont="1" applyFill="1"/>
    <xf numFmtId="37" fontId="4" fillId="2" borderId="0" xfId="0" applyNumberFormat="1" applyFont="1" applyFill="1"/>
    <xf numFmtId="37" fontId="0" fillId="2" borderId="20" xfId="0" applyNumberFormat="1" applyFill="1" applyBorder="1"/>
    <xf numFmtId="40" fontId="4" fillId="2" borderId="0" xfId="0" applyNumberFormat="1" applyFont="1" applyFill="1" applyAlignment="1">
      <alignment horizontal="center" vertical="center"/>
    </xf>
    <xf numFmtId="164" fontId="4" fillId="2" borderId="0" xfId="0" quotePrefix="1" applyNumberFormat="1" applyFont="1" applyFill="1" applyAlignment="1">
      <alignment horizontal="right"/>
    </xf>
    <xf numFmtId="164" fontId="4" fillId="2" borderId="5" xfId="0" quotePrefix="1" applyNumberFormat="1" applyFont="1" applyFill="1" applyBorder="1" applyAlignment="1">
      <alignment horizontal="right"/>
    </xf>
    <xf numFmtId="40" fontId="8" fillId="2" borderId="0" xfId="0" applyNumberFormat="1" applyFont="1" applyFill="1"/>
    <xf numFmtId="40" fontId="0" fillId="2" borderId="8" xfId="0" applyNumberFormat="1" applyFill="1" applyBorder="1"/>
    <xf numFmtId="40" fontId="0" fillId="2" borderId="0" xfId="0" applyNumberFormat="1" applyFill="1" applyAlignment="1">
      <alignment vertical="center"/>
    </xf>
    <xf numFmtId="40" fontId="70" fillId="2" borderId="20" xfId="0" applyNumberFormat="1" applyFont="1" applyFill="1" applyBorder="1" applyAlignment="1">
      <alignment horizontal="right"/>
    </xf>
    <xf numFmtId="38" fontId="0" fillId="2" borderId="8" xfId="0" applyNumberFormat="1" applyFill="1" applyBorder="1"/>
    <xf numFmtId="38" fontId="110" fillId="2" borderId="0" xfId="0" applyNumberFormat="1" applyFont="1" applyFill="1"/>
    <xf numFmtId="0" fontId="35" fillId="2" borderId="0" xfId="0" applyFont="1" applyFill="1"/>
    <xf numFmtId="38" fontId="8" fillId="27" borderId="1" xfId="0" applyNumberFormat="1" applyFont="1" applyFill="1" applyBorder="1"/>
    <xf numFmtId="0" fontId="17" fillId="2" borderId="0" xfId="0" applyFont="1" applyFill="1"/>
    <xf numFmtId="40" fontId="110" fillId="2" borderId="0" xfId="0" applyNumberFormat="1" applyFont="1" applyFill="1" applyAlignment="1">
      <alignment horizontal="right"/>
    </xf>
    <xf numFmtId="40" fontId="125" fillId="2" borderId="0" xfId="0" applyNumberFormat="1" applyFont="1" applyFill="1" applyAlignment="1">
      <alignment horizontal="right"/>
    </xf>
    <xf numFmtId="1" fontId="110" fillId="2" borderId="5" xfId="0" applyNumberFormat="1" applyFont="1" applyFill="1" applyBorder="1" applyAlignment="1">
      <alignment horizontal="center" vertical="top"/>
    </xf>
    <xf numFmtId="40" fontId="6" fillId="2" borderId="0" xfId="0" applyNumberFormat="1" applyFont="1" applyFill="1" applyAlignment="1">
      <alignment horizontal="left" indent="1"/>
    </xf>
    <xf numFmtId="1" fontId="110" fillId="2" borderId="20" xfId="0" applyNumberFormat="1" applyFont="1" applyFill="1" applyBorder="1" applyAlignment="1">
      <alignment horizontal="center" vertical="top"/>
    </xf>
    <xf numFmtId="164" fontId="125" fillId="2" borderId="5" xfId="0" applyNumberFormat="1" applyFont="1" applyFill="1" applyBorder="1" applyAlignment="1">
      <alignment vertical="top"/>
    </xf>
    <xf numFmtId="40" fontId="57" fillId="2" borderId="0" xfId="0" applyNumberFormat="1" applyFont="1" applyFill="1" applyAlignment="1">
      <alignment horizontal="left"/>
    </xf>
    <xf numFmtId="38" fontId="22" fillId="2" borderId="0" xfId="0" applyNumberFormat="1" applyFont="1" applyFill="1"/>
    <xf numFmtId="164" fontId="57" fillId="2" borderId="0" xfId="0" applyNumberFormat="1" applyFont="1" applyFill="1" applyAlignment="1">
      <alignment horizontal="left"/>
    </xf>
    <xf numFmtId="38" fontId="116" fillId="2" borderId="0" xfId="0" applyNumberFormat="1" applyFont="1" applyFill="1" applyAlignment="1">
      <alignment horizontal="right"/>
    </xf>
    <xf numFmtId="0" fontId="167" fillId="15" borderId="5" xfId="0" applyFont="1" applyFill="1" applyBorder="1" applyAlignment="1">
      <alignment horizontal="left" vertical="center" indent="1"/>
    </xf>
    <xf numFmtId="0" fontId="4" fillId="15" borderId="5" xfId="0" applyFont="1" applyFill="1" applyBorder="1" applyAlignment="1">
      <alignment horizontal="centerContinuous"/>
    </xf>
    <xf numFmtId="0" fontId="6" fillId="15" borderId="5" xfId="0" applyFont="1" applyFill="1" applyBorder="1" applyAlignment="1">
      <alignment horizontal="center" vertical="center" wrapText="1"/>
    </xf>
    <xf numFmtId="0" fontId="12" fillId="15" borderId="56" xfId="0" applyFont="1" applyFill="1" applyBorder="1" applyAlignment="1">
      <alignment horizontal="centerContinuous"/>
    </xf>
    <xf numFmtId="0" fontId="11" fillId="15" borderId="25" xfId="0" applyFont="1" applyFill="1" applyBorder="1" applyAlignment="1">
      <alignment horizontal="left"/>
    </xf>
    <xf numFmtId="0" fontId="11" fillId="15" borderId="6" xfId="0" applyFont="1" applyFill="1" applyBorder="1" applyAlignment="1">
      <alignment horizontal="center"/>
    </xf>
    <xf numFmtId="0" fontId="11" fillId="15" borderId="10" xfId="0" applyFont="1" applyFill="1" applyBorder="1" applyAlignment="1">
      <alignment horizontal="center"/>
    </xf>
    <xf numFmtId="0" fontId="11" fillId="15" borderId="12" xfId="0" applyFont="1" applyFill="1" applyBorder="1" applyAlignment="1">
      <alignment horizontal="center"/>
    </xf>
    <xf numFmtId="37" fontId="143" fillId="0" borderId="0" xfId="0" applyNumberFormat="1" applyFont="1"/>
    <xf numFmtId="37" fontId="146" fillId="0" borderId="0" xfId="0" applyNumberFormat="1" applyFont="1"/>
    <xf numFmtId="0" fontId="11" fillId="15" borderId="15" xfId="0" applyFont="1" applyFill="1" applyBorder="1" applyAlignment="1">
      <alignment horizontal="center"/>
    </xf>
    <xf numFmtId="1" fontId="11" fillId="15" borderId="10" xfId="0" applyNumberFormat="1" applyFont="1" applyFill="1" applyBorder="1" applyAlignment="1">
      <alignment horizontal="center"/>
    </xf>
    <xf numFmtId="0" fontId="14" fillId="15" borderId="6" xfId="0" applyFont="1" applyFill="1" applyBorder="1"/>
    <xf numFmtId="1" fontId="11" fillId="15" borderId="15" xfId="0" applyNumberFormat="1" applyFont="1" applyFill="1" applyBorder="1" applyAlignment="1">
      <alignment horizontal="center"/>
    </xf>
    <xf numFmtId="0" fontId="11" fillId="15" borderId="51" xfId="0" applyFont="1" applyFill="1" applyBorder="1" applyAlignment="1">
      <alignment horizontal="center"/>
    </xf>
    <xf numFmtId="0" fontId="11" fillId="15" borderId="13" xfId="0" applyFont="1" applyFill="1" applyBorder="1" applyAlignment="1">
      <alignment horizontal="right"/>
    </xf>
    <xf numFmtId="0" fontId="11" fillId="15" borderId="13" xfId="0" applyFont="1" applyFill="1" applyBorder="1" applyAlignment="1">
      <alignment horizontal="center"/>
    </xf>
    <xf numFmtId="0" fontId="14" fillId="15" borderId="13" xfId="0" applyFont="1" applyFill="1" applyBorder="1"/>
    <xf numFmtId="0" fontId="4" fillId="15" borderId="13" xfId="0" applyFont="1" applyFill="1" applyBorder="1" applyAlignment="1">
      <alignment horizontal="left" indent="1"/>
    </xf>
    <xf numFmtId="0" fontId="0" fillId="15" borderId="13" xfId="0" applyFill="1" applyBorder="1" applyAlignment="1">
      <alignment horizontal="right" indent="1"/>
    </xf>
    <xf numFmtId="0" fontId="4" fillId="15" borderId="13" xfId="0" applyFont="1" applyFill="1" applyBorder="1" applyAlignment="1">
      <alignment horizontal="right"/>
    </xf>
    <xf numFmtId="0" fontId="11" fillId="15" borderId="175" xfId="0" applyFont="1" applyFill="1" applyBorder="1" applyAlignment="1">
      <alignment horizontal="center"/>
    </xf>
    <xf numFmtId="0" fontId="158" fillId="2" borderId="0" xfId="0" applyFont="1" applyFill="1" applyAlignment="1">
      <alignment horizontal="left" indent="1"/>
    </xf>
    <xf numFmtId="0" fontId="110" fillId="2" borderId="0" xfId="0" applyFont="1" applyFill="1" applyAlignment="1">
      <alignment horizontal="left"/>
    </xf>
    <xf numFmtId="0" fontId="4" fillId="0" borderId="2" xfId="0" applyFont="1" applyBorder="1" applyAlignment="1" applyProtection="1">
      <alignment horizontal="center" vertical="center"/>
      <protection locked="0"/>
    </xf>
    <xf numFmtId="0" fontId="11" fillId="15" borderId="0" xfId="0" applyFont="1" applyFill="1" applyAlignment="1">
      <alignment horizontal="left"/>
    </xf>
    <xf numFmtId="0" fontId="243" fillId="5" borderId="0" xfId="0" applyFont="1" applyFill="1" applyAlignment="1">
      <alignment horizontal="left" vertical="center"/>
    </xf>
    <xf numFmtId="0" fontId="0" fillId="15" borderId="207" xfId="0" applyFill="1" applyBorder="1"/>
    <xf numFmtId="0" fontId="6" fillId="15" borderId="7" xfId="0" applyFont="1" applyFill="1" applyBorder="1" applyAlignment="1">
      <alignment horizontal="center"/>
    </xf>
    <xf numFmtId="0" fontId="8" fillId="15" borderId="14" xfId="0" applyFont="1" applyFill="1" applyBorder="1"/>
    <xf numFmtId="0" fontId="11" fillId="15" borderId="8" xfId="0" applyFont="1" applyFill="1" applyBorder="1" applyAlignment="1">
      <alignment vertical="center"/>
    </xf>
    <xf numFmtId="0" fontId="15" fillId="15" borderId="24" xfId="0" applyFont="1" applyFill="1" applyBorder="1" applyAlignment="1">
      <alignment horizontal="right" indent="1"/>
    </xf>
    <xf numFmtId="2" fontId="110" fillId="15" borderId="0" xfId="0" applyNumberFormat="1" applyFont="1" applyFill="1"/>
    <xf numFmtId="37" fontId="47" fillId="14" borderId="9" xfId="0" applyNumberFormat="1" applyFont="1" applyFill="1" applyBorder="1" applyAlignment="1">
      <alignment horizontal="right"/>
    </xf>
    <xf numFmtId="37" fontId="47" fillId="14" borderId="1" xfId="0" applyNumberFormat="1" applyFont="1" applyFill="1" applyBorder="1" applyAlignment="1">
      <alignment horizontal="center" vertical="center"/>
    </xf>
    <xf numFmtId="0" fontId="244" fillId="15" borderId="0" xfId="0" applyFont="1" applyFill="1" applyAlignment="1">
      <alignment vertical="top" wrapText="1"/>
    </xf>
    <xf numFmtId="0" fontId="11" fillId="15" borderId="0" xfId="0" quotePrefix="1" applyFont="1" applyFill="1" applyAlignment="1">
      <alignment horizontal="right"/>
    </xf>
    <xf numFmtId="0" fontId="125" fillId="15" borderId="0" xfId="0" applyFont="1" applyFill="1" applyAlignment="1">
      <alignment vertical="top" wrapText="1"/>
    </xf>
    <xf numFmtId="0" fontId="0" fillId="21" borderId="8" xfId="0" applyFill="1" applyBorder="1"/>
    <xf numFmtId="37" fontId="15" fillId="36" borderId="4" xfId="0" applyNumberFormat="1" applyFont="1" applyFill="1" applyBorder="1" applyAlignment="1">
      <alignment horizontal="right"/>
    </xf>
    <xf numFmtId="37" fontId="15" fillId="21" borderId="4" xfId="0" applyNumberFormat="1" applyFont="1" applyFill="1" applyBorder="1" applyAlignment="1">
      <alignment horizontal="right"/>
    </xf>
    <xf numFmtId="0" fontId="6" fillId="2" borderId="7" xfId="0" applyFont="1" applyFill="1" applyBorder="1" applyAlignment="1">
      <alignment horizontal="center"/>
    </xf>
    <xf numFmtId="0" fontId="0" fillId="15" borderId="13" xfId="0" applyFill="1" applyBorder="1" applyAlignment="1">
      <alignment horizontal="center"/>
    </xf>
    <xf numFmtId="0" fontId="11" fillId="15" borderId="16" xfId="0" applyFont="1" applyFill="1" applyBorder="1" applyAlignment="1">
      <alignment vertical="center"/>
    </xf>
    <xf numFmtId="0" fontId="20" fillId="15" borderId="16" xfId="0" applyFont="1" applyFill="1" applyBorder="1"/>
    <xf numFmtId="0" fontId="47" fillId="15" borderId="1" xfId="0" applyFont="1" applyFill="1" applyBorder="1" applyAlignment="1">
      <alignment vertical="center"/>
    </xf>
    <xf numFmtId="0" fontId="4" fillId="15" borderId="4" xfId="0" applyFont="1" applyFill="1" applyBorder="1" applyAlignment="1">
      <alignment horizontal="right"/>
    </xf>
    <xf numFmtId="37" fontId="110" fillId="15" borderId="0" xfId="0" applyNumberFormat="1" applyFont="1" applyFill="1" applyAlignment="1">
      <alignment vertical="top" wrapText="1"/>
    </xf>
    <xf numFmtId="0" fontId="11" fillId="15" borderId="7" xfId="0" applyFont="1" applyFill="1" applyBorder="1" applyAlignment="1">
      <alignment vertical="center"/>
    </xf>
    <xf numFmtId="0" fontId="20" fillId="15" borderId="7" xfId="0" applyFont="1" applyFill="1" applyBorder="1" applyAlignment="1">
      <alignment vertical="center"/>
    </xf>
    <xf numFmtId="0" fontId="130" fillId="15" borderId="0" xfId="0" applyFont="1" applyFill="1" applyAlignment="1">
      <alignment vertical="center" wrapText="1"/>
    </xf>
    <xf numFmtId="0" fontId="130" fillId="15" borderId="0" xfId="0" applyFont="1" applyFill="1" applyAlignment="1">
      <alignment horizontal="center" vertical="center" wrapText="1"/>
    </xf>
    <xf numFmtId="0" fontId="130" fillId="15" borderId="4" xfId="0" applyFont="1" applyFill="1" applyBorder="1" applyAlignment="1">
      <alignment vertical="center" wrapText="1"/>
    </xf>
    <xf numFmtId="0" fontId="130" fillId="15" borderId="4" xfId="0" applyFont="1" applyFill="1" applyBorder="1" applyAlignment="1">
      <alignment horizontal="center" vertical="center" wrapText="1"/>
    </xf>
    <xf numFmtId="0" fontId="14" fillId="15" borderId="4" xfId="0" applyFont="1" applyFill="1" applyBorder="1" applyAlignment="1">
      <alignment vertical="top"/>
    </xf>
    <xf numFmtId="0" fontId="197" fillId="15" borderId="7" xfId="0" applyFont="1" applyFill="1" applyBorder="1" applyAlignment="1">
      <alignment horizontal="center" vertical="center"/>
    </xf>
    <xf numFmtId="0" fontId="11" fillId="15" borderId="7" xfId="0" quotePrefix="1" applyFont="1" applyFill="1" applyBorder="1" applyAlignment="1">
      <alignment horizontal="center"/>
    </xf>
    <xf numFmtId="0" fontId="6" fillId="15" borderId="191" xfId="0" applyFont="1" applyFill="1" applyBorder="1"/>
    <xf numFmtId="0" fontId="47" fillId="15" borderId="0" xfId="0" quotePrefix="1" applyFont="1" applyFill="1" applyAlignment="1">
      <alignment horizontal="right"/>
    </xf>
    <xf numFmtId="0" fontId="6" fillId="15" borderId="6" xfId="0" applyFont="1" applyFill="1" applyBorder="1"/>
    <xf numFmtId="0" fontId="4" fillId="15" borderId="12" xfId="0" quotePrefix="1" applyFont="1" applyFill="1" applyBorder="1" applyAlignment="1">
      <alignment horizontal="center"/>
    </xf>
    <xf numFmtId="0" fontId="47" fillId="15" borderId="24" xfId="0" applyFont="1" applyFill="1" applyBorder="1"/>
    <xf numFmtId="0" fontId="14" fillId="15" borderId="4" xfId="0" applyFont="1" applyFill="1" applyBorder="1" applyAlignment="1">
      <alignment horizontal="center"/>
    </xf>
    <xf numFmtId="0" fontId="47" fillId="15" borderId="0" xfId="0" applyFont="1" applyFill="1" applyAlignment="1">
      <alignment horizontal="left" vertical="center"/>
    </xf>
    <xf numFmtId="0" fontId="47" fillId="15" borderId="3" xfId="0" applyFont="1" applyFill="1" applyBorder="1" applyAlignment="1">
      <alignment horizontal="left" vertical="center"/>
    </xf>
    <xf numFmtId="0" fontId="47" fillId="15" borderId="11" xfId="0" applyFont="1" applyFill="1" applyBorder="1" applyAlignment="1">
      <alignment horizontal="left" vertical="center"/>
    </xf>
    <xf numFmtId="0" fontId="47" fillId="15" borderId="9" xfId="0" applyFont="1" applyFill="1" applyBorder="1" applyAlignment="1">
      <alignment horizontal="left" vertical="center"/>
    </xf>
    <xf numFmtId="0" fontId="6" fillId="15" borderId="30" xfId="0" applyFont="1" applyFill="1" applyBorder="1" applyAlignment="1">
      <alignment horizontal="left" vertical="center"/>
    </xf>
    <xf numFmtId="0" fontId="47" fillId="15" borderId="8" xfId="0" applyFont="1" applyFill="1" applyBorder="1" applyAlignment="1">
      <alignment horizontal="left" vertical="center"/>
    </xf>
    <xf numFmtId="0" fontId="47" fillId="15" borderId="14" xfId="0" applyFont="1" applyFill="1" applyBorder="1" applyAlignment="1">
      <alignment horizontal="left" vertical="center"/>
    </xf>
    <xf numFmtId="0" fontId="6" fillId="15" borderId="8" xfId="0" quotePrefix="1" applyFont="1" applyFill="1" applyBorder="1" applyAlignment="1">
      <alignment horizontal="center" vertical="center"/>
    </xf>
    <xf numFmtId="0" fontId="47" fillId="15" borderId="24" xfId="0" applyFont="1" applyFill="1" applyBorder="1" applyAlignment="1">
      <alignment horizontal="left" vertical="center"/>
    </xf>
    <xf numFmtId="0" fontId="6" fillId="15" borderId="3" xfId="0" applyFont="1" applyFill="1" applyBorder="1" applyAlignment="1">
      <alignment horizontal="left" vertical="center"/>
    </xf>
    <xf numFmtId="0" fontId="6" fillId="15" borderId="9" xfId="0" applyFont="1" applyFill="1" applyBorder="1" applyAlignment="1">
      <alignment horizontal="left" vertical="center"/>
    </xf>
    <xf numFmtId="0" fontId="14" fillId="15" borderId="25" xfId="0" quotePrefix="1" applyFont="1" applyFill="1" applyBorder="1" applyAlignment="1">
      <alignment horizontal="center" vertical="center"/>
    </xf>
    <xf numFmtId="0" fontId="6" fillId="15" borderId="192" xfId="0" applyFont="1" applyFill="1" applyBorder="1"/>
    <xf numFmtId="0" fontId="6" fillId="15" borderId="99" xfId="0" applyFont="1" applyFill="1" applyBorder="1"/>
    <xf numFmtId="0" fontId="130" fillId="15" borderId="0" xfId="0" applyFont="1" applyFill="1" applyAlignment="1">
      <alignment horizontal="left" vertical="center" indent="1"/>
    </xf>
    <xf numFmtId="0" fontId="240" fillId="15" borderId="0" xfId="0" applyFont="1" applyFill="1" applyAlignment="1">
      <alignment vertical="center"/>
    </xf>
    <xf numFmtId="0" fontId="5" fillId="15" borderId="0" xfId="0" applyFont="1" applyFill="1"/>
    <xf numFmtId="0" fontId="130" fillId="15" borderId="4" xfId="0" applyFont="1" applyFill="1" applyBorder="1" applyAlignment="1">
      <alignment horizontal="left" indent="1"/>
    </xf>
    <xf numFmtId="0" fontId="4" fillId="15" borderId="24" xfId="0" quotePrefix="1" applyFont="1" applyFill="1" applyBorder="1" applyAlignment="1">
      <alignment horizontal="right" vertical="center"/>
    </xf>
    <xf numFmtId="0" fontId="241" fillId="15" borderId="0" xfId="0" applyFont="1" applyFill="1" applyAlignment="1">
      <alignment vertical="center"/>
    </xf>
    <xf numFmtId="0" fontId="9" fillId="15" borderId="0" xfId="0" applyFont="1" applyFill="1" applyAlignment="1">
      <alignment horizontal="center" vertical="top"/>
    </xf>
    <xf numFmtId="37" fontId="4" fillId="27" borderId="48" xfId="0" applyNumberFormat="1" applyFont="1" applyFill="1" applyBorder="1"/>
    <xf numFmtId="0" fontId="15" fillId="15" borderId="0" xfId="0" quotePrefix="1" applyFont="1" applyFill="1" applyAlignment="1">
      <alignment horizontal="left"/>
    </xf>
    <xf numFmtId="37" fontId="4" fillId="27" borderId="49" xfId="0" applyNumberFormat="1" applyFont="1" applyFill="1" applyBorder="1"/>
    <xf numFmtId="37" fontId="9" fillId="14" borderId="0" xfId="0" applyNumberFormat="1" applyFont="1" applyFill="1" applyAlignment="1">
      <alignment horizontal="right"/>
    </xf>
    <xf numFmtId="37" fontId="4" fillId="27" borderId="53" xfId="0" applyNumberFormat="1" applyFont="1" applyFill="1" applyBorder="1"/>
    <xf numFmtId="37" fontId="4" fillId="27" borderId="2" xfId="0" applyNumberFormat="1" applyFont="1" applyFill="1" applyBorder="1"/>
    <xf numFmtId="0" fontId="47" fillId="15" borderId="4" xfId="0" applyFont="1" applyFill="1" applyBorder="1" applyAlignment="1">
      <alignment vertical="top"/>
    </xf>
    <xf numFmtId="0" fontId="4" fillId="15" borderId="70" xfId="0" applyFont="1" applyFill="1" applyBorder="1" applyAlignment="1">
      <alignment horizontal="right" vertical="center"/>
    </xf>
    <xf numFmtId="0" fontId="11" fillId="15" borderId="1" xfId="0" applyFont="1" applyFill="1" applyBorder="1" applyAlignment="1">
      <alignment horizontal="left" vertical="center" indent="1"/>
    </xf>
    <xf numFmtId="39" fontId="4" fillId="15" borderId="5" xfId="0" applyNumberFormat="1" applyFont="1" applyFill="1" applyBorder="1" applyAlignment="1">
      <alignment horizontal="left" indent="1"/>
    </xf>
    <xf numFmtId="39" fontId="0" fillId="15" borderId="0" xfId="0" applyNumberFormat="1" applyFill="1"/>
    <xf numFmtId="39" fontId="0" fillId="15" borderId="20" xfId="0" applyNumberFormat="1" applyFill="1" applyBorder="1"/>
    <xf numFmtId="39" fontId="6" fillId="15" borderId="5" xfId="0" applyNumberFormat="1" applyFont="1" applyFill="1" applyBorder="1" applyAlignment="1">
      <alignment horizontal="left" indent="2"/>
    </xf>
    <xf numFmtId="39" fontId="6" fillId="15" borderId="0" xfId="0" quotePrefix="1" applyNumberFormat="1" applyFont="1" applyFill="1" applyAlignment="1">
      <alignment horizontal="right"/>
    </xf>
    <xf numFmtId="39" fontId="0" fillId="15" borderId="21" xfId="0" applyNumberFormat="1" applyFill="1" applyBorder="1"/>
    <xf numFmtId="39" fontId="0" fillId="15" borderId="4" xfId="0" applyNumberFormat="1" applyFill="1" applyBorder="1"/>
    <xf numFmtId="39" fontId="0" fillId="15" borderId="22" xfId="0" applyNumberFormat="1" applyFill="1" applyBorder="1"/>
    <xf numFmtId="0" fontId="130" fillId="15" borderId="8" xfId="0" applyFont="1" applyFill="1" applyBorder="1" applyAlignment="1">
      <alignment vertical="center" wrapText="1"/>
    </xf>
    <xf numFmtId="0" fontId="130" fillId="15" borderId="1" xfId="0" applyFont="1" applyFill="1" applyBorder="1" applyAlignment="1">
      <alignment vertical="center" wrapText="1"/>
    </xf>
    <xf numFmtId="0" fontId="47" fillId="15" borderId="8" xfId="0" applyFont="1" applyFill="1" applyBorder="1" applyAlignment="1">
      <alignment horizontal="left"/>
    </xf>
    <xf numFmtId="0" fontId="47" fillId="15" borderId="8" xfId="0" applyFont="1" applyFill="1" applyBorder="1" applyAlignment="1">
      <alignment horizontal="center"/>
    </xf>
    <xf numFmtId="166" fontId="47" fillId="15" borderId="3" xfId="0" applyNumberFormat="1" applyFont="1" applyFill="1" applyBorder="1" applyAlignment="1">
      <alignment horizontal="center"/>
    </xf>
    <xf numFmtId="186" fontId="6" fillId="15" borderId="0" xfId="0" applyNumberFormat="1" applyFont="1" applyFill="1" applyAlignment="1">
      <alignment horizontal="center"/>
    </xf>
    <xf numFmtId="0" fontId="47" fillId="15" borderId="0" xfId="0" applyFont="1" applyFill="1" applyAlignment="1">
      <alignment horizontal="left" vertical="center" wrapText="1"/>
    </xf>
    <xf numFmtId="0" fontId="47" fillId="15" borderId="24" xfId="0" applyFont="1" applyFill="1" applyBorder="1" applyAlignment="1">
      <alignment horizontal="left" vertical="center" wrapText="1"/>
    </xf>
    <xf numFmtId="0" fontId="11" fillId="15" borderId="0" xfId="0" quotePrefix="1" applyFont="1" applyFill="1" applyAlignment="1">
      <alignment horizontal="center" vertical="center" wrapText="1"/>
    </xf>
    <xf numFmtId="39" fontId="6" fillId="15" borderId="5" xfId="0" applyNumberFormat="1" applyFont="1" applyFill="1" applyBorder="1" applyAlignment="1">
      <alignment horizontal="left" indent="1"/>
    </xf>
    <xf numFmtId="39" fontId="6" fillId="15" borderId="5" xfId="0" applyNumberFormat="1" applyFont="1" applyFill="1" applyBorder="1" applyAlignment="1">
      <alignment horizontal="left" vertical="center" indent="3"/>
    </xf>
    <xf numFmtId="39" fontId="6" fillId="15" borderId="5" xfId="0" applyNumberFormat="1" applyFont="1" applyFill="1" applyBorder="1" applyAlignment="1">
      <alignment horizontal="left" indent="3"/>
    </xf>
    <xf numFmtId="0" fontId="15" fillId="15" borderId="8" xfId="0" quotePrefix="1" applyFont="1" applyFill="1" applyBorder="1" applyAlignment="1">
      <alignment horizontal="right"/>
    </xf>
    <xf numFmtId="0" fontId="47" fillId="15" borderId="1" xfId="0" applyFont="1" applyFill="1" applyBorder="1" applyAlignment="1">
      <alignment vertical="top"/>
    </xf>
    <xf numFmtId="39" fontId="6" fillId="15" borderId="0" xfId="0" applyNumberFormat="1" applyFont="1" applyFill="1"/>
    <xf numFmtId="0" fontId="23" fillId="15" borderId="8" xfId="0" applyFont="1" applyFill="1" applyBorder="1" applyAlignment="1">
      <alignment vertical="center"/>
    </xf>
    <xf numFmtId="0" fontId="23" fillId="15" borderId="1" xfId="0" applyFont="1" applyFill="1" applyBorder="1" applyAlignment="1">
      <alignment vertical="center"/>
    </xf>
    <xf numFmtId="0" fontId="20" fillId="15" borderId="25" xfId="0" applyFont="1" applyFill="1" applyBorder="1" applyAlignment="1">
      <alignment vertical="center"/>
    </xf>
    <xf numFmtId="3" fontId="15" fillId="15" borderId="0" xfId="0" applyNumberFormat="1" applyFont="1" applyFill="1"/>
    <xf numFmtId="3" fontId="110" fillId="15" borderId="8" xfId="0" applyNumberFormat="1" applyFont="1" applyFill="1" applyBorder="1"/>
    <xf numFmtId="0" fontId="110" fillId="15" borderId="14" xfId="0" applyFont="1" applyFill="1" applyBorder="1"/>
    <xf numFmtId="40" fontId="5" fillId="2" borderId="0" xfId="0" applyNumberFormat="1" applyFont="1" applyFill="1" applyAlignment="1">
      <alignment horizontal="left" indent="1"/>
    </xf>
    <xf numFmtId="40" fontId="5" fillId="2" borderId="0" xfId="0" applyNumberFormat="1" applyFont="1" applyFill="1" applyAlignment="1">
      <alignment horizontal="left" vertical="top" indent="1"/>
    </xf>
    <xf numFmtId="0" fontId="4" fillId="3" borderId="0" xfId="0" quotePrefix="1" applyFont="1" applyFill="1" applyAlignment="1">
      <alignment horizontal="center"/>
    </xf>
    <xf numFmtId="0" fontId="21" fillId="2" borderId="44" xfId="0" applyFont="1" applyFill="1" applyBorder="1" applyAlignment="1">
      <alignment horizontal="left" vertical="center"/>
    </xf>
    <xf numFmtId="0" fontId="44" fillId="2" borderId="44" xfId="0" applyFont="1" applyFill="1" applyBorder="1" applyAlignment="1">
      <alignment horizontal="left"/>
    </xf>
    <xf numFmtId="0" fontId="4" fillId="2" borderId="45" xfId="0" applyFont="1" applyFill="1" applyBorder="1" applyAlignment="1">
      <alignment horizontal="left" vertical="center"/>
    </xf>
    <xf numFmtId="0" fontId="4" fillId="2" borderId="45" xfId="0" applyFont="1" applyFill="1" applyBorder="1" applyAlignment="1">
      <alignment horizontal="center" vertical="center"/>
    </xf>
    <xf numFmtId="0" fontId="4" fillId="2" borderId="45" xfId="0" applyFont="1" applyFill="1" applyBorder="1" applyAlignment="1">
      <alignment horizontal="right"/>
    </xf>
    <xf numFmtId="189" fontId="4" fillId="2" borderId="45" xfId="0" applyNumberFormat="1" applyFont="1" applyFill="1" applyBorder="1" applyAlignment="1">
      <alignment horizontal="center"/>
    </xf>
    <xf numFmtId="171" fontId="4" fillId="2" borderId="45" xfId="0" applyNumberFormat="1" applyFont="1" applyFill="1" applyBorder="1" applyAlignment="1">
      <alignment horizontal="center"/>
    </xf>
    <xf numFmtId="0" fontId="4" fillId="2" borderId="25" xfId="0" applyFont="1" applyFill="1" applyBorder="1" applyAlignment="1">
      <alignment horizontal="center"/>
    </xf>
    <xf numFmtId="0" fontId="15" fillId="2" borderId="25" xfId="0" applyFont="1" applyFill="1" applyBorder="1" applyAlignment="1">
      <alignment horizontal="center" wrapText="1"/>
    </xf>
    <xf numFmtId="0" fontId="4" fillId="0" borderId="25" xfId="0" applyFont="1" applyBorder="1" applyAlignment="1">
      <alignment horizontal="center"/>
    </xf>
    <xf numFmtId="0" fontId="4" fillId="2" borderId="1" xfId="0" applyFont="1" applyFill="1" applyBorder="1" applyAlignment="1">
      <alignment horizontal="center"/>
    </xf>
    <xf numFmtId="1" fontId="6" fillId="0" borderId="0" xfId="0" applyNumberFormat="1" applyFont="1"/>
    <xf numFmtId="1" fontId="110" fillId="0" borderId="0" xfId="0" applyNumberFormat="1" applyFont="1"/>
    <xf numFmtId="49" fontId="4" fillId="0" borderId="0" xfId="0" quotePrefix="1" applyNumberFormat="1" applyFont="1" applyAlignment="1">
      <alignment horizontal="center"/>
    </xf>
    <xf numFmtId="37" fontId="6" fillId="27" borderId="85" xfId="0" applyNumberFormat="1" applyFont="1" applyFill="1" applyBorder="1"/>
    <xf numFmtId="4" fontId="4" fillId="0" borderId="0" xfId="0" applyNumberFormat="1" applyFont="1"/>
    <xf numFmtId="1" fontId="51" fillId="0" borderId="0" xfId="0" applyNumberFormat="1" applyFont="1"/>
    <xf numFmtId="4" fontId="6" fillId="0" borderId="0" xfId="0" applyNumberFormat="1" applyFont="1"/>
    <xf numFmtId="37" fontId="6" fillId="27" borderId="113" xfId="0" applyNumberFormat="1" applyFont="1" applyFill="1" applyBorder="1"/>
    <xf numFmtId="171" fontId="6" fillId="0" borderId="0" xfId="0" applyNumberFormat="1" applyFont="1"/>
    <xf numFmtId="39" fontId="6" fillId="27" borderId="113" xfId="0" applyNumberFormat="1" applyFont="1" applyFill="1" applyBorder="1"/>
    <xf numFmtId="4" fontId="109" fillId="0" borderId="0" xfId="0" applyNumberFormat="1" applyFont="1"/>
    <xf numFmtId="0" fontId="131" fillId="2" borderId="3" xfId="0" applyFont="1" applyFill="1" applyBorder="1"/>
    <xf numFmtId="4" fontId="146" fillId="0" borderId="0" xfId="0" applyNumberFormat="1" applyFont="1"/>
    <xf numFmtId="0" fontId="9" fillId="2" borderId="3" xfId="0" applyFont="1" applyFill="1" applyBorder="1"/>
    <xf numFmtId="37" fontId="6" fillId="27" borderId="213" xfId="0" quotePrefix="1" applyNumberFormat="1" applyFont="1" applyFill="1" applyBorder="1" applyAlignment="1">
      <alignment horizontal="right"/>
    </xf>
    <xf numFmtId="1" fontId="146" fillId="0" borderId="0" xfId="0" applyNumberFormat="1" applyFont="1"/>
    <xf numFmtId="0" fontId="164" fillId="2" borderId="9" xfId="0" applyFont="1" applyFill="1" applyBorder="1"/>
    <xf numFmtId="4" fontId="0" fillId="0" borderId="1" xfId="0" applyNumberFormat="1" applyBorder="1"/>
    <xf numFmtId="0" fontId="12" fillId="2" borderId="0" xfId="0" applyFont="1" applyFill="1" applyAlignment="1">
      <alignment horizontal="right"/>
    </xf>
    <xf numFmtId="0" fontId="10" fillId="2" borderId="8" xfId="0" applyFont="1" applyFill="1" applyBorder="1" applyAlignment="1">
      <alignment horizontal="center"/>
    </xf>
    <xf numFmtId="37" fontId="8" fillId="2" borderId="0" xfId="0" applyNumberFormat="1" applyFont="1" applyFill="1" applyAlignment="1">
      <alignment horizontal="center"/>
    </xf>
    <xf numFmtId="0" fontId="51" fillId="0" borderId="0" xfId="0" applyFont="1" applyAlignment="1">
      <alignment horizontal="center"/>
    </xf>
    <xf numFmtId="1" fontId="4" fillId="0" borderId="0" xfId="0" applyNumberFormat="1" applyFont="1" applyAlignment="1">
      <alignment horizontal="center"/>
    </xf>
    <xf numFmtId="0" fontId="4" fillId="2" borderId="8" xfId="0" applyFont="1" applyFill="1" applyBorder="1" applyAlignment="1">
      <alignment horizontal="center"/>
    </xf>
    <xf numFmtId="0" fontId="57" fillId="2" borderId="8" xfId="0" applyFont="1" applyFill="1" applyBorder="1" applyAlignment="1">
      <alignment horizontal="left"/>
    </xf>
    <xf numFmtId="0" fontId="57" fillId="2" borderId="0" xfId="0" applyFont="1" applyFill="1" applyAlignment="1">
      <alignment horizontal="left"/>
    </xf>
    <xf numFmtId="0" fontId="21" fillId="2" borderId="137" xfId="0" applyFont="1" applyFill="1" applyBorder="1" applyAlignment="1">
      <alignment horizontal="left" vertical="center"/>
    </xf>
    <xf numFmtId="0" fontId="44" fillId="2" borderId="137" xfId="0" applyFont="1" applyFill="1" applyBorder="1" applyAlignment="1">
      <alignment horizontal="left"/>
    </xf>
    <xf numFmtId="0" fontId="4" fillId="2" borderId="137" xfId="0" applyFont="1" applyFill="1" applyBorder="1" applyAlignment="1">
      <alignment horizontal="left" vertical="center"/>
    </xf>
    <xf numFmtId="0" fontId="4" fillId="2" borderId="137" xfId="0" applyFont="1" applyFill="1" applyBorder="1" applyAlignment="1">
      <alignment horizontal="center" vertical="center"/>
    </xf>
    <xf numFmtId="0" fontId="22" fillId="2" borderId="0" xfId="0" applyFont="1" applyFill="1" applyAlignment="1">
      <alignment vertical="center"/>
    </xf>
    <xf numFmtId="0" fontId="15" fillId="2" borderId="1" xfId="0" applyFont="1" applyFill="1" applyBorder="1" applyAlignment="1">
      <alignment horizontal="center" wrapText="1"/>
    </xf>
    <xf numFmtId="1" fontId="4" fillId="0" borderId="0" xfId="0" applyNumberFormat="1" applyFont="1"/>
    <xf numFmtId="4" fontId="51" fillId="0" borderId="0" xfId="0" applyNumberFormat="1" applyFont="1"/>
    <xf numFmtId="4" fontId="22" fillId="0" borderId="0" xfId="0" applyNumberFormat="1" applyFont="1"/>
    <xf numFmtId="1" fontId="125" fillId="0" borderId="0" xfId="0" applyNumberFormat="1" applyFont="1" applyAlignment="1">
      <alignment horizontal="center"/>
    </xf>
    <xf numFmtId="4" fontId="0" fillId="15" borderId="8" xfId="0" applyNumberFormat="1" applyFill="1" applyBorder="1"/>
    <xf numFmtId="0" fontId="10" fillId="2" borderId="113" xfId="0" applyFont="1" applyFill="1" applyBorder="1" applyAlignment="1">
      <alignment horizontal="center"/>
    </xf>
    <xf numFmtId="1" fontId="125" fillId="0" borderId="0" xfId="0" applyNumberFormat="1" applyFont="1"/>
    <xf numFmtId="0" fontId="4" fillId="2" borderId="1" xfId="0" applyFont="1" applyFill="1" applyBorder="1" applyAlignment="1">
      <alignment horizontal="left"/>
    </xf>
    <xf numFmtId="0" fontId="4" fillId="2" borderId="1" xfId="0" applyFont="1" applyFill="1" applyBorder="1" applyAlignment="1">
      <alignment horizontal="right"/>
    </xf>
    <xf numFmtId="0" fontId="4" fillId="0" borderId="1" xfId="0" applyFont="1" applyBorder="1" applyAlignment="1">
      <alignment horizontal="center"/>
    </xf>
    <xf numFmtId="1" fontId="0" fillId="0" borderId="1" xfId="0" applyNumberFormat="1" applyBorder="1"/>
    <xf numFmtId="37" fontId="4" fillId="27" borderId="86" xfId="0" applyNumberFormat="1" applyFont="1" applyFill="1" applyBorder="1"/>
    <xf numFmtId="4" fontId="6" fillId="15" borderId="30" xfId="0" applyNumberFormat="1" applyFont="1" applyFill="1" applyBorder="1" applyAlignment="1">
      <alignment horizontal="left" indent="1"/>
    </xf>
    <xf numFmtId="4" fontId="6" fillId="15" borderId="8" xfId="0" applyNumberFormat="1" applyFont="1" applyFill="1" applyBorder="1" applyAlignment="1">
      <alignment horizontal="left" indent="1"/>
    </xf>
    <xf numFmtId="4" fontId="6" fillId="15" borderId="8" xfId="0" applyNumberFormat="1" applyFont="1" applyFill="1" applyBorder="1"/>
    <xf numFmtId="37" fontId="4" fillId="27" borderId="135" xfId="0" applyNumberFormat="1" applyFont="1" applyFill="1" applyBorder="1"/>
    <xf numFmtId="4" fontId="6" fillId="15" borderId="3" xfId="0" applyNumberFormat="1" applyFont="1" applyFill="1" applyBorder="1" applyAlignment="1">
      <alignment horizontal="left" indent="1"/>
    </xf>
    <xf numFmtId="4" fontId="6" fillId="15" borderId="0" xfId="0" applyNumberFormat="1" applyFont="1" applyFill="1" applyAlignment="1">
      <alignment horizontal="left" indent="1"/>
    </xf>
    <xf numFmtId="0" fontId="6" fillId="2" borderId="3" xfId="0" applyFont="1" applyFill="1" applyBorder="1"/>
    <xf numFmtId="37" fontId="6" fillId="27" borderId="135" xfId="0" applyNumberFormat="1" applyFont="1" applyFill="1" applyBorder="1"/>
    <xf numFmtId="37" fontId="0" fillId="27" borderId="12" xfId="0" applyNumberFormat="1" applyFill="1" applyBorder="1"/>
    <xf numFmtId="4" fontId="6" fillId="0" borderId="0" xfId="0" applyNumberFormat="1" applyFont="1" applyAlignment="1">
      <alignment horizontal="left"/>
    </xf>
    <xf numFmtId="4" fontId="10" fillId="0" borderId="0" xfId="0" applyNumberFormat="1" applyFont="1"/>
    <xf numFmtId="37" fontId="110" fillId="15" borderId="0" xfId="0" quotePrefix="1" applyNumberFormat="1" applyFont="1" applyFill="1" applyAlignment="1">
      <alignment horizontal="right"/>
    </xf>
    <xf numFmtId="37" fontId="6" fillId="27" borderId="215" xfId="0" quotePrefix="1" applyNumberFormat="1" applyFont="1" applyFill="1" applyBorder="1" applyAlignment="1">
      <alignment horizontal="right"/>
    </xf>
    <xf numFmtId="0" fontId="0" fillId="15" borderId="37" xfId="0" applyFill="1" applyBorder="1"/>
    <xf numFmtId="0" fontId="67" fillId="15" borderId="102" xfId="2" applyFill="1" applyBorder="1" applyAlignment="1" applyProtection="1">
      <alignment horizontal="left" indent="1"/>
    </xf>
    <xf numFmtId="0" fontId="0" fillId="15" borderId="38" xfId="0" applyFill="1" applyBorder="1"/>
    <xf numFmtId="0" fontId="7" fillId="0" borderId="0" xfId="0" applyFont="1" applyAlignment="1">
      <alignment horizontal="center"/>
    </xf>
    <xf numFmtId="37" fontId="6" fillId="16" borderId="12" xfId="0" applyNumberFormat="1" applyFont="1" applyFill="1" applyBorder="1" applyAlignment="1" applyProtection="1">
      <alignment horizontal="right" wrapText="1"/>
      <protection locked="0"/>
    </xf>
    <xf numFmtId="0" fontId="6" fillId="0" borderId="100" xfId="0" applyFont="1" applyBorder="1"/>
    <xf numFmtId="3" fontId="6" fillId="16" borderId="168" xfId="0" applyNumberFormat="1" applyFont="1" applyFill="1" applyBorder="1" applyAlignment="1" applyProtection="1">
      <alignment horizontal="right"/>
      <protection locked="0"/>
    </xf>
    <xf numFmtId="0" fontId="9" fillId="16" borderId="109" xfId="0" applyFont="1" applyFill="1" applyBorder="1" applyAlignment="1" applyProtection="1">
      <alignment horizontal="center"/>
      <protection locked="0"/>
    </xf>
    <xf numFmtId="37" fontId="9" fillId="16" borderId="66" xfId="0" applyNumberFormat="1" applyFont="1" applyFill="1" applyBorder="1" applyProtection="1">
      <protection locked="0"/>
    </xf>
    <xf numFmtId="0" fontId="9" fillId="16" borderId="46" xfId="0" applyFont="1" applyFill="1" applyBorder="1" applyAlignment="1" applyProtection="1">
      <alignment horizontal="center"/>
      <protection locked="0"/>
    </xf>
    <xf numFmtId="37" fontId="9" fillId="16" borderId="58" xfId="0" applyNumberFormat="1" applyFont="1" applyFill="1" applyBorder="1" applyProtection="1">
      <protection locked="0"/>
    </xf>
    <xf numFmtId="37" fontId="4" fillId="27" borderId="39" xfId="0" applyNumberFormat="1" applyFont="1" applyFill="1" applyBorder="1"/>
    <xf numFmtId="0" fontId="0" fillId="0" borderId="24" xfId="0" applyBorder="1"/>
    <xf numFmtId="0" fontId="0" fillId="0" borderId="11" xfId="0" applyBorder="1"/>
    <xf numFmtId="0" fontId="8" fillId="15" borderId="8" xfId="0" applyFont="1" applyFill="1" applyBorder="1" applyAlignment="1">
      <alignment horizontal="center" vertical="center" wrapText="1"/>
    </xf>
    <xf numFmtId="0" fontId="8" fillId="15" borderId="1" xfId="0" applyFont="1" applyFill="1" applyBorder="1" applyAlignment="1">
      <alignment horizontal="center" vertical="center" wrapText="1"/>
    </xf>
    <xf numFmtId="0" fontId="0" fillId="0" borderId="16" xfId="0" applyBorder="1"/>
    <xf numFmtId="0" fontId="0" fillId="0" borderId="14" xfId="0" applyBorder="1"/>
    <xf numFmtId="0" fontId="11" fillId="15" borderId="7" xfId="0" applyFont="1" applyFill="1" applyBorder="1" applyAlignment="1">
      <alignment horizontal="left"/>
    </xf>
    <xf numFmtId="0" fontId="110" fillId="15" borderId="8" xfId="0" applyFont="1" applyFill="1" applyBorder="1" applyAlignment="1">
      <alignment horizontal="center"/>
    </xf>
    <xf numFmtId="0" fontId="0" fillId="15" borderId="14" xfId="0" applyFill="1" applyBorder="1" applyAlignment="1">
      <alignment horizontal="center"/>
    </xf>
    <xf numFmtId="0" fontId="15" fillId="15" borderId="11" xfId="0" applyFont="1" applyFill="1" applyBorder="1" applyAlignment="1">
      <alignment horizontal="center"/>
    </xf>
    <xf numFmtId="0" fontId="4" fillId="2" borderId="0" xfId="0" applyFont="1" applyFill="1" applyAlignment="1">
      <alignment horizontal="left" wrapText="1"/>
    </xf>
    <xf numFmtId="0" fontId="4" fillId="23" borderId="0" xfId="0" applyFont="1" applyFill="1" applyAlignment="1">
      <alignment horizontal="center" vertical="center"/>
    </xf>
    <xf numFmtId="0" fontId="0" fillId="15" borderId="25" xfId="0" applyFill="1" applyBorder="1" applyAlignment="1">
      <alignment horizontal="center" vertical="center"/>
    </xf>
    <xf numFmtId="0" fontId="21" fillId="2" borderId="0" xfId="0" applyFont="1" applyFill="1" applyAlignment="1">
      <alignment horizontal="left" vertical="center"/>
    </xf>
    <xf numFmtId="0" fontId="4" fillId="2" borderId="45" xfId="0" applyFont="1" applyFill="1" applyBorder="1" applyAlignment="1">
      <alignment horizontal="left" vertical="center" wrapText="1"/>
    </xf>
    <xf numFmtId="0" fontId="4" fillId="2" borderId="45" xfId="0" applyFont="1" applyFill="1" applyBorder="1" applyAlignment="1">
      <alignment horizontal="center" vertical="center" wrapText="1"/>
    </xf>
    <xf numFmtId="0" fontId="121" fillId="2" borderId="45" xfId="0" applyFont="1" applyFill="1" applyBorder="1" applyAlignment="1">
      <alignment horizontal="left"/>
    </xf>
    <xf numFmtId="0" fontId="11" fillId="2" borderId="0" xfId="0" applyFont="1" applyFill="1" applyAlignment="1">
      <alignment horizontal="center" wrapText="1"/>
    </xf>
    <xf numFmtId="0" fontId="0" fillId="2" borderId="0" xfId="0" applyFill="1" applyAlignment="1">
      <alignment vertical="center" wrapText="1"/>
    </xf>
    <xf numFmtId="0" fontId="57" fillId="2" borderId="109" xfId="0" applyFont="1" applyFill="1" applyBorder="1" applyAlignment="1">
      <alignment horizontal="right"/>
    </xf>
    <xf numFmtId="0" fontId="4" fillId="2" borderId="66" xfId="0" applyFont="1" applyFill="1" applyBorder="1" applyAlignment="1">
      <alignment horizontal="right"/>
    </xf>
    <xf numFmtId="0" fontId="57" fillId="2" borderId="46" xfId="0" applyFont="1" applyFill="1" applyBorder="1" applyAlignment="1">
      <alignment horizontal="right"/>
    </xf>
    <xf numFmtId="0" fontId="4" fillId="2" borderId="58" xfId="0" applyFont="1" applyFill="1" applyBorder="1" applyAlignment="1">
      <alignment horizontal="right"/>
    </xf>
    <xf numFmtId="0" fontId="57" fillId="2" borderId="50" xfId="0" applyFont="1" applyFill="1" applyBorder="1" applyAlignment="1">
      <alignment horizontal="right"/>
    </xf>
    <xf numFmtId="0" fontId="4" fillId="2" borderId="110" xfId="0" applyFont="1" applyFill="1" applyBorder="1" applyAlignment="1">
      <alignment horizontal="right"/>
    </xf>
    <xf numFmtId="0" fontId="4" fillId="2" borderId="23" xfId="0" applyFont="1" applyFill="1" applyBorder="1" applyAlignment="1">
      <alignment horizontal="right"/>
    </xf>
    <xf numFmtId="0" fontId="4" fillId="2" borderId="40" xfId="0" applyFont="1" applyFill="1" applyBorder="1"/>
    <xf numFmtId="4" fontId="121" fillId="2" borderId="0" xfId="0" applyNumberFormat="1" applyFont="1" applyFill="1"/>
    <xf numFmtId="0" fontId="4" fillId="2" borderId="5" xfId="0" applyFont="1" applyFill="1" applyBorder="1" applyAlignment="1">
      <alignment horizontal="right"/>
    </xf>
    <xf numFmtId="0" fontId="4" fillId="2" borderId="41" xfId="0" applyFont="1" applyFill="1" applyBorder="1"/>
    <xf numFmtId="0" fontId="107" fillId="2" borderId="5" xfId="0" applyFont="1" applyFill="1" applyBorder="1" applyAlignment="1">
      <alignment horizontal="right" vertical="top"/>
    </xf>
    <xf numFmtId="0" fontId="108" fillId="2" borderId="41" xfId="0" applyFont="1" applyFill="1" applyBorder="1"/>
    <xf numFmtId="0" fontId="108" fillId="2" borderId="41" xfId="0" applyFont="1" applyFill="1" applyBorder="1" applyAlignment="1">
      <alignment vertical="top" wrapText="1"/>
    </xf>
    <xf numFmtId="0" fontId="107" fillId="2" borderId="5" xfId="0" applyFont="1" applyFill="1" applyBorder="1" applyAlignment="1">
      <alignment horizontal="right"/>
    </xf>
    <xf numFmtId="4" fontId="121" fillId="2" borderId="0" xfId="0" applyNumberFormat="1" applyFont="1" applyFill="1" applyAlignment="1">
      <alignment horizontal="left" indent="1"/>
    </xf>
    <xf numFmtId="0" fontId="4" fillId="2" borderId="21" xfId="0" applyFont="1" applyFill="1" applyBorder="1" applyAlignment="1">
      <alignment horizontal="right"/>
    </xf>
    <xf numFmtId="0" fontId="4" fillId="2" borderId="42" xfId="0" applyFont="1" applyFill="1" applyBorder="1"/>
    <xf numFmtId="4" fontId="110" fillId="2" borderId="0" xfId="0" applyNumberFormat="1" applyFont="1" applyFill="1" applyAlignment="1">
      <alignment horizontal="left"/>
    </xf>
    <xf numFmtId="0" fontId="4" fillId="0" borderId="0" xfId="0" applyFont="1" applyAlignment="1">
      <alignment horizontal="right" wrapText="1"/>
    </xf>
    <xf numFmtId="0" fontId="6" fillId="0" borderId="0" xfId="0" applyFont="1" applyAlignment="1">
      <alignment horizontal="left" wrapText="1"/>
    </xf>
    <xf numFmtId="4" fontId="143" fillId="27" borderId="108" xfId="0" applyNumberFormat="1" applyFont="1" applyFill="1" applyBorder="1" applyAlignment="1">
      <alignment horizontal="center"/>
    </xf>
    <xf numFmtId="4" fontId="110" fillId="2" borderId="0" xfId="0" applyNumberFormat="1" applyFont="1" applyFill="1" applyAlignment="1">
      <alignment horizontal="left" indent="1"/>
    </xf>
    <xf numFmtId="3" fontId="110" fillId="27" borderId="68" xfId="0" applyNumberFormat="1" applyFont="1" applyFill="1" applyBorder="1" applyAlignment="1">
      <alignment horizontal="right"/>
    </xf>
    <xf numFmtId="3" fontId="110" fillId="2" borderId="0" xfId="0" applyNumberFormat="1" applyFont="1" applyFill="1" applyAlignment="1">
      <alignment horizontal="left" indent="1"/>
    </xf>
    <xf numFmtId="3" fontId="110" fillId="27" borderId="112" xfId="0" applyNumberFormat="1" applyFont="1" applyFill="1" applyBorder="1" applyAlignment="1">
      <alignment horizontal="right"/>
    </xf>
    <xf numFmtId="37" fontId="4" fillId="27" borderId="66" xfId="0" applyNumberFormat="1" applyFont="1" applyFill="1" applyBorder="1"/>
    <xf numFmtId="0" fontId="6" fillId="2" borderId="0" xfId="0" applyFont="1" applyFill="1" applyAlignment="1">
      <alignment horizontal="left" indent="1"/>
    </xf>
    <xf numFmtId="37" fontId="6" fillId="27" borderId="58" xfId="0" applyNumberFormat="1" applyFont="1" applyFill="1" applyBorder="1"/>
    <xf numFmtId="0" fontId="6" fillId="2" borderId="0" xfId="0" applyFont="1" applyFill="1" applyAlignment="1">
      <alignment horizontal="left" vertical="center" indent="1"/>
    </xf>
    <xf numFmtId="0" fontId="6" fillId="2" borderId="14" xfId="0" applyFont="1" applyFill="1" applyBorder="1" applyAlignment="1">
      <alignment horizontal="left" indent="1"/>
    </xf>
    <xf numFmtId="37" fontId="6" fillId="27" borderId="58" xfId="0" applyNumberFormat="1" applyFont="1" applyFill="1" applyBorder="1" applyAlignment="1">
      <alignment horizontal="center"/>
    </xf>
    <xf numFmtId="4" fontId="121" fillId="2" borderId="55" xfId="0" applyNumberFormat="1" applyFont="1" applyFill="1" applyBorder="1" applyAlignment="1">
      <alignment horizontal="left" indent="1"/>
    </xf>
    <xf numFmtId="0" fontId="109" fillId="0" borderId="0" xfId="0" applyFont="1" applyAlignment="1">
      <alignment horizontal="right" vertical="center" wrapText="1"/>
    </xf>
    <xf numFmtId="0" fontId="110" fillId="0" borderId="0" xfId="0" applyFont="1" applyAlignment="1">
      <alignment horizontal="left"/>
    </xf>
    <xf numFmtId="0" fontId="0" fillId="15" borderId="37" xfId="0" applyFill="1" applyBorder="1" applyAlignment="1">
      <alignment horizontal="left" indent="1"/>
    </xf>
    <xf numFmtId="0" fontId="0" fillId="15" borderId="38" xfId="0" applyFill="1" applyBorder="1" applyAlignment="1">
      <alignment horizontal="left" indent="1"/>
    </xf>
    <xf numFmtId="0" fontId="4" fillId="2" borderId="8" xfId="0" applyFont="1" applyFill="1" applyBorder="1" applyAlignment="1">
      <alignment horizontal="center" vertical="center" wrapText="1"/>
    </xf>
    <xf numFmtId="0" fontId="4" fillId="2" borderId="47" xfId="0" applyFont="1" applyFill="1" applyBorder="1" applyAlignment="1">
      <alignment horizontal="right"/>
    </xf>
    <xf numFmtId="4" fontId="4" fillId="2" borderId="0" xfId="0" applyNumberFormat="1" applyFont="1" applyFill="1" applyAlignment="1">
      <alignment horizontal="center"/>
    </xf>
    <xf numFmtId="0" fontId="4" fillId="2" borderId="39" xfId="0" applyFont="1" applyFill="1" applyBorder="1" applyAlignment="1">
      <alignment horizontal="right"/>
    </xf>
    <xf numFmtId="0" fontId="4" fillId="2" borderId="52" xfId="0" applyFont="1" applyFill="1" applyBorder="1" applyAlignment="1">
      <alignment horizontal="right"/>
    </xf>
    <xf numFmtId="4" fontId="6" fillId="2" borderId="5" xfId="0" applyNumberFormat="1" applyFont="1" applyFill="1" applyBorder="1"/>
    <xf numFmtId="4" fontId="6" fillId="2" borderId="5" xfId="0" applyNumberFormat="1" applyFont="1" applyFill="1" applyBorder="1" applyAlignment="1">
      <alignment horizontal="right"/>
    </xf>
    <xf numFmtId="4" fontId="6" fillId="2" borderId="5" xfId="0" applyNumberFormat="1" applyFont="1" applyFill="1" applyBorder="1" applyAlignment="1">
      <alignment horizontal="center"/>
    </xf>
    <xf numFmtId="171" fontId="6" fillId="2" borderId="5" xfId="0" applyNumberFormat="1" applyFont="1" applyFill="1" applyBorder="1" applyAlignment="1">
      <alignment horizontal="right"/>
    </xf>
    <xf numFmtId="0" fontId="109" fillId="15" borderId="0" xfId="0" applyFont="1" applyFill="1" applyAlignment="1">
      <alignment vertical="top"/>
    </xf>
    <xf numFmtId="4" fontId="109" fillId="15" borderId="0" xfId="0" applyNumberFormat="1" applyFont="1" applyFill="1"/>
    <xf numFmtId="0" fontId="109" fillId="2" borderId="0" xfId="0" applyFont="1" applyFill="1" applyAlignment="1">
      <alignment vertical="center" wrapText="1"/>
    </xf>
    <xf numFmtId="0" fontId="4" fillId="2" borderId="137" xfId="0" applyFont="1" applyFill="1" applyBorder="1" applyAlignment="1">
      <alignment horizontal="left" vertical="center" wrapText="1"/>
    </xf>
    <xf numFmtId="0" fontId="4" fillId="2" borderId="137" xfId="0" applyFont="1" applyFill="1" applyBorder="1" applyAlignment="1">
      <alignment horizontal="center" vertical="center" wrapText="1"/>
    </xf>
    <xf numFmtId="0" fontId="121" fillId="2" borderId="137" xfId="0" applyFont="1" applyFill="1" applyBorder="1" applyAlignment="1">
      <alignment horizontal="left"/>
    </xf>
    <xf numFmtId="0" fontId="4" fillId="2" borderId="0" xfId="0" applyFont="1" applyFill="1" applyAlignment="1">
      <alignment horizontal="center" vertical="center" wrapText="1"/>
    </xf>
    <xf numFmtId="0" fontId="4" fillId="2" borderId="131" xfId="0" applyFont="1" applyFill="1" applyBorder="1" applyAlignment="1">
      <alignment horizontal="center" wrapText="1"/>
    </xf>
    <xf numFmtId="0" fontId="4" fillId="2" borderId="0" xfId="0" applyFont="1" applyFill="1" applyAlignment="1">
      <alignment horizontal="left" wrapText="1" indent="1"/>
    </xf>
    <xf numFmtId="4" fontId="4" fillId="27" borderId="150" xfId="0" applyNumberFormat="1" applyFont="1" applyFill="1" applyBorder="1" applyAlignment="1">
      <alignment horizontal="center"/>
    </xf>
    <xf numFmtId="4" fontId="6" fillId="2" borderId="0" xfId="0" applyNumberFormat="1" applyFont="1" applyFill="1" applyAlignment="1">
      <alignment horizontal="left" indent="1"/>
    </xf>
    <xf numFmtId="3" fontId="186" fillId="27" borderId="151" xfId="0" applyNumberFormat="1" applyFont="1" applyFill="1" applyBorder="1" applyAlignment="1">
      <alignment horizontal="right"/>
    </xf>
    <xf numFmtId="3" fontId="186" fillId="27" borderId="152" xfId="0" applyNumberFormat="1" applyFont="1" applyFill="1" applyBorder="1" applyAlignment="1">
      <alignment horizontal="right"/>
    </xf>
    <xf numFmtId="37" fontId="6" fillId="27" borderId="48" xfId="0" applyNumberFormat="1" applyFont="1" applyFill="1" applyBorder="1"/>
    <xf numFmtId="37" fontId="6" fillId="27" borderId="49" xfId="0" applyNumberFormat="1" applyFont="1" applyFill="1" applyBorder="1"/>
    <xf numFmtId="37" fontId="6" fillId="2" borderId="53" xfId="0" applyNumberFormat="1" applyFont="1" applyFill="1" applyBorder="1" applyAlignment="1">
      <alignment horizontal="right"/>
    </xf>
    <xf numFmtId="37" fontId="6" fillId="27" borderId="49" xfId="0" applyNumberFormat="1" applyFont="1" applyFill="1" applyBorder="1" applyAlignment="1">
      <alignment horizontal="center"/>
    </xf>
    <xf numFmtId="37" fontId="4" fillId="27" borderId="53" xfId="0" applyNumberFormat="1" applyFont="1" applyFill="1" applyBorder="1" applyAlignment="1">
      <alignment horizontal="right"/>
    </xf>
    <xf numFmtId="0" fontId="143" fillId="2" borderId="45" xfId="0" applyFont="1" applyFill="1" applyBorder="1" applyAlignment="1">
      <alignment horizontal="left" vertical="center"/>
    </xf>
    <xf numFmtId="0" fontId="4" fillId="2" borderId="23" xfId="0" quotePrefix="1" applyFont="1" applyFill="1" applyBorder="1" applyAlignment="1">
      <alignment horizontal="right"/>
    </xf>
    <xf numFmtId="4" fontId="4" fillId="27" borderId="66" xfId="0" applyNumberFormat="1" applyFont="1" applyFill="1" applyBorder="1"/>
    <xf numFmtId="4" fontId="6" fillId="2" borderId="0" xfId="0" quotePrefix="1" applyNumberFormat="1" applyFont="1" applyFill="1" applyAlignment="1">
      <alignment horizontal="left" indent="1"/>
    </xf>
    <xf numFmtId="0" fontId="4" fillId="2" borderId="5" xfId="0" quotePrefix="1" applyFont="1" applyFill="1" applyBorder="1" applyAlignment="1">
      <alignment horizontal="right"/>
    </xf>
    <xf numFmtId="4" fontId="4" fillId="27" borderId="58" xfId="0" applyNumberFormat="1" applyFont="1" applyFill="1" applyBorder="1"/>
    <xf numFmtId="4" fontId="6" fillId="2" borderId="0" xfId="0" applyNumberFormat="1" applyFont="1" applyFill="1"/>
    <xf numFmtId="0" fontId="107" fillId="2" borderId="5" xfId="0" quotePrefix="1" applyFont="1" applyFill="1" applyBorder="1" applyAlignment="1">
      <alignment horizontal="right" vertical="top"/>
    </xf>
    <xf numFmtId="4" fontId="4" fillId="27" borderId="58" xfId="0" quotePrefix="1" applyNumberFormat="1" applyFont="1" applyFill="1" applyBorder="1" applyAlignment="1">
      <alignment horizontal="right" indent="1"/>
    </xf>
    <xf numFmtId="0" fontId="4" fillId="0" borderId="41" xfId="0" applyFont="1" applyBorder="1"/>
    <xf numFmtId="0" fontId="107" fillId="0" borderId="5" xfId="0" quotePrefix="1" applyFont="1" applyBorder="1" applyAlignment="1">
      <alignment horizontal="right" vertical="top"/>
    </xf>
    <xf numFmtId="0" fontId="108" fillId="0" borderId="41" xfId="0" applyFont="1" applyBorder="1" applyAlignment="1">
      <alignment vertical="top" wrapText="1"/>
    </xf>
    <xf numFmtId="4" fontId="172" fillId="2" borderId="0" xfId="0" applyNumberFormat="1" applyFont="1" applyFill="1" applyAlignment="1">
      <alignment horizontal="center"/>
    </xf>
    <xf numFmtId="0" fontId="4" fillId="2" borderId="21" xfId="0" quotePrefix="1" applyFont="1" applyFill="1" applyBorder="1" applyAlignment="1">
      <alignment horizontal="right"/>
    </xf>
    <xf numFmtId="4" fontId="4" fillId="27" borderId="112" xfId="0" applyNumberFormat="1" applyFont="1" applyFill="1" applyBorder="1" applyAlignment="1">
      <alignment horizontal="right"/>
    </xf>
    <xf numFmtId="4" fontId="257" fillId="2" borderId="0" xfId="0" applyNumberFormat="1" applyFont="1" applyFill="1" applyAlignment="1">
      <alignment vertical="center" wrapText="1"/>
    </xf>
    <xf numFmtId="0" fontId="6" fillId="2" borderId="0" xfId="0" quotePrefix="1" applyFont="1" applyFill="1" applyAlignment="1">
      <alignment horizontal="left" indent="1"/>
    </xf>
    <xf numFmtId="0" fontId="110" fillId="2" borderId="0" xfId="0" applyFont="1" applyFill="1" applyAlignment="1">
      <alignment horizontal="left" indent="1"/>
    </xf>
    <xf numFmtId="0" fontId="109" fillId="2" borderId="0" xfId="0" applyFont="1" applyFill="1" applyAlignment="1">
      <alignment horizontal="left" indent="1"/>
    </xf>
    <xf numFmtId="0" fontId="158" fillId="23" borderId="0" xfId="0" applyFont="1" applyFill="1" applyAlignment="1">
      <alignment vertical="center"/>
    </xf>
    <xf numFmtId="0" fontId="143" fillId="15" borderId="0" xfId="0" applyFont="1" applyFill="1" applyAlignment="1">
      <alignment horizontal="left" indent="1"/>
    </xf>
    <xf numFmtId="0" fontId="44" fillId="15" borderId="5" xfId="0" applyFont="1" applyFill="1" applyBorder="1" applyAlignment="1">
      <alignment horizontal="centerContinuous" vertical="top"/>
    </xf>
    <xf numFmtId="0" fontId="120" fillId="15" borderId="0" xfId="0" applyFont="1" applyFill="1" applyAlignment="1">
      <alignment horizontal="centerContinuous"/>
    </xf>
    <xf numFmtId="0" fontId="120" fillId="15" borderId="20" xfId="0" applyFont="1" applyFill="1" applyBorder="1" applyAlignment="1">
      <alignment horizontal="centerContinuous"/>
    </xf>
    <xf numFmtId="0" fontId="9" fillId="15" borderId="0" xfId="0" applyFont="1" applyFill="1" applyAlignment="1">
      <alignment horizontal="centerContinuous"/>
    </xf>
    <xf numFmtId="0" fontId="0" fillId="15" borderId="5" xfId="0" applyFill="1" applyBorder="1" applyAlignment="1">
      <alignment horizontal="left" wrapText="1"/>
    </xf>
    <xf numFmtId="0" fontId="4" fillId="15" borderId="21" xfId="0" applyFont="1" applyFill="1" applyBorder="1" applyAlignment="1">
      <alignment horizontal="centerContinuous"/>
    </xf>
    <xf numFmtId="0" fontId="0" fillId="15" borderId="21" xfId="0" applyFill="1" applyBorder="1" applyAlignment="1">
      <alignment horizontal="left" wrapText="1"/>
    </xf>
    <xf numFmtId="0" fontId="20" fillId="15" borderId="8" xfId="0" applyFont="1" applyFill="1" applyBorder="1"/>
    <xf numFmtId="0" fontId="123" fillId="15" borderId="8" xfId="0" applyFont="1" applyFill="1" applyBorder="1" applyAlignment="1">
      <alignment horizontal="center"/>
    </xf>
    <xf numFmtId="0" fontId="123" fillId="15" borderId="1" xfId="0" applyFont="1" applyFill="1" applyBorder="1" applyAlignment="1">
      <alignment horizontal="center"/>
    </xf>
    <xf numFmtId="0" fontId="110" fillId="15" borderId="1" xfId="0" applyFont="1" applyFill="1" applyBorder="1" applyAlignment="1">
      <alignment horizontal="center"/>
    </xf>
    <xf numFmtId="0" fontId="0" fillId="15" borderId="1" xfId="0" applyFill="1" applyBorder="1" applyAlignment="1">
      <alignment horizontal="center" vertical="center"/>
    </xf>
    <xf numFmtId="0" fontId="47" fillId="23" borderId="0" xfId="0" applyFont="1" applyFill="1" applyAlignment="1">
      <alignment vertical="center"/>
    </xf>
    <xf numFmtId="0" fontId="47" fillId="15" borderId="25" xfId="0" applyFont="1" applyFill="1" applyBorder="1" applyAlignment="1">
      <alignment horizontal="left" vertical="center"/>
    </xf>
    <xf numFmtId="0" fontId="47" fillId="15" borderId="25" xfId="0" applyFont="1" applyFill="1" applyBorder="1" applyAlignment="1">
      <alignment horizontal="center" vertical="center"/>
    </xf>
    <xf numFmtId="0" fontId="47" fillId="0" borderId="0" xfId="0" applyFont="1" applyAlignment="1">
      <alignment vertical="center"/>
    </xf>
    <xf numFmtId="0" fontId="0" fillId="15" borderId="8" xfId="0" applyFill="1" applyBorder="1" applyAlignment="1">
      <alignment horizontal="center" vertical="center"/>
    </xf>
    <xf numFmtId="0" fontId="0" fillId="15" borderId="3" xfId="0" applyFill="1" applyBorder="1" applyAlignment="1">
      <alignment horizontal="center" vertical="center"/>
    </xf>
    <xf numFmtId="0" fontId="0" fillId="0" borderId="30" xfId="0" applyBorder="1"/>
    <xf numFmtId="0" fontId="6" fillId="15" borderId="15" xfId="0" applyFont="1" applyFill="1" applyBorder="1" applyAlignment="1">
      <alignment horizontal="center"/>
    </xf>
    <xf numFmtId="0" fontId="0" fillId="15" borderId="39" xfId="0" applyFill="1" applyBorder="1"/>
    <xf numFmtId="0" fontId="0" fillId="0" borderId="3" xfId="0" applyBorder="1"/>
    <xf numFmtId="0" fontId="6" fillId="0" borderId="109" xfId="0" applyFont="1" applyBorder="1" applyAlignment="1">
      <alignment horizontal="right"/>
    </xf>
    <xf numFmtId="0" fontId="6" fillId="0" borderId="43" xfId="0" applyFont="1" applyBorder="1" applyAlignment="1">
      <alignment horizontal="right"/>
    </xf>
    <xf numFmtId="0" fontId="6" fillId="0" borderId="66" xfId="0" applyFont="1" applyBorder="1" applyAlignment="1">
      <alignment horizontal="right"/>
    </xf>
    <xf numFmtId="0" fontId="173" fillId="15" borderId="0" xfId="0" applyFont="1" applyFill="1" applyAlignment="1">
      <alignment horizontal="left" vertical="center"/>
    </xf>
    <xf numFmtId="0" fontId="0" fillId="0" borderId="46" xfId="0" applyBorder="1"/>
    <xf numFmtId="0" fontId="0" fillId="0" borderId="58" xfId="0" applyBorder="1"/>
    <xf numFmtId="0" fontId="0" fillId="0" borderId="50" xfId="0" applyBorder="1"/>
    <xf numFmtId="0" fontId="0" fillId="0" borderId="51" xfId="0" applyBorder="1"/>
    <xf numFmtId="0" fontId="0" fillId="0" borderId="110" xfId="0" applyBorder="1"/>
    <xf numFmtId="0" fontId="0" fillId="15" borderId="10" xfId="0" applyFill="1" applyBorder="1"/>
    <xf numFmtId="0" fontId="47" fillId="15" borderId="0" xfId="0" applyFont="1" applyFill="1" applyAlignment="1">
      <alignment horizontal="left" vertical="top"/>
    </xf>
    <xf numFmtId="0" fontId="6" fillId="0" borderId="0" xfId="0" applyFont="1" applyAlignment="1">
      <alignment vertical="top"/>
    </xf>
    <xf numFmtId="0" fontId="6" fillId="0" borderId="0" xfId="0" applyFont="1" applyAlignment="1">
      <alignment horizontal="center" vertical="top"/>
    </xf>
    <xf numFmtId="0" fontId="14" fillId="15" borderId="7" xfId="0" applyFont="1" applyFill="1" applyBorder="1" applyAlignment="1">
      <alignment horizontal="left"/>
    </xf>
    <xf numFmtId="0" fontId="6" fillId="15" borderId="7" xfId="0" applyFont="1" applyFill="1" applyBorder="1" applyAlignment="1">
      <alignment horizontal="left"/>
    </xf>
    <xf numFmtId="0" fontId="11" fillId="15" borderId="7" xfId="0" applyFont="1" applyFill="1" applyBorder="1" applyAlignment="1">
      <alignment horizontal="right" vertical="center"/>
    </xf>
    <xf numFmtId="0" fontId="6" fillId="15" borderId="36" xfId="0" applyFont="1" applyFill="1" applyBorder="1" applyAlignment="1">
      <alignment horizontal="left" vertical="center"/>
    </xf>
    <xf numFmtId="0" fontId="167" fillId="0" borderId="0" xfId="0" applyFont="1" applyAlignment="1">
      <alignment vertical="top" wrapText="1"/>
    </xf>
    <xf numFmtId="0" fontId="11" fillId="15" borderId="0" xfId="0" applyFont="1" applyFill="1" applyAlignment="1">
      <alignment horizontal="right" vertical="center"/>
    </xf>
    <xf numFmtId="0" fontId="11" fillId="15" borderId="1" xfId="0" applyFont="1" applyFill="1" applyBorder="1" applyAlignment="1">
      <alignment horizontal="right" vertical="center"/>
    </xf>
    <xf numFmtId="0" fontId="6" fillId="15" borderId="11" xfId="0" applyFont="1" applyFill="1" applyBorder="1" applyAlignment="1">
      <alignment horizontal="left" vertical="center"/>
    </xf>
    <xf numFmtId="0" fontId="47" fillId="15" borderId="1" xfId="0" applyFont="1" applyFill="1" applyBorder="1" applyAlignment="1">
      <alignment horizontal="left"/>
    </xf>
    <xf numFmtId="0" fontId="11" fillId="15" borderId="8" xfId="0" applyFont="1" applyFill="1" applyBorder="1" applyAlignment="1">
      <alignment horizontal="left"/>
    </xf>
    <xf numFmtId="0" fontId="14" fillId="15" borderId="8" xfId="0" applyFont="1" applyFill="1" applyBorder="1" applyAlignment="1">
      <alignment horizontal="left"/>
    </xf>
    <xf numFmtId="0" fontId="6" fillId="15" borderId="8" xfId="0" applyFont="1" applyFill="1" applyBorder="1" applyAlignment="1">
      <alignment horizontal="left" vertical="center"/>
    </xf>
    <xf numFmtId="0" fontId="210" fillId="15" borderId="8" xfId="0" applyFont="1" applyFill="1" applyBorder="1" applyAlignment="1">
      <alignment horizontal="left" vertical="center"/>
    </xf>
    <xf numFmtId="0" fontId="6" fillId="15" borderId="14" xfId="0" applyFont="1" applyFill="1" applyBorder="1" applyAlignment="1">
      <alignment horizontal="left" vertical="center"/>
    </xf>
    <xf numFmtId="0" fontId="6" fillId="15" borderId="24" xfId="0" applyFont="1" applyFill="1" applyBorder="1" applyAlignment="1">
      <alignment horizontal="left" vertical="center"/>
    </xf>
    <xf numFmtId="37" fontId="15" fillId="27" borderId="1" xfId="0" applyNumberFormat="1" applyFont="1" applyFill="1" applyBorder="1" applyAlignment="1">
      <alignment horizontal="right" vertical="center"/>
    </xf>
    <xf numFmtId="37" fontId="15" fillId="27" borderId="11" xfId="0" applyNumberFormat="1" applyFont="1" applyFill="1" applyBorder="1" applyAlignment="1">
      <alignment horizontal="right" vertical="center"/>
    </xf>
    <xf numFmtId="37" fontId="15" fillId="27" borderId="39" xfId="0" applyNumberFormat="1" applyFont="1" applyFill="1" applyBorder="1" applyAlignment="1">
      <alignment horizontal="right" vertical="center"/>
    </xf>
    <xf numFmtId="37" fontId="15" fillId="27" borderId="25" xfId="0" applyNumberFormat="1" applyFont="1" applyFill="1" applyBorder="1" applyAlignment="1">
      <alignment horizontal="right" vertical="center"/>
    </xf>
    <xf numFmtId="3" fontId="15" fillId="15" borderId="30" xfId="0" applyNumberFormat="1" applyFont="1" applyFill="1" applyBorder="1" applyAlignment="1">
      <alignment horizontal="right" vertical="center"/>
    </xf>
    <xf numFmtId="3" fontId="15" fillId="15" borderId="14" xfId="0" applyNumberFormat="1" applyFont="1" applyFill="1" applyBorder="1" applyAlignment="1">
      <alignment horizontal="right" vertical="center"/>
    </xf>
    <xf numFmtId="3" fontId="15" fillId="15" borderId="3" xfId="0" applyNumberFormat="1" applyFont="1" applyFill="1" applyBorder="1" applyAlignment="1">
      <alignment horizontal="right" vertical="center"/>
    </xf>
    <xf numFmtId="3" fontId="15" fillId="15" borderId="0" xfId="0" applyNumberFormat="1" applyFont="1" applyFill="1" applyAlignment="1">
      <alignment horizontal="right" vertical="center"/>
    </xf>
    <xf numFmtId="3" fontId="15" fillId="15" borderId="24" xfId="0" applyNumberFormat="1" applyFont="1" applyFill="1" applyBorder="1" applyAlignment="1">
      <alignment horizontal="right" vertical="center"/>
    </xf>
    <xf numFmtId="3" fontId="10" fillId="0" borderId="12" xfId="0" quotePrefix="1" applyNumberFormat="1" applyFont="1" applyBorder="1" applyAlignment="1">
      <alignment horizontal="center"/>
    </xf>
    <xf numFmtId="37" fontId="15" fillId="27" borderId="9" xfId="0" applyNumberFormat="1" applyFont="1" applyFill="1" applyBorder="1" applyAlignment="1">
      <alignment horizontal="left" vertical="center"/>
    </xf>
    <xf numFmtId="0" fontId="208" fillId="15" borderId="0" xfId="0" applyFont="1" applyFill="1" applyAlignment="1">
      <alignment horizontal="left"/>
    </xf>
    <xf numFmtId="0" fontId="14" fillId="15" borderId="4" xfId="0" applyFont="1" applyFill="1" applyBorder="1" applyAlignment="1">
      <alignment horizontal="right" vertical="center" wrapText="1" indent="1"/>
    </xf>
    <xf numFmtId="0" fontId="0" fillId="15" borderId="4" xfId="0" applyFill="1" applyBorder="1" applyAlignment="1">
      <alignment horizontal="right" vertical="center" wrapText="1" indent="1"/>
    </xf>
    <xf numFmtId="0" fontId="47" fillId="15" borderId="4" xfId="0" applyFont="1" applyFill="1" applyBorder="1" applyAlignment="1">
      <alignment horizontal="left" vertical="center"/>
    </xf>
    <xf numFmtId="0" fontId="6" fillId="15" borderId="4" xfId="0" applyFont="1" applyFill="1" applyBorder="1" applyAlignment="1">
      <alignment horizontal="left" vertical="center"/>
    </xf>
    <xf numFmtId="0" fontId="11" fillId="15" borderId="4" xfId="0" applyFont="1" applyFill="1" applyBorder="1" applyAlignment="1">
      <alignment horizontal="center" vertical="center"/>
    </xf>
    <xf numFmtId="3" fontId="15" fillId="15" borderId="4" xfId="0" applyNumberFormat="1" applyFont="1" applyFill="1" applyBorder="1" applyAlignment="1">
      <alignment horizontal="right" vertical="center"/>
    </xf>
    <xf numFmtId="0" fontId="4" fillId="15" borderId="0" xfId="0" applyFont="1" applyFill="1" applyAlignment="1">
      <alignment horizontal="left" vertical="center" indent="1"/>
    </xf>
    <xf numFmtId="0" fontId="0" fillId="15" borderId="0" xfId="0" applyFill="1" applyAlignment="1">
      <alignment horizontal="right" vertical="center" wrapText="1" indent="1"/>
    </xf>
    <xf numFmtId="0" fontId="167" fillId="2" borderId="1" xfId="0" applyFont="1" applyFill="1" applyBorder="1" applyAlignment="1">
      <alignment horizontal="left"/>
    </xf>
    <xf numFmtId="0" fontId="143" fillId="15" borderId="1" xfId="0" applyFont="1" applyFill="1" applyBorder="1" applyAlignment="1">
      <alignment horizontal="left" indent="1"/>
    </xf>
    <xf numFmtId="0" fontId="6" fillId="15" borderId="1" xfId="0" applyFont="1" applyFill="1" applyBorder="1" applyAlignment="1">
      <alignment horizontal="right"/>
    </xf>
    <xf numFmtId="0" fontId="15" fillId="15" borderId="54" xfId="0" applyFont="1" applyFill="1" applyBorder="1" applyAlignment="1">
      <alignment horizontal="center"/>
    </xf>
    <xf numFmtId="0" fontId="0" fillId="19" borderId="39" xfId="0" applyFill="1" applyBorder="1"/>
    <xf numFmtId="0" fontId="0" fillId="19" borderId="54" xfId="0" applyFill="1" applyBorder="1"/>
    <xf numFmtId="37" fontId="4" fillId="27" borderId="30" xfId="0" applyNumberFormat="1" applyFont="1" applyFill="1" applyBorder="1" applyAlignment="1">
      <alignment horizontal="right" indent="1"/>
    </xf>
    <xf numFmtId="37" fontId="4" fillId="27" borderId="8" xfId="0" applyNumberFormat="1" applyFont="1" applyFill="1" applyBorder="1" applyAlignment="1">
      <alignment horizontal="right" indent="1"/>
    </xf>
    <xf numFmtId="0" fontId="15" fillId="15" borderId="4" xfId="0" applyFont="1" applyFill="1" applyBorder="1" applyAlignment="1">
      <alignment horizontal="center"/>
    </xf>
    <xf numFmtId="0" fontId="47" fillId="15" borderId="4" xfId="0" applyFont="1" applyFill="1" applyBorder="1" applyAlignment="1">
      <alignment vertical="center"/>
    </xf>
    <xf numFmtId="0" fontId="0" fillId="19" borderId="67" xfId="0" applyFill="1" applyBorder="1"/>
    <xf numFmtId="0" fontId="0" fillId="23" borderId="39" xfId="0" applyFill="1" applyBorder="1"/>
    <xf numFmtId="0" fontId="0" fillId="23" borderId="25" xfId="0" applyFill="1" applyBorder="1"/>
    <xf numFmtId="0" fontId="0" fillId="23" borderId="68" xfId="0" applyFill="1" applyBorder="1"/>
    <xf numFmtId="37" fontId="4" fillId="27" borderId="25" xfId="0" applyNumberFormat="1" applyFont="1" applyFill="1" applyBorder="1" applyAlignment="1">
      <alignment horizontal="center"/>
    </xf>
    <xf numFmtId="0" fontId="20" fillId="15" borderId="25" xfId="0" applyFont="1" applyFill="1" applyBorder="1"/>
    <xf numFmtId="0" fontId="0" fillId="0" borderId="36" xfId="0" applyBorder="1" applyAlignment="1">
      <alignment horizontal="center"/>
    </xf>
    <xf numFmtId="0" fontId="47" fillId="15" borderId="1" xfId="0" applyFont="1" applyFill="1" applyBorder="1" applyAlignment="1">
      <alignment horizontal="left" vertical="top"/>
    </xf>
    <xf numFmtId="0" fontId="6" fillId="15" borderId="1" xfId="0" applyFont="1" applyFill="1" applyBorder="1" applyAlignment="1">
      <alignment horizontal="left" vertical="top"/>
    </xf>
    <xf numFmtId="0" fontId="14" fillId="15" borderId="1" xfId="0" applyFont="1" applyFill="1" applyBorder="1" applyAlignment="1">
      <alignment horizontal="left" vertical="top"/>
    </xf>
    <xf numFmtId="0" fontId="4" fillId="15" borderId="1" xfId="0" applyFont="1" applyFill="1" applyBorder="1" applyAlignment="1">
      <alignment horizontal="right" vertical="center"/>
    </xf>
    <xf numFmtId="0" fontId="11" fillId="15" borderId="3" xfId="0" applyFont="1" applyFill="1" applyBorder="1" applyAlignment="1">
      <alignment horizontal="center"/>
    </xf>
    <xf numFmtId="0" fontId="0" fillId="0" borderId="24" xfId="0" applyBorder="1" applyAlignment="1">
      <alignment horizontal="center"/>
    </xf>
    <xf numFmtId="0" fontId="15" fillId="15" borderId="8" xfId="0" applyFont="1" applyFill="1" applyBorder="1"/>
    <xf numFmtId="0" fontId="123" fillId="15" borderId="11" xfId="0" applyFont="1" applyFill="1" applyBorder="1" applyAlignment="1">
      <alignment horizontal="center"/>
    </xf>
    <xf numFmtId="0" fontId="47" fillId="15" borderId="8" xfId="0" applyFont="1" applyFill="1" applyBorder="1" applyAlignment="1">
      <alignment vertical="center"/>
    </xf>
    <xf numFmtId="0" fontId="0" fillId="19" borderId="8" xfId="0" applyFill="1" applyBorder="1"/>
    <xf numFmtId="0" fontId="11" fillId="15" borderId="30" xfId="0" applyFont="1" applyFill="1" applyBorder="1" applyAlignment="1">
      <alignment horizontal="center"/>
    </xf>
    <xf numFmtId="37" fontId="4" fillId="15" borderId="30" xfId="0" applyNumberFormat="1" applyFont="1" applyFill="1" applyBorder="1"/>
    <xf numFmtId="0" fontId="314" fillId="2" borderId="0" xfId="0" applyFont="1" applyFill="1"/>
    <xf numFmtId="0" fontId="314" fillId="2" borderId="0" xfId="0" applyFont="1" applyFill="1" applyAlignment="1">
      <alignment vertical="top"/>
    </xf>
    <xf numFmtId="0" fontId="339" fillId="15" borderId="0" xfId="0" applyFont="1" applyFill="1"/>
    <xf numFmtId="0" fontId="14" fillId="15" borderId="1" xfId="0" applyFont="1" applyFill="1" applyBorder="1" applyAlignment="1">
      <alignment horizontal="center" vertical="center" wrapText="1"/>
    </xf>
    <xf numFmtId="0" fontId="11" fillId="15" borderId="25" xfId="0" applyFont="1" applyFill="1" applyBorder="1" applyAlignment="1">
      <alignment horizontal="center"/>
    </xf>
    <xf numFmtId="0" fontId="11" fillId="15" borderId="8" xfId="0" applyFont="1" applyFill="1" applyBorder="1" applyAlignment="1">
      <alignment horizontal="center"/>
    </xf>
    <xf numFmtId="0" fontId="4" fillId="15" borderId="25" xfId="0" applyFont="1" applyFill="1" applyBorder="1" applyAlignment="1">
      <alignment horizontal="center"/>
    </xf>
    <xf numFmtId="184" fontId="0" fillId="0" borderId="0" xfId="0" applyNumberFormat="1" applyAlignment="1">
      <alignment horizontal="center" vertical="top" wrapText="1"/>
    </xf>
    <xf numFmtId="0" fontId="11" fillId="15" borderId="0" xfId="0" applyFont="1" applyFill="1" applyAlignment="1">
      <alignment horizontal="centerContinuous"/>
    </xf>
    <xf numFmtId="0" fontId="6" fillId="15" borderId="36" xfId="0" applyFont="1" applyFill="1" applyBorder="1"/>
    <xf numFmtId="0" fontId="6" fillId="15" borderId="56" xfId="0" applyFont="1" applyFill="1" applyBorder="1"/>
    <xf numFmtId="0" fontId="6" fillId="15" borderId="56" xfId="0" applyFont="1" applyFill="1" applyBorder="1" applyAlignment="1">
      <alignment horizontal="left"/>
    </xf>
    <xf numFmtId="39" fontId="23" fillId="15" borderId="8" xfId="0" applyNumberFormat="1" applyFont="1" applyFill="1" applyBorder="1" applyAlignment="1">
      <alignment horizontal="left"/>
    </xf>
    <xf numFmtId="0" fontId="47" fillId="14" borderId="0" xfId="0" applyFont="1" applyFill="1" applyAlignment="1">
      <alignment horizontal="right"/>
    </xf>
    <xf numFmtId="0" fontId="11" fillId="15" borderId="25" xfId="0" quotePrefix="1" applyFont="1" applyFill="1" applyBorder="1" applyAlignment="1">
      <alignment horizontal="center"/>
    </xf>
    <xf numFmtId="0" fontId="6" fillId="19" borderId="0" xfId="0" applyFont="1" applyFill="1" applyAlignment="1">
      <alignment horizontal="center"/>
    </xf>
    <xf numFmtId="0" fontId="4" fillId="2" borderId="0" xfId="0" applyFont="1" applyFill="1" applyAlignment="1">
      <alignment horizontal="left" vertical="center"/>
    </xf>
    <xf numFmtId="0" fontId="6" fillId="19" borderId="30" xfId="0" applyFont="1" applyFill="1" applyBorder="1"/>
    <xf numFmtId="0" fontId="6" fillId="19" borderId="8" xfId="0" applyFont="1" applyFill="1" applyBorder="1" applyAlignment="1">
      <alignment horizontal="center"/>
    </xf>
    <xf numFmtId="0" fontId="47" fillId="15" borderId="25" xfId="0" quotePrefix="1" applyFont="1" applyFill="1" applyBorder="1" applyAlignment="1">
      <alignment horizontal="left"/>
    </xf>
    <xf numFmtId="39" fontId="11" fillId="15" borderId="25" xfId="0" applyNumberFormat="1" applyFont="1" applyFill="1" applyBorder="1" applyAlignment="1">
      <alignment horizontal="left"/>
    </xf>
    <xf numFmtId="0" fontId="73" fillId="15" borderId="25" xfId="0" applyFont="1" applyFill="1" applyBorder="1" applyAlignment="1">
      <alignment vertical="center"/>
    </xf>
    <xf numFmtId="0" fontId="241" fillId="15" borderId="25" xfId="0" applyFont="1" applyFill="1" applyBorder="1" applyAlignment="1">
      <alignment vertical="center"/>
    </xf>
    <xf numFmtId="0" fontId="5" fillId="15" borderId="25" xfId="0" applyFont="1" applyFill="1" applyBorder="1"/>
    <xf numFmtId="0" fontId="11" fillId="15" borderId="25" xfId="0" applyFont="1" applyFill="1" applyBorder="1" applyAlignment="1">
      <alignment horizontal="centerContinuous" vertical="center"/>
    </xf>
    <xf numFmtId="0" fontId="4" fillId="0" borderId="25" xfId="0" applyFont="1" applyBorder="1" applyAlignment="1">
      <alignment horizontal="centerContinuous" vertical="center"/>
    </xf>
    <xf numFmtId="39" fontId="11" fillId="15" borderId="25" xfId="0" applyNumberFormat="1" applyFont="1" applyFill="1" applyBorder="1" applyAlignment="1">
      <alignment horizontal="centerContinuous"/>
    </xf>
    <xf numFmtId="0" fontId="73" fillId="15" borderId="25" xfId="0" applyFont="1" applyFill="1" applyBorder="1" applyAlignment="1">
      <alignment horizontal="centerContinuous" vertical="center"/>
    </xf>
    <xf numFmtId="0" fontId="241" fillId="15" borderId="25" xfId="0" applyFont="1" applyFill="1" applyBorder="1" applyAlignment="1">
      <alignment horizontal="centerContinuous" vertical="center"/>
    </xf>
    <xf numFmtId="0" fontId="5" fillId="15" borderId="25" xfId="0" applyFont="1" applyFill="1" applyBorder="1" applyAlignment="1">
      <alignment horizontal="centerContinuous"/>
    </xf>
    <xf numFmtId="0" fontId="6" fillId="19" borderId="8" xfId="0" applyFont="1" applyFill="1" applyBorder="1"/>
    <xf numFmtId="0" fontId="47" fillId="15" borderId="1" xfId="0" quotePrefix="1" applyFont="1" applyFill="1" applyBorder="1" applyAlignment="1">
      <alignment horizontal="center"/>
    </xf>
    <xf numFmtId="0" fontId="6" fillId="15" borderId="11" xfId="0" applyFont="1" applyFill="1" applyBorder="1" applyAlignment="1">
      <alignment horizontal="center"/>
    </xf>
    <xf numFmtId="0" fontId="6" fillId="19" borderId="1" xfId="0" applyFont="1" applyFill="1" applyBorder="1" applyAlignment="1">
      <alignment horizontal="center"/>
    </xf>
    <xf numFmtId="14" fontId="0" fillId="0" borderId="0" xfId="0" applyNumberFormat="1" applyAlignment="1">
      <alignment vertical="center"/>
    </xf>
    <xf numFmtId="0" fontId="14" fillId="15" borderId="25" xfId="0" applyFont="1" applyFill="1" applyBorder="1" applyAlignment="1">
      <alignment horizontal="center" vertical="center"/>
    </xf>
    <xf numFmtId="0" fontId="11" fillId="15" borderId="8" xfId="0" applyFont="1" applyFill="1" applyBorder="1" applyAlignment="1">
      <alignment horizontal="center" vertical="center" wrapText="1"/>
    </xf>
    <xf numFmtId="0" fontId="23" fillId="15" borderId="25" xfId="0" applyFont="1" applyFill="1" applyBorder="1" applyAlignment="1">
      <alignment horizontal="centerContinuous" vertical="center"/>
    </xf>
    <xf numFmtId="0" fontId="11" fillId="15" borderId="25" xfId="0" applyFont="1" applyFill="1" applyBorder="1" applyAlignment="1">
      <alignment horizontal="center" vertical="center"/>
    </xf>
    <xf numFmtId="0" fontId="14" fillId="15" borderId="31" xfId="0" applyFont="1" applyFill="1" applyBorder="1" applyAlignment="1">
      <alignment horizontal="center" vertical="center"/>
    </xf>
    <xf numFmtId="0" fontId="47" fillId="15" borderId="0" xfId="0" quotePrefix="1" applyFont="1" applyFill="1" applyAlignment="1">
      <alignment horizontal="left"/>
    </xf>
    <xf numFmtId="0" fontId="11" fillId="15" borderId="14" xfId="0" applyFont="1" applyFill="1" applyBorder="1" applyAlignment="1">
      <alignment horizontal="center"/>
    </xf>
    <xf numFmtId="0" fontId="40" fillId="15" borderId="4" xfId="0" applyFont="1" applyFill="1" applyBorder="1" applyAlignment="1">
      <alignment horizontal="center" vertical="center"/>
    </xf>
    <xf numFmtId="0" fontId="254" fillId="15" borderId="4" xfId="0" applyFont="1" applyFill="1" applyBorder="1" applyAlignment="1">
      <alignment vertical="center"/>
    </xf>
    <xf numFmtId="0" fontId="11" fillId="15" borderId="28" xfId="0" applyFont="1" applyFill="1" applyBorder="1" applyAlignment="1">
      <alignment horizontal="center"/>
    </xf>
    <xf numFmtId="0" fontId="6" fillId="19" borderId="69" xfId="0" applyFont="1" applyFill="1" applyBorder="1"/>
    <xf numFmtId="0" fontId="6" fillId="19" borderId="4" xfId="0" applyFont="1" applyFill="1" applyBorder="1"/>
    <xf numFmtId="0" fontId="6" fillId="19" borderId="4" xfId="0" applyFont="1" applyFill="1" applyBorder="1" applyAlignment="1">
      <alignment horizontal="center"/>
    </xf>
    <xf numFmtId="0" fontId="4" fillId="2" borderId="0" xfId="0" applyFont="1" applyFill="1" applyAlignment="1">
      <alignment horizontal="left" vertical="top"/>
    </xf>
    <xf numFmtId="0" fontId="8" fillId="15" borderId="4" xfId="0" quotePrefix="1" applyFont="1" applyFill="1" applyBorder="1" applyAlignment="1">
      <alignment horizontal="left"/>
    </xf>
    <xf numFmtId="39" fontId="11" fillId="15" borderId="8" xfId="0" applyNumberFormat="1" applyFont="1" applyFill="1" applyBorder="1" applyAlignment="1">
      <alignment horizontal="left"/>
    </xf>
    <xf numFmtId="0" fontId="73" fillId="15" borderId="7" xfId="0" applyFont="1" applyFill="1" applyBorder="1" applyAlignment="1">
      <alignment vertical="center"/>
    </xf>
    <xf numFmtId="0" fontId="14" fillId="15" borderId="0" xfId="0" quotePrefix="1" applyFont="1" applyFill="1" applyAlignment="1">
      <alignment horizontal="center"/>
    </xf>
    <xf numFmtId="49" fontId="120" fillId="15" borderId="0" xfId="0" applyNumberFormat="1" applyFont="1" applyFill="1" applyAlignment="1">
      <alignment horizontal="left"/>
    </xf>
    <xf numFmtId="0" fontId="188" fillId="15" borderId="0" xfId="0" applyFont="1" applyFill="1" applyAlignment="1">
      <alignment vertical="center"/>
    </xf>
    <xf numFmtId="166" fontId="74" fillId="15" borderId="0" xfId="0" applyNumberFormat="1" applyFont="1" applyFill="1"/>
    <xf numFmtId="166" fontId="74" fillId="15" borderId="0" xfId="0" applyNumberFormat="1" applyFont="1" applyFill="1" applyAlignment="1">
      <alignment horizontal="center"/>
    </xf>
    <xf numFmtId="0" fontId="73" fillId="15" borderId="0" xfId="0" applyFont="1" applyFill="1" applyAlignment="1">
      <alignment horizontal="centerContinuous" vertical="center"/>
    </xf>
    <xf numFmtId="0" fontId="4" fillId="0" borderId="0" xfId="0" applyFont="1" applyAlignment="1">
      <alignment horizontal="centerContinuous" vertical="center"/>
    </xf>
    <xf numFmtId="39" fontId="11" fillId="15" borderId="0" xfId="0" applyNumberFormat="1" applyFont="1" applyFill="1" applyAlignment="1">
      <alignment horizontal="centerContinuous"/>
    </xf>
    <xf numFmtId="0" fontId="241" fillId="15" borderId="0" xfId="0" applyFont="1" applyFill="1" applyAlignment="1">
      <alignment horizontal="centerContinuous" vertical="center"/>
    </xf>
    <xf numFmtId="0" fontId="241" fillId="15" borderId="8" xfId="0" applyFont="1" applyFill="1" applyBorder="1" applyAlignment="1">
      <alignment horizontal="centerContinuous" vertical="center"/>
    </xf>
    <xf numFmtId="0" fontId="23" fillId="15" borderId="0" xfId="0" applyFont="1" applyFill="1" applyAlignment="1">
      <alignment horizontal="centerContinuous" vertical="center"/>
    </xf>
    <xf numFmtId="0" fontId="23" fillId="15" borderId="8" xfId="0" applyFont="1" applyFill="1" applyBorder="1" applyAlignment="1">
      <alignment horizontal="centerContinuous" vertical="center"/>
    </xf>
    <xf numFmtId="0" fontId="5" fillId="15" borderId="8" xfId="0" applyFont="1" applyFill="1" applyBorder="1" applyAlignment="1">
      <alignment horizontal="centerContinuous"/>
    </xf>
    <xf numFmtId="0" fontId="5" fillId="15" borderId="0" xfId="0" applyFont="1" applyFill="1" applyAlignment="1">
      <alignment horizontal="centerContinuous"/>
    </xf>
    <xf numFmtId="0" fontId="6" fillId="15" borderId="0" xfId="0" quotePrefix="1" applyFont="1" applyFill="1" applyAlignment="1">
      <alignment horizontal="center" vertical="center"/>
    </xf>
    <xf numFmtId="0" fontId="6" fillId="15" borderId="24" xfId="0" applyFont="1" applyFill="1" applyBorder="1" applyAlignment="1">
      <alignment vertical="center"/>
    </xf>
    <xf numFmtId="0" fontId="14" fillId="15" borderId="1" xfId="0" applyFont="1" applyFill="1" applyBorder="1" applyAlignment="1">
      <alignment horizontal="left"/>
    </xf>
    <xf numFmtId="0" fontId="6" fillId="19" borderId="30" xfId="0" applyFont="1" applyFill="1" applyBorder="1" applyAlignment="1">
      <alignment horizontal="center"/>
    </xf>
    <xf numFmtId="0" fontId="14" fillId="15" borderId="4" xfId="0" applyFont="1" applyFill="1" applyBorder="1" applyAlignment="1">
      <alignment horizontal="left"/>
    </xf>
    <xf numFmtId="0" fontId="11" fillId="15" borderId="4" xfId="0" applyFont="1" applyFill="1" applyBorder="1" applyAlignment="1">
      <alignment horizontal="center"/>
    </xf>
    <xf numFmtId="0" fontId="11" fillId="15" borderId="70" xfId="0" quotePrefix="1" applyFont="1" applyFill="1" applyBorder="1" applyAlignment="1">
      <alignment horizontal="right"/>
    </xf>
    <xf numFmtId="0" fontId="6" fillId="19" borderId="69" xfId="0" applyFont="1" applyFill="1" applyBorder="1" applyAlignment="1">
      <alignment horizontal="center"/>
    </xf>
    <xf numFmtId="0" fontId="73" fillId="15" borderId="25" xfId="0" applyFont="1" applyFill="1" applyBorder="1" applyAlignment="1">
      <alignment horizontal="center" vertical="center"/>
    </xf>
    <xf numFmtId="0" fontId="47" fillId="0" borderId="25" xfId="0" applyFont="1" applyBorder="1" applyAlignment="1">
      <alignment horizontal="left" vertical="center"/>
    </xf>
    <xf numFmtId="0" fontId="14" fillId="15" borderId="54" xfId="0" applyFont="1" applyFill="1" applyBorder="1" applyAlignment="1">
      <alignment horizontal="center" vertical="center" wrapText="1"/>
    </xf>
    <xf numFmtId="0" fontId="169" fillId="15" borderId="39" xfId="0" applyFont="1" applyFill="1" applyBorder="1" applyAlignment="1">
      <alignment horizontal="left" vertical="center" wrapText="1"/>
    </xf>
    <xf numFmtId="0" fontId="6" fillId="19" borderId="3" xfId="0" applyFont="1" applyFill="1" applyBorder="1" applyAlignment="1">
      <alignment horizontal="center"/>
    </xf>
    <xf numFmtId="0" fontId="254" fillId="15" borderId="8" xfId="0" applyFont="1" applyFill="1" applyBorder="1" applyAlignment="1">
      <alignment vertical="center"/>
    </xf>
    <xf numFmtId="0" fontId="6" fillId="19" borderId="9" xfId="0" applyFont="1" applyFill="1" applyBorder="1" applyAlignment="1">
      <alignment horizontal="center"/>
    </xf>
    <xf numFmtId="0" fontId="14" fillId="15" borderId="25" xfId="0" applyFont="1" applyFill="1" applyBorder="1" applyAlignment="1">
      <alignment horizontal="left"/>
    </xf>
    <xf numFmtId="0" fontId="254" fillId="15" borderId="25" xfId="0" applyFont="1" applyFill="1" applyBorder="1" applyAlignment="1">
      <alignment vertical="center"/>
    </xf>
    <xf numFmtId="0" fontId="6" fillId="15" borderId="0" xfId="0" applyFont="1" applyFill="1" applyAlignment="1">
      <alignment horizontal="centerContinuous"/>
    </xf>
    <xf numFmtId="0" fontId="47" fillId="15" borderId="0" xfId="0" applyFont="1" applyFill="1" applyAlignment="1">
      <alignment horizontal="centerContinuous"/>
    </xf>
    <xf numFmtId="0" fontId="47" fillId="15" borderId="1" xfId="0" applyFont="1" applyFill="1" applyBorder="1" applyAlignment="1">
      <alignment horizontal="center" vertical="center"/>
    </xf>
    <xf numFmtId="0" fontId="11" fillId="15" borderId="0" xfId="0" applyFont="1" applyFill="1" applyAlignment="1">
      <alignment horizontal="center" vertical="top"/>
    </xf>
    <xf numFmtId="0" fontId="14" fillId="15" borderId="1" xfId="0" applyFont="1" applyFill="1" applyBorder="1" applyAlignment="1">
      <alignment vertical="center"/>
    </xf>
    <xf numFmtId="39" fontId="14" fillId="15" borderId="0" xfId="0" applyNumberFormat="1" applyFont="1" applyFill="1"/>
    <xf numFmtId="39" fontId="14" fillId="15" borderId="0" xfId="0" applyNumberFormat="1" applyFont="1" applyFill="1" applyAlignment="1">
      <alignment vertical="top"/>
    </xf>
    <xf numFmtId="3" fontId="47" fillId="15" borderId="0" xfId="0" applyNumberFormat="1" applyFont="1" applyFill="1"/>
    <xf numFmtId="37" fontId="47" fillId="15" borderId="0" xfId="0" applyNumberFormat="1" applyFont="1" applyFill="1" applyAlignment="1">
      <alignment horizontal="right"/>
    </xf>
    <xf numFmtId="0" fontId="14" fillId="15" borderId="4" xfId="0" applyFont="1" applyFill="1" applyBorder="1" applyAlignment="1">
      <alignment vertical="center"/>
    </xf>
    <xf numFmtId="0" fontId="6" fillId="15" borderId="4" xfId="0" quotePrefix="1" applyFont="1" applyFill="1" applyBorder="1" applyAlignment="1">
      <alignment horizontal="center"/>
    </xf>
    <xf numFmtId="37" fontId="47" fillId="14" borderId="4" xfId="0" applyNumberFormat="1" applyFont="1" applyFill="1" applyBorder="1" applyAlignment="1">
      <alignment horizontal="right"/>
    </xf>
    <xf numFmtId="37" fontId="47" fillId="15" borderId="4" xfId="0" applyNumberFormat="1" applyFont="1" applyFill="1" applyBorder="1" applyAlignment="1">
      <alignment horizontal="right"/>
    </xf>
    <xf numFmtId="39" fontId="11" fillId="15" borderId="25" xfId="0" applyNumberFormat="1" applyFont="1" applyFill="1" applyBorder="1" applyAlignment="1">
      <alignment horizontal="left" indent="1"/>
    </xf>
    <xf numFmtId="0" fontId="14" fillId="15" borderId="25" xfId="0" applyFont="1" applyFill="1" applyBorder="1" applyAlignment="1">
      <alignment vertical="center"/>
    </xf>
    <xf numFmtId="0" fontId="14" fillId="15" borderId="8" xfId="0" applyFont="1" applyFill="1" applyBorder="1" applyAlignment="1">
      <alignment vertical="center"/>
    </xf>
    <xf numFmtId="0" fontId="14" fillId="2" borderId="0" xfId="0" applyFont="1" applyFill="1" applyAlignment="1">
      <alignment horizontal="center" vertical="top"/>
    </xf>
    <xf numFmtId="0" fontId="15" fillId="15" borderId="0" xfId="0" applyFont="1" applyFill="1" applyAlignment="1">
      <alignment horizontal="centerContinuous"/>
    </xf>
    <xf numFmtId="182" fontId="5" fillId="0" borderId="12" xfId="0" applyNumberFormat="1" applyFont="1" applyBorder="1" applyAlignment="1" applyProtection="1">
      <alignment horizontal="center"/>
      <protection locked="0"/>
    </xf>
    <xf numFmtId="171" fontId="5" fillId="0" borderId="12" xfId="0" applyNumberFormat="1" applyFont="1" applyBorder="1" applyProtection="1">
      <protection locked="0"/>
    </xf>
    <xf numFmtId="171" fontId="0" fillId="0" borderId="0" xfId="0" applyNumberFormat="1" applyProtection="1">
      <protection locked="0"/>
    </xf>
    <xf numFmtId="39" fontId="11" fillId="15" borderId="0" xfId="0" applyNumberFormat="1" applyFont="1" applyFill="1" applyAlignment="1" applyProtection="1">
      <alignment horizontal="center"/>
      <protection locked="0"/>
    </xf>
    <xf numFmtId="39" fontId="0" fillId="15" borderId="0" xfId="0" applyNumberFormat="1" applyFill="1" applyAlignment="1" applyProtection="1">
      <alignment horizontal="center"/>
      <protection locked="0"/>
    </xf>
    <xf numFmtId="39" fontId="5" fillId="0" borderId="12" xfId="0" applyNumberFormat="1" applyFont="1" applyBorder="1" applyAlignment="1" applyProtection="1">
      <alignment horizontal="center"/>
      <protection locked="0"/>
    </xf>
    <xf numFmtId="39" fontId="0" fillId="0" borderId="0" xfId="0" applyNumberFormat="1" applyAlignment="1" applyProtection="1">
      <alignment horizontal="center" vertical="center"/>
      <protection locked="0"/>
    </xf>
    <xf numFmtId="39" fontId="5" fillId="0" borderId="0" xfId="0" applyNumberFormat="1" applyFont="1" applyAlignment="1" applyProtection="1">
      <alignment horizontal="center"/>
      <protection locked="0"/>
    </xf>
    <xf numFmtId="39" fontId="0" fillId="0" borderId="0" xfId="0" applyNumberFormat="1" applyAlignment="1" applyProtection="1">
      <alignment horizontal="center" vertical="top"/>
      <protection locked="0"/>
    </xf>
    <xf numFmtId="171" fontId="11" fillId="15" borderId="0" xfId="0" applyNumberFormat="1" applyFont="1" applyFill="1" applyAlignment="1" applyProtection="1">
      <alignment horizontal="centerContinuous"/>
      <protection locked="0"/>
    </xf>
    <xf numFmtId="171" fontId="0" fillId="15" borderId="0" xfId="0" applyNumberFormat="1" applyFill="1" applyProtection="1">
      <protection locked="0"/>
    </xf>
    <xf numFmtId="171" fontId="0" fillId="0" borderId="0" xfId="0" applyNumberFormat="1" applyAlignment="1" applyProtection="1">
      <alignment vertical="center"/>
      <protection locked="0"/>
    </xf>
    <xf numFmtId="171" fontId="5" fillId="0" borderId="0" xfId="0" applyNumberFormat="1" applyFont="1" applyProtection="1">
      <protection locked="0"/>
    </xf>
    <xf numFmtId="171" fontId="0" fillId="0" borderId="0" xfId="0" applyNumberFormat="1" applyAlignment="1" applyProtection="1">
      <alignment vertical="top"/>
      <protection locked="0"/>
    </xf>
    <xf numFmtId="171" fontId="0" fillId="0" borderId="0" xfId="0" applyNumberFormat="1"/>
    <xf numFmtId="171" fontId="47" fillId="0" borderId="0" xfId="0" applyNumberFormat="1" applyFont="1"/>
    <xf numFmtId="0" fontId="138" fillId="24" borderId="8" xfId="0" applyFont="1" applyFill="1" applyBorder="1"/>
    <xf numFmtId="0" fontId="265" fillId="15" borderId="14" xfId="0" applyFont="1" applyFill="1" applyBorder="1" applyAlignment="1">
      <alignment horizontal="center" vertical="top"/>
    </xf>
    <xf numFmtId="0" fontId="34" fillId="15" borderId="0" xfId="0" applyFont="1" applyFill="1"/>
    <xf numFmtId="0" fontId="4" fillId="15" borderId="0" xfId="0" applyFont="1" applyFill="1" applyAlignment="1">
      <alignment horizontal="left" vertical="center" indent="2"/>
    </xf>
    <xf numFmtId="0" fontId="40" fillId="15" borderId="0" xfId="0" applyFont="1" applyFill="1" applyAlignment="1">
      <alignment vertical="center"/>
    </xf>
    <xf numFmtId="0" fontId="0" fillId="19" borderId="6" xfId="0" applyFill="1" applyBorder="1" applyAlignment="1">
      <alignment vertical="center"/>
    </xf>
    <xf numFmtId="0" fontId="11" fillId="15" borderId="0" xfId="0" quotePrefix="1" applyFont="1" applyFill="1" applyAlignment="1">
      <alignment horizontal="right" indent="1"/>
    </xf>
    <xf numFmtId="37" fontId="15" fillId="14" borderId="9" xfId="0" quotePrefix="1" applyNumberFormat="1" applyFont="1" applyFill="1" applyBorder="1" applyAlignment="1">
      <alignment horizontal="center"/>
    </xf>
    <xf numFmtId="37" fontId="15" fillId="14" borderId="11" xfId="0" quotePrefix="1" applyNumberFormat="1" applyFont="1" applyFill="1" applyBorder="1"/>
    <xf numFmtId="0" fontId="11" fillId="15" borderId="1" xfId="0" quotePrefix="1" applyFont="1" applyFill="1" applyBorder="1" applyAlignment="1">
      <alignment horizontal="right" indent="1"/>
    </xf>
    <xf numFmtId="0" fontId="303" fillId="15" borderId="0" xfId="0" applyFont="1" applyFill="1" applyAlignment="1">
      <alignment vertical="center" wrapText="1"/>
    </xf>
    <xf numFmtId="0" fontId="244" fillId="15" borderId="24" xfId="0" applyFont="1" applyFill="1" applyBorder="1" applyAlignment="1">
      <alignment vertical="top" wrapText="1"/>
    </xf>
    <xf numFmtId="0" fontId="14" fillId="15" borderId="0" xfId="0" applyFont="1" applyFill="1" applyAlignment="1">
      <alignment horizontal="left" indent="1"/>
    </xf>
    <xf numFmtId="0" fontId="314" fillId="15" borderId="0" xfId="0" applyFont="1" applyFill="1" applyAlignment="1">
      <alignment horizontal="center"/>
    </xf>
    <xf numFmtId="0" fontId="143" fillId="15" borderId="2" xfId="0" applyFont="1" applyFill="1" applyBorder="1"/>
    <xf numFmtId="0" fontId="143" fillId="15" borderId="0" xfId="0" applyFont="1" applyFill="1" applyAlignment="1">
      <alignment horizontal="center"/>
    </xf>
    <xf numFmtId="37" fontId="150" fillId="15" borderId="0" xfId="0" applyNumberFormat="1" applyFont="1" applyFill="1" applyAlignment="1">
      <alignment vertical="center" wrapText="1"/>
    </xf>
    <xf numFmtId="0" fontId="6" fillId="15" borderId="0" xfId="0" applyFont="1" applyFill="1" applyAlignment="1">
      <alignment vertical="top" wrapText="1"/>
    </xf>
    <xf numFmtId="0" fontId="143" fillId="15" borderId="0" xfId="0" applyFont="1" applyFill="1" applyAlignment="1">
      <alignment horizontal="center" vertical="center"/>
    </xf>
    <xf numFmtId="0" fontId="265" fillId="15" borderId="0" xfId="0" applyFont="1" applyFill="1" applyAlignment="1">
      <alignment horizontal="center"/>
    </xf>
    <xf numFmtId="0" fontId="166" fillId="15" borderId="0" xfId="0" applyFont="1" applyFill="1" applyAlignment="1">
      <alignment horizontal="center" vertical="top"/>
    </xf>
    <xf numFmtId="0" fontId="265" fillId="15" borderId="0" xfId="0" applyFont="1" applyFill="1" applyAlignment="1">
      <alignment horizontal="center" vertical="top"/>
    </xf>
    <xf numFmtId="0" fontId="11" fillId="15" borderId="1" xfId="0" quotePrefix="1" applyFont="1" applyFill="1" applyBorder="1" applyAlignment="1">
      <alignment horizontal="center"/>
    </xf>
    <xf numFmtId="0" fontId="47" fillId="15" borderId="1" xfId="0" applyFont="1" applyFill="1" applyBorder="1" applyAlignment="1">
      <alignment horizontal="right" indent="1"/>
    </xf>
    <xf numFmtId="3" fontId="143" fillId="15" borderId="0" xfId="0" applyNumberFormat="1" applyFont="1" applyFill="1" applyAlignment="1">
      <alignment horizontal="center"/>
    </xf>
    <xf numFmtId="3" fontId="146" fillId="15" borderId="0" xfId="0" applyNumberFormat="1" applyFont="1" applyFill="1"/>
    <xf numFmtId="0" fontId="143" fillId="15" borderId="7" xfId="0" applyFont="1" applyFill="1" applyBorder="1"/>
    <xf numFmtId="0" fontId="143" fillId="15" borderId="36" xfId="0" applyFont="1" applyFill="1" applyBorder="1"/>
    <xf numFmtId="0" fontId="150" fillId="15" borderId="1" xfId="0" applyFont="1" applyFill="1" applyBorder="1" applyAlignment="1">
      <alignment vertical="center" wrapText="1"/>
    </xf>
    <xf numFmtId="0" fontId="244" fillId="15" borderId="11" xfId="0" applyFont="1" applyFill="1" applyBorder="1" applyAlignment="1">
      <alignment vertical="top" wrapText="1"/>
    </xf>
    <xf numFmtId="0" fontId="6" fillId="15" borderId="0" xfId="0" applyFont="1" applyFill="1" applyAlignment="1">
      <alignment horizontal="center" textRotation="90"/>
    </xf>
    <xf numFmtId="0" fontId="14" fillId="15" borderId="0" xfId="0" applyFont="1" applyFill="1" applyAlignment="1">
      <alignment horizontal="right"/>
    </xf>
    <xf numFmtId="37" fontId="14" fillId="15" borderId="0" xfId="0" applyNumberFormat="1" applyFont="1" applyFill="1"/>
    <xf numFmtId="37" fontId="14" fillId="15" borderId="0" xfId="0" applyNumberFormat="1" applyFont="1" applyFill="1" applyAlignment="1">
      <alignment horizontal="right"/>
    </xf>
    <xf numFmtId="0" fontId="11" fillId="15" borderId="10" xfId="0" quotePrefix="1" applyFont="1" applyFill="1" applyBorder="1" applyAlignment="1">
      <alignment horizontal="center"/>
    </xf>
    <xf numFmtId="0" fontId="11" fillId="15" borderId="4" xfId="0" quotePrefix="1" applyFont="1" applyFill="1" applyBorder="1" applyAlignment="1">
      <alignment horizontal="center"/>
    </xf>
    <xf numFmtId="0" fontId="14" fillId="15" borderId="4" xfId="0" applyFont="1" applyFill="1" applyBorder="1"/>
    <xf numFmtId="0" fontId="4" fillId="15" borderId="4" xfId="0" applyFont="1" applyFill="1" applyBorder="1" applyAlignment="1">
      <alignment horizontal="left"/>
    </xf>
    <xf numFmtId="0" fontId="11" fillId="15" borderId="28" xfId="0" quotePrefix="1" applyFont="1" applyFill="1" applyBorder="1" applyAlignment="1">
      <alignment horizontal="center"/>
    </xf>
    <xf numFmtId="0" fontId="20" fillId="15" borderId="27" xfId="0" applyFont="1" applyFill="1" applyBorder="1" applyAlignment="1">
      <alignment vertical="center"/>
    </xf>
    <xf numFmtId="0" fontId="143" fillId="15" borderId="0" xfId="0" applyFont="1" applyFill="1" applyAlignment="1">
      <alignment vertical="top" wrapText="1"/>
    </xf>
    <xf numFmtId="0" fontId="265" fillId="15" borderId="24" xfId="0" applyFont="1" applyFill="1" applyBorder="1" applyAlignment="1">
      <alignment horizontal="center"/>
    </xf>
    <xf numFmtId="0" fontId="150" fillId="15" borderId="3" xfId="0" applyFont="1" applyFill="1" applyBorder="1" applyAlignment="1">
      <alignment vertical="center" wrapText="1"/>
    </xf>
    <xf numFmtId="0" fontId="6" fillId="15" borderId="24" xfId="0" applyFont="1" applyFill="1" applyBorder="1" applyAlignment="1">
      <alignment horizontal="center" textRotation="90"/>
    </xf>
    <xf numFmtId="0" fontId="265" fillId="15" borderId="24" xfId="0" applyFont="1" applyFill="1" applyBorder="1" applyAlignment="1">
      <alignment horizontal="center" vertical="top"/>
    </xf>
    <xf numFmtId="3" fontId="125" fillId="15" borderId="0" xfId="0" applyNumberFormat="1" applyFont="1" applyFill="1" applyAlignment="1">
      <alignment horizontal="center" vertical="center"/>
    </xf>
    <xf numFmtId="0" fontId="304" fillId="15" borderId="3" xfId="0" applyFont="1" applyFill="1" applyBorder="1" applyAlignment="1">
      <alignment vertical="center" wrapText="1"/>
    </xf>
    <xf numFmtId="0" fontId="4" fillId="15" borderId="0" xfId="0" applyFont="1" applyFill="1" applyAlignment="1">
      <alignment vertical="top"/>
    </xf>
    <xf numFmtId="0" fontId="306" fillId="15" borderId="0" xfId="0" applyFont="1" applyFill="1" applyAlignment="1">
      <alignment horizontal="left" vertical="center" wrapText="1" indent="1"/>
    </xf>
    <xf numFmtId="0" fontId="306" fillId="15" borderId="0" xfId="0" applyFont="1" applyFill="1" applyAlignment="1">
      <alignment horizontal="left" vertical="top" wrapText="1" indent="1"/>
    </xf>
    <xf numFmtId="0" fontId="304" fillId="15" borderId="0" xfId="0" applyFont="1" applyFill="1" applyAlignment="1">
      <alignment wrapText="1"/>
    </xf>
    <xf numFmtId="0" fontId="150" fillId="15" borderId="0" xfId="0" applyFont="1" applyFill="1" applyAlignment="1">
      <alignment wrapText="1"/>
    </xf>
    <xf numFmtId="0" fontId="11" fillId="15" borderId="7" xfId="0" quotePrefix="1" applyFont="1" applyFill="1" applyBorder="1"/>
    <xf numFmtId="0" fontId="11" fillId="15" borderId="4" xfId="0" applyFont="1" applyFill="1" applyBorder="1"/>
    <xf numFmtId="0" fontId="11" fillId="15" borderId="4" xfId="0" quotePrefix="1" applyFont="1" applyFill="1" applyBorder="1"/>
    <xf numFmtId="0" fontId="10" fillId="2" borderId="7" xfId="0" applyFont="1" applyFill="1" applyBorder="1" applyAlignment="1">
      <alignment horizontal="right"/>
    </xf>
    <xf numFmtId="0" fontId="44" fillId="15" borderId="13" xfId="0" applyFont="1" applyFill="1" applyBorder="1" applyAlignment="1">
      <alignment horizontal="left"/>
    </xf>
    <xf numFmtId="0" fontId="146" fillId="15" borderId="0" xfId="0" applyFont="1" applyFill="1" applyAlignment="1">
      <alignment horizontal="center" textRotation="90"/>
    </xf>
    <xf numFmtId="0" fontId="134" fillId="15" borderId="0" xfId="0" applyFont="1" applyFill="1" applyAlignment="1">
      <alignment vertical="center" wrapText="1"/>
    </xf>
    <xf numFmtId="0" fontId="134" fillId="15" borderId="0" xfId="0" applyFont="1" applyFill="1" applyAlignment="1">
      <alignment horizontal="right" vertical="center" wrapText="1" indent="1"/>
    </xf>
    <xf numFmtId="0" fontId="110" fillId="15" borderId="0" xfId="0" applyFont="1" applyFill="1" applyAlignment="1">
      <alignment horizontal="left" vertical="center" wrapText="1"/>
    </xf>
    <xf numFmtId="0" fontId="146" fillId="15" borderId="0" xfId="0" applyFont="1" applyFill="1" applyAlignment="1">
      <alignment horizontal="center"/>
    </xf>
    <xf numFmtId="0" fontId="14" fillId="15" borderId="0" xfId="0" applyFont="1" applyFill="1" applyAlignment="1">
      <alignment vertical="top" wrapText="1"/>
    </xf>
    <xf numFmtId="0" fontId="47" fillId="15" borderId="0" xfId="0" applyFont="1" applyFill="1" applyAlignment="1">
      <alignment horizontal="left" vertical="top" indent="1"/>
    </xf>
    <xf numFmtId="3" fontId="110" fillId="15" borderId="0" xfId="0" applyNumberFormat="1" applyFont="1" applyFill="1" applyAlignment="1">
      <alignment horizontal="right" vertical="center" indent="1"/>
    </xf>
    <xf numFmtId="0" fontId="304" fillId="15" borderId="9" xfId="0" applyFont="1" applyFill="1" applyBorder="1" applyAlignment="1">
      <alignment vertical="center" wrapText="1"/>
    </xf>
    <xf numFmtId="0" fontId="14" fillId="15" borderId="1" xfId="0" applyFont="1" applyFill="1" applyBorder="1" applyAlignment="1">
      <alignment vertical="top" wrapText="1"/>
    </xf>
    <xf numFmtId="0" fontId="125" fillId="2" borderId="0" xfId="0" applyFont="1" applyFill="1" applyAlignment="1">
      <alignment vertical="center"/>
    </xf>
    <xf numFmtId="0" fontId="11" fillId="15" borderId="36" xfId="0" quotePrefix="1" applyFont="1" applyFill="1" applyBorder="1"/>
    <xf numFmtId="0" fontId="11" fillId="15" borderId="56" xfId="0" quotePrefix="1" applyFont="1" applyFill="1" applyBorder="1"/>
    <xf numFmtId="0" fontId="304" fillId="15" borderId="30" xfId="0" applyFont="1" applyFill="1" applyBorder="1" applyAlignment="1">
      <alignment vertical="center" wrapText="1"/>
    </xf>
    <xf numFmtId="0" fontId="304" fillId="15" borderId="8" xfId="0" applyFont="1" applyFill="1" applyBorder="1" applyAlignment="1">
      <alignment vertical="center" wrapText="1"/>
    </xf>
    <xf numFmtId="0" fontId="150" fillId="15" borderId="8" xfId="0" applyFont="1" applyFill="1" applyBorder="1" applyAlignment="1">
      <alignment vertical="center" wrapText="1"/>
    </xf>
    <xf numFmtId="0" fontId="306" fillId="15" borderId="0" xfId="0" applyFont="1" applyFill="1" applyAlignment="1">
      <alignment vertical="center" wrapText="1"/>
    </xf>
    <xf numFmtId="0" fontId="304" fillId="15" borderId="0" xfId="0" applyFont="1" applyFill="1" applyAlignment="1">
      <alignment vertical="center" wrapText="1"/>
    </xf>
    <xf numFmtId="39" fontId="11" fillId="15" borderId="4" xfId="0" quotePrefix="1" applyNumberFormat="1" applyFont="1" applyFill="1" applyBorder="1"/>
    <xf numFmtId="0" fontId="304" fillId="15" borderId="1" xfId="0" applyFont="1" applyFill="1" applyBorder="1" applyAlignment="1">
      <alignment vertical="center" wrapText="1"/>
    </xf>
    <xf numFmtId="0" fontId="20" fillId="15" borderId="16" xfId="0" applyFont="1" applyFill="1" applyBorder="1" applyAlignment="1">
      <alignment vertical="center"/>
    </xf>
    <xf numFmtId="0" fontId="0" fillId="15" borderId="34" xfId="0" applyFill="1" applyBorder="1"/>
    <xf numFmtId="0" fontId="74" fillId="15" borderId="34" xfId="0" applyFont="1" applyFill="1" applyBorder="1" applyAlignment="1">
      <alignment vertical="center"/>
    </xf>
    <xf numFmtId="0" fontId="11" fillId="15" borderId="8" xfId="0" quotePrefix="1" applyFont="1" applyFill="1" applyBorder="1" applyAlignment="1">
      <alignment horizontal="center"/>
    </xf>
    <xf numFmtId="0" fontId="0" fillId="23" borderId="30" xfId="0" applyFill="1" applyBorder="1"/>
    <xf numFmtId="0" fontId="0" fillId="23" borderId="8" xfId="0" applyFill="1" applyBorder="1"/>
    <xf numFmtId="0" fontId="0" fillId="23" borderId="14" xfId="0" applyFill="1" applyBorder="1"/>
    <xf numFmtId="0" fontId="0" fillId="23" borderId="3" xfId="0" applyFill="1" applyBorder="1"/>
    <xf numFmtId="0" fontId="0" fillId="23" borderId="24" xfId="0" applyFill="1" applyBorder="1"/>
    <xf numFmtId="0" fontId="0" fillId="23" borderId="9" xfId="0" applyFill="1" applyBorder="1"/>
    <xf numFmtId="0" fontId="0" fillId="23" borderId="1" xfId="0" applyFill="1" applyBorder="1"/>
    <xf numFmtId="0" fontId="0" fillId="23" borderId="11" xfId="0" applyFill="1" applyBorder="1"/>
    <xf numFmtId="0" fontId="11" fillId="15" borderId="13" xfId="0" applyFont="1" applyFill="1" applyBorder="1"/>
    <xf numFmtId="0" fontId="11" fillId="15" borderId="13" xfId="0" quotePrefix="1" applyFont="1" applyFill="1" applyBorder="1"/>
    <xf numFmtId="0" fontId="166" fillId="0" borderId="0" xfId="0" applyFont="1"/>
    <xf numFmtId="37" fontId="199" fillId="0" borderId="0" xfId="0" applyNumberFormat="1" applyFont="1" applyAlignment="1">
      <alignment horizontal="right"/>
    </xf>
    <xf numFmtId="0" fontId="199" fillId="0" borderId="0" xfId="0" applyFont="1" applyAlignment="1">
      <alignment horizontal="center"/>
    </xf>
    <xf numFmtId="0" fontId="199" fillId="0" borderId="0" xfId="0" applyFont="1"/>
    <xf numFmtId="4" fontId="199" fillId="0" borderId="0" xfId="0" applyNumberFormat="1" applyFont="1" applyAlignment="1">
      <alignment horizontal="right"/>
    </xf>
    <xf numFmtId="37" fontId="9" fillId="20" borderId="11" xfId="0" applyNumberFormat="1" applyFont="1" applyFill="1" applyBorder="1" applyAlignment="1" applyProtection="1">
      <alignment horizontal="right"/>
      <protection locked="0"/>
    </xf>
    <xf numFmtId="3" fontId="340" fillId="29" borderId="0" xfId="0" applyNumberFormat="1" applyFont="1" applyFill="1" applyAlignment="1">
      <alignment horizontal="center"/>
    </xf>
    <xf numFmtId="0" fontId="109" fillId="5" borderId="0" xfId="0" applyFont="1" applyFill="1"/>
    <xf numFmtId="0" fontId="109" fillId="5" borderId="0" xfId="0" applyFont="1" applyFill="1" applyAlignment="1">
      <alignment vertical="center"/>
    </xf>
    <xf numFmtId="0" fontId="11" fillId="3" borderId="0" xfId="0" applyFont="1" applyFill="1" applyAlignment="1">
      <alignment vertical="center"/>
    </xf>
    <xf numFmtId="0" fontId="9" fillId="3" borderId="20" xfId="0" applyFont="1" applyFill="1" applyBorder="1" applyAlignment="1">
      <alignment vertical="center"/>
    </xf>
    <xf numFmtId="0" fontId="9" fillId="3" borderId="0" xfId="0" applyFont="1" applyFill="1" applyAlignment="1">
      <alignment vertical="center"/>
    </xf>
    <xf numFmtId="0" fontId="172" fillId="3" borderId="5" xfId="0" applyFont="1" applyFill="1" applyBorder="1" applyAlignment="1">
      <alignment horizontal="center" vertical="center"/>
    </xf>
    <xf numFmtId="0" fontId="167" fillId="15" borderId="20" xfId="0" applyFont="1" applyFill="1" applyBorder="1" applyAlignment="1">
      <alignment horizontal="center" vertical="center"/>
    </xf>
    <xf numFmtId="4" fontId="16" fillId="2" borderId="0" xfId="0" applyNumberFormat="1" applyFont="1" applyFill="1" applyAlignment="1">
      <alignment vertical="center"/>
    </xf>
    <xf numFmtId="0" fontId="4" fillId="5" borderId="0" xfId="0" applyFont="1" applyFill="1" applyAlignment="1">
      <alignment vertical="center"/>
    </xf>
    <xf numFmtId="4" fontId="8" fillId="0" borderId="0" xfId="0" applyNumberFormat="1" applyFont="1" applyAlignment="1">
      <alignment vertical="center"/>
    </xf>
    <xf numFmtId="0" fontId="12" fillId="0" borderId="0" xfId="0" applyFont="1" applyAlignment="1">
      <alignment vertical="center"/>
    </xf>
    <xf numFmtId="0" fontId="9" fillId="3" borderId="20" xfId="0" applyFont="1" applyFill="1" applyBorder="1"/>
    <xf numFmtId="0" fontId="205" fillId="3" borderId="5" xfId="0" applyFont="1" applyFill="1" applyBorder="1" applyAlignment="1">
      <alignment horizontal="left" vertical="center"/>
    </xf>
    <xf numFmtId="0" fontId="74" fillId="15" borderId="20" xfId="0" applyFont="1" applyFill="1" applyBorder="1" applyAlignment="1">
      <alignment vertical="center"/>
    </xf>
    <xf numFmtId="0" fontId="8" fillId="21" borderId="0" xfId="0" applyFont="1" applyFill="1"/>
    <xf numFmtId="0" fontId="172" fillId="3" borderId="0" xfId="0" applyFont="1" applyFill="1" applyAlignment="1">
      <alignment horizontal="left" vertical="center"/>
    </xf>
    <xf numFmtId="0" fontId="8" fillId="14" borderId="5" xfId="0" applyFont="1" applyFill="1" applyBorder="1" applyAlignment="1">
      <alignment vertical="center"/>
    </xf>
    <xf numFmtId="0" fontId="8" fillId="14" borderId="0" xfId="0" applyFont="1" applyFill="1" applyAlignment="1">
      <alignment horizontal="left"/>
    </xf>
    <xf numFmtId="0" fontId="10" fillId="21" borderId="0" xfId="0" applyFont="1" applyFill="1"/>
    <xf numFmtId="0" fontId="8" fillId="15" borderId="5" xfId="0" applyFont="1" applyFill="1" applyBorder="1" applyAlignment="1">
      <alignment vertical="center"/>
    </xf>
    <xf numFmtId="0" fontId="8" fillId="15" borderId="13" xfId="0" applyFont="1" applyFill="1" applyBorder="1" applyAlignment="1">
      <alignment horizontal="right" vertical="top"/>
    </xf>
    <xf numFmtId="4" fontId="10" fillId="15" borderId="0" xfId="0" applyNumberFormat="1" applyFont="1" applyFill="1"/>
    <xf numFmtId="4" fontId="10" fillId="21" borderId="0" xfId="0" applyNumberFormat="1" applyFont="1" applyFill="1"/>
    <xf numFmtId="0" fontId="11" fillId="28" borderId="1" xfId="0" quotePrefix="1" applyFont="1" applyFill="1" applyBorder="1"/>
    <xf numFmtId="0" fontId="9" fillId="28" borderId="1" xfId="0" quotePrefix="1" applyFont="1" applyFill="1" applyBorder="1"/>
    <xf numFmtId="0" fontId="10" fillId="3" borderId="7" xfId="0" applyFont="1" applyFill="1" applyBorder="1" applyAlignment="1">
      <alignment vertical="top"/>
    </xf>
    <xf numFmtId="0" fontId="12" fillId="3" borderId="7" xfId="0" applyFont="1" applyFill="1" applyBorder="1" applyAlignment="1">
      <alignment horizontal="centerContinuous" vertical="top"/>
    </xf>
    <xf numFmtId="0" fontId="0" fillId="3" borderId="7" xfId="0" applyFill="1" applyBorder="1" applyAlignment="1">
      <alignment horizontal="centerContinuous"/>
    </xf>
    <xf numFmtId="4" fontId="0" fillId="3" borderId="7" xfId="0" applyNumberFormat="1" applyFill="1" applyBorder="1" applyAlignment="1">
      <alignment horizontal="centerContinuous"/>
    </xf>
    <xf numFmtId="0" fontId="4" fillId="3" borderId="7" xfId="0" applyFont="1" applyFill="1" applyBorder="1" applyAlignment="1">
      <alignment horizontal="centerContinuous"/>
    </xf>
    <xf numFmtId="0" fontId="8" fillId="15" borderId="7" xfId="0" applyFont="1" applyFill="1" applyBorder="1" applyAlignment="1">
      <alignment horizontal="right" vertical="top"/>
    </xf>
    <xf numFmtId="0" fontId="20" fillId="15" borderId="7" xfId="0" applyFont="1" applyFill="1" applyBorder="1" applyAlignment="1">
      <alignment horizontal="center"/>
    </xf>
    <xf numFmtId="0" fontId="12" fillId="3" borderId="0" xfId="0" applyFont="1" applyFill="1" applyAlignment="1">
      <alignment horizontal="centerContinuous" vertical="top"/>
    </xf>
    <xf numFmtId="0" fontId="0" fillId="3" borderId="0" xfId="0" applyFill="1" applyAlignment="1">
      <alignment horizontal="centerContinuous"/>
    </xf>
    <xf numFmtId="4" fontId="0" fillId="3" borderId="0" xfId="0" applyNumberFormat="1" applyFill="1" applyAlignment="1">
      <alignment horizontal="centerContinuous"/>
    </xf>
    <xf numFmtId="0" fontId="47" fillId="3" borderId="1" xfId="0" applyFont="1" applyFill="1" applyBorder="1" applyAlignment="1">
      <alignment horizontal="left" indent="1"/>
    </xf>
    <xf numFmtId="0" fontId="9" fillId="3" borderId="1" xfId="0" applyFont="1" applyFill="1" applyBorder="1"/>
    <xf numFmtId="0" fontId="12" fillId="3" borderId="1" xfId="0" applyFont="1" applyFill="1" applyBorder="1" applyAlignment="1">
      <alignment horizontal="centerContinuous" vertical="top"/>
    </xf>
    <xf numFmtId="0" fontId="0" fillId="3" borderId="1" xfId="0" applyFill="1" applyBorder="1" applyAlignment="1">
      <alignment horizontal="centerContinuous"/>
    </xf>
    <xf numFmtId="4" fontId="0" fillId="3" borderId="1" xfId="0" applyNumberFormat="1" applyFill="1" applyBorder="1" applyAlignment="1">
      <alignment horizontal="centerContinuous"/>
    </xf>
    <xf numFmtId="0" fontId="4" fillId="3" borderId="1" xfId="0" applyFont="1" applyFill="1" applyBorder="1" applyAlignment="1">
      <alignment horizontal="centerContinuous"/>
    </xf>
    <xf numFmtId="0" fontId="8" fillId="15" borderId="1" xfId="0" applyFont="1" applyFill="1" applyBorder="1" applyAlignment="1">
      <alignment horizontal="right" vertical="top"/>
    </xf>
    <xf numFmtId="0" fontId="20" fillId="15" borderId="1" xfId="0" applyFont="1" applyFill="1" applyBorder="1" applyAlignment="1">
      <alignment horizontal="center"/>
    </xf>
    <xf numFmtId="0" fontId="15" fillId="3" borderId="1" xfId="0" applyFont="1" applyFill="1" applyBorder="1" applyAlignment="1">
      <alignment vertical="center"/>
    </xf>
    <xf numFmtId="0" fontId="15" fillId="3" borderId="1" xfId="0" applyFont="1" applyFill="1" applyBorder="1"/>
    <xf numFmtId="0" fontId="47" fillId="3" borderId="25" xfId="0" applyFont="1" applyFill="1" applyBorder="1"/>
    <xf numFmtId="0" fontId="15" fillId="3" borderId="1" xfId="0" applyFont="1" applyFill="1" applyBorder="1" applyAlignment="1">
      <alignment horizontal="right"/>
    </xf>
    <xf numFmtId="4" fontId="47" fillId="3" borderId="25" xfId="0" applyNumberFormat="1" applyFont="1" applyFill="1" applyBorder="1"/>
    <xf numFmtId="4" fontId="8" fillId="3" borderId="1" xfId="0" applyNumberFormat="1" applyFont="1" applyFill="1" applyBorder="1" applyAlignment="1">
      <alignment vertical="center"/>
    </xf>
    <xf numFmtId="4" fontId="8" fillId="3" borderId="1" xfId="0" applyNumberFormat="1" applyFont="1" applyFill="1" applyBorder="1" applyAlignment="1">
      <alignment horizontal="right" vertical="center"/>
    </xf>
    <xf numFmtId="4" fontId="47" fillId="2" borderId="0" xfId="0" applyNumberFormat="1" applyFont="1" applyFill="1"/>
    <xf numFmtId="4" fontId="47" fillId="21" borderId="0" xfId="0" applyNumberFormat="1" applyFont="1" applyFill="1"/>
    <xf numFmtId="4" fontId="50" fillId="2" borderId="0" xfId="0" applyNumberFormat="1" applyFont="1" applyFill="1" applyAlignment="1">
      <alignment horizontal="center"/>
    </xf>
    <xf numFmtId="4" fontId="50" fillId="21" borderId="0" xfId="0" applyNumberFormat="1" applyFont="1" applyFill="1" applyAlignment="1">
      <alignment horizontal="center"/>
    </xf>
    <xf numFmtId="4" fontId="19" fillId="2" borderId="0" xfId="0" applyNumberFormat="1" applyFont="1" applyFill="1" applyAlignment="1">
      <alignment horizontal="center"/>
    </xf>
    <xf numFmtId="4" fontId="19" fillId="21" borderId="0" xfId="0" applyNumberFormat="1" applyFont="1" applyFill="1" applyAlignment="1">
      <alignment horizontal="center"/>
    </xf>
    <xf numFmtId="4" fontId="16" fillId="2" borderId="0" xfId="0" applyNumberFormat="1" applyFont="1" applyFill="1" applyAlignment="1">
      <alignment horizontal="center"/>
    </xf>
    <xf numFmtId="4" fontId="16" fillId="21" borderId="0" xfId="0" applyNumberFormat="1" applyFont="1" applyFill="1" applyAlignment="1">
      <alignment horizontal="center"/>
    </xf>
    <xf numFmtId="0" fontId="4" fillId="3" borderId="8" xfId="0" applyFont="1" applyFill="1" applyBorder="1" applyAlignment="1">
      <alignment horizontal="right" vertical="top" wrapText="1"/>
    </xf>
    <xf numFmtId="4" fontId="16" fillId="14" borderId="24" xfId="0" applyNumberFormat="1" applyFont="1" applyFill="1" applyBorder="1" applyAlignment="1">
      <alignment horizontal="center" vertical="center"/>
    </xf>
    <xf numFmtId="0" fontId="6" fillId="19" borderId="3" xfId="0" applyFont="1" applyFill="1" applyBorder="1" applyAlignment="1">
      <alignment horizontal="center" wrapText="1"/>
    </xf>
    <xf numFmtId="0" fontId="6" fillId="19" borderId="0" xfId="0" applyFont="1" applyFill="1" applyAlignment="1">
      <alignment horizontal="center" wrapText="1"/>
    </xf>
    <xf numFmtId="0" fontId="0" fillId="19" borderId="24" xfId="0" applyFill="1" applyBorder="1" applyAlignment="1">
      <alignment horizontal="center" wrapText="1"/>
    </xf>
    <xf numFmtId="0" fontId="16" fillId="15" borderId="3" xfId="0" applyFont="1" applyFill="1" applyBorder="1"/>
    <xf numFmtId="0" fontId="0" fillId="0" borderId="6" xfId="0" applyBorder="1" applyAlignment="1">
      <alignment horizontal="center"/>
    </xf>
    <xf numFmtId="0" fontId="16" fillId="0" borderId="6" xfId="0" applyFont="1" applyBorder="1" applyAlignment="1">
      <alignment horizontal="center" wrapText="1"/>
    </xf>
    <xf numFmtId="0" fontId="6" fillId="19" borderId="24" xfId="0" applyFont="1" applyFill="1" applyBorder="1" applyAlignment="1">
      <alignment horizontal="center" wrapText="1"/>
    </xf>
    <xf numFmtId="37" fontId="8" fillId="22" borderId="11" xfId="0" applyNumberFormat="1" applyFont="1" applyFill="1" applyBorder="1" applyAlignment="1">
      <alignment horizontal="right"/>
    </xf>
    <xf numFmtId="37" fontId="122" fillId="3" borderId="14" xfId="0" applyNumberFormat="1" applyFont="1" applyFill="1" applyBorder="1" applyAlignment="1">
      <alignment horizontal="right"/>
    </xf>
    <xf numFmtId="37" fontId="122" fillId="0" borderId="0" xfId="0" applyNumberFormat="1" applyFont="1" applyAlignment="1">
      <alignment horizontal="right"/>
    </xf>
    <xf numFmtId="37" fontId="9" fillId="3" borderId="15" xfId="0" applyNumberFormat="1" applyFont="1" applyFill="1" applyBorder="1" applyAlignment="1">
      <alignment horizontal="right"/>
    </xf>
    <xf numFmtId="37" fontId="9" fillId="0" borderId="15" xfId="0" applyNumberFormat="1" applyFont="1" applyBorder="1" applyAlignment="1">
      <alignment horizontal="right"/>
    </xf>
    <xf numFmtId="37" fontId="9" fillId="3" borderId="14" xfId="0" applyNumberFormat="1" applyFont="1" applyFill="1" applyBorder="1" applyAlignment="1">
      <alignment horizontal="right"/>
    </xf>
    <xf numFmtId="0" fontId="4" fillId="3" borderId="1" xfId="0" applyFont="1" applyFill="1" applyBorder="1" applyAlignment="1">
      <alignment horizontal="right" vertical="top" wrapText="1"/>
    </xf>
    <xf numFmtId="37" fontId="9" fillId="28" borderId="11" xfId="0" applyNumberFormat="1" applyFont="1" applyFill="1" applyBorder="1" applyAlignment="1">
      <alignment horizontal="right"/>
    </xf>
    <xf numFmtId="0" fontId="0" fillId="3" borderId="0" xfId="0" applyFill="1" applyAlignment="1">
      <alignment horizontal="center"/>
    </xf>
    <xf numFmtId="0" fontId="117" fillId="5" borderId="0" xfId="0" applyFont="1" applyFill="1" applyAlignment="1">
      <alignment horizontal="center"/>
    </xf>
    <xf numFmtId="4" fontId="0" fillId="3" borderId="15" xfId="0" applyNumberFormat="1" applyFill="1" applyBorder="1" applyAlignment="1">
      <alignment horizontal="center"/>
    </xf>
    <xf numFmtId="37" fontId="122" fillId="14" borderId="30" xfId="0" applyNumberFormat="1" applyFont="1" applyFill="1" applyBorder="1"/>
    <xf numFmtId="37" fontId="116" fillId="15" borderId="8" xfId="0" applyNumberFormat="1" applyFont="1" applyFill="1" applyBorder="1"/>
    <xf numFmtId="39" fontId="10" fillId="2" borderId="0" xfId="0" applyNumberFormat="1" applyFont="1" applyFill="1" applyAlignment="1">
      <alignment horizontal="center"/>
    </xf>
    <xf numFmtId="39" fontId="10" fillId="21" borderId="0" xfId="0" applyNumberFormat="1" applyFont="1" applyFill="1" applyAlignment="1">
      <alignment horizontal="center"/>
    </xf>
    <xf numFmtId="37" fontId="9" fillId="14" borderId="9" xfId="0" applyNumberFormat="1" applyFont="1" applyFill="1" applyBorder="1" applyAlignment="1">
      <alignment horizontal="center"/>
    </xf>
    <xf numFmtId="37" fontId="9" fillId="14" borderId="1" xfId="0" applyNumberFormat="1" applyFont="1" applyFill="1" applyBorder="1" applyAlignment="1">
      <alignment horizontal="center" vertical="center"/>
    </xf>
    <xf numFmtId="0" fontId="4" fillId="14" borderId="0" xfId="0" applyFont="1" applyFill="1" applyAlignment="1">
      <alignment horizontal="right" vertical="top"/>
    </xf>
    <xf numFmtId="0" fontId="4" fillId="14" borderId="0" xfId="0" applyFont="1" applyFill="1" applyAlignment="1">
      <alignment vertical="top"/>
    </xf>
    <xf numFmtId="39" fontId="8" fillId="2" borderId="0" xfId="0" applyNumberFormat="1" applyFont="1" applyFill="1"/>
    <xf numFmtId="39" fontId="8" fillId="21" borderId="0" xfId="0" applyNumberFormat="1" applyFont="1" applyFill="1"/>
    <xf numFmtId="0" fontId="117" fillId="5" borderId="0" xfId="0" applyFont="1" applyFill="1"/>
    <xf numFmtId="0" fontId="4" fillId="14" borderId="4" xfId="0" applyFont="1" applyFill="1" applyBorder="1" applyAlignment="1">
      <alignment horizontal="right" vertical="top"/>
    </xf>
    <xf numFmtId="4" fontId="0" fillId="3" borderId="1" xfId="0" applyNumberFormat="1" applyFill="1" applyBorder="1"/>
    <xf numFmtId="0" fontId="15" fillId="3" borderId="1" xfId="0" applyFont="1" applyFill="1" applyBorder="1" applyAlignment="1">
      <alignment horizontal="right" vertical="center"/>
    </xf>
    <xf numFmtId="4" fontId="0" fillId="21" borderId="0" xfId="0" applyNumberFormat="1" applyFill="1"/>
    <xf numFmtId="37" fontId="9" fillId="15" borderId="15" xfId="0" applyNumberFormat="1" applyFont="1" applyFill="1" applyBorder="1" applyAlignment="1">
      <alignment horizontal="right"/>
    </xf>
    <xf numFmtId="0" fontId="6" fillId="14" borderId="8" xfId="0" applyFont="1" applyFill="1" applyBorder="1"/>
    <xf numFmtId="0" fontId="6" fillId="15" borderId="8" xfId="0" applyFont="1" applyFill="1" applyBorder="1" applyAlignment="1">
      <alignment wrapText="1"/>
    </xf>
    <xf numFmtId="0" fontId="6" fillId="15" borderId="14" xfId="0" applyFont="1" applyFill="1" applyBorder="1" applyAlignment="1">
      <alignment wrapText="1"/>
    </xf>
    <xf numFmtId="0" fontId="4" fillId="3" borderId="15" xfId="0" applyFont="1" applyFill="1" applyBorder="1" applyAlignment="1">
      <alignment horizontal="right"/>
    </xf>
    <xf numFmtId="37" fontId="9" fillId="14" borderId="30" xfId="0" applyNumberFormat="1" applyFont="1" applyFill="1" applyBorder="1" applyAlignment="1">
      <alignment horizontal="right"/>
    </xf>
    <xf numFmtId="37" fontId="116" fillId="15" borderId="8" xfId="0" applyNumberFormat="1" applyFont="1" applyFill="1" applyBorder="1" applyAlignment="1">
      <alignment horizontal="right"/>
    </xf>
    <xf numFmtId="4" fontId="12" fillId="2" borderId="0" xfId="0" applyNumberFormat="1" applyFont="1" applyFill="1"/>
    <xf numFmtId="4" fontId="12" fillId="21" borderId="0" xfId="0" applyNumberFormat="1" applyFont="1" applyFill="1"/>
    <xf numFmtId="39" fontId="10" fillId="2" borderId="0" xfId="0" applyNumberFormat="1" applyFont="1" applyFill="1"/>
    <xf numFmtId="39" fontId="10" fillId="21" borderId="0" xfId="0" applyNumberFormat="1" applyFont="1" applyFill="1"/>
    <xf numFmtId="4" fontId="10" fillId="3" borderId="0" xfId="0" applyNumberFormat="1" applyFont="1" applyFill="1" applyAlignment="1">
      <alignment horizontal="right"/>
    </xf>
    <xf numFmtId="0" fontId="172" fillId="3" borderId="0" xfId="0" applyFont="1" applyFill="1" applyAlignment="1">
      <alignment vertical="center"/>
    </xf>
    <xf numFmtId="4" fontId="47" fillId="3" borderId="0" xfId="0" applyNumberFormat="1" applyFont="1" applyFill="1" applyAlignment="1">
      <alignment vertical="center"/>
    </xf>
    <xf numFmtId="0" fontId="12" fillId="3" borderId="1" xfId="0" applyFont="1" applyFill="1" applyBorder="1"/>
    <xf numFmtId="4" fontId="10" fillId="3" borderId="1" xfId="0" applyNumberFormat="1" applyFont="1" applyFill="1" applyBorder="1"/>
    <xf numFmtId="4" fontId="12" fillId="3" borderId="1" xfId="0" applyNumberFormat="1" applyFont="1" applyFill="1" applyBorder="1"/>
    <xf numFmtId="4" fontId="4" fillId="3" borderId="1" xfId="0" applyNumberFormat="1" applyFont="1" applyFill="1" applyBorder="1" applyAlignment="1">
      <alignment horizontal="right"/>
    </xf>
    <xf numFmtId="0" fontId="4" fillId="0" borderId="8" xfId="0" applyFont="1" applyBorder="1"/>
    <xf numFmtId="39" fontId="0" fillId="22" borderId="6" xfId="0" applyNumberFormat="1" applyFill="1" applyBorder="1"/>
    <xf numFmtId="39" fontId="0" fillId="3" borderId="3" xfId="0" applyNumberFormat="1" applyFill="1" applyBorder="1"/>
    <xf numFmtId="39" fontId="0" fillId="3" borderId="0" xfId="0" applyNumberFormat="1" applyFill="1"/>
    <xf numFmtId="0" fontId="127" fillId="5" borderId="0" xfId="0" applyFont="1" applyFill="1"/>
    <xf numFmtId="4" fontId="4" fillId="3" borderId="0" xfId="0" applyNumberFormat="1" applyFont="1" applyFill="1"/>
    <xf numFmtId="0" fontId="51" fillId="3" borderId="0" xfId="0" applyFont="1" applyFill="1" applyAlignment="1">
      <alignment horizontal="center"/>
    </xf>
    <xf numFmtId="0" fontId="4" fillId="3" borderId="0" xfId="0" applyFont="1" applyFill="1" applyAlignment="1">
      <alignment horizontal="center" vertical="top"/>
    </xf>
    <xf numFmtId="0" fontId="18" fillId="0" borderId="0" xfId="0" applyFont="1" applyAlignment="1">
      <alignment vertical="center"/>
    </xf>
    <xf numFmtId="0" fontId="4" fillId="3" borderId="12" xfId="0" applyFont="1" applyFill="1" applyBorder="1" applyAlignment="1">
      <alignment horizontal="center" vertical="center"/>
    </xf>
    <xf numFmtId="4" fontId="4" fillId="21" borderId="0" xfId="0" applyNumberFormat="1" applyFont="1" applyFill="1"/>
    <xf numFmtId="0" fontId="6" fillId="3" borderId="0" xfId="0" applyFont="1" applyFill="1" applyAlignment="1">
      <alignment horizontal="center"/>
    </xf>
    <xf numFmtId="4" fontId="6" fillId="21" borderId="0" xfId="0" applyNumberFormat="1" applyFont="1" applyFill="1"/>
    <xf numFmtId="39" fontId="117" fillId="3" borderId="30" xfId="0" applyNumberFormat="1" applyFont="1" applyFill="1" applyBorder="1" applyAlignment="1">
      <alignment wrapText="1"/>
    </xf>
    <xf numFmtId="0" fontId="117" fillId="3" borderId="8" xfId="0" applyFont="1" applyFill="1" applyBorder="1" applyAlignment="1">
      <alignment wrapText="1"/>
    </xf>
    <xf numFmtId="0" fontId="117" fillId="3" borderId="0" xfId="0" applyFont="1" applyFill="1" applyAlignment="1">
      <alignment wrapText="1"/>
    </xf>
    <xf numFmtId="0" fontId="4" fillId="3" borderId="0" xfId="0" applyFont="1" applyFill="1" applyAlignment="1">
      <alignment horizontal="center" vertical="center"/>
    </xf>
    <xf numFmtId="0" fontId="117" fillId="3" borderId="3" xfId="0" applyFont="1" applyFill="1" applyBorder="1" applyAlignment="1">
      <alignment wrapText="1"/>
    </xf>
    <xf numFmtId="0" fontId="112" fillId="3" borderId="0" xfId="0" applyFont="1" applyFill="1" applyAlignment="1">
      <alignment wrapText="1"/>
    </xf>
    <xf numFmtId="4" fontId="6" fillId="2" borderId="0" xfId="0" applyNumberFormat="1" applyFont="1" applyFill="1" applyAlignment="1">
      <alignment vertical="center"/>
    </xf>
    <xf numFmtId="4" fontId="6" fillId="21" borderId="0" xfId="0" applyNumberFormat="1" applyFont="1" applyFill="1" applyAlignment="1">
      <alignment vertical="center"/>
    </xf>
    <xf numFmtId="0" fontId="183" fillId="15" borderId="0" xfId="0" applyFont="1" applyFill="1" applyAlignment="1">
      <alignment horizontal="left"/>
    </xf>
    <xf numFmtId="0" fontId="183" fillId="15" borderId="0" xfId="0" applyFont="1" applyFill="1" applyAlignment="1">
      <alignment horizontal="left" vertical="top"/>
    </xf>
    <xf numFmtId="0" fontId="15" fillId="3" borderId="0" xfId="0" applyFont="1" applyFill="1"/>
    <xf numFmtId="37" fontId="9" fillId="28" borderId="9" xfId="0" applyNumberFormat="1" applyFont="1" applyFill="1" applyBorder="1" applyAlignment="1">
      <alignment horizontal="center"/>
    </xf>
    <xf numFmtId="37" fontId="4" fillId="28" borderId="1" xfId="0" applyNumberFormat="1" applyFont="1" applyFill="1" applyBorder="1"/>
    <xf numFmtId="37" fontId="9" fillId="28" borderId="1" xfId="0" quotePrefix="1" applyNumberFormat="1" applyFont="1" applyFill="1" applyBorder="1" applyAlignment="1">
      <alignment horizontal="center"/>
    </xf>
    <xf numFmtId="7" fontId="47" fillId="3" borderId="0" xfId="0" applyNumberFormat="1" applyFont="1" applyFill="1" applyAlignment="1">
      <alignment horizontal="left"/>
    </xf>
    <xf numFmtId="0" fontId="6" fillId="3" borderId="4" xfId="0" applyFont="1" applyFill="1" applyBorder="1" applyAlignment="1">
      <alignment horizontal="center"/>
    </xf>
    <xf numFmtId="0" fontId="6" fillId="3" borderId="4" xfId="0" applyFont="1" applyFill="1" applyBorder="1"/>
    <xf numFmtId="0" fontId="4" fillId="3" borderId="4" xfId="0" applyFont="1" applyFill="1" applyBorder="1"/>
    <xf numFmtId="4" fontId="6" fillId="3" borderId="4" xfId="0" applyNumberFormat="1" applyFont="1" applyFill="1" applyBorder="1"/>
    <xf numFmtId="4" fontId="12" fillId="3" borderId="7" xfId="0" applyNumberFormat="1" applyFont="1" applyFill="1" applyBorder="1" applyAlignment="1">
      <alignment horizontal="right" vertical="center"/>
    </xf>
    <xf numFmtId="4" fontId="9" fillId="3" borderId="7" xfId="0" applyNumberFormat="1" applyFont="1" applyFill="1" applyBorder="1" applyAlignment="1">
      <alignment horizontal="right" vertical="center"/>
    </xf>
    <xf numFmtId="0" fontId="0" fillId="15" borderId="21" xfId="0" applyFill="1" applyBorder="1" applyAlignment="1">
      <alignment horizontal="left" indent="1"/>
    </xf>
    <xf numFmtId="0" fontId="0" fillId="35" borderId="8" xfId="0" applyFill="1" applyBorder="1"/>
    <xf numFmtId="0" fontId="8" fillId="3" borderId="1" xfId="0" applyFont="1" applyFill="1" applyBorder="1"/>
    <xf numFmtId="0" fontId="0" fillId="35" borderId="1" xfId="0" applyFill="1" applyBorder="1"/>
    <xf numFmtId="0" fontId="8" fillId="3" borderId="0" xfId="0" applyFont="1" applyFill="1" applyAlignment="1">
      <alignment horizontal="left" indent="1"/>
    </xf>
    <xf numFmtId="0" fontId="0" fillId="35" borderId="0" xfId="0" applyFill="1"/>
    <xf numFmtId="0" fontId="4" fillId="3" borderId="6" xfId="0" applyFont="1" applyFill="1" applyBorder="1" applyAlignment="1">
      <alignment horizontal="center"/>
    </xf>
    <xf numFmtId="0" fontId="8" fillId="3" borderId="0" xfId="0" applyFont="1" applyFill="1" applyAlignment="1">
      <alignment vertical="center"/>
    </xf>
    <xf numFmtId="0" fontId="11" fillId="0" borderId="0" xfId="0" applyFont="1"/>
    <xf numFmtId="0" fontId="8" fillId="3" borderId="8" xfId="0" applyFont="1" applyFill="1" applyBorder="1"/>
    <xf numFmtId="4" fontId="8" fillId="3" borderId="0" xfId="0" applyNumberFormat="1" applyFont="1" applyFill="1"/>
    <xf numFmtId="4" fontId="9" fillId="3" borderId="0" xfId="0" applyNumberFormat="1" applyFont="1" applyFill="1" applyAlignment="1">
      <alignment horizontal="right" vertical="center"/>
    </xf>
    <xf numFmtId="0" fontId="47" fillId="3" borderId="4" xfId="0" applyFont="1" applyFill="1" applyBorder="1"/>
    <xf numFmtId="37" fontId="0" fillId="27" borderId="25" xfId="0" applyNumberFormat="1" applyFill="1" applyBorder="1"/>
    <xf numFmtId="0" fontId="9" fillId="3" borderId="0" xfId="0" applyFont="1" applyFill="1" applyAlignment="1">
      <alignment horizontal="center" vertical="center"/>
    </xf>
    <xf numFmtId="0" fontId="12" fillId="3" borderId="0" xfId="0" applyFont="1" applyFill="1" applyAlignment="1">
      <alignment horizontal="center"/>
    </xf>
    <xf numFmtId="0" fontId="8" fillId="3" borderId="0" xfId="0" applyFont="1" applyFill="1" applyAlignment="1">
      <alignment horizontal="right"/>
    </xf>
    <xf numFmtId="0" fontId="11" fillId="3" borderId="25" xfId="0" applyFont="1" applyFill="1" applyBorder="1"/>
    <xf numFmtId="0" fontId="44" fillId="3" borderId="0" xfId="0" applyFont="1" applyFill="1" applyAlignment="1">
      <alignment horizontal="center"/>
    </xf>
    <xf numFmtId="0" fontId="9" fillId="3" borderId="0" xfId="0" applyFont="1" applyFill="1" applyAlignment="1">
      <alignment horizontal="center" vertical="top"/>
    </xf>
    <xf numFmtId="0" fontId="8" fillId="3" borderId="0" xfId="0" applyFont="1" applyFill="1" applyAlignment="1">
      <alignment horizontal="center"/>
    </xf>
    <xf numFmtId="0" fontId="8" fillId="3" borderId="0" xfId="0" applyFont="1" applyFill="1" applyAlignment="1">
      <alignment horizontal="center" vertical="center"/>
    </xf>
    <xf numFmtId="0" fontId="10" fillId="3" borderId="5" xfId="0" applyFont="1" applyFill="1" applyBorder="1" applyAlignment="1">
      <alignment horizontal="left"/>
    </xf>
    <xf numFmtId="0" fontId="0" fillId="5" borderId="0" xfId="0" applyFill="1" applyAlignment="1">
      <alignment horizontal="center" vertical="center"/>
    </xf>
    <xf numFmtId="0" fontId="9" fillId="3" borderId="24" xfId="0" applyFont="1" applyFill="1" applyBorder="1"/>
    <xf numFmtId="0" fontId="167" fillId="3" borderId="0" xfId="0" applyFont="1" applyFill="1" applyAlignment="1">
      <alignment horizontal="left" indent="1"/>
    </xf>
    <xf numFmtId="0" fontId="44" fillId="3" borderId="0" xfId="0" applyFont="1" applyFill="1" applyAlignment="1">
      <alignment horizontal="left"/>
    </xf>
    <xf numFmtId="0" fontId="20" fillId="3" borderId="0" xfId="0" applyFont="1" applyFill="1" applyAlignment="1">
      <alignment horizontal="left"/>
    </xf>
    <xf numFmtId="0" fontId="172" fillId="3" borderId="0" xfId="0" applyFont="1" applyFill="1" applyAlignment="1">
      <alignment horizontal="right" indent="1"/>
    </xf>
    <xf numFmtId="1" fontId="12" fillId="35" borderId="0" xfId="0" applyNumberFormat="1" applyFont="1" applyFill="1" applyAlignment="1">
      <alignment horizontal="right" vertical="center"/>
    </xf>
    <xf numFmtId="183" fontId="167" fillId="3" borderId="0" xfId="0" applyNumberFormat="1" applyFont="1" applyFill="1" applyAlignment="1">
      <alignment horizontal="left" vertical="center"/>
    </xf>
    <xf numFmtId="0" fontId="9" fillId="3" borderId="0" xfId="0" applyFont="1" applyFill="1" applyAlignment="1">
      <alignment horizontal="center"/>
    </xf>
    <xf numFmtId="4" fontId="0" fillId="3" borderId="24" xfId="0" applyNumberFormat="1" applyFill="1" applyBorder="1"/>
    <xf numFmtId="0" fontId="4" fillId="3" borderId="3" xfId="0" applyFont="1" applyFill="1" applyBorder="1"/>
    <xf numFmtId="0" fontId="9" fillId="3" borderId="71" xfId="0" applyFont="1" applyFill="1" applyBorder="1"/>
    <xf numFmtId="0" fontId="0" fillId="3" borderId="32" xfId="0" applyFill="1" applyBorder="1"/>
    <xf numFmtId="49" fontId="53" fillId="3" borderId="72" xfId="0" applyNumberFormat="1" applyFont="1" applyFill="1" applyBorder="1" applyAlignment="1">
      <alignment horizontal="right" vertical="center"/>
    </xf>
    <xf numFmtId="49" fontId="4" fillId="14" borderId="35" xfId="0" applyNumberFormat="1" applyFont="1" applyFill="1" applyBorder="1" applyAlignment="1">
      <alignment horizontal="center"/>
    </xf>
    <xf numFmtId="49" fontId="4" fillId="15" borderId="33" xfId="0" applyNumberFormat="1" applyFont="1" applyFill="1" applyBorder="1" applyAlignment="1">
      <alignment horizontal="center"/>
    </xf>
    <xf numFmtId="0" fontId="9" fillId="3" borderId="3" xfId="0" applyFont="1" applyFill="1" applyBorder="1"/>
    <xf numFmtId="0" fontId="42" fillId="3" borderId="0" xfId="0" applyFont="1" applyFill="1" applyAlignment="1">
      <alignment horizontal="right" vertical="center"/>
    </xf>
    <xf numFmtId="0" fontId="8" fillId="3" borderId="1" xfId="0" quotePrefix="1" applyFont="1" applyFill="1" applyBorder="1" applyAlignment="1">
      <alignment horizontal="left"/>
    </xf>
    <xf numFmtId="0" fontId="8" fillId="3" borderId="0" xfId="0" quotePrefix="1" applyFont="1" applyFill="1" applyAlignment="1">
      <alignment horizontal="left"/>
    </xf>
    <xf numFmtId="0" fontId="0" fillId="3" borderId="31" xfId="0" applyFill="1" applyBorder="1"/>
    <xf numFmtId="0" fontId="0" fillId="3" borderId="5" xfId="0" applyFill="1" applyBorder="1"/>
    <xf numFmtId="4" fontId="9" fillId="3" borderId="0" xfId="0" applyNumberFormat="1" applyFont="1" applyFill="1"/>
    <xf numFmtId="39" fontId="9" fillId="3" borderId="0" xfId="0" applyNumberFormat="1" applyFont="1" applyFill="1"/>
    <xf numFmtId="0" fontId="15" fillId="3" borderId="25" xfId="0" applyFont="1" applyFill="1" applyBorder="1"/>
    <xf numFmtId="39" fontId="47" fillId="3" borderId="25" xfId="0" applyNumberFormat="1" applyFont="1" applyFill="1" applyBorder="1"/>
    <xf numFmtId="4" fontId="8" fillId="3" borderId="0" xfId="0" applyNumberFormat="1" applyFont="1" applyFill="1" applyAlignment="1">
      <alignment horizontal="center"/>
    </xf>
    <xf numFmtId="0" fontId="9" fillId="3" borderId="0" xfId="0" applyFont="1" applyFill="1" applyAlignment="1">
      <alignment horizontal="right" vertical="center"/>
    </xf>
    <xf numFmtId="0" fontId="8" fillId="3" borderId="15" xfId="0" applyFont="1" applyFill="1" applyBorder="1" applyAlignment="1">
      <alignment horizontal="center"/>
    </xf>
    <xf numFmtId="3" fontId="8" fillId="3" borderId="8" xfId="0" applyNumberFormat="1" applyFont="1" applyFill="1" applyBorder="1" applyAlignment="1">
      <alignment horizontal="center"/>
    </xf>
    <xf numFmtId="38" fontId="110" fillId="0" borderId="0" xfId="0" applyNumberFormat="1" applyFont="1"/>
    <xf numFmtId="39" fontId="8" fillId="3" borderId="0" xfId="0" applyNumberFormat="1" applyFont="1" applyFill="1" applyAlignment="1">
      <alignment horizontal="center"/>
    </xf>
    <xf numFmtId="39" fontId="9" fillId="3" borderId="0" xfId="0" applyNumberFormat="1" applyFont="1" applyFill="1" applyAlignment="1">
      <alignment horizontal="right"/>
    </xf>
    <xf numFmtId="39" fontId="6" fillId="3" borderId="0" xfId="0" applyNumberFormat="1" applyFont="1" applyFill="1"/>
    <xf numFmtId="39" fontId="8" fillId="3" borderId="0" xfId="0" applyNumberFormat="1" applyFont="1" applyFill="1"/>
    <xf numFmtId="39" fontId="4" fillId="3" borderId="0" xfId="0" applyNumberFormat="1" applyFont="1" applyFill="1"/>
    <xf numFmtId="0" fontId="11" fillId="3" borderId="25" xfId="0" applyFont="1" applyFill="1" applyBorder="1" applyAlignment="1">
      <alignment horizontal="center" vertical="center"/>
    </xf>
    <xf numFmtId="0" fontId="14" fillId="3" borderId="25" xfId="0" applyFont="1" applyFill="1" applyBorder="1"/>
    <xf numFmtId="3" fontId="47" fillId="3" borderId="25" xfId="0" applyNumberFormat="1" applyFont="1" applyFill="1" applyBorder="1"/>
    <xf numFmtId="3" fontId="9" fillId="3" borderId="76" xfId="0" applyNumberFormat="1" applyFont="1" applyFill="1" applyBorder="1" applyAlignment="1">
      <alignment horizontal="right"/>
    </xf>
    <xf numFmtId="0" fontId="4" fillId="7" borderId="6" xfId="0" applyFont="1" applyFill="1" applyBorder="1" applyAlignment="1">
      <alignment horizontal="center"/>
    </xf>
    <xf numFmtId="3" fontId="9" fillId="3" borderId="30" xfId="0" applyNumberFormat="1" applyFont="1" applyFill="1" applyBorder="1" applyAlignment="1">
      <alignment horizontal="right"/>
    </xf>
    <xf numFmtId="3" fontId="9" fillId="3" borderId="8" xfId="0" applyNumberFormat="1" applyFont="1" applyFill="1" applyBorder="1" applyAlignment="1">
      <alignment horizontal="right"/>
    </xf>
    <xf numFmtId="0" fontId="4" fillId="3" borderId="12" xfId="0" applyFont="1" applyFill="1" applyBorder="1" applyAlignment="1">
      <alignment horizontal="center"/>
    </xf>
    <xf numFmtId="3" fontId="9" fillId="2" borderId="78" xfId="0" applyNumberFormat="1" applyFont="1" applyFill="1" applyBorder="1" applyAlignment="1">
      <alignment horizontal="right"/>
    </xf>
    <xf numFmtId="0" fontId="4" fillId="3" borderId="5" xfId="0" applyFont="1" applyFill="1" applyBorder="1" applyAlignment="1">
      <alignment horizontal="right"/>
    </xf>
    <xf numFmtId="0" fontId="8" fillId="3" borderId="4" xfId="0" applyFont="1" applyFill="1" applyBorder="1" applyAlignment="1">
      <alignment horizontal="center"/>
    </xf>
    <xf numFmtId="0" fontId="8" fillId="3" borderId="4" xfId="0" applyFont="1" applyFill="1" applyBorder="1" applyAlignment="1">
      <alignment horizontal="right"/>
    </xf>
    <xf numFmtId="0" fontId="4" fillId="3" borderId="21" xfId="0" applyFont="1" applyFill="1" applyBorder="1" applyAlignment="1">
      <alignment horizontal="right"/>
    </xf>
    <xf numFmtId="0" fontId="4" fillId="3" borderId="4" xfId="0" applyFont="1" applyFill="1" applyBorder="1" applyAlignment="1">
      <alignment horizontal="left"/>
    </xf>
    <xf numFmtId="0" fontId="9" fillId="3" borderId="70" xfId="0" applyFont="1" applyFill="1" applyBorder="1" applyAlignment="1">
      <alignment horizontal="right"/>
    </xf>
    <xf numFmtId="0" fontId="4" fillId="14" borderId="3" xfId="0" applyFont="1" applyFill="1" applyBorder="1" applyAlignment="1">
      <alignment horizontal="center"/>
    </xf>
    <xf numFmtId="0" fontId="56" fillId="15" borderId="8" xfId="0" applyFont="1" applyFill="1" applyBorder="1"/>
    <xf numFmtId="0" fontId="9" fillId="3" borderId="24" xfId="0" applyFont="1" applyFill="1" applyBorder="1" applyAlignment="1">
      <alignment horizontal="right"/>
    </xf>
    <xf numFmtId="0" fontId="6" fillId="3" borderId="3" xfId="0" applyFont="1" applyFill="1" applyBorder="1" applyAlignment="1">
      <alignment horizontal="center"/>
    </xf>
    <xf numFmtId="0" fontId="9" fillId="2" borderId="30" xfId="0" applyFont="1" applyFill="1" applyBorder="1" applyAlignment="1">
      <alignment horizontal="right"/>
    </xf>
    <xf numFmtId="0" fontId="9" fillId="2" borderId="8" xfId="0" applyFont="1" applyFill="1" applyBorder="1" applyAlignment="1">
      <alignment horizontal="right"/>
    </xf>
    <xf numFmtId="0" fontId="48" fillId="3" borderId="0" xfId="0" applyFont="1" applyFill="1"/>
    <xf numFmtId="0" fontId="9" fillId="2" borderId="3" xfId="0" applyFont="1" applyFill="1" applyBorder="1" applyAlignment="1">
      <alignment horizontal="right"/>
    </xf>
    <xf numFmtId="0" fontId="119" fillId="3" borderId="0" xfId="0" applyFont="1" applyFill="1" applyAlignment="1">
      <alignment horizontal="left"/>
    </xf>
    <xf numFmtId="1" fontId="121" fillId="10" borderId="0" xfId="0" applyNumberFormat="1" applyFont="1" applyFill="1" applyAlignment="1">
      <alignment horizontal="center"/>
    </xf>
    <xf numFmtId="4" fontId="16" fillId="3" borderId="0" xfId="0" applyNumberFormat="1" applyFont="1" applyFill="1" applyAlignment="1">
      <alignment horizontal="right"/>
    </xf>
    <xf numFmtId="3" fontId="0" fillId="27" borderId="25" xfId="0" applyNumberFormat="1" applyFill="1" applyBorder="1"/>
    <xf numFmtId="0" fontId="10" fillId="3" borderId="0" xfId="0" applyFont="1" applyFill="1" applyAlignment="1">
      <alignment horizontal="left" vertical="top"/>
    </xf>
    <xf numFmtId="6" fontId="0" fillId="27" borderId="1" xfId="0" applyNumberFormat="1" applyFill="1" applyBorder="1" applyAlignment="1">
      <alignment horizontal="right"/>
    </xf>
    <xf numFmtId="0" fontId="6" fillId="3" borderId="4" xfId="0" applyFont="1" applyFill="1" applyBorder="1" applyAlignment="1">
      <alignment vertical="center"/>
    </xf>
    <xf numFmtId="0" fontId="48" fillId="3" borderId="4" xfId="0" applyFont="1" applyFill="1" applyBorder="1"/>
    <xf numFmtId="4" fontId="8" fillId="3" borderId="4" xfId="0" applyNumberFormat="1" applyFont="1" applyFill="1" applyBorder="1"/>
    <xf numFmtId="39" fontId="8" fillId="3" borderId="4" xfId="0" applyNumberFormat="1" applyFont="1" applyFill="1" applyBorder="1"/>
    <xf numFmtId="0" fontId="16" fillId="3" borderId="4" xfId="0" applyFont="1" applyFill="1" applyBorder="1" applyAlignment="1">
      <alignment horizontal="left"/>
    </xf>
    <xf numFmtId="0" fontId="4" fillId="3" borderId="7" xfId="0" applyFont="1" applyFill="1" applyBorder="1" applyAlignment="1">
      <alignment horizontal="left" vertical="top"/>
    </xf>
    <xf numFmtId="0" fontId="8" fillId="3" borderId="7" xfId="0" applyFont="1" applyFill="1" applyBorder="1" applyAlignment="1">
      <alignment horizontal="center" vertical="top"/>
    </xf>
    <xf numFmtId="4" fontId="10" fillId="3" borderId="7" xfId="0" applyNumberFormat="1" applyFont="1" applyFill="1" applyBorder="1" applyAlignment="1">
      <alignment horizontal="center" vertical="top"/>
    </xf>
    <xf numFmtId="39" fontId="8" fillId="3" borderId="7" xfId="0" applyNumberFormat="1" applyFont="1" applyFill="1" applyBorder="1" applyAlignment="1">
      <alignment vertical="top"/>
    </xf>
    <xf numFmtId="0" fontId="9" fillId="3" borderId="7" xfId="0" applyFont="1" applyFill="1" applyBorder="1" applyAlignment="1">
      <alignment horizontal="center" vertical="top"/>
    </xf>
    <xf numFmtId="4" fontId="4" fillId="3" borderId="7" xfId="0" applyNumberFormat="1" applyFont="1" applyFill="1" applyBorder="1" applyAlignment="1">
      <alignment horizontal="right" vertical="top"/>
    </xf>
    <xf numFmtId="8" fontId="0" fillId="27" borderId="1" xfId="0" applyNumberFormat="1" applyFill="1" applyBorder="1" applyAlignment="1">
      <alignment horizontal="right"/>
    </xf>
    <xf numFmtId="39" fontId="8" fillId="3" borderId="0" xfId="0" applyNumberFormat="1" applyFont="1" applyFill="1" applyAlignment="1">
      <alignment horizontal="right"/>
    </xf>
    <xf numFmtId="39" fontId="11" fillId="3" borderId="0" xfId="0" applyNumberFormat="1" applyFont="1" applyFill="1" applyAlignment="1">
      <alignment horizontal="left"/>
    </xf>
    <xf numFmtId="0" fontId="51" fillId="9" borderId="25" xfId="0" applyFont="1" applyFill="1" applyBorder="1" applyAlignment="1">
      <alignment horizontal="center" vertical="center"/>
    </xf>
    <xf numFmtId="0" fontId="47" fillId="3" borderId="27" xfId="0" applyFont="1" applyFill="1" applyBorder="1" applyAlignment="1">
      <alignment vertical="center"/>
    </xf>
    <xf numFmtId="0" fontId="47" fillId="3" borderId="27" xfId="0" applyFont="1" applyFill="1" applyBorder="1"/>
    <xf numFmtId="39" fontId="106" fillId="3" borderId="0" xfId="0" applyNumberFormat="1" applyFont="1" applyFill="1"/>
    <xf numFmtId="0" fontId="146" fillId="0" borderId="0" xfId="0" applyFont="1" applyAlignment="1">
      <alignment horizontal="center"/>
    </xf>
    <xf numFmtId="0" fontId="47" fillId="3" borderId="7" xfId="0" applyFont="1" applyFill="1" applyBorder="1"/>
    <xf numFmtId="39" fontId="47" fillId="3" borderId="0" xfId="0" applyNumberFormat="1" applyFont="1" applyFill="1"/>
    <xf numFmtId="0" fontId="9" fillId="3" borderId="1" xfId="0" applyFont="1" applyFill="1" applyBorder="1" applyAlignment="1">
      <alignment horizontal="center"/>
    </xf>
    <xf numFmtId="39" fontId="47" fillId="3" borderId="1" xfId="0" applyNumberFormat="1" applyFont="1" applyFill="1" applyBorder="1"/>
    <xf numFmtId="39" fontId="6" fillId="3" borderId="1" xfId="0" applyNumberFormat="1" applyFont="1" applyFill="1" applyBorder="1"/>
    <xf numFmtId="39" fontId="8" fillId="3" borderId="1" xfId="0" applyNumberFormat="1" applyFont="1" applyFill="1" applyBorder="1"/>
    <xf numFmtId="172" fontId="8" fillId="3" borderId="0" xfId="0" applyNumberFormat="1" applyFont="1" applyFill="1"/>
    <xf numFmtId="39" fontId="4" fillId="3" borderId="0" xfId="0" quotePrefix="1" applyNumberFormat="1" applyFont="1" applyFill="1" applyAlignment="1">
      <alignment horizontal="center"/>
    </xf>
    <xf numFmtId="39" fontId="8" fillId="3" borderId="0" xfId="0" applyNumberFormat="1" applyFont="1" applyFill="1" applyAlignment="1">
      <alignment horizontal="right" indent="1"/>
    </xf>
    <xf numFmtId="39" fontId="10" fillId="3" borderId="0" xfId="0" applyNumberFormat="1" applyFont="1" applyFill="1" applyAlignment="1">
      <alignment horizontal="left"/>
    </xf>
    <xf numFmtId="39" fontId="9" fillId="3" borderId="0" xfId="0" applyNumberFormat="1" applyFont="1" applyFill="1" applyAlignment="1">
      <alignment horizontal="right" indent="1"/>
    </xf>
    <xf numFmtId="39" fontId="4" fillId="3" borderId="0" xfId="0" applyNumberFormat="1" applyFont="1" applyFill="1" applyAlignment="1">
      <alignment horizontal="right"/>
    </xf>
    <xf numFmtId="37" fontId="10" fillId="3" borderId="0" xfId="0" applyNumberFormat="1" applyFont="1" applyFill="1" applyAlignment="1">
      <alignment horizontal="right"/>
    </xf>
    <xf numFmtId="1" fontId="121" fillId="10" borderId="0" xfId="0" applyNumberFormat="1" applyFont="1" applyFill="1" applyAlignment="1">
      <alignment horizontal="center" vertical="center"/>
    </xf>
    <xf numFmtId="39" fontId="89" fillId="3" borderId="0" xfId="0" applyNumberFormat="1" applyFont="1" applyFill="1"/>
    <xf numFmtId="39" fontId="65" fillId="3" borderId="0" xfId="0" applyNumberFormat="1" applyFont="1" applyFill="1" applyAlignment="1">
      <alignment horizontal="left"/>
    </xf>
    <xf numFmtId="39" fontId="4" fillId="3" borderId="4" xfId="0" applyNumberFormat="1" applyFont="1" applyFill="1" applyBorder="1"/>
    <xf numFmtId="39" fontId="9" fillId="3" borderId="4" xfId="0" applyNumberFormat="1" applyFont="1" applyFill="1" applyBorder="1"/>
    <xf numFmtId="39" fontId="9" fillId="3" borderId="4" xfId="0" applyNumberFormat="1" applyFont="1" applyFill="1" applyBorder="1" applyAlignment="1">
      <alignment horizontal="right"/>
    </xf>
    <xf numFmtId="0" fontId="9" fillId="3" borderId="28" xfId="0" applyFont="1" applyFill="1" applyBorder="1" applyAlignment="1">
      <alignment horizontal="center"/>
    </xf>
    <xf numFmtId="0" fontId="52" fillId="3" borderId="0" xfId="0" applyFont="1" applyFill="1" applyAlignment="1">
      <alignment vertical="center"/>
    </xf>
    <xf numFmtId="0" fontId="6" fillId="3" borderId="24" xfId="0" applyFont="1" applyFill="1" applyBorder="1" applyAlignment="1">
      <alignment horizontal="left"/>
    </xf>
    <xf numFmtId="0" fontId="9" fillId="3" borderId="15" xfId="0" applyFont="1" applyFill="1" applyBorder="1" applyAlignment="1">
      <alignment horizontal="center"/>
    </xf>
    <xf numFmtId="0" fontId="9" fillId="14" borderId="30" xfId="0" applyFont="1" applyFill="1" applyBorder="1" applyAlignment="1">
      <alignment horizontal="center"/>
    </xf>
    <xf numFmtId="0" fontId="9" fillId="14" borderId="3" xfId="0" applyFont="1" applyFill="1" applyBorder="1" applyAlignment="1">
      <alignment horizontal="center"/>
    </xf>
    <xf numFmtId="4" fontId="8" fillId="3" borderId="0" xfId="0" applyNumberFormat="1" applyFont="1" applyFill="1" applyAlignment="1">
      <alignment vertical="center"/>
    </xf>
    <xf numFmtId="39" fontId="8" fillId="3" borderId="0" xfId="0" applyNumberFormat="1" applyFont="1" applyFill="1" applyAlignment="1">
      <alignment vertical="center"/>
    </xf>
    <xf numFmtId="0" fontId="10" fillId="3" borderId="5" xfId="0" applyFont="1" applyFill="1" applyBorder="1" applyAlignment="1">
      <alignment horizontal="left" vertical="center"/>
    </xf>
    <xf numFmtId="4" fontId="8" fillId="3" borderId="0" xfId="0" applyNumberFormat="1" applyFont="1" applyFill="1" applyAlignment="1">
      <alignment horizontal="right" vertical="center"/>
    </xf>
    <xf numFmtId="0" fontId="9" fillId="3" borderId="4" xfId="0" applyFont="1" applyFill="1" applyBorder="1" applyAlignment="1">
      <alignment horizontal="right"/>
    </xf>
    <xf numFmtId="39" fontId="8" fillId="3" borderId="0" xfId="0" applyNumberFormat="1" applyFont="1" applyFill="1" applyAlignment="1">
      <alignment horizontal="right" vertical="center"/>
    </xf>
    <xf numFmtId="0" fontId="4" fillId="3" borderId="7" xfId="0" applyFont="1" applyFill="1" applyBorder="1" applyAlignment="1">
      <alignment horizontal="right" vertical="center"/>
    </xf>
    <xf numFmtId="0" fontId="9" fillId="5" borderId="0" xfId="0" applyFont="1" applyFill="1"/>
    <xf numFmtId="4" fontId="8" fillId="5" borderId="0" xfId="0" applyNumberFormat="1" applyFont="1" applyFill="1"/>
    <xf numFmtId="39" fontId="8" fillId="5" borderId="0" xfId="0" applyNumberFormat="1" applyFont="1" applyFill="1" applyAlignment="1">
      <alignment horizontal="right"/>
    </xf>
    <xf numFmtId="4" fontId="8" fillId="0" borderId="0" xfId="0" applyNumberFormat="1" applyFont="1" applyAlignment="1">
      <alignment horizontal="left"/>
    </xf>
    <xf numFmtId="39" fontId="8" fillId="0" borderId="0" xfId="0" applyNumberFormat="1" applyFont="1" applyAlignment="1">
      <alignment horizontal="right"/>
    </xf>
    <xf numFmtId="39" fontId="8" fillId="0" borderId="0" xfId="0" applyNumberFormat="1" applyFont="1" applyAlignment="1">
      <alignment horizontal="center"/>
    </xf>
    <xf numFmtId="4" fontId="8" fillId="0" borderId="0" xfId="0" applyNumberFormat="1" applyFont="1" applyAlignment="1">
      <alignment horizontal="left" vertical="center"/>
    </xf>
    <xf numFmtId="39" fontId="8" fillId="0" borderId="0" xfId="0" applyNumberFormat="1" applyFont="1" applyAlignment="1">
      <alignment horizontal="right" vertical="center"/>
    </xf>
    <xf numFmtId="182" fontId="112" fillId="15" borderId="0" xfId="0" applyNumberFormat="1" applyFont="1" applyFill="1" applyAlignment="1">
      <alignment horizontal="center"/>
    </xf>
    <xf numFmtId="3" fontId="6" fillId="15" borderId="168" xfId="0" applyNumberFormat="1" applyFont="1" applyFill="1" applyBorder="1" applyAlignment="1" applyProtection="1">
      <alignment horizontal="right"/>
      <protection locked="0"/>
    </xf>
    <xf numFmtId="0" fontId="74" fillId="15" borderId="0" xfId="0" applyFont="1" applyFill="1" applyAlignment="1">
      <alignment horizontal="center" vertical="center"/>
    </xf>
    <xf numFmtId="0" fontId="10" fillId="0" borderId="24" xfId="0" applyFont="1" applyBorder="1"/>
    <xf numFmtId="0" fontId="15" fillId="15" borderId="0" xfId="0" applyFont="1" applyFill="1" applyAlignment="1">
      <alignment horizontal="right" indent="1"/>
    </xf>
    <xf numFmtId="0" fontId="10" fillId="0" borderId="0" xfId="0" applyFont="1" applyAlignment="1">
      <alignment wrapText="1"/>
    </xf>
    <xf numFmtId="0" fontId="15" fillId="15" borderId="8" xfId="0" applyFont="1" applyFill="1" applyBorder="1" applyAlignment="1">
      <alignment horizontal="left" vertical="center" wrapText="1"/>
    </xf>
    <xf numFmtId="0" fontId="15" fillId="15" borderId="0" xfId="0" applyFont="1" applyFill="1" applyAlignment="1">
      <alignment horizontal="center" vertical="center" wrapText="1"/>
    </xf>
    <xf numFmtId="0" fontId="110" fillId="0" borderId="0" xfId="0" quotePrefix="1" applyFont="1" applyAlignment="1">
      <alignment horizontal="center"/>
    </xf>
    <xf numFmtId="0" fontId="6" fillId="15" borderId="3" xfId="0" applyFont="1" applyFill="1" applyBorder="1" applyAlignment="1">
      <alignment horizontal="left" vertical="center" wrapText="1"/>
    </xf>
    <xf numFmtId="0" fontId="6" fillId="15" borderId="1" xfId="0" applyFont="1" applyFill="1" applyBorder="1" applyAlignment="1">
      <alignment horizontal="left" vertical="center" wrapText="1"/>
    </xf>
    <xf numFmtId="3" fontId="112" fillId="0" borderId="0" xfId="0" applyNumberFormat="1" applyFont="1" applyProtection="1">
      <protection locked="0"/>
    </xf>
    <xf numFmtId="0" fontId="287" fillId="23" borderId="0" xfId="0" applyFont="1" applyFill="1" applyAlignment="1">
      <alignment horizontal="center" vertical="center"/>
    </xf>
    <xf numFmtId="0" fontId="74" fillId="15" borderId="0" xfId="0" applyFont="1" applyFill="1" applyAlignment="1">
      <alignment vertical="top"/>
    </xf>
    <xf numFmtId="0" fontId="326" fillId="19" borderId="6" xfId="0" applyFont="1" applyFill="1" applyBorder="1" applyAlignment="1">
      <alignment horizontal="center"/>
    </xf>
    <xf numFmtId="0" fontId="15" fillId="15" borderId="10" xfId="0" applyFont="1" applyFill="1" applyBorder="1" applyAlignment="1">
      <alignment horizontal="center"/>
    </xf>
    <xf numFmtId="0" fontId="14" fillId="15" borderId="0" xfId="0" applyFont="1" applyFill="1" applyAlignment="1">
      <alignment wrapText="1"/>
    </xf>
    <xf numFmtId="0" fontId="14" fillId="15" borderId="15" xfId="0" applyFont="1" applyFill="1" applyBorder="1" applyAlignment="1">
      <alignment wrapText="1"/>
    </xf>
    <xf numFmtId="0" fontId="14" fillId="15" borderId="6" xfId="0" applyFont="1" applyFill="1" applyBorder="1" applyAlignment="1">
      <alignment wrapText="1"/>
    </xf>
    <xf numFmtId="0" fontId="14" fillId="15" borderId="3" xfId="0" applyFont="1" applyFill="1" applyBorder="1" applyAlignment="1">
      <alignment wrapText="1"/>
    </xf>
    <xf numFmtId="0" fontId="14" fillId="15" borderId="24" xfId="0" applyFont="1" applyFill="1" applyBorder="1" applyAlignment="1">
      <alignment wrapText="1"/>
    </xf>
    <xf numFmtId="0" fontId="15" fillId="15" borderId="0" xfId="0" quotePrefix="1" applyFont="1" applyFill="1"/>
    <xf numFmtId="0" fontId="4" fillId="15" borderId="3" xfId="0" applyFont="1" applyFill="1" applyBorder="1" applyAlignment="1">
      <alignment horizontal="right"/>
    </xf>
    <xf numFmtId="0" fontId="4" fillId="15" borderId="30" xfId="0" applyFont="1" applyFill="1" applyBorder="1" applyAlignment="1">
      <alignment horizontal="right"/>
    </xf>
    <xf numFmtId="0" fontId="4" fillId="15" borderId="14" xfId="0" applyFont="1" applyFill="1" applyBorder="1" applyAlignment="1">
      <alignment horizontal="right"/>
    </xf>
    <xf numFmtId="0" fontId="15" fillId="15" borderId="15" xfId="0" applyFont="1" applyFill="1" applyBorder="1" applyAlignment="1">
      <alignment horizontal="center"/>
    </xf>
    <xf numFmtId="0" fontId="15" fillId="15" borderId="12" xfId="0" applyFont="1" applyFill="1" applyBorder="1" applyAlignment="1">
      <alignment horizontal="center"/>
    </xf>
    <xf numFmtId="0" fontId="15" fillId="15" borderId="4" xfId="0" applyFont="1" applyFill="1" applyBorder="1"/>
    <xf numFmtId="0" fontId="4" fillId="15" borderId="4" xfId="0" applyFont="1" applyFill="1" applyBorder="1" applyAlignment="1">
      <alignment horizontal="left" indent="1"/>
    </xf>
    <xf numFmtId="0" fontId="0" fillId="15" borderId="4" xfId="0" applyFill="1" applyBorder="1" applyAlignment="1">
      <alignment horizontal="right" indent="1"/>
    </xf>
    <xf numFmtId="0" fontId="15" fillId="15" borderId="51" xfId="0" applyFont="1" applyFill="1" applyBorder="1" applyAlignment="1">
      <alignment horizontal="center"/>
    </xf>
    <xf numFmtId="0" fontId="20" fillId="15" borderId="1" xfId="0" applyFont="1" applyFill="1" applyBorder="1" applyAlignment="1">
      <alignment horizontal="left" vertical="center"/>
    </xf>
    <xf numFmtId="37" fontId="0" fillId="0" borderId="0" xfId="0" applyNumberFormat="1" applyAlignment="1">
      <alignment horizontal="right"/>
    </xf>
    <xf numFmtId="0" fontId="23" fillId="15" borderId="0" xfId="0" applyFont="1" applyFill="1" applyAlignment="1">
      <alignment horizontal="right" vertical="center"/>
    </xf>
    <xf numFmtId="0" fontId="15" fillId="15" borderId="7" xfId="0" applyFont="1" applyFill="1" applyBorder="1" applyAlignment="1">
      <alignment horizontal="left" vertical="center"/>
    </xf>
    <xf numFmtId="0" fontId="47" fillId="15" borderId="7" xfId="0" applyFont="1" applyFill="1" applyBorder="1" applyAlignment="1">
      <alignment horizontal="right" vertical="center"/>
    </xf>
    <xf numFmtId="0" fontId="15" fillId="15" borderId="7" xfId="0" applyFont="1" applyFill="1" applyBorder="1" applyAlignment="1">
      <alignment vertical="center"/>
    </xf>
    <xf numFmtId="0" fontId="47" fillId="15" borderId="7" xfId="0" applyFont="1" applyFill="1" applyBorder="1" applyAlignment="1">
      <alignment vertical="center"/>
    </xf>
    <xf numFmtId="0" fontId="47" fillId="15" borderId="7" xfId="0" applyFont="1" applyFill="1" applyBorder="1" applyAlignment="1">
      <alignment horizontal="center" vertical="center"/>
    </xf>
    <xf numFmtId="0" fontId="6" fillId="15" borderId="7" xfId="0" applyFont="1" applyFill="1" applyBorder="1" applyAlignment="1">
      <alignment horizontal="center" vertical="center"/>
    </xf>
    <xf numFmtId="0" fontId="47" fillId="15" borderId="13" xfId="0" applyFont="1" applyFill="1" applyBorder="1" applyAlignment="1">
      <alignment horizontal="left"/>
    </xf>
    <xf numFmtId="0" fontId="4" fillId="15" borderId="13" xfId="0" applyFont="1" applyFill="1" applyBorder="1"/>
    <xf numFmtId="0" fontId="10" fillId="15" borderId="13" xfId="0" applyFont="1" applyFill="1" applyBorder="1"/>
    <xf numFmtId="0" fontId="47" fillId="15" borderId="13" xfId="0" applyFont="1" applyFill="1" applyBorder="1" applyAlignment="1">
      <alignment horizontal="right"/>
    </xf>
    <xf numFmtId="0" fontId="11" fillId="15" borderId="34" xfId="0" applyFont="1" applyFill="1" applyBorder="1" applyAlignment="1">
      <alignment horizontal="left"/>
    </xf>
    <xf numFmtId="0" fontId="20" fillId="15" borderId="34" xfId="0" applyFont="1" applyFill="1" applyBorder="1" applyAlignment="1">
      <alignment horizontal="left" vertical="center"/>
    </xf>
    <xf numFmtId="0" fontId="15" fillId="19" borderId="6" xfId="0" applyFont="1" applyFill="1" applyBorder="1" applyAlignment="1">
      <alignment horizontal="center"/>
    </xf>
    <xf numFmtId="37" fontId="123" fillId="15" borderId="3" xfId="0" applyNumberFormat="1" applyFont="1" applyFill="1" applyBorder="1"/>
    <xf numFmtId="37" fontId="123" fillId="15" borderId="0" xfId="0" applyNumberFormat="1" applyFont="1" applyFill="1"/>
    <xf numFmtId="0" fontId="4" fillId="15" borderId="4" xfId="0" applyFont="1" applyFill="1" applyBorder="1"/>
    <xf numFmtId="0" fontId="4" fillId="15" borderId="7" xfId="0" applyFont="1" applyFill="1" applyBorder="1" applyAlignment="1">
      <alignment horizontal="left" vertical="center"/>
    </xf>
    <xf numFmtId="0" fontId="4" fillId="15" borderId="7" xfId="0" applyFont="1" applyFill="1" applyBorder="1" applyAlignment="1">
      <alignment vertical="center"/>
    </xf>
    <xf numFmtId="0" fontId="10" fillId="15" borderId="7" xfId="0" applyFont="1" applyFill="1" applyBorder="1" applyAlignment="1">
      <alignment vertical="center"/>
    </xf>
    <xf numFmtId="0" fontId="10" fillId="15" borderId="7" xfId="0" applyFont="1" applyFill="1" applyBorder="1" applyAlignment="1">
      <alignment horizontal="center" vertical="center"/>
    </xf>
    <xf numFmtId="0" fontId="67" fillId="0" borderId="0" xfId="2" applyBorder="1" applyAlignment="1" applyProtection="1">
      <alignment vertical="center"/>
    </xf>
    <xf numFmtId="0" fontId="166" fillId="15" borderId="0" xfId="0" applyFont="1" applyFill="1"/>
    <xf numFmtId="0" fontId="245" fillId="15" borderId="0" xfId="0" applyFont="1" applyFill="1"/>
    <xf numFmtId="0" fontId="210" fillId="15" borderId="0" xfId="0" applyFont="1" applyFill="1" applyAlignment="1">
      <alignment horizontal="left"/>
    </xf>
    <xf numFmtId="0" fontId="0" fillId="8" borderId="0" xfId="0" applyFill="1"/>
    <xf numFmtId="0" fontId="106" fillId="2" borderId="0" xfId="0" applyFont="1" applyFill="1" applyAlignment="1">
      <alignment vertical="center"/>
    </xf>
    <xf numFmtId="0" fontId="121" fillId="8" borderId="0" xfId="0" applyFont="1" applyFill="1" applyAlignment="1">
      <alignment horizontal="center"/>
    </xf>
    <xf numFmtId="0" fontId="121" fillId="8" borderId="0" xfId="0" applyFont="1" applyFill="1" applyAlignment="1">
      <alignment horizontal="center" vertical="center"/>
    </xf>
    <xf numFmtId="0" fontId="10" fillId="2" borderId="4" xfId="0" applyFont="1" applyFill="1" applyBorder="1" applyAlignment="1">
      <alignment horizontal="left" vertical="top"/>
    </xf>
    <xf numFmtId="0" fontId="121" fillId="8" borderId="0" xfId="0" applyFont="1" applyFill="1" applyAlignment="1">
      <alignment horizontal="center" vertical="top"/>
    </xf>
    <xf numFmtId="0" fontId="73" fillId="2" borderId="0" xfId="0" applyFont="1" applyFill="1" applyAlignment="1">
      <alignment horizontal="left" vertical="top"/>
    </xf>
    <xf numFmtId="0" fontId="0" fillId="2" borderId="0" xfId="0" applyFill="1" applyAlignment="1">
      <alignment vertical="top"/>
    </xf>
    <xf numFmtId="0" fontId="15" fillId="15" borderId="5" xfId="0" quotePrefix="1" applyFont="1" applyFill="1" applyBorder="1" applyAlignment="1">
      <alignment horizontal="right"/>
    </xf>
    <xf numFmtId="0" fontId="15" fillId="15" borderId="20" xfId="0" quotePrefix="1" applyFont="1" applyFill="1" applyBorder="1" applyAlignment="1">
      <alignment horizontal="right"/>
    </xf>
    <xf numFmtId="0" fontId="4" fillId="2" borderId="0" xfId="0" applyFont="1" applyFill="1" applyAlignment="1">
      <alignment vertical="center"/>
    </xf>
    <xf numFmtId="0" fontId="163" fillId="8" borderId="0" xfId="0" applyFont="1" applyFill="1" applyAlignment="1">
      <alignment horizontal="center"/>
    </xf>
    <xf numFmtId="37" fontId="112" fillId="15" borderId="0" xfId="0" applyNumberFormat="1" applyFont="1" applyFill="1"/>
    <xf numFmtId="0" fontId="110" fillId="15" borderId="5" xfId="0" applyFont="1" applyFill="1" applyBorder="1"/>
    <xf numFmtId="0" fontId="0" fillId="2" borderId="24" xfId="0" applyFill="1" applyBorder="1" applyAlignment="1">
      <alignment vertical="center"/>
    </xf>
    <xf numFmtId="0" fontId="9" fillId="15" borderId="5" xfId="0" applyFont="1" applyFill="1" applyBorder="1" applyAlignment="1">
      <alignment vertical="center" wrapText="1"/>
    </xf>
    <xf numFmtId="0" fontId="0" fillId="0" borderId="20" xfId="0" applyBorder="1" applyAlignment="1">
      <alignment wrapText="1"/>
    </xf>
    <xf numFmtId="0" fontId="29" fillId="2" borderId="0" xfId="0" applyFont="1" applyFill="1" applyAlignment="1">
      <alignment horizontal="left"/>
    </xf>
    <xf numFmtId="0" fontId="9" fillId="2" borderId="0" xfId="0" applyFont="1" applyFill="1" applyAlignment="1">
      <alignment horizontal="left"/>
    </xf>
    <xf numFmtId="0" fontId="112" fillId="15" borderId="5" xfId="0" applyFont="1" applyFill="1" applyBorder="1"/>
    <xf numFmtId="0" fontId="9" fillId="15" borderId="5" xfId="0" applyFont="1" applyFill="1" applyBorder="1"/>
    <xf numFmtId="0" fontId="121" fillId="8" borderId="20" xfId="0" applyFont="1" applyFill="1" applyBorder="1" applyAlignment="1">
      <alignment vertical="top" wrapText="1"/>
    </xf>
    <xf numFmtId="0" fontId="36" fillId="15" borderId="5" xfId="0" applyFont="1" applyFill="1" applyBorder="1" applyAlignment="1">
      <alignment horizontal="center"/>
    </xf>
    <xf numFmtId="0" fontId="6" fillId="8" borderId="0" xfId="0" applyFont="1" applyFill="1"/>
    <xf numFmtId="0" fontId="168" fillId="31" borderId="27" xfId="0" applyFont="1" applyFill="1" applyBorder="1" applyAlignment="1">
      <alignment horizontal="left" vertical="center"/>
    </xf>
    <xf numFmtId="0" fontId="116" fillId="31" borderId="27" xfId="0" applyFont="1" applyFill="1" applyBorder="1" applyAlignment="1">
      <alignment vertical="center"/>
    </xf>
    <xf numFmtId="0" fontId="15" fillId="2" borderId="27" xfId="0" applyFont="1" applyFill="1" applyBorder="1" applyAlignment="1">
      <alignment horizontal="left" vertical="center" indent="1"/>
    </xf>
    <xf numFmtId="0" fontId="0" fillId="2" borderId="27" xfId="0" applyFill="1" applyBorder="1" applyAlignment="1">
      <alignment vertical="center"/>
    </xf>
    <xf numFmtId="0" fontId="4" fillId="2" borderId="15" xfId="0" quotePrefix="1" applyFont="1" applyFill="1" applyBorder="1" applyAlignment="1">
      <alignment horizontal="center" vertical="center"/>
    </xf>
    <xf numFmtId="0" fontId="4" fillId="43" borderId="0" xfId="0" applyFont="1" applyFill="1"/>
    <xf numFmtId="0" fontId="4" fillId="2" borderId="0" xfId="0" applyFont="1" applyFill="1" applyAlignment="1">
      <alignment horizontal="right" vertical="center"/>
    </xf>
    <xf numFmtId="0" fontId="4" fillId="2" borderId="10" xfId="0" quotePrefix="1" applyFont="1" applyFill="1" applyBorder="1" applyAlignment="1">
      <alignment horizontal="center" vertical="center"/>
    </xf>
    <xf numFmtId="0" fontId="4" fillId="2" borderId="9" xfId="0" applyFont="1" applyFill="1" applyBorder="1" applyAlignment="1">
      <alignment horizontal="center" vertical="center"/>
    </xf>
    <xf numFmtId="0" fontId="0" fillId="2" borderId="6" xfId="0" applyFill="1" applyBorder="1"/>
    <xf numFmtId="0" fontId="36" fillId="15" borderId="21" xfId="0" applyFont="1" applyFill="1" applyBorder="1" applyAlignment="1">
      <alignment horizontal="center"/>
    </xf>
    <xf numFmtId="0" fontId="4" fillId="2" borderId="9" xfId="0" applyFont="1" applyFill="1" applyBorder="1" applyAlignment="1">
      <alignment horizontal="center"/>
    </xf>
    <xf numFmtId="0" fontId="4" fillId="2" borderId="123" xfId="0" applyFont="1" applyFill="1" applyBorder="1" applyAlignment="1">
      <alignment horizontal="center"/>
    </xf>
    <xf numFmtId="0" fontId="0" fillId="8" borderId="6" xfId="0" applyFill="1" applyBorder="1"/>
    <xf numFmtId="4" fontId="110" fillId="2" borderId="3" xfId="0" applyNumberFormat="1" applyFont="1" applyFill="1" applyBorder="1" applyAlignment="1">
      <alignment horizontal="center"/>
    </xf>
    <xf numFmtId="0" fontId="6" fillId="2" borderId="0" xfId="0" applyFont="1" applyFill="1" applyAlignment="1">
      <alignment horizontal="right" vertical="center"/>
    </xf>
    <xf numFmtId="0" fontId="6" fillId="2" borderId="0" xfId="0" applyFont="1" applyFill="1" applyAlignment="1">
      <alignment horizontal="left" vertical="center"/>
    </xf>
    <xf numFmtId="0" fontId="125" fillId="2" borderId="0" xfId="0" applyFont="1" applyFill="1" applyAlignment="1">
      <alignment horizontal="right" vertical="center"/>
    </xf>
    <xf numFmtId="0" fontId="6" fillId="15" borderId="5" xfId="0" applyFont="1" applyFill="1" applyBorder="1" applyAlignment="1">
      <alignment vertical="center"/>
    </xf>
    <xf numFmtId="0" fontId="6" fillId="15" borderId="20" xfId="0" applyFont="1" applyFill="1" applyBorder="1" applyAlignment="1">
      <alignment vertical="center" wrapText="1"/>
    </xf>
    <xf numFmtId="4" fontId="22" fillId="2" borderId="0" xfId="0" applyNumberFormat="1" applyFont="1" applyFill="1" applyAlignment="1">
      <alignment horizontal="right"/>
    </xf>
    <xf numFmtId="0" fontId="36" fillId="2" borderId="0" xfId="0" applyFont="1" applyFill="1" applyAlignment="1">
      <alignment horizontal="center"/>
    </xf>
    <xf numFmtId="0" fontId="106" fillId="2" borderId="0" xfId="0" applyFont="1" applyFill="1" applyAlignment="1">
      <alignment horizontal="center"/>
    </xf>
    <xf numFmtId="0" fontId="106" fillId="0" borderId="0" xfId="0" applyFont="1" applyAlignment="1">
      <alignment horizontal="center"/>
    </xf>
    <xf numFmtId="0" fontId="57" fillId="2" borderId="3" xfId="0" applyFont="1" applyFill="1" applyBorder="1" applyAlignment="1">
      <alignment horizontal="center"/>
    </xf>
    <xf numFmtId="0" fontId="6" fillId="2" borderId="27" xfId="0" applyFont="1" applyFill="1" applyBorder="1" applyAlignment="1">
      <alignment horizontal="left" vertical="center" indent="1"/>
    </xf>
    <xf numFmtId="0" fontId="6" fillId="2" borderId="27" xfId="0" applyFont="1" applyFill="1" applyBorder="1" applyAlignment="1">
      <alignment vertical="center"/>
    </xf>
    <xf numFmtId="0" fontId="143" fillId="8" borderId="0" xfId="0" applyFont="1" applyFill="1" applyAlignment="1">
      <alignment vertical="top" wrapText="1"/>
    </xf>
    <xf numFmtId="0" fontId="6" fillId="2" borderId="0" xfId="0" quotePrefix="1" applyFont="1" applyFill="1" applyAlignment="1">
      <alignment horizontal="left" vertical="center" indent="1"/>
    </xf>
    <xf numFmtId="0" fontId="10" fillId="15" borderId="21" xfId="0" applyFont="1" applyFill="1" applyBorder="1" applyAlignment="1">
      <alignment vertical="top" wrapText="1"/>
    </xf>
    <xf numFmtId="0" fontId="10" fillId="15" borderId="4" xfId="0" applyFont="1" applyFill="1" applyBorder="1" applyAlignment="1">
      <alignment vertical="top" wrapText="1"/>
    </xf>
    <xf numFmtId="0" fontId="10" fillId="15" borderId="22" xfId="0" applyFont="1" applyFill="1" applyBorder="1" applyAlignment="1">
      <alignment vertical="top" wrapText="1"/>
    </xf>
    <xf numFmtId="0" fontId="112" fillId="2" borderId="0" xfId="0" applyFont="1" applyFill="1" applyAlignment="1">
      <alignment vertical="center"/>
    </xf>
    <xf numFmtId="0" fontId="0" fillId="5" borderId="65" xfId="0" applyFill="1" applyBorder="1"/>
    <xf numFmtId="0" fontId="0" fillId="2" borderId="120" xfId="0" applyFill="1" applyBorder="1"/>
    <xf numFmtId="0" fontId="9" fillId="2" borderId="120" xfId="0" applyFont="1" applyFill="1" applyBorder="1" applyAlignment="1">
      <alignment horizontal="left"/>
    </xf>
    <xf numFmtId="0" fontId="4" fillId="2" borderId="120" xfId="0" applyFont="1" applyFill="1" applyBorder="1" applyAlignment="1">
      <alignment horizontal="center"/>
    </xf>
    <xf numFmtId="0" fontId="10" fillId="2" borderId="120" xfId="0" applyFont="1" applyFill="1" applyBorder="1" applyAlignment="1">
      <alignment horizontal="left"/>
    </xf>
    <xf numFmtId="0" fontId="10" fillId="2" borderId="120" xfId="0" applyFont="1" applyFill="1" applyBorder="1" applyAlignment="1">
      <alignment horizontal="center"/>
    </xf>
    <xf numFmtId="0" fontId="112" fillId="2" borderId="120" xfId="0" applyFont="1" applyFill="1" applyBorder="1"/>
    <xf numFmtId="0" fontId="10" fillId="2" borderId="120" xfId="0" applyFont="1" applyFill="1" applyBorder="1" applyAlignment="1">
      <alignment horizontal="right"/>
    </xf>
    <xf numFmtId="0" fontId="10" fillId="2" borderId="4" xfId="0" applyFont="1" applyFill="1" applyBorder="1" applyAlignment="1">
      <alignment horizontal="right"/>
    </xf>
    <xf numFmtId="0" fontId="4" fillId="2" borderId="4" xfId="0" applyFont="1" applyFill="1" applyBorder="1" applyAlignment="1">
      <alignment horizontal="left"/>
    </xf>
    <xf numFmtId="0" fontId="8" fillId="2" borderId="4" xfId="0" applyFont="1" applyFill="1" applyBorder="1" applyAlignment="1">
      <alignment horizontal="right"/>
    </xf>
    <xf numFmtId="0" fontId="8" fillId="2" borderId="4" xfId="0" applyFont="1" applyFill="1" applyBorder="1" applyAlignment="1">
      <alignment horizontal="right" indent="1"/>
    </xf>
    <xf numFmtId="0" fontId="11" fillId="2" borderId="27" xfId="0" applyFont="1" applyFill="1" applyBorder="1" applyAlignment="1">
      <alignment horizontal="left" vertical="center" indent="1"/>
    </xf>
    <xf numFmtId="0" fontId="47" fillId="2" borderId="27" xfId="0" applyFont="1" applyFill="1" applyBorder="1" applyAlignment="1">
      <alignment vertical="center"/>
    </xf>
    <xf numFmtId="0" fontId="0" fillId="8" borderId="15" xfId="0" applyFill="1" applyBorder="1"/>
    <xf numFmtId="0" fontId="0" fillId="8" borderId="10" xfId="0" applyFill="1" applyBorder="1"/>
    <xf numFmtId="0" fontId="0" fillId="2" borderId="15" xfId="0" applyFill="1" applyBorder="1"/>
    <xf numFmtId="185" fontId="180" fillId="2" borderId="3" xfId="0" applyNumberFormat="1" applyFont="1" applyFill="1" applyBorder="1" applyAlignment="1">
      <alignment horizontal="center"/>
    </xf>
    <xf numFmtId="185" fontId="180" fillId="15" borderId="24" xfId="0" applyNumberFormat="1" applyFont="1" applyFill="1" applyBorder="1" applyAlignment="1">
      <alignment horizontal="center"/>
    </xf>
    <xf numFmtId="185" fontId="180" fillId="15" borderId="0" xfId="0" applyNumberFormat="1" applyFont="1" applyFill="1" applyAlignment="1">
      <alignment horizontal="center"/>
    </xf>
    <xf numFmtId="0" fontId="4" fillId="0" borderId="15" xfId="0" applyFont="1" applyBorder="1" applyAlignment="1">
      <alignment horizontal="center"/>
    </xf>
    <xf numFmtId="2" fontId="116" fillId="15" borderId="24" xfId="0" applyNumberFormat="1" applyFont="1" applyFill="1" applyBorder="1" applyAlignment="1">
      <alignment horizontal="center"/>
    </xf>
    <xf numFmtId="0" fontId="9" fillId="15" borderId="0" xfId="0" applyFont="1" applyFill="1" applyAlignment="1">
      <alignment vertical="center"/>
    </xf>
    <xf numFmtId="14" fontId="6" fillId="2" borderId="6" xfId="0" applyNumberFormat="1" applyFont="1" applyFill="1" applyBorder="1" applyAlignment="1">
      <alignment horizontal="center" wrapText="1"/>
    </xf>
    <xf numFmtId="0" fontId="6" fillId="2" borderId="6" xfId="0" applyFont="1" applyFill="1" applyBorder="1" applyAlignment="1">
      <alignment horizontal="center" wrapText="1"/>
    </xf>
    <xf numFmtId="0" fontId="4" fillId="2" borderId="10" xfId="0" applyFont="1" applyFill="1" applyBorder="1" applyAlignment="1">
      <alignment horizontal="right" vertical="center"/>
    </xf>
    <xf numFmtId="0" fontId="12" fillId="17" borderId="0" xfId="0" quotePrefix="1" applyFont="1" applyFill="1"/>
    <xf numFmtId="0" fontId="167" fillId="15" borderId="12" xfId="0" applyFont="1" applyFill="1" applyBorder="1" applyAlignment="1">
      <alignment vertical="center"/>
    </xf>
    <xf numFmtId="0" fontId="112" fillId="15" borderId="24" xfId="0" applyFont="1" applyFill="1" applyBorder="1" applyAlignment="1">
      <alignment vertical="center"/>
    </xf>
    <xf numFmtId="0" fontId="146" fillId="2" borderId="3" xfId="0" applyFont="1" applyFill="1" applyBorder="1"/>
    <xf numFmtId="0" fontId="10" fillId="15" borderId="24" xfId="0" applyFont="1" applyFill="1" applyBorder="1" applyAlignment="1">
      <alignment vertical="center"/>
    </xf>
    <xf numFmtId="0" fontId="0" fillId="2" borderId="6" xfId="0" applyFill="1" applyBorder="1" applyAlignment="1">
      <alignment vertical="top"/>
    </xf>
    <xf numFmtId="0" fontId="4" fillId="2" borderId="6" xfId="0" applyFont="1" applyFill="1" applyBorder="1" applyAlignment="1">
      <alignment horizontal="right" vertical="center"/>
    </xf>
    <xf numFmtId="0" fontId="40" fillId="15" borderId="8" xfId="0" applyFont="1" applyFill="1" applyBorder="1" applyAlignment="1">
      <alignment vertical="center"/>
    </xf>
    <xf numFmtId="0" fontId="40" fillId="15" borderId="1" xfId="0" applyFont="1" applyFill="1" applyBorder="1" applyAlignment="1">
      <alignment vertical="center"/>
    </xf>
    <xf numFmtId="0" fontId="0" fillId="35" borderId="1" xfId="0" applyFill="1" applyBorder="1" applyAlignment="1">
      <alignment vertical="top"/>
    </xf>
    <xf numFmtId="0" fontId="0" fillId="8" borderId="3" xfId="0" applyFill="1" applyBorder="1"/>
    <xf numFmtId="0" fontId="0" fillId="8" borderId="24" xfId="0" applyFill="1" applyBorder="1"/>
    <xf numFmtId="0" fontId="0" fillId="8" borderId="9" xfId="0" applyFill="1" applyBorder="1"/>
    <xf numFmtId="0" fontId="0" fillId="8" borderId="11" xfId="0" applyFill="1" applyBorder="1"/>
    <xf numFmtId="0" fontId="0" fillId="8" borderId="39" xfId="0" applyFill="1" applyBorder="1"/>
    <xf numFmtId="0" fontId="0" fillId="8" borderId="54" xfId="0" applyFill="1" applyBorder="1"/>
    <xf numFmtId="0" fontId="0" fillId="8" borderId="30" xfId="0" applyFill="1" applyBorder="1"/>
    <xf numFmtId="0" fontId="0" fillId="8" borderId="14" xfId="0" applyFill="1" applyBorder="1"/>
    <xf numFmtId="0" fontId="0" fillId="8" borderId="8" xfId="0" applyFill="1" applyBorder="1"/>
    <xf numFmtId="0" fontId="0" fillId="8" borderId="1" xfId="0" applyFill="1" applyBorder="1"/>
    <xf numFmtId="0" fontId="14" fillId="2" borderId="8" xfId="0" applyFont="1" applyFill="1" applyBorder="1" applyAlignment="1">
      <alignment vertical="center"/>
    </xf>
    <xf numFmtId="0" fontId="6" fillId="2" borderId="8" xfId="0" applyFont="1" applyFill="1" applyBorder="1" applyAlignment="1">
      <alignment vertical="center"/>
    </xf>
    <xf numFmtId="0" fontId="15" fillId="2" borderId="0" xfId="0" applyFont="1" applyFill="1" applyAlignment="1">
      <alignment horizontal="center" vertical="center"/>
    </xf>
    <xf numFmtId="0" fontId="4" fillId="2" borderId="10" xfId="0" applyFont="1" applyFill="1" applyBorder="1" applyAlignment="1">
      <alignment horizontal="center"/>
    </xf>
    <xf numFmtId="0" fontId="0" fillId="2" borderId="156" xfId="0" applyFill="1" applyBorder="1"/>
    <xf numFmtId="0" fontId="10" fillId="2" borderId="120" xfId="0" applyFont="1" applyFill="1" applyBorder="1" applyAlignment="1">
      <alignment horizontal="left" vertical="center"/>
    </xf>
    <xf numFmtId="1" fontId="110" fillId="15" borderId="0" xfId="0" applyNumberFormat="1" applyFont="1" applyFill="1"/>
    <xf numFmtId="0" fontId="11" fillId="15" borderId="30" xfId="0" applyFont="1" applyFill="1" applyBorder="1" applyAlignment="1">
      <alignment vertical="center"/>
    </xf>
    <xf numFmtId="183" fontId="110" fillId="15" borderId="0" xfId="0" applyNumberFormat="1" applyFont="1" applyFill="1" applyAlignment="1">
      <alignment horizontal="center"/>
    </xf>
    <xf numFmtId="0" fontId="5" fillId="15" borderId="0" xfId="0" applyFont="1" applyFill="1" applyAlignment="1">
      <alignment horizontal="right" vertical="center"/>
    </xf>
    <xf numFmtId="0" fontId="47" fillId="15" borderId="3" xfId="0" applyFont="1" applyFill="1" applyBorder="1"/>
    <xf numFmtId="0" fontId="4" fillId="15" borderId="1" xfId="0" applyFont="1" applyFill="1" applyBorder="1" applyAlignment="1">
      <alignment horizontal="left" vertical="center" wrapText="1"/>
    </xf>
    <xf numFmtId="0" fontId="15" fillId="15" borderId="30" xfId="0" applyFont="1" applyFill="1" applyBorder="1" applyAlignment="1">
      <alignment horizontal="left" vertical="center" wrapText="1"/>
    </xf>
    <xf numFmtId="0" fontId="4" fillId="15" borderId="15" xfId="0" applyFont="1" applyFill="1" applyBorder="1"/>
    <xf numFmtId="0" fontId="15" fillId="15" borderId="3" xfId="0" applyFont="1" applyFill="1" applyBorder="1" applyAlignment="1">
      <alignment horizontal="left" vertical="center" wrapText="1"/>
    </xf>
    <xf numFmtId="0" fontId="4" fillId="15" borderId="0" xfId="0" applyFont="1" applyFill="1" applyAlignment="1">
      <alignment horizontal="left" vertical="center" wrapText="1"/>
    </xf>
    <xf numFmtId="0" fontId="4" fillId="15" borderId="6" xfId="0" applyFont="1" applyFill="1" applyBorder="1"/>
    <xf numFmtId="0" fontId="15" fillId="15" borderId="9" xfId="0" applyFont="1" applyFill="1" applyBorder="1" applyAlignment="1">
      <alignment horizontal="left" vertical="center" wrapText="1"/>
    </xf>
    <xf numFmtId="0" fontId="15" fillId="15" borderId="1" xfId="0" applyFont="1" applyFill="1" applyBorder="1" applyAlignment="1">
      <alignment horizontal="left" vertical="center" wrapText="1"/>
    </xf>
    <xf numFmtId="0" fontId="4" fillId="15" borderId="10" xfId="0" applyFont="1" applyFill="1" applyBorder="1"/>
    <xf numFmtId="0" fontId="15" fillId="15" borderId="24" xfId="0" applyFont="1" applyFill="1" applyBorder="1" applyAlignment="1">
      <alignment horizontal="left" vertical="center" wrapText="1"/>
    </xf>
    <xf numFmtId="0" fontId="4" fillId="17" borderId="12" xfId="0" applyFont="1" applyFill="1" applyBorder="1" applyAlignment="1">
      <alignment vertical="center"/>
    </xf>
    <xf numFmtId="0" fontId="4" fillId="8" borderId="39" xfId="0" applyFont="1" applyFill="1" applyBorder="1" applyAlignment="1">
      <alignment horizontal="center" vertical="center" wrapText="1"/>
    </xf>
    <xf numFmtId="0" fontId="4" fillId="8" borderId="54" xfId="0" applyFont="1" applyFill="1" applyBorder="1" applyAlignment="1">
      <alignment horizontal="center" vertical="center" wrapText="1"/>
    </xf>
    <xf numFmtId="0" fontId="4" fillId="8" borderId="30" xfId="0" applyFont="1" applyFill="1" applyBorder="1" applyAlignment="1">
      <alignment horizontal="center" vertical="center" wrapText="1"/>
    </xf>
    <xf numFmtId="0" fontId="4" fillId="8" borderId="8" xfId="0" applyFont="1" applyFill="1" applyBorder="1" applyAlignment="1">
      <alignment horizontal="center" vertical="center" wrapText="1"/>
    </xf>
    <xf numFmtId="0" fontId="4" fillId="15" borderId="12" xfId="0" quotePrefix="1" applyFont="1" applyFill="1" applyBorder="1" applyAlignment="1">
      <alignment horizontal="right" indent="1"/>
    </xf>
    <xf numFmtId="0" fontId="4" fillId="8" borderId="14" xfId="0" applyFont="1" applyFill="1" applyBorder="1" applyAlignment="1">
      <alignment horizontal="center" vertical="center" wrapText="1"/>
    </xf>
    <xf numFmtId="0" fontId="4" fillId="8" borderId="3" xfId="0" applyFont="1" applyFill="1" applyBorder="1" applyAlignment="1">
      <alignment horizontal="center" vertical="center" wrapText="1"/>
    </xf>
    <xf numFmtId="0" fontId="4" fillId="8" borderId="0" xfId="0" applyFont="1" applyFill="1" applyAlignment="1">
      <alignment horizontal="center" vertical="center" wrapText="1"/>
    </xf>
    <xf numFmtId="0" fontId="4" fillId="8" borderId="24" xfId="0" applyFont="1" applyFill="1" applyBorder="1" applyAlignment="1">
      <alignment horizontal="center" vertical="center" wrapText="1"/>
    </xf>
    <xf numFmtId="0" fontId="199" fillId="2" borderId="3" xfId="0" applyFont="1" applyFill="1" applyBorder="1" applyAlignment="1">
      <alignment horizontal="center" vertical="center" wrapText="1"/>
    </xf>
    <xf numFmtId="37" fontId="199" fillId="2" borderId="24" xfId="0" applyNumberFormat="1" applyFont="1" applyFill="1" applyBorder="1" applyAlignment="1">
      <alignment horizontal="center" vertical="center" wrapText="1"/>
    </xf>
    <xf numFmtId="0" fontId="143" fillId="2" borderId="3" xfId="0" applyFont="1" applyFill="1" applyBorder="1" applyAlignment="1">
      <alignment horizontal="center" vertical="center" wrapText="1"/>
    </xf>
    <xf numFmtId="188" fontId="112" fillId="2" borderId="24" xfId="0" applyNumberFormat="1" applyFont="1" applyFill="1" applyBorder="1" applyAlignment="1">
      <alignment horizontal="center" vertical="center" wrapText="1"/>
    </xf>
    <xf numFmtId="0" fontId="125" fillId="2" borderId="3" xfId="0" applyFont="1" applyFill="1" applyBorder="1" applyAlignment="1">
      <alignment horizontal="center" vertical="center" wrapText="1"/>
    </xf>
    <xf numFmtId="0" fontId="4" fillId="15" borderId="10" xfId="0" quotePrefix="1" applyFont="1" applyFill="1" applyBorder="1" applyAlignment="1">
      <alignment horizontal="right" indent="1"/>
    </xf>
    <xf numFmtId="0" fontId="121" fillId="2" borderId="3" xfId="0" applyFont="1" applyFill="1" applyBorder="1" applyAlignment="1">
      <alignment horizontal="center" vertical="center" wrapText="1"/>
    </xf>
    <xf numFmtId="0" fontId="121" fillId="2" borderId="24" xfId="0" applyFont="1" applyFill="1" applyBorder="1" applyAlignment="1">
      <alignment horizontal="center" vertical="center" wrapText="1"/>
    </xf>
    <xf numFmtId="0" fontId="117" fillId="2" borderId="3" xfId="0" applyFont="1" applyFill="1" applyBorder="1" applyAlignment="1">
      <alignment horizontal="center" vertical="center" wrapText="1"/>
    </xf>
    <xf numFmtId="0" fontId="8" fillId="15" borderId="1" xfId="0" applyFont="1" applyFill="1" applyBorder="1" applyAlignment="1">
      <alignment horizontal="center" vertical="top" wrapText="1"/>
    </xf>
    <xf numFmtId="0" fontId="4" fillId="2" borderId="1" xfId="0" applyFont="1" applyFill="1" applyBorder="1" applyAlignment="1">
      <alignment horizontal="right" vertical="center"/>
    </xf>
    <xf numFmtId="0" fontId="4" fillId="8" borderId="1" xfId="0" applyFont="1" applyFill="1" applyBorder="1" applyAlignment="1">
      <alignment horizontal="center" vertical="center" wrapText="1"/>
    </xf>
    <xf numFmtId="0" fontId="4" fillId="8" borderId="11"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2" borderId="24" xfId="0" applyFont="1" applyFill="1" applyBorder="1" applyAlignment="1">
      <alignment horizontal="center" vertical="center" wrapText="1"/>
    </xf>
    <xf numFmtId="0" fontId="10" fillId="2" borderId="3" xfId="0" applyFont="1" applyFill="1" applyBorder="1" applyAlignment="1">
      <alignment horizontal="center" vertical="center" wrapText="1"/>
    </xf>
    <xf numFmtId="0" fontId="4" fillId="8" borderId="9" xfId="0" applyFont="1" applyFill="1" applyBorder="1" applyAlignment="1">
      <alignment horizontal="center" vertical="center" wrapText="1"/>
    </xf>
    <xf numFmtId="37" fontId="199" fillId="2" borderId="0" xfId="0" applyNumberFormat="1" applyFont="1" applyFill="1" applyAlignment="1">
      <alignment horizontal="center" vertical="center" wrapText="1"/>
    </xf>
    <xf numFmtId="188" fontId="112" fillId="2" borderId="0" xfId="0" applyNumberFormat="1" applyFont="1" applyFill="1" applyAlignment="1">
      <alignment horizontal="center" vertical="center" wrapText="1"/>
    </xf>
    <xf numFmtId="0" fontId="121" fillId="2" borderId="0" xfId="0" applyFont="1" applyFill="1" applyAlignment="1">
      <alignment horizontal="center" vertical="center" wrapText="1"/>
    </xf>
    <xf numFmtId="0" fontId="8" fillId="15" borderId="0" xfId="0" applyFont="1" applyFill="1" applyAlignment="1">
      <alignment horizontal="center" vertical="top" wrapText="1"/>
    </xf>
    <xf numFmtId="0" fontId="15" fillId="15" borderId="8" xfId="0" applyFont="1" applyFill="1" applyBorder="1" applyAlignment="1">
      <alignment horizontal="center" vertical="center" wrapText="1"/>
    </xf>
    <xf numFmtId="0" fontId="11" fillId="15" borderId="0" xfId="0" applyFont="1" applyFill="1" applyAlignment="1">
      <alignment horizontal="right" indent="1"/>
    </xf>
    <xf numFmtId="0" fontId="0" fillId="8" borderId="71" xfId="0" applyFill="1" applyBorder="1"/>
    <xf numFmtId="0" fontId="0" fillId="8" borderId="16" xfId="0" applyFill="1" applyBorder="1"/>
    <xf numFmtId="0" fontId="0" fillId="8" borderId="32" xfId="0" applyFill="1" applyBorder="1"/>
    <xf numFmtId="0" fontId="0" fillId="8" borderId="100" xfId="0" applyFill="1" applyBorder="1"/>
    <xf numFmtId="0" fontId="0" fillId="8" borderId="75" xfId="0" applyFill="1" applyBorder="1"/>
    <xf numFmtId="188" fontId="320" fillId="42" borderId="1" xfId="0" applyNumberFormat="1" applyFont="1" applyFill="1" applyBorder="1" applyAlignment="1">
      <alignment horizontal="center" wrapText="1"/>
    </xf>
    <xf numFmtId="168" fontId="320" fillId="42" borderId="1" xfId="0" applyNumberFormat="1" applyFont="1" applyFill="1" applyBorder="1" applyAlignment="1">
      <alignment horizontal="right" wrapText="1"/>
    </xf>
    <xf numFmtId="168" fontId="320" fillId="42" borderId="1" xfId="0" applyNumberFormat="1" applyFont="1" applyFill="1" applyBorder="1" applyAlignment="1">
      <alignment horizontal="right"/>
    </xf>
    <xf numFmtId="168" fontId="319" fillId="42" borderId="1" xfId="0" applyNumberFormat="1" applyFont="1" applyFill="1" applyBorder="1" applyAlignment="1">
      <alignment horizontal="right"/>
    </xf>
    <xf numFmtId="14" fontId="0" fillId="15" borderId="0" xfId="0" applyNumberFormat="1" applyFill="1"/>
    <xf numFmtId="168" fontId="8" fillId="27" borderId="43" xfId="0" applyNumberFormat="1" applyFont="1" applyFill="1" applyBorder="1" applyAlignment="1">
      <alignment horizontal="right"/>
    </xf>
    <xf numFmtId="168" fontId="8" fillId="27" borderId="66" xfId="0" applyNumberFormat="1" applyFont="1" applyFill="1" applyBorder="1" applyAlignment="1">
      <alignment horizontal="right"/>
    </xf>
    <xf numFmtId="185" fontId="110" fillId="0" borderId="0" xfId="0" applyNumberFormat="1" applyFont="1" applyAlignment="1">
      <alignment horizontal="center"/>
    </xf>
    <xf numFmtId="168" fontId="8" fillId="27" borderId="12" xfId="0" applyNumberFormat="1" applyFont="1" applyFill="1" applyBorder="1" applyAlignment="1">
      <alignment horizontal="right"/>
    </xf>
    <xf numFmtId="168" fontId="8" fillId="27" borderId="58" xfId="0" applyNumberFormat="1" applyFont="1" applyFill="1" applyBorder="1" applyAlignment="1">
      <alignment horizontal="right"/>
    </xf>
    <xf numFmtId="14" fontId="6" fillId="0" borderId="0" xfId="0" applyNumberFormat="1" applyFont="1"/>
    <xf numFmtId="168" fontId="8" fillId="27" borderId="51" xfId="0" applyNumberFormat="1" applyFont="1" applyFill="1" applyBorder="1" applyAlignment="1">
      <alignment horizontal="right"/>
    </xf>
    <xf numFmtId="168" fontId="8" fillId="27" borderId="110" xfId="0" applyNumberFormat="1" applyFont="1" applyFill="1" applyBorder="1" applyAlignment="1">
      <alignment horizontal="right"/>
    </xf>
    <xf numFmtId="0" fontId="0" fillId="8" borderId="72" xfId="0" applyFill="1" applyBorder="1"/>
    <xf numFmtId="0" fontId="0" fillId="8" borderId="13" xfId="0" applyFill="1" applyBorder="1"/>
    <xf numFmtId="0" fontId="0" fillId="8" borderId="33" xfId="0" applyFill="1" applyBorder="1"/>
    <xf numFmtId="0" fontId="4" fillId="15" borderId="15" xfId="0" applyFont="1" applyFill="1" applyBorder="1" applyAlignment="1">
      <alignment horizontal="center" vertical="center"/>
    </xf>
    <xf numFmtId="37" fontId="11" fillId="15" borderId="3" xfId="0" applyNumberFormat="1" applyFont="1" applyFill="1" applyBorder="1" applyAlignment="1">
      <alignment vertical="center"/>
    </xf>
    <xf numFmtId="37" fontId="0" fillId="0" borderId="0" xfId="0" applyNumberFormat="1" applyAlignment="1">
      <alignment vertical="center"/>
    </xf>
    <xf numFmtId="0" fontId="15" fillId="23" borderId="0" xfId="0" applyFont="1" applyFill="1" applyAlignment="1" applyProtection="1">
      <alignment horizontal="center" vertical="center"/>
      <protection locked="0"/>
    </xf>
    <xf numFmtId="1" fontId="112" fillId="15" borderId="0" xfId="0" applyNumberFormat="1" applyFont="1" applyFill="1" applyAlignment="1">
      <alignment horizontal="center"/>
    </xf>
    <xf numFmtId="1" fontId="112" fillId="15" borderId="3" xfId="0" applyNumberFormat="1" applyFont="1" applyFill="1" applyBorder="1" applyAlignment="1">
      <alignment horizontal="center" vertical="top" wrapText="1"/>
    </xf>
    <xf numFmtId="37" fontId="0" fillId="15" borderId="0" xfId="0" applyNumberFormat="1" applyFill="1" applyAlignment="1">
      <alignment vertical="top" wrapText="1"/>
    </xf>
    <xf numFmtId="0" fontId="12" fillId="15" borderId="20" xfId="0" applyFont="1" applyFill="1" applyBorder="1"/>
    <xf numFmtId="0" fontId="6" fillId="2" borderId="5" xfId="0" applyFont="1" applyFill="1" applyBorder="1" applyAlignment="1">
      <alignment wrapText="1"/>
    </xf>
    <xf numFmtId="0" fontId="6" fillId="2" borderId="21" xfId="0" applyFont="1" applyFill="1" applyBorder="1" applyAlignment="1">
      <alignment wrapText="1"/>
    </xf>
    <xf numFmtId="0" fontId="233" fillId="15" borderId="0" xfId="0" applyFont="1" applyFill="1" applyAlignment="1">
      <alignment horizontal="center" vertical="center"/>
    </xf>
    <xf numFmtId="0" fontId="20" fillId="2" borderId="1" xfId="0" applyFont="1" applyFill="1" applyBorder="1" applyAlignment="1">
      <alignment horizontal="left" vertical="center" indent="2"/>
    </xf>
    <xf numFmtId="0" fontId="20" fillId="2" borderId="0" xfId="0" applyFont="1" applyFill="1" applyAlignment="1">
      <alignment horizontal="left" vertical="center" indent="2"/>
    </xf>
    <xf numFmtId="0" fontId="163" fillId="8" borderId="0" xfId="0" applyFont="1" applyFill="1"/>
    <xf numFmtId="0" fontId="6" fillId="15" borderId="23" xfId="0" applyFont="1" applyFill="1" applyBorder="1"/>
    <xf numFmtId="37" fontId="0" fillId="15" borderId="7" xfId="0" applyNumberFormat="1" applyFill="1" applyBorder="1"/>
    <xf numFmtId="0" fontId="6" fillId="15" borderId="23" xfId="0" applyFont="1" applyFill="1" applyBorder="1" applyAlignment="1">
      <alignment vertical="center"/>
    </xf>
    <xf numFmtId="0" fontId="0" fillId="2" borderId="15" xfId="0" applyFill="1" applyBorder="1" applyAlignment="1">
      <alignment vertical="center"/>
    </xf>
    <xf numFmtId="0" fontId="0" fillId="8" borderId="0" xfId="0" applyFill="1" applyAlignment="1">
      <alignment vertical="center"/>
    </xf>
    <xf numFmtId="0" fontId="0" fillId="15" borderId="19" xfId="0" applyFill="1" applyBorder="1" applyAlignment="1">
      <alignment vertical="center"/>
    </xf>
    <xf numFmtId="0" fontId="233" fillId="8" borderId="0" xfId="0" applyFont="1" applyFill="1" applyAlignment="1">
      <alignment horizontal="center" vertical="center"/>
    </xf>
    <xf numFmtId="0" fontId="233" fillId="8" borderId="0" xfId="0" applyFont="1" applyFill="1" applyAlignment="1">
      <alignment horizontal="center"/>
    </xf>
    <xf numFmtId="0" fontId="22" fillId="8" borderId="0" xfId="0" applyFont="1" applyFill="1"/>
    <xf numFmtId="0" fontId="4" fillId="2" borderId="0" xfId="0" quotePrefix="1" applyFont="1" applyFill="1" applyAlignment="1">
      <alignment horizontal="right" vertical="center"/>
    </xf>
    <xf numFmtId="3" fontId="0" fillId="15" borderId="0" xfId="0" applyNumberFormat="1" applyFill="1"/>
    <xf numFmtId="0" fontId="207" fillId="8" borderId="0" xfId="0" applyFont="1" applyFill="1" applyAlignment="1">
      <alignment horizontal="center"/>
    </xf>
    <xf numFmtId="0" fontId="4" fillId="2" borderId="3" xfId="0" applyFont="1" applyFill="1" applyBorder="1" applyAlignment="1">
      <alignment horizontal="center"/>
    </xf>
    <xf numFmtId="0" fontId="4" fillId="2" borderId="6" xfId="0" applyFont="1" applyFill="1" applyBorder="1" applyAlignment="1">
      <alignment horizontal="center"/>
    </xf>
    <xf numFmtId="0" fontId="207" fillId="8" borderId="0" xfId="0" applyFont="1" applyFill="1" applyAlignment="1">
      <alignment vertical="center" wrapText="1"/>
    </xf>
    <xf numFmtId="0" fontId="110" fillId="2" borderId="8" xfId="0" applyFont="1" applyFill="1" applyBorder="1"/>
    <xf numFmtId="0" fontId="4" fillId="2" borderId="28" xfId="0" applyFont="1" applyFill="1" applyBorder="1" applyAlignment="1">
      <alignment horizontal="center"/>
    </xf>
    <xf numFmtId="0" fontId="207" fillId="8" borderId="4" xfId="0" applyFont="1" applyFill="1" applyBorder="1" applyAlignment="1">
      <alignment vertical="center" wrapText="1"/>
    </xf>
    <xf numFmtId="37" fontId="6" fillId="15" borderId="0" xfId="0" applyNumberFormat="1" applyFont="1" applyFill="1" applyAlignment="1">
      <alignment horizontal="right"/>
    </xf>
    <xf numFmtId="166" fontId="0" fillId="15" borderId="0" xfId="0" applyNumberFormat="1" applyFill="1" applyAlignment="1">
      <alignment horizontal="center"/>
    </xf>
    <xf numFmtId="0" fontId="6" fillId="15" borderId="3" xfId="0" quotePrefix="1" applyFont="1" applyFill="1" applyBorder="1" applyAlignment="1">
      <alignment horizontal="center"/>
    </xf>
    <xf numFmtId="37" fontId="6" fillId="15" borderId="109" xfId="0" applyNumberFormat="1" applyFont="1" applyFill="1" applyBorder="1" applyAlignment="1">
      <alignment horizontal="right"/>
    </xf>
    <xf numFmtId="37" fontId="6" fillId="15" borderId="43" xfId="0" applyNumberFormat="1" applyFont="1" applyFill="1" applyBorder="1" applyAlignment="1">
      <alignment horizontal="right"/>
    </xf>
    <xf numFmtId="37" fontId="6" fillId="15" borderId="66" xfId="0" applyNumberFormat="1" applyFont="1" applyFill="1" applyBorder="1" applyAlignment="1">
      <alignment horizontal="right"/>
    </xf>
    <xf numFmtId="37" fontId="6" fillId="15" borderId="24" xfId="0" applyNumberFormat="1" applyFont="1" applyFill="1" applyBorder="1" applyAlignment="1">
      <alignment horizontal="right"/>
    </xf>
    <xf numFmtId="37" fontId="6" fillId="15" borderId="46" xfId="0" applyNumberFormat="1" applyFont="1" applyFill="1" applyBorder="1" applyAlignment="1">
      <alignment horizontal="right"/>
    </xf>
    <xf numFmtId="37" fontId="6" fillId="15" borderId="12" xfId="0" applyNumberFormat="1" applyFont="1" applyFill="1" applyBorder="1" applyAlignment="1">
      <alignment horizontal="right"/>
    </xf>
    <xf numFmtId="37" fontId="6" fillId="15" borderId="58" xfId="0" applyNumberFormat="1" applyFont="1" applyFill="1" applyBorder="1" applyAlignment="1">
      <alignment horizontal="right"/>
    </xf>
    <xf numFmtId="0" fontId="0" fillId="15" borderId="50" xfId="0" applyFill="1" applyBorder="1"/>
    <xf numFmtId="0" fontId="0" fillId="15" borderId="51" xfId="0" applyFill="1" applyBorder="1"/>
    <xf numFmtId="0" fontId="0" fillId="15" borderId="110" xfId="0" applyFill="1" applyBorder="1"/>
    <xf numFmtId="0" fontId="4" fillId="2" borderId="51" xfId="0" applyFont="1" applyFill="1" applyBorder="1" applyAlignment="1">
      <alignment horizontal="center"/>
    </xf>
    <xf numFmtId="0" fontId="4" fillId="2" borderId="69" xfId="0" applyFont="1" applyFill="1" applyBorder="1" applyAlignment="1">
      <alignment horizontal="center"/>
    </xf>
    <xf numFmtId="0" fontId="8" fillId="15" borderId="0" xfId="0" applyFont="1" applyFill="1" applyAlignment="1">
      <alignment wrapText="1"/>
    </xf>
    <xf numFmtId="0" fontId="4" fillId="2" borderId="24" xfId="0" applyFont="1" applyFill="1" applyBorder="1" applyAlignment="1">
      <alignment horizontal="right" vertical="center"/>
    </xf>
    <xf numFmtId="37" fontId="6" fillId="15" borderId="20" xfId="0" applyNumberFormat="1" applyFont="1" applyFill="1" applyBorder="1"/>
    <xf numFmtId="0" fontId="12" fillId="0" borderId="109" xfId="0" applyFont="1" applyBorder="1" applyAlignment="1">
      <alignment horizontal="center"/>
    </xf>
    <xf numFmtId="0" fontId="12" fillId="0" borderId="43" xfId="0" applyFont="1" applyBorder="1" applyAlignment="1">
      <alignment horizontal="center"/>
    </xf>
    <xf numFmtId="0" fontId="10" fillId="0" borderId="66" xfId="0" applyFont="1" applyBorder="1" applyAlignment="1">
      <alignment horizontal="center"/>
    </xf>
    <xf numFmtId="0" fontId="6" fillId="15" borderId="20" xfId="0" applyFont="1" applyFill="1" applyBorder="1" applyAlignment="1">
      <alignment horizontal="right"/>
    </xf>
    <xf numFmtId="37" fontId="6" fillId="0" borderId="46" xfId="0" applyNumberFormat="1" applyFont="1" applyBorder="1"/>
    <xf numFmtId="37" fontId="6" fillId="0" borderId="12" xfId="0" applyNumberFormat="1" applyFont="1" applyBorder="1"/>
    <xf numFmtId="37" fontId="6" fillId="0" borderId="58" xfId="0" applyNumberFormat="1" applyFont="1" applyBorder="1"/>
    <xf numFmtId="0" fontId="4" fillId="2" borderId="30" xfId="0" applyFont="1" applyFill="1" applyBorder="1" applyAlignment="1">
      <alignment horizontal="center"/>
    </xf>
    <xf numFmtId="37" fontId="6" fillId="0" borderId="50" xfId="0" applyNumberFormat="1" applyFont="1" applyBorder="1"/>
    <xf numFmtId="37" fontId="6" fillId="0" borderId="51" xfId="0" applyNumberFormat="1" applyFont="1" applyBorder="1"/>
    <xf numFmtId="37" fontId="6" fillId="0" borderId="110" xfId="0" applyNumberFormat="1" applyFont="1" applyBorder="1"/>
    <xf numFmtId="0" fontId="4" fillId="2" borderId="4" xfId="0" applyFont="1" applyFill="1" applyBorder="1" applyAlignment="1">
      <alignment vertical="top"/>
    </xf>
    <xf numFmtId="0" fontId="0" fillId="2" borderId="4" xfId="0" applyFill="1" applyBorder="1" applyAlignment="1">
      <alignment vertical="center"/>
    </xf>
    <xf numFmtId="0" fontId="4" fillId="2" borderId="4" xfId="0" applyFont="1" applyFill="1" applyBorder="1" applyAlignment="1">
      <alignment horizontal="right" vertical="center"/>
    </xf>
    <xf numFmtId="0" fontId="0" fillId="13" borderId="25" xfId="0" applyFill="1" applyBorder="1"/>
    <xf numFmtId="0" fontId="75" fillId="13" borderId="25" xfId="0" applyFont="1" applyFill="1" applyBorder="1" applyAlignment="1">
      <alignment horizontal="center" vertical="center"/>
    </xf>
    <xf numFmtId="0" fontId="4" fillId="13" borderId="25" xfId="0" applyFont="1" applyFill="1" applyBorder="1"/>
    <xf numFmtId="0" fontId="11" fillId="2" borderId="25" xfId="0" applyFont="1" applyFill="1" applyBorder="1" applyAlignment="1">
      <alignment vertical="center"/>
    </xf>
    <xf numFmtId="0" fontId="0" fillId="2" borderId="25" xfId="0" applyFill="1" applyBorder="1"/>
    <xf numFmtId="37" fontId="6" fillId="15" borderId="50" xfId="0" applyNumberFormat="1" applyFont="1" applyFill="1" applyBorder="1"/>
    <xf numFmtId="37" fontId="6" fillId="15" borderId="110" xfId="0" applyNumberFormat="1" applyFont="1" applyFill="1" applyBorder="1"/>
    <xf numFmtId="0" fontId="57" fillId="38" borderId="0" xfId="0" applyFont="1" applyFill="1" applyAlignment="1">
      <alignment horizontal="center"/>
    </xf>
    <xf numFmtId="0" fontId="6" fillId="2" borderId="1" xfId="0" applyFont="1" applyFill="1" applyBorder="1" applyAlignment="1">
      <alignment vertical="center"/>
    </xf>
    <xf numFmtId="0" fontId="4" fillId="2" borderId="11" xfId="0" applyFont="1" applyFill="1" applyBorder="1" applyAlignment="1">
      <alignment horizontal="right"/>
    </xf>
    <xf numFmtId="0" fontId="8" fillId="2" borderId="0" xfId="0" applyFont="1" applyFill="1" applyAlignment="1">
      <alignment horizontal="right" indent="2"/>
    </xf>
    <xf numFmtId="0" fontId="4" fillId="2" borderId="24" xfId="0" applyFont="1" applyFill="1" applyBorder="1" applyAlignment="1">
      <alignment horizontal="right"/>
    </xf>
    <xf numFmtId="0" fontId="0" fillId="15" borderId="65" xfId="0" applyFill="1" applyBorder="1"/>
    <xf numFmtId="0" fontId="77" fillId="2" borderId="0" xfId="0" applyFont="1" applyFill="1" applyAlignment="1">
      <alignment horizontal="right" vertical="top" wrapText="1"/>
    </xf>
    <xf numFmtId="0" fontId="77" fillId="2" borderId="0" xfId="0" applyFont="1" applyFill="1" applyAlignment="1">
      <alignment horizontal="right" wrapText="1"/>
    </xf>
    <xf numFmtId="166" fontId="6" fillId="15" borderId="0" xfId="0" applyNumberFormat="1" applyFont="1" applyFill="1" applyAlignment="1">
      <alignment horizontal="center"/>
    </xf>
    <xf numFmtId="0" fontId="77" fillId="2" borderId="4" xfId="0" applyFont="1" applyFill="1" applyBorder="1" applyAlignment="1">
      <alignment horizontal="right" vertical="top" wrapText="1"/>
    </xf>
    <xf numFmtId="0" fontId="0" fillId="5" borderId="159" xfId="0" applyFill="1" applyBorder="1"/>
    <xf numFmtId="0" fontId="6" fillId="15" borderId="7" xfId="0" applyFont="1" applyFill="1" applyBorder="1" applyAlignment="1">
      <alignment horizontal="left" vertical="top"/>
    </xf>
    <xf numFmtId="0" fontId="6" fillId="15" borderId="7" xfId="0" applyFont="1" applyFill="1" applyBorder="1" applyAlignment="1">
      <alignment vertical="top"/>
    </xf>
    <xf numFmtId="0" fontId="6" fillId="15" borderId="7" xfId="0" applyFont="1" applyFill="1" applyBorder="1" applyAlignment="1">
      <alignment horizontal="right" vertical="top"/>
    </xf>
    <xf numFmtId="37" fontId="6" fillId="15" borderId="7" xfId="0" applyNumberFormat="1" applyFont="1" applyFill="1" applyBorder="1" applyAlignment="1">
      <alignment vertical="top"/>
    </xf>
    <xf numFmtId="0" fontId="110" fillId="15" borderId="7" xfId="0" applyFont="1" applyFill="1" applyBorder="1" applyAlignment="1">
      <alignment vertical="top"/>
    </xf>
    <xf numFmtId="0" fontId="146" fillId="15" borderId="7" xfId="0" applyFont="1" applyFill="1" applyBorder="1" applyAlignment="1">
      <alignment vertical="top"/>
    </xf>
    <xf numFmtId="0" fontId="12" fillId="2" borderId="0" xfId="0" applyFont="1" applyFill="1" applyAlignment="1">
      <alignment horizontal="right" vertical="top"/>
    </xf>
    <xf numFmtId="0" fontId="0" fillId="5" borderId="159" xfId="0" applyFill="1" applyBorder="1" applyAlignment="1">
      <alignment vertical="top"/>
    </xf>
    <xf numFmtId="0" fontId="0" fillId="8" borderId="159" xfId="0" applyFill="1" applyBorder="1"/>
    <xf numFmtId="0" fontId="143" fillId="2" borderId="0" xfId="0" applyFont="1" applyFill="1" applyAlignment="1">
      <alignment horizontal="left" indent="1"/>
    </xf>
    <xf numFmtId="0" fontId="20" fillId="2" borderId="0" xfId="0" applyFont="1" applyFill="1"/>
    <xf numFmtId="0" fontId="20" fillId="2" borderId="0" xfId="0" applyFont="1" applyFill="1" applyAlignment="1">
      <alignment horizontal="center"/>
    </xf>
    <xf numFmtId="0" fontId="20" fillId="5" borderId="0" xfId="0" applyFont="1" applyFill="1" applyAlignment="1">
      <alignment horizontal="center" vertical="center"/>
    </xf>
    <xf numFmtId="37" fontId="146" fillId="15" borderId="0" xfId="0" applyNumberFormat="1" applyFont="1" applyFill="1"/>
    <xf numFmtId="0" fontId="4" fillId="2" borderId="15" xfId="0" applyFont="1" applyFill="1" applyBorder="1" applyAlignment="1">
      <alignment horizontal="center"/>
    </xf>
    <xf numFmtId="37" fontId="6" fillId="15" borderId="0" xfId="0" applyNumberFormat="1" applyFont="1" applyFill="1" applyAlignment="1">
      <alignment horizontal="left"/>
    </xf>
    <xf numFmtId="0" fontId="110" fillId="0" borderId="0" xfId="0" applyFont="1" applyProtection="1">
      <protection locked="0"/>
    </xf>
    <xf numFmtId="0" fontId="21" fillId="15" borderId="0" xfId="0" applyFont="1" applyFill="1" applyAlignment="1">
      <alignment horizontal="centerContinuous"/>
    </xf>
    <xf numFmtId="0" fontId="85" fillId="15" borderId="0" xfId="0" applyFont="1" applyFill="1" applyAlignment="1">
      <alignment horizontal="centerContinuous"/>
    </xf>
    <xf numFmtId="0" fontId="6" fillId="15" borderId="0" xfId="0" quotePrefix="1" applyFont="1" applyFill="1" applyAlignment="1">
      <alignment horizontal="left" indent="1"/>
    </xf>
    <xf numFmtId="0" fontId="275" fillId="0" borderId="0" xfId="0" applyFont="1" applyAlignment="1">
      <alignment vertical="center"/>
    </xf>
    <xf numFmtId="0" fontId="0" fillId="15" borderId="23" xfId="0" applyFill="1" applyBorder="1" applyAlignment="1">
      <alignment horizontal="left" indent="1"/>
    </xf>
    <xf numFmtId="0" fontId="67" fillId="15" borderId="5" xfId="2" applyFill="1" applyBorder="1" applyAlignment="1" applyProtection="1">
      <alignment horizontal="left" indent="1"/>
    </xf>
    <xf numFmtId="0" fontId="11" fillId="15" borderId="15" xfId="0" applyFont="1" applyFill="1" applyBorder="1" applyAlignment="1">
      <alignment horizontal="left" vertical="center"/>
    </xf>
    <xf numFmtId="37" fontId="15" fillId="14" borderId="0" xfId="0" applyNumberFormat="1" applyFont="1" applyFill="1" applyAlignment="1" applyProtection="1">
      <alignment horizontal="right"/>
      <protection hidden="1"/>
    </xf>
    <xf numFmtId="37" fontId="15" fillId="15" borderId="0" xfId="0" applyNumberFormat="1" applyFont="1" applyFill="1" applyAlignment="1" applyProtection="1">
      <alignment horizontal="right"/>
      <protection hidden="1"/>
    </xf>
    <xf numFmtId="0" fontId="11" fillId="15" borderId="34" xfId="0" applyFont="1" applyFill="1" applyBorder="1" applyAlignment="1">
      <alignment vertical="center"/>
    </xf>
    <xf numFmtId="37" fontId="15" fillId="14" borderId="1" xfId="0" applyNumberFormat="1" applyFont="1" applyFill="1" applyBorder="1" applyProtection="1">
      <protection hidden="1"/>
    </xf>
    <xf numFmtId="37" fontId="15" fillId="15" borderId="1" xfId="0" applyNumberFormat="1" applyFont="1" applyFill="1" applyBorder="1" applyProtection="1">
      <protection hidden="1"/>
    </xf>
    <xf numFmtId="0" fontId="23" fillId="15" borderId="0" xfId="0" applyFont="1" applyFill="1" applyAlignment="1">
      <alignment vertical="center" wrapText="1"/>
    </xf>
    <xf numFmtId="0" fontId="23" fillId="15" borderId="0" xfId="0" applyFont="1" applyFill="1" applyAlignment="1">
      <alignment horizontal="center" vertical="center" wrapText="1"/>
    </xf>
    <xf numFmtId="0" fontId="197" fillId="15" borderId="0" xfId="0" applyFont="1" applyFill="1" applyAlignment="1">
      <alignment horizontal="center" vertical="center"/>
    </xf>
    <xf numFmtId="37" fontId="15" fillId="14" borderId="3" xfId="0" applyNumberFormat="1" applyFont="1" applyFill="1" applyBorder="1" applyProtection="1">
      <protection hidden="1"/>
    </xf>
    <xf numFmtId="37" fontId="15" fillId="15" borderId="0" xfId="0" applyNumberFormat="1" applyFont="1" applyFill="1" applyProtection="1">
      <protection hidden="1"/>
    </xf>
    <xf numFmtId="0" fontId="8" fillId="15" borderId="13" xfId="0" applyFont="1" applyFill="1" applyBorder="1" applyAlignment="1">
      <alignment horizontal="left" vertical="center"/>
    </xf>
    <xf numFmtId="0" fontId="14" fillId="15" borderId="13" xfId="0" applyFont="1" applyFill="1" applyBorder="1" applyAlignment="1">
      <alignment vertical="center"/>
    </xf>
    <xf numFmtId="0" fontId="0" fillId="15" borderId="13" xfId="0" applyFill="1" applyBorder="1" applyAlignment="1">
      <alignment horizontal="center" vertical="center"/>
    </xf>
    <xf numFmtId="0" fontId="47" fillId="15" borderId="13" xfId="0" applyFont="1" applyFill="1" applyBorder="1" applyAlignment="1">
      <alignment vertical="center"/>
    </xf>
    <xf numFmtId="37" fontId="15" fillId="15" borderId="13" xfId="0" applyNumberFormat="1" applyFont="1" applyFill="1" applyBorder="1" applyAlignment="1" applyProtection="1">
      <alignment horizontal="right" vertical="center"/>
      <protection hidden="1"/>
    </xf>
    <xf numFmtId="0" fontId="11" fillId="15" borderId="13" xfId="0" quotePrefix="1" applyFont="1" applyFill="1" applyBorder="1" applyAlignment="1">
      <alignment horizontal="center"/>
    </xf>
    <xf numFmtId="0" fontId="47" fillId="15" borderId="13" xfId="0" applyFont="1" applyFill="1" applyBorder="1"/>
    <xf numFmtId="0" fontId="4" fillId="15" borderId="17" xfId="0" applyFont="1" applyFill="1" applyBorder="1" applyAlignment="1">
      <alignment horizontal="right"/>
    </xf>
    <xf numFmtId="0" fontId="146" fillId="5" borderId="0" xfId="0" applyFont="1" applyFill="1" applyAlignment="1">
      <alignment horizontal="left"/>
    </xf>
    <xf numFmtId="0" fontId="11" fillId="15" borderId="2" xfId="0" applyFont="1" applyFill="1" applyBorder="1" applyAlignment="1" applyProtection="1">
      <alignment horizontal="center"/>
      <protection locked="0"/>
    </xf>
    <xf numFmtId="37" fontId="11" fillId="15" borderId="2" xfId="0" applyNumberFormat="1" applyFont="1" applyFill="1" applyBorder="1" applyProtection="1">
      <protection locked="0"/>
    </xf>
    <xf numFmtId="0" fontId="288" fillId="37" borderId="0" xfId="0" applyFont="1" applyFill="1" applyAlignment="1">
      <alignment horizontal="center" vertical="center"/>
    </xf>
    <xf numFmtId="0" fontId="166" fillId="2" borderId="0" xfId="0" applyFont="1" applyFill="1"/>
    <xf numFmtId="1" fontId="11" fillId="3" borderId="0" xfId="0" applyNumberFormat="1" applyFont="1" applyFill="1" applyAlignment="1" applyProtection="1">
      <alignment horizontal="center"/>
      <protection locked="0"/>
    </xf>
    <xf numFmtId="0" fontId="341" fillId="5" borderId="0" xfId="0" applyFont="1" applyFill="1" applyAlignment="1">
      <alignment horizontal="left" wrapText="1"/>
    </xf>
    <xf numFmtId="0" fontId="11" fillId="5" borderId="0" xfId="0" applyFont="1" applyFill="1" applyAlignment="1">
      <alignment horizontal="center"/>
    </xf>
    <xf numFmtId="0" fontId="0" fillId="15" borderId="4" xfId="0" applyFill="1" applyBorder="1" applyAlignment="1">
      <alignment horizontal="right"/>
    </xf>
    <xf numFmtId="0" fontId="20" fillId="15" borderId="4" xfId="0" applyFont="1" applyFill="1" applyBorder="1" applyAlignment="1">
      <alignment horizontal="left"/>
    </xf>
    <xf numFmtId="0" fontId="44" fillId="2" borderId="1" xfId="0" applyFont="1" applyFill="1" applyBorder="1" applyAlignment="1">
      <alignment horizontal="left"/>
    </xf>
    <xf numFmtId="0" fontId="10" fillId="2" borderId="1" xfId="0" applyFont="1" applyFill="1" applyBorder="1" applyAlignment="1">
      <alignment vertical="top"/>
    </xf>
    <xf numFmtId="0" fontId="254" fillId="2" borderId="1" xfId="0" applyFont="1" applyFill="1" applyBorder="1" applyAlignment="1">
      <alignment horizontal="right"/>
    </xf>
    <xf numFmtId="0" fontId="6" fillId="2" borderId="1" xfId="0" applyFont="1" applyFill="1" applyBorder="1" applyAlignment="1">
      <alignment horizontal="right"/>
    </xf>
    <xf numFmtId="0" fontId="6" fillId="2" borderId="25" xfId="0" applyFont="1" applyFill="1" applyBorder="1"/>
    <xf numFmtId="0" fontId="10" fillId="2" borderId="25" xfId="0" applyFont="1" applyFill="1" applyBorder="1" applyAlignment="1">
      <alignment vertical="top"/>
    </xf>
    <xf numFmtId="0" fontId="130" fillId="2" borderId="25" xfId="0" applyFont="1" applyFill="1" applyBorder="1" applyAlignment="1">
      <alignment horizontal="left" vertical="center"/>
    </xf>
    <xf numFmtId="0" fontId="14" fillId="2" borderId="25" xfId="0" applyFont="1" applyFill="1" applyBorder="1" applyAlignment="1">
      <alignment vertical="center"/>
    </xf>
    <xf numFmtId="0" fontId="11" fillId="15" borderId="0" xfId="0" quotePrefix="1" applyFont="1" applyFill="1" applyAlignment="1">
      <alignment horizontal="right" vertical="center"/>
    </xf>
    <xf numFmtId="37" fontId="324" fillId="15" borderId="0" xfId="0" applyNumberFormat="1" applyFont="1" applyFill="1"/>
    <xf numFmtId="0" fontId="342" fillId="15" borderId="0" xfId="0" applyFont="1" applyFill="1" applyAlignment="1">
      <alignment horizontal="center"/>
    </xf>
    <xf numFmtId="0" fontId="324" fillId="15" borderId="0" xfId="0" applyFont="1" applyFill="1" applyAlignment="1">
      <alignment horizontal="right"/>
    </xf>
    <xf numFmtId="37" fontId="324" fillId="44" borderId="2" xfId="0" applyNumberFormat="1" applyFont="1" applyFill="1" applyBorder="1"/>
    <xf numFmtId="0" fontId="342" fillId="15" borderId="0" xfId="0" applyFont="1" applyFill="1" applyAlignment="1">
      <alignment horizontal="right"/>
    </xf>
    <xf numFmtId="0" fontId="324" fillId="15" borderId="1" xfId="0" applyFont="1" applyFill="1" applyBorder="1" applyAlignment="1">
      <alignment horizontal="right"/>
    </xf>
    <xf numFmtId="0" fontId="276" fillId="15" borderId="1" xfId="0" applyFont="1" applyFill="1" applyBorder="1"/>
    <xf numFmtId="0" fontId="14" fillId="19" borderId="6" xfId="0" applyFont="1" applyFill="1" applyBorder="1"/>
    <xf numFmtId="0" fontId="11" fillId="5" borderId="0" xfId="0" applyFont="1" applyFill="1" applyAlignment="1">
      <alignment horizontal="left"/>
    </xf>
    <xf numFmtId="1" fontId="4" fillId="15" borderId="3" xfId="0" quotePrefix="1" applyNumberFormat="1" applyFont="1" applyFill="1" applyBorder="1" applyAlignment="1">
      <alignment horizontal="center" vertical="center"/>
    </xf>
    <xf numFmtId="0" fontId="343" fillId="5" borderId="0" xfId="0" applyFont="1" applyFill="1" applyAlignment="1">
      <alignment horizontal="left" indent="1"/>
    </xf>
    <xf numFmtId="0" fontId="11" fillId="15" borderId="24" xfId="0" applyFont="1" applyFill="1" applyBorder="1"/>
    <xf numFmtId="0" fontId="344" fillId="5" borderId="0" xfId="0" quotePrefix="1" applyFont="1" applyFill="1" applyAlignment="1">
      <alignment horizontal="left"/>
    </xf>
    <xf numFmtId="0" fontId="113" fillId="5" borderId="0" xfId="0" applyFont="1" applyFill="1" applyAlignment="1">
      <alignment horizontal="left" vertical="top" wrapText="1"/>
    </xf>
    <xf numFmtId="0" fontId="345" fillId="5" borderId="0" xfId="0" applyFont="1" applyFill="1" applyAlignment="1">
      <alignment horizontal="left"/>
    </xf>
    <xf numFmtId="0" fontId="166" fillId="15" borderId="25" xfId="0" applyFont="1" applyFill="1" applyBorder="1" applyAlignment="1">
      <alignment vertical="center"/>
    </xf>
    <xf numFmtId="0" fontId="207" fillId="15" borderId="7" xfId="0" applyFont="1" applyFill="1" applyBorder="1" applyAlignment="1">
      <alignment wrapText="1"/>
    </xf>
    <xf numFmtId="0" fontId="207" fillId="15" borderId="0" xfId="0" applyFont="1" applyFill="1" applyAlignment="1">
      <alignment wrapText="1"/>
    </xf>
    <xf numFmtId="0" fontId="207" fillId="15" borderId="4" xfId="0" applyFont="1" applyFill="1" applyBorder="1" applyAlignment="1">
      <alignment wrapText="1"/>
    </xf>
    <xf numFmtId="0" fontId="146" fillId="5" borderId="0" xfId="0" applyFont="1" applyFill="1" applyAlignment="1">
      <alignment horizontal="right"/>
    </xf>
    <xf numFmtId="0" fontId="6" fillId="5" borderId="0" xfId="0" applyFont="1" applyFill="1" applyAlignment="1">
      <alignment horizontal="right" vertical="center"/>
    </xf>
    <xf numFmtId="37" fontId="168" fillId="14" borderId="8" xfId="0" applyNumberFormat="1" applyFont="1" applyFill="1" applyBorder="1" applyProtection="1">
      <protection hidden="1"/>
    </xf>
    <xf numFmtId="37" fontId="168" fillId="15" borderId="8" xfId="0" applyNumberFormat="1" applyFont="1" applyFill="1" applyBorder="1" applyProtection="1">
      <protection hidden="1"/>
    </xf>
    <xf numFmtId="0" fontId="11" fillId="3" borderId="0" xfId="0" applyFont="1" applyFill="1" applyAlignment="1">
      <alignment horizontal="center"/>
    </xf>
    <xf numFmtId="0" fontId="11" fillId="3" borderId="0" xfId="0" applyFont="1" applyFill="1" applyAlignment="1">
      <alignment horizontal="right"/>
    </xf>
    <xf numFmtId="0" fontId="172" fillId="15" borderId="0" xfId="0" applyFont="1" applyFill="1"/>
    <xf numFmtId="4" fontId="4" fillId="3" borderId="6" xfId="0" applyNumberFormat="1" applyFont="1" applyFill="1" applyBorder="1"/>
    <xf numFmtId="1" fontId="4" fillId="3" borderId="0" xfId="0" quotePrefix="1" applyNumberFormat="1" applyFont="1" applyFill="1" applyAlignment="1">
      <alignment horizontal="right"/>
    </xf>
    <xf numFmtId="0" fontId="143" fillId="5" borderId="0" xfId="0" applyFont="1" applyFill="1" applyAlignment="1">
      <alignment horizontal="left"/>
    </xf>
    <xf numFmtId="37" fontId="146" fillId="15" borderId="0" xfId="0" applyNumberFormat="1" applyFont="1" applyFill="1" applyAlignment="1">
      <alignment horizontal="right"/>
    </xf>
    <xf numFmtId="37" fontId="146" fillId="15" borderId="0" xfId="0" applyNumberFormat="1" applyFont="1" applyFill="1" applyAlignment="1">
      <alignment vertical="center"/>
    </xf>
    <xf numFmtId="0" fontId="146" fillId="15" borderId="0" xfId="0" applyFont="1" applyFill="1" applyAlignment="1">
      <alignment horizontal="right" vertical="center"/>
    </xf>
    <xf numFmtId="0" fontId="146" fillId="15" borderId="0" xfId="0" applyFont="1" applyFill="1" applyAlignment="1">
      <alignment horizontal="right"/>
    </xf>
    <xf numFmtId="0" fontId="4" fillId="24" borderId="0" xfId="0" quotePrefix="1" applyFont="1" applyFill="1" applyAlignment="1" applyProtection="1">
      <alignment horizontal="right"/>
      <protection locked="0"/>
    </xf>
    <xf numFmtId="37" fontId="121" fillId="15" borderId="0" xfId="0" applyNumberFormat="1" applyFont="1" applyFill="1" applyAlignment="1">
      <alignment horizontal="right"/>
    </xf>
    <xf numFmtId="0" fontId="323" fillId="2" borderId="25" xfId="0" applyFont="1" applyFill="1" applyBorder="1" applyAlignment="1">
      <alignment vertical="center"/>
    </xf>
    <xf numFmtId="0" fontId="121" fillId="15" borderId="0" xfId="0" applyFont="1" applyFill="1" applyAlignment="1">
      <alignment vertical="top" wrapText="1"/>
    </xf>
    <xf numFmtId="0" fontId="125" fillId="15" borderId="0" xfId="0" applyFont="1" applyFill="1" applyAlignment="1">
      <alignment vertical="center" wrapText="1"/>
    </xf>
    <xf numFmtId="0" fontId="288" fillId="5" borderId="0" xfId="0" applyFont="1" applyFill="1" applyAlignment="1">
      <alignment horizontal="left"/>
    </xf>
    <xf numFmtId="0" fontId="113" fillId="5" borderId="0" xfId="0" applyFont="1" applyFill="1" applyAlignment="1">
      <alignment vertical="top" wrapText="1"/>
    </xf>
    <xf numFmtId="0" fontId="206" fillId="5" borderId="0" xfId="0" applyFont="1" applyFill="1" applyAlignment="1">
      <alignment horizontal="left"/>
    </xf>
    <xf numFmtId="0" fontId="279" fillId="15" borderId="0" xfId="0" applyFont="1" applyFill="1" applyAlignment="1">
      <alignment vertical="center"/>
    </xf>
    <xf numFmtId="0" fontId="257" fillId="2" borderId="25" xfId="0" applyFont="1" applyFill="1" applyBorder="1" applyAlignment="1">
      <alignment vertical="center"/>
    </xf>
    <xf numFmtId="0" fontId="146" fillId="15" borderId="0" xfId="0" applyFont="1" applyFill="1" applyAlignment="1">
      <alignment vertical="center" wrapText="1"/>
    </xf>
    <xf numFmtId="0" fontId="9" fillId="16" borderId="51" xfId="0" applyFont="1" applyFill="1" applyBorder="1" applyAlignment="1" applyProtection="1">
      <alignment horizontal="center" vertical="center"/>
      <protection locked="0"/>
    </xf>
    <xf numFmtId="0" fontId="12" fillId="2" borderId="4" xfId="0" applyFont="1" applyFill="1" applyBorder="1" applyAlignment="1">
      <alignment horizontal="center" wrapText="1"/>
    </xf>
    <xf numFmtId="4" fontId="14" fillId="2" borderId="4" xfId="0" applyNumberFormat="1" applyFont="1" applyFill="1" applyBorder="1" applyAlignment="1">
      <alignment horizontal="left" vertical="center" indent="1"/>
    </xf>
    <xf numFmtId="0" fontId="8" fillId="2" borderId="39" xfId="0" applyFont="1" applyFill="1" applyBorder="1"/>
    <xf numFmtId="0" fontId="12" fillId="2" borderId="25" xfId="0" applyFont="1" applyFill="1" applyBorder="1" applyAlignment="1">
      <alignment horizontal="center" wrapText="1"/>
    </xf>
    <xf numFmtId="0" fontId="8" fillId="2" borderId="25" xfId="0" applyFont="1" applyFill="1" applyBorder="1"/>
    <xf numFmtId="4" fontId="14" fillId="2" borderId="25" xfId="0" applyNumberFormat="1" applyFont="1" applyFill="1" applyBorder="1" applyAlignment="1">
      <alignment horizontal="left" vertical="center" indent="1"/>
    </xf>
    <xf numFmtId="0" fontId="10" fillId="39" borderId="8" xfId="0" applyFont="1" applyFill="1" applyBorder="1" applyAlignment="1">
      <alignment vertical="center" wrapText="1"/>
    </xf>
    <xf numFmtId="0" fontId="10" fillId="39" borderId="0" xfId="0" applyFont="1" applyFill="1" applyAlignment="1">
      <alignment vertical="center" wrapText="1"/>
    </xf>
    <xf numFmtId="0" fontId="10" fillId="15" borderId="0" xfId="0" applyFont="1" applyFill="1" applyAlignment="1">
      <alignment horizontal="left" vertical="center"/>
    </xf>
    <xf numFmtId="0" fontId="10" fillId="39" borderId="25" xfId="0" applyFont="1" applyFill="1" applyBorder="1" applyAlignment="1">
      <alignment vertical="top" wrapText="1"/>
    </xf>
    <xf numFmtId="0" fontId="10" fillId="39" borderId="9" xfId="0" applyFont="1" applyFill="1" applyBorder="1" applyAlignment="1">
      <alignment vertical="top" wrapText="1"/>
    </xf>
    <xf numFmtId="0" fontId="10" fillId="39" borderId="1" xfId="0" applyFont="1" applyFill="1" applyBorder="1" applyAlignment="1">
      <alignment vertical="top" wrapText="1"/>
    </xf>
    <xf numFmtId="0" fontId="10" fillId="39" borderId="11" xfId="0" applyFont="1" applyFill="1" applyBorder="1" applyAlignment="1">
      <alignment vertical="top" wrapText="1"/>
    </xf>
    <xf numFmtId="0" fontId="10" fillId="39" borderId="8" xfId="0" applyFont="1" applyFill="1" applyBorder="1" applyAlignment="1">
      <alignment vertical="top" wrapText="1"/>
    </xf>
    <xf numFmtId="0" fontId="10" fillId="39" borderId="14" xfId="0" applyFont="1" applyFill="1" applyBorder="1" applyAlignment="1">
      <alignment vertical="top" wrapText="1"/>
    </xf>
    <xf numFmtId="0" fontId="10" fillId="39" borderId="3" xfId="0" applyFont="1" applyFill="1" applyBorder="1" applyAlignment="1">
      <alignment vertical="top" wrapText="1"/>
    </xf>
    <xf numFmtId="0" fontId="10" fillId="39" borderId="0" xfId="0" applyFont="1" applyFill="1" applyAlignment="1">
      <alignment vertical="top" wrapText="1"/>
    </xf>
    <xf numFmtId="0" fontId="10" fillId="39" borderId="24" xfId="0" applyFont="1" applyFill="1" applyBorder="1" applyAlignment="1">
      <alignment vertical="top" wrapText="1"/>
    </xf>
    <xf numFmtId="0" fontId="10" fillId="39" borderId="30" xfId="0" applyFont="1" applyFill="1" applyBorder="1" applyAlignment="1">
      <alignment vertical="top" wrapText="1"/>
    </xf>
    <xf numFmtId="0" fontId="10" fillId="39" borderId="24" xfId="0" applyFont="1" applyFill="1" applyBorder="1" applyAlignment="1">
      <alignment vertical="top"/>
    </xf>
    <xf numFmtId="0" fontId="10" fillId="39" borderId="0" xfId="0" applyFont="1" applyFill="1" applyAlignment="1">
      <alignment horizontal="left" vertical="center" wrapText="1"/>
    </xf>
    <xf numFmtId="0" fontId="10" fillId="39" borderId="24" xfId="0" applyFont="1" applyFill="1" applyBorder="1" applyAlignment="1">
      <alignment horizontal="left" vertical="center" wrapText="1"/>
    </xf>
    <xf numFmtId="0" fontId="4" fillId="39" borderId="24" xfId="0" applyFont="1" applyFill="1" applyBorder="1" applyAlignment="1">
      <alignment horizontal="center" vertical="center" wrapText="1"/>
    </xf>
    <xf numFmtId="0" fontId="10" fillId="39" borderId="24" xfId="0" applyFont="1" applyFill="1" applyBorder="1" applyAlignment="1">
      <alignment vertical="center" wrapText="1"/>
    </xf>
    <xf numFmtId="0" fontId="4" fillId="39" borderId="9" xfId="0" applyFont="1" applyFill="1" applyBorder="1" applyAlignment="1">
      <alignment vertical="center" wrapText="1"/>
    </xf>
    <xf numFmtId="0" fontId="4" fillId="39" borderId="1" xfId="0" applyFont="1" applyFill="1" applyBorder="1" applyAlignment="1">
      <alignment vertical="center" wrapText="1"/>
    </xf>
    <xf numFmtId="0" fontId="309" fillId="2" borderId="0" xfId="0" applyFont="1" applyFill="1" applyAlignment="1">
      <alignment horizontal="center" vertical="center" wrapText="1"/>
    </xf>
    <xf numFmtId="37" fontId="4" fillId="27" borderId="1" xfId="0" applyNumberFormat="1" applyFont="1" applyFill="1" applyBorder="1"/>
    <xf numFmtId="37" fontId="4" fillId="27" borderId="4" xfId="0" applyNumberFormat="1" applyFont="1" applyFill="1" applyBorder="1"/>
    <xf numFmtId="4" fontId="30" fillId="5" borderId="0" xfId="0" applyNumberFormat="1" applyFont="1" applyFill="1" applyAlignment="1">
      <alignment horizontal="center" vertical="center" textRotation="90"/>
    </xf>
    <xf numFmtId="0" fontId="4" fillId="39" borderId="3" xfId="0" applyFont="1" applyFill="1" applyBorder="1" applyAlignment="1">
      <alignment horizontal="center" vertical="center" wrapText="1"/>
    </xf>
    <xf numFmtId="0" fontId="0" fillId="0" borderId="4" xfId="0" applyBorder="1" applyAlignment="1">
      <alignment horizontal="center"/>
    </xf>
    <xf numFmtId="0" fontId="4" fillId="39" borderId="3" xfId="0" applyFont="1" applyFill="1" applyBorder="1" applyAlignment="1">
      <alignment vertical="center" wrapText="1"/>
    </xf>
    <xf numFmtId="0" fontId="10" fillId="39" borderId="6" xfId="0" applyFont="1" applyFill="1" applyBorder="1" applyAlignment="1">
      <alignment vertical="top" wrapText="1"/>
    </xf>
    <xf numFmtId="0" fontId="4" fillId="39" borderId="0" xfId="0" applyFont="1" applyFill="1" applyAlignment="1">
      <alignment vertical="center" wrapText="1"/>
    </xf>
    <xf numFmtId="0" fontId="6" fillId="39" borderId="24" xfId="0" applyFont="1" applyFill="1" applyBorder="1" applyAlignment="1">
      <alignment horizontal="right" vertical="top"/>
    </xf>
    <xf numFmtId="0" fontId="8" fillId="18" borderId="1" xfId="0" applyFont="1" applyFill="1" applyBorder="1" applyAlignment="1">
      <alignment vertical="top"/>
    </xf>
    <xf numFmtId="0" fontId="309" fillId="2" borderId="0" xfId="0" applyFont="1" applyFill="1" applyAlignment="1">
      <alignment vertical="center" wrapText="1"/>
    </xf>
    <xf numFmtId="0" fontId="4" fillId="15" borderId="0" xfId="0" applyFont="1" applyFill="1" applyAlignment="1">
      <alignment horizontal="left" wrapText="1"/>
    </xf>
    <xf numFmtId="0" fontId="137" fillId="15" borderId="0" xfId="0" applyFont="1" applyFill="1" applyAlignment="1">
      <alignment vertical="center" wrapText="1"/>
    </xf>
    <xf numFmtId="0" fontId="10" fillId="15" borderId="13" xfId="0" applyFont="1" applyFill="1" applyBorder="1" applyAlignment="1">
      <alignment horizontal="left" vertical="center"/>
    </xf>
    <xf numFmtId="0" fontId="10" fillId="39" borderId="99" xfId="0" applyFont="1" applyFill="1" applyBorder="1" applyAlignment="1">
      <alignment horizontal="left" vertical="center"/>
    </xf>
    <xf numFmtId="0" fontId="9" fillId="15" borderId="0" xfId="0" applyFont="1" applyFill="1" applyAlignment="1">
      <alignment horizontal="left" vertical="center" wrapText="1" indent="1"/>
    </xf>
    <xf numFmtId="0" fontId="158" fillId="0" borderId="0" xfId="0" applyFont="1"/>
    <xf numFmtId="14" fontId="6" fillId="15" borderId="0" xfId="0" applyNumberFormat="1" applyFont="1" applyFill="1" applyAlignment="1">
      <alignment horizontal="center"/>
    </xf>
    <xf numFmtId="4" fontId="9" fillId="5" borderId="0" xfId="0" applyNumberFormat="1" applyFont="1" applyFill="1" applyAlignment="1">
      <alignment horizontal="center" vertical="center" textRotation="90"/>
    </xf>
    <xf numFmtId="0" fontId="4" fillId="39" borderId="9" xfId="0" applyFont="1" applyFill="1" applyBorder="1" applyAlignment="1">
      <alignment horizontal="center"/>
    </xf>
    <xf numFmtId="0" fontId="8" fillId="2" borderId="0" xfId="0" applyFont="1" applyFill="1" applyAlignment="1">
      <alignment horizontal="left" vertical="top"/>
    </xf>
    <xf numFmtId="4" fontId="121" fillId="15" borderId="0" xfId="0" applyNumberFormat="1" applyFont="1" applyFill="1" applyAlignment="1">
      <alignment horizontal="left"/>
    </xf>
    <xf numFmtId="4" fontId="121" fillId="15" borderId="24" xfId="0" applyNumberFormat="1" applyFont="1" applyFill="1" applyBorder="1" applyAlignment="1">
      <alignment horizontal="left"/>
    </xf>
    <xf numFmtId="0" fontId="8" fillId="0" borderId="8" xfId="0" applyFont="1" applyBorder="1" applyAlignment="1">
      <alignment horizontal="left"/>
    </xf>
    <xf numFmtId="0" fontId="8" fillId="0" borderId="25" xfId="0" applyFont="1" applyBorder="1" applyAlignment="1">
      <alignment horizontal="left"/>
    </xf>
    <xf numFmtId="0" fontId="20" fillId="15" borderId="7" xfId="0" applyFont="1" applyFill="1" applyBorder="1" applyAlignment="1">
      <alignment horizontal="left" vertical="center" wrapText="1"/>
    </xf>
    <xf numFmtId="6" fontId="37" fillId="2" borderId="0" xfId="0" applyNumberFormat="1" applyFont="1" applyFill="1" applyAlignment="1">
      <alignment horizontal="right"/>
    </xf>
    <xf numFmtId="4" fontId="76" fillId="2" borderId="8" xfId="0" applyNumberFormat="1" applyFont="1" applyFill="1" applyBorder="1" applyAlignment="1">
      <alignment horizontal="left" vertical="center"/>
    </xf>
    <xf numFmtId="4" fontId="76" fillId="2" borderId="14" xfId="0" applyNumberFormat="1" applyFont="1" applyFill="1" applyBorder="1" applyAlignment="1">
      <alignment horizontal="left" vertical="center"/>
    </xf>
    <xf numFmtId="0" fontId="109" fillId="15" borderId="3" xfId="0" applyFont="1" applyFill="1" applyBorder="1"/>
    <xf numFmtId="0" fontId="10" fillId="39" borderId="1" xfId="0" applyFont="1" applyFill="1" applyBorder="1" applyAlignment="1">
      <alignment vertical="center"/>
    </xf>
    <xf numFmtId="0" fontId="9" fillId="39" borderId="25" xfId="0" applyFont="1" applyFill="1" applyBorder="1" applyAlignment="1">
      <alignment vertical="center"/>
    </xf>
    <xf numFmtId="0" fontId="4" fillId="15" borderId="3" xfId="0" applyFont="1" applyFill="1" applyBorder="1" applyAlignment="1">
      <alignment horizontal="left" wrapText="1"/>
    </xf>
    <xf numFmtId="0" fontId="4" fillId="39" borderId="1" xfId="0" applyFont="1" applyFill="1" applyBorder="1" applyAlignment="1">
      <alignment horizontal="center"/>
    </xf>
    <xf numFmtId="0" fontId="9" fillId="39" borderId="0" xfId="0" applyFont="1" applyFill="1" applyAlignment="1">
      <alignment horizontal="center"/>
    </xf>
    <xf numFmtId="0" fontId="8" fillId="39" borderId="3" xfId="0" applyFont="1" applyFill="1" applyBorder="1"/>
    <xf numFmtId="6" fontId="10" fillId="2" borderId="3" xfId="0" applyNumberFormat="1" applyFont="1" applyFill="1" applyBorder="1" applyAlignment="1">
      <alignment horizontal="right"/>
    </xf>
    <xf numFmtId="6" fontId="8" fillId="2" borderId="24" xfId="0" applyNumberFormat="1" applyFont="1" applyFill="1" applyBorder="1" applyAlignment="1">
      <alignment horizontal="right"/>
    </xf>
    <xf numFmtId="6" fontId="37" fillId="2" borderId="3" xfId="0" applyNumberFormat="1" applyFont="1" applyFill="1" applyBorder="1" applyAlignment="1">
      <alignment horizontal="left"/>
    </xf>
    <xf numFmtId="6" fontId="8" fillId="2" borderId="3" xfId="0" applyNumberFormat="1" applyFont="1" applyFill="1" applyBorder="1" applyAlignment="1">
      <alignment horizontal="left"/>
    </xf>
    <xf numFmtId="0" fontId="4" fillId="39" borderId="0" xfId="0" applyFont="1" applyFill="1" applyAlignment="1">
      <alignment horizontal="right" vertical="center" indent="1"/>
    </xf>
    <xf numFmtId="0" fontId="4" fillId="39" borderId="0" xfId="0" applyFont="1" applyFill="1" applyAlignment="1">
      <alignment horizontal="left" vertical="center"/>
    </xf>
    <xf numFmtId="6" fontId="102" fillId="2" borderId="3" xfId="0" applyNumberFormat="1" applyFont="1" applyFill="1" applyBorder="1"/>
    <xf numFmtId="6" fontId="10" fillId="2" borderId="11" xfId="0" applyNumberFormat="1" applyFont="1" applyFill="1" applyBorder="1" applyAlignment="1">
      <alignment horizontal="left"/>
    </xf>
    <xf numFmtId="6" fontId="8" fillId="2" borderId="9" xfId="0" applyNumberFormat="1" applyFont="1" applyFill="1" applyBorder="1" applyAlignment="1">
      <alignment horizontal="left"/>
    </xf>
    <xf numFmtId="0" fontId="15" fillId="15" borderId="3" xfId="0" applyFont="1" applyFill="1" applyBorder="1" applyAlignment="1">
      <alignment vertical="top" wrapText="1"/>
    </xf>
    <xf numFmtId="0" fontId="15" fillId="15" borderId="3" xfId="0" applyFont="1" applyFill="1" applyBorder="1" applyAlignment="1">
      <alignment vertical="center"/>
    </xf>
    <xf numFmtId="0" fontId="9" fillId="15" borderId="24" xfId="0" applyFont="1" applyFill="1" applyBorder="1" applyAlignment="1">
      <alignment horizontal="left" vertical="center" wrapText="1" indent="1"/>
    </xf>
    <xf numFmtId="6" fontId="10" fillId="2" borderId="24" xfId="0" applyNumberFormat="1" applyFont="1" applyFill="1" applyBorder="1" applyAlignment="1">
      <alignment horizontal="left"/>
    </xf>
    <xf numFmtId="6" fontId="8" fillId="2" borderId="1" xfId="0" applyNumberFormat="1" applyFont="1" applyFill="1" applyBorder="1" applyAlignment="1">
      <alignment horizontal="left" vertical="top"/>
    </xf>
    <xf numFmtId="0" fontId="15" fillId="15" borderId="25" xfId="0" applyFont="1" applyFill="1" applyBorder="1" applyAlignment="1">
      <alignment horizontal="left" vertical="center"/>
    </xf>
    <xf numFmtId="0" fontId="4" fillId="15" borderId="25" xfId="0" applyFont="1" applyFill="1" applyBorder="1" applyAlignment="1">
      <alignment horizontal="left" vertical="center"/>
    </xf>
    <xf numFmtId="0" fontId="6" fillId="15" borderId="4" xfId="0" applyFont="1" applyFill="1" applyBorder="1" applyAlignment="1">
      <alignment horizontal="center" vertical="center"/>
    </xf>
    <xf numFmtId="6" fontId="10" fillId="2" borderId="3" xfId="0" applyNumberFormat="1" applyFont="1" applyFill="1" applyBorder="1" applyAlignment="1">
      <alignment horizontal="left"/>
    </xf>
    <xf numFmtId="6" fontId="10" fillId="2" borderId="9" xfId="0" applyNumberFormat="1" applyFont="1" applyFill="1" applyBorder="1" applyAlignment="1">
      <alignment horizontal="left"/>
    </xf>
    <xf numFmtId="0" fontId="4" fillId="2" borderId="0" xfId="0" applyFont="1" applyFill="1" applyAlignment="1">
      <alignment wrapText="1"/>
    </xf>
    <xf numFmtId="0" fontId="15" fillId="2" borderId="0" xfId="0" applyFont="1" applyFill="1" applyAlignment="1">
      <alignment wrapText="1"/>
    </xf>
    <xf numFmtId="0" fontId="6" fillId="39" borderId="1" xfId="0" applyFont="1" applyFill="1" applyBorder="1"/>
    <xf numFmtId="37" fontId="0" fillId="15" borderId="3" xfId="0" applyNumberFormat="1" applyFill="1" applyBorder="1"/>
    <xf numFmtId="0" fontId="4" fillId="16" borderId="99" xfId="0" applyFont="1" applyFill="1" applyBorder="1" applyProtection="1">
      <protection locked="0"/>
    </xf>
    <xf numFmtId="1" fontId="4" fillId="19" borderId="15" xfId="0" applyNumberFormat="1" applyFont="1" applyFill="1" applyBorder="1" applyAlignment="1">
      <alignment vertical="center"/>
    </xf>
    <xf numFmtId="1" fontId="4" fillId="19" borderId="6" xfId="0" applyNumberFormat="1" applyFont="1" applyFill="1" applyBorder="1" applyAlignment="1">
      <alignment vertical="center"/>
    </xf>
    <xf numFmtId="0" fontId="109" fillId="15" borderId="24" xfId="0" applyFont="1" applyFill="1" applyBorder="1"/>
    <xf numFmtId="4" fontId="0" fillId="15" borderId="3" xfId="0" applyNumberFormat="1" applyFill="1" applyBorder="1"/>
    <xf numFmtId="4" fontId="0" fillId="15" borderId="24" xfId="0" applyNumberFormat="1" applyFill="1" applyBorder="1"/>
    <xf numFmtId="0" fontId="346" fillId="15" borderId="0" xfId="0" applyFont="1" applyFill="1" applyAlignment="1">
      <alignment horizontal="left"/>
    </xf>
    <xf numFmtId="0" fontId="211" fillId="15" borderId="0" xfId="0" applyFont="1" applyFill="1" applyAlignment="1">
      <alignment horizontal="right" wrapText="1"/>
    </xf>
    <xf numFmtId="0" fontId="125" fillId="2" borderId="0" xfId="0" applyFont="1" applyFill="1" applyAlignment="1">
      <alignment horizontal="left"/>
    </xf>
    <xf numFmtId="0" fontId="211" fillId="2" borderId="0" xfId="0" applyFont="1" applyFill="1" applyAlignment="1">
      <alignment horizontal="center"/>
    </xf>
    <xf numFmtId="0" fontId="211" fillId="2" borderId="0" xfId="0" applyFont="1" applyFill="1" applyAlignment="1">
      <alignment horizontal="center" vertical="center"/>
    </xf>
    <xf numFmtId="0" fontId="112" fillId="2" borderId="0" xfId="0" applyFont="1" applyFill="1" applyAlignment="1">
      <alignment horizontal="center"/>
    </xf>
    <xf numFmtId="3" fontId="11" fillId="15" borderId="1" xfId="0" applyNumberFormat="1" applyFont="1" applyFill="1" applyBorder="1" applyProtection="1">
      <protection locked="0"/>
    </xf>
    <xf numFmtId="0" fontId="85" fillId="15" borderId="5" xfId="0" applyFont="1" applyFill="1" applyBorder="1" applyAlignment="1">
      <alignment horizontal="centerContinuous"/>
    </xf>
    <xf numFmtId="0" fontId="9" fillId="15" borderId="56" xfId="0" applyFont="1" applyFill="1" applyBorder="1"/>
    <xf numFmtId="0" fontId="168" fillId="15" borderId="0" xfId="0" applyFont="1" applyFill="1" applyAlignment="1">
      <alignment horizontal="center"/>
    </xf>
    <xf numFmtId="18" fontId="11" fillId="15" borderId="0" xfId="0" applyNumberFormat="1" applyFont="1" applyFill="1" applyAlignment="1">
      <alignment horizontal="center"/>
    </xf>
    <xf numFmtId="0" fontId="14" fillId="23" borderId="6" xfId="0" applyFont="1" applyFill="1" applyBorder="1"/>
    <xf numFmtId="37" fontId="123" fillId="15" borderId="30" xfId="0" applyNumberFormat="1" applyFont="1" applyFill="1" applyBorder="1"/>
    <xf numFmtId="37" fontId="123" fillId="15" borderId="8" xfId="0" applyNumberFormat="1" applyFont="1" applyFill="1" applyBorder="1"/>
    <xf numFmtId="0" fontId="112" fillId="15" borderId="0" xfId="0" applyFont="1" applyFill="1" applyAlignment="1">
      <alignment vertical="top" wrapText="1"/>
    </xf>
    <xf numFmtId="0" fontId="158" fillId="15" borderId="0" xfId="0" applyFont="1" applyFill="1" applyAlignment="1">
      <alignment vertical="center"/>
    </xf>
    <xf numFmtId="0" fontId="112" fillId="15" borderId="0" xfId="0" applyFont="1" applyFill="1" applyAlignment="1">
      <alignment horizontal="center" vertical="top" wrapText="1"/>
    </xf>
    <xf numFmtId="0" fontId="15" fillId="15" borderId="6" xfId="0" applyFont="1" applyFill="1" applyBorder="1" applyAlignment="1">
      <alignment horizontal="center"/>
    </xf>
    <xf numFmtId="0" fontId="15" fillId="15" borderId="6" xfId="0" applyFont="1" applyFill="1" applyBorder="1"/>
    <xf numFmtId="0" fontId="15" fillId="15" borderId="30" xfId="0" applyFont="1" applyFill="1" applyBorder="1"/>
    <xf numFmtId="0" fontId="15" fillId="15" borderId="14" xfId="0" applyFont="1" applyFill="1" applyBorder="1"/>
    <xf numFmtId="0" fontId="15" fillId="15" borderId="16" xfId="0" applyFont="1" applyFill="1" applyBorder="1" applyAlignment="1">
      <alignment horizontal="left"/>
    </xf>
    <xf numFmtId="0" fontId="0" fillId="15" borderId="16" xfId="0" applyFill="1" applyBorder="1" applyAlignment="1">
      <alignment horizontal="right" indent="1"/>
    </xf>
    <xf numFmtId="0" fontId="10" fillId="15" borderId="16" xfId="0" applyFont="1" applyFill="1" applyBorder="1"/>
    <xf numFmtId="0" fontId="4" fillId="15" borderId="16" xfId="0" applyFont="1" applyFill="1" applyBorder="1" applyAlignment="1">
      <alignment horizontal="right"/>
    </xf>
    <xf numFmtId="0" fontId="8" fillId="15" borderId="4" xfId="0" applyFont="1" applyFill="1" applyBorder="1" applyAlignment="1">
      <alignment horizontal="left"/>
    </xf>
    <xf numFmtId="1" fontId="0" fillId="10" borderId="0" xfId="0" applyNumberFormat="1" applyFill="1" applyAlignment="1">
      <alignment vertical="center" wrapText="1"/>
    </xf>
    <xf numFmtId="0" fontId="112" fillId="15" borderId="0" xfId="0" applyFont="1" applyFill="1" applyAlignment="1">
      <alignment horizontal="right" vertical="top" wrapText="1"/>
    </xf>
    <xf numFmtId="0" fontId="4" fillId="15" borderId="25" xfId="0" applyFont="1" applyFill="1" applyBorder="1" applyAlignment="1">
      <alignment horizontal="left" indent="1"/>
    </xf>
    <xf numFmtId="0" fontId="0" fillId="15" borderId="25" xfId="0" applyFill="1" applyBorder="1" applyAlignment="1">
      <alignment horizontal="right" indent="1"/>
    </xf>
    <xf numFmtId="0" fontId="10" fillId="15" borderId="0" xfId="0" applyFont="1" applyFill="1" applyAlignment="1">
      <alignment horizontal="right" vertical="top" wrapText="1"/>
    </xf>
    <xf numFmtId="14" fontId="199" fillId="15" borderId="0" xfId="0" applyNumberFormat="1" applyFont="1" applyFill="1" applyAlignment="1">
      <alignment horizontal="center" vertical="center" wrapText="1"/>
    </xf>
    <xf numFmtId="0" fontId="4" fillId="15" borderId="1" xfId="0" applyFont="1" applyFill="1" applyBorder="1" applyAlignment="1">
      <alignment horizontal="left" indent="1"/>
    </xf>
    <xf numFmtId="37" fontId="9" fillId="15" borderId="11" xfId="0" applyNumberFormat="1" applyFont="1" applyFill="1" applyBorder="1"/>
    <xf numFmtId="37" fontId="9" fillId="15" borderId="1" xfId="0" applyNumberFormat="1" applyFont="1" applyFill="1" applyBorder="1"/>
    <xf numFmtId="0" fontId="25" fillId="23" borderId="0" xfId="0" applyFont="1" applyFill="1"/>
    <xf numFmtId="0" fontId="146" fillId="0" borderId="0" xfId="0" applyFont="1" applyAlignment="1">
      <alignment horizontal="left"/>
    </xf>
    <xf numFmtId="0" fontId="14" fillId="15" borderId="15" xfId="0" applyFont="1" applyFill="1" applyBorder="1"/>
    <xf numFmtId="0" fontId="11" fillId="15" borderId="1" xfId="0" applyFont="1" applyFill="1" applyBorder="1" applyAlignment="1">
      <alignment horizontal="right"/>
    </xf>
    <xf numFmtId="0" fontId="44" fillId="16" borderId="12" xfId="0" applyFont="1" applyFill="1" applyBorder="1" applyAlignment="1" applyProtection="1">
      <alignment horizontal="center" vertical="center"/>
      <protection locked="0"/>
    </xf>
    <xf numFmtId="4" fontId="31" fillId="15" borderId="0" xfId="0" applyNumberFormat="1" applyFont="1" applyFill="1" applyAlignment="1">
      <alignment horizontal="right"/>
    </xf>
    <xf numFmtId="0" fontId="116" fillId="15" borderId="23" xfId="0" applyFont="1" applyFill="1" applyBorder="1" applyAlignment="1">
      <alignment horizontal="center" vertical="center"/>
    </xf>
    <xf numFmtId="0" fontId="110" fillId="15" borderId="7" xfId="0" applyFont="1" applyFill="1" applyBorder="1" applyAlignment="1">
      <alignment horizontal="center" vertical="center"/>
    </xf>
    <xf numFmtId="0" fontId="0" fillId="15" borderId="7" xfId="0" applyFill="1" applyBorder="1" applyAlignment="1">
      <alignment horizontal="centerContinuous" vertical="center"/>
    </xf>
    <xf numFmtId="0" fontId="212" fillId="15" borderId="5" xfId="0" applyFont="1" applyFill="1" applyBorder="1" applyAlignment="1">
      <alignment horizontal="left" vertical="center" indent="1"/>
    </xf>
    <xf numFmtId="0" fontId="212" fillId="15" borderId="0" xfId="0" applyFont="1" applyFill="1" applyAlignment="1">
      <alignment horizontal="center" vertical="center"/>
    </xf>
    <xf numFmtId="0" fontId="6" fillId="15" borderId="5" xfId="0" applyFont="1" applyFill="1" applyBorder="1" applyAlignment="1">
      <alignment horizontal="center" wrapText="1"/>
    </xf>
    <xf numFmtId="0" fontId="0" fillId="15" borderId="0" xfId="0" applyFill="1" applyAlignment="1">
      <alignment horizontal="centerContinuous" vertical="center"/>
    </xf>
    <xf numFmtId="0" fontId="6" fillId="15" borderId="20" xfId="0" applyFont="1" applyFill="1" applyBorder="1" applyAlignment="1">
      <alignment horizontal="center" vertical="center"/>
    </xf>
    <xf numFmtId="0" fontId="6" fillId="15" borderId="220" xfId="0" applyFont="1" applyFill="1" applyBorder="1" applyAlignment="1">
      <alignment horizontal="center"/>
    </xf>
    <xf numFmtId="3" fontId="6" fillId="15" borderId="78" xfId="0" applyNumberFormat="1" applyFont="1" applyFill="1" applyBorder="1" applyAlignment="1">
      <alignment horizontal="center" vertical="center"/>
    </xf>
    <xf numFmtId="0" fontId="6" fillId="15" borderId="221" xfId="0" quotePrefix="1" applyFont="1" applyFill="1" applyBorder="1" applyAlignment="1">
      <alignment horizontal="center"/>
    </xf>
    <xf numFmtId="37" fontId="6" fillId="15" borderId="157" xfId="0" applyNumberFormat="1" applyFont="1" applyFill="1" applyBorder="1" applyAlignment="1">
      <alignment horizontal="right" vertical="center"/>
    </xf>
    <xf numFmtId="37" fontId="6" fillId="15" borderId="222" xfId="0" applyNumberFormat="1" applyFont="1" applyFill="1" applyBorder="1" applyAlignment="1">
      <alignment horizontal="right" vertical="center"/>
    </xf>
    <xf numFmtId="3" fontId="6" fillId="15" borderId="78" xfId="0" applyNumberFormat="1" applyFont="1" applyFill="1" applyBorder="1" applyAlignment="1">
      <alignment horizontal="center"/>
    </xf>
    <xf numFmtId="0" fontId="6" fillId="15" borderId="223" xfId="0" quotePrefix="1" applyFont="1" applyFill="1" applyBorder="1" applyAlignment="1">
      <alignment horizontal="center"/>
    </xf>
    <xf numFmtId="37" fontId="6" fillId="15" borderId="39" xfId="0" applyNumberFormat="1" applyFont="1" applyFill="1" applyBorder="1" applyAlignment="1">
      <alignment horizontal="right" vertical="center"/>
    </xf>
    <xf numFmtId="37" fontId="6" fillId="15" borderId="12" xfId="0" applyNumberFormat="1" applyFont="1" applyFill="1" applyBorder="1" applyAlignment="1">
      <alignment horizontal="right" vertical="center"/>
    </xf>
    <xf numFmtId="0" fontId="167" fillId="15" borderId="19" xfId="0" applyFont="1" applyFill="1" applyBorder="1" applyAlignment="1">
      <alignment horizontal="center" vertical="center" wrapText="1"/>
    </xf>
    <xf numFmtId="0" fontId="167" fillId="15" borderId="20" xfId="0" applyFont="1" applyFill="1" applyBorder="1" applyAlignment="1">
      <alignment horizontal="center" vertical="center" wrapText="1"/>
    </xf>
    <xf numFmtId="3" fontId="122" fillId="15" borderId="0" xfId="0" applyNumberFormat="1" applyFont="1" applyFill="1"/>
    <xf numFmtId="0" fontId="116" fillId="15" borderId="0" xfId="0" applyFont="1" applyFill="1" applyAlignment="1">
      <alignment horizontal="left"/>
    </xf>
    <xf numFmtId="0" fontId="6" fillId="15" borderId="80" xfId="0" applyFont="1" applyFill="1" applyBorder="1" applyAlignment="1">
      <alignment horizontal="right"/>
    </xf>
    <xf numFmtId="37" fontId="6" fillId="15" borderId="30" xfId="0" applyNumberFormat="1" applyFont="1" applyFill="1" applyBorder="1" applyAlignment="1">
      <alignment horizontal="right" vertical="center"/>
    </xf>
    <xf numFmtId="37" fontId="6" fillId="15" borderId="15" xfId="0" applyNumberFormat="1" applyFont="1" applyFill="1" applyBorder="1" applyAlignment="1">
      <alignment horizontal="right" vertical="center"/>
    </xf>
    <xf numFmtId="0" fontId="0" fillId="15" borderId="31" xfId="0" applyFill="1" applyBorder="1"/>
    <xf numFmtId="0" fontId="0" fillId="15" borderId="111" xfId="0" applyFill="1" applyBorder="1"/>
    <xf numFmtId="37" fontId="112" fillId="15" borderId="0" xfId="0" applyNumberFormat="1" applyFont="1" applyFill="1" applyAlignment="1">
      <alignment vertical="center"/>
    </xf>
    <xf numFmtId="0" fontId="9" fillId="15" borderId="9" xfId="0" applyFont="1" applyFill="1" applyBorder="1" applyAlignment="1">
      <alignment horizontal="left" vertical="center" wrapText="1" indent="1"/>
    </xf>
    <xf numFmtId="0" fontId="0" fillId="0" borderId="51" xfId="0" applyBorder="1" applyAlignment="1">
      <alignment horizontal="center"/>
    </xf>
    <xf numFmtId="0" fontId="110" fillId="15" borderId="24" xfId="0" applyFont="1" applyFill="1" applyBorder="1"/>
    <xf numFmtId="0" fontId="6" fillId="39" borderId="25" xfId="0" applyFont="1" applyFill="1" applyBorder="1" applyAlignment="1">
      <alignment horizontal="left" vertical="center"/>
    </xf>
    <xf numFmtId="0" fontId="9" fillId="15" borderId="11" xfId="0" applyFont="1" applyFill="1" applyBorder="1" applyAlignment="1">
      <alignment horizontal="left" vertical="center" wrapText="1" indent="1"/>
    </xf>
    <xf numFmtId="0" fontId="9" fillId="15" borderId="4" xfId="0" applyFont="1" applyFill="1" applyBorder="1" applyAlignment="1">
      <alignment horizontal="left" vertical="center" wrapText="1" indent="1"/>
    </xf>
    <xf numFmtId="166" fontId="4" fillId="39" borderId="4" xfId="0" applyNumberFormat="1" applyFont="1" applyFill="1" applyBorder="1" applyAlignment="1" applyProtection="1">
      <alignment horizontal="right"/>
      <protection locked="0"/>
    </xf>
    <xf numFmtId="1" fontId="4" fillId="39" borderId="51" xfId="0" applyNumberFormat="1" applyFont="1" applyFill="1" applyBorder="1" applyAlignment="1">
      <alignment horizontal="center" vertical="center"/>
    </xf>
    <xf numFmtId="0" fontId="6" fillId="39" borderId="3" xfId="0" applyFont="1" applyFill="1" applyBorder="1" applyAlignment="1">
      <alignment horizontal="left"/>
    </xf>
    <xf numFmtId="0" fontId="6" fillId="39" borderId="0" xfId="0" applyFont="1" applyFill="1" applyAlignment="1">
      <alignment vertical="center"/>
    </xf>
    <xf numFmtId="0" fontId="6" fillId="39" borderId="8" xfId="0" applyFont="1" applyFill="1" applyBorder="1" applyAlignment="1">
      <alignment vertical="center"/>
    </xf>
    <xf numFmtId="0" fontId="6" fillId="39" borderId="0" xfId="0" applyFont="1" applyFill="1" applyAlignment="1">
      <alignment vertical="top"/>
    </xf>
    <xf numFmtId="0" fontId="8" fillId="15" borderId="3" xfId="0" applyFont="1" applyFill="1" applyBorder="1" applyAlignment="1">
      <alignment horizontal="left"/>
    </xf>
    <xf numFmtId="0" fontId="119" fillId="2" borderId="0" xfId="0" applyFont="1" applyFill="1" applyAlignment="1">
      <alignment vertical="center"/>
    </xf>
    <xf numFmtId="0" fontId="131" fillId="15" borderId="0" xfId="0" applyFont="1" applyFill="1"/>
    <xf numFmtId="0" fontId="0" fillId="0" borderId="43" xfId="0" applyBorder="1" applyAlignment="1">
      <alignment horizontal="center"/>
    </xf>
    <xf numFmtId="0" fontId="0" fillId="0" borderId="12" xfId="0" applyBorder="1" applyAlignment="1">
      <alignment horizontal="center"/>
    </xf>
    <xf numFmtId="182" fontId="8" fillId="0" borderId="0" xfId="0" applyNumberFormat="1" applyFont="1" applyAlignment="1">
      <alignment horizontal="center" vertical="top"/>
    </xf>
    <xf numFmtId="0" fontId="0" fillId="0" borderId="109" xfId="0" applyBorder="1" applyAlignment="1">
      <alignment horizontal="center"/>
    </xf>
    <xf numFmtId="0" fontId="0" fillId="0" borderId="46" xfId="0" applyBorder="1" applyAlignment="1">
      <alignment horizontal="center"/>
    </xf>
    <xf numFmtId="0" fontId="0" fillId="0" borderId="50" xfId="0" applyBorder="1" applyAlignment="1">
      <alignment horizontal="center"/>
    </xf>
    <xf numFmtId="0" fontId="348" fillId="15" borderId="0" xfId="0" applyFont="1" applyFill="1" applyAlignment="1">
      <alignment horizontal="left" vertical="center" indent="1"/>
    </xf>
    <xf numFmtId="0" fontId="67" fillId="15" borderId="0" xfId="2" applyFill="1" applyBorder="1" applyAlignment="1" applyProtection="1"/>
    <xf numFmtId="0" fontId="347" fillId="15" borderId="7" xfId="0" applyFont="1" applyFill="1" applyBorder="1" applyAlignment="1">
      <alignment vertical="center"/>
    </xf>
    <xf numFmtId="0" fontId="348" fillId="15" borderId="0" xfId="0" applyFont="1" applyFill="1" applyAlignment="1">
      <alignment vertical="center"/>
    </xf>
    <xf numFmtId="0" fontId="0" fillId="15" borderId="0" xfId="0" quotePrefix="1" applyFill="1" applyAlignment="1">
      <alignment horizontal="right" vertical="center" indent="1"/>
    </xf>
    <xf numFmtId="0" fontId="351" fillId="15" borderId="0" xfId="0" applyFont="1" applyFill="1" applyAlignment="1">
      <alignment vertical="center"/>
    </xf>
    <xf numFmtId="0" fontId="0" fillId="15" borderId="0" xfId="0" quotePrefix="1" applyFill="1" applyAlignment="1">
      <alignment horizontal="right" indent="1"/>
    </xf>
    <xf numFmtId="0" fontId="14" fillId="15" borderId="0" xfId="0" applyFont="1" applyFill="1" applyAlignment="1">
      <alignment horizontal="left" vertical="center" indent="1"/>
    </xf>
    <xf numFmtId="0" fontId="6" fillId="15" borderId="8" xfId="0" applyFont="1" applyFill="1" applyBorder="1" applyAlignment="1">
      <alignment horizontal="center"/>
    </xf>
    <xf numFmtId="0" fontId="6" fillId="15" borderId="14" xfId="0" applyFont="1" applyFill="1" applyBorder="1" applyAlignment="1">
      <alignment horizontal="center"/>
    </xf>
    <xf numFmtId="173" fontId="116" fillId="15" borderId="0" xfId="0" applyNumberFormat="1" applyFont="1" applyFill="1" applyAlignment="1" applyProtection="1">
      <alignment horizontal="right" vertical="center"/>
      <protection locked="0"/>
    </xf>
    <xf numFmtId="0" fontId="15" fillId="0" borderId="0" xfId="0" applyFont="1"/>
    <xf numFmtId="0" fontId="0" fillId="0" borderId="47" xfId="0" applyBorder="1" applyAlignment="1">
      <alignment horizontal="center"/>
    </xf>
    <xf numFmtId="0" fontId="0" fillId="0" borderId="39" xfId="0" applyBorder="1" applyAlignment="1">
      <alignment horizontal="center"/>
    </xf>
    <xf numFmtId="0" fontId="0" fillId="0" borderId="52" xfId="0" applyBorder="1" applyAlignment="1">
      <alignment horizontal="center"/>
    </xf>
    <xf numFmtId="0" fontId="0" fillId="0" borderId="224" xfId="0" applyBorder="1" applyAlignment="1">
      <alignment horizontal="center"/>
    </xf>
    <xf numFmtId="0" fontId="0" fillId="0" borderId="225" xfId="0" applyBorder="1" applyAlignment="1">
      <alignment horizontal="center"/>
    </xf>
    <xf numFmtId="0" fontId="0" fillId="0" borderId="226" xfId="0" applyBorder="1" applyAlignment="1">
      <alignment horizontal="center"/>
    </xf>
    <xf numFmtId="0" fontId="0" fillId="0" borderId="227" xfId="0" applyBorder="1" applyAlignment="1">
      <alignment horizontal="center"/>
    </xf>
    <xf numFmtId="0" fontId="0" fillId="0" borderId="228" xfId="0" applyBorder="1" applyAlignment="1">
      <alignment horizontal="center"/>
    </xf>
    <xf numFmtId="0" fontId="0" fillId="0" borderId="229" xfId="0" applyBorder="1" applyAlignment="1">
      <alignment horizontal="center"/>
    </xf>
    <xf numFmtId="0" fontId="0" fillId="0" borderId="230" xfId="0" applyBorder="1" applyAlignment="1">
      <alignment horizontal="center"/>
    </xf>
    <xf numFmtId="0" fontId="0" fillId="0" borderId="231" xfId="0" applyBorder="1" applyAlignment="1">
      <alignment horizontal="center"/>
    </xf>
    <xf numFmtId="0" fontId="4" fillId="0" borderId="0" xfId="0" applyFont="1" applyAlignment="1">
      <alignment textRotation="90"/>
    </xf>
    <xf numFmtId="0" fontId="0" fillId="0" borderId="232" xfId="0" applyBorder="1" applyAlignment="1">
      <alignment horizontal="center"/>
    </xf>
    <xf numFmtId="185" fontId="6" fillId="15" borderId="0" xfId="4" applyNumberFormat="1" applyFill="1"/>
    <xf numFmtId="185" fontId="146" fillId="15" borderId="0" xfId="0" applyNumberFormat="1" applyFont="1" applyFill="1"/>
    <xf numFmtId="0" fontId="143" fillId="14" borderId="0" xfId="0" applyFont="1" applyFill="1" applyAlignment="1" applyProtection="1">
      <alignment horizontal="right"/>
      <protection hidden="1"/>
    </xf>
    <xf numFmtId="0" fontId="8" fillId="14" borderId="0" xfId="0" applyFont="1" applyFill="1" applyAlignment="1">
      <alignment horizontal="left" indent="1"/>
    </xf>
    <xf numFmtId="0" fontId="8" fillId="15" borderId="13" xfId="0" applyFont="1" applyFill="1" applyBorder="1" applyAlignment="1">
      <alignment horizontal="left" vertical="top" indent="1"/>
    </xf>
    <xf numFmtId="0" fontId="6" fillId="3" borderId="0" xfId="0" applyFont="1" applyFill="1" applyAlignment="1">
      <alignment horizontal="left" indent="1"/>
    </xf>
    <xf numFmtId="0" fontId="172" fillId="3" borderId="0" xfId="0" applyFont="1" applyFill="1" applyAlignment="1">
      <alignment horizontal="center" vertical="center"/>
    </xf>
    <xf numFmtId="0" fontId="205" fillId="3" borderId="0" xfId="0" applyFont="1" applyFill="1" applyAlignment="1">
      <alignment horizontal="left" vertical="center"/>
    </xf>
    <xf numFmtId="0" fontId="188" fillId="15" borderId="0" xfId="0" applyFont="1" applyFill="1"/>
    <xf numFmtId="0" fontId="188" fillId="15" borderId="1" xfId="0" applyFont="1" applyFill="1" applyBorder="1"/>
    <xf numFmtId="0" fontId="73" fillId="15" borderId="0" xfId="0" applyFont="1" applyFill="1" applyAlignment="1">
      <alignment horizontal="left"/>
    </xf>
    <xf numFmtId="0" fontId="188" fillId="15" borderId="0" xfId="0" applyFont="1" applyFill="1" applyAlignment="1">
      <alignment horizontal="left"/>
    </xf>
    <xf numFmtId="0" fontId="188" fillId="15" borderId="1" xfId="0" applyFont="1" applyFill="1" applyBorder="1" applyAlignment="1">
      <alignment horizontal="left"/>
    </xf>
    <xf numFmtId="0" fontId="188" fillId="15" borderId="0" xfId="0" applyFont="1" applyFill="1" applyAlignment="1">
      <alignment vertical="top"/>
    </xf>
    <xf numFmtId="0" fontId="6" fillId="0" borderId="0" xfId="0" applyFont="1" applyAlignment="1">
      <alignment horizontal="left"/>
    </xf>
    <xf numFmtId="0" fontId="14" fillId="15" borderId="8" xfId="0" applyFont="1" applyFill="1" applyBorder="1" applyAlignment="1">
      <alignment horizontal="center" vertical="center"/>
    </xf>
    <xf numFmtId="174" fontId="4" fillId="0" borderId="0" xfId="0" applyNumberFormat="1" applyFont="1" applyAlignment="1" applyProtection="1">
      <alignment horizontal="center" vertical="center"/>
      <protection locked="0"/>
    </xf>
    <xf numFmtId="174" fontId="22" fillId="0" borderId="0" xfId="0" applyNumberFormat="1" applyFont="1" applyAlignment="1">
      <alignment horizontal="center"/>
    </xf>
    <xf numFmtId="174" fontId="6" fillId="0" borderId="0" xfId="0" applyNumberFormat="1" applyFont="1" applyAlignment="1">
      <alignment horizontal="center"/>
    </xf>
    <xf numFmtId="0" fontId="12" fillId="2" borderId="3" xfId="0" applyFont="1" applyFill="1" applyBorder="1"/>
    <xf numFmtId="0" fontId="187" fillId="5" borderId="0" xfId="0" applyFont="1" applyFill="1" applyAlignment="1">
      <alignment horizontal="center"/>
    </xf>
    <xf numFmtId="0" fontId="47" fillId="2" borderId="1" xfId="0" applyFont="1" applyFill="1" applyBorder="1"/>
    <xf numFmtId="0" fontId="121" fillId="0" borderId="0" xfId="0" applyFont="1"/>
    <xf numFmtId="0" fontId="119" fillId="2" borderId="0" xfId="0" applyFont="1" applyFill="1" applyAlignment="1">
      <alignment horizontal="right"/>
    </xf>
    <xf numFmtId="0" fontId="119" fillId="2" borderId="0" xfId="0" applyFont="1" applyFill="1" applyAlignment="1">
      <alignment horizontal="right" indent="1"/>
    </xf>
    <xf numFmtId="0" fontId="8" fillId="2" borderId="1" xfId="0" applyFont="1" applyFill="1" applyBorder="1"/>
    <xf numFmtId="0" fontId="8" fillId="2" borderId="1" xfId="0" applyFont="1" applyFill="1" applyBorder="1" applyAlignment="1">
      <alignment vertical="center"/>
    </xf>
    <xf numFmtId="0" fontId="22" fillId="0" borderId="0" xfId="0" applyFont="1" applyAlignment="1">
      <alignment horizontal="center"/>
    </xf>
    <xf numFmtId="0" fontId="9" fillId="2" borderId="0" xfId="0" applyFont="1" applyFill="1" applyAlignment="1">
      <alignment horizontal="left" vertical="center"/>
    </xf>
    <xf numFmtId="0" fontId="8" fillId="2" borderId="0" xfId="0" applyFont="1" applyFill="1" applyAlignment="1">
      <alignment horizontal="right"/>
    </xf>
    <xf numFmtId="0" fontId="81" fillId="15" borderId="0" xfId="0" applyFont="1" applyFill="1" applyAlignment="1">
      <alignment horizontal="center"/>
    </xf>
    <xf numFmtId="0" fontId="119" fillId="15" borderId="0" xfId="0" applyFont="1" applyFill="1" applyAlignment="1">
      <alignment horizontal="left"/>
    </xf>
    <xf numFmtId="0" fontId="119" fillId="15" borderId="0" xfId="0" applyFont="1" applyFill="1" applyAlignment="1">
      <alignment vertical="center"/>
    </xf>
    <xf numFmtId="0" fontId="119" fillId="15" borderId="0" xfId="0" applyFont="1" applyFill="1" applyAlignment="1">
      <alignment horizontal="right" indent="1"/>
    </xf>
    <xf numFmtId="0" fontId="103" fillId="2" borderId="0" xfId="0" applyFont="1" applyFill="1" applyAlignment="1">
      <alignment horizontal="center"/>
    </xf>
    <xf numFmtId="0" fontId="103" fillId="0" borderId="0" xfId="0" applyFont="1" applyAlignment="1">
      <alignment horizontal="center"/>
    </xf>
    <xf numFmtId="0" fontId="14" fillId="15" borderId="1" xfId="0" quotePrefix="1" applyFont="1" applyFill="1" applyBorder="1" applyAlignment="1">
      <alignment horizontal="left"/>
    </xf>
    <xf numFmtId="39" fontId="11" fillId="15" borderId="7" xfId="0" applyNumberFormat="1" applyFont="1" applyFill="1" applyBorder="1" applyAlignment="1">
      <alignment horizontal="left"/>
    </xf>
    <xf numFmtId="0" fontId="188" fillId="15" borderId="7" xfId="0" applyFont="1" applyFill="1" applyBorder="1" applyAlignment="1">
      <alignment vertical="center"/>
    </xf>
    <xf numFmtId="0" fontId="21" fillId="2" borderId="4" xfId="0" applyFont="1" applyFill="1" applyBorder="1" applyAlignment="1">
      <alignment horizontal="left" vertical="center"/>
    </xf>
    <xf numFmtId="0" fontId="20" fillId="2" borderId="4" xfId="0" applyFont="1" applyFill="1" applyBorder="1" applyAlignment="1">
      <alignment horizontal="left"/>
    </xf>
    <xf numFmtId="0" fontId="4" fillId="2" borderId="4" xfId="0" applyFont="1" applyFill="1" applyBorder="1" applyAlignment="1">
      <alignment horizontal="right" wrapText="1"/>
    </xf>
    <xf numFmtId="0" fontId="11" fillId="2" borderId="4" xfId="0" applyFont="1" applyFill="1" applyBorder="1" applyAlignment="1">
      <alignment horizontal="center" wrapText="1"/>
    </xf>
    <xf numFmtId="0" fontId="4" fillId="2" borderId="4" xfId="0" applyFont="1" applyFill="1" applyBorder="1" applyAlignment="1">
      <alignment horizontal="center" wrapText="1"/>
    </xf>
    <xf numFmtId="0" fontId="6" fillId="2" borderId="40" xfId="0" applyFont="1" applyFill="1" applyBorder="1"/>
    <xf numFmtId="0" fontId="6" fillId="2" borderId="41" xfId="0" applyFont="1" applyFill="1" applyBorder="1"/>
    <xf numFmtId="4" fontId="6" fillId="27" borderId="49" xfId="0" applyNumberFormat="1" applyFont="1" applyFill="1" applyBorder="1" applyAlignment="1">
      <alignment horizontal="right"/>
    </xf>
    <xf numFmtId="0" fontId="248" fillId="15" borderId="0" xfId="0" applyFont="1" applyFill="1" applyAlignment="1">
      <alignment horizontal="left" indent="1"/>
    </xf>
    <xf numFmtId="0" fontId="0" fillId="2" borderId="42" xfId="0" applyFill="1" applyBorder="1"/>
    <xf numFmtId="0" fontId="4" fillId="2" borderId="0" xfId="0" applyFont="1" applyFill="1" applyAlignment="1">
      <alignment horizontal="right" wrapText="1"/>
    </xf>
    <xf numFmtId="0" fontId="44" fillId="2" borderId="7" xfId="0" applyFont="1" applyFill="1" applyBorder="1" applyAlignment="1">
      <alignment vertical="center"/>
    </xf>
    <xf numFmtId="0" fontId="14" fillId="2" borderId="7" xfId="0" applyFont="1" applyFill="1" applyBorder="1"/>
    <xf numFmtId="0" fontId="11" fillId="2" borderId="4" xfId="0" applyFont="1" applyFill="1" applyBorder="1" applyAlignment="1">
      <alignment horizontal="right"/>
    </xf>
    <xf numFmtId="0" fontId="44" fillId="2" borderId="0" xfId="0" applyFont="1" applyFill="1" applyAlignment="1">
      <alignment vertical="center"/>
    </xf>
    <xf numFmtId="0" fontId="4" fillId="2" borderId="5" xfId="0" applyFont="1" applyFill="1" applyBorder="1" applyAlignment="1">
      <alignment horizontal="right" vertical="top"/>
    </xf>
    <xf numFmtId="0" fontId="0" fillId="2" borderId="1" xfId="0" applyFill="1" applyBorder="1" applyAlignment="1">
      <alignment vertical="top" wrapText="1"/>
    </xf>
    <xf numFmtId="0" fontId="0" fillId="2" borderId="20" xfId="0" applyFill="1" applyBorder="1" applyAlignment="1">
      <alignment vertical="top"/>
    </xf>
    <xf numFmtId="0" fontId="4" fillId="2" borderId="5" xfId="0" applyFont="1" applyFill="1" applyBorder="1" applyAlignment="1">
      <alignment horizontal="right" vertical="center"/>
    </xf>
    <xf numFmtId="0" fontId="0" fillId="2" borderId="20" xfId="0" applyFill="1" applyBorder="1" applyAlignment="1">
      <alignment vertical="center"/>
    </xf>
    <xf numFmtId="3" fontId="0" fillId="2" borderId="1" xfId="0" applyNumberFormat="1" applyFill="1" applyBorder="1"/>
    <xf numFmtId="1" fontId="0" fillId="10" borderId="8" xfId="0" applyNumberFormat="1" applyFill="1" applyBorder="1"/>
    <xf numFmtId="0" fontId="0" fillId="2" borderId="0" xfId="0" applyFill="1" applyAlignment="1">
      <alignment vertical="top" wrapText="1"/>
    </xf>
    <xf numFmtId="37" fontId="0" fillId="2" borderId="8" xfId="0" applyNumberFormat="1" applyFill="1" applyBorder="1" applyAlignment="1">
      <alignment wrapText="1"/>
    </xf>
    <xf numFmtId="0" fontId="0" fillId="2" borderId="20" xfId="0" applyFill="1" applyBorder="1" applyAlignment="1">
      <alignment vertical="top" wrapText="1"/>
    </xf>
    <xf numFmtId="37" fontId="110" fillId="2" borderId="0" xfId="0" applyNumberFormat="1" applyFont="1" applyFill="1" applyAlignment="1">
      <alignment vertical="top" wrapText="1"/>
    </xf>
    <xf numFmtId="37" fontId="0" fillId="2" borderId="1" xfId="0" applyNumberFormat="1" applyFill="1" applyBorder="1" applyAlignment="1">
      <alignment wrapText="1"/>
    </xf>
    <xf numFmtId="37" fontId="0" fillId="2" borderId="25" xfId="0" applyNumberFormat="1" applyFill="1" applyBorder="1" applyAlignment="1">
      <alignment wrapText="1"/>
    </xf>
    <xf numFmtId="37" fontId="0" fillId="2" borderId="25" xfId="0" applyNumberFormat="1" applyFill="1" applyBorder="1" applyAlignment="1">
      <alignment vertical="top" wrapText="1"/>
    </xf>
    <xf numFmtId="0" fontId="17" fillId="2" borderId="5" xfId="0" applyFont="1" applyFill="1" applyBorder="1" applyAlignment="1">
      <alignment vertical="top"/>
    </xf>
    <xf numFmtId="0" fontId="6" fillId="15" borderId="31" xfId="0" applyFont="1" applyFill="1" applyBorder="1" applyAlignment="1">
      <alignment vertical="top" wrapText="1"/>
    </xf>
    <xf numFmtId="0" fontId="15" fillId="15" borderId="31" xfId="0" applyFont="1" applyFill="1" applyBorder="1" applyAlignment="1">
      <alignment horizontal="center" vertical="top"/>
    </xf>
    <xf numFmtId="0" fontId="6" fillId="15" borderId="31" xfId="0" applyFont="1" applyFill="1" applyBorder="1" applyAlignment="1">
      <alignment horizontal="left" vertical="top" wrapText="1"/>
    </xf>
    <xf numFmtId="0" fontId="0" fillId="15" borderId="31" xfId="0" applyFill="1" applyBorder="1" applyAlignment="1">
      <alignment vertical="top" wrapText="1"/>
    </xf>
    <xf numFmtId="0" fontId="35" fillId="2" borderId="21" xfId="0" applyFont="1" applyFill="1" applyBorder="1" applyAlignment="1">
      <alignment horizontal="right" vertical="top"/>
    </xf>
    <xf numFmtId="0" fontId="4" fillId="15" borderId="4" xfId="0" applyFont="1" applyFill="1" applyBorder="1" applyAlignment="1">
      <alignment vertical="top" wrapText="1"/>
    </xf>
    <xf numFmtId="0" fontId="0" fillId="15" borderId="4" xfId="0" applyFill="1" applyBorder="1" applyAlignment="1">
      <alignment vertical="top"/>
    </xf>
    <xf numFmtId="0" fontId="8" fillId="15" borderId="4" xfId="0" applyFont="1" applyFill="1" applyBorder="1" applyAlignment="1">
      <alignment horizontal="right" vertical="top"/>
    </xf>
    <xf numFmtId="0" fontId="0" fillId="2" borderId="22" xfId="0" applyFill="1" applyBorder="1" applyAlignment="1">
      <alignment vertical="top"/>
    </xf>
    <xf numFmtId="0" fontId="7" fillId="2" borderId="0" xfId="0" applyFont="1" applyFill="1" applyAlignment="1">
      <alignment horizontal="right"/>
    </xf>
    <xf numFmtId="39" fontId="21" fillId="24" borderId="0" xfId="0" applyNumberFormat="1" applyFont="1" applyFill="1" applyAlignment="1" applyProtection="1">
      <alignment horizontal="left" vertical="center"/>
      <protection locked="0"/>
    </xf>
    <xf numFmtId="0" fontId="20" fillId="2" borderId="7" xfId="0" applyFont="1" applyFill="1" applyBorder="1" applyAlignment="1">
      <alignment horizontal="left"/>
    </xf>
    <xf numFmtId="0" fontId="21" fillId="2" borderId="7" xfId="0" applyFont="1" applyFill="1" applyBorder="1" applyAlignment="1">
      <alignment horizontal="left" vertical="center"/>
    </xf>
    <xf numFmtId="0" fontId="354" fillId="2" borderId="0" xfId="0" applyFont="1" applyFill="1" applyAlignment="1">
      <alignment horizontal="center" vertical="top"/>
    </xf>
    <xf numFmtId="40" fontId="6" fillId="2" borderId="0" xfId="0" applyNumberFormat="1" applyFont="1" applyFill="1" applyAlignment="1">
      <alignment vertical="top"/>
    </xf>
    <xf numFmtId="0" fontId="35" fillId="2" borderId="0" xfId="0" applyFont="1" applyFill="1" applyAlignment="1">
      <alignment horizontal="center"/>
    </xf>
    <xf numFmtId="0" fontId="119" fillId="2" borderId="0" xfId="0" applyFont="1" applyFill="1" applyAlignment="1">
      <alignment horizontal="left" vertical="center"/>
    </xf>
    <xf numFmtId="0" fontId="167" fillId="15" borderId="0" xfId="0" applyFont="1" applyFill="1" applyAlignment="1">
      <alignment vertical="center" wrapText="1"/>
    </xf>
    <xf numFmtId="0" fontId="47" fillId="39" borderId="25" xfId="0" applyFont="1" applyFill="1" applyBorder="1" applyAlignment="1">
      <alignment horizontal="left" vertical="center"/>
    </xf>
    <xf numFmtId="0" fontId="6" fillId="39" borderId="3" xfId="0" applyFont="1" applyFill="1" applyBorder="1" applyAlignment="1">
      <alignment horizontal="left" vertical="center"/>
    </xf>
    <xf numFmtId="0" fontId="6" fillId="39" borderId="3" xfId="0" applyFont="1" applyFill="1" applyBorder="1" applyAlignment="1">
      <alignment vertical="center"/>
    </xf>
    <xf numFmtId="0" fontId="6" fillId="39" borderId="3" xfId="0" applyFont="1" applyFill="1" applyBorder="1" applyAlignment="1">
      <alignment horizontal="left" vertical="center" wrapText="1"/>
    </xf>
    <xf numFmtId="37" fontId="9" fillId="15" borderId="3" xfId="0" applyNumberFormat="1" applyFont="1" applyFill="1" applyBorder="1"/>
    <xf numFmtId="37" fontId="6" fillId="27" borderId="1" xfId="0" applyNumberFormat="1" applyFont="1" applyFill="1" applyBorder="1"/>
    <xf numFmtId="0" fontId="115" fillId="15" borderId="0" xfId="0" applyFont="1" applyFill="1" applyAlignment="1">
      <alignment horizontal="left"/>
    </xf>
    <xf numFmtId="0" fontId="6" fillId="15" borderId="8" xfId="0" applyFont="1" applyFill="1" applyBorder="1" applyAlignment="1">
      <alignment horizontal="center" vertical="center"/>
    </xf>
    <xf numFmtId="0" fontId="6" fillId="15" borderId="5" xfId="0" applyFont="1" applyFill="1" applyBorder="1" applyAlignment="1">
      <alignment vertical="center" wrapText="1"/>
    </xf>
    <xf numFmtId="0" fontId="6" fillId="15" borderId="21" xfId="0" applyFont="1" applyFill="1" applyBorder="1" applyAlignment="1">
      <alignment vertical="center" wrapText="1"/>
    </xf>
    <xf numFmtId="0" fontId="106" fillId="15" borderId="0" xfId="0" applyFont="1" applyFill="1" applyAlignment="1">
      <alignment horizontal="center" vertical="center"/>
    </xf>
    <xf numFmtId="3" fontId="11" fillId="15" borderId="1" xfId="0" applyNumberFormat="1" applyFont="1" applyFill="1" applyBorder="1"/>
    <xf numFmtId="3" fontId="11" fillId="15" borderId="11" xfId="0" applyNumberFormat="1" applyFont="1" applyFill="1" applyBorder="1"/>
    <xf numFmtId="0" fontId="158" fillId="15" borderId="0" xfId="0" applyFont="1" applyFill="1" applyAlignment="1">
      <alignment vertical="top"/>
    </xf>
    <xf numFmtId="0" fontId="15" fillId="15" borderId="10" xfId="0" applyFont="1" applyFill="1" applyBorder="1" applyAlignment="1">
      <alignment horizontal="center" vertical="center"/>
    </xf>
    <xf numFmtId="1" fontId="6" fillId="35" borderId="0" xfId="0" applyNumberFormat="1" applyFont="1" applyFill="1" applyAlignment="1">
      <alignment horizontal="right"/>
    </xf>
    <xf numFmtId="0" fontId="4" fillId="27" borderId="46" xfId="0" applyFont="1" applyFill="1" applyBorder="1" applyAlignment="1">
      <alignment horizontal="center"/>
    </xf>
    <xf numFmtId="0" fontId="4" fillId="27" borderId="50" xfId="0" applyFont="1" applyFill="1" applyBorder="1" applyAlignment="1">
      <alignment horizontal="center"/>
    </xf>
    <xf numFmtId="0" fontId="11" fillId="15" borderId="13" xfId="0" applyFont="1" applyFill="1" applyBorder="1" applyAlignment="1">
      <alignment horizontal="left"/>
    </xf>
    <xf numFmtId="0" fontId="9" fillId="15" borderId="16" xfId="0" applyFont="1" applyFill="1" applyBorder="1" applyAlignment="1">
      <alignment horizontal="left"/>
    </xf>
    <xf numFmtId="0" fontId="112" fillId="15" borderId="0" xfId="0" applyFont="1" applyFill="1" applyAlignment="1">
      <alignment vertical="center" wrapText="1"/>
    </xf>
    <xf numFmtId="1" fontId="0" fillId="10" borderId="0" xfId="0" applyNumberFormat="1" applyFill="1" applyAlignment="1">
      <alignment vertical="top"/>
    </xf>
    <xf numFmtId="0" fontId="106" fillId="15" borderId="0" xfId="0" applyFont="1" applyFill="1" applyAlignment="1">
      <alignment horizontal="center"/>
    </xf>
    <xf numFmtId="3" fontId="158" fillId="15" borderId="0" xfId="0" applyNumberFormat="1" applyFont="1" applyFill="1" applyAlignment="1">
      <alignment vertical="center"/>
    </xf>
    <xf numFmtId="0" fontId="9" fillId="0" borderId="0" xfId="0" applyFont="1"/>
    <xf numFmtId="37" fontId="0" fillId="2" borderId="12" xfId="0" applyNumberFormat="1" applyFill="1" applyBorder="1" applyProtection="1">
      <protection locked="0"/>
    </xf>
    <xf numFmtId="0" fontId="22" fillId="15" borderId="0" xfId="0" applyFont="1" applyFill="1"/>
    <xf numFmtId="0" fontId="11" fillId="2" borderId="23" xfId="0" applyFont="1" applyFill="1" applyBorder="1"/>
    <xf numFmtId="0" fontId="11" fillId="2" borderId="7" xfId="0" applyFont="1" applyFill="1" applyBorder="1"/>
    <xf numFmtId="0" fontId="25" fillId="2" borderId="7" xfId="0" applyFont="1" applyFill="1" applyBorder="1"/>
    <xf numFmtId="0" fontId="11" fillId="2" borderId="5" xfId="0" applyFont="1" applyFill="1" applyBorder="1"/>
    <xf numFmtId="0" fontId="25" fillId="2" borderId="0" xfId="0" applyFont="1" applyFill="1" applyAlignment="1">
      <alignment horizontal="center" vertical="center"/>
    </xf>
    <xf numFmtId="0" fontId="5" fillId="2" borderId="0" xfId="0" applyFont="1" applyFill="1" applyAlignment="1">
      <alignment horizontal="left" indent="3"/>
    </xf>
    <xf numFmtId="0" fontId="5" fillId="2" borderId="0" xfId="0" applyFont="1" applyFill="1" applyAlignment="1">
      <alignment horizontal="right"/>
    </xf>
    <xf numFmtId="0" fontId="5" fillId="2" borderId="0" xfId="0" applyFont="1" applyFill="1" applyAlignment="1">
      <alignment horizontal="right" indent="4"/>
    </xf>
    <xf numFmtId="0" fontId="25" fillId="15" borderId="0" xfId="0" applyFont="1" applyFill="1"/>
    <xf numFmtId="0" fontId="4" fillId="2" borderId="5" xfId="0" applyFont="1" applyFill="1" applyBorder="1"/>
    <xf numFmtId="0" fontId="125" fillId="2" borderId="1" xfId="0" applyFont="1" applyFill="1" applyBorder="1" applyAlignment="1">
      <alignment horizontal="center"/>
    </xf>
    <xf numFmtId="0" fontId="4" fillId="2" borderId="67" xfId="0" applyFont="1" applyFill="1" applyBorder="1"/>
    <xf numFmtId="0" fontId="6" fillId="2" borderId="25" xfId="0" applyFont="1" applyFill="1" applyBorder="1" applyAlignment="1">
      <alignment horizontal="left" vertical="center"/>
    </xf>
    <xf numFmtId="0" fontId="57" fillId="2" borderId="25" xfId="0" applyFont="1" applyFill="1" applyBorder="1"/>
    <xf numFmtId="0" fontId="22" fillId="2" borderId="25" xfId="0" applyFont="1" applyFill="1" applyBorder="1"/>
    <xf numFmtId="0" fontId="0" fillId="2" borderId="68" xfId="0" applyFill="1" applyBorder="1"/>
    <xf numFmtId="0" fontId="6" fillId="2" borderId="0" xfId="0" applyFont="1" applyFill="1" applyAlignment="1">
      <alignment horizontal="right" indent="1"/>
    </xf>
    <xf numFmtId="0" fontId="4" fillId="25" borderId="12" xfId="0" quotePrefix="1" applyFont="1" applyFill="1" applyBorder="1" applyAlignment="1">
      <alignment horizontal="center"/>
    </xf>
    <xf numFmtId="176" fontId="4" fillId="25" borderId="1" xfId="0" applyNumberFormat="1" applyFont="1" applyFill="1" applyBorder="1" applyAlignment="1">
      <alignment horizontal="center"/>
    </xf>
    <xf numFmtId="0" fontId="51" fillId="2" borderId="5" xfId="0" applyFont="1" applyFill="1" applyBorder="1"/>
    <xf numFmtId="3" fontId="6" fillId="2" borderId="0" xfId="0" applyNumberFormat="1" applyFont="1" applyFill="1" applyAlignment="1">
      <alignment horizontal="right"/>
    </xf>
    <xf numFmtId="0" fontId="4" fillId="2" borderId="0" xfId="0" applyFont="1" applyFill="1" applyAlignment="1">
      <alignment horizontal="right" vertical="top"/>
    </xf>
    <xf numFmtId="3" fontId="4" fillId="2" borderId="0" xfId="0" applyNumberFormat="1" applyFont="1" applyFill="1" applyAlignment="1">
      <alignment horizontal="right"/>
    </xf>
    <xf numFmtId="3" fontId="6" fillId="25" borderId="1" xfId="0" applyNumberFormat="1" applyFont="1" applyFill="1" applyBorder="1" applyAlignment="1">
      <alignment horizontal="right"/>
    </xf>
    <xf numFmtId="0" fontId="0" fillId="2" borderId="0" xfId="0" quotePrefix="1" applyFill="1"/>
    <xf numFmtId="0" fontId="83" fillId="2" borderId="0" xfId="0" applyFont="1" applyFill="1"/>
    <xf numFmtId="3" fontId="6" fillId="2" borderId="0" xfId="0" applyNumberFormat="1" applyFont="1" applyFill="1"/>
    <xf numFmtId="0" fontId="37" fillId="2" borderId="5" xfId="0" quotePrefix="1" applyFont="1" applyFill="1" applyBorder="1" applyAlignment="1">
      <alignment horizontal="left"/>
    </xf>
    <xf numFmtId="0" fontId="37" fillId="2" borderId="5" xfId="0" quotePrefix="1" applyFont="1" applyFill="1" applyBorder="1" applyAlignment="1">
      <alignment horizontal="left" vertical="center"/>
    </xf>
    <xf numFmtId="0" fontId="37" fillId="2" borderId="5" xfId="0" quotePrefix="1" applyFont="1" applyFill="1" applyBorder="1" applyAlignment="1">
      <alignment horizontal="left" vertical="top"/>
    </xf>
    <xf numFmtId="0" fontId="37" fillId="2" borderId="21" xfId="0" quotePrefix="1" applyFont="1" applyFill="1" applyBorder="1" applyAlignment="1">
      <alignment horizontal="left" vertical="top" indent="1"/>
    </xf>
    <xf numFmtId="37" fontId="0" fillId="2" borderId="51" xfId="0" applyNumberFormat="1" applyFill="1" applyBorder="1"/>
    <xf numFmtId="0" fontId="6" fillId="2" borderId="4" xfId="0" quotePrefix="1" applyFont="1" applyFill="1" applyBorder="1" applyAlignment="1">
      <alignment vertical="center"/>
    </xf>
    <xf numFmtId="0" fontId="59" fillId="4" borderId="1" xfId="0" applyFont="1" applyFill="1" applyBorder="1" applyAlignment="1" applyProtection="1">
      <alignment horizontal="right"/>
      <protection locked="0"/>
    </xf>
    <xf numFmtId="37" fontId="355" fillId="2" borderId="12" xfId="0" applyNumberFormat="1" applyFont="1" applyFill="1" applyBorder="1" applyProtection="1">
      <protection locked="0"/>
    </xf>
    <xf numFmtId="0" fontId="14" fillId="15" borderId="0" xfId="0" quotePrefix="1" applyFont="1" applyFill="1" applyAlignment="1">
      <alignment vertical="top"/>
    </xf>
    <xf numFmtId="0" fontId="44" fillId="15" borderId="5" xfId="0" applyFont="1" applyFill="1" applyBorder="1" applyAlignment="1">
      <alignment horizontal="centerContinuous"/>
    </xf>
    <xf numFmtId="1" fontId="0" fillId="10" borderId="0" xfId="0" applyNumberFormat="1" applyFill="1" applyProtection="1">
      <protection locked="0"/>
    </xf>
    <xf numFmtId="0" fontId="172" fillId="23" borderId="1" xfId="0" applyFont="1" applyFill="1" applyBorder="1" applyAlignment="1">
      <alignment horizontal="center"/>
    </xf>
    <xf numFmtId="0" fontId="0" fillId="0" borderId="73" xfId="0" applyBorder="1" applyAlignment="1">
      <alignment horizontal="center"/>
    </xf>
    <xf numFmtId="0" fontId="0" fillId="0" borderId="54" xfId="0" applyBorder="1" applyAlignment="1">
      <alignment horizontal="center"/>
    </xf>
    <xf numFmtId="0" fontId="0" fillId="19" borderId="0" xfId="0" applyFill="1" applyAlignment="1">
      <alignment horizontal="center"/>
    </xf>
    <xf numFmtId="0" fontId="203" fillId="15" borderId="0" xfId="0" applyFont="1" applyFill="1" applyAlignment="1">
      <alignment horizontal="right" vertical="top"/>
    </xf>
    <xf numFmtId="0" fontId="24" fillId="15" borderId="0" xfId="0" applyFont="1" applyFill="1" applyAlignment="1">
      <alignment horizontal="right"/>
    </xf>
    <xf numFmtId="0" fontId="24" fillId="15" borderId="4" xfId="0" applyFont="1" applyFill="1" applyBorder="1" applyAlignment="1">
      <alignment horizontal="right" vertical="top"/>
    </xf>
    <xf numFmtId="0" fontId="0" fillId="0" borderId="203" xfId="0" applyBorder="1" applyAlignment="1">
      <alignment horizontal="center"/>
    </xf>
    <xf numFmtId="0" fontId="4" fillId="0" borderId="210" xfId="0" applyFont="1" applyBorder="1" applyAlignment="1">
      <alignment horizontal="center" wrapText="1"/>
    </xf>
    <xf numFmtId="0" fontId="4" fillId="0" borderId="232" xfId="0" applyFont="1" applyBorder="1" applyAlignment="1">
      <alignment horizontal="center" wrapText="1"/>
    </xf>
    <xf numFmtId="37" fontId="4" fillId="16" borderId="39" xfId="0" applyNumberFormat="1" applyFont="1" applyFill="1" applyBorder="1" applyAlignment="1" applyProtection="1">
      <alignment horizontal="center" vertical="center"/>
      <protection locked="0"/>
    </xf>
    <xf numFmtId="37" fontId="4" fillId="16" borderId="198" xfId="0" applyNumberFormat="1" applyFont="1" applyFill="1" applyBorder="1" applyAlignment="1" applyProtection="1">
      <alignment horizontal="center" vertical="center"/>
      <protection locked="0"/>
    </xf>
    <xf numFmtId="0" fontId="0" fillId="0" borderId="233" xfId="0" applyBorder="1" applyAlignment="1">
      <alignment horizontal="center"/>
    </xf>
    <xf numFmtId="0" fontId="172" fillId="23" borderId="0" xfId="0" applyFont="1" applyFill="1" applyAlignment="1">
      <alignment horizontal="center"/>
    </xf>
    <xf numFmtId="0" fontId="6" fillId="0" borderId="230" xfId="0" applyFont="1" applyBorder="1" applyAlignment="1">
      <alignment horizontal="center"/>
    </xf>
    <xf numFmtId="0" fontId="4" fillId="0" borderId="0" xfId="0" applyFont="1" applyAlignment="1">
      <alignment wrapText="1"/>
    </xf>
    <xf numFmtId="0" fontId="0" fillId="0" borderId="66" xfId="0" applyBorder="1" applyAlignment="1">
      <alignment horizontal="center"/>
    </xf>
    <xf numFmtId="0" fontId="0" fillId="0" borderId="58" xfId="0" applyBorder="1" applyAlignment="1">
      <alignment horizontal="center"/>
    </xf>
    <xf numFmtId="0" fontId="0" fillId="0" borderId="110" xfId="0" applyBorder="1" applyAlignment="1">
      <alignment horizontal="center"/>
    </xf>
    <xf numFmtId="0" fontId="228" fillId="23" borderId="0" xfId="0" quotePrefix="1" applyFont="1" applyFill="1" applyAlignment="1">
      <alignment horizontal="center"/>
    </xf>
    <xf numFmtId="0" fontId="228" fillId="23" borderId="0" xfId="0" applyFont="1" applyFill="1" applyAlignment="1">
      <alignment horizontal="center"/>
    </xf>
    <xf numFmtId="0" fontId="0" fillId="0" borderId="7" xfId="0" applyBorder="1" applyAlignment="1">
      <alignment horizontal="center" vertical="center"/>
    </xf>
    <xf numFmtId="0" fontId="11" fillId="27" borderId="67" xfId="0" applyFont="1" applyFill="1" applyBorder="1" applyAlignment="1" applyProtection="1">
      <alignment horizontal="center" vertical="center"/>
      <protection hidden="1"/>
    </xf>
    <xf numFmtId="0" fontId="11" fillId="27" borderId="234" xfId="0" applyFont="1" applyFill="1" applyBorder="1" applyAlignment="1" applyProtection="1">
      <alignment horizontal="center" vertical="center"/>
      <protection hidden="1"/>
    </xf>
    <xf numFmtId="0" fontId="4" fillId="0" borderId="159" xfId="0" applyFont="1" applyBorder="1" applyAlignment="1">
      <alignment wrapText="1"/>
    </xf>
    <xf numFmtId="0" fontId="4" fillId="27" borderId="198" xfId="0" applyFont="1" applyFill="1" applyBorder="1" applyAlignment="1">
      <alignment horizontal="center" vertical="center"/>
    </xf>
    <xf numFmtId="0" fontId="11" fillId="15" borderId="81" xfId="0" applyFont="1" applyFill="1" applyBorder="1" applyAlignment="1">
      <alignment horizontal="center"/>
    </xf>
    <xf numFmtId="0" fontId="11" fillId="15" borderId="2" xfId="0" applyFont="1" applyFill="1" applyBorder="1" applyAlignment="1">
      <alignment horizontal="center"/>
    </xf>
    <xf numFmtId="0" fontId="0" fillId="0" borderId="9" xfId="0" applyBorder="1" applyAlignment="1">
      <alignment horizontal="center"/>
    </xf>
    <xf numFmtId="0" fontId="0" fillId="15" borderId="26" xfId="0" applyFill="1" applyBorder="1"/>
    <xf numFmtId="1" fontId="4" fillId="27" borderId="1" xfId="0" applyNumberFormat="1" applyFont="1" applyFill="1" applyBorder="1" applyAlignment="1">
      <alignment horizontal="center"/>
    </xf>
    <xf numFmtId="1" fontId="6" fillId="27" borderId="11" xfId="0" applyNumberFormat="1" applyFont="1" applyFill="1" applyBorder="1" applyAlignment="1">
      <alignment horizontal="center"/>
    </xf>
    <xf numFmtId="0" fontId="4" fillId="0" borderId="1" xfId="0" applyFont="1" applyBorder="1" applyAlignment="1">
      <alignment horizontal="center" wrapText="1"/>
    </xf>
    <xf numFmtId="0" fontId="4" fillId="15" borderId="19" xfId="0" applyFont="1" applyFill="1" applyBorder="1" applyAlignment="1">
      <alignment horizontal="right"/>
    </xf>
    <xf numFmtId="0" fontId="34" fillId="15" borderId="0" xfId="0" applyFont="1" applyFill="1" applyAlignment="1">
      <alignment horizontal="right"/>
    </xf>
    <xf numFmtId="0" fontId="15" fillId="15" borderId="0" xfId="0" applyFont="1" applyFill="1" applyAlignment="1">
      <alignment horizontal="right"/>
    </xf>
    <xf numFmtId="0" fontId="356" fillId="0" borderId="0" xfId="0" applyFont="1" applyAlignment="1">
      <alignment horizontal="left" vertical="center"/>
    </xf>
    <xf numFmtId="176" fontId="11" fillId="27" borderId="25" xfId="0" applyNumberFormat="1" applyFont="1" applyFill="1" applyBorder="1" applyAlignment="1" applyProtection="1">
      <alignment horizontal="center" vertical="center"/>
      <protection hidden="1"/>
    </xf>
    <xf numFmtId="176" fontId="11" fillId="27" borderId="99" xfId="0" applyNumberFormat="1" applyFont="1" applyFill="1" applyBorder="1" applyAlignment="1" applyProtection="1">
      <alignment horizontal="center" vertical="center"/>
      <protection hidden="1"/>
    </xf>
    <xf numFmtId="0" fontId="47" fillId="23" borderId="0" xfId="0" applyFont="1" applyFill="1"/>
    <xf numFmtId="0" fontId="4" fillId="16" borderId="235" xfId="0" applyFont="1" applyFill="1" applyBorder="1" applyAlignment="1" applyProtection="1">
      <alignment horizontal="center" vertical="center"/>
      <protection locked="0"/>
    </xf>
    <xf numFmtId="0" fontId="4" fillId="16" borderId="236" xfId="0" applyFont="1" applyFill="1" applyBorder="1" applyAlignment="1" applyProtection="1">
      <alignment horizontal="center" vertical="center"/>
      <protection locked="0"/>
    </xf>
    <xf numFmtId="0" fontId="4" fillId="16" borderId="237" xfId="0" applyFont="1" applyFill="1" applyBorder="1" applyAlignment="1" applyProtection="1">
      <alignment horizontal="center" vertical="center"/>
      <protection locked="0"/>
    </xf>
    <xf numFmtId="0" fontId="4" fillId="16" borderId="238" xfId="0" applyFont="1" applyFill="1" applyBorder="1" applyAlignment="1" applyProtection="1">
      <alignment horizontal="center" vertical="center"/>
      <protection locked="0"/>
    </xf>
    <xf numFmtId="0" fontId="11" fillId="16" borderId="235" xfId="0" applyFont="1" applyFill="1" applyBorder="1" applyAlignment="1" applyProtection="1">
      <alignment horizontal="center" vertical="center"/>
      <protection locked="0"/>
    </xf>
    <xf numFmtId="0" fontId="11" fillId="16" borderId="236" xfId="0" applyFont="1" applyFill="1" applyBorder="1" applyAlignment="1" applyProtection="1">
      <alignment horizontal="center" vertical="center"/>
      <protection locked="0"/>
    </xf>
    <xf numFmtId="0" fontId="11" fillId="16" borderId="237" xfId="0" applyFont="1" applyFill="1" applyBorder="1" applyAlignment="1" applyProtection="1">
      <alignment horizontal="center" vertical="center"/>
      <protection locked="0"/>
    </xf>
    <xf numFmtId="0" fontId="11" fillId="16" borderId="238" xfId="0" applyFont="1" applyFill="1" applyBorder="1" applyAlignment="1" applyProtection="1">
      <alignment horizontal="center" vertical="center"/>
      <protection locked="0"/>
    </xf>
    <xf numFmtId="0" fontId="15" fillId="16" borderId="236" xfId="0" applyFont="1" applyFill="1" applyBorder="1" applyAlignment="1" applyProtection="1">
      <alignment horizontal="center" vertical="center"/>
      <protection locked="0"/>
    </xf>
    <xf numFmtId="0" fontId="15" fillId="16" borderId="238" xfId="0" applyFont="1" applyFill="1" applyBorder="1" applyAlignment="1" applyProtection="1">
      <alignment horizontal="center" vertical="center"/>
      <protection locked="0"/>
    </xf>
    <xf numFmtId="0" fontId="11" fillId="16" borderId="233" xfId="0" applyFont="1" applyFill="1" applyBorder="1" applyAlignment="1" applyProtection="1">
      <alignment horizontal="center" vertical="center"/>
      <protection locked="0"/>
    </xf>
    <xf numFmtId="0" fontId="11" fillId="16" borderId="239" xfId="0" applyFont="1" applyFill="1" applyBorder="1" applyAlignment="1" applyProtection="1">
      <alignment horizontal="center" vertical="center"/>
      <protection locked="0"/>
    </xf>
    <xf numFmtId="0" fontId="6" fillId="23" borderId="0" xfId="0" applyFont="1" applyFill="1" applyAlignment="1">
      <alignment wrapText="1"/>
    </xf>
    <xf numFmtId="37" fontId="110" fillId="2" borderId="0" xfId="0" applyNumberFormat="1" applyFont="1" applyFill="1" applyAlignment="1">
      <alignment vertical="center"/>
    </xf>
    <xf numFmtId="0" fontId="4" fillId="20" borderId="87" xfId="0" quotePrefix="1" applyFont="1" applyFill="1" applyBorder="1" applyAlignment="1" applyProtection="1">
      <alignment vertical="center"/>
      <protection locked="0"/>
    </xf>
    <xf numFmtId="182" fontId="0" fillId="0" borderId="0" xfId="0" applyNumberFormat="1" applyAlignment="1">
      <alignment horizontal="center"/>
    </xf>
    <xf numFmtId="0" fontId="88" fillId="2" borderId="8" xfId="0" applyFont="1" applyFill="1" applyBorder="1" applyAlignment="1">
      <alignment horizontal="right"/>
    </xf>
    <xf numFmtId="0" fontId="89" fillId="2" borderId="0" xfId="0" applyFont="1" applyFill="1" applyAlignment="1">
      <alignment vertical="center"/>
    </xf>
    <xf numFmtId="207" fontId="15" fillId="15" borderId="2" xfId="0" applyNumberFormat="1" applyFont="1" applyFill="1" applyBorder="1" applyProtection="1">
      <protection locked="0"/>
    </xf>
    <xf numFmtId="37" fontId="47" fillId="15" borderId="2" xfId="0" applyNumberFormat="1" applyFont="1" applyFill="1" applyBorder="1" applyProtection="1">
      <protection locked="0"/>
    </xf>
    <xf numFmtId="0" fontId="172" fillId="2" borderId="7" xfId="0" applyFont="1" applyFill="1" applyBorder="1"/>
    <xf numFmtId="0" fontId="23" fillId="2" borderId="7" xfId="0" applyFont="1" applyFill="1" applyBorder="1" applyAlignment="1">
      <alignment horizontal="right"/>
    </xf>
    <xf numFmtId="0" fontId="93" fillId="2" borderId="5" xfId="0" applyFont="1" applyFill="1" applyBorder="1" applyAlignment="1">
      <alignment horizontal="right"/>
    </xf>
    <xf numFmtId="0" fontId="51" fillId="2" borderId="26" xfId="0" applyFont="1" applyFill="1" applyBorder="1"/>
    <xf numFmtId="0" fontId="4" fillId="2" borderId="1" xfId="0" applyFont="1" applyFill="1" applyBorder="1"/>
    <xf numFmtId="37" fontId="6" fillId="2" borderId="1" xfId="0" applyNumberFormat="1" applyFont="1" applyFill="1" applyBorder="1"/>
    <xf numFmtId="37" fontId="121" fillId="2" borderId="1" xfId="0" applyNumberFormat="1" applyFont="1" applyFill="1" applyBorder="1"/>
    <xf numFmtId="37" fontId="22" fillId="2" borderId="1" xfId="0" applyNumberFormat="1" applyFont="1" applyFill="1" applyBorder="1" applyAlignment="1">
      <alignment horizontal="right"/>
    </xf>
    <xf numFmtId="3" fontId="22" fillId="2" borderId="1" xfId="0" applyNumberFormat="1" applyFont="1" applyFill="1" applyBorder="1"/>
    <xf numFmtId="0" fontId="22" fillId="2" borderId="0" xfId="0" applyFont="1" applyFill="1" applyAlignment="1">
      <alignment vertical="top"/>
    </xf>
    <xf numFmtId="37" fontId="6" fillId="25" borderId="1" xfId="0" applyNumberFormat="1" applyFont="1" applyFill="1" applyBorder="1" applyAlignment="1">
      <alignment horizontal="right"/>
    </xf>
    <xf numFmtId="175" fontId="6" fillId="25" borderId="1" xfId="0" applyNumberFormat="1" applyFont="1" applyFill="1" applyBorder="1" applyAlignment="1">
      <alignment horizontal="right"/>
    </xf>
    <xf numFmtId="173" fontId="110" fillId="2" borderId="0" xfId="0" applyNumberFormat="1" applyFont="1" applyFill="1"/>
    <xf numFmtId="0" fontId="6" fillId="2" borderId="4" xfId="0" quotePrefix="1" applyFont="1" applyFill="1" applyBorder="1" applyAlignment="1">
      <alignment horizontal="right"/>
    </xf>
    <xf numFmtId="3" fontId="4" fillId="15" borderId="11" xfId="0" applyNumberFormat="1" applyFont="1" applyFill="1" applyBorder="1" applyAlignment="1" applyProtection="1">
      <alignment horizontal="right"/>
      <protection locked="0"/>
    </xf>
    <xf numFmtId="14" fontId="0" fillId="24" borderId="6" xfId="0" applyNumberFormat="1" applyFill="1" applyBorder="1" applyProtection="1">
      <protection locked="0"/>
    </xf>
    <xf numFmtId="14" fontId="0" fillId="24" borderId="10" xfId="0" applyNumberFormat="1" applyFill="1" applyBorder="1" applyProtection="1">
      <protection locked="0"/>
    </xf>
    <xf numFmtId="14" fontId="11" fillId="24" borderId="15" xfId="0" quotePrefix="1" applyNumberFormat="1" applyFont="1" applyFill="1" applyBorder="1" applyAlignment="1" applyProtection="1">
      <alignment horizontal="left" indent="1"/>
      <protection locked="0"/>
    </xf>
    <xf numFmtId="14" fontId="11" fillId="24" borderId="6" xfId="0" quotePrefix="1" applyNumberFormat="1" applyFont="1" applyFill="1" applyBorder="1" applyAlignment="1" applyProtection="1">
      <alignment horizontal="left" indent="1"/>
      <protection locked="0"/>
    </xf>
    <xf numFmtId="14" fontId="11" fillId="24" borderId="12" xfId="0" quotePrefix="1" applyNumberFormat="1" applyFont="1" applyFill="1" applyBorder="1" applyAlignment="1" applyProtection="1">
      <alignment horizontal="left" indent="1"/>
      <protection locked="0"/>
    </xf>
    <xf numFmtId="14" fontId="0" fillId="24" borderId="6" xfId="0" applyNumberFormat="1" applyFill="1" applyBorder="1" applyAlignment="1" applyProtection="1">
      <alignment horizontal="left" indent="1"/>
      <protection locked="0"/>
    </xf>
    <xf numFmtId="14" fontId="0" fillId="24" borderId="10" xfId="0" applyNumberFormat="1" applyFill="1" applyBorder="1" applyAlignment="1" applyProtection="1">
      <alignment horizontal="left" indent="1"/>
      <protection locked="0"/>
    </xf>
    <xf numFmtId="14" fontId="0" fillId="24" borderId="30" xfId="0" applyNumberFormat="1" applyFill="1" applyBorder="1" applyProtection="1">
      <protection locked="0"/>
    </xf>
    <xf numFmtId="14" fontId="0" fillId="24" borderId="9" xfId="0" applyNumberFormat="1" applyFill="1" applyBorder="1" applyProtection="1">
      <protection locked="0"/>
    </xf>
    <xf numFmtId="14" fontId="0" fillId="24" borderId="11" xfId="0" applyNumberFormat="1" applyFill="1" applyBorder="1" applyProtection="1">
      <protection locked="0"/>
    </xf>
    <xf numFmtId="14" fontId="0" fillId="24" borderId="3" xfId="0" applyNumberFormat="1" applyFill="1" applyBorder="1" applyProtection="1">
      <protection locked="0"/>
    </xf>
    <xf numFmtId="14" fontId="0" fillId="24" borderId="24" xfId="0" applyNumberFormat="1" applyFill="1" applyBorder="1" applyProtection="1">
      <protection locked="0"/>
    </xf>
    <xf numFmtId="39" fontId="126" fillId="24" borderId="14" xfId="0" applyNumberFormat="1" applyFont="1" applyFill="1" applyBorder="1" applyProtection="1">
      <protection locked="0"/>
    </xf>
    <xf numFmtId="39" fontId="6" fillId="16" borderId="12" xfId="0" applyNumberFormat="1" applyFont="1" applyFill="1" applyBorder="1" applyProtection="1">
      <protection locked="0"/>
    </xf>
    <xf numFmtId="14" fontId="11" fillId="24" borderId="14" xfId="0" applyNumberFormat="1" applyFont="1" applyFill="1" applyBorder="1" applyAlignment="1" applyProtection="1">
      <alignment vertical="center" wrapText="1"/>
      <protection locked="0"/>
    </xf>
    <xf numFmtId="14" fontId="11" fillId="24" borderId="24" xfId="0" applyNumberFormat="1" applyFont="1" applyFill="1" applyBorder="1" applyAlignment="1" applyProtection="1">
      <alignment vertical="center" wrapText="1"/>
      <protection locked="0"/>
    </xf>
    <xf numFmtId="14" fontId="11" fillId="24" borderId="11" xfId="0" applyNumberFormat="1" applyFont="1" applyFill="1" applyBorder="1" applyAlignment="1" applyProtection="1">
      <alignment vertical="center" wrapText="1"/>
      <protection locked="0"/>
    </xf>
    <xf numFmtId="39" fontId="6" fillId="16" borderId="12" xfId="0" applyNumberFormat="1" applyFont="1" applyFill="1" applyBorder="1" applyAlignment="1" applyProtection="1">
      <alignment wrapText="1"/>
      <protection locked="0"/>
    </xf>
    <xf numFmtId="39" fontId="6" fillId="27" borderId="12" xfId="0" applyNumberFormat="1" applyFont="1" applyFill="1" applyBorder="1"/>
    <xf numFmtId="14" fontId="0" fillId="24" borderId="15" xfId="0" applyNumberFormat="1" applyFill="1" applyBorder="1" applyProtection="1">
      <protection locked="0"/>
    </xf>
    <xf numFmtId="0" fontId="4" fillId="16" borderId="1" xfId="0" applyFont="1" applyFill="1" applyBorder="1" applyAlignment="1" applyProtection="1">
      <alignment horizontal="center"/>
      <protection locked="0"/>
    </xf>
    <xf numFmtId="37" fontId="9" fillId="20" borderId="1" xfId="0" applyNumberFormat="1" applyFont="1" applyFill="1" applyBorder="1" applyProtection="1">
      <protection locked="0"/>
    </xf>
    <xf numFmtId="37" fontId="6" fillId="16" borderId="2" xfId="0" applyNumberFormat="1" applyFont="1" applyFill="1" applyBorder="1" applyAlignment="1" applyProtection="1">
      <alignment horizontal="right" vertical="center"/>
      <protection locked="0"/>
    </xf>
    <xf numFmtId="37" fontId="9" fillId="15" borderId="2" xfId="0" applyNumberFormat="1" applyFont="1" applyFill="1" applyBorder="1" applyProtection="1">
      <protection locked="0"/>
    </xf>
    <xf numFmtId="37" fontId="324" fillId="44" borderId="0" xfId="0" applyNumberFormat="1" applyFont="1" applyFill="1"/>
    <xf numFmtId="14" fontId="11" fillId="24" borderId="0" xfId="0" applyNumberFormat="1" applyFont="1" applyFill="1" applyProtection="1">
      <protection locked="0"/>
    </xf>
    <xf numFmtId="14" fontId="4" fillId="24" borderId="39" xfId="0" applyNumberFormat="1" applyFont="1" applyFill="1" applyBorder="1" applyProtection="1">
      <protection locked="0"/>
    </xf>
    <xf numFmtId="14" fontId="4" fillId="24" borderId="25" xfId="0" applyNumberFormat="1" applyFont="1" applyFill="1" applyBorder="1" applyProtection="1">
      <protection locked="0"/>
    </xf>
    <xf numFmtId="14" fontId="0" fillId="24" borderId="25" xfId="0" applyNumberFormat="1" applyFill="1" applyBorder="1" applyProtection="1">
      <protection locked="0"/>
    </xf>
    <xf numFmtId="14" fontId="0" fillId="24" borderId="54" xfId="0" applyNumberFormat="1" applyFill="1" applyBorder="1" applyProtection="1">
      <protection locked="0"/>
    </xf>
    <xf numFmtId="14" fontId="11" fillId="24" borderId="12" xfId="0" quotePrefix="1" applyNumberFormat="1" applyFont="1" applyFill="1" applyBorder="1" applyAlignment="1" applyProtection="1">
      <alignment horizontal="left" vertical="top" indent="1"/>
      <protection locked="0"/>
    </xf>
    <xf numFmtId="14" fontId="4" fillId="24" borderId="0" xfId="0" applyNumberFormat="1" applyFont="1" applyFill="1" applyAlignment="1" applyProtection="1">
      <alignment vertical="top" wrapText="1"/>
      <protection locked="0"/>
    </xf>
    <xf numFmtId="182" fontId="109" fillId="0" borderId="78" xfId="0" applyNumberFormat="1" applyFont="1" applyBorder="1" applyAlignment="1">
      <alignment horizontal="center"/>
    </xf>
    <xf numFmtId="37" fontId="6" fillId="15" borderId="1" xfId="0" applyNumberFormat="1" applyFont="1" applyFill="1" applyBorder="1" applyProtection="1">
      <protection locked="0"/>
    </xf>
    <xf numFmtId="0" fontId="4" fillId="15" borderId="0" xfId="0" quotePrefix="1" applyFont="1" applyFill="1" applyAlignment="1">
      <alignment horizontal="left" vertical="center"/>
    </xf>
    <xf numFmtId="0" fontId="109" fillId="15" borderId="0" xfId="0" applyFont="1" applyFill="1" applyProtection="1">
      <protection locked="0"/>
    </xf>
    <xf numFmtId="37" fontId="4" fillId="15" borderId="39" xfId="0" applyNumberFormat="1" applyFont="1" applyFill="1" applyBorder="1"/>
    <xf numFmtId="37" fontId="4" fillId="15" borderId="25" xfId="0" applyNumberFormat="1" applyFont="1" applyFill="1" applyBorder="1"/>
    <xf numFmtId="4" fontId="6" fillId="45" borderId="30" xfId="0" applyNumberFormat="1" applyFont="1" applyFill="1" applyBorder="1"/>
    <xf numFmtId="4" fontId="6" fillId="45" borderId="0" xfId="0" applyNumberFormat="1" applyFont="1" applyFill="1"/>
    <xf numFmtId="37" fontId="116" fillId="45" borderId="0" xfId="0" applyNumberFormat="1" applyFont="1" applyFill="1"/>
    <xf numFmtId="4" fontId="6" fillId="45" borderId="3" xfId="0" applyNumberFormat="1" applyFont="1" applyFill="1" applyBorder="1" applyAlignment="1">
      <alignment vertical="center"/>
    </xf>
    <xf numFmtId="4" fontId="6" fillId="45" borderId="0" xfId="0" applyNumberFormat="1" applyFont="1" applyFill="1" applyAlignment="1">
      <alignment vertical="center"/>
    </xf>
    <xf numFmtId="4" fontId="6" fillId="45" borderId="0" xfId="0" applyNumberFormat="1" applyFont="1" applyFill="1" applyAlignment="1">
      <alignment horizontal="right" vertical="center"/>
    </xf>
    <xf numFmtId="4" fontId="4" fillId="45" borderId="3" xfId="0" applyNumberFormat="1" applyFont="1" applyFill="1" applyBorder="1"/>
    <xf numFmtId="4" fontId="4" fillId="45" borderId="0" xfId="0" applyNumberFormat="1" applyFont="1" applyFill="1"/>
    <xf numFmtId="4" fontId="4" fillId="45" borderId="0" xfId="0" applyNumberFormat="1" applyFont="1" applyFill="1" applyAlignment="1">
      <alignment horizontal="right"/>
    </xf>
    <xf numFmtId="4" fontId="6" fillId="45" borderId="3" xfId="0" applyNumberFormat="1" applyFont="1" applyFill="1" applyBorder="1"/>
    <xf numFmtId="4" fontId="6" fillId="45" borderId="0" xfId="0" applyNumberFormat="1" applyFont="1" applyFill="1" applyAlignment="1">
      <alignment horizontal="right"/>
    </xf>
    <xf numFmtId="4" fontId="6" fillId="45" borderId="69" xfId="0" applyNumberFormat="1" applyFont="1" applyFill="1" applyBorder="1"/>
    <xf numFmtId="4" fontId="6" fillId="45" borderId="4" xfId="0" applyNumberFormat="1" applyFont="1" applyFill="1" applyBorder="1"/>
    <xf numFmtId="4" fontId="6" fillId="45" borderId="4" xfId="0" applyNumberFormat="1" applyFont="1" applyFill="1" applyBorder="1" applyAlignment="1">
      <alignment horizontal="right"/>
    </xf>
    <xf numFmtId="0" fontId="113" fillId="5" borderId="0" xfId="0" applyFont="1" applyFill="1" applyAlignment="1">
      <alignment vertical="top"/>
    </xf>
    <xf numFmtId="4" fontId="6" fillId="3" borderId="0" xfId="0" applyNumberFormat="1" applyFont="1" applyFill="1" applyAlignment="1">
      <alignment vertical="top"/>
    </xf>
    <xf numFmtId="4" fontId="4" fillId="3" borderId="0" xfId="0" applyNumberFormat="1" applyFont="1" applyFill="1" applyAlignment="1">
      <alignment vertical="top"/>
    </xf>
    <xf numFmtId="39" fontId="0" fillId="22" borderId="6" xfId="0" applyNumberFormat="1" applyFill="1" applyBorder="1" applyAlignment="1">
      <alignment vertical="top"/>
    </xf>
    <xf numFmtId="39" fontId="0" fillId="3" borderId="3" xfId="0" applyNumberFormat="1" applyFill="1" applyBorder="1" applyAlignment="1">
      <alignment vertical="top"/>
    </xf>
    <xf numFmtId="39" fontId="0" fillId="3" borderId="0" xfId="0" applyNumberFormat="1" applyFill="1" applyAlignment="1">
      <alignment vertical="top"/>
    </xf>
    <xf numFmtId="39" fontId="10" fillId="2" borderId="0" xfId="0" applyNumberFormat="1" applyFont="1" applyFill="1" applyAlignment="1">
      <alignment vertical="top"/>
    </xf>
    <xf numFmtId="39" fontId="10" fillId="21" borderId="0" xfId="0" applyNumberFormat="1" applyFont="1" applyFill="1" applyAlignment="1">
      <alignment vertical="top"/>
    </xf>
    <xf numFmtId="0" fontId="4" fillId="0" borderId="0" xfId="0" applyFont="1" applyAlignment="1">
      <alignment vertical="top"/>
    </xf>
    <xf numFmtId="0" fontId="12" fillId="0" borderId="0" xfId="0" applyFont="1" applyAlignment="1">
      <alignment vertical="top"/>
    </xf>
    <xf numFmtId="0" fontId="10" fillId="0" borderId="0" xfId="0" applyFont="1" applyAlignment="1">
      <alignment vertical="top"/>
    </xf>
    <xf numFmtId="0" fontId="18" fillId="0" borderId="0" xfId="0" applyFont="1" applyAlignment="1">
      <alignment vertical="top"/>
    </xf>
    <xf numFmtId="0" fontId="4" fillId="3" borderId="1" xfId="0" applyFont="1" applyFill="1" applyBorder="1" applyAlignment="1">
      <alignment horizontal="center"/>
    </xf>
    <xf numFmtId="0" fontId="6" fillId="14" borderId="0" xfId="0" applyFont="1" applyFill="1" applyAlignment="1">
      <alignment horizontal="left"/>
    </xf>
    <xf numFmtId="4" fontId="8" fillId="3" borderId="1" xfId="0" applyNumberFormat="1" applyFont="1" applyFill="1" applyBorder="1" applyAlignment="1">
      <alignment horizontal="left" vertical="center"/>
    </xf>
    <xf numFmtId="0" fontId="35" fillId="3" borderId="0" xfId="0" applyFont="1" applyFill="1" applyAlignment="1">
      <alignment horizontal="right"/>
    </xf>
    <xf numFmtId="0" fontId="121" fillId="5" borderId="0" xfId="0" applyFont="1" applyFill="1"/>
    <xf numFmtId="0" fontId="143" fillId="15" borderId="0" xfId="0" applyFont="1" applyFill="1" applyAlignment="1">
      <alignment horizontal="right"/>
    </xf>
    <xf numFmtId="0" fontId="6" fillId="14" borderId="0" xfId="0" applyFont="1" applyFill="1" applyAlignment="1">
      <alignment horizontal="centerContinuous"/>
    </xf>
    <xf numFmtId="0" fontId="6" fillId="14" borderId="100" xfId="0" applyFont="1" applyFill="1" applyBorder="1" applyAlignment="1">
      <alignment horizontal="centerContinuous"/>
    </xf>
    <xf numFmtId="0" fontId="6" fillId="14" borderId="75" xfId="0" applyFont="1" applyFill="1" applyBorder="1" applyAlignment="1">
      <alignment horizontal="centerContinuous"/>
    </xf>
    <xf numFmtId="0" fontId="6" fillId="14" borderId="72" xfId="0" applyFont="1" applyFill="1" applyBorder="1" applyAlignment="1">
      <alignment horizontal="centerContinuous"/>
    </xf>
    <xf numFmtId="0" fontId="6" fillId="14" borderId="13" xfId="0" applyFont="1" applyFill="1" applyBorder="1" applyAlignment="1">
      <alignment horizontal="centerContinuous"/>
    </xf>
    <xf numFmtId="0" fontId="6" fillId="14" borderId="33" xfId="0" applyFont="1" applyFill="1" applyBorder="1" applyAlignment="1">
      <alignment horizontal="centerContinuous"/>
    </xf>
    <xf numFmtId="0" fontId="8" fillId="3" borderId="211" xfId="0" applyFont="1" applyFill="1" applyBorder="1"/>
    <xf numFmtId="0" fontId="9" fillId="3" borderId="71" xfId="0" applyFont="1" applyFill="1" applyBorder="1" applyAlignment="1">
      <alignment vertical="center"/>
    </xf>
    <xf numFmtId="0" fontId="0" fillId="3" borderId="16" xfId="0" applyFill="1" applyBorder="1" applyAlignment="1">
      <alignment vertical="center"/>
    </xf>
    <xf numFmtId="0" fontId="9" fillId="3" borderId="212" xfId="0" applyFont="1" applyFill="1" applyBorder="1"/>
    <xf numFmtId="0" fontId="6" fillId="14" borderId="0" xfId="0" applyFont="1" applyFill="1" applyAlignment="1">
      <alignment horizontal="left" indent="1"/>
    </xf>
    <xf numFmtId="0" fontId="12" fillId="3" borderId="30" xfId="0" applyFont="1" applyFill="1" applyBorder="1"/>
    <xf numFmtId="0" fontId="8" fillId="15" borderId="1" xfId="0" applyFont="1" applyFill="1" applyBorder="1" applyAlignment="1">
      <alignment horizontal="left" vertical="center"/>
    </xf>
    <xf numFmtId="0" fontId="9" fillId="15" borderId="1" xfId="0" applyFont="1" applyFill="1" applyBorder="1" applyAlignment="1">
      <alignment horizontal="center"/>
    </xf>
    <xf numFmtId="0" fontId="9" fillId="3" borderId="1" xfId="0" applyFont="1" applyFill="1" applyBorder="1" applyAlignment="1">
      <alignment horizontal="right"/>
    </xf>
    <xf numFmtId="0" fontId="9" fillId="3" borderId="1" xfId="0" applyFont="1" applyFill="1" applyBorder="1" applyAlignment="1">
      <alignment horizontal="left"/>
    </xf>
    <xf numFmtId="0" fontId="11" fillId="3" borderId="25" xfId="0" applyFont="1" applyFill="1" applyBorder="1" applyAlignment="1">
      <alignment horizontal="left" indent="1"/>
    </xf>
    <xf numFmtId="0" fontId="8" fillId="3" borderId="25" xfId="0" applyFont="1" applyFill="1" applyBorder="1"/>
    <xf numFmtId="0" fontId="9" fillId="7" borderId="6" xfId="0" applyFont="1" applyFill="1" applyBorder="1" applyAlignment="1">
      <alignment horizontal="center"/>
    </xf>
    <xf numFmtId="3" fontId="8" fillId="3" borderId="3" xfId="0" applyNumberFormat="1" applyFont="1" applyFill="1" applyBorder="1" applyAlignment="1">
      <alignment horizontal="center"/>
    </xf>
    <xf numFmtId="39" fontId="4" fillId="3" borderId="10" xfId="0" applyNumberFormat="1" applyFont="1" applyFill="1" applyBorder="1" applyAlignment="1">
      <alignment horizontal="center"/>
    </xf>
    <xf numFmtId="39" fontId="4" fillId="3" borderId="3" xfId="0" applyNumberFormat="1" applyFont="1" applyFill="1" applyBorder="1" applyAlignment="1">
      <alignment horizontal="center"/>
    </xf>
    <xf numFmtId="39" fontId="6" fillId="14" borderId="0" xfId="0" applyNumberFormat="1" applyFont="1" applyFill="1" applyAlignment="1">
      <alignment horizontal="left"/>
    </xf>
    <xf numFmtId="0" fontId="164" fillId="5" borderId="0" xfId="0" applyFont="1" applyFill="1" applyAlignment="1">
      <alignment horizontal="center" vertical="center"/>
    </xf>
    <xf numFmtId="1" fontId="183" fillId="10" borderId="0" xfId="0" applyNumberFormat="1" applyFont="1" applyFill="1" applyAlignment="1">
      <alignment vertical="center" wrapText="1"/>
    </xf>
    <xf numFmtId="39" fontId="8" fillId="14" borderId="0" xfId="0" applyNumberFormat="1" applyFont="1" applyFill="1" applyAlignment="1">
      <alignment horizontal="left"/>
    </xf>
    <xf numFmtId="39" fontId="4" fillId="3" borderId="0" xfId="0" applyNumberFormat="1" applyFont="1" applyFill="1" applyAlignment="1">
      <alignment horizontal="center"/>
    </xf>
    <xf numFmtId="0" fontId="4" fillId="3" borderId="0" xfId="0" applyFont="1" applyFill="1" applyAlignment="1">
      <alignment horizontal="right" vertical="top"/>
    </xf>
    <xf numFmtId="39" fontId="47" fillId="3" borderId="0" xfId="0" applyNumberFormat="1" applyFont="1" applyFill="1" applyAlignment="1">
      <alignment vertical="top"/>
    </xf>
    <xf numFmtId="39" fontId="6" fillId="3" borderId="0" xfId="0" applyNumberFormat="1" applyFont="1" applyFill="1" applyAlignment="1">
      <alignment horizontal="left"/>
    </xf>
    <xf numFmtId="39" fontId="47" fillId="3" borderId="0" xfId="0" applyNumberFormat="1" applyFont="1" applyFill="1" applyAlignment="1">
      <alignment horizontal="right" indent="1"/>
    </xf>
    <xf numFmtId="0" fontId="11" fillId="3" borderId="27" xfId="0" applyFont="1" applyFill="1" applyBorder="1" applyAlignment="1">
      <alignment horizontal="left" indent="2"/>
    </xf>
    <xf numFmtId="0" fontId="15" fillId="3" borderId="27" xfId="0" applyFont="1" applyFill="1" applyBorder="1"/>
    <xf numFmtId="0" fontId="6" fillId="3" borderId="27" xfId="0" applyFont="1" applyFill="1" applyBorder="1"/>
    <xf numFmtId="3" fontId="47" fillId="3" borderId="27" xfId="0" applyNumberFormat="1" applyFont="1" applyFill="1" applyBorder="1"/>
    <xf numFmtId="0" fontId="9" fillId="3" borderId="9" xfId="0" applyFont="1" applyFill="1" applyBorder="1" applyAlignment="1">
      <alignment horizontal="center"/>
    </xf>
    <xf numFmtId="0" fontId="4" fillId="3" borderId="9" xfId="0" applyFont="1" applyFill="1" applyBorder="1" applyAlignment="1">
      <alignment horizontal="right"/>
    </xf>
    <xf numFmtId="0" fontId="4" fillId="3" borderId="7" xfId="0" applyFont="1" applyFill="1" applyBorder="1" applyAlignment="1">
      <alignment horizontal="center"/>
    </xf>
    <xf numFmtId="39" fontId="15" fillId="3" borderId="7" xfId="0" applyNumberFormat="1" applyFont="1" applyFill="1" applyBorder="1"/>
    <xf numFmtId="39" fontId="9" fillId="3" borderId="7" xfId="0" applyNumberFormat="1" applyFont="1" applyFill="1" applyBorder="1"/>
    <xf numFmtId="39" fontId="8" fillId="3" borderId="7" xfId="0" applyNumberFormat="1" applyFont="1" applyFill="1" applyBorder="1"/>
    <xf numFmtId="39" fontId="8" fillId="3" borderId="7" xfId="0" applyNumberFormat="1" applyFont="1" applyFill="1" applyBorder="1" applyAlignment="1">
      <alignment horizontal="center"/>
    </xf>
    <xf numFmtId="39" fontId="9" fillId="3" borderId="7" xfId="0" applyNumberFormat="1" applyFont="1" applyFill="1" applyBorder="1" applyAlignment="1">
      <alignment horizontal="right"/>
    </xf>
    <xf numFmtId="0" fontId="4" fillId="3" borderId="47" xfId="0" applyFont="1" applyFill="1" applyBorder="1" applyAlignment="1">
      <alignment horizontal="center"/>
    </xf>
    <xf numFmtId="39" fontId="14" fillId="3" borderId="0" xfId="0" applyNumberFormat="1" applyFont="1" applyFill="1"/>
    <xf numFmtId="39" fontId="116" fillId="3" borderId="0" xfId="0" applyNumberFormat="1" applyFont="1" applyFill="1" applyAlignment="1">
      <alignment horizontal="center"/>
    </xf>
    <xf numFmtId="39" fontId="8" fillId="14" borderId="0" xfId="0" applyNumberFormat="1" applyFont="1" applyFill="1" applyAlignment="1">
      <alignment horizontal="center"/>
    </xf>
    <xf numFmtId="39" fontId="119" fillId="14" borderId="0" xfId="0" applyNumberFormat="1" applyFont="1" applyFill="1"/>
    <xf numFmtId="0" fontId="14" fillId="3" borderId="0" xfId="0" applyFont="1" applyFill="1" applyAlignment="1">
      <alignment horizontal="left"/>
    </xf>
    <xf numFmtId="0" fontId="16" fillId="3" borderId="0" xfId="0" applyFont="1" applyFill="1" applyAlignment="1">
      <alignment horizontal="left"/>
    </xf>
    <xf numFmtId="0" fontId="6" fillId="3" borderId="7" xfId="0" applyFont="1" applyFill="1" applyBorder="1" applyAlignment="1">
      <alignment vertical="top"/>
    </xf>
    <xf numFmtId="4" fontId="8" fillId="3" borderId="7" xfId="0" applyNumberFormat="1" applyFont="1" applyFill="1" applyBorder="1" applyAlignment="1">
      <alignment horizontal="center" vertical="top"/>
    </xf>
    <xf numFmtId="39" fontId="10" fillId="3" borderId="13" xfId="0" applyNumberFormat="1" applyFont="1" applyFill="1" applyBorder="1"/>
    <xf numFmtId="39" fontId="8" fillId="3" borderId="13" xfId="0" applyNumberFormat="1" applyFont="1" applyFill="1" applyBorder="1"/>
    <xf numFmtId="39" fontId="8" fillId="3" borderId="13" xfId="0" applyNumberFormat="1" applyFont="1" applyFill="1" applyBorder="1" applyAlignment="1">
      <alignment horizontal="right"/>
    </xf>
    <xf numFmtId="39" fontId="11" fillId="3" borderId="13" xfId="0" applyNumberFormat="1" applyFont="1" applyFill="1" applyBorder="1" applyAlignment="1">
      <alignment horizontal="left"/>
    </xf>
    <xf numFmtId="0" fontId="11" fillId="3" borderId="34" xfId="0" applyFont="1" applyFill="1" applyBorder="1" applyAlignment="1">
      <alignment vertical="center"/>
    </xf>
    <xf numFmtId="0" fontId="47" fillId="3" borderId="34" xfId="0" applyFont="1" applyFill="1" applyBorder="1"/>
    <xf numFmtId="39" fontId="6" fillId="3" borderId="15" xfId="0" applyNumberFormat="1" applyFont="1" applyFill="1" applyBorder="1"/>
    <xf numFmtId="1" fontId="9" fillId="3" borderId="0" xfId="0" applyNumberFormat="1" applyFont="1" applyFill="1" applyAlignment="1">
      <alignment horizontal="right"/>
    </xf>
    <xf numFmtId="39" fontId="4" fillId="3" borderId="0" xfId="0" applyNumberFormat="1" applyFont="1" applyFill="1" applyAlignment="1">
      <alignment horizontal="right" indent="1"/>
    </xf>
    <xf numFmtId="39" fontId="19" fillId="3" borderId="0" xfId="0" applyNumberFormat="1" applyFont="1" applyFill="1"/>
    <xf numFmtId="39" fontId="6" fillId="22" borderId="15" xfId="0" applyNumberFormat="1" applyFont="1" applyFill="1" applyBorder="1"/>
    <xf numFmtId="39" fontId="6" fillId="22" borderId="6" xfId="0" applyNumberFormat="1" applyFont="1" applyFill="1" applyBorder="1"/>
    <xf numFmtId="39" fontId="8" fillId="3" borderId="24" xfId="0" applyNumberFormat="1" applyFont="1" applyFill="1" applyBorder="1"/>
    <xf numFmtId="39" fontId="9" fillId="3" borderId="24" xfId="0" applyNumberFormat="1" applyFont="1" applyFill="1" applyBorder="1" applyAlignment="1">
      <alignment horizontal="right"/>
    </xf>
    <xf numFmtId="0" fontId="47" fillId="3" borderId="24" xfId="0" applyFont="1" applyFill="1" applyBorder="1"/>
    <xf numFmtId="0" fontId="47" fillId="3" borderId="30" xfId="0" applyFont="1" applyFill="1" applyBorder="1"/>
    <xf numFmtId="0" fontId="47" fillId="3" borderId="8" xfId="0" applyFont="1" applyFill="1" applyBorder="1"/>
    <xf numFmtId="1" fontId="4" fillId="3" borderId="10" xfId="0" applyNumberFormat="1" applyFont="1" applyFill="1" applyBorder="1" applyAlignment="1">
      <alignment horizontal="right"/>
    </xf>
    <xf numFmtId="39" fontId="4" fillId="3" borderId="6" xfId="0" applyNumberFormat="1" applyFont="1" applyFill="1" applyBorder="1" applyAlignment="1">
      <alignment horizontal="right"/>
    </xf>
    <xf numFmtId="1" fontId="9" fillId="3" borderId="11" xfId="0" applyNumberFormat="1" applyFont="1" applyFill="1" applyBorder="1" applyAlignment="1">
      <alignment horizontal="right"/>
    </xf>
    <xf numFmtId="0" fontId="8" fillId="3" borderId="13" xfId="0" applyFont="1" applyFill="1" applyBorder="1" applyAlignment="1">
      <alignment horizontal="left"/>
    </xf>
    <xf numFmtId="0" fontId="15" fillId="3" borderId="34" xfId="0" applyFont="1" applyFill="1" applyBorder="1" applyAlignment="1">
      <alignment vertical="center"/>
    </xf>
    <xf numFmtId="0" fontId="24" fillId="3" borderId="0" xfId="0" applyFont="1" applyFill="1" applyAlignment="1">
      <alignment horizontal="left" indent="2"/>
    </xf>
    <xf numFmtId="0" fontId="37" fillId="3" borderId="0" xfId="0" applyFont="1" applyFill="1"/>
    <xf numFmtId="0" fontId="15" fillId="3" borderId="0" xfId="0" applyFont="1" applyFill="1" applyAlignment="1">
      <alignment horizontal="left" indent="1"/>
    </xf>
    <xf numFmtId="0" fontId="24" fillId="3" borderId="0" xfId="0" applyFont="1" applyFill="1" applyAlignment="1">
      <alignment horizontal="left" indent="1"/>
    </xf>
    <xf numFmtId="0" fontId="24" fillId="3" borderId="0" xfId="0" applyFont="1" applyFill="1" applyAlignment="1">
      <alignment horizontal="left"/>
    </xf>
    <xf numFmtId="0" fontId="5" fillId="3" borderId="0" xfId="0" applyFont="1" applyFill="1"/>
    <xf numFmtId="0" fontId="24" fillId="3" borderId="0" xfId="0" applyFont="1" applyFill="1"/>
    <xf numFmtId="39" fontId="47" fillId="14" borderId="0" xfId="0" applyNumberFormat="1" applyFont="1" applyFill="1"/>
    <xf numFmtId="0" fontId="47" fillId="14" borderId="0" xfId="0" applyFont="1" applyFill="1"/>
    <xf numFmtId="0" fontId="8" fillId="14" borderId="0" xfId="0" applyFont="1" applyFill="1"/>
    <xf numFmtId="0" fontId="47" fillId="14" borderId="0" xfId="0" applyFont="1" applyFill="1" applyAlignment="1">
      <alignment vertical="center"/>
    </xf>
    <xf numFmtId="0" fontId="24" fillId="3" borderId="13" xfId="0" applyFont="1" applyFill="1" applyBorder="1" applyAlignment="1">
      <alignment horizontal="left" vertical="top" indent="1"/>
    </xf>
    <xf numFmtId="0" fontId="24" fillId="3" borderId="13" xfId="0" applyFont="1" applyFill="1" applyBorder="1"/>
    <xf numFmtId="0" fontId="5" fillId="3" borderId="13" xfId="0" applyFont="1" applyFill="1" applyBorder="1"/>
    <xf numFmtId="39" fontId="6" fillId="3" borderId="13" xfId="0" applyNumberFormat="1" applyFont="1" applyFill="1" applyBorder="1"/>
    <xf numFmtId="39" fontId="47" fillId="3" borderId="13" xfId="0" applyNumberFormat="1" applyFont="1" applyFill="1" applyBorder="1"/>
    <xf numFmtId="0" fontId="47" fillId="3" borderId="0" xfId="0" applyFont="1" applyFill="1" applyAlignment="1">
      <alignment horizontal="left" indent="1"/>
    </xf>
    <xf numFmtId="0" fontId="9" fillId="3" borderId="0" xfId="0" applyFont="1" applyFill="1" applyAlignment="1">
      <alignment horizontal="left" indent="1"/>
    </xf>
    <xf numFmtId="0" fontId="9" fillId="3" borderId="4" xfId="0" applyFont="1" applyFill="1" applyBorder="1" applyAlignment="1">
      <alignment horizontal="center"/>
    </xf>
    <xf numFmtId="0" fontId="15" fillId="3" borderId="7" xfId="0" applyFont="1" applyFill="1" applyBorder="1" applyAlignment="1">
      <alignment horizontal="right" vertical="center"/>
    </xf>
    <xf numFmtId="0" fontId="4" fillId="15" borderId="4" xfId="0" applyFont="1" applyFill="1" applyBorder="1" applyAlignment="1">
      <alignment horizontal="center"/>
    </xf>
    <xf numFmtId="0" fontId="14" fillId="3" borderId="1" xfId="0" applyFont="1" applyFill="1" applyBorder="1"/>
    <xf numFmtId="0" fontId="0" fillId="15" borderId="87" xfId="0" applyFill="1" applyBorder="1"/>
    <xf numFmtId="0" fontId="0" fillId="15" borderId="91" xfId="0" applyFill="1" applyBorder="1"/>
    <xf numFmtId="0" fontId="0" fillId="15" borderId="241" xfId="0" applyFill="1" applyBorder="1"/>
    <xf numFmtId="37" fontId="0" fillId="15" borderId="87" xfId="0" applyNumberFormat="1" applyFill="1" applyBorder="1"/>
    <xf numFmtId="0" fontId="0" fillId="15" borderId="240" xfId="0" applyFill="1" applyBorder="1"/>
    <xf numFmtId="0" fontId="0" fillId="15" borderId="200" xfId="0" applyFill="1" applyBorder="1"/>
    <xf numFmtId="37" fontId="0" fillId="0" borderId="38" xfId="0" applyNumberFormat="1" applyBorder="1"/>
    <xf numFmtId="37" fontId="0" fillId="0" borderId="60" xfId="0" applyNumberFormat="1" applyBorder="1" applyProtection="1">
      <protection locked="0"/>
    </xf>
    <xf numFmtId="0" fontId="6" fillId="15" borderId="20" xfId="0" quotePrefix="1" applyFont="1" applyFill="1" applyBorder="1"/>
    <xf numFmtId="0" fontId="6" fillId="15" borderId="179" xfId="0" applyFont="1" applyFill="1" applyBorder="1"/>
    <xf numFmtId="0" fontId="0" fillId="15" borderId="180" xfId="0" applyFill="1" applyBorder="1"/>
    <xf numFmtId="0" fontId="0" fillId="15" borderId="178" xfId="0" applyFill="1" applyBorder="1"/>
    <xf numFmtId="0" fontId="6" fillId="15" borderId="177" xfId="0" applyFont="1" applyFill="1" applyBorder="1" applyAlignment="1">
      <alignment vertical="center"/>
    </xf>
    <xf numFmtId="0" fontId="0" fillId="15" borderId="5" xfId="0" applyFill="1" applyBorder="1" applyAlignment="1">
      <alignment vertical="center"/>
    </xf>
    <xf numFmtId="0" fontId="0" fillId="15" borderId="20" xfId="0" applyFill="1" applyBorder="1" applyAlignment="1">
      <alignment vertical="center"/>
    </xf>
    <xf numFmtId="0" fontId="0" fillId="15" borderId="69" xfId="0" applyFill="1" applyBorder="1"/>
    <xf numFmtId="37" fontId="0" fillId="15" borderId="31" xfId="0" applyNumberFormat="1" applyFill="1" applyBorder="1"/>
    <xf numFmtId="37" fontId="0" fillId="15" borderId="27" xfId="0" applyNumberFormat="1" applyFill="1" applyBorder="1"/>
    <xf numFmtId="0" fontId="0" fillId="15" borderId="148" xfId="0" applyFill="1" applyBorder="1" applyAlignment="1">
      <alignment vertical="center"/>
    </xf>
    <xf numFmtId="37" fontId="0" fillId="15" borderId="201" xfId="0" applyNumberFormat="1" applyFill="1" applyBorder="1"/>
    <xf numFmtId="0" fontId="0" fillId="15" borderId="201" xfId="0" applyFill="1" applyBorder="1"/>
    <xf numFmtId="0" fontId="0" fillId="15" borderId="42" xfId="0" applyFill="1" applyBorder="1"/>
    <xf numFmtId="0" fontId="0" fillId="15" borderId="21" xfId="0" applyFill="1" applyBorder="1" applyAlignment="1">
      <alignment vertical="top"/>
    </xf>
    <xf numFmtId="0" fontId="0" fillId="15" borderId="69" xfId="0" applyFill="1" applyBorder="1" applyAlignment="1">
      <alignment vertical="center"/>
    </xf>
    <xf numFmtId="37" fontId="6" fillId="0" borderId="15" xfId="0" applyNumberFormat="1" applyFont="1" applyBorder="1"/>
    <xf numFmtId="37" fontId="6" fillId="0" borderId="83" xfId="0" applyNumberFormat="1" applyFont="1" applyBorder="1"/>
    <xf numFmtId="0" fontId="20" fillId="15" borderId="15" xfId="0" applyFont="1" applyFill="1" applyBorder="1" applyAlignment="1">
      <alignment horizontal="center" vertical="center"/>
    </xf>
    <xf numFmtId="37" fontId="20" fillId="15" borderId="30" xfId="0" quotePrefix="1" applyNumberFormat="1" applyFont="1" applyFill="1" applyBorder="1" applyAlignment="1" applyProtection="1">
      <alignment horizontal="right"/>
      <protection locked="0"/>
    </xf>
    <xf numFmtId="37" fontId="20" fillId="15" borderId="8" xfId="0" quotePrefix="1" applyNumberFormat="1" applyFont="1" applyFill="1" applyBorder="1" applyAlignment="1" applyProtection="1">
      <alignment horizontal="right"/>
      <protection locked="0"/>
    </xf>
    <xf numFmtId="37" fontId="20" fillId="15" borderId="14" xfId="0" quotePrefix="1" applyNumberFormat="1" applyFont="1" applyFill="1" applyBorder="1" applyAlignment="1" applyProtection="1">
      <alignment horizontal="right"/>
      <protection locked="0"/>
    </xf>
    <xf numFmtId="37" fontId="20" fillId="15" borderId="3" xfId="0" quotePrefix="1" applyNumberFormat="1" applyFont="1" applyFill="1" applyBorder="1" applyAlignment="1" applyProtection="1">
      <alignment horizontal="right"/>
      <protection locked="0"/>
    </xf>
    <xf numFmtId="37" fontId="20" fillId="15" borderId="0" xfId="0" quotePrefix="1" applyNumberFormat="1" applyFont="1" applyFill="1" applyAlignment="1" applyProtection="1">
      <alignment horizontal="right"/>
      <protection locked="0"/>
    </xf>
    <xf numFmtId="37" fontId="20" fillId="15" borderId="24" xfId="0" quotePrefix="1" applyNumberFormat="1" applyFont="1" applyFill="1" applyBorder="1" applyAlignment="1" applyProtection="1">
      <alignment horizontal="right"/>
      <protection locked="0"/>
    </xf>
    <xf numFmtId="0" fontId="11" fillId="15" borderId="0" xfId="0" quotePrefix="1" applyFont="1" applyFill="1" applyAlignment="1" applyProtection="1">
      <alignment horizontal="center"/>
      <protection locked="0"/>
    </xf>
    <xf numFmtId="0" fontId="11" fillId="15" borderId="0" xfId="0" applyFont="1" applyFill="1" applyAlignment="1" applyProtection="1">
      <alignment horizontal="center"/>
      <protection locked="0"/>
    </xf>
    <xf numFmtId="0" fontId="20" fillId="15" borderId="12" xfId="0" quotePrefix="1" applyFont="1" applyFill="1" applyBorder="1" applyAlignment="1" applyProtection="1">
      <alignment horizontal="center"/>
      <protection locked="0"/>
    </xf>
    <xf numFmtId="0" fontId="20" fillId="15" borderId="12" xfId="0" applyFont="1" applyFill="1" applyBorder="1" applyAlignment="1" applyProtection="1">
      <alignment horizontal="center"/>
      <protection locked="0"/>
    </xf>
    <xf numFmtId="0" fontId="20" fillId="15" borderId="0" xfId="0" quotePrefix="1" applyFont="1" applyFill="1" applyAlignment="1">
      <alignment horizontal="right" vertical="center"/>
    </xf>
    <xf numFmtId="0" fontId="20" fillId="15" borderId="0" xfId="0" quotePrefix="1" applyFont="1" applyFill="1" applyAlignment="1" applyProtection="1">
      <alignment horizontal="center"/>
      <protection locked="0"/>
    </xf>
    <xf numFmtId="0" fontId="20" fillId="15" borderId="4" xfId="0" applyFont="1" applyFill="1" applyBorder="1" applyAlignment="1">
      <alignment horizontal="right"/>
    </xf>
    <xf numFmtId="0" fontId="14" fillId="15" borderId="4" xfId="0" applyFont="1" applyFill="1" applyBorder="1" applyAlignment="1">
      <alignment horizontal="left" vertical="center"/>
    </xf>
    <xf numFmtId="0" fontId="20" fillId="15" borderId="27" xfId="0" applyFont="1" applyFill="1" applyBorder="1" applyAlignment="1">
      <alignment horizontal="left" vertical="center"/>
    </xf>
    <xf numFmtId="0" fontId="14" fillId="15" borderId="27" xfId="0" quotePrefix="1" applyFont="1" applyFill="1" applyBorder="1" applyAlignment="1">
      <alignment horizontal="left"/>
    </xf>
    <xf numFmtId="0" fontId="47" fillId="15" borderId="27" xfId="0" applyFont="1" applyFill="1" applyBorder="1"/>
    <xf numFmtId="0" fontId="6" fillId="15" borderId="27" xfId="0" applyFont="1" applyFill="1" applyBorder="1"/>
    <xf numFmtId="0" fontId="6" fillId="15" borderId="27" xfId="0" applyFont="1" applyFill="1" applyBorder="1" applyAlignment="1">
      <alignment horizontal="right"/>
    </xf>
    <xf numFmtId="0" fontId="47" fillId="15" borderId="27" xfId="0" quotePrefix="1" applyFont="1" applyFill="1" applyBorder="1" applyAlignment="1">
      <alignment horizontal="center"/>
    </xf>
    <xf numFmtId="37" fontId="8" fillId="14" borderId="27" xfId="0" applyNumberFormat="1" applyFont="1" applyFill="1" applyBorder="1" applyAlignment="1">
      <alignment horizontal="right"/>
    </xf>
    <xf numFmtId="0" fontId="6" fillId="15" borderId="27" xfId="0" quotePrefix="1" applyFont="1" applyFill="1" applyBorder="1" applyAlignment="1">
      <alignment horizontal="center"/>
    </xf>
    <xf numFmtId="37" fontId="47" fillId="14" borderId="27" xfId="0" applyNumberFormat="1" applyFont="1" applyFill="1" applyBorder="1" applyAlignment="1">
      <alignment horizontal="right"/>
    </xf>
    <xf numFmtId="0" fontId="188" fillId="15" borderId="0" xfId="0" quotePrefix="1" applyFont="1" applyFill="1" applyAlignment="1">
      <alignment horizontal="left"/>
    </xf>
    <xf numFmtId="0" fontId="14" fillId="15" borderId="0" xfId="0" applyFont="1" applyFill="1" applyAlignment="1">
      <alignment horizontal="right" vertical="center"/>
    </xf>
    <xf numFmtId="0" fontId="14" fillId="15" borderId="0" xfId="0" applyFont="1" applyFill="1" applyAlignment="1">
      <alignment horizontal="right" indent="1"/>
    </xf>
    <xf numFmtId="0" fontId="14" fillId="15" borderId="4" xfId="0" applyFont="1" applyFill="1" applyBorder="1" applyAlignment="1">
      <alignment horizontal="right"/>
    </xf>
    <xf numFmtId="0" fontId="20" fillId="15" borderId="15" xfId="0" applyFont="1" applyFill="1" applyBorder="1" applyAlignment="1">
      <alignment horizontal="right" vertical="center"/>
    </xf>
    <xf numFmtId="37" fontId="20" fillId="15" borderId="6" xfId="0" quotePrefix="1" applyNumberFormat="1" applyFont="1" applyFill="1" applyBorder="1" applyAlignment="1" applyProtection="1">
      <alignment horizontal="right"/>
      <protection locked="0"/>
    </xf>
    <xf numFmtId="0" fontId="20" fillId="15" borderId="6" xfId="0" quotePrefix="1" applyFont="1" applyFill="1" applyBorder="1" applyAlignment="1" applyProtection="1">
      <alignment horizontal="center"/>
      <protection locked="0"/>
    </xf>
    <xf numFmtId="0" fontId="188" fillId="15" borderId="0" xfId="0" applyFont="1" applyFill="1" applyAlignment="1">
      <alignment horizontal="right"/>
    </xf>
    <xf numFmtId="0" fontId="188" fillId="15" borderId="0" xfId="0" applyFont="1" applyFill="1" applyAlignment="1">
      <alignment horizontal="left" vertical="center"/>
    </xf>
    <xf numFmtId="37" fontId="11" fillId="15" borderId="4" xfId="0" applyNumberFormat="1" applyFont="1" applyFill="1" applyBorder="1" applyProtection="1">
      <protection locked="0"/>
    </xf>
    <xf numFmtId="0" fontId="11" fillId="23" borderId="30" xfId="0" applyFont="1" applyFill="1" applyBorder="1"/>
    <xf numFmtId="0" fontId="11" fillId="23" borderId="14" xfId="0" applyFont="1" applyFill="1" applyBorder="1"/>
    <xf numFmtId="0" fontId="11" fillId="23" borderId="3" xfId="0" applyFont="1" applyFill="1" applyBorder="1"/>
    <xf numFmtId="0" fontId="11" fillId="23" borderId="24" xfId="0" applyFont="1" applyFill="1" applyBorder="1"/>
    <xf numFmtId="0" fontId="11" fillId="23" borderId="69" xfId="0" applyFont="1" applyFill="1" applyBorder="1"/>
    <xf numFmtId="0" fontId="11" fillId="23" borderId="70" xfId="0" applyFont="1" applyFill="1" applyBorder="1"/>
    <xf numFmtId="37" fontId="116" fillId="0" borderId="0" xfId="0" applyNumberFormat="1" applyFont="1" applyProtection="1">
      <protection locked="0"/>
    </xf>
    <xf numFmtId="0" fontId="20" fillId="24" borderId="12" xfId="0" applyFont="1" applyFill="1" applyBorder="1" applyAlignment="1" applyProtection="1">
      <alignment horizontal="center"/>
      <protection locked="0"/>
    </xf>
    <xf numFmtId="0" fontId="20" fillId="24" borderId="12" xfId="0" quotePrefix="1" applyFont="1" applyFill="1" applyBorder="1" applyAlignment="1" applyProtection="1">
      <alignment horizontal="center"/>
      <protection locked="0"/>
    </xf>
    <xf numFmtId="37" fontId="20" fillId="29" borderId="12" xfId="0" applyNumberFormat="1" applyFont="1" applyFill="1" applyBorder="1" applyAlignment="1" applyProtection="1">
      <alignment horizontal="center"/>
      <protection locked="0"/>
    </xf>
    <xf numFmtId="0" fontId="146" fillId="15" borderId="25" xfId="0" applyFont="1" applyFill="1" applyBorder="1" applyAlignment="1">
      <alignment vertical="center"/>
    </xf>
    <xf numFmtId="14" fontId="126" fillId="24" borderId="30" xfId="0" applyNumberFormat="1" applyFont="1" applyFill="1" applyBorder="1" applyProtection="1">
      <protection locked="0"/>
    </xf>
    <xf numFmtId="14" fontId="10" fillId="24" borderId="0" xfId="0" applyNumberFormat="1" applyFont="1" applyFill="1" applyProtection="1">
      <protection locked="0"/>
    </xf>
    <xf numFmtId="1" fontId="138" fillId="24" borderId="0" xfId="0" applyNumberFormat="1" applyFont="1" applyFill="1" applyAlignment="1">
      <alignment horizontal="center"/>
    </xf>
    <xf numFmtId="14" fontId="10" fillId="24" borderId="0" xfId="0" applyNumberFormat="1" applyFont="1" applyFill="1"/>
    <xf numFmtId="14" fontId="12" fillId="24" borderId="3" xfId="0" applyNumberFormat="1" applyFont="1" applyFill="1" applyBorder="1" applyAlignment="1" applyProtection="1">
      <alignment vertical="center" wrapText="1"/>
      <protection locked="0"/>
    </xf>
    <xf numFmtId="37" fontId="199" fillId="0" borderId="0" xfId="0" applyNumberFormat="1" applyFont="1"/>
    <xf numFmtId="0" fontId="199" fillId="0" borderId="0" xfId="0" applyFont="1" applyAlignment="1">
      <alignment horizontal="left"/>
    </xf>
    <xf numFmtId="0" fontId="112" fillId="0" borderId="0" xfId="0" applyFont="1" applyAlignment="1">
      <alignment horizontal="left"/>
    </xf>
    <xf numFmtId="39" fontId="10" fillId="0" borderId="0" xfId="0" applyNumberFormat="1" applyFont="1" applyProtection="1">
      <protection locked="0"/>
    </xf>
    <xf numFmtId="1" fontId="138" fillId="24" borderId="0" xfId="0" applyNumberFormat="1" applyFont="1" applyFill="1"/>
    <xf numFmtId="1" fontId="138" fillId="24" borderId="0" xfId="0" applyNumberFormat="1" applyFont="1" applyFill="1" applyAlignment="1">
      <alignment horizontal="right"/>
    </xf>
    <xf numFmtId="1" fontId="11" fillId="15" borderId="3" xfId="0" applyNumberFormat="1" applyFont="1" applyFill="1" applyBorder="1" applyAlignment="1">
      <alignment horizontal="center"/>
    </xf>
    <xf numFmtId="0" fontId="11" fillId="15" borderId="4" xfId="0" applyFont="1" applyFill="1" applyBorder="1" applyAlignment="1">
      <alignment horizontal="right"/>
    </xf>
    <xf numFmtId="0" fontId="4" fillId="15" borderId="75" xfId="0" applyFont="1" applyFill="1" applyBorder="1" applyAlignment="1">
      <alignment horizontal="left"/>
    </xf>
    <xf numFmtId="0" fontId="6" fillId="39" borderId="4" xfId="0" applyFont="1" applyFill="1" applyBorder="1"/>
    <xf numFmtId="0" fontId="8" fillId="39" borderId="0" xfId="0" applyFont="1" applyFill="1" applyAlignment="1">
      <alignment wrapText="1"/>
    </xf>
    <xf numFmtId="0" fontId="47" fillId="39" borderId="16" xfId="0" applyFont="1" applyFill="1" applyBorder="1" applyAlignment="1">
      <alignment horizontal="right" vertical="center" indent="1"/>
    </xf>
    <xf numFmtId="0" fontId="47" fillId="39" borderId="16" xfId="0" applyFont="1" applyFill="1" applyBorder="1" applyAlignment="1">
      <alignment horizontal="left" vertical="center" indent="1"/>
    </xf>
    <xf numFmtId="0" fontId="74" fillId="15" borderId="1" xfId="0" applyFont="1" applyFill="1" applyBorder="1" applyAlignment="1">
      <alignment vertical="top"/>
    </xf>
    <xf numFmtId="3" fontId="9" fillId="14" borderId="3" xfId="0" applyNumberFormat="1" applyFont="1" applyFill="1" applyBorder="1"/>
    <xf numFmtId="3" fontId="9" fillId="14" borderId="0" xfId="0" applyNumberFormat="1" applyFont="1" applyFill="1"/>
    <xf numFmtId="0" fontId="9" fillId="3" borderId="10" xfId="0" applyFont="1" applyFill="1" applyBorder="1" applyAlignment="1">
      <alignment horizontal="center"/>
    </xf>
    <xf numFmtId="0" fontId="0" fillId="15" borderId="5" xfId="0" applyFill="1" applyBorder="1" applyAlignment="1">
      <alignment horizontal="center"/>
    </xf>
    <xf numFmtId="0" fontId="115" fillId="15" borderId="3" xfId="0" applyFont="1" applyFill="1" applyBorder="1" applyAlignment="1">
      <alignment horizontal="center" vertical="center"/>
    </xf>
    <xf numFmtId="0" fontId="115" fillId="15" borderId="0" xfId="0" applyFont="1" applyFill="1" applyAlignment="1">
      <alignment horizontal="center" vertical="center"/>
    </xf>
    <xf numFmtId="0" fontId="15" fillId="15" borderId="0" xfId="0" applyFont="1" applyFill="1" applyAlignment="1">
      <alignment horizontal="center" wrapText="1"/>
    </xf>
    <xf numFmtId="39" fontId="6" fillId="24" borderId="0" xfId="0" applyNumberFormat="1" applyFont="1" applyFill="1" applyAlignment="1" applyProtection="1">
      <alignment horizontal="center"/>
      <protection locked="0"/>
    </xf>
    <xf numFmtId="0" fontId="10" fillId="3" borderId="7" xfId="0" applyFont="1" applyFill="1" applyBorder="1" applyAlignment="1" applyProtection="1">
      <alignment horizontal="right"/>
      <protection hidden="1"/>
    </xf>
    <xf numFmtId="4" fontId="9" fillId="15" borderId="0" xfId="0" applyNumberFormat="1" applyFont="1" applyFill="1" applyAlignment="1" applyProtection="1">
      <alignment horizontal="left"/>
      <protection hidden="1"/>
    </xf>
    <xf numFmtId="0" fontId="8" fillId="15" borderId="0" xfId="0" applyFont="1" applyFill="1" applyAlignment="1" applyProtection="1">
      <alignment horizontal="left"/>
      <protection hidden="1"/>
    </xf>
    <xf numFmtId="4" fontId="8" fillId="15" borderId="0" xfId="0" applyNumberFormat="1" applyFont="1" applyFill="1" applyAlignment="1" applyProtection="1">
      <alignment horizontal="left"/>
      <protection hidden="1"/>
    </xf>
    <xf numFmtId="0" fontId="9" fillId="15" borderId="0" xfId="0" applyFont="1" applyFill="1" applyAlignment="1" applyProtection="1">
      <alignment horizontal="right"/>
      <protection hidden="1"/>
    </xf>
    <xf numFmtId="39" fontId="8" fillId="15" borderId="0" xfId="0" applyNumberFormat="1" applyFont="1" applyFill="1" applyAlignment="1" applyProtection="1">
      <alignment horizontal="center"/>
      <protection hidden="1"/>
    </xf>
    <xf numFmtId="39" fontId="8" fillId="15" borderId="0" xfId="0" applyNumberFormat="1" applyFont="1" applyFill="1" applyAlignment="1" applyProtection="1">
      <alignment horizontal="right"/>
      <protection hidden="1"/>
    </xf>
    <xf numFmtId="0" fontId="37" fillId="15" borderId="0" xfId="0" applyFont="1" applyFill="1" applyAlignment="1" applyProtection="1">
      <alignment horizontal="right"/>
      <protection hidden="1"/>
    </xf>
    <xf numFmtId="4" fontId="8" fillId="15" borderId="3" xfId="0" applyNumberFormat="1" applyFont="1" applyFill="1" applyBorder="1" applyAlignment="1" applyProtection="1">
      <alignment horizontal="left"/>
      <protection hidden="1"/>
    </xf>
    <xf numFmtId="4" fontId="8" fillId="15" borderId="69" xfId="0" applyNumberFormat="1" applyFont="1" applyFill="1" applyBorder="1" applyAlignment="1" applyProtection="1">
      <alignment horizontal="left"/>
      <protection hidden="1"/>
    </xf>
    <xf numFmtId="0" fontId="10" fillId="15" borderId="7" xfId="0" applyFont="1" applyFill="1" applyBorder="1" applyAlignment="1">
      <alignment horizontal="right" vertical="top"/>
    </xf>
    <xf numFmtId="0" fontId="10" fillId="2" borderId="0" xfId="0" applyFont="1" applyFill="1" applyAlignment="1">
      <alignment horizontal="right" vertical="top"/>
    </xf>
    <xf numFmtId="0" fontId="12" fillId="2" borderId="0" xfId="0" applyFont="1" applyFill="1" applyAlignment="1">
      <alignment horizontal="left" vertical="top"/>
    </xf>
    <xf numFmtId="0" fontId="9" fillId="15" borderId="7" xfId="0" applyFont="1" applyFill="1" applyBorder="1" applyAlignment="1">
      <alignment horizontal="left" vertical="top"/>
    </xf>
    <xf numFmtId="14" fontId="6" fillId="15" borderId="5" xfId="0" applyNumberFormat="1" applyFont="1" applyFill="1" applyBorder="1" applyAlignment="1" applyProtection="1">
      <alignment horizontal="left" vertical="top" indent="1"/>
      <protection locked="0"/>
    </xf>
    <xf numFmtId="0" fontId="11" fillId="15" borderId="24" xfId="0" applyFont="1" applyFill="1" applyBorder="1" applyAlignment="1">
      <alignment horizontal="center"/>
    </xf>
    <xf numFmtId="37" fontId="6" fillId="15" borderId="3" xfId="0" applyNumberFormat="1" applyFont="1" applyFill="1" applyBorder="1"/>
    <xf numFmtId="37" fontId="6" fillId="15" borderId="24" xfId="0" applyNumberFormat="1" applyFont="1" applyFill="1" applyBorder="1"/>
    <xf numFmtId="0" fontId="180" fillId="15" borderId="0" xfId="0" applyFont="1" applyFill="1" applyAlignment="1">
      <alignment wrapText="1"/>
    </xf>
    <xf numFmtId="0" fontId="180" fillId="0" borderId="0" xfId="0" applyFont="1" applyAlignment="1">
      <alignment wrapText="1"/>
    </xf>
    <xf numFmtId="0" fontId="116" fillId="15" borderId="0" xfId="0" applyFont="1" applyFill="1" applyAlignment="1">
      <alignment wrapText="1"/>
    </xf>
    <xf numFmtId="0" fontId="116" fillId="0" borderId="0" xfId="0" applyFont="1" applyAlignment="1">
      <alignment wrapText="1"/>
    </xf>
    <xf numFmtId="0" fontId="116" fillId="15" borderId="1" xfId="0" applyFont="1" applyFill="1" applyBorder="1" applyAlignment="1">
      <alignment wrapText="1"/>
    </xf>
    <xf numFmtId="14" fontId="4" fillId="15" borderId="5" xfId="0" applyNumberFormat="1" applyFont="1" applyFill="1" applyBorder="1" applyAlignment="1">
      <alignment horizontal="right"/>
    </xf>
    <xf numFmtId="37" fontId="6" fillId="15" borderId="4" xfId="0" applyNumberFormat="1" applyFont="1" applyFill="1" applyBorder="1"/>
    <xf numFmtId="0" fontId="47" fillId="2" borderId="0" xfId="0" applyFont="1" applyFill="1" applyAlignment="1">
      <alignment horizontal="right"/>
    </xf>
    <xf numFmtId="0" fontId="10" fillId="2" borderId="13" xfId="0" applyFont="1" applyFill="1" applyBorder="1"/>
    <xf numFmtId="0" fontId="0" fillId="2" borderId="13" xfId="0" applyFill="1" applyBorder="1"/>
    <xf numFmtId="0" fontId="0" fillId="2" borderId="33" xfId="0" applyFill="1" applyBorder="1"/>
    <xf numFmtId="0" fontId="40" fillId="15" borderId="0" xfId="0" applyFont="1" applyFill="1" applyAlignment="1">
      <alignment horizontal="center" vertical="center"/>
    </xf>
    <xf numFmtId="0" fontId="6" fillId="15" borderId="4" xfId="0" applyFont="1" applyFill="1" applyBorder="1" applyAlignment="1">
      <alignment horizontal="left"/>
    </xf>
    <xf numFmtId="0" fontId="15" fillId="15" borderId="6" xfId="0" quotePrefix="1" applyFont="1" applyFill="1" applyBorder="1" applyAlignment="1">
      <alignment horizontal="left" vertical="center"/>
    </xf>
    <xf numFmtId="0" fontId="15" fillId="15" borderId="3" xfId="0" quotePrefix="1" applyFont="1" applyFill="1" applyBorder="1" applyAlignment="1">
      <alignment horizontal="left" vertical="center"/>
    </xf>
    <xf numFmtId="0" fontId="6" fillId="15" borderId="4" xfId="0" applyFont="1" applyFill="1" applyBorder="1" applyAlignment="1">
      <alignment vertical="center"/>
    </xf>
    <xf numFmtId="0" fontId="47" fillId="15" borderId="0" xfId="0" applyFont="1" applyFill="1" applyAlignment="1">
      <alignment horizontal="center" vertical="center"/>
    </xf>
    <xf numFmtId="171" fontId="0" fillId="0" borderId="0" xfId="0" applyNumberFormat="1" applyAlignment="1" applyProtection="1">
      <alignment horizontal="center" vertical="center"/>
      <protection locked="0"/>
    </xf>
    <xf numFmtId="39" fontId="0" fillId="24" borderId="0" xfId="0" applyNumberFormat="1" applyFill="1" applyAlignment="1" applyProtection="1">
      <alignment horizontal="center" vertical="center"/>
      <protection locked="0"/>
    </xf>
    <xf numFmtId="0" fontId="14" fillId="15" borderId="1" xfId="0" quotePrefix="1" applyFont="1" applyFill="1" applyBorder="1" applyAlignment="1">
      <alignment horizontal="center"/>
    </xf>
    <xf numFmtId="49" fontId="120" fillId="15" borderId="1" xfId="0" applyNumberFormat="1" applyFont="1" applyFill="1" applyBorder="1" applyAlignment="1">
      <alignment horizontal="left"/>
    </xf>
    <xf numFmtId="166" fontId="74" fillId="15" borderId="1" xfId="0" applyNumberFormat="1" applyFont="1" applyFill="1" applyBorder="1"/>
    <xf numFmtId="166" fontId="74" fillId="15" borderId="1" xfId="0" applyNumberFormat="1" applyFont="1" applyFill="1" applyBorder="1" applyAlignment="1">
      <alignment horizontal="center"/>
    </xf>
    <xf numFmtId="4" fontId="10" fillId="3" borderId="15" xfId="0" applyNumberFormat="1" applyFont="1" applyFill="1" applyBorder="1" applyAlignment="1">
      <alignment horizontal="left"/>
    </xf>
    <xf numFmtId="37" fontId="8" fillId="3" borderId="25" xfId="0" applyNumberFormat="1" applyFont="1" applyFill="1" applyBorder="1" applyAlignment="1" applyProtection="1">
      <alignment horizontal="right"/>
      <protection locked="0"/>
    </xf>
    <xf numFmtId="37" fontId="10" fillId="3" borderId="0" xfId="0" applyNumberFormat="1" applyFont="1" applyFill="1" applyAlignment="1">
      <alignment horizontal="left"/>
    </xf>
    <xf numFmtId="3" fontId="113" fillId="5" borderId="0" xfId="0" applyNumberFormat="1" applyFont="1" applyFill="1" applyProtection="1">
      <protection locked="0"/>
    </xf>
    <xf numFmtId="1" fontId="8" fillId="3" borderId="7" xfId="0" applyNumberFormat="1" applyFont="1" applyFill="1" applyBorder="1" applyAlignment="1">
      <alignment horizontal="right"/>
    </xf>
    <xf numFmtId="4" fontId="8" fillId="3" borderId="7" xfId="0" applyNumberFormat="1" applyFont="1" applyFill="1" applyBorder="1" applyAlignment="1">
      <alignment horizontal="left" vertical="center"/>
    </xf>
    <xf numFmtId="4" fontId="8" fillId="3" borderId="7" xfId="0" applyNumberFormat="1" applyFont="1" applyFill="1" applyBorder="1" applyAlignment="1">
      <alignment horizontal="left" vertical="center" indent="3"/>
    </xf>
    <xf numFmtId="0" fontId="138" fillId="0" borderId="0" xfId="0" applyFont="1"/>
    <xf numFmtId="0" fontId="126" fillId="0" borderId="0" xfId="0" applyFont="1"/>
    <xf numFmtId="0" fontId="366" fillId="0" borderId="0" xfId="0" applyFont="1" applyAlignment="1">
      <alignment horizontal="right"/>
    </xf>
    <xf numFmtId="0" fontId="138" fillId="0" borderId="0" xfId="0" applyFont="1" applyAlignment="1">
      <alignment horizontal="right"/>
    </xf>
    <xf numFmtId="3" fontId="138" fillId="0" borderId="0" xfId="0" applyNumberFormat="1" applyFont="1" applyAlignment="1" applyProtection="1">
      <alignment horizontal="right"/>
      <protection locked="0"/>
    </xf>
    <xf numFmtId="0" fontId="73" fillId="15" borderId="0" xfId="0" applyFont="1" applyFill="1"/>
    <xf numFmtId="0" fontId="73" fillId="15" borderId="0" xfId="0" applyFont="1" applyFill="1" applyAlignment="1">
      <alignment horizontal="right"/>
    </xf>
    <xf numFmtId="39" fontId="14" fillId="15" borderId="0" xfId="0" applyNumberFormat="1" applyFont="1" applyFill="1" applyAlignment="1" applyProtection="1">
      <alignment horizontal="left" vertical="top" indent="3"/>
      <protection locked="0"/>
    </xf>
    <xf numFmtId="39" fontId="14" fillId="15" borderId="0" xfId="0" applyNumberFormat="1" applyFont="1" applyFill="1" applyAlignment="1" applyProtection="1">
      <alignment horizontal="left" vertical="top"/>
      <protection locked="0"/>
    </xf>
    <xf numFmtId="173" fontId="0" fillId="15" borderId="2" xfId="0" applyNumberFormat="1" applyFill="1" applyBorder="1" applyProtection="1">
      <protection locked="0"/>
    </xf>
    <xf numFmtId="0" fontId="74" fillId="15" borderId="0" xfId="0" applyFont="1" applyFill="1" applyAlignment="1">
      <alignment vertical="center" wrapText="1"/>
    </xf>
    <xf numFmtId="0" fontId="166" fillId="24" borderId="0" xfId="0" applyFont="1" applyFill="1"/>
    <xf numFmtId="0" fontId="180" fillId="24" borderId="0" xfId="0" applyFont="1" applyFill="1"/>
    <xf numFmtId="0" fontId="146" fillId="24" borderId="0" xfId="0" quotePrefix="1" applyFont="1" applyFill="1" applyAlignment="1">
      <alignment horizontal="right"/>
    </xf>
    <xf numFmtId="4" fontId="180" fillId="24" borderId="0" xfId="0" applyNumberFormat="1" applyFont="1" applyFill="1"/>
    <xf numFmtId="37" fontId="10" fillId="24" borderId="0" xfId="0" applyNumberFormat="1" applyFont="1" applyFill="1" applyAlignment="1">
      <alignment horizontal="right"/>
    </xf>
    <xf numFmtId="37" fontId="138" fillId="24" borderId="0" xfId="0" applyNumberFormat="1" applyFont="1" applyFill="1" applyAlignment="1">
      <alignment horizontal="right"/>
    </xf>
    <xf numFmtId="0" fontId="0" fillId="15" borderId="21" xfId="0" applyFill="1" applyBorder="1" applyAlignment="1">
      <alignment horizontal="center"/>
    </xf>
    <xf numFmtId="37" fontId="180" fillId="3" borderId="3" xfId="0" applyNumberFormat="1" applyFont="1" applyFill="1" applyBorder="1" applyAlignment="1">
      <alignment horizontal="right"/>
    </xf>
    <xf numFmtId="0" fontId="146" fillId="2" borderId="0" xfId="0" applyFont="1" applyFill="1" applyAlignment="1">
      <alignment vertical="center"/>
    </xf>
    <xf numFmtId="0" fontId="205" fillId="2" borderId="0" xfId="0" applyFont="1" applyFill="1"/>
    <xf numFmtId="37" fontId="112" fillId="0" borderId="20" xfId="0" applyNumberFormat="1" applyFont="1" applyBorder="1" applyAlignment="1">
      <alignment horizontal="center"/>
    </xf>
    <xf numFmtId="0" fontId="122" fillId="0" borderId="0" xfId="0" applyFont="1" applyAlignment="1">
      <alignment horizontal="right"/>
    </xf>
    <xf numFmtId="0" fontId="143" fillId="5" borderId="0" xfId="0" applyFont="1" applyFill="1"/>
    <xf numFmtId="37" fontId="14" fillId="15" borderId="0" xfId="0" applyNumberFormat="1" applyFont="1" applyFill="1" applyAlignment="1">
      <alignment horizontal="left"/>
    </xf>
    <xf numFmtId="37" fontId="228" fillId="19" borderId="0" xfId="0" applyNumberFormat="1" applyFont="1" applyFill="1"/>
    <xf numFmtId="0" fontId="20" fillId="2" borderId="7" xfId="0" applyFont="1" applyFill="1" applyBorder="1"/>
    <xf numFmtId="0" fontId="10" fillId="2" borderId="7" xfId="0" applyFont="1" applyFill="1" applyBorder="1" applyAlignment="1">
      <alignment horizontal="right" vertical="center"/>
    </xf>
    <xf numFmtId="0" fontId="10" fillId="2" borderId="7" xfId="0" applyFont="1" applyFill="1" applyBorder="1" applyAlignment="1">
      <alignment vertical="center"/>
    </xf>
    <xf numFmtId="0" fontId="6" fillId="2" borderId="7" xfId="0" applyFont="1" applyFill="1" applyBorder="1" applyAlignment="1">
      <alignment horizontal="right" vertical="center"/>
    </xf>
    <xf numFmtId="0" fontId="306" fillId="15" borderId="0" xfId="0" applyFont="1" applyFill="1" applyAlignment="1">
      <alignment wrapText="1"/>
    </xf>
    <xf numFmtId="0" fontId="6" fillId="15" borderId="7" xfId="0" applyFont="1" applyFill="1" applyBorder="1" applyAlignment="1">
      <alignment horizontal="right"/>
    </xf>
    <xf numFmtId="3" fontId="128" fillId="0" borderId="7" xfId="0" applyNumberFormat="1" applyFont="1" applyBorder="1" applyAlignment="1" applyProtection="1">
      <alignment horizontal="right"/>
      <protection hidden="1"/>
    </xf>
    <xf numFmtId="3" fontId="128" fillId="0" borderId="19" xfId="0" applyNumberFormat="1" applyFont="1" applyBorder="1" applyAlignment="1" applyProtection="1">
      <alignment horizontal="right"/>
      <protection hidden="1"/>
    </xf>
    <xf numFmtId="3" fontId="128" fillId="0" borderId="4" xfId="0" applyNumberFormat="1" applyFont="1" applyBorder="1" applyAlignment="1" applyProtection="1">
      <alignment horizontal="right"/>
      <protection hidden="1"/>
    </xf>
    <xf numFmtId="3" fontId="128" fillId="0" borderId="22" xfId="0" applyNumberFormat="1" applyFont="1" applyBorder="1" applyAlignment="1" applyProtection="1">
      <alignment horizontal="right"/>
      <protection hidden="1"/>
    </xf>
    <xf numFmtId="3" fontId="368" fillId="0" borderId="0" xfId="0" applyNumberFormat="1" applyFont="1" applyAlignment="1" applyProtection="1">
      <alignment horizontal="right"/>
      <protection hidden="1"/>
    </xf>
    <xf numFmtId="3" fontId="368" fillId="0" borderId="20" xfId="0" applyNumberFormat="1" applyFont="1" applyBorder="1" applyAlignment="1" applyProtection="1">
      <alignment horizontal="right"/>
      <protection hidden="1"/>
    </xf>
    <xf numFmtId="3" fontId="368" fillId="0" borderId="5" xfId="0" applyNumberFormat="1" applyFont="1" applyBorder="1" applyAlignment="1" applyProtection="1">
      <alignment horizontal="right"/>
      <protection hidden="1"/>
    </xf>
    <xf numFmtId="0" fontId="146" fillId="0" borderId="0" xfId="0" applyFont="1" applyAlignment="1" applyProtection="1">
      <alignment horizontal="left"/>
      <protection hidden="1"/>
    </xf>
    <xf numFmtId="0" fontId="9" fillId="3" borderId="216" xfId="0" applyFont="1" applyFill="1" applyBorder="1" applyAlignment="1">
      <alignment vertical="center"/>
    </xf>
    <xf numFmtId="0" fontId="8" fillId="3" borderId="216" xfId="0" applyFont="1" applyFill="1" applyBorder="1" applyAlignment="1">
      <alignment vertical="center"/>
    </xf>
    <xf numFmtId="4" fontId="8" fillId="3" borderId="216" xfId="0" applyNumberFormat="1" applyFont="1" applyFill="1" applyBorder="1" applyAlignment="1">
      <alignment vertical="center"/>
    </xf>
    <xf numFmtId="4" fontId="9" fillId="3" borderId="216" xfId="0" applyNumberFormat="1" applyFont="1" applyFill="1" applyBorder="1" applyAlignment="1">
      <alignment horizontal="right" vertical="center"/>
    </xf>
    <xf numFmtId="39" fontId="8" fillId="3" borderId="216" xfId="0" applyNumberFormat="1" applyFont="1" applyFill="1" applyBorder="1" applyAlignment="1">
      <alignment horizontal="right" vertical="center"/>
    </xf>
    <xf numFmtId="0" fontId="4" fillId="3" borderId="216" xfId="0" applyFont="1" applyFill="1" applyBorder="1" applyAlignment="1">
      <alignment horizontal="right" vertical="center"/>
    </xf>
    <xf numFmtId="0" fontId="4" fillId="3" borderId="99" xfId="0" applyFont="1" applyFill="1" applyBorder="1" applyAlignment="1">
      <alignment horizontal="center"/>
    </xf>
    <xf numFmtId="39" fontId="4" fillId="3" borderId="99" xfId="0" applyNumberFormat="1" applyFont="1" applyFill="1" applyBorder="1"/>
    <xf numFmtId="39" fontId="9" fillId="3" borderId="99" xfId="0" applyNumberFormat="1" applyFont="1" applyFill="1" applyBorder="1"/>
    <xf numFmtId="39" fontId="8" fillId="3" borderId="99" xfId="0" applyNumberFormat="1" applyFont="1" applyFill="1" applyBorder="1"/>
    <xf numFmtId="39" fontId="9" fillId="3" borderId="99" xfId="0" applyNumberFormat="1" applyFont="1" applyFill="1" applyBorder="1" applyAlignment="1">
      <alignment horizontal="right"/>
    </xf>
    <xf numFmtId="0" fontId="9" fillId="3" borderId="198" xfId="0" applyFont="1" applyFill="1" applyBorder="1" applyAlignment="1">
      <alignment horizontal="center"/>
    </xf>
    <xf numFmtId="0" fontId="8" fillId="3" borderId="7" xfId="0" applyFont="1" applyFill="1" applyBorder="1" applyAlignment="1">
      <alignment horizontal="right" vertical="center"/>
    </xf>
    <xf numFmtId="37" fontId="110" fillId="0" borderId="0" xfId="0" applyNumberFormat="1" applyFont="1" applyAlignment="1">
      <alignment horizontal="right"/>
    </xf>
    <xf numFmtId="0" fontId="57" fillId="15" borderId="0" xfId="0" applyFont="1" applyFill="1"/>
    <xf numFmtId="0" fontId="184" fillId="15" borderId="0" xfId="0" applyFont="1" applyFill="1" applyAlignment="1">
      <alignment horizontal="center"/>
    </xf>
    <xf numFmtId="37" fontId="109" fillId="0" borderId="0" xfId="0" applyNumberFormat="1" applyFont="1" applyAlignment="1">
      <alignment horizontal="right"/>
    </xf>
    <xf numFmtId="37" fontId="123" fillId="0" borderId="0" xfId="0" applyNumberFormat="1" applyFont="1" applyAlignment="1">
      <alignment horizontal="right"/>
    </xf>
    <xf numFmtId="37" fontId="116" fillId="0" borderId="0" xfId="0" applyNumberFormat="1" applyFont="1" applyAlignment="1">
      <alignment horizontal="right"/>
    </xf>
    <xf numFmtId="37" fontId="110" fillId="0" borderId="0" xfId="0" quotePrefix="1" applyNumberFormat="1" applyFont="1" applyAlignment="1">
      <alignment horizontal="right"/>
    </xf>
    <xf numFmtId="4" fontId="10" fillId="3" borderId="15" xfId="0" applyNumberFormat="1" applyFont="1" applyFill="1" applyBorder="1" applyAlignment="1">
      <alignment horizontal="center"/>
    </xf>
    <xf numFmtId="37" fontId="8" fillId="28" borderId="28" xfId="0" applyNumberFormat="1" applyFont="1" applyFill="1" applyBorder="1" applyAlignment="1">
      <alignment horizontal="right"/>
    </xf>
    <xf numFmtId="37" fontId="125" fillId="3" borderId="0" xfId="0" applyNumberFormat="1" applyFont="1" applyFill="1" applyAlignment="1">
      <alignment horizontal="right"/>
    </xf>
    <xf numFmtId="37" fontId="10" fillId="0" borderId="0" xfId="0" applyNumberFormat="1" applyFont="1" applyAlignment="1">
      <alignment horizontal="right"/>
    </xf>
    <xf numFmtId="37" fontId="8" fillId="28" borderId="3" xfId="0" applyNumberFormat="1" applyFont="1" applyFill="1" applyBorder="1" applyAlignment="1">
      <alignment horizontal="right"/>
    </xf>
    <xf numFmtId="0" fontId="4" fillId="3" borderId="83" xfId="0" applyFont="1" applyFill="1" applyBorder="1" applyAlignment="1">
      <alignment horizontal="center"/>
    </xf>
    <xf numFmtId="37" fontId="8" fillId="28" borderId="83" xfId="0" applyNumberFormat="1" applyFont="1" applyFill="1" applyBorder="1" applyAlignment="1">
      <alignment horizontal="right"/>
    </xf>
    <xf numFmtId="0" fontId="110" fillId="3" borderId="0" xfId="0" applyFont="1" applyFill="1" applyAlignment="1">
      <alignment horizontal="right"/>
    </xf>
    <xf numFmtId="37" fontId="8" fillId="26" borderId="69" xfId="0" applyNumberFormat="1" applyFont="1" applyFill="1" applyBorder="1" applyAlignment="1">
      <alignment horizontal="right"/>
    </xf>
    <xf numFmtId="0" fontId="9" fillId="3" borderId="7" xfId="0" applyFont="1" applyFill="1" applyBorder="1" applyAlignment="1">
      <alignment vertical="top"/>
    </xf>
    <xf numFmtId="4" fontId="10" fillId="3" borderId="7" xfId="0" applyNumberFormat="1" applyFont="1" applyFill="1" applyBorder="1" applyAlignment="1">
      <alignment horizontal="right" vertical="top"/>
    </xf>
    <xf numFmtId="4" fontId="8" fillId="3" borderId="7" xfId="0" applyNumberFormat="1" applyFont="1" applyFill="1" applyBorder="1" applyAlignment="1">
      <alignment horizontal="right" vertical="top"/>
    </xf>
    <xf numFmtId="1" fontId="10" fillId="3" borderId="7" xfId="0" applyNumberFormat="1" applyFont="1" applyFill="1" applyBorder="1" applyAlignment="1">
      <alignment horizontal="right" vertical="center"/>
    </xf>
    <xf numFmtId="1" fontId="0" fillId="10" borderId="30" xfId="0" applyNumberFormat="1" applyFill="1" applyBorder="1" applyAlignment="1">
      <alignment vertical="center"/>
    </xf>
    <xf numFmtId="1" fontId="0" fillId="10" borderId="14" xfId="0" applyNumberFormat="1" applyFill="1" applyBorder="1" applyAlignment="1">
      <alignment vertical="center"/>
    </xf>
    <xf numFmtId="1" fontId="0" fillId="10" borderId="9" xfId="0" applyNumberFormat="1" applyFill="1" applyBorder="1" applyAlignment="1">
      <alignment vertical="center"/>
    </xf>
    <xf numFmtId="1" fontId="0" fillId="10" borderId="11" xfId="0" applyNumberFormat="1" applyFill="1" applyBorder="1" applyAlignment="1">
      <alignment vertical="center"/>
    </xf>
    <xf numFmtId="0" fontId="20" fillId="23" borderId="0" xfId="0" applyFont="1" applyFill="1" applyAlignment="1" applyProtection="1">
      <alignment horizontal="center" vertical="center"/>
      <protection locked="0"/>
    </xf>
    <xf numFmtId="0" fontId="4" fillId="23" borderId="0" xfId="0" applyFont="1" applyFill="1" applyAlignment="1">
      <alignment vertical="top" textRotation="90"/>
    </xf>
    <xf numFmtId="39" fontId="210" fillId="0" borderId="0" xfId="0" applyNumberFormat="1" applyFont="1" applyProtection="1">
      <protection locked="0"/>
    </xf>
    <xf numFmtId="39" fontId="369" fillId="0" borderId="0" xfId="0" applyNumberFormat="1" applyFont="1" applyProtection="1">
      <protection locked="0"/>
    </xf>
    <xf numFmtId="0" fontId="210" fillId="0" borderId="0" xfId="0" applyFont="1"/>
    <xf numFmtId="37" fontId="210" fillId="0" borderId="0" xfId="0" applyNumberFormat="1" applyFont="1"/>
    <xf numFmtId="0" fontId="110" fillId="15" borderId="2" xfId="0" applyFont="1" applyFill="1" applyBorder="1"/>
    <xf numFmtId="37" fontId="295" fillId="15" borderId="0" xfId="0" applyNumberFormat="1" applyFont="1" applyFill="1"/>
    <xf numFmtId="37" fontId="166" fillId="15" borderId="0" xfId="0" applyNumberFormat="1" applyFont="1" applyFill="1" applyAlignment="1">
      <alignment horizontal="center" vertical="center"/>
    </xf>
    <xf numFmtId="37" fontId="295" fillId="15" borderId="0" xfId="0" applyNumberFormat="1" applyFont="1" applyFill="1" applyAlignment="1">
      <alignment vertical="center"/>
    </xf>
    <xf numFmtId="37" fontId="295" fillId="15" borderId="0" xfId="0" applyNumberFormat="1" applyFont="1" applyFill="1" applyAlignment="1">
      <alignment horizontal="left"/>
    </xf>
    <xf numFmtId="37" fontId="295" fillId="0" borderId="0" xfId="0" applyNumberFormat="1" applyFont="1"/>
    <xf numFmtId="0" fontId="0" fillId="19" borderId="3" xfId="0" applyFill="1" applyBorder="1" applyAlignment="1">
      <alignment wrapText="1"/>
    </xf>
    <xf numFmtId="0" fontId="0" fillId="19" borderId="30" xfId="0" applyFill="1" applyBorder="1" applyAlignment="1">
      <alignment wrapText="1"/>
    </xf>
    <xf numFmtId="0" fontId="0" fillId="19" borderId="24" xfId="0" applyFill="1" applyBorder="1" applyAlignment="1">
      <alignment wrapText="1"/>
    </xf>
    <xf numFmtId="0" fontId="0" fillId="19" borderId="14" xfId="0" applyFill="1" applyBorder="1" applyAlignment="1">
      <alignment wrapText="1"/>
    </xf>
    <xf numFmtId="49" fontId="4" fillId="0" borderId="0" xfId="0" applyNumberFormat="1" applyFont="1" applyAlignment="1" applyProtection="1">
      <alignment horizontal="center" vertical="top"/>
      <protection locked="0"/>
    </xf>
    <xf numFmtId="0" fontId="4" fillId="2" borderId="3" xfId="0" applyFont="1" applyFill="1" applyBorder="1" applyAlignment="1" applyProtection="1">
      <alignment vertical="top" wrapText="1"/>
      <protection locked="0"/>
    </xf>
    <xf numFmtId="0" fontId="4" fillId="2" borderId="3" xfId="0" applyFont="1" applyFill="1" applyBorder="1" applyAlignment="1">
      <alignment wrapText="1"/>
    </xf>
    <xf numFmtId="0" fontId="4" fillId="2" borderId="3" xfId="0" applyFont="1" applyFill="1" applyBorder="1" applyAlignment="1">
      <alignment vertical="top"/>
    </xf>
    <xf numFmtId="0" fontId="4" fillId="2" borderId="3" xfId="0" applyFont="1" applyFill="1" applyBorder="1" applyAlignment="1">
      <alignment vertical="top" wrapText="1"/>
    </xf>
    <xf numFmtId="4" fontId="6" fillId="15" borderId="3" xfId="0" applyNumberFormat="1" applyFont="1" applyFill="1" applyBorder="1" applyAlignment="1">
      <alignment horizontal="left" vertical="top" indent="1"/>
    </xf>
    <xf numFmtId="0" fontId="4" fillId="15" borderId="56" xfId="0" applyFont="1" applyFill="1" applyBorder="1" applyAlignment="1">
      <alignment horizontal="left"/>
    </xf>
    <xf numFmtId="39" fontId="23" fillId="15" borderId="0" xfId="0" applyNumberFormat="1" applyFont="1" applyFill="1" applyAlignment="1">
      <alignment horizontal="left" vertical="top"/>
    </xf>
    <xf numFmtId="0" fontId="73" fillId="15" borderId="0" xfId="0" applyFont="1" applyFill="1" applyAlignment="1">
      <alignment horizontal="right" vertical="center"/>
    </xf>
    <xf numFmtId="0" fontId="11" fillId="14" borderId="0" xfId="0" applyFont="1" applyFill="1" applyAlignment="1" applyProtection="1">
      <alignment horizontal="right" vertical="center"/>
      <protection hidden="1"/>
    </xf>
    <xf numFmtId="39" fontId="14" fillId="15" borderId="0" xfId="0" applyNumberFormat="1" applyFont="1" applyFill="1" applyAlignment="1">
      <alignment horizontal="left" vertical="top"/>
    </xf>
    <xf numFmtId="0" fontId="241" fillId="15" borderId="30" xfId="0" applyFont="1" applyFill="1" applyBorder="1" applyAlignment="1">
      <alignment vertical="center"/>
    </xf>
    <xf numFmtId="0" fontId="241" fillId="15" borderId="0" xfId="0" applyFont="1" applyFill="1"/>
    <xf numFmtId="0" fontId="241" fillId="15" borderId="15" xfId="0" applyFont="1" applyFill="1" applyBorder="1" applyAlignment="1">
      <alignment vertical="center"/>
    </xf>
    <xf numFmtId="0" fontId="241" fillId="15" borderId="6" xfId="0" applyFont="1" applyFill="1" applyBorder="1" applyAlignment="1">
      <alignment vertical="center"/>
    </xf>
    <xf numFmtId="0" fontId="14" fillId="15" borderId="7" xfId="0" applyFont="1" applyFill="1" applyBorder="1" applyAlignment="1">
      <alignment horizontal="left" vertical="center" indent="1"/>
    </xf>
    <xf numFmtId="0" fontId="11" fillId="15" borderId="10" xfId="0" applyFont="1" applyFill="1" applyBorder="1" applyAlignment="1">
      <alignment horizontal="center" vertical="center"/>
    </xf>
    <xf numFmtId="0" fontId="11" fillId="15" borderId="12" xfId="0" applyFont="1" applyFill="1" applyBorder="1" applyAlignment="1">
      <alignment horizontal="center" vertical="center"/>
    </xf>
    <xf numFmtId="0" fontId="11" fillId="19" borderId="15" xfId="0" applyFont="1" applyFill="1" applyBorder="1" applyAlignment="1">
      <alignment horizontal="center" vertical="center"/>
    </xf>
    <xf numFmtId="0" fontId="23" fillId="19" borderId="6" xfId="0" applyFont="1" applyFill="1" applyBorder="1" applyAlignment="1">
      <alignment vertical="center"/>
    </xf>
    <xf numFmtId="0" fontId="11" fillId="19" borderId="6" xfId="0" applyFont="1" applyFill="1" applyBorder="1" applyAlignment="1">
      <alignment horizontal="center" vertical="center"/>
    </xf>
    <xf numFmtId="0" fontId="188" fillId="15" borderId="4" xfId="0" applyFont="1" applyFill="1" applyBorder="1" applyAlignment="1">
      <alignment vertical="center"/>
    </xf>
    <xf numFmtId="0" fontId="11" fillId="14" borderId="4" xfId="0" applyFont="1" applyFill="1" applyBorder="1" applyAlignment="1" applyProtection="1">
      <alignment horizontal="right" vertical="center"/>
      <protection hidden="1"/>
    </xf>
    <xf numFmtId="0" fontId="241" fillId="15" borderId="4" xfId="0" applyFont="1" applyFill="1" applyBorder="1" applyAlignment="1">
      <alignment vertical="center"/>
    </xf>
    <xf numFmtId="0" fontId="73" fillId="15" borderId="7" xfId="0" applyFont="1" applyFill="1" applyBorder="1" applyAlignment="1">
      <alignment horizontal="right" vertical="top"/>
    </xf>
    <xf numFmtId="37" fontId="11" fillId="15" borderId="12" xfId="0" applyNumberFormat="1" applyFont="1" applyFill="1" applyBorder="1" applyProtection="1">
      <protection locked="0"/>
    </xf>
    <xf numFmtId="0" fontId="11" fillId="15" borderId="15" xfId="0" applyFont="1" applyFill="1" applyBorder="1" applyAlignment="1">
      <alignment horizontal="center" vertical="center"/>
    </xf>
    <xf numFmtId="0" fontId="11" fillId="15" borderId="28" xfId="0" applyFont="1" applyFill="1" applyBorder="1" applyAlignment="1">
      <alignment horizontal="center" vertical="center"/>
    </xf>
    <xf numFmtId="37" fontId="73" fillId="15" borderId="8" xfId="0" applyNumberFormat="1" applyFont="1" applyFill="1" applyBorder="1" applyAlignment="1">
      <alignment vertical="center"/>
    </xf>
    <xf numFmtId="37" fontId="73" fillId="15" borderId="8" xfId="0" applyNumberFormat="1" applyFont="1" applyFill="1" applyBorder="1"/>
    <xf numFmtId="0" fontId="11" fillId="27" borderId="2" xfId="0" applyFont="1" applyFill="1" applyBorder="1" applyAlignment="1">
      <alignment horizontal="center" vertical="center"/>
    </xf>
    <xf numFmtId="4" fontId="6" fillId="27" borderId="119" xfId="0" quotePrefix="1" applyNumberFormat="1" applyFont="1" applyFill="1" applyBorder="1" applyAlignment="1">
      <alignment horizontal="center"/>
    </xf>
    <xf numFmtId="37" fontId="197" fillId="15" borderId="0" xfId="0" applyNumberFormat="1" applyFont="1" applyFill="1"/>
    <xf numFmtId="0" fontId="6" fillId="0" borderId="5" xfId="0" applyFont="1" applyBorder="1" applyAlignment="1">
      <alignment horizontal="right" indent="1"/>
    </xf>
    <xf numFmtId="0" fontId="370" fillId="15" borderId="0" xfId="0" applyFont="1" applyFill="1" applyAlignment="1">
      <alignment horizontal="right" vertical="center"/>
    </xf>
    <xf numFmtId="0" fontId="372" fillId="15" borderId="8" xfId="0" applyFont="1" applyFill="1" applyBorder="1" applyAlignment="1">
      <alignment vertical="center"/>
    </xf>
    <xf numFmtId="0" fontId="371" fillId="15" borderId="30" xfId="0" applyFont="1" applyFill="1" applyBorder="1" applyAlignment="1">
      <alignment vertical="center"/>
    </xf>
    <xf numFmtId="0" fontId="371" fillId="15" borderId="8" xfId="0" applyFont="1" applyFill="1" applyBorder="1" applyAlignment="1">
      <alignment vertical="center"/>
    </xf>
    <xf numFmtId="0" fontId="47" fillId="15" borderId="8" xfId="0" applyFont="1" applyFill="1" applyBorder="1" applyAlignment="1">
      <alignment vertical="center" wrapText="1"/>
    </xf>
    <xf numFmtId="0" fontId="11" fillId="15" borderId="6" xfId="0" applyFont="1" applyFill="1" applyBorder="1" applyAlignment="1">
      <alignment horizontal="center" vertical="center"/>
    </xf>
    <xf numFmtId="37" fontId="73" fillId="15" borderId="0" xfId="0" applyNumberFormat="1" applyFont="1" applyFill="1" applyAlignment="1">
      <alignment horizontal="right" vertical="center"/>
    </xf>
    <xf numFmtId="37" fontId="6" fillId="0" borderId="5" xfId="0" applyNumberFormat="1" applyFont="1" applyBorder="1" applyAlignment="1">
      <alignment horizontal="right" indent="1"/>
    </xf>
    <xf numFmtId="0" fontId="11" fillId="3" borderId="0" xfId="0" applyFont="1" applyFill="1" applyAlignment="1">
      <alignment horizontal="right" vertical="center"/>
    </xf>
    <xf numFmtId="0" fontId="11" fillId="3" borderId="1" xfId="0" applyFont="1" applyFill="1" applyBorder="1" applyAlignment="1">
      <alignment horizontal="right" vertical="center"/>
    </xf>
    <xf numFmtId="0" fontId="73" fillId="15" borderId="0" xfId="0" applyFont="1" applyFill="1" applyAlignment="1">
      <alignment horizontal="left" vertical="center"/>
    </xf>
    <xf numFmtId="0" fontId="241" fillId="15" borderId="0" xfId="0" applyFont="1" applyFill="1" applyAlignment="1">
      <alignment horizontal="right" vertical="center"/>
    </xf>
    <xf numFmtId="0" fontId="241" fillId="15" borderId="0" xfId="0" applyFont="1" applyFill="1" applyAlignment="1">
      <alignment horizontal="left" vertical="center"/>
    </xf>
    <xf numFmtId="0" fontId="11" fillId="14" borderId="0" xfId="0" applyFont="1" applyFill="1" applyAlignment="1">
      <alignment horizontal="left" vertical="top"/>
    </xf>
    <xf numFmtId="0" fontId="11" fillId="14" borderId="8" xfId="0" applyFont="1" applyFill="1" applyBorder="1" applyAlignment="1">
      <alignment horizontal="right" vertical="center"/>
    </xf>
    <xf numFmtId="0" fontId="241" fillId="15" borderId="14" xfId="0" applyFont="1" applyFill="1" applyBorder="1" applyAlignment="1">
      <alignment vertical="center"/>
    </xf>
    <xf numFmtId="0" fontId="11" fillId="14" borderId="0" xfId="0" applyFont="1" applyFill="1" applyAlignment="1">
      <alignment horizontal="right" vertical="center"/>
    </xf>
    <xf numFmtId="0" fontId="241" fillId="15" borderId="24" xfId="0" applyFont="1" applyFill="1" applyBorder="1" applyAlignment="1">
      <alignment vertical="center"/>
    </xf>
    <xf numFmtId="0" fontId="11" fillId="14" borderId="1" xfId="0" applyFont="1" applyFill="1" applyBorder="1" applyAlignment="1">
      <alignment horizontal="right" vertical="center"/>
    </xf>
    <xf numFmtId="0" fontId="241" fillId="15" borderId="11" xfId="0" applyFont="1" applyFill="1" applyBorder="1" applyAlignment="1">
      <alignment vertical="center"/>
    </xf>
    <xf numFmtId="0" fontId="23" fillId="15" borderId="14" xfId="0" applyFont="1" applyFill="1" applyBorder="1" applyAlignment="1">
      <alignment vertical="center"/>
    </xf>
    <xf numFmtId="0" fontId="241" fillId="15" borderId="3" xfId="0" applyFont="1" applyFill="1" applyBorder="1" applyAlignment="1">
      <alignment vertical="center"/>
    </xf>
    <xf numFmtId="0" fontId="23" fillId="15" borderId="24" xfId="0" applyFont="1" applyFill="1" applyBorder="1" applyAlignment="1">
      <alignment vertical="center"/>
    </xf>
    <xf numFmtId="0" fontId="241" fillId="15" borderId="9" xfId="0" applyFont="1" applyFill="1" applyBorder="1" applyAlignment="1">
      <alignment vertical="center"/>
    </xf>
    <xf numFmtId="0" fontId="23" fillId="15" borderId="11" xfId="0" applyFont="1" applyFill="1" applyBorder="1" applyAlignment="1">
      <alignment vertical="center"/>
    </xf>
    <xf numFmtId="0" fontId="23" fillId="15" borderId="15" xfId="0" applyFont="1" applyFill="1" applyBorder="1" applyAlignment="1">
      <alignment vertical="center"/>
    </xf>
    <xf numFmtId="0" fontId="372" fillId="15" borderId="14" xfId="0" applyFont="1" applyFill="1" applyBorder="1" applyAlignment="1">
      <alignment vertical="center"/>
    </xf>
    <xf numFmtId="0" fontId="11" fillId="14" borderId="4" xfId="0" applyFont="1" applyFill="1" applyBorder="1" applyAlignment="1">
      <alignment horizontal="right" vertical="center"/>
    </xf>
    <xf numFmtId="4" fontId="6" fillId="0" borderId="0" xfId="0" applyNumberFormat="1" applyFont="1" applyAlignment="1">
      <alignment horizontal="left" vertical="top"/>
    </xf>
    <xf numFmtId="0" fontId="4" fillId="2" borderId="5" xfId="0" quotePrefix="1" applyFont="1" applyFill="1" applyBorder="1" applyAlignment="1">
      <alignment horizontal="right" vertical="top"/>
    </xf>
    <xf numFmtId="38" fontId="6" fillId="0" borderId="0" xfId="0" applyNumberFormat="1" applyFont="1"/>
    <xf numFmtId="0" fontId="242" fillId="2" borderId="41" xfId="0" applyFont="1" applyFill="1" applyBorder="1" applyAlignment="1">
      <alignment wrapText="1"/>
    </xf>
    <xf numFmtId="4" fontId="131" fillId="32" borderId="142" xfId="0" applyNumberFormat="1" applyFont="1" applyFill="1" applyBorder="1" applyAlignment="1" applyProtection="1">
      <alignment horizontal="center" vertical="center"/>
      <protection locked="0"/>
    </xf>
    <xf numFmtId="4" fontId="131" fillId="32" borderId="143" xfId="0" applyNumberFormat="1" applyFont="1" applyFill="1" applyBorder="1" applyAlignment="1" applyProtection="1">
      <alignment horizontal="center" vertical="center"/>
      <protection locked="0"/>
    </xf>
    <xf numFmtId="0" fontId="242" fillId="2" borderId="42" xfId="0" applyFont="1" applyFill="1" applyBorder="1"/>
    <xf numFmtId="39" fontId="6" fillId="32" borderId="142" xfId="0" applyNumberFormat="1" applyFont="1" applyFill="1" applyBorder="1" applyAlignment="1" applyProtection="1">
      <alignment horizontal="center" vertical="center"/>
      <protection locked="0"/>
    </xf>
    <xf numFmtId="39" fontId="6" fillId="32" borderId="143" xfId="0" applyNumberFormat="1" applyFont="1" applyFill="1" applyBorder="1" applyAlignment="1" applyProtection="1">
      <alignment horizontal="center" vertical="center"/>
      <protection locked="0"/>
    </xf>
    <xf numFmtId="39" fontId="6" fillId="32" borderId="138" xfId="0" applyNumberFormat="1" applyFont="1" applyFill="1" applyBorder="1" applyProtection="1">
      <protection locked="0"/>
    </xf>
    <xf numFmtId="39" fontId="6" fillId="32" borderId="139" xfId="0" applyNumberFormat="1" applyFont="1" applyFill="1" applyBorder="1" applyProtection="1">
      <protection locked="0"/>
    </xf>
    <xf numFmtId="39" fontId="6" fillId="32" borderId="146" xfId="0" applyNumberFormat="1" applyFont="1" applyFill="1" applyBorder="1" applyAlignment="1" applyProtection="1">
      <alignment horizontal="right"/>
      <protection locked="0"/>
    </xf>
    <xf numFmtId="39" fontId="6" fillId="32" borderId="147" xfId="0" applyNumberFormat="1" applyFont="1" applyFill="1" applyBorder="1" applyAlignment="1" applyProtection="1">
      <alignment horizontal="right"/>
      <protection locked="0"/>
    </xf>
    <xf numFmtId="4" fontId="4" fillId="27" borderId="108" xfId="0" quotePrefix="1" applyNumberFormat="1" applyFont="1" applyFill="1" applyBorder="1" applyAlignment="1">
      <alignment horizontal="center"/>
    </xf>
    <xf numFmtId="3" fontId="6" fillId="27" borderId="68" xfId="0" quotePrefix="1" applyNumberFormat="1" applyFont="1" applyFill="1" applyBorder="1" applyAlignment="1">
      <alignment horizontal="center"/>
    </xf>
    <xf numFmtId="3" fontId="6" fillId="27" borderId="112" xfId="0" quotePrefix="1" applyNumberFormat="1" applyFont="1" applyFill="1" applyBorder="1" applyAlignment="1">
      <alignment horizontal="center"/>
    </xf>
    <xf numFmtId="4" fontId="4" fillId="27" borderId="58" xfId="0" quotePrefix="1" applyNumberFormat="1" applyFont="1" applyFill="1" applyBorder="1" applyAlignment="1">
      <alignment horizontal="center" vertical="center"/>
    </xf>
    <xf numFmtId="3" fontId="117" fillId="15" borderId="0" xfId="0" applyNumberFormat="1" applyFont="1" applyFill="1"/>
    <xf numFmtId="1" fontId="10" fillId="3" borderId="7" xfId="0" applyNumberFormat="1" applyFont="1" applyFill="1" applyBorder="1" applyAlignment="1">
      <alignment horizontal="right"/>
    </xf>
    <xf numFmtId="0" fontId="112" fillId="2" borderId="8" xfId="0" applyFont="1" applyFill="1" applyBorder="1" applyAlignment="1">
      <alignment horizontal="center"/>
    </xf>
    <xf numFmtId="0" fontId="146" fillId="0" borderId="0" xfId="0" applyFont="1" applyAlignment="1">
      <alignment vertical="top"/>
    </xf>
    <xf numFmtId="0" fontId="146" fillId="0" borderId="0" xfId="0" applyFont="1" applyAlignment="1">
      <alignment horizontal="center" vertical="center"/>
    </xf>
    <xf numFmtId="4" fontId="8" fillId="20" borderId="1" xfId="0" applyNumberFormat="1" applyFont="1" applyFill="1" applyBorder="1" applyProtection="1">
      <protection locked="0"/>
    </xf>
    <xf numFmtId="39" fontId="110" fillId="0" borderId="0" xfId="0" applyNumberFormat="1" applyFont="1"/>
    <xf numFmtId="4" fontId="6" fillId="0" borderId="0" xfId="0" applyNumberFormat="1" applyFont="1" applyAlignment="1">
      <alignment vertical="top"/>
    </xf>
    <xf numFmtId="173" fontId="9" fillId="20" borderId="1" xfId="0" applyNumberFormat="1" applyFont="1" applyFill="1" applyBorder="1" applyProtection="1">
      <protection locked="0"/>
    </xf>
    <xf numFmtId="37" fontId="9" fillId="24" borderId="0" xfId="0" applyNumberFormat="1" applyFont="1" applyFill="1" applyProtection="1">
      <protection locked="0"/>
    </xf>
    <xf numFmtId="2" fontId="9" fillId="20" borderId="1" xfId="0" applyNumberFormat="1" applyFont="1" applyFill="1" applyBorder="1" applyProtection="1">
      <protection locked="0"/>
    </xf>
    <xf numFmtId="203" fontId="126" fillId="24" borderId="0" xfId="0" applyNumberFormat="1" applyFont="1" applyFill="1" applyProtection="1">
      <protection locked="0"/>
    </xf>
    <xf numFmtId="0" fontId="129" fillId="2" borderId="0" xfId="0" applyFont="1" applyFill="1"/>
    <xf numFmtId="0" fontId="5" fillId="2" borderId="0" xfId="0" applyFont="1" applyFill="1" applyAlignment="1">
      <alignment horizontal="left" vertical="top" wrapText="1"/>
    </xf>
    <xf numFmtId="0" fontId="5" fillId="2" borderId="0" xfId="0" applyFont="1" applyFill="1" applyAlignment="1">
      <alignment vertical="top" wrapText="1"/>
    </xf>
    <xf numFmtId="0" fontId="5" fillId="2" borderId="0" xfId="0" applyFont="1" applyFill="1" applyAlignment="1">
      <alignment vertical="top"/>
    </xf>
    <xf numFmtId="0" fontId="4" fillId="2" borderId="0" xfId="0" applyFont="1" applyFill="1" applyAlignment="1" applyProtection="1">
      <alignment horizontal="center" vertical="center"/>
      <protection locked="0"/>
    </xf>
    <xf numFmtId="3" fontId="0" fillId="15" borderId="0" xfId="0" applyNumberFormat="1" applyFill="1" applyAlignment="1" applyProtection="1">
      <alignment horizontal="right"/>
      <protection hidden="1"/>
    </xf>
    <xf numFmtId="1" fontId="15" fillId="0" borderId="1" xfId="0" applyNumberFormat="1" applyFont="1" applyBorder="1" applyAlignment="1">
      <alignment horizontal="center"/>
    </xf>
    <xf numFmtId="37" fontId="15" fillId="14" borderId="8" xfId="0" applyNumberFormat="1" applyFont="1" applyFill="1" applyBorder="1"/>
    <xf numFmtId="0" fontId="15" fillId="14" borderId="8" xfId="0" applyFont="1" applyFill="1" applyBorder="1"/>
    <xf numFmtId="0" fontId="15" fillId="15" borderId="4" xfId="0" quotePrefix="1" applyFont="1" applyFill="1" applyBorder="1" applyAlignment="1">
      <alignment horizontal="center"/>
    </xf>
    <xf numFmtId="1" fontId="15" fillId="0" borderId="4" xfId="0" applyNumberFormat="1" applyFont="1" applyBorder="1" applyAlignment="1">
      <alignment horizontal="center"/>
    </xf>
    <xf numFmtId="3" fontId="4" fillId="27" borderId="12" xfId="0" applyNumberFormat="1" applyFont="1" applyFill="1" applyBorder="1"/>
    <xf numFmtId="0" fontId="4" fillId="15" borderId="0" xfId="0" applyFont="1" applyFill="1" applyAlignment="1">
      <alignment horizontal="center" vertical="top"/>
    </xf>
    <xf numFmtId="0" fontId="0" fillId="15" borderId="3" xfId="0" applyFill="1" applyBorder="1" applyAlignment="1">
      <alignment horizontal="right"/>
    </xf>
    <xf numFmtId="0" fontId="112" fillId="15" borderId="24" xfId="0" applyFont="1" applyFill="1" applyBorder="1"/>
    <xf numFmtId="0" fontId="0" fillId="15" borderId="109" xfId="0" applyFill="1" applyBorder="1" applyAlignment="1">
      <alignment horizontal="center"/>
    </xf>
    <xf numFmtId="203" fontId="6" fillId="15" borderId="66" xfId="0" applyNumberFormat="1" applyFont="1" applyFill="1" applyBorder="1" applyAlignment="1">
      <alignment horizontal="center"/>
    </xf>
    <xf numFmtId="0" fontId="0" fillId="15" borderId="46" xfId="0" applyFill="1" applyBorder="1" applyAlignment="1">
      <alignment horizontal="center"/>
    </xf>
    <xf numFmtId="203" fontId="6" fillId="15" borderId="58" xfId="0" applyNumberFormat="1" applyFont="1" applyFill="1" applyBorder="1" applyAlignment="1">
      <alignment horizontal="center"/>
    </xf>
    <xf numFmtId="203" fontId="0" fillId="15" borderId="58" xfId="0" applyNumberFormat="1" applyFill="1" applyBorder="1" applyAlignment="1">
      <alignment horizontal="center"/>
    </xf>
    <xf numFmtId="0" fontId="15" fillId="15" borderId="13" xfId="0" quotePrefix="1" applyFont="1" applyFill="1" applyBorder="1" applyAlignment="1">
      <alignment horizontal="center"/>
    </xf>
    <xf numFmtId="0" fontId="4" fillId="15" borderId="175" xfId="0" applyFont="1" applyFill="1" applyBorder="1" applyAlignment="1">
      <alignment horizontal="center"/>
    </xf>
    <xf numFmtId="182" fontId="110" fillId="15" borderId="0" xfId="0" applyNumberFormat="1" applyFont="1" applyFill="1" applyAlignment="1">
      <alignment horizontal="center"/>
    </xf>
    <xf numFmtId="0" fontId="15" fillId="15" borderId="16" xfId="0" applyFont="1" applyFill="1" applyBorder="1" applyAlignment="1">
      <alignment vertical="top"/>
    </xf>
    <xf numFmtId="0" fontId="14" fillId="15" borderId="16" xfId="0" applyFont="1" applyFill="1" applyBorder="1" applyAlignment="1">
      <alignment horizontal="right"/>
    </xf>
    <xf numFmtId="0" fontId="47" fillId="15" borderId="16" xfId="0" applyFont="1" applyFill="1" applyBorder="1" applyAlignment="1">
      <alignment horizontal="right"/>
    </xf>
    <xf numFmtId="0" fontId="0" fillId="15" borderId="242" xfId="0" applyFill="1" applyBorder="1" applyAlignment="1">
      <alignment horizontal="center"/>
    </xf>
    <xf numFmtId="203" fontId="0" fillId="15" borderId="76" xfId="0" applyNumberFormat="1" applyFill="1" applyBorder="1" applyAlignment="1">
      <alignment horizontal="center"/>
    </xf>
    <xf numFmtId="0" fontId="0" fillId="0" borderId="50" xfId="0" applyBorder="1" applyAlignment="1">
      <alignment horizontal="center" vertical="center"/>
    </xf>
    <xf numFmtId="203" fontId="0" fillId="0" borderId="110" xfId="0" applyNumberFormat="1" applyBorder="1" applyAlignment="1">
      <alignment vertical="center"/>
    </xf>
    <xf numFmtId="37" fontId="4" fillId="15" borderId="3" xfId="0" applyNumberFormat="1" applyFont="1" applyFill="1" applyBorder="1" applyAlignment="1" applyProtection="1">
      <alignment wrapText="1"/>
      <protection locked="0"/>
    </xf>
    <xf numFmtId="4" fontId="6" fillId="0" borderId="0" xfId="0" applyNumberFormat="1" applyFont="1" applyAlignment="1">
      <alignment horizontal="left" vertical="top" indent="1"/>
    </xf>
    <xf numFmtId="4" fontId="6" fillId="15" borderId="0" xfId="0" applyNumberFormat="1" applyFont="1" applyFill="1" applyAlignment="1">
      <alignment horizontal="left" vertical="top" indent="1"/>
    </xf>
    <xf numFmtId="1" fontId="12" fillId="16" borderId="54" xfId="0" applyNumberFormat="1" applyFont="1" applyFill="1" applyBorder="1" applyAlignment="1" applyProtection="1">
      <alignment horizontal="center" vertical="center"/>
      <protection locked="0"/>
    </xf>
    <xf numFmtId="1" fontId="12" fillId="16" borderId="54" xfId="0" applyNumberFormat="1" applyFont="1" applyFill="1" applyBorder="1" applyAlignment="1" applyProtection="1">
      <alignment horizontal="center"/>
      <protection locked="0"/>
    </xf>
    <xf numFmtId="37" fontId="10" fillId="15" borderId="0" xfId="0" applyNumberFormat="1" applyFont="1" applyFill="1"/>
    <xf numFmtId="37" fontId="10" fillId="15" borderId="44" xfId="0" applyNumberFormat="1" applyFont="1" applyFill="1" applyBorder="1"/>
    <xf numFmtId="0" fontId="6" fillId="2" borderId="7" xfId="0" applyFont="1" applyFill="1" applyBorder="1" applyAlignment="1">
      <alignment horizontal="left"/>
    </xf>
    <xf numFmtId="0" fontId="8" fillId="15" borderId="56" xfId="0" applyFont="1" applyFill="1" applyBorder="1" applyAlignment="1">
      <alignment horizontal="left" vertical="center"/>
    </xf>
    <xf numFmtId="0" fontId="8" fillId="15" borderId="3" xfId="0" applyFont="1" applyFill="1" applyBorder="1" applyAlignment="1">
      <alignment horizontal="left" vertical="top"/>
    </xf>
    <xf numFmtId="0" fontId="8" fillId="15" borderId="7" xfId="0" applyFont="1" applyFill="1" applyBorder="1" applyAlignment="1">
      <alignment horizontal="left" vertical="center"/>
    </xf>
    <xf numFmtId="0" fontId="4" fillId="15" borderId="0" xfId="0" applyFont="1" applyFill="1" applyAlignment="1">
      <alignment vertical="top" wrapText="1"/>
    </xf>
    <xf numFmtId="0" fontId="0" fillId="21" borderId="15" xfId="0" applyFill="1" applyBorder="1"/>
    <xf numFmtId="0" fontId="4" fillId="21" borderId="175" xfId="0" applyFont="1" applyFill="1" applyBorder="1" applyAlignment="1">
      <alignment horizontal="center"/>
    </xf>
    <xf numFmtId="0" fontId="375" fillId="15" borderId="0" xfId="0" applyFont="1" applyFill="1" applyAlignment="1">
      <alignment vertical="center"/>
    </xf>
    <xf numFmtId="184" fontId="265" fillId="15" borderId="0" xfId="0" applyNumberFormat="1" applyFont="1" applyFill="1" applyAlignment="1" applyProtection="1">
      <alignment horizontal="left" vertical="center" indent="1"/>
      <protection hidden="1"/>
    </xf>
    <xf numFmtId="37" fontId="9" fillId="26" borderId="9" xfId="0" applyNumberFormat="1" applyFont="1" applyFill="1" applyBorder="1" applyAlignment="1">
      <alignment horizontal="right"/>
    </xf>
    <xf numFmtId="0" fontId="9" fillId="0" borderId="0" xfId="0" applyFont="1" applyAlignment="1">
      <alignment horizontal="center"/>
    </xf>
    <xf numFmtId="0" fontId="10" fillId="15" borderId="4" xfId="0" applyFont="1" applyFill="1" applyBorder="1" applyAlignment="1">
      <alignment horizontal="center" vertical="center"/>
    </xf>
    <xf numFmtId="0" fontId="4" fillId="15" borderId="23" xfId="0" applyFont="1" applyFill="1" applyBorder="1" applyAlignment="1">
      <alignment horizontal="left" vertical="top" indent="1"/>
    </xf>
    <xf numFmtId="0" fontId="15" fillId="15" borderId="23" xfId="0" applyFont="1" applyFill="1" applyBorder="1" applyAlignment="1">
      <alignment horizontal="left" vertical="center" indent="1"/>
    </xf>
    <xf numFmtId="0" fontId="110" fillId="15" borderId="19" xfId="0" applyFont="1" applyFill="1" applyBorder="1"/>
    <xf numFmtId="0" fontId="4" fillId="15" borderId="5" xfId="0" applyFont="1" applyFill="1" applyBorder="1" applyAlignment="1">
      <alignment horizontal="left" vertical="top" indent="1"/>
    </xf>
    <xf numFmtId="0" fontId="12" fillId="15" borderId="5" xfId="0" applyFont="1" applyFill="1" applyBorder="1" applyAlignment="1">
      <alignment horizontal="left" indent="1"/>
    </xf>
    <xf numFmtId="0" fontId="110" fillId="0" borderId="5" xfId="0" applyFont="1" applyBorder="1"/>
    <xf numFmtId="42" fontId="6" fillId="0" borderId="0" xfId="0" applyNumberFormat="1" applyFont="1"/>
    <xf numFmtId="0" fontId="8" fillId="15" borderId="5" xfId="0" applyFont="1" applyFill="1" applyBorder="1" applyAlignment="1">
      <alignment horizontal="left" indent="1"/>
    </xf>
    <xf numFmtId="0" fontId="10" fillId="15" borderId="5" xfId="0" applyFont="1" applyFill="1" applyBorder="1" applyAlignment="1">
      <alignment horizontal="left" indent="1"/>
    </xf>
    <xf numFmtId="0" fontId="0" fillId="24" borderId="5" xfId="0" applyFill="1" applyBorder="1"/>
    <xf numFmtId="0" fontId="4" fillId="24" borderId="23" xfId="0" quotePrefix="1" applyFont="1" applyFill="1" applyBorder="1" applyAlignment="1">
      <alignment horizontal="right"/>
    </xf>
    <xf numFmtId="0" fontId="10" fillId="24" borderId="7" xfId="0" applyFont="1" applyFill="1" applyBorder="1" applyAlignment="1">
      <alignment horizontal="left" vertical="top" wrapText="1"/>
    </xf>
    <xf numFmtId="0" fontId="12" fillId="24" borderId="7" xfId="0" applyFont="1" applyFill="1" applyBorder="1" applyAlignment="1">
      <alignment horizontal="center" wrapText="1"/>
    </xf>
    <xf numFmtId="0" fontId="10" fillId="24" borderId="7" xfId="0" applyFont="1" applyFill="1" applyBorder="1" applyAlignment="1">
      <alignment horizontal="right" vertical="top" wrapText="1"/>
    </xf>
    <xf numFmtId="0" fontId="12" fillId="24" borderId="27" xfId="0" applyFont="1" applyFill="1" applyBorder="1" applyAlignment="1">
      <alignment horizontal="center" wrapText="1"/>
    </xf>
    <xf numFmtId="0" fontId="10" fillId="24" borderId="7" xfId="0" applyFont="1" applyFill="1" applyBorder="1" applyAlignment="1">
      <alignment horizontal="center" vertical="top" wrapText="1"/>
    </xf>
    <xf numFmtId="0" fontId="126" fillId="24" borderId="7" xfId="0" applyFont="1" applyFill="1" applyBorder="1"/>
    <xf numFmtId="0" fontId="126" fillId="24" borderId="0" xfId="0" applyFont="1" applyFill="1"/>
    <xf numFmtId="0" fontId="6" fillId="0" borderId="109" xfId="0" applyFont="1" applyBorder="1" applyAlignment="1">
      <alignment horizontal="center"/>
    </xf>
    <xf numFmtId="42" fontId="6" fillId="0" borderId="66" xfId="0" applyNumberFormat="1" applyFont="1" applyBorder="1"/>
    <xf numFmtId="0" fontId="0" fillId="5" borderId="0" xfId="0" applyFill="1" applyAlignment="1">
      <alignment horizontal="center"/>
    </xf>
    <xf numFmtId="0" fontId="172" fillId="5" borderId="0" xfId="0" applyFont="1" applyFill="1" applyAlignment="1">
      <alignment horizontal="center"/>
    </xf>
    <xf numFmtId="0" fontId="4" fillId="24" borderId="5" xfId="0" quotePrefix="1" applyFont="1" applyFill="1" applyBorder="1" applyAlignment="1">
      <alignment horizontal="right"/>
    </xf>
    <xf numFmtId="0" fontId="4" fillId="24" borderId="0" xfId="0" quotePrefix="1" applyFont="1" applyFill="1" applyAlignment="1">
      <alignment horizontal="right"/>
    </xf>
    <xf numFmtId="42" fontId="6" fillId="0" borderId="58" xfId="0" applyNumberFormat="1" applyFont="1" applyBorder="1"/>
    <xf numFmtId="0" fontId="4" fillId="2" borderId="75" xfId="0" applyFont="1" applyFill="1" applyBorder="1"/>
    <xf numFmtId="3" fontId="110" fillId="0" borderId="0" xfId="0" applyNumberFormat="1" applyFont="1" applyAlignment="1">
      <alignment horizontal="center"/>
    </xf>
    <xf numFmtId="0" fontId="4" fillId="3" borderId="75" xfId="0" applyFont="1" applyFill="1" applyBorder="1"/>
    <xf numFmtId="3" fontId="0" fillId="0" borderId="0" xfId="0" applyNumberFormat="1" applyAlignment="1">
      <alignment horizontal="center"/>
    </xf>
    <xf numFmtId="3" fontId="12" fillId="27" borderId="1" xfId="0" applyNumberFormat="1" applyFont="1" applyFill="1" applyBorder="1"/>
    <xf numFmtId="0" fontId="16" fillId="3" borderId="0" xfId="0" applyFont="1" applyFill="1"/>
    <xf numFmtId="0" fontId="16" fillId="3" borderId="75" xfId="0" applyFont="1" applyFill="1" applyBorder="1"/>
    <xf numFmtId="1" fontId="10" fillId="3" borderId="100" xfId="0" applyNumberFormat="1" applyFont="1" applyFill="1" applyBorder="1" applyAlignment="1">
      <alignment horizontal="center" vertical="center"/>
    </xf>
    <xf numFmtId="1" fontId="10" fillId="3" borderId="0" xfId="0" applyNumberFormat="1" applyFont="1" applyFill="1" applyAlignment="1">
      <alignment horizontal="left"/>
    </xf>
    <xf numFmtId="0" fontId="6" fillId="0" borderId="50" xfId="0" applyFont="1" applyBorder="1" applyAlignment="1">
      <alignment horizontal="center"/>
    </xf>
    <xf numFmtId="42" fontId="6" fillId="0" borderId="110" xfId="0" applyNumberFormat="1" applyFont="1" applyBorder="1"/>
    <xf numFmtId="0" fontId="16" fillId="3" borderId="13" xfId="0" applyFont="1" applyFill="1" applyBorder="1" applyAlignment="1">
      <alignment vertical="top"/>
    </xf>
    <xf numFmtId="49" fontId="10" fillId="3" borderId="33" xfId="0" applyNumberFormat="1" applyFont="1" applyFill="1" applyBorder="1" applyAlignment="1">
      <alignment horizontal="center"/>
    </xf>
    <xf numFmtId="4" fontId="10" fillId="3" borderId="72" xfId="0" applyNumberFormat="1" applyFont="1" applyFill="1" applyBorder="1" applyAlignment="1">
      <alignment horizontal="center"/>
    </xf>
    <xf numFmtId="4" fontId="10" fillId="3" borderId="13" xfId="0" applyNumberFormat="1" applyFont="1" applyFill="1" applyBorder="1" applyAlignment="1">
      <alignment vertical="center"/>
    </xf>
    <xf numFmtId="3" fontId="4" fillId="2" borderId="0" xfId="0" applyNumberFormat="1" applyFont="1" applyFill="1"/>
    <xf numFmtId="0" fontId="10" fillId="24" borderId="0" xfId="0" applyFont="1" applyFill="1" applyAlignment="1">
      <alignment horizontal="left" vertical="top" wrapText="1"/>
    </xf>
    <xf numFmtId="3" fontId="116" fillId="0" borderId="0" xfId="0" applyNumberFormat="1" applyFont="1" applyAlignment="1">
      <alignment horizontal="right"/>
    </xf>
    <xf numFmtId="0" fontId="0" fillId="35" borderId="14" xfId="0" applyFill="1" applyBorder="1"/>
    <xf numFmtId="0" fontId="0" fillId="5" borderId="15" xfId="0" applyFill="1" applyBorder="1" applyAlignment="1">
      <alignment horizontal="center"/>
    </xf>
    <xf numFmtId="4" fontId="167" fillId="3" borderId="0" xfId="0" applyNumberFormat="1" applyFont="1" applyFill="1" applyAlignment="1">
      <alignment horizontal="center"/>
    </xf>
    <xf numFmtId="3" fontId="0" fillId="8" borderId="0" xfId="0" applyNumberFormat="1" applyFill="1" applyAlignment="1">
      <alignment horizontal="center"/>
    </xf>
    <xf numFmtId="3" fontId="9" fillId="28" borderId="1" xfId="0" applyNumberFormat="1" applyFont="1" applyFill="1" applyBorder="1"/>
    <xf numFmtId="0" fontId="4" fillId="36" borderId="6" xfId="0" applyFont="1" applyFill="1" applyBorder="1"/>
    <xf numFmtId="3" fontId="116" fillId="3" borderId="0" xfId="0" applyNumberFormat="1" applyFont="1" applyFill="1"/>
    <xf numFmtId="0" fontId="8" fillId="3" borderId="0" xfId="0" applyFont="1" applyFill="1" applyAlignment="1">
      <alignment wrapText="1"/>
    </xf>
    <xf numFmtId="0" fontId="0" fillId="5" borderId="6" xfId="0" applyFill="1" applyBorder="1" applyAlignment="1">
      <alignment horizontal="center"/>
    </xf>
    <xf numFmtId="175" fontId="116" fillId="3" borderId="0" xfId="0" applyNumberFormat="1" applyFont="1" applyFill="1"/>
    <xf numFmtId="0" fontId="116" fillId="0" borderId="0" xfId="0" applyFont="1" applyAlignment="1">
      <alignment horizontal="right"/>
    </xf>
    <xf numFmtId="4" fontId="9" fillId="3" borderId="1" xfId="0" applyNumberFormat="1" applyFont="1" applyFill="1" applyBorder="1" applyAlignment="1">
      <alignment horizontal="right"/>
    </xf>
    <xf numFmtId="3" fontId="9" fillId="28" borderId="9" xfId="0" applyNumberFormat="1" applyFont="1" applyFill="1" applyBorder="1"/>
    <xf numFmtId="4" fontId="116" fillId="0" borderId="0" xfId="0" applyNumberFormat="1" applyFont="1" applyAlignment="1">
      <alignment horizontal="center"/>
    </xf>
    <xf numFmtId="0" fontId="4" fillId="24" borderId="21" xfId="0" applyFont="1" applyFill="1" applyBorder="1" applyAlignment="1">
      <alignment horizontal="left"/>
    </xf>
    <xf numFmtId="0" fontId="0" fillId="24" borderId="4" xfId="0" applyFill="1" applyBorder="1"/>
    <xf numFmtId="0" fontId="4" fillId="35" borderId="0" xfId="0" applyFont="1" applyFill="1"/>
    <xf numFmtId="0" fontId="4" fillId="35" borderId="8" xfId="0" applyFont="1" applyFill="1" applyBorder="1"/>
    <xf numFmtId="3" fontId="9" fillId="14" borderId="6" xfId="0" applyNumberFormat="1" applyFont="1" applyFill="1" applyBorder="1"/>
    <xf numFmtId="4" fontId="112" fillId="14" borderId="30" xfId="0" applyNumberFormat="1" applyFont="1" applyFill="1" applyBorder="1" applyAlignment="1">
      <alignment horizontal="right" wrapText="1"/>
    </xf>
    <xf numFmtId="0" fontId="4" fillId="35" borderId="0" xfId="0" applyFont="1" applyFill="1" applyAlignment="1">
      <alignment horizontal="center"/>
    </xf>
    <xf numFmtId="0" fontId="4" fillId="35" borderId="24" xfId="0" applyFont="1" applyFill="1" applyBorder="1" applyAlignment="1">
      <alignment horizontal="center"/>
    </xf>
    <xf numFmtId="3" fontId="112" fillId="15" borderId="3" xfId="0" applyNumberFormat="1" applyFont="1" applyFill="1" applyBorder="1" applyAlignment="1">
      <alignment horizontal="right" wrapText="1"/>
    </xf>
    <xf numFmtId="3" fontId="69" fillId="2" borderId="0" xfId="0" applyNumberFormat="1" applyFont="1" applyFill="1" applyAlignment="1">
      <alignment horizontal="left"/>
    </xf>
    <xf numFmtId="39" fontId="116" fillId="0" borderId="0" xfId="0" applyNumberFormat="1" applyFont="1"/>
    <xf numFmtId="0" fontId="4" fillId="15" borderId="23" xfId="0" applyFont="1" applyFill="1" applyBorder="1" applyAlignment="1">
      <alignment horizontal="right"/>
    </xf>
    <xf numFmtId="0" fontId="15" fillId="15" borderId="5" xfId="0" applyFont="1" applyFill="1" applyBorder="1" applyAlignment="1">
      <alignment horizontal="left" indent="1"/>
    </xf>
    <xf numFmtId="0" fontId="4" fillId="36" borderId="6" xfId="0" applyFont="1" applyFill="1" applyBorder="1" applyAlignment="1">
      <alignment horizontal="center"/>
    </xf>
    <xf numFmtId="0" fontId="112" fillId="15" borderId="3" xfId="0" applyFont="1" applyFill="1" applyBorder="1" applyAlignment="1">
      <alignment horizontal="right" vertical="center" wrapText="1"/>
    </xf>
    <xf numFmtId="0" fontId="4" fillId="15" borderId="21" xfId="0" applyFont="1" applyFill="1" applyBorder="1" applyAlignment="1">
      <alignment horizontal="right"/>
    </xf>
    <xf numFmtId="0" fontId="4" fillId="15" borderId="6" xfId="0" applyFont="1" applyFill="1" applyBorder="1" applyAlignment="1">
      <alignment horizontal="center" vertical="center"/>
    </xf>
    <xf numFmtId="3" fontId="9" fillId="28" borderId="10" xfId="0" applyNumberFormat="1" applyFont="1" applyFill="1" applyBorder="1"/>
    <xf numFmtId="4" fontId="112" fillId="3" borderId="3" xfId="0" applyNumberFormat="1" applyFont="1" applyFill="1" applyBorder="1" applyAlignment="1">
      <alignment horizontal="right"/>
    </xf>
    <xf numFmtId="3" fontId="9" fillId="26" borderId="9" xfId="0" applyNumberFormat="1" applyFont="1" applyFill="1" applyBorder="1"/>
    <xf numFmtId="4" fontId="116" fillId="14" borderId="3" xfId="0" applyNumberFormat="1" applyFont="1" applyFill="1" applyBorder="1" applyAlignment="1">
      <alignment horizontal="right"/>
    </xf>
    <xf numFmtId="39" fontId="8" fillId="3" borderId="15" xfId="0" applyNumberFormat="1" applyFont="1" applyFill="1" applyBorder="1"/>
    <xf numFmtId="4" fontId="116" fillId="3" borderId="3" xfId="0" applyNumberFormat="1" applyFont="1" applyFill="1" applyBorder="1" applyAlignment="1">
      <alignment horizontal="right"/>
    </xf>
    <xf numFmtId="3" fontId="180" fillId="8" borderId="0" xfId="0" applyNumberFormat="1" applyFont="1" applyFill="1" applyAlignment="1">
      <alignment horizontal="left" vertical="center"/>
    </xf>
    <xf numFmtId="0" fontId="9" fillId="24" borderId="5" xfId="0" applyFont="1" applyFill="1" applyBorder="1" applyAlignment="1">
      <alignment horizontal="right"/>
    </xf>
    <xf numFmtId="4" fontId="359" fillId="3" borderId="3" xfId="0" applyNumberFormat="1" applyFont="1" applyFill="1" applyBorder="1" applyAlignment="1">
      <alignment horizontal="center"/>
    </xf>
    <xf numFmtId="4" fontId="358" fillId="3" borderId="3" xfId="0" applyNumberFormat="1" applyFont="1" applyFill="1" applyBorder="1" applyAlignment="1">
      <alignment horizontal="center"/>
    </xf>
    <xf numFmtId="39" fontId="8" fillId="3" borderId="6" xfId="0" applyNumberFormat="1" applyFont="1" applyFill="1" applyBorder="1"/>
    <xf numFmtId="4" fontId="358" fillId="3" borderId="3" xfId="0" applyNumberFormat="1" applyFont="1" applyFill="1" applyBorder="1"/>
    <xf numFmtId="0" fontId="5" fillId="0" borderId="0" xfId="0" applyFont="1" applyAlignment="1">
      <alignment horizontal="center"/>
    </xf>
    <xf numFmtId="15" fontId="125" fillId="0" borderId="0" xfId="0" applyNumberFormat="1" applyFont="1" applyAlignment="1">
      <alignment horizontal="center"/>
    </xf>
    <xf numFmtId="0" fontId="4" fillId="35" borderId="8" xfId="0" applyFont="1" applyFill="1" applyBorder="1" applyAlignment="1">
      <alignment horizontal="center"/>
    </xf>
    <xf numFmtId="3" fontId="9" fillId="14" borderId="15" xfId="0" applyNumberFormat="1" applyFont="1" applyFill="1" applyBorder="1"/>
    <xf numFmtId="4" fontId="8" fillId="3" borderId="3" xfId="0" applyNumberFormat="1" applyFont="1" applyFill="1" applyBorder="1"/>
    <xf numFmtId="0" fontId="4" fillId="35" borderId="24" xfId="0" applyFont="1" applyFill="1" applyBorder="1"/>
    <xf numFmtId="4" fontId="116" fillId="3" borderId="3" xfId="0" applyNumberFormat="1" applyFont="1" applyFill="1" applyBorder="1"/>
    <xf numFmtId="4" fontId="180" fillId="3" borderId="3" xfId="0" applyNumberFormat="1" applyFont="1" applyFill="1" applyBorder="1"/>
    <xf numFmtId="0" fontId="4" fillId="24" borderId="21" xfId="0" applyFont="1" applyFill="1" applyBorder="1" applyAlignment="1">
      <alignment horizontal="right"/>
    </xf>
    <xf numFmtId="0" fontId="126" fillId="24" borderId="4" xfId="0" applyFont="1" applyFill="1" applyBorder="1"/>
    <xf numFmtId="0" fontId="23" fillId="15" borderId="7" xfId="0" applyFont="1" applyFill="1" applyBorder="1"/>
    <xf numFmtId="37" fontId="4" fillId="27" borderId="2" xfId="0" applyNumberFormat="1" applyFont="1" applyFill="1" applyBorder="1" applyAlignment="1">
      <alignment horizontal="right"/>
    </xf>
    <xf numFmtId="0" fontId="4" fillId="15" borderId="5" xfId="0" applyFont="1" applyFill="1" applyBorder="1" applyAlignment="1">
      <alignment horizontal="right"/>
    </xf>
    <xf numFmtId="0" fontId="10" fillId="15" borderId="0" xfId="0" applyFont="1" applyFill="1" applyAlignment="1">
      <alignment vertical="top" wrapText="1"/>
    </xf>
    <xf numFmtId="0" fontId="357" fillId="24" borderId="0" xfId="0" applyFont="1" applyFill="1" applyAlignment="1">
      <alignment horizontal="right" vertical="center"/>
    </xf>
    <xf numFmtId="0" fontId="4" fillId="24" borderId="5" xfId="0" applyFont="1" applyFill="1" applyBorder="1" applyAlignment="1">
      <alignment horizontal="left" indent="1"/>
    </xf>
    <xf numFmtId="0" fontId="110" fillId="24" borderId="0" xfId="0" applyFont="1" applyFill="1"/>
    <xf numFmtId="0" fontId="4" fillId="36" borderId="12" xfId="0" applyFont="1" applyFill="1" applyBorder="1"/>
    <xf numFmtId="4" fontId="167" fillId="3" borderId="3" xfId="0" applyNumberFormat="1" applyFont="1" applyFill="1" applyBorder="1" applyAlignment="1">
      <alignment horizontal="center"/>
    </xf>
    <xf numFmtId="3" fontId="9" fillId="8" borderId="0" xfId="0" applyNumberFormat="1" applyFont="1" applyFill="1" applyAlignment="1">
      <alignment horizontal="left"/>
    </xf>
    <xf numFmtId="0" fontId="360" fillId="24" borderId="0" xfId="0" applyFont="1" applyFill="1" applyAlignment="1">
      <alignment horizontal="right" vertical="top" wrapText="1"/>
    </xf>
    <xf numFmtId="0" fontId="10" fillId="24" borderId="0" xfId="0" applyFont="1" applyFill="1" applyAlignment="1">
      <alignment horizontal="center" vertical="top" wrapText="1"/>
    </xf>
    <xf numFmtId="37" fontId="116" fillId="24" borderId="0" xfId="0" applyNumberFormat="1" applyFont="1" applyFill="1"/>
    <xf numFmtId="4" fontId="119" fillId="3" borderId="3" xfId="0" applyNumberFormat="1" applyFont="1" applyFill="1" applyBorder="1" applyAlignment="1">
      <alignment horizontal="center"/>
    </xf>
    <xf numFmtId="0" fontId="9" fillId="35" borderId="0" xfId="0" applyFont="1" applyFill="1" applyAlignment="1">
      <alignment horizontal="right"/>
    </xf>
    <xf numFmtId="3" fontId="122" fillId="8" borderId="0" xfId="0" applyNumberFormat="1" applyFont="1" applyFill="1" applyAlignment="1">
      <alignment horizontal="left"/>
    </xf>
    <xf numFmtId="0" fontId="4" fillId="3" borderId="8" xfId="0" applyFont="1" applyFill="1" applyBorder="1"/>
    <xf numFmtId="3" fontId="11" fillId="8" borderId="0" xfId="0" applyNumberFormat="1" applyFont="1" applyFill="1" applyAlignment="1">
      <alignment horizontal="center"/>
    </xf>
    <xf numFmtId="37" fontId="9" fillId="26" borderId="1" xfId="0" applyNumberFormat="1" applyFont="1" applyFill="1" applyBorder="1"/>
    <xf numFmtId="0" fontId="11" fillId="5" borderId="0" xfId="0" applyFont="1" applyFill="1"/>
    <xf numFmtId="0" fontId="11" fillId="3" borderId="1" xfId="0" applyFont="1" applyFill="1" applyBorder="1"/>
    <xf numFmtId="0" fontId="9" fillId="19" borderId="0" xfId="0" applyFont="1" applyFill="1" applyAlignment="1">
      <alignment horizontal="center" vertical="top"/>
    </xf>
    <xf numFmtId="0" fontId="6" fillId="3" borderId="8" xfId="0" applyFont="1" applyFill="1" applyBorder="1"/>
    <xf numFmtId="4" fontId="199" fillId="3" borderId="30" xfId="0" applyNumberFormat="1" applyFont="1" applyFill="1" applyBorder="1" applyAlignment="1">
      <alignment vertical="center" wrapText="1"/>
    </xf>
    <xf numFmtId="0" fontId="9" fillId="24" borderId="5" xfId="0" quotePrefix="1" applyFont="1" applyFill="1" applyBorder="1" applyAlignment="1">
      <alignment horizontal="right"/>
    </xf>
    <xf numFmtId="4" fontId="199" fillId="3" borderId="3" xfId="0" applyNumberFormat="1" applyFont="1" applyFill="1" applyBorder="1" applyAlignment="1">
      <alignment vertical="center" wrapText="1"/>
    </xf>
    <xf numFmtId="0" fontId="0" fillId="24" borderId="0" xfId="0" applyFill="1" applyAlignment="1">
      <alignment horizontal="right"/>
    </xf>
    <xf numFmtId="203" fontId="0" fillId="24" borderId="0" xfId="0" applyNumberFormat="1" applyFill="1" applyAlignment="1">
      <alignment horizontal="right"/>
    </xf>
    <xf numFmtId="0" fontId="6" fillId="24" borderId="0" xfId="0" applyFont="1" applyFill="1" applyAlignment="1">
      <alignment horizontal="center"/>
    </xf>
    <xf numFmtId="0" fontId="126" fillId="24" borderId="0" xfId="0" applyFont="1" applyFill="1" applyAlignment="1">
      <alignment horizontal="right"/>
    </xf>
    <xf numFmtId="10" fontId="6" fillId="24" borderId="0" xfId="0" applyNumberFormat="1" applyFont="1" applyFill="1"/>
    <xf numFmtId="0" fontId="6" fillId="24" borderId="0" xfId="0" applyFont="1" applyFill="1" applyAlignment="1">
      <alignment horizontal="right"/>
    </xf>
    <xf numFmtId="0" fontId="208" fillId="3" borderId="0" xfId="0" applyFont="1" applyFill="1"/>
    <xf numFmtId="37" fontId="116" fillId="3" borderId="3" xfId="0" applyNumberFormat="1" applyFont="1" applyFill="1" applyBorder="1"/>
    <xf numFmtId="3" fontId="6" fillId="2" borderId="0" xfId="0" applyNumberFormat="1" applyFont="1" applyFill="1" applyAlignment="1">
      <alignment horizontal="center" vertical="top"/>
    </xf>
    <xf numFmtId="0" fontId="8" fillId="24" borderId="5" xfId="0" applyFont="1" applyFill="1" applyBorder="1" applyAlignment="1">
      <alignment vertical="center"/>
    </xf>
    <xf numFmtId="0" fontId="146" fillId="24" borderId="0" xfId="0" applyFont="1" applyFill="1"/>
    <xf numFmtId="4" fontId="9" fillId="3" borderId="24" xfId="0" applyNumberFormat="1" applyFont="1" applyFill="1" applyBorder="1" applyAlignment="1">
      <alignment horizontal="right"/>
    </xf>
    <xf numFmtId="0" fontId="4" fillId="36" borderId="3" xfId="0" applyFont="1" applyFill="1" applyBorder="1"/>
    <xf numFmtId="0" fontId="112" fillId="3" borderId="4" xfId="0" applyFont="1" applyFill="1" applyBorder="1" applyAlignment="1">
      <alignment vertical="center"/>
    </xf>
    <xf numFmtId="0" fontId="4" fillId="3" borderId="4" xfId="0" applyFont="1" applyFill="1" applyBorder="1" applyAlignment="1">
      <alignment vertical="center"/>
    </xf>
    <xf numFmtId="0" fontId="9" fillId="3" borderId="4" xfId="0" applyFont="1" applyFill="1" applyBorder="1"/>
    <xf numFmtId="4" fontId="9" fillId="3" borderId="22" xfId="0" applyNumberFormat="1" applyFont="1" applyFill="1" applyBorder="1" applyAlignment="1">
      <alignment horizontal="right"/>
    </xf>
    <xf numFmtId="0" fontId="4" fillId="36" borderId="69" xfId="0" applyFont="1" applyFill="1" applyBorder="1"/>
    <xf numFmtId="4" fontId="9" fillId="2" borderId="0" xfId="0" applyNumberFormat="1" applyFont="1" applyFill="1" applyAlignment="1">
      <alignment horizontal="right"/>
    </xf>
    <xf numFmtId="0" fontId="4" fillId="21" borderId="0" xfId="0" applyFont="1" applyFill="1"/>
    <xf numFmtId="4" fontId="8" fillId="21" borderId="0" xfId="0" applyNumberFormat="1" applyFont="1" applyFill="1"/>
    <xf numFmtId="0" fontId="4" fillId="21" borderId="0" xfId="0" applyFont="1" applyFill="1" applyAlignment="1">
      <alignment horizontal="center"/>
    </xf>
    <xf numFmtId="3" fontId="122" fillId="0" borderId="0" xfId="0" applyNumberFormat="1" applyFont="1" applyAlignment="1">
      <alignment horizontal="center" vertical="center"/>
    </xf>
    <xf numFmtId="4" fontId="167" fillId="0" borderId="0" xfId="0" applyNumberFormat="1" applyFont="1" applyAlignment="1">
      <alignment horizontal="right"/>
    </xf>
    <xf numFmtId="3" fontId="116" fillId="0" borderId="0" xfId="0" applyNumberFormat="1" applyFont="1"/>
    <xf numFmtId="0" fontId="138" fillId="24" borderId="0" xfId="0" applyFont="1" applyFill="1" applyAlignment="1">
      <alignment horizontal="right"/>
    </xf>
    <xf numFmtId="0" fontId="112" fillId="0" borderId="0" xfId="0" applyFont="1" applyAlignment="1">
      <alignment horizontal="right"/>
    </xf>
    <xf numFmtId="0" fontId="321" fillId="0" borderId="0" xfId="0" applyFont="1" applyAlignment="1">
      <alignment horizontal="center"/>
    </xf>
    <xf numFmtId="173" fontId="126" fillId="24" borderId="0" xfId="0" applyNumberFormat="1" applyFont="1" applyFill="1"/>
    <xf numFmtId="0" fontId="143" fillId="0" borderId="0" xfId="0" applyFont="1" applyAlignment="1">
      <alignment horizontal="center"/>
    </xf>
    <xf numFmtId="3" fontId="122" fillId="0" borderId="0" xfId="0" applyNumberFormat="1" applyFont="1" applyAlignment="1">
      <alignment horizontal="right"/>
    </xf>
    <xf numFmtId="173" fontId="9" fillId="26" borderId="1" xfId="0" applyNumberFormat="1" applyFont="1" applyFill="1" applyBorder="1"/>
    <xf numFmtId="5" fontId="4" fillId="27" borderId="2" xfId="0" applyNumberFormat="1" applyFont="1" applyFill="1" applyBorder="1" applyAlignment="1">
      <alignment horizontal="center" vertical="center"/>
    </xf>
    <xf numFmtId="0" fontId="6" fillId="0" borderId="0" xfId="0" applyFont="1" applyAlignment="1">
      <alignment horizontal="center" vertical="center"/>
    </xf>
    <xf numFmtId="37" fontId="126" fillId="24" borderId="0" xfId="0" applyNumberFormat="1" applyFont="1" applyFill="1"/>
    <xf numFmtId="0" fontId="4" fillId="15" borderId="5" xfId="0" applyFont="1" applyFill="1" applyBorder="1" applyAlignment="1">
      <alignment horizontal="left" vertical="center"/>
    </xf>
    <xf numFmtId="0" fontId="357" fillId="15" borderId="7" xfId="0" applyFont="1" applyFill="1" applyBorder="1" applyAlignment="1">
      <alignment horizontal="right"/>
    </xf>
    <xf numFmtId="0" fontId="126" fillId="15" borderId="7" xfId="0" applyFont="1" applyFill="1" applyBorder="1"/>
    <xf numFmtId="0" fontId="4" fillId="15" borderId="5" xfId="0" applyFont="1" applyFill="1" applyBorder="1" applyAlignment="1">
      <alignment horizontal="left"/>
    </xf>
    <xf numFmtId="0" fontId="126" fillId="15" borderId="0" xfId="0" applyFont="1" applyFill="1"/>
    <xf numFmtId="0" fontId="357" fillId="15" borderId="4" xfId="0" applyFont="1" applyFill="1" applyBorder="1" applyAlignment="1">
      <alignment horizontal="right" vertical="center"/>
    </xf>
    <xf numFmtId="0" fontId="126" fillId="15" borderId="4" xfId="0" applyFont="1" applyFill="1" applyBorder="1"/>
    <xf numFmtId="199" fontId="110" fillId="0" borderId="0" xfId="0" applyNumberFormat="1" applyFont="1"/>
    <xf numFmtId="0" fontId="10" fillId="24" borderId="0" xfId="0" applyFont="1" applyFill="1" applyAlignment="1">
      <alignment horizontal="center" vertical="top"/>
    </xf>
    <xf numFmtId="4" fontId="126" fillId="24" borderId="0" xfId="0" applyNumberFormat="1" applyFont="1" applyFill="1"/>
    <xf numFmtId="0" fontId="0" fillId="24" borderId="0" xfId="0" applyFill="1" applyAlignment="1">
      <alignment horizontal="left" indent="1"/>
    </xf>
    <xf numFmtId="0" fontId="6" fillId="24" borderId="0" xfId="0" applyFont="1" applyFill="1" applyAlignment="1">
      <alignment horizontal="left" indent="1"/>
    </xf>
    <xf numFmtId="0" fontId="4" fillId="24" borderId="21" xfId="0" quotePrefix="1" applyFont="1" applyFill="1" applyBorder="1" applyAlignment="1">
      <alignment horizontal="right"/>
    </xf>
    <xf numFmtId="0" fontId="6" fillId="24" borderId="4" xfId="0" applyFont="1" applyFill="1" applyBorder="1" applyAlignment="1">
      <alignment horizontal="left" indent="1"/>
    </xf>
    <xf numFmtId="0" fontId="10" fillId="24" borderId="4" xfId="0" applyFont="1" applyFill="1" applyBorder="1" applyAlignment="1">
      <alignment horizontal="center" vertical="top"/>
    </xf>
    <xf numFmtId="0" fontId="11" fillId="15" borderId="5" xfId="0" applyFont="1" applyFill="1" applyBorder="1" applyAlignment="1">
      <alignment horizontal="left"/>
    </xf>
    <xf numFmtId="0" fontId="110" fillId="15" borderId="4" xfId="0" applyFont="1" applyFill="1" applyBorder="1" applyAlignment="1">
      <alignment horizontal="center"/>
    </xf>
    <xf numFmtId="0" fontId="110" fillId="15" borderId="4" xfId="0" applyFont="1" applyFill="1" applyBorder="1"/>
    <xf numFmtId="0" fontId="121" fillId="24" borderId="23" xfId="0" applyFont="1" applyFill="1" applyBorder="1"/>
    <xf numFmtId="0" fontId="0" fillId="24" borderId="7" xfId="0" applyFill="1" applyBorder="1"/>
    <xf numFmtId="0" fontId="0" fillId="24" borderId="19" xfId="0" applyFill="1" applyBorder="1"/>
    <xf numFmtId="0" fontId="6" fillId="24" borderId="5" xfId="0" applyFont="1" applyFill="1" applyBorder="1" applyAlignment="1">
      <alignment horizontal="center"/>
    </xf>
    <xf numFmtId="0" fontId="8" fillId="24" borderId="5" xfId="0" applyFont="1" applyFill="1" applyBorder="1" applyAlignment="1">
      <alignment horizontal="right"/>
    </xf>
    <xf numFmtId="0" fontId="6" fillId="24" borderId="4" xfId="0" applyFont="1" applyFill="1" applyBorder="1"/>
    <xf numFmtId="0" fontId="8" fillId="24" borderId="5" xfId="0" quotePrefix="1" applyFont="1" applyFill="1" applyBorder="1" applyAlignment="1">
      <alignment horizontal="right"/>
    </xf>
    <xf numFmtId="0" fontId="14" fillId="24" borderId="0" xfId="0" applyFont="1" applyFill="1" applyAlignment="1">
      <alignment horizontal="right"/>
    </xf>
    <xf numFmtId="168" fontId="0" fillId="24" borderId="0" xfId="0" applyNumberFormat="1" applyFill="1"/>
    <xf numFmtId="1" fontId="0" fillId="24" borderId="0" xfId="0" applyNumberFormat="1" applyFill="1" applyProtection="1">
      <protection locked="0"/>
    </xf>
    <xf numFmtId="39" fontId="4" fillId="15" borderId="0" xfId="0" applyNumberFormat="1" applyFont="1" applyFill="1" applyProtection="1">
      <protection locked="0"/>
    </xf>
    <xf numFmtId="1" fontId="0" fillId="15" borderId="30" xfId="0" applyNumberFormat="1" applyFill="1" applyBorder="1" applyProtection="1">
      <protection locked="0"/>
    </xf>
    <xf numFmtId="1" fontId="0" fillId="15" borderId="8" xfId="0" applyNumberFormat="1" applyFill="1" applyBorder="1" applyProtection="1">
      <protection locked="0"/>
    </xf>
    <xf numFmtId="39" fontId="0" fillId="15" borderId="14" xfId="0" applyNumberFormat="1" applyFill="1" applyBorder="1" applyProtection="1">
      <protection locked="0"/>
    </xf>
    <xf numFmtId="1" fontId="0" fillId="15" borderId="3" xfId="0" applyNumberFormat="1" applyFill="1" applyBorder="1" applyProtection="1">
      <protection locked="0"/>
    </xf>
    <xf numFmtId="1" fontId="0" fillId="15" borderId="0" xfId="0" applyNumberFormat="1" applyFill="1" applyProtection="1">
      <protection locked="0"/>
    </xf>
    <xf numFmtId="39" fontId="0" fillId="15" borderId="24" xfId="0" applyNumberFormat="1" applyFill="1" applyBorder="1" applyProtection="1">
      <protection locked="0"/>
    </xf>
    <xf numFmtId="1" fontId="0" fillId="15" borderId="9" xfId="0" applyNumberFormat="1" applyFill="1" applyBorder="1" applyProtection="1">
      <protection locked="0"/>
    </xf>
    <xf numFmtId="1" fontId="0" fillId="15" borderId="1" xfId="0" applyNumberFormat="1" applyFill="1" applyBorder="1" applyProtection="1">
      <protection locked="0"/>
    </xf>
    <xf numFmtId="39" fontId="0" fillId="15" borderId="11" xfId="0" applyNumberFormat="1" applyFill="1" applyBorder="1" applyProtection="1">
      <protection locked="0"/>
    </xf>
    <xf numFmtId="1" fontId="0" fillId="15" borderId="39" xfId="0" applyNumberFormat="1" applyFill="1" applyBorder="1" applyProtection="1">
      <protection locked="0"/>
    </xf>
    <xf numFmtId="1" fontId="0" fillId="15" borderId="25" xfId="0" applyNumberFormat="1" applyFill="1" applyBorder="1" applyProtection="1">
      <protection locked="0"/>
    </xf>
    <xf numFmtId="39" fontId="0" fillId="15" borderId="54" xfId="0" applyNumberFormat="1" applyFill="1" applyBorder="1" applyProtection="1">
      <protection locked="0"/>
    </xf>
    <xf numFmtId="39" fontId="0" fillId="15" borderId="25" xfId="0" applyNumberFormat="1" applyFill="1" applyBorder="1" applyProtection="1">
      <protection locked="0"/>
    </xf>
    <xf numFmtId="39" fontId="5" fillId="15" borderId="25" xfId="0" applyNumberFormat="1" applyFont="1" applyFill="1" applyBorder="1" applyProtection="1">
      <protection locked="0"/>
    </xf>
    <xf numFmtId="39" fontId="5" fillId="15" borderId="54" xfId="0" applyNumberFormat="1" applyFont="1" applyFill="1" applyBorder="1" applyProtection="1">
      <protection locked="0"/>
    </xf>
    <xf numFmtId="1" fontId="6" fillId="15" borderId="39" xfId="0" applyNumberFormat="1" applyFont="1" applyFill="1" applyBorder="1" applyProtection="1">
      <protection locked="0"/>
    </xf>
    <xf numFmtId="1" fontId="6" fillId="15" borderId="25" xfId="0" applyNumberFormat="1" applyFont="1" applyFill="1" applyBorder="1" applyProtection="1">
      <protection locked="0"/>
    </xf>
    <xf numFmtId="39" fontId="6" fillId="15" borderId="54" xfId="0" applyNumberFormat="1" applyFont="1" applyFill="1" applyBorder="1" applyProtection="1">
      <protection locked="0"/>
    </xf>
    <xf numFmtId="39" fontId="6" fillId="15" borderId="25" xfId="0" applyNumberFormat="1" applyFont="1" applyFill="1" applyBorder="1" applyProtection="1">
      <protection locked="0"/>
    </xf>
    <xf numFmtId="39" fontId="4" fillId="24" borderId="30" xfId="0" applyNumberFormat="1" applyFont="1" applyFill="1" applyBorder="1"/>
    <xf numFmtId="39" fontId="0" fillId="24" borderId="8" xfId="0" applyNumberFormat="1" applyFill="1" applyBorder="1"/>
    <xf numFmtId="39" fontId="0" fillId="24" borderId="14" xfId="0" applyNumberFormat="1" applyFill="1" applyBorder="1"/>
    <xf numFmtId="1" fontId="6" fillId="24" borderId="3" xfId="0" applyNumberFormat="1" applyFont="1" applyFill="1" applyBorder="1"/>
    <xf numFmtId="1" fontId="0" fillId="24" borderId="0" xfId="0" applyNumberFormat="1" applyFill="1"/>
    <xf numFmtId="39" fontId="0" fillId="24" borderId="24" xfId="0" applyNumberFormat="1" applyFill="1" applyBorder="1"/>
    <xf numFmtId="39" fontId="6" fillId="24" borderId="3" xfId="0" applyNumberFormat="1" applyFont="1" applyFill="1" applyBorder="1"/>
    <xf numFmtId="39" fontId="6" fillId="24" borderId="0" xfId="0" applyNumberFormat="1" applyFont="1" applyFill="1"/>
    <xf numFmtId="1" fontId="0" fillId="24" borderId="3" xfId="0" applyNumberFormat="1" applyFill="1" applyBorder="1"/>
    <xf numFmtId="39" fontId="5" fillId="24" borderId="0" xfId="0" applyNumberFormat="1" applyFont="1" applyFill="1"/>
    <xf numFmtId="39" fontId="5" fillId="24" borderId="24" xfId="0" applyNumberFormat="1" applyFont="1" applyFill="1" applyBorder="1"/>
    <xf numFmtId="1" fontId="6" fillId="24" borderId="0" xfId="0" applyNumberFormat="1" applyFont="1" applyFill="1"/>
    <xf numFmtId="39" fontId="6" fillId="24" borderId="24" xfId="0" applyNumberFormat="1" applyFont="1" applyFill="1" applyBorder="1"/>
    <xf numFmtId="1" fontId="6" fillId="24" borderId="9" xfId="0" applyNumberFormat="1" applyFont="1" applyFill="1" applyBorder="1"/>
    <xf numFmtId="1" fontId="6" fillId="24" borderId="1" xfId="0" applyNumberFormat="1" applyFont="1" applyFill="1" applyBorder="1"/>
    <xf numFmtId="39" fontId="6" fillId="24" borderId="1" xfId="0" applyNumberFormat="1" applyFont="1" applyFill="1" applyBorder="1"/>
    <xf numFmtId="39" fontId="6" fillId="24" borderId="11" xfId="0" applyNumberFormat="1" applyFont="1" applyFill="1" applyBorder="1"/>
    <xf numFmtId="37" fontId="47" fillId="15" borderId="243" xfId="0" applyNumberFormat="1" applyFont="1" applyFill="1" applyBorder="1" applyProtection="1">
      <protection locked="0"/>
    </xf>
    <xf numFmtId="1" fontId="4" fillId="29" borderId="0" xfId="0" quotePrefix="1" applyNumberFormat="1" applyFont="1" applyFill="1" applyAlignment="1">
      <alignment horizontal="left"/>
    </xf>
    <xf numFmtId="37" fontId="374" fillId="29" borderId="0" xfId="0" applyNumberFormat="1" applyFont="1" applyFill="1" applyAlignment="1">
      <alignment horizontal="right"/>
    </xf>
    <xf numFmtId="39" fontId="6" fillId="24" borderId="0" xfId="0" applyNumberFormat="1" applyFont="1" applyFill="1" applyAlignment="1">
      <alignment vertical="center"/>
    </xf>
    <xf numFmtId="39" fontId="6" fillId="24" borderId="1" xfId="0" applyNumberFormat="1" applyFont="1" applyFill="1" applyBorder="1" applyAlignment="1">
      <alignment vertical="center"/>
    </xf>
    <xf numFmtId="39" fontId="6" fillId="15" borderId="39" xfId="0" applyNumberFormat="1" applyFont="1" applyFill="1" applyBorder="1" applyAlignment="1" applyProtection="1">
      <alignment vertical="center"/>
      <protection locked="0"/>
    </xf>
    <xf numFmtId="0" fontId="376" fillId="15" borderId="0" xfId="0" applyFont="1" applyFill="1" applyAlignment="1">
      <alignment vertical="top" wrapText="1"/>
    </xf>
    <xf numFmtId="39" fontId="6" fillId="16" borderId="12" xfId="0" applyNumberFormat="1" applyFont="1" applyFill="1" applyBorder="1" applyAlignment="1" applyProtection="1">
      <alignment horizontal="right" wrapText="1"/>
      <protection locked="0"/>
    </xf>
    <xf numFmtId="0" fontId="116" fillId="15" borderId="0" xfId="0" applyFont="1" applyFill="1" applyAlignment="1">
      <alignment horizontal="center" wrapText="1"/>
    </xf>
    <xf numFmtId="37" fontId="4" fillId="15" borderId="2" xfId="0" applyNumberFormat="1" applyFont="1" applyFill="1" applyBorder="1" applyProtection="1">
      <protection locked="0"/>
    </xf>
    <xf numFmtId="0" fontId="144" fillId="15" borderId="5" xfId="0" applyFont="1" applyFill="1" applyBorder="1" applyAlignment="1">
      <alignment horizontal="center" vertical="center" wrapText="1"/>
    </xf>
    <xf numFmtId="0" fontId="0" fillId="15" borderId="0" xfId="0" applyFill="1" applyAlignment="1">
      <alignment horizontal="center"/>
    </xf>
    <xf numFmtId="0" fontId="0" fillId="15" borderId="20" xfId="0" applyFill="1" applyBorder="1" applyAlignment="1">
      <alignment horizontal="center"/>
    </xf>
    <xf numFmtId="0" fontId="0" fillId="15" borderId="5" xfId="0" applyFill="1" applyBorder="1" applyAlignment="1">
      <alignment horizontal="center"/>
    </xf>
    <xf numFmtId="0" fontId="128" fillId="15" borderId="23" xfId="0" quotePrefix="1" applyFont="1" applyFill="1" applyBorder="1" applyAlignment="1" applyProtection="1">
      <alignment horizontal="center" vertical="center" wrapText="1"/>
      <protection hidden="1"/>
    </xf>
    <xf numFmtId="0" fontId="128" fillId="0" borderId="7" xfId="0" applyFont="1" applyBorder="1" applyAlignment="1">
      <alignment horizontal="center" vertical="center" wrapText="1"/>
    </xf>
    <xf numFmtId="0" fontId="128" fillId="0" borderId="19" xfId="0" applyFont="1" applyBorder="1" applyAlignment="1">
      <alignment horizontal="center" vertical="center" wrapText="1"/>
    </xf>
    <xf numFmtId="0" fontId="128" fillId="0" borderId="5" xfId="0" applyFont="1" applyBorder="1" applyAlignment="1">
      <alignment horizontal="center" vertical="center" wrapText="1"/>
    </xf>
    <xf numFmtId="0" fontId="128" fillId="0" borderId="0" xfId="0" applyFont="1" applyAlignment="1">
      <alignment horizontal="center" vertical="center" wrapText="1"/>
    </xf>
    <xf numFmtId="0" fontId="128" fillId="0" borderId="20" xfId="0" applyFont="1" applyBorder="1" applyAlignment="1">
      <alignment horizontal="center" vertical="center" wrapText="1"/>
    </xf>
    <xf numFmtId="0" fontId="128" fillId="0" borderId="21" xfId="0" applyFont="1" applyBorder="1" applyAlignment="1">
      <alignment horizontal="center" vertical="center" wrapText="1"/>
    </xf>
    <xf numFmtId="0" fontId="128" fillId="0" borderId="4" xfId="0" applyFont="1" applyBorder="1" applyAlignment="1">
      <alignment horizontal="center" vertical="center" wrapText="1"/>
    </xf>
    <xf numFmtId="0" fontId="128" fillId="0" borderId="22" xfId="0" applyFont="1" applyBorder="1" applyAlignment="1">
      <alignment horizontal="center" vertical="center" wrapText="1"/>
    </xf>
    <xf numFmtId="0" fontId="128" fillId="15" borderId="23" xfId="0" applyFont="1" applyFill="1" applyBorder="1" applyAlignment="1" applyProtection="1">
      <alignment horizontal="center" vertical="center" wrapText="1"/>
      <protection hidden="1"/>
    </xf>
    <xf numFmtId="0" fontId="128" fillId="15" borderId="7" xfId="0" applyFont="1" applyFill="1" applyBorder="1" applyAlignment="1" applyProtection="1">
      <alignment horizontal="center" vertical="center" wrapText="1"/>
      <protection hidden="1"/>
    </xf>
    <xf numFmtId="0" fontId="128" fillId="15" borderId="19" xfId="0" applyFont="1" applyFill="1" applyBorder="1" applyAlignment="1" applyProtection="1">
      <alignment horizontal="center" vertical="center" wrapText="1"/>
      <protection hidden="1"/>
    </xf>
    <xf numFmtId="0" fontId="128" fillId="15" borderId="5" xfId="0" applyFont="1" applyFill="1" applyBorder="1" applyAlignment="1" applyProtection="1">
      <alignment horizontal="center" vertical="center" wrapText="1"/>
      <protection hidden="1"/>
    </xf>
    <xf numFmtId="0" fontId="128" fillId="15" borderId="0" xfId="0" applyFont="1" applyFill="1" applyAlignment="1" applyProtection="1">
      <alignment horizontal="center" vertical="center" wrapText="1"/>
      <protection hidden="1"/>
    </xf>
    <xf numFmtId="0" fontId="128" fillId="15" borderId="20" xfId="0" applyFont="1" applyFill="1" applyBorder="1" applyAlignment="1" applyProtection="1">
      <alignment horizontal="center" vertical="center" wrapText="1"/>
      <protection hidden="1"/>
    </xf>
    <xf numFmtId="184" fontId="265" fillId="15" borderId="59" xfId="0" applyNumberFormat="1" applyFont="1" applyFill="1" applyBorder="1" applyAlignment="1" applyProtection="1">
      <alignment horizontal="left" vertical="center" indent="1"/>
      <protection hidden="1"/>
    </xf>
    <xf numFmtId="184" fontId="265" fillId="15" borderId="74" xfId="0" applyNumberFormat="1" applyFont="1" applyFill="1" applyBorder="1" applyAlignment="1" applyProtection="1">
      <alignment horizontal="left" vertical="center" indent="1"/>
      <protection hidden="1"/>
    </xf>
    <xf numFmtId="184" fontId="265" fillId="15" borderId="60" xfId="0" applyNumberFormat="1" applyFont="1" applyFill="1" applyBorder="1" applyAlignment="1" applyProtection="1">
      <alignment horizontal="left" vertical="center" indent="1"/>
      <protection hidden="1"/>
    </xf>
    <xf numFmtId="0" fontId="4" fillId="15" borderId="75" xfId="0" applyFont="1" applyFill="1" applyBorder="1" applyAlignment="1">
      <alignment horizontal="center" textRotation="90"/>
    </xf>
    <xf numFmtId="0" fontId="15" fillId="15" borderId="71" xfId="0" applyFont="1" applyFill="1" applyBorder="1" applyAlignment="1">
      <alignment horizontal="center" wrapText="1"/>
    </xf>
    <xf numFmtId="0" fontId="15" fillId="15" borderId="100" xfId="0" applyFont="1" applyFill="1" applyBorder="1" applyAlignment="1">
      <alignment horizontal="center" wrapText="1"/>
    </xf>
    <xf numFmtId="0" fontId="67" fillId="0" borderId="37" xfId="2" applyBorder="1" applyAlignment="1" applyProtection="1">
      <alignment horizontal="left" vertical="center" indent="1"/>
    </xf>
    <xf numFmtId="0" fontId="67" fillId="0" borderId="102" xfId="2" applyBorder="1" applyAlignment="1" applyProtection="1">
      <alignment horizontal="left" vertical="center" indent="1"/>
    </xf>
    <xf numFmtId="0" fontId="67" fillId="0" borderId="38" xfId="2" applyBorder="1" applyAlignment="1" applyProtection="1">
      <alignment horizontal="left" vertical="center" indent="1"/>
    </xf>
    <xf numFmtId="0" fontId="67" fillId="15" borderId="23" xfId="2" applyFill="1" applyBorder="1" applyAlignment="1" applyProtection="1">
      <alignment horizontal="center" vertical="center"/>
      <protection hidden="1"/>
    </xf>
    <xf numFmtId="0" fontId="67" fillId="15" borderId="19" xfId="2" applyFill="1" applyBorder="1" applyAlignment="1" applyProtection="1">
      <alignment horizontal="center" vertical="center"/>
      <protection hidden="1"/>
    </xf>
    <xf numFmtId="0" fontId="67" fillId="15" borderId="5" xfId="2" applyFill="1" applyBorder="1" applyAlignment="1" applyProtection="1">
      <alignment horizontal="center" vertical="center"/>
      <protection hidden="1"/>
    </xf>
    <xf numFmtId="0" fontId="67" fillId="15" borderId="20" xfId="2" applyFill="1" applyBorder="1" applyAlignment="1" applyProtection="1">
      <alignment horizontal="center" vertical="center"/>
      <protection hidden="1"/>
    </xf>
    <xf numFmtId="0" fontId="67" fillId="15" borderId="21" xfId="2" applyFill="1" applyBorder="1" applyAlignment="1" applyProtection="1">
      <alignment horizontal="center" vertical="center"/>
      <protection hidden="1"/>
    </xf>
    <xf numFmtId="0" fontId="67" fillId="15" borderId="22" xfId="2" applyFill="1" applyBorder="1" applyAlignment="1" applyProtection="1">
      <alignment horizontal="center" vertical="center"/>
      <protection hidden="1"/>
    </xf>
    <xf numFmtId="0" fontId="296" fillId="24" borderId="39" xfId="4" applyFont="1" applyFill="1" applyBorder="1" applyAlignment="1">
      <alignment horizontal="left" vertical="center" indent="1"/>
    </xf>
    <xf numFmtId="0" fontId="296" fillId="24" borderId="25" xfId="4" applyFont="1" applyFill="1" applyBorder="1" applyAlignment="1">
      <alignment horizontal="left" vertical="center" indent="1"/>
    </xf>
    <xf numFmtId="0" fontId="296" fillId="24" borderId="54" xfId="4" applyFont="1" applyFill="1" applyBorder="1" applyAlignment="1">
      <alignment horizontal="left" vertical="center" indent="1"/>
    </xf>
    <xf numFmtId="0" fontId="6" fillId="2" borderId="0" xfId="0" applyFont="1" applyFill="1" applyAlignment="1">
      <alignment vertical="top" wrapText="1"/>
    </xf>
    <xf numFmtId="0" fontId="0" fillId="2" borderId="0" xfId="0" applyFill="1" applyAlignment="1">
      <alignment vertical="top" wrapText="1"/>
    </xf>
    <xf numFmtId="0" fontId="0" fillId="15" borderId="4" xfId="0" applyFill="1" applyBorder="1" applyAlignment="1">
      <alignment vertical="top" wrapText="1"/>
    </xf>
    <xf numFmtId="0" fontId="0" fillId="15" borderId="4" xfId="0" applyFill="1" applyBorder="1" applyAlignment="1">
      <alignment vertical="top"/>
    </xf>
    <xf numFmtId="0" fontId="6" fillId="0" borderId="1" xfId="0" applyFont="1" applyBorder="1" applyAlignment="1">
      <alignment horizontal="left" vertical="top" wrapText="1"/>
    </xf>
    <xf numFmtId="0" fontId="6" fillId="2" borderId="1" xfId="0" applyFont="1" applyFill="1" applyBorder="1" applyAlignment="1">
      <alignment horizontal="left" vertical="top" wrapText="1"/>
    </xf>
    <xf numFmtId="0" fontId="6" fillId="15" borderId="0" xfId="0" applyFont="1" applyFill="1" applyAlignment="1">
      <alignment horizontal="left" vertical="top" wrapText="1"/>
    </xf>
    <xf numFmtId="0" fontId="0" fillId="15" borderId="0" xfId="0" applyFill="1" applyAlignment="1">
      <alignment horizontal="left" vertical="top" wrapText="1"/>
    </xf>
    <xf numFmtId="0" fontId="6" fillId="15" borderId="1" xfId="0" applyFont="1" applyFill="1" applyBorder="1" applyAlignment="1">
      <alignment horizontal="left" vertical="top" wrapText="1"/>
    </xf>
    <xf numFmtId="0" fontId="11" fillId="15" borderId="0" xfId="0" applyFont="1" applyFill="1" applyAlignment="1">
      <alignment horizontal="left" wrapText="1"/>
    </xf>
    <xf numFmtId="0" fontId="166" fillId="5" borderId="0" xfId="0" applyFont="1" applyFill="1" applyAlignment="1">
      <alignment horizontal="center"/>
    </xf>
    <xf numFmtId="37" fontId="4" fillId="16" borderId="39" xfId="0" applyNumberFormat="1" applyFont="1" applyFill="1" applyBorder="1" applyProtection="1">
      <protection locked="0"/>
    </xf>
    <xf numFmtId="37" fontId="4" fillId="16" borderId="25" xfId="0" applyNumberFormat="1" applyFont="1" applyFill="1" applyBorder="1" applyProtection="1">
      <protection locked="0"/>
    </xf>
    <xf numFmtId="37" fontId="0" fillId="16" borderId="25" xfId="0" applyNumberFormat="1" applyFill="1" applyBorder="1" applyProtection="1">
      <protection locked="0"/>
    </xf>
    <xf numFmtId="0" fontId="11" fillId="16" borderId="3" xfId="0" applyFont="1" applyFill="1" applyBorder="1" applyAlignment="1" applyProtection="1">
      <alignment horizontal="center"/>
      <protection locked="0"/>
    </xf>
    <xf numFmtId="0" fontId="11" fillId="16" borderId="0" xfId="0" applyFont="1" applyFill="1" applyAlignment="1" applyProtection="1">
      <alignment horizontal="center"/>
      <protection locked="0"/>
    </xf>
    <xf numFmtId="0" fontId="11" fillId="16" borderId="24" xfId="0" applyFont="1" applyFill="1" applyBorder="1" applyAlignment="1" applyProtection="1">
      <alignment horizontal="center"/>
      <protection locked="0"/>
    </xf>
    <xf numFmtId="0" fontId="11" fillId="16" borderId="9" xfId="0" applyFont="1" applyFill="1" applyBorder="1" applyAlignment="1" applyProtection="1">
      <alignment horizontal="center"/>
      <protection locked="0"/>
    </xf>
    <xf numFmtId="0" fontId="11" fillId="16" borderId="1" xfId="0" applyFont="1" applyFill="1" applyBorder="1" applyAlignment="1" applyProtection="1">
      <alignment horizontal="center"/>
      <protection locked="0"/>
    </xf>
    <xf numFmtId="0" fontId="11" fillId="16" borderId="11" xfId="0" applyFont="1" applyFill="1" applyBorder="1" applyAlignment="1" applyProtection="1">
      <alignment horizontal="center"/>
      <protection locked="0"/>
    </xf>
    <xf numFmtId="0" fontId="309" fillId="2" borderId="0" xfId="0" applyFont="1" applyFill="1" applyAlignment="1">
      <alignment horizontal="left" vertical="center" wrapText="1"/>
    </xf>
    <xf numFmtId="0" fontId="4" fillId="15" borderId="3" xfId="0" applyFont="1" applyFill="1" applyBorder="1" applyAlignment="1">
      <alignment horizontal="left" vertical="top" wrapText="1"/>
    </xf>
    <xf numFmtId="0" fontId="4" fillId="15" borderId="0" xfId="0" applyFont="1" applyFill="1" applyAlignment="1">
      <alignment horizontal="left" vertical="top" wrapText="1"/>
    </xf>
    <xf numFmtId="0" fontId="8" fillId="39" borderId="0" xfId="0" applyFont="1" applyFill="1" applyAlignment="1">
      <alignment horizontal="left" vertical="top" wrapText="1"/>
    </xf>
    <xf numFmtId="0" fontId="8" fillId="39" borderId="1" xfId="0" applyFont="1" applyFill="1" applyBorder="1" applyAlignment="1">
      <alignment horizontal="left" vertical="top" wrapText="1"/>
    </xf>
    <xf numFmtId="0" fontId="4" fillId="27" borderId="12" xfId="0" applyFont="1" applyFill="1" applyBorder="1" applyAlignment="1">
      <alignment horizontal="center" wrapText="1"/>
    </xf>
    <xf numFmtId="0" fontId="10" fillId="39" borderId="0" xfId="0" applyFont="1" applyFill="1" applyAlignment="1">
      <alignment horizontal="left" vertical="top" wrapText="1"/>
    </xf>
    <xf numFmtId="0" fontId="10" fillId="39" borderId="24" xfId="0" applyFont="1" applyFill="1" applyBorder="1" applyAlignment="1">
      <alignment horizontal="left" vertical="top" wrapText="1"/>
    </xf>
    <xf numFmtId="0" fontId="10" fillId="39" borderId="1" xfId="0" applyFont="1" applyFill="1" applyBorder="1" applyAlignment="1">
      <alignment horizontal="left" vertical="top" wrapText="1"/>
    </xf>
    <xf numFmtId="0" fontId="10" fillId="39" borderId="11" xfId="0" applyFont="1" applyFill="1" applyBorder="1" applyAlignment="1">
      <alignment horizontal="left" vertical="top" wrapText="1"/>
    </xf>
    <xf numFmtId="0" fontId="6" fillId="15" borderId="23" xfId="0" applyFont="1" applyFill="1" applyBorder="1" applyAlignment="1">
      <alignment horizontal="left" vertical="center" wrapText="1"/>
    </xf>
    <xf numFmtId="0" fontId="6" fillId="15" borderId="7" xfId="0" applyFont="1" applyFill="1" applyBorder="1" applyAlignment="1">
      <alignment horizontal="left" vertical="center" wrapText="1"/>
    </xf>
    <xf numFmtId="0" fontId="6" fillId="15" borderId="19" xfId="0" applyFont="1" applyFill="1" applyBorder="1" applyAlignment="1">
      <alignment horizontal="left" vertical="center" wrapText="1"/>
    </xf>
    <xf numFmtId="0" fontId="6" fillId="15" borderId="5" xfId="0" applyFont="1" applyFill="1" applyBorder="1" applyAlignment="1">
      <alignment horizontal="left" vertical="center" wrapText="1"/>
    </xf>
    <xf numFmtId="0" fontId="6" fillId="15" borderId="0" xfId="0" applyFont="1" applyFill="1" applyAlignment="1">
      <alignment horizontal="left" vertical="center" wrapText="1"/>
    </xf>
    <xf numFmtId="0" fontId="6" fillId="15" borderId="20" xfId="0" applyFont="1" applyFill="1" applyBorder="1" applyAlignment="1">
      <alignment horizontal="left" vertical="center" wrapText="1"/>
    </xf>
    <xf numFmtId="0" fontId="6" fillId="15" borderId="21" xfId="0" applyFont="1" applyFill="1" applyBorder="1" applyAlignment="1">
      <alignment horizontal="left" vertical="center" wrapText="1"/>
    </xf>
    <xf numFmtId="0" fontId="6" fillId="15" borderId="4" xfId="0" applyFont="1" applyFill="1" applyBorder="1" applyAlignment="1">
      <alignment horizontal="left" vertical="center" wrapText="1"/>
    </xf>
    <xf numFmtId="0" fontId="6" fillId="15" borderId="22" xfId="0" applyFont="1" applyFill="1" applyBorder="1" applyAlignment="1">
      <alignment horizontal="left" vertical="center" wrapText="1"/>
    </xf>
    <xf numFmtId="37" fontId="4" fillId="27" borderId="9" xfId="0" applyNumberFormat="1" applyFont="1" applyFill="1" applyBorder="1"/>
    <xf numFmtId="37" fontId="0" fillId="0" borderId="1" xfId="0" applyNumberFormat="1" applyBorder="1"/>
    <xf numFmtId="37" fontId="0" fillId="0" borderId="11" xfId="0" applyNumberFormat="1" applyBorder="1"/>
    <xf numFmtId="166" fontId="4" fillId="27" borderId="12" xfId="0" applyNumberFormat="1" applyFont="1" applyFill="1" applyBorder="1" applyAlignment="1">
      <alignment horizontal="center" wrapText="1"/>
    </xf>
    <xf numFmtId="166" fontId="4" fillId="27" borderId="39" xfId="0" applyNumberFormat="1" applyFont="1" applyFill="1" applyBorder="1" applyAlignment="1">
      <alignment horizontal="center" wrapText="1"/>
    </xf>
    <xf numFmtId="37" fontId="4" fillId="25" borderId="9" xfId="0" applyNumberFormat="1" applyFont="1" applyFill="1" applyBorder="1"/>
    <xf numFmtId="37" fontId="4" fillId="25" borderId="1" xfId="0" applyNumberFormat="1" applyFont="1" applyFill="1" applyBorder="1"/>
    <xf numFmtId="0" fontId="8" fillId="2" borderId="34" xfId="0" applyFont="1" applyFill="1" applyBorder="1" applyAlignment="1">
      <alignment horizontal="right" vertical="center" indent="1"/>
    </xf>
    <xf numFmtId="1" fontId="6" fillId="5" borderId="0" xfId="0" applyNumberFormat="1" applyFont="1" applyFill="1" applyAlignment="1">
      <alignment horizontal="center"/>
    </xf>
    <xf numFmtId="0" fontId="47" fillId="39" borderId="8" xfId="0" applyFont="1" applyFill="1" applyBorder="1" applyAlignment="1">
      <alignment horizontal="left" vertical="center" wrapText="1"/>
    </xf>
    <xf numFmtId="0" fontId="47" fillId="39" borderId="8" xfId="0" applyFont="1" applyFill="1" applyBorder="1" applyAlignment="1">
      <alignment horizontal="left" vertical="center"/>
    </xf>
    <xf numFmtId="0" fontId="47" fillId="39" borderId="13" xfId="0" applyFont="1" applyFill="1" applyBorder="1" applyAlignment="1">
      <alignment horizontal="left" vertical="center"/>
    </xf>
    <xf numFmtId="0" fontId="11" fillId="16" borderId="87" xfId="0" applyFont="1" applyFill="1" applyBorder="1" applyAlignment="1" applyProtection="1">
      <alignment horizontal="left" vertical="center"/>
      <protection locked="0"/>
    </xf>
    <xf numFmtId="0" fontId="10" fillId="39" borderId="30" xfId="0" applyFont="1" applyFill="1" applyBorder="1" applyAlignment="1">
      <alignment horizontal="center" vertical="top" wrapText="1"/>
    </xf>
    <xf numFmtId="0" fontId="10" fillId="39" borderId="8" xfId="0" applyFont="1" applyFill="1" applyBorder="1" applyAlignment="1">
      <alignment horizontal="center" vertical="top" wrapText="1"/>
    </xf>
    <xf numFmtId="0" fontId="10" fillId="39" borderId="25" xfId="0" applyFont="1" applyFill="1" applyBorder="1" applyAlignment="1">
      <alignment horizontal="center" vertical="top" wrapText="1"/>
    </xf>
    <xf numFmtId="0" fontId="10" fillId="39" borderId="14" xfId="0" applyFont="1" applyFill="1" applyBorder="1" applyAlignment="1">
      <alignment horizontal="center" vertical="top" wrapText="1"/>
    </xf>
    <xf numFmtId="0" fontId="8" fillId="39" borderId="8" xfId="0" applyFont="1" applyFill="1" applyBorder="1" applyAlignment="1">
      <alignment horizontal="left" vertical="center" wrapText="1"/>
    </xf>
    <xf numFmtId="0" fontId="8" fillId="39" borderId="14" xfId="0" applyFont="1" applyFill="1" applyBorder="1" applyAlignment="1">
      <alignment horizontal="left" vertical="center" wrapText="1"/>
    </xf>
    <xf numFmtId="0" fontId="8" fillId="39" borderId="0" xfId="0" applyFont="1" applyFill="1" applyAlignment="1">
      <alignment horizontal="left" vertical="center" wrapText="1"/>
    </xf>
    <xf numFmtId="0" fontId="8" fillId="39" borderId="24" xfId="0" applyFont="1" applyFill="1" applyBorder="1" applyAlignment="1">
      <alignment horizontal="left" vertical="center" wrapText="1"/>
    </xf>
    <xf numFmtId="0" fontId="8" fillId="39" borderId="1" xfId="0" applyFont="1" applyFill="1" applyBorder="1" applyAlignment="1">
      <alignment horizontal="left" vertical="center" wrapText="1"/>
    </xf>
    <xf numFmtId="0" fontId="8" fillId="39" borderId="11" xfId="0" applyFont="1" applyFill="1" applyBorder="1" applyAlignment="1">
      <alignment horizontal="left" vertical="center" wrapText="1"/>
    </xf>
    <xf numFmtId="0" fontId="67" fillId="6" borderId="5" xfId="2" applyFill="1" applyBorder="1" applyAlignment="1" applyProtection="1">
      <alignment horizontal="center"/>
    </xf>
    <xf numFmtId="0" fontId="0" fillId="0" borderId="0" xfId="0" applyAlignment="1">
      <alignment horizontal="center"/>
    </xf>
    <xf numFmtId="49" fontId="261" fillId="15" borderId="0" xfId="0" applyNumberFormat="1" applyFont="1" applyFill="1" applyAlignment="1">
      <alignment horizontal="center" vertical="center" wrapText="1"/>
    </xf>
    <xf numFmtId="49" fontId="261" fillId="15" borderId="13" xfId="0" applyNumberFormat="1" applyFont="1" applyFill="1" applyBorder="1" applyAlignment="1">
      <alignment horizontal="center" vertical="center" wrapText="1"/>
    </xf>
    <xf numFmtId="0" fontId="166" fillId="39" borderId="5" xfId="0" applyFont="1" applyFill="1" applyBorder="1" applyAlignment="1">
      <alignment horizontal="center"/>
    </xf>
    <xf numFmtId="0" fontId="166" fillId="39" borderId="0" xfId="0" applyFont="1" applyFill="1" applyAlignment="1">
      <alignment horizontal="center"/>
    </xf>
    <xf numFmtId="0" fontId="16" fillId="39" borderId="197" xfId="0" applyFont="1" applyFill="1" applyBorder="1" applyAlignment="1">
      <alignment horizontal="center"/>
    </xf>
    <xf numFmtId="0" fontId="16" fillId="39" borderId="13" xfId="0" applyFont="1" applyFill="1" applyBorder="1" applyAlignment="1">
      <alignment horizontal="center"/>
    </xf>
    <xf numFmtId="0" fontId="8" fillId="39" borderId="35" xfId="0" applyFont="1" applyFill="1" applyBorder="1" applyAlignment="1">
      <alignment horizontal="center" wrapText="1"/>
    </xf>
    <xf numFmtId="0" fontId="8" fillId="39" borderId="13" xfId="0" applyFont="1" applyFill="1" applyBorder="1" applyAlignment="1">
      <alignment horizontal="center" wrapText="1"/>
    </xf>
    <xf numFmtId="0" fontId="8" fillId="39" borderId="158" xfId="0" applyFont="1" applyFill="1" applyBorder="1" applyAlignment="1">
      <alignment horizontal="center" wrapText="1"/>
    </xf>
    <xf numFmtId="0" fontId="261" fillId="39" borderId="3" xfId="0" applyFont="1" applyFill="1" applyBorder="1" applyAlignment="1">
      <alignment horizontal="center" vertical="center"/>
    </xf>
    <xf numFmtId="0" fontId="261" fillId="39" borderId="0" xfId="0" applyFont="1" applyFill="1" applyAlignment="1">
      <alignment horizontal="center" vertical="center"/>
    </xf>
    <xf numFmtId="0" fontId="261" fillId="39" borderId="24" xfId="0" applyFont="1" applyFill="1" applyBorder="1" applyAlignment="1">
      <alignment horizontal="center" vertical="center"/>
    </xf>
    <xf numFmtId="0" fontId="261" fillId="39" borderId="35" xfId="0" applyFont="1" applyFill="1" applyBorder="1" applyAlignment="1">
      <alignment horizontal="center" vertical="center"/>
    </xf>
    <xf numFmtId="0" fontId="261" fillId="39" borderId="13" xfId="0" applyFont="1" applyFill="1" applyBorder="1" applyAlignment="1">
      <alignment horizontal="center" vertical="center"/>
    </xf>
    <xf numFmtId="0" fontId="261" fillId="39" borderId="17" xfId="0" applyFont="1" applyFill="1" applyBorder="1" applyAlignment="1">
      <alignment horizontal="center" vertical="center"/>
    </xf>
    <xf numFmtId="0" fontId="11" fillId="16" borderId="9" xfId="0" applyFont="1" applyFill="1" applyBorder="1" applyAlignment="1" applyProtection="1">
      <alignment horizontal="left" wrapText="1" indent="1"/>
      <protection locked="0"/>
    </xf>
    <xf numFmtId="0" fontId="0" fillId="0" borderId="1" xfId="0" applyBorder="1" applyAlignment="1" applyProtection="1">
      <alignment horizontal="left" wrapText="1" indent="1"/>
      <protection locked="0"/>
    </xf>
    <xf numFmtId="0" fontId="0" fillId="0" borderId="11" xfId="0" applyBorder="1" applyAlignment="1" applyProtection="1">
      <alignment horizontal="left" wrapText="1" indent="1"/>
      <protection locked="0"/>
    </xf>
    <xf numFmtId="166" fontId="11" fillId="16" borderId="9" xfId="0" applyNumberFormat="1" applyFont="1" applyFill="1" applyBorder="1" applyAlignment="1" applyProtection="1">
      <alignment horizontal="center"/>
      <protection locked="0"/>
    </xf>
    <xf numFmtId="166" fontId="11" fillId="16" borderId="1" xfId="0" applyNumberFormat="1" applyFont="1" applyFill="1" applyBorder="1" applyAlignment="1" applyProtection="1">
      <alignment horizontal="center"/>
      <protection locked="0"/>
    </xf>
    <xf numFmtId="166" fontId="14" fillId="16" borderId="1" xfId="0" applyNumberFormat="1" applyFont="1" applyFill="1" applyBorder="1" applyAlignment="1" applyProtection="1">
      <alignment horizontal="center"/>
      <protection locked="0"/>
    </xf>
    <xf numFmtId="49" fontId="11" fillId="16" borderId="9" xfId="0" applyNumberFormat="1" applyFont="1" applyFill="1" applyBorder="1" applyAlignment="1" applyProtection="1">
      <alignment horizontal="center"/>
      <protection locked="0"/>
    </xf>
    <xf numFmtId="49" fontId="11" fillId="16" borderId="1" xfId="0" applyNumberFormat="1" applyFont="1" applyFill="1" applyBorder="1" applyAlignment="1" applyProtection="1">
      <alignment horizontal="center"/>
      <protection locked="0"/>
    </xf>
    <xf numFmtId="0" fontId="44" fillId="39" borderId="3" xfId="0" applyFont="1" applyFill="1" applyBorder="1" applyAlignment="1">
      <alignment horizontal="center" vertical="center" wrapText="1"/>
    </xf>
    <xf numFmtId="0" fontId="44" fillId="39" borderId="0" xfId="0" applyFont="1" applyFill="1" applyAlignment="1">
      <alignment horizontal="center" vertical="center" wrapText="1"/>
    </xf>
    <xf numFmtId="0" fontId="44" fillId="39" borderId="20" xfId="0" applyFont="1" applyFill="1" applyBorder="1" applyAlignment="1">
      <alignment horizontal="center" vertical="center" wrapText="1"/>
    </xf>
    <xf numFmtId="0" fontId="8" fillId="2" borderId="56" xfId="0" applyFont="1" applyFill="1" applyBorder="1" applyAlignment="1">
      <alignment horizontal="left"/>
    </xf>
    <xf numFmtId="0" fontId="8" fillId="2" borderId="7" xfId="0" applyFont="1" applyFill="1" applyBorder="1" applyAlignment="1">
      <alignment horizontal="left"/>
    </xf>
    <xf numFmtId="0" fontId="8" fillId="2" borderId="36" xfId="0" applyFont="1" applyFill="1" applyBorder="1" applyAlignment="1">
      <alignment horizontal="left"/>
    </xf>
    <xf numFmtId="0" fontId="20" fillId="39" borderId="13" xfId="0" applyFont="1" applyFill="1" applyBorder="1" applyAlignment="1">
      <alignment horizontal="left" vertical="center" indent="1"/>
    </xf>
    <xf numFmtId="0" fontId="0" fillId="0" borderId="13" xfId="0" applyBorder="1" applyAlignment="1">
      <alignment horizontal="left" indent="1"/>
    </xf>
    <xf numFmtId="0" fontId="0" fillId="0" borderId="17" xfId="0" applyBorder="1" applyAlignment="1">
      <alignment horizontal="left" indent="1"/>
    </xf>
    <xf numFmtId="204" fontId="11" fillId="16" borderId="34" xfId="0" applyNumberFormat="1" applyFont="1" applyFill="1" applyBorder="1" applyAlignment="1" applyProtection="1">
      <alignment horizontal="center" vertical="center"/>
      <protection locked="0"/>
    </xf>
    <xf numFmtId="4" fontId="4" fillId="2" borderId="3" xfId="0" applyNumberFormat="1" applyFont="1" applyFill="1" applyBorder="1" applyAlignment="1">
      <alignment horizontal="left" indent="1"/>
    </xf>
    <xf numFmtId="4" fontId="4" fillId="2" borderId="0" xfId="0" applyNumberFormat="1" applyFont="1" applyFill="1" applyAlignment="1">
      <alignment horizontal="left" indent="1"/>
    </xf>
    <xf numFmtId="0" fontId="6" fillId="0" borderId="0" xfId="0" applyFont="1" applyAlignment="1">
      <alignment horizontal="left" indent="1"/>
    </xf>
    <xf numFmtId="0" fontId="8" fillId="39" borderId="30" xfId="0" applyFont="1" applyFill="1" applyBorder="1" applyAlignment="1">
      <alignment horizontal="left" wrapText="1"/>
    </xf>
    <xf numFmtId="0" fontId="8" fillId="39" borderId="8" xfId="0" applyFont="1" applyFill="1" applyBorder="1" applyAlignment="1">
      <alignment horizontal="left" wrapText="1"/>
    </xf>
    <xf numFmtId="0" fontId="11" fillId="16" borderId="1" xfId="0" applyFont="1" applyFill="1" applyBorder="1" applyAlignment="1" applyProtection="1">
      <alignment horizontal="left" indent="1"/>
      <protection locked="0"/>
    </xf>
    <xf numFmtId="0" fontId="11" fillId="16" borderId="11" xfId="0" applyFont="1" applyFill="1" applyBorder="1" applyAlignment="1" applyProtection="1">
      <alignment horizontal="left" indent="1"/>
      <protection locked="0"/>
    </xf>
    <xf numFmtId="0" fontId="6" fillId="15" borderId="0" xfId="0" applyFont="1" applyFill="1" applyAlignment="1">
      <alignment horizontal="left" vertical="center" textRotation="90"/>
    </xf>
    <xf numFmtId="0" fontId="6" fillId="15" borderId="13" xfId="0" applyFont="1" applyFill="1" applyBorder="1" applyAlignment="1">
      <alignment horizontal="left" vertical="center"/>
    </xf>
    <xf numFmtId="0" fontId="9" fillId="16" borderId="39" xfId="0" applyFont="1" applyFill="1" applyBorder="1" applyAlignment="1" applyProtection="1">
      <alignment horizontal="center" vertical="center"/>
      <protection locked="0"/>
    </xf>
    <xf numFmtId="0" fontId="9" fillId="16" borderId="54" xfId="0" applyFont="1" applyFill="1" applyBorder="1" applyAlignment="1" applyProtection="1">
      <alignment horizontal="center" vertical="center"/>
      <protection locked="0"/>
    </xf>
    <xf numFmtId="182" fontId="4" fillId="16" borderId="25" xfId="0" applyNumberFormat="1" applyFont="1" applyFill="1" applyBorder="1" applyAlignment="1" applyProtection="1">
      <alignment horizontal="center"/>
      <protection locked="0"/>
    </xf>
    <xf numFmtId="4" fontId="14" fillId="2" borderId="190" xfId="0" applyNumberFormat="1" applyFont="1" applyFill="1" applyBorder="1" applyAlignment="1">
      <alignment horizontal="center" vertical="center"/>
    </xf>
    <xf numFmtId="4" fontId="14" fillId="2" borderId="34" xfId="0" applyNumberFormat="1" applyFont="1" applyFill="1" applyBorder="1" applyAlignment="1">
      <alignment horizontal="center" vertical="center"/>
    </xf>
    <xf numFmtId="0" fontId="14" fillId="0" borderId="34" xfId="0" applyFont="1" applyBorder="1" applyAlignment="1">
      <alignment horizontal="center" vertical="center"/>
    </xf>
    <xf numFmtId="4" fontId="4" fillId="2" borderId="30" xfId="0" applyNumberFormat="1" applyFont="1" applyFill="1" applyBorder="1" applyAlignment="1">
      <alignment horizontal="left" indent="1"/>
    </xf>
    <xf numFmtId="4" fontId="4" fillId="2" borderId="8" xfId="0" applyNumberFormat="1" applyFont="1" applyFill="1" applyBorder="1" applyAlignment="1">
      <alignment horizontal="left" indent="1"/>
    </xf>
    <xf numFmtId="0" fontId="6" fillId="0" borderId="8" xfId="0" applyFont="1" applyBorder="1" applyAlignment="1">
      <alignment horizontal="left" indent="1"/>
    </xf>
    <xf numFmtId="0" fontId="15" fillId="15" borderId="0" xfId="0" applyFont="1" applyFill="1" applyAlignment="1">
      <alignment horizontal="left" vertical="center"/>
    </xf>
    <xf numFmtId="0" fontId="11" fillId="16" borderId="1" xfId="0" applyFont="1" applyFill="1" applyBorder="1" applyAlignment="1" applyProtection="1">
      <alignment horizontal="left" vertical="center"/>
      <protection locked="0"/>
    </xf>
    <xf numFmtId="0" fontId="11" fillId="16" borderId="11" xfId="0" applyFont="1" applyFill="1" applyBorder="1" applyAlignment="1" applyProtection="1">
      <alignment horizontal="left" vertical="center"/>
      <protection locked="0"/>
    </xf>
    <xf numFmtId="0" fontId="11" fillId="16" borderId="1" xfId="0" applyFont="1" applyFill="1" applyBorder="1" applyAlignment="1" applyProtection="1">
      <alignment horizontal="left"/>
      <protection locked="0"/>
    </xf>
    <xf numFmtId="0" fontId="11" fillId="16" borderId="11" xfId="0" applyFont="1" applyFill="1" applyBorder="1" applyAlignment="1" applyProtection="1">
      <alignment horizontal="left"/>
      <protection locked="0"/>
    </xf>
    <xf numFmtId="37" fontId="4" fillId="15" borderId="30" xfId="0" applyNumberFormat="1" applyFont="1" applyFill="1" applyBorder="1" applyAlignment="1">
      <alignment horizontal="center"/>
    </xf>
    <xf numFmtId="37" fontId="4" fillId="15" borderId="8" xfId="0" applyNumberFormat="1" applyFont="1" applyFill="1" applyBorder="1" applyAlignment="1">
      <alignment horizontal="center"/>
    </xf>
    <xf numFmtId="37" fontId="4" fillId="15" borderId="3" xfId="0" applyNumberFormat="1" applyFont="1" applyFill="1" applyBorder="1" applyAlignment="1">
      <alignment horizontal="center"/>
    </xf>
    <xf numFmtId="37" fontId="4" fillId="15" borderId="0" xfId="0" applyNumberFormat="1" applyFont="1" applyFill="1" applyAlignment="1">
      <alignment horizontal="center"/>
    </xf>
    <xf numFmtId="1" fontId="4" fillId="19" borderId="15" xfId="0" applyNumberFormat="1" applyFont="1" applyFill="1" applyBorder="1" applyAlignment="1">
      <alignment horizontal="center" vertical="center"/>
    </xf>
    <xf numFmtId="1" fontId="4" fillId="19" borderId="6" xfId="0" applyNumberFormat="1" applyFont="1" applyFill="1" applyBorder="1" applyAlignment="1">
      <alignment horizontal="center" vertical="center"/>
    </xf>
    <xf numFmtId="0" fontId="11" fillId="16" borderId="0" xfId="0" applyFont="1" applyFill="1" applyAlignment="1" applyProtection="1">
      <alignment horizontal="left" indent="1"/>
      <protection locked="0"/>
    </xf>
    <xf numFmtId="0" fontId="11" fillId="16" borderId="24" xfId="0" applyFont="1" applyFill="1" applyBorder="1" applyAlignment="1" applyProtection="1">
      <alignment horizontal="left" indent="1"/>
      <protection locked="0"/>
    </xf>
    <xf numFmtId="0" fontId="8" fillId="2" borderId="30" xfId="0" applyFont="1" applyFill="1" applyBorder="1" applyAlignment="1">
      <alignment horizontal="left" indent="1"/>
    </xf>
    <xf numFmtId="0" fontId="8" fillId="0" borderId="8" xfId="0" applyFont="1" applyBorder="1" applyAlignment="1">
      <alignment horizontal="left" indent="1"/>
    </xf>
    <xf numFmtId="0" fontId="8" fillId="0" borderId="14" xfId="0" applyFont="1" applyBorder="1" applyAlignment="1">
      <alignment horizontal="left" indent="1"/>
    </xf>
    <xf numFmtId="49" fontId="11" fillId="16" borderId="1" xfId="0" applyNumberFormat="1" applyFont="1" applyFill="1" applyBorder="1" applyAlignment="1" applyProtection="1">
      <alignment horizontal="left" indent="1"/>
      <protection locked="0"/>
    </xf>
    <xf numFmtId="49" fontId="0" fillId="0" borderId="1" xfId="0" applyNumberFormat="1" applyBorder="1" applyAlignment="1" applyProtection="1">
      <alignment horizontal="left" indent="1"/>
      <protection locked="0"/>
    </xf>
    <xf numFmtId="49" fontId="0" fillId="0" borderId="11" xfId="0" applyNumberFormat="1" applyBorder="1" applyAlignment="1" applyProtection="1">
      <alignment horizontal="left" indent="1"/>
      <protection locked="0"/>
    </xf>
    <xf numFmtId="0" fontId="11" fillId="15" borderId="8" xfId="0" applyFont="1" applyFill="1" applyBorder="1" applyAlignment="1">
      <alignment horizontal="left" vertical="center" wrapText="1"/>
    </xf>
    <xf numFmtId="0" fontId="11" fillId="15" borderId="8" xfId="0" applyFont="1" applyFill="1" applyBorder="1" applyAlignment="1">
      <alignment horizontal="left" vertical="center"/>
    </xf>
    <xf numFmtId="0" fontId="11" fillId="15" borderId="0" xfId="0" applyFont="1" applyFill="1" applyAlignment="1">
      <alignment horizontal="left" vertical="center"/>
    </xf>
    <xf numFmtId="0" fontId="11" fillId="15" borderId="1" xfId="0" applyFont="1" applyFill="1" applyBorder="1" applyAlignment="1">
      <alignment horizontal="left" vertical="center"/>
    </xf>
    <xf numFmtId="0" fontId="11" fillId="16" borderId="87" xfId="0" applyFont="1" applyFill="1" applyBorder="1" applyAlignment="1" applyProtection="1">
      <alignment horizontal="left" vertical="center" indent="1"/>
      <protection locked="0"/>
    </xf>
    <xf numFmtId="197" fontId="11" fillId="16" borderId="9" xfId="0" applyNumberFormat="1" applyFont="1" applyFill="1" applyBorder="1" applyAlignment="1" applyProtection="1">
      <alignment horizontal="center"/>
      <protection locked="0"/>
    </xf>
    <xf numFmtId="197" fontId="11" fillId="16" borderId="1" xfId="0" applyNumberFormat="1" applyFont="1" applyFill="1" applyBorder="1" applyAlignment="1" applyProtection="1">
      <alignment horizontal="center"/>
      <protection locked="0"/>
    </xf>
    <xf numFmtId="197" fontId="11" fillId="16" borderId="11" xfId="0" applyNumberFormat="1" applyFont="1" applyFill="1" applyBorder="1" applyAlignment="1" applyProtection="1">
      <alignment horizontal="center"/>
      <protection locked="0"/>
    </xf>
    <xf numFmtId="0" fontId="8" fillId="2" borderId="0" xfId="0" applyFont="1" applyFill="1" applyAlignment="1">
      <alignment horizontal="left" vertical="top" wrapText="1"/>
    </xf>
    <xf numFmtId="0" fontId="8" fillId="2" borderId="1" xfId="0" applyFont="1" applyFill="1" applyBorder="1" applyAlignment="1">
      <alignment horizontal="left" vertical="top" wrapText="1"/>
    </xf>
    <xf numFmtId="0" fontId="44" fillId="2" borderId="0" xfId="0" applyFont="1" applyFill="1" applyAlignment="1">
      <alignment horizontal="left" vertical="center"/>
    </xf>
    <xf numFmtId="0" fontId="9" fillId="15" borderId="30" xfId="0" applyFont="1" applyFill="1" applyBorder="1" applyAlignment="1">
      <alignment horizontal="left" wrapText="1" indent="1"/>
    </xf>
    <xf numFmtId="0" fontId="9" fillId="15" borderId="8" xfId="0" applyFont="1" applyFill="1" applyBorder="1" applyAlignment="1">
      <alignment horizontal="left" wrapText="1" indent="1"/>
    </xf>
    <xf numFmtId="0" fontId="9" fillId="15" borderId="3" xfId="0" applyFont="1" applyFill="1" applyBorder="1" applyAlignment="1">
      <alignment horizontal="left" wrapText="1" indent="1"/>
    </xf>
    <xf numFmtId="0" fontId="9" fillId="15" borderId="0" xfId="0" applyFont="1" applyFill="1" applyAlignment="1">
      <alignment horizontal="left" wrapText="1" indent="1"/>
    </xf>
    <xf numFmtId="37" fontId="4" fillId="25" borderId="39" xfId="0" applyNumberFormat="1" applyFont="1" applyFill="1" applyBorder="1"/>
    <xf numFmtId="37" fontId="4" fillId="25" borderId="25" xfId="0" applyNumberFormat="1" applyFont="1" applyFill="1" applyBorder="1"/>
    <xf numFmtId="0" fontId="6" fillId="39" borderId="0" xfId="0" applyFont="1" applyFill="1" applyAlignment="1">
      <alignment horizontal="left" vertical="top" wrapText="1"/>
    </xf>
    <xf numFmtId="0" fontId="8" fillId="2" borderId="8" xfId="0" applyFont="1" applyFill="1" applyBorder="1" applyAlignment="1">
      <alignment horizontal="left" vertical="center"/>
    </xf>
    <xf numFmtId="0" fontId="8" fillId="0" borderId="8" xfId="0" applyFont="1" applyBorder="1" applyAlignment="1">
      <alignment horizontal="left" vertical="center"/>
    </xf>
    <xf numFmtId="0" fontId="8" fillId="0" borderId="8" xfId="0" applyFont="1" applyBorder="1" applyAlignment="1">
      <alignment horizontal="left"/>
    </xf>
    <xf numFmtId="0" fontId="4" fillId="16" borderId="0" xfId="0" applyFont="1" applyFill="1" applyAlignment="1" applyProtection="1">
      <alignment horizontal="center"/>
      <protection locked="0"/>
    </xf>
    <xf numFmtId="0" fontId="4" fillId="16" borderId="24" xfId="0" applyFont="1" applyFill="1" applyBorder="1" applyAlignment="1" applyProtection="1">
      <alignment horizontal="center"/>
      <protection locked="0"/>
    </xf>
    <xf numFmtId="0" fontId="4" fillId="16" borderId="1" xfId="0" applyFont="1" applyFill="1" applyBorder="1" applyAlignment="1" applyProtection="1">
      <alignment horizontal="center"/>
      <protection locked="0"/>
    </xf>
    <xf numFmtId="0" fontId="4" fillId="16" borderId="11" xfId="0" applyFont="1" applyFill="1" applyBorder="1" applyAlignment="1" applyProtection="1">
      <alignment horizontal="center"/>
      <protection locked="0"/>
    </xf>
    <xf numFmtId="4" fontId="8" fillId="15" borderId="3" xfId="0" applyNumberFormat="1" applyFont="1" applyFill="1" applyBorder="1" applyAlignment="1">
      <alignment horizontal="left" vertical="top" wrapText="1"/>
    </xf>
    <xf numFmtId="4" fontId="8" fillId="15" borderId="0" xfId="0" applyNumberFormat="1" applyFont="1" applyFill="1" applyAlignment="1">
      <alignment horizontal="left" vertical="top" wrapText="1"/>
    </xf>
    <xf numFmtId="0" fontId="15" fillId="16" borderId="1" xfId="0" applyFont="1" applyFill="1" applyBorder="1" applyAlignment="1" applyProtection="1">
      <alignment horizontal="left" indent="1"/>
      <protection locked="0"/>
    </xf>
    <xf numFmtId="0" fontId="47" fillId="16" borderId="1" xfId="0" applyFont="1" applyFill="1" applyBorder="1" applyAlignment="1" applyProtection="1">
      <alignment horizontal="left" indent="1"/>
      <protection locked="0"/>
    </xf>
    <xf numFmtId="0" fontId="47" fillId="16" borderId="11" xfId="0" applyFont="1" applyFill="1" applyBorder="1" applyAlignment="1" applyProtection="1">
      <alignment horizontal="left" indent="1"/>
      <protection locked="0"/>
    </xf>
    <xf numFmtId="185" fontId="15" fillId="16" borderId="9" xfId="0" applyNumberFormat="1" applyFont="1" applyFill="1" applyBorder="1" applyAlignment="1" applyProtection="1">
      <alignment horizontal="center"/>
      <protection locked="0"/>
    </xf>
    <xf numFmtId="185" fontId="15" fillId="16" borderId="1" xfId="0" applyNumberFormat="1" applyFont="1" applyFill="1" applyBorder="1" applyAlignment="1" applyProtection="1">
      <alignment horizontal="center"/>
      <protection locked="0"/>
    </xf>
    <xf numFmtId="49" fontId="285" fillId="16" borderId="39" xfId="0" applyNumberFormat="1" applyFont="1" applyFill="1" applyBorder="1" applyAlignment="1" applyProtection="1">
      <alignment horizontal="center" vertical="center"/>
      <protection locked="0"/>
    </xf>
    <xf numFmtId="49" fontId="285" fillId="16" borderId="25" xfId="0" applyNumberFormat="1" applyFont="1" applyFill="1" applyBorder="1" applyAlignment="1" applyProtection="1">
      <alignment horizontal="center" vertical="center"/>
      <protection locked="0"/>
    </xf>
    <xf numFmtId="49" fontId="285" fillId="16" borderId="54" xfId="0" applyNumberFormat="1" applyFont="1" applyFill="1" applyBorder="1" applyAlignment="1" applyProtection="1">
      <alignment horizontal="center" vertical="center"/>
      <protection locked="0"/>
    </xf>
    <xf numFmtId="0" fontId="10" fillId="15" borderId="192" xfId="0" applyFont="1" applyFill="1" applyBorder="1" applyAlignment="1">
      <alignment horizontal="center" vertical="center"/>
    </xf>
    <xf numFmtId="0" fontId="10" fillId="15" borderId="99" xfId="0" applyFont="1" applyFill="1" applyBorder="1" applyAlignment="1">
      <alignment horizontal="center" vertical="center"/>
    </xf>
    <xf numFmtId="165" fontId="285" fillId="16" borderId="192" xfId="0" applyNumberFormat="1" applyFont="1" applyFill="1" applyBorder="1" applyAlignment="1" applyProtection="1">
      <alignment horizontal="center" vertical="center"/>
      <protection locked="0"/>
    </xf>
    <xf numFmtId="165" fontId="285" fillId="16" borderId="99" xfId="0" applyNumberFormat="1" applyFont="1" applyFill="1" applyBorder="1" applyAlignment="1" applyProtection="1">
      <alignment horizontal="center" vertical="center"/>
      <protection locked="0"/>
    </xf>
    <xf numFmtId="0" fontId="47" fillId="39" borderId="8" xfId="0" applyFont="1" applyFill="1" applyBorder="1" applyAlignment="1">
      <alignment horizontal="left" vertical="top"/>
    </xf>
    <xf numFmtId="0" fontId="47" fillId="39" borderId="14" xfId="0" applyFont="1" applyFill="1" applyBorder="1" applyAlignment="1">
      <alignment horizontal="left" vertical="top"/>
    </xf>
    <xf numFmtId="0" fontId="47" fillId="39" borderId="0" xfId="0" applyFont="1" applyFill="1" applyAlignment="1">
      <alignment horizontal="left" vertical="top"/>
    </xf>
    <xf numFmtId="0" fontId="47" fillId="39" borderId="24" xfId="0" applyFont="1" applyFill="1" applyBorder="1" applyAlignment="1">
      <alignment horizontal="left" vertical="top"/>
    </xf>
    <xf numFmtId="0" fontId="47" fillId="39" borderId="1" xfId="0" applyFont="1" applyFill="1" applyBorder="1" applyAlignment="1">
      <alignment horizontal="left" vertical="top"/>
    </xf>
    <xf numFmtId="0" fontId="47" fillId="39" borderId="11" xfId="0" applyFont="1" applyFill="1" applyBorder="1" applyAlignment="1">
      <alignment horizontal="left" vertical="top"/>
    </xf>
    <xf numFmtId="0" fontId="9" fillId="39" borderId="39" xfId="0" applyFont="1" applyFill="1" applyBorder="1" applyAlignment="1">
      <alignment horizontal="center" vertical="center" wrapText="1"/>
    </xf>
    <xf numFmtId="0" fontId="9" fillId="39" borderId="25" xfId="0" applyFont="1" applyFill="1" applyBorder="1" applyAlignment="1">
      <alignment horizontal="center" vertical="center" wrapText="1"/>
    </xf>
    <xf numFmtId="0" fontId="9" fillId="39" borderId="54" xfId="0" applyFont="1" applyFill="1" applyBorder="1" applyAlignment="1">
      <alignment horizontal="center" vertical="center" wrapText="1"/>
    </xf>
    <xf numFmtId="0" fontId="47" fillId="39" borderId="25" xfId="0" applyFont="1" applyFill="1" applyBorder="1" applyAlignment="1">
      <alignment horizontal="left" vertical="center"/>
    </xf>
    <xf numFmtId="0" fontId="47" fillId="39" borderId="54" xfId="0" applyFont="1" applyFill="1" applyBorder="1" applyAlignment="1">
      <alignment horizontal="left" vertical="center"/>
    </xf>
    <xf numFmtId="0" fontId="47" fillId="39" borderId="8" xfId="0" applyFont="1" applyFill="1" applyBorder="1" applyAlignment="1">
      <alignment horizontal="left" wrapText="1"/>
    </xf>
    <xf numFmtId="0" fontId="47" fillId="39" borderId="14" xfId="0" applyFont="1" applyFill="1" applyBorder="1" applyAlignment="1">
      <alignment horizontal="left" wrapText="1"/>
    </xf>
    <xf numFmtId="0" fontId="47" fillId="39" borderId="0" xfId="0" applyFont="1" applyFill="1" applyAlignment="1">
      <alignment horizontal="left" wrapText="1"/>
    </xf>
    <xf numFmtId="0" fontId="47" fillId="39" borderId="24" xfId="0" applyFont="1" applyFill="1" applyBorder="1" applyAlignment="1">
      <alignment horizontal="left" wrapText="1"/>
    </xf>
    <xf numFmtId="0" fontId="47" fillId="39" borderId="0" xfId="0" applyFont="1" applyFill="1" applyAlignment="1">
      <alignment horizontal="left" vertical="center"/>
    </xf>
    <xf numFmtId="0" fontId="47" fillId="39" borderId="24" xfId="0" applyFont="1" applyFill="1" applyBorder="1" applyAlignment="1">
      <alignment horizontal="left" vertical="center"/>
    </xf>
    <xf numFmtId="0" fontId="9" fillId="2" borderId="0" xfId="0" applyFont="1" applyFill="1" applyAlignment="1">
      <alignment horizontal="left" vertical="top" wrapText="1"/>
    </xf>
    <xf numFmtId="0" fontId="67" fillId="0" borderId="23" xfId="2" applyBorder="1" applyAlignment="1" applyProtection="1">
      <alignment horizontal="center" vertical="center"/>
    </xf>
    <xf numFmtId="0" fontId="67" fillId="0" borderId="7" xfId="2" applyBorder="1" applyAlignment="1" applyProtection="1">
      <alignment horizontal="center" vertical="center"/>
    </xf>
    <xf numFmtId="0" fontId="67" fillId="0" borderId="19" xfId="2" applyBorder="1" applyAlignment="1" applyProtection="1">
      <alignment horizontal="center" vertical="center"/>
    </xf>
    <xf numFmtId="0" fontId="67" fillId="0" borderId="5" xfId="2" applyBorder="1" applyAlignment="1" applyProtection="1">
      <alignment horizontal="center" vertical="center"/>
    </xf>
    <xf numFmtId="0" fontId="67" fillId="0" borderId="0" xfId="2" applyBorder="1" applyAlignment="1" applyProtection="1">
      <alignment horizontal="center" vertical="center"/>
    </xf>
    <xf numFmtId="0" fontId="67" fillId="0" borderId="0" xfId="2" applyAlignment="1" applyProtection="1">
      <alignment horizontal="center" vertical="center"/>
    </xf>
    <xf numFmtId="0" fontId="67" fillId="0" borderId="20" xfId="2" applyBorder="1" applyAlignment="1" applyProtection="1">
      <alignment horizontal="center" vertical="center"/>
    </xf>
    <xf numFmtId="0" fontId="67" fillId="0" borderId="21" xfId="2" applyBorder="1" applyAlignment="1" applyProtection="1">
      <alignment horizontal="center" vertical="center"/>
    </xf>
    <xf numFmtId="0" fontId="67" fillId="0" borderId="4" xfId="2" applyBorder="1" applyAlignment="1" applyProtection="1">
      <alignment horizontal="center" vertical="center"/>
    </xf>
    <xf numFmtId="0" fontId="67" fillId="0" borderId="22" xfId="2" applyBorder="1" applyAlignment="1" applyProtection="1">
      <alignment horizontal="center" vertical="center"/>
    </xf>
    <xf numFmtId="37" fontId="106" fillId="15" borderId="9" xfId="0" applyNumberFormat="1" applyFont="1" applyFill="1" applyBorder="1" applyAlignment="1">
      <alignment vertical="top"/>
    </xf>
    <xf numFmtId="37" fontId="106" fillId="15" borderId="1" xfId="0" applyNumberFormat="1" applyFont="1" applyFill="1" applyBorder="1" applyAlignment="1">
      <alignment vertical="top"/>
    </xf>
    <xf numFmtId="0" fontId="117" fillId="0" borderId="1" xfId="0" applyFont="1" applyBorder="1" applyAlignment="1">
      <alignment vertical="top"/>
    </xf>
    <xf numFmtId="0" fontId="8" fillId="15" borderId="3" xfId="0" applyFont="1" applyFill="1" applyBorder="1" applyAlignment="1">
      <alignment horizontal="left" indent="1"/>
    </xf>
    <xf numFmtId="0" fontId="8" fillId="0" borderId="0" xfId="0" applyFont="1" applyAlignment="1">
      <alignment horizontal="left" indent="1"/>
    </xf>
    <xf numFmtId="0" fontId="0" fillId="16" borderId="1" xfId="0" applyFill="1" applyBorder="1" applyAlignment="1" applyProtection="1">
      <alignment horizontal="center"/>
      <protection locked="0"/>
    </xf>
    <xf numFmtId="0" fontId="0" fillId="16" borderId="11" xfId="0" applyFill="1" applyBorder="1" applyAlignment="1" applyProtection="1">
      <alignment horizontal="center"/>
      <protection locked="0"/>
    </xf>
    <xf numFmtId="165" fontId="10" fillId="15" borderId="9" xfId="0" applyNumberFormat="1" applyFont="1" applyFill="1" applyBorder="1" applyAlignment="1">
      <alignment horizontal="center" vertical="top"/>
    </xf>
    <xf numFmtId="0" fontId="10" fillId="15" borderId="1" xfId="0" applyFont="1" applyFill="1" applyBorder="1" applyAlignment="1">
      <alignment horizontal="center" vertical="top"/>
    </xf>
    <xf numFmtId="37" fontId="4" fillId="27" borderId="1" xfId="0" applyNumberFormat="1" applyFont="1" applyFill="1" applyBorder="1"/>
    <xf numFmtId="165" fontId="4" fillId="16" borderId="4" xfId="0" applyNumberFormat="1" applyFont="1" applyFill="1" applyBorder="1" applyAlignment="1" applyProtection="1">
      <alignment horizontal="center"/>
      <protection locked="0"/>
    </xf>
    <xf numFmtId="0" fontId="6" fillId="39" borderId="4" xfId="0" applyFont="1" applyFill="1" applyBorder="1" applyAlignment="1">
      <alignment horizontal="left"/>
    </xf>
    <xf numFmtId="0" fontId="8" fillId="2" borderId="25" xfId="0" applyFont="1" applyFill="1" applyBorder="1" applyAlignment="1">
      <alignment horizontal="left" vertical="center"/>
    </xf>
    <xf numFmtId="0" fontId="8" fillId="0" borderId="25" xfId="0" applyFont="1" applyBorder="1" applyAlignment="1">
      <alignment horizontal="left" vertical="center"/>
    </xf>
    <xf numFmtId="0" fontId="8" fillId="0" borderId="25" xfId="0" applyFont="1" applyBorder="1" applyAlignment="1">
      <alignment horizontal="left"/>
    </xf>
    <xf numFmtId="0" fontId="8" fillId="15" borderId="52" xfId="0" applyFont="1" applyFill="1" applyBorder="1" applyAlignment="1">
      <alignment horizontal="center" vertical="center"/>
    </xf>
    <xf numFmtId="0" fontId="8" fillId="15" borderId="31" xfId="0" applyFont="1" applyFill="1" applyBorder="1" applyAlignment="1">
      <alignment horizontal="center" vertical="center"/>
    </xf>
    <xf numFmtId="0" fontId="8" fillId="0" borderId="31" xfId="0" applyFont="1" applyBorder="1" applyAlignment="1">
      <alignment horizontal="center"/>
    </xf>
    <xf numFmtId="0" fontId="8" fillId="15" borderId="3" xfId="0" applyFont="1" applyFill="1" applyBorder="1"/>
    <xf numFmtId="0" fontId="8" fillId="15" borderId="0" xfId="0" applyFont="1" applyFill="1"/>
    <xf numFmtId="0" fontId="8" fillId="2" borderId="0" xfId="0" applyFont="1" applyFill="1" applyAlignment="1">
      <alignment horizontal="left"/>
    </xf>
    <xf numFmtId="0" fontId="8" fillId="0" borderId="0" xfId="0" applyFont="1"/>
    <xf numFmtId="0" fontId="8" fillId="0" borderId="24" xfId="0" applyFont="1" applyBorder="1"/>
    <xf numFmtId="0" fontId="8" fillId="2" borderId="3" xfId="0" applyFont="1" applyFill="1" applyBorder="1" applyAlignment="1">
      <alignment horizontal="left" indent="1"/>
    </xf>
    <xf numFmtId="0" fontId="8" fillId="2" borderId="0" xfId="0" applyFont="1" applyFill="1" applyAlignment="1">
      <alignment horizontal="left" indent="1"/>
    </xf>
    <xf numFmtId="0" fontId="8" fillId="2" borderId="24" xfId="0" applyFont="1" applyFill="1" applyBorder="1" applyAlignment="1">
      <alignment horizontal="left" indent="1"/>
    </xf>
    <xf numFmtId="0" fontId="67" fillId="11" borderId="61" xfId="2" applyFill="1" applyBorder="1" applyAlignment="1" applyProtection="1">
      <alignment horizontal="center"/>
    </xf>
    <xf numFmtId="0" fontId="0" fillId="0" borderId="62" xfId="0" applyBorder="1" applyAlignment="1">
      <alignment horizontal="center"/>
    </xf>
    <xf numFmtId="0" fontId="0" fillId="0" borderId="63" xfId="0" applyBorder="1" applyAlignment="1">
      <alignment horizontal="center"/>
    </xf>
    <xf numFmtId="0" fontId="8" fillId="2" borderId="3" xfId="0" applyFont="1" applyFill="1" applyBorder="1" applyAlignment="1">
      <alignment horizontal="left"/>
    </xf>
    <xf numFmtId="0" fontId="20" fillId="39" borderId="16" xfId="0" applyFont="1" applyFill="1" applyBorder="1" applyAlignment="1">
      <alignment horizontal="right"/>
    </xf>
    <xf numFmtId="0" fontId="0" fillId="39" borderId="16" xfId="0" applyFill="1" applyBorder="1"/>
    <xf numFmtId="37" fontId="4" fillId="27" borderId="4" xfId="0" applyNumberFormat="1" applyFont="1" applyFill="1" applyBorder="1"/>
    <xf numFmtId="37" fontId="4" fillId="15" borderId="30" xfId="0" applyNumberFormat="1" applyFont="1" applyFill="1" applyBorder="1" applyAlignment="1">
      <alignment horizontal="right"/>
    </xf>
    <xf numFmtId="37" fontId="4" fillId="15" borderId="8" xfId="0" applyNumberFormat="1" applyFont="1" applyFill="1" applyBorder="1" applyAlignment="1">
      <alignment horizontal="right"/>
    </xf>
    <xf numFmtId="37" fontId="4" fillId="25" borderId="9" xfId="0" applyNumberFormat="1" applyFont="1" applyFill="1" applyBorder="1" applyAlignment="1">
      <alignment horizontal="right"/>
    </xf>
    <xf numFmtId="37" fontId="4" fillId="25" borderId="1" xfId="0" applyNumberFormat="1" applyFont="1" applyFill="1" applyBorder="1" applyAlignment="1">
      <alignment horizontal="right"/>
    </xf>
    <xf numFmtId="0" fontId="8" fillId="39" borderId="0" xfId="0" applyFont="1" applyFill="1" applyAlignment="1">
      <alignment horizontal="right" wrapText="1"/>
    </xf>
    <xf numFmtId="0" fontId="8" fillId="39" borderId="4" xfId="0" applyFont="1" applyFill="1" applyBorder="1" applyAlignment="1">
      <alignment horizontal="right" wrapText="1"/>
    </xf>
    <xf numFmtId="0" fontId="4" fillId="16" borderId="99" xfId="0" applyFont="1" applyFill="1" applyBorder="1" applyAlignment="1" applyProtection="1">
      <alignment horizontal="center"/>
      <protection locked="0"/>
    </xf>
    <xf numFmtId="0" fontId="4" fillId="16" borderId="199" xfId="0" applyFont="1" applyFill="1" applyBorder="1" applyAlignment="1" applyProtection="1">
      <alignment horizontal="center"/>
      <protection locked="0"/>
    </xf>
    <xf numFmtId="0" fontId="11" fillId="2" borderId="8" xfId="0" applyFont="1" applyFill="1" applyBorder="1" applyAlignment="1">
      <alignment horizontal="left" vertical="top" wrapText="1"/>
    </xf>
    <xf numFmtId="0" fontId="11" fillId="2" borderId="0" xfId="0" applyFont="1" applyFill="1" applyAlignment="1">
      <alignment horizontal="left" vertical="top" wrapText="1"/>
    </xf>
    <xf numFmtId="0" fontId="11" fillId="15" borderId="0" xfId="4" applyFont="1" applyFill="1" applyAlignment="1">
      <alignment horizontal="center"/>
    </xf>
    <xf numFmtId="0" fontId="6" fillId="0" borderId="1" xfId="0" applyFont="1" applyBorder="1"/>
    <xf numFmtId="37" fontId="4" fillId="25" borderId="39" xfId="0" applyNumberFormat="1" applyFont="1" applyFill="1" applyBorder="1" applyAlignment="1">
      <alignment horizontal="right"/>
    </xf>
    <xf numFmtId="37" fontId="4" fillId="25" borderId="25" xfId="0" applyNumberFormat="1" applyFont="1" applyFill="1" applyBorder="1" applyAlignment="1">
      <alignment horizontal="right"/>
    </xf>
    <xf numFmtId="0" fontId="6" fillId="25" borderId="25" xfId="0" applyFont="1" applyFill="1" applyBorder="1"/>
    <xf numFmtId="0" fontId="6" fillId="25" borderId="1" xfId="0" applyFont="1" applyFill="1" applyBorder="1"/>
    <xf numFmtId="37" fontId="4" fillId="25" borderId="30" xfId="0" applyNumberFormat="1" applyFont="1" applyFill="1" applyBorder="1"/>
    <xf numFmtId="37" fontId="4" fillId="25" borderId="8" xfId="0" applyNumberFormat="1" applyFont="1" applyFill="1" applyBorder="1"/>
    <xf numFmtId="0" fontId="6" fillId="25" borderId="8" xfId="0" applyFont="1" applyFill="1" applyBorder="1"/>
    <xf numFmtId="37" fontId="4" fillId="27" borderId="39" xfId="0" applyNumberFormat="1" applyFont="1" applyFill="1" applyBorder="1"/>
    <xf numFmtId="37" fontId="4" fillId="27" borderId="25" xfId="0" applyNumberFormat="1" applyFont="1" applyFill="1" applyBorder="1"/>
    <xf numFmtId="0" fontId="6" fillId="27" borderId="25" xfId="0" applyFont="1" applyFill="1" applyBorder="1"/>
    <xf numFmtId="37" fontId="183" fillId="15" borderId="3" xfId="0" applyNumberFormat="1" applyFont="1" applyFill="1" applyBorder="1" applyAlignment="1">
      <alignment horizontal="center" vertical="center"/>
    </xf>
    <xf numFmtId="37" fontId="183" fillId="15" borderId="0" xfId="0" applyNumberFormat="1" applyFont="1" applyFill="1" applyAlignment="1">
      <alignment horizontal="center" vertical="center"/>
    </xf>
    <xf numFmtId="4" fontId="158" fillId="15" borderId="30" xfId="0" applyNumberFormat="1" applyFont="1" applyFill="1" applyBorder="1" applyAlignment="1">
      <alignment horizontal="center" vertical="center" wrapText="1"/>
    </xf>
    <xf numFmtId="4" fontId="158" fillId="15" borderId="8" xfId="0" applyNumberFormat="1" applyFont="1" applyFill="1" applyBorder="1" applyAlignment="1">
      <alignment horizontal="center" vertical="center" wrapText="1"/>
    </xf>
    <xf numFmtId="4" fontId="158" fillId="15" borderId="14" xfId="0" applyNumberFormat="1" applyFont="1" applyFill="1" applyBorder="1" applyAlignment="1">
      <alignment horizontal="center" vertical="center" wrapText="1"/>
    </xf>
    <xf numFmtId="4" fontId="158" fillId="15" borderId="3" xfId="0" applyNumberFormat="1" applyFont="1" applyFill="1" applyBorder="1" applyAlignment="1">
      <alignment horizontal="center" vertical="center" wrapText="1"/>
    </xf>
    <xf numFmtId="4" fontId="158" fillId="15" borderId="0" xfId="0" applyNumberFormat="1" applyFont="1" applyFill="1" applyAlignment="1">
      <alignment horizontal="center" vertical="center" wrapText="1"/>
    </xf>
    <xf numFmtId="4" fontId="158" fillId="15" borderId="24" xfId="0" applyNumberFormat="1" applyFont="1" applyFill="1" applyBorder="1" applyAlignment="1">
      <alignment horizontal="center" vertical="center" wrapText="1"/>
    </xf>
    <xf numFmtId="4" fontId="158" fillId="15" borderId="9" xfId="0" applyNumberFormat="1" applyFont="1" applyFill="1" applyBorder="1" applyAlignment="1">
      <alignment horizontal="center" vertical="center" wrapText="1"/>
    </xf>
    <xf numFmtId="4" fontId="158" fillId="15" borderId="1" xfId="0" applyNumberFormat="1" applyFont="1" applyFill="1" applyBorder="1" applyAlignment="1">
      <alignment horizontal="center" vertical="center" wrapText="1"/>
    </xf>
    <xf numFmtId="4" fontId="158" fillId="15" borderId="11" xfId="0" applyNumberFormat="1" applyFont="1" applyFill="1" applyBorder="1" applyAlignment="1">
      <alignment horizontal="center" vertical="center" wrapText="1"/>
    </xf>
    <xf numFmtId="4" fontId="163" fillId="15" borderId="30" xfId="0" applyNumberFormat="1" applyFont="1" applyFill="1" applyBorder="1" applyAlignment="1">
      <alignment horizontal="center" vertical="center" wrapText="1"/>
    </xf>
    <xf numFmtId="4" fontId="163" fillId="15" borderId="8" xfId="0" applyNumberFormat="1" applyFont="1" applyFill="1" applyBorder="1" applyAlignment="1">
      <alignment horizontal="center" vertical="center" wrapText="1"/>
    </xf>
    <xf numFmtId="4" fontId="163" fillId="15" borderId="14" xfId="0" applyNumberFormat="1" applyFont="1" applyFill="1" applyBorder="1" applyAlignment="1">
      <alignment horizontal="center" vertical="center" wrapText="1"/>
    </xf>
    <xf numFmtId="4" fontId="163" fillId="15" borderId="3" xfId="0" applyNumberFormat="1" applyFont="1" applyFill="1" applyBorder="1" applyAlignment="1">
      <alignment horizontal="center" vertical="center" wrapText="1"/>
    </xf>
    <xf numFmtId="4" fontId="163" fillId="15" borderId="0" xfId="0" applyNumberFormat="1" applyFont="1" applyFill="1" applyAlignment="1">
      <alignment horizontal="center" vertical="center" wrapText="1"/>
    </xf>
    <xf numFmtId="4" fontId="163" fillId="15" borderId="24" xfId="0" applyNumberFormat="1" applyFont="1" applyFill="1" applyBorder="1" applyAlignment="1">
      <alignment horizontal="center" vertical="center" wrapText="1"/>
    </xf>
    <xf numFmtId="4" fontId="163" fillId="15" borderId="9" xfId="0" applyNumberFormat="1" applyFont="1" applyFill="1" applyBorder="1" applyAlignment="1">
      <alignment horizontal="center" vertical="center" wrapText="1"/>
    </xf>
    <xf numFmtId="4" fontId="163" fillId="15" borderId="1" xfId="0" applyNumberFormat="1" applyFont="1" applyFill="1" applyBorder="1" applyAlignment="1">
      <alignment horizontal="center" vertical="center" wrapText="1"/>
    </xf>
    <xf numFmtId="4" fontId="163" fillId="15" borderId="11" xfId="0" applyNumberFormat="1" applyFont="1" applyFill="1" applyBorder="1" applyAlignment="1">
      <alignment horizontal="center" vertical="center" wrapText="1"/>
    </xf>
    <xf numFmtId="37" fontId="106" fillId="15" borderId="3" xfId="0" applyNumberFormat="1" applyFont="1" applyFill="1" applyBorder="1" applyAlignment="1">
      <alignment vertical="center"/>
    </xf>
    <xf numFmtId="37" fontId="106" fillId="15" borderId="0" xfId="0" applyNumberFormat="1" applyFont="1" applyFill="1" applyAlignment="1">
      <alignment vertical="center"/>
    </xf>
    <xf numFmtId="0" fontId="117" fillId="0" borderId="0" xfId="0" applyFont="1" applyAlignment="1">
      <alignment vertical="center"/>
    </xf>
    <xf numFmtId="0" fontId="207" fillId="15" borderId="3" xfId="0" applyFont="1" applyFill="1" applyBorder="1" applyAlignment="1">
      <alignment horizontal="center" wrapText="1"/>
    </xf>
    <xf numFmtId="4" fontId="12" fillId="15" borderId="0" xfId="0" applyNumberFormat="1" applyFont="1" applyFill="1" applyAlignment="1">
      <alignment horizontal="center"/>
    </xf>
    <xf numFmtId="4" fontId="12" fillId="15" borderId="24" xfId="0" applyNumberFormat="1" applyFont="1" applyFill="1" applyBorder="1" applyAlignment="1">
      <alignment horizontal="center"/>
    </xf>
    <xf numFmtId="6" fontId="102" fillId="2" borderId="3" xfId="0" applyNumberFormat="1" applyFont="1" applyFill="1" applyBorder="1" applyAlignment="1">
      <alignment horizontal="left" vertical="top"/>
    </xf>
    <xf numFmtId="0" fontId="12" fillId="16" borderId="39" xfId="0" applyFont="1" applyFill="1" applyBorder="1" applyAlignment="1" applyProtection="1">
      <alignment horizontal="center" vertical="center"/>
      <protection locked="0"/>
    </xf>
    <xf numFmtId="0" fontId="12" fillId="16" borderId="54" xfId="0" applyFont="1" applyFill="1" applyBorder="1" applyAlignment="1" applyProtection="1">
      <alignment horizontal="center" vertical="center"/>
      <protection locked="0"/>
    </xf>
    <xf numFmtId="0" fontId="8" fillId="15" borderId="3" xfId="0" applyFont="1" applyFill="1" applyBorder="1" applyAlignment="1">
      <alignment horizontal="left"/>
    </xf>
    <xf numFmtId="0" fontId="8" fillId="15" borderId="0" xfId="0" applyFont="1" applyFill="1" applyAlignment="1">
      <alignment horizontal="left"/>
    </xf>
    <xf numFmtId="0" fontId="8" fillId="15" borderId="24" xfId="0" applyFont="1" applyFill="1" applyBorder="1" applyAlignment="1">
      <alignment horizontal="left"/>
    </xf>
    <xf numFmtId="182" fontId="15" fillId="16" borderId="3" xfId="0" applyNumberFormat="1" applyFont="1" applyFill="1" applyBorder="1" applyAlignment="1" applyProtection="1">
      <alignment horizontal="center"/>
      <protection locked="0"/>
    </xf>
    <xf numFmtId="182" fontId="15" fillId="16" borderId="0" xfId="0" applyNumberFormat="1" applyFont="1" applyFill="1" applyAlignment="1" applyProtection="1">
      <alignment horizontal="center"/>
      <protection locked="0"/>
    </xf>
    <xf numFmtId="182" fontId="15" fillId="16" borderId="24" xfId="0" applyNumberFormat="1" applyFont="1" applyFill="1" applyBorder="1" applyAlignment="1" applyProtection="1">
      <alignment horizontal="center"/>
      <protection locked="0"/>
    </xf>
    <xf numFmtId="182" fontId="15" fillId="16" borderId="9" xfId="0" applyNumberFormat="1" applyFont="1" applyFill="1" applyBorder="1" applyAlignment="1" applyProtection="1">
      <alignment horizontal="center"/>
      <protection locked="0"/>
    </xf>
    <xf numFmtId="182" fontId="15" fillId="16" borderId="1" xfId="0" applyNumberFormat="1" applyFont="1" applyFill="1" applyBorder="1" applyAlignment="1" applyProtection="1">
      <alignment horizontal="center"/>
      <protection locked="0"/>
    </xf>
    <xf numFmtId="182" fontId="15" fillId="16" borderId="11" xfId="0" applyNumberFormat="1" applyFont="1" applyFill="1" applyBorder="1" applyAlignment="1" applyProtection="1">
      <alignment horizontal="center"/>
      <protection locked="0"/>
    </xf>
    <xf numFmtId="49" fontId="15" fillId="16" borderId="3" xfId="0" applyNumberFormat="1" applyFont="1" applyFill="1" applyBorder="1" applyAlignment="1" applyProtection="1">
      <alignment horizontal="center" wrapText="1"/>
      <protection locked="0"/>
    </xf>
    <xf numFmtId="49" fontId="15" fillId="16" borderId="0" xfId="0" applyNumberFormat="1" applyFont="1" applyFill="1" applyAlignment="1" applyProtection="1">
      <alignment horizontal="center" wrapText="1"/>
      <protection locked="0"/>
    </xf>
    <xf numFmtId="49" fontId="15" fillId="16" borderId="24" xfId="0" applyNumberFormat="1" applyFont="1" applyFill="1" applyBorder="1" applyAlignment="1" applyProtection="1">
      <alignment horizontal="center" wrapText="1"/>
      <protection locked="0"/>
    </xf>
    <xf numFmtId="49" fontId="15" fillId="16" borderId="9" xfId="0" applyNumberFormat="1" applyFont="1" applyFill="1" applyBorder="1" applyAlignment="1" applyProtection="1">
      <alignment horizontal="center" wrapText="1"/>
      <protection locked="0"/>
    </xf>
    <xf numFmtId="49" fontId="15" fillId="16" borderId="1" xfId="0" applyNumberFormat="1" applyFont="1" applyFill="1" applyBorder="1" applyAlignment="1" applyProtection="1">
      <alignment horizontal="center" wrapText="1"/>
      <protection locked="0"/>
    </xf>
    <xf numFmtId="49" fontId="15" fillId="16" borderId="11" xfId="0" applyNumberFormat="1" applyFont="1" applyFill="1" applyBorder="1" applyAlignment="1" applyProtection="1">
      <alignment horizontal="center" wrapText="1"/>
      <protection locked="0"/>
    </xf>
    <xf numFmtId="0" fontId="4" fillId="16" borderId="25" xfId="0" applyFont="1" applyFill="1" applyBorder="1" applyAlignment="1" applyProtection="1">
      <alignment horizontal="left"/>
      <protection locked="0"/>
    </xf>
    <xf numFmtId="0" fontId="10" fillId="2" borderId="39" xfId="0" applyFont="1" applyFill="1" applyBorder="1" applyAlignment="1">
      <alignment horizontal="center"/>
    </xf>
    <xf numFmtId="0" fontId="10" fillId="2" borderId="25" xfId="0" applyFont="1" applyFill="1" applyBorder="1" applyAlignment="1">
      <alignment horizontal="center"/>
    </xf>
    <xf numFmtId="0" fontId="10" fillId="2" borderId="54" xfId="0" applyFont="1" applyFill="1" applyBorder="1" applyAlignment="1">
      <alignment horizontal="center"/>
    </xf>
    <xf numFmtId="165" fontId="15" fillId="16" borderId="31" xfId="0" applyNumberFormat="1" applyFont="1" applyFill="1" applyBorder="1" applyAlignment="1" applyProtection="1">
      <alignment horizontal="center"/>
      <protection locked="0"/>
    </xf>
    <xf numFmtId="165" fontId="15" fillId="16" borderId="73" xfId="0" applyNumberFormat="1" applyFont="1" applyFill="1" applyBorder="1" applyAlignment="1" applyProtection="1">
      <alignment horizontal="center"/>
      <protection locked="0"/>
    </xf>
    <xf numFmtId="49" fontId="9" fillId="16" borderId="39" xfId="0" applyNumberFormat="1" applyFont="1" applyFill="1" applyBorder="1" applyAlignment="1" applyProtection="1">
      <alignment horizontal="center"/>
      <protection locked="0"/>
    </xf>
    <xf numFmtId="0" fontId="0" fillId="16" borderId="25" xfId="0" applyFill="1" applyBorder="1" applyAlignment="1" applyProtection="1">
      <alignment horizontal="center"/>
      <protection locked="0"/>
    </xf>
    <xf numFmtId="0" fontId="0" fillId="16" borderId="54" xfId="0" applyFill="1" applyBorder="1" applyAlignment="1" applyProtection="1">
      <alignment horizontal="center"/>
      <protection locked="0"/>
    </xf>
    <xf numFmtId="165" fontId="15" fillId="16" borderId="4" xfId="0" applyNumberFormat="1" applyFont="1" applyFill="1" applyBorder="1" applyAlignment="1" applyProtection="1">
      <alignment horizontal="left" indent="1"/>
      <protection locked="0"/>
    </xf>
    <xf numFmtId="37" fontId="106" fillId="15" borderId="30" xfId="0" applyNumberFormat="1" applyFont="1" applyFill="1" applyBorder="1"/>
    <xf numFmtId="37" fontId="106" fillId="15" borderId="8" xfId="0" applyNumberFormat="1" applyFont="1" applyFill="1" applyBorder="1"/>
    <xf numFmtId="0" fontId="117" fillId="0" borderId="8" xfId="0" applyFont="1" applyBorder="1"/>
    <xf numFmtId="37" fontId="4" fillId="27" borderId="39" xfId="0" applyNumberFormat="1" applyFont="1" applyFill="1" applyBorder="1" applyAlignment="1">
      <alignment horizontal="right"/>
    </xf>
    <xf numFmtId="37" fontId="4" fillId="27" borderId="25" xfId="0" applyNumberFormat="1" applyFont="1" applyFill="1" applyBorder="1" applyAlignment="1">
      <alignment horizontal="right"/>
    </xf>
    <xf numFmtId="0" fontId="11" fillId="15" borderId="7" xfId="0" applyFont="1" applyFill="1" applyBorder="1" applyAlignment="1">
      <alignment horizontal="left" vertical="top" wrapText="1"/>
    </xf>
    <xf numFmtId="0" fontId="11" fillId="15" borderId="0" xfId="0" applyFont="1" applyFill="1" applyAlignment="1">
      <alignment horizontal="left" vertical="top" wrapText="1"/>
    </xf>
    <xf numFmtId="0" fontId="11" fillId="15" borderId="4" xfId="0" applyFont="1" applyFill="1" applyBorder="1" applyAlignment="1">
      <alignment horizontal="left" vertical="top" wrapText="1"/>
    </xf>
    <xf numFmtId="0" fontId="8" fillId="39" borderId="0" xfId="0" applyFont="1" applyFill="1" applyAlignment="1">
      <alignment horizontal="left" wrapText="1"/>
    </xf>
    <xf numFmtId="0" fontId="8" fillId="39" borderId="4" xfId="0" applyFont="1" applyFill="1" applyBorder="1" applyAlignment="1">
      <alignment horizontal="left" wrapText="1"/>
    </xf>
    <xf numFmtId="0" fontId="4" fillId="16" borderId="4" xfId="0" applyFont="1" applyFill="1" applyBorder="1" applyAlignment="1" applyProtection="1">
      <alignment horizontal="left" wrapText="1"/>
      <protection locked="0"/>
    </xf>
    <xf numFmtId="0" fontId="20" fillId="15" borderId="7" xfId="0" applyFont="1" applyFill="1" applyBorder="1" applyAlignment="1">
      <alignment horizontal="left" vertical="top" wrapText="1"/>
    </xf>
    <xf numFmtId="0" fontId="20" fillId="15" borderId="0" xfId="0" applyFont="1" applyFill="1" applyAlignment="1">
      <alignment horizontal="left" vertical="top" wrapText="1"/>
    </xf>
    <xf numFmtId="0" fontId="4" fillId="16" borderId="59" xfId="0" applyFont="1" applyFill="1" applyBorder="1" applyAlignment="1" applyProtection="1">
      <alignment horizontal="center"/>
      <protection locked="0"/>
    </xf>
    <xf numFmtId="0" fontId="4" fillId="16" borderId="74" xfId="0" applyFont="1" applyFill="1" applyBorder="1" applyAlignment="1" applyProtection="1">
      <alignment horizontal="center"/>
      <protection locked="0"/>
    </xf>
    <xf numFmtId="0" fontId="4" fillId="16" borderId="60" xfId="0" applyFont="1" applyFill="1" applyBorder="1" applyAlignment="1" applyProtection="1">
      <alignment horizontal="center"/>
      <protection locked="0"/>
    </xf>
    <xf numFmtId="49" fontId="285" fillId="16" borderId="61" xfId="0" applyNumberFormat="1" applyFont="1" applyFill="1" applyBorder="1" applyAlignment="1" applyProtection="1">
      <alignment horizontal="center" vertical="center"/>
      <protection locked="0"/>
    </xf>
    <xf numFmtId="49" fontId="285" fillId="16" borderId="62" xfId="0" applyNumberFormat="1" applyFont="1" applyFill="1" applyBorder="1" applyAlignment="1" applyProtection="1">
      <alignment horizontal="center" vertical="center"/>
      <protection locked="0"/>
    </xf>
    <xf numFmtId="49" fontId="285" fillId="16" borderId="63" xfId="0" applyNumberFormat="1" applyFont="1" applyFill="1" applyBorder="1" applyAlignment="1" applyProtection="1">
      <alignment horizontal="center" vertical="center"/>
      <protection locked="0"/>
    </xf>
    <xf numFmtId="0" fontId="15" fillId="15" borderId="7" xfId="0" applyFont="1" applyFill="1" applyBorder="1" applyAlignment="1">
      <alignment horizontal="left" vertical="center" wrapText="1"/>
    </xf>
    <xf numFmtId="0" fontId="15" fillId="15" borderId="0" xfId="0" applyFont="1" applyFill="1" applyAlignment="1">
      <alignment horizontal="left" vertical="center" wrapText="1"/>
    </xf>
    <xf numFmtId="0" fontId="15" fillId="27" borderId="39" xfId="0" applyFont="1" applyFill="1" applyBorder="1" applyAlignment="1">
      <alignment horizontal="center" vertical="center"/>
    </xf>
    <xf numFmtId="0" fontId="15" fillId="27" borderId="54" xfId="0" applyFont="1" applyFill="1" applyBorder="1" applyAlignment="1">
      <alignment horizontal="center" vertical="center"/>
    </xf>
    <xf numFmtId="165" fontId="285" fillId="16" borderId="30" xfId="0" applyNumberFormat="1" applyFont="1" applyFill="1" applyBorder="1" applyAlignment="1" applyProtection="1">
      <alignment horizontal="center" vertical="center"/>
      <protection locked="0"/>
    </xf>
    <xf numFmtId="165" fontId="285" fillId="16" borderId="8" xfId="0" applyNumberFormat="1" applyFont="1" applyFill="1" applyBorder="1" applyAlignment="1" applyProtection="1">
      <alignment horizontal="center" vertical="center"/>
      <protection locked="0"/>
    </xf>
    <xf numFmtId="0" fontId="8" fillId="15" borderId="0" xfId="0" applyFont="1" applyFill="1" applyAlignment="1">
      <alignment horizontal="left" vertical="top" wrapText="1"/>
    </xf>
    <xf numFmtId="166" fontId="15" fillId="16" borderId="1" xfId="0" applyNumberFormat="1" applyFont="1" applyFill="1" applyBorder="1" applyAlignment="1" applyProtection="1">
      <alignment horizontal="center"/>
      <protection locked="0"/>
    </xf>
    <xf numFmtId="0" fontId="6" fillId="39" borderId="0" xfId="0" applyFont="1" applyFill="1" applyAlignment="1">
      <alignment horizontal="left" vertical="top"/>
    </xf>
    <xf numFmtId="0" fontId="8" fillId="2" borderId="30" xfId="0" applyFont="1" applyFill="1" applyBorder="1" applyAlignment="1">
      <alignment horizontal="center" vertical="center" wrapText="1"/>
    </xf>
    <xf numFmtId="0" fontId="8" fillId="2" borderId="14" xfId="0" applyFont="1" applyFill="1" applyBorder="1" applyAlignment="1">
      <alignment horizontal="center" vertical="center" wrapText="1"/>
    </xf>
    <xf numFmtId="0" fontId="8" fillId="2" borderId="3" xfId="0" applyFont="1" applyFill="1" applyBorder="1" applyAlignment="1">
      <alignment horizontal="center" vertical="center" wrapText="1"/>
    </xf>
    <xf numFmtId="0" fontId="8" fillId="2" borderId="0" xfId="0" applyFont="1" applyFill="1" applyAlignment="1">
      <alignment horizontal="center" vertical="center" wrapText="1"/>
    </xf>
    <xf numFmtId="0" fontId="8" fillId="2" borderId="24" xfId="0" applyFont="1" applyFill="1" applyBorder="1" applyAlignment="1">
      <alignment horizontal="center" vertical="center" wrapText="1"/>
    </xf>
    <xf numFmtId="0" fontId="8" fillId="2" borderId="9" xfId="0" applyFont="1" applyFill="1" applyBorder="1" applyAlignment="1">
      <alignment horizontal="center" vertical="center" wrapText="1"/>
    </xf>
    <xf numFmtId="0" fontId="8" fillId="2" borderId="11" xfId="0" applyFont="1" applyFill="1" applyBorder="1" applyAlignment="1">
      <alignment horizontal="center" vertical="center" wrapText="1"/>
    </xf>
    <xf numFmtId="37" fontId="4" fillId="27" borderId="54" xfId="0" applyNumberFormat="1" applyFont="1" applyFill="1" applyBorder="1" applyAlignment="1">
      <alignment horizontal="right"/>
    </xf>
    <xf numFmtId="37" fontId="4" fillId="16" borderId="39" xfId="0" applyNumberFormat="1" applyFont="1" applyFill="1" applyBorder="1" applyAlignment="1" applyProtection="1">
      <alignment horizontal="right"/>
      <protection locked="0"/>
    </xf>
    <xf numFmtId="37" fontId="4" fillId="16" borderId="25" xfId="0" applyNumberFormat="1" applyFont="1" applyFill="1" applyBorder="1" applyAlignment="1" applyProtection="1">
      <alignment horizontal="right"/>
      <protection locked="0"/>
    </xf>
    <xf numFmtId="37" fontId="4" fillId="16" borderId="54" xfId="0" applyNumberFormat="1" applyFont="1" applyFill="1" applyBorder="1" applyAlignment="1" applyProtection="1">
      <alignment horizontal="right"/>
      <protection locked="0"/>
    </xf>
    <xf numFmtId="37" fontId="4" fillId="27" borderId="9" xfId="0" applyNumberFormat="1" applyFont="1" applyFill="1" applyBorder="1" applyAlignment="1">
      <alignment horizontal="right"/>
    </xf>
    <xf numFmtId="37" fontId="4" fillId="27" borderId="1" xfId="0" applyNumberFormat="1" applyFont="1" applyFill="1" applyBorder="1" applyAlignment="1">
      <alignment horizontal="right"/>
    </xf>
    <xf numFmtId="37" fontId="4" fillId="27" borderId="11" xfId="0" applyNumberFormat="1" applyFont="1" applyFill="1" applyBorder="1" applyAlignment="1">
      <alignment horizontal="right"/>
    </xf>
    <xf numFmtId="0" fontId="4" fillId="27" borderId="39" xfId="0" applyFont="1" applyFill="1" applyBorder="1" applyAlignment="1">
      <alignment horizontal="center" wrapText="1"/>
    </xf>
    <xf numFmtId="0" fontId="4" fillId="27" borderId="9" xfId="0" applyFont="1" applyFill="1" applyBorder="1" applyAlignment="1">
      <alignment horizontal="center" wrapText="1"/>
    </xf>
    <xf numFmtId="0" fontId="4" fillId="27" borderId="1" xfId="0" applyFont="1" applyFill="1" applyBorder="1" applyAlignment="1">
      <alignment horizontal="center" wrapText="1"/>
    </xf>
    <xf numFmtId="0" fontId="4" fillId="27" borderId="11" xfId="0" applyFont="1" applyFill="1" applyBorder="1" applyAlignment="1">
      <alignment horizontal="center" wrapText="1"/>
    </xf>
    <xf numFmtId="37" fontId="4" fillId="25" borderId="69" xfId="0" applyNumberFormat="1" applyFont="1" applyFill="1" applyBorder="1"/>
    <xf numFmtId="37" fontId="4" fillId="25" borderId="4" xfId="0" applyNumberFormat="1" applyFont="1" applyFill="1" applyBorder="1"/>
    <xf numFmtId="0" fontId="6" fillId="39" borderId="3" xfId="0" applyFont="1" applyFill="1" applyBorder="1" applyAlignment="1">
      <alignment horizontal="left" wrapText="1"/>
    </xf>
    <xf numFmtId="0" fontId="6" fillId="39" borderId="0" xfId="0" applyFont="1" applyFill="1" applyAlignment="1">
      <alignment horizontal="left" wrapText="1"/>
    </xf>
    <xf numFmtId="0" fontId="8" fillId="2" borderId="0" xfId="0" applyFont="1" applyFill="1" applyAlignment="1">
      <alignment horizontal="left" vertical="center" wrapText="1"/>
    </xf>
    <xf numFmtId="0" fontId="4" fillId="2" borderId="30" xfId="0" applyFont="1" applyFill="1" applyBorder="1" applyAlignment="1">
      <alignment horizontal="left" wrapText="1"/>
    </xf>
    <xf numFmtId="0" fontId="4" fillId="2" borderId="8" xfId="0" applyFont="1" applyFill="1" applyBorder="1" applyAlignment="1">
      <alignment horizontal="left" wrapText="1"/>
    </xf>
    <xf numFmtId="0" fontId="4" fillId="2" borderId="14" xfId="0" applyFont="1" applyFill="1" applyBorder="1" applyAlignment="1">
      <alignment horizontal="left" wrapText="1"/>
    </xf>
    <xf numFmtId="0" fontId="4" fillId="2" borderId="3" xfId="0" applyFont="1" applyFill="1" applyBorder="1" applyAlignment="1">
      <alignment horizontal="left" wrapText="1"/>
    </xf>
    <xf numFmtId="0" fontId="4" fillId="2" borderId="0" xfId="0" applyFont="1" applyFill="1" applyAlignment="1">
      <alignment horizontal="left" wrapText="1"/>
    </xf>
    <xf numFmtId="0" fontId="4" fillId="2" borderId="24" xfId="0" applyFont="1" applyFill="1" applyBorder="1" applyAlignment="1">
      <alignment horizontal="left" wrapText="1"/>
    </xf>
    <xf numFmtId="0" fontId="11" fillId="2" borderId="7" xfId="0" applyFont="1" applyFill="1" applyBorder="1" applyAlignment="1">
      <alignment horizontal="left" wrapText="1"/>
    </xf>
    <xf numFmtId="0" fontId="11" fillId="2" borderId="0" xfId="0" applyFont="1" applyFill="1" applyAlignment="1">
      <alignment horizontal="left" wrapText="1"/>
    </xf>
    <xf numFmtId="0" fontId="4" fillId="27" borderId="25" xfId="0" applyFont="1" applyFill="1" applyBorder="1" applyAlignment="1">
      <alignment horizontal="center" wrapText="1"/>
    </xf>
    <xf numFmtId="0" fontId="119" fillId="2" borderId="0" xfId="0" applyFont="1" applyFill="1" applyAlignment="1">
      <alignment horizontal="left" vertical="center"/>
    </xf>
    <xf numFmtId="37" fontId="4" fillId="25" borderId="3" xfId="0" applyNumberFormat="1" applyFont="1" applyFill="1" applyBorder="1"/>
    <xf numFmtId="37" fontId="4" fillId="25" borderId="0" xfId="0" applyNumberFormat="1" applyFont="1" applyFill="1"/>
    <xf numFmtId="37" fontId="4" fillId="16" borderId="1" xfId="0" applyNumberFormat="1" applyFont="1" applyFill="1" applyBorder="1" applyAlignment="1" applyProtection="1">
      <alignment horizontal="right" vertical="center"/>
      <protection locked="0"/>
    </xf>
    <xf numFmtId="37" fontId="4" fillId="16" borderId="9" xfId="0" applyNumberFormat="1" applyFont="1" applyFill="1" applyBorder="1" applyAlignment="1" applyProtection="1">
      <alignment horizontal="center"/>
      <protection locked="0"/>
    </xf>
    <xf numFmtId="37" fontId="4" fillId="16" borderId="1" xfId="0" applyNumberFormat="1" applyFont="1" applyFill="1" applyBorder="1" applyAlignment="1" applyProtection="1">
      <alignment horizontal="center"/>
      <protection locked="0"/>
    </xf>
    <xf numFmtId="0" fontId="183" fillId="15" borderId="0" xfId="0" applyFont="1" applyFill="1" applyAlignment="1">
      <alignment horizontal="center" vertical="center"/>
    </xf>
    <xf numFmtId="0" fontId="6" fillId="39" borderId="3" xfId="0" applyFont="1" applyFill="1" applyBorder="1" applyAlignment="1">
      <alignment horizontal="left" vertical="center"/>
    </xf>
    <xf numFmtId="0" fontId="6" fillId="39" borderId="0" xfId="0" applyFont="1" applyFill="1" applyAlignment="1">
      <alignment horizontal="left" vertical="center"/>
    </xf>
    <xf numFmtId="0" fontId="8" fillId="15" borderId="0" xfId="0" applyFont="1" applyFill="1" applyAlignment="1">
      <alignment horizontal="left" vertical="center"/>
    </xf>
    <xf numFmtId="0" fontId="8" fillId="15" borderId="20" xfId="0" applyFont="1" applyFill="1" applyBorder="1" applyAlignment="1">
      <alignment horizontal="left" vertical="center"/>
    </xf>
    <xf numFmtId="0" fontId="8" fillId="15" borderId="0" xfId="0" applyFont="1" applyFill="1" applyAlignment="1">
      <alignment horizontal="left" vertical="top"/>
    </xf>
    <xf numFmtId="0" fontId="8" fillId="15" borderId="20" xfId="0" applyFont="1" applyFill="1" applyBorder="1" applyAlignment="1">
      <alignment horizontal="left" vertical="top"/>
    </xf>
    <xf numFmtId="0" fontId="163" fillId="15" borderId="7" xfId="0" applyFont="1" applyFill="1" applyBorder="1" applyAlignment="1">
      <alignment horizontal="left" vertical="top"/>
    </xf>
    <xf numFmtId="0" fontId="163" fillId="15" borderId="4" xfId="0" applyFont="1" applyFill="1" applyBorder="1" applyAlignment="1">
      <alignment horizontal="left" vertical="top"/>
    </xf>
    <xf numFmtId="37" fontId="4" fillId="16" borderId="30" xfId="0" applyNumberFormat="1" applyFont="1" applyFill="1" applyBorder="1" applyProtection="1">
      <protection locked="0"/>
    </xf>
    <xf numFmtId="37" fontId="4" fillId="16" borderId="8" xfId="0" applyNumberFormat="1" applyFont="1" applyFill="1" applyBorder="1" applyProtection="1">
      <protection locked="0"/>
    </xf>
    <xf numFmtId="37" fontId="0" fillId="16" borderId="8" xfId="0" applyNumberFormat="1" applyFill="1" applyBorder="1" applyProtection="1">
      <protection locked="0"/>
    </xf>
    <xf numFmtId="37" fontId="4" fillId="25" borderId="30" xfId="0" applyNumberFormat="1" applyFont="1" applyFill="1" applyBorder="1" applyAlignment="1">
      <alignment horizontal="right"/>
    </xf>
    <xf numFmtId="37" fontId="4" fillId="25" borderId="8" xfId="0" applyNumberFormat="1" applyFont="1" applyFill="1" applyBorder="1" applyAlignment="1">
      <alignment horizontal="right"/>
    </xf>
    <xf numFmtId="0" fontId="8" fillId="39" borderId="24" xfId="0" applyFont="1" applyFill="1" applyBorder="1" applyAlignment="1">
      <alignment horizontal="left" vertical="top" wrapText="1"/>
    </xf>
    <xf numFmtId="0" fontId="8" fillId="39" borderId="11" xfId="0" applyFont="1" applyFill="1" applyBorder="1" applyAlignment="1">
      <alignment horizontal="left" vertical="top" wrapText="1"/>
    </xf>
    <xf numFmtId="0" fontId="10" fillId="39" borderId="9" xfId="0" applyFont="1" applyFill="1" applyBorder="1" applyAlignment="1">
      <alignment horizontal="center" vertical="top" wrapText="1"/>
    </xf>
    <xf numFmtId="0" fontId="10" fillId="39" borderId="1" xfId="0" applyFont="1" applyFill="1" applyBorder="1" applyAlignment="1">
      <alignment horizontal="center" vertical="top" wrapText="1"/>
    </xf>
    <xf numFmtId="49" fontId="9" fillId="16" borderId="200" xfId="0" quotePrefix="1" applyNumberFormat="1" applyFont="1" applyFill="1" applyBorder="1" applyAlignment="1" applyProtection="1">
      <alignment horizontal="center" vertical="center"/>
      <protection locked="0"/>
    </xf>
    <xf numFmtId="49" fontId="9" fillId="16" borderId="87" xfId="0" quotePrefix="1" applyNumberFormat="1" applyFont="1" applyFill="1" applyBorder="1" applyAlignment="1" applyProtection="1">
      <alignment horizontal="center" vertical="center"/>
      <protection locked="0"/>
    </xf>
    <xf numFmtId="37" fontId="4" fillId="16" borderId="9" xfId="0" applyNumberFormat="1" applyFont="1" applyFill="1" applyBorder="1" applyAlignment="1" applyProtection="1">
      <alignment horizontal="right"/>
      <protection locked="0"/>
    </xf>
    <xf numFmtId="37" fontId="4" fillId="16" borderId="1" xfId="0" applyNumberFormat="1" applyFont="1" applyFill="1" applyBorder="1" applyAlignment="1" applyProtection="1">
      <alignment horizontal="right"/>
      <protection locked="0"/>
    </xf>
    <xf numFmtId="0" fontId="167" fillId="15" borderId="7" xfId="0" applyFont="1" applyFill="1" applyBorder="1" applyAlignment="1">
      <alignment horizontal="center" vertical="center" wrapText="1"/>
    </xf>
    <xf numFmtId="0" fontId="167" fillId="15" borderId="0" xfId="0" applyFont="1" applyFill="1" applyAlignment="1">
      <alignment horizontal="center" vertical="center" wrapText="1"/>
    </xf>
    <xf numFmtId="0" fontId="245" fillId="15" borderId="0" xfId="0" applyFont="1" applyFill="1" applyAlignment="1">
      <alignment horizontal="left" vertical="center" wrapText="1"/>
    </xf>
    <xf numFmtId="4" fontId="9" fillId="5" borderId="0" xfId="0" applyNumberFormat="1" applyFont="1" applyFill="1" applyAlignment="1">
      <alignment horizontal="center" vertical="center" textRotation="90"/>
    </xf>
    <xf numFmtId="0" fontId="4" fillId="16" borderId="25" xfId="0" applyFont="1" applyFill="1" applyBorder="1" applyAlignment="1" applyProtection="1">
      <alignment horizontal="left" indent="1"/>
      <protection locked="0"/>
    </xf>
    <xf numFmtId="0" fontId="8" fillId="2" borderId="25" xfId="0" applyFont="1" applyFill="1" applyBorder="1" applyAlignment="1">
      <alignment horizontal="right"/>
    </xf>
    <xf numFmtId="0" fontId="8" fillId="2" borderId="39" xfId="0" applyFont="1" applyFill="1" applyBorder="1" applyAlignment="1">
      <alignment horizontal="left"/>
    </xf>
    <xf numFmtId="0" fontId="8" fillId="2" borderId="25" xfId="0" applyFont="1" applyFill="1" applyBorder="1" applyAlignment="1">
      <alignment horizontal="left"/>
    </xf>
    <xf numFmtId="0" fontId="8" fillId="39" borderId="3" xfId="0" applyFont="1" applyFill="1" applyBorder="1" applyAlignment="1">
      <alignment horizontal="left" vertical="center" wrapText="1"/>
    </xf>
    <xf numFmtId="0" fontId="15" fillId="39" borderId="30" xfId="0" applyFont="1" applyFill="1" applyBorder="1" applyAlignment="1">
      <alignment horizontal="center" vertical="center" wrapText="1"/>
    </xf>
    <xf numFmtId="0" fontId="15" fillId="39" borderId="8" xfId="0" applyFont="1" applyFill="1" applyBorder="1" applyAlignment="1">
      <alignment horizontal="center" vertical="center" wrapText="1"/>
    </xf>
    <xf numFmtId="0" fontId="8" fillId="39" borderId="9" xfId="0" applyFont="1" applyFill="1" applyBorder="1" applyAlignment="1">
      <alignment horizontal="left" vertical="center" wrapText="1"/>
    </xf>
    <xf numFmtId="37" fontId="0" fillId="27" borderId="25" xfId="0" applyNumberFormat="1" applyFill="1" applyBorder="1"/>
    <xf numFmtId="0" fontId="6" fillId="39" borderId="8" xfId="0" applyFont="1" applyFill="1" applyBorder="1" applyAlignment="1">
      <alignment horizontal="left" vertical="center" wrapText="1"/>
    </xf>
    <xf numFmtId="0" fontId="6" fillId="39" borderId="0" xfId="0" applyFont="1" applyFill="1" applyAlignment="1">
      <alignment horizontal="left" vertical="center" wrapText="1"/>
    </xf>
    <xf numFmtId="0" fontId="6" fillId="39" borderId="1" xfId="0" applyFont="1" applyFill="1" applyBorder="1" applyAlignment="1">
      <alignment horizontal="left" vertical="center" wrapText="1"/>
    </xf>
    <xf numFmtId="37" fontId="4" fillId="27" borderId="11" xfId="0" applyNumberFormat="1" applyFont="1" applyFill="1" applyBorder="1"/>
    <xf numFmtId="0" fontId="4" fillId="39" borderId="9" xfId="0" applyFont="1" applyFill="1" applyBorder="1" applyAlignment="1">
      <alignment horizontal="center"/>
    </xf>
    <xf numFmtId="0" fontId="4" fillId="39" borderId="11" xfId="0" applyFont="1" applyFill="1" applyBorder="1" applyAlignment="1">
      <alignment horizontal="center"/>
    </xf>
    <xf numFmtId="0" fontId="4" fillId="39" borderId="39" xfId="0" applyFont="1" applyFill="1" applyBorder="1" applyAlignment="1">
      <alignment horizontal="center"/>
    </xf>
    <xf numFmtId="0" fontId="4" fillId="39" borderId="54" xfId="0" applyFont="1" applyFill="1" applyBorder="1" applyAlignment="1">
      <alignment horizontal="center"/>
    </xf>
    <xf numFmtId="0" fontId="4" fillId="39" borderId="0" xfId="0" applyFont="1" applyFill="1" applyAlignment="1">
      <alignment horizontal="right" vertical="center" indent="1"/>
    </xf>
    <xf numFmtId="0" fontId="0" fillId="39" borderId="0" xfId="0" applyFill="1" applyAlignment="1">
      <alignment horizontal="right" vertical="center" indent="1"/>
    </xf>
    <xf numFmtId="0" fontId="4" fillId="27" borderId="54" xfId="0" applyFont="1" applyFill="1" applyBorder="1" applyAlignment="1">
      <alignment horizontal="center" wrapText="1"/>
    </xf>
    <xf numFmtId="0" fontId="4" fillId="0" borderId="0" xfId="0" applyFont="1" applyAlignment="1">
      <alignment horizontal="center" textRotation="90"/>
    </xf>
    <xf numFmtId="0" fontId="110" fillId="15" borderId="7" xfId="0" applyFont="1" applyFill="1" applyBorder="1" applyAlignment="1">
      <alignment horizontal="center"/>
    </xf>
    <xf numFmtId="0" fontId="58" fillId="15" borderId="7" xfId="0" applyFont="1" applyFill="1" applyBorder="1" applyAlignment="1">
      <alignment horizontal="center"/>
    </xf>
    <xf numFmtId="0" fontId="58" fillId="15" borderId="0" xfId="0" applyFont="1" applyFill="1" applyAlignment="1">
      <alignment horizontal="center"/>
    </xf>
    <xf numFmtId="0" fontId="4" fillId="0" borderId="4" xfId="0" applyFont="1" applyBorder="1" applyAlignment="1">
      <alignment horizontal="center" wrapText="1"/>
    </xf>
    <xf numFmtId="0" fontId="10" fillId="39" borderId="235" xfId="0" applyFont="1" applyFill="1" applyBorder="1" applyAlignment="1">
      <alignment horizontal="center" vertical="center" wrapText="1"/>
    </xf>
    <xf numFmtId="0" fontId="10" fillId="39" borderId="25" xfId="0" applyFont="1" applyFill="1" applyBorder="1" applyAlignment="1">
      <alignment horizontal="center" vertical="center" wrapText="1"/>
    </xf>
    <xf numFmtId="0" fontId="10" fillId="39" borderId="236" xfId="0" applyFont="1" applyFill="1" applyBorder="1" applyAlignment="1">
      <alignment horizontal="center" vertical="center" wrapText="1"/>
    </xf>
    <xf numFmtId="0" fontId="15" fillId="39" borderId="71" xfId="0" applyFont="1" applyFill="1" applyBorder="1" applyAlignment="1">
      <alignment horizontal="center" vertical="center" wrapText="1"/>
    </xf>
    <xf numFmtId="0" fontId="15" fillId="39" borderId="16" xfId="0" applyFont="1" applyFill="1" applyBorder="1" applyAlignment="1">
      <alignment horizontal="center" vertical="center" wrapText="1"/>
    </xf>
    <xf numFmtId="0" fontId="15" fillId="39" borderId="32" xfId="0" applyFont="1" applyFill="1" applyBorder="1" applyAlignment="1">
      <alignment horizontal="center" vertical="center" wrapText="1"/>
    </xf>
    <xf numFmtId="0" fontId="15" fillId="39" borderId="101" xfId="0" applyFont="1" applyFill="1" applyBorder="1" applyAlignment="1">
      <alignment horizontal="center" vertical="center" wrapText="1"/>
    </xf>
    <xf numFmtId="0" fontId="15" fillId="39" borderId="1" xfId="0" applyFont="1" applyFill="1" applyBorder="1" applyAlignment="1">
      <alignment horizontal="center" vertical="center" wrapText="1"/>
    </xf>
    <xf numFmtId="0" fontId="15" fillId="39" borderId="96" xfId="0" applyFont="1" applyFill="1" applyBorder="1" applyAlignment="1">
      <alignment horizontal="center" vertical="center" wrapText="1"/>
    </xf>
    <xf numFmtId="0" fontId="6" fillId="39" borderId="8" xfId="0" applyFont="1" applyFill="1" applyBorder="1" applyAlignment="1">
      <alignment horizontal="center" vertical="center" wrapText="1"/>
    </xf>
    <xf numFmtId="0" fontId="6" fillId="39" borderId="1" xfId="0" applyFont="1" applyFill="1" applyBorder="1" applyAlignment="1">
      <alignment horizontal="center" vertical="center" wrapText="1"/>
    </xf>
    <xf numFmtId="0" fontId="10" fillId="39" borderId="1" xfId="0" applyFont="1" applyFill="1" applyBorder="1" applyAlignment="1">
      <alignment horizontal="center" vertical="center" wrapText="1"/>
    </xf>
    <xf numFmtId="0" fontId="10" fillId="39" borderId="11" xfId="0" applyFont="1" applyFill="1" applyBorder="1" applyAlignment="1">
      <alignment horizontal="center" vertical="center" wrapText="1"/>
    </xf>
    <xf numFmtId="0" fontId="8" fillId="39" borderId="80" xfId="0" applyFont="1" applyFill="1" applyBorder="1" applyAlignment="1">
      <alignment horizontal="center" vertical="center" wrapText="1"/>
    </xf>
    <xf numFmtId="0" fontId="8" fillId="39" borderId="8" xfId="0" applyFont="1" applyFill="1" applyBorder="1" applyAlignment="1">
      <alignment horizontal="center" vertical="center" wrapText="1"/>
    </xf>
    <xf numFmtId="0" fontId="8" fillId="39" borderId="26" xfId="0" applyFont="1" applyFill="1" applyBorder="1" applyAlignment="1">
      <alignment horizontal="center" vertical="center" wrapText="1"/>
    </xf>
    <xf numFmtId="0" fontId="8" fillId="39" borderId="1" xfId="0" applyFont="1" applyFill="1" applyBorder="1" applyAlignment="1">
      <alignment horizontal="center" vertical="center" wrapText="1"/>
    </xf>
    <xf numFmtId="0" fontId="14" fillId="39" borderId="8" xfId="0" applyFont="1" applyFill="1" applyBorder="1" applyAlignment="1">
      <alignment horizontal="center" vertical="center"/>
    </xf>
    <xf numFmtId="0" fontId="14" fillId="39" borderId="14" xfId="0" applyFont="1" applyFill="1" applyBorder="1" applyAlignment="1">
      <alignment horizontal="center" vertical="center"/>
    </xf>
    <xf numFmtId="0" fontId="14" fillId="39" borderId="0" xfId="0" applyFont="1" applyFill="1" applyAlignment="1">
      <alignment horizontal="center" vertical="center"/>
    </xf>
    <xf numFmtId="0" fontId="14" fillId="39" borderId="24" xfId="0" applyFont="1" applyFill="1" applyBorder="1" applyAlignment="1">
      <alignment horizontal="center" vertical="center"/>
    </xf>
    <xf numFmtId="0" fontId="10" fillId="39" borderId="9" xfId="0" applyFont="1" applyFill="1" applyBorder="1" applyAlignment="1">
      <alignment horizontal="center" vertical="center" wrapText="1"/>
    </xf>
    <xf numFmtId="0" fontId="0" fillId="39" borderId="1" xfId="0" applyFill="1" applyBorder="1" applyAlignment="1">
      <alignment horizontal="center" vertical="center" wrapText="1"/>
    </xf>
    <xf numFmtId="0" fontId="8" fillId="39" borderId="9" xfId="0" applyFont="1" applyFill="1" applyBorder="1" applyAlignment="1">
      <alignment horizontal="center" vertical="center" wrapText="1"/>
    </xf>
    <xf numFmtId="0" fontId="8" fillId="39" borderId="11" xfId="0" applyFont="1" applyFill="1" applyBorder="1" applyAlignment="1">
      <alignment horizontal="center" vertical="center" wrapText="1"/>
    </xf>
    <xf numFmtId="0" fontId="8" fillId="39" borderId="30" xfId="0" applyFont="1" applyFill="1" applyBorder="1" applyAlignment="1">
      <alignment horizontal="center" wrapText="1"/>
    </xf>
    <xf numFmtId="0" fontId="8" fillId="39" borderId="8" xfId="0" applyFont="1" applyFill="1" applyBorder="1" applyAlignment="1">
      <alignment horizontal="center" wrapText="1"/>
    </xf>
    <xf numFmtId="0" fontId="8" fillId="39" borderId="14" xfId="0" applyFont="1" applyFill="1" applyBorder="1" applyAlignment="1">
      <alignment horizontal="center" wrapText="1"/>
    </xf>
    <xf numFmtId="0" fontId="11" fillId="39" borderId="71" xfId="0" applyFont="1" applyFill="1" applyBorder="1" applyAlignment="1">
      <alignment horizontal="center" vertical="center" wrapText="1"/>
    </xf>
    <xf numFmtId="0" fontId="11" fillId="39" borderId="16" xfId="0" applyFont="1" applyFill="1" applyBorder="1" applyAlignment="1">
      <alignment horizontal="center" vertical="center" wrapText="1"/>
    </xf>
    <xf numFmtId="0" fontId="11" fillId="39" borderId="32" xfId="0" applyFont="1" applyFill="1" applyBorder="1" applyAlignment="1">
      <alignment horizontal="center" vertical="center" wrapText="1"/>
    </xf>
    <xf numFmtId="0" fontId="11" fillId="39" borderId="101" xfId="0" applyFont="1" applyFill="1" applyBorder="1" applyAlignment="1">
      <alignment horizontal="center" vertical="center" wrapText="1"/>
    </xf>
    <xf numFmtId="0" fontId="11" fillId="39" borderId="1" xfId="0" applyFont="1" applyFill="1" applyBorder="1" applyAlignment="1">
      <alignment horizontal="center" vertical="center" wrapText="1"/>
    </xf>
    <xf numFmtId="0" fontId="11" fillId="39" borderId="96" xfId="0" applyFont="1" applyFill="1" applyBorder="1" applyAlignment="1">
      <alignment horizontal="center" vertical="center" wrapText="1"/>
    </xf>
    <xf numFmtId="0" fontId="172" fillId="23" borderId="1" xfId="0" applyFont="1" applyFill="1" applyBorder="1" applyAlignment="1">
      <alignment horizontal="center"/>
    </xf>
    <xf numFmtId="0" fontId="9" fillId="39" borderId="30" xfId="0" applyFont="1" applyFill="1" applyBorder="1" applyAlignment="1">
      <alignment horizontal="center" vertical="center"/>
    </xf>
    <xf numFmtId="0" fontId="8" fillId="39" borderId="8" xfId="0" applyFont="1" applyFill="1" applyBorder="1" applyAlignment="1">
      <alignment horizontal="center" vertical="center"/>
    </xf>
    <xf numFmtId="0" fontId="8" fillId="39" borderId="14" xfId="0" applyFont="1" applyFill="1" applyBorder="1" applyAlignment="1">
      <alignment horizontal="center" vertical="center"/>
    </xf>
    <xf numFmtId="0" fontId="8" fillId="39" borderId="9" xfId="0" applyFont="1" applyFill="1" applyBorder="1" applyAlignment="1">
      <alignment horizontal="center" vertical="center"/>
    </xf>
    <xf numFmtId="0" fontId="8" fillId="39" borderId="1" xfId="0" applyFont="1" applyFill="1" applyBorder="1" applyAlignment="1">
      <alignment horizontal="center" vertical="center"/>
    </xf>
    <xf numFmtId="0" fontId="8" fillId="39" borderId="11" xfId="0" applyFont="1" applyFill="1" applyBorder="1" applyAlignment="1">
      <alignment horizontal="center" vertical="center"/>
    </xf>
    <xf numFmtId="0" fontId="10" fillId="39" borderId="26" xfId="0" applyFont="1" applyFill="1" applyBorder="1" applyAlignment="1">
      <alignment horizontal="center" vertical="center" wrapText="1"/>
    </xf>
    <xf numFmtId="0" fontId="4" fillId="39" borderId="30" xfId="0" applyFont="1" applyFill="1" applyBorder="1" applyAlignment="1">
      <alignment horizontal="center" vertical="center" wrapText="1"/>
    </xf>
    <xf numFmtId="0" fontId="6" fillId="39" borderId="8" xfId="0" applyFont="1" applyFill="1" applyBorder="1" applyAlignment="1">
      <alignment horizontal="center" vertical="center"/>
    </xf>
    <xf numFmtId="0" fontId="6" fillId="39" borderId="14" xfId="0" applyFont="1" applyFill="1" applyBorder="1" applyAlignment="1">
      <alignment horizontal="center" vertical="center"/>
    </xf>
    <xf numFmtId="0" fontId="6" fillId="39" borderId="3" xfId="0" applyFont="1" applyFill="1" applyBorder="1" applyAlignment="1">
      <alignment horizontal="center" vertical="center"/>
    </xf>
    <xf numFmtId="0" fontId="6" fillId="39" borderId="0" xfId="0" applyFont="1" applyFill="1" applyAlignment="1">
      <alignment horizontal="center" vertical="center"/>
    </xf>
    <xf numFmtId="0" fontId="6" fillId="39" borderId="24" xfId="0" applyFont="1" applyFill="1" applyBorder="1" applyAlignment="1">
      <alignment horizontal="center" vertical="center"/>
    </xf>
    <xf numFmtId="0" fontId="6" fillId="39" borderId="9" xfId="0" applyFont="1" applyFill="1" applyBorder="1" applyAlignment="1">
      <alignment horizontal="center" vertical="center"/>
    </xf>
    <xf numFmtId="0" fontId="6" fillId="39" borderId="1" xfId="0" applyFont="1" applyFill="1" applyBorder="1" applyAlignment="1">
      <alignment horizontal="center" vertical="center"/>
    </xf>
    <xf numFmtId="0" fontId="6" fillId="39" borderId="11" xfId="0" applyFont="1" applyFill="1" applyBorder="1" applyAlignment="1">
      <alignment horizontal="center" vertical="center"/>
    </xf>
    <xf numFmtId="0" fontId="6" fillId="39" borderId="30" xfId="0" applyFont="1" applyFill="1" applyBorder="1" applyAlignment="1">
      <alignment horizontal="center" vertical="center" wrapText="1"/>
    </xf>
    <xf numFmtId="0" fontId="344" fillId="23" borderId="0" xfId="0" applyFont="1" applyFill="1" applyAlignment="1">
      <alignment horizontal="center" vertical="center" wrapText="1"/>
    </xf>
    <xf numFmtId="0" fontId="344" fillId="23" borderId="1" xfId="0" applyFont="1" applyFill="1" applyBorder="1" applyAlignment="1">
      <alignment horizontal="center" vertical="center" wrapText="1"/>
    </xf>
    <xf numFmtId="0" fontId="15" fillId="23" borderId="0" xfId="0" applyFont="1" applyFill="1" applyAlignment="1">
      <alignment horizontal="left" vertical="center" wrapText="1"/>
    </xf>
    <xf numFmtId="0" fontId="4" fillId="16" borderId="25" xfId="0" applyFont="1" applyFill="1" applyBorder="1" applyAlignment="1" applyProtection="1">
      <alignment horizontal="left" vertical="center"/>
      <protection locked="0"/>
    </xf>
    <xf numFmtId="0" fontId="4" fillId="16" borderId="39" xfId="0" applyFont="1" applyFill="1" applyBorder="1" applyAlignment="1" applyProtection="1">
      <alignment horizontal="left" vertical="center"/>
      <protection locked="0"/>
    </xf>
    <xf numFmtId="0" fontId="4" fillId="16" borderId="54" xfId="0" applyFont="1" applyFill="1" applyBorder="1" applyAlignment="1" applyProtection="1">
      <alignment horizontal="left" vertical="center"/>
      <protection locked="0"/>
    </xf>
    <xf numFmtId="166" fontId="4" fillId="16" borderId="39" xfId="0" applyNumberFormat="1" applyFont="1" applyFill="1" applyBorder="1" applyAlignment="1" applyProtection="1">
      <alignment horizontal="center" vertical="center"/>
      <protection locked="0"/>
    </xf>
    <xf numFmtId="166" fontId="4" fillId="0" borderId="25" xfId="0" applyNumberFormat="1" applyFont="1" applyBorder="1" applyAlignment="1" applyProtection="1">
      <alignment horizontal="center" vertical="center"/>
      <protection locked="0"/>
    </xf>
    <xf numFmtId="166" fontId="4" fillId="0" borderId="54" xfId="0" applyNumberFormat="1" applyFont="1" applyBorder="1" applyAlignment="1" applyProtection="1">
      <alignment horizontal="center" vertical="center"/>
      <protection locked="0"/>
    </xf>
    <xf numFmtId="0" fontId="4" fillId="16" borderId="39" xfId="0" applyFont="1" applyFill="1" applyBorder="1" applyAlignment="1" applyProtection="1">
      <alignment horizontal="center" vertical="center"/>
      <protection locked="0"/>
    </xf>
    <xf numFmtId="0" fontId="4" fillId="0" borderId="25" xfId="0" applyFont="1" applyBorder="1" applyAlignment="1" applyProtection="1">
      <alignment horizontal="center" vertical="center"/>
      <protection locked="0"/>
    </xf>
    <xf numFmtId="0" fontId="4" fillId="0" borderId="54" xfId="0" applyFont="1" applyBorder="1" applyAlignment="1" applyProtection="1">
      <alignment horizontal="center" vertical="center"/>
      <protection locked="0"/>
    </xf>
    <xf numFmtId="182" fontId="4" fillId="16" borderId="39" xfId="0" applyNumberFormat="1" applyFont="1" applyFill="1" applyBorder="1" applyAlignment="1" applyProtection="1">
      <alignment horizontal="center" vertical="center"/>
      <protection locked="0"/>
    </xf>
    <xf numFmtId="182" fontId="4" fillId="0" borderId="25" xfId="0" applyNumberFormat="1" applyFont="1" applyBorder="1" applyAlignment="1" applyProtection="1">
      <alignment horizontal="center" vertical="center"/>
      <protection locked="0"/>
    </xf>
    <xf numFmtId="182" fontId="4" fillId="0" borderId="54" xfId="0" applyNumberFormat="1" applyFont="1" applyBorder="1" applyAlignment="1" applyProtection="1">
      <alignment horizontal="center" vertical="center"/>
      <protection locked="0"/>
    </xf>
    <xf numFmtId="0" fontId="4" fillId="0" borderId="0" xfId="0" applyFont="1" applyAlignment="1">
      <alignment horizontal="center" wrapText="1"/>
    </xf>
    <xf numFmtId="0" fontId="9" fillId="39" borderId="8" xfId="0" applyFont="1" applyFill="1" applyBorder="1" applyAlignment="1">
      <alignment horizontal="center" vertical="center"/>
    </xf>
    <xf numFmtId="0" fontId="9" fillId="39" borderId="14" xfId="0" applyFont="1" applyFill="1" applyBorder="1" applyAlignment="1">
      <alignment horizontal="center" vertical="center"/>
    </xf>
    <xf numFmtId="0" fontId="9" fillId="39" borderId="9" xfId="0" applyFont="1" applyFill="1" applyBorder="1" applyAlignment="1">
      <alignment horizontal="center" vertical="center"/>
    </xf>
    <xf numFmtId="0" fontId="9" fillId="39" borderId="1" xfId="0" applyFont="1" applyFill="1" applyBorder="1" applyAlignment="1">
      <alignment horizontal="center" vertical="center"/>
    </xf>
    <xf numFmtId="0" fontId="9" fillId="39" borderId="11" xfId="0" applyFont="1" applyFill="1" applyBorder="1" applyAlignment="1">
      <alignment horizontal="center" vertical="center"/>
    </xf>
    <xf numFmtId="0" fontId="6" fillId="15" borderId="13" xfId="0" applyFont="1" applyFill="1" applyBorder="1" applyAlignment="1" applyProtection="1">
      <alignment horizontal="left" vertical="center" wrapText="1"/>
      <protection locked="0"/>
    </xf>
    <xf numFmtId="0" fontId="4" fillId="16" borderId="99" xfId="0" applyFont="1" applyFill="1" applyBorder="1" applyAlignment="1" applyProtection="1">
      <alignment horizontal="left" vertical="center"/>
      <protection locked="0"/>
    </xf>
    <xf numFmtId="0" fontId="4" fillId="16" borderId="192" xfId="0" applyFont="1" applyFill="1" applyBorder="1" applyAlignment="1" applyProtection="1">
      <alignment horizontal="left" vertical="center"/>
      <protection locked="0"/>
    </xf>
    <xf numFmtId="0" fontId="4" fillId="16" borderId="199" xfId="0" applyFont="1" applyFill="1" applyBorder="1" applyAlignment="1" applyProtection="1">
      <alignment horizontal="left" vertical="center"/>
      <protection locked="0"/>
    </xf>
    <xf numFmtId="166" fontId="4" fillId="16" borderId="192" xfId="0" applyNumberFormat="1" applyFont="1" applyFill="1" applyBorder="1" applyAlignment="1" applyProtection="1">
      <alignment horizontal="center" vertical="center"/>
      <protection locked="0"/>
    </xf>
    <xf numFmtId="166" fontId="4" fillId="0" borderId="99" xfId="0" applyNumberFormat="1" applyFont="1" applyBorder="1" applyAlignment="1" applyProtection="1">
      <alignment horizontal="center" vertical="center"/>
      <protection locked="0"/>
    </xf>
    <xf numFmtId="166" fontId="4" fillId="0" borderId="199" xfId="0" applyNumberFormat="1" applyFont="1" applyBorder="1" applyAlignment="1" applyProtection="1">
      <alignment horizontal="center" vertical="center"/>
      <protection locked="0"/>
    </xf>
    <xf numFmtId="0" fontId="4" fillId="16" borderId="192" xfId="0" applyFont="1" applyFill="1" applyBorder="1" applyAlignment="1" applyProtection="1">
      <alignment horizontal="center" vertical="center"/>
      <protection locked="0"/>
    </xf>
    <xf numFmtId="0" fontId="4" fillId="0" borderId="99" xfId="0" applyFont="1" applyBorder="1" applyAlignment="1" applyProtection="1">
      <alignment horizontal="center" vertical="center"/>
      <protection locked="0"/>
    </xf>
    <xf numFmtId="0" fontId="4" fillId="0" borderId="199" xfId="0" applyFont="1" applyBorder="1" applyAlignment="1" applyProtection="1">
      <alignment horizontal="center" vertical="center"/>
      <protection locked="0"/>
    </xf>
    <xf numFmtId="182" fontId="4" fillId="16" borderId="192" xfId="0" applyNumberFormat="1" applyFont="1" applyFill="1" applyBorder="1" applyAlignment="1" applyProtection="1">
      <alignment horizontal="center" vertical="center"/>
      <protection locked="0"/>
    </xf>
    <xf numFmtId="182" fontId="4" fillId="0" borderId="99" xfId="0" applyNumberFormat="1" applyFont="1" applyBorder="1" applyAlignment="1" applyProtection="1">
      <alignment horizontal="center" vertical="center"/>
      <protection locked="0"/>
    </xf>
    <xf numFmtId="182" fontId="4" fillId="0" borderId="199" xfId="0" applyNumberFormat="1" applyFont="1" applyBorder="1" applyAlignment="1" applyProtection="1">
      <alignment horizontal="center" vertical="center"/>
      <protection locked="0"/>
    </xf>
    <xf numFmtId="0" fontId="6" fillId="39" borderId="9" xfId="0" applyFont="1" applyFill="1" applyBorder="1" applyAlignment="1">
      <alignment horizontal="left" vertical="center" wrapText="1"/>
    </xf>
    <xf numFmtId="0" fontId="6" fillId="39" borderId="11" xfId="0" applyFont="1" applyFill="1" applyBorder="1" applyAlignment="1">
      <alignment horizontal="left" vertical="center" wrapText="1"/>
    </xf>
    <xf numFmtId="0" fontId="6" fillId="15" borderId="0" xfId="0" applyFont="1" applyFill="1" applyAlignment="1" applyProtection="1">
      <alignment horizontal="left" wrapText="1"/>
      <protection locked="0"/>
    </xf>
    <xf numFmtId="0" fontId="4" fillId="39" borderId="3" xfId="0" applyFont="1" applyFill="1" applyBorder="1" applyAlignment="1">
      <alignment horizontal="center" vertical="center" wrapText="1"/>
    </xf>
    <xf numFmtId="0" fontId="4" fillId="39" borderId="9" xfId="0" applyFont="1" applyFill="1" applyBorder="1" applyAlignment="1">
      <alignment horizontal="center" vertical="center" wrapText="1"/>
    </xf>
    <xf numFmtId="0" fontId="143" fillId="23" borderId="0" xfId="0" applyFont="1" applyFill="1" applyAlignment="1">
      <alignment horizontal="center" vertical="center" wrapText="1"/>
    </xf>
    <xf numFmtId="0" fontId="143" fillId="23" borderId="1" xfId="0" applyFont="1" applyFill="1" applyBorder="1" applyAlignment="1">
      <alignment horizontal="center" vertical="center" wrapText="1"/>
    </xf>
    <xf numFmtId="0" fontId="8" fillId="39" borderId="30" xfId="0" applyFont="1" applyFill="1" applyBorder="1" applyAlignment="1">
      <alignment horizontal="center" vertical="center" wrapText="1"/>
    </xf>
    <xf numFmtId="0" fontId="8" fillId="39" borderId="14" xfId="0" applyFont="1" applyFill="1" applyBorder="1" applyAlignment="1">
      <alignment horizontal="center" vertical="center" wrapText="1"/>
    </xf>
    <xf numFmtId="0" fontId="4" fillId="0" borderId="159" xfId="0" applyFont="1" applyBorder="1" applyAlignment="1">
      <alignment horizontal="center" wrapText="1"/>
    </xf>
    <xf numFmtId="0" fontId="356" fillId="23" borderId="0" xfId="0" applyFont="1" applyFill="1" applyAlignment="1">
      <alignment horizontal="center" vertical="center" wrapText="1"/>
    </xf>
    <xf numFmtId="0" fontId="15" fillId="23" borderId="0" xfId="0" applyFont="1" applyFill="1" applyAlignment="1">
      <alignment horizontal="left" vertical="top" wrapText="1"/>
    </xf>
    <xf numFmtId="0" fontId="15" fillId="23" borderId="1" xfId="0" applyFont="1" applyFill="1" applyBorder="1" applyAlignment="1">
      <alignment horizontal="left" vertical="top" wrapText="1"/>
    </xf>
    <xf numFmtId="0" fontId="6" fillId="23" borderId="0" xfId="0" applyFont="1" applyFill="1" applyAlignment="1">
      <alignment horizontal="center" textRotation="90"/>
    </xf>
    <xf numFmtId="1" fontId="314" fillId="35" borderId="0" xfId="0" applyNumberFormat="1" applyFont="1" applyFill="1" applyAlignment="1">
      <alignment horizontal="left" vertical="center"/>
    </xf>
    <xf numFmtId="1" fontId="0" fillId="10" borderId="0" xfId="0" applyNumberFormat="1" applyFill="1" applyAlignment="1">
      <alignment horizontal="center" vertical="center" wrapText="1"/>
    </xf>
    <xf numFmtId="37" fontId="11" fillId="25" borderId="39" xfId="0" applyNumberFormat="1" applyFont="1" applyFill="1" applyBorder="1"/>
    <xf numFmtId="37" fontId="11" fillId="25" borderId="25" xfId="0" applyNumberFormat="1" applyFont="1" applyFill="1" applyBorder="1"/>
    <xf numFmtId="182" fontId="4" fillId="16" borderId="1" xfId="0" applyNumberFormat="1" applyFont="1" applyFill="1" applyBorder="1" applyAlignment="1" applyProtection="1">
      <alignment horizontal="center"/>
      <protection locked="0"/>
    </xf>
    <xf numFmtId="182" fontId="6" fillId="0" borderId="1" xfId="0" applyNumberFormat="1" applyFont="1" applyBorder="1" applyProtection="1">
      <protection locked="0"/>
    </xf>
    <xf numFmtId="0" fontId="112" fillId="15" borderId="0" xfId="0" applyFont="1" applyFill="1" applyAlignment="1">
      <alignment horizontal="center" vertical="top" wrapText="1"/>
    </xf>
    <xf numFmtId="0" fontId="4" fillId="15" borderId="15" xfId="0" applyFont="1" applyFill="1" applyBorder="1" applyAlignment="1">
      <alignment horizontal="left" wrapText="1"/>
    </xf>
    <xf numFmtId="0" fontId="0" fillId="0" borderId="6" xfId="0" applyBorder="1" applyAlignment="1">
      <alignment horizontal="left" wrapText="1"/>
    </xf>
    <xf numFmtId="0" fontId="0" fillId="0" borderId="10" xfId="0" applyBorder="1" applyAlignment="1">
      <alignment horizontal="left" wrapText="1"/>
    </xf>
    <xf numFmtId="37" fontId="11" fillId="25" borderId="35" xfId="0" applyNumberFormat="1" applyFont="1" applyFill="1" applyBorder="1"/>
    <xf numFmtId="37" fontId="14" fillId="25" borderId="13" xfId="0" applyNumberFormat="1" applyFont="1" applyFill="1" applyBorder="1"/>
    <xf numFmtId="37" fontId="11" fillId="25" borderId="9" xfId="0" applyNumberFormat="1" applyFont="1" applyFill="1" applyBorder="1"/>
    <xf numFmtId="37" fontId="11" fillId="25" borderId="1" xfId="0" applyNumberFormat="1" applyFont="1" applyFill="1" applyBorder="1"/>
    <xf numFmtId="37" fontId="11" fillId="19" borderId="39" xfId="0" applyNumberFormat="1" applyFont="1" applyFill="1" applyBorder="1"/>
    <xf numFmtId="37" fontId="11" fillId="19" borderId="25" xfId="0" applyNumberFormat="1" applyFont="1" applyFill="1" applyBorder="1"/>
    <xf numFmtId="37" fontId="14" fillId="19" borderId="25" xfId="0" applyNumberFormat="1" applyFont="1" applyFill="1" applyBorder="1"/>
    <xf numFmtId="37" fontId="11" fillId="16" borderId="39" xfId="0" applyNumberFormat="1" applyFont="1" applyFill="1" applyBorder="1" applyProtection="1">
      <protection locked="0"/>
    </xf>
    <xf numFmtId="37" fontId="11" fillId="16" borderId="25" xfId="0" applyNumberFormat="1" applyFont="1" applyFill="1" applyBorder="1" applyProtection="1">
      <protection locked="0"/>
    </xf>
    <xf numFmtId="37" fontId="14" fillId="16" borderId="25" xfId="0" applyNumberFormat="1" applyFont="1" applyFill="1" applyBorder="1" applyProtection="1">
      <protection locked="0"/>
    </xf>
    <xf numFmtId="37" fontId="14" fillId="25" borderId="25" xfId="0" applyNumberFormat="1" applyFont="1" applyFill="1" applyBorder="1"/>
    <xf numFmtId="0" fontId="0" fillId="15" borderId="30" xfId="0" applyFill="1" applyBorder="1" applyAlignment="1">
      <alignment wrapText="1"/>
    </xf>
    <xf numFmtId="0" fontId="0" fillId="0" borderId="8" xfId="0" applyBorder="1" applyAlignment="1">
      <alignment wrapText="1"/>
    </xf>
    <xf numFmtId="37" fontId="123" fillId="15" borderId="30" xfId="0" applyNumberFormat="1" applyFont="1" applyFill="1" applyBorder="1"/>
    <xf numFmtId="37" fontId="123" fillId="0" borderId="8" xfId="0" applyNumberFormat="1" applyFont="1" applyBorder="1"/>
    <xf numFmtId="37" fontId="14" fillId="25" borderId="1" xfId="0" applyNumberFormat="1" applyFont="1" applyFill="1" applyBorder="1"/>
    <xf numFmtId="0" fontId="0" fillId="15" borderId="1" xfId="0" applyFill="1" applyBorder="1" applyAlignment="1">
      <alignment horizontal="center"/>
    </xf>
    <xf numFmtId="37" fontId="123" fillId="15" borderId="3" xfId="0" applyNumberFormat="1" applyFont="1" applyFill="1" applyBorder="1"/>
    <xf numFmtId="0" fontId="123" fillId="15" borderId="0" xfId="0" applyFont="1" applyFill="1"/>
    <xf numFmtId="0" fontId="168" fillId="15" borderId="0" xfId="0" applyFont="1" applyFill="1" applyAlignment="1">
      <alignment horizontal="center"/>
    </xf>
    <xf numFmtId="37" fontId="11" fillId="16" borderId="1" xfId="0" applyNumberFormat="1" applyFont="1" applyFill="1" applyBorder="1" applyAlignment="1" applyProtection="1">
      <alignment horizontal="right"/>
      <protection locked="0"/>
    </xf>
    <xf numFmtId="0" fontId="6" fillId="15" borderId="26" xfId="0" applyFont="1" applyFill="1" applyBorder="1" applyAlignment="1">
      <alignment horizontal="center" vertical="center"/>
    </xf>
    <xf numFmtId="0" fontId="0" fillId="0" borderId="1" xfId="0" applyBorder="1" applyAlignment="1">
      <alignment horizontal="center" vertical="center"/>
    </xf>
    <xf numFmtId="166" fontId="20" fillId="27" borderId="3" xfId="0" applyNumberFormat="1" applyFont="1" applyFill="1" applyBorder="1" applyAlignment="1">
      <alignment horizontal="center" vertical="center"/>
    </xf>
    <xf numFmtId="0" fontId="0" fillId="0" borderId="0" xfId="0" applyAlignment="1">
      <alignment horizontal="center" vertical="center"/>
    </xf>
    <xf numFmtId="0" fontId="0" fillId="0" borderId="9" xfId="0" applyBorder="1" applyAlignment="1">
      <alignment horizontal="center" vertical="center"/>
    </xf>
    <xf numFmtId="0" fontId="261" fillId="15" borderId="80" xfId="0" applyFont="1" applyFill="1" applyBorder="1" applyAlignment="1">
      <alignment horizontal="center" vertical="center"/>
    </xf>
    <xf numFmtId="0" fontId="262" fillId="0" borderId="8" xfId="0" applyFont="1" applyBorder="1" applyAlignment="1">
      <alignment horizontal="center" vertical="center"/>
    </xf>
    <xf numFmtId="0" fontId="262" fillId="0" borderId="5" xfId="0" applyFont="1" applyBorder="1" applyAlignment="1">
      <alignment horizontal="center" vertical="center"/>
    </xf>
    <xf numFmtId="0" fontId="262" fillId="0" borderId="0" xfId="0" applyFont="1" applyAlignment="1">
      <alignment horizontal="center" vertical="center"/>
    </xf>
    <xf numFmtId="0" fontId="6" fillId="0" borderId="0" xfId="0" applyFont="1" applyAlignment="1">
      <alignment horizontal="left" vertical="center" wrapText="1"/>
    </xf>
    <xf numFmtId="0" fontId="6" fillId="0" borderId="4" xfId="0" applyFont="1" applyBorder="1" applyAlignment="1">
      <alignment horizontal="left" vertical="center" wrapText="1"/>
    </xf>
    <xf numFmtId="37" fontId="11" fillId="27" borderId="39" xfId="0" applyNumberFormat="1" applyFont="1" applyFill="1" applyBorder="1"/>
    <xf numFmtId="37" fontId="11" fillId="27" borderId="25" xfId="0" applyNumberFormat="1" applyFont="1" applyFill="1" applyBorder="1"/>
    <xf numFmtId="37" fontId="14" fillId="27" borderId="25" xfId="0" applyNumberFormat="1" applyFont="1" applyFill="1" applyBorder="1"/>
    <xf numFmtId="0" fontId="44" fillId="27" borderId="0" xfId="0" applyFont="1" applyFill="1"/>
    <xf numFmtId="0" fontId="0" fillId="0" borderId="0" xfId="0"/>
    <xf numFmtId="0" fontId="0" fillId="0" borderId="24" xfId="0" applyBorder="1"/>
    <xf numFmtId="0" fontId="0" fillId="0" borderId="1" xfId="0" applyBorder="1"/>
    <xf numFmtId="0" fontId="0" fillId="0" borderId="11" xfId="0" applyBorder="1"/>
    <xf numFmtId="0" fontId="123" fillId="31" borderId="8" xfId="0" applyFont="1" applyFill="1" applyBorder="1" applyAlignment="1">
      <alignment horizontal="center" vertical="center"/>
    </xf>
    <xf numFmtId="0" fontId="14" fillId="0" borderId="8" xfId="0" applyFont="1" applyBorder="1" applyAlignment="1">
      <alignment horizontal="center" vertical="center"/>
    </xf>
    <xf numFmtId="0" fontId="15" fillId="15" borderId="5" xfId="0" applyFont="1" applyFill="1" applyBorder="1" applyAlignment="1">
      <alignment horizontal="center"/>
    </xf>
    <xf numFmtId="0" fontId="15" fillId="15" borderId="0" xfId="0" applyFont="1" applyFill="1" applyAlignment="1">
      <alignment horizontal="center"/>
    </xf>
    <xf numFmtId="0" fontId="15" fillId="15" borderId="20" xfId="0" applyFont="1" applyFill="1" applyBorder="1" applyAlignment="1">
      <alignment horizontal="center"/>
    </xf>
    <xf numFmtId="0" fontId="4" fillId="15" borderId="5" xfId="0" applyFont="1" applyFill="1" applyBorder="1" applyAlignment="1">
      <alignment horizontal="center" vertical="center"/>
    </xf>
    <xf numFmtId="0" fontId="4" fillId="15" borderId="0" xfId="0" applyFont="1" applyFill="1" applyAlignment="1">
      <alignment horizontal="center" vertical="center"/>
    </xf>
    <xf numFmtId="0" fontId="4" fillId="15" borderId="20" xfId="0" applyFont="1" applyFill="1" applyBorder="1" applyAlignment="1">
      <alignment horizontal="center" vertical="center"/>
    </xf>
    <xf numFmtId="0" fontId="10" fillId="15" borderId="0" xfId="0" applyFont="1" applyFill="1" applyAlignment="1">
      <alignment horizontal="left" vertical="center" wrapText="1"/>
    </xf>
    <xf numFmtId="0" fontId="10" fillId="15" borderId="20" xfId="0" applyFont="1" applyFill="1" applyBorder="1" applyAlignment="1">
      <alignment horizontal="left" vertical="center" wrapText="1"/>
    </xf>
    <xf numFmtId="0" fontId="10" fillId="15" borderId="4" xfId="0" applyFont="1" applyFill="1" applyBorder="1" applyAlignment="1">
      <alignment horizontal="left" vertical="center" wrapText="1"/>
    </xf>
    <xf numFmtId="0" fontId="10" fillId="15" borderId="22" xfId="0" applyFont="1" applyFill="1" applyBorder="1" applyAlignment="1">
      <alignment horizontal="left" vertical="center" wrapText="1"/>
    </xf>
    <xf numFmtId="37" fontId="11" fillId="16" borderId="1" xfId="0" applyNumberFormat="1" applyFont="1" applyFill="1" applyBorder="1" applyAlignment="1" applyProtection="1">
      <alignment horizontal="right" vertical="center"/>
      <protection locked="0"/>
    </xf>
    <xf numFmtId="37" fontId="123" fillId="15" borderId="8" xfId="0" applyNumberFormat="1" applyFont="1" applyFill="1" applyBorder="1"/>
    <xf numFmtId="37" fontId="197" fillId="15" borderId="8" xfId="0" applyNumberFormat="1" applyFont="1" applyFill="1" applyBorder="1"/>
    <xf numFmtId="166" fontId="4" fillId="16" borderId="1" xfId="0" applyNumberFormat="1" applyFont="1" applyFill="1" applyBorder="1" applyAlignment="1" applyProtection="1">
      <alignment horizontal="center"/>
      <protection locked="0"/>
    </xf>
    <xf numFmtId="166" fontId="6" fillId="0" borderId="1" xfId="0" applyNumberFormat="1" applyFont="1" applyBorder="1" applyAlignment="1" applyProtection="1">
      <alignment horizontal="center"/>
      <protection locked="0"/>
    </xf>
    <xf numFmtId="0" fontId="11" fillId="15" borderId="6" xfId="0" applyFont="1" applyFill="1" applyBorder="1" applyAlignment="1">
      <alignment horizontal="center"/>
    </xf>
    <xf numFmtId="0" fontId="11" fillId="15" borderId="28" xfId="0" applyFont="1" applyFill="1" applyBorder="1" applyAlignment="1">
      <alignment horizontal="center"/>
    </xf>
    <xf numFmtId="37" fontId="11" fillId="25" borderId="3" xfId="0" applyNumberFormat="1" applyFont="1" applyFill="1" applyBorder="1" applyAlignment="1">
      <alignment horizontal="right"/>
    </xf>
    <xf numFmtId="37" fontId="11" fillId="25" borderId="0" xfId="0" applyNumberFormat="1" applyFont="1" applyFill="1" applyAlignment="1">
      <alignment horizontal="right"/>
    </xf>
    <xf numFmtId="37" fontId="11" fillId="25" borderId="69" xfId="0" applyNumberFormat="1" applyFont="1" applyFill="1" applyBorder="1" applyAlignment="1">
      <alignment horizontal="right"/>
    </xf>
    <xf numFmtId="37" fontId="11" fillId="25" borderId="4" xfId="0" applyNumberFormat="1" applyFont="1" applyFill="1" applyBorder="1" applyAlignment="1">
      <alignment horizontal="right"/>
    </xf>
    <xf numFmtId="3" fontId="11" fillId="16" borderId="1" xfId="0" applyNumberFormat="1" applyFont="1" applyFill="1" applyBorder="1" applyProtection="1">
      <protection locked="0"/>
    </xf>
    <xf numFmtId="3" fontId="11" fillId="16" borderId="11" xfId="0" applyNumberFormat="1" applyFont="1" applyFill="1" applyBorder="1" applyProtection="1">
      <protection locked="0"/>
    </xf>
    <xf numFmtId="37" fontId="11" fillId="27" borderId="9" xfId="0" applyNumberFormat="1" applyFont="1" applyFill="1" applyBorder="1" applyAlignment="1">
      <alignment horizontal="right"/>
    </xf>
    <xf numFmtId="0" fontId="0" fillId="27" borderId="1" xfId="0" applyFill="1" applyBorder="1" applyAlignment="1">
      <alignment horizontal="right"/>
    </xf>
    <xf numFmtId="37" fontId="125" fillId="15" borderId="3" xfId="0" applyNumberFormat="1" applyFont="1" applyFill="1" applyBorder="1"/>
    <xf numFmtId="37" fontId="110" fillId="0" borderId="0" xfId="0" applyNumberFormat="1" applyFont="1"/>
    <xf numFmtId="3" fontId="11" fillId="15" borderId="3" xfId="0" applyNumberFormat="1" applyFont="1" applyFill="1" applyBorder="1" applyProtection="1">
      <protection locked="0"/>
    </xf>
    <xf numFmtId="3" fontId="11" fillId="15" borderId="0" xfId="0" applyNumberFormat="1" applyFont="1" applyFill="1" applyProtection="1">
      <protection locked="0"/>
    </xf>
    <xf numFmtId="3" fontId="11" fillId="15" borderId="24" xfId="0" applyNumberFormat="1" applyFont="1" applyFill="1" applyBorder="1" applyProtection="1">
      <protection locked="0"/>
    </xf>
    <xf numFmtId="0" fontId="47" fillId="16" borderId="87" xfId="0" applyFont="1" applyFill="1" applyBorder="1" applyProtection="1">
      <protection locked="0"/>
    </xf>
    <xf numFmtId="0" fontId="0" fillId="16" borderId="87" xfId="0" applyFill="1" applyBorder="1" applyProtection="1">
      <protection locked="0"/>
    </xf>
    <xf numFmtId="3" fontId="11" fillId="27" borderId="1" xfId="0" applyNumberFormat="1" applyFont="1" applyFill="1" applyBorder="1"/>
    <xf numFmtId="3" fontId="11" fillId="27" borderId="11" xfId="0" applyNumberFormat="1" applyFont="1" applyFill="1" applyBorder="1"/>
    <xf numFmtId="0" fontId="15" fillId="27" borderId="25" xfId="0" applyFont="1" applyFill="1" applyBorder="1" applyAlignment="1">
      <alignment horizontal="center"/>
    </xf>
    <xf numFmtId="0" fontId="4" fillId="27" borderId="25" xfId="0" applyFont="1" applyFill="1" applyBorder="1" applyAlignment="1">
      <alignment horizontal="center"/>
    </xf>
    <xf numFmtId="37" fontId="11" fillId="27" borderId="1" xfId="0" applyNumberFormat="1" applyFont="1" applyFill="1" applyBorder="1"/>
    <xf numFmtId="37" fontId="11" fillId="27" borderId="11" xfId="0" applyNumberFormat="1" applyFont="1" applyFill="1" applyBorder="1"/>
    <xf numFmtId="37" fontId="0" fillId="27" borderId="1" xfId="0" applyNumberFormat="1" applyFill="1" applyBorder="1" applyAlignment="1">
      <alignment horizontal="right"/>
    </xf>
    <xf numFmtId="0" fontId="123" fillId="31" borderId="0" xfId="0" applyFont="1" applyFill="1" applyAlignment="1">
      <alignment horizontal="center" vertical="center"/>
    </xf>
    <xf numFmtId="0" fontId="14" fillId="0" borderId="0" xfId="0" applyFont="1" applyAlignment="1">
      <alignment horizontal="center" vertical="center"/>
    </xf>
    <xf numFmtId="0" fontId="4" fillId="15" borderId="195" xfId="0" applyFont="1" applyFill="1" applyBorder="1" applyAlignment="1">
      <alignment horizontal="center" wrapText="1"/>
    </xf>
    <xf numFmtId="0" fontId="4" fillId="15" borderId="194" xfId="0" applyFont="1" applyFill="1" applyBorder="1" applyAlignment="1">
      <alignment horizontal="center" wrapText="1"/>
    </xf>
    <xf numFmtId="0" fontId="4" fillId="15" borderId="196" xfId="0" applyFont="1" applyFill="1" applyBorder="1" applyAlignment="1">
      <alignment horizontal="center" wrapText="1"/>
    </xf>
    <xf numFmtId="0" fontId="4" fillId="15" borderId="79" xfId="0" applyFont="1" applyFill="1" applyBorder="1" applyAlignment="1">
      <alignment horizontal="center" wrapText="1"/>
    </xf>
    <xf numFmtId="1" fontId="4" fillId="15" borderId="4" xfId="0" applyNumberFormat="1" applyFont="1" applyFill="1" applyBorder="1" applyAlignment="1">
      <alignment horizontal="center"/>
    </xf>
    <xf numFmtId="37" fontId="11" fillId="16" borderId="1" xfId="0" applyNumberFormat="1" applyFont="1" applyFill="1" applyBorder="1" applyProtection="1">
      <protection locked="0"/>
    </xf>
    <xf numFmtId="37" fontId="11" fillId="16" borderId="11" xfId="0" applyNumberFormat="1" applyFont="1" applyFill="1" applyBorder="1" applyProtection="1">
      <protection locked="0"/>
    </xf>
    <xf numFmtId="37" fontId="11" fillId="27" borderId="1" xfId="0" applyNumberFormat="1" applyFont="1" applyFill="1" applyBorder="1" applyAlignment="1">
      <alignment horizontal="right"/>
    </xf>
    <xf numFmtId="37" fontId="11" fillId="16" borderId="9" xfId="0" applyNumberFormat="1" applyFont="1" applyFill="1" applyBorder="1" applyProtection="1">
      <protection locked="0"/>
    </xf>
    <xf numFmtId="3" fontId="11" fillId="15" borderId="30" xfId="0" applyNumberFormat="1" applyFont="1" applyFill="1" applyBorder="1" applyProtection="1">
      <protection locked="0"/>
    </xf>
    <xf numFmtId="3" fontId="11" fillId="15" borderId="8" xfId="0" applyNumberFormat="1" applyFont="1" applyFill="1" applyBorder="1" applyProtection="1">
      <protection locked="0"/>
    </xf>
    <xf numFmtId="3" fontId="11" fillId="15" borderId="14" xfId="0" applyNumberFormat="1" applyFont="1" applyFill="1" applyBorder="1" applyProtection="1">
      <protection locked="0"/>
    </xf>
    <xf numFmtId="0" fontId="11" fillId="15" borderId="20" xfId="0" applyFont="1" applyFill="1" applyBorder="1" applyAlignment="1">
      <alignment horizontal="left" vertical="top" wrapText="1"/>
    </xf>
    <xf numFmtId="0" fontId="15" fillId="27" borderId="1" xfId="0" applyFont="1" applyFill="1" applyBorder="1" applyAlignment="1">
      <alignment horizontal="center"/>
    </xf>
    <xf numFmtId="0" fontId="4" fillId="27" borderId="1" xfId="0" applyFont="1" applyFill="1" applyBorder="1" applyAlignment="1">
      <alignment horizontal="center"/>
    </xf>
    <xf numFmtId="182" fontId="0" fillId="15" borderId="1" xfId="0" applyNumberFormat="1" applyFill="1" applyBorder="1" applyAlignment="1" applyProtection="1">
      <alignment horizontal="center"/>
      <protection locked="0"/>
    </xf>
    <xf numFmtId="0" fontId="4" fillId="23" borderId="0" xfId="0" applyFont="1" applyFill="1" applyAlignment="1">
      <alignment horizontal="center" vertical="top" textRotation="90"/>
    </xf>
    <xf numFmtId="37" fontId="197" fillId="15" borderId="3" xfId="0" applyNumberFormat="1" applyFont="1" applyFill="1" applyBorder="1" applyAlignment="1">
      <alignment horizontal="center"/>
    </xf>
    <xf numFmtId="37" fontId="197" fillId="15" borderId="0" xfId="0" applyNumberFormat="1" applyFont="1" applyFill="1" applyAlignment="1">
      <alignment horizontal="center"/>
    </xf>
    <xf numFmtId="0" fontId="163" fillId="15" borderId="3" xfId="0" applyFont="1" applyFill="1" applyBorder="1" applyAlignment="1" applyProtection="1">
      <alignment horizontal="center" vertical="center" wrapText="1"/>
      <protection locked="0"/>
    </xf>
    <xf numFmtId="0" fontId="163" fillId="15" borderId="0" xfId="0" applyFont="1" applyFill="1" applyAlignment="1" applyProtection="1">
      <alignment horizontal="center" vertical="center" wrapText="1"/>
      <protection locked="0"/>
    </xf>
    <xf numFmtId="0" fontId="163" fillId="15" borderId="24" xfId="0" applyFont="1" applyFill="1" applyBorder="1" applyAlignment="1" applyProtection="1">
      <alignment horizontal="center" vertical="center" wrapText="1"/>
      <protection locked="0"/>
    </xf>
    <xf numFmtId="37" fontId="123" fillId="15" borderId="3" xfId="0" applyNumberFormat="1" applyFont="1" applyFill="1" applyBorder="1" applyAlignment="1">
      <alignment horizontal="center"/>
    </xf>
    <xf numFmtId="37" fontId="123" fillId="15" borderId="0" xfId="0" applyNumberFormat="1" applyFont="1" applyFill="1" applyAlignment="1">
      <alignment horizontal="center"/>
    </xf>
    <xf numFmtId="0" fontId="67" fillId="15" borderId="5" xfId="2" applyFill="1" applyBorder="1" applyAlignment="1" applyProtection="1">
      <alignment horizontal="center" vertical="center"/>
    </xf>
    <xf numFmtId="0" fontId="67" fillId="15" borderId="0" xfId="2" applyFill="1" applyBorder="1" applyAlignment="1" applyProtection="1">
      <alignment horizontal="center" vertical="center"/>
    </xf>
    <xf numFmtId="0" fontId="67" fillId="15" borderId="20" xfId="2" applyFill="1" applyBorder="1" applyAlignment="1" applyProtection="1">
      <alignment horizontal="center" vertical="center"/>
    </xf>
    <xf numFmtId="0" fontId="67" fillId="15" borderId="21" xfId="2" applyFill="1" applyBorder="1" applyAlignment="1" applyProtection="1">
      <alignment horizontal="center" vertical="center"/>
    </xf>
    <xf numFmtId="0" fontId="67" fillId="15" borderId="4" xfId="2" applyFill="1" applyBorder="1" applyAlignment="1" applyProtection="1">
      <alignment horizontal="center" vertical="center"/>
    </xf>
    <xf numFmtId="0" fontId="67" fillId="15" borderId="22" xfId="2" applyFill="1" applyBorder="1" applyAlignment="1" applyProtection="1">
      <alignment horizontal="center" vertical="center"/>
    </xf>
    <xf numFmtId="0" fontId="67" fillId="15" borderId="23" xfId="2" applyFill="1" applyBorder="1" applyAlignment="1" applyProtection="1">
      <alignment horizontal="center" vertical="center"/>
    </xf>
    <xf numFmtId="0" fontId="67" fillId="15" borderId="7" xfId="2" applyFill="1" applyBorder="1" applyAlignment="1" applyProtection="1">
      <alignment horizontal="center" vertical="center"/>
    </xf>
    <xf numFmtId="0" fontId="67" fillId="15" borderId="19" xfId="2" applyFill="1" applyBorder="1" applyAlignment="1" applyProtection="1">
      <alignment horizontal="center" vertical="center"/>
    </xf>
    <xf numFmtId="0" fontId="6" fillId="15" borderId="30" xfId="0" applyFont="1" applyFill="1" applyBorder="1" applyAlignment="1">
      <alignment horizontal="center" vertical="center" wrapText="1"/>
    </xf>
    <xf numFmtId="0" fontId="6" fillId="15" borderId="8" xfId="0" applyFont="1" applyFill="1" applyBorder="1" applyAlignment="1">
      <alignment horizontal="center" vertical="center" wrapText="1"/>
    </xf>
    <xf numFmtId="0" fontId="6" fillId="15" borderId="14" xfId="0" applyFont="1" applyFill="1" applyBorder="1" applyAlignment="1">
      <alignment horizontal="center" vertical="center" wrapText="1"/>
    </xf>
    <xf numFmtId="0" fontId="6" fillId="15" borderId="3" xfId="0" applyFont="1" applyFill="1" applyBorder="1" applyAlignment="1">
      <alignment horizontal="center" vertical="center" wrapText="1"/>
    </xf>
    <xf numFmtId="0" fontId="6" fillId="15" borderId="0" xfId="0" applyFont="1" applyFill="1" applyAlignment="1">
      <alignment horizontal="center" vertical="center" wrapText="1"/>
    </xf>
    <xf numFmtId="0" fontId="6" fillId="15" borderId="24" xfId="0" applyFont="1" applyFill="1" applyBorder="1" applyAlignment="1">
      <alignment horizontal="center" vertical="center" wrapText="1"/>
    </xf>
    <xf numFmtId="0" fontId="6" fillId="15" borderId="9" xfId="0" applyFont="1" applyFill="1" applyBorder="1" applyAlignment="1">
      <alignment horizontal="center" vertical="center" wrapText="1"/>
    </xf>
    <xf numFmtId="0" fontId="6" fillId="15" borderId="1" xfId="0" applyFont="1" applyFill="1" applyBorder="1" applyAlignment="1">
      <alignment horizontal="center" vertical="center" wrapText="1"/>
    </xf>
    <xf numFmtId="0" fontId="6" fillId="15" borderId="11" xfId="0" applyFont="1" applyFill="1" applyBorder="1" applyAlignment="1">
      <alignment horizontal="center" vertical="center" wrapText="1"/>
    </xf>
    <xf numFmtId="0" fontId="47" fillId="15" borderId="30" xfId="0" applyFont="1" applyFill="1" applyBorder="1" applyAlignment="1">
      <alignment horizontal="center" vertical="center"/>
    </xf>
    <xf numFmtId="0" fontId="47" fillId="15" borderId="8" xfId="0" applyFont="1" applyFill="1" applyBorder="1" applyAlignment="1">
      <alignment horizontal="center" vertical="center"/>
    </xf>
    <xf numFmtId="0" fontId="47" fillId="15" borderId="9" xfId="0" applyFont="1" applyFill="1" applyBorder="1" applyAlignment="1">
      <alignment horizontal="center" vertical="center"/>
    </xf>
    <xf numFmtId="0" fontId="47" fillId="15" borderId="1" xfId="0" applyFont="1" applyFill="1" applyBorder="1" applyAlignment="1">
      <alignment horizontal="center" vertical="center"/>
    </xf>
    <xf numFmtId="0" fontId="15" fillId="15" borderId="0" xfId="0" applyFont="1" applyFill="1" applyAlignment="1">
      <alignment vertical="center" wrapText="1"/>
    </xf>
    <xf numFmtId="0" fontId="47" fillId="0" borderId="0" xfId="0" applyFont="1"/>
    <xf numFmtId="0" fontId="47" fillId="0" borderId="20" xfId="0" applyFont="1" applyBorder="1"/>
    <xf numFmtId="0" fontId="352" fillId="15" borderId="80" xfId="0" applyFont="1" applyFill="1" applyBorder="1" applyAlignment="1">
      <alignment horizontal="center" vertical="center"/>
    </xf>
    <xf numFmtId="0" fontId="353" fillId="0" borderId="8" xfId="0" applyFont="1" applyBorder="1" applyAlignment="1">
      <alignment horizontal="center" vertical="center"/>
    </xf>
    <xf numFmtId="0" fontId="353" fillId="0" borderId="5" xfId="0" applyFont="1" applyBorder="1" applyAlignment="1">
      <alignment horizontal="center" vertical="center"/>
    </xf>
    <xf numFmtId="0" fontId="353" fillId="0" borderId="0" xfId="0" applyFont="1" applyAlignment="1">
      <alignment horizontal="center" vertical="center"/>
    </xf>
    <xf numFmtId="0" fontId="166" fillId="15" borderId="0" xfId="0" applyFont="1" applyFill="1" applyAlignment="1" applyProtection="1">
      <alignment horizontal="center" vertical="center" wrapText="1"/>
      <protection locked="0"/>
    </xf>
    <xf numFmtId="0" fontId="166" fillId="15" borderId="20" xfId="0" applyFont="1" applyFill="1" applyBorder="1" applyAlignment="1" applyProtection="1">
      <alignment horizontal="center" vertical="center" wrapText="1"/>
      <protection locked="0"/>
    </xf>
    <xf numFmtId="37" fontId="11" fillId="27" borderId="9" xfId="0" applyNumberFormat="1" applyFont="1" applyFill="1" applyBorder="1"/>
    <xf numFmtId="37" fontId="14" fillId="27" borderId="1" xfId="0" applyNumberFormat="1" applyFont="1" applyFill="1" applyBorder="1"/>
    <xf numFmtId="0" fontId="15" fillId="15" borderId="5" xfId="0" applyFont="1" applyFill="1" applyBorder="1" applyAlignment="1">
      <alignment horizontal="center" vertical="center"/>
    </xf>
    <xf numFmtId="0" fontId="15" fillId="15" borderId="0" xfId="0" applyFont="1" applyFill="1" applyAlignment="1">
      <alignment horizontal="center" vertical="center"/>
    </xf>
    <xf numFmtId="0" fontId="15" fillId="15" borderId="20" xfId="0" applyFont="1" applyFill="1" applyBorder="1" applyAlignment="1">
      <alignment horizontal="center" vertical="center"/>
    </xf>
    <xf numFmtId="0" fontId="6" fillId="15" borderId="5" xfId="0" applyFont="1" applyFill="1" applyBorder="1" applyAlignment="1">
      <alignment horizontal="right" wrapText="1"/>
    </xf>
    <xf numFmtId="0" fontId="6" fillId="15" borderId="0" xfId="0" applyFont="1" applyFill="1" applyAlignment="1">
      <alignment horizontal="right" wrapText="1"/>
    </xf>
    <xf numFmtId="0" fontId="6" fillId="15" borderId="21" xfId="0" applyFont="1" applyFill="1" applyBorder="1" applyAlignment="1">
      <alignment horizontal="right" wrapText="1"/>
    </xf>
    <xf numFmtId="0" fontId="6" fillId="15" borderId="4" xfId="0" applyFont="1" applyFill="1" applyBorder="1" applyAlignment="1">
      <alignment horizontal="right" wrapText="1"/>
    </xf>
    <xf numFmtId="0" fontId="11" fillId="15" borderId="0" xfId="0" applyFont="1" applyFill="1" applyAlignment="1">
      <alignment horizontal="center" wrapText="1"/>
    </xf>
    <xf numFmtId="0" fontId="6" fillId="15" borderId="0" xfId="0" applyFont="1" applyFill="1" applyAlignment="1">
      <alignment horizontal="center" wrapText="1"/>
    </xf>
    <xf numFmtId="0" fontId="6" fillId="15" borderId="4" xfId="0" applyFont="1" applyFill="1" applyBorder="1" applyAlignment="1">
      <alignment horizontal="center" wrapText="1"/>
    </xf>
    <xf numFmtId="37" fontId="11" fillId="16" borderId="3" xfId="0" applyNumberFormat="1" applyFont="1" applyFill="1" applyBorder="1" applyAlignment="1" applyProtection="1">
      <alignment horizontal="right"/>
      <protection locked="0"/>
    </xf>
    <xf numFmtId="37" fontId="11" fillId="16" borderId="0" xfId="0" applyNumberFormat="1" applyFont="1" applyFill="1" applyAlignment="1" applyProtection="1">
      <alignment horizontal="right"/>
      <protection locked="0"/>
    </xf>
    <xf numFmtId="37" fontId="11" fillId="16" borderId="24" xfId="0" applyNumberFormat="1" applyFont="1" applyFill="1" applyBorder="1" applyAlignment="1" applyProtection="1">
      <alignment horizontal="right"/>
      <protection locked="0"/>
    </xf>
    <xf numFmtId="37" fontId="6" fillId="27" borderId="1" xfId="0" applyNumberFormat="1" applyFont="1" applyFill="1" applyBorder="1" applyAlignment="1">
      <alignment horizontal="right"/>
    </xf>
    <xf numFmtId="0" fontId="6" fillId="15" borderId="30" xfId="0" applyFont="1" applyFill="1" applyBorder="1" applyAlignment="1">
      <alignment horizontal="center" vertical="center"/>
    </xf>
    <xf numFmtId="0" fontId="0" fillId="15" borderId="8" xfId="0" applyFill="1" applyBorder="1" applyAlignment="1">
      <alignment horizontal="center" vertical="center"/>
    </xf>
    <xf numFmtId="0" fontId="0" fillId="15" borderId="3" xfId="0" applyFill="1" applyBorder="1" applyAlignment="1">
      <alignment horizontal="center" vertical="center"/>
    </xf>
    <xf numFmtId="0" fontId="0" fillId="15" borderId="0" xfId="0" applyFill="1" applyAlignment="1">
      <alignment horizontal="center" vertical="center"/>
    </xf>
    <xf numFmtId="0" fontId="0" fillId="15" borderId="9" xfId="0" applyFill="1" applyBorder="1" applyAlignment="1">
      <alignment horizontal="center" vertical="center"/>
    </xf>
    <xf numFmtId="0" fontId="0" fillId="15" borderId="1" xfId="0" applyFill="1" applyBorder="1" applyAlignment="1">
      <alignment horizontal="center" vertical="center"/>
    </xf>
    <xf numFmtId="37" fontId="11" fillId="27" borderId="39" xfId="0" applyNumberFormat="1" applyFont="1" applyFill="1" applyBorder="1" applyAlignment="1">
      <alignment horizontal="right"/>
    </xf>
    <xf numFmtId="37" fontId="11" fillId="27" borderId="25" xfId="0" applyNumberFormat="1" applyFont="1" applyFill="1" applyBorder="1" applyAlignment="1">
      <alignment horizontal="right"/>
    </xf>
    <xf numFmtId="37" fontId="11" fillId="27" borderId="54" xfId="0" applyNumberFormat="1" applyFont="1" applyFill="1" applyBorder="1" applyAlignment="1">
      <alignment horizontal="right"/>
    </xf>
    <xf numFmtId="37" fontId="11" fillId="27" borderId="11" xfId="0" applyNumberFormat="1" applyFont="1" applyFill="1" applyBorder="1" applyAlignment="1">
      <alignment horizontal="right"/>
    </xf>
    <xf numFmtId="37" fontId="14" fillId="15" borderId="3" xfId="0" applyNumberFormat="1" applyFont="1" applyFill="1" applyBorder="1"/>
    <xf numFmtId="0" fontId="14" fillId="15" borderId="0" xfId="0" applyFont="1" applyFill="1"/>
    <xf numFmtId="39" fontId="4" fillId="27" borderId="39" xfId="0" applyNumberFormat="1" applyFont="1" applyFill="1" applyBorder="1" applyAlignment="1">
      <alignment horizontal="right"/>
    </xf>
    <xf numFmtId="39" fontId="4" fillId="27" borderId="54" xfId="0" applyNumberFormat="1" applyFont="1" applyFill="1" applyBorder="1" applyAlignment="1">
      <alignment horizontal="right"/>
    </xf>
    <xf numFmtId="14" fontId="4" fillId="16" borderId="39" xfId="0" applyNumberFormat="1" applyFont="1" applyFill="1" applyBorder="1" applyAlignment="1" applyProtection="1">
      <alignment horizontal="left"/>
      <protection locked="0"/>
    </xf>
    <xf numFmtId="14" fontId="4" fillId="16" borderId="54" xfId="0" applyNumberFormat="1" applyFont="1" applyFill="1" applyBorder="1" applyAlignment="1" applyProtection="1">
      <alignment horizontal="left"/>
      <protection locked="0"/>
    </xf>
    <xf numFmtId="39" fontId="4" fillId="16" borderId="39" xfId="0" applyNumberFormat="1" applyFont="1" applyFill="1" applyBorder="1" applyAlignment="1" applyProtection="1">
      <alignment horizontal="right" wrapText="1"/>
      <protection locked="0"/>
    </xf>
    <xf numFmtId="39" fontId="4" fillId="16" borderId="54" xfId="0" applyNumberFormat="1" applyFont="1" applyFill="1" applyBorder="1" applyAlignment="1" applyProtection="1">
      <alignment horizontal="right" wrapText="1"/>
      <protection locked="0"/>
    </xf>
    <xf numFmtId="39" fontId="4" fillId="16" borderId="39" xfId="0" applyNumberFormat="1" applyFont="1" applyFill="1" applyBorder="1" applyAlignment="1" applyProtection="1">
      <alignment horizontal="right"/>
      <protection locked="0"/>
    </xf>
    <xf numFmtId="39" fontId="4" fillId="16" borderId="54" xfId="0" applyNumberFormat="1" applyFont="1" applyFill="1" applyBorder="1" applyAlignment="1" applyProtection="1">
      <alignment horizontal="right"/>
      <protection locked="0"/>
    </xf>
    <xf numFmtId="14" fontId="11" fillId="24" borderId="30" xfId="0" applyNumberFormat="1" applyFont="1" applyFill="1" applyBorder="1" applyAlignment="1" applyProtection="1">
      <alignment horizontal="left" vertical="center" wrapText="1"/>
      <protection locked="0"/>
    </xf>
    <xf numFmtId="14" fontId="11" fillId="24" borderId="8" xfId="0" applyNumberFormat="1" applyFont="1" applyFill="1" applyBorder="1" applyAlignment="1" applyProtection="1">
      <alignment horizontal="left" vertical="center" wrapText="1"/>
      <protection locked="0"/>
    </xf>
    <xf numFmtId="14" fontId="11" fillId="24" borderId="14" xfId="0" applyNumberFormat="1" applyFont="1" applyFill="1" applyBorder="1" applyAlignment="1" applyProtection="1">
      <alignment horizontal="left" vertical="center" wrapText="1"/>
      <protection locked="0"/>
    </xf>
    <xf numFmtId="14" fontId="11" fillId="24" borderId="3" xfId="0" applyNumberFormat="1" applyFont="1" applyFill="1" applyBorder="1" applyAlignment="1" applyProtection="1">
      <alignment horizontal="left" vertical="center" wrapText="1"/>
      <protection locked="0"/>
    </xf>
    <xf numFmtId="14" fontId="11" fillId="24" borderId="0" xfId="0" applyNumberFormat="1" applyFont="1" applyFill="1" applyAlignment="1" applyProtection="1">
      <alignment horizontal="left" vertical="center" wrapText="1"/>
      <protection locked="0"/>
    </xf>
    <xf numFmtId="14" fontId="11" fillId="24" borderId="24" xfId="0" applyNumberFormat="1" applyFont="1" applyFill="1" applyBorder="1" applyAlignment="1" applyProtection="1">
      <alignment horizontal="left" vertical="center" wrapText="1"/>
      <protection locked="0"/>
    </xf>
    <xf numFmtId="14" fontId="11" fillId="24" borderId="9" xfId="0" applyNumberFormat="1" applyFont="1" applyFill="1" applyBorder="1" applyAlignment="1" applyProtection="1">
      <alignment horizontal="left" vertical="center" wrapText="1"/>
      <protection locked="0"/>
    </xf>
    <xf numFmtId="14" fontId="11" fillId="24" borderId="1" xfId="0" applyNumberFormat="1" applyFont="1" applyFill="1" applyBorder="1" applyAlignment="1" applyProtection="1">
      <alignment horizontal="left" vertical="center" wrapText="1"/>
      <protection locked="0"/>
    </xf>
    <xf numFmtId="14" fontId="11" fillId="24" borderId="11" xfId="0" applyNumberFormat="1" applyFont="1" applyFill="1" applyBorder="1" applyAlignment="1" applyProtection="1">
      <alignment horizontal="left" vertical="center" wrapText="1"/>
      <protection locked="0"/>
    </xf>
    <xf numFmtId="0" fontId="361" fillId="15" borderId="0" xfId="0" quotePrefix="1" applyFont="1" applyFill="1" applyAlignment="1">
      <alignment horizontal="center" vertical="center" wrapText="1"/>
    </xf>
    <xf numFmtId="14" fontId="4" fillId="24" borderId="30" xfId="0" applyNumberFormat="1" applyFont="1" applyFill="1" applyBorder="1" applyAlignment="1" applyProtection="1">
      <alignment horizontal="center" vertical="top"/>
      <protection locked="0"/>
    </xf>
    <xf numFmtId="14" fontId="4" fillId="24" borderId="14" xfId="0" applyNumberFormat="1" applyFont="1" applyFill="1" applyBorder="1" applyAlignment="1" applyProtection="1">
      <alignment horizontal="center" vertical="top"/>
      <protection locked="0"/>
    </xf>
    <xf numFmtId="14" fontId="4" fillId="24" borderId="3" xfId="0" applyNumberFormat="1" applyFont="1" applyFill="1" applyBorder="1" applyAlignment="1" applyProtection="1">
      <alignment horizontal="center" vertical="top"/>
      <protection locked="0"/>
    </xf>
    <xf numFmtId="14" fontId="4" fillId="24" borderId="24" xfId="0" applyNumberFormat="1" applyFont="1" applyFill="1" applyBorder="1" applyAlignment="1" applyProtection="1">
      <alignment horizontal="center" vertical="top"/>
      <protection locked="0"/>
    </xf>
    <xf numFmtId="14" fontId="4" fillId="24" borderId="9" xfId="0" applyNumberFormat="1" applyFont="1" applyFill="1" applyBorder="1" applyAlignment="1" applyProtection="1">
      <alignment horizontal="center" vertical="top"/>
      <protection locked="0"/>
    </xf>
    <xf numFmtId="14" fontId="4" fillId="24" borderId="11" xfId="0" applyNumberFormat="1" applyFont="1" applyFill="1" applyBorder="1" applyAlignment="1" applyProtection="1">
      <alignment horizontal="center" vertical="top"/>
      <protection locked="0"/>
    </xf>
    <xf numFmtId="14" fontId="9" fillId="24" borderId="30" xfId="0" applyNumberFormat="1" applyFont="1" applyFill="1" applyBorder="1" applyAlignment="1" applyProtection="1">
      <alignment horizontal="left" vertical="top" wrapText="1"/>
      <protection locked="0"/>
    </xf>
    <xf numFmtId="14" fontId="9" fillId="24" borderId="14" xfId="0" applyNumberFormat="1" applyFont="1" applyFill="1" applyBorder="1" applyAlignment="1" applyProtection="1">
      <alignment horizontal="left" vertical="top" wrapText="1"/>
      <protection locked="0"/>
    </xf>
    <xf numFmtId="14" fontId="9" fillId="24" borderId="3" xfId="0" applyNumberFormat="1" applyFont="1" applyFill="1" applyBorder="1" applyAlignment="1" applyProtection="1">
      <alignment horizontal="left" vertical="top" wrapText="1"/>
      <protection locked="0"/>
    </xf>
    <xf numFmtId="14" fontId="9" fillId="24" borderId="24" xfId="0" applyNumberFormat="1" applyFont="1" applyFill="1" applyBorder="1" applyAlignment="1" applyProtection="1">
      <alignment horizontal="left" vertical="top" wrapText="1"/>
      <protection locked="0"/>
    </xf>
    <xf numFmtId="14" fontId="9" fillId="24" borderId="9" xfId="0" applyNumberFormat="1" applyFont="1" applyFill="1" applyBorder="1" applyAlignment="1" applyProtection="1">
      <alignment horizontal="left" vertical="top" wrapText="1"/>
      <protection locked="0"/>
    </xf>
    <xf numFmtId="14" fontId="9" fillId="24" borderId="11" xfId="0" applyNumberFormat="1" applyFont="1" applyFill="1" applyBorder="1" applyAlignment="1" applyProtection="1">
      <alignment horizontal="left" vertical="top" wrapText="1"/>
      <protection locked="0"/>
    </xf>
    <xf numFmtId="14" fontId="4" fillId="24" borderId="30" xfId="0" applyNumberFormat="1" applyFont="1" applyFill="1" applyBorder="1" applyAlignment="1" applyProtection="1">
      <alignment horizontal="left" vertical="top" wrapText="1"/>
      <protection locked="0"/>
    </xf>
    <xf numFmtId="14" fontId="4" fillId="24" borderId="14" xfId="0" applyNumberFormat="1" applyFont="1" applyFill="1" applyBorder="1" applyAlignment="1" applyProtection="1">
      <alignment horizontal="left" vertical="top" wrapText="1"/>
      <protection locked="0"/>
    </xf>
    <xf numFmtId="14" fontId="4" fillId="24" borderId="3" xfId="0" applyNumberFormat="1" applyFont="1" applyFill="1" applyBorder="1" applyAlignment="1" applyProtection="1">
      <alignment horizontal="left" vertical="top" wrapText="1"/>
      <protection locked="0"/>
    </xf>
    <xf numFmtId="14" fontId="4" fillId="24" borderId="24" xfId="0" applyNumberFormat="1" applyFont="1" applyFill="1" applyBorder="1" applyAlignment="1" applyProtection="1">
      <alignment horizontal="left" vertical="top" wrapText="1"/>
      <protection locked="0"/>
    </xf>
    <xf numFmtId="14" fontId="4" fillId="24" borderId="9" xfId="0" applyNumberFormat="1" applyFont="1" applyFill="1" applyBorder="1" applyAlignment="1" applyProtection="1">
      <alignment horizontal="left" vertical="top" wrapText="1"/>
      <protection locked="0"/>
    </xf>
    <xf numFmtId="14" fontId="4" fillId="24" borderId="11" xfId="0" applyNumberFormat="1" applyFont="1" applyFill="1" applyBorder="1" applyAlignment="1" applyProtection="1">
      <alignment horizontal="left" vertical="top" wrapText="1"/>
      <protection locked="0"/>
    </xf>
    <xf numFmtId="14" fontId="9" fillId="24" borderId="15" xfId="0" applyNumberFormat="1" applyFont="1" applyFill="1" applyBorder="1" applyAlignment="1" applyProtection="1">
      <alignment horizontal="left" vertical="top" wrapText="1"/>
      <protection locked="0"/>
    </xf>
    <xf numFmtId="14" fontId="9" fillId="24" borderId="6" xfId="0" applyNumberFormat="1" applyFont="1" applyFill="1" applyBorder="1" applyAlignment="1" applyProtection="1">
      <alignment horizontal="left" vertical="top" wrapText="1"/>
      <protection locked="0"/>
    </xf>
    <xf numFmtId="14" fontId="9" fillId="24" borderId="12" xfId="0" applyNumberFormat="1" applyFont="1" applyFill="1" applyBorder="1" applyAlignment="1" applyProtection="1">
      <alignment horizontal="left" wrapText="1"/>
      <protection locked="0"/>
    </xf>
    <xf numFmtId="39" fontId="4" fillId="27" borderId="12" xfId="0" applyNumberFormat="1" applyFont="1" applyFill="1" applyBorder="1" applyAlignment="1">
      <alignment horizontal="right" vertical="center"/>
    </xf>
    <xf numFmtId="14" fontId="11" fillId="24" borderId="15" xfId="0" quotePrefix="1" applyNumberFormat="1" applyFont="1" applyFill="1" applyBorder="1" applyAlignment="1" applyProtection="1">
      <alignment horizontal="left" vertical="top"/>
      <protection locked="0"/>
    </xf>
    <xf numFmtId="14" fontId="11" fillId="24" borderId="6" xfId="0" quotePrefix="1" applyNumberFormat="1" applyFont="1" applyFill="1" applyBorder="1" applyAlignment="1" applyProtection="1">
      <alignment horizontal="left" vertical="top"/>
      <protection locked="0"/>
    </xf>
    <xf numFmtId="14" fontId="12" fillId="24" borderId="15" xfId="0" applyNumberFormat="1" applyFont="1" applyFill="1" applyBorder="1" applyAlignment="1" applyProtection="1">
      <alignment horizontal="left" vertical="top" wrapText="1"/>
      <protection locked="0"/>
    </xf>
    <xf numFmtId="14" fontId="12" fillId="24" borderId="6" xfId="0" applyNumberFormat="1" applyFont="1" applyFill="1" applyBorder="1" applyAlignment="1" applyProtection="1">
      <alignment horizontal="left" vertical="top" wrapText="1"/>
      <protection locked="0"/>
    </xf>
    <xf numFmtId="14" fontId="11" fillId="24" borderId="15" xfId="0" quotePrefix="1" applyNumberFormat="1" applyFont="1" applyFill="1" applyBorder="1" applyAlignment="1" applyProtection="1">
      <alignment horizontal="center" vertical="top"/>
      <protection locked="0"/>
    </xf>
    <xf numFmtId="14" fontId="11" fillId="24" borderId="6" xfId="0" quotePrefix="1" applyNumberFormat="1" applyFont="1" applyFill="1" applyBorder="1" applyAlignment="1" applyProtection="1">
      <alignment horizontal="center" vertical="top"/>
      <protection locked="0"/>
    </xf>
    <xf numFmtId="14" fontId="11" fillId="24" borderId="10" xfId="0" quotePrefix="1" applyNumberFormat="1" applyFont="1" applyFill="1" applyBorder="1" applyAlignment="1" applyProtection="1">
      <alignment horizontal="center" vertical="top"/>
      <protection locked="0"/>
    </xf>
    <xf numFmtId="14" fontId="4" fillId="24" borderId="8" xfId="0" applyNumberFormat="1" applyFont="1" applyFill="1" applyBorder="1" applyAlignment="1" applyProtection="1">
      <alignment horizontal="left" vertical="top" wrapText="1"/>
      <protection locked="0"/>
    </xf>
    <xf numFmtId="14" fontId="4" fillId="24" borderId="0" xfId="0" applyNumberFormat="1" applyFont="1" applyFill="1" applyAlignment="1" applyProtection="1">
      <alignment horizontal="left" vertical="top" wrapText="1"/>
      <protection locked="0"/>
    </xf>
    <xf numFmtId="14" fontId="4" fillId="24" borderId="1" xfId="0" applyNumberFormat="1" applyFont="1" applyFill="1" applyBorder="1" applyAlignment="1" applyProtection="1">
      <alignment horizontal="left" vertical="top" wrapText="1"/>
      <protection locked="0"/>
    </xf>
    <xf numFmtId="37" fontId="11" fillId="27" borderId="30" xfId="0" applyNumberFormat="1" applyFont="1" applyFill="1" applyBorder="1" applyAlignment="1">
      <alignment horizontal="right" vertical="center"/>
    </xf>
    <xf numFmtId="37" fontId="11" fillId="27" borderId="8" xfId="0" applyNumberFormat="1" applyFont="1" applyFill="1" applyBorder="1" applyAlignment="1">
      <alignment horizontal="right" vertical="center"/>
    </xf>
    <xf numFmtId="37" fontId="11" fillId="27" borderId="14" xfId="0" applyNumberFormat="1" applyFont="1" applyFill="1" applyBorder="1" applyAlignment="1">
      <alignment horizontal="right" vertical="center"/>
    </xf>
    <xf numFmtId="37" fontId="11" fillId="27" borderId="3" xfId="0" applyNumberFormat="1" applyFont="1" applyFill="1" applyBorder="1" applyAlignment="1">
      <alignment horizontal="right" vertical="center"/>
    </xf>
    <xf numFmtId="37" fontId="11" fillId="27" borderId="0" xfId="0" applyNumberFormat="1" applyFont="1" applyFill="1" applyAlignment="1">
      <alignment horizontal="right" vertical="center"/>
    </xf>
    <xf numFmtId="37" fontId="11" fillId="27" borderId="24" xfId="0" applyNumberFormat="1" applyFont="1" applyFill="1" applyBorder="1" applyAlignment="1">
      <alignment horizontal="right" vertical="center"/>
    </xf>
    <xf numFmtId="37" fontId="11" fillId="27" borderId="9" xfId="0" applyNumberFormat="1" applyFont="1" applyFill="1" applyBorder="1" applyAlignment="1">
      <alignment horizontal="right" vertical="center"/>
    </xf>
    <xf numFmtId="37" fontId="11" fillId="27" borderId="1" xfId="0" applyNumberFormat="1" applyFont="1" applyFill="1" applyBorder="1" applyAlignment="1">
      <alignment horizontal="right" vertical="center"/>
    </xf>
    <xf numFmtId="37" fontId="11" fillId="27" borderId="11" xfId="0" applyNumberFormat="1" applyFont="1" applyFill="1" applyBorder="1" applyAlignment="1">
      <alignment horizontal="right" vertical="center"/>
    </xf>
    <xf numFmtId="14" fontId="4" fillId="24" borderId="30" xfId="0" applyNumberFormat="1" applyFont="1" applyFill="1" applyBorder="1" applyAlignment="1" applyProtection="1">
      <alignment horizontal="left" wrapText="1"/>
      <protection locked="0"/>
    </xf>
    <xf numFmtId="14" fontId="4" fillId="24" borderId="8" xfId="0" applyNumberFormat="1" applyFont="1" applyFill="1" applyBorder="1" applyAlignment="1" applyProtection="1">
      <alignment horizontal="left" wrapText="1"/>
      <protection locked="0"/>
    </xf>
    <xf numFmtId="14" fontId="4" fillId="24" borderId="14" xfId="0" applyNumberFormat="1" applyFont="1" applyFill="1" applyBorder="1" applyAlignment="1" applyProtection="1">
      <alignment horizontal="left" wrapText="1"/>
      <protection locked="0"/>
    </xf>
    <xf numFmtId="14" fontId="4" fillId="24" borderId="9" xfId="0" applyNumberFormat="1" applyFont="1" applyFill="1" applyBorder="1" applyAlignment="1" applyProtection="1">
      <alignment horizontal="left" wrapText="1"/>
      <protection locked="0"/>
    </xf>
    <xf numFmtId="14" fontId="4" fillId="24" borderId="1" xfId="0" applyNumberFormat="1" applyFont="1" applyFill="1" applyBorder="1" applyAlignment="1" applyProtection="1">
      <alignment horizontal="left" wrapText="1"/>
      <protection locked="0"/>
    </xf>
    <xf numFmtId="14" fontId="4" fillId="24" borderId="11" xfId="0" applyNumberFormat="1" applyFont="1" applyFill="1" applyBorder="1" applyAlignment="1" applyProtection="1">
      <alignment horizontal="left" wrapText="1"/>
      <protection locked="0"/>
    </xf>
    <xf numFmtId="14" fontId="11" fillId="24" borderId="15" xfId="0" quotePrefix="1" applyNumberFormat="1" applyFont="1" applyFill="1" applyBorder="1" applyAlignment="1" applyProtection="1">
      <alignment horizontal="left" vertical="top" indent="1"/>
      <protection locked="0"/>
    </xf>
    <xf numFmtId="14" fontId="11" fillId="24" borderId="10" xfId="0" quotePrefix="1" applyNumberFormat="1" applyFont="1" applyFill="1" applyBorder="1" applyAlignment="1" applyProtection="1">
      <alignment horizontal="left" vertical="top" indent="1"/>
      <protection locked="0"/>
    </xf>
    <xf numFmtId="14" fontId="11" fillId="16" borderId="39" xfId="0" applyNumberFormat="1" applyFont="1" applyFill="1" applyBorder="1" applyAlignment="1" applyProtection="1">
      <alignment horizontal="left"/>
      <protection locked="0"/>
    </xf>
    <xf numFmtId="14" fontId="11" fillId="16" borderId="25" xfId="0" applyNumberFormat="1" applyFont="1" applyFill="1" applyBorder="1" applyAlignment="1" applyProtection="1">
      <alignment horizontal="left"/>
      <protection locked="0"/>
    </xf>
    <xf numFmtId="14" fontId="11" fillId="16" borderId="54" xfId="0" applyNumberFormat="1" applyFont="1" applyFill="1" applyBorder="1" applyAlignment="1" applyProtection="1">
      <alignment horizontal="left"/>
      <protection locked="0"/>
    </xf>
    <xf numFmtId="39" fontId="11" fillId="16" borderId="39" xfId="0" applyNumberFormat="1" applyFont="1" applyFill="1" applyBorder="1" applyAlignment="1" applyProtection="1">
      <alignment horizontal="right"/>
      <protection locked="0"/>
    </xf>
    <xf numFmtId="39" fontId="11" fillId="16" borderId="25" xfId="0" applyNumberFormat="1" applyFont="1" applyFill="1" applyBorder="1" applyAlignment="1" applyProtection="1">
      <alignment horizontal="right"/>
      <protection locked="0"/>
    </xf>
    <xf numFmtId="39" fontId="11" fillId="16" borderId="54" xfId="0" applyNumberFormat="1" applyFont="1" applyFill="1" applyBorder="1" applyAlignment="1" applyProtection="1">
      <alignment horizontal="right"/>
      <protection locked="0"/>
    </xf>
    <xf numFmtId="14" fontId="11" fillId="24" borderId="10" xfId="0" quotePrefix="1" applyNumberFormat="1" applyFont="1" applyFill="1" applyBorder="1" applyAlignment="1" applyProtection="1">
      <alignment horizontal="left" vertical="top"/>
      <protection locked="0"/>
    </xf>
    <xf numFmtId="14" fontId="4" fillId="24" borderId="8" xfId="0" applyNumberFormat="1" applyFont="1" applyFill="1" applyBorder="1" applyAlignment="1" applyProtection="1">
      <alignment horizontal="left" vertical="top"/>
      <protection locked="0"/>
    </xf>
    <xf numFmtId="14" fontId="4" fillId="24" borderId="14" xfId="0" applyNumberFormat="1" applyFont="1" applyFill="1" applyBorder="1" applyAlignment="1" applyProtection="1">
      <alignment horizontal="left" vertical="top"/>
      <protection locked="0"/>
    </xf>
    <xf numFmtId="14" fontId="4" fillId="24" borderId="9" xfId="0" applyNumberFormat="1" applyFont="1" applyFill="1" applyBorder="1" applyAlignment="1" applyProtection="1">
      <alignment horizontal="left" vertical="top"/>
      <protection locked="0"/>
    </xf>
    <xf numFmtId="14" fontId="4" fillId="24" borderId="1" xfId="0" applyNumberFormat="1" applyFont="1" applyFill="1" applyBorder="1" applyAlignment="1" applyProtection="1">
      <alignment horizontal="left" vertical="top"/>
      <protection locked="0"/>
    </xf>
    <xf numFmtId="14" fontId="4" fillId="24" borderId="11" xfId="0" applyNumberFormat="1" applyFont="1" applyFill="1" applyBorder="1" applyAlignment="1" applyProtection="1">
      <alignment horizontal="left" vertical="top"/>
      <protection locked="0"/>
    </xf>
    <xf numFmtId="14" fontId="4" fillId="24" borderId="30" xfId="0" applyNumberFormat="1" applyFont="1" applyFill="1" applyBorder="1" applyAlignment="1" applyProtection="1">
      <alignment horizontal="left" vertical="center" wrapText="1"/>
      <protection locked="0"/>
    </xf>
    <xf numFmtId="14" fontId="4" fillId="24" borderId="8" xfId="0" applyNumberFormat="1" applyFont="1" applyFill="1" applyBorder="1" applyAlignment="1" applyProtection="1">
      <alignment horizontal="left" vertical="center" wrapText="1"/>
      <protection locked="0"/>
    </xf>
    <xf numFmtId="14" fontId="4" fillId="24" borderId="14" xfId="0" applyNumberFormat="1" applyFont="1" applyFill="1" applyBorder="1" applyAlignment="1" applyProtection="1">
      <alignment horizontal="left" vertical="center" wrapText="1"/>
      <protection locked="0"/>
    </xf>
    <xf numFmtId="14" fontId="4" fillId="24" borderId="9" xfId="0" applyNumberFormat="1" applyFont="1" applyFill="1" applyBorder="1" applyAlignment="1" applyProtection="1">
      <alignment horizontal="left" vertical="center" wrapText="1"/>
      <protection locked="0"/>
    </xf>
    <xf numFmtId="14" fontId="4" fillId="24" borderId="1" xfId="0" applyNumberFormat="1" applyFont="1" applyFill="1" applyBorder="1" applyAlignment="1" applyProtection="1">
      <alignment horizontal="left" vertical="center" wrapText="1"/>
      <protection locked="0"/>
    </xf>
    <xf numFmtId="14" fontId="4" fillId="24" borderId="11" xfId="0" applyNumberFormat="1" applyFont="1" applyFill="1" applyBorder="1" applyAlignment="1" applyProtection="1">
      <alignment horizontal="left" vertical="center" wrapText="1"/>
      <protection locked="0"/>
    </xf>
    <xf numFmtId="14" fontId="9" fillId="24" borderId="12" xfId="0" applyNumberFormat="1" applyFont="1" applyFill="1" applyBorder="1" applyAlignment="1" applyProtection="1">
      <alignment horizontal="left" vertical="center" wrapText="1"/>
      <protection locked="0"/>
    </xf>
    <xf numFmtId="39" fontId="0" fillId="25" borderId="15" xfId="0" applyNumberFormat="1" applyFill="1" applyBorder="1" applyAlignment="1" applyProtection="1">
      <alignment horizontal="right" vertical="center"/>
      <protection locked="0"/>
    </xf>
    <xf numFmtId="39" fontId="0" fillId="25" borderId="6" xfId="0" applyNumberFormat="1" applyFill="1" applyBorder="1" applyAlignment="1" applyProtection="1">
      <alignment horizontal="right" vertical="center"/>
      <protection locked="0"/>
    </xf>
    <xf numFmtId="39" fontId="0" fillId="25" borderId="10" xfId="0" applyNumberFormat="1" applyFill="1" applyBorder="1" applyAlignment="1" applyProtection="1">
      <alignment horizontal="right" vertical="center"/>
      <protection locked="0"/>
    </xf>
    <xf numFmtId="0" fontId="4" fillId="2" borderId="0" xfId="0" applyFont="1" applyFill="1" applyAlignment="1">
      <alignment horizontal="center" wrapText="1"/>
    </xf>
    <xf numFmtId="0" fontId="4" fillId="2" borderId="1" xfId="0" applyFont="1" applyFill="1" applyBorder="1" applyAlignment="1">
      <alignment horizontal="center" wrapText="1"/>
    </xf>
    <xf numFmtId="0" fontId="112" fillId="2" borderId="5" xfId="0" applyFont="1" applyFill="1" applyBorder="1" applyAlignment="1">
      <alignment horizontal="center" vertical="center"/>
    </xf>
    <xf numFmtId="0" fontId="112" fillId="0" borderId="0" xfId="0" applyFont="1" applyAlignment="1">
      <alignment vertical="center"/>
    </xf>
    <xf numFmtId="164" fontId="4" fillId="2" borderId="0" xfId="0" applyNumberFormat="1" applyFont="1" applyFill="1"/>
    <xf numFmtId="0" fontId="6" fillId="5" borderId="0" xfId="0" applyFont="1" applyFill="1" applyAlignment="1">
      <alignment horizontal="center"/>
    </xf>
    <xf numFmtId="37" fontId="0" fillId="16" borderId="1" xfId="0" applyNumberFormat="1" applyFill="1" applyBorder="1" applyProtection="1">
      <protection locked="0"/>
    </xf>
    <xf numFmtId="37" fontId="0" fillId="27" borderId="1" xfId="0" applyNumberFormat="1" applyFill="1" applyBorder="1"/>
    <xf numFmtId="3" fontId="51" fillId="2" borderId="0" xfId="0" applyNumberFormat="1" applyFont="1" applyFill="1"/>
    <xf numFmtId="3" fontId="22" fillId="0" borderId="0" xfId="0" applyNumberFormat="1" applyFont="1"/>
    <xf numFmtId="0" fontId="22" fillId="2" borderId="0" xfId="0" applyFont="1" applyFill="1"/>
    <xf numFmtId="37" fontId="0" fillId="27" borderId="39" xfId="0" applyNumberFormat="1" applyFill="1" applyBorder="1"/>
    <xf numFmtId="37" fontId="0" fillId="27" borderId="54" xfId="0" applyNumberFormat="1" applyFill="1" applyBorder="1"/>
    <xf numFmtId="37" fontId="0" fillId="0" borderId="1" xfId="0" applyNumberFormat="1" applyBorder="1" applyProtection="1">
      <protection locked="0"/>
    </xf>
    <xf numFmtId="40" fontId="110" fillId="2" borderId="0" xfId="0" applyNumberFormat="1" applyFont="1" applyFill="1"/>
    <xf numFmtId="0" fontId="110" fillId="0" borderId="0" xfId="0" applyFont="1"/>
    <xf numFmtId="38" fontId="110" fillId="2" borderId="8" xfId="0" applyNumberFormat="1" applyFont="1" applyFill="1" applyBorder="1"/>
    <xf numFmtId="40" fontId="110" fillId="2" borderId="8" xfId="0" applyNumberFormat="1" applyFont="1" applyFill="1" applyBorder="1" applyAlignment="1">
      <alignment horizontal="right"/>
    </xf>
    <xf numFmtId="0" fontId="110" fillId="0" borderId="8" xfId="0" applyFont="1" applyBorder="1" applyAlignment="1">
      <alignment horizontal="right"/>
    </xf>
    <xf numFmtId="0" fontId="69" fillId="2" borderId="8" xfId="0" applyFont="1" applyFill="1" applyBorder="1"/>
    <xf numFmtId="0" fontId="0" fillId="0" borderId="8" xfId="0" applyBorder="1"/>
    <xf numFmtId="0" fontId="110" fillId="0" borderId="20" xfId="0" applyFont="1" applyBorder="1"/>
    <xf numFmtId="40" fontId="0" fillId="2" borderId="0" xfId="0" applyNumberFormat="1" applyFill="1" applyAlignment="1">
      <alignment horizontal="center"/>
    </xf>
    <xf numFmtId="0" fontId="4" fillId="2" borderId="0" xfId="0" applyFont="1" applyFill="1" applyAlignment="1">
      <alignment horizontal="left"/>
    </xf>
    <xf numFmtId="0" fontId="0" fillId="0" borderId="0" xfId="0" applyAlignment="1">
      <alignment horizontal="left"/>
    </xf>
    <xf numFmtId="0" fontId="15" fillId="16" borderId="1" xfId="0" applyFont="1" applyFill="1" applyBorder="1" applyAlignment="1" applyProtection="1">
      <alignment horizontal="left"/>
      <protection locked="0"/>
    </xf>
    <xf numFmtId="37" fontId="11" fillId="15" borderId="3" xfId="0" applyNumberFormat="1" applyFont="1" applyFill="1" applyBorder="1" applyAlignment="1" applyProtection="1">
      <alignment horizontal="right"/>
      <protection locked="0"/>
    </xf>
    <xf numFmtId="37" fontId="11" fillId="15" borderId="0" xfId="0" applyNumberFormat="1" applyFont="1" applyFill="1" applyAlignment="1" applyProtection="1">
      <alignment horizontal="right"/>
      <protection locked="0"/>
    </xf>
    <xf numFmtId="37" fontId="11" fillId="15" borderId="24" xfId="0" applyNumberFormat="1" applyFont="1" applyFill="1" applyBorder="1" applyAlignment="1" applyProtection="1">
      <alignment horizontal="right"/>
      <protection locked="0"/>
    </xf>
    <xf numFmtId="0" fontId="72" fillId="15" borderId="80" xfId="0" applyFont="1" applyFill="1" applyBorder="1" applyAlignment="1">
      <alignment horizontal="center" vertical="center"/>
    </xf>
    <xf numFmtId="0" fontId="0" fillId="0" borderId="8" xfId="0" applyBorder="1" applyAlignment="1">
      <alignment horizontal="center" vertical="center"/>
    </xf>
    <xf numFmtId="0" fontId="0" fillId="0" borderId="5" xfId="0" applyBorder="1" applyAlignment="1">
      <alignment horizontal="center" vertical="center"/>
    </xf>
    <xf numFmtId="0" fontId="6" fillId="15" borderId="0" xfId="0" applyFont="1" applyFill="1" applyAlignment="1">
      <alignment horizontal="left" wrapText="1"/>
    </xf>
    <xf numFmtId="0" fontId="0" fillId="15" borderId="0" xfId="0" applyFill="1" applyAlignment="1">
      <alignment horizontal="left" wrapText="1"/>
    </xf>
    <xf numFmtId="0" fontId="6" fillId="15" borderId="4" xfId="0" applyFont="1" applyFill="1" applyBorder="1" applyAlignment="1">
      <alignment horizontal="left" wrapText="1"/>
    </xf>
    <xf numFmtId="0" fontId="0" fillId="15" borderId="4" xfId="0" applyFill="1" applyBorder="1" applyAlignment="1">
      <alignment horizontal="left" wrapText="1"/>
    </xf>
    <xf numFmtId="0" fontId="47" fillId="15" borderId="3" xfId="0" applyFont="1" applyFill="1" applyBorder="1" applyAlignment="1">
      <alignment horizontal="left" indent="1"/>
    </xf>
    <xf numFmtId="0" fontId="47" fillId="15" borderId="0" xfId="0" applyFont="1" applyFill="1" applyAlignment="1">
      <alignment horizontal="left" indent="1"/>
    </xf>
    <xf numFmtId="0" fontId="15" fillId="15" borderId="0" xfId="0" applyFont="1" applyFill="1" applyAlignment="1">
      <alignment horizontal="right" indent="1"/>
    </xf>
    <xf numFmtId="0" fontId="15" fillId="15" borderId="24" xfId="0" applyFont="1" applyFill="1" applyBorder="1" applyAlignment="1">
      <alignment horizontal="right" indent="1"/>
    </xf>
    <xf numFmtId="0" fontId="15" fillId="16" borderId="1" xfId="0" applyFont="1" applyFill="1" applyBorder="1" applyAlignment="1" applyProtection="1">
      <alignment horizontal="center"/>
      <protection locked="0"/>
    </xf>
    <xf numFmtId="0" fontId="14" fillId="15" borderId="0" xfId="0" applyFont="1" applyFill="1" applyAlignment="1">
      <alignment horizontal="left" vertical="top" wrapText="1"/>
    </xf>
    <xf numFmtId="0" fontId="4" fillId="15" borderId="21" xfId="0" applyFont="1" applyFill="1" applyBorder="1" applyAlignment="1">
      <alignment horizontal="center"/>
    </xf>
    <xf numFmtId="0" fontId="4" fillId="15" borderId="4" xfId="0" applyFont="1" applyFill="1" applyBorder="1" applyAlignment="1">
      <alignment horizontal="center"/>
    </xf>
    <xf numFmtId="0" fontId="4" fillId="15" borderId="22" xfId="0" applyFont="1" applyFill="1" applyBorder="1" applyAlignment="1">
      <alignment horizontal="center"/>
    </xf>
    <xf numFmtId="0" fontId="223" fillId="31" borderId="7" xfId="0" applyFont="1" applyFill="1" applyBorder="1" applyAlignment="1">
      <alignment horizontal="center" vertical="center"/>
    </xf>
    <xf numFmtId="0" fontId="74" fillId="0" borderId="7" xfId="0" applyFont="1" applyBorder="1" applyAlignment="1">
      <alignment horizontal="center" vertical="center"/>
    </xf>
    <xf numFmtId="0" fontId="44" fillId="27" borderId="0" xfId="0" applyFont="1" applyFill="1" applyAlignment="1">
      <alignment horizontal="left"/>
    </xf>
    <xf numFmtId="0" fontId="44" fillId="27" borderId="24" xfId="0" applyFont="1" applyFill="1" applyBorder="1" applyAlignment="1">
      <alignment horizontal="left"/>
    </xf>
    <xf numFmtId="0" fontId="44" fillId="27" borderId="1" xfId="0" applyFont="1" applyFill="1" applyBorder="1" applyAlignment="1">
      <alignment horizontal="left"/>
    </xf>
    <xf numFmtId="0" fontId="44" fillId="27" borderId="11" xfId="0" applyFont="1" applyFill="1" applyBorder="1" applyAlignment="1">
      <alignment horizontal="left"/>
    </xf>
    <xf numFmtId="0" fontId="223" fillId="31" borderId="8" xfId="0" applyFont="1" applyFill="1" applyBorder="1" applyAlignment="1">
      <alignment horizontal="center" vertical="center"/>
    </xf>
    <xf numFmtId="0" fontId="74" fillId="0" borderId="8" xfId="0" applyFont="1" applyBorder="1" applyAlignment="1">
      <alignment horizontal="center" vertical="center"/>
    </xf>
    <xf numFmtId="37" fontId="11" fillId="16" borderId="9" xfId="0" applyNumberFormat="1" applyFont="1" applyFill="1" applyBorder="1" applyAlignment="1" applyProtection="1">
      <alignment horizontal="right"/>
      <protection locked="0"/>
    </xf>
    <xf numFmtId="37" fontId="11" fillId="16" borderId="11" xfId="0" applyNumberFormat="1" applyFont="1" applyFill="1" applyBorder="1" applyAlignment="1" applyProtection="1">
      <alignment horizontal="right"/>
      <protection locked="0"/>
    </xf>
    <xf numFmtId="0" fontId="15" fillId="15" borderId="0" xfId="0" quotePrefix="1" applyFont="1" applyFill="1" applyAlignment="1">
      <alignment horizontal="center"/>
    </xf>
    <xf numFmtId="0" fontId="15" fillId="15" borderId="24" xfId="0" quotePrefix="1" applyFont="1" applyFill="1" applyBorder="1" applyAlignment="1">
      <alignment horizontal="center"/>
    </xf>
    <xf numFmtId="0" fontId="85" fillId="15" borderId="0" xfId="0" applyFont="1" applyFill="1" applyAlignment="1">
      <alignment horizontal="center" vertical="center"/>
    </xf>
    <xf numFmtId="0" fontId="85" fillId="15" borderId="20" xfId="0" applyFont="1" applyFill="1" applyBorder="1" applyAlignment="1">
      <alignment horizontal="center" vertical="center"/>
    </xf>
    <xf numFmtId="0" fontId="4" fillId="15" borderId="0" xfId="0" applyFont="1" applyFill="1" applyAlignment="1">
      <alignment horizontal="center"/>
    </xf>
    <xf numFmtId="0" fontId="4" fillId="15" borderId="20" xfId="0" applyFont="1" applyFill="1" applyBorder="1" applyAlignment="1">
      <alignment horizontal="center"/>
    </xf>
    <xf numFmtId="37" fontId="11" fillId="27" borderId="69" xfId="0" applyNumberFormat="1" applyFont="1" applyFill="1" applyBorder="1" applyAlignment="1">
      <alignment horizontal="right"/>
    </xf>
    <xf numFmtId="37" fontId="11" fillId="27" borderId="4" xfId="0" applyNumberFormat="1" applyFont="1" applyFill="1" applyBorder="1" applyAlignment="1">
      <alignment horizontal="right"/>
    </xf>
    <xf numFmtId="37" fontId="11" fillId="16" borderId="39" xfId="0" applyNumberFormat="1" applyFont="1" applyFill="1" applyBorder="1" applyAlignment="1" applyProtection="1">
      <alignment horizontal="right"/>
      <protection locked="0"/>
    </xf>
    <xf numFmtId="37" fontId="11" fillId="16" borderId="25" xfId="0" applyNumberFormat="1" applyFont="1" applyFill="1" applyBorder="1" applyAlignment="1" applyProtection="1">
      <alignment horizontal="right"/>
      <protection locked="0"/>
    </xf>
    <xf numFmtId="37" fontId="9" fillId="15" borderId="3" xfId="0" applyNumberFormat="1" applyFont="1" applyFill="1" applyBorder="1"/>
    <xf numFmtId="0" fontId="4" fillId="15" borderId="0" xfId="0" applyFont="1" applyFill="1"/>
    <xf numFmtId="37" fontId="123" fillId="15" borderId="3" xfId="0" applyNumberFormat="1" applyFont="1" applyFill="1" applyBorder="1" applyAlignment="1">
      <alignment horizontal="right" indent="1"/>
    </xf>
    <xf numFmtId="37" fontId="123" fillId="15" borderId="0" xfId="0" applyNumberFormat="1" applyFont="1" applyFill="1" applyAlignment="1">
      <alignment horizontal="right" indent="1"/>
    </xf>
    <xf numFmtId="37" fontId="123" fillId="15" borderId="30" xfId="0" applyNumberFormat="1" applyFont="1" applyFill="1" applyBorder="1" applyAlignment="1">
      <alignment horizontal="right"/>
    </xf>
    <xf numFmtId="37" fontId="123" fillId="15" borderId="8" xfId="0" applyNumberFormat="1" applyFont="1" applyFill="1" applyBorder="1" applyAlignment="1">
      <alignment horizontal="right"/>
    </xf>
    <xf numFmtId="0" fontId="14" fillId="27" borderId="25" xfId="0" applyFont="1" applyFill="1" applyBorder="1" applyAlignment="1">
      <alignment horizontal="right"/>
    </xf>
    <xf numFmtId="0" fontId="14" fillId="16" borderId="1" xfId="0" applyFont="1" applyFill="1" applyBorder="1" applyAlignment="1" applyProtection="1">
      <alignment horizontal="right"/>
      <protection locked="0"/>
    </xf>
    <xf numFmtId="0" fontId="11" fillId="25" borderId="1" xfId="0" applyFont="1" applyFill="1" applyBorder="1"/>
    <xf numFmtId="0" fontId="11" fillId="25" borderId="25" xfId="0" applyFont="1" applyFill="1" applyBorder="1"/>
    <xf numFmtId="37" fontId="11" fillId="25" borderId="69" xfId="0" applyNumberFormat="1" applyFont="1" applyFill="1" applyBorder="1"/>
    <xf numFmtId="0" fontId="14" fillId="25" borderId="4" xfId="0" applyFont="1" applyFill="1" applyBorder="1"/>
    <xf numFmtId="37" fontId="11" fillId="15" borderId="30" xfId="0" applyNumberFormat="1" applyFont="1" applyFill="1" applyBorder="1" applyProtection="1">
      <protection locked="0"/>
    </xf>
    <xf numFmtId="0" fontId="14" fillId="15" borderId="8" xfId="0" applyFont="1" applyFill="1" applyBorder="1" applyProtection="1">
      <protection locked="0"/>
    </xf>
    <xf numFmtId="0" fontId="14" fillId="27" borderId="1" xfId="0" applyFont="1" applyFill="1" applyBorder="1"/>
    <xf numFmtId="0" fontId="14" fillId="15" borderId="0" xfId="0" applyFont="1" applyFill="1" applyAlignment="1">
      <alignment horizontal="left" wrapText="1"/>
    </xf>
    <xf numFmtId="0" fontId="14" fillId="15" borderId="24" xfId="0" applyFont="1" applyFill="1" applyBorder="1" applyAlignment="1">
      <alignment horizontal="left" wrapText="1"/>
    </xf>
    <xf numFmtId="0" fontId="8" fillId="15" borderId="0" xfId="0" applyFont="1" applyFill="1" applyAlignment="1">
      <alignment horizontal="left" wrapText="1"/>
    </xf>
    <xf numFmtId="0" fontId="8" fillId="15" borderId="20" xfId="0" applyFont="1" applyFill="1" applyBorder="1" applyAlignment="1">
      <alignment horizontal="left" wrapText="1"/>
    </xf>
    <xf numFmtId="0" fontId="8" fillId="15" borderId="4" xfId="0" applyFont="1" applyFill="1" applyBorder="1" applyAlignment="1">
      <alignment horizontal="left" wrapText="1"/>
    </xf>
    <xf numFmtId="0" fontId="8" fillId="15" borderId="22" xfId="0" applyFont="1" applyFill="1" applyBorder="1" applyAlignment="1">
      <alignment horizontal="left" wrapText="1"/>
    </xf>
    <xf numFmtId="0" fontId="223" fillId="31" borderId="34" xfId="0" applyFont="1" applyFill="1" applyBorder="1" applyAlignment="1">
      <alignment horizontal="center" vertical="center"/>
    </xf>
    <xf numFmtId="0" fontId="74" fillId="0" borderId="34" xfId="0" applyFont="1" applyBorder="1" applyAlignment="1">
      <alignment horizontal="center" vertical="center"/>
    </xf>
    <xf numFmtId="0" fontId="14" fillId="15" borderId="0" xfId="0" applyFont="1" applyFill="1" applyAlignment="1">
      <alignment horizontal="left"/>
    </xf>
    <xf numFmtId="0" fontId="14" fillId="15" borderId="24" xfId="0" applyFont="1" applyFill="1" applyBorder="1" applyAlignment="1">
      <alignment horizontal="left"/>
    </xf>
    <xf numFmtId="0" fontId="15" fillId="16" borderId="216" xfId="0" applyFont="1" applyFill="1" applyBorder="1" applyAlignment="1" applyProtection="1">
      <alignment horizontal="left"/>
      <protection locked="0"/>
    </xf>
    <xf numFmtId="0" fontId="4" fillId="15" borderId="10" xfId="0" applyFont="1" applyFill="1" applyBorder="1" applyAlignment="1">
      <alignment horizontal="left" wrapText="1"/>
    </xf>
    <xf numFmtId="37" fontId="123" fillId="15" borderId="3" xfId="0" applyNumberFormat="1" applyFont="1" applyFill="1" applyBorder="1" applyAlignment="1" applyProtection="1">
      <alignment horizontal="right"/>
      <protection locked="0"/>
    </xf>
    <xf numFmtId="37" fontId="123" fillId="15" borderId="0" xfId="0" applyNumberFormat="1" applyFont="1" applyFill="1" applyAlignment="1" applyProtection="1">
      <alignment horizontal="right"/>
      <protection locked="0"/>
    </xf>
    <xf numFmtId="0" fontId="14" fillId="16" borderId="1" xfId="0" applyFont="1" applyFill="1" applyBorder="1" applyAlignment="1" applyProtection="1">
      <alignment horizontal="left"/>
      <protection locked="0"/>
    </xf>
    <xf numFmtId="0" fontId="6" fillId="15" borderId="3" xfId="0" applyFont="1" applyFill="1" applyBorder="1" applyAlignment="1">
      <alignment horizontal="center"/>
    </xf>
    <xf numFmtId="0" fontId="6" fillId="15" borderId="0" xfId="0" applyFont="1" applyFill="1" applyAlignment="1">
      <alignment horizontal="center"/>
    </xf>
    <xf numFmtId="0" fontId="6" fillId="15" borderId="24" xfId="0" applyFont="1" applyFill="1" applyBorder="1" applyAlignment="1">
      <alignment horizontal="center"/>
    </xf>
    <xf numFmtId="0" fontId="11" fillId="15" borderId="0" xfId="0" applyFont="1" applyFill="1" applyAlignment="1">
      <alignment vertical="center" wrapText="1"/>
    </xf>
    <xf numFmtId="0" fontId="14" fillId="0" borderId="0" xfId="0" applyFont="1" applyAlignment="1">
      <alignment vertical="center"/>
    </xf>
    <xf numFmtId="0" fontId="14" fillId="0" borderId="20" xfId="0" applyFont="1" applyBorder="1" applyAlignment="1">
      <alignment vertical="center"/>
    </xf>
    <xf numFmtId="0" fontId="6" fillId="0" borderId="1" xfId="0" applyFont="1" applyBorder="1" applyAlignment="1">
      <alignment horizontal="center" vertical="center"/>
    </xf>
    <xf numFmtId="0" fontId="205" fillId="15" borderId="0" xfId="0" applyFont="1" applyFill="1" applyAlignment="1">
      <alignment horizontal="left" vertical="center" wrapText="1"/>
    </xf>
    <xf numFmtId="0" fontId="205" fillId="0" borderId="0" xfId="0" applyFont="1" applyAlignment="1">
      <alignment horizontal="left" vertical="center" wrapText="1"/>
    </xf>
    <xf numFmtId="0" fontId="205" fillId="0" borderId="20" xfId="0" applyFont="1" applyBorder="1" applyAlignment="1">
      <alignment horizontal="left" vertical="center" wrapText="1"/>
    </xf>
    <xf numFmtId="0" fontId="0" fillId="0" borderId="0" xfId="0" applyAlignment="1">
      <alignment horizontal="left" vertical="center" wrapText="1"/>
    </xf>
    <xf numFmtId="0" fontId="0" fillId="0" borderId="4" xfId="0" applyBorder="1" applyAlignment="1">
      <alignment horizontal="left" vertical="center" wrapText="1"/>
    </xf>
    <xf numFmtId="0" fontId="10" fillId="0" borderId="4" xfId="0" applyFont="1" applyBorder="1" applyAlignment="1">
      <alignment horizontal="left" vertical="center" wrapText="1"/>
    </xf>
    <xf numFmtId="0" fontId="10" fillId="0" borderId="22" xfId="0" applyFont="1" applyBorder="1" applyAlignment="1">
      <alignment horizontal="left" vertical="center" wrapText="1"/>
    </xf>
    <xf numFmtId="0" fontId="10" fillId="15" borderId="0" xfId="0" applyFont="1" applyFill="1" applyAlignment="1">
      <alignment horizontal="left" wrapText="1"/>
    </xf>
    <xf numFmtId="0" fontId="10" fillId="15" borderId="20" xfId="0" applyFont="1" applyFill="1" applyBorder="1" applyAlignment="1">
      <alignment horizontal="left" wrapText="1"/>
    </xf>
    <xf numFmtId="0" fontId="85" fillId="15" borderId="5" xfId="0" applyFont="1" applyFill="1" applyBorder="1" applyAlignment="1">
      <alignment horizontal="center"/>
    </xf>
    <xf numFmtId="0" fontId="85" fillId="15" borderId="0" xfId="0" applyFont="1" applyFill="1" applyAlignment="1">
      <alignment horizontal="center"/>
    </xf>
    <xf numFmtId="0" fontId="85" fillId="15" borderId="20" xfId="0" applyFont="1" applyFill="1" applyBorder="1" applyAlignment="1">
      <alignment horizontal="center"/>
    </xf>
    <xf numFmtId="0" fontId="223" fillId="31" borderId="25" xfId="0" applyFont="1" applyFill="1" applyBorder="1" applyAlignment="1">
      <alignment horizontal="center" vertical="center"/>
    </xf>
    <xf numFmtId="0" fontId="74" fillId="0" borderId="25" xfId="0" applyFont="1" applyBorder="1" applyAlignment="1">
      <alignment horizontal="center" vertical="center"/>
    </xf>
    <xf numFmtId="37" fontId="11" fillId="27" borderId="39" xfId="0" applyNumberFormat="1" applyFont="1" applyFill="1" applyBorder="1" applyProtection="1">
      <protection locked="0"/>
    </xf>
    <xf numFmtId="37" fontId="11" fillId="27" borderId="25" xfId="0" applyNumberFormat="1" applyFont="1" applyFill="1" applyBorder="1" applyProtection="1">
      <protection locked="0"/>
    </xf>
    <xf numFmtId="37" fontId="11" fillId="15" borderId="8" xfId="0" applyNumberFormat="1" applyFont="1" applyFill="1" applyBorder="1" applyProtection="1">
      <protection locked="0"/>
    </xf>
    <xf numFmtId="37" fontId="11" fillId="25" borderId="52" xfId="0" applyNumberFormat="1" applyFont="1" applyFill="1" applyBorder="1"/>
    <xf numFmtId="37" fontId="14" fillId="25" borderId="31" xfId="0" applyNumberFormat="1" applyFont="1" applyFill="1" applyBorder="1"/>
    <xf numFmtId="0" fontId="0" fillId="15" borderId="3" xfId="0" applyFill="1" applyBorder="1" applyAlignment="1">
      <alignment horizontal="center"/>
    </xf>
    <xf numFmtId="0" fontId="0" fillId="15" borderId="24" xfId="0" applyFill="1" applyBorder="1" applyAlignment="1">
      <alignment horizontal="center"/>
    </xf>
    <xf numFmtId="0" fontId="6" fillId="15" borderId="30" xfId="0" applyFont="1" applyFill="1" applyBorder="1" applyAlignment="1">
      <alignment horizontal="center"/>
    </xf>
    <xf numFmtId="0" fontId="6" fillId="15" borderId="8" xfId="0" applyFont="1" applyFill="1" applyBorder="1" applyAlignment="1">
      <alignment horizontal="center"/>
    </xf>
    <xf numFmtId="0" fontId="6" fillId="15" borderId="14" xfId="0" applyFont="1" applyFill="1" applyBorder="1" applyAlignment="1">
      <alignment horizontal="center"/>
    </xf>
    <xf numFmtId="37" fontId="14" fillId="25" borderId="4" xfId="0" applyNumberFormat="1" applyFont="1" applyFill="1" applyBorder="1"/>
    <xf numFmtId="0" fontId="123" fillId="31" borderId="1" xfId="0" applyFont="1" applyFill="1" applyBorder="1" applyAlignment="1">
      <alignment horizontal="center" vertical="center"/>
    </xf>
    <xf numFmtId="0" fontId="14" fillId="0" borderId="1" xfId="0" applyFont="1" applyBorder="1" applyAlignment="1">
      <alignment horizontal="center" vertical="center"/>
    </xf>
    <xf numFmtId="37" fontId="11" fillId="19" borderId="9" xfId="0" applyNumberFormat="1" applyFont="1" applyFill="1" applyBorder="1" applyAlignment="1">
      <alignment horizontal="right"/>
    </xf>
    <xf numFmtId="37" fontId="11" fillId="19" borderId="1" xfId="0" applyNumberFormat="1" applyFont="1" applyFill="1" applyBorder="1" applyAlignment="1">
      <alignment horizontal="right"/>
    </xf>
    <xf numFmtId="37" fontId="11" fillId="19" borderId="11" xfId="0" applyNumberFormat="1" applyFont="1" applyFill="1" applyBorder="1" applyAlignment="1">
      <alignment horizontal="right"/>
    </xf>
    <xf numFmtId="0" fontId="206" fillId="15" borderId="0" xfId="0" applyFont="1" applyFill="1" applyAlignment="1">
      <alignment horizontal="center" vertical="center" wrapText="1"/>
    </xf>
    <xf numFmtId="0" fontId="143" fillId="23" borderId="0" xfId="0" applyFont="1" applyFill="1" applyAlignment="1">
      <alignment horizontal="center"/>
    </xf>
    <xf numFmtId="37" fontId="110" fillId="15" borderId="25" xfId="0" applyNumberFormat="1" applyFont="1" applyFill="1" applyBorder="1" applyAlignment="1">
      <alignment horizontal="right"/>
    </xf>
    <xf numFmtId="0" fontId="11" fillId="15" borderId="0" xfId="0" applyFont="1" applyFill="1" applyAlignment="1" applyProtection="1">
      <alignment horizontal="left" vertical="top" wrapText="1"/>
      <protection hidden="1"/>
    </xf>
    <xf numFmtId="0" fontId="5" fillId="15" borderId="0" xfId="0" applyFont="1" applyFill="1" applyAlignment="1">
      <alignment horizontal="left" vertical="top" wrapText="1"/>
    </xf>
    <xf numFmtId="0" fontId="6" fillId="15" borderId="0" xfId="0" applyFont="1" applyFill="1" applyAlignment="1" applyProtection="1">
      <alignment horizontal="left" vertical="top" wrapText="1"/>
      <protection hidden="1"/>
    </xf>
    <xf numFmtId="0" fontId="67" fillId="0" borderId="37" xfId="2" applyBorder="1" applyAlignment="1" applyProtection="1">
      <alignment horizontal="center" vertical="center"/>
      <protection hidden="1"/>
    </xf>
    <xf numFmtId="0" fontId="67" fillId="0" borderId="102" xfId="2" applyBorder="1" applyAlignment="1" applyProtection="1">
      <alignment horizontal="center" vertical="center"/>
      <protection hidden="1"/>
    </xf>
    <xf numFmtId="0" fontId="67" fillId="0" borderId="38" xfId="2" applyBorder="1" applyAlignment="1" applyProtection="1">
      <alignment horizontal="center" vertical="center"/>
      <protection hidden="1"/>
    </xf>
    <xf numFmtId="182" fontId="9" fillId="2" borderId="59" xfId="0" applyNumberFormat="1" applyFont="1" applyFill="1" applyBorder="1" applyAlignment="1" applyProtection="1">
      <alignment horizontal="center"/>
      <protection locked="0"/>
    </xf>
    <xf numFmtId="182" fontId="9" fillId="2" borderId="60" xfId="0" applyNumberFormat="1" applyFont="1" applyFill="1" applyBorder="1" applyAlignment="1" applyProtection="1">
      <alignment horizontal="center"/>
      <protection locked="0"/>
    </xf>
    <xf numFmtId="1" fontId="4" fillId="2" borderId="59" xfId="0" applyNumberFormat="1" applyFont="1" applyFill="1" applyBorder="1" applyAlignment="1" applyProtection="1">
      <alignment horizontal="center"/>
      <protection locked="0"/>
    </xf>
    <xf numFmtId="1" fontId="4" fillId="0" borderId="60" xfId="0" applyNumberFormat="1" applyFont="1" applyBorder="1" applyAlignment="1" applyProtection="1">
      <alignment horizontal="center"/>
      <protection locked="0"/>
    </xf>
    <xf numFmtId="0" fontId="109" fillId="2" borderId="0" xfId="0" applyFont="1" applyFill="1" applyProtection="1">
      <protection hidden="1"/>
    </xf>
    <xf numFmtId="0" fontId="109" fillId="0" borderId="0" xfId="0" applyFont="1"/>
    <xf numFmtId="169" fontId="6" fillId="2" borderId="0" xfId="0" applyNumberFormat="1" applyFont="1" applyFill="1" applyAlignment="1" applyProtection="1">
      <alignment horizontal="left"/>
      <protection hidden="1"/>
    </xf>
    <xf numFmtId="0" fontId="6" fillId="0" borderId="0" xfId="0" applyFont="1" applyAlignment="1" applyProtection="1">
      <alignment horizontal="left"/>
      <protection hidden="1"/>
    </xf>
    <xf numFmtId="0" fontId="121" fillId="2" borderId="7" xfId="0" applyFont="1" applyFill="1" applyBorder="1" applyProtection="1">
      <protection hidden="1"/>
    </xf>
    <xf numFmtId="0" fontId="121" fillId="0" borderId="7" xfId="0" applyFont="1" applyBorder="1"/>
    <xf numFmtId="0" fontId="10" fillId="2" borderId="5" xfId="0" applyFont="1" applyFill="1" applyBorder="1" applyAlignment="1" applyProtection="1">
      <alignment horizontal="center"/>
      <protection hidden="1"/>
    </xf>
    <xf numFmtId="0" fontId="0" fillId="0" borderId="0" xfId="0" applyAlignment="1" applyProtection="1">
      <alignment horizontal="center"/>
      <protection hidden="1"/>
    </xf>
    <xf numFmtId="0" fontId="0" fillId="0" borderId="20" xfId="0" applyBorder="1" applyAlignment="1" applyProtection="1">
      <alignment horizontal="center"/>
      <protection hidden="1"/>
    </xf>
    <xf numFmtId="0" fontId="121" fillId="2" borderId="0" xfId="0" applyFont="1" applyFill="1" applyAlignment="1" applyProtection="1">
      <alignment vertical="top" wrapText="1"/>
      <protection hidden="1"/>
    </xf>
    <xf numFmtId="0" fontId="121" fillId="0" borderId="0" xfId="0" applyFont="1" applyAlignment="1">
      <alignment vertical="top" wrapText="1"/>
    </xf>
    <xf numFmtId="0" fontId="0" fillId="0" borderId="0" xfId="0" applyAlignment="1">
      <alignment wrapText="1"/>
    </xf>
    <xf numFmtId="0" fontId="0" fillId="0" borderId="20" xfId="0" applyBorder="1" applyAlignment="1">
      <alignment horizontal="center"/>
    </xf>
    <xf numFmtId="37" fontId="6" fillId="27" borderId="1" xfId="0" applyNumberFormat="1" applyFont="1" applyFill="1" applyBorder="1"/>
    <xf numFmtId="0" fontId="166" fillId="15" borderId="4" xfId="0" applyFont="1" applyFill="1" applyBorder="1" applyAlignment="1">
      <alignment horizontal="center"/>
    </xf>
    <xf numFmtId="0" fontId="206" fillId="2" borderId="0" xfId="0" applyFont="1" applyFill="1" applyAlignment="1">
      <alignment horizontal="center" vertical="center" wrapText="1"/>
    </xf>
    <xf numFmtId="0" fontId="0" fillId="15" borderId="23" xfId="0" applyFill="1" applyBorder="1" applyAlignment="1">
      <alignment horizontal="center"/>
    </xf>
    <xf numFmtId="0" fontId="0" fillId="15" borderId="7" xfId="0" applyFill="1" applyBorder="1" applyAlignment="1">
      <alignment horizontal="center"/>
    </xf>
    <xf numFmtId="0" fontId="323" fillId="15" borderId="5" xfId="0" applyFont="1" applyFill="1" applyBorder="1" applyAlignment="1">
      <alignment horizontal="center"/>
    </xf>
    <xf numFmtId="0" fontId="323" fillId="0" borderId="0" xfId="0" applyFont="1" applyAlignment="1">
      <alignment horizontal="center"/>
    </xf>
    <xf numFmtId="0" fontId="367" fillId="15" borderId="5" xfId="0" applyFont="1" applyFill="1" applyBorder="1" applyAlignment="1">
      <alignment horizontal="right"/>
    </xf>
    <xf numFmtId="0" fontId="367" fillId="0" borderId="0" xfId="0" applyFont="1" applyAlignment="1">
      <alignment horizontal="right"/>
    </xf>
    <xf numFmtId="0" fontId="116" fillId="15" borderId="5" xfId="0" applyFont="1" applyFill="1" applyBorder="1" applyAlignment="1">
      <alignment horizontal="center"/>
    </xf>
    <xf numFmtId="0" fontId="116" fillId="0" borderId="0" xfId="0" applyFont="1" applyAlignment="1">
      <alignment horizontal="center"/>
    </xf>
    <xf numFmtId="0" fontId="6" fillId="15" borderId="5" xfId="0" applyFont="1" applyFill="1" applyBorder="1" applyAlignment="1">
      <alignment horizontal="left" vertical="center" wrapText="1" indent="1"/>
    </xf>
    <xf numFmtId="0" fontId="0" fillId="15" borderId="0" xfId="0" applyFill="1" applyAlignment="1">
      <alignment horizontal="left" vertical="center" wrapText="1" indent="1"/>
    </xf>
    <xf numFmtId="0" fontId="0" fillId="15" borderId="20" xfId="0" applyFill="1" applyBorder="1" applyAlignment="1">
      <alignment horizontal="left" vertical="center" wrapText="1" indent="1"/>
    </xf>
    <xf numFmtId="0" fontId="5" fillId="15" borderId="8" xfId="0" applyFont="1" applyFill="1" applyBorder="1" applyAlignment="1">
      <alignment horizontal="left" vertical="center" wrapText="1" indent="1"/>
    </xf>
    <xf numFmtId="0" fontId="5" fillId="15" borderId="8" xfId="0" applyFont="1" applyFill="1" applyBorder="1" applyAlignment="1">
      <alignment horizontal="left" vertical="center" indent="1"/>
    </xf>
    <xf numFmtId="0" fontId="5" fillId="15" borderId="88" xfId="0" applyFont="1" applyFill="1" applyBorder="1" applyAlignment="1">
      <alignment horizontal="left" vertical="center" indent="1"/>
    </xf>
    <xf numFmtId="0" fontId="8" fillId="15" borderId="5" xfId="0" applyFont="1" applyFill="1" applyBorder="1" applyAlignment="1">
      <alignment horizontal="center"/>
    </xf>
    <xf numFmtId="0" fontId="8" fillId="0" borderId="0" xfId="0" applyFont="1" applyAlignment="1">
      <alignment horizontal="center"/>
    </xf>
    <xf numFmtId="0" fontId="37" fillId="2" borderId="0" xfId="0" applyFont="1" applyFill="1" applyAlignment="1">
      <alignment horizontal="left" vertical="center" wrapText="1"/>
    </xf>
    <xf numFmtId="0" fontId="80" fillId="2" borderId="0" xfId="0" applyFont="1" applyFill="1" applyAlignment="1">
      <alignment horizontal="right"/>
    </xf>
    <xf numFmtId="0" fontId="80" fillId="0" borderId="0" xfId="0" applyFont="1" applyAlignment="1">
      <alignment horizontal="right"/>
    </xf>
    <xf numFmtId="37" fontId="0" fillId="15" borderId="8" xfId="0" applyNumberFormat="1" applyFill="1" applyBorder="1" applyAlignment="1" applyProtection="1">
      <alignment horizontal="right"/>
      <protection locked="0"/>
    </xf>
    <xf numFmtId="0" fontId="37" fillId="2" borderId="23" xfId="0" applyFont="1" applyFill="1" applyBorder="1" applyAlignment="1">
      <alignment horizontal="left" vertical="top" wrapText="1"/>
    </xf>
    <xf numFmtId="0" fontId="37" fillId="2" borderId="7" xfId="0" applyFont="1" applyFill="1" applyBorder="1" applyAlignment="1">
      <alignment horizontal="left" vertical="top" wrapText="1"/>
    </xf>
    <xf numFmtId="0" fontId="37" fillId="2" borderId="19" xfId="0" applyFont="1" applyFill="1" applyBorder="1" applyAlignment="1">
      <alignment horizontal="left" vertical="top" wrapText="1"/>
    </xf>
    <xf numFmtId="0" fontId="37" fillId="2" borderId="5" xfId="0" applyFont="1" applyFill="1" applyBorder="1" applyAlignment="1">
      <alignment horizontal="left" vertical="top" wrapText="1"/>
    </xf>
    <xf numFmtId="0" fontId="37" fillId="2" borderId="0" xfId="0" applyFont="1" applyFill="1" applyAlignment="1">
      <alignment horizontal="left" vertical="top" wrapText="1"/>
    </xf>
    <xf numFmtId="0" fontId="37" fillId="2" borderId="20" xfId="0" applyFont="1" applyFill="1" applyBorder="1" applyAlignment="1">
      <alignment horizontal="left" vertical="top" wrapText="1"/>
    </xf>
    <xf numFmtId="0" fontId="37" fillId="2" borderId="21" xfId="0" applyFont="1" applyFill="1" applyBorder="1" applyAlignment="1">
      <alignment horizontal="left" vertical="top" wrapText="1"/>
    </xf>
    <xf numFmtId="0" fontId="37" fillId="2" borderId="4" xfId="0" applyFont="1" applyFill="1" applyBorder="1" applyAlignment="1">
      <alignment horizontal="left" vertical="top" wrapText="1"/>
    </xf>
    <xf numFmtId="0" fontId="37" fillId="2" borderId="22" xfId="0" applyFont="1" applyFill="1" applyBorder="1" applyAlignment="1">
      <alignment horizontal="left" vertical="top" wrapText="1"/>
    </xf>
    <xf numFmtId="3" fontId="0" fillId="16" borderId="1" xfId="0" applyNumberFormat="1" applyFill="1" applyBorder="1" applyAlignment="1" applyProtection="1">
      <alignment horizontal="right"/>
      <protection locked="0"/>
    </xf>
    <xf numFmtId="0" fontId="0" fillId="16" borderId="1" xfId="0" applyFill="1" applyBorder="1" applyAlignment="1" applyProtection="1">
      <alignment horizontal="right"/>
      <protection locked="0"/>
    </xf>
    <xf numFmtId="37" fontId="0" fillId="16" borderId="25" xfId="0" applyNumberFormat="1" applyFill="1" applyBorder="1" applyAlignment="1" applyProtection="1">
      <alignment horizontal="right"/>
      <protection locked="0"/>
    </xf>
    <xf numFmtId="37" fontId="0" fillId="16" borderId="1" xfId="0" applyNumberFormat="1" applyFill="1" applyBorder="1" applyAlignment="1" applyProtection="1">
      <alignment horizontal="right"/>
      <protection locked="0"/>
    </xf>
    <xf numFmtId="0" fontId="5" fillId="2" borderId="0" xfId="0" applyFont="1" applyFill="1" applyAlignment="1">
      <alignment horizontal="left" vertical="top" wrapText="1"/>
    </xf>
    <xf numFmtId="39" fontId="6" fillId="24" borderId="23" xfId="0" applyNumberFormat="1" applyFont="1" applyFill="1" applyBorder="1" applyAlignment="1" applyProtection="1">
      <alignment horizontal="center"/>
      <protection locked="0"/>
    </xf>
    <xf numFmtId="39" fontId="6" fillId="24" borderId="19" xfId="0" applyNumberFormat="1" applyFont="1" applyFill="1" applyBorder="1" applyAlignment="1" applyProtection="1">
      <alignment horizontal="center"/>
      <protection locked="0"/>
    </xf>
    <xf numFmtId="0" fontId="6" fillId="15" borderId="23" xfId="0" applyFont="1" applyFill="1" applyBorder="1" applyAlignment="1">
      <alignment horizontal="center"/>
    </xf>
    <xf numFmtId="0" fontId="6" fillId="15" borderId="19" xfId="0" applyFont="1" applyFill="1" applyBorder="1" applyAlignment="1">
      <alignment horizontal="center"/>
    </xf>
    <xf numFmtId="37" fontId="0" fillId="15" borderId="8" xfId="0" applyNumberFormat="1" applyFill="1" applyBorder="1" applyAlignment="1">
      <alignment horizontal="right"/>
    </xf>
    <xf numFmtId="1" fontId="31" fillId="2" borderId="39" xfId="0" applyNumberFormat="1" applyFont="1" applyFill="1" applyBorder="1" applyProtection="1">
      <protection locked="0"/>
    </xf>
    <xf numFmtId="0" fontId="0" fillId="0" borderId="25" xfId="0" applyBorder="1" applyProtection="1">
      <protection locked="0"/>
    </xf>
    <xf numFmtId="0" fontId="0" fillId="0" borderId="54" xfId="0" applyBorder="1" applyProtection="1">
      <protection locked="0"/>
    </xf>
    <xf numFmtId="0" fontId="23" fillId="15" borderId="7" xfId="0" applyFont="1" applyFill="1" applyBorder="1" applyAlignment="1">
      <alignment horizontal="left"/>
    </xf>
    <xf numFmtId="0" fontId="23" fillId="15" borderId="0" xfId="0" applyFont="1" applyFill="1" applyAlignment="1">
      <alignment horizontal="left"/>
    </xf>
    <xf numFmtId="0" fontId="47" fillId="24" borderId="0" xfId="0" applyFont="1" applyFill="1" applyAlignment="1">
      <alignment horizontal="left" vertical="top" wrapText="1"/>
    </xf>
    <xf numFmtId="0" fontId="207" fillId="0" borderId="0" xfId="0" applyFont="1" applyAlignment="1">
      <alignment horizontal="center" vertical="center" wrapText="1"/>
    </xf>
    <xf numFmtId="3" fontId="12" fillId="2" borderId="7" xfId="0" applyNumberFormat="1" applyFont="1" applyFill="1" applyBorder="1" applyAlignment="1">
      <alignment horizontal="center" vertical="top" wrapText="1"/>
    </xf>
    <xf numFmtId="3" fontId="12" fillId="2" borderId="0" xfId="0" applyNumberFormat="1" applyFont="1" applyFill="1" applyAlignment="1">
      <alignment horizontal="center" vertical="top" wrapText="1"/>
    </xf>
    <xf numFmtId="3" fontId="163" fillId="8" borderId="0" xfId="0" applyNumberFormat="1" applyFont="1" applyFill="1" applyAlignment="1">
      <alignment horizontal="center" wrapText="1"/>
    </xf>
    <xf numFmtId="0" fontId="44" fillId="3" borderId="100" xfId="0" applyFont="1" applyFill="1" applyBorder="1" applyAlignment="1">
      <alignment horizontal="center" vertical="center"/>
    </xf>
    <xf numFmtId="0" fontId="44" fillId="3" borderId="0" xfId="0" applyFont="1" applyFill="1" applyAlignment="1">
      <alignment horizontal="center" vertical="center"/>
    </xf>
    <xf numFmtId="0" fontId="44" fillId="3" borderId="75" xfId="0" applyFont="1" applyFill="1" applyBorder="1" applyAlignment="1">
      <alignment horizontal="center" vertical="center"/>
    </xf>
    <xf numFmtId="0" fontId="12" fillId="14" borderId="0" xfId="0" applyFont="1" applyFill="1" applyAlignment="1">
      <alignment horizontal="center"/>
    </xf>
    <xf numFmtId="0" fontId="12" fillId="20" borderId="216" xfId="0" applyFont="1" applyFill="1" applyBorder="1" applyAlignment="1" applyProtection="1">
      <alignment horizontal="center"/>
      <protection locked="0"/>
    </xf>
    <xf numFmtId="0" fontId="6" fillId="3" borderId="0" xfId="0" applyFont="1" applyFill="1" applyAlignment="1">
      <alignment horizontal="left" vertical="top" wrapText="1"/>
    </xf>
    <xf numFmtId="0" fontId="8" fillId="3" borderId="0" xfId="0" applyFont="1" applyFill="1" applyAlignment="1">
      <alignment horizontal="left" vertical="top" wrapText="1"/>
    </xf>
    <xf numFmtId="0" fontId="67" fillId="19" borderId="23" xfId="2" applyFill="1" applyBorder="1" applyAlignment="1" applyProtection="1">
      <alignment horizontal="center" vertical="center"/>
    </xf>
    <xf numFmtId="0" fontId="67" fillId="19" borderId="19" xfId="2" applyFill="1" applyBorder="1" applyAlignment="1" applyProtection="1">
      <alignment horizontal="center" vertical="center"/>
    </xf>
    <xf numFmtId="0" fontId="67" fillId="19" borderId="5" xfId="2" applyFill="1" applyBorder="1" applyAlignment="1" applyProtection="1">
      <alignment horizontal="center" vertical="center"/>
    </xf>
    <xf numFmtId="0" fontId="67" fillId="19" borderId="20" xfId="2" applyFill="1" applyBorder="1" applyAlignment="1" applyProtection="1">
      <alignment horizontal="center" vertical="center"/>
    </xf>
    <xf numFmtId="0" fontId="67" fillId="19" borderId="21" xfId="2" applyFill="1" applyBorder="1" applyAlignment="1" applyProtection="1">
      <alignment horizontal="center" vertical="center"/>
    </xf>
    <xf numFmtId="0" fontId="67" fillId="19" borderId="22" xfId="2" applyFill="1" applyBorder="1" applyAlignment="1" applyProtection="1">
      <alignment horizontal="center" vertical="center"/>
    </xf>
    <xf numFmtId="0" fontId="67" fillId="0" borderId="62" xfId="2" applyBorder="1" applyAlignment="1" applyProtection="1">
      <alignment horizontal="center"/>
    </xf>
    <xf numFmtId="0" fontId="67" fillId="0" borderId="63" xfId="2" applyBorder="1" applyAlignment="1" applyProtection="1">
      <alignment horizontal="center"/>
    </xf>
    <xf numFmtId="0" fontId="12" fillId="26" borderId="87" xfId="0" applyFont="1" applyFill="1" applyBorder="1" applyAlignment="1">
      <alignment horizontal="center"/>
    </xf>
    <xf numFmtId="0" fontId="12" fillId="26" borderId="91" xfId="0" applyFont="1" applyFill="1" applyBorder="1" applyAlignment="1">
      <alignment horizontal="center"/>
    </xf>
    <xf numFmtId="0" fontId="12" fillId="20" borderId="136" xfId="0" applyFont="1" applyFill="1" applyBorder="1" applyAlignment="1" applyProtection="1">
      <alignment horizontal="center"/>
      <protection locked="0"/>
    </xf>
    <xf numFmtId="0" fontId="12" fillId="20" borderId="122" xfId="0" applyFont="1" applyFill="1" applyBorder="1" applyAlignment="1" applyProtection="1">
      <alignment horizontal="center"/>
      <protection locked="0"/>
    </xf>
    <xf numFmtId="0" fontId="12" fillId="26" borderId="94" xfId="0" applyFont="1" applyFill="1" applyBorder="1" applyAlignment="1">
      <alignment horizontal="center"/>
    </xf>
    <xf numFmtId="0" fontId="12" fillId="26" borderId="95" xfId="0" applyFont="1" applyFill="1" applyBorder="1" applyAlignment="1">
      <alignment horizontal="center"/>
    </xf>
    <xf numFmtId="0" fontId="374" fillId="24" borderId="5" xfId="0" applyFont="1" applyFill="1" applyBorder="1" applyAlignment="1">
      <alignment horizontal="center"/>
    </xf>
    <xf numFmtId="0" fontId="374" fillId="24" borderId="0" xfId="0" applyFont="1" applyFill="1" applyAlignment="1">
      <alignment horizontal="center"/>
    </xf>
    <xf numFmtId="0" fontId="10" fillId="15" borderId="21" xfId="0" applyFont="1" applyFill="1" applyBorder="1" applyAlignment="1">
      <alignment horizontal="left" vertical="top" wrapText="1"/>
    </xf>
    <xf numFmtId="0" fontId="10" fillId="15" borderId="4" xfId="0" applyFont="1" applyFill="1" applyBorder="1" applyAlignment="1">
      <alignment horizontal="left" vertical="top" wrapText="1"/>
    </xf>
    <xf numFmtId="0" fontId="10" fillId="15" borderId="22" xfId="0" applyFont="1" applyFill="1" applyBorder="1" applyAlignment="1">
      <alignment horizontal="left" vertical="top" wrapText="1"/>
    </xf>
    <xf numFmtId="0" fontId="6" fillId="24" borderId="0" xfId="0" applyFont="1" applyFill="1" applyAlignment="1">
      <alignment horizontal="left" vertical="top" wrapText="1"/>
    </xf>
    <xf numFmtId="0" fontId="6" fillId="24" borderId="20" xfId="0" applyFont="1" applyFill="1" applyBorder="1" applyAlignment="1">
      <alignment horizontal="left" vertical="top" wrapText="1"/>
    </xf>
    <xf numFmtId="0" fontId="4" fillId="24" borderId="0" xfId="0" applyFont="1" applyFill="1" applyAlignment="1">
      <alignment horizontal="left" vertical="top"/>
    </xf>
    <xf numFmtId="0" fontId="10" fillId="3" borderId="0" xfId="0" applyFont="1" applyFill="1" applyAlignment="1">
      <alignment horizontal="left" vertical="top" wrapText="1"/>
    </xf>
    <xf numFmtId="0" fontId="0" fillId="0" borderId="0" xfId="0" applyAlignment="1">
      <alignment horizontal="left" vertical="top" wrapText="1"/>
    </xf>
    <xf numFmtId="0" fontId="0" fillId="0" borderId="1" xfId="0" applyBorder="1" applyAlignment="1">
      <alignment horizontal="left" vertical="top" wrapText="1"/>
    </xf>
    <xf numFmtId="0" fontId="10" fillId="2" borderId="101" xfId="0" applyFont="1" applyFill="1" applyBorder="1" applyAlignment="1">
      <alignment horizontal="center"/>
    </xf>
    <xf numFmtId="0" fontId="6" fillId="0" borderId="1" xfId="0" applyFont="1" applyBorder="1" applyAlignment="1">
      <alignment horizontal="center"/>
    </xf>
    <xf numFmtId="166" fontId="11" fillId="28" borderId="9" xfId="0" applyNumberFormat="1" applyFont="1" applyFill="1" applyBorder="1" applyAlignment="1">
      <alignment horizontal="center"/>
    </xf>
    <xf numFmtId="0" fontId="14" fillId="25" borderId="1" xfId="0" applyFont="1" applyFill="1" applyBorder="1" applyAlignment="1">
      <alignment horizontal="center"/>
    </xf>
    <xf numFmtId="0" fontId="12" fillId="3" borderId="3" xfId="0" applyFont="1" applyFill="1" applyBorder="1" applyAlignment="1">
      <alignment horizontal="left"/>
    </xf>
    <xf numFmtId="0" fontId="4" fillId="0" borderId="0" xfId="0" applyFont="1"/>
    <xf numFmtId="1" fontId="21" fillId="3" borderId="212" xfId="0" applyNumberFormat="1" applyFont="1" applyFill="1" applyBorder="1" applyAlignment="1">
      <alignment horizontal="center" vertical="center" wrapText="1"/>
    </xf>
    <xf numFmtId="0" fontId="315" fillId="0" borderId="8" xfId="0" applyFont="1" applyBorder="1" applyAlignment="1">
      <alignment horizontal="center" vertical="center" wrapText="1"/>
    </xf>
    <xf numFmtId="0" fontId="4" fillId="3" borderId="0" xfId="0" applyFont="1" applyFill="1" applyAlignment="1">
      <alignment horizontal="center" vertical="center"/>
    </xf>
    <xf numFmtId="0" fontId="9" fillId="3" borderId="0" xfId="0" applyFont="1" applyFill="1" applyAlignment="1">
      <alignment horizontal="center" vertical="center"/>
    </xf>
    <xf numFmtId="0" fontId="8" fillId="3" borderId="72" xfId="0" applyFont="1" applyFill="1" applyBorder="1" applyAlignment="1">
      <alignment horizontal="center" vertical="center" wrapText="1"/>
    </xf>
    <xf numFmtId="0" fontId="8" fillId="3" borderId="13" xfId="0" applyFont="1" applyFill="1" applyBorder="1" applyAlignment="1">
      <alignment horizontal="center" vertical="center" wrapText="1"/>
    </xf>
    <xf numFmtId="0" fontId="11" fillId="28" borderId="1" xfId="0" quotePrefix="1" applyFont="1" applyFill="1" applyBorder="1" applyAlignment="1">
      <alignment horizontal="left"/>
    </xf>
    <xf numFmtId="0" fontId="11" fillId="28" borderId="11" xfId="0" quotePrefix="1" applyFont="1" applyFill="1" applyBorder="1" applyAlignment="1">
      <alignment horizontal="left"/>
    </xf>
    <xf numFmtId="0" fontId="0" fillId="20" borderId="87" xfId="0" applyFill="1" applyBorder="1" applyAlignment="1" applyProtection="1">
      <alignment horizontal="left"/>
      <protection locked="0"/>
    </xf>
    <xf numFmtId="0" fontId="0" fillId="20" borderId="113" xfId="0" applyFill="1" applyBorder="1" applyAlignment="1" applyProtection="1">
      <alignment horizontal="left"/>
      <protection locked="0"/>
    </xf>
    <xf numFmtId="37" fontId="9" fillId="28" borderId="3" xfId="0" applyNumberFormat="1" applyFont="1" applyFill="1" applyBorder="1" applyAlignment="1">
      <alignment horizontal="right"/>
    </xf>
    <xf numFmtId="37" fontId="9" fillId="28" borderId="0" xfId="0" applyNumberFormat="1" applyFont="1" applyFill="1" applyAlignment="1">
      <alignment horizontal="right"/>
    </xf>
    <xf numFmtId="37" fontId="9" fillId="28" borderId="24" xfId="0" applyNumberFormat="1" applyFont="1" applyFill="1" applyBorder="1" applyAlignment="1">
      <alignment horizontal="right"/>
    </xf>
    <xf numFmtId="0" fontId="11" fillId="3" borderId="0" xfId="0" applyFont="1" applyFill="1" applyAlignment="1" applyProtection="1">
      <alignment horizontal="left" vertical="top" wrapText="1"/>
      <protection hidden="1"/>
    </xf>
    <xf numFmtId="0" fontId="10" fillId="3" borderId="0" xfId="0" applyFont="1" applyFill="1" applyAlignment="1" applyProtection="1">
      <alignment horizontal="left" vertical="top" wrapText="1"/>
      <protection hidden="1"/>
    </xf>
    <xf numFmtId="0" fontId="10" fillId="3" borderId="4" xfId="0" applyFont="1" applyFill="1" applyBorder="1" applyAlignment="1" applyProtection="1">
      <alignment horizontal="left" vertical="top" wrapText="1"/>
      <protection hidden="1"/>
    </xf>
    <xf numFmtId="0" fontId="174" fillId="20" borderId="154" xfId="0" applyFont="1" applyFill="1" applyBorder="1" applyAlignment="1" applyProtection="1">
      <alignment horizontal="left"/>
      <protection locked="0" hidden="1"/>
    </xf>
    <xf numFmtId="0" fontId="174" fillId="16" borderId="154" xfId="0" applyFont="1" applyFill="1" applyBorder="1" applyAlignment="1" applyProtection="1">
      <alignment horizontal="left"/>
      <protection locked="0" hidden="1"/>
    </xf>
    <xf numFmtId="0" fontId="174" fillId="16" borderId="84" xfId="0" applyFont="1" applyFill="1" applyBorder="1" applyAlignment="1" applyProtection="1">
      <alignment horizontal="left"/>
      <protection locked="0" hidden="1"/>
    </xf>
    <xf numFmtId="39" fontId="6" fillId="20" borderId="39" xfId="0" applyNumberFormat="1" applyFont="1" applyFill="1" applyBorder="1" applyAlignment="1" applyProtection="1">
      <alignment horizontal="right"/>
      <protection locked="0" hidden="1"/>
    </xf>
    <xf numFmtId="39" fontId="6" fillId="20" borderId="25" xfId="0" applyNumberFormat="1" applyFont="1" applyFill="1" applyBorder="1" applyAlignment="1" applyProtection="1">
      <alignment horizontal="right"/>
      <protection locked="0" hidden="1"/>
    </xf>
    <xf numFmtId="39" fontId="6" fillId="16" borderId="25" xfId="0" applyNumberFormat="1" applyFont="1" applyFill="1" applyBorder="1" applyAlignment="1" applyProtection="1">
      <alignment horizontal="right"/>
      <protection locked="0" hidden="1"/>
    </xf>
    <xf numFmtId="0" fontId="10" fillId="20" borderId="92" xfId="0" applyFont="1" applyFill="1" applyBorder="1" applyAlignment="1" applyProtection="1">
      <alignment horizontal="left"/>
      <protection locked="0"/>
    </xf>
    <xf numFmtId="0" fontId="6" fillId="16" borderId="92" xfId="0" applyFont="1" applyFill="1" applyBorder="1" applyAlignment="1" applyProtection="1">
      <alignment horizontal="left"/>
      <protection locked="0"/>
    </xf>
    <xf numFmtId="0" fontId="4" fillId="3" borderId="0" xfId="0" applyFont="1" applyFill="1" applyAlignment="1" applyProtection="1">
      <alignment horizontal="left" vertical="center" wrapText="1"/>
      <protection hidden="1"/>
    </xf>
    <xf numFmtId="0" fontId="6" fillId="0" borderId="0" xfId="0" applyFont="1" applyAlignment="1">
      <alignment vertical="center"/>
    </xf>
    <xf numFmtId="0" fontId="4" fillId="20" borderId="87" xfId="0" applyFont="1" applyFill="1" applyBorder="1" applyAlignment="1" applyProtection="1">
      <alignment horizontal="left" vertical="top" indent="1"/>
      <protection locked="0"/>
    </xf>
    <xf numFmtId="0" fontId="4" fillId="20" borderId="91" xfId="0" applyFont="1" applyFill="1" applyBorder="1" applyAlignment="1" applyProtection="1">
      <alignment horizontal="left" vertical="top" indent="1"/>
      <protection locked="0"/>
    </xf>
    <xf numFmtId="39" fontId="6" fillId="20" borderId="39" xfId="0" applyNumberFormat="1" applyFont="1" applyFill="1" applyBorder="1" applyAlignment="1" applyProtection="1">
      <alignment horizontal="right"/>
      <protection locked="0"/>
    </xf>
    <xf numFmtId="39" fontId="6" fillId="20" borderId="25" xfId="0" applyNumberFormat="1" applyFont="1" applyFill="1" applyBorder="1" applyAlignment="1" applyProtection="1">
      <alignment horizontal="right"/>
      <protection locked="0"/>
    </xf>
    <xf numFmtId="39" fontId="6" fillId="16" borderId="25" xfId="0" applyNumberFormat="1" applyFont="1" applyFill="1" applyBorder="1" applyAlignment="1" applyProtection="1">
      <alignment horizontal="right"/>
      <protection locked="0"/>
    </xf>
    <xf numFmtId="3" fontId="4" fillId="20" borderId="9" xfId="0" applyNumberFormat="1" applyFont="1" applyFill="1" applyBorder="1" applyAlignment="1" applyProtection="1">
      <alignment horizontal="right"/>
      <protection locked="0"/>
    </xf>
    <xf numFmtId="3" fontId="4" fillId="20" borderId="1" xfId="0" applyNumberFormat="1" applyFont="1" applyFill="1" applyBorder="1" applyAlignment="1" applyProtection="1">
      <alignment horizontal="right"/>
      <protection locked="0"/>
    </xf>
    <xf numFmtId="0" fontId="67" fillId="11" borderId="62" xfId="2" applyFill="1" applyBorder="1" applyAlignment="1" applyProtection="1">
      <alignment horizontal="center"/>
    </xf>
    <xf numFmtId="0" fontId="67" fillId="11" borderId="63" xfId="2" applyFill="1" applyBorder="1" applyAlignment="1" applyProtection="1">
      <alignment horizontal="center"/>
    </xf>
    <xf numFmtId="37" fontId="4" fillId="26" borderId="39" xfId="0" applyNumberFormat="1" applyFont="1" applyFill="1" applyBorder="1"/>
    <xf numFmtId="37" fontId="4" fillId="26" borderId="25" xfId="0" applyNumberFormat="1" applyFont="1" applyFill="1" applyBorder="1"/>
    <xf numFmtId="0" fontId="4" fillId="15" borderId="3" xfId="0" applyFont="1" applyFill="1" applyBorder="1" applyAlignment="1" applyProtection="1">
      <alignment horizontal="center" vertical="center"/>
      <protection hidden="1"/>
    </xf>
    <xf numFmtId="0" fontId="4" fillId="15" borderId="0" xfId="0" applyFont="1" applyFill="1" applyAlignment="1" applyProtection="1">
      <alignment horizontal="center" vertical="center"/>
      <protection hidden="1"/>
    </xf>
    <xf numFmtId="0" fontId="4" fillId="15" borderId="24" xfId="0" applyFont="1" applyFill="1" applyBorder="1" applyAlignment="1" applyProtection="1">
      <alignment horizontal="center" vertical="center"/>
      <protection hidden="1"/>
    </xf>
    <xf numFmtId="0" fontId="4" fillId="20" borderId="87" xfId="0" applyFont="1" applyFill="1" applyBorder="1" applyAlignment="1" applyProtection="1">
      <alignment horizontal="left" indent="1"/>
      <protection locked="0"/>
    </xf>
    <xf numFmtId="0" fontId="4" fillId="20" borderId="91" xfId="0" applyFont="1" applyFill="1" applyBorder="1" applyAlignment="1" applyProtection="1">
      <alignment horizontal="left" indent="1"/>
      <protection locked="0"/>
    </xf>
    <xf numFmtId="0" fontId="143" fillId="5" borderId="0" xfId="0" applyFont="1" applyFill="1" applyAlignment="1" applyProtection="1">
      <alignment horizontal="center"/>
      <protection hidden="1"/>
    </xf>
    <xf numFmtId="0" fontId="9" fillId="3" borderId="5" xfId="0" applyFont="1" applyFill="1" applyBorder="1" applyAlignment="1" applyProtection="1">
      <alignment horizontal="center" vertical="center"/>
      <protection hidden="1"/>
    </xf>
    <xf numFmtId="0" fontId="9" fillId="3" borderId="0" xfId="0" applyFont="1" applyFill="1" applyAlignment="1" applyProtection="1">
      <alignment horizontal="center" vertical="center"/>
      <protection hidden="1"/>
    </xf>
    <xf numFmtId="0" fontId="9" fillId="3" borderId="20" xfId="0" applyFont="1" applyFill="1" applyBorder="1" applyAlignment="1" applyProtection="1">
      <alignment horizontal="center" vertical="center"/>
      <protection hidden="1"/>
    </xf>
    <xf numFmtId="0" fontId="20" fillId="2" borderId="5" xfId="0" applyFont="1" applyFill="1" applyBorder="1" applyAlignment="1" applyProtection="1">
      <alignment horizontal="center" vertical="center"/>
      <protection hidden="1"/>
    </xf>
    <xf numFmtId="0" fontId="20" fillId="2" borderId="0" xfId="0" applyFont="1" applyFill="1" applyAlignment="1" applyProtection="1">
      <alignment horizontal="center" vertical="center"/>
      <protection hidden="1"/>
    </xf>
    <xf numFmtId="0" fontId="20" fillId="2" borderId="20" xfId="0" applyFont="1" applyFill="1" applyBorder="1" applyAlignment="1" applyProtection="1">
      <alignment horizontal="center" vertical="center"/>
      <protection hidden="1"/>
    </xf>
    <xf numFmtId="0" fontId="10" fillId="2" borderId="5" xfId="0" applyFont="1" applyFill="1" applyBorder="1" applyAlignment="1" applyProtection="1">
      <alignment horizontal="center" vertical="center"/>
      <protection hidden="1"/>
    </xf>
    <xf numFmtId="0" fontId="10" fillId="2" borderId="0" xfId="0" applyFont="1" applyFill="1" applyAlignment="1" applyProtection="1">
      <alignment horizontal="center" vertical="center"/>
      <protection hidden="1"/>
    </xf>
    <xf numFmtId="0" fontId="10" fillId="2" borderId="26" xfId="0" applyFont="1" applyFill="1" applyBorder="1" applyAlignment="1" applyProtection="1">
      <alignment horizontal="center" vertical="center"/>
      <protection hidden="1"/>
    </xf>
    <xf numFmtId="0" fontId="10" fillId="2" borderId="1" xfId="0" applyFont="1" applyFill="1" applyBorder="1" applyAlignment="1" applyProtection="1">
      <alignment horizontal="center" vertical="center"/>
      <protection hidden="1"/>
    </xf>
    <xf numFmtId="0" fontId="58" fillId="2" borderId="80" xfId="0" applyFont="1" applyFill="1" applyBorder="1" applyAlignment="1" applyProtection="1">
      <alignment horizontal="center" vertical="center"/>
      <protection hidden="1"/>
    </xf>
    <xf numFmtId="0" fontId="92" fillId="0" borderId="8" xfId="0" applyFont="1" applyBorder="1" applyAlignment="1">
      <alignment horizontal="center" vertical="center"/>
    </xf>
    <xf numFmtId="0" fontId="92" fillId="0" borderId="5" xfId="0" applyFont="1" applyBorder="1" applyAlignment="1">
      <alignment horizontal="center" vertical="center"/>
    </xf>
    <xf numFmtId="0" fontId="92" fillId="0" borderId="0" xfId="0" applyFont="1" applyAlignment="1">
      <alignment horizontal="center" vertical="center"/>
    </xf>
    <xf numFmtId="4" fontId="4" fillId="3" borderId="9" xfId="0" applyNumberFormat="1" applyFont="1" applyFill="1" applyBorder="1" applyAlignment="1" applyProtection="1">
      <alignment horizontal="center"/>
      <protection hidden="1"/>
    </xf>
    <xf numFmtId="4" fontId="4" fillId="3" borderId="1" xfId="0" applyNumberFormat="1" applyFont="1" applyFill="1" applyBorder="1" applyAlignment="1" applyProtection="1">
      <alignment horizontal="center"/>
      <protection hidden="1"/>
    </xf>
    <xf numFmtId="0" fontId="4" fillId="0" borderId="1" xfId="0" applyFont="1" applyBorder="1" applyAlignment="1" applyProtection="1">
      <alignment horizontal="center"/>
      <protection hidden="1"/>
    </xf>
    <xf numFmtId="0" fontId="4" fillId="3" borderId="5" xfId="0" applyFont="1" applyFill="1" applyBorder="1" applyAlignment="1" applyProtection="1">
      <alignment horizontal="center"/>
      <protection hidden="1"/>
    </xf>
    <xf numFmtId="0" fontId="4" fillId="3" borderId="0" xfId="0" applyFont="1" applyFill="1" applyAlignment="1" applyProtection="1">
      <alignment horizontal="center"/>
      <protection hidden="1"/>
    </xf>
    <xf numFmtId="0" fontId="4" fillId="3" borderId="20" xfId="0" applyFont="1" applyFill="1" applyBorder="1" applyAlignment="1" applyProtection="1">
      <alignment horizontal="center"/>
      <protection hidden="1"/>
    </xf>
    <xf numFmtId="0" fontId="16" fillId="3" borderId="56" xfId="0" applyFont="1" applyFill="1" applyBorder="1" applyAlignment="1" applyProtection="1">
      <alignment horizontal="left"/>
      <protection hidden="1"/>
    </xf>
    <xf numFmtId="0" fontId="16" fillId="0" borderId="7" xfId="0" applyFont="1" applyBorder="1" applyAlignment="1">
      <alignment horizontal="left"/>
    </xf>
    <xf numFmtId="166" fontId="11" fillId="26" borderId="9" xfId="0" applyNumberFormat="1" applyFont="1" applyFill="1" applyBorder="1" applyAlignment="1" applyProtection="1">
      <alignment horizontal="center"/>
      <protection hidden="1"/>
    </xf>
    <xf numFmtId="0" fontId="14" fillId="27" borderId="1" xfId="0" applyFont="1" applyFill="1" applyBorder="1" applyAlignment="1" applyProtection="1">
      <alignment horizontal="center"/>
      <protection hidden="1"/>
    </xf>
    <xf numFmtId="4" fontId="4" fillId="3" borderId="39" xfId="0" applyNumberFormat="1" applyFont="1" applyFill="1" applyBorder="1" applyAlignment="1" applyProtection="1">
      <alignment horizontal="center"/>
      <protection hidden="1"/>
    </xf>
    <xf numFmtId="4" fontId="4" fillId="3" borderId="25" xfId="0" applyNumberFormat="1" applyFont="1" applyFill="1" applyBorder="1" applyAlignment="1" applyProtection="1">
      <alignment horizontal="center"/>
      <protection hidden="1"/>
    </xf>
    <xf numFmtId="4" fontId="4" fillId="3" borderId="30" xfId="0" applyNumberFormat="1" applyFont="1" applyFill="1" applyBorder="1" applyAlignment="1" applyProtection="1">
      <alignment horizontal="center"/>
      <protection hidden="1"/>
    </xf>
    <xf numFmtId="4" fontId="4" fillId="3" borderId="8" xfId="0" applyNumberFormat="1" applyFont="1" applyFill="1" applyBorder="1" applyAlignment="1" applyProtection="1">
      <alignment horizontal="center"/>
      <protection hidden="1"/>
    </xf>
    <xf numFmtId="0" fontId="11" fillId="2" borderId="0" xfId="0" quotePrefix="1" applyFont="1" applyFill="1" applyAlignment="1" applyProtection="1">
      <alignment horizontal="center" wrapText="1"/>
      <protection hidden="1"/>
    </xf>
    <xf numFmtId="0" fontId="11" fillId="2" borderId="0" xfId="0" applyFont="1" applyFill="1" applyAlignment="1" applyProtection="1">
      <alignment horizontal="center" wrapText="1"/>
      <protection hidden="1"/>
    </xf>
    <xf numFmtId="0" fontId="11" fillId="2" borderId="4" xfId="0" applyFont="1" applyFill="1" applyBorder="1" applyAlignment="1" applyProtection="1">
      <alignment horizontal="center" wrapText="1"/>
      <protection hidden="1"/>
    </xf>
    <xf numFmtId="0" fontId="9" fillId="3" borderId="0" xfId="0" applyFont="1" applyFill="1" applyAlignment="1" applyProtection="1">
      <alignment horizontal="left" vertical="top" wrapText="1"/>
      <protection hidden="1"/>
    </xf>
    <xf numFmtId="0" fontId="199" fillId="15" borderId="0" xfId="0" applyFont="1" applyFill="1" applyAlignment="1" applyProtection="1">
      <alignment horizontal="center" wrapText="1"/>
      <protection hidden="1"/>
    </xf>
    <xf numFmtId="37" fontId="4" fillId="26" borderId="9" xfId="0" applyNumberFormat="1" applyFont="1" applyFill="1" applyBorder="1"/>
    <xf numFmtId="37" fontId="4" fillId="26" borderId="1" xfId="0" applyNumberFormat="1" applyFont="1" applyFill="1" applyBorder="1"/>
    <xf numFmtId="37" fontId="9" fillId="28" borderId="69" xfId="0" applyNumberFormat="1" applyFont="1" applyFill="1" applyBorder="1" applyAlignment="1">
      <alignment horizontal="right"/>
    </xf>
    <xf numFmtId="37" fontId="8" fillId="28" borderId="4" xfId="0" applyNumberFormat="1" applyFont="1" applyFill="1" applyBorder="1" applyAlignment="1">
      <alignment horizontal="right"/>
    </xf>
    <xf numFmtId="37" fontId="4" fillId="20" borderId="9" xfId="0" applyNumberFormat="1" applyFont="1" applyFill="1" applyBorder="1" applyAlignment="1" applyProtection="1">
      <alignment horizontal="right"/>
      <protection locked="0"/>
    </xf>
    <xf numFmtId="37" fontId="4" fillId="20" borderId="1" xfId="0" applyNumberFormat="1" applyFont="1" applyFill="1" applyBorder="1" applyAlignment="1" applyProtection="1">
      <alignment horizontal="right"/>
      <protection locked="0"/>
    </xf>
    <xf numFmtId="39" fontId="6" fillId="20" borderId="89" xfId="0" applyNumberFormat="1" applyFont="1" applyFill="1" applyBorder="1" applyAlignment="1" applyProtection="1">
      <alignment horizontal="left" wrapText="1"/>
      <protection locked="0"/>
    </xf>
    <xf numFmtId="39" fontId="6" fillId="20" borderId="90" xfId="0" applyNumberFormat="1" applyFont="1" applyFill="1" applyBorder="1" applyAlignment="1" applyProtection="1">
      <alignment horizontal="left" wrapText="1"/>
      <protection locked="0"/>
    </xf>
    <xf numFmtId="176" fontId="4" fillId="20" borderId="87" xfId="0" applyNumberFormat="1" applyFont="1" applyFill="1" applyBorder="1" applyAlignment="1" applyProtection="1">
      <alignment horizontal="center"/>
      <protection locked="0"/>
    </xf>
    <xf numFmtId="37" fontId="9" fillId="16" borderId="9" xfId="0" applyNumberFormat="1" applyFont="1" applyFill="1" applyBorder="1" applyAlignment="1" applyProtection="1">
      <alignment horizontal="right"/>
      <protection locked="0"/>
    </xf>
    <xf numFmtId="37" fontId="9" fillId="16" borderId="1" xfId="0" applyNumberFormat="1" applyFont="1" applyFill="1" applyBorder="1" applyAlignment="1" applyProtection="1">
      <alignment horizontal="right"/>
      <protection locked="0"/>
    </xf>
    <xf numFmtId="37" fontId="116" fillId="3" borderId="0" xfId="0" applyNumberFormat="1" applyFont="1" applyFill="1" applyAlignment="1">
      <alignment horizontal="center"/>
    </xf>
    <xf numFmtId="37" fontId="116" fillId="3" borderId="24" xfId="0" applyNumberFormat="1" applyFont="1" applyFill="1" applyBorder="1" applyAlignment="1">
      <alignment horizontal="center"/>
    </xf>
    <xf numFmtId="3" fontId="205" fillId="15" borderId="3" xfId="0" applyNumberFormat="1" applyFont="1" applyFill="1" applyBorder="1" applyAlignment="1">
      <alignment horizontal="center"/>
    </xf>
    <xf numFmtId="3" fontId="205" fillId="15" borderId="0" xfId="0" applyNumberFormat="1" applyFont="1" applyFill="1" applyAlignment="1">
      <alignment horizontal="center"/>
    </xf>
    <xf numFmtId="0" fontId="67" fillId="11" borderId="61" xfId="2" applyFill="1" applyBorder="1" applyAlignment="1" applyProtection="1">
      <alignment horizontal="center" vertical="center" wrapText="1"/>
    </xf>
    <xf numFmtId="0" fontId="67" fillId="11" borderId="62" xfId="2" applyFill="1" applyBorder="1" applyAlignment="1" applyProtection="1">
      <alignment horizontal="center" vertical="center" wrapText="1"/>
    </xf>
    <xf numFmtId="0" fontId="67" fillId="11" borderId="63" xfId="2" applyFill="1" applyBorder="1" applyAlignment="1" applyProtection="1">
      <alignment horizontal="center" vertical="center" wrapText="1"/>
    </xf>
    <xf numFmtId="0" fontId="67" fillId="11" borderId="61" xfId="2" applyFill="1" applyBorder="1" applyAlignment="1" applyProtection="1">
      <alignment horizontal="center" vertical="center"/>
    </xf>
    <xf numFmtId="0" fontId="67" fillId="11" borderId="62" xfId="2" applyFill="1" applyBorder="1" applyAlignment="1" applyProtection="1">
      <alignment horizontal="center" vertical="center"/>
    </xf>
    <xf numFmtId="0" fontId="67" fillId="11" borderId="63" xfId="2" applyFill="1" applyBorder="1" applyAlignment="1" applyProtection="1">
      <alignment horizontal="center" vertical="center"/>
    </xf>
    <xf numFmtId="39" fontId="6" fillId="20" borderId="92" xfId="0" applyNumberFormat="1" applyFont="1" applyFill="1" applyBorder="1" applyAlignment="1" applyProtection="1">
      <alignment horizontal="left" wrapText="1"/>
      <protection locked="0"/>
    </xf>
    <xf numFmtId="39" fontId="6" fillId="20" borderId="93" xfId="0" applyNumberFormat="1" applyFont="1" applyFill="1" applyBorder="1" applyAlignment="1" applyProtection="1">
      <alignment horizontal="left" wrapText="1"/>
      <protection locked="0"/>
    </xf>
    <xf numFmtId="0" fontId="8" fillId="3" borderId="26" xfId="0" applyFont="1" applyFill="1" applyBorder="1" applyAlignment="1">
      <alignment horizontal="center" vertical="center"/>
    </xf>
    <xf numFmtId="0" fontId="8" fillId="0" borderId="1" xfId="0" applyFont="1" applyBorder="1" applyAlignment="1">
      <alignment horizontal="center" vertical="center"/>
    </xf>
    <xf numFmtId="0" fontId="58" fillId="3" borderId="80" xfId="0" applyFont="1" applyFill="1" applyBorder="1" applyAlignment="1">
      <alignment horizontal="center" vertical="center"/>
    </xf>
    <xf numFmtId="0" fontId="58" fillId="3" borderId="8" xfId="0" applyFont="1" applyFill="1" applyBorder="1" applyAlignment="1">
      <alignment horizontal="center" vertical="center"/>
    </xf>
    <xf numFmtId="0" fontId="16" fillId="3" borderId="0" xfId="0" applyFont="1" applyFill="1" applyAlignment="1">
      <alignment wrapText="1"/>
    </xf>
    <xf numFmtId="0" fontId="16" fillId="0" borderId="24" xfId="0" applyFont="1" applyBorder="1" applyAlignment="1">
      <alignment wrapText="1"/>
    </xf>
    <xf numFmtId="0" fontId="16" fillId="0" borderId="1" xfId="0" applyFont="1" applyBorder="1" applyAlignment="1">
      <alignment wrapText="1"/>
    </xf>
    <xf numFmtId="0" fontId="16" fillId="0" borderId="11" xfId="0" applyFont="1" applyBorder="1" applyAlignment="1">
      <alignment wrapText="1"/>
    </xf>
    <xf numFmtId="0" fontId="4" fillId="3" borderId="9" xfId="0" applyFont="1" applyFill="1" applyBorder="1" applyAlignment="1">
      <alignment horizontal="center"/>
    </xf>
    <xf numFmtId="0" fontId="4" fillId="3" borderId="1" xfId="0" applyFont="1" applyFill="1" applyBorder="1" applyAlignment="1">
      <alignment horizontal="center"/>
    </xf>
    <xf numFmtId="0" fontId="4" fillId="3" borderId="29" xfId="0" applyFont="1" applyFill="1" applyBorder="1" applyAlignment="1">
      <alignment horizontal="center"/>
    </xf>
    <xf numFmtId="37" fontId="9" fillId="16" borderId="39" xfId="0" applyNumberFormat="1" applyFont="1" applyFill="1" applyBorder="1" applyAlignment="1" applyProtection="1">
      <alignment horizontal="right"/>
      <protection locked="0"/>
    </xf>
    <xf numFmtId="37" fontId="9" fillId="16" borderId="25" xfId="0" applyNumberFormat="1" applyFont="1" applyFill="1" applyBorder="1" applyAlignment="1" applyProtection="1">
      <alignment horizontal="right"/>
      <protection locked="0"/>
    </xf>
    <xf numFmtId="3" fontId="9" fillId="28" borderId="69" xfId="0" applyNumberFormat="1" applyFont="1" applyFill="1" applyBorder="1" applyAlignment="1">
      <alignment horizontal="right"/>
    </xf>
    <xf numFmtId="0" fontId="0" fillId="28" borderId="4" xfId="0" applyFill="1" applyBorder="1" applyAlignment="1">
      <alignment horizontal="right"/>
    </xf>
    <xf numFmtId="37" fontId="4" fillId="20" borderId="154" xfId="0" applyNumberFormat="1" applyFont="1" applyFill="1" applyBorder="1" applyAlignment="1" applyProtection="1">
      <alignment horizontal="center"/>
      <protection locked="0"/>
    </xf>
    <xf numFmtId="0" fontId="0" fillId="0" borderId="154" xfId="0" applyBorder="1" applyAlignment="1">
      <alignment horizontal="center"/>
    </xf>
    <xf numFmtId="39" fontId="8" fillId="3" borderId="0" xfId="0" applyNumberFormat="1" applyFont="1" applyFill="1" applyAlignment="1">
      <alignment horizontal="center"/>
    </xf>
    <xf numFmtId="0" fontId="9" fillId="3" borderId="3" xfId="0" applyFont="1" applyFill="1" applyBorder="1" applyAlignment="1">
      <alignment horizontal="center"/>
    </xf>
    <xf numFmtId="0" fontId="8" fillId="0" borderId="20" xfId="0" applyFont="1" applyBorder="1"/>
    <xf numFmtId="37" fontId="9" fillId="20" borderId="9" xfId="0" applyNumberFormat="1" applyFont="1" applyFill="1" applyBorder="1" applyAlignment="1" applyProtection="1">
      <alignment horizontal="right"/>
      <protection locked="0"/>
    </xf>
    <xf numFmtId="0" fontId="10" fillId="3" borderId="5" xfId="0" applyFont="1" applyFill="1" applyBorder="1" applyAlignment="1">
      <alignment horizontal="center" wrapText="1"/>
    </xf>
    <xf numFmtId="0" fontId="10" fillId="3" borderId="0" xfId="0" applyFont="1" applyFill="1" applyAlignment="1">
      <alignment horizontal="center" wrapText="1"/>
    </xf>
    <xf numFmtId="0" fontId="10" fillId="3" borderId="26" xfId="0" applyFont="1" applyFill="1" applyBorder="1" applyAlignment="1">
      <alignment horizontal="center" wrapText="1"/>
    </xf>
    <xf numFmtId="0" fontId="10" fillId="3" borderId="1" xfId="0" applyFont="1" applyFill="1" applyBorder="1" applyAlignment="1">
      <alignment horizontal="center" wrapText="1"/>
    </xf>
    <xf numFmtId="0" fontId="20" fillId="3" borderId="0" xfId="0" quotePrefix="1" applyFont="1" applyFill="1" applyAlignment="1">
      <alignment horizontal="left" wrapText="1"/>
    </xf>
    <xf numFmtId="0" fontId="20" fillId="3" borderId="1" xfId="0" applyFont="1" applyFill="1" applyBorder="1" applyAlignment="1">
      <alignment horizontal="left" wrapText="1"/>
    </xf>
    <xf numFmtId="166" fontId="4" fillId="26" borderId="35" xfId="0" applyNumberFormat="1" applyFont="1" applyFill="1" applyBorder="1" applyAlignment="1">
      <alignment horizontal="center" vertical="center"/>
    </xf>
    <xf numFmtId="166" fontId="4" fillId="26" borderId="13" xfId="0" applyNumberFormat="1" applyFont="1" applyFill="1" applyBorder="1" applyAlignment="1">
      <alignment horizontal="center" vertical="center"/>
    </xf>
    <xf numFmtId="4" fontId="9" fillId="20" borderId="87" xfId="0" applyNumberFormat="1" applyFont="1" applyFill="1" applyBorder="1" applyProtection="1">
      <protection locked="0"/>
    </xf>
    <xf numFmtId="0" fontId="6" fillId="0" borderId="29" xfId="0" applyFont="1" applyBorder="1"/>
    <xf numFmtId="37" fontId="9" fillId="28" borderId="9" xfId="0" applyNumberFormat="1" applyFont="1" applyFill="1" applyBorder="1" applyAlignment="1">
      <alignment horizontal="right"/>
    </xf>
    <xf numFmtId="37" fontId="9" fillId="28" borderId="1" xfId="0" applyNumberFormat="1" applyFont="1" applyFill="1" applyBorder="1" applyAlignment="1">
      <alignment horizontal="right"/>
    </xf>
    <xf numFmtId="0" fontId="4" fillId="20" borderId="1" xfId="0" applyFont="1" applyFill="1" applyBorder="1" applyAlignment="1" applyProtection="1">
      <alignment horizontal="left"/>
      <protection locked="0"/>
    </xf>
    <xf numFmtId="0" fontId="4" fillId="20" borderId="11" xfId="0" applyFont="1" applyFill="1" applyBorder="1" applyAlignment="1" applyProtection="1">
      <alignment horizontal="left"/>
      <protection locked="0"/>
    </xf>
    <xf numFmtId="0" fontId="9" fillId="20" borderId="1" xfId="0" applyFont="1" applyFill="1" applyBorder="1" applyAlignment="1" applyProtection="1">
      <alignment horizontal="left"/>
      <protection locked="0"/>
    </xf>
    <xf numFmtId="0" fontId="9" fillId="20" borderId="96" xfId="0" applyFont="1" applyFill="1" applyBorder="1" applyAlignment="1" applyProtection="1">
      <alignment horizontal="left"/>
      <protection locked="0"/>
    </xf>
    <xf numFmtId="0" fontId="9" fillId="20" borderId="11" xfId="0" applyFont="1" applyFill="1" applyBorder="1" applyAlignment="1" applyProtection="1">
      <alignment horizontal="left"/>
      <protection locked="0"/>
    </xf>
    <xf numFmtId="0" fontId="12" fillId="20" borderId="94" xfId="0" applyFont="1" applyFill="1" applyBorder="1" applyAlignment="1" applyProtection="1">
      <alignment horizontal="left"/>
      <protection locked="0"/>
    </xf>
    <xf numFmtId="37" fontId="9" fillId="26" borderId="9" xfId="0" applyNumberFormat="1" applyFont="1" applyFill="1" applyBorder="1" applyAlignment="1">
      <alignment horizontal="right"/>
    </xf>
    <xf numFmtId="37" fontId="9" fillId="27" borderId="1" xfId="0" applyNumberFormat="1" applyFont="1" applyFill="1" applyBorder="1" applyAlignment="1">
      <alignment horizontal="right"/>
    </xf>
    <xf numFmtId="37" fontId="4" fillId="20" borderId="87" xfId="0" applyNumberFormat="1" applyFont="1" applyFill="1" applyBorder="1" applyAlignment="1" applyProtection="1">
      <alignment horizontal="center"/>
      <protection locked="0"/>
    </xf>
    <xf numFmtId="3" fontId="9" fillId="20" borderId="9" xfId="0" applyNumberFormat="1" applyFont="1" applyFill="1" applyBorder="1" applyAlignment="1" applyProtection="1">
      <alignment horizontal="right"/>
      <protection locked="0"/>
    </xf>
    <xf numFmtId="3" fontId="9" fillId="20" borderId="1" xfId="0" applyNumberFormat="1" applyFont="1" applyFill="1" applyBorder="1" applyAlignment="1" applyProtection="1">
      <alignment horizontal="right"/>
      <protection locked="0"/>
    </xf>
    <xf numFmtId="39" fontId="6" fillId="20" borderId="8" xfId="0" applyNumberFormat="1" applyFont="1" applyFill="1" applyBorder="1" applyAlignment="1" applyProtection="1">
      <alignment horizontal="left" wrapText="1"/>
      <protection locked="0"/>
    </xf>
    <xf numFmtId="39" fontId="6" fillId="20" borderId="14" xfId="0" applyNumberFormat="1" applyFont="1" applyFill="1" applyBorder="1" applyAlignment="1" applyProtection="1">
      <alignment horizontal="left" wrapText="1"/>
      <protection locked="0"/>
    </xf>
    <xf numFmtId="39" fontId="12" fillId="20" borderId="89" xfId="0" applyNumberFormat="1" applyFont="1" applyFill="1" applyBorder="1" applyAlignment="1" applyProtection="1">
      <alignment horizontal="left"/>
      <protection locked="0"/>
    </xf>
    <xf numFmtId="39" fontId="8" fillId="3" borderId="0" xfId="0" applyNumberFormat="1" applyFont="1" applyFill="1" applyAlignment="1">
      <alignment horizontal="right" indent="1"/>
    </xf>
    <xf numFmtId="0" fontId="8" fillId="0" borderId="0" xfId="0" applyFont="1" applyAlignment="1">
      <alignment horizontal="right" indent="1"/>
    </xf>
    <xf numFmtId="37" fontId="9" fillId="27" borderId="52" xfId="0" applyNumberFormat="1" applyFont="1" applyFill="1" applyBorder="1" applyAlignment="1">
      <alignment horizontal="right"/>
    </xf>
    <xf numFmtId="37" fontId="9" fillId="27" borderId="31" xfId="0" applyNumberFormat="1" applyFont="1" applyFill="1" applyBorder="1" applyAlignment="1">
      <alignment horizontal="right"/>
    </xf>
    <xf numFmtId="3" fontId="4" fillId="20" borderId="1" xfId="0" applyNumberFormat="1" applyFont="1" applyFill="1" applyBorder="1" applyAlignment="1" applyProtection="1">
      <alignment horizontal="center"/>
      <protection locked="0"/>
    </xf>
    <xf numFmtId="3" fontId="205" fillId="15" borderId="30" xfId="0" applyNumberFormat="1" applyFont="1" applyFill="1" applyBorder="1" applyAlignment="1">
      <alignment horizontal="center"/>
    </xf>
    <xf numFmtId="3" fontId="205" fillId="15" borderId="8" xfId="0" applyNumberFormat="1" applyFont="1" applyFill="1" applyBorder="1" applyAlignment="1">
      <alignment horizontal="center"/>
    </xf>
    <xf numFmtId="1" fontId="206" fillId="35" borderId="0" xfId="0" applyNumberFormat="1" applyFont="1" applyFill="1" applyAlignment="1">
      <alignment horizontal="center" vertical="center" wrapText="1"/>
    </xf>
    <xf numFmtId="37" fontId="9" fillId="27" borderId="9" xfId="0" applyNumberFormat="1" applyFont="1" applyFill="1" applyBorder="1" applyAlignment="1">
      <alignment horizontal="right"/>
    </xf>
    <xf numFmtId="3" fontId="9" fillId="14" borderId="30" xfId="0" applyNumberFormat="1" applyFont="1" applyFill="1" applyBorder="1" applyAlignment="1">
      <alignment horizontal="right"/>
    </xf>
    <xf numFmtId="3" fontId="9" fillId="14" borderId="8" xfId="0" applyNumberFormat="1" applyFont="1" applyFill="1" applyBorder="1" applyAlignment="1">
      <alignment horizontal="right"/>
    </xf>
    <xf numFmtId="3" fontId="9" fillId="28" borderId="192" xfId="0" applyNumberFormat="1" applyFont="1" applyFill="1" applyBorder="1" applyAlignment="1">
      <alignment horizontal="right"/>
    </xf>
    <xf numFmtId="0" fontId="0" fillId="28" borderId="99" xfId="0" applyFill="1" applyBorder="1" applyAlignment="1">
      <alignment horizontal="right"/>
    </xf>
    <xf numFmtId="3" fontId="4" fillId="20" borderId="87" xfId="0" applyNumberFormat="1" applyFont="1" applyFill="1" applyBorder="1" applyAlignment="1" applyProtection="1">
      <alignment horizontal="center"/>
      <protection locked="0"/>
    </xf>
    <xf numFmtId="37" fontId="116" fillId="3" borderId="30" xfId="0" applyNumberFormat="1" applyFont="1" applyFill="1" applyBorder="1" applyAlignment="1">
      <alignment horizontal="right"/>
    </xf>
    <xf numFmtId="37" fontId="116" fillId="3" borderId="8" xfId="0" applyNumberFormat="1" applyFont="1" applyFill="1" applyBorder="1" applyAlignment="1">
      <alignment horizontal="right"/>
    </xf>
    <xf numFmtId="0" fontId="146" fillId="5" borderId="0" xfId="0" applyFont="1" applyFill="1" applyAlignment="1">
      <alignment horizontal="center"/>
    </xf>
    <xf numFmtId="3" fontId="9" fillId="20" borderId="69" xfId="0" applyNumberFormat="1" applyFont="1" applyFill="1" applyBorder="1" applyAlignment="1" applyProtection="1">
      <alignment horizontal="right"/>
      <protection locked="0"/>
    </xf>
    <xf numFmtId="3" fontId="9" fillId="20" borderId="4" xfId="0" applyNumberFormat="1" applyFont="1" applyFill="1" applyBorder="1" applyAlignment="1" applyProtection="1">
      <alignment horizontal="right"/>
      <protection locked="0"/>
    </xf>
    <xf numFmtId="0" fontId="9" fillId="3" borderId="3" xfId="0" applyFont="1" applyFill="1" applyBorder="1" applyAlignment="1">
      <alignment horizontal="center" vertical="center"/>
    </xf>
    <xf numFmtId="0" fontId="9" fillId="3" borderId="20" xfId="0" applyFont="1" applyFill="1" applyBorder="1" applyAlignment="1">
      <alignment horizontal="center" vertical="center"/>
    </xf>
    <xf numFmtId="1" fontId="9" fillId="20" borderId="1" xfId="0" applyNumberFormat="1" applyFont="1" applyFill="1" applyBorder="1" applyAlignment="1" applyProtection="1">
      <alignment horizontal="center"/>
      <protection locked="0"/>
    </xf>
    <xf numFmtId="1" fontId="4" fillId="20" borderId="1" xfId="0" applyNumberFormat="1" applyFont="1" applyFill="1" applyBorder="1" applyAlignment="1" applyProtection="1">
      <alignment horizontal="center"/>
      <protection locked="0"/>
    </xf>
    <xf numFmtId="0" fontId="143" fillId="5" borderId="0" xfId="0" applyFont="1" applyFill="1" applyAlignment="1">
      <alignment horizontal="center"/>
    </xf>
    <xf numFmtId="0" fontId="12" fillId="0" borderId="1" xfId="0" quotePrefix="1" applyFont="1" applyBorder="1" applyAlignment="1">
      <alignment horizontal="center"/>
    </xf>
    <xf numFmtId="4" fontId="10" fillId="3" borderId="26" xfId="0" applyNumberFormat="1" applyFont="1" applyFill="1" applyBorder="1" applyAlignment="1">
      <alignment horizontal="center" vertical="center"/>
    </xf>
    <xf numFmtId="4" fontId="10" fillId="3" borderId="1" xfId="0" applyNumberFormat="1" applyFont="1" applyFill="1" applyBorder="1" applyAlignment="1">
      <alignment horizontal="center" vertical="center"/>
    </xf>
    <xf numFmtId="37" fontId="122" fillId="3" borderId="30" xfId="0" applyNumberFormat="1" applyFont="1" applyFill="1" applyBorder="1" applyAlignment="1">
      <alignment horizontal="right"/>
    </xf>
    <xf numFmtId="37" fontId="122" fillId="0" borderId="14" xfId="0" applyNumberFormat="1" applyFont="1" applyBorder="1" applyAlignment="1">
      <alignment horizontal="right"/>
    </xf>
    <xf numFmtId="37" fontId="122" fillId="0" borderId="8" xfId="0" applyNumberFormat="1" applyFont="1" applyBorder="1" applyAlignment="1">
      <alignment horizontal="right"/>
    </xf>
    <xf numFmtId="0" fontId="110" fillId="0" borderId="14" xfId="0" applyFont="1" applyBorder="1" applyAlignment="1">
      <alignment horizontal="right"/>
    </xf>
    <xf numFmtId="4" fontId="16" fillId="0" borderId="15" xfId="0" applyNumberFormat="1" applyFont="1" applyBorder="1" applyAlignment="1">
      <alignment horizontal="center" vertical="center" wrapText="1"/>
    </xf>
    <xf numFmtId="4" fontId="16" fillId="0" borderId="6" xfId="0" applyNumberFormat="1" applyFont="1" applyBorder="1" applyAlignment="1">
      <alignment horizontal="center" vertical="center" wrapText="1"/>
    </xf>
    <xf numFmtId="4" fontId="16" fillId="0" borderId="10" xfId="0" applyNumberFormat="1" applyFont="1" applyBorder="1" applyAlignment="1">
      <alignment horizontal="center" vertical="center" wrapText="1"/>
    </xf>
    <xf numFmtId="0" fontId="16" fillId="3" borderId="15" xfId="0" applyFont="1" applyFill="1" applyBorder="1" applyAlignment="1">
      <alignment horizontal="center" vertical="center" wrapText="1"/>
    </xf>
    <xf numFmtId="0" fontId="16" fillId="3" borderId="6" xfId="0" applyFont="1" applyFill="1" applyBorder="1" applyAlignment="1">
      <alignment horizontal="center" vertical="center" wrapText="1"/>
    </xf>
    <xf numFmtId="0" fontId="16" fillId="3" borderId="10" xfId="0" applyFont="1" applyFill="1" applyBorder="1" applyAlignment="1">
      <alignment horizontal="center" vertical="center" wrapText="1"/>
    </xf>
    <xf numFmtId="4" fontId="16" fillId="3" borderId="15" xfId="0" applyNumberFormat="1" applyFont="1" applyFill="1" applyBorder="1" applyAlignment="1">
      <alignment horizontal="center" vertical="center" wrapText="1"/>
    </xf>
    <xf numFmtId="4" fontId="16" fillId="3" borderId="6" xfId="0" applyNumberFormat="1" applyFont="1" applyFill="1" applyBorder="1" applyAlignment="1">
      <alignment horizontal="center" vertical="center" wrapText="1"/>
    </xf>
    <xf numFmtId="4" fontId="16" fillId="3" borderId="10" xfId="0" applyNumberFormat="1" applyFont="1" applyFill="1" applyBorder="1" applyAlignment="1">
      <alignment horizontal="center" vertical="center" wrapText="1"/>
    </xf>
    <xf numFmtId="37" fontId="9" fillId="28" borderId="11" xfId="0" applyNumberFormat="1" applyFont="1" applyFill="1" applyBorder="1" applyAlignment="1">
      <alignment horizontal="right"/>
    </xf>
    <xf numFmtId="37" fontId="122" fillId="3" borderId="3" xfId="0" applyNumberFormat="1" applyFont="1" applyFill="1" applyBorder="1" applyAlignment="1">
      <alignment horizontal="right"/>
    </xf>
    <xf numFmtId="37" fontId="122" fillId="0" borderId="0" xfId="0" applyNumberFormat="1" applyFont="1" applyAlignment="1">
      <alignment horizontal="right"/>
    </xf>
    <xf numFmtId="0" fontId="16" fillId="3" borderId="30" xfId="0" applyFont="1" applyFill="1" applyBorder="1" applyAlignment="1">
      <alignment horizontal="center" vertical="center" wrapText="1"/>
    </xf>
    <xf numFmtId="0" fontId="6" fillId="0" borderId="14" xfId="0" applyFont="1" applyBorder="1" applyAlignment="1">
      <alignment horizontal="center" vertical="center"/>
    </xf>
    <xf numFmtId="0" fontId="6" fillId="0" borderId="3" xfId="0" applyFont="1" applyBorder="1" applyAlignment="1">
      <alignment horizontal="center" vertical="center"/>
    </xf>
    <xf numFmtId="0" fontId="6" fillId="0" borderId="24" xfId="0" applyFont="1" applyBorder="1" applyAlignment="1">
      <alignment horizontal="center" vertical="center"/>
    </xf>
    <xf numFmtId="0" fontId="6" fillId="0" borderId="9" xfId="0" applyFont="1" applyBorder="1" applyAlignment="1">
      <alignment horizontal="center" vertical="center"/>
    </xf>
    <xf numFmtId="0" fontId="6" fillId="0" borderId="11" xfId="0" applyFont="1" applyBorder="1" applyAlignment="1">
      <alignment horizontal="center" vertical="center"/>
    </xf>
    <xf numFmtId="0" fontId="183" fillId="0" borderId="0" xfId="0" applyFont="1" applyAlignment="1">
      <alignment horizontal="left" wrapText="1"/>
    </xf>
    <xf numFmtId="37" fontId="9" fillId="20" borderId="1" xfId="0" applyNumberFormat="1" applyFont="1" applyFill="1" applyBorder="1" applyAlignment="1" applyProtection="1">
      <alignment horizontal="right"/>
      <protection locked="0"/>
    </xf>
    <xf numFmtId="37" fontId="9" fillId="3" borderId="30" xfId="0" applyNumberFormat="1" applyFont="1" applyFill="1" applyBorder="1" applyAlignment="1" applyProtection="1">
      <alignment horizontal="right"/>
      <protection locked="0"/>
    </xf>
    <xf numFmtId="0" fontId="0" fillId="0" borderId="8" xfId="0" applyBorder="1" applyAlignment="1" applyProtection="1">
      <alignment horizontal="right"/>
      <protection locked="0"/>
    </xf>
    <xf numFmtId="0" fontId="0" fillId="0" borderId="1" xfId="0" applyBorder="1" applyAlignment="1">
      <alignment horizontal="right"/>
    </xf>
    <xf numFmtId="37" fontId="9" fillId="28" borderId="4" xfId="0" applyNumberFormat="1" applyFont="1" applyFill="1" applyBorder="1" applyAlignment="1">
      <alignment horizontal="right"/>
    </xf>
    <xf numFmtId="0" fontId="0" fillId="0" borderId="4" xfId="0" applyBorder="1" applyAlignment="1">
      <alignment horizontal="right"/>
    </xf>
    <xf numFmtId="37" fontId="0" fillId="0" borderId="1" xfId="0" applyNumberFormat="1" applyBorder="1" applyAlignment="1" applyProtection="1">
      <alignment horizontal="right"/>
      <protection locked="0"/>
    </xf>
    <xf numFmtId="37" fontId="0" fillId="25" borderId="1" xfId="0" applyNumberFormat="1" applyFill="1" applyBorder="1" applyAlignment="1">
      <alignment horizontal="right"/>
    </xf>
    <xf numFmtId="37" fontId="0" fillId="0" borderId="1" xfId="0" applyNumberFormat="1" applyBorder="1" applyAlignment="1">
      <alignment horizontal="right"/>
    </xf>
    <xf numFmtId="37" fontId="4" fillId="3" borderId="30" xfId="0" applyNumberFormat="1" applyFont="1" applyFill="1" applyBorder="1" applyAlignment="1">
      <alignment horizontal="right"/>
    </xf>
    <xf numFmtId="0" fontId="0" fillId="0" borderId="8" xfId="0" applyBorder="1" applyAlignment="1">
      <alignment horizontal="right"/>
    </xf>
    <xf numFmtId="0" fontId="0" fillId="0" borderId="1" xfId="0" applyBorder="1" applyAlignment="1" applyProtection="1">
      <alignment horizontal="right"/>
      <protection locked="0"/>
    </xf>
    <xf numFmtId="4" fontId="16" fillId="3" borderId="30" xfId="0" applyNumberFormat="1" applyFont="1" applyFill="1" applyBorder="1" applyAlignment="1">
      <alignment horizontal="center" vertical="center" wrapText="1"/>
    </xf>
    <xf numFmtId="4" fontId="16" fillId="3" borderId="8" xfId="0" applyNumberFormat="1" applyFont="1" applyFill="1" applyBorder="1" applyAlignment="1">
      <alignment horizontal="center" vertical="center" wrapText="1"/>
    </xf>
    <xf numFmtId="4" fontId="16" fillId="3" borderId="3" xfId="0" applyNumberFormat="1" applyFont="1" applyFill="1" applyBorder="1" applyAlignment="1">
      <alignment horizontal="center" vertical="center" wrapText="1"/>
    </xf>
    <xf numFmtId="4" fontId="16" fillId="3" borderId="0" xfId="0" applyNumberFormat="1" applyFont="1" applyFill="1" applyAlignment="1">
      <alignment horizontal="center" vertical="center" wrapText="1"/>
    </xf>
    <xf numFmtId="4" fontId="16" fillId="3" borderId="9" xfId="0" applyNumberFormat="1" applyFont="1" applyFill="1" applyBorder="1" applyAlignment="1">
      <alignment horizontal="center" vertical="center" wrapText="1"/>
    </xf>
    <xf numFmtId="4" fontId="16" fillId="3" borderId="1" xfId="0" applyNumberFormat="1" applyFont="1" applyFill="1" applyBorder="1" applyAlignment="1">
      <alignment horizontal="center" vertical="center" wrapText="1"/>
    </xf>
    <xf numFmtId="0" fontId="183" fillId="0" borderId="0" xfId="0" applyFont="1" applyAlignment="1">
      <alignment horizontal="center" vertical="center" wrapText="1"/>
    </xf>
    <xf numFmtId="0" fontId="51" fillId="9" borderId="0" xfId="0" applyFont="1" applyFill="1" applyAlignment="1">
      <alignment horizontal="center" vertical="center"/>
    </xf>
    <xf numFmtId="37" fontId="122" fillId="3" borderId="30" xfId="0" applyNumberFormat="1" applyFont="1" applyFill="1" applyBorder="1"/>
    <xf numFmtId="0" fontId="125" fillId="0" borderId="8" xfId="0" applyFont="1" applyBorder="1"/>
    <xf numFmtId="4" fontId="8" fillId="3" borderId="8" xfId="0" applyNumberFormat="1" applyFont="1" applyFill="1" applyBorder="1" applyAlignment="1">
      <alignment horizontal="left" vertical="center" wrapText="1"/>
    </xf>
    <xf numFmtId="0" fontId="0" fillId="0" borderId="8" xfId="0" applyBorder="1" applyAlignment="1">
      <alignment horizontal="left" vertical="center" wrapText="1"/>
    </xf>
    <xf numFmtId="0" fontId="0" fillId="0" borderId="14" xfId="0" applyBorder="1" applyAlignment="1">
      <alignment horizontal="left" vertical="center" wrapText="1"/>
    </xf>
    <xf numFmtId="0" fontId="0" fillId="0" borderId="1" xfId="0" applyBorder="1" applyAlignment="1">
      <alignment horizontal="left" vertical="center" wrapText="1"/>
    </xf>
    <xf numFmtId="0" fontId="0" fillId="0" borderId="11" xfId="0" applyBorder="1" applyAlignment="1">
      <alignment horizontal="left" vertical="center" wrapText="1"/>
    </xf>
    <xf numFmtId="37" fontId="9" fillId="22" borderId="9" xfId="0" applyNumberFormat="1" applyFont="1" applyFill="1" applyBorder="1" applyAlignment="1">
      <alignment horizontal="right"/>
    </xf>
    <xf numFmtId="37" fontId="9" fillId="22" borderId="1" xfId="0" applyNumberFormat="1" applyFont="1" applyFill="1" applyBorder="1" applyAlignment="1">
      <alignment horizontal="right"/>
    </xf>
    <xf numFmtId="37" fontId="9" fillId="22" borderId="11" xfId="0" applyNumberFormat="1" applyFont="1" applyFill="1" applyBorder="1" applyAlignment="1">
      <alignment horizontal="right"/>
    </xf>
    <xf numFmtId="0" fontId="8" fillId="15" borderId="8" xfId="0" applyFont="1" applyFill="1" applyBorder="1" applyAlignment="1">
      <alignment wrapText="1"/>
    </xf>
    <xf numFmtId="0" fontId="0" fillId="0" borderId="14" xfId="0" applyBorder="1" applyAlignment="1">
      <alignment wrapText="1"/>
    </xf>
    <xf numFmtId="0" fontId="0" fillId="0" borderId="1" xfId="0" applyBorder="1" applyAlignment="1">
      <alignment wrapText="1"/>
    </xf>
    <xf numFmtId="0" fontId="0" fillId="0" borderId="11" xfId="0" applyBorder="1" applyAlignment="1">
      <alignment wrapText="1"/>
    </xf>
    <xf numFmtId="0" fontId="9" fillId="3" borderId="5" xfId="0" applyFont="1" applyFill="1" applyBorder="1" applyAlignment="1">
      <alignment horizontal="center" vertical="center"/>
    </xf>
    <xf numFmtId="0" fontId="8" fillId="0" borderId="0" xfId="0" applyFont="1" applyAlignment="1">
      <alignment horizontal="center" vertical="center"/>
    </xf>
    <xf numFmtId="0" fontId="8" fillId="0" borderId="20" xfId="0" applyFont="1" applyBorder="1" applyAlignment="1">
      <alignment horizontal="center" vertical="center"/>
    </xf>
    <xf numFmtId="37" fontId="9" fillId="20" borderId="11" xfId="0" applyNumberFormat="1" applyFont="1" applyFill="1" applyBorder="1" applyAlignment="1" applyProtection="1">
      <alignment horizontal="right"/>
      <protection locked="0"/>
    </xf>
    <xf numFmtId="0" fontId="9" fillId="3" borderId="5" xfId="0" applyFont="1" applyFill="1" applyBorder="1" applyAlignment="1">
      <alignment horizontal="center"/>
    </xf>
    <xf numFmtId="0" fontId="9" fillId="3" borderId="0" xfId="0" applyFont="1" applyFill="1" applyAlignment="1">
      <alignment horizontal="center"/>
    </xf>
    <xf numFmtId="0" fontId="8" fillId="0" borderId="20" xfId="0" applyFont="1" applyBorder="1" applyAlignment="1">
      <alignment horizontal="center"/>
    </xf>
    <xf numFmtId="0" fontId="8" fillId="15" borderId="8" xfId="0" applyFont="1" applyFill="1" applyBorder="1" applyAlignment="1">
      <alignment horizontal="left" wrapText="1"/>
    </xf>
    <xf numFmtId="0" fontId="8" fillId="15" borderId="14" xfId="0" applyFont="1" applyFill="1" applyBorder="1" applyAlignment="1">
      <alignment horizontal="left" wrapText="1"/>
    </xf>
    <xf numFmtId="0" fontId="8" fillId="15" borderId="1" xfId="0" applyFont="1" applyFill="1" applyBorder="1" applyAlignment="1">
      <alignment horizontal="left" vertical="center" wrapText="1"/>
    </xf>
    <xf numFmtId="0" fontId="4" fillId="15" borderId="1" xfId="0" applyFont="1" applyFill="1" applyBorder="1" applyAlignment="1">
      <alignment horizontal="right"/>
    </xf>
    <xf numFmtId="0" fontId="4" fillId="15" borderId="11" xfId="0" applyFont="1" applyFill="1" applyBorder="1" applyAlignment="1">
      <alignment horizontal="right"/>
    </xf>
    <xf numFmtId="4" fontId="8" fillId="3" borderId="8" xfId="0" applyNumberFormat="1" applyFont="1" applyFill="1" applyBorder="1" applyAlignment="1">
      <alignment horizontal="left" wrapText="1"/>
    </xf>
    <xf numFmtId="0" fontId="0" fillId="0" borderId="8" xfId="0" applyBorder="1" applyAlignment="1">
      <alignment horizontal="left" wrapText="1"/>
    </xf>
    <xf numFmtId="0" fontId="0" fillId="0" borderId="14" xfId="0" applyBorder="1" applyAlignment="1">
      <alignment horizontal="left" wrapText="1"/>
    </xf>
    <xf numFmtId="0" fontId="0" fillId="0" borderId="1" xfId="0" applyBorder="1" applyAlignment="1">
      <alignment horizontal="left" wrapText="1"/>
    </xf>
    <xf numFmtId="0" fontId="0" fillId="0" borderId="11" xfId="0" applyBorder="1" applyAlignment="1">
      <alignment horizontal="left" wrapText="1"/>
    </xf>
    <xf numFmtId="0" fontId="8" fillId="3" borderId="8" xfId="0" applyFont="1" applyFill="1" applyBorder="1" applyAlignment="1">
      <alignment horizontal="left" vertical="top" wrapText="1"/>
    </xf>
    <xf numFmtId="0" fontId="8" fillId="0" borderId="8" xfId="0" applyFont="1" applyBorder="1"/>
    <xf numFmtId="0" fontId="8" fillId="0" borderId="14" xfId="0" applyFont="1" applyBorder="1"/>
    <xf numFmtId="0" fontId="8" fillId="0" borderId="0" xfId="0" applyFont="1" applyAlignment="1">
      <alignment horizontal="left" vertical="top"/>
    </xf>
    <xf numFmtId="0" fontId="8" fillId="0" borderId="1" xfId="0" applyFont="1" applyBorder="1" applyAlignment="1">
      <alignment horizontal="left" vertical="top"/>
    </xf>
    <xf numFmtId="0" fontId="8" fillId="0" borderId="1" xfId="0" applyFont="1" applyBorder="1"/>
    <xf numFmtId="0" fontId="8" fillId="0" borderId="11" xfId="0" applyFont="1" applyBorder="1"/>
    <xf numFmtId="0" fontId="10" fillId="3" borderId="30" xfId="0" applyFont="1" applyFill="1" applyBorder="1" applyAlignment="1">
      <alignment horizontal="center" vertical="center" wrapText="1"/>
    </xf>
    <xf numFmtId="0" fontId="10" fillId="0" borderId="14" xfId="0" applyFont="1" applyBorder="1" applyAlignment="1">
      <alignment horizontal="center" vertical="center"/>
    </xf>
    <xf numFmtId="0" fontId="10" fillId="0" borderId="3" xfId="0" applyFont="1" applyBorder="1" applyAlignment="1">
      <alignment horizontal="center" vertical="center"/>
    </xf>
    <xf numFmtId="0" fontId="10" fillId="0" borderId="24" xfId="0" applyFont="1" applyBorder="1" applyAlignment="1">
      <alignment horizontal="center" vertical="center"/>
    </xf>
    <xf numFmtId="0" fontId="10" fillId="0" borderId="9" xfId="0" applyFont="1" applyBorder="1" applyAlignment="1">
      <alignment horizontal="center" vertical="center"/>
    </xf>
    <xf numFmtId="0" fontId="10" fillId="0" borderId="11" xfId="0" applyFont="1" applyBorder="1" applyAlignment="1">
      <alignment horizontal="center" vertical="center"/>
    </xf>
    <xf numFmtId="4" fontId="10" fillId="3" borderId="15" xfId="0" applyNumberFormat="1" applyFont="1" applyFill="1" applyBorder="1" applyAlignment="1">
      <alignment horizontal="center" vertical="center" wrapText="1"/>
    </xf>
    <xf numFmtId="4" fontId="10" fillId="3" borderId="6" xfId="0" applyNumberFormat="1" applyFont="1" applyFill="1" applyBorder="1" applyAlignment="1">
      <alignment horizontal="center" vertical="center"/>
    </xf>
    <xf numFmtId="4" fontId="10" fillId="3" borderId="10" xfId="0" applyNumberFormat="1" applyFont="1" applyFill="1" applyBorder="1" applyAlignment="1">
      <alignment horizontal="center" vertical="center"/>
    </xf>
    <xf numFmtId="4" fontId="16" fillId="3" borderId="14" xfId="0" applyNumberFormat="1" applyFont="1" applyFill="1" applyBorder="1" applyAlignment="1">
      <alignment horizontal="center" vertical="center" wrapText="1"/>
    </xf>
    <xf numFmtId="4" fontId="16" fillId="3" borderId="24" xfId="0" applyNumberFormat="1" applyFont="1" applyFill="1" applyBorder="1" applyAlignment="1">
      <alignment horizontal="center" vertical="center" wrapText="1"/>
    </xf>
    <xf numFmtId="4" fontId="16" fillId="3" borderId="11" xfId="0" applyNumberFormat="1" applyFont="1" applyFill="1" applyBorder="1" applyAlignment="1">
      <alignment horizontal="center" vertical="center" wrapText="1"/>
    </xf>
    <xf numFmtId="0" fontId="49" fillId="9" borderId="27" xfId="0" applyFont="1" applyFill="1" applyBorder="1" applyAlignment="1">
      <alignment horizontal="center" vertical="center"/>
    </xf>
    <xf numFmtId="1" fontId="72" fillId="3" borderId="5" xfId="0" applyNumberFormat="1" applyFont="1" applyFill="1" applyBorder="1" applyAlignment="1">
      <alignment horizontal="center" vertical="center"/>
    </xf>
    <xf numFmtId="1" fontId="72" fillId="3" borderId="0" xfId="0" applyNumberFormat="1" applyFont="1" applyFill="1" applyAlignment="1">
      <alignment horizontal="center" vertical="center"/>
    </xf>
    <xf numFmtId="4" fontId="16" fillId="3" borderId="6" xfId="0" applyNumberFormat="1" applyFont="1" applyFill="1" applyBorder="1" applyAlignment="1">
      <alignment horizontal="center" vertical="center"/>
    </xf>
    <xf numFmtId="4" fontId="16" fillId="3" borderId="10" xfId="0" applyNumberFormat="1" applyFont="1" applyFill="1" applyBorder="1" applyAlignment="1">
      <alignment horizontal="center" vertical="center"/>
    </xf>
    <xf numFmtId="0" fontId="0" fillId="0" borderId="14" xfId="0" applyBorder="1" applyAlignment="1">
      <alignment horizontal="center" vertical="center" wrapText="1"/>
    </xf>
    <xf numFmtId="0" fontId="6" fillId="0" borderId="3" xfId="0" applyFont="1" applyBorder="1" applyAlignment="1">
      <alignment horizontal="center" vertical="center" wrapText="1"/>
    </xf>
    <xf numFmtId="0" fontId="6" fillId="0" borderId="0" xfId="0" applyFont="1" applyAlignment="1">
      <alignment horizontal="center" vertical="center" wrapText="1"/>
    </xf>
    <xf numFmtId="0" fontId="0" fillId="0" borderId="24" xfId="0" applyBorder="1" applyAlignment="1">
      <alignment horizontal="center" vertical="center" wrapText="1"/>
    </xf>
    <xf numFmtId="0" fontId="6" fillId="0" borderId="9" xfId="0" applyFont="1" applyBorder="1" applyAlignment="1">
      <alignment horizontal="center" vertical="center" wrapText="1"/>
    </xf>
    <xf numFmtId="0" fontId="6" fillId="0" borderId="1" xfId="0" applyFont="1" applyBorder="1" applyAlignment="1">
      <alignment horizontal="center" vertical="center" wrapText="1"/>
    </xf>
    <xf numFmtId="0" fontId="0" fillId="0" borderId="11" xfId="0" applyBorder="1" applyAlignment="1">
      <alignment horizontal="center" vertical="center" wrapText="1"/>
    </xf>
    <xf numFmtId="0" fontId="20" fillId="15" borderId="0" xfId="0" applyFont="1" applyFill="1" applyAlignment="1">
      <alignment horizontal="center"/>
    </xf>
    <xf numFmtId="0" fontId="75" fillId="9" borderId="25" xfId="0" applyFont="1" applyFill="1" applyBorder="1" applyAlignment="1">
      <alignment horizontal="center" vertical="center"/>
    </xf>
    <xf numFmtId="4" fontId="8" fillId="3" borderId="8" xfId="0" applyNumberFormat="1" applyFont="1" applyFill="1" applyBorder="1" applyAlignment="1">
      <alignment horizontal="left" vertical="top" wrapText="1"/>
    </xf>
    <xf numFmtId="0" fontId="0" fillId="0" borderId="8" xfId="0" applyBorder="1" applyAlignment="1">
      <alignment horizontal="left" vertical="top"/>
    </xf>
    <xf numFmtId="0" fontId="0" fillId="0" borderId="14" xfId="0" applyBorder="1" applyAlignment="1">
      <alignment horizontal="left" vertical="top"/>
    </xf>
    <xf numFmtId="0" fontId="0" fillId="0" borderId="1" xfId="0" applyBorder="1" applyAlignment="1">
      <alignment horizontal="left" vertical="top"/>
    </xf>
    <xf numFmtId="0" fontId="0" fillId="0" borderId="11" xfId="0" applyBorder="1" applyAlignment="1">
      <alignment horizontal="left" vertical="top"/>
    </xf>
    <xf numFmtId="0" fontId="0" fillId="0" borderId="8" xfId="0" applyBorder="1" applyAlignment="1">
      <alignment horizontal="left" vertical="top" wrapText="1"/>
    </xf>
    <xf numFmtId="0" fontId="0" fillId="0" borderId="14" xfId="0" applyBorder="1" applyAlignment="1">
      <alignment horizontal="left" vertical="top" wrapText="1"/>
    </xf>
    <xf numFmtId="0" fontId="0" fillId="0" borderId="11" xfId="0" applyBorder="1" applyAlignment="1">
      <alignment horizontal="left" vertical="top" wrapText="1"/>
    </xf>
    <xf numFmtId="4" fontId="12" fillId="3" borderId="176" xfId="0" applyNumberFormat="1" applyFont="1" applyFill="1" applyBorder="1" applyAlignment="1">
      <alignment horizontal="center"/>
    </xf>
    <xf numFmtId="4" fontId="12" fillId="3" borderId="16" xfId="0" applyNumberFormat="1" applyFont="1" applyFill="1" applyBorder="1" applyAlignment="1">
      <alignment horizontal="center"/>
    </xf>
    <xf numFmtId="166" fontId="11" fillId="28" borderId="1" xfId="0" applyNumberFormat="1" applyFont="1" applyFill="1" applyBorder="1" applyAlignment="1">
      <alignment horizontal="center"/>
    </xf>
    <xf numFmtId="0" fontId="4" fillId="29" borderId="0" xfId="0" quotePrefix="1" applyFont="1" applyFill="1" applyAlignment="1">
      <alignment horizontal="right"/>
    </xf>
    <xf numFmtId="1" fontId="4" fillId="29" borderId="0" xfId="0" applyNumberFormat="1" applyFont="1" applyFill="1" applyAlignment="1">
      <alignment horizontal="right"/>
    </xf>
    <xf numFmtId="164" fontId="4" fillId="3" borderId="0" xfId="0" applyNumberFormat="1" applyFont="1" applyFill="1" applyAlignment="1">
      <alignment horizontal="right"/>
    </xf>
    <xf numFmtId="164" fontId="4" fillId="3" borderId="0" xfId="0" quotePrefix="1" applyNumberFormat="1" applyFont="1" applyFill="1" applyAlignment="1">
      <alignment horizontal="right"/>
    </xf>
    <xf numFmtId="0" fontId="4" fillId="3" borderId="0" xfId="0" applyFont="1" applyFill="1" applyAlignment="1">
      <alignment horizontal="right"/>
    </xf>
    <xf numFmtId="0" fontId="233" fillId="29" borderId="8" xfId="0" applyFont="1" applyFill="1" applyBorder="1" applyAlignment="1">
      <alignment horizontal="center" vertical="top" wrapText="1"/>
    </xf>
    <xf numFmtId="0" fontId="233" fillId="29" borderId="0" xfId="0" applyFont="1" applyFill="1" applyAlignment="1">
      <alignment horizontal="center" vertical="top" wrapText="1"/>
    </xf>
    <xf numFmtId="0" fontId="205" fillId="5" borderId="0" xfId="0" applyFont="1" applyFill="1" applyAlignment="1">
      <alignment horizontal="center" vertical="center" wrapText="1"/>
    </xf>
    <xf numFmtId="0" fontId="143" fillId="0" borderId="0" xfId="0" applyFont="1" applyAlignment="1">
      <alignment vertical="center" wrapText="1"/>
    </xf>
    <xf numFmtId="0" fontId="112" fillId="3" borderId="3" xfId="0" applyFont="1" applyFill="1" applyBorder="1" applyAlignment="1">
      <alignment horizontal="center" vertical="center"/>
    </xf>
    <xf numFmtId="0" fontId="112" fillId="0" borderId="0" xfId="0" applyFont="1" applyAlignment="1">
      <alignment horizontal="center" vertical="center"/>
    </xf>
    <xf numFmtId="0" fontId="0" fillId="0" borderId="0" xfId="0" applyAlignment="1">
      <alignment horizontal="left" wrapText="1"/>
    </xf>
    <xf numFmtId="0" fontId="205" fillId="5" borderId="0" xfId="0" applyFont="1" applyFill="1" applyAlignment="1">
      <alignment horizontal="center" vertical="top"/>
    </xf>
    <xf numFmtId="1" fontId="4" fillId="29" borderId="0" xfId="0" quotePrefix="1" applyNumberFormat="1" applyFont="1" applyFill="1" applyAlignment="1">
      <alignment horizontal="right"/>
    </xf>
    <xf numFmtId="0" fontId="167" fillId="0" borderId="0" xfId="0" applyFont="1" applyAlignment="1">
      <alignment horizontal="left" vertical="center" wrapText="1"/>
    </xf>
    <xf numFmtId="0" fontId="167" fillId="0" borderId="0" xfId="0" applyFont="1" applyAlignment="1">
      <alignment horizontal="left" vertical="top" wrapText="1"/>
    </xf>
    <xf numFmtId="49" fontId="6" fillId="15" borderId="154" xfId="0" applyNumberFormat="1" applyFont="1" applyFill="1" applyBorder="1" applyAlignment="1" applyProtection="1">
      <alignment horizontal="center" vertical="top" wrapText="1"/>
      <protection locked="0"/>
    </xf>
    <xf numFmtId="0" fontId="15" fillId="15" borderId="69" xfId="0" applyFont="1" applyFill="1" applyBorder="1" applyAlignment="1">
      <alignment horizontal="center" vertical="center"/>
    </xf>
    <xf numFmtId="0" fontId="15" fillId="15" borderId="70" xfId="0" applyFont="1" applyFill="1" applyBorder="1" applyAlignment="1">
      <alignment horizontal="center" vertical="center"/>
    </xf>
    <xf numFmtId="37" fontId="4" fillId="16" borderId="28" xfId="0" applyNumberFormat="1" applyFont="1" applyFill="1" applyBorder="1" applyAlignment="1" applyProtection="1">
      <alignment horizontal="right" indent="1"/>
      <protection locked="0"/>
    </xf>
    <xf numFmtId="0" fontId="0" fillId="0" borderId="28" xfId="0" applyBorder="1" applyAlignment="1" applyProtection="1">
      <alignment horizontal="right" indent="1"/>
      <protection locked="0"/>
    </xf>
    <xf numFmtId="0" fontId="15" fillId="15" borderId="1" xfId="0" applyFont="1" applyFill="1" applyBorder="1" applyAlignment="1">
      <alignment horizontal="center"/>
    </xf>
    <xf numFmtId="37" fontId="4" fillId="27" borderId="39" xfId="0" applyNumberFormat="1" applyFont="1" applyFill="1" applyBorder="1" applyAlignment="1">
      <alignment horizontal="right" indent="1"/>
    </xf>
    <xf numFmtId="0" fontId="4" fillId="0" borderId="25" xfId="0" applyFont="1" applyBorder="1" applyAlignment="1">
      <alignment horizontal="right" indent="1"/>
    </xf>
    <xf numFmtId="0" fontId="4" fillId="0" borderId="54" xfId="0" applyFont="1" applyBorder="1" applyAlignment="1">
      <alignment horizontal="right" indent="1"/>
    </xf>
    <xf numFmtId="37" fontId="4" fillId="27" borderId="39" xfId="0" applyNumberFormat="1" applyFont="1" applyFill="1" applyBorder="1" applyAlignment="1">
      <alignment horizontal="right" wrapText="1" indent="1"/>
    </xf>
    <xf numFmtId="37" fontId="4" fillId="27" borderId="25" xfId="0" applyNumberFormat="1" applyFont="1" applyFill="1" applyBorder="1" applyAlignment="1">
      <alignment horizontal="right" wrapText="1" indent="1"/>
    </xf>
    <xf numFmtId="37" fontId="4" fillId="27" borderId="68" xfId="0" applyNumberFormat="1" applyFont="1" applyFill="1" applyBorder="1" applyAlignment="1">
      <alignment horizontal="right" wrapText="1" indent="1"/>
    </xf>
    <xf numFmtId="0" fontId="15" fillId="15" borderId="30" xfId="0" applyFont="1" applyFill="1" applyBorder="1" applyAlignment="1">
      <alignment horizontal="center" vertical="center"/>
    </xf>
    <xf numFmtId="0" fontId="15" fillId="15" borderId="14" xfId="0" applyFont="1" applyFill="1" applyBorder="1" applyAlignment="1">
      <alignment horizontal="center" vertical="center"/>
    </xf>
    <xf numFmtId="0" fontId="15" fillId="15" borderId="172" xfId="0" applyFont="1" applyFill="1" applyBorder="1" applyAlignment="1">
      <alignment horizontal="center" vertical="center"/>
    </xf>
    <xf numFmtId="0" fontId="15" fillId="15" borderId="173" xfId="0" applyFont="1" applyFill="1" applyBorder="1" applyAlignment="1">
      <alignment horizontal="center" vertical="center"/>
    </xf>
    <xf numFmtId="0" fontId="8" fillId="15" borderId="8" xfId="0" applyFont="1" applyFill="1" applyBorder="1" applyAlignment="1">
      <alignment horizontal="center" vertical="center" wrapText="1"/>
    </xf>
    <xf numFmtId="0" fontId="0" fillId="15" borderId="8" xfId="0" applyFill="1" applyBorder="1" applyAlignment="1">
      <alignment horizontal="center" vertical="center" wrapText="1"/>
    </xf>
    <xf numFmtId="0" fontId="0" fillId="15" borderId="14" xfId="0" applyFill="1" applyBorder="1" applyAlignment="1">
      <alignment horizontal="center" vertical="center" wrapText="1"/>
    </xf>
    <xf numFmtId="0" fontId="0" fillId="15" borderId="0" xfId="0" applyFill="1" applyAlignment="1">
      <alignment horizontal="center" vertical="center" wrapText="1"/>
    </xf>
    <xf numFmtId="0" fontId="0" fillId="15" borderId="24" xfId="0" applyFill="1" applyBorder="1" applyAlignment="1">
      <alignment horizontal="center" vertical="center" wrapText="1"/>
    </xf>
    <xf numFmtId="0" fontId="0" fillId="15" borderId="1" xfId="0" applyFill="1" applyBorder="1" applyAlignment="1">
      <alignment horizontal="center" vertical="center" wrapText="1"/>
    </xf>
    <xf numFmtId="0" fontId="0" fillId="15" borderId="11" xfId="0" applyFill="1" applyBorder="1" applyAlignment="1">
      <alignment horizontal="center" vertical="center" wrapText="1"/>
    </xf>
    <xf numFmtId="0" fontId="0" fillId="0" borderId="25" xfId="0" applyBorder="1"/>
    <xf numFmtId="37" fontId="4" fillId="27" borderId="25" xfId="0" applyNumberFormat="1" applyFont="1" applyFill="1" applyBorder="1" applyAlignment="1">
      <alignment horizontal="right" indent="1"/>
    </xf>
    <xf numFmtId="0" fontId="73" fillId="15" borderId="1" xfId="0" applyFont="1" applyFill="1" applyBorder="1" applyAlignment="1">
      <alignment horizontal="left"/>
    </xf>
    <xf numFmtId="37" fontId="4" fillId="27" borderId="67" xfId="0" applyNumberFormat="1" applyFont="1" applyFill="1" applyBorder="1" applyAlignment="1">
      <alignment horizontal="right" wrapText="1" indent="1"/>
    </xf>
    <xf numFmtId="37" fontId="4" fillId="27" borderId="54" xfId="0" applyNumberFormat="1" applyFont="1" applyFill="1" applyBorder="1" applyAlignment="1">
      <alignment horizontal="right" wrapText="1" indent="1"/>
    </xf>
    <xf numFmtId="37" fontId="4" fillId="16" borderId="39" xfId="0" applyNumberFormat="1" applyFont="1" applyFill="1" applyBorder="1" applyAlignment="1" applyProtection="1">
      <alignment horizontal="center" wrapText="1"/>
      <protection locked="0"/>
    </xf>
    <xf numFmtId="37" fontId="4" fillId="16" borderId="25" xfId="0" applyNumberFormat="1" applyFont="1" applyFill="1" applyBorder="1" applyAlignment="1" applyProtection="1">
      <alignment horizontal="center" wrapText="1"/>
      <protection locked="0"/>
    </xf>
    <xf numFmtId="0" fontId="4" fillId="16" borderId="39" xfId="0" applyFont="1" applyFill="1" applyBorder="1" applyAlignment="1" applyProtection="1">
      <alignment horizontal="center"/>
      <protection locked="0"/>
    </xf>
    <xf numFmtId="0" fontId="4" fillId="16" borderId="25" xfId="0" applyFont="1" applyFill="1" applyBorder="1" applyAlignment="1" applyProtection="1">
      <alignment horizontal="center"/>
      <protection locked="0"/>
    </xf>
    <xf numFmtId="0" fontId="4" fillId="16" borderId="54" xfId="0" applyFont="1" applyFill="1" applyBorder="1" applyAlignment="1" applyProtection="1">
      <alignment horizontal="center"/>
      <protection locked="0"/>
    </xf>
    <xf numFmtId="39" fontId="6" fillId="16" borderId="12" xfId="0" applyNumberFormat="1" applyFont="1" applyFill="1" applyBorder="1" applyAlignment="1" applyProtection="1">
      <alignment horizontal="right" wrapText="1" indent="1"/>
      <protection locked="0"/>
    </xf>
    <xf numFmtId="0" fontId="15" fillId="15" borderId="8" xfId="0" applyFont="1" applyFill="1" applyBorder="1" applyAlignment="1">
      <alignment horizontal="center"/>
    </xf>
    <xf numFmtId="0" fontId="47" fillId="0" borderId="39" xfId="0" applyFont="1" applyBorder="1" applyAlignment="1">
      <alignment horizontal="center" vertical="center"/>
    </xf>
    <xf numFmtId="0" fontId="0" fillId="0" borderId="54" xfId="0" applyBorder="1" applyAlignment="1">
      <alignment horizontal="center" vertical="center"/>
    </xf>
    <xf numFmtId="37" fontId="4" fillId="27" borderId="8" xfId="0" applyNumberFormat="1" applyFont="1" applyFill="1" applyBorder="1" applyAlignment="1">
      <alignment horizontal="right"/>
    </xf>
    <xf numFmtId="37" fontId="15" fillId="27" borderId="1" xfId="0" applyNumberFormat="1" applyFont="1" applyFill="1" applyBorder="1" applyAlignment="1">
      <alignment horizontal="right" vertical="center"/>
    </xf>
    <xf numFmtId="0" fontId="0" fillId="0" borderId="1" xfId="0" applyBorder="1" applyAlignment="1">
      <alignment horizontal="right" vertical="center"/>
    </xf>
    <xf numFmtId="37" fontId="15" fillId="27" borderId="25" xfId="0" applyNumberFormat="1" applyFont="1" applyFill="1" applyBorder="1" applyAlignment="1">
      <alignment horizontal="right" vertical="center"/>
    </xf>
    <xf numFmtId="0" fontId="0" fillId="0" borderId="25" xfId="0" applyBorder="1" applyAlignment="1">
      <alignment horizontal="right" vertical="center"/>
    </xf>
    <xf numFmtId="0" fontId="8" fillId="15" borderId="30" xfId="0" applyFont="1" applyFill="1" applyBorder="1" applyAlignment="1">
      <alignment horizontal="center" vertical="center" wrapText="1"/>
    </xf>
    <xf numFmtId="0" fontId="8" fillId="0" borderId="8" xfId="0" applyFont="1" applyBorder="1" applyAlignment="1">
      <alignment horizontal="center" vertical="center" wrapText="1"/>
    </xf>
    <xf numFmtId="0" fontId="8" fillId="0" borderId="3" xfId="0" applyFont="1" applyBorder="1" applyAlignment="1">
      <alignment horizontal="center" vertical="center" wrapText="1"/>
    </xf>
    <xf numFmtId="0" fontId="8" fillId="0" borderId="0" xfId="0" applyFont="1" applyAlignment="1">
      <alignment horizontal="center" vertical="center" wrapText="1"/>
    </xf>
    <xf numFmtId="0" fontId="8" fillId="0" borderId="9" xfId="0" applyFont="1" applyBorder="1" applyAlignment="1">
      <alignment horizontal="center" vertical="center" wrapText="1"/>
    </xf>
    <xf numFmtId="0" fontId="8" fillId="0" borderId="1" xfId="0" applyFont="1" applyBorder="1" applyAlignment="1">
      <alignment horizontal="center" vertical="center" wrapText="1"/>
    </xf>
    <xf numFmtId="0" fontId="15" fillId="15" borderId="67" xfId="0" applyFont="1" applyFill="1" applyBorder="1" applyAlignment="1">
      <alignment horizontal="center"/>
    </xf>
    <xf numFmtId="0" fontId="15" fillId="0" borderId="25" xfId="0" applyFont="1" applyBorder="1" applyAlignment="1">
      <alignment horizontal="center"/>
    </xf>
    <xf numFmtId="0" fontId="11" fillId="16" borderId="1" xfId="0" applyFont="1" applyFill="1" applyBorder="1" applyProtection="1">
      <protection locked="0"/>
    </xf>
    <xf numFmtId="0" fontId="11" fillId="16" borderId="11" xfId="0" applyFont="1" applyFill="1" applyBorder="1" applyProtection="1">
      <protection locked="0"/>
    </xf>
    <xf numFmtId="0" fontId="223" fillId="31" borderId="25" xfId="0" applyFont="1" applyFill="1" applyBorder="1" applyAlignment="1">
      <alignment horizontal="center"/>
    </xf>
    <xf numFmtId="0" fontId="224" fillId="31" borderId="25" xfId="0" applyFont="1" applyFill="1" applyBorder="1" applyAlignment="1">
      <alignment horizontal="center"/>
    </xf>
    <xf numFmtId="37" fontId="4" fillId="27" borderId="39" xfId="0" applyNumberFormat="1" applyFont="1" applyFill="1" applyBorder="1" applyAlignment="1">
      <alignment horizontal="right" indent="2"/>
    </xf>
    <xf numFmtId="37" fontId="4" fillId="27" borderId="25" xfId="0" applyNumberFormat="1" applyFont="1" applyFill="1" applyBorder="1" applyAlignment="1">
      <alignment horizontal="right" indent="2"/>
    </xf>
    <xf numFmtId="39" fontId="6" fillId="16" borderId="39" xfId="0" applyNumberFormat="1" applyFont="1" applyFill="1" applyBorder="1" applyAlignment="1" applyProtection="1">
      <alignment horizontal="right" wrapText="1" indent="1"/>
      <protection locked="0"/>
    </xf>
    <xf numFmtId="39" fontId="6" fillId="16" borderId="25" xfId="0" applyNumberFormat="1" applyFont="1" applyFill="1" applyBorder="1" applyAlignment="1" applyProtection="1">
      <alignment horizontal="right" wrapText="1" indent="1"/>
      <protection locked="0"/>
    </xf>
    <xf numFmtId="0" fontId="11" fillId="15" borderId="0" xfId="0" applyFont="1" applyFill="1" applyAlignment="1">
      <alignment horizontal="center"/>
    </xf>
    <xf numFmtId="0" fontId="4" fillId="16" borderId="39" xfId="0" applyFont="1" applyFill="1" applyBorder="1" applyProtection="1">
      <protection locked="0"/>
    </xf>
    <xf numFmtId="0" fontId="4" fillId="16" borderId="25" xfId="0" applyFont="1" applyFill="1" applyBorder="1" applyProtection="1">
      <protection locked="0"/>
    </xf>
    <xf numFmtId="0" fontId="4" fillId="16" borderId="54" xfId="0" applyFont="1" applyFill="1" applyBorder="1" applyProtection="1">
      <protection locked="0"/>
    </xf>
    <xf numFmtId="0" fontId="4" fillId="16" borderId="25" xfId="0" applyFont="1" applyFill="1" applyBorder="1" applyAlignment="1" applyProtection="1">
      <alignment horizontal="center" vertical="center"/>
      <protection locked="0"/>
    </xf>
    <xf numFmtId="0" fontId="4" fillId="16" borderId="54" xfId="0" applyFont="1" applyFill="1" applyBorder="1" applyAlignment="1" applyProtection="1">
      <alignment horizontal="center" vertical="center"/>
      <protection locked="0"/>
    </xf>
    <xf numFmtId="0" fontId="10" fillId="15" borderId="30" xfId="0" applyFont="1" applyFill="1" applyBorder="1" applyAlignment="1">
      <alignment horizontal="center" vertical="center" wrapText="1"/>
    </xf>
    <xf numFmtId="0" fontId="10" fillId="0" borderId="8" xfId="0" applyFont="1" applyBorder="1" applyAlignment="1">
      <alignment horizontal="center" vertical="center" wrapText="1"/>
    </xf>
    <xf numFmtId="0" fontId="10" fillId="0" borderId="14"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0" xfId="0" applyFont="1" applyAlignment="1">
      <alignment horizontal="center" vertical="center" wrapText="1"/>
    </xf>
    <xf numFmtId="0" fontId="10" fillId="0" borderId="24" xfId="0" applyFont="1" applyBorder="1" applyAlignment="1">
      <alignment horizontal="center" vertical="center" wrapText="1"/>
    </xf>
    <xf numFmtId="0" fontId="10" fillId="0" borderId="9" xfId="0" applyFont="1" applyBorder="1" applyAlignment="1">
      <alignment horizontal="center" vertical="center" wrapText="1"/>
    </xf>
    <xf numFmtId="0" fontId="10" fillId="0" borderId="1" xfId="0" applyFont="1" applyBorder="1" applyAlignment="1">
      <alignment horizontal="center" vertical="center" wrapText="1"/>
    </xf>
    <xf numFmtId="0" fontId="10" fillId="0" borderId="11" xfId="0" applyFont="1" applyBorder="1" applyAlignment="1">
      <alignment horizontal="center" vertical="center" wrapText="1"/>
    </xf>
    <xf numFmtId="0" fontId="20" fillId="15" borderId="0" xfId="0" applyFont="1" applyFill="1" applyAlignment="1">
      <alignment horizontal="left" vertical="center" wrapText="1"/>
    </xf>
    <xf numFmtId="0" fontId="74" fillId="0" borderId="0" xfId="0" applyFont="1" applyAlignment="1">
      <alignment horizontal="left" vertical="center" wrapText="1"/>
    </xf>
    <xf numFmtId="0" fontId="74" fillId="0" borderId="20" xfId="0" applyFont="1" applyBorder="1" applyAlignment="1">
      <alignment horizontal="left" vertical="center" wrapText="1"/>
    </xf>
    <xf numFmtId="39" fontId="6" fillId="16" borderId="39" xfId="0" applyNumberFormat="1" applyFont="1" applyFill="1" applyBorder="1" applyProtection="1">
      <protection locked="0"/>
    </xf>
    <xf numFmtId="39" fontId="6" fillId="16" borderId="25" xfId="0" applyNumberFormat="1" applyFont="1" applyFill="1" applyBorder="1" applyProtection="1">
      <protection locked="0"/>
    </xf>
    <xf numFmtId="39" fontId="6" fillId="16" borderId="54" xfId="0" applyNumberFormat="1" applyFont="1" applyFill="1" applyBorder="1" applyProtection="1">
      <protection locked="0"/>
    </xf>
    <xf numFmtId="0" fontId="0" fillId="0" borderId="8" xfId="0" applyBorder="1" applyAlignment="1">
      <alignment horizontal="center" vertical="center" wrapText="1"/>
    </xf>
    <xf numFmtId="0" fontId="0" fillId="0" borderId="3" xfId="0" applyBorder="1" applyAlignment="1">
      <alignment horizontal="center" vertical="center" wrapText="1"/>
    </xf>
    <xf numFmtId="0" fontId="0" fillId="0" borderId="0" xfId="0" applyAlignment="1">
      <alignment horizontal="center" vertical="center" wrapText="1"/>
    </xf>
    <xf numFmtId="0" fontId="0" fillId="0" borderId="9" xfId="0" applyBorder="1" applyAlignment="1">
      <alignment horizontal="center" vertical="center" wrapText="1"/>
    </xf>
    <xf numFmtId="0" fontId="0" fillId="0" borderId="1" xfId="0" applyBorder="1" applyAlignment="1">
      <alignment horizontal="center" vertical="center" wrapText="1"/>
    </xf>
    <xf numFmtId="37" fontId="10" fillId="15" borderId="30" xfId="0" applyNumberFormat="1" applyFont="1" applyFill="1" applyBorder="1" applyAlignment="1">
      <alignment horizontal="center" vertical="center"/>
    </xf>
    <xf numFmtId="0" fontId="10" fillId="0" borderId="8" xfId="0" applyFont="1" applyBorder="1" applyAlignment="1">
      <alignment horizontal="center" vertical="center"/>
    </xf>
    <xf numFmtId="0" fontId="11" fillId="15" borderId="52" xfId="0" applyFont="1" applyFill="1" applyBorder="1" applyAlignment="1">
      <alignment horizontal="center"/>
    </xf>
    <xf numFmtId="0" fontId="0" fillId="0" borderId="73" xfId="0" applyBorder="1" applyAlignment="1">
      <alignment horizontal="center"/>
    </xf>
    <xf numFmtId="0" fontId="11" fillId="15" borderId="9" xfId="0" applyFont="1" applyFill="1" applyBorder="1" applyAlignment="1">
      <alignment horizontal="center"/>
    </xf>
    <xf numFmtId="0" fontId="0" fillId="0" borderId="11" xfId="0" applyBorder="1" applyAlignment="1">
      <alignment horizontal="center"/>
    </xf>
    <xf numFmtId="39" fontId="6" fillId="16" borderId="54" xfId="0" applyNumberFormat="1" applyFont="1" applyFill="1" applyBorder="1" applyAlignment="1" applyProtection="1">
      <alignment horizontal="right" wrapText="1" indent="1"/>
      <protection locked="0"/>
    </xf>
    <xf numFmtId="0" fontId="15" fillId="16" borderId="25" xfId="0" applyFont="1" applyFill="1" applyBorder="1" applyAlignment="1" applyProtection="1">
      <alignment horizontal="left"/>
      <protection locked="0"/>
    </xf>
    <xf numFmtId="0" fontId="4" fillId="16" borderId="54" xfId="0" applyFont="1" applyFill="1" applyBorder="1" applyAlignment="1" applyProtection="1">
      <alignment horizontal="left"/>
      <protection locked="0"/>
    </xf>
    <xf numFmtId="0" fontId="11" fillId="15" borderId="39" xfId="0" applyFont="1" applyFill="1" applyBorder="1" applyAlignment="1">
      <alignment horizontal="center"/>
    </xf>
    <xf numFmtId="0" fontId="0" fillId="0" borderId="54" xfId="0" applyBorder="1" applyAlignment="1">
      <alignment horizontal="center"/>
    </xf>
    <xf numFmtId="0" fontId="8" fillId="15" borderId="15" xfId="0" applyFont="1" applyFill="1" applyBorder="1" applyAlignment="1">
      <alignment horizontal="center" vertical="center" wrapText="1"/>
    </xf>
    <xf numFmtId="0" fontId="8" fillId="0" borderId="15" xfId="0" applyFont="1" applyBorder="1" applyAlignment="1">
      <alignment horizontal="center" vertical="center" wrapText="1"/>
    </xf>
    <xf numFmtId="0" fontId="8" fillId="0" borderId="6" xfId="0" applyFont="1" applyBorder="1" applyAlignment="1">
      <alignment horizontal="center" vertical="center" wrapText="1"/>
    </xf>
    <xf numFmtId="0" fontId="8" fillId="0" borderId="10" xfId="0" applyFont="1" applyBorder="1" applyAlignment="1">
      <alignment horizontal="center" vertical="center" wrapText="1"/>
    </xf>
    <xf numFmtId="39" fontId="6" fillId="16" borderId="68" xfId="0" applyNumberFormat="1" applyFont="1" applyFill="1" applyBorder="1" applyAlignment="1" applyProtection="1">
      <alignment horizontal="right" wrapText="1" indent="1"/>
      <protection locked="0"/>
    </xf>
    <xf numFmtId="37" fontId="4" fillId="16" borderId="39" xfId="0" applyNumberFormat="1" applyFont="1" applyFill="1" applyBorder="1" applyAlignment="1" applyProtection="1">
      <alignment horizontal="left" wrapText="1" indent="1"/>
      <protection locked="0"/>
    </xf>
    <xf numFmtId="37" fontId="4" fillId="16" borderId="25" xfId="0" applyNumberFormat="1" applyFont="1" applyFill="1" applyBorder="1" applyAlignment="1" applyProtection="1">
      <alignment horizontal="left" wrapText="1" indent="1"/>
      <protection locked="0"/>
    </xf>
    <xf numFmtId="0" fontId="0" fillId="0" borderId="25" xfId="0" applyBorder="1" applyAlignment="1" applyProtection="1">
      <alignment horizontal="left" wrapText="1" indent="1"/>
      <protection locked="0"/>
    </xf>
    <xf numFmtId="0" fontId="0" fillId="0" borderId="54" xfId="0" applyBorder="1" applyAlignment="1" applyProtection="1">
      <alignment horizontal="left" wrapText="1" indent="1"/>
      <protection locked="0"/>
    </xf>
    <xf numFmtId="0" fontId="223" fillId="31" borderId="1" xfId="0" applyFont="1" applyFill="1" applyBorder="1" applyAlignment="1">
      <alignment horizontal="center"/>
    </xf>
    <xf numFmtId="0" fontId="224" fillId="31" borderId="1" xfId="0" applyFont="1" applyFill="1" applyBorder="1" applyAlignment="1">
      <alignment horizontal="center"/>
    </xf>
    <xf numFmtId="0" fontId="8" fillId="0" borderId="8" xfId="0" applyFont="1" applyBorder="1" applyAlignment="1">
      <alignment horizontal="center" vertical="center"/>
    </xf>
    <xf numFmtId="0" fontId="8" fillId="0" borderId="3" xfId="0" applyFont="1" applyBorder="1" applyAlignment="1">
      <alignment horizontal="center" vertical="center"/>
    </xf>
    <xf numFmtId="0" fontId="8" fillId="0" borderId="9" xfId="0" applyFont="1" applyBorder="1" applyAlignment="1">
      <alignment horizontal="center" vertical="center"/>
    </xf>
    <xf numFmtId="39" fontId="6" fillId="16" borderId="39" xfId="0" applyNumberFormat="1" applyFont="1" applyFill="1" applyBorder="1" applyAlignment="1" applyProtection="1">
      <alignment horizontal="right" indent="1"/>
      <protection locked="0"/>
    </xf>
    <xf numFmtId="39" fontId="6" fillId="16" borderId="25" xfId="0" applyNumberFormat="1" applyFont="1" applyFill="1" applyBorder="1" applyAlignment="1" applyProtection="1">
      <alignment horizontal="right" indent="1"/>
      <protection locked="0"/>
    </xf>
    <xf numFmtId="39" fontId="6" fillId="16" borderId="68" xfId="0" applyNumberFormat="1" applyFont="1" applyFill="1" applyBorder="1" applyAlignment="1" applyProtection="1">
      <alignment horizontal="right" indent="1"/>
      <protection locked="0"/>
    </xf>
    <xf numFmtId="39" fontId="6" fillId="16" borderId="46" xfId="0" applyNumberFormat="1" applyFont="1" applyFill="1" applyBorder="1" applyAlignment="1" applyProtection="1">
      <alignment horizontal="right" indent="1"/>
      <protection locked="0"/>
    </xf>
    <xf numFmtId="39" fontId="6" fillId="16" borderId="12" xfId="0" applyNumberFormat="1" applyFont="1" applyFill="1" applyBorder="1" applyAlignment="1" applyProtection="1">
      <alignment horizontal="right" indent="1"/>
      <protection locked="0"/>
    </xf>
    <xf numFmtId="0" fontId="0" fillId="0" borderId="25" xfId="0" applyBorder="1" applyAlignment="1">
      <alignment horizontal="center"/>
    </xf>
    <xf numFmtId="0" fontId="15" fillId="15" borderId="25" xfId="0" applyFont="1" applyFill="1" applyBorder="1" applyAlignment="1">
      <alignment horizontal="center"/>
    </xf>
    <xf numFmtId="0" fontId="0" fillId="0" borderId="68" xfId="0" applyBorder="1" applyAlignment="1">
      <alignment horizont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11" xfId="0" applyBorder="1" applyAlignment="1">
      <alignment horizontal="center" vertical="center"/>
    </xf>
    <xf numFmtId="0" fontId="6" fillId="15" borderId="80" xfId="0" applyFont="1" applyFill="1" applyBorder="1" applyAlignment="1">
      <alignment horizontal="center" vertical="center" wrapText="1"/>
    </xf>
    <xf numFmtId="0" fontId="0" fillId="0" borderId="26" xfId="0" applyBorder="1" applyAlignment="1">
      <alignment horizontal="center" vertical="center"/>
    </xf>
    <xf numFmtId="37" fontId="4" fillId="19" borderId="12" xfId="0" applyNumberFormat="1" applyFont="1" applyFill="1" applyBorder="1" applyAlignment="1">
      <alignment horizontal="right" indent="1"/>
    </xf>
    <xf numFmtId="37" fontId="4" fillId="19" borderId="39" xfId="0" applyNumberFormat="1" applyFont="1" applyFill="1" applyBorder="1" applyAlignment="1">
      <alignment horizontal="right" indent="1"/>
    </xf>
    <xf numFmtId="37" fontId="4" fillId="27" borderId="54" xfId="0" applyNumberFormat="1" applyFont="1" applyFill="1" applyBorder="1" applyAlignment="1">
      <alignment horizontal="right" indent="1"/>
    </xf>
    <xf numFmtId="37" fontId="4" fillId="27" borderId="12" xfId="0" applyNumberFormat="1" applyFont="1" applyFill="1" applyBorder="1" applyAlignment="1">
      <alignment horizontal="right" wrapText="1" indent="1"/>
    </xf>
    <xf numFmtId="0" fontId="15" fillId="0" borderId="8" xfId="0" applyFont="1" applyBorder="1" applyAlignment="1">
      <alignment horizontal="center"/>
    </xf>
    <xf numFmtId="37" fontId="4" fillId="19" borderId="67" xfId="0" applyNumberFormat="1" applyFont="1" applyFill="1" applyBorder="1" applyAlignment="1" applyProtection="1">
      <alignment horizontal="right" wrapText="1" indent="1"/>
      <protection locked="0"/>
    </xf>
    <xf numFmtId="37" fontId="4" fillId="19" borderId="25" xfId="0" applyNumberFormat="1" applyFont="1" applyFill="1" applyBorder="1" applyAlignment="1" applyProtection="1">
      <alignment horizontal="right" wrapText="1" indent="1"/>
      <protection locked="0"/>
    </xf>
    <xf numFmtId="37" fontId="4" fillId="19" borderId="39" xfId="0" applyNumberFormat="1" applyFont="1" applyFill="1" applyBorder="1" applyAlignment="1">
      <alignment horizontal="right" wrapText="1" indent="1"/>
    </xf>
    <xf numFmtId="37" fontId="4" fillId="19" borderId="25" xfId="0" applyNumberFormat="1" applyFont="1" applyFill="1" applyBorder="1" applyAlignment="1">
      <alignment horizontal="right" wrapText="1" indent="1"/>
    </xf>
    <xf numFmtId="37" fontId="4" fillId="19" borderId="68" xfId="0" applyNumberFormat="1" applyFont="1" applyFill="1" applyBorder="1" applyAlignment="1">
      <alignment horizontal="right" wrapText="1" indent="1"/>
    </xf>
    <xf numFmtId="0" fontId="8" fillId="0" borderId="14" xfId="0" applyFont="1" applyBorder="1" applyAlignment="1">
      <alignment horizontal="center" vertical="center" wrapText="1"/>
    </xf>
    <xf numFmtId="0" fontId="8" fillId="0" borderId="24" xfId="0" applyFont="1" applyBorder="1" applyAlignment="1">
      <alignment horizontal="center" vertical="center" wrapText="1"/>
    </xf>
    <xf numFmtId="0" fontId="8" fillId="0" borderId="11" xfId="0" applyFont="1" applyBorder="1" applyAlignment="1">
      <alignment horizontal="center" vertical="center" wrapText="1"/>
    </xf>
    <xf numFmtId="0" fontId="8" fillId="15" borderId="80" xfId="0" applyFont="1" applyFill="1" applyBorder="1" applyAlignment="1">
      <alignment horizontal="center" vertical="center" wrapText="1"/>
    </xf>
    <xf numFmtId="0" fontId="8" fillId="0" borderId="5" xfId="0" applyFont="1" applyBorder="1" applyAlignment="1">
      <alignment horizontal="center" vertical="center" wrapText="1"/>
    </xf>
    <xf numFmtId="0" fontId="8" fillId="0" borderId="26" xfId="0" applyFont="1" applyBorder="1" applyAlignment="1">
      <alignment horizontal="center" vertical="center" wrapText="1"/>
    </xf>
    <xf numFmtId="0" fontId="14" fillId="15" borderId="0" xfId="0" applyFont="1" applyFill="1" applyAlignment="1">
      <alignment horizontal="center" vertical="center" wrapText="1"/>
    </xf>
    <xf numFmtId="0" fontId="11" fillId="15" borderId="39" xfId="0" applyFont="1" applyFill="1" applyBorder="1" applyAlignment="1">
      <alignment horizontal="center" vertical="center"/>
    </xf>
    <xf numFmtId="0" fontId="11" fillId="0" borderId="54" xfId="0" applyFont="1" applyBorder="1" applyAlignment="1">
      <alignment horizontal="center" vertical="center"/>
    </xf>
    <xf numFmtId="37" fontId="15" fillId="27" borderId="39" xfId="0" applyNumberFormat="1" applyFont="1" applyFill="1" applyBorder="1" applyAlignment="1">
      <alignment horizontal="right" vertical="center" indent="2"/>
    </xf>
    <xf numFmtId="37" fontId="15" fillId="27" borderId="25" xfId="0" applyNumberFormat="1" applyFont="1" applyFill="1" applyBorder="1" applyAlignment="1">
      <alignment horizontal="right" vertical="center" indent="2"/>
    </xf>
    <xf numFmtId="0" fontId="11" fillId="15" borderId="9" xfId="0" applyFont="1" applyFill="1" applyBorder="1" applyAlignment="1">
      <alignment horizontal="center" vertical="center"/>
    </xf>
    <xf numFmtId="0" fontId="11" fillId="0" borderId="11" xfId="0" applyFont="1" applyBorder="1" applyAlignment="1">
      <alignment horizontal="center" vertical="center"/>
    </xf>
    <xf numFmtId="0" fontId="11" fillId="15" borderId="69" xfId="0" applyFont="1" applyFill="1" applyBorder="1" applyAlignment="1">
      <alignment horizontal="center" vertical="center"/>
    </xf>
    <xf numFmtId="0" fontId="11" fillId="0" borderId="70" xfId="0" applyFont="1" applyBorder="1" applyAlignment="1">
      <alignment horizontal="center" vertical="center"/>
    </xf>
    <xf numFmtId="37" fontId="15" fillId="27" borderId="69" xfId="0" applyNumberFormat="1" applyFont="1" applyFill="1" applyBorder="1" applyAlignment="1">
      <alignment horizontal="right" vertical="center" indent="2"/>
    </xf>
    <xf numFmtId="37" fontId="15" fillId="27" borderId="4" xfId="0" applyNumberFormat="1" applyFont="1" applyFill="1" applyBorder="1" applyAlignment="1">
      <alignment horizontal="right" vertical="center" indent="2"/>
    </xf>
    <xf numFmtId="37" fontId="168" fillId="15" borderId="8" xfId="0" applyNumberFormat="1" applyFont="1" applyFill="1" applyBorder="1" applyAlignment="1">
      <alignment horizontal="right" vertical="center"/>
    </xf>
    <xf numFmtId="0" fontId="9" fillId="15" borderId="30" xfId="0" applyFont="1" applyFill="1" applyBorder="1"/>
    <xf numFmtId="0" fontId="9" fillId="15" borderId="8" xfId="0" applyFont="1" applyFill="1" applyBorder="1"/>
    <xf numFmtId="0" fontId="14" fillId="15" borderId="0" xfId="0" applyFont="1" applyFill="1" applyAlignment="1">
      <alignment horizontal="right" vertical="center" wrapText="1" indent="1"/>
    </xf>
    <xf numFmtId="0" fontId="0" fillId="0" borderId="0" xfId="0" applyAlignment="1">
      <alignment horizontal="right" vertical="center" wrapText="1" indent="1"/>
    </xf>
    <xf numFmtId="37" fontId="15" fillId="27" borderId="9" xfId="0" applyNumberFormat="1" applyFont="1" applyFill="1" applyBorder="1" applyAlignment="1">
      <alignment horizontal="right" vertical="center"/>
    </xf>
    <xf numFmtId="37" fontId="15" fillId="27" borderId="11" xfId="0" applyNumberFormat="1" applyFont="1" applyFill="1" applyBorder="1" applyAlignment="1">
      <alignment horizontal="right" vertical="center"/>
    </xf>
    <xf numFmtId="0" fontId="11" fillId="15" borderId="3" xfId="0" applyFont="1" applyFill="1" applyBorder="1" applyAlignment="1">
      <alignment horizontal="center" vertical="center"/>
    </xf>
    <xf numFmtId="0" fontId="11" fillId="0" borderId="24" xfId="0" applyFont="1" applyBorder="1" applyAlignment="1">
      <alignment horizontal="center" vertical="center"/>
    </xf>
    <xf numFmtId="3" fontId="257" fillId="15" borderId="3" xfId="0" applyNumberFormat="1" applyFont="1" applyFill="1" applyBorder="1" applyAlignment="1">
      <alignment horizontal="center" vertical="center"/>
    </xf>
    <xf numFmtId="3" fontId="257" fillId="15" borderId="0" xfId="0" applyNumberFormat="1" applyFont="1" applyFill="1" applyAlignment="1">
      <alignment horizontal="center" vertical="center"/>
    </xf>
    <xf numFmtId="3" fontId="257" fillId="15" borderId="24" xfId="0" applyNumberFormat="1" applyFont="1" applyFill="1" applyBorder="1" applyAlignment="1">
      <alignment horizontal="center" vertical="center"/>
    </xf>
    <xf numFmtId="0" fontId="11" fillId="15" borderId="30" xfId="0" applyFont="1" applyFill="1" applyBorder="1" applyAlignment="1">
      <alignment horizontal="center" vertical="center"/>
    </xf>
    <xf numFmtId="0" fontId="11" fillId="0" borderId="14" xfId="0" applyFont="1" applyBorder="1" applyAlignment="1">
      <alignment horizontal="center" vertical="center"/>
    </xf>
    <xf numFmtId="3" fontId="15" fillId="15" borderId="30" xfId="0" applyNumberFormat="1" applyFont="1" applyFill="1" applyBorder="1" applyAlignment="1">
      <alignment horizontal="right" vertical="center"/>
    </xf>
    <xf numFmtId="3" fontId="15" fillId="15" borderId="8" xfId="0" applyNumberFormat="1" applyFont="1" applyFill="1" applyBorder="1" applyAlignment="1">
      <alignment horizontal="right" vertical="center"/>
    </xf>
    <xf numFmtId="3" fontId="15" fillId="15" borderId="14" xfId="0" applyNumberFormat="1" applyFont="1" applyFill="1" applyBorder="1" applyAlignment="1">
      <alignment horizontal="right" vertical="center"/>
    </xf>
    <xf numFmtId="3" fontId="15" fillId="15" borderId="3" xfId="0" applyNumberFormat="1" applyFont="1" applyFill="1" applyBorder="1" applyAlignment="1">
      <alignment horizontal="right" vertical="center"/>
    </xf>
    <xf numFmtId="3" fontId="15" fillId="15" borderId="0" xfId="0" applyNumberFormat="1" applyFont="1" applyFill="1" applyAlignment="1">
      <alignment horizontal="right" vertical="center"/>
    </xf>
    <xf numFmtId="3" fontId="15" fillId="15" borderId="24" xfId="0" applyNumberFormat="1" applyFont="1" applyFill="1" applyBorder="1" applyAlignment="1">
      <alignment horizontal="right" vertical="center"/>
    </xf>
    <xf numFmtId="39" fontId="47" fillId="16" borderId="1" xfId="0" applyNumberFormat="1" applyFont="1" applyFill="1" applyBorder="1" applyAlignment="1" applyProtection="1">
      <alignment horizontal="right" vertical="center"/>
      <protection locked="0"/>
    </xf>
    <xf numFmtId="39" fontId="47" fillId="16" borderId="11" xfId="0" applyNumberFormat="1" applyFont="1" applyFill="1" applyBorder="1" applyAlignment="1" applyProtection="1">
      <alignment horizontal="right" vertical="center"/>
      <protection locked="0"/>
    </xf>
    <xf numFmtId="39" fontId="47" fillId="16" borderId="9" xfId="0" applyNumberFormat="1" applyFont="1" applyFill="1" applyBorder="1" applyAlignment="1" applyProtection="1">
      <alignment horizontal="right" vertical="center"/>
      <protection locked="0"/>
    </xf>
    <xf numFmtId="37" fontId="15" fillId="27" borderId="39" xfId="0" applyNumberFormat="1" applyFont="1" applyFill="1" applyBorder="1" applyAlignment="1">
      <alignment horizontal="right" vertical="center"/>
    </xf>
    <xf numFmtId="0" fontId="4" fillId="16" borderId="87" xfId="0" applyFont="1" applyFill="1" applyBorder="1" applyAlignment="1" applyProtection="1">
      <alignment horizontal="left" vertical="center"/>
      <protection locked="0"/>
    </xf>
    <xf numFmtId="0" fontId="15" fillId="16" borderId="39" xfId="0" applyFont="1" applyFill="1" applyBorder="1" applyAlignment="1" applyProtection="1">
      <alignment horizontal="center"/>
      <protection locked="0"/>
    </xf>
    <xf numFmtId="0" fontId="47" fillId="0" borderId="25" xfId="0" applyFont="1" applyBorder="1" applyAlignment="1" applyProtection="1">
      <alignment horizontal="center"/>
      <protection locked="0"/>
    </xf>
    <xf numFmtId="0" fontId="47" fillId="0" borderId="54" xfId="0" applyFont="1" applyBorder="1" applyAlignment="1" applyProtection="1">
      <alignment horizontal="center"/>
      <protection locked="0"/>
    </xf>
    <xf numFmtId="0" fontId="4" fillId="15" borderId="39" xfId="0" applyFont="1" applyFill="1" applyBorder="1" applyAlignment="1">
      <alignment horizontal="center"/>
    </xf>
    <xf numFmtId="0" fontId="4" fillId="15" borderId="25" xfId="0" applyFont="1" applyFill="1" applyBorder="1" applyAlignment="1">
      <alignment horizontal="center"/>
    </xf>
    <xf numFmtId="0" fontId="4" fillId="15" borderId="54" xfId="0" applyFont="1" applyFill="1" applyBorder="1" applyAlignment="1">
      <alignment horizontal="center"/>
    </xf>
    <xf numFmtId="39" fontId="47" fillId="16" borderId="39" xfId="0" applyNumberFormat="1" applyFont="1" applyFill="1" applyBorder="1" applyAlignment="1" applyProtection="1">
      <alignment horizontal="right" vertical="center"/>
      <protection locked="0"/>
    </xf>
    <xf numFmtId="39" fontId="47" fillId="16" borderId="25" xfId="0" applyNumberFormat="1" applyFont="1" applyFill="1" applyBorder="1" applyAlignment="1" applyProtection="1">
      <alignment horizontal="right" vertical="center"/>
      <protection locked="0"/>
    </xf>
    <xf numFmtId="0" fontId="11" fillId="15" borderId="25" xfId="0" applyFont="1" applyFill="1" applyBorder="1" applyAlignment="1">
      <alignment horizontal="center"/>
    </xf>
    <xf numFmtId="0" fontId="11" fillId="15" borderId="8" xfId="0" applyFont="1" applyFill="1" applyBorder="1" applyAlignment="1">
      <alignment horizontal="center"/>
    </xf>
    <xf numFmtId="0" fontId="4" fillId="0" borderId="8" xfId="0" applyFont="1" applyBorder="1" applyAlignment="1">
      <alignment horizontal="center"/>
    </xf>
    <xf numFmtId="0" fontId="4" fillId="16" borderId="39" xfId="0" applyFont="1" applyFill="1" applyBorder="1" applyAlignment="1" applyProtection="1">
      <alignment horizontal="left"/>
      <protection locked="0"/>
    </xf>
    <xf numFmtId="0" fontId="4" fillId="15" borderId="30" xfId="0" applyFont="1" applyFill="1" applyBorder="1" applyAlignment="1">
      <alignment horizontal="center" vertical="center" wrapText="1"/>
    </xf>
    <xf numFmtId="0" fontId="4" fillId="0" borderId="8" xfId="0" applyFont="1" applyBorder="1" applyAlignment="1">
      <alignment horizontal="center" vertical="center" wrapText="1"/>
    </xf>
    <xf numFmtId="0" fontId="4" fillId="0" borderId="9"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4" xfId="0" applyFont="1" applyBorder="1" applyAlignment="1">
      <alignment horizontal="center" vertical="center" wrapText="1"/>
    </xf>
    <xf numFmtId="0" fontId="4" fillId="0" borderId="11" xfId="0" applyFont="1" applyBorder="1" applyAlignment="1">
      <alignment horizontal="center" vertical="center" wrapText="1"/>
    </xf>
    <xf numFmtId="0" fontId="14" fillId="15" borderId="1" xfId="0" applyFont="1" applyFill="1" applyBorder="1" applyAlignment="1">
      <alignment horizontal="center" vertical="center" wrapText="1"/>
    </xf>
    <xf numFmtId="39" fontId="47" fillId="16" borderId="54" xfId="0" applyNumberFormat="1" applyFont="1" applyFill="1" applyBorder="1" applyAlignment="1" applyProtection="1">
      <alignment horizontal="right" vertical="center"/>
      <protection locked="0"/>
    </xf>
    <xf numFmtId="0" fontId="47" fillId="15" borderId="8" xfId="0" applyFont="1" applyFill="1" applyBorder="1" applyAlignment="1">
      <alignment horizontal="left" vertical="top" wrapText="1"/>
    </xf>
    <xf numFmtId="0" fontId="47" fillId="15" borderId="0" xfId="0" applyFont="1" applyFill="1" applyAlignment="1">
      <alignment horizontal="left" vertical="top" wrapText="1"/>
    </xf>
    <xf numFmtId="0" fontId="47" fillId="15" borderId="1" xfId="0" applyFont="1" applyFill="1" applyBorder="1" applyAlignment="1">
      <alignment horizontal="left" vertical="top" wrapText="1"/>
    </xf>
    <xf numFmtId="0" fontId="11" fillId="0" borderId="25" xfId="0" applyFont="1" applyBorder="1" applyAlignment="1">
      <alignment horizontal="center" vertical="center"/>
    </xf>
    <xf numFmtId="0" fontId="11" fillId="15" borderId="39" xfId="0" applyFont="1" applyFill="1" applyBorder="1" applyAlignment="1">
      <alignment horizontal="center" vertical="center" wrapText="1"/>
    </xf>
    <xf numFmtId="0" fontId="11" fillId="0" borderId="25" xfId="0" applyFont="1" applyBorder="1" applyAlignment="1">
      <alignment horizontal="center" vertical="center" wrapText="1"/>
    </xf>
    <xf numFmtId="0" fontId="11" fillId="0" borderId="54" xfId="0" applyFont="1" applyBorder="1" applyAlignment="1">
      <alignment horizontal="center" vertical="center" wrapText="1"/>
    </xf>
    <xf numFmtId="0" fontId="11" fillId="15" borderId="47" xfId="0" applyFont="1" applyFill="1" applyBorder="1" applyAlignment="1">
      <alignment horizontal="center" vertical="center"/>
    </xf>
    <xf numFmtId="0" fontId="11" fillId="15" borderId="27" xfId="0" applyFont="1" applyFill="1" applyBorder="1" applyAlignment="1">
      <alignment horizontal="center" vertical="center"/>
    </xf>
    <xf numFmtId="0" fontId="6" fillId="15" borderId="26" xfId="0" applyFont="1" applyFill="1" applyBorder="1" applyAlignment="1">
      <alignment horizontal="center" vertical="center" wrapText="1"/>
    </xf>
    <xf numFmtId="0" fontId="0" fillId="0" borderId="20" xfId="0" applyBorder="1" applyAlignment="1">
      <alignment horizontal="left" vertical="center" wrapText="1"/>
    </xf>
    <xf numFmtId="0" fontId="0" fillId="0" borderId="22" xfId="0" applyBorder="1" applyAlignment="1">
      <alignment horizontal="left" vertical="center" wrapText="1"/>
    </xf>
    <xf numFmtId="0" fontId="11" fillId="15" borderId="0" xfId="0" applyFont="1" applyFill="1" applyAlignment="1">
      <alignment vertical="top" wrapText="1"/>
    </xf>
    <xf numFmtId="0" fontId="14" fillId="0" borderId="0" xfId="0" applyFont="1" applyAlignment="1">
      <alignment wrapText="1"/>
    </xf>
    <xf numFmtId="0" fontId="14" fillId="0" borderId="20" xfId="0" applyFont="1" applyBorder="1" applyAlignment="1">
      <alignment wrapText="1"/>
    </xf>
    <xf numFmtId="0" fontId="6" fillId="0" borderId="0" xfId="0" applyFont="1" applyAlignment="1">
      <alignment horizontal="left" wrapText="1"/>
    </xf>
    <xf numFmtId="0" fontId="0" fillId="0" borderId="4" xfId="0" applyBorder="1" applyAlignment="1">
      <alignment horizontal="left" wrapText="1"/>
    </xf>
    <xf numFmtId="0" fontId="91" fillId="15" borderId="80" xfId="0" applyFont="1" applyFill="1" applyBorder="1" applyAlignment="1">
      <alignment horizontal="center" vertical="center" wrapText="1"/>
    </xf>
    <xf numFmtId="0" fontId="91" fillId="15" borderId="8" xfId="0" applyFont="1" applyFill="1" applyBorder="1" applyAlignment="1">
      <alignment horizontal="center" vertical="center" wrapText="1"/>
    </xf>
    <xf numFmtId="0" fontId="91" fillId="15" borderId="5" xfId="0" applyFont="1" applyFill="1" applyBorder="1" applyAlignment="1">
      <alignment horizontal="center" vertical="center" wrapText="1"/>
    </xf>
    <xf numFmtId="0" fontId="91" fillId="15" borderId="0" xfId="0" applyFont="1" applyFill="1" applyAlignment="1">
      <alignment horizontal="center" vertical="center" wrapText="1"/>
    </xf>
    <xf numFmtId="0" fontId="11" fillId="15" borderId="1" xfId="0" applyFont="1" applyFill="1" applyBorder="1" applyAlignment="1">
      <alignment horizontal="center"/>
    </xf>
    <xf numFmtId="0" fontId="15" fillId="15" borderId="25" xfId="0" applyFont="1" applyFill="1" applyBorder="1" applyAlignment="1">
      <alignment horizontal="center" vertical="center"/>
    </xf>
    <xf numFmtId="0" fontId="15" fillId="0" borderId="25" xfId="0" applyFont="1" applyBorder="1" applyAlignment="1">
      <alignment horizontal="center" vertical="center"/>
    </xf>
    <xf numFmtId="0" fontId="20" fillId="15" borderId="4" xfId="0" applyFont="1" applyFill="1" applyBorder="1" applyAlignment="1">
      <alignment horizontal="left"/>
    </xf>
    <xf numFmtId="166" fontId="44" fillId="27" borderId="3" xfId="0" applyNumberFormat="1" applyFont="1" applyFill="1" applyBorder="1" applyAlignment="1">
      <alignment horizontal="center"/>
    </xf>
    <xf numFmtId="166" fontId="0" fillId="0" borderId="0" xfId="0" applyNumberFormat="1" applyAlignment="1">
      <alignment horizontal="center"/>
    </xf>
    <xf numFmtId="166" fontId="0" fillId="0" borderId="9" xfId="0" applyNumberFormat="1" applyBorder="1" applyAlignment="1">
      <alignment horizontal="center"/>
    </xf>
    <xf numFmtId="166" fontId="0" fillId="0" borderId="1" xfId="0" applyNumberFormat="1" applyBorder="1" applyAlignment="1">
      <alignment horizontal="center"/>
    </xf>
    <xf numFmtId="0" fontId="9" fillId="15" borderId="56" xfId="0" applyFont="1" applyFill="1" applyBorder="1" applyAlignment="1">
      <alignment wrapText="1"/>
    </xf>
    <xf numFmtId="0" fontId="9" fillId="0" borderId="7" xfId="0" applyFont="1" applyBorder="1" applyAlignment="1">
      <alignment wrapText="1"/>
    </xf>
    <xf numFmtId="0" fontId="6" fillId="0" borderId="8" xfId="0" applyFont="1" applyBorder="1" applyAlignment="1">
      <alignment horizontal="center"/>
    </xf>
    <xf numFmtId="0" fontId="11" fillId="0" borderId="8" xfId="0" applyFont="1" applyBorder="1" applyAlignment="1">
      <alignment horizontal="center" vertical="center"/>
    </xf>
    <xf numFmtId="37" fontId="4" fillId="27" borderId="172" xfId="0" applyNumberFormat="1" applyFont="1" applyFill="1" applyBorder="1" applyAlignment="1">
      <alignment horizontal="right" indent="2"/>
    </xf>
    <xf numFmtId="37" fontId="4" fillId="27" borderId="74" xfId="0" applyNumberFormat="1" applyFont="1" applyFill="1" applyBorder="1" applyAlignment="1">
      <alignment horizontal="right" indent="2"/>
    </xf>
    <xf numFmtId="0" fontId="15" fillId="15" borderId="9" xfId="0" applyFont="1" applyFill="1" applyBorder="1" applyAlignment="1">
      <alignment horizontal="center" vertical="center"/>
    </xf>
    <xf numFmtId="0" fontId="15" fillId="15" borderId="11" xfId="0" applyFont="1" applyFill="1" applyBorder="1" applyAlignment="1">
      <alignment horizontal="center" vertical="center"/>
    </xf>
    <xf numFmtId="37" fontId="4" fillId="16" borderId="10" xfId="0" applyNumberFormat="1" applyFont="1" applyFill="1" applyBorder="1" applyAlignment="1" applyProtection="1">
      <alignment horizontal="right" indent="1"/>
      <protection locked="0"/>
    </xf>
    <xf numFmtId="0" fontId="0" fillId="0" borderId="10" xfId="0" applyBorder="1" applyAlignment="1" applyProtection="1">
      <alignment horizontal="right" indent="1"/>
      <protection locked="0"/>
    </xf>
    <xf numFmtId="39" fontId="6" fillId="16" borderId="52" xfId="0" applyNumberFormat="1" applyFont="1" applyFill="1" applyBorder="1" applyProtection="1">
      <protection locked="0"/>
    </xf>
    <xf numFmtId="39" fontId="6" fillId="16" borderId="31" xfId="0" applyNumberFormat="1" applyFont="1" applyFill="1" applyBorder="1" applyProtection="1">
      <protection locked="0"/>
    </xf>
    <xf numFmtId="0" fontId="10" fillId="15" borderId="15" xfId="0" applyFont="1" applyFill="1" applyBorder="1" applyAlignment="1">
      <alignment horizontal="center" vertical="center" wrapText="1"/>
    </xf>
    <xf numFmtId="0" fontId="10" fillId="0" borderId="15"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10" xfId="0" applyFont="1" applyBorder="1" applyAlignment="1">
      <alignment horizontal="center" vertical="center" wrapText="1"/>
    </xf>
    <xf numFmtId="0" fontId="15" fillId="15" borderId="4" xfId="0" applyFont="1" applyFill="1" applyBorder="1" applyAlignment="1">
      <alignment horizontal="center"/>
    </xf>
    <xf numFmtId="0" fontId="11" fillId="15" borderId="4" xfId="0" applyFont="1" applyFill="1" applyBorder="1" applyAlignment="1">
      <alignment horizontal="left" vertical="top"/>
    </xf>
    <xf numFmtId="0" fontId="20" fillId="15" borderId="0" xfId="0" applyFont="1" applyFill="1" applyAlignment="1">
      <alignment vertical="center" wrapText="1"/>
    </xf>
    <xf numFmtId="0" fontId="74" fillId="0" borderId="0" xfId="0" applyFont="1" applyAlignment="1">
      <alignment vertical="center" wrapText="1"/>
    </xf>
    <xf numFmtId="0" fontId="74" fillId="0" borderId="20" xfId="0" applyFont="1" applyBorder="1" applyAlignment="1">
      <alignment vertical="center" wrapText="1"/>
    </xf>
    <xf numFmtId="49" fontId="6" fillId="40" borderId="154" xfId="0" applyNumberFormat="1" applyFont="1" applyFill="1" applyBorder="1" applyAlignment="1" applyProtection="1">
      <alignment horizontal="center" vertical="top" wrapText="1"/>
      <protection locked="0"/>
    </xf>
    <xf numFmtId="49" fontId="0" fillId="40" borderId="154" xfId="0" applyNumberFormat="1" applyFill="1" applyBorder="1" applyAlignment="1" applyProtection="1">
      <alignment horizontal="center" vertical="top" wrapText="1"/>
      <protection locked="0"/>
    </xf>
    <xf numFmtId="0" fontId="166" fillId="23" borderId="0" xfId="0" applyFont="1" applyFill="1" applyAlignment="1">
      <alignment horizontal="center"/>
    </xf>
    <xf numFmtId="0" fontId="11" fillId="15" borderId="51" xfId="0" applyFont="1" applyFill="1" applyBorder="1" applyAlignment="1">
      <alignment horizontal="center"/>
    </xf>
    <xf numFmtId="0" fontId="0" fillId="0" borderId="51" xfId="0" applyBorder="1" applyAlignment="1">
      <alignment horizontal="center"/>
    </xf>
    <xf numFmtId="39" fontId="6" fillId="16" borderId="51" xfId="0" applyNumberFormat="1" applyFont="1" applyFill="1" applyBorder="1" applyProtection="1">
      <protection locked="0"/>
    </xf>
    <xf numFmtId="0" fontId="11" fillId="15" borderId="10" xfId="0" applyFont="1" applyFill="1" applyBorder="1" applyAlignment="1">
      <alignment horizontal="center"/>
    </xf>
    <xf numFmtId="0" fontId="0" fillId="0" borderId="10" xfId="0" applyBorder="1" applyAlignment="1">
      <alignment horizontal="center"/>
    </xf>
    <xf numFmtId="37" fontId="4" fillId="27" borderId="10" xfId="0" applyNumberFormat="1" applyFont="1" applyFill="1" applyBorder="1"/>
    <xf numFmtId="49" fontId="0" fillId="15" borderId="154" xfId="0" applyNumberFormat="1" applyFill="1" applyBorder="1" applyAlignment="1" applyProtection="1">
      <alignment horizontal="center" vertical="center" wrapText="1"/>
      <protection locked="0"/>
    </xf>
    <xf numFmtId="0" fontId="4" fillId="0" borderId="14" xfId="0" applyFont="1" applyBorder="1" applyAlignment="1">
      <alignment horizontal="center"/>
    </xf>
    <xf numFmtId="49" fontId="6" fillId="15" borderId="154" xfId="0" applyNumberFormat="1" applyFont="1" applyFill="1" applyBorder="1" applyAlignment="1" applyProtection="1">
      <alignment horizontal="center" vertical="center" wrapText="1"/>
      <protection locked="0"/>
    </xf>
    <xf numFmtId="0" fontId="15" fillId="15" borderId="39" xfId="0" applyFont="1" applyFill="1" applyBorder="1" applyAlignment="1">
      <alignment horizontal="center" vertical="center"/>
    </xf>
    <xf numFmtId="0" fontId="15" fillId="15" borderId="54" xfId="0" applyFont="1" applyFill="1" applyBorder="1" applyAlignment="1">
      <alignment horizontal="center" vertical="center"/>
    </xf>
    <xf numFmtId="37" fontId="4" fillId="16" borderId="12" xfId="0" applyNumberFormat="1" applyFont="1" applyFill="1" applyBorder="1" applyAlignment="1" applyProtection="1">
      <alignment horizontal="right" indent="1"/>
      <protection locked="0"/>
    </xf>
    <xf numFmtId="0" fontId="0" fillId="0" borderId="12" xfId="0" applyBorder="1" applyAlignment="1" applyProtection="1">
      <alignment horizontal="right" indent="1"/>
      <protection locked="0"/>
    </xf>
    <xf numFmtId="0" fontId="15" fillId="15" borderId="52" xfId="0" applyFont="1" applyFill="1" applyBorder="1" applyAlignment="1">
      <alignment horizontal="center" vertical="center"/>
    </xf>
    <xf numFmtId="0" fontId="15" fillId="15" borderId="73" xfId="0" applyFont="1" applyFill="1" applyBorder="1" applyAlignment="1">
      <alignment horizontal="center" vertical="center"/>
    </xf>
    <xf numFmtId="37" fontId="4" fillId="16" borderId="51" xfId="0" applyNumberFormat="1" applyFont="1" applyFill="1" applyBorder="1" applyAlignment="1" applyProtection="1">
      <alignment horizontal="right" indent="1"/>
      <protection locked="0"/>
    </xf>
    <xf numFmtId="0" fontId="0" fillId="0" borderId="51" xfId="0" applyBorder="1" applyAlignment="1" applyProtection="1">
      <alignment horizontal="right" indent="1"/>
      <protection locked="0"/>
    </xf>
    <xf numFmtId="0" fontId="213" fillId="23" borderId="0" xfId="0" applyFont="1" applyFill="1" applyAlignment="1">
      <alignment horizontal="center"/>
    </xf>
    <xf numFmtId="0" fontId="0" fillId="15" borderId="11" xfId="0" applyFill="1" applyBorder="1" applyAlignment="1">
      <alignment horizontal="center"/>
    </xf>
    <xf numFmtId="0" fontId="10" fillId="14" borderId="101" xfId="0" applyFont="1" applyFill="1" applyBorder="1" applyAlignment="1">
      <alignment horizontal="center" vertical="center"/>
    </xf>
    <xf numFmtId="0" fontId="10" fillId="14" borderId="1" xfId="0" applyFont="1" applyFill="1" applyBorder="1" applyAlignment="1">
      <alignment horizontal="center" vertical="center"/>
    </xf>
    <xf numFmtId="0" fontId="47" fillId="3" borderId="0" xfId="0" applyFont="1" applyFill="1"/>
    <xf numFmtId="0" fontId="47" fillId="14" borderId="0" xfId="0" applyFont="1" applyFill="1" applyAlignment="1">
      <alignment horizontal="right"/>
    </xf>
    <xf numFmtId="0" fontId="47" fillId="14" borderId="0" xfId="0" applyFont="1" applyFill="1" applyAlignment="1">
      <alignment horizontal="right" vertical="center"/>
    </xf>
    <xf numFmtId="37" fontId="9" fillId="20" borderId="39" xfId="0" applyNumberFormat="1" applyFont="1" applyFill="1" applyBorder="1" applyAlignment="1" applyProtection="1">
      <alignment horizontal="right"/>
      <protection locked="0"/>
    </xf>
    <xf numFmtId="37" fontId="4" fillId="0" borderId="25" xfId="0" applyNumberFormat="1" applyFont="1" applyBorder="1" applyAlignment="1" applyProtection="1">
      <alignment horizontal="right"/>
      <protection locked="0"/>
    </xf>
    <xf numFmtId="37" fontId="4" fillId="0" borderId="54" xfId="0" applyNumberFormat="1" applyFont="1" applyBorder="1" applyAlignment="1" applyProtection="1">
      <alignment horizontal="right"/>
      <protection locked="0"/>
    </xf>
    <xf numFmtId="37" fontId="9" fillId="26" borderId="1" xfId="0" applyNumberFormat="1" applyFont="1" applyFill="1" applyBorder="1" applyAlignment="1">
      <alignment horizontal="right"/>
    </xf>
    <xf numFmtId="37" fontId="9" fillId="26" borderId="11" xfId="0" applyNumberFormat="1" applyFont="1" applyFill="1" applyBorder="1" applyAlignment="1">
      <alignment horizontal="right"/>
    </xf>
    <xf numFmtId="0" fontId="47" fillId="14" borderId="0" xfId="0" applyFont="1" applyFill="1"/>
    <xf numFmtId="0" fontId="47" fillId="15" borderId="0" xfId="0" applyFont="1" applyFill="1"/>
    <xf numFmtId="0" fontId="4" fillId="3" borderId="3" xfId="0" applyFont="1" applyFill="1" applyBorder="1" applyAlignment="1">
      <alignment horizontal="right" indent="1"/>
    </xf>
    <xf numFmtId="0" fontId="6" fillId="0" borderId="0" xfId="0" applyFont="1" applyAlignment="1">
      <alignment horizontal="right" indent="1"/>
    </xf>
    <xf numFmtId="0" fontId="4" fillId="3" borderId="30" xfId="0" applyFont="1" applyFill="1" applyBorder="1" applyAlignment="1">
      <alignment horizontal="right" indent="1"/>
    </xf>
    <xf numFmtId="0" fontId="6" fillId="0" borderId="8" xfId="0" applyFont="1" applyBorder="1" applyAlignment="1">
      <alignment horizontal="right" indent="1"/>
    </xf>
    <xf numFmtId="37" fontId="8" fillId="28" borderId="1" xfId="0" applyNumberFormat="1" applyFont="1" applyFill="1" applyBorder="1" applyAlignment="1">
      <alignment horizontal="right"/>
    </xf>
    <xf numFmtId="0" fontId="75" fillId="9" borderId="34" xfId="0" applyFont="1" applyFill="1" applyBorder="1" applyAlignment="1">
      <alignment horizontal="center" vertical="center"/>
    </xf>
    <xf numFmtId="0" fontId="75" fillId="9" borderId="27" xfId="0" applyFont="1" applyFill="1" applyBorder="1" applyAlignment="1">
      <alignment horizontal="center"/>
    </xf>
    <xf numFmtId="0" fontId="14" fillId="0" borderId="27" xfId="0" applyFont="1" applyBorder="1" applyAlignment="1">
      <alignment horizontal="center"/>
    </xf>
    <xf numFmtId="0" fontId="75" fillId="9" borderId="25" xfId="0" applyFont="1" applyFill="1" applyBorder="1" applyAlignment="1">
      <alignment horizontal="center"/>
    </xf>
    <xf numFmtId="0" fontId="14" fillId="0" borderId="25" xfId="0" applyFont="1" applyBorder="1" applyAlignment="1">
      <alignment horizontal="center"/>
    </xf>
    <xf numFmtId="0" fontId="9" fillId="3" borderId="30" xfId="0" applyFont="1" applyFill="1" applyBorder="1" applyAlignment="1">
      <alignment horizontal="center"/>
    </xf>
    <xf numFmtId="0" fontId="0" fillId="0" borderId="8" xfId="0" applyBorder="1" applyAlignment="1">
      <alignment horizontal="center"/>
    </xf>
    <xf numFmtId="49" fontId="11" fillId="20" borderId="6" xfId="0" applyNumberFormat="1" applyFont="1" applyFill="1" applyBorder="1" applyAlignment="1" applyProtection="1">
      <alignment horizontal="center" vertical="center"/>
      <protection locked="0"/>
    </xf>
    <xf numFmtId="0" fontId="14" fillId="0" borderId="175" xfId="0" applyFont="1" applyBorder="1" applyAlignment="1" applyProtection="1">
      <alignment horizontal="center" vertical="center"/>
      <protection locked="0"/>
    </xf>
    <xf numFmtId="0" fontId="0" fillId="0" borderId="14" xfId="0" applyBorder="1" applyAlignment="1">
      <alignment horizontal="center"/>
    </xf>
    <xf numFmtId="37" fontId="0" fillId="0" borderId="11" xfId="0" applyNumberFormat="1" applyBorder="1" applyAlignment="1" applyProtection="1">
      <alignment horizontal="right"/>
      <protection locked="0"/>
    </xf>
    <xf numFmtId="39" fontId="15" fillId="3" borderId="9" xfId="0" applyNumberFormat="1" applyFont="1" applyFill="1" applyBorder="1" applyAlignment="1">
      <alignment horizontal="center"/>
    </xf>
    <xf numFmtId="39" fontId="15" fillId="3" borderId="11" xfId="0" applyNumberFormat="1" applyFont="1" applyFill="1" applyBorder="1" applyAlignment="1">
      <alignment horizontal="center"/>
    </xf>
    <xf numFmtId="39" fontId="4" fillId="3" borderId="9" xfId="0" applyNumberFormat="1" applyFont="1" applyFill="1" applyBorder="1" applyAlignment="1">
      <alignment horizontal="center"/>
    </xf>
    <xf numFmtId="39" fontId="4" fillId="3" borderId="11" xfId="0" applyNumberFormat="1" applyFont="1" applyFill="1" applyBorder="1" applyAlignment="1">
      <alignment horizontal="center"/>
    </xf>
    <xf numFmtId="0" fontId="12" fillId="20" borderId="201" xfId="0" applyFont="1" applyFill="1" applyBorder="1" applyAlignment="1" applyProtection="1">
      <alignment horizontal="left"/>
      <protection locked="0"/>
    </xf>
    <xf numFmtId="0" fontId="12" fillId="0" borderId="201" xfId="0" applyFont="1" applyBorder="1" applyAlignment="1" applyProtection="1">
      <alignment horizontal="left"/>
      <protection locked="0"/>
    </xf>
    <xf numFmtId="0" fontId="12" fillId="0" borderId="202" xfId="0" applyFont="1" applyBorder="1" applyAlignment="1" applyProtection="1">
      <alignment horizontal="left"/>
      <protection locked="0"/>
    </xf>
    <xf numFmtId="0" fontId="4" fillId="3" borderId="69" xfId="0" applyFont="1" applyFill="1" applyBorder="1" applyAlignment="1">
      <alignment horizontal="right" indent="1"/>
    </xf>
    <xf numFmtId="0" fontId="6" fillId="0" borderId="4" xfId="0" applyFont="1" applyBorder="1" applyAlignment="1">
      <alignment horizontal="right" indent="1"/>
    </xf>
    <xf numFmtId="0" fontId="9" fillId="14" borderId="30" xfId="0" applyFont="1" applyFill="1" applyBorder="1" applyAlignment="1">
      <alignment horizontal="center"/>
    </xf>
    <xf numFmtId="1" fontId="4" fillId="15" borderId="0" xfId="0" applyNumberFormat="1" applyFont="1" applyFill="1" applyAlignment="1">
      <alignment horizontal="center" wrapText="1"/>
    </xf>
    <xf numFmtId="0" fontId="85" fillId="3" borderId="0" xfId="0" applyFont="1" applyFill="1" applyAlignment="1">
      <alignment horizontal="center" vertical="center"/>
    </xf>
    <xf numFmtId="0" fontId="104" fillId="3" borderId="212" xfId="0" applyFont="1" applyFill="1" applyBorder="1" applyAlignment="1">
      <alignment horizontal="center" vertical="center"/>
    </xf>
    <xf numFmtId="0" fontId="133" fillId="0" borderId="8" xfId="0" applyFont="1" applyBorder="1"/>
    <xf numFmtId="0" fontId="10" fillId="3" borderId="100" xfId="0" applyFont="1" applyFill="1" applyBorder="1" applyAlignment="1">
      <alignment horizontal="left" vertical="center" wrapText="1" indent="1"/>
    </xf>
    <xf numFmtId="0" fontId="0" fillId="0" borderId="0" xfId="0" applyAlignment="1">
      <alignment horizontal="left" wrapText="1" indent="1"/>
    </xf>
    <xf numFmtId="0" fontId="0" fillId="0" borderId="100" xfId="0" applyBorder="1" applyAlignment="1">
      <alignment horizontal="left" wrapText="1" indent="1"/>
    </xf>
    <xf numFmtId="0" fontId="0" fillId="0" borderId="72" xfId="0" applyBorder="1" applyAlignment="1">
      <alignment horizontal="left" wrapText="1" indent="1"/>
    </xf>
    <xf numFmtId="0" fontId="0" fillId="0" borderId="13" xfId="0" applyBorder="1" applyAlignment="1">
      <alignment horizontal="left" wrapText="1" indent="1"/>
    </xf>
    <xf numFmtId="0" fontId="4" fillId="20" borderId="1" xfId="0" applyFont="1" applyFill="1" applyBorder="1" applyAlignment="1" applyProtection="1">
      <alignment horizontal="center"/>
      <protection locked="0"/>
    </xf>
    <xf numFmtId="0" fontId="0" fillId="0" borderId="1" xfId="0" applyBorder="1" applyAlignment="1" applyProtection="1">
      <alignment horizontal="center"/>
      <protection locked="0"/>
    </xf>
    <xf numFmtId="0" fontId="0" fillId="0" borderId="0" xfId="0" applyAlignment="1" applyProtection="1">
      <alignment horizontal="center"/>
      <protection locked="0"/>
    </xf>
    <xf numFmtId="0" fontId="0" fillId="0" borderId="11" xfId="0" applyBorder="1" applyAlignment="1" applyProtection="1">
      <alignment horizontal="center"/>
      <protection locked="0"/>
    </xf>
    <xf numFmtId="166" fontId="4" fillId="26" borderId="9" xfId="0" applyNumberFormat="1" applyFont="1" applyFill="1" applyBorder="1" applyAlignment="1">
      <alignment horizontal="center" vertical="center"/>
    </xf>
    <xf numFmtId="166" fontId="6" fillId="27" borderId="1" xfId="0" applyNumberFormat="1" applyFont="1" applyFill="1" applyBorder="1" applyAlignment="1">
      <alignment horizontal="center" vertical="center"/>
    </xf>
    <xf numFmtId="0" fontId="0" fillId="27" borderId="1" xfId="0" applyFill="1" applyBorder="1" applyAlignment="1">
      <alignment horizontal="center" vertical="center"/>
    </xf>
    <xf numFmtId="0" fontId="15" fillId="3" borderId="0" xfId="0" applyFont="1" applyFill="1" applyAlignment="1">
      <alignment horizontal="left" vertical="center" wrapText="1"/>
    </xf>
    <xf numFmtId="0" fontId="47" fillId="0" borderId="75" xfId="0" applyFont="1" applyBorder="1" applyAlignment="1">
      <alignment horizontal="left" vertical="center"/>
    </xf>
    <xf numFmtId="0" fontId="47" fillId="0" borderId="0" xfId="0" applyFont="1" applyAlignment="1">
      <alignment horizontal="left" vertical="center"/>
    </xf>
    <xf numFmtId="0" fontId="14" fillId="0" borderId="10" xfId="0" applyFont="1" applyBorder="1" applyAlignment="1" applyProtection="1">
      <alignment vertical="center"/>
      <protection locked="0"/>
    </xf>
    <xf numFmtId="0" fontId="11" fillId="16" borderId="209" xfId="0" applyFont="1" applyFill="1" applyBorder="1" applyAlignment="1" applyProtection="1">
      <alignment horizontal="center" vertical="center"/>
      <protection locked="0"/>
    </xf>
    <xf numFmtId="0" fontId="11" fillId="16" borderId="210" xfId="0" applyFont="1" applyFill="1" applyBorder="1" applyAlignment="1" applyProtection="1">
      <alignment horizontal="center" vertical="center"/>
      <protection locked="0"/>
    </xf>
    <xf numFmtId="0" fontId="4" fillId="20" borderId="0" xfId="0" applyFont="1" applyFill="1" applyAlignment="1" applyProtection="1">
      <alignment horizontal="left"/>
      <protection locked="0"/>
    </xf>
    <xf numFmtId="0" fontId="4" fillId="20" borderId="75" xfId="0" applyFont="1" applyFill="1" applyBorder="1" applyAlignment="1" applyProtection="1">
      <alignment horizontal="left"/>
      <protection locked="0"/>
    </xf>
    <xf numFmtId="0" fontId="4" fillId="20" borderId="96" xfId="0" applyFont="1" applyFill="1" applyBorder="1" applyAlignment="1" applyProtection="1">
      <alignment horizontal="left"/>
      <protection locked="0"/>
    </xf>
    <xf numFmtId="0" fontId="16" fillId="3" borderId="0" xfId="0" applyFont="1" applyFill="1" applyAlignment="1">
      <alignment horizontal="left" wrapText="1"/>
    </xf>
    <xf numFmtId="0" fontId="16" fillId="3" borderId="75" xfId="0" applyFont="1" applyFill="1" applyBorder="1" applyAlignment="1">
      <alignment horizontal="left" wrapText="1"/>
    </xf>
    <xf numFmtId="0" fontId="16" fillId="3" borderId="13" xfId="0" applyFont="1" applyFill="1" applyBorder="1" applyAlignment="1">
      <alignment horizontal="left" wrapText="1"/>
    </xf>
    <xf numFmtId="0" fontId="16" fillId="3" borderId="33" xfId="0" applyFont="1" applyFill="1" applyBorder="1" applyAlignment="1">
      <alignment horizontal="left" wrapText="1"/>
    </xf>
    <xf numFmtId="3" fontId="8" fillId="3" borderId="0" xfId="0" applyNumberFormat="1" applyFont="1" applyFill="1" applyAlignment="1">
      <alignment horizontal="center"/>
    </xf>
    <xf numFmtId="0" fontId="4" fillId="3" borderId="15" xfId="0" applyFont="1" applyFill="1" applyBorder="1" applyAlignment="1">
      <alignment horizontal="center"/>
    </xf>
    <xf numFmtId="0" fontId="6" fillId="0" borderId="6" xfId="0" applyFont="1" applyBorder="1" applyAlignment="1">
      <alignment horizontal="center"/>
    </xf>
    <xf numFmtId="49" fontId="11" fillId="20" borderId="3" xfId="0" applyNumberFormat="1" applyFont="1" applyFill="1" applyBorder="1" applyAlignment="1" applyProtection="1">
      <alignment horizontal="center" vertical="center"/>
      <protection locked="0"/>
    </xf>
    <xf numFmtId="0" fontId="14" fillId="0" borderId="35" xfId="0" applyFont="1" applyBorder="1" applyAlignment="1" applyProtection="1">
      <alignment horizontal="center" vertical="center"/>
      <protection locked="0"/>
    </xf>
    <xf numFmtId="49" fontId="4" fillId="14" borderId="100" xfId="0" applyNumberFormat="1" applyFont="1" applyFill="1" applyBorder="1" applyAlignment="1">
      <alignment horizontal="center" vertical="center"/>
    </xf>
    <xf numFmtId="0" fontId="0" fillId="15" borderId="101" xfId="0" applyFill="1" applyBorder="1" applyAlignment="1">
      <alignment horizontal="center" vertical="center"/>
    </xf>
    <xf numFmtId="49" fontId="11" fillId="20" borderId="103" xfId="0" applyNumberFormat="1" applyFont="1" applyFill="1" applyBorder="1" applyAlignment="1" applyProtection="1">
      <alignment horizontal="center" vertical="center"/>
      <protection locked="0"/>
    </xf>
    <xf numFmtId="0" fontId="14" fillId="0" borderId="18" xfId="0" applyFont="1" applyBorder="1" applyAlignment="1" applyProtection="1">
      <alignment horizontal="center" vertical="center"/>
      <protection locked="0"/>
    </xf>
    <xf numFmtId="49" fontId="11" fillId="20" borderId="104" xfId="0" applyNumberFormat="1" applyFont="1" applyFill="1" applyBorder="1" applyAlignment="1" applyProtection="1">
      <alignment horizontal="center" vertical="center"/>
      <protection locked="0"/>
    </xf>
    <xf numFmtId="0" fontId="14" fillId="0" borderId="105" xfId="0" applyFont="1" applyBorder="1" applyAlignment="1" applyProtection="1">
      <alignment horizontal="center" vertical="center"/>
      <protection locked="0"/>
    </xf>
    <xf numFmtId="37" fontId="9" fillId="20" borderId="9" xfId="0" applyNumberFormat="1" applyFont="1" applyFill="1" applyBorder="1" applyAlignment="1" applyProtection="1">
      <alignment horizontal="center"/>
      <protection locked="0"/>
    </xf>
    <xf numFmtId="37" fontId="9" fillId="20" borderId="1" xfId="0" applyNumberFormat="1" applyFont="1" applyFill="1" applyBorder="1" applyAlignment="1" applyProtection="1">
      <alignment horizontal="center"/>
      <protection locked="0"/>
    </xf>
    <xf numFmtId="37" fontId="9" fillId="20" borderId="11" xfId="0" applyNumberFormat="1" applyFont="1" applyFill="1" applyBorder="1" applyAlignment="1" applyProtection="1">
      <alignment horizontal="center"/>
      <protection locked="0"/>
    </xf>
    <xf numFmtId="39" fontId="6" fillId="14" borderId="0" xfId="0" applyNumberFormat="1" applyFont="1" applyFill="1" applyAlignment="1">
      <alignment horizontal="left"/>
    </xf>
    <xf numFmtId="0" fontId="6" fillId="0" borderId="0" xfId="0" applyFont="1" applyAlignment="1">
      <alignment horizontal="left"/>
    </xf>
    <xf numFmtId="0" fontId="6" fillId="0" borderId="24" xfId="0" applyFont="1" applyBorder="1" applyAlignment="1">
      <alignment horizontal="left"/>
    </xf>
    <xf numFmtId="37" fontId="9" fillId="20" borderId="30" xfId="0" applyNumberFormat="1" applyFont="1" applyFill="1" applyBorder="1" applyAlignment="1" applyProtection="1">
      <alignment horizontal="right"/>
      <protection locked="0"/>
    </xf>
    <xf numFmtId="37" fontId="9" fillId="20" borderId="8" xfId="0" applyNumberFormat="1" applyFont="1" applyFill="1" applyBorder="1" applyAlignment="1" applyProtection="1">
      <alignment horizontal="right"/>
      <protection locked="0"/>
    </xf>
    <xf numFmtId="0" fontId="8" fillId="3" borderId="0" xfId="0" applyFont="1" applyFill="1"/>
    <xf numFmtId="0" fontId="134" fillId="3" borderId="30" xfId="0" applyFont="1" applyFill="1" applyBorder="1"/>
    <xf numFmtId="0" fontId="110" fillId="0" borderId="8" xfId="0" applyFont="1" applyBorder="1"/>
    <xf numFmtId="0" fontId="49" fillId="9" borderId="34" xfId="0" applyFont="1" applyFill="1" applyBorder="1" applyAlignment="1">
      <alignment horizontal="center"/>
    </xf>
    <xf numFmtId="0" fontId="47" fillId="0" borderId="34" xfId="0" applyFont="1" applyBorder="1" applyAlignment="1">
      <alignment horizontal="center"/>
    </xf>
    <xf numFmtId="37" fontId="9" fillId="20" borderId="52" xfId="0" applyNumberFormat="1" applyFont="1" applyFill="1" applyBorder="1" applyAlignment="1" applyProtection="1">
      <alignment horizontal="right"/>
      <protection locked="0"/>
    </xf>
    <xf numFmtId="37" fontId="9" fillId="20" borderId="31" xfId="0" applyNumberFormat="1" applyFont="1" applyFill="1" applyBorder="1" applyAlignment="1" applyProtection="1">
      <alignment horizontal="right"/>
      <protection locked="0"/>
    </xf>
    <xf numFmtId="37" fontId="0" fillId="0" borderId="31" xfId="0" applyNumberFormat="1" applyBorder="1" applyAlignment="1" applyProtection="1">
      <alignment horizontal="right"/>
      <protection locked="0"/>
    </xf>
    <xf numFmtId="37" fontId="9" fillId="26" borderId="47" xfId="0" applyNumberFormat="1" applyFont="1" applyFill="1" applyBorder="1" applyAlignment="1">
      <alignment horizontal="right"/>
    </xf>
    <xf numFmtId="37" fontId="9" fillId="26" borderId="27" xfId="0" applyNumberFormat="1" applyFont="1" applyFill="1" applyBorder="1" applyAlignment="1">
      <alignment horizontal="right"/>
    </xf>
    <xf numFmtId="37" fontId="0" fillId="27" borderId="27" xfId="0" applyNumberFormat="1" applyFill="1" applyBorder="1" applyAlignment="1">
      <alignment horizontal="right"/>
    </xf>
    <xf numFmtId="0" fontId="47" fillId="3" borderId="0" xfId="0" applyFont="1" applyFill="1" applyAlignment="1">
      <alignment horizontal="right"/>
    </xf>
    <xf numFmtId="0" fontId="6" fillId="3" borderId="0" xfId="0" applyFont="1" applyFill="1"/>
    <xf numFmtId="0" fontId="6" fillId="0" borderId="0" xfId="0" applyFont="1"/>
    <xf numFmtId="37" fontId="9" fillId="26" borderId="3" xfId="0" applyNumberFormat="1" applyFont="1" applyFill="1" applyBorder="1" applyAlignment="1">
      <alignment horizontal="right"/>
    </xf>
    <xf numFmtId="37" fontId="9" fillId="26" borderId="0" xfId="0" applyNumberFormat="1" applyFont="1" applyFill="1" applyAlignment="1">
      <alignment horizontal="right"/>
    </xf>
    <xf numFmtId="37" fontId="0" fillId="27" borderId="0" xfId="0" applyNumberFormat="1" applyFill="1" applyAlignment="1">
      <alignment horizontal="right"/>
    </xf>
    <xf numFmtId="0" fontId="0" fillId="0" borderId="11" xfId="0" applyBorder="1" applyAlignment="1" applyProtection="1">
      <alignment horizontal="right"/>
      <protection locked="0"/>
    </xf>
    <xf numFmtId="0" fontId="12" fillId="20" borderId="87" xfId="0" applyFont="1" applyFill="1" applyBorder="1" applyAlignment="1" applyProtection="1">
      <alignment horizontal="left"/>
      <protection locked="0"/>
    </xf>
    <xf numFmtId="0" fontId="12" fillId="0" borderId="87" xfId="0" applyFont="1" applyBorder="1" applyAlignment="1" applyProtection="1">
      <alignment horizontal="left"/>
      <protection locked="0"/>
    </xf>
    <xf numFmtId="0" fontId="12" fillId="0" borderId="91" xfId="0" applyFont="1" applyBorder="1" applyAlignment="1" applyProtection="1">
      <alignment horizontal="left"/>
      <protection locked="0"/>
    </xf>
    <xf numFmtId="0" fontId="15" fillId="3" borderId="20" xfId="0" applyFont="1" applyFill="1" applyBorder="1" applyAlignment="1" applyProtection="1">
      <alignment horizontal="left" vertical="center" wrapText="1"/>
      <protection hidden="1"/>
    </xf>
    <xf numFmtId="0" fontId="15" fillId="3" borderId="102" xfId="0" applyFont="1" applyFill="1" applyBorder="1" applyAlignment="1" applyProtection="1">
      <alignment horizontal="left" vertical="center" wrapText="1"/>
      <protection hidden="1"/>
    </xf>
    <xf numFmtId="0" fontId="47" fillId="0" borderId="102" xfId="0" applyFont="1" applyBorder="1" applyAlignment="1">
      <alignment horizontal="left" vertical="center"/>
    </xf>
    <xf numFmtId="0" fontId="47" fillId="0" borderId="20" xfId="0" applyFont="1" applyBorder="1" applyAlignment="1">
      <alignment horizontal="left" vertical="center"/>
    </xf>
    <xf numFmtId="0" fontId="104" fillId="3" borderId="80" xfId="0" applyFont="1" applyFill="1" applyBorder="1" applyAlignment="1" applyProtection="1">
      <alignment horizontal="center" vertical="center"/>
      <protection hidden="1"/>
    </xf>
    <xf numFmtId="0" fontId="10" fillId="3" borderId="5" xfId="0" applyFont="1" applyFill="1" applyBorder="1" applyAlignment="1" applyProtection="1">
      <alignment horizontal="left" vertical="center" wrapText="1" indent="1"/>
      <protection hidden="1"/>
    </xf>
    <xf numFmtId="0" fontId="0" fillId="0" borderId="5" xfId="0" applyBorder="1" applyAlignment="1">
      <alignment horizontal="left" wrapText="1" indent="1"/>
    </xf>
    <xf numFmtId="0" fontId="0" fillId="0" borderId="26" xfId="0" applyBorder="1" applyAlignment="1">
      <alignment horizontal="left" wrapText="1" indent="1"/>
    </xf>
    <xf numFmtId="0" fontId="0" fillId="0" borderId="1" xfId="0" applyBorder="1" applyAlignment="1">
      <alignment horizontal="left" wrapText="1" indent="1"/>
    </xf>
    <xf numFmtId="0" fontId="16" fillId="3" borderId="20" xfId="0" applyFont="1" applyFill="1" applyBorder="1" applyAlignment="1" applyProtection="1">
      <alignment wrapText="1"/>
      <protection hidden="1"/>
    </xf>
    <xf numFmtId="0" fontId="16" fillId="3" borderId="102" xfId="0" applyFont="1" applyFill="1" applyBorder="1" applyAlignment="1" applyProtection="1">
      <alignment wrapText="1"/>
      <protection hidden="1"/>
    </xf>
    <xf numFmtId="0" fontId="0" fillId="0" borderId="102" xfId="0" applyBorder="1" applyAlignment="1">
      <alignment wrapText="1"/>
    </xf>
    <xf numFmtId="0" fontId="0" fillId="0" borderId="29" xfId="0" applyBorder="1" applyAlignment="1">
      <alignment wrapText="1"/>
    </xf>
    <xf numFmtId="0" fontId="0" fillId="0" borderId="174" xfId="0" applyBorder="1" applyAlignment="1">
      <alignment wrapText="1"/>
    </xf>
    <xf numFmtId="0" fontId="4" fillId="26" borderId="1" xfId="0" applyFont="1" applyFill="1" applyBorder="1" applyAlignment="1" applyProtection="1">
      <alignment horizontal="left"/>
      <protection hidden="1"/>
    </xf>
    <xf numFmtId="0" fontId="0" fillId="27" borderId="1" xfId="0" applyFill="1" applyBorder="1" applyAlignment="1" applyProtection="1">
      <alignment horizontal="left"/>
      <protection hidden="1"/>
    </xf>
    <xf numFmtId="0" fontId="0" fillId="27" borderId="11" xfId="0" applyFill="1" applyBorder="1" applyAlignment="1" applyProtection="1">
      <alignment horizontal="left"/>
      <protection hidden="1"/>
    </xf>
    <xf numFmtId="166" fontId="4" fillId="26" borderId="9" xfId="0" applyNumberFormat="1" applyFont="1" applyFill="1" applyBorder="1" applyAlignment="1" applyProtection="1">
      <alignment horizontal="center" vertical="center"/>
      <protection hidden="1"/>
    </xf>
    <xf numFmtId="166" fontId="6" fillId="27" borderId="1" xfId="0" applyNumberFormat="1" applyFont="1" applyFill="1" applyBorder="1" applyAlignment="1" applyProtection="1">
      <alignment horizontal="center" vertical="center"/>
      <protection hidden="1"/>
    </xf>
    <xf numFmtId="0" fontId="0" fillId="27" borderId="1" xfId="0" applyFill="1" applyBorder="1" applyAlignment="1" applyProtection="1">
      <alignment horizontal="center" vertical="center"/>
      <protection hidden="1"/>
    </xf>
    <xf numFmtId="0" fontId="16" fillId="3" borderId="0" xfId="0" applyFont="1" applyFill="1" applyAlignment="1" applyProtection="1">
      <alignment horizontal="left" wrapText="1"/>
      <protection hidden="1"/>
    </xf>
    <xf numFmtId="0" fontId="16" fillId="3" borderId="20" xfId="0" applyFont="1" applyFill="1" applyBorder="1" applyAlignment="1" applyProtection="1">
      <alignment horizontal="left" wrapText="1"/>
      <protection hidden="1"/>
    </xf>
    <xf numFmtId="0" fontId="12" fillId="15" borderId="5" xfId="0" applyFont="1" applyFill="1" applyBorder="1" applyAlignment="1">
      <alignment horizontal="center" vertical="center"/>
    </xf>
    <xf numFmtId="0" fontId="12" fillId="15" borderId="0" xfId="0" applyFont="1" applyFill="1" applyAlignment="1">
      <alignment horizontal="center" vertical="center"/>
    </xf>
    <xf numFmtId="0" fontId="12" fillId="15" borderId="20" xfId="0" applyFont="1" applyFill="1" applyBorder="1" applyAlignment="1">
      <alignment horizontal="center" vertical="center"/>
    </xf>
    <xf numFmtId="0" fontId="20" fillId="3" borderId="5" xfId="0" applyFont="1" applyFill="1" applyBorder="1" applyAlignment="1" applyProtection="1">
      <alignment horizontal="center" vertical="top"/>
      <protection hidden="1"/>
    </xf>
    <xf numFmtId="0" fontId="20" fillId="3" borderId="0" xfId="0" applyFont="1" applyFill="1" applyAlignment="1" applyProtection="1">
      <alignment horizontal="center" vertical="top"/>
      <protection hidden="1"/>
    </xf>
    <xf numFmtId="0" fontId="20" fillId="3" borderId="20" xfId="0" applyFont="1" applyFill="1" applyBorder="1" applyAlignment="1" applyProtection="1">
      <alignment horizontal="center" vertical="top"/>
      <protection hidden="1"/>
    </xf>
    <xf numFmtId="0" fontId="12" fillId="15" borderId="5" xfId="0" applyFont="1" applyFill="1" applyBorder="1" applyAlignment="1">
      <alignment horizontal="center"/>
    </xf>
    <xf numFmtId="0" fontId="12" fillId="15" borderId="0" xfId="0" applyFont="1" applyFill="1" applyAlignment="1">
      <alignment horizontal="center"/>
    </xf>
    <xf numFmtId="0" fontId="12" fillId="15" borderId="20" xfId="0" applyFont="1" applyFill="1" applyBorder="1" applyAlignment="1">
      <alignment horizontal="center"/>
    </xf>
    <xf numFmtId="0" fontId="51" fillId="9" borderId="34" xfId="0" applyFont="1" applyFill="1" applyBorder="1" applyAlignment="1" applyProtection="1">
      <alignment horizontal="center" vertical="center"/>
      <protection hidden="1"/>
    </xf>
    <xf numFmtId="0" fontId="6" fillId="0" borderId="34" xfId="0" applyFont="1" applyBorder="1" applyAlignment="1">
      <alignment horizontal="center" vertical="center"/>
    </xf>
    <xf numFmtId="0" fontId="116" fillId="3" borderId="8" xfId="0" applyFont="1" applyFill="1" applyBorder="1" applyAlignment="1" applyProtection="1">
      <alignment horizontal="center"/>
      <protection hidden="1"/>
    </xf>
    <xf numFmtId="37" fontId="9" fillId="26" borderId="9" xfId="0" applyNumberFormat="1" applyFont="1" applyFill="1" applyBorder="1" applyAlignment="1" applyProtection="1">
      <alignment horizontal="right"/>
      <protection hidden="1"/>
    </xf>
    <xf numFmtId="37" fontId="8" fillId="26" borderId="1" xfId="0" applyNumberFormat="1" applyFont="1" applyFill="1" applyBorder="1" applyAlignment="1" applyProtection="1">
      <alignment horizontal="right"/>
      <protection hidden="1"/>
    </xf>
    <xf numFmtId="37" fontId="0" fillId="27" borderId="1" xfId="0" applyNumberFormat="1" applyFill="1" applyBorder="1" applyAlignment="1" applyProtection="1">
      <alignment horizontal="right"/>
      <protection hidden="1"/>
    </xf>
    <xf numFmtId="0" fontId="51" fillId="9" borderId="34" xfId="0" applyFont="1" applyFill="1" applyBorder="1" applyAlignment="1" applyProtection="1">
      <alignment horizontal="center"/>
      <protection hidden="1"/>
    </xf>
    <xf numFmtId="0" fontId="6" fillId="0" borderId="34" xfId="0" applyFont="1" applyBorder="1" applyAlignment="1">
      <alignment horizontal="center"/>
    </xf>
    <xf numFmtId="5" fontId="8" fillId="3" borderId="0" xfId="0" applyNumberFormat="1" applyFont="1" applyFill="1" applyAlignment="1" applyProtection="1">
      <alignment horizontal="left"/>
      <protection hidden="1"/>
    </xf>
    <xf numFmtId="37" fontId="8" fillId="20" borderId="1" xfId="0" applyNumberFormat="1" applyFont="1" applyFill="1" applyBorder="1" applyAlignment="1" applyProtection="1">
      <alignment horizontal="right"/>
      <protection locked="0"/>
    </xf>
    <xf numFmtId="0" fontId="49" fillId="9" borderId="34" xfId="0" applyFont="1" applyFill="1" applyBorder="1" applyAlignment="1" applyProtection="1">
      <alignment horizontal="center" vertical="center"/>
      <protection hidden="1"/>
    </xf>
    <xf numFmtId="0" fontId="47" fillId="0" borderId="34" xfId="0" applyFont="1" applyBorder="1" applyAlignment="1">
      <alignment horizontal="center" vertical="center"/>
    </xf>
    <xf numFmtId="0" fontId="112" fillId="3" borderId="0" xfId="0" applyFont="1" applyFill="1" applyAlignment="1" applyProtection="1">
      <alignment horizontal="center"/>
      <protection hidden="1"/>
    </xf>
    <xf numFmtId="39" fontId="9" fillId="3" borderId="0" xfId="0" applyNumberFormat="1" applyFont="1" applyFill="1" applyAlignment="1" applyProtection="1">
      <alignment horizontal="center"/>
      <protection hidden="1"/>
    </xf>
    <xf numFmtId="0" fontId="4" fillId="0" borderId="0" xfId="0" applyFont="1" applyAlignment="1">
      <alignment horizontal="center"/>
    </xf>
    <xf numFmtId="0" fontId="112" fillId="3" borderId="8" xfId="0" applyFont="1" applyFill="1" applyBorder="1" applyAlignment="1" applyProtection="1">
      <alignment horizontal="center"/>
      <protection hidden="1"/>
    </xf>
    <xf numFmtId="0" fontId="12" fillId="5" borderId="154" xfId="0" applyFont="1" applyFill="1" applyBorder="1" applyAlignment="1" applyProtection="1">
      <alignment horizontal="center"/>
      <protection hidden="1"/>
    </xf>
    <xf numFmtId="0" fontId="10" fillId="27" borderId="89" xfId="0" applyFont="1" applyFill="1" applyBorder="1" applyAlignment="1" applyProtection="1">
      <alignment horizontal="center"/>
      <protection hidden="1"/>
    </xf>
    <xf numFmtId="0" fontId="12" fillId="5" borderId="0" xfId="0" applyFont="1" applyFill="1" applyAlignment="1" applyProtection="1">
      <alignment horizontal="center"/>
      <protection hidden="1"/>
    </xf>
    <xf numFmtId="0" fontId="10" fillId="21" borderId="0" xfId="0" applyFont="1" applyFill="1" applyAlignment="1" applyProtection="1">
      <alignment horizontal="center"/>
      <protection hidden="1"/>
    </xf>
    <xf numFmtId="0" fontId="10" fillId="21" borderId="0" xfId="0" applyFont="1" applyFill="1" applyAlignment="1" applyProtection="1">
      <alignment horizontal="center" vertical="center"/>
      <protection locked="0"/>
    </xf>
    <xf numFmtId="37" fontId="10" fillId="21" borderId="0" xfId="0" applyNumberFormat="1" applyFont="1" applyFill="1" applyAlignment="1" applyProtection="1">
      <alignment horizontal="right" vertical="center"/>
      <protection locked="0"/>
    </xf>
    <xf numFmtId="37" fontId="10" fillId="37" borderId="0" xfId="0" applyNumberFormat="1" applyFont="1" applyFill="1" applyAlignment="1" applyProtection="1">
      <alignment horizontal="right" vertical="center"/>
      <protection locked="0"/>
    </xf>
    <xf numFmtId="0" fontId="219" fillId="5" borderId="0" xfId="0" applyFont="1" applyFill="1" applyAlignment="1" applyProtection="1">
      <alignment horizontal="center"/>
      <protection hidden="1"/>
    </xf>
    <xf numFmtId="37" fontId="9" fillId="26" borderId="1" xfId="0" applyNumberFormat="1" applyFont="1" applyFill="1" applyBorder="1" applyAlignment="1" applyProtection="1">
      <alignment horizontal="right"/>
      <protection hidden="1"/>
    </xf>
    <xf numFmtId="39" fontId="8" fillId="14" borderId="0" xfId="0" applyNumberFormat="1" applyFont="1" applyFill="1" applyAlignment="1" applyProtection="1">
      <alignment horizontal="center"/>
      <protection hidden="1"/>
    </xf>
    <xf numFmtId="39" fontId="8" fillId="14" borderId="0" xfId="0" applyNumberFormat="1" applyFont="1" applyFill="1" applyAlignment="1" applyProtection="1">
      <alignment horizontal="left" vertical="top"/>
      <protection hidden="1"/>
    </xf>
    <xf numFmtId="0" fontId="16" fillId="14" borderId="26" xfId="0" applyFont="1" applyFill="1" applyBorder="1" applyAlignment="1" applyProtection="1">
      <alignment horizontal="center"/>
      <protection hidden="1"/>
    </xf>
    <xf numFmtId="0" fontId="16" fillId="14" borderId="1" xfId="0" applyFont="1" applyFill="1" applyBorder="1" applyAlignment="1" applyProtection="1">
      <alignment horizontal="center"/>
      <protection hidden="1"/>
    </xf>
    <xf numFmtId="0" fontId="67" fillId="11" borderId="59" xfId="2" applyFill="1" applyBorder="1" applyAlignment="1" applyProtection="1">
      <alignment horizontal="center" vertical="center" wrapText="1"/>
    </xf>
    <xf numFmtId="0" fontId="67" fillId="11" borderId="74" xfId="2" applyFill="1" applyBorder="1" applyAlignment="1" applyProtection="1">
      <alignment horizontal="center" vertical="center" wrapText="1"/>
    </xf>
    <xf numFmtId="0" fontId="67" fillId="11" borderId="60" xfId="2" applyFill="1" applyBorder="1" applyAlignment="1" applyProtection="1">
      <alignment horizontal="center" vertical="center" wrapText="1"/>
    </xf>
    <xf numFmtId="0" fontId="67" fillId="11" borderId="59" xfId="2" applyFill="1" applyBorder="1" applyAlignment="1" applyProtection="1">
      <alignment horizontal="center" vertical="center"/>
    </xf>
    <xf numFmtId="0" fontId="67" fillId="11" borderId="74" xfId="2" applyFill="1" applyBorder="1" applyAlignment="1" applyProtection="1">
      <alignment horizontal="center" vertical="center"/>
    </xf>
    <xf numFmtId="0" fontId="67" fillId="11" borderId="60" xfId="2" applyFill="1" applyBorder="1" applyAlignment="1" applyProtection="1">
      <alignment horizontal="center" vertical="center"/>
    </xf>
    <xf numFmtId="37" fontId="122" fillId="14" borderId="30" xfId="0" applyNumberFormat="1" applyFont="1" applyFill="1" applyBorder="1" applyAlignment="1" applyProtection="1">
      <alignment horizontal="right"/>
      <protection hidden="1"/>
    </xf>
    <xf numFmtId="37" fontId="116" fillId="14" borderId="8" xfId="0" applyNumberFormat="1" applyFont="1" applyFill="1" applyBorder="1" applyAlignment="1" applyProtection="1">
      <alignment horizontal="right"/>
      <protection hidden="1"/>
    </xf>
    <xf numFmtId="0" fontId="110" fillId="15" borderId="8" xfId="0" applyFont="1" applyFill="1" applyBorder="1" applyAlignment="1" applyProtection="1">
      <alignment horizontal="right"/>
      <protection hidden="1"/>
    </xf>
    <xf numFmtId="0" fontId="110" fillId="15" borderId="14" xfId="0" applyFont="1" applyFill="1" applyBorder="1" applyAlignment="1" applyProtection="1">
      <alignment horizontal="right"/>
      <protection hidden="1"/>
    </xf>
    <xf numFmtId="37" fontId="112" fillId="3" borderId="30" xfId="0" applyNumberFormat="1" applyFont="1" applyFill="1" applyBorder="1" applyProtection="1">
      <protection hidden="1"/>
    </xf>
    <xf numFmtId="37" fontId="112" fillId="0" borderId="8" xfId="0" applyNumberFormat="1" applyFont="1" applyBorder="1"/>
    <xf numFmtId="37" fontId="9" fillId="26" borderId="69" xfId="0" applyNumberFormat="1" applyFont="1" applyFill="1" applyBorder="1" applyAlignment="1" applyProtection="1">
      <alignment horizontal="right"/>
      <protection hidden="1"/>
    </xf>
    <xf numFmtId="37" fontId="9" fillId="26" borderId="4" xfId="0" applyNumberFormat="1" applyFont="1" applyFill="1" applyBorder="1" applyAlignment="1" applyProtection="1">
      <alignment horizontal="right"/>
      <protection hidden="1"/>
    </xf>
    <xf numFmtId="37" fontId="0" fillId="27" borderId="4" xfId="0" applyNumberFormat="1" applyFill="1" applyBorder="1" applyAlignment="1" applyProtection="1">
      <alignment horizontal="right"/>
      <protection hidden="1"/>
    </xf>
    <xf numFmtId="0" fontId="287" fillId="5" borderId="0" xfId="0" applyFont="1" applyFill="1" applyAlignment="1">
      <alignment horizontal="center"/>
    </xf>
    <xf numFmtId="0" fontId="110" fillId="15" borderId="0" xfId="0" applyFont="1" applyFill="1" applyAlignment="1">
      <alignment horizontal="center"/>
    </xf>
    <xf numFmtId="0" fontId="110" fillId="15" borderId="5" xfId="0" applyFont="1" applyFill="1" applyBorder="1" applyAlignment="1">
      <alignment horizontal="center"/>
    </xf>
    <xf numFmtId="0" fontId="8" fillId="2" borderId="30" xfId="0" applyFont="1" applyFill="1" applyBorder="1" applyAlignment="1">
      <alignment vertical="center"/>
    </xf>
    <xf numFmtId="0" fontId="8" fillId="2" borderId="8" xfId="0" applyFont="1" applyFill="1" applyBorder="1" applyAlignment="1">
      <alignment vertical="center"/>
    </xf>
    <xf numFmtId="0" fontId="10" fillId="11" borderId="8" xfId="0" applyFont="1" applyFill="1" applyBorder="1" applyAlignment="1">
      <alignment horizontal="center" wrapText="1"/>
    </xf>
    <xf numFmtId="0" fontId="0" fillId="0" borderId="1" xfId="0" applyBorder="1" applyAlignment="1">
      <alignment horizontal="center" wrapText="1"/>
    </xf>
    <xf numFmtId="37" fontId="259" fillId="15" borderId="30" xfId="0" applyNumberFormat="1" applyFont="1" applyFill="1" applyBorder="1" applyAlignment="1">
      <alignment horizontal="right"/>
    </xf>
    <xf numFmtId="37" fontId="259" fillId="15" borderId="8" xfId="0" applyNumberFormat="1" applyFont="1" applyFill="1" applyBorder="1" applyAlignment="1">
      <alignment horizontal="right"/>
    </xf>
    <xf numFmtId="37" fontId="259" fillId="15" borderId="9" xfId="0" applyNumberFormat="1" applyFont="1" applyFill="1" applyBorder="1" applyAlignment="1">
      <alignment horizontal="right"/>
    </xf>
    <xf numFmtId="37" fontId="259" fillId="15" borderId="1" xfId="0" applyNumberFormat="1" applyFont="1" applyFill="1" applyBorder="1" applyAlignment="1">
      <alignment horizontal="right"/>
    </xf>
    <xf numFmtId="0" fontId="22" fillId="2" borderId="30" xfId="0" applyFont="1" applyFill="1" applyBorder="1"/>
    <xf numFmtId="0" fontId="22" fillId="2" borderId="8" xfId="0" applyFont="1" applyFill="1" applyBorder="1"/>
    <xf numFmtId="37" fontId="0" fillId="27" borderId="9" xfId="0" applyNumberFormat="1" applyFill="1" applyBorder="1" applyAlignment="1">
      <alignment horizontal="right" vertical="center"/>
    </xf>
    <xf numFmtId="37" fontId="0" fillId="27" borderId="1" xfId="0" applyNumberFormat="1" applyFill="1" applyBorder="1" applyAlignment="1">
      <alignment horizontal="right" vertical="center"/>
    </xf>
    <xf numFmtId="37" fontId="0" fillId="27" borderId="9" xfId="0" applyNumberFormat="1" applyFill="1" applyBorder="1" applyAlignment="1">
      <alignment vertical="center"/>
    </xf>
    <xf numFmtId="37" fontId="0" fillId="27" borderId="1" xfId="0" applyNumberFormat="1" applyFill="1" applyBorder="1" applyAlignment="1">
      <alignment vertical="center"/>
    </xf>
    <xf numFmtId="37" fontId="110" fillId="2" borderId="3" xfId="0" applyNumberFormat="1" applyFont="1" applyFill="1" applyBorder="1" applyAlignment="1">
      <alignment horizontal="right"/>
    </xf>
    <xf numFmtId="37" fontId="110" fillId="2" borderId="0" xfId="0" applyNumberFormat="1" applyFont="1" applyFill="1" applyAlignment="1">
      <alignment horizontal="right"/>
    </xf>
    <xf numFmtId="3" fontId="109" fillId="2" borderId="30" xfId="0" applyNumberFormat="1" applyFont="1" applyFill="1" applyBorder="1" applyAlignment="1">
      <alignment horizontal="center"/>
    </xf>
    <xf numFmtId="3" fontId="109" fillId="2" borderId="8" xfId="0" applyNumberFormat="1" applyFont="1" applyFill="1" applyBorder="1" applyAlignment="1">
      <alignment horizontal="center"/>
    </xf>
    <xf numFmtId="206" fontId="109" fillId="2" borderId="3" xfId="0" applyNumberFormat="1" applyFont="1" applyFill="1" applyBorder="1" applyAlignment="1">
      <alignment horizontal="center"/>
    </xf>
    <xf numFmtId="206" fontId="109" fillId="2" borderId="0" xfId="0" applyNumberFormat="1" applyFont="1" applyFill="1" applyAlignment="1">
      <alignment horizontal="center"/>
    </xf>
    <xf numFmtId="37" fontId="0" fillId="27" borderId="69" xfId="0" applyNumberFormat="1" applyFill="1" applyBorder="1" applyAlignment="1">
      <alignment vertical="center"/>
    </xf>
    <xf numFmtId="37" fontId="0" fillId="27" borderId="4" xfId="0" applyNumberFormat="1" applyFill="1" applyBorder="1" applyAlignment="1">
      <alignment vertical="center"/>
    </xf>
    <xf numFmtId="0" fontId="207" fillId="8" borderId="7" xfId="0" applyFont="1" applyFill="1" applyBorder="1" applyAlignment="1">
      <alignment horizontal="center" vertical="center" wrapText="1"/>
    </xf>
    <xf numFmtId="0" fontId="207" fillId="8" borderId="4" xfId="0" applyFont="1" applyFill="1" applyBorder="1" applyAlignment="1">
      <alignment horizontal="center" vertical="center" wrapText="1"/>
    </xf>
    <xf numFmtId="0" fontId="20" fillId="2" borderId="0" xfId="0" applyFont="1" applyFill="1" applyAlignment="1">
      <alignment horizontal="left"/>
    </xf>
    <xf numFmtId="0" fontId="74" fillId="0" borderId="0" xfId="0" applyFont="1" applyAlignment="1">
      <alignment horizontal="left"/>
    </xf>
    <xf numFmtId="0" fontId="74" fillId="0" borderId="20" xfId="0" applyFont="1" applyBorder="1" applyAlignment="1">
      <alignment horizontal="left"/>
    </xf>
    <xf numFmtId="0" fontId="258" fillId="2" borderId="0" xfId="0" applyFont="1" applyFill="1" applyAlignment="1">
      <alignment horizontal="left" vertical="top"/>
    </xf>
    <xf numFmtId="0" fontId="258" fillId="2" borderId="20" xfId="0" applyFont="1" applyFill="1" applyBorder="1" applyAlignment="1">
      <alignment horizontal="left" vertical="top"/>
    </xf>
    <xf numFmtId="0" fontId="8" fillId="2" borderId="1" xfId="0" applyFont="1" applyFill="1" applyBorder="1" applyAlignment="1">
      <alignment horizontal="center"/>
    </xf>
    <xf numFmtId="166" fontId="15" fillId="27" borderId="56" xfId="0" applyNumberFormat="1" applyFont="1" applyFill="1" applyBorder="1" applyAlignment="1">
      <alignment horizontal="center" vertical="center"/>
    </xf>
    <xf numFmtId="166" fontId="15" fillId="27" borderId="7" xfId="0" applyNumberFormat="1" applyFont="1" applyFill="1" applyBorder="1" applyAlignment="1">
      <alignment horizontal="center" vertical="center"/>
    </xf>
    <xf numFmtId="166" fontId="15" fillId="27" borderId="9" xfId="0" applyNumberFormat="1" applyFont="1" applyFill="1" applyBorder="1" applyAlignment="1">
      <alignment horizontal="center" vertical="center"/>
    </xf>
    <xf numFmtId="166" fontId="15" fillId="27" borderId="1" xfId="0" applyNumberFormat="1" applyFont="1" applyFill="1" applyBorder="1" applyAlignment="1">
      <alignment horizontal="center" vertical="center"/>
    </xf>
    <xf numFmtId="0" fontId="0" fillId="2" borderId="3" xfId="0" applyFill="1" applyBorder="1"/>
    <xf numFmtId="0" fontId="72" fillId="2" borderId="8" xfId="0" applyFont="1" applyFill="1" applyBorder="1" applyAlignment="1">
      <alignment horizontal="center" vertical="center"/>
    </xf>
    <xf numFmtId="0" fontId="9" fillId="2" borderId="5" xfId="0" applyFont="1" applyFill="1" applyBorder="1" applyAlignment="1">
      <alignment horizontal="center"/>
    </xf>
    <xf numFmtId="0" fontId="9" fillId="0" borderId="0" xfId="0" applyFont="1" applyAlignment="1">
      <alignment horizontal="center"/>
    </xf>
    <xf numFmtId="0" fontId="9" fillId="0" borderId="20" xfId="0" applyFont="1" applyBorder="1" applyAlignment="1">
      <alignment horizontal="center"/>
    </xf>
    <xf numFmtId="0" fontId="44" fillId="2" borderId="5" xfId="0" applyFont="1" applyFill="1" applyBorder="1" applyAlignment="1">
      <alignment horizontal="center" vertical="top"/>
    </xf>
    <xf numFmtId="0" fontId="120" fillId="0" borderId="0" xfId="0" applyFont="1" applyAlignment="1">
      <alignment horizontal="center" vertical="top"/>
    </xf>
    <xf numFmtId="0" fontId="120" fillId="0" borderId="20" xfId="0" applyFont="1" applyBorder="1" applyAlignment="1">
      <alignment horizontal="center" vertical="top"/>
    </xf>
    <xf numFmtId="0" fontId="6" fillId="2" borderId="0" xfId="0" applyFont="1" applyFill="1" applyAlignment="1">
      <alignment horizontal="left" wrapText="1"/>
    </xf>
    <xf numFmtId="0" fontId="6" fillId="2" borderId="4" xfId="0" applyFont="1" applyFill="1" applyBorder="1" applyAlignment="1">
      <alignment horizontal="left" wrapText="1"/>
    </xf>
    <xf numFmtId="0" fontId="10" fillId="2" borderId="0" xfId="0" applyFont="1" applyFill="1" applyAlignment="1">
      <alignment horizontal="center"/>
    </xf>
    <xf numFmtId="0" fontId="10" fillId="2" borderId="20" xfId="0" applyFont="1" applyFill="1" applyBorder="1" applyAlignment="1">
      <alignment horizontal="center"/>
    </xf>
    <xf numFmtId="0" fontId="10" fillId="2" borderId="4" xfId="0" applyFont="1" applyFill="1" applyBorder="1" applyAlignment="1">
      <alignment horizontal="center" vertical="top"/>
    </xf>
    <xf numFmtId="0" fontId="10" fillId="2" borderId="22" xfId="0" applyFont="1" applyFill="1" applyBorder="1" applyAlignment="1">
      <alignment horizontal="center" vertical="top"/>
    </xf>
    <xf numFmtId="0" fontId="10" fillId="2" borderId="56" xfId="0" applyFont="1" applyFill="1" applyBorder="1" applyAlignment="1">
      <alignment horizontal="center" vertical="center" wrapText="1"/>
    </xf>
    <xf numFmtId="0" fontId="10" fillId="2" borderId="7" xfId="0" applyFont="1" applyFill="1" applyBorder="1" applyAlignment="1">
      <alignment horizontal="center" vertical="center" wrapText="1"/>
    </xf>
    <xf numFmtId="0" fontId="10" fillId="2" borderId="36" xfId="0" applyFont="1" applyFill="1" applyBorder="1" applyAlignment="1">
      <alignment horizontal="center" vertical="center" wrapText="1"/>
    </xf>
    <xf numFmtId="0" fontId="10" fillId="2" borderId="9"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2" borderId="11" xfId="0" applyFont="1" applyFill="1" applyBorder="1" applyAlignment="1">
      <alignment horizontal="center" vertical="center" wrapText="1"/>
    </xf>
    <xf numFmtId="0" fontId="10" fillId="2" borderId="7" xfId="0" applyFont="1" applyFill="1" applyBorder="1" applyAlignment="1">
      <alignment horizontal="left"/>
    </xf>
    <xf numFmtId="0" fontId="11" fillId="27" borderId="1" xfId="0" applyFont="1" applyFill="1" applyBorder="1" applyAlignment="1">
      <alignment horizontal="left"/>
    </xf>
    <xf numFmtId="0" fontId="223" fillId="31" borderId="1" xfId="0" applyFont="1" applyFill="1" applyBorder="1" applyAlignment="1">
      <alignment horizontal="center" vertical="center"/>
    </xf>
    <xf numFmtId="0" fontId="67" fillId="11" borderId="61" xfId="2" applyFill="1" applyBorder="1" applyAlignment="1" applyProtection="1">
      <alignment horizontal="center" wrapText="1"/>
    </xf>
    <xf numFmtId="0" fontId="67" fillId="11" borderId="62" xfId="2" applyFill="1" applyBorder="1" applyAlignment="1" applyProtection="1">
      <alignment horizontal="center" wrapText="1"/>
    </xf>
    <xf numFmtId="0" fontId="0" fillId="0" borderId="62" xfId="0" applyBorder="1" applyAlignment="1">
      <alignment horizontal="center" wrapText="1"/>
    </xf>
    <xf numFmtId="0" fontId="0" fillId="0" borderId="63" xfId="0" applyBorder="1" applyAlignment="1">
      <alignment horizontal="center" wrapText="1"/>
    </xf>
    <xf numFmtId="37" fontId="6" fillId="27" borderId="9" xfId="0" applyNumberFormat="1" applyFont="1" applyFill="1" applyBorder="1" applyAlignment="1">
      <alignment vertical="center"/>
    </xf>
    <xf numFmtId="37" fontId="6" fillId="27" borderId="1" xfId="0" applyNumberFormat="1" applyFont="1" applyFill="1" applyBorder="1" applyAlignment="1">
      <alignment vertical="center"/>
    </xf>
    <xf numFmtId="0" fontId="110" fillId="2" borderId="30" xfId="0" applyFont="1" applyFill="1" applyBorder="1"/>
    <xf numFmtId="37" fontId="0" fillId="16" borderId="9" xfId="0" applyNumberFormat="1" applyFill="1" applyBorder="1" applyAlignment="1" applyProtection="1">
      <alignment horizontal="right" vertical="center"/>
      <protection locked="0"/>
    </xf>
    <xf numFmtId="37" fontId="0" fillId="16" borderId="1" xfId="0" applyNumberFormat="1" applyFill="1" applyBorder="1" applyAlignment="1" applyProtection="1">
      <alignment horizontal="right" vertical="center"/>
      <protection locked="0"/>
    </xf>
    <xf numFmtId="37" fontId="0" fillId="16" borderId="11" xfId="0" applyNumberFormat="1" applyFill="1" applyBorder="1" applyAlignment="1" applyProtection="1">
      <alignment horizontal="right" vertical="center"/>
      <protection locked="0"/>
    </xf>
    <xf numFmtId="0" fontId="110" fillId="2" borderId="0" xfId="0" applyFont="1" applyFill="1" applyAlignment="1">
      <alignment horizontal="center"/>
    </xf>
    <xf numFmtId="0" fontId="8" fillId="2" borderId="3" xfId="0" applyFont="1" applyFill="1" applyBorder="1"/>
    <xf numFmtId="0" fontId="8" fillId="2" borderId="0" xfId="0" applyFont="1" applyFill="1"/>
    <xf numFmtId="37" fontId="0" fillId="16" borderId="52" xfId="0" applyNumberFormat="1" applyFill="1" applyBorder="1" applyAlignment="1" applyProtection="1">
      <alignment horizontal="right" vertical="center"/>
      <protection locked="0"/>
    </xf>
    <xf numFmtId="37" fontId="0" fillId="16" borderId="31" xfId="0" applyNumberFormat="1" applyFill="1" applyBorder="1" applyAlignment="1" applyProtection="1">
      <alignment horizontal="right" vertical="center"/>
      <protection locked="0"/>
    </xf>
    <xf numFmtId="37" fontId="0" fillId="16" borderId="73" xfId="0" applyNumberFormat="1" applyFill="1" applyBorder="1" applyAlignment="1" applyProtection="1">
      <alignment horizontal="right" vertical="center"/>
      <protection locked="0"/>
    </xf>
    <xf numFmtId="3" fontId="0" fillId="27" borderId="9" xfId="0" applyNumberFormat="1" applyFill="1" applyBorder="1" applyAlignment="1">
      <alignment vertical="center"/>
    </xf>
    <xf numFmtId="0" fontId="0" fillId="27" borderId="1" xfId="0" applyFill="1" applyBorder="1" applyAlignment="1">
      <alignment vertical="center"/>
    </xf>
    <xf numFmtId="0" fontId="10" fillId="2" borderId="4" xfId="0" applyFont="1" applyFill="1" applyBorder="1" applyAlignment="1">
      <alignment horizontal="left" vertical="top" wrapText="1"/>
    </xf>
    <xf numFmtId="0" fontId="110" fillId="2" borderId="24" xfId="0" applyFont="1" applyFill="1" applyBorder="1" applyAlignment="1">
      <alignment horizontal="center"/>
    </xf>
    <xf numFmtId="0" fontId="158" fillId="17" borderId="0" xfId="0" applyFont="1" applyFill="1" applyAlignment="1">
      <alignment horizontal="center" vertical="center" wrapText="1"/>
    </xf>
    <xf numFmtId="0" fontId="106" fillId="15" borderId="0" xfId="0" applyFont="1" applyFill="1" applyAlignment="1">
      <alignment horizontal="center" vertical="center" wrapText="1"/>
    </xf>
    <xf numFmtId="0" fontId="207" fillId="8" borderId="0" xfId="0" applyFont="1" applyFill="1" applyAlignment="1">
      <alignment horizontal="center" vertical="center" wrapText="1"/>
    </xf>
    <xf numFmtId="0" fontId="199" fillId="2" borderId="0" xfId="0" applyFont="1" applyFill="1" applyAlignment="1">
      <alignment horizontal="center"/>
    </xf>
    <xf numFmtId="0" fontId="199" fillId="2" borderId="24" xfId="0" applyFont="1" applyFill="1" applyBorder="1" applyAlignment="1">
      <alignment horizontal="center"/>
    </xf>
    <xf numFmtId="0" fontId="199" fillId="2" borderId="3" xfId="0" applyFont="1" applyFill="1" applyBorder="1" applyAlignment="1">
      <alignment horizontal="center" vertical="center"/>
    </xf>
    <xf numFmtId="0" fontId="199" fillId="2" borderId="0" xfId="0" applyFont="1" applyFill="1" applyAlignment="1">
      <alignment horizontal="center" vertical="center"/>
    </xf>
    <xf numFmtId="0" fontId="199" fillId="2" borderId="24" xfId="0" applyFont="1" applyFill="1" applyBorder="1" applyAlignment="1">
      <alignment horizontal="center" vertical="center"/>
    </xf>
    <xf numFmtId="0" fontId="199" fillId="2" borderId="3" xfId="0" applyFont="1" applyFill="1" applyBorder="1" applyAlignment="1">
      <alignment horizontal="center" vertical="top"/>
    </xf>
    <xf numFmtId="0" fontId="199" fillId="2" borderId="0" xfId="0" applyFont="1" applyFill="1" applyAlignment="1">
      <alignment horizontal="center" vertical="top"/>
    </xf>
    <xf numFmtId="0" fontId="199" fillId="2" borderId="24" xfId="0" applyFont="1" applyFill="1" applyBorder="1" applyAlignment="1">
      <alignment horizontal="center" vertical="top"/>
    </xf>
    <xf numFmtId="0" fontId="146" fillId="2" borderId="3" xfId="0" applyFont="1" applyFill="1" applyBorder="1" applyAlignment="1">
      <alignment horizontal="center"/>
    </xf>
    <xf numFmtId="0" fontId="146" fillId="2" borderId="0" xfId="0" applyFont="1" applyFill="1" applyAlignment="1">
      <alignment horizontal="center"/>
    </xf>
    <xf numFmtId="0" fontId="146" fillId="2" borderId="24" xfId="0" applyFont="1" applyFill="1" applyBorder="1" applyAlignment="1">
      <alignment horizontal="center"/>
    </xf>
    <xf numFmtId="37" fontId="0" fillId="27" borderId="11" xfId="0" applyNumberFormat="1" applyFill="1" applyBorder="1" applyAlignment="1">
      <alignment horizontal="right" vertical="center"/>
    </xf>
    <xf numFmtId="3" fontId="109" fillId="2" borderId="3" xfId="0" applyNumberFormat="1" applyFont="1" applyFill="1" applyBorder="1" applyAlignment="1">
      <alignment horizontal="center"/>
    </xf>
    <xf numFmtId="3" fontId="109" fillId="2" borderId="0" xfId="0" applyNumberFormat="1" applyFont="1" applyFill="1" applyAlignment="1">
      <alignment horizontal="center"/>
    </xf>
    <xf numFmtId="173" fontId="116" fillId="15" borderId="0" xfId="0" applyNumberFormat="1" applyFont="1" applyFill="1" applyAlignment="1" applyProtection="1">
      <alignment horizontal="right" vertical="center"/>
      <protection locked="0"/>
    </xf>
    <xf numFmtId="0" fontId="0" fillId="2" borderId="0" xfId="0" applyFill="1" applyAlignment="1">
      <alignment horizontal="center"/>
    </xf>
    <xf numFmtId="0" fontId="0" fillId="2" borderId="24" xfId="0" applyFill="1" applyBorder="1" applyAlignment="1">
      <alignment horizontal="center"/>
    </xf>
    <xf numFmtId="0" fontId="0" fillId="5" borderId="30" xfId="0" applyFill="1" applyBorder="1"/>
    <xf numFmtId="0" fontId="0" fillId="5" borderId="69" xfId="0" applyFill="1" applyBorder="1"/>
    <xf numFmtId="0" fontId="0" fillId="0" borderId="4" xfId="0" applyBorder="1"/>
    <xf numFmtId="3" fontId="260" fillId="2" borderId="9" xfId="0" applyNumberFormat="1" applyFont="1" applyFill="1" applyBorder="1" applyAlignment="1">
      <alignment horizontal="right" vertical="center" indent="1"/>
    </xf>
    <xf numFmtId="0" fontId="260" fillId="0" borderId="1" xfId="0" applyFont="1" applyBorder="1" applyAlignment="1">
      <alignment horizontal="right" vertical="center" indent="1"/>
    </xf>
    <xf numFmtId="37" fontId="0" fillId="16" borderId="9" xfId="0" applyNumberFormat="1" applyFill="1" applyBorder="1" applyAlignment="1" applyProtection="1">
      <alignment vertical="center"/>
      <protection locked="0"/>
    </xf>
    <xf numFmtId="37" fontId="0" fillId="16" borderId="1" xfId="0" applyNumberFormat="1" applyFill="1" applyBorder="1" applyAlignment="1" applyProtection="1">
      <alignment vertical="center"/>
      <protection locked="0"/>
    </xf>
    <xf numFmtId="0" fontId="10" fillId="2" borderId="1" xfId="0" applyFont="1" applyFill="1" applyBorder="1" applyAlignment="1">
      <alignment horizontal="center"/>
    </xf>
    <xf numFmtId="0" fontId="10" fillId="0" borderId="1" xfId="0" applyFont="1" applyBorder="1"/>
    <xf numFmtId="37" fontId="110" fillId="2" borderId="30" xfId="0" applyNumberFormat="1" applyFont="1" applyFill="1" applyBorder="1" applyAlignment="1">
      <alignment horizontal="right"/>
    </xf>
    <xf numFmtId="37" fontId="110" fillId="2" borderId="8" xfId="0" applyNumberFormat="1" applyFont="1" applyFill="1" applyBorder="1" applyAlignment="1">
      <alignment horizontal="right"/>
    </xf>
    <xf numFmtId="0" fontId="4" fillId="5" borderId="0" xfId="0" applyFont="1" applyFill="1" applyAlignment="1">
      <alignment horizontal="center" vertical="center"/>
    </xf>
    <xf numFmtId="37" fontId="0" fillId="27" borderId="69" xfId="0" applyNumberFormat="1" applyFill="1" applyBorder="1" applyAlignment="1">
      <alignment horizontal="right" vertical="center"/>
    </xf>
    <xf numFmtId="37" fontId="0" fillId="27" borderId="4" xfId="0" applyNumberFormat="1" applyFill="1" applyBorder="1" applyAlignment="1">
      <alignment horizontal="right" vertical="center"/>
    </xf>
    <xf numFmtId="37" fontId="0" fillId="27" borderId="70" xfId="0" applyNumberFormat="1" applyFill="1" applyBorder="1" applyAlignment="1">
      <alignment horizontal="right" vertical="center"/>
    </xf>
    <xf numFmtId="0" fontId="10" fillId="2" borderId="0" xfId="0" applyFont="1" applyFill="1" applyAlignment="1">
      <alignment horizontal="left" vertical="top" wrapText="1"/>
    </xf>
    <xf numFmtId="0" fontId="10" fillId="2" borderId="24" xfId="0" applyFont="1" applyFill="1" applyBorder="1" applyAlignment="1">
      <alignment horizontal="left" vertical="top" wrapText="1"/>
    </xf>
    <xf numFmtId="0" fontId="10" fillId="2" borderId="70" xfId="0" applyFont="1" applyFill="1" applyBorder="1" applyAlignment="1">
      <alignment horizontal="left" vertical="top" wrapText="1"/>
    </xf>
    <xf numFmtId="0" fontId="10" fillId="2" borderId="0" xfId="0" applyFont="1" applyFill="1" applyAlignment="1">
      <alignment horizontal="left" wrapText="1"/>
    </xf>
    <xf numFmtId="0" fontId="0" fillId="2" borderId="0" xfId="0" applyFill="1" applyAlignment="1">
      <alignment horizontal="center" vertical="center"/>
    </xf>
    <xf numFmtId="37" fontId="110" fillId="15" borderId="3" xfId="0" applyNumberFormat="1" applyFont="1" applyFill="1" applyBorder="1"/>
    <xf numFmtId="37" fontId="110" fillId="0" borderId="24" xfId="0" applyNumberFormat="1" applyFont="1" applyBorder="1"/>
    <xf numFmtId="0" fontId="116" fillId="15" borderId="1" xfId="0" applyFont="1" applyFill="1" applyBorder="1" applyAlignment="1">
      <alignment horizontal="center" wrapText="1"/>
    </xf>
    <xf numFmtId="0" fontId="72" fillId="15" borderId="80" xfId="0" applyFont="1" applyFill="1" applyBorder="1" applyAlignment="1">
      <alignment horizontal="center" vertical="center" wrapText="1"/>
    </xf>
    <xf numFmtId="0" fontId="72" fillId="0" borderId="8" xfId="0" applyFont="1" applyBorder="1" applyAlignment="1">
      <alignment horizontal="center" vertical="center" wrapText="1"/>
    </xf>
    <xf numFmtId="0" fontId="72" fillId="0" borderId="5" xfId="0" applyFont="1" applyBorder="1" applyAlignment="1">
      <alignment horizontal="center" vertical="center" wrapText="1"/>
    </xf>
    <xf numFmtId="0" fontId="72" fillId="0" borderId="0" xfId="0" applyFont="1" applyAlignment="1">
      <alignment horizontal="center" vertical="center" wrapText="1"/>
    </xf>
    <xf numFmtId="41" fontId="8" fillId="16" borderId="25" xfId="0" applyNumberFormat="1" applyFont="1" applyFill="1" applyBorder="1" applyAlignment="1" applyProtection="1">
      <alignment horizontal="center" vertical="center" wrapText="1"/>
      <protection locked="0"/>
    </xf>
    <xf numFmtId="41" fontId="8" fillId="0" borderId="25" xfId="0" applyNumberFormat="1" applyFont="1" applyBorder="1" applyAlignment="1" applyProtection="1">
      <alignment horizontal="center" vertical="center" wrapText="1"/>
      <protection locked="0"/>
    </xf>
    <xf numFmtId="0" fontId="4" fillId="15" borderId="8" xfId="0" applyFont="1" applyFill="1" applyBorder="1" applyAlignment="1">
      <alignment horizontal="left" vertical="center" wrapText="1" indent="1"/>
    </xf>
    <xf numFmtId="14" fontId="4" fillId="15" borderId="23" xfId="0" applyNumberFormat="1" applyFont="1" applyFill="1" applyBorder="1" applyAlignment="1">
      <alignment horizontal="left" vertical="center" indent="1"/>
    </xf>
    <xf numFmtId="14" fontId="4" fillId="15" borderId="7" xfId="0" applyNumberFormat="1" applyFont="1" applyFill="1" applyBorder="1" applyAlignment="1">
      <alignment horizontal="left" vertical="center" indent="1"/>
    </xf>
    <xf numFmtId="14" fontId="4" fillId="15" borderId="26" xfId="0" applyNumberFormat="1" applyFont="1" applyFill="1" applyBorder="1" applyAlignment="1">
      <alignment horizontal="left" vertical="center" indent="1"/>
    </xf>
    <xf numFmtId="14" fontId="4" fillId="15" borderId="1" xfId="0" applyNumberFormat="1" applyFont="1" applyFill="1" applyBorder="1" applyAlignment="1">
      <alignment horizontal="left" vertical="center" indent="1"/>
    </xf>
    <xf numFmtId="37" fontId="56" fillId="15" borderId="7" xfId="0" applyNumberFormat="1" applyFont="1" applyFill="1" applyBorder="1" applyAlignment="1">
      <alignment horizontal="right" vertical="center"/>
    </xf>
    <xf numFmtId="37" fontId="56" fillId="15" borderId="1" xfId="0" applyNumberFormat="1" applyFont="1" applyFill="1" applyBorder="1" applyAlignment="1">
      <alignment horizontal="right" vertical="center"/>
    </xf>
    <xf numFmtId="37" fontId="5" fillId="15" borderId="7" xfId="0" applyNumberFormat="1" applyFont="1" applyFill="1" applyBorder="1" applyAlignment="1">
      <alignment horizontal="right" vertical="center"/>
    </xf>
    <xf numFmtId="37" fontId="5" fillId="15" borderId="1" xfId="0" applyNumberFormat="1" applyFont="1" applyFill="1" applyBorder="1" applyAlignment="1">
      <alignment horizontal="right" vertical="center"/>
    </xf>
    <xf numFmtId="0" fontId="109" fillId="15" borderId="0" xfId="0" applyFont="1" applyFill="1" applyAlignment="1">
      <alignment horizontal="left"/>
    </xf>
    <xf numFmtId="0" fontId="121" fillId="15" borderId="0" xfId="0" applyFont="1" applyFill="1" applyAlignment="1">
      <alignment horizontal="left"/>
    </xf>
    <xf numFmtId="0" fontId="121" fillId="15" borderId="0" xfId="0" applyFont="1" applyFill="1" applyAlignment="1">
      <alignment horizontal="left" vertical="center"/>
    </xf>
    <xf numFmtId="0" fontId="121" fillId="15" borderId="0" xfId="0" applyFont="1" applyFill="1" applyAlignment="1">
      <alignment horizontal="left" vertical="top"/>
    </xf>
    <xf numFmtId="37" fontId="0" fillId="27" borderId="69" xfId="0" applyNumberFormat="1" applyFill="1" applyBorder="1"/>
    <xf numFmtId="37" fontId="0" fillId="27" borderId="4" xfId="0" applyNumberFormat="1" applyFill="1" applyBorder="1"/>
    <xf numFmtId="41" fontId="0" fillId="16" borderId="1" xfId="0" applyNumberFormat="1" applyFill="1" applyBorder="1" applyAlignment="1" applyProtection="1">
      <alignment horizontal="right" wrapText="1"/>
      <protection locked="0"/>
    </xf>
    <xf numFmtId="41" fontId="0" fillId="0" borderId="1" xfId="0" applyNumberFormat="1" applyBorder="1" applyAlignment="1" applyProtection="1">
      <alignment horizontal="right" wrapText="1"/>
      <protection locked="0"/>
    </xf>
    <xf numFmtId="37" fontId="0" fillId="27" borderId="9" xfId="0" applyNumberFormat="1" applyFill="1" applyBorder="1"/>
    <xf numFmtId="3" fontId="110" fillId="15" borderId="0" xfId="0" applyNumberFormat="1" applyFont="1" applyFill="1" applyAlignment="1">
      <alignment wrapText="1"/>
    </xf>
    <xf numFmtId="3" fontId="246" fillId="19" borderId="0" xfId="0" applyNumberFormat="1" applyFont="1" applyFill="1" applyAlignment="1">
      <alignment wrapText="1"/>
    </xf>
    <xf numFmtId="37" fontId="0" fillId="16" borderId="9" xfId="0" applyNumberFormat="1" applyFill="1" applyBorder="1" applyAlignment="1" applyProtection="1">
      <alignment wrapText="1"/>
      <protection locked="0"/>
    </xf>
    <xf numFmtId="37" fontId="0" fillId="16" borderId="1" xfId="0" applyNumberFormat="1" applyFill="1" applyBorder="1" applyAlignment="1" applyProtection="1">
      <alignment wrapText="1"/>
      <protection locked="0"/>
    </xf>
    <xf numFmtId="37" fontId="0" fillId="16" borderId="11" xfId="0" applyNumberFormat="1" applyFill="1" applyBorder="1" applyAlignment="1" applyProtection="1">
      <alignment wrapText="1"/>
      <protection locked="0"/>
    </xf>
    <xf numFmtId="0" fontId="4" fillId="15" borderId="0" xfId="0" applyFont="1" applyFill="1" applyAlignment="1">
      <alignment horizontal="right" vertical="center" wrapText="1" indent="1"/>
    </xf>
    <xf numFmtId="0" fontId="0" fillId="19" borderId="3" xfId="0" applyFill="1" applyBorder="1" applyAlignment="1">
      <alignment wrapText="1"/>
    </xf>
    <xf numFmtId="37" fontId="6" fillId="27" borderId="1" xfId="0" applyNumberFormat="1" applyFont="1" applyFill="1" applyBorder="1" applyAlignment="1">
      <alignment wrapText="1"/>
    </xf>
    <xf numFmtId="37" fontId="6" fillId="0" borderId="1" xfId="0" applyNumberFormat="1" applyFont="1" applyBorder="1" applyAlignment="1">
      <alignment wrapText="1"/>
    </xf>
    <xf numFmtId="37" fontId="6" fillId="27" borderId="0" xfId="0" applyNumberFormat="1" applyFont="1" applyFill="1" applyAlignment="1">
      <alignment wrapText="1"/>
    </xf>
    <xf numFmtId="37" fontId="6" fillId="0" borderId="0" xfId="0" applyNumberFormat="1" applyFont="1" applyAlignment="1">
      <alignment wrapText="1"/>
    </xf>
    <xf numFmtId="0" fontId="4" fillId="15" borderId="9" xfId="0" applyFont="1" applyFill="1" applyBorder="1" applyAlignment="1">
      <alignment horizontal="center" vertical="center" wrapText="1"/>
    </xf>
    <xf numFmtId="41" fontId="8" fillId="16" borderId="39" xfId="0" applyNumberFormat="1" applyFont="1" applyFill="1" applyBorder="1" applyAlignment="1" applyProtection="1">
      <alignment horizontal="center" vertical="center" wrapText="1"/>
      <protection locked="0"/>
    </xf>
    <xf numFmtId="41" fontId="8" fillId="16" borderId="54" xfId="0" applyNumberFormat="1" applyFont="1" applyFill="1" applyBorder="1" applyAlignment="1" applyProtection="1">
      <alignment horizontal="center" vertical="center" wrapText="1"/>
      <protection locked="0"/>
    </xf>
    <xf numFmtId="0" fontId="4" fillId="15" borderId="3" xfId="0" applyFont="1" applyFill="1" applyBorder="1" applyAlignment="1">
      <alignment horizontal="center"/>
    </xf>
    <xf numFmtId="0" fontId="4" fillId="0" borderId="24" xfId="0" applyFont="1" applyBorder="1" applyAlignment="1">
      <alignment horizontal="center"/>
    </xf>
    <xf numFmtId="0" fontId="115" fillId="15" borderId="0" xfId="0" applyFont="1" applyFill="1" applyAlignment="1">
      <alignment horizontal="center" vertical="center"/>
    </xf>
    <xf numFmtId="0" fontId="115" fillId="0" borderId="0" xfId="0" applyFont="1" applyAlignment="1">
      <alignment horizontal="center" vertical="center"/>
    </xf>
    <xf numFmtId="37" fontId="4" fillId="27" borderId="25" xfId="0" applyNumberFormat="1" applyFont="1" applyFill="1" applyBorder="1" applyAlignment="1">
      <alignment wrapText="1"/>
    </xf>
    <xf numFmtId="37" fontId="0" fillId="0" borderId="25" xfId="0" applyNumberFormat="1" applyBorder="1" applyAlignment="1">
      <alignment wrapText="1"/>
    </xf>
    <xf numFmtId="0" fontId="115" fillId="15" borderId="0" xfId="0" applyFont="1" applyFill="1" applyAlignment="1">
      <alignment horizontal="center"/>
    </xf>
    <xf numFmtId="0" fontId="115" fillId="0" borderId="0" xfId="0" applyFont="1" applyAlignment="1">
      <alignment horizontal="center"/>
    </xf>
    <xf numFmtId="191" fontId="0" fillId="27" borderId="9" xfId="0" applyNumberFormat="1" applyFill="1" applyBorder="1"/>
    <xf numFmtId="191" fontId="0" fillId="27" borderId="1" xfId="0" applyNumberFormat="1" applyFill="1" applyBorder="1"/>
    <xf numFmtId="0" fontId="4" fillId="15" borderId="9" xfId="0" applyFont="1" applyFill="1" applyBorder="1" applyAlignment="1">
      <alignment horizontal="center"/>
    </xf>
    <xf numFmtId="37" fontId="110" fillId="15" borderId="3" xfId="0" applyNumberFormat="1" applyFont="1" applyFill="1" applyBorder="1" applyAlignment="1">
      <alignment horizontal="center"/>
    </xf>
    <xf numFmtId="0" fontId="44" fillId="16" borderId="0" xfId="0" applyFont="1" applyFill="1" applyAlignment="1" applyProtection="1">
      <alignment wrapText="1"/>
      <protection locked="0"/>
    </xf>
    <xf numFmtId="0" fontId="10" fillId="15" borderId="56" xfId="0" applyFont="1" applyFill="1" applyBorder="1" applyAlignment="1">
      <alignment wrapText="1"/>
    </xf>
    <xf numFmtId="0" fontId="0" fillId="0" borderId="7" xfId="0" applyBorder="1" applyAlignment="1">
      <alignment wrapText="1"/>
    </xf>
    <xf numFmtId="166" fontId="20" fillId="27" borderId="3" xfId="0" applyNumberFormat="1" applyFont="1" applyFill="1" applyBorder="1" applyAlignment="1">
      <alignment horizontal="center" wrapText="1"/>
    </xf>
    <xf numFmtId="0" fontId="74" fillId="0" borderId="0" xfId="0" applyFont="1" applyAlignment="1">
      <alignment wrapText="1"/>
    </xf>
    <xf numFmtId="0" fontId="74" fillId="0" borderId="9" xfId="0" applyFont="1" applyBorder="1" applyAlignment="1">
      <alignment wrapText="1"/>
    </xf>
    <xf numFmtId="0" fontId="74" fillId="0" borderId="1" xfId="0" applyFont="1" applyBorder="1" applyAlignment="1">
      <alignment wrapText="1"/>
    </xf>
    <xf numFmtId="3" fontId="6" fillId="27" borderId="1" xfId="0" applyNumberFormat="1" applyFont="1" applyFill="1" applyBorder="1" applyAlignment="1">
      <alignment wrapText="1"/>
    </xf>
    <xf numFmtId="0" fontId="6" fillId="0" borderId="1" xfId="0" applyFont="1" applyBorder="1" applyAlignment="1">
      <alignment wrapText="1"/>
    </xf>
    <xf numFmtId="0" fontId="0" fillId="19" borderId="30" xfId="0" applyFill="1" applyBorder="1" applyAlignment="1">
      <alignment vertical="top" wrapText="1"/>
    </xf>
    <xf numFmtId="0" fontId="0" fillId="0" borderId="8" xfId="0" applyBorder="1" applyAlignment="1">
      <alignment vertical="top" wrapText="1"/>
    </xf>
    <xf numFmtId="0" fontId="15" fillId="15" borderId="0" xfId="0" applyFont="1" applyFill="1" applyAlignment="1">
      <alignment horizontal="right" vertical="center" wrapText="1" indent="1"/>
    </xf>
    <xf numFmtId="0" fontId="4" fillId="15" borderId="39" xfId="0" applyFont="1" applyFill="1" applyBorder="1" applyAlignment="1">
      <alignment horizontal="center" wrapText="1"/>
    </xf>
    <xf numFmtId="0" fontId="4" fillId="0" borderId="25" xfId="0" applyFont="1" applyBorder="1" applyAlignment="1">
      <alignment horizontal="center" wrapText="1"/>
    </xf>
    <xf numFmtId="0" fontId="4" fillId="0" borderId="54" xfId="0" applyFont="1" applyBorder="1" applyAlignment="1">
      <alignment horizontal="center" wrapText="1"/>
    </xf>
    <xf numFmtId="3" fontId="6" fillId="16" borderId="9" xfId="0" applyNumberFormat="1" applyFont="1" applyFill="1" applyBorder="1" applyAlignment="1" applyProtection="1">
      <alignment horizontal="right" wrapText="1"/>
      <protection locked="0"/>
    </xf>
    <xf numFmtId="3" fontId="6" fillId="16" borderId="1" xfId="0" applyNumberFormat="1" applyFont="1" applyFill="1" applyBorder="1" applyAlignment="1" applyProtection="1">
      <alignment horizontal="right" wrapText="1"/>
      <protection locked="0"/>
    </xf>
    <xf numFmtId="3" fontId="6" fillId="16" borderId="11" xfId="0" applyNumberFormat="1" applyFont="1" applyFill="1" applyBorder="1" applyAlignment="1" applyProtection="1">
      <alignment horizontal="right" wrapText="1"/>
      <protection locked="0"/>
    </xf>
    <xf numFmtId="0" fontId="9" fillId="16" borderId="154" xfId="0" applyFont="1" applyFill="1" applyBorder="1" applyAlignment="1" applyProtection="1">
      <alignment wrapText="1"/>
      <protection locked="0"/>
    </xf>
    <xf numFmtId="0" fontId="9" fillId="0" borderId="154" xfId="0" applyFont="1" applyBorder="1" applyAlignment="1" applyProtection="1">
      <alignment wrapText="1"/>
      <protection locked="0"/>
    </xf>
    <xf numFmtId="3" fontId="6" fillId="27" borderId="39" xfId="0" applyNumberFormat="1" applyFont="1" applyFill="1" applyBorder="1" applyAlignment="1">
      <alignment horizontal="right" wrapText="1"/>
    </xf>
    <xf numFmtId="3" fontId="6" fillId="27" borderId="25" xfId="0" applyNumberFormat="1" applyFont="1" applyFill="1" applyBorder="1" applyAlignment="1">
      <alignment horizontal="right" wrapText="1"/>
    </xf>
    <xf numFmtId="3" fontId="6" fillId="27" borderId="54" xfId="0" applyNumberFormat="1" applyFont="1" applyFill="1" applyBorder="1" applyAlignment="1">
      <alignment horizontal="right" wrapText="1"/>
    </xf>
    <xf numFmtId="3" fontId="6" fillId="16" borderId="39" xfId="0" applyNumberFormat="1" applyFont="1" applyFill="1" applyBorder="1" applyAlignment="1" applyProtection="1">
      <alignment horizontal="right" wrapText="1"/>
      <protection locked="0"/>
    </xf>
    <xf numFmtId="3" fontId="6" fillId="16" borderId="25" xfId="0" applyNumberFormat="1" applyFont="1" applyFill="1" applyBorder="1" applyAlignment="1" applyProtection="1">
      <alignment horizontal="right" wrapText="1"/>
      <protection locked="0"/>
    </xf>
    <xf numFmtId="3" fontId="6" fillId="16" borderId="54" xfId="0" applyNumberFormat="1" applyFont="1" applyFill="1" applyBorder="1" applyAlignment="1" applyProtection="1">
      <alignment horizontal="right" wrapText="1"/>
      <protection locked="0"/>
    </xf>
    <xf numFmtId="0" fontId="12" fillId="16" borderId="39" xfId="0" applyFont="1" applyFill="1" applyBorder="1" applyAlignment="1" applyProtection="1">
      <alignment horizontal="center" vertical="top" wrapText="1"/>
      <protection locked="0"/>
    </xf>
    <xf numFmtId="0" fontId="12" fillId="16" borderId="25" xfId="0" applyFont="1" applyFill="1" applyBorder="1" applyAlignment="1" applyProtection="1">
      <alignment horizontal="center" vertical="top" wrapText="1"/>
      <protection locked="0"/>
    </xf>
    <xf numFmtId="0" fontId="12" fillId="16" borderId="54" xfId="0" applyFont="1" applyFill="1" applyBorder="1" applyAlignment="1" applyProtection="1">
      <alignment horizontal="center" vertical="top" wrapText="1"/>
      <protection locked="0"/>
    </xf>
    <xf numFmtId="0" fontId="9" fillId="16" borderId="92" xfId="0" applyFont="1" applyFill="1" applyBorder="1" applyAlignment="1" applyProtection="1">
      <alignment horizontal="left" wrapText="1"/>
      <protection locked="0"/>
    </xf>
    <xf numFmtId="0" fontId="9" fillId="0" borderId="92" xfId="0" applyFont="1" applyBorder="1" applyAlignment="1" applyProtection="1">
      <alignment horizontal="left" wrapText="1"/>
      <protection locked="0"/>
    </xf>
    <xf numFmtId="0" fontId="0" fillId="19" borderId="30" xfId="0" applyFill="1" applyBorder="1" applyAlignment="1">
      <alignment wrapText="1"/>
    </xf>
    <xf numFmtId="0" fontId="47" fillId="15" borderId="0" xfId="0" applyFont="1" applyFill="1" applyAlignment="1">
      <alignment horizontal="right" vertical="center" wrapText="1" indent="1"/>
    </xf>
    <xf numFmtId="0" fontId="4" fillId="15" borderId="0" xfId="0" applyFont="1" applyFill="1" applyAlignment="1">
      <alignment horizontal="center" wrapText="1"/>
    </xf>
    <xf numFmtId="0" fontId="4" fillId="0" borderId="11" xfId="0" applyFont="1" applyBorder="1" applyAlignment="1">
      <alignment horizontal="center"/>
    </xf>
    <xf numFmtId="0" fontId="223" fillId="31" borderId="27" xfId="0" applyFont="1" applyFill="1" applyBorder="1" applyAlignment="1">
      <alignment horizontal="center"/>
    </xf>
    <xf numFmtId="0" fontId="224" fillId="31" borderId="27" xfId="0" applyFont="1" applyFill="1" applyBorder="1" applyAlignment="1">
      <alignment horizontal="center"/>
    </xf>
    <xf numFmtId="0" fontId="11" fillId="15" borderId="27" xfId="0" applyFont="1" applyFill="1" applyBorder="1" applyAlignment="1">
      <alignment horizontal="left" wrapText="1" indent="1"/>
    </xf>
    <xf numFmtId="0" fontId="11" fillId="0" borderId="27" xfId="0" applyFont="1" applyBorder="1" applyAlignment="1">
      <alignment horizontal="left" wrapText="1" indent="1"/>
    </xf>
    <xf numFmtId="37" fontId="0" fillId="27" borderId="9" xfId="0" applyNumberFormat="1" applyFill="1" applyBorder="1" applyAlignment="1">
      <alignment wrapText="1"/>
    </xf>
    <xf numFmtId="37" fontId="0" fillId="27" borderId="1" xfId="0" applyNumberFormat="1" applyFill="1" applyBorder="1" applyAlignment="1">
      <alignment wrapText="1"/>
    </xf>
    <xf numFmtId="37" fontId="0" fillId="27" borderId="11" xfId="0" applyNumberFormat="1" applyFill="1" applyBorder="1" applyAlignment="1">
      <alignment wrapText="1"/>
    </xf>
    <xf numFmtId="41" fontId="9" fillId="27" borderId="25" xfId="0" applyNumberFormat="1" applyFont="1" applyFill="1" applyBorder="1" applyAlignment="1">
      <alignment horizontal="center" vertical="center" wrapText="1"/>
    </xf>
    <xf numFmtId="0" fontId="10" fillId="15" borderId="8" xfId="0" applyFont="1" applyFill="1" applyBorder="1" applyAlignment="1">
      <alignment horizontal="center" vertical="center" wrapText="1"/>
    </xf>
    <xf numFmtId="0" fontId="10" fillId="15" borderId="3" xfId="0" applyFont="1" applyFill="1" applyBorder="1" applyAlignment="1">
      <alignment horizontal="center" vertical="center" wrapText="1"/>
    </xf>
    <xf numFmtId="0" fontId="10" fillId="15" borderId="0" xfId="0" applyFont="1" applyFill="1" applyAlignment="1">
      <alignment horizontal="center" vertical="center" wrapText="1"/>
    </xf>
    <xf numFmtId="0" fontId="10" fillId="15" borderId="9" xfId="0" applyFont="1" applyFill="1" applyBorder="1" applyAlignment="1">
      <alignment horizontal="center" vertical="center" wrapText="1"/>
    </xf>
    <xf numFmtId="0" fontId="10" fillId="15" borderId="1" xfId="0" applyFont="1" applyFill="1" applyBorder="1" applyAlignment="1">
      <alignment horizontal="center" vertical="center" wrapText="1"/>
    </xf>
    <xf numFmtId="0" fontId="109" fillId="15" borderId="3" xfId="0" applyFont="1" applyFill="1" applyBorder="1" applyAlignment="1">
      <alignment horizontal="center"/>
    </xf>
    <xf numFmtId="0" fontId="109" fillId="15" borderId="0" xfId="0" applyFont="1" applyFill="1" applyAlignment="1">
      <alignment horizontal="center"/>
    </xf>
    <xf numFmtId="14" fontId="6" fillId="16" borderId="39" xfId="0" applyNumberFormat="1" applyFont="1" applyFill="1" applyBorder="1" applyAlignment="1" applyProtection="1">
      <alignment horizontal="center" vertical="center" wrapText="1"/>
      <protection locked="0"/>
    </xf>
    <xf numFmtId="14" fontId="6" fillId="16" borderId="25" xfId="0" applyNumberFormat="1" applyFont="1" applyFill="1" applyBorder="1" applyAlignment="1" applyProtection="1">
      <alignment horizontal="center" vertical="center" wrapText="1"/>
      <protection locked="0"/>
    </xf>
    <xf numFmtId="14" fontId="6" fillId="0" borderId="25" xfId="0" applyNumberFormat="1" applyFont="1" applyBorder="1" applyAlignment="1" applyProtection="1">
      <alignment horizontal="center" vertical="center" wrapText="1"/>
      <protection locked="0"/>
    </xf>
    <xf numFmtId="0" fontId="10" fillId="0" borderId="8" xfId="0" applyFont="1" applyBorder="1" applyAlignment="1">
      <alignment wrapText="1"/>
    </xf>
    <xf numFmtId="0" fontId="10" fillId="0" borderId="14" xfId="0" applyFont="1" applyBorder="1" applyAlignment="1">
      <alignment wrapText="1"/>
    </xf>
    <xf numFmtId="0" fontId="10" fillId="0" borderId="3" xfId="0" applyFont="1" applyBorder="1" applyAlignment="1">
      <alignment wrapText="1"/>
    </xf>
    <xf numFmtId="0" fontId="10" fillId="0" borderId="0" xfId="0" applyFont="1" applyAlignment="1">
      <alignment wrapText="1"/>
    </xf>
    <xf numFmtId="0" fontId="10" fillId="0" borderId="24" xfId="0" applyFont="1" applyBorder="1" applyAlignment="1">
      <alignment wrapText="1"/>
    </xf>
    <xf numFmtId="0" fontId="10" fillId="0" borderId="9" xfId="0" applyFont="1" applyBorder="1" applyAlignment="1">
      <alignment wrapText="1"/>
    </xf>
    <xf numFmtId="0" fontId="10" fillId="0" borderId="1" xfId="0" applyFont="1" applyBorder="1" applyAlignment="1">
      <alignment wrapText="1"/>
    </xf>
    <xf numFmtId="0" fontId="10" fillId="0" borderId="11" xfId="0" applyFont="1" applyBorder="1" applyAlignment="1">
      <alignment wrapText="1"/>
    </xf>
    <xf numFmtId="0" fontId="4" fillId="15" borderId="39" xfId="0" applyFont="1" applyFill="1" applyBorder="1" applyAlignment="1">
      <alignment horizontal="center" vertical="center" wrapText="1"/>
    </xf>
    <xf numFmtId="0" fontId="0" fillId="0" borderId="54" xfId="0" applyBorder="1" applyAlignment="1">
      <alignment wrapText="1"/>
    </xf>
    <xf numFmtId="37" fontId="6" fillId="16" borderId="9" xfId="0" applyNumberFormat="1" applyFont="1" applyFill="1" applyBorder="1" applyAlignment="1" applyProtection="1">
      <alignment wrapText="1"/>
      <protection locked="0"/>
    </xf>
    <xf numFmtId="41" fontId="8" fillId="0" borderId="54" xfId="0" applyNumberFormat="1" applyFont="1" applyBorder="1" applyAlignment="1" applyProtection="1">
      <alignment horizontal="center" vertical="center" wrapText="1"/>
      <protection locked="0"/>
    </xf>
    <xf numFmtId="0" fontId="4" fillId="15" borderId="0" xfId="0" applyFont="1" applyFill="1" applyAlignment="1">
      <alignment horizontal="left" vertical="center" wrapText="1" indent="1"/>
    </xf>
    <xf numFmtId="0" fontId="12" fillId="15" borderId="30" xfId="0" applyFont="1" applyFill="1" applyBorder="1" applyAlignment="1">
      <alignment horizontal="center" vertical="center" wrapText="1"/>
    </xf>
    <xf numFmtId="0" fontId="15" fillId="15" borderId="25" xfId="0" applyFont="1" applyFill="1" applyBorder="1" applyAlignment="1">
      <alignment horizontal="left" vertical="center" wrapText="1" indent="1"/>
    </xf>
    <xf numFmtId="0" fontId="10" fillId="15" borderId="3" xfId="0" applyFont="1" applyFill="1" applyBorder="1" applyAlignment="1">
      <alignment horizontal="center" vertical="top" wrapText="1"/>
    </xf>
    <xf numFmtId="0" fontId="10" fillId="0" borderId="0" xfId="0" applyFont="1" applyAlignment="1">
      <alignment vertical="top" wrapText="1"/>
    </xf>
    <xf numFmtId="0" fontId="10" fillId="0" borderId="24" xfId="0" applyFont="1" applyBorder="1" applyAlignment="1">
      <alignment vertical="top" wrapText="1"/>
    </xf>
    <xf numFmtId="0" fontId="10" fillId="15" borderId="30" xfId="0" applyFont="1" applyFill="1" applyBorder="1" applyAlignment="1">
      <alignment horizontal="center" wrapText="1"/>
    </xf>
    <xf numFmtId="0" fontId="10" fillId="0" borderId="8" xfId="0" applyFont="1" applyBorder="1"/>
    <xf numFmtId="0" fontId="10" fillId="0" borderId="14" xfId="0" applyFont="1" applyBorder="1"/>
    <xf numFmtId="0" fontId="10" fillId="0" borderId="3" xfId="0" applyFont="1" applyBorder="1"/>
    <xf numFmtId="0" fontId="10" fillId="0" borderId="0" xfId="0" applyFont="1"/>
    <xf numFmtId="0" fontId="10" fillId="0" borderId="24" xfId="0" applyFont="1" applyBorder="1"/>
    <xf numFmtId="0" fontId="15" fillId="15" borderId="8" xfId="0" applyFont="1" applyFill="1" applyBorder="1" applyAlignment="1">
      <alignment horizontal="left" vertical="center" wrapText="1"/>
    </xf>
    <xf numFmtId="0" fontId="11" fillId="15" borderId="14" xfId="0" applyFont="1" applyFill="1" applyBorder="1" applyAlignment="1">
      <alignment horizontal="center" vertical="center" textRotation="90"/>
    </xf>
    <xf numFmtId="0" fontId="6" fillId="0" borderId="24" xfId="0" applyFont="1" applyBorder="1" applyAlignment="1">
      <alignment vertical="center" textRotation="90"/>
    </xf>
    <xf numFmtId="0" fontId="6" fillId="0" borderId="11" xfId="0" applyFont="1" applyBorder="1" applyAlignment="1">
      <alignment vertical="center" textRotation="90"/>
    </xf>
    <xf numFmtId="37" fontId="6" fillId="27" borderId="39" xfId="0" applyNumberFormat="1" applyFont="1" applyFill="1" applyBorder="1" applyAlignment="1">
      <alignment horizontal="right" wrapText="1"/>
    </xf>
    <xf numFmtId="37" fontId="6" fillId="27" borderId="25" xfId="0" applyNumberFormat="1" applyFont="1" applyFill="1" applyBorder="1" applyAlignment="1">
      <alignment horizontal="right" wrapText="1"/>
    </xf>
    <xf numFmtId="37" fontId="6" fillId="27" borderId="54" xfId="0" applyNumberFormat="1" applyFont="1" applyFill="1" applyBorder="1" applyAlignment="1">
      <alignment horizontal="right" wrapText="1"/>
    </xf>
    <xf numFmtId="0" fontId="9" fillId="15" borderId="30" xfId="0" applyFont="1" applyFill="1" applyBorder="1" applyAlignment="1">
      <alignment horizontal="center" vertical="center" wrapText="1"/>
    </xf>
    <xf numFmtId="0" fontId="9" fillId="0" borderId="8" xfId="0" applyFont="1" applyBorder="1" applyAlignment="1">
      <alignment horizontal="center" vertical="center" wrapText="1"/>
    </xf>
    <xf numFmtId="0" fontId="9" fillId="0" borderId="3" xfId="0" applyFont="1" applyBorder="1" applyAlignment="1">
      <alignment horizontal="center" vertical="center" wrapText="1"/>
    </xf>
    <xf numFmtId="0" fontId="9" fillId="0" borderId="0" xfId="0" applyFont="1" applyAlignment="1">
      <alignment horizontal="center" vertical="center" wrapText="1"/>
    </xf>
    <xf numFmtId="0" fontId="9" fillId="0" borderId="9" xfId="0" applyFont="1" applyBorder="1" applyAlignment="1">
      <alignment horizontal="center" vertical="center" wrapText="1"/>
    </xf>
    <xf numFmtId="0" fontId="9" fillId="0" borderId="1" xfId="0" applyFont="1" applyBorder="1" applyAlignment="1">
      <alignment horizontal="center" vertical="center" wrapText="1"/>
    </xf>
    <xf numFmtId="0" fontId="8" fillId="15" borderId="9" xfId="0" applyFont="1" applyFill="1" applyBorder="1" applyAlignment="1">
      <alignment horizontal="center" vertical="center" wrapText="1"/>
    </xf>
    <xf numFmtId="0" fontId="8" fillId="15" borderId="1" xfId="0" applyFont="1" applyFill="1" applyBorder="1" applyAlignment="1">
      <alignment horizontal="center" vertical="center" wrapText="1"/>
    </xf>
    <xf numFmtId="191" fontId="6" fillId="27" borderId="39" xfId="0" applyNumberFormat="1" applyFont="1" applyFill="1" applyBorder="1" applyAlignment="1">
      <alignment horizontal="right" wrapText="1"/>
    </xf>
    <xf numFmtId="191" fontId="6" fillId="27" borderId="25" xfId="0" applyNumberFormat="1" applyFont="1" applyFill="1" applyBorder="1" applyAlignment="1">
      <alignment horizontal="right" wrapText="1"/>
    </xf>
    <xf numFmtId="191" fontId="6" fillId="27" borderId="54" xfId="0" applyNumberFormat="1" applyFont="1" applyFill="1" applyBorder="1" applyAlignment="1">
      <alignment horizontal="right" wrapText="1"/>
    </xf>
    <xf numFmtId="192" fontId="6" fillId="27" borderId="39" xfId="0" applyNumberFormat="1" applyFont="1" applyFill="1" applyBorder="1" applyAlignment="1">
      <alignment horizontal="right" wrapText="1"/>
    </xf>
    <xf numFmtId="192" fontId="6" fillId="27" borderId="25" xfId="0" applyNumberFormat="1" applyFont="1" applyFill="1" applyBorder="1" applyAlignment="1">
      <alignment horizontal="right" wrapText="1"/>
    </xf>
    <xf numFmtId="192" fontId="6" fillId="27" borderId="54" xfId="0" applyNumberFormat="1" applyFont="1" applyFill="1" applyBorder="1" applyAlignment="1">
      <alignment horizontal="right" wrapText="1"/>
    </xf>
    <xf numFmtId="0" fontId="4" fillId="0" borderId="25" xfId="0" applyFont="1" applyBorder="1" applyAlignment="1">
      <alignment horizontal="center" vertical="center" wrapText="1"/>
    </xf>
    <xf numFmtId="0" fontId="4" fillId="0" borderId="54" xfId="0" applyFont="1" applyBorder="1" applyAlignment="1">
      <alignment horizontal="center" vertical="center" wrapText="1"/>
    </xf>
    <xf numFmtId="0" fontId="15" fillId="15" borderId="25" xfId="0" applyFont="1" applyFill="1" applyBorder="1" applyAlignment="1">
      <alignment wrapText="1"/>
    </xf>
    <xf numFmtId="0" fontId="15" fillId="0" borderId="25" xfId="0" applyFont="1" applyBorder="1" applyAlignment="1">
      <alignment wrapText="1"/>
    </xf>
    <xf numFmtId="0" fontId="4" fillId="15" borderId="5" xfId="0" applyFont="1" applyFill="1" applyBorder="1" applyAlignment="1">
      <alignment horizontal="center" vertical="top" wrapText="1"/>
    </xf>
    <xf numFmtId="0" fontId="4" fillId="0" borderId="0" xfId="0" applyFont="1" applyAlignment="1">
      <alignment horizontal="center" vertical="top" wrapText="1"/>
    </xf>
    <xf numFmtId="0" fontId="4" fillId="0" borderId="20" xfId="0" applyFont="1" applyBorder="1" applyAlignment="1">
      <alignment horizontal="center" vertical="top" wrapText="1"/>
    </xf>
    <xf numFmtId="0" fontId="9" fillId="15" borderId="5" xfId="0" applyFont="1" applyFill="1" applyBorder="1" applyAlignment="1">
      <alignment horizontal="center" wrapText="1"/>
    </xf>
    <xf numFmtId="0" fontId="9" fillId="0" borderId="0" xfId="0" applyFont="1" applyAlignment="1">
      <alignment horizontal="center" wrapText="1"/>
    </xf>
    <xf numFmtId="0" fontId="9" fillId="0" borderId="20" xfId="0" applyFont="1" applyBorder="1" applyAlignment="1">
      <alignment horizontal="center" wrapText="1"/>
    </xf>
    <xf numFmtId="0" fontId="9" fillId="15" borderId="21" xfId="0" applyFont="1" applyFill="1" applyBorder="1" applyAlignment="1">
      <alignment horizontal="center" wrapText="1"/>
    </xf>
    <xf numFmtId="0" fontId="9" fillId="0" borderId="4" xfId="0" applyFont="1" applyBorder="1" applyAlignment="1">
      <alignment horizontal="center" wrapText="1"/>
    </xf>
    <xf numFmtId="0" fontId="9" fillId="0" borderId="22" xfId="0" applyFont="1" applyBorder="1" applyAlignment="1">
      <alignment horizontal="center" wrapText="1"/>
    </xf>
    <xf numFmtId="0" fontId="10" fillId="15" borderId="5" xfId="0" applyFont="1" applyFill="1" applyBorder="1" applyAlignment="1">
      <alignment horizontal="left" vertical="center" wrapText="1" indent="2"/>
    </xf>
    <xf numFmtId="0" fontId="10" fillId="0" borderId="0" xfId="0" applyFont="1" applyAlignment="1">
      <alignment horizontal="left" vertical="center" wrapText="1" indent="2"/>
    </xf>
    <xf numFmtId="0" fontId="10" fillId="0" borderId="21" xfId="0" applyFont="1" applyBorder="1" applyAlignment="1">
      <alignment horizontal="left" vertical="center" wrapText="1" indent="2"/>
    </xf>
    <xf numFmtId="0" fontId="10" fillId="0" borderId="4" xfId="0" applyFont="1" applyBorder="1" applyAlignment="1">
      <alignment horizontal="left" vertical="center" wrapText="1" indent="2"/>
    </xf>
    <xf numFmtId="0" fontId="20" fillId="0" borderId="0" xfId="0" applyFont="1" applyAlignment="1">
      <alignment horizontal="left" wrapText="1"/>
    </xf>
    <xf numFmtId="0" fontId="20" fillId="0" borderId="4" xfId="0" applyFont="1" applyBorder="1" applyAlignment="1">
      <alignment horizontal="left" wrapText="1"/>
    </xf>
    <xf numFmtId="0" fontId="110" fillId="15" borderId="30" xfId="0" applyFont="1" applyFill="1" applyBorder="1"/>
    <xf numFmtId="0" fontId="110" fillId="0" borderId="14" xfId="0" applyFont="1" applyBorder="1"/>
    <xf numFmtId="37" fontId="0" fillId="16" borderId="9" xfId="0" applyNumberFormat="1" applyFill="1" applyBorder="1" applyAlignment="1" applyProtection="1">
      <alignment vertical="center" wrapText="1"/>
      <protection locked="0"/>
    </xf>
    <xf numFmtId="37" fontId="0" fillId="16" borderId="1" xfId="0" applyNumberFormat="1" applyFill="1" applyBorder="1" applyAlignment="1" applyProtection="1">
      <alignment vertical="center" wrapText="1"/>
      <protection locked="0"/>
    </xf>
    <xf numFmtId="37" fontId="0" fillId="16" borderId="11" xfId="0" applyNumberFormat="1" applyFill="1" applyBorder="1" applyAlignment="1" applyProtection="1">
      <alignment vertical="center" wrapText="1"/>
      <protection locked="0"/>
    </xf>
    <xf numFmtId="0" fontId="0" fillId="15" borderId="3" xfId="0" applyFill="1" applyBorder="1" applyAlignment="1">
      <alignment wrapText="1"/>
    </xf>
    <xf numFmtId="0" fontId="0" fillId="15" borderId="0" xfId="0" applyFill="1" applyAlignment="1">
      <alignment wrapText="1"/>
    </xf>
    <xf numFmtId="0" fontId="4" fillId="15" borderId="4" xfId="0" applyFont="1" applyFill="1" applyBorder="1" applyAlignment="1">
      <alignment horizontal="center" wrapText="1"/>
    </xf>
    <xf numFmtId="0" fontId="4" fillId="15" borderId="69" xfId="0" applyFont="1" applyFill="1" applyBorder="1" applyAlignment="1">
      <alignment horizontal="center"/>
    </xf>
    <xf numFmtId="0" fontId="4" fillId="0" borderId="70" xfId="0" applyFont="1" applyBorder="1" applyAlignment="1">
      <alignment horizontal="center"/>
    </xf>
    <xf numFmtId="37" fontId="110" fillId="15" borderId="3" xfId="0" applyNumberFormat="1" applyFont="1" applyFill="1" applyBorder="1" applyAlignment="1">
      <alignment horizontal="right"/>
    </xf>
    <xf numFmtId="37" fontId="110" fillId="15" borderId="0" xfId="0" applyNumberFormat="1" applyFont="1" applyFill="1" applyAlignment="1">
      <alignment horizontal="right"/>
    </xf>
    <xf numFmtId="37" fontId="110" fillId="15" borderId="24" xfId="0" applyNumberFormat="1" applyFont="1" applyFill="1" applyBorder="1" applyAlignment="1">
      <alignment horizontal="right"/>
    </xf>
    <xf numFmtId="0" fontId="6" fillId="15" borderId="0" xfId="0" applyFont="1" applyFill="1" applyAlignment="1">
      <alignment wrapText="1"/>
    </xf>
    <xf numFmtId="0" fontId="4" fillId="15" borderId="8" xfId="0" applyFont="1" applyFill="1" applyBorder="1" applyAlignment="1">
      <alignment horizontal="center" wrapText="1"/>
    </xf>
    <xf numFmtId="0" fontId="4" fillId="15" borderId="30" xfId="0" applyFont="1" applyFill="1" applyBorder="1" applyAlignment="1">
      <alignment horizontal="center"/>
    </xf>
    <xf numFmtId="0" fontId="15" fillId="15" borderId="0" xfId="0" applyFont="1" applyFill="1" applyAlignment="1">
      <alignment horizontal="left" vertical="center" wrapText="1" indent="1"/>
    </xf>
    <xf numFmtId="0" fontId="15" fillId="15" borderId="0" xfId="0" applyFont="1" applyFill="1" applyAlignment="1">
      <alignment horizontal="right" vertical="top" wrapText="1"/>
    </xf>
    <xf numFmtId="41" fontId="0" fillId="16" borderId="30" xfId="0" applyNumberFormat="1" applyFill="1" applyBorder="1" applyAlignment="1" applyProtection="1">
      <alignment wrapText="1"/>
      <protection locked="0"/>
    </xf>
    <xf numFmtId="41" fontId="0" fillId="16" borderId="8" xfId="0" applyNumberFormat="1" applyFill="1" applyBorder="1" applyAlignment="1" applyProtection="1">
      <alignment wrapText="1"/>
      <protection locked="0"/>
    </xf>
    <xf numFmtId="0" fontId="123" fillId="31" borderId="0" xfId="0" applyFont="1" applyFill="1" applyAlignment="1">
      <alignment horizontal="center"/>
    </xf>
    <xf numFmtId="0" fontId="110" fillId="31" borderId="0" xfId="0" applyFont="1" applyFill="1" applyAlignment="1">
      <alignment horizontal="center"/>
    </xf>
    <xf numFmtId="37" fontId="0" fillId="16" borderId="9" xfId="0" applyNumberFormat="1" applyFill="1" applyBorder="1" applyProtection="1">
      <protection locked="0"/>
    </xf>
    <xf numFmtId="0" fontId="4" fillId="15" borderId="5" xfId="0" applyFont="1" applyFill="1" applyBorder="1" applyAlignment="1">
      <alignment horizontal="center" wrapText="1"/>
    </xf>
    <xf numFmtId="0" fontId="4" fillId="0" borderId="20" xfId="0" applyFont="1" applyBorder="1" applyAlignment="1">
      <alignment horizontal="center" wrapText="1"/>
    </xf>
    <xf numFmtId="0" fontId="4" fillId="15" borderId="52" xfId="0" applyFont="1" applyFill="1" applyBorder="1" applyAlignment="1">
      <alignment horizontal="center"/>
    </xf>
    <xf numFmtId="0" fontId="4" fillId="0" borderId="73" xfId="0" applyFont="1" applyBorder="1" applyAlignment="1">
      <alignment horizontal="center"/>
    </xf>
    <xf numFmtId="37" fontId="0" fillId="16" borderId="52" xfId="0" applyNumberFormat="1" applyFill="1" applyBorder="1" applyAlignment="1" applyProtection="1">
      <alignment wrapText="1"/>
      <protection locked="0"/>
    </xf>
    <xf numFmtId="37" fontId="0" fillId="16" borderId="31" xfId="0" applyNumberFormat="1" applyFill="1" applyBorder="1" applyAlignment="1" applyProtection="1">
      <alignment wrapText="1"/>
      <protection locked="0"/>
    </xf>
    <xf numFmtId="37" fontId="0" fillId="16" borderId="73" xfId="0" applyNumberFormat="1" applyFill="1" applyBorder="1" applyAlignment="1" applyProtection="1">
      <alignment wrapText="1"/>
      <protection locked="0"/>
    </xf>
    <xf numFmtId="0" fontId="10" fillId="15" borderId="5" xfId="0" applyFont="1" applyFill="1" applyBorder="1" applyAlignment="1">
      <alignment horizontal="left" vertical="center" wrapText="1" indent="1"/>
    </xf>
    <xf numFmtId="0" fontId="10" fillId="0" borderId="0" xfId="0" applyFont="1" applyAlignment="1">
      <alignment horizontal="left" vertical="center" wrapText="1" indent="1"/>
    </xf>
    <xf numFmtId="0" fontId="10" fillId="0" borderId="21" xfId="0" applyFont="1" applyBorder="1" applyAlignment="1">
      <alignment horizontal="left" vertical="center" wrapText="1" indent="1"/>
    </xf>
    <xf numFmtId="0" fontId="10" fillId="0" borderId="4" xfId="0" applyFont="1" applyBorder="1" applyAlignment="1">
      <alignment horizontal="left" vertical="center" wrapText="1" indent="1"/>
    </xf>
    <xf numFmtId="0" fontId="44" fillId="0" borderId="0" xfId="0" applyFont="1" applyAlignment="1">
      <alignment horizontal="left" wrapText="1"/>
    </xf>
    <xf numFmtId="0" fontId="44" fillId="0" borderId="4" xfId="0" applyFont="1" applyBorder="1" applyAlignment="1">
      <alignment horizontal="left" wrapText="1"/>
    </xf>
    <xf numFmtId="0" fontId="0" fillId="15" borderId="8" xfId="0" applyFill="1" applyBorder="1" applyAlignment="1">
      <alignment wrapText="1"/>
    </xf>
    <xf numFmtId="0" fontId="15" fillId="16" borderId="25" xfId="0" applyFont="1" applyFill="1" applyBorder="1" applyAlignment="1" applyProtection="1">
      <alignment wrapText="1"/>
      <protection locked="0"/>
    </xf>
    <xf numFmtId="0" fontId="123" fillId="31" borderId="25" xfId="0" applyFont="1" applyFill="1" applyBorder="1" applyAlignment="1">
      <alignment horizontal="center"/>
    </xf>
    <xf numFmtId="0" fontId="197" fillId="31" borderId="25" xfId="0" applyFont="1" applyFill="1" applyBorder="1" applyAlignment="1">
      <alignment horizontal="center"/>
    </xf>
    <xf numFmtId="0" fontId="4" fillId="15" borderId="0" xfId="0" applyFont="1" applyFill="1" applyAlignment="1">
      <alignment horizontal="right" vertical="top" wrapText="1"/>
    </xf>
    <xf numFmtId="0" fontId="9" fillId="16" borderId="154" xfId="0" applyFont="1" applyFill="1" applyBorder="1" applyAlignment="1" applyProtection="1">
      <alignment horizontal="left" wrapText="1"/>
      <protection locked="0"/>
    </xf>
    <xf numFmtId="0" fontId="9" fillId="0" borderId="154" xfId="0" applyFont="1" applyBorder="1" applyAlignment="1" applyProtection="1">
      <alignment horizontal="left" wrapText="1"/>
      <protection locked="0"/>
    </xf>
    <xf numFmtId="3" fontId="6" fillId="16" borderId="9" xfId="0" applyNumberFormat="1" applyFont="1" applyFill="1" applyBorder="1" applyAlignment="1" applyProtection="1">
      <alignment horizontal="right"/>
      <protection locked="0"/>
    </xf>
    <xf numFmtId="3" fontId="6" fillId="16" borderId="1" xfId="0" applyNumberFormat="1" applyFont="1" applyFill="1" applyBorder="1" applyAlignment="1" applyProtection="1">
      <alignment horizontal="right"/>
      <protection locked="0"/>
    </xf>
    <xf numFmtId="3" fontId="6" fillId="16" borderId="11" xfId="0" applyNumberFormat="1" applyFont="1" applyFill="1" applyBorder="1" applyAlignment="1" applyProtection="1">
      <alignment horizontal="right"/>
      <protection locked="0"/>
    </xf>
    <xf numFmtId="191" fontId="6" fillId="27" borderId="9" xfId="0" applyNumberFormat="1" applyFont="1" applyFill="1" applyBorder="1" applyAlignment="1">
      <alignment horizontal="right" wrapText="1"/>
    </xf>
    <xf numFmtId="191" fontId="6" fillId="27" borderId="1" xfId="0" applyNumberFormat="1" applyFont="1" applyFill="1" applyBorder="1" applyAlignment="1">
      <alignment horizontal="right" wrapText="1"/>
    </xf>
    <xf numFmtId="191" fontId="6" fillId="27" borderId="11" xfId="0" applyNumberFormat="1" applyFont="1" applyFill="1" applyBorder="1" applyAlignment="1">
      <alignment horizontal="right" wrapText="1"/>
    </xf>
    <xf numFmtId="192" fontId="6" fillId="27" borderId="9" xfId="0" applyNumberFormat="1" applyFont="1" applyFill="1" applyBorder="1" applyAlignment="1">
      <alignment horizontal="right" wrapText="1"/>
    </xf>
    <xf numFmtId="192" fontId="6" fillId="27" borderId="1" xfId="0" applyNumberFormat="1" applyFont="1" applyFill="1" applyBorder="1" applyAlignment="1">
      <alignment horizontal="right" wrapText="1"/>
    </xf>
    <xf numFmtId="192" fontId="6" fillId="27" borderId="11" xfId="0" applyNumberFormat="1" applyFont="1" applyFill="1" applyBorder="1" applyAlignment="1">
      <alignment horizontal="right" wrapText="1"/>
    </xf>
    <xf numFmtId="3" fontId="6" fillId="27" borderId="9" xfId="0" applyNumberFormat="1" applyFont="1" applyFill="1" applyBorder="1" applyAlignment="1">
      <alignment horizontal="right" wrapText="1"/>
    </xf>
    <xf numFmtId="3" fontId="6" fillId="27" borderId="1" xfId="0" applyNumberFormat="1" applyFont="1" applyFill="1" applyBorder="1" applyAlignment="1">
      <alignment horizontal="right" wrapText="1"/>
    </xf>
    <xf numFmtId="3" fontId="6" fillId="27" borderId="11" xfId="0" applyNumberFormat="1" applyFont="1" applyFill="1" applyBorder="1" applyAlignment="1">
      <alignment horizontal="right" wrapText="1"/>
    </xf>
    <xf numFmtId="0" fontId="10" fillId="0" borderId="0" xfId="0" applyFont="1" applyAlignment="1">
      <alignment horizontal="center" vertical="top" wrapText="1"/>
    </xf>
    <xf numFmtId="0" fontId="10" fillId="0" borderId="24" xfId="0" applyFont="1" applyBorder="1" applyAlignment="1">
      <alignment horizontal="center" vertical="top" wrapText="1"/>
    </xf>
    <xf numFmtId="14" fontId="4" fillId="16" borderId="39" xfId="0" applyNumberFormat="1" applyFont="1" applyFill="1" applyBorder="1" applyAlignment="1" applyProtection="1">
      <alignment horizontal="center" vertical="center" wrapText="1"/>
      <protection locked="0"/>
    </xf>
    <xf numFmtId="14" fontId="4" fillId="16" borderId="25" xfId="0" applyNumberFormat="1" applyFont="1" applyFill="1" applyBorder="1" applyAlignment="1" applyProtection="1">
      <alignment horizontal="center" vertical="center" wrapText="1"/>
      <protection locked="0"/>
    </xf>
    <xf numFmtId="14" fontId="0" fillId="0" borderId="25" xfId="0" applyNumberFormat="1" applyBorder="1" applyAlignment="1" applyProtection="1">
      <alignment horizontal="center" vertical="center" wrapText="1"/>
      <protection locked="0"/>
    </xf>
    <xf numFmtId="3" fontId="6" fillId="27" borderId="0" xfId="0" applyNumberFormat="1" applyFont="1" applyFill="1" applyAlignment="1">
      <alignment wrapText="1"/>
    </xf>
    <xf numFmtId="0" fontId="6" fillId="0" borderId="0" xfId="0" applyFont="1" applyAlignment="1">
      <alignment wrapText="1"/>
    </xf>
    <xf numFmtId="0" fontId="11" fillId="15" borderId="27" xfId="0" applyFont="1" applyFill="1" applyBorder="1" applyAlignment="1">
      <alignment horizontal="left" vertical="center" wrapText="1" indent="1"/>
    </xf>
    <xf numFmtId="0" fontId="11" fillId="0" borderId="27" xfId="0" applyFont="1" applyBorder="1" applyAlignment="1">
      <alignment horizontal="left" vertical="center" wrapText="1" indent="1"/>
    </xf>
    <xf numFmtId="0" fontId="12" fillId="15" borderId="30" xfId="0" applyFont="1" applyFill="1" applyBorder="1" applyAlignment="1">
      <alignment horizontal="center" wrapText="1"/>
    </xf>
    <xf numFmtId="0" fontId="15" fillId="15" borderId="0" xfId="0" applyFont="1" applyFill="1" applyAlignment="1">
      <alignment horizontal="center" wrapText="1"/>
    </xf>
    <xf numFmtId="0" fontId="0" fillId="19" borderId="3" xfId="0" applyFill="1" applyBorder="1" applyAlignment="1">
      <alignment vertical="top" wrapText="1"/>
    </xf>
    <xf numFmtId="0" fontId="0" fillId="0" borderId="24" xfId="0" applyBorder="1" applyAlignment="1">
      <alignment vertical="top" wrapText="1"/>
    </xf>
    <xf numFmtId="41" fontId="0" fillId="16" borderId="52" xfId="0" applyNumberFormat="1" applyFill="1" applyBorder="1" applyAlignment="1" applyProtection="1">
      <alignment wrapText="1"/>
      <protection locked="0"/>
    </xf>
    <xf numFmtId="41" fontId="0" fillId="16" borderId="31" xfId="0" applyNumberFormat="1" applyFill="1" applyBorder="1" applyAlignment="1" applyProtection="1">
      <alignment wrapText="1"/>
      <protection locked="0"/>
    </xf>
    <xf numFmtId="0" fontId="4" fillId="15" borderId="11" xfId="0" applyFont="1" applyFill="1" applyBorder="1" applyAlignment="1">
      <alignment horizontal="center"/>
    </xf>
    <xf numFmtId="3" fontId="4" fillId="27" borderId="25" xfId="0" applyNumberFormat="1" applyFont="1" applyFill="1" applyBorder="1" applyAlignment="1">
      <alignment wrapText="1"/>
    </xf>
    <xf numFmtId="0" fontId="0" fillId="0" borderId="25" xfId="0" applyBorder="1" applyAlignment="1">
      <alignment wrapText="1"/>
    </xf>
    <xf numFmtId="0" fontId="123" fillId="31" borderId="34" xfId="0" applyFont="1" applyFill="1" applyBorder="1" applyAlignment="1">
      <alignment horizontal="center"/>
    </xf>
    <xf numFmtId="0" fontId="110" fillId="31" borderId="34" xfId="0" applyFont="1" applyFill="1" applyBorder="1" applyAlignment="1">
      <alignment horizontal="center"/>
    </xf>
    <xf numFmtId="0" fontId="15" fillId="15" borderId="8" xfId="0" applyFont="1" applyFill="1" applyBorder="1" applyAlignment="1">
      <alignment horizontal="center" wrapText="1"/>
    </xf>
    <xf numFmtId="0" fontId="123" fillId="31" borderId="1" xfId="0" applyFont="1" applyFill="1" applyBorder="1" applyAlignment="1">
      <alignment horizontal="center"/>
    </xf>
    <xf numFmtId="0" fontId="110" fillId="31" borderId="1" xfId="0" applyFont="1" applyFill="1" applyBorder="1" applyAlignment="1">
      <alignment horizontal="center"/>
    </xf>
    <xf numFmtId="0" fontId="110" fillId="31" borderId="25" xfId="0" applyFont="1" applyFill="1" applyBorder="1" applyAlignment="1">
      <alignment horizontal="center"/>
    </xf>
    <xf numFmtId="0" fontId="44" fillId="15" borderId="5" xfId="0" applyFont="1" applyFill="1" applyBorder="1" applyAlignment="1">
      <alignment horizontal="center"/>
    </xf>
    <xf numFmtId="0" fontId="44" fillId="15" borderId="0" xfId="0" applyFont="1" applyFill="1" applyAlignment="1">
      <alignment horizontal="center"/>
    </xf>
    <xf numFmtId="0" fontId="44" fillId="15" borderId="20" xfId="0" applyFont="1" applyFill="1" applyBorder="1" applyAlignment="1">
      <alignment horizontal="center"/>
    </xf>
    <xf numFmtId="193" fontId="0" fillId="16" borderId="1" xfId="0" applyNumberFormat="1" applyFill="1" applyBorder="1" applyAlignment="1" applyProtection="1">
      <alignment horizontal="right" wrapText="1"/>
      <protection locked="0"/>
    </xf>
    <xf numFmtId="193" fontId="0" fillId="0" borderId="1" xfId="0" applyNumberFormat="1" applyBorder="1" applyAlignment="1" applyProtection="1">
      <alignment horizontal="right" wrapText="1"/>
      <protection locked="0"/>
    </xf>
    <xf numFmtId="0" fontId="4" fillId="15" borderId="0" xfId="0" applyFont="1" applyFill="1" applyAlignment="1">
      <alignment horizontal="center" vertical="center" wrapText="1"/>
    </xf>
    <xf numFmtId="0" fontId="228" fillId="23" borderId="0" xfId="0" applyFont="1" applyFill="1" applyAlignment="1">
      <alignment horizontal="right"/>
    </xf>
    <xf numFmtId="0" fontId="0" fillId="0" borderId="24" xfId="0" applyBorder="1" applyAlignment="1">
      <alignment wrapText="1"/>
    </xf>
    <xf numFmtId="37" fontId="0" fillId="16" borderId="3" xfId="0" applyNumberFormat="1" applyFill="1" applyBorder="1" applyAlignment="1" applyProtection="1">
      <alignment wrapText="1"/>
      <protection locked="0"/>
    </xf>
    <xf numFmtId="37" fontId="0" fillId="16" borderId="0" xfId="0" applyNumberFormat="1" applyFill="1" applyAlignment="1" applyProtection="1">
      <alignment wrapText="1"/>
      <protection locked="0"/>
    </xf>
    <xf numFmtId="37" fontId="0" fillId="16" borderId="24" xfId="0" applyNumberFormat="1" applyFill="1" applyBorder="1" applyAlignment="1" applyProtection="1">
      <alignment wrapText="1"/>
      <protection locked="0"/>
    </xf>
    <xf numFmtId="0" fontId="115" fillId="15" borderId="3" xfId="0" applyFont="1" applyFill="1" applyBorder="1" applyAlignment="1">
      <alignment horizontal="center"/>
    </xf>
    <xf numFmtId="0" fontId="115" fillId="15" borderId="0" xfId="0" applyFont="1" applyFill="1" applyAlignment="1">
      <alignment horizontal="left"/>
    </xf>
    <xf numFmtId="0" fontId="115" fillId="0" borderId="0" xfId="0" applyFont="1" applyAlignment="1">
      <alignment horizontal="left"/>
    </xf>
    <xf numFmtId="0" fontId="20" fillId="15" borderId="25" xfId="0" applyFont="1" applyFill="1" applyBorder="1" applyAlignment="1">
      <alignment horizontal="left" wrapText="1" indent="1"/>
    </xf>
    <xf numFmtId="0" fontId="20" fillId="0" borderId="25" xfId="0" applyFont="1" applyBorder="1" applyAlignment="1">
      <alignment horizontal="left" wrapText="1" indent="1"/>
    </xf>
    <xf numFmtId="0" fontId="4" fillId="15" borderId="25" xfId="0" applyFont="1" applyFill="1" applyBorder="1" applyAlignment="1">
      <alignment horizontal="left" vertical="center" wrapText="1" indent="1"/>
    </xf>
    <xf numFmtId="0" fontId="4" fillId="15" borderId="56" xfId="0" applyFont="1" applyFill="1" applyBorder="1" applyAlignment="1">
      <alignment horizontal="center"/>
    </xf>
    <xf numFmtId="0" fontId="4" fillId="0" borderId="36" xfId="0" applyFont="1" applyBorder="1" applyAlignment="1">
      <alignment horizontal="center"/>
    </xf>
    <xf numFmtId="41" fontId="4" fillId="16" borderId="1" xfId="0" applyNumberFormat="1" applyFont="1" applyFill="1" applyBorder="1" applyAlignment="1" applyProtection="1">
      <alignment horizontal="right" wrapText="1"/>
      <protection locked="0"/>
    </xf>
    <xf numFmtId="41" fontId="4" fillId="0" borderId="1" xfId="0" applyNumberFormat="1" applyFont="1" applyBorder="1" applyAlignment="1" applyProtection="1">
      <alignment horizontal="right" wrapText="1"/>
      <protection locked="0"/>
    </xf>
    <xf numFmtId="41" fontId="0" fillId="16" borderId="1" xfId="0" applyNumberFormat="1" applyFill="1" applyBorder="1" applyAlignment="1" applyProtection="1">
      <alignment horizontal="right" vertical="top" wrapText="1"/>
      <protection locked="0"/>
    </xf>
    <xf numFmtId="41" fontId="0" fillId="0" borderId="1" xfId="0" applyNumberFormat="1" applyBorder="1" applyAlignment="1" applyProtection="1">
      <alignment horizontal="right" vertical="top" wrapText="1"/>
      <protection locked="0"/>
    </xf>
    <xf numFmtId="0" fontId="10" fillId="15" borderId="5" xfId="0" applyFont="1" applyFill="1" applyBorder="1" applyAlignment="1">
      <alignment horizontal="right" vertical="center" wrapText="1"/>
    </xf>
    <xf numFmtId="0" fontId="10" fillId="15" borderId="0" xfId="0" applyFont="1" applyFill="1" applyAlignment="1">
      <alignment horizontal="right" vertical="center" wrapText="1"/>
    </xf>
    <xf numFmtId="0" fontId="10" fillId="15" borderId="21" xfId="0" applyFont="1" applyFill="1" applyBorder="1" applyAlignment="1">
      <alignment horizontal="right" vertical="center" wrapText="1"/>
    </xf>
    <xf numFmtId="0" fontId="10" fillId="15" borderId="4" xfId="0" applyFont="1" applyFill="1" applyBorder="1" applyAlignment="1">
      <alignment horizontal="right" vertical="center" wrapText="1"/>
    </xf>
    <xf numFmtId="0" fontId="115" fillId="15" borderId="3" xfId="0" applyFont="1" applyFill="1" applyBorder="1" applyAlignment="1">
      <alignment horizontal="center" vertical="center"/>
    </xf>
    <xf numFmtId="0" fontId="4" fillId="23" borderId="0" xfId="0" applyFont="1" applyFill="1" applyAlignment="1">
      <alignment horizontal="center"/>
    </xf>
    <xf numFmtId="3" fontId="110" fillId="15" borderId="0" xfId="0" applyNumberFormat="1" applyFont="1" applyFill="1" applyAlignment="1">
      <alignment horizontal="right" wrapText="1"/>
    </xf>
    <xf numFmtId="3" fontId="110" fillId="15" borderId="0" xfId="0" applyNumberFormat="1" applyFont="1" applyFill="1" applyAlignment="1">
      <alignment horizontal="right"/>
    </xf>
    <xf numFmtId="0" fontId="110" fillId="15" borderId="0" xfId="0" applyFont="1" applyFill="1" applyAlignment="1">
      <alignment wrapText="1"/>
    </xf>
    <xf numFmtId="0" fontId="4" fillId="15" borderId="70" xfId="0" applyFont="1" applyFill="1" applyBorder="1" applyAlignment="1">
      <alignment horizontal="center"/>
    </xf>
    <xf numFmtId="0" fontId="4" fillId="15" borderId="9" xfId="0" applyFont="1" applyFill="1" applyBorder="1" applyAlignment="1">
      <alignment horizontal="center" vertical="top"/>
    </xf>
    <xf numFmtId="0" fontId="0" fillId="0" borderId="11" xfId="0" applyBorder="1" applyAlignment="1">
      <alignment horizontal="center" vertical="top"/>
    </xf>
    <xf numFmtId="0" fontId="12" fillId="27" borderId="39" xfId="0" applyFont="1" applyFill="1" applyBorder="1" applyAlignment="1">
      <alignment horizontal="center" vertical="center"/>
    </xf>
    <xf numFmtId="0" fontId="12" fillId="27" borderId="54" xfId="0" applyFont="1" applyFill="1" applyBorder="1" applyAlignment="1">
      <alignment horizontal="center" vertical="center"/>
    </xf>
    <xf numFmtId="3" fontId="146" fillId="15" borderId="0" xfId="0" applyNumberFormat="1" applyFont="1" applyFill="1" applyAlignment="1">
      <alignment wrapText="1"/>
    </xf>
    <xf numFmtId="0" fontId="146" fillId="15" borderId="0" xfId="0" applyFont="1" applyFill="1" applyAlignment="1">
      <alignment wrapText="1"/>
    </xf>
    <xf numFmtId="0" fontId="146" fillId="2" borderId="30" xfId="0" applyFont="1" applyFill="1" applyBorder="1" applyAlignment="1">
      <alignment horizontal="center"/>
    </xf>
    <xf numFmtId="0" fontId="146" fillId="2" borderId="14" xfId="0" applyFont="1" applyFill="1" applyBorder="1" applyAlignment="1">
      <alignment horizontal="center"/>
    </xf>
    <xf numFmtId="0" fontId="146" fillId="2" borderId="8" xfId="0" applyFont="1" applyFill="1" applyBorder="1" applyAlignment="1">
      <alignment horizontal="center"/>
    </xf>
    <xf numFmtId="0" fontId="146" fillId="2" borderId="3" xfId="0" applyFont="1" applyFill="1" applyBorder="1" applyAlignment="1">
      <alignment horizontal="center" vertical="top"/>
    </xf>
    <xf numFmtId="0" fontId="146" fillId="2" borderId="24" xfId="0" applyFont="1" applyFill="1" applyBorder="1" applyAlignment="1">
      <alignment horizontal="center" vertical="top"/>
    </xf>
    <xf numFmtId="194" fontId="146" fillId="2" borderId="3" xfId="0" applyNumberFormat="1" applyFont="1" applyFill="1" applyBorder="1" applyAlignment="1">
      <alignment horizontal="right"/>
    </xf>
    <xf numFmtId="194" fontId="146" fillId="2" borderId="24" xfId="0" applyNumberFormat="1" applyFont="1" applyFill="1" applyBorder="1" applyAlignment="1">
      <alignment horizontal="right"/>
    </xf>
    <xf numFmtId="0" fontId="146" fillId="2" borderId="0" xfId="0" applyFont="1" applyFill="1" applyAlignment="1">
      <alignment horizontal="center" vertical="top"/>
    </xf>
    <xf numFmtId="194" fontId="146" fillId="2" borderId="0" xfId="0" applyNumberFormat="1" applyFont="1" applyFill="1" applyAlignment="1">
      <alignment horizontal="right"/>
    </xf>
    <xf numFmtId="37" fontId="146" fillId="2" borderId="3" xfId="0" applyNumberFormat="1" applyFont="1" applyFill="1" applyBorder="1" applyAlignment="1">
      <alignment horizontal="right"/>
    </xf>
    <xf numFmtId="37" fontId="146" fillId="2" borderId="24" xfId="0" applyNumberFormat="1" applyFont="1" applyFill="1" applyBorder="1" applyAlignment="1">
      <alignment horizontal="right"/>
    </xf>
    <xf numFmtId="37" fontId="146" fillId="2" borderId="0" xfId="0" applyNumberFormat="1" applyFont="1" applyFill="1" applyAlignment="1">
      <alignment horizontal="right"/>
    </xf>
    <xf numFmtId="189" fontId="4" fillId="2" borderId="3" xfId="0" applyNumberFormat="1" applyFont="1" applyFill="1" applyBorder="1" applyAlignment="1">
      <alignment horizontal="center" vertical="center" wrapText="1"/>
    </xf>
    <xf numFmtId="189" fontId="4" fillId="2" borderId="0" xfId="0" applyNumberFormat="1" applyFont="1" applyFill="1" applyAlignment="1">
      <alignment horizontal="center" vertical="center" wrapText="1"/>
    </xf>
    <xf numFmtId="188" fontId="8" fillId="2" borderId="0" xfId="0" applyNumberFormat="1" applyFont="1" applyFill="1" applyAlignment="1">
      <alignment horizontal="center" vertical="center" wrapText="1"/>
    </xf>
    <xf numFmtId="168" fontId="8" fillId="2" borderId="12" xfId="0" applyNumberFormat="1" applyFont="1" applyFill="1" applyBorder="1" applyAlignment="1" applyProtection="1">
      <alignment horizontal="center" vertical="center" wrapText="1"/>
      <protection locked="0"/>
    </xf>
    <xf numFmtId="168" fontId="8" fillId="2" borderId="39" xfId="0" applyNumberFormat="1" applyFont="1" applyFill="1" applyBorder="1" applyAlignment="1" applyProtection="1">
      <alignment horizontal="center" vertical="center" wrapText="1"/>
      <protection locked="0"/>
    </xf>
    <xf numFmtId="189" fontId="4" fillId="2" borderId="9" xfId="0" applyNumberFormat="1" applyFont="1" applyFill="1" applyBorder="1" applyAlignment="1">
      <alignment horizontal="center" vertical="center" wrapText="1"/>
    </xf>
    <xf numFmtId="189" fontId="4" fillId="2" borderId="11" xfId="0" applyNumberFormat="1" applyFont="1" applyFill="1" applyBorder="1" applyAlignment="1">
      <alignment horizontal="center" vertical="center" wrapText="1"/>
    </xf>
    <xf numFmtId="0" fontId="10" fillId="2" borderId="30" xfId="0" applyFont="1" applyFill="1" applyBorder="1" applyAlignment="1">
      <alignment horizontal="left" vertical="center" wrapText="1"/>
    </xf>
    <xf numFmtId="205" fontId="6" fillId="2" borderId="9" xfId="0" applyNumberFormat="1" applyFont="1" applyFill="1" applyBorder="1" applyAlignment="1">
      <alignment horizontal="center" vertical="center" wrapText="1"/>
    </xf>
    <xf numFmtId="205" fontId="0" fillId="0" borderId="1" xfId="0" applyNumberFormat="1" applyBorder="1" applyAlignment="1">
      <alignment horizontal="center" vertical="center" wrapText="1"/>
    </xf>
    <xf numFmtId="1" fontId="6" fillId="2" borderId="9" xfId="0" applyNumberFormat="1" applyFont="1" applyFill="1" applyBorder="1" applyAlignment="1">
      <alignment horizontal="center" vertical="center" wrapText="1"/>
    </xf>
    <xf numFmtId="1" fontId="6" fillId="0" borderId="1" xfId="0" applyNumberFormat="1" applyFont="1" applyBorder="1" applyAlignment="1">
      <alignment horizontal="center" vertical="center" wrapText="1"/>
    </xf>
    <xf numFmtId="189" fontId="4" fillId="2" borderId="1" xfId="0" applyNumberFormat="1" applyFont="1" applyFill="1" applyBorder="1" applyAlignment="1">
      <alignment horizontal="center" vertical="center" wrapText="1"/>
    </xf>
    <xf numFmtId="14" fontId="6" fillId="8" borderId="39" xfId="0" applyNumberFormat="1" applyFont="1" applyFill="1" applyBorder="1" applyAlignment="1">
      <alignment horizontal="center" vertical="center" wrapText="1"/>
    </xf>
    <xf numFmtId="0" fontId="6" fillId="8" borderId="54" xfId="0" applyFont="1" applyFill="1" applyBorder="1" applyAlignment="1">
      <alignment horizontal="center" vertical="center" wrapText="1"/>
    </xf>
    <xf numFmtId="1" fontId="6" fillId="0" borderId="11" xfId="0" applyNumberFormat="1" applyFont="1" applyBorder="1" applyAlignment="1">
      <alignment horizontal="center" vertical="center" wrapText="1"/>
    </xf>
    <xf numFmtId="205" fontId="0" fillId="0" borderId="11" xfId="0" applyNumberFormat="1" applyBorder="1" applyAlignment="1">
      <alignment horizontal="center" vertical="center" wrapText="1"/>
    </xf>
    <xf numFmtId="205" fontId="6" fillId="0" borderId="11" xfId="0" applyNumberFormat="1" applyFont="1" applyBorder="1" applyAlignment="1">
      <alignment horizontal="center" vertical="center" wrapText="1"/>
    </xf>
    <xf numFmtId="3" fontId="116" fillId="2" borderId="0" xfId="0" applyNumberFormat="1" applyFont="1" applyFill="1" applyAlignment="1">
      <alignment horizontal="center" vertical="center" wrapText="1"/>
    </xf>
    <xf numFmtId="3" fontId="6" fillId="27" borderId="39" xfId="0" applyNumberFormat="1" applyFont="1" applyFill="1" applyBorder="1" applyAlignment="1">
      <alignment horizontal="center" vertical="center" wrapText="1"/>
    </xf>
    <xf numFmtId="0" fontId="6" fillId="27" borderId="54" xfId="0" applyFont="1" applyFill="1" applyBorder="1" applyAlignment="1">
      <alignment horizontal="center" vertical="center" wrapText="1"/>
    </xf>
    <xf numFmtId="188" fontId="116" fillId="2" borderId="0" xfId="0" applyNumberFormat="1" applyFont="1" applyFill="1" applyAlignment="1">
      <alignment horizontal="center" vertical="center" wrapText="1"/>
    </xf>
    <xf numFmtId="0" fontId="4" fillId="2" borderId="30" xfId="0" applyFont="1" applyFill="1" applyBorder="1" applyAlignment="1">
      <alignment horizontal="center" wrapText="1"/>
    </xf>
    <xf numFmtId="0" fontId="0" fillId="0" borderId="8" xfId="0" applyBorder="1" applyAlignment="1">
      <alignment horizontal="center" wrapText="1"/>
    </xf>
    <xf numFmtId="37" fontId="116" fillId="2" borderId="0" xfId="0" applyNumberFormat="1" applyFont="1" applyFill="1" applyAlignment="1">
      <alignment horizontal="center" vertical="center"/>
    </xf>
    <xf numFmtId="188" fontId="116" fillId="15" borderId="0" xfId="0" applyNumberFormat="1" applyFont="1" applyFill="1" applyAlignment="1">
      <alignment horizontal="center" vertical="center" wrapText="1"/>
    </xf>
    <xf numFmtId="188" fontId="116" fillId="0" borderId="0" xfId="0" applyNumberFormat="1" applyFont="1" applyAlignment="1">
      <alignment horizontal="center" vertical="center" wrapText="1"/>
    </xf>
    <xf numFmtId="188" fontId="116" fillId="0" borderId="24" xfId="0" applyNumberFormat="1" applyFont="1" applyBorder="1" applyAlignment="1">
      <alignment horizontal="center" vertical="center" wrapText="1"/>
    </xf>
    <xf numFmtId="0" fontId="8" fillId="15" borderId="0" xfId="0" applyFont="1" applyFill="1" applyAlignment="1">
      <alignment horizontal="left" vertical="center" wrapText="1"/>
    </xf>
    <xf numFmtId="0" fontId="8" fillId="0" borderId="0" xfId="0" applyFont="1" applyAlignment="1">
      <alignment horizontal="left" vertical="center" wrapText="1"/>
    </xf>
    <xf numFmtId="0" fontId="8" fillId="0" borderId="24" xfId="0" applyFont="1" applyBorder="1" applyAlignment="1">
      <alignment horizontal="left" vertical="center" wrapText="1"/>
    </xf>
    <xf numFmtId="0" fontId="172" fillId="15" borderId="30" xfId="0" applyFont="1" applyFill="1" applyBorder="1" applyAlignment="1">
      <alignment horizontal="left" vertical="center" wrapText="1" indent="1"/>
    </xf>
    <xf numFmtId="0" fontId="146" fillId="0" borderId="8" xfId="0" applyFont="1" applyBorder="1" applyAlignment="1">
      <alignment horizontal="left" vertical="center" wrapText="1" indent="1"/>
    </xf>
    <xf numFmtId="0" fontId="146" fillId="0" borderId="14" xfId="0" applyFont="1" applyBorder="1" applyAlignment="1">
      <alignment horizontal="left" vertical="center" wrapText="1" indent="1"/>
    </xf>
    <xf numFmtId="0" fontId="146" fillId="0" borderId="3" xfId="0" applyFont="1" applyBorder="1" applyAlignment="1">
      <alignment horizontal="left" vertical="center" wrapText="1" indent="1"/>
    </xf>
    <xf numFmtId="0" fontId="146" fillId="0" borderId="0" xfId="0" applyFont="1" applyAlignment="1">
      <alignment horizontal="left" vertical="center" wrapText="1" indent="1"/>
    </xf>
    <xf numFmtId="0" fontId="146" fillId="0" borderId="24" xfId="0" applyFont="1" applyBorder="1" applyAlignment="1">
      <alignment horizontal="left" vertical="center" wrapText="1" indent="1"/>
    </xf>
    <xf numFmtId="0" fontId="0" fillId="0" borderId="14" xfId="0" applyBorder="1" applyAlignment="1">
      <alignment horizontal="center" wrapText="1"/>
    </xf>
    <xf numFmtId="37" fontId="116" fillId="2" borderId="3" xfId="0" applyNumberFormat="1" applyFont="1" applyFill="1" applyBorder="1" applyAlignment="1">
      <alignment horizontal="center" vertical="center"/>
    </xf>
    <xf numFmtId="0" fontId="4" fillId="2" borderId="39" xfId="0" applyFont="1" applyFill="1" applyBorder="1" applyAlignment="1">
      <alignment horizontal="center" vertical="center" wrapText="1"/>
    </xf>
    <xf numFmtId="0" fontId="4" fillId="2" borderId="25" xfId="0" applyFont="1" applyFill="1" applyBorder="1" applyAlignment="1">
      <alignment horizontal="center" vertical="center" wrapText="1"/>
    </xf>
    <xf numFmtId="188" fontId="116" fillId="2" borderId="3" xfId="0" applyNumberFormat="1" applyFont="1" applyFill="1" applyBorder="1" applyAlignment="1">
      <alignment horizontal="center" vertical="center" wrapText="1"/>
    </xf>
    <xf numFmtId="0" fontId="67" fillId="0" borderId="62" xfId="2" applyBorder="1" applyAlignment="1" applyProtection="1">
      <alignment horizontal="center" wrapText="1"/>
    </xf>
    <xf numFmtId="0" fontId="67" fillId="0" borderId="63" xfId="2" applyBorder="1" applyAlignment="1" applyProtection="1">
      <alignment horizontal="center" wrapText="1"/>
    </xf>
    <xf numFmtId="0" fontId="67" fillId="0" borderId="62" xfId="2" applyBorder="1" applyAlignment="1" applyProtection="1">
      <alignment horizontal="center" vertical="center" wrapText="1"/>
    </xf>
    <xf numFmtId="0" fontId="67" fillId="0" borderId="63" xfId="2" applyBorder="1" applyAlignment="1" applyProtection="1">
      <alignment horizontal="center" vertical="center" wrapText="1"/>
    </xf>
    <xf numFmtId="0" fontId="8" fillId="15" borderId="8" xfId="0" applyFont="1" applyFill="1" applyBorder="1" applyAlignment="1">
      <alignment horizontal="left" vertical="center" wrapText="1"/>
    </xf>
    <xf numFmtId="0" fontId="8" fillId="0" borderId="8" xfId="0" applyFont="1" applyBorder="1" applyAlignment="1">
      <alignment horizontal="left" vertical="center" wrapText="1"/>
    </xf>
    <xf numFmtId="0" fontId="8" fillId="0" borderId="14" xfId="0" applyFont="1" applyBorder="1" applyAlignment="1">
      <alignment horizontal="left" vertical="center" wrapText="1"/>
    </xf>
    <xf numFmtId="0" fontId="8" fillId="0" borderId="1" xfId="0" applyFont="1" applyBorder="1" applyAlignment="1">
      <alignment horizontal="left" vertical="center" wrapText="1"/>
    </xf>
    <xf numFmtId="0" fontId="8" fillId="0" borderId="11" xfId="0" applyFont="1" applyBorder="1" applyAlignment="1">
      <alignment horizontal="left" vertical="center" wrapText="1"/>
    </xf>
    <xf numFmtId="3" fontId="6" fillId="27" borderId="9" xfId="0" applyNumberFormat="1" applyFont="1" applyFill="1" applyBorder="1" applyAlignment="1">
      <alignment wrapText="1"/>
    </xf>
    <xf numFmtId="3" fontId="0" fillId="27" borderId="155" xfId="0" applyNumberFormat="1" applyFill="1" applyBorder="1" applyAlignment="1">
      <alignment horizontal="right" vertical="center"/>
    </xf>
    <xf numFmtId="3" fontId="0" fillId="27" borderId="121" xfId="0" applyNumberFormat="1" applyFill="1" applyBorder="1" applyAlignment="1">
      <alignment horizontal="right" vertical="center"/>
    </xf>
    <xf numFmtId="3" fontId="6" fillId="27" borderId="11" xfId="0" applyNumberFormat="1" applyFont="1" applyFill="1" applyBorder="1" applyAlignment="1">
      <alignment wrapText="1"/>
    </xf>
    <xf numFmtId="3" fontId="6" fillId="27" borderId="3" xfId="0" applyNumberFormat="1" applyFont="1" applyFill="1" applyBorder="1" applyAlignment="1">
      <alignment wrapText="1"/>
    </xf>
    <xf numFmtId="3" fontId="6" fillId="27" borderId="24" xfId="0" applyNumberFormat="1" applyFont="1" applyFill="1" applyBorder="1" applyAlignment="1">
      <alignment wrapText="1"/>
    </xf>
    <xf numFmtId="3" fontId="146" fillId="2" borderId="3" xfId="0" applyNumberFormat="1" applyFont="1" applyFill="1" applyBorder="1" applyAlignment="1" applyProtection="1">
      <alignment horizontal="center" vertical="center"/>
      <protection locked="0"/>
    </xf>
    <xf numFmtId="3" fontId="146" fillId="2" borderId="0" xfId="0" applyNumberFormat="1" applyFont="1" applyFill="1" applyAlignment="1" applyProtection="1">
      <alignment horizontal="center" vertical="center"/>
      <protection locked="0"/>
    </xf>
    <xf numFmtId="205" fontId="6" fillId="2" borderId="9" xfId="0" applyNumberFormat="1" applyFont="1" applyFill="1" applyBorder="1" applyAlignment="1">
      <alignment horizontal="center" wrapText="1"/>
    </xf>
    <xf numFmtId="205" fontId="0" fillId="0" borderId="11" xfId="0" applyNumberFormat="1" applyBorder="1" applyAlignment="1">
      <alignment horizontal="center" wrapText="1"/>
    </xf>
    <xf numFmtId="3" fontId="6" fillId="27" borderId="3" xfId="0" applyNumberFormat="1" applyFont="1" applyFill="1" applyBorder="1" applyAlignment="1">
      <alignment vertical="center" wrapText="1"/>
    </xf>
    <xf numFmtId="3" fontId="6" fillId="27" borderId="0" xfId="0" applyNumberFormat="1" applyFont="1" applyFill="1" applyAlignment="1">
      <alignment vertical="center" wrapText="1"/>
    </xf>
    <xf numFmtId="205" fontId="0" fillId="0" borderId="1" xfId="0" applyNumberFormat="1" applyBorder="1" applyAlignment="1">
      <alignment horizontal="center" wrapText="1"/>
    </xf>
    <xf numFmtId="185" fontId="180" fillId="2" borderId="30" xfId="0" applyNumberFormat="1" applyFont="1" applyFill="1" applyBorder="1" applyAlignment="1">
      <alignment horizontal="center"/>
    </xf>
    <xf numFmtId="185" fontId="180" fillId="0" borderId="8" xfId="0" applyNumberFormat="1" applyFont="1" applyBorder="1" applyAlignment="1">
      <alignment horizontal="center"/>
    </xf>
    <xf numFmtId="3" fontId="6" fillId="27" borderId="24" xfId="0" applyNumberFormat="1" applyFont="1" applyFill="1" applyBorder="1" applyAlignment="1">
      <alignment vertical="center" wrapText="1"/>
    </xf>
    <xf numFmtId="3" fontId="6" fillId="27" borderId="39" xfId="0" applyNumberFormat="1" applyFont="1" applyFill="1" applyBorder="1" applyAlignment="1">
      <alignment wrapText="1"/>
    </xf>
    <xf numFmtId="3" fontId="6" fillId="27" borderId="54" xfId="0" applyNumberFormat="1" applyFont="1" applyFill="1" applyBorder="1" applyAlignment="1">
      <alignment wrapText="1"/>
    </xf>
    <xf numFmtId="3" fontId="6" fillId="27" borderId="25" xfId="0" applyNumberFormat="1" applyFont="1" applyFill="1" applyBorder="1" applyAlignment="1">
      <alignment wrapText="1"/>
    </xf>
    <xf numFmtId="0" fontId="6" fillId="2" borderId="14" xfId="0" applyFont="1" applyFill="1" applyBorder="1" applyAlignment="1">
      <alignment horizontal="center" wrapText="1"/>
    </xf>
    <xf numFmtId="0" fontId="15" fillId="0" borderId="181" xfId="0" applyFont="1" applyBorder="1" applyAlignment="1">
      <alignment horizontal="left" vertical="center" wrapText="1"/>
    </xf>
    <xf numFmtId="0" fontId="15" fillId="0" borderId="160" xfId="0" applyFont="1" applyBorder="1" applyAlignment="1">
      <alignment horizontal="left" vertical="center" wrapText="1"/>
    </xf>
    <xf numFmtId="0" fontId="15" fillId="0" borderId="40" xfId="0" applyFont="1" applyBorder="1" applyAlignment="1">
      <alignment horizontal="left" vertical="center" wrapText="1"/>
    </xf>
    <xf numFmtId="0" fontId="8" fillId="0" borderId="179" xfId="0" applyFont="1" applyBorder="1" applyAlignment="1">
      <alignment horizontal="left" vertical="top" wrapText="1"/>
    </xf>
    <xf numFmtId="0" fontId="8" fillId="0" borderId="106" xfId="0" applyFont="1" applyBorder="1" applyAlignment="1">
      <alignment horizontal="left" vertical="top" wrapText="1"/>
    </xf>
    <xf numFmtId="0" fontId="8" fillId="0" borderId="5" xfId="0" applyFont="1" applyBorder="1" applyAlignment="1">
      <alignment horizontal="left" vertical="top" wrapText="1"/>
    </xf>
    <xf numFmtId="0" fontId="8" fillId="0" borderId="0" xfId="0" applyFont="1" applyAlignment="1">
      <alignment horizontal="left" vertical="top" wrapText="1"/>
    </xf>
    <xf numFmtId="0" fontId="8" fillId="0" borderId="180" xfId="0" applyFont="1" applyBorder="1" applyAlignment="1">
      <alignment horizontal="left" vertical="top" wrapText="1"/>
    </xf>
    <xf numFmtId="0" fontId="8" fillId="0" borderId="20" xfId="0" applyFont="1" applyBorder="1" applyAlignment="1">
      <alignment horizontal="left" vertical="top" wrapText="1"/>
    </xf>
    <xf numFmtId="0" fontId="6" fillId="0" borderId="5" xfId="0" applyFont="1" applyBorder="1" applyAlignment="1">
      <alignment horizontal="left" vertical="center" wrapText="1"/>
    </xf>
    <xf numFmtId="0" fontId="6" fillId="0" borderId="20" xfId="0" applyFont="1" applyBorder="1" applyAlignment="1">
      <alignment horizontal="left" vertical="center" wrapText="1"/>
    </xf>
    <xf numFmtId="0" fontId="6" fillId="0" borderId="21" xfId="0" applyFont="1" applyBorder="1" applyAlignment="1">
      <alignment horizontal="left" vertical="center" wrapText="1"/>
    </xf>
    <xf numFmtId="0" fontId="6" fillId="0" borderId="22" xfId="0" applyFont="1" applyBorder="1" applyAlignment="1">
      <alignment horizontal="left" vertical="center" wrapText="1"/>
    </xf>
    <xf numFmtId="0" fontId="4" fillId="0" borderId="80" xfId="0" applyFont="1" applyBorder="1" applyAlignment="1">
      <alignment horizontal="left" vertical="center" wrapText="1"/>
    </xf>
    <xf numFmtId="0" fontId="4" fillId="0" borderId="8" xfId="0" applyFont="1" applyBorder="1" applyAlignment="1">
      <alignment horizontal="left" vertical="center" wrapText="1"/>
    </xf>
    <xf numFmtId="0" fontId="0" fillId="0" borderId="8" xfId="0" applyBorder="1" applyAlignment="1">
      <alignment vertical="center" wrapText="1"/>
    </xf>
    <xf numFmtId="0" fontId="0" fillId="0" borderId="88" xfId="0" applyBorder="1" applyAlignment="1">
      <alignment vertical="center" wrapText="1"/>
    </xf>
    <xf numFmtId="0" fontId="4" fillId="0" borderId="177" xfId="0" applyFont="1" applyBorder="1" applyAlignment="1">
      <alignment horizontal="left" vertical="center" wrapText="1"/>
    </xf>
    <xf numFmtId="0" fontId="4" fillId="0" borderId="87" xfId="0" applyFont="1" applyBorder="1" applyAlignment="1">
      <alignment horizontal="left" vertical="center" wrapText="1"/>
    </xf>
    <xf numFmtId="0" fontId="0" fillId="0" borderId="87" xfId="0" applyBorder="1" applyAlignment="1">
      <alignment vertical="center" wrapText="1"/>
    </xf>
    <xf numFmtId="0" fontId="0" fillId="0" borderId="178" xfId="0" applyBorder="1" applyAlignment="1">
      <alignment vertical="center" wrapText="1"/>
    </xf>
    <xf numFmtId="0" fontId="6" fillId="15" borderId="5" xfId="0" applyFont="1" applyFill="1" applyBorder="1" applyAlignment="1">
      <alignment horizontal="left" vertical="top" wrapText="1"/>
    </xf>
    <xf numFmtId="0" fontId="0" fillId="0" borderId="20" xfId="0" applyBorder="1" applyAlignment="1">
      <alignment wrapText="1"/>
    </xf>
    <xf numFmtId="0" fontId="0" fillId="0" borderId="26" xfId="0" applyBorder="1" applyAlignment="1">
      <alignment horizontal="left" wrapText="1"/>
    </xf>
    <xf numFmtId="37" fontId="11" fillId="16" borderId="59" xfId="0" applyNumberFormat="1" applyFont="1" applyFill="1" applyBorder="1" applyAlignment="1" applyProtection="1">
      <alignment horizontal="right" vertical="center" wrapText="1" indent="1"/>
      <protection locked="0"/>
    </xf>
    <xf numFmtId="37" fontId="11" fillId="16" borderId="74" xfId="0" applyNumberFormat="1" applyFont="1" applyFill="1" applyBorder="1" applyAlignment="1" applyProtection="1">
      <alignment horizontal="right" vertical="center" wrapText="1" indent="1"/>
      <protection locked="0"/>
    </xf>
    <xf numFmtId="37" fontId="11" fillId="16" borderId="60" xfId="0" applyNumberFormat="1" applyFont="1" applyFill="1" applyBorder="1" applyAlignment="1" applyProtection="1">
      <alignment horizontal="right" vertical="center" wrapText="1" indent="1"/>
      <protection locked="0"/>
    </xf>
    <xf numFmtId="166" fontId="4" fillId="27" borderId="9" xfId="0" applyNumberFormat="1" applyFont="1" applyFill="1" applyBorder="1" applyAlignment="1">
      <alignment horizontal="center" vertical="center"/>
    </xf>
    <xf numFmtId="166" fontId="4" fillId="27" borderId="1" xfId="0" applyNumberFormat="1" applyFont="1" applyFill="1" applyBorder="1" applyAlignment="1">
      <alignment horizontal="center" vertical="center"/>
    </xf>
    <xf numFmtId="0" fontId="44" fillId="2" borderId="8" xfId="0" applyFont="1" applyFill="1" applyBorder="1" applyAlignment="1">
      <alignment horizontal="center" vertical="center"/>
    </xf>
    <xf numFmtId="0" fontId="6" fillId="2" borderId="30" xfId="0" applyFont="1" applyFill="1" applyBorder="1" applyAlignment="1">
      <alignment horizontal="left" vertical="center"/>
    </xf>
    <xf numFmtId="0" fontId="6" fillId="2" borderId="8" xfId="0" applyFont="1" applyFill="1" applyBorder="1" applyAlignment="1">
      <alignment horizontal="left" vertical="center"/>
    </xf>
    <xf numFmtId="0" fontId="6" fillId="2" borderId="14" xfId="0" applyFont="1" applyFill="1" applyBorder="1" applyAlignment="1">
      <alignment horizontal="left" vertical="center"/>
    </xf>
    <xf numFmtId="0" fontId="6" fillId="2" borderId="9" xfId="0" applyFont="1" applyFill="1" applyBorder="1" applyAlignment="1">
      <alignment horizontal="left" vertical="center"/>
    </xf>
    <xf numFmtId="0" fontId="6" fillId="2" borderId="1" xfId="0" applyFont="1" applyFill="1" applyBorder="1" applyAlignment="1">
      <alignment horizontal="left" vertical="center"/>
    </xf>
    <xf numFmtId="0" fontId="6" fillId="2" borderId="11" xfId="0" applyFont="1" applyFill="1" applyBorder="1" applyAlignment="1">
      <alignment horizontal="left" vertical="center"/>
    </xf>
    <xf numFmtId="37" fontId="6" fillId="27" borderId="9" xfId="0" applyNumberFormat="1" applyFont="1" applyFill="1" applyBorder="1" applyAlignment="1">
      <alignment horizontal="right" vertical="center"/>
    </xf>
    <xf numFmtId="37" fontId="6" fillId="27" borderId="1" xfId="0" applyNumberFormat="1" applyFont="1" applyFill="1" applyBorder="1" applyAlignment="1">
      <alignment horizontal="right" vertical="center"/>
    </xf>
    <xf numFmtId="0" fontId="6" fillId="2" borderId="30" xfId="0" applyFont="1" applyFill="1" applyBorder="1" applyAlignment="1">
      <alignment horizontal="left" vertical="center" wrapText="1"/>
    </xf>
    <xf numFmtId="0" fontId="6" fillId="0" borderId="8" xfId="0" applyFont="1" applyBorder="1" applyAlignment="1">
      <alignment horizontal="left" vertical="center" wrapText="1"/>
    </xf>
    <xf numFmtId="0" fontId="6" fillId="0" borderId="14" xfId="0" applyFont="1" applyBorder="1" applyAlignment="1">
      <alignment horizontal="left" vertical="center" wrapText="1"/>
    </xf>
    <xf numFmtId="0" fontId="6" fillId="0" borderId="9" xfId="0" applyFont="1" applyBorder="1" applyAlignment="1">
      <alignment horizontal="left" vertical="center" wrapText="1"/>
    </xf>
    <xf numFmtId="0" fontId="6" fillId="0" borderId="1" xfId="0" applyFont="1" applyBorder="1" applyAlignment="1">
      <alignment horizontal="left" vertical="center" wrapText="1"/>
    </xf>
    <xf numFmtId="0" fontId="6" fillId="0" borderId="11" xfId="0" applyFont="1" applyBorder="1" applyAlignment="1">
      <alignment horizontal="left" vertical="center" wrapText="1"/>
    </xf>
    <xf numFmtId="0" fontId="110" fillId="15" borderId="4" xfId="0" applyFont="1" applyFill="1" applyBorder="1" applyAlignment="1">
      <alignment wrapText="1"/>
    </xf>
    <xf numFmtId="0" fontId="110" fillId="0" borderId="4" xfId="0" applyFont="1" applyBorder="1" applyAlignment="1">
      <alignment wrapText="1"/>
    </xf>
    <xf numFmtId="0" fontId="0" fillId="0" borderId="1" xfId="0" applyBorder="1" applyAlignment="1">
      <alignment vertical="center"/>
    </xf>
    <xf numFmtId="0" fontId="0" fillId="2" borderId="30" xfId="0" applyFill="1" applyBorder="1"/>
    <xf numFmtId="0" fontId="44" fillId="15" borderId="0" xfId="0" applyFont="1" applyFill="1" applyAlignment="1">
      <alignment horizontal="center" vertical="center"/>
    </xf>
    <xf numFmtId="0" fontId="120" fillId="0" borderId="0" xfId="0" applyFont="1" applyAlignment="1">
      <alignment vertical="center"/>
    </xf>
    <xf numFmtId="0" fontId="8" fillId="2" borderId="56" xfId="0" applyFont="1" applyFill="1" applyBorder="1" applyAlignment="1">
      <alignment horizontal="left" indent="1"/>
    </xf>
    <xf numFmtId="0" fontId="8" fillId="2" borderId="7" xfId="0" applyFont="1" applyFill="1" applyBorder="1" applyAlignment="1">
      <alignment horizontal="left" indent="1"/>
    </xf>
    <xf numFmtId="0" fontId="15" fillId="15" borderId="181" xfId="0" applyFont="1" applyFill="1" applyBorder="1" applyAlignment="1">
      <alignment horizontal="left" wrapText="1"/>
    </xf>
    <xf numFmtId="0" fontId="15" fillId="15" borderId="160" xfId="0" applyFont="1" applyFill="1" applyBorder="1" applyAlignment="1">
      <alignment horizontal="left" wrapText="1"/>
    </xf>
    <xf numFmtId="0" fontId="15" fillId="15" borderId="40" xfId="0" applyFont="1" applyFill="1" applyBorder="1" applyAlignment="1">
      <alignment horizontal="left" wrapText="1"/>
    </xf>
    <xf numFmtId="0" fontId="44" fillId="15" borderId="7" xfId="0" applyFont="1" applyFill="1" applyBorder="1" applyAlignment="1">
      <alignment horizontal="center" wrapText="1"/>
    </xf>
    <xf numFmtId="0" fontId="20" fillId="15" borderId="0" xfId="0" applyFont="1" applyFill="1" applyAlignment="1">
      <alignment horizontal="center" vertical="center" wrapText="1"/>
    </xf>
    <xf numFmtId="0" fontId="15" fillId="15" borderId="0" xfId="0" applyFont="1" applyFill="1" applyAlignment="1">
      <alignment horizontal="center" vertical="center" wrapText="1"/>
    </xf>
    <xf numFmtId="0" fontId="15" fillId="15" borderId="4" xfId="0" applyFont="1" applyFill="1" applyBorder="1" applyAlignment="1">
      <alignment horizontal="center" vertical="center" wrapText="1"/>
    </xf>
    <xf numFmtId="0" fontId="20" fillId="2" borderId="5" xfId="0" applyFont="1" applyFill="1" applyBorder="1" applyAlignment="1">
      <alignment horizontal="center" vertical="center" wrapText="1"/>
    </xf>
    <xf numFmtId="0" fontId="20" fillId="2" borderId="0" xfId="0" applyFont="1" applyFill="1" applyAlignment="1">
      <alignment horizontal="center" vertical="center" wrapText="1"/>
    </xf>
    <xf numFmtId="0" fontId="20" fillId="2" borderId="20" xfId="0" applyFont="1" applyFill="1" applyBorder="1" applyAlignment="1">
      <alignment horizontal="center" vertical="center" wrapText="1"/>
    </xf>
    <xf numFmtId="0" fontId="12" fillId="2" borderId="5" xfId="0" applyFont="1" applyFill="1" applyBorder="1" applyAlignment="1">
      <alignment horizontal="center"/>
    </xf>
    <xf numFmtId="0" fontId="12" fillId="2" borderId="0" xfId="0" applyFont="1" applyFill="1" applyAlignment="1">
      <alignment horizontal="center"/>
    </xf>
    <xf numFmtId="37" fontId="11" fillId="16" borderId="23" xfId="0" applyNumberFormat="1" applyFont="1" applyFill="1" applyBorder="1" applyAlignment="1" applyProtection="1">
      <alignment horizontal="right" vertical="center" wrapText="1" indent="1"/>
      <protection locked="0"/>
    </xf>
    <xf numFmtId="37" fontId="11" fillId="16" borderId="7" xfId="0" applyNumberFormat="1" applyFont="1" applyFill="1" applyBorder="1" applyAlignment="1" applyProtection="1">
      <alignment horizontal="right" vertical="center" wrapText="1" indent="1"/>
      <protection locked="0"/>
    </xf>
    <xf numFmtId="37" fontId="11" fillId="16" borderId="19" xfId="0" applyNumberFormat="1" applyFont="1" applyFill="1" applyBorder="1" applyAlignment="1" applyProtection="1">
      <alignment horizontal="right" vertical="center" wrapText="1" indent="1"/>
      <protection locked="0"/>
    </xf>
    <xf numFmtId="37" fontId="11" fillId="16" borderId="21" xfId="0" applyNumberFormat="1" applyFont="1" applyFill="1" applyBorder="1" applyAlignment="1" applyProtection="1">
      <alignment horizontal="right" vertical="center" wrapText="1" indent="1"/>
      <protection locked="0"/>
    </xf>
    <xf numFmtId="37" fontId="11" fillId="16" borderId="4" xfId="0" applyNumberFormat="1" applyFont="1" applyFill="1" applyBorder="1" applyAlignment="1" applyProtection="1">
      <alignment horizontal="right" vertical="center" wrapText="1" indent="1"/>
      <protection locked="0"/>
    </xf>
    <xf numFmtId="37" fontId="11" fillId="16" borderId="22" xfId="0" applyNumberFormat="1" applyFont="1" applyFill="1" applyBorder="1" applyAlignment="1" applyProtection="1">
      <alignment horizontal="right" vertical="center" wrapText="1" indent="1"/>
      <protection locked="0"/>
    </xf>
    <xf numFmtId="3" fontId="112" fillId="15" borderId="5" xfId="0" applyNumberFormat="1" applyFont="1" applyFill="1" applyBorder="1" applyAlignment="1">
      <alignment horizontal="center" wrapText="1"/>
    </xf>
    <xf numFmtId="3" fontId="112" fillId="15" borderId="0" xfId="0" applyNumberFormat="1" applyFont="1" applyFill="1" applyAlignment="1">
      <alignment horizontal="center" wrapText="1"/>
    </xf>
    <xf numFmtId="3" fontId="112" fillId="15" borderId="5" xfId="0" applyNumberFormat="1" applyFont="1" applyFill="1" applyBorder="1" applyAlignment="1">
      <alignment horizontal="center" vertical="center" wrapText="1"/>
    </xf>
    <xf numFmtId="3" fontId="112" fillId="15" borderId="0" xfId="0" applyNumberFormat="1" applyFont="1" applyFill="1" applyAlignment="1">
      <alignment horizontal="center" vertical="center" wrapText="1"/>
    </xf>
    <xf numFmtId="37" fontId="15" fillId="16" borderId="23" xfId="0" applyNumberFormat="1" applyFont="1" applyFill="1" applyBorder="1" applyAlignment="1" applyProtection="1">
      <alignment horizontal="right" vertical="center" wrapText="1" indent="1"/>
      <protection locked="0"/>
    </xf>
    <xf numFmtId="37" fontId="15" fillId="16" borderId="7" xfId="0" applyNumberFormat="1" applyFont="1" applyFill="1" applyBorder="1" applyAlignment="1" applyProtection="1">
      <alignment horizontal="right" vertical="center" wrapText="1" indent="1"/>
      <protection locked="0"/>
    </xf>
    <xf numFmtId="37" fontId="15" fillId="16" borderId="19" xfId="0" applyNumberFormat="1" applyFont="1" applyFill="1" applyBorder="1" applyAlignment="1" applyProtection="1">
      <alignment horizontal="right" vertical="center" wrapText="1" indent="1"/>
      <protection locked="0"/>
    </xf>
    <xf numFmtId="37" fontId="15" fillId="16" borderId="21" xfId="0" applyNumberFormat="1" applyFont="1" applyFill="1" applyBorder="1" applyAlignment="1" applyProtection="1">
      <alignment horizontal="right" vertical="center" wrapText="1" indent="1"/>
      <protection locked="0"/>
    </xf>
    <xf numFmtId="37" fontId="15" fillId="16" borderId="4" xfId="0" applyNumberFormat="1" applyFont="1" applyFill="1" applyBorder="1" applyAlignment="1" applyProtection="1">
      <alignment horizontal="right" vertical="center" wrapText="1" indent="1"/>
      <protection locked="0"/>
    </xf>
    <xf numFmtId="37" fontId="15" fillId="16" borderId="22" xfId="0" applyNumberFormat="1" applyFont="1" applyFill="1" applyBorder="1" applyAlignment="1" applyProtection="1">
      <alignment horizontal="right" vertical="center" wrapText="1" indent="1"/>
      <protection locked="0"/>
    </xf>
    <xf numFmtId="0" fontId="121" fillId="8" borderId="20" xfId="0" applyFont="1" applyFill="1" applyBorder="1" applyAlignment="1">
      <alignment horizontal="center" wrapText="1"/>
    </xf>
    <xf numFmtId="0" fontId="4" fillId="2" borderId="3" xfId="0" applyFont="1" applyFill="1" applyBorder="1" applyAlignment="1">
      <alignment horizontal="center" vertical="center"/>
    </xf>
    <xf numFmtId="0" fontId="14" fillId="0" borderId="8" xfId="0" applyFont="1" applyBorder="1" applyAlignment="1">
      <alignment horizontal="left" vertical="center" wrapText="1"/>
    </xf>
    <xf numFmtId="0" fontId="14" fillId="0" borderId="14" xfId="0" applyFont="1" applyBorder="1" applyAlignment="1">
      <alignment horizontal="left" vertical="center" wrapText="1"/>
    </xf>
    <xf numFmtId="0" fontId="14" fillId="0" borderId="0" xfId="0" applyFont="1" applyAlignment="1">
      <alignment horizontal="left" vertical="center" wrapText="1"/>
    </xf>
    <xf numFmtId="0" fontId="14" fillId="0" borderId="24" xfId="0" applyFont="1" applyBorder="1" applyAlignment="1">
      <alignment horizontal="left" vertical="center" wrapText="1"/>
    </xf>
    <xf numFmtId="0" fontId="14" fillId="0" borderId="1" xfId="0" applyFont="1" applyBorder="1" applyAlignment="1">
      <alignment horizontal="left" vertical="center" wrapText="1"/>
    </xf>
    <xf numFmtId="0" fontId="14" fillId="0" borderId="11" xfId="0" applyFont="1" applyBorder="1" applyAlignment="1">
      <alignment horizontal="left" vertical="center" wrapText="1"/>
    </xf>
    <xf numFmtId="185" fontId="180" fillId="0" borderId="14" xfId="0" applyNumberFormat="1" applyFont="1" applyBorder="1" applyAlignment="1">
      <alignment horizontal="center"/>
    </xf>
    <xf numFmtId="0" fontId="112" fillId="2" borderId="121" xfId="0" applyFont="1" applyFill="1" applyBorder="1"/>
    <xf numFmtId="0" fontId="112" fillId="0" borderId="121" xfId="0" applyFont="1" applyBorder="1"/>
    <xf numFmtId="0" fontId="173" fillId="2" borderId="0" xfId="0" applyFont="1" applyFill="1" applyAlignment="1">
      <alignment horizontal="center"/>
    </xf>
    <xf numFmtId="0" fontId="91" fillId="2" borderId="0" xfId="0" applyFont="1" applyFill="1" applyAlignment="1">
      <alignment horizontal="center" vertical="center" wrapText="1"/>
    </xf>
    <xf numFmtId="0" fontId="91" fillId="0" borderId="20" xfId="0" applyFont="1" applyBorder="1" applyAlignment="1">
      <alignment horizontal="center" vertical="center" wrapText="1"/>
    </xf>
    <xf numFmtId="0" fontId="91" fillId="0" borderId="0" xfId="0" applyFont="1" applyAlignment="1">
      <alignment horizontal="center" vertical="center" wrapText="1"/>
    </xf>
    <xf numFmtId="0" fontId="6" fillId="2" borderId="0" xfId="0" applyFont="1" applyFill="1" applyAlignment="1">
      <alignment horizontal="right" vertical="center" wrapText="1"/>
    </xf>
    <xf numFmtId="0" fontId="0" fillId="0" borderId="0" xfId="0" applyAlignment="1">
      <alignment horizontal="right" vertical="center" wrapText="1"/>
    </xf>
    <xf numFmtId="0" fontId="170" fillId="2" borderId="0" xfId="0" applyFont="1" applyFill="1" applyAlignment="1">
      <alignment horizontal="right" vertical="center" wrapText="1"/>
    </xf>
    <xf numFmtId="0" fontId="170" fillId="0" borderId="0" xfId="0" applyFont="1" applyAlignment="1">
      <alignment horizontal="right" vertical="center" wrapText="1"/>
    </xf>
    <xf numFmtId="0" fontId="12" fillId="2" borderId="21" xfId="0" applyFont="1" applyFill="1" applyBorder="1" applyAlignment="1">
      <alignment horizontal="center"/>
    </xf>
    <xf numFmtId="0" fontId="12" fillId="2" borderId="4" xfId="0" applyFont="1" applyFill="1" applyBorder="1" applyAlignment="1">
      <alignment horizontal="center"/>
    </xf>
    <xf numFmtId="0" fontId="12" fillId="2" borderId="22" xfId="0" applyFont="1" applyFill="1" applyBorder="1" applyAlignment="1">
      <alignment horizontal="center"/>
    </xf>
    <xf numFmtId="0" fontId="47" fillId="2" borderId="30" xfId="0" applyFont="1" applyFill="1" applyBorder="1" applyAlignment="1">
      <alignment horizontal="left" vertical="center" wrapText="1"/>
    </xf>
    <xf numFmtId="0" fontId="47" fillId="2" borderId="8" xfId="0" applyFont="1" applyFill="1" applyBorder="1" applyAlignment="1">
      <alignment horizontal="left" vertical="center" wrapText="1"/>
    </xf>
    <xf numFmtId="0" fontId="47" fillId="2" borderId="14" xfId="0" applyFont="1" applyFill="1" applyBorder="1" applyAlignment="1">
      <alignment horizontal="left" vertical="center" wrapText="1"/>
    </xf>
    <xf numFmtId="0" fontId="47" fillId="2" borderId="3" xfId="0" applyFont="1" applyFill="1" applyBorder="1" applyAlignment="1">
      <alignment horizontal="left" vertical="center" wrapText="1"/>
    </xf>
    <xf numFmtId="0" fontId="47" fillId="2" borderId="0" xfId="0" applyFont="1" applyFill="1" applyAlignment="1">
      <alignment horizontal="left" vertical="center" wrapText="1"/>
    </xf>
    <xf numFmtId="0" fontId="47" fillId="2" borderId="24" xfId="0" applyFont="1" applyFill="1" applyBorder="1" applyAlignment="1">
      <alignment horizontal="left" vertical="center" wrapText="1"/>
    </xf>
    <xf numFmtId="0" fontId="47" fillId="2" borderId="9" xfId="0" applyFont="1" applyFill="1" applyBorder="1" applyAlignment="1">
      <alignment horizontal="left" vertical="center" wrapText="1"/>
    </xf>
    <xf numFmtId="0" fontId="47" fillId="2" borderId="1" xfId="0" applyFont="1" applyFill="1" applyBorder="1" applyAlignment="1">
      <alignment horizontal="left" vertical="center" wrapText="1"/>
    </xf>
    <xf numFmtId="0" fontId="47" fillId="2" borderId="11" xfId="0" applyFont="1" applyFill="1" applyBorder="1" applyAlignment="1">
      <alignment horizontal="left" vertical="center" wrapText="1"/>
    </xf>
    <xf numFmtId="0" fontId="112" fillId="2" borderId="30" xfId="0" applyFont="1" applyFill="1" applyBorder="1" applyAlignment="1">
      <alignment horizontal="right"/>
    </xf>
    <xf numFmtId="0" fontId="112" fillId="2" borderId="8" xfId="0" applyFont="1" applyFill="1" applyBorder="1" applyAlignment="1">
      <alignment horizontal="right"/>
    </xf>
    <xf numFmtId="37" fontId="0" fillId="27" borderId="39" xfId="0" applyNumberFormat="1" applyFill="1" applyBorder="1" applyAlignment="1">
      <alignment vertical="center"/>
    </xf>
    <xf numFmtId="37" fontId="0" fillId="27" borderId="25" xfId="0" applyNumberFormat="1" applyFill="1" applyBorder="1" applyAlignment="1">
      <alignment vertical="center"/>
    </xf>
    <xf numFmtId="37" fontId="110" fillId="2" borderId="30" xfId="0" applyNumberFormat="1" applyFont="1" applyFill="1" applyBorder="1"/>
    <xf numFmtId="0" fontId="9" fillId="2" borderId="8" xfId="0" applyFont="1" applyFill="1" applyBorder="1" applyAlignment="1">
      <alignment horizontal="center" vertical="top" wrapText="1"/>
    </xf>
    <xf numFmtId="0" fontId="6" fillId="0" borderId="1" xfId="0" applyFont="1" applyBorder="1" applyAlignment="1">
      <alignment horizontal="center" vertical="top" wrapText="1"/>
    </xf>
    <xf numFmtId="0" fontId="6" fillId="2" borderId="1" xfId="0" applyFont="1" applyFill="1" applyBorder="1" applyAlignment="1">
      <alignment horizontal="center"/>
    </xf>
    <xf numFmtId="0" fontId="6" fillId="2" borderId="30" xfId="0" applyFont="1" applyFill="1" applyBorder="1" applyAlignment="1">
      <alignment horizontal="left" vertical="center" wrapText="1" indent="1"/>
    </xf>
    <xf numFmtId="0" fontId="6" fillId="0" borderId="8" xfId="0" applyFont="1" applyBorder="1" applyAlignment="1">
      <alignment horizontal="left" vertical="center" wrapText="1" indent="1"/>
    </xf>
    <xf numFmtId="0" fontId="6" fillId="0" borderId="14" xfId="0" applyFont="1" applyBorder="1" applyAlignment="1">
      <alignment horizontal="left" vertical="center" wrapText="1" indent="1"/>
    </xf>
    <xf numFmtId="0" fontId="6" fillId="0" borderId="3" xfId="0" applyFont="1" applyBorder="1" applyAlignment="1">
      <alignment horizontal="left" vertical="center" wrapText="1" indent="1"/>
    </xf>
    <xf numFmtId="0" fontId="6" fillId="0" borderId="0" xfId="0" applyFont="1" applyAlignment="1">
      <alignment horizontal="left" vertical="center" wrapText="1" indent="1"/>
    </xf>
    <xf numFmtId="0" fontId="6" fillId="0" borderId="24" xfId="0" applyFont="1" applyBorder="1" applyAlignment="1">
      <alignment horizontal="left" vertical="center" wrapText="1" indent="1"/>
    </xf>
    <xf numFmtId="0" fontId="6" fillId="0" borderId="9" xfId="0" applyFont="1" applyBorder="1" applyAlignment="1">
      <alignment horizontal="left" vertical="center" wrapText="1" indent="1"/>
    </xf>
    <xf numFmtId="0" fontId="6" fillId="0" borderId="1" xfId="0" applyFont="1" applyBorder="1" applyAlignment="1">
      <alignment horizontal="left" vertical="center" wrapText="1" indent="1"/>
    </xf>
    <xf numFmtId="0" fontId="6" fillId="0" borderId="11" xfId="0" applyFont="1" applyBorder="1" applyAlignment="1">
      <alignment horizontal="left" vertical="center" wrapText="1" indent="1"/>
    </xf>
    <xf numFmtId="0" fontId="0" fillId="2" borderId="5" xfId="0" applyFill="1" applyBorder="1" applyAlignment="1">
      <alignment horizontal="center" wrapText="1"/>
    </xf>
    <xf numFmtId="0" fontId="6" fillId="2" borderId="21" xfId="0" applyFont="1" applyFill="1" applyBorder="1" applyAlignment="1">
      <alignment horizontal="center" vertical="center" wrapText="1"/>
    </xf>
    <xf numFmtId="0" fontId="0" fillId="0" borderId="4" xfId="0" applyBorder="1" applyAlignment="1">
      <alignment vertical="center" wrapText="1"/>
    </xf>
    <xf numFmtId="0" fontId="0" fillId="0" borderId="4" xfId="0" applyBorder="1" applyAlignment="1">
      <alignment wrapText="1"/>
    </xf>
    <xf numFmtId="0" fontId="0" fillId="0" borderId="22" xfId="0" applyBorder="1" applyAlignment="1">
      <alignment wrapText="1"/>
    </xf>
    <xf numFmtId="0" fontId="47" fillId="15" borderId="160" xfId="0" applyFont="1" applyFill="1" applyBorder="1" applyAlignment="1">
      <alignment horizontal="left" wrapText="1"/>
    </xf>
    <xf numFmtId="0" fontId="47" fillId="15" borderId="160" xfId="0" applyFont="1" applyFill="1" applyBorder="1" applyAlignment="1">
      <alignment wrapText="1"/>
    </xf>
    <xf numFmtId="0" fontId="47" fillId="15" borderId="40" xfId="0" applyFont="1" applyFill="1" applyBorder="1" applyAlignment="1">
      <alignment wrapText="1"/>
    </xf>
    <xf numFmtId="0" fontId="121" fillId="8" borderId="20" xfId="0" applyFont="1" applyFill="1" applyBorder="1" applyAlignment="1">
      <alignment horizontal="center" vertical="center" wrapText="1"/>
    </xf>
    <xf numFmtId="0" fontId="47" fillId="2" borderId="30" xfId="0" applyFont="1" applyFill="1" applyBorder="1" applyAlignment="1">
      <alignment horizontal="left" vertical="center" wrapText="1" indent="1"/>
    </xf>
    <xf numFmtId="0" fontId="47" fillId="0" borderId="8" xfId="0" applyFont="1" applyBorder="1" applyAlignment="1">
      <alignment horizontal="left" vertical="center" wrapText="1" indent="1"/>
    </xf>
    <xf numFmtId="0" fontId="47" fillId="0" borderId="14" xfId="0" applyFont="1" applyBorder="1" applyAlignment="1">
      <alignment horizontal="left" vertical="center" wrapText="1" indent="1"/>
    </xf>
    <xf numFmtId="0" fontId="47" fillId="0" borderId="3" xfId="0" applyFont="1" applyBorder="1" applyAlignment="1">
      <alignment horizontal="left" vertical="center" wrapText="1" indent="1"/>
    </xf>
    <xf numFmtId="0" fontId="47" fillId="0" borderId="0" xfId="0" applyFont="1" applyAlignment="1">
      <alignment horizontal="left" vertical="center" wrapText="1" indent="1"/>
    </xf>
    <xf numFmtId="0" fontId="47" fillId="0" borderId="24" xfId="0" applyFont="1" applyBorder="1" applyAlignment="1">
      <alignment horizontal="left" vertical="center" wrapText="1" indent="1"/>
    </xf>
    <xf numFmtId="0" fontId="47" fillId="0" borderId="9" xfId="0" applyFont="1" applyBorder="1" applyAlignment="1">
      <alignment horizontal="left" vertical="center" wrapText="1" indent="1"/>
    </xf>
    <xf numFmtId="0" fontId="47" fillId="0" borderId="1" xfId="0" applyFont="1" applyBorder="1" applyAlignment="1">
      <alignment horizontal="left" vertical="center" wrapText="1" indent="1"/>
    </xf>
    <xf numFmtId="0" fontId="47" fillId="0" borderId="11" xfId="0" applyFont="1" applyBorder="1" applyAlignment="1">
      <alignment horizontal="left" vertical="center" wrapText="1" indent="1"/>
    </xf>
    <xf numFmtId="0" fontId="15" fillId="15" borderId="5" xfId="0" quotePrefix="1" applyFont="1" applyFill="1" applyBorder="1" applyAlignment="1">
      <alignment horizontal="right"/>
    </xf>
    <xf numFmtId="0" fontId="6" fillId="0" borderId="0" xfId="0" applyFont="1" applyAlignment="1">
      <alignment horizontal="center" vertical="top" wrapText="1"/>
    </xf>
    <xf numFmtId="0" fontId="4" fillId="27" borderId="1" xfId="0" applyFont="1" applyFill="1" applyBorder="1" applyAlignment="1">
      <alignment horizontal="left" vertical="center"/>
    </xf>
    <xf numFmtId="0" fontId="6" fillId="0" borderId="1" xfId="0" applyFont="1" applyBorder="1" applyAlignment="1">
      <alignment vertical="center"/>
    </xf>
    <xf numFmtId="0" fontId="6" fillId="0" borderId="11" xfId="0" applyFont="1" applyBorder="1" applyAlignment="1">
      <alignment vertical="center"/>
    </xf>
    <xf numFmtId="0" fontId="0" fillId="15" borderId="179" xfId="0" applyFill="1" applyBorder="1" applyAlignment="1">
      <alignment horizontal="left" wrapText="1"/>
    </xf>
    <xf numFmtId="0" fontId="0" fillId="15" borderId="106" xfId="0" applyFill="1" applyBorder="1" applyAlignment="1">
      <alignment horizontal="left" wrapText="1"/>
    </xf>
    <xf numFmtId="0" fontId="0" fillId="15" borderId="180" xfId="0" applyFill="1" applyBorder="1" applyAlignment="1">
      <alignment horizontal="left" wrapText="1"/>
    </xf>
    <xf numFmtId="0" fontId="8" fillId="2" borderId="30" xfId="0" applyFont="1" applyFill="1" applyBorder="1" applyAlignment="1">
      <alignment horizontal="left" vertical="center" wrapText="1" indent="1"/>
    </xf>
    <xf numFmtId="0" fontId="8" fillId="0" borderId="8" xfId="0" applyFont="1" applyBorder="1" applyAlignment="1">
      <alignment horizontal="left" vertical="center" wrapText="1" indent="1"/>
    </xf>
    <xf numFmtId="0" fontId="8" fillId="0" borderId="14" xfId="0" applyFont="1" applyBorder="1" applyAlignment="1">
      <alignment horizontal="left" vertical="center" wrapText="1" indent="1"/>
    </xf>
    <xf numFmtId="0" fontId="8" fillId="0" borderId="3" xfId="0" applyFont="1" applyBorder="1" applyAlignment="1">
      <alignment horizontal="left" vertical="center" wrapText="1" indent="1"/>
    </xf>
    <xf numFmtId="0" fontId="8" fillId="0" borderId="0" xfId="0" applyFont="1" applyAlignment="1">
      <alignment horizontal="left" vertical="center" wrapText="1" indent="1"/>
    </xf>
    <xf numFmtId="0" fontId="8" fillId="0" borderId="24" xfId="0" applyFont="1" applyBorder="1" applyAlignment="1">
      <alignment horizontal="left" vertical="center" wrapText="1" indent="1"/>
    </xf>
    <xf numFmtId="0" fontId="8" fillId="0" borderId="9" xfId="0" applyFont="1" applyBorder="1" applyAlignment="1">
      <alignment horizontal="left" vertical="center" wrapText="1" indent="1"/>
    </xf>
    <xf numFmtId="0" fontId="8" fillId="0" borderId="1" xfId="0" applyFont="1" applyBorder="1" applyAlignment="1">
      <alignment horizontal="left" vertical="center" wrapText="1" indent="1"/>
    </xf>
    <xf numFmtId="0" fontId="8" fillId="0" borderId="11" xfId="0" applyFont="1" applyBorder="1" applyAlignment="1">
      <alignment horizontal="left" vertical="center" wrapText="1" indent="1"/>
    </xf>
    <xf numFmtId="0" fontId="4" fillId="2" borderId="3" xfId="0" applyFont="1" applyFill="1" applyBorder="1" applyAlignment="1">
      <alignment horizontal="center" wrapText="1"/>
    </xf>
    <xf numFmtId="0" fontId="0" fillId="0" borderId="0" xfId="0" applyAlignment="1">
      <alignment horizontal="center" wrapText="1"/>
    </xf>
    <xf numFmtId="0" fontId="0" fillId="0" borderId="24" xfId="0" applyBorder="1" applyAlignment="1">
      <alignment horizontal="center" wrapText="1"/>
    </xf>
    <xf numFmtId="0" fontId="0" fillId="0" borderId="3" xfId="0" applyBorder="1" applyAlignment="1">
      <alignment horizontal="center" wrapText="1"/>
    </xf>
    <xf numFmtId="0" fontId="6" fillId="2" borderId="8" xfId="0" applyFont="1" applyFill="1" applyBorder="1" applyAlignment="1">
      <alignment horizontal="left" vertical="center" wrapText="1"/>
    </xf>
    <xf numFmtId="0" fontId="6" fillId="2" borderId="14" xfId="0" applyFont="1" applyFill="1" applyBorder="1" applyAlignment="1">
      <alignment horizontal="left" vertical="center" wrapText="1"/>
    </xf>
    <xf numFmtId="0" fontId="6" fillId="2" borderId="3" xfId="0" applyFont="1" applyFill="1" applyBorder="1" applyAlignment="1">
      <alignment horizontal="left" vertical="center" wrapText="1"/>
    </xf>
    <xf numFmtId="0" fontId="6" fillId="2" borderId="0" xfId="0" applyFont="1" applyFill="1" applyAlignment="1">
      <alignment horizontal="left" vertical="center" wrapText="1"/>
    </xf>
    <xf numFmtId="0" fontId="6" fillId="2" borderId="24" xfId="0" applyFont="1" applyFill="1" applyBorder="1" applyAlignment="1">
      <alignment horizontal="left" vertical="center" wrapText="1"/>
    </xf>
    <xf numFmtId="0" fontId="6" fillId="2" borderId="9" xfId="0" applyFont="1" applyFill="1" applyBorder="1" applyAlignment="1">
      <alignment horizontal="left" vertical="center" wrapText="1"/>
    </xf>
    <xf numFmtId="0" fontId="6" fillId="2" borderId="1" xfId="0" applyFont="1" applyFill="1" applyBorder="1" applyAlignment="1">
      <alignment horizontal="left" vertical="center" wrapText="1"/>
    </xf>
    <xf numFmtId="0" fontId="6" fillId="2" borderId="11" xfId="0" applyFont="1" applyFill="1" applyBorder="1" applyAlignment="1">
      <alignment horizontal="left" vertical="center" wrapText="1"/>
    </xf>
    <xf numFmtId="0" fontId="6" fillId="2" borderId="39" xfId="0" applyFont="1" applyFill="1" applyBorder="1" applyAlignment="1">
      <alignment horizontal="center" vertical="center" wrapText="1"/>
    </xf>
    <xf numFmtId="0" fontId="6" fillId="2" borderId="25" xfId="0" applyFont="1" applyFill="1" applyBorder="1" applyAlignment="1">
      <alignment horizontal="center" vertical="center" wrapText="1"/>
    </xf>
    <xf numFmtId="0" fontId="6" fillId="2" borderId="54" xfId="0" applyFont="1" applyFill="1" applyBorder="1" applyAlignment="1">
      <alignment horizontal="center" vertical="center" wrapText="1"/>
    </xf>
    <xf numFmtId="0" fontId="9" fillId="2" borderId="8" xfId="0" applyFont="1" applyFill="1" applyBorder="1" applyAlignment="1">
      <alignment horizontal="right" vertical="top" wrapText="1" indent="1"/>
    </xf>
    <xf numFmtId="0" fontId="0" fillId="0" borderId="8" xfId="0" applyBorder="1" applyAlignment="1">
      <alignment horizontal="right" vertical="top" wrapText="1" indent="1"/>
    </xf>
    <xf numFmtId="0" fontId="0" fillId="0" borderId="0" xfId="0" applyAlignment="1">
      <alignment horizontal="right" vertical="top" wrapText="1" indent="1"/>
    </xf>
    <xf numFmtId="0" fontId="11" fillId="2" borderId="39" xfId="0" applyFont="1" applyFill="1" applyBorder="1" applyAlignment="1">
      <alignment horizontal="center" vertical="center" wrapText="1"/>
    </xf>
    <xf numFmtId="0" fontId="11" fillId="2" borderId="25" xfId="0" applyFont="1" applyFill="1" applyBorder="1" applyAlignment="1">
      <alignment horizontal="center" vertical="center" wrapText="1"/>
    </xf>
    <xf numFmtId="0" fontId="112" fillId="2" borderId="3" xfId="0" applyFont="1" applyFill="1" applyBorder="1" applyAlignment="1">
      <alignment horizontal="center"/>
    </xf>
    <xf numFmtId="0" fontId="112" fillId="2" borderId="24" xfId="0" applyFont="1" applyFill="1" applyBorder="1" applyAlignment="1">
      <alignment horizontal="center"/>
    </xf>
    <xf numFmtId="0" fontId="10" fillId="2" borderId="0" xfId="0" applyFont="1" applyFill="1" applyAlignment="1">
      <alignment horizontal="center" vertical="center"/>
    </xf>
    <xf numFmtId="0" fontId="10" fillId="0" borderId="0" xfId="0" applyFont="1" applyAlignment="1">
      <alignment horizontal="center" vertical="center"/>
    </xf>
    <xf numFmtId="0" fontId="116" fillId="15" borderId="0" xfId="0" applyFont="1" applyFill="1"/>
    <xf numFmtId="0" fontId="116" fillId="15" borderId="24" xfId="0" applyFont="1" applyFill="1" applyBorder="1"/>
    <xf numFmtId="0" fontId="110" fillId="15" borderId="75" xfId="0" applyFont="1" applyFill="1" applyBorder="1" applyAlignment="1">
      <alignment horizontal="center"/>
    </xf>
    <xf numFmtId="0" fontId="6" fillId="15" borderId="23" xfId="0" applyFont="1" applyFill="1" applyBorder="1" applyAlignment="1">
      <alignment horizontal="center" vertical="center" wrapText="1"/>
    </xf>
    <xf numFmtId="0" fontId="0" fillId="15" borderId="7" xfId="0" applyFill="1" applyBorder="1" applyAlignment="1">
      <alignment horizontal="center" vertical="center" wrapText="1"/>
    </xf>
    <xf numFmtId="0" fontId="0" fillId="15" borderId="19" xfId="0" applyFill="1" applyBorder="1" applyAlignment="1">
      <alignment horizontal="center" vertical="center" wrapText="1"/>
    </xf>
    <xf numFmtId="0" fontId="0" fillId="15" borderId="5" xfId="0" applyFill="1" applyBorder="1" applyAlignment="1">
      <alignment horizontal="center" vertical="center" wrapText="1"/>
    </xf>
    <xf numFmtId="0" fontId="0" fillId="15" borderId="20" xfId="0" applyFill="1" applyBorder="1" applyAlignment="1">
      <alignment horizontal="center" vertical="center" wrapText="1"/>
    </xf>
    <xf numFmtId="0" fontId="0" fillId="15" borderId="21" xfId="0" applyFill="1" applyBorder="1" applyAlignment="1">
      <alignment horizontal="center" vertical="center" wrapText="1"/>
    </xf>
    <xf numFmtId="0" fontId="0" fillId="15" borderId="4" xfId="0" applyFill="1" applyBorder="1" applyAlignment="1">
      <alignment horizontal="center" vertical="center" wrapText="1"/>
    </xf>
    <xf numFmtId="0" fontId="0" fillId="15" borderId="22" xfId="0" applyFill="1" applyBorder="1" applyAlignment="1">
      <alignment horizontal="center" vertical="center" wrapText="1"/>
    </xf>
    <xf numFmtId="0" fontId="116" fillId="15" borderId="0" xfId="0" applyFont="1" applyFill="1" applyAlignment="1">
      <alignment horizontal="left"/>
    </xf>
    <xf numFmtId="0" fontId="116" fillId="15" borderId="0" xfId="0" quotePrefix="1" applyFont="1" applyFill="1" applyAlignment="1">
      <alignment horizontal="left"/>
    </xf>
    <xf numFmtId="0" fontId="11" fillId="15" borderId="0" xfId="0" applyFont="1" applyFill="1" applyAlignment="1">
      <alignment horizontal="center" vertical="center" wrapText="1"/>
    </xf>
    <xf numFmtId="0" fontId="6" fillId="15" borderId="0" xfId="0" applyFont="1" applyFill="1" applyAlignment="1">
      <alignment horizontal="left"/>
    </xf>
    <xf numFmtId="0" fontId="0" fillId="15" borderId="0" xfId="0" applyFill="1" applyAlignment="1">
      <alignment horizontal="left"/>
    </xf>
    <xf numFmtId="0" fontId="125" fillId="15" borderId="0" xfId="0" applyFont="1" applyFill="1" applyAlignment="1">
      <alignment horizontal="center"/>
    </xf>
    <xf numFmtId="4" fontId="0" fillId="27" borderId="39" xfId="0" applyNumberFormat="1" applyFill="1" applyBorder="1" applyAlignment="1">
      <alignment horizontal="center"/>
    </xf>
    <xf numFmtId="4" fontId="0" fillId="27" borderId="25" xfId="0" applyNumberFormat="1" applyFill="1" applyBorder="1" applyAlignment="1">
      <alignment horizontal="center"/>
    </xf>
    <xf numFmtId="4" fontId="0" fillId="27" borderId="54" xfId="0" applyNumberFormat="1" applyFill="1" applyBorder="1" applyAlignment="1">
      <alignment horizontal="center"/>
    </xf>
    <xf numFmtId="185" fontId="0" fillId="16" borderId="39" xfId="0" applyNumberFormat="1" applyFill="1" applyBorder="1" applyAlignment="1" applyProtection="1">
      <alignment horizontal="center"/>
      <protection locked="0"/>
    </xf>
    <xf numFmtId="185" fontId="0" fillId="16" borderId="25" xfId="0" applyNumberFormat="1" applyFill="1" applyBorder="1" applyAlignment="1" applyProtection="1">
      <alignment horizontal="center"/>
      <protection locked="0"/>
    </xf>
    <xf numFmtId="185" fontId="0" fillId="16" borderId="54" xfId="0" applyNumberFormat="1" applyFill="1" applyBorder="1" applyAlignment="1" applyProtection="1">
      <alignment horizontal="center"/>
      <protection locked="0"/>
    </xf>
    <xf numFmtId="0" fontId="6" fillId="15" borderId="8" xfId="0" applyFont="1" applyFill="1" applyBorder="1" applyAlignment="1">
      <alignment horizontal="center" vertical="top" wrapText="1"/>
    </xf>
    <xf numFmtId="0" fontId="6" fillId="15" borderId="0" xfId="0" applyFont="1" applyFill="1" applyAlignment="1">
      <alignment horizontal="center" vertical="top" wrapText="1"/>
    </xf>
    <xf numFmtId="4" fontId="0" fillId="16" borderId="39" xfId="0" applyNumberFormat="1" applyFill="1" applyBorder="1" applyAlignment="1" applyProtection="1">
      <alignment horizontal="center"/>
      <protection locked="0"/>
    </xf>
    <xf numFmtId="4" fontId="0" fillId="16" borderId="25" xfId="0" applyNumberFormat="1" applyFill="1" applyBorder="1" applyAlignment="1" applyProtection="1">
      <alignment horizontal="center"/>
      <protection locked="0"/>
    </xf>
    <xf numFmtId="4" fontId="0" fillId="16" borderId="54" xfId="0" applyNumberFormat="1" applyFill="1" applyBorder="1" applyAlignment="1" applyProtection="1">
      <alignment horizontal="center"/>
      <protection locked="0"/>
    </xf>
    <xf numFmtId="0" fontId="289" fillId="0" borderId="0" xfId="0" applyFont="1" applyAlignment="1">
      <alignment horizontal="left"/>
    </xf>
    <xf numFmtId="0" fontId="6" fillId="15" borderId="23" xfId="0" applyFont="1" applyFill="1" applyBorder="1" applyAlignment="1">
      <alignment horizontal="left" wrapText="1"/>
    </xf>
    <xf numFmtId="0" fontId="6" fillId="15" borderId="7" xfId="0" applyFont="1" applyFill="1" applyBorder="1" applyAlignment="1">
      <alignment horizontal="left" wrapText="1"/>
    </xf>
    <xf numFmtId="0" fontId="6" fillId="15" borderId="36" xfId="0" applyFont="1" applyFill="1" applyBorder="1" applyAlignment="1">
      <alignment horizontal="left" wrapText="1"/>
    </xf>
    <xf numFmtId="0" fontId="6" fillId="15" borderId="5" xfId="0" applyFont="1" applyFill="1" applyBorder="1" applyAlignment="1">
      <alignment horizontal="left" wrapText="1"/>
    </xf>
    <xf numFmtId="0" fontId="6" fillId="15" borderId="24" xfId="0" applyFont="1" applyFill="1" applyBorder="1" applyAlignment="1">
      <alignment horizontal="left" wrapText="1"/>
    </xf>
    <xf numFmtId="0" fontId="6" fillId="15" borderId="5" xfId="0" applyFont="1" applyFill="1" applyBorder="1" applyAlignment="1">
      <alignment horizontal="left" vertical="top"/>
    </xf>
    <xf numFmtId="0" fontId="6" fillId="15" borderId="0" xfId="0" applyFont="1" applyFill="1" applyAlignment="1">
      <alignment horizontal="left" vertical="top"/>
    </xf>
    <xf numFmtId="0" fontId="6" fillId="15" borderId="24" xfId="0" applyFont="1" applyFill="1" applyBorder="1" applyAlignment="1">
      <alignment horizontal="left" vertical="top"/>
    </xf>
    <xf numFmtId="0" fontId="6" fillId="15" borderId="3" xfId="0" quotePrefix="1" applyFont="1" applyFill="1" applyBorder="1" applyAlignment="1">
      <alignment horizontal="right"/>
    </xf>
    <xf numFmtId="37" fontId="0" fillId="15" borderId="1" xfId="0" applyNumberFormat="1" applyFill="1" applyBorder="1" applyAlignment="1">
      <alignment horizontal="right"/>
    </xf>
    <xf numFmtId="0" fontId="6" fillId="15" borderId="0" xfId="0" quotePrefix="1" applyFont="1" applyFill="1" applyAlignment="1">
      <alignment horizontal="center"/>
    </xf>
    <xf numFmtId="0" fontId="15" fillId="20" borderId="25" xfId="0" applyFont="1" applyFill="1" applyBorder="1" applyAlignment="1" applyProtection="1">
      <alignment horizontal="left" vertical="center" indent="1"/>
      <protection locked="0"/>
    </xf>
    <xf numFmtId="0" fontId="15" fillId="16" borderId="25" xfId="0" applyFont="1" applyFill="1" applyBorder="1" applyAlignment="1" applyProtection="1">
      <alignment horizontal="left" vertical="center" indent="1"/>
      <protection locked="0"/>
    </xf>
    <xf numFmtId="0" fontId="15" fillId="16" borderId="54" xfId="0" applyFont="1" applyFill="1" applyBorder="1" applyAlignment="1" applyProtection="1">
      <alignment horizontal="left" vertical="center" indent="1"/>
      <protection locked="0"/>
    </xf>
    <xf numFmtId="166" fontId="4" fillId="20" borderId="39" xfId="0" applyNumberFormat="1" applyFont="1" applyFill="1" applyBorder="1" applyAlignment="1" applyProtection="1">
      <alignment horizontal="center" vertical="center"/>
      <protection locked="0"/>
    </xf>
    <xf numFmtId="166" fontId="4" fillId="20" borderId="25" xfId="0" applyNumberFormat="1" applyFont="1" applyFill="1" applyBorder="1" applyAlignment="1" applyProtection="1">
      <alignment horizontal="center" vertical="center"/>
      <protection locked="0"/>
    </xf>
    <xf numFmtId="166" fontId="4" fillId="20" borderId="54" xfId="0" applyNumberFormat="1" applyFont="1" applyFill="1" applyBorder="1" applyAlignment="1" applyProtection="1">
      <alignment horizontal="center" vertical="center"/>
      <protection locked="0"/>
    </xf>
    <xf numFmtId="37" fontId="4" fillId="16" borderId="39" xfId="0" applyNumberFormat="1" applyFont="1" applyFill="1" applyBorder="1" applyAlignment="1" applyProtection="1">
      <alignment horizontal="right" vertical="center"/>
      <protection locked="0"/>
    </xf>
    <xf numFmtId="37" fontId="4" fillId="16" borderId="25" xfId="0" applyNumberFormat="1" applyFont="1" applyFill="1" applyBorder="1" applyAlignment="1" applyProtection="1">
      <alignment horizontal="right" vertical="center"/>
      <protection locked="0"/>
    </xf>
    <xf numFmtId="0" fontId="10" fillId="3" borderId="3" xfId="0" applyFont="1" applyFill="1" applyBorder="1" applyAlignment="1">
      <alignment horizontal="center" vertical="center" wrapText="1"/>
    </xf>
    <xf numFmtId="0" fontId="10" fillId="3" borderId="0" xfId="0" applyFont="1" applyFill="1" applyAlignment="1">
      <alignment horizontal="center" vertical="center" wrapText="1"/>
    </xf>
    <xf numFmtId="0" fontId="10" fillId="3" borderId="24" xfId="0" applyFont="1" applyFill="1" applyBorder="1" applyAlignment="1">
      <alignment horizontal="center" vertical="center" wrapText="1"/>
    </xf>
    <xf numFmtId="0" fontId="10" fillId="3" borderId="9"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10" fillId="3" borderId="30" xfId="0" applyFont="1" applyFill="1" applyBorder="1" applyAlignment="1">
      <alignment horizontal="center"/>
    </xf>
    <xf numFmtId="0" fontId="10" fillId="3" borderId="8" xfId="0" applyFont="1" applyFill="1" applyBorder="1" applyAlignment="1">
      <alignment horizontal="center"/>
    </xf>
    <xf numFmtId="0" fontId="10" fillId="3" borderId="14" xfId="0" applyFont="1" applyFill="1" applyBorder="1" applyAlignment="1">
      <alignment horizontal="center"/>
    </xf>
    <xf numFmtId="0" fontId="10" fillId="3" borderId="9" xfId="0" applyFont="1" applyFill="1" applyBorder="1" applyAlignment="1">
      <alignment horizontal="center" vertical="top"/>
    </xf>
    <xf numFmtId="0" fontId="10" fillId="3" borderId="1" xfId="0" applyFont="1" applyFill="1" applyBorder="1" applyAlignment="1">
      <alignment horizontal="center" vertical="top"/>
    </xf>
    <xf numFmtId="0" fontId="10" fillId="3" borderId="11" xfId="0" applyFont="1" applyFill="1" applyBorder="1" applyAlignment="1">
      <alignment horizontal="center" vertical="top"/>
    </xf>
    <xf numFmtId="49" fontId="6" fillId="15" borderId="30" xfId="0" applyNumberFormat="1" applyFont="1" applyFill="1" applyBorder="1" applyAlignment="1">
      <alignment horizontal="left" vertical="center" wrapText="1"/>
    </xf>
    <xf numFmtId="49" fontId="6" fillId="15" borderId="14" xfId="0" applyNumberFormat="1" applyFont="1" applyFill="1" applyBorder="1" applyAlignment="1">
      <alignment horizontal="left" vertical="center" wrapText="1"/>
    </xf>
    <xf numFmtId="49" fontId="6" fillId="15" borderId="9" xfId="0" applyNumberFormat="1" applyFont="1" applyFill="1" applyBorder="1" applyAlignment="1">
      <alignment horizontal="left" vertical="center" wrapText="1"/>
    </xf>
    <xf numFmtId="49" fontId="6" fillId="15" borderId="11" xfId="0" applyNumberFormat="1" applyFont="1" applyFill="1" applyBorder="1" applyAlignment="1">
      <alignment horizontal="left" vertical="center" wrapText="1"/>
    </xf>
    <xf numFmtId="0" fontId="10" fillId="20" borderId="98" xfId="0" applyFont="1" applyFill="1" applyBorder="1" applyAlignment="1" applyProtection="1">
      <alignment horizontal="left"/>
      <protection locked="0"/>
    </xf>
    <xf numFmtId="0" fontId="10" fillId="20" borderId="89" xfId="0" applyFont="1" applyFill="1" applyBorder="1" applyAlignment="1" applyProtection="1">
      <alignment horizontal="left"/>
      <protection locked="0"/>
    </xf>
    <xf numFmtId="0" fontId="6" fillId="16" borderId="89" xfId="0" applyFont="1" applyFill="1" applyBorder="1" applyAlignment="1" applyProtection="1">
      <alignment horizontal="left"/>
      <protection locked="0"/>
    </xf>
    <xf numFmtId="0" fontId="6" fillId="16" borderId="90" xfId="0" applyFont="1" applyFill="1" applyBorder="1" applyAlignment="1" applyProtection="1">
      <alignment horizontal="left"/>
      <protection locked="0"/>
    </xf>
    <xf numFmtId="49" fontId="11" fillId="16" borderId="15" xfId="0" applyNumberFormat="1" applyFont="1" applyFill="1" applyBorder="1" applyAlignment="1" applyProtection="1">
      <alignment horizontal="center" vertical="center" wrapText="1"/>
      <protection locked="0"/>
    </xf>
    <xf numFmtId="49" fontId="11" fillId="16" borderId="10" xfId="0" applyNumberFormat="1" applyFont="1" applyFill="1" applyBorder="1" applyAlignment="1" applyProtection="1">
      <alignment horizontal="center" vertical="center" wrapText="1"/>
      <protection locked="0"/>
    </xf>
    <xf numFmtId="0" fontId="10" fillId="3" borderId="8" xfId="0" applyFont="1" applyFill="1" applyBorder="1" applyAlignment="1">
      <alignment horizontal="center" vertical="center" wrapText="1"/>
    </xf>
    <xf numFmtId="0" fontId="10" fillId="3" borderId="14" xfId="0" applyFont="1" applyFill="1" applyBorder="1" applyAlignment="1">
      <alignment horizontal="center" vertical="center" wrapText="1"/>
    </xf>
    <xf numFmtId="0" fontId="12" fillId="3" borderId="8" xfId="0" applyFont="1" applyFill="1" applyBorder="1" applyAlignment="1">
      <alignment horizontal="center" vertical="center"/>
    </xf>
    <xf numFmtId="0" fontId="12" fillId="3" borderId="0" xfId="0" applyFont="1" applyFill="1" applyAlignment="1">
      <alignment horizontal="center" vertical="center"/>
    </xf>
    <xf numFmtId="0" fontId="12" fillId="3" borderId="3" xfId="0" applyFont="1" applyFill="1" applyBorder="1" applyAlignment="1">
      <alignment horizontal="center"/>
    </xf>
    <xf numFmtId="0" fontId="12" fillId="3" borderId="0" xfId="0" applyFont="1" applyFill="1" applyAlignment="1">
      <alignment horizontal="center"/>
    </xf>
    <xf numFmtId="0" fontId="10" fillId="3" borderId="3" xfId="0" applyFont="1" applyFill="1" applyBorder="1" applyAlignment="1">
      <alignment horizontal="center" vertical="center"/>
    </xf>
    <xf numFmtId="0" fontId="10" fillId="3" borderId="0" xfId="0" applyFont="1" applyFill="1" applyAlignment="1">
      <alignment horizontal="center" vertical="center"/>
    </xf>
    <xf numFmtId="0" fontId="6" fillId="15" borderId="20" xfId="0" quotePrefix="1" applyFont="1" applyFill="1" applyBorder="1" applyAlignment="1">
      <alignment horizontal="left"/>
    </xf>
    <xf numFmtId="0" fontId="6" fillId="0" borderId="0" xfId="0" quotePrefix="1" applyFont="1" applyAlignment="1">
      <alignment horizontal="left"/>
    </xf>
    <xf numFmtId="0" fontId="0" fillId="0" borderId="0" xfId="0" applyAlignment="1">
      <alignment horizontal="left" vertical="top"/>
    </xf>
    <xf numFmtId="0" fontId="0" fillId="0" borderId="24" xfId="0" applyBorder="1" applyAlignment="1">
      <alignment horizontal="left" vertical="top"/>
    </xf>
    <xf numFmtId="0" fontId="0" fillId="0" borderId="5" xfId="0" applyBorder="1" applyAlignment="1">
      <alignment horizontal="left" vertical="top"/>
    </xf>
    <xf numFmtId="0" fontId="19" fillId="3" borderId="3" xfId="0" applyFont="1" applyFill="1" applyBorder="1" applyAlignment="1">
      <alignment horizontal="center"/>
    </xf>
    <xf numFmtId="0" fontId="19" fillId="3" borderId="0" xfId="0" applyFont="1" applyFill="1" applyAlignment="1">
      <alignment horizontal="center"/>
    </xf>
    <xf numFmtId="0" fontId="12" fillId="3" borderId="30" xfId="0" applyFont="1" applyFill="1" applyBorder="1" applyAlignment="1">
      <alignment horizontal="left"/>
    </xf>
    <xf numFmtId="0" fontId="12" fillId="3" borderId="8" xfId="0" applyFont="1" applyFill="1" applyBorder="1" applyAlignment="1">
      <alignment horizontal="left"/>
    </xf>
    <xf numFmtId="0" fontId="6" fillId="15" borderId="30" xfId="0" applyFont="1" applyFill="1" applyBorder="1" applyAlignment="1">
      <alignment horizontal="left" vertical="center" wrapText="1"/>
    </xf>
    <xf numFmtId="0" fontId="6" fillId="15" borderId="8" xfId="0" applyFont="1" applyFill="1" applyBorder="1" applyAlignment="1">
      <alignment horizontal="left" vertical="center" wrapText="1"/>
    </xf>
    <xf numFmtId="0" fontId="6" fillId="15" borderId="14" xfId="0" applyFont="1" applyFill="1" applyBorder="1" applyAlignment="1">
      <alignment horizontal="left" vertical="center" wrapText="1"/>
    </xf>
    <xf numFmtId="0" fontId="6" fillId="15" borderId="3" xfId="0" applyFont="1" applyFill="1" applyBorder="1" applyAlignment="1">
      <alignment horizontal="left" vertical="center" wrapText="1"/>
    </xf>
    <xf numFmtId="0" fontId="6" fillId="15" borderId="24" xfId="0" applyFont="1" applyFill="1" applyBorder="1" applyAlignment="1">
      <alignment horizontal="left" vertical="center" wrapText="1"/>
    </xf>
    <xf numFmtId="0" fontId="6" fillId="15" borderId="9" xfId="0" applyFont="1" applyFill="1" applyBorder="1" applyAlignment="1">
      <alignment horizontal="left" vertical="center" wrapText="1"/>
    </xf>
    <xf numFmtId="0" fontId="6" fillId="15" borderId="1" xfId="0" applyFont="1" applyFill="1" applyBorder="1" applyAlignment="1">
      <alignment horizontal="left" vertical="center" wrapText="1"/>
    </xf>
    <xf numFmtId="0" fontId="6" fillId="15" borderId="11" xfId="0" applyFont="1" applyFill="1" applyBorder="1" applyAlignment="1">
      <alignment horizontal="left" vertical="center" wrapText="1"/>
    </xf>
    <xf numFmtId="0" fontId="6" fillId="15" borderId="30" xfId="0" applyFont="1" applyFill="1" applyBorder="1" applyAlignment="1">
      <alignment horizontal="left" wrapText="1"/>
    </xf>
    <xf numFmtId="0" fontId="6" fillId="15" borderId="8" xfId="0" applyFont="1" applyFill="1" applyBorder="1" applyAlignment="1">
      <alignment horizontal="left" wrapText="1"/>
    </xf>
    <xf numFmtId="0" fontId="6" fillId="15" borderId="14" xfId="0" applyFont="1" applyFill="1" applyBorder="1" applyAlignment="1">
      <alignment horizontal="left" wrapText="1"/>
    </xf>
    <xf numFmtId="0" fontId="6" fillId="15" borderId="3" xfId="0" applyFont="1" applyFill="1" applyBorder="1" applyAlignment="1">
      <alignment horizontal="left" wrapText="1"/>
    </xf>
    <xf numFmtId="0" fontId="6" fillId="15" borderId="9" xfId="0" applyFont="1" applyFill="1" applyBorder="1" applyAlignment="1">
      <alignment horizontal="left" wrapText="1"/>
    </xf>
    <xf numFmtId="0" fontId="6" fillId="15" borderId="1" xfId="0" applyFont="1" applyFill="1" applyBorder="1" applyAlignment="1">
      <alignment horizontal="left" wrapText="1"/>
    </xf>
    <xf numFmtId="0" fontId="6" fillId="15" borderId="11" xfId="0" applyFont="1" applyFill="1" applyBorder="1" applyAlignment="1">
      <alignment horizontal="left" wrapText="1"/>
    </xf>
    <xf numFmtId="0" fontId="11" fillId="27" borderId="15" xfId="0" applyFont="1" applyFill="1" applyBorder="1" applyAlignment="1">
      <alignment horizontal="center" vertical="center" wrapText="1"/>
    </xf>
    <xf numFmtId="0" fontId="11" fillId="27" borderId="10" xfId="0" applyFont="1" applyFill="1" applyBorder="1" applyAlignment="1">
      <alignment horizontal="center" vertical="center" wrapText="1"/>
    </xf>
    <xf numFmtId="49" fontId="6" fillId="15" borderId="15" xfId="0" applyNumberFormat="1" applyFont="1" applyFill="1" applyBorder="1" applyAlignment="1">
      <alignment horizontal="left" vertical="center" wrapText="1"/>
    </xf>
    <xf numFmtId="49" fontId="6" fillId="15" borderId="10" xfId="0" applyNumberFormat="1" applyFont="1" applyFill="1" applyBorder="1" applyAlignment="1">
      <alignment horizontal="left" vertical="center" wrapText="1"/>
    </xf>
    <xf numFmtId="37" fontId="6" fillId="20" borderId="9" xfId="0" applyNumberFormat="1" applyFont="1" applyFill="1" applyBorder="1" applyAlignment="1" applyProtection="1">
      <alignment horizontal="right" wrapText="1"/>
      <protection locked="0"/>
    </xf>
    <xf numFmtId="37" fontId="6" fillId="20" borderId="1" xfId="0" applyNumberFormat="1" applyFont="1" applyFill="1" applyBorder="1" applyAlignment="1" applyProtection="1">
      <alignment horizontal="right" wrapText="1"/>
      <protection locked="0"/>
    </xf>
    <xf numFmtId="0" fontId="6" fillId="16" borderId="1" xfId="0" applyFont="1" applyFill="1" applyBorder="1" applyAlignment="1" applyProtection="1">
      <alignment horizontal="left"/>
      <protection locked="0"/>
    </xf>
    <xf numFmtId="166" fontId="15" fillId="28" borderId="9" xfId="0" applyNumberFormat="1" applyFont="1" applyFill="1" applyBorder="1" applyAlignment="1">
      <alignment horizontal="center"/>
    </xf>
    <xf numFmtId="166" fontId="15" fillId="28" borderId="1" xfId="0" applyNumberFormat="1" applyFont="1" applyFill="1" applyBorder="1" applyAlignment="1">
      <alignment horizontal="center"/>
    </xf>
    <xf numFmtId="37" fontId="6" fillId="20" borderId="9" xfId="0" applyNumberFormat="1" applyFont="1" applyFill="1" applyBorder="1" applyProtection="1">
      <protection locked="0"/>
    </xf>
    <xf numFmtId="166" fontId="4" fillId="16" borderId="9" xfId="0" applyNumberFormat="1" applyFont="1" applyFill="1" applyBorder="1" applyAlignment="1" applyProtection="1">
      <alignment horizontal="center" vertical="center" wrapText="1"/>
      <protection locked="0"/>
    </xf>
    <xf numFmtId="166" fontId="4" fillId="16" borderId="1" xfId="0" applyNumberFormat="1" applyFont="1" applyFill="1" applyBorder="1" applyAlignment="1" applyProtection="1">
      <alignment horizontal="center" vertical="center" wrapText="1"/>
      <protection locked="0"/>
    </xf>
    <xf numFmtId="166" fontId="4" fillId="16" borderId="11" xfId="0" applyNumberFormat="1" applyFont="1" applyFill="1" applyBorder="1" applyAlignment="1" applyProtection="1">
      <alignment horizontal="center" vertical="center" wrapText="1"/>
      <protection locked="0"/>
    </xf>
    <xf numFmtId="0" fontId="57" fillId="3" borderId="0" xfId="0" applyFont="1" applyFill="1" applyAlignment="1">
      <alignment horizontal="right"/>
    </xf>
    <xf numFmtId="0" fontId="0" fillId="0" borderId="0" xfId="0" applyAlignment="1">
      <alignment horizontal="right"/>
    </xf>
    <xf numFmtId="0" fontId="12" fillId="20" borderId="8" xfId="0" applyFont="1" applyFill="1" applyBorder="1" applyAlignment="1" applyProtection="1">
      <alignment horizontal="center" vertical="center" wrapText="1"/>
      <protection locked="0"/>
    </xf>
    <xf numFmtId="0" fontId="4" fillId="16" borderId="8" xfId="0" applyFont="1" applyFill="1" applyBorder="1" applyAlignment="1" applyProtection="1">
      <alignment horizontal="center" vertical="center" wrapText="1"/>
      <protection locked="0"/>
    </xf>
    <xf numFmtId="0" fontId="4" fillId="16" borderId="14" xfId="0" applyFont="1" applyFill="1" applyBorder="1" applyAlignment="1" applyProtection="1">
      <alignment horizontal="center" vertical="center" wrapText="1"/>
      <protection locked="0"/>
    </xf>
    <xf numFmtId="0" fontId="4" fillId="16" borderId="1" xfId="0" applyFont="1" applyFill="1" applyBorder="1" applyAlignment="1" applyProtection="1">
      <alignment horizontal="center" vertical="center" wrapText="1"/>
      <protection locked="0"/>
    </xf>
    <xf numFmtId="0" fontId="4" fillId="16" borderId="11" xfId="0" applyFont="1" applyFill="1" applyBorder="1" applyAlignment="1" applyProtection="1">
      <alignment horizontal="center" vertical="center" wrapText="1"/>
      <protection locked="0"/>
    </xf>
    <xf numFmtId="0" fontId="12" fillId="20" borderId="97" xfId="0" applyFont="1" applyFill="1" applyBorder="1" applyAlignment="1" applyProtection="1">
      <alignment horizontal="left"/>
      <protection locked="0"/>
    </xf>
    <xf numFmtId="0" fontId="4" fillId="16" borderId="94" xfId="0" applyFont="1" applyFill="1" applyBorder="1" applyAlignment="1" applyProtection="1">
      <alignment horizontal="left"/>
      <protection locked="0"/>
    </xf>
    <xf numFmtId="0" fontId="4" fillId="16" borderId="95" xfId="0" applyFont="1" applyFill="1" applyBorder="1" applyAlignment="1" applyProtection="1">
      <alignment horizontal="left"/>
      <protection locked="0"/>
    </xf>
    <xf numFmtId="0" fontId="4" fillId="3" borderId="100" xfId="0" applyFont="1" applyFill="1" applyBorder="1" applyAlignment="1">
      <alignment horizontal="center"/>
    </xf>
    <xf numFmtId="0" fontId="0" fillId="0" borderId="75" xfId="0" applyBorder="1" applyAlignment="1">
      <alignment horizontal="center"/>
    </xf>
    <xf numFmtId="0" fontId="91" fillId="14" borderId="0" xfId="0" applyFont="1" applyFill="1" applyAlignment="1">
      <alignment horizontal="left"/>
    </xf>
    <xf numFmtId="0" fontId="335" fillId="15" borderId="0" xfId="0" applyFont="1" applyFill="1" applyAlignment="1">
      <alignment horizontal="left"/>
    </xf>
    <xf numFmtId="0" fontId="335" fillId="15" borderId="20" xfId="0" applyFont="1" applyFill="1" applyBorder="1" applyAlignment="1">
      <alignment horizontal="left"/>
    </xf>
    <xf numFmtId="0" fontId="10" fillId="3" borderId="26" xfId="0" applyFont="1" applyFill="1" applyBorder="1" applyAlignment="1">
      <alignment horizontal="center" vertical="center"/>
    </xf>
    <xf numFmtId="0" fontId="10" fillId="3" borderId="1" xfId="0" applyFont="1" applyFill="1" applyBorder="1" applyAlignment="1">
      <alignment horizontal="center" vertical="center"/>
    </xf>
    <xf numFmtId="0" fontId="72" fillId="3" borderId="5" xfId="0" applyFont="1" applyFill="1" applyBorder="1" applyAlignment="1">
      <alignment horizontal="center"/>
    </xf>
    <xf numFmtId="0" fontId="72" fillId="3" borderId="0" xfId="0" applyFont="1" applyFill="1" applyAlignment="1">
      <alignment horizontal="center"/>
    </xf>
    <xf numFmtId="0" fontId="8" fillId="3" borderId="0" xfId="0" applyFont="1" applyFill="1" applyAlignment="1">
      <alignment horizontal="right"/>
    </xf>
    <xf numFmtId="0" fontId="8" fillId="3" borderId="71" xfId="0" applyFont="1" applyFill="1" applyBorder="1" applyAlignment="1">
      <alignment horizontal="center"/>
    </xf>
    <xf numFmtId="0" fontId="0" fillId="0" borderId="16" xfId="0" applyBorder="1"/>
    <xf numFmtId="0" fontId="0" fillId="0" borderId="32" xfId="0" applyBorder="1"/>
    <xf numFmtId="0" fontId="0" fillId="0" borderId="100" xfId="0" applyBorder="1"/>
    <xf numFmtId="0" fontId="0" fillId="0" borderId="75" xfId="0" applyBorder="1"/>
    <xf numFmtId="0" fontId="12" fillId="20" borderId="98" xfId="0" applyFont="1" applyFill="1" applyBorder="1" applyAlignment="1" applyProtection="1">
      <alignment horizontal="left"/>
      <protection locked="0"/>
    </xf>
    <xf numFmtId="0" fontId="12" fillId="20" borderId="89" xfId="0" applyFont="1" applyFill="1" applyBorder="1" applyAlignment="1" applyProtection="1">
      <alignment horizontal="left"/>
      <protection locked="0"/>
    </xf>
    <xf numFmtId="0" fontId="4" fillId="16" borderId="89" xfId="0" applyFont="1" applyFill="1" applyBorder="1" applyAlignment="1" applyProtection="1">
      <alignment horizontal="left"/>
      <protection locked="0"/>
    </xf>
    <xf numFmtId="0" fontId="4" fillId="16" borderId="90" xfId="0" applyFont="1" applyFill="1" applyBorder="1" applyAlignment="1" applyProtection="1">
      <alignment horizontal="left"/>
      <protection locked="0"/>
    </xf>
    <xf numFmtId="0" fontId="4" fillId="3" borderId="197" xfId="0" applyFont="1" applyFill="1" applyBorder="1" applyAlignment="1">
      <alignment horizontal="center" vertical="center"/>
    </xf>
    <xf numFmtId="0" fontId="4" fillId="3" borderId="13" xfId="0" applyFont="1" applyFill="1" applyBorder="1" applyAlignment="1">
      <alignment horizontal="center" vertical="center"/>
    </xf>
    <xf numFmtId="0" fontId="4" fillId="3" borderId="158" xfId="0" applyFont="1" applyFill="1" applyBorder="1" applyAlignment="1">
      <alignment horizontal="center" vertical="center"/>
    </xf>
    <xf numFmtId="0" fontId="44" fillId="3" borderId="5" xfId="0" applyFont="1" applyFill="1" applyBorder="1" applyAlignment="1">
      <alignment horizontal="center" vertical="center"/>
    </xf>
    <xf numFmtId="0" fontId="44" fillId="3" borderId="20" xfId="0" applyFont="1" applyFill="1" applyBorder="1" applyAlignment="1">
      <alignment horizontal="center" vertical="center"/>
    </xf>
    <xf numFmtId="0" fontId="11" fillId="3" borderId="0" xfId="0" applyFont="1" applyFill="1" applyAlignment="1">
      <alignment horizontal="left"/>
    </xf>
    <xf numFmtId="0" fontId="11" fillId="3" borderId="13" xfId="0" applyFont="1" applyFill="1" applyBorder="1" applyAlignment="1">
      <alignment horizontal="left"/>
    </xf>
    <xf numFmtId="0" fontId="12" fillId="3" borderId="30" xfId="0" applyFont="1" applyFill="1" applyBorder="1" applyAlignment="1">
      <alignment horizontal="center"/>
    </xf>
    <xf numFmtId="0" fontId="12" fillId="3" borderId="8" xfId="0" applyFont="1" applyFill="1" applyBorder="1" applyAlignment="1">
      <alignment horizontal="center"/>
    </xf>
    <xf numFmtId="0" fontId="12" fillId="3" borderId="14" xfId="0" applyFont="1" applyFill="1" applyBorder="1" applyAlignment="1">
      <alignment horizontal="center"/>
    </xf>
    <xf numFmtId="0" fontId="16" fillId="3" borderId="8" xfId="0" applyFont="1" applyFill="1" applyBorder="1" applyAlignment="1">
      <alignment horizontal="center" vertical="center" wrapText="1"/>
    </xf>
    <xf numFmtId="0" fontId="16" fillId="3" borderId="14"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6" fillId="3" borderId="1" xfId="0" applyFont="1" applyFill="1" applyBorder="1" applyAlignment="1">
      <alignment horizontal="center" vertical="center" wrapText="1"/>
    </xf>
    <xf numFmtId="0" fontId="16" fillId="3" borderId="11" xfId="0" applyFont="1" applyFill="1" applyBorder="1" applyAlignment="1">
      <alignment horizontal="center" vertical="center" wrapText="1"/>
    </xf>
    <xf numFmtId="0" fontId="110" fillId="0" borderId="0" xfId="0" applyFont="1" applyAlignment="1">
      <alignment horizontal="center"/>
    </xf>
    <xf numFmtId="0" fontId="110" fillId="0" borderId="24" xfId="0" applyFont="1" applyBorder="1" applyAlignment="1">
      <alignment horizontal="center"/>
    </xf>
    <xf numFmtId="0" fontId="4" fillId="3" borderId="5" xfId="0" applyFont="1" applyFill="1" applyBorder="1" applyAlignment="1">
      <alignment horizontal="center" vertical="center"/>
    </xf>
    <xf numFmtId="0" fontId="4" fillId="3" borderId="20" xfId="0" applyFont="1" applyFill="1" applyBorder="1" applyAlignment="1">
      <alignment horizontal="center" vertical="center"/>
    </xf>
    <xf numFmtId="166" fontId="15" fillId="26" borderId="69" xfId="0" applyNumberFormat="1" applyFont="1" applyFill="1" applyBorder="1" applyAlignment="1">
      <alignment horizontal="center"/>
    </xf>
    <xf numFmtId="166" fontId="15" fillId="26" borderId="4" xfId="0" applyNumberFormat="1" applyFont="1" applyFill="1" applyBorder="1" applyAlignment="1">
      <alignment horizontal="center"/>
    </xf>
    <xf numFmtId="0" fontId="110" fillId="0" borderId="0" xfId="0" quotePrefix="1" applyFont="1" applyAlignment="1">
      <alignment horizontal="center"/>
    </xf>
    <xf numFmtId="0" fontId="142" fillId="11" borderId="61" xfId="5" applyFill="1" applyBorder="1" applyAlignment="1" applyProtection="1">
      <alignment horizontal="center"/>
    </xf>
    <xf numFmtId="0" fontId="142" fillId="11" borderId="62" xfId="5" applyFill="1" applyBorder="1" applyAlignment="1" applyProtection="1">
      <alignment horizontal="center"/>
    </xf>
    <xf numFmtId="0" fontId="142" fillId="11" borderId="63" xfId="5" applyFill="1" applyBorder="1" applyAlignment="1" applyProtection="1">
      <alignment horizontal="center"/>
    </xf>
    <xf numFmtId="0" fontId="10" fillId="20" borderId="8" xfId="0" applyFont="1" applyFill="1" applyBorder="1" applyAlignment="1" applyProtection="1">
      <alignment horizontal="center" vertical="center" wrapText="1"/>
      <protection locked="0"/>
    </xf>
    <xf numFmtId="0" fontId="6" fillId="16" borderId="8" xfId="0" applyFont="1" applyFill="1" applyBorder="1" applyAlignment="1" applyProtection="1">
      <alignment horizontal="center" vertical="center" wrapText="1"/>
      <protection locked="0"/>
    </xf>
    <xf numFmtId="0" fontId="6" fillId="16" borderId="14" xfId="0" applyFont="1" applyFill="1" applyBorder="1" applyAlignment="1" applyProtection="1">
      <alignment horizontal="center" vertical="center" wrapText="1"/>
      <protection locked="0"/>
    </xf>
    <xf numFmtId="0" fontId="6" fillId="16" borderId="1" xfId="0" applyFont="1" applyFill="1" applyBorder="1" applyAlignment="1" applyProtection="1">
      <alignment horizontal="center" vertical="center" wrapText="1"/>
      <protection locked="0"/>
    </xf>
    <xf numFmtId="0" fontId="6" fillId="16" borderId="11" xfId="0" applyFont="1" applyFill="1" applyBorder="1" applyAlignment="1" applyProtection="1">
      <alignment horizontal="center" vertical="center" wrapText="1"/>
      <protection locked="0"/>
    </xf>
    <xf numFmtId="0" fontId="10" fillId="20" borderId="97" xfId="0" applyFont="1" applyFill="1" applyBorder="1" applyAlignment="1" applyProtection="1">
      <alignment horizontal="left"/>
      <protection locked="0"/>
    </xf>
    <xf numFmtId="0" fontId="10" fillId="20" borderId="94" xfId="0" applyFont="1" applyFill="1" applyBorder="1" applyAlignment="1" applyProtection="1">
      <alignment horizontal="left"/>
      <protection locked="0"/>
    </xf>
    <xf numFmtId="0" fontId="6" fillId="16" borderId="94" xfId="0" applyFont="1" applyFill="1" applyBorder="1" applyAlignment="1" applyProtection="1">
      <alignment horizontal="left"/>
      <protection locked="0"/>
    </xf>
    <xf numFmtId="0" fontId="6" fillId="16" borderId="95" xfId="0" applyFont="1" applyFill="1" applyBorder="1" applyAlignment="1" applyProtection="1">
      <alignment horizontal="left"/>
      <protection locked="0"/>
    </xf>
    <xf numFmtId="0" fontId="4" fillId="3" borderId="1" xfId="0" applyFont="1" applyFill="1" applyBorder="1" applyAlignment="1">
      <alignment horizontal="center" vertical="center"/>
    </xf>
    <xf numFmtId="0" fontId="47" fillId="3" borderId="8" xfId="0" applyFont="1" applyFill="1" applyBorder="1" applyAlignment="1">
      <alignment horizontal="left" vertical="center"/>
    </xf>
    <xf numFmtId="0" fontId="47" fillId="3" borderId="1" xfId="0" applyFont="1" applyFill="1" applyBorder="1" applyAlignment="1">
      <alignment horizontal="left" vertical="center"/>
    </xf>
    <xf numFmtId="37" fontId="6" fillId="26" borderId="9" xfId="0" applyNumberFormat="1" applyFont="1" applyFill="1" applyBorder="1" applyAlignment="1">
      <alignment horizontal="right"/>
    </xf>
    <xf numFmtId="37" fontId="6" fillId="26" borderId="1" xfId="0" applyNumberFormat="1" applyFont="1" applyFill="1" applyBorder="1" applyAlignment="1">
      <alignment horizontal="right"/>
    </xf>
    <xf numFmtId="37" fontId="6" fillId="26" borderId="39" xfId="0" applyNumberFormat="1" applyFont="1" applyFill="1" applyBorder="1" applyAlignment="1">
      <alignment horizontal="right"/>
    </xf>
    <xf numFmtId="37" fontId="0" fillId="0" borderId="25" xfId="0" applyNumberFormat="1" applyBorder="1" applyAlignment="1">
      <alignment horizontal="right"/>
    </xf>
    <xf numFmtId="4" fontId="116" fillId="3" borderId="3" xfId="0" applyNumberFormat="1" applyFont="1" applyFill="1" applyBorder="1" applyAlignment="1">
      <alignment horizontal="center"/>
    </xf>
    <xf numFmtId="4" fontId="116" fillId="3" borderId="0" xfId="0" applyNumberFormat="1" applyFont="1" applyFill="1" applyAlignment="1">
      <alignment horizontal="center"/>
    </xf>
    <xf numFmtId="0" fontId="21" fillId="3" borderId="23" xfId="0" applyFont="1" applyFill="1" applyBorder="1" applyAlignment="1">
      <alignment horizontal="center" vertical="center"/>
    </xf>
    <xf numFmtId="0" fontId="21" fillId="3" borderId="19" xfId="0" applyFont="1" applyFill="1" applyBorder="1" applyAlignment="1">
      <alignment horizontal="center" vertical="center"/>
    </xf>
    <xf numFmtId="0" fontId="21" fillId="3" borderId="21" xfId="0" applyFont="1" applyFill="1" applyBorder="1" applyAlignment="1">
      <alignment horizontal="center" vertical="center"/>
    </xf>
    <xf numFmtId="0" fontId="21" fillId="3" borderId="22" xfId="0" applyFont="1" applyFill="1" applyBorder="1" applyAlignment="1">
      <alignment horizontal="center" vertical="center"/>
    </xf>
    <xf numFmtId="0" fontId="11" fillId="2" borderId="23" xfId="0" applyFont="1" applyFill="1" applyBorder="1" applyAlignment="1">
      <alignment horizontal="left"/>
    </xf>
    <xf numFmtId="0" fontId="11" fillId="2" borderId="7" xfId="0" applyFont="1" applyFill="1" applyBorder="1" applyAlignment="1">
      <alignment horizontal="left"/>
    </xf>
    <xf numFmtId="0" fontId="11" fillId="2" borderId="19" xfId="0" applyFont="1" applyFill="1" applyBorder="1" applyAlignment="1">
      <alignment horizontal="left"/>
    </xf>
    <xf numFmtId="0" fontId="20" fillId="3" borderId="21" xfId="0" applyFont="1" applyFill="1" applyBorder="1" applyAlignment="1">
      <alignment horizontal="left" vertical="top"/>
    </xf>
    <xf numFmtId="0" fontId="20" fillId="3" borderId="4" xfId="0" applyFont="1" applyFill="1" applyBorder="1" applyAlignment="1">
      <alignment horizontal="left" vertical="top"/>
    </xf>
    <xf numFmtId="0" fontId="20" fillId="3" borderId="22" xfId="0" applyFont="1" applyFill="1" applyBorder="1" applyAlignment="1">
      <alignment horizontal="left" vertical="top"/>
    </xf>
    <xf numFmtId="37" fontId="6" fillId="26" borderId="69" xfId="0" applyNumberFormat="1" applyFont="1" applyFill="1" applyBorder="1" applyAlignment="1">
      <alignment horizontal="right"/>
    </xf>
    <xf numFmtId="37" fontId="0" fillId="0" borderId="4" xfId="0" applyNumberFormat="1" applyBorder="1" applyAlignment="1">
      <alignment horizontal="right"/>
    </xf>
    <xf numFmtId="37" fontId="6" fillId="26" borderId="11" xfId="0" applyNumberFormat="1" applyFont="1" applyFill="1" applyBorder="1" applyAlignment="1">
      <alignment horizontal="right"/>
    </xf>
    <xf numFmtId="3" fontId="0" fillId="3" borderId="1" xfId="0" applyNumberFormat="1" applyFill="1" applyBorder="1" applyAlignment="1">
      <alignment horizontal="left"/>
    </xf>
    <xf numFmtId="37" fontId="6" fillId="20" borderId="0" xfId="0" applyNumberFormat="1" applyFont="1" applyFill="1" applyAlignment="1" applyProtection="1">
      <alignment horizontal="center"/>
      <protection locked="0"/>
    </xf>
    <xf numFmtId="37" fontId="6" fillId="20" borderId="24" xfId="0" applyNumberFormat="1" applyFont="1" applyFill="1" applyBorder="1" applyAlignment="1" applyProtection="1">
      <alignment horizontal="center"/>
      <protection locked="0"/>
    </xf>
    <xf numFmtId="37" fontId="6" fillId="26" borderId="25" xfId="0" applyNumberFormat="1" applyFont="1" applyFill="1" applyBorder="1" applyAlignment="1">
      <alignment horizontal="right"/>
    </xf>
    <xf numFmtId="37" fontId="6" fillId="26" borderId="54" xfId="0" applyNumberFormat="1" applyFont="1" applyFill="1" applyBorder="1" applyAlignment="1">
      <alignment horizontal="right"/>
    </xf>
    <xf numFmtId="37" fontId="6" fillId="26" borderId="4" xfId="0" applyNumberFormat="1" applyFont="1" applyFill="1" applyBorder="1" applyAlignment="1">
      <alignment horizontal="right"/>
    </xf>
    <xf numFmtId="37" fontId="6" fillId="26" borderId="9" xfId="0" applyNumberFormat="1" applyFont="1" applyFill="1" applyBorder="1"/>
    <xf numFmtId="3" fontId="0" fillId="3" borderId="0" xfId="0" applyNumberFormat="1" applyFill="1" applyAlignment="1">
      <alignment horizontal="left"/>
    </xf>
    <xf numFmtId="4" fontId="116" fillId="3" borderId="3" xfId="0" applyNumberFormat="1" applyFont="1" applyFill="1" applyBorder="1" applyAlignment="1">
      <alignment horizontal="center" vertical="center"/>
    </xf>
    <xf numFmtId="4" fontId="116" fillId="3" borderId="0" xfId="0" applyNumberFormat="1" applyFont="1" applyFill="1" applyAlignment="1">
      <alignment horizontal="center" vertical="center"/>
    </xf>
    <xf numFmtId="3" fontId="110" fillId="3" borderId="3" xfId="0" applyNumberFormat="1" applyFont="1" applyFill="1" applyBorder="1" applyAlignment="1">
      <alignment horizontal="right"/>
    </xf>
    <xf numFmtId="3" fontId="110" fillId="3" borderId="0" xfId="0" applyNumberFormat="1" applyFont="1" applyFill="1" applyAlignment="1">
      <alignment horizontal="right"/>
    </xf>
    <xf numFmtId="3" fontId="110" fillId="3" borderId="24" xfId="0" applyNumberFormat="1" applyFont="1" applyFill="1" applyBorder="1" applyAlignment="1">
      <alignment horizontal="right"/>
    </xf>
    <xf numFmtId="37" fontId="110" fillId="3" borderId="30" xfId="0" applyNumberFormat="1" applyFont="1" applyFill="1" applyBorder="1" applyAlignment="1">
      <alignment horizontal="right"/>
    </xf>
    <xf numFmtId="37" fontId="110" fillId="3" borderId="8" xfId="0" applyNumberFormat="1" applyFont="1" applyFill="1" applyBorder="1" applyAlignment="1">
      <alignment horizontal="right"/>
    </xf>
    <xf numFmtId="37" fontId="110" fillId="3" borderId="3" xfId="0" applyNumberFormat="1" applyFont="1" applyFill="1" applyBorder="1" applyAlignment="1">
      <alignment horizontal="right"/>
    </xf>
    <xf numFmtId="37" fontId="110" fillId="3" borderId="0" xfId="0" applyNumberFormat="1" applyFont="1" applyFill="1" applyAlignment="1">
      <alignment horizontal="right"/>
    </xf>
    <xf numFmtId="3" fontId="6" fillId="3" borderId="0" xfId="0" applyNumberFormat="1" applyFont="1" applyFill="1" applyAlignment="1">
      <alignment horizontal="left"/>
    </xf>
    <xf numFmtId="0" fontId="4" fillId="3" borderId="1" xfId="0" applyFont="1" applyFill="1" applyBorder="1" applyAlignment="1">
      <alignment horizontal="left"/>
    </xf>
    <xf numFmtId="0" fontId="4" fillId="3" borderId="20" xfId="0" applyFont="1" applyFill="1" applyBorder="1" applyAlignment="1">
      <alignment horizontal="center" wrapText="1"/>
    </xf>
    <xf numFmtId="0" fontId="4" fillId="3" borderId="29" xfId="0" applyFont="1" applyFill="1" applyBorder="1" applyAlignment="1">
      <alignment horizontal="center" wrapText="1"/>
    </xf>
    <xf numFmtId="0" fontId="4" fillId="3" borderId="0" xfId="0" applyFont="1" applyFill="1" applyAlignment="1">
      <alignment horizontal="center" wrapText="1"/>
    </xf>
    <xf numFmtId="0" fontId="4" fillId="3" borderId="1" xfId="0" applyFont="1" applyFill="1" applyBorder="1" applyAlignment="1">
      <alignment horizontal="center" wrapText="1"/>
    </xf>
    <xf numFmtId="202" fontId="0" fillId="3" borderId="0" xfId="0" applyNumberFormat="1" applyFill="1" applyAlignment="1">
      <alignment horizontal="right"/>
    </xf>
    <xf numFmtId="3" fontId="0" fillId="3" borderId="8" xfId="0" applyNumberFormat="1" applyFill="1" applyBorder="1" applyAlignment="1">
      <alignment horizontal="left"/>
    </xf>
    <xf numFmtId="0" fontId="72" fillId="3" borderId="7" xfId="0" applyFont="1" applyFill="1" applyBorder="1" applyAlignment="1">
      <alignment horizontal="left" vertical="center"/>
    </xf>
    <xf numFmtId="0" fontId="124" fillId="0" borderId="7" xfId="0" applyFont="1" applyBorder="1"/>
    <xf numFmtId="0" fontId="124" fillId="0" borderId="4" xfId="0" applyFont="1" applyBorder="1"/>
    <xf numFmtId="3" fontId="0" fillId="3" borderId="0" xfId="0" applyNumberFormat="1" applyFill="1" applyAlignment="1">
      <alignment horizontal="right"/>
    </xf>
    <xf numFmtId="0" fontId="15" fillId="28" borderId="1" xfId="0" quotePrefix="1" applyFont="1" applyFill="1" applyBorder="1" applyAlignment="1">
      <alignment horizontal="left"/>
    </xf>
    <xf numFmtId="0" fontId="15" fillId="28" borderId="11" xfId="0" quotePrefix="1" applyFont="1" applyFill="1" applyBorder="1" applyAlignment="1">
      <alignment horizontal="left"/>
    </xf>
    <xf numFmtId="0" fontId="15" fillId="20" borderId="25" xfId="0" applyFont="1" applyFill="1" applyBorder="1" applyAlignment="1" applyProtection="1">
      <alignment horizontal="left" vertical="center"/>
      <protection locked="0"/>
    </xf>
    <xf numFmtId="0" fontId="15" fillId="16" borderId="39" xfId="0" applyFont="1" applyFill="1" applyBorder="1" applyAlignment="1" applyProtection="1">
      <alignment horizontal="left" vertical="center"/>
      <protection locked="0"/>
    </xf>
    <xf numFmtId="0" fontId="15" fillId="16" borderId="25" xfId="0" applyFont="1" applyFill="1" applyBorder="1" applyAlignment="1" applyProtection="1">
      <alignment horizontal="left" vertical="center"/>
      <protection locked="0"/>
    </xf>
    <xf numFmtId="0" fontId="15" fillId="16" borderId="54" xfId="0" applyFont="1" applyFill="1" applyBorder="1" applyAlignment="1" applyProtection="1">
      <alignment horizontal="left" vertical="center"/>
      <protection locked="0"/>
    </xf>
    <xf numFmtId="2" fontId="6" fillId="15" borderId="0" xfId="0" applyNumberFormat="1" applyFont="1" applyFill="1" applyAlignment="1">
      <alignment horizontal="center"/>
    </xf>
    <xf numFmtId="3" fontId="8" fillId="15" borderId="0" xfId="0" applyNumberFormat="1" applyFont="1" applyFill="1" applyAlignment="1">
      <alignment horizontal="right"/>
    </xf>
    <xf numFmtId="0" fontId="26" fillId="15" borderId="0" xfId="0" applyFont="1" applyFill="1" applyAlignment="1">
      <alignment horizontal="left" wrapText="1"/>
    </xf>
    <xf numFmtId="2" fontId="6" fillId="15" borderId="0" xfId="0" applyNumberFormat="1" applyFont="1" applyFill="1" applyAlignment="1">
      <alignment horizontal="left"/>
    </xf>
    <xf numFmtId="0" fontId="4" fillId="15" borderId="1" xfId="0" applyFont="1" applyFill="1" applyBorder="1" applyAlignment="1">
      <alignment horizontal="center" wrapText="1"/>
    </xf>
    <xf numFmtId="0" fontId="4" fillId="0" borderId="4" xfId="0" applyFont="1" applyBorder="1" applyAlignment="1">
      <alignment horizontal="center"/>
    </xf>
    <xf numFmtId="0" fontId="6" fillId="15" borderId="24" xfId="0" applyFont="1" applyFill="1" applyBorder="1" applyAlignment="1">
      <alignment horizontal="left" vertical="top" wrapText="1"/>
    </xf>
    <xf numFmtId="0" fontId="6" fillId="15" borderId="21" xfId="0" applyFont="1" applyFill="1" applyBorder="1" applyAlignment="1">
      <alignment horizontal="left" vertical="top" wrapText="1"/>
    </xf>
    <xf numFmtId="0" fontId="6" fillId="15" borderId="4" xfId="0" applyFont="1" applyFill="1" applyBorder="1" applyAlignment="1">
      <alignment horizontal="left" vertical="top" wrapText="1"/>
    </xf>
    <xf numFmtId="0" fontId="6" fillId="15" borderId="70" xfId="0" applyFont="1" applyFill="1" applyBorder="1" applyAlignment="1">
      <alignment horizontal="left" vertical="top" wrapText="1"/>
    </xf>
    <xf numFmtId="3" fontId="0" fillId="3" borderId="1" xfId="0" applyNumberFormat="1" applyFill="1" applyBorder="1" applyAlignment="1">
      <alignment horizontal="right"/>
    </xf>
    <xf numFmtId="166" fontId="15" fillId="16" borderId="39" xfId="0" applyNumberFormat="1" applyFont="1" applyFill="1" applyBorder="1" applyAlignment="1" applyProtection="1">
      <alignment horizontal="center" vertical="center"/>
      <protection locked="0"/>
    </xf>
    <xf numFmtId="166" fontId="15" fillId="16" borderId="25" xfId="0" applyNumberFormat="1" applyFont="1" applyFill="1" applyBorder="1" applyAlignment="1" applyProtection="1">
      <alignment horizontal="center" vertical="center"/>
      <protection locked="0"/>
    </xf>
    <xf numFmtId="166" fontId="15" fillId="16" borderId="54" xfId="0" applyNumberFormat="1" applyFont="1" applyFill="1" applyBorder="1" applyAlignment="1" applyProtection="1">
      <alignment horizontal="center" vertical="center"/>
      <protection locked="0"/>
    </xf>
    <xf numFmtId="0" fontId="280" fillId="15" borderId="0" xfId="0" applyFont="1" applyFill="1" applyAlignment="1">
      <alignment horizontal="left" vertical="top" wrapText="1"/>
    </xf>
    <xf numFmtId="0" fontId="15" fillId="15" borderId="9" xfId="0" applyFont="1" applyFill="1" applyBorder="1" applyAlignment="1">
      <alignment horizontal="center"/>
    </xf>
    <xf numFmtId="0" fontId="4" fillId="20" borderId="85" xfId="0" quotePrefix="1" applyFont="1" applyFill="1" applyBorder="1" applyAlignment="1" applyProtection="1">
      <alignment horizontal="right" vertical="center"/>
      <protection locked="0"/>
    </xf>
    <xf numFmtId="0" fontId="15" fillId="15" borderId="8" xfId="0" quotePrefix="1" applyFont="1" applyFill="1" applyBorder="1" applyAlignment="1">
      <alignment horizontal="center" vertical="center"/>
    </xf>
    <xf numFmtId="0" fontId="15" fillId="15" borderId="0" xfId="0" quotePrefix="1" applyFont="1" applyFill="1" applyAlignment="1">
      <alignment horizontal="center" vertical="center"/>
    </xf>
    <xf numFmtId="0" fontId="123" fillId="31" borderId="25" xfId="0" applyFont="1" applyFill="1" applyBorder="1" applyAlignment="1">
      <alignment horizontal="center" vertical="center"/>
    </xf>
    <xf numFmtId="0" fontId="74" fillId="0" borderId="25" xfId="0" applyFont="1" applyBorder="1" applyAlignment="1">
      <alignment horizontal="center"/>
    </xf>
    <xf numFmtId="182" fontId="4" fillId="20" borderId="39" xfId="0" quotePrefix="1" applyNumberFormat="1" applyFont="1" applyFill="1" applyBorder="1" applyAlignment="1" applyProtection="1">
      <alignment horizontal="center" vertical="center"/>
      <protection locked="0"/>
    </xf>
    <xf numFmtId="182" fontId="6" fillId="0" borderId="25" xfId="0" applyNumberFormat="1" applyFont="1" applyBorder="1" applyAlignment="1" applyProtection="1">
      <alignment horizontal="center" vertical="center"/>
      <protection locked="0"/>
    </xf>
    <xf numFmtId="182" fontId="6" fillId="0" borderId="54" xfId="0" applyNumberFormat="1" applyFont="1" applyBorder="1" applyAlignment="1" applyProtection="1">
      <alignment horizontal="center" vertical="center"/>
      <protection locked="0"/>
    </xf>
    <xf numFmtId="182" fontId="4" fillId="20" borderId="25" xfId="0" quotePrefix="1" applyNumberFormat="1" applyFont="1" applyFill="1" applyBorder="1" applyAlignment="1" applyProtection="1">
      <alignment horizontal="center" vertical="center"/>
      <protection locked="0"/>
    </xf>
    <xf numFmtId="0" fontId="4" fillId="26" borderId="39" xfId="0" quotePrefix="1" applyFont="1" applyFill="1" applyBorder="1" applyAlignment="1">
      <alignment horizontal="center" vertical="center"/>
    </xf>
    <xf numFmtId="0" fontId="6" fillId="27" borderId="25" xfId="0" applyFont="1" applyFill="1" applyBorder="1" applyAlignment="1">
      <alignment horizontal="center" vertical="center"/>
    </xf>
    <xf numFmtId="0" fontId="6" fillId="27" borderId="54" xfId="0" applyFont="1" applyFill="1" applyBorder="1" applyAlignment="1">
      <alignment horizontal="center" vertical="center"/>
    </xf>
    <xf numFmtId="3" fontId="4" fillId="20" borderId="39" xfId="0" quotePrefix="1" applyNumberFormat="1" applyFont="1" applyFill="1" applyBorder="1" applyAlignment="1" applyProtection="1">
      <alignment horizontal="right" vertical="center" indent="1"/>
      <protection locked="0"/>
    </xf>
    <xf numFmtId="3" fontId="6" fillId="0" borderId="25" xfId="0" applyNumberFormat="1" applyFont="1" applyBorder="1" applyAlignment="1" applyProtection="1">
      <alignment horizontal="right" vertical="center" indent="1"/>
      <protection locked="0"/>
    </xf>
    <xf numFmtId="3" fontId="6" fillId="0" borderId="68" xfId="0" applyNumberFormat="1" applyFont="1" applyBorder="1" applyAlignment="1" applyProtection="1">
      <alignment horizontal="right" vertical="center" indent="1"/>
      <protection locked="0"/>
    </xf>
    <xf numFmtId="182" fontId="4" fillId="20" borderId="49" xfId="0" quotePrefix="1" applyNumberFormat="1" applyFont="1" applyFill="1" applyBorder="1" applyAlignment="1" applyProtection="1">
      <alignment horizontal="center" vertical="center"/>
      <protection locked="0"/>
    </xf>
    <xf numFmtId="182" fontId="6" fillId="0" borderId="49" xfId="0" applyNumberFormat="1" applyFont="1" applyBorder="1" applyAlignment="1" applyProtection="1">
      <alignment horizontal="center" vertical="center"/>
      <protection locked="0"/>
    </xf>
    <xf numFmtId="182" fontId="6" fillId="0" borderId="46" xfId="0" applyNumberFormat="1" applyFont="1" applyBorder="1" applyAlignment="1" applyProtection="1">
      <alignment horizontal="center" vertical="center"/>
      <protection locked="0"/>
    </xf>
    <xf numFmtId="0" fontId="0" fillId="0" borderId="25" xfId="0" applyBorder="1" applyAlignment="1" applyProtection="1">
      <alignment horizontal="right" vertical="center" indent="1"/>
      <protection locked="0"/>
    </xf>
    <xf numFmtId="0" fontId="9" fillId="15" borderId="21" xfId="0" applyFont="1" applyFill="1" applyBorder="1" applyAlignment="1">
      <alignment horizontal="center" vertical="top"/>
    </xf>
    <xf numFmtId="0" fontId="9" fillId="0" borderId="4" xfId="0" applyFont="1" applyBorder="1" applyAlignment="1">
      <alignment horizontal="center" vertical="top"/>
    </xf>
    <xf numFmtId="0" fontId="9" fillId="0" borderId="22" xfId="0" applyFont="1" applyBorder="1" applyAlignment="1">
      <alignment horizontal="center" vertical="top"/>
    </xf>
    <xf numFmtId="0" fontId="11" fillId="20" borderId="1" xfId="0" quotePrefix="1" applyFont="1" applyFill="1" applyBorder="1" applyAlignment="1" applyProtection="1">
      <alignment vertical="center"/>
      <protection locked="0"/>
    </xf>
    <xf numFmtId="0" fontId="6" fillId="16" borderId="1" xfId="0" applyFont="1" applyFill="1" applyBorder="1" applyAlignment="1" applyProtection="1">
      <alignment vertical="center"/>
      <protection locked="0"/>
    </xf>
    <xf numFmtId="0" fontId="6" fillId="16" borderId="11" xfId="0" applyFont="1" applyFill="1" applyBorder="1" applyAlignment="1" applyProtection="1">
      <alignment vertical="center"/>
      <protection locked="0"/>
    </xf>
    <xf numFmtId="0" fontId="11" fillId="20" borderId="9" xfId="0" quotePrefix="1" applyFont="1" applyFill="1" applyBorder="1" applyAlignment="1" applyProtection="1">
      <alignment vertical="center"/>
      <protection locked="0"/>
    </xf>
    <xf numFmtId="0" fontId="0" fillId="16" borderId="1" xfId="0" applyFill="1" applyBorder="1" applyAlignment="1" applyProtection="1">
      <alignment vertical="center"/>
      <protection locked="0"/>
    </xf>
    <xf numFmtId="0" fontId="4" fillId="20" borderId="85" xfId="0" quotePrefix="1" applyFont="1" applyFill="1" applyBorder="1" applyAlignment="1" applyProtection="1">
      <alignment vertical="center"/>
      <protection locked="0"/>
    </xf>
    <xf numFmtId="0" fontId="6" fillId="16" borderId="85" xfId="0" applyFont="1" applyFill="1" applyBorder="1" applyAlignment="1" applyProtection="1">
      <alignment vertical="center"/>
      <protection locked="0"/>
    </xf>
    <xf numFmtId="0" fontId="6" fillId="16" borderId="8" xfId="0" applyFont="1" applyFill="1" applyBorder="1" applyAlignment="1" applyProtection="1">
      <alignment vertical="center"/>
      <protection locked="0"/>
    </xf>
    <xf numFmtId="0" fontId="6" fillId="0" borderId="8" xfId="0" applyFont="1" applyBorder="1"/>
    <xf numFmtId="0" fontId="4" fillId="20" borderId="113" xfId="0" quotePrefix="1" applyFont="1" applyFill="1" applyBorder="1" applyAlignment="1" applyProtection="1">
      <alignment vertical="center"/>
      <protection locked="0"/>
    </xf>
    <xf numFmtId="0" fontId="6" fillId="0" borderId="113" xfId="0" applyFont="1" applyBorder="1" applyAlignment="1">
      <alignment vertical="center"/>
    </xf>
    <xf numFmtId="0" fontId="47" fillId="0" borderId="11" xfId="0" applyFont="1" applyBorder="1" applyAlignment="1">
      <alignment horizontal="center"/>
    </xf>
    <xf numFmtId="3" fontId="4" fillId="16" borderId="1" xfId="0" applyNumberFormat="1" applyFont="1" applyFill="1" applyBorder="1" applyAlignment="1" applyProtection="1">
      <alignment horizontal="right" indent="1"/>
      <protection locked="0"/>
    </xf>
    <xf numFmtId="0" fontId="4" fillId="15" borderId="14" xfId="0" applyFont="1" applyFill="1" applyBorder="1" applyAlignment="1">
      <alignment horizontal="center"/>
    </xf>
    <xf numFmtId="0" fontId="4" fillId="15" borderId="8" xfId="0" applyFont="1" applyFill="1" applyBorder="1" applyAlignment="1">
      <alignment horizontal="center"/>
    </xf>
    <xf numFmtId="182" fontId="4" fillId="20" borderId="25" xfId="0" quotePrefix="1" applyNumberFormat="1" applyFont="1" applyFill="1" applyBorder="1" applyAlignment="1" applyProtection="1">
      <alignment horizontal="left" vertical="center" indent="1"/>
      <protection locked="0"/>
    </xf>
    <xf numFmtId="0" fontId="0" fillId="0" borderId="25" xfId="0" applyBorder="1" applyAlignment="1" applyProtection="1">
      <alignment horizontal="left" vertical="center" indent="1"/>
      <protection locked="0"/>
    </xf>
    <xf numFmtId="0" fontId="0" fillId="0" borderId="54" xfId="0" applyBorder="1" applyAlignment="1" applyProtection="1">
      <alignment horizontal="left" vertical="center" indent="1"/>
      <protection locked="0"/>
    </xf>
    <xf numFmtId="0" fontId="0" fillId="0" borderId="54" xfId="0" applyBorder="1" applyAlignment="1" applyProtection="1">
      <alignment horizontal="center" vertical="center"/>
      <protection locked="0"/>
    </xf>
    <xf numFmtId="182" fontId="4" fillId="20" borderId="85" xfId="0" quotePrefix="1" applyNumberFormat="1" applyFont="1" applyFill="1" applyBorder="1" applyAlignment="1" applyProtection="1">
      <alignment horizontal="center" vertical="center"/>
      <protection locked="0"/>
    </xf>
    <xf numFmtId="182" fontId="6" fillId="0" borderId="85" xfId="0" applyNumberFormat="1" applyFont="1" applyBorder="1" applyAlignment="1">
      <alignment horizontal="center" vertical="center"/>
    </xf>
    <xf numFmtId="0" fontId="0" fillId="0" borderId="85" xfId="0" applyBorder="1" applyAlignment="1">
      <alignment horizontal="center" vertical="center"/>
    </xf>
    <xf numFmtId="0" fontId="47" fillId="15" borderId="4" xfId="0" applyFont="1" applyFill="1" applyBorder="1" applyAlignment="1">
      <alignment horizontal="right" vertical="top"/>
    </xf>
    <xf numFmtId="0" fontId="47" fillId="0" borderId="4" xfId="0" applyFont="1" applyBorder="1" applyAlignment="1">
      <alignment horizontal="right" vertical="top"/>
    </xf>
    <xf numFmtId="0" fontId="11" fillId="28" borderId="0" xfId="0" quotePrefix="1" applyFont="1" applyFill="1" applyAlignment="1">
      <alignment vertical="center"/>
    </xf>
    <xf numFmtId="0" fontId="0" fillId="25" borderId="0" xfId="0" applyFill="1" applyAlignment="1">
      <alignment vertical="center"/>
    </xf>
    <xf numFmtId="0" fontId="0" fillId="0" borderId="0" xfId="0" applyAlignment="1">
      <alignment vertical="center"/>
    </xf>
    <xf numFmtId="0" fontId="0" fillId="0" borderId="24" xfId="0" applyBorder="1" applyAlignment="1">
      <alignment vertical="center"/>
    </xf>
    <xf numFmtId="0" fontId="0" fillId="0" borderId="11" xfId="0" applyBorder="1" applyAlignment="1">
      <alignment vertical="center"/>
    </xf>
    <xf numFmtId="166" fontId="11" fillId="28" borderId="3" xfId="0" quotePrefix="1" applyNumberFormat="1" applyFont="1" applyFill="1" applyBorder="1" applyAlignment="1">
      <alignment horizontal="center" vertical="center"/>
    </xf>
    <xf numFmtId="0" fontId="4" fillId="20" borderId="87" xfId="0" quotePrefix="1" applyFont="1" applyFill="1" applyBorder="1" applyAlignment="1" applyProtection="1">
      <alignment horizontal="left" vertical="center"/>
      <protection locked="0"/>
    </xf>
    <xf numFmtId="0" fontId="4" fillId="20" borderId="87" xfId="0" quotePrefix="1" applyFont="1" applyFill="1" applyBorder="1" applyAlignment="1" applyProtection="1">
      <alignment vertical="center"/>
      <protection locked="0"/>
    </xf>
    <xf numFmtId="0" fontId="4" fillId="0" borderId="87" xfId="0" applyFont="1" applyBorder="1" applyAlignment="1">
      <alignment vertical="center"/>
    </xf>
    <xf numFmtId="0" fontId="6" fillId="15" borderId="0" xfId="0" applyFont="1" applyFill="1" applyAlignment="1">
      <alignment vertical="center" wrapText="1"/>
    </xf>
    <xf numFmtId="182" fontId="11" fillId="20" borderId="87" xfId="0" quotePrefix="1" applyNumberFormat="1" applyFont="1" applyFill="1" applyBorder="1" applyAlignment="1" applyProtection="1">
      <alignment horizontal="center" vertical="center"/>
      <protection locked="0"/>
    </xf>
    <xf numFmtId="182" fontId="0" fillId="0" borderId="87" xfId="0" applyNumberFormat="1" applyBorder="1" applyAlignment="1" applyProtection="1">
      <alignment horizontal="center" vertical="center"/>
      <protection locked="0"/>
    </xf>
    <xf numFmtId="0" fontId="0" fillId="0" borderId="87" xfId="0" applyBorder="1" applyAlignment="1" applyProtection="1">
      <alignment horizontal="center" vertical="center"/>
      <protection locked="0"/>
    </xf>
    <xf numFmtId="0" fontId="4" fillId="0" borderId="113" xfId="0" applyFont="1" applyBorder="1" applyAlignment="1">
      <alignment vertical="center"/>
    </xf>
    <xf numFmtId="0" fontId="4" fillId="20" borderId="1" xfId="0" quotePrefix="1" applyFont="1" applyFill="1" applyBorder="1" applyAlignment="1" applyProtection="1">
      <alignment vertical="center"/>
      <protection locked="0"/>
    </xf>
    <xf numFmtId="0" fontId="4" fillId="0" borderId="1" xfId="0" applyFont="1" applyBorder="1" applyAlignment="1">
      <alignment vertical="center"/>
    </xf>
    <xf numFmtId="0" fontId="10" fillId="15" borderId="25" xfId="0" applyFont="1" applyFill="1" applyBorder="1" applyAlignment="1">
      <alignment horizontal="center" vertical="center" wrapText="1"/>
    </xf>
    <xf numFmtId="0" fontId="10" fillId="0" borderId="25" xfId="0" applyFont="1" applyBorder="1" applyAlignment="1">
      <alignment horizontal="center" vertical="center" wrapText="1"/>
    </xf>
    <xf numFmtId="0" fontId="10" fillId="0" borderId="54" xfId="0" applyFont="1" applyBorder="1" applyAlignment="1">
      <alignment horizontal="center" vertical="center" wrapText="1"/>
    </xf>
    <xf numFmtId="0" fontId="10" fillId="15" borderId="39" xfId="0" applyFont="1" applyFill="1" applyBorder="1" applyAlignment="1">
      <alignment horizontal="center" vertical="center" wrapText="1"/>
    </xf>
    <xf numFmtId="0" fontId="10" fillId="0" borderId="68" xfId="0" applyFont="1" applyBorder="1" applyAlignment="1">
      <alignment horizontal="center" vertical="center" wrapText="1"/>
    </xf>
    <xf numFmtId="0" fontId="12" fillId="15" borderId="25" xfId="0" applyFont="1" applyFill="1" applyBorder="1" applyAlignment="1">
      <alignment horizontal="center" vertical="center" wrapText="1"/>
    </xf>
    <xf numFmtId="0" fontId="12" fillId="0" borderId="25" xfId="0" applyFont="1" applyBorder="1" applyAlignment="1">
      <alignment horizontal="center" vertical="center" wrapText="1"/>
    </xf>
    <xf numFmtId="0" fontId="12" fillId="0" borderId="54" xfId="0" applyFont="1" applyBorder="1" applyAlignment="1">
      <alignment horizontal="center" vertical="center" wrapText="1"/>
    </xf>
    <xf numFmtId="0" fontId="14" fillId="15" borderId="0" xfId="0" applyFont="1" applyFill="1" applyAlignment="1">
      <alignment horizontal="left" vertical="center"/>
    </xf>
    <xf numFmtId="0" fontId="91" fillId="15" borderId="0" xfId="0" quotePrefix="1" applyFont="1" applyFill="1"/>
    <xf numFmtId="0" fontId="0" fillId="0" borderId="5" xfId="0" applyBorder="1" applyAlignment="1">
      <alignment horizontal="center"/>
    </xf>
    <xf numFmtId="0" fontId="0" fillId="15" borderId="0" xfId="0" applyFill="1" applyAlignment="1">
      <alignment horizontal="right"/>
    </xf>
    <xf numFmtId="0" fontId="147" fillId="15" borderId="80" xfId="0" applyFont="1" applyFill="1" applyBorder="1" applyAlignment="1">
      <alignment horizontal="center" vertical="center"/>
    </xf>
    <xf numFmtId="0" fontId="148" fillId="0" borderId="8" xfId="0" applyFont="1" applyBorder="1" applyAlignment="1">
      <alignment horizontal="center" vertical="center"/>
    </xf>
    <xf numFmtId="0" fontId="148" fillId="0" borderId="5" xfId="0" applyFont="1" applyBorder="1" applyAlignment="1">
      <alignment horizontal="center" vertical="center"/>
    </xf>
    <xf numFmtId="0" fontId="148" fillId="0" borderId="0" xfId="0" applyFont="1" applyAlignment="1">
      <alignment horizontal="center" vertical="center"/>
    </xf>
    <xf numFmtId="0" fontId="4" fillId="15" borderId="5" xfId="0" applyFont="1" applyFill="1" applyBorder="1" applyAlignment="1">
      <alignment horizontal="center"/>
    </xf>
    <xf numFmtId="0" fontId="47" fillId="15" borderId="0" xfId="0" applyFont="1" applyFill="1" applyAlignment="1">
      <alignment horizontal="right"/>
    </xf>
    <xf numFmtId="0" fontId="47" fillId="0" borderId="0" xfId="0" applyFont="1" applyAlignment="1">
      <alignment horizontal="right"/>
    </xf>
    <xf numFmtId="0" fontId="44" fillId="15" borderId="0" xfId="0" applyFont="1" applyFill="1" applyAlignment="1">
      <alignment horizontal="left"/>
    </xf>
    <xf numFmtId="0" fontId="44" fillId="15" borderId="4" xfId="0" applyFont="1" applyFill="1" applyBorder="1" applyAlignment="1">
      <alignment horizontal="left"/>
    </xf>
    <xf numFmtId="0" fontId="4" fillId="0" borderId="0" xfId="0" applyFont="1" applyAlignment="1">
      <alignment vertical="center"/>
    </xf>
    <xf numFmtId="0" fontId="6" fillId="0" borderId="87" xfId="0" applyFont="1" applyBorder="1" applyAlignment="1">
      <alignment vertical="center"/>
    </xf>
    <xf numFmtId="1" fontId="4" fillId="20" borderId="39" xfId="0" quotePrefix="1" applyNumberFormat="1" applyFont="1" applyFill="1" applyBorder="1" applyAlignment="1" applyProtection="1">
      <alignment horizontal="center" vertical="center"/>
      <protection locked="0"/>
    </xf>
    <xf numFmtId="1" fontId="0" fillId="0" borderId="25" xfId="0" applyNumberFormat="1" applyBorder="1" applyAlignment="1" applyProtection="1">
      <alignment horizontal="center" vertical="center"/>
      <protection locked="0"/>
    </xf>
    <xf numFmtId="1" fontId="0" fillId="0" borderId="54" xfId="0" applyNumberFormat="1" applyBorder="1" applyAlignment="1" applyProtection="1">
      <alignment horizontal="center" vertical="center"/>
      <protection locked="0"/>
    </xf>
    <xf numFmtId="0" fontId="10" fillId="0" borderId="39" xfId="0" applyFont="1" applyBorder="1" applyAlignment="1">
      <alignment horizontal="center" vertical="center" wrapText="1"/>
    </xf>
    <xf numFmtId="0" fontId="0" fillId="0" borderId="25" xfId="0" applyBorder="1" applyAlignment="1">
      <alignment horizontal="center" vertical="center" wrapText="1"/>
    </xf>
    <xf numFmtId="0" fontId="0" fillId="0" borderId="54" xfId="0" applyBorder="1" applyAlignment="1">
      <alignment horizontal="center" vertical="center" wrapText="1"/>
    </xf>
    <xf numFmtId="0" fontId="4" fillId="20" borderId="113" xfId="0" quotePrefix="1" applyFont="1" applyFill="1" applyBorder="1" applyAlignment="1" applyProtection="1">
      <alignment horizontal="center" vertical="center"/>
      <protection locked="0"/>
    </xf>
    <xf numFmtId="0" fontId="4" fillId="20" borderId="87" xfId="0" quotePrefix="1" applyFont="1" applyFill="1" applyBorder="1" applyAlignment="1" applyProtection="1">
      <alignment horizontal="center" vertical="center"/>
      <protection locked="0"/>
    </xf>
    <xf numFmtId="0" fontId="15" fillId="20" borderId="87" xfId="0" quotePrefix="1" applyFont="1" applyFill="1" applyBorder="1" applyAlignment="1" applyProtection="1">
      <alignment vertical="center"/>
      <protection locked="0"/>
    </xf>
    <xf numFmtId="0" fontId="0" fillId="0" borderId="87" xfId="0" applyBorder="1" applyAlignment="1">
      <alignment vertical="center"/>
    </xf>
    <xf numFmtId="0" fontId="20" fillId="15" borderId="25" xfId="0" applyFont="1" applyFill="1" applyBorder="1" applyAlignment="1">
      <alignment horizontal="center" vertical="center" wrapText="1"/>
    </xf>
    <xf numFmtId="0" fontId="20" fillId="0" borderId="25" xfId="0" applyFont="1" applyBorder="1" applyAlignment="1">
      <alignment horizontal="center" vertical="center" wrapText="1"/>
    </xf>
    <xf numFmtId="0" fontId="74" fillId="0" borderId="25" xfId="0" applyFont="1" applyBorder="1" applyAlignment="1">
      <alignment horizontal="center" vertical="center" wrapText="1"/>
    </xf>
    <xf numFmtId="0" fontId="74" fillId="0" borderId="54" xfId="0" applyFont="1" applyBorder="1" applyAlignment="1">
      <alignment horizontal="center" vertical="center" wrapText="1"/>
    </xf>
    <xf numFmtId="0" fontId="15" fillId="15" borderId="30" xfId="0" applyFont="1" applyFill="1" applyBorder="1" applyAlignment="1">
      <alignment horizontal="center"/>
    </xf>
    <xf numFmtId="0" fontId="47" fillId="0" borderId="14" xfId="0" applyFont="1" applyBorder="1" applyAlignment="1">
      <alignment horizontal="center"/>
    </xf>
    <xf numFmtId="3" fontId="4" fillId="16" borderId="8" xfId="0" applyNumberFormat="1" applyFont="1" applyFill="1" applyBorder="1" applyAlignment="1" applyProtection="1">
      <alignment horizontal="right" indent="1"/>
      <protection locked="0"/>
    </xf>
    <xf numFmtId="0" fontId="4" fillId="19" borderId="30" xfId="0" applyFont="1" applyFill="1" applyBorder="1" applyAlignment="1">
      <alignment horizontal="center"/>
    </xf>
    <xf numFmtId="0" fontId="0" fillId="19" borderId="14" xfId="0" applyFill="1" applyBorder="1" applyAlignment="1">
      <alignment horizontal="center"/>
    </xf>
    <xf numFmtId="0" fontId="4" fillId="19" borderId="3" xfId="0" applyFont="1" applyFill="1" applyBorder="1" applyAlignment="1">
      <alignment horizontal="center"/>
    </xf>
    <xf numFmtId="0" fontId="4" fillId="19" borderId="24" xfId="0" applyFont="1" applyFill="1" applyBorder="1" applyAlignment="1">
      <alignment horizontal="center"/>
    </xf>
    <xf numFmtId="3" fontId="4" fillId="16" borderId="9" xfId="0" applyNumberFormat="1" applyFont="1" applyFill="1" applyBorder="1" applyAlignment="1" applyProtection="1">
      <alignment horizontal="right" indent="1"/>
      <protection locked="0"/>
    </xf>
    <xf numFmtId="3" fontId="4" fillId="16" borderId="11" xfId="0" applyNumberFormat="1" applyFont="1" applyFill="1" applyBorder="1" applyAlignment="1" applyProtection="1">
      <alignment horizontal="right" indent="1"/>
      <protection locked="0"/>
    </xf>
    <xf numFmtId="0" fontId="15" fillId="15" borderId="14" xfId="0" applyFont="1" applyFill="1" applyBorder="1" applyAlignment="1">
      <alignment horizontal="center"/>
    </xf>
    <xf numFmtId="3" fontId="4" fillId="27" borderId="1" xfId="0" applyNumberFormat="1" applyFont="1" applyFill="1" applyBorder="1" applyAlignment="1">
      <alignment horizontal="right" indent="1"/>
    </xf>
    <xf numFmtId="37" fontId="4" fillId="27" borderId="1" xfId="0" applyNumberFormat="1" applyFont="1" applyFill="1" applyBorder="1" applyAlignment="1">
      <alignment horizontal="right" indent="1"/>
    </xf>
    <xf numFmtId="0" fontId="4" fillId="15" borderId="24" xfId="0" applyFont="1" applyFill="1" applyBorder="1" applyAlignment="1">
      <alignment horizontal="center"/>
    </xf>
    <xf numFmtId="0" fontId="4" fillId="15" borderId="1" xfId="0" applyFont="1" applyFill="1" applyBorder="1" applyAlignment="1">
      <alignment horizontal="center"/>
    </xf>
    <xf numFmtId="3" fontId="4" fillId="27" borderId="9" xfId="0" applyNumberFormat="1" applyFont="1" applyFill="1" applyBorder="1" applyAlignment="1">
      <alignment horizontal="center"/>
    </xf>
    <xf numFmtId="0" fontId="0" fillId="27" borderId="1" xfId="0" applyFill="1" applyBorder="1" applyAlignment="1">
      <alignment horizontal="center"/>
    </xf>
    <xf numFmtId="168" fontId="23" fillId="27" borderId="1" xfId="0" applyNumberFormat="1" applyFont="1" applyFill="1" applyBorder="1" applyAlignment="1">
      <alignment horizontal="right" indent="1"/>
    </xf>
    <xf numFmtId="0" fontId="15" fillId="15" borderId="3" xfId="0" applyFont="1" applyFill="1" applyBorder="1" applyAlignment="1">
      <alignment horizontal="center"/>
    </xf>
    <xf numFmtId="0" fontId="47" fillId="0" borderId="24" xfId="0" applyFont="1" applyBorder="1" applyAlignment="1">
      <alignment horizontal="center"/>
    </xf>
    <xf numFmtId="3" fontId="4" fillId="27" borderId="0" xfId="0" applyNumberFormat="1" applyFont="1" applyFill="1" applyAlignment="1">
      <alignment horizontal="right" indent="1"/>
    </xf>
    <xf numFmtId="0" fontId="119" fillId="15" borderId="27" xfId="0" applyFont="1" applyFill="1" applyBorder="1" applyAlignment="1">
      <alignment horizontal="center" vertical="center"/>
    </xf>
    <xf numFmtId="0" fontId="121" fillId="0" borderId="27" xfId="0" applyFont="1" applyBorder="1" applyAlignment="1">
      <alignment horizontal="center" vertical="center"/>
    </xf>
    <xf numFmtId="0" fontId="110" fillId="15" borderId="8" xfId="0" applyFont="1" applyFill="1" applyBorder="1"/>
    <xf numFmtId="37" fontId="110" fillId="15" borderId="30" xfId="0" applyNumberFormat="1" applyFont="1" applyFill="1" applyBorder="1"/>
    <xf numFmtId="37" fontId="110" fillId="0" borderId="8" xfId="0" applyNumberFormat="1" applyFont="1" applyBorder="1"/>
    <xf numFmtId="176" fontId="125" fillId="15" borderId="3" xfId="0" applyNumberFormat="1" applyFont="1" applyFill="1" applyBorder="1" applyAlignment="1">
      <alignment horizontal="right"/>
    </xf>
    <xf numFmtId="176" fontId="125" fillId="15" borderId="0" xfId="0" applyNumberFormat="1" applyFont="1" applyFill="1" applyAlignment="1">
      <alignment horizontal="right"/>
    </xf>
    <xf numFmtId="0" fontId="11" fillId="15" borderId="8" xfId="0" applyFont="1" applyFill="1" applyBorder="1" applyAlignment="1">
      <alignment horizontal="left" vertical="center" wrapText="1" indent="1"/>
    </xf>
    <xf numFmtId="0" fontId="14" fillId="0" borderId="8" xfId="0" applyFont="1" applyBorder="1" applyAlignment="1">
      <alignment horizontal="left" vertical="center" indent="1"/>
    </xf>
    <xf numFmtId="0" fontId="14" fillId="0" borderId="0" xfId="0" applyFont="1" applyAlignment="1">
      <alignment horizontal="left" vertical="center" indent="1"/>
    </xf>
    <xf numFmtId="0" fontId="14" fillId="0" borderId="1" xfId="0" applyFont="1" applyBorder="1" applyAlignment="1">
      <alignment horizontal="left" vertical="center" indent="1"/>
    </xf>
    <xf numFmtId="176" fontId="125" fillId="15" borderId="30" xfId="0" applyNumberFormat="1" applyFont="1" applyFill="1" applyBorder="1" applyAlignment="1">
      <alignment horizontal="right"/>
    </xf>
    <xf numFmtId="176" fontId="125" fillId="15" borderId="8" xfId="0" applyNumberFormat="1" applyFont="1" applyFill="1" applyBorder="1" applyAlignment="1">
      <alignment horizontal="right"/>
    </xf>
    <xf numFmtId="0" fontId="4" fillId="23" borderId="30" xfId="0" applyFont="1" applyFill="1" applyBorder="1" applyAlignment="1">
      <alignment horizontal="center"/>
    </xf>
    <xf numFmtId="0" fontId="4" fillId="23" borderId="14" xfId="0" applyFont="1" applyFill="1" applyBorder="1" applyAlignment="1">
      <alignment horizontal="center"/>
    </xf>
    <xf numFmtId="0" fontId="4" fillId="23" borderId="3" xfId="0" applyFont="1" applyFill="1" applyBorder="1" applyAlignment="1">
      <alignment horizontal="center"/>
    </xf>
    <xf numFmtId="0" fontId="4" fillId="23" borderId="24" xfId="0" applyFont="1" applyFill="1" applyBorder="1" applyAlignment="1">
      <alignment horizontal="center"/>
    </xf>
    <xf numFmtId="175" fontId="4" fillId="27" borderId="1" xfId="0" applyNumberFormat="1" applyFont="1" applyFill="1" applyBorder="1" applyAlignment="1">
      <alignment horizontal="right" indent="1"/>
    </xf>
    <xf numFmtId="0" fontId="0" fillId="27" borderId="1" xfId="0" applyFill="1" applyBorder="1" applyAlignment="1">
      <alignment horizontal="right" indent="1"/>
    </xf>
    <xf numFmtId="3" fontId="110" fillId="15" borderId="3" xfId="0" applyNumberFormat="1" applyFont="1" applyFill="1" applyBorder="1"/>
    <xf numFmtId="3" fontId="110" fillId="0" borderId="0" xfId="0" applyNumberFormat="1" applyFont="1"/>
    <xf numFmtId="0" fontId="4" fillId="20" borderId="87" xfId="0" quotePrefix="1" applyFont="1" applyFill="1" applyBorder="1" applyProtection="1">
      <protection locked="0"/>
    </xf>
    <xf numFmtId="0" fontId="6" fillId="15" borderId="26" xfId="0" applyFont="1" applyFill="1" applyBorder="1" applyAlignment="1">
      <alignment horizontal="center"/>
    </xf>
    <xf numFmtId="0" fontId="0" fillId="0" borderId="1" xfId="0" applyBorder="1" applyAlignment="1">
      <alignment horizontal="center"/>
    </xf>
    <xf numFmtId="0" fontId="9" fillId="15" borderId="21" xfId="0" applyFont="1" applyFill="1" applyBorder="1" applyAlignment="1">
      <alignment horizontal="center"/>
    </xf>
    <xf numFmtId="0" fontId="9" fillId="0" borderId="4" xfId="0" applyFont="1" applyBorder="1" applyAlignment="1">
      <alignment horizontal="center"/>
    </xf>
    <xf numFmtId="0" fontId="9" fillId="0" borderId="22" xfId="0" applyFont="1" applyBorder="1" applyAlignment="1">
      <alignment horizontal="center"/>
    </xf>
    <xf numFmtId="0" fontId="47" fillId="15" borderId="4" xfId="0" applyFont="1" applyFill="1" applyBorder="1" applyAlignment="1">
      <alignment horizontal="right"/>
    </xf>
    <xf numFmtId="0" fontId="47" fillId="0" borderId="4" xfId="0" applyFont="1" applyBorder="1" applyAlignment="1">
      <alignment horizontal="right"/>
    </xf>
    <xf numFmtId="0" fontId="47" fillId="15" borderId="0" xfId="0" applyFont="1" applyFill="1" applyAlignment="1">
      <alignment vertical="center" wrapText="1"/>
    </xf>
    <xf numFmtId="0" fontId="47" fillId="0" borderId="0" xfId="0" applyFont="1" applyAlignment="1">
      <alignment vertical="center"/>
    </xf>
    <xf numFmtId="182" fontId="11" fillId="20" borderId="85" xfId="0" quotePrefix="1" applyNumberFormat="1" applyFont="1" applyFill="1" applyBorder="1" applyAlignment="1" applyProtection="1">
      <alignment horizontal="center" vertical="center"/>
      <protection locked="0"/>
    </xf>
    <xf numFmtId="37" fontId="73" fillId="27" borderId="69" xfId="0" applyNumberFormat="1" applyFont="1" applyFill="1" applyBorder="1" applyAlignment="1">
      <alignment horizontal="right" vertical="center"/>
    </xf>
    <xf numFmtId="37" fontId="73" fillId="27" borderId="4" xfId="0" applyNumberFormat="1" applyFont="1" applyFill="1" applyBorder="1" applyAlignment="1">
      <alignment horizontal="right" vertical="center"/>
    </xf>
    <xf numFmtId="37" fontId="73" fillId="16" borderId="9" xfId="0" applyNumberFormat="1" applyFont="1" applyFill="1" applyBorder="1" applyAlignment="1" applyProtection="1">
      <alignment horizontal="right" vertical="center"/>
      <protection locked="0"/>
    </xf>
    <xf numFmtId="37" fontId="73" fillId="16" borderId="1" xfId="0" applyNumberFormat="1" applyFont="1" applyFill="1" applyBorder="1" applyAlignment="1" applyProtection="1">
      <alignment horizontal="right" vertical="center"/>
      <protection locked="0"/>
    </xf>
    <xf numFmtId="0" fontId="188" fillId="15" borderId="30" xfId="0" applyFont="1" applyFill="1" applyBorder="1" applyAlignment="1">
      <alignment horizontal="center" vertical="center"/>
    </xf>
    <xf numFmtId="0" fontId="188" fillId="15" borderId="8" xfId="0" applyFont="1" applyFill="1" applyBorder="1" applyAlignment="1">
      <alignment horizontal="center" vertical="center"/>
    </xf>
    <xf numFmtId="37" fontId="73" fillId="27" borderId="9" xfId="0" applyNumberFormat="1" applyFont="1" applyFill="1" applyBorder="1" applyAlignment="1">
      <alignment horizontal="right" vertical="center"/>
    </xf>
    <xf numFmtId="37" fontId="73" fillId="27" borderId="1" xfId="0" applyNumberFormat="1" applyFont="1" applyFill="1" applyBorder="1" applyAlignment="1">
      <alignment horizontal="right" vertical="center"/>
    </xf>
    <xf numFmtId="37" fontId="73" fillId="27" borderId="11" xfId="0" applyNumberFormat="1" applyFont="1" applyFill="1" applyBorder="1" applyAlignment="1">
      <alignment horizontal="right" vertical="center"/>
    </xf>
    <xf numFmtId="0" fontId="11" fillId="15" borderId="8" xfId="0" applyFont="1" applyFill="1" applyBorder="1" applyAlignment="1" applyProtection="1">
      <alignment horizontal="center"/>
      <protection locked="0"/>
    </xf>
    <xf numFmtId="0" fontId="11" fillId="15" borderId="1" xfId="0" applyFont="1" applyFill="1" applyBorder="1" applyAlignment="1" applyProtection="1">
      <alignment horizontal="center"/>
      <protection locked="0"/>
    </xf>
    <xf numFmtId="0" fontId="11" fillId="16" borderId="8" xfId="0" applyFont="1" applyFill="1" applyBorder="1" applyAlignment="1" applyProtection="1">
      <alignment horizontal="center"/>
      <protection locked="0"/>
    </xf>
    <xf numFmtId="0" fontId="11" fillId="16" borderId="14" xfId="0" applyFont="1" applyFill="1" applyBorder="1" applyAlignment="1" applyProtection="1">
      <alignment horizontal="center"/>
      <protection locked="0"/>
    </xf>
    <xf numFmtId="166" fontId="73" fillId="16" borderId="9" xfId="0" applyNumberFormat="1" applyFont="1" applyFill="1" applyBorder="1" applyAlignment="1" applyProtection="1">
      <alignment horizontal="center" vertical="center"/>
      <protection locked="0"/>
    </xf>
    <xf numFmtId="166" fontId="73" fillId="16" borderId="1" xfId="0" applyNumberFormat="1" applyFont="1" applyFill="1" applyBorder="1" applyAlignment="1" applyProtection="1">
      <alignment horizontal="center" vertical="center"/>
      <protection locked="0"/>
    </xf>
    <xf numFmtId="166" fontId="73" fillId="16" borderId="11" xfId="0" applyNumberFormat="1" applyFont="1" applyFill="1" applyBorder="1" applyAlignment="1" applyProtection="1">
      <alignment horizontal="center" vertical="center"/>
      <protection locked="0"/>
    </xf>
    <xf numFmtId="37" fontId="73" fillId="16" borderId="11" xfId="0" applyNumberFormat="1" applyFont="1" applyFill="1" applyBorder="1" applyAlignment="1" applyProtection="1">
      <alignment horizontal="right" vertical="center"/>
      <protection locked="0"/>
    </xf>
    <xf numFmtId="0" fontId="110" fillId="15" borderId="30" xfId="0" applyFont="1" applyFill="1" applyBorder="1" applyAlignment="1">
      <alignment horizontal="right" vertical="center"/>
    </xf>
    <xf numFmtId="0" fontId="110" fillId="15" borderId="8" xfId="0" applyFont="1" applyFill="1" applyBorder="1" applyAlignment="1">
      <alignment horizontal="right" vertical="center"/>
    </xf>
    <xf numFmtId="0" fontId="11" fillId="16" borderId="8" xfId="0" applyFont="1" applyFill="1" applyBorder="1" applyAlignment="1" applyProtection="1">
      <alignment horizontal="left"/>
      <protection locked="0"/>
    </xf>
    <xf numFmtId="0" fontId="11" fillId="16" borderId="14" xfId="0" applyFont="1" applyFill="1" applyBorder="1" applyAlignment="1" applyProtection="1">
      <alignment horizontal="left"/>
      <protection locked="0"/>
    </xf>
    <xf numFmtId="0" fontId="47" fillId="15" borderId="8" xfId="0" applyFont="1" applyFill="1" applyBorder="1" applyAlignment="1">
      <alignment horizontal="center" vertical="top" wrapText="1"/>
    </xf>
    <xf numFmtId="0" fontId="47" fillId="15" borderId="14" xfId="0" applyFont="1" applyFill="1" applyBorder="1" applyAlignment="1">
      <alignment horizontal="center" vertical="top" wrapText="1"/>
    </xf>
    <xf numFmtId="0" fontId="47" fillId="15" borderId="0" xfId="0" applyFont="1" applyFill="1" applyAlignment="1">
      <alignment horizontal="center" vertical="top" wrapText="1"/>
    </xf>
    <xf numFmtId="0" fontId="47" fillId="15" borderId="24" xfId="0" applyFont="1" applyFill="1" applyBorder="1" applyAlignment="1">
      <alignment horizontal="center" vertical="top" wrapText="1"/>
    </xf>
    <xf numFmtId="0" fontId="47" fillId="15" borderId="1" xfId="0" applyFont="1" applyFill="1" applyBorder="1" applyAlignment="1">
      <alignment horizontal="center" vertical="top" wrapText="1"/>
    </xf>
    <xf numFmtId="0" fontId="47" fillId="15" borderId="11" xfId="0" applyFont="1" applyFill="1" applyBorder="1" applyAlignment="1">
      <alignment horizontal="center" vertical="top" wrapText="1"/>
    </xf>
    <xf numFmtId="0" fontId="24" fillId="15" borderId="30" xfId="0"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4" fillId="15" borderId="3" xfId="0" applyFont="1" applyFill="1" applyBorder="1" applyAlignment="1">
      <alignment horizontal="center" vertical="center" wrapText="1"/>
    </xf>
    <xf numFmtId="0" fontId="24" fillId="15" borderId="0" xfId="0" applyFont="1" applyFill="1" applyAlignment="1">
      <alignment horizontal="center" vertical="center" wrapText="1"/>
    </xf>
    <xf numFmtId="0" fontId="24" fillId="15" borderId="9" xfId="0" applyFont="1" applyFill="1" applyBorder="1" applyAlignment="1">
      <alignment horizontal="center" vertical="center" wrapText="1"/>
    </xf>
    <xf numFmtId="0" fontId="24" fillId="15" borderId="1" xfId="0" applyFont="1" applyFill="1" applyBorder="1" applyAlignment="1">
      <alignment horizontal="center" vertical="center" wrapText="1"/>
    </xf>
    <xf numFmtId="0" fontId="5" fillId="15" borderId="30" xfId="0" applyFont="1" applyFill="1" applyBorder="1" applyAlignment="1">
      <alignment horizontal="center" vertical="center" wrapText="1"/>
    </xf>
    <xf numFmtId="0" fontId="5" fillId="15" borderId="8" xfId="0" applyFont="1" applyFill="1" applyBorder="1" applyAlignment="1">
      <alignment horizontal="center" vertical="center" wrapText="1"/>
    </xf>
    <xf numFmtId="0" fontId="5" fillId="15" borderId="14" xfId="0" applyFont="1" applyFill="1" applyBorder="1" applyAlignment="1">
      <alignment horizontal="center" vertical="center" wrapText="1"/>
    </xf>
    <xf numFmtId="0" fontId="5" fillId="15" borderId="3" xfId="0" applyFont="1" applyFill="1" applyBorder="1" applyAlignment="1">
      <alignment horizontal="center" vertical="center" wrapText="1"/>
    </xf>
    <xf numFmtId="0" fontId="5" fillId="15" borderId="0" xfId="0" applyFont="1" applyFill="1" applyAlignment="1">
      <alignment horizontal="center" vertical="center" wrapText="1"/>
    </xf>
    <xf numFmtId="0" fontId="5" fillId="15" borderId="24" xfId="0" applyFont="1" applyFill="1" applyBorder="1" applyAlignment="1">
      <alignment horizontal="center" vertical="center" wrapText="1"/>
    </xf>
    <xf numFmtId="0" fontId="5" fillId="15" borderId="9" xfId="0" applyFont="1" applyFill="1" applyBorder="1" applyAlignment="1">
      <alignment horizontal="center" vertical="center" wrapText="1"/>
    </xf>
    <xf numFmtId="0" fontId="5" fillId="15" borderId="1" xfId="0" applyFont="1" applyFill="1" applyBorder="1" applyAlignment="1">
      <alignment horizontal="center" vertical="center" wrapText="1"/>
    </xf>
    <xf numFmtId="0" fontId="5" fillId="15" borderId="11" xfId="0" applyFont="1" applyFill="1" applyBorder="1" applyAlignment="1">
      <alignment horizontal="center" vertical="center" wrapText="1"/>
    </xf>
    <xf numFmtId="37" fontId="372" fillId="15" borderId="30" xfId="0" applyNumberFormat="1" applyFont="1" applyFill="1" applyBorder="1" applyAlignment="1">
      <alignment horizontal="right" vertical="center"/>
    </xf>
    <xf numFmtId="0" fontId="372" fillId="15" borderId="8" xfId="0" applyFont="1" applyFill="1" applyBorder="1" applyAlignment="1">
      <alignment horizontal="right" vertical="center"/>
    </xf>
    <xf numFmtId="0" fontId="372" fillId="15" borderId="14" xfId="0" applyFont="1" applyFill="1" applyBorder="1" applyAlignment="1">
      <alignment horizontal="right" vertical="center"/>
    </xf>
    <xf numFmtId="37" fontId="188" fillId="15" borderId="3" xfId="0" applyNumberFormat="1" applyFont="1" applyFill="1" applyBorder="1" applyAlignment="1">
      <alignment horizontal="center" vertical="center"/>
    </xf>
    <xf numFmtId="37" fontId="188" fillId="15" borderId="0" xfId="0" applyNumberFormat="1" applyFont="1" applyFill="1" applyAlignment="1">
      <alignment horizontal="center" vertical="center"/>
    </xf>
    <xf numFmtId="37" fontId="188" fillId="15" borderId="24" xfId="0" applyNumberFormat="1" applyFont="1" applyFill="1" applyBorder="1" applyAlignment="1">
      <alignment horizontal="center" vertical="center"/>
    </xf>
    <xf numFmtId="0" fontId="249" fillId="15" borderId="0" xfId="0" quotePrefix="1" applyFont="1" applyFill="1"/>
    <xf numFmtId="0" fontId="250" fillId="0" borderId="0" xfId="0" applyFont="1"/>
    <xf numFmtId="0" fontId="44" fillId="15" borderId="5" xfId="0" applyFont="1" applyFill="1" applyBorder="1" applyAlignment="1">
      <alignment horizontal="center" wrapText="1"/>
    </xf>
    <xf numFmtId="0" fontId="120" fillId="0" borderId="0" xfId="0" applyFont="1" applyAlignment="1">
      <alignment horizontal="center"/>
    </xf>
    <xf numFmtId="0" fontId="120" fillId="0" borderId="20" xfId="0" applyFont="1" applyBorder="1" applyAlignment="1">
      <alignment horizontal="center"/>
    </xf>
    <xf numFmtId="0" fontId="120" fillId="0" borderId="5" xfId="0" applyFont="1" applyBorder="1" applyAlignment="1">
      <alignment horizontal="center"/>
    </xf>
    <xf numFmtId="0" fontId="47" fillId="15" borderId="26" xfId="0" applyFont="1" applyFill="1" applyBorder="1" applyAlignment="1">
      <alignment horizontal="center"/>
    </xf>
    <xf numFmtId="0" fontId="47" fillId="0" borderId="1" xfId="0" applyFont="1" applyBorder="1" applyAlignment="1">
      <alignment horizontal="center"/>
    </xf>
    <xf numFmtId="5" fontId="23" fillId="15" borderId="39" xfId="0" applyNumberFormat="1" applyFont="1" applyFill="1" applyBorder="1" applyAlignment="1">
      <alignment horizontal="right" vertical="center"/>
    </xf>
    <xf numFmtId="5" fontId="23" fillId="15" borderId="25" xfId="0" applyNumberFormat="1" applyFont="1" applyFill="1" applyBorder="1" applyAlignment="1">
      <alignment horizontal="right" vertical="center"/>
    </xf>
    <xf numFmtId="5" fontId="23" fillId="15" borderId="54" xfId="0" applyNumberFormat="1" applyFont="1" applyFill="1" applyBorder="1" applyAlignment="1">
      <alignment horizontal="right" vertical="center"/>
    </xf>
    <xf numFmtId="0" fontId="166" fillId="15" borderId="0" xfId="0" applyFont="1" applyFill="1" applyAlignment="1">
      <alignment horizontal="center" vertical="center"/>
    </xf>
    <xf numFmtId="0" fontId="4" fillId="15" borderId="21" xfId="0" applyFont="1" applyFill="1" applyBorder="1" applyAlignment="1">
      <alignment horizontal="center" vertical="top"/>
    </xf>
    <xf numFmtId="0" fontId="4" fillId="0" borderId="4" xfId="0" applyFont="1" applyBorder="1" applyAlignment="1">
      <alignment horizontal="center" vertical="top"/>
    </xf>
    <xf numFmtId="0" fontId="4" fillId="0" borderId="22" xfId="0" applyFont="1" applyBorder="1" applyAlignment="1">
      <alignment horizontal="center" vertical="top"/>
    </xf>
    <xf numFmtId="0" fontId="6" fillId="15" borderId="4" xfId="0" applyFont="1" applyFill="1" applyBorder="1" applyAlignment="1">
      <alignment horizontal="center"/>
    </xf>
    <xf numFmtId="0" fontId="0" fillId="0" borderId="4" xfId="0" applyBorder="1" applyAlignment="1">
      <alignment horizontal="center"/>
    </xf>
    <xf numFmtId="0" fontId="6" fillId="15" borderId="7" xfId="0" applyFont="1" applyFill="1" applyBorder="1" applyAlignment="1">
      <alignment horizontal="left"/>
    </xf>
    <xf numFmtId="0" fontId="6" fillId="15" borderId="36" xfId="0" applyFont="1" applyFill="1" applyBorder="1" applyAlignment="1">
      <alignment horizontal="left"/>
    </xf>
    <xf numFmtId="0" fontId="20" fillId="27" borderId="1" xfId="0" applyFont="1" applyFill="1" applyBorder="1" applyAlignment="1">
      <alignment horizontal="left"/>
    </xf>
    <xf numFmtId="0" fontId="20" fillId="27" borderId="11" xfId="0" applyFont="1" applyFill="1" applyBorder="1" applyAlignment="1">
      <alignment horizontal="left"/>
    </xf>
    <xf numFmtId="166" fontId="20" fillId="27" borderId="9" xfId="0" applyNumberFormat="1" applyFont="1" applyFill="1" applyBorder="1" applyAlignment="1">
      <alignment horizontal="center" vertical="center"/>
    </xf>
    <xf numFmtId="166" fontId="20" fillId="27" borderId="1" xfId="0" applyNumberFormat="1" applyFont="1" applyFill="1" applyBorder="1" applyAlignment="1">
      <alignment horizontal="center" vertical="center"/>
    </xf>
    <xf numFmtId="0" fontId="44" fillId="15" borderId="4" xfId="0" applyFont="1" applyFill="1" applyBorder="1" applyAlignment="1">
      <alignment horizontal="center"/>
    </xf>
    <xf numFmtId="0" fontId="295" fillId="15" borderId="0" xfId="0" applyFont="1" applyFill="1" applyAlignment="1">
      <alignment horizontal="center" vertical="center" wrapText="1"/>
    </xf>
    <xf numFmtId="37" fontId="373" fillId="15" borderId="8" xfId="0" applyNumberFormat="1" applyFont="1" applyFill="1" applyBorder="1" applyAlignment="1">
      <alignment horizontal="center" vertical="center"/>
    </xf>
    <xf numFmtId="0" fontId="143" fillId="15" borderId="0" xfId="0" applyFont="1" applyFill="1" applyAlignment="1">
      <alignment horizontal="left" vertical="top" wrapText="1"/>
    </xf>
    <xf numFmtId="37" fontId="197" fillId="15" borderId="8" xfId="0" applyNumberFormat="1" applyFont="1" applyFill="1" applyBorder="1" applyAlignment="1">
      <alignment horizontal="center"/>
    </xf>
    <xf numFmtId="0" fontId="14" fillId="15" borderId="25" xfId="0" applyFont="1" applyFill="1" applyBorder="1" applyAlignment="1">
      <alignment horizontal="left" vertical="center" indent="1"/>
    </xf>
    <xf numFmtId="0" fontId="14" fillId="15" borderId="54" xfId="0" applyFont="1" applyFill="1" applyBorder="1" applyAlignment="1">
      <alignment horizontal="left" vertical="center" indent="1"/>
    </xf>
    <xf numFmtId="198" fontId="11" fillId="16" borderId="39" xfId="0" applyNumberFormat="1" applyFont="1" applyFill="1" applyBorder="1" applyAlignment="1" applyProtection="1">
      <alignment horizontal="center" vertical="center" wrapText="1"/>
      <protection locked="0"/>
    </xf>
    <xf numFmtId="198" fontId="11" fillId="16" borderId="25" xfId="0" applyNumberFormat="1" applyFont="1" applyFill="1" applyBorder="1" applyAlignment="1" applyProtection="1">
      <alignment horizontal="center" vertical="center" wrapText="1"/>
      <protection locked="0"/>
    </xf>
    <xf numFmtId="198" fontId="11" fillId="16" borderId="54" xfId="0" applyNumberFormat="1" applyFont="1" applyFill="1" applyBorder="1" applyAlignment="1" applyProtection="1">
      <alignment horizontal="center" vertical="center" wrapText="1"/>
      <protection locked="0"/>
    </xf>
    <xf numFmtId="37" fontId="11" fillId="16" borderId="39" xfId="0" applyNumberFormat="1" applyFont="1" applyFill="1" applyBorder="1" applyAlignment="1" applyProtection="1">
      <alignment horizontal="right" vertical="center"/>
      <protection locked="0"/>
    </xf>
    <xf numFmtId="37" fontId="11" fillId="16" borderId="25" xfId="0" applyNumberFormat="1" applyFont="1" applyFill="1" applyBorder="1" applyAlignment="1" applyProtection="1">
      <alignment horizontal="right" vertical="center"/>
      <protection locked="0"/>
    </xf>
    <xf numFmtId="37" fontId="11" fillId="16" borderId="54" xfId="0" applyNumberFormat="1" applyFont="1" applyFill="1" applyBorder="1" applyAlignment="1" applyProtection="1">
      <alignment horizontal="right" vertical="center"/>
      <protection locked="0"/>
    </xf>
    <xf numFmtId="37" fontId="253" fillId="15" borderId="39" xfId="0" applyNumberFormat="1" applyFont="1" applyFill="1" applyBorder="1" applyAlignment="1">
      <alignment horizontal="center" vertical="center"/>
    </xf>
    <xf numFmtId="37" fontId="253" fillId="15" borderId="25" xfId="0" applyNumberFormat="1" applyFont="1" applyFill="1" applyBorder="1" applyAlignment="1">
      <alignment horizontal="center" vertical="center"/>
    </xf>
    <xf numFmtId="37" fontId="253" fillId="15" borderId="54" xfId="0" applyNumberFormat="1" applyFont="1" applyFill="1" applyBorder="1" applyAlignment="1">
      <alignment horizontal="center" vertical="center"/>
    </xf>
    <xf numFmtId="0" fontId="253" fillId="15" borderId="39" xfId="0" applyFont="1" applyFill="1" applyBorder="1" applyAlignment="1">
      <alignment horizontal="center" vertical="center" wrapText="1"/>
    </xf>
    <xf numFmtId="0" fontId="253" fillId="15" borderId="25" xfId="0" applyFont="1" applyFill="1" applyBorder="1" applyAlignment="1">
      <alignment horizontal="center" vertical="center" wrapText="1"/>
    </xf>
    <xf numFmtId="0" fontId="253" fillId="15" borderId="54" xfId="0" applyFont="1" applyFill="1" applyBorder="1" applyAlignment="1">
      <alignment horizontal="center" vertical="center" wrapText="1"/>
    </xf>
    <xf numFmtId="0" fontId="123" fillId="31" borderId="7" xfId="0" applyFont="1" applyFill="1" applyBorder="1" applyAlignment="1">
      <alignment horizontal="center" vertical="center"/>
    </xf>
    <xf numFmtId="0" fontId="11" fillId="0" borderId="7" xfId="0" applyFont="1" applyBorder="1" applyAlignment="1">
      <alignment horizontal="center" vertical="center"/>
    </xf>
    <xf numFmtId="0" fontId="20" fillId="15" borderId="5" xfId="0" applyFont="1" applyFill="1" applyBorder="1" applyAlignment="1">
      <alignment horizontal="center" wrapText="1"/>
    </xf>
    <xf numFmtId="0" fontId="11" fillId="15" borderId="30" xfId="0" applyFont="1" applyFill="1" applyBorder="1" applyAlignment="1">
      <alignment horizontal="center"/>
    </xf>
    <xf numFmtId="0" fontId="11" fillId="0" borderId="14" xfId="0" applyFont="1" applyBorder="1" applyAlignment="1">
      <alignment horizontal="center"/>
    </xf>
    <xf numFmtId="0" fontId="11" fillId="0" borderId="11" xfId="0" applyFont="1" applyBorder="1" applyAlignment="1">
      <alignment horizontal="center"/>
    </xf>
    <xf numFmtId="0" fontId="6" fillId="15" borderId="25" xfId="0" quotePrefix="1" applyFont="1" applyFill="1" applyBorder="1" applyAlignment="1">
      <alignment horizontal="center"/>
    </xf>
    <xf numFmtId="0" fontId="6" fillId="0" borderId="25" xfId="0" applyFont="1" applyBorder="1" applyAlignment="1">
      <alignment horizontal="center"/>
    </xf>
    <xf numFmtId="0" fontId="6" fillId="0" borderId="54" xfId="0" applyFont="1" applyBorder="1" applyAlignment="1">
      <alignment horizontal="center"/>
    </xf>
    <xf numFmtId="0" fontId="8" fillId="15" borderId="39" xfId="0" applyFont="1" applyFill="1" applyBorder="1"/>
    <xf numFmtId="0" fontId="8" fillId="0" borderId="25" xfId="0" applyFont="1" applyBorder="1"/>
    <xf numFmtId="0" fontId="8" fillId="0" borderId="54" xfId="0" applyFont="1" applyBorder="1"/>
    <xf numFmtId="0" fontId="6" fillId="15" borderId="39" xfId="0" applyFont="1" applyFill="1" applyBorder="1" applyAlignment="1">
      <alignment horizontal="center"/>
    </xf>
    <xf numFmtId="0" fontId="6" fillId="0" borderId="191" xfId="0" applyFont="1" applyBorder="1" applyAlignment="1">
      <alignment horizontal="center" vertical="center" wrapText="1"/>
    </xf>
    <xf numFmtId="0" fontId="0" fillId="0" borderId="6" xfId="0" applyBorder="1" applyAlignment="1">
      <alignment horizontal="center" vertical="center" wrapText="1"/>
    </xf>
    <xf numFmtId="0" fontId="0" fillId="0" borderId="10" xfId="0" applyBorder="1" applyAlignment="1">
      <alignment wrapText="1"/>
    </xf>
    <xf numFmtId="0" fontId="0" fillId="0" borderId="10" xfId="0" applyBorder="1" applyAlignment="1">
      <alignment horizontal="center" wrapText="1"/>
    </xf>
    <xf numFmtId="171" fontId="6" fillId="0" borderId="191" xfId="0" applyNumberFormat="1" applyFont="1" applyBorder="1" applyAlignment="1">
      <alignment horizontal="center" vertical="center" wrapText="1"/>
    </xf>
    <xf numFmtId="171" fontId="0" fillId="0" borderId="6" xfId="0" applyNumberFormat="1" applyBorder="1" applyAlignment="1">
      <alignment horizontal="center" vertical="center" wrapText="1"/>
    </xf>
    <xf numFmtId="171" fontId="0" fillId="0" borderId="10" xfId="0" applyNumberFormat="1" applyBorder="1" applyAlignment="1">
      <alignment wrapText="1"/>
    </xf>
    <xf numFmtId="0" fontId="6" fillId="0" borderId="56" xfId="0" applyFont="1" applyBorder="1" applyAlignment="1">
      <alignment horizontal="center" vertical="center" wrapText="1"/>
    </xf>
    <xf numFmtId="0" fontId="0" fillId="0" borderId="9" xfId="0" applyBorder="1" applyAlignment="1">
      <alignment wrapText="1"/>
    </xf>
    <xf numFmtId="0" fontId="15" fillId="27" borderId="1" xfId="0" applyFont="1" applyFill="1" applyBorder="1" applyAlignment="1">
      <alignment horizontal="left"/>
    </xf>
    <xf numFmtId="0" fontId="15" fillId="27" borderId="11" xfId="0" applyFont="1" applyFill="1" applyBorder="1" applyAlignment="1">
      <alignment horizontal="left"/>
    </xf>
    <xf numFmtId="0" fontId="15" fillId="16" borderId="9" xfId="0" applyFont="1" applyFill="1" applyBorder="1" applyAlignment="1" applyProtection="1">
      <alignment horizontal="left" vertical="center"/>
      <protection locked="0"/>
    </xf>
    <xf numFmtId="0" fontId="15" fillId="16" borderId="1" xfId="0" applyFont="1" applyFill="1" applyBorder="1" applyAlignment="1" applyProtection="1">
      <alignment horizontal="left" vertical="center"/>
      <protection locked="0"/>
    </xf>
    <xf numFmtId="0" fontId="15" fillId="16" borderId="11" xfId="0" applyFont="1" applyFill="1" applyBorder="1" applyAlignment="1" applyProtection="1">
      <alignment horizontal="left" vertical="center"/>
      <protection locked="0"/>
    </xf>
    <xf numFmtId="0" fontId="11" fillId="16" borderId="9" xfId="0" applyFont="1" applyFill="1" applyBorder="1" applyAlignment="1" applyProtection="1">
      <alignment horizontal="center" vertical="center"/>
      <protection locked="0"/>
    </xf>
    <xf numFmtId="0" fontId="11" fillId="16" borderId="1" xfId="0" applyFont="1" applyFill="1" applyBorder="1" applyAlignment="1" applyProtection="1">
      <alignment horizontal="center" vertical="center"/>
      <protection locked="0"/>
    </xf>
    <xf numFmtId="0" fontId="6" fillId="0" borderId="36" xfId="0" applyFont="1" applyBorder="1" applyAlignment="1">
      <alignment horizontal="center" vertical="center" wrapText="1"/>
    </xf>
    <xf numFmtId="0" fontId="8" fillId="0" borderId="191" xfId="0" applyFont="1" applyBorder="1" applyAlignment="1">
      <alignment horizontal="center" vertical="center" wrapText="1"/>
    </xf>
    <xf numFmtId="0" fontId="8" fillId="0" borderId="10" xfId="0" applyFont="1" applyBorder="1" applyAlignment="1">
      <alignment wrapText="1"/>
    </xf>
    <xf numFmtId="0" fontId="4" fillId="0" borderId="8" xfId="0" applyFont="1" applyBorder="1" applyAlignment="1">
      <alignment horizontal="center" vertical="center"/>
    </xf>
    <xf numFmtId="0" fontId="4" fillId="0" borderId="25" xfId="0" applyFont="1" applyBorder="1" applyAlignment="1">
      <alignment horizontal="center" vertical="center"/>
    </xf>
    <xf numFmtId="37" fontId="11" fillId="27" borderId="54" xfId="0" applyNumberFormat="1" applyFont="1" applyFill="1" applyBorder="1"/>
    <xf numFmtId="0" fontId="11" fillId="15" borderId="12" xfId="0" applyFont="1" applyFill="1" applyBorder="1" applyAlignment="1">
      <alignment horizontal="center"/>
    </xf>
    <xf numFmtId="0" fontId="11" fillId="0" borderId="12" xfId="0" applyFont="1" applyBorder="1" applyAlignment="1">
      <alignment horizontal="center"/>
    </xf>
    <xf numFmtId="37" fontId="11" fillId="27" borderId="12" xfId="0" applyNumberFormat="1" applyFont="1" applyFill="1" applyBorder="1"/>
    <xf numFmtId="0" fontId="11" fillId="27" borderId="12" xfId="0" applyFont="1" applyFill="1" applyBorder="1"/>
    <xf numFmtId="0" fontId="11" fillId="27" borderId="39" xfId="0" applyFont="1" applyFill="1" applyBorder="1"/>
    <xf numFmtId="37" fontId="11" fillId="16" borderId="12" xfId="0" applyNumberFormat="1" applyFont="1" applyFill="1" applyBorder="1" applyProtection="1">
      <protection locked="0"/>
    </xf>
    <xf numFmtId="37" fontId="11" fillId="16" borderId="54" xfId="0" applyNumberFormat="1" applyFont="1" applyFill="1" applyBorder="1" applyProtection="1">
      <protection locked="0"/>
    </xf>
    <xf numFmtId="37" fontId="11" fillId="27" borderId="30" xfId="0" applyNumberFormat="1" applyFont="1" applyFill="1" applyBorder="1" applyAlignment="1">
      <alignment horizontal="right"/>
    </xf>
    <xf numFmtId="37" fontId="11" fillId="27" borderId="8" xfId="0" applyNumberFormat="1" applyFont="1" applyFill="1" applyBorder="1"/>
    <xf numFmtId="37" fontId="11" fillId="27" borderId="14" xfId="0" applyNumberFormat="1" applyFont="1" applyFill="1" applyBorder="1"/>
    <xf numFmtId="0" fontId="6" fillId="15" borderId="25" xfId="0" applyFont="1" applyFill="1" applyBorder="1" applyAlignment="1">
      <alignment horizontal="center" vertical="center" wrapText="1"/>
    </xf>
    <xf numFmtId="0" fontId="6" fillId="0" borderId="25" xfId="0" applyFont="1" applyBorder="1" applyAlignment="1">
      <alignment horizontal="center" vertical="center" wrapText="1"/>
    </xf>
    <xf numFmtId="0" fontId="6" fillId="0" borderId="54" xfId="0" applyFont="1" applyBorder="1" applyAlignment="1">
      <alignment horizontal="center" vertical="center" wrapText="1"/>
    </xf>
    <xf numFmtId="0" fontId="6" fillId="15" borderId="39" xfId="0" applyFont="1" applyFill="1" applyBorder="1" applyAlignment="1">
      <alignment horizontal="center" vertical="center" wrapText="1"/>
    </xf>
    <xf numFmtId="0" fontId="8" fillId="15" borderId="39" xfId="0" applyFont="1" applyFill="1" applyBorder="1" applyAlignment="1">
      <alignment horizontal="center" vertical="center" wrapText="1"/>
    </xf>
    <xf numFmtId="0" fontId="8" fillId="0" borderId="25" xfId="0" applyFont="1" applyBorder="1" applyAlignment="1">
      <alignment horizontal="center" vertical="center" wrapText="1"/>
    </xf>
    <xf numFmtId="0" fontId="6" fillId="0" borderId="39" xfId="0" applyFont="1" applyBorder="1" applyAlignment="1">
      <alignment horizontal="center" vertical="center" wrapText="1"/>
    </xf>
    <xf numFmtId="0" fontId="6" fillId="15" borderId="54" xfId="0" applyFont="1" applyFill="1" applyBorder="1" applyAlignment="1">
      <alignment horizontal="center" vertical="center" wrapText="1"/>
    </xf>
    <xf numFmtId="0" fontId="14" fillId="15" borderId="25" xfId="0" applyFont="1" applyFill="1" applyBorder="1" applyAlignment="1">
      <alignment horizontal="right" vertical="center" indent="1"/>
    </xf>
    <xf numFmtId="0" fontId="14" fillId="15" borderId="54" xfId="0" applyFont="1" applyFill="1" applyBorder="1" applyAlignment="1">
      <alignment horizontal="right" vertical="center" indent="1"/>
    </xf>
    <xf numFmtId="17" fontId="11" fillId="19" borderId="39" xfId="0" applyNumberFormat="1" applyFont="1" applyFill="1" applyBorder="1" applyAlignment="1">
      <alignment horizontal="center" vertical="center" wrapText="1"/>
    </xf>
    <xf numFmtId="0" fontId="251" fillId="16" borderId="39" xfId="0" applyFont="1" applyFill="1" applyBorder="1" applyAlignment="1" applyProtection="1">
      <alignment horizontal="center" vertical="center"/>
      <protection locked="0"/>
    </xf>
    <xf numFmtId="0" fontId="251" fillId="16" borderId="25" xfId="0" applyFont="1" applyFill="1" applyBorder="1" applyAlignment="1" applyProtection="1">
      <alignment horizontal="center" vertical="center"/>
      <protection locked="0"/>
    </xf>
    <xf numFmtId="0" fontId="251" fillId="16" borderId="54" xfId="0" applyFont="1" applyFill="1" applyBorder="1" applyAlignment="1" applyProtection="1">
      <alignment horizontal="center" vertical="center"/>
      <protection locked="0"/>
    </xf>
    <xf numFmtId="0" fontId="251" fillId="16" borderId="39" xfId="0" applyFont="1" applyFill="1" applyBorder="1" applyAlignment="1" applyProtection="1">
      <alignment horizontal="center" vertical="center" wrapText="1"/>
      <protection locked="0"/>
    </xf>
    <xf numFmtId="0" fontId="251" fillId="16" borderId="25" xfId="0" applyFont="1" applyFill="1" applyBorder="1" applyAlignment="1" applyProtection="1">
      <alignment horizontal="center" vertical="center" wrapText="1"/>
      <protection locked="0"/>
    </xf>
    <xf numFmtId="0" fontId="251" fillId="16" borderId="54" xfId="0" applyFont="1" applyFill="1" applyBorder="1" applyAlignment="1" applyProtection="1">
      <alignment horizontal="center" vertical="center" wrapText="1"/>
      <protection locked="0"/>
    </xf>
    <xf numFmtId="0" fontId="252" fillId="16" borderId="39" xfId="0" applyFont="1" applyFill="1" applyBorder="1" applyAlignment="1" applyProtection="1">
      <alignment horizontal="center" vertical="center" wrapText="1"/>
      <protection locked="0"/>
    </xf>
    <xf numFmtId="0" fontId="20" fillId="0" borderId="25" xfId="0" applyFont="1" applyBorder="1" applyAlignment="1" applyProtection="1">
      <alignment horizontal="center" vertical="center" wrapText="1"/>
      <protection locked="0"/>
    </xf>
    <xf numFmtId="0" fontId="20" fillId="0" borderId="54" xfId="0" applyFont="1" applyBorder="1" applyAlignment="1" applyProtection="1">
      <alignment horizontal="center" vertical="center" wrapText="1"/>
      <protection locked="0"/>
    </xf>
    <xf numFmtId="0" fontId="14" fillId="15" borderId="8" xfId="0" applyFont="1" applyFill="1" applyBorder="1" applyAlignment="1">
      <alignment horizontal="left" vertical="center"/>
    </xf>
    <xf numFmtId="0" fontId="14" fillId="15" borderId="14" xfId="0" applyFont="1" applyFill="1" applyBorder="1" applyAlignment="1">
      <alignment horizontal="left" vertical="center"/>
    </xf>
    <xf numFmtId="0" fontId="253" fillId="15" borderId="39" xfId="0" applyFont="1" applyFill="1" applyBorder="1" applyAlignment="1">
      <alignment horizontal="center" vertical="center"/>
    </xf>
    <xf numFmtId="0" fontId="253" fillId="15" borderId="25" xfId="0" applyFont="1" applyFill="1" applyBorder="1" applyAlignment="1">
      <alignment horizontal="center" vertical="center"/>
    </xf>
    <xf numFmtId="0" fontId="253" fillId="15" borderId="54" xfId="0" applyFont="1" applyFill="1" applyBorder="1" applyAlignment="1">
      <alignment horizontal="center" vertical="center"/>
    </xf>
    <xf numFmtId="0" fontId="14" fillId="15" borderId="1" xfId="0" applyFont="1" applyFill="1" applyBorder="1" applyAlignment="1">
      <alignment horizontal="left" vertical="center"/>
    </xf>
    <xf numFmtId="0" fontId="14" fillId="15" borderId="11" xfId="0" applyFont="1" applyFill="1" applyBorder="1" applyAlignment="1">
      <alignment horizontal="left" vertical="center"/>
    </xf>
    <xf numFmtId="0" fontId="14" fillId="15" borderId="8" xfId="0" applyFont="1" applyFill="1" applyBorder="1" applyAlignment="1">
      <alignment horizontal="left" vertical="center" indent="1"/>
    </xf>
    <xf numFmtId="0" fontId="14" fillId="15" borderId="14" xfId="0" applyFont="1" applyFill="1" applyBorder="1" applyAlignment="1">
      <alignment horizontal="left" vertical="center" indent="1"/>
    </xf>
    <xf numFmtId="198" fontId="11" fillId="16" borderId="30" xfId="0" applyNumberFormat="1" applyFont="1" applyFill="1" applyBorder="1" applyAlignment="1" applyProtection="1">
      <alignment horizontal="center" vertical="center" wrapText="1"/>
      <protection locked="0"/>
    </xf>
    <xf numFmtId="198" fontId="11" fillId="16" borderId="8" xfId="0" applyNumberFormat="1" applyFont="1" applyFill="1" applyBorder="1" applyAlignment="1" applyProtection="1">
      <alignment horizontal="center" vertical="center" wrapText="1"/>
      <protection locked="0"/>
    </xf>
    <xf numFmtId="198" fontId="11" fillId="16" borderId="14" xfId="0" applyNumberFormat="1" applyFont="1" applyFill="1" applyBorder="1" applyAlignment="1" applyProtection="1">
      <alignment horizontal="center" vertical="center" wrapText="1"/>
      <protection locked="0"/>
    </xf>
    <xf numFmtId="37" fontId="11" fillId="16" borderId="30" xfId="0" applyNumberFormat="1" applyFont="1" applyFill="1" applyBorder="1" applyAlignment="1" applyProtection="1">
      <alignment horizontal="right" vertical="center"/>
      <protection locked="0"/>
    </xf>
    <xf numFmtId="37" fontId="11" fillId="16" borderId="8" xfId="0" applyNumberFormat="1" applyFont="1" applyFill="1" applyBorder="1" applyAlignment="1" applyProtection="1">
      <alignment horizontal="right" vertical="center"/>
      <protection locked="0"/>
    </xf>
    <xf numFmtId="37" fontId="11" fillId="16" borderId="14" xfId="0" applyNumberFormat="1" applyFont="1" applyFill="1" applyBorder="1" applyAlignment="1" applyProtection="1">
      <alignment horizontal="right" vertical="center"/>
      <protection locked="0"/>
    </xf>
    <xf numFmtId="37" fontId="253" fillId="15" borderId="30" xfId="0" applyNumberFormat="1" applyFont="1" applyFill="1" applyBorder="1" applyAlignment="1">
      <alignment horizontal="center" vertical="center"/>
    </xf>
    <xf numFmtId="37" fontId="253" fillId="15" borderId="8" xfId="0" applyNumberFormat="1" applyFont="1" applyFill="1" applyBorder="1" applyAlignment="1">
      <alignment horizontal="center" vertical="center"/>
    </xf>
    <xf numFmtId="0" fontId="253" fillId="15" borderId="30" xfId="0" applyFont="1" applyFill="1" applyBorder="1" applyAlignment="1">
      <alignment horizontal="center" vertical="center" wrapText="1"/>
    </xf>
    <xf numFmtId="0" fontId="253" fillId="15" borderId="8" xfId="0" applyFont="1" applyFill="1" applyBorder="1" applyAlignment="1">
      <alignment horizontal="center" vertical="center" wrapText="1"/>
    </xf>
    <xf numFmtId="0" fontId="253" fillId="15" borderId="14" xfId="0" applyFont="1" applyFill="1" applyBorder="1" applyAlignment="1">
      <alignment horizontal="center" vertical="center" wrapText="1"/>
    </xf>
    <xf numFmtId="37" fontId="11" fillId="16" borderId="3" xfId="0" applyNumberFormat="1" applyFont="1" applyFill="1" applyBorder="1" applyProtection="1">
      <protection locked="0"/>
    </xf>
    <xf numFmtId="37" fontId="11" fillId="16" borderId="0" xfId="0" applyNumberFormat="1" applyFont="1" applyFill="1" applyProtection="1">
      <protection locked="0"/>
    </xf>
    <xf numFmtId="37" fontId="11" fillId="16" borderId="52" xfId="0" applyNumberFormat="1" applyFont="1" applyFill="1" applyBorder="1" applyProtection="1">
      <protection locked="0"/>
    </xf>
    <xf numFmtId="37" fontId="11" fillId="16" borderId="31" xfId="0" applyNumberFormat="1" applyFont="1" applyFill="1" applyBorder="1" applyProtection="1">
      <protection locked="0"/>
    </xf>
    <xf numFmtId="37" fontId="11" fillId="27" borderId="10" xfId="0" applyNumberFormat="1" applyFont="1" applyFill="1" applyBorder="1"/>
    <xf numFmtId="0" fontId="14" fillId="15" borderId="31" xfId="0" applyFont="1" applyFill="1" applyBorder="1" applyAlignment="1">
      <alignment horizontal="left" vertical="center" indent="1"/>
    </xf>
    <xf numFmtId="0" fontId="14" fillId="15" borderId="73" xfId="0" applyFont="1" applyFill="1" applyBorder="1" applyAlignment="1">
      <alignment horizontal="left" vertical="center" indent="1"/>
    </xf>
    <xf numFmtId="198" fontId="11" fillId="16" borderId="52" xfId="0" applyNumberFormat="1" applyFont="1" applyFill="1" applyBorder="1" applyAlignment="1" applyProtection="1">
      <alignment horizontal="center" vertical="center" wrapText="1"/>
      <protection locked="0"/>
    </xf>
    <xf numFmtId="198" fontId="11" fillId="16" borderId="31" xfId="0" applyNumberFormat="1" applyFont="1" applyFill="1" applyBorder="1" applyAlignment="1" applyProtection="1">
      <alignment horizontal="center" vertical="center" wrapText="1"/>
      <protection locked="0"/>
    </xf>
    <xf numFmtId="198" fontId="11" fillId="16" borderId="73" xfId="0" applyNumberFormat="1" applyFont="1" applyFill="1" applyBorder="1" applyAlignment="1" applyProtection="1">
      <alignment horizontal="center" vertical="center" wrapText="1"/>
      <protection locked="0"/>
    </xf>
    <xf numFmtId="37" fontId="11" fillId="16" borderId="52" xfId="0" applyNumberFormat="1" applyFont="1" applyFill="1" applyBorder="1" applyAlignment="1" applyProtection="1">
      <alignment horizontal="right" vertical="center"/>
      <protection locked="0"/>
    </xf>
    <xf numFmtId="37" fontId="11" fillId="16" borderId="31" xfId="0" applyNumberFormat="1" applyFont="1" applyFill="1" applyBorder="1" applyAlignment="1" applyProtection="1">
      <alignment horizontal="right" vertical="center"/>
      <protection locked="0"/>
    </xf>
    <xf numFmtId="37" fontId="11" fillId="16" borderId="73" xfId="0" applyNumberFormat="1" applyFont="1" applyFill="1" applyBorder="1" applyAlignment="1" applyProtection="1">
      <alignment horizontal="right" vertical="center"/>
      <protection locked="0"/>
    </xf>
    <xf numFmtId="37" fontId="253" fillId="15" borderId="52" xfId="0" applyNumberFormat="1" applyFont="1" applyFill="1" applyBorder="1" applyAlignment="1">
      <alignment horizontal="center" vertical="center"/>
    </xf>
    <xf numFmtId="37" fontId="253" fillId="15" borderId="31" xfId="0" applyNumberFormat="1" applyFont="1" applyFill="1" applyBorder="1" applyAlignment="1">
      <alignment horizontal="center" vertical="center"/>
    </xf>
    <xf numFmtId="37" fontId="253" fillId="15" borderId="73" xfId="0" applyNumberFormat="1" applyFont="1" applyFill="1" applyBorder="1" applyAlignment="1">
      <alignment horizontal="center" vertical="center"/>
    </xf>
    <xf numFmtId="0" fontId="253" fillId="15" borderId="52" xfId="0" applyFont="1" applyFill="1" applyBorder="1" applyAlignment="1">
      <alignment horizontal="center" vertical="center" wrapText="1"/>
    </xf>
    <xf numFmtId="0" fontId="253" fillId="15" borderId="31" xfId="0" applyFont="1" applyFill="1" applyBorder="1" applyAlignment="1">
      <alignment horizontal="center" vertical="center" wrapText="1"/>
    </xf>
    <xf numFmtId="0" fontId="253" fillId="15" borderId="73" xfId="0" applyFont="1" applyFill="1" applyBorder="1" applyAlignment="1">
      <alignment horizontal="center" vertical="center" wrapText="1"/>
    </xf>
    <xf numFmtId="0" fontId="11" fillId="15" borderId="14" xfId="0" applyFont="1" applyFill="1" applyBorder="1" applyAlignment="1">
      <alignment horizontal="center"/>
    </xf>
    <xf numFmtId="0" fontId="8" fillId="15" borderId="25" xfId="0" applyFont="1" applyFill="1" applyBorder="1" applyAlignment="1">
      <alignment horizontal="center" vertical="center" wrapText="1"/>
    </xf>
    <xf numFmtId="0" fontId="8" fillId="0" borderId="54" xfId="0" applyFont="1" applyBorder="1" applyAlignment="1">
      <alignment horizontal="center" vertical="center" wrapText="1"/>
    </xf>
    <xf numFmtId="0" fontId="8" fillId="0" borderId="39" xfId="0" applyFont="1" applyBorder="1" applyAlignment="1">
      <alignment horizontal="center" vertical="center" wrapText="1"/>
    </xf>
    <xf numFmtId="0" fontId="11" fillId="15" borderId="3" xfId="0" applyFont="1" applyFill="1" applyBorder="1" applyAlignment="1">
      <alignment horizontal="center"/>
    </xf>
    <xf numFmtId="0" fontId="11" fillId="15" borderId="24" xfId="0" applyFont="1" applyFill="1" applyBorder="1" applyAlignment="1">
      <alignment horizontal="center"/>
    </xf>
    <xf numFmtId="37" fontId="11" fillId="16" borderId="69" xfId="0" applyNumberFormat="1" applyFont="1" applyFill="1" applyBorder="1" applyAlignment="1" applyProtection="1">
      <alignment horizontal="right"/>
      <protection locked="0"/>
    </xf>
    <xf numFmtId="37" fontId="11" fillId="16" borderId="4" xfId="0" applyNumberFormat="1" applyFont="1" applyFill="1" applyBorder="1" applyAlignment="1" applyProtection="1">
      <alignment horizontal="right"/>
      <protection locked="0"/>
    </xf>
    <xf numFmtId="37" fontId="11" fillId="16" borderId="70" xfId="0" applyNumberFormat="1" applyFont="1" applyFill="1" applyBorder="1" applyAlignment="1" applyProtection="1">
      <alignment horizontal="right"/>
      <protection locked="0"/>
    </xf>
    <xf numFmtId="0" fontId="0" fillId="0" borderId="14" xfId="0" applyBorder="1"/>
    <xf numFmtId="0" fontId="11" fillId="15" borderId="69" xfId="0" applyFont="1" applyFill="1" applyBorder="1" applyAlignment="1">
      <alignment horizontal="center"/>
    </xf>
    <xf numFmtId="0" fontId="0" fillId="0" borderId="70" xfId="0" applyBorder="1" applyAlignment="1">
      <alignment horizontal="center"/>
    </xf>
    <xf numFmtId="37" fontId="0" fillId="16" borderId="4" xfId="0" applyNumberFormat="1" applyFill="1" applyBorder="1" applyAlignment="1" applyProtection="1">
      <alignment horizontal="right"/>
      <protection locked="0"/>
    </xf>
    <xf numFmtId="37" fontId="0" fillId="16" borderId="70" xfId="0" applyNumberFormat="1" applyFill="1" applyBorder="1" applyAlignment="1" applyProtection="1">
      <alignment horizontal="right"/>
      <protection locked="0"/>
    </xf>
    <xf numFmtId="0" fontId="11" fillId="16" borderId="25" xfId="0" applyFont="1" applyFill="1" applyBorder="1" applyAlignment="1" applyProtection="1">
      <alignment horizontal="center" vertical="center" wrapText="1"/>
      <protection locked="0"/>
    </xf>
    <xf numFmtId="0" fontId="11" fillId="16" borderId="54" xfId="0" applyFont="1" applyFill="1" applyBorder="1" applyAlignment="1" applyProtection="1">
      <alignment horizontal="center" vertical="center" wrapText="1"/>
      <protection locked="0"/>
    </xf>
    <xf numFmtId="17" fontId="11" fillId="16" borderId="39" xfId="0" applyNumberFormat="1" applyFont="1" applyFill="1" applyBorder="1" applyAlignment="1" applyProtection="1">
      <alignment horizontal="center" vertical="center" wrapText="1"/>
      <protection locked="0"/>
    </xf>
    <xf numFmtId="37" fontId="11" fillId="16" borderId="39" xfId="0" applyNumberFormat="1" applyFont="1" applyFill="1" applyBorder="1" applyAlignment="1" applyProtection="1">
      <alignment horizontal="center" vertical="center" wrapText="1"/>
      <protection locked="0"/>
    </xf>
    <xf numFmtId="37" fontId="11" fillId="16" borderId="25" xfId="0" applyNumberFormat="1" applyFont="1" applyFill="1" applyBorder="1" applyAlignment="1" applyProtection="1">
      <alignment horizontal="center" vertical="center" wrapText="1"/>
      <protection locked="0"/>
    </xf>
    <xf numFmtId="37" fontId="11" fillId="16" borderId="39" xfId="0" applyNumberFormat="1" applyFont="1" applyFill="1" applyBorder="1" applyAlignment="1" applyProtection="1">
      <alignment horizontal="right" vertical="center" wrapText="1"/>
      <protection locked="0"/>
    </xf>
    <xf numFmtId="37" fontId="11" fillId="16" borderId="25" xfId="0" applyNumberFormat="1" applyFont="1" applyFill="1" applyBorder="1" applyAlignment="1" applyProtection="1">
      <alignment horizontal="right" vertical="center" wrapText="1"/>
      <protection locked="0"/>
    </xf>
    <xf numFmtId="37" fontId="11" fillId="16" borderId="54" xfId="0" applyNumberFormat="1" applyFont="1" applyFill="1" applyBorder="1" applyAlignment="1" applyProtection="1">
      <alignment horizontal="right" vertical="center" wrapText="1"/>
      <protection locked="0"/>
    </xf>
    <xf numFmtId="0" fontId="11" fillId="16" borderId="39" xfId="0" applyFont="1" applyFill="1" applyBorder="1" applyAlignment="1" applyProtection="1">
      <alignment horizontal="center" vertical="center" wrapText="1"/>
      <protection locked="0"/>
    </xf>
    <xf numFmtId="0" fontId="4" fillId="16" borderId="25" xfId="0" applyFont="1" applyFill="1" applyBorder="1" applyAlignment="1" applyProtection="1">
      <alignment horizontal="center" vertical="center" wrapText="1"/>
      <protection locked="0"/>
    </xf>
    <xf numFmtId="0" fontId="0" fillId="0" borderId="54" xfId="0" applyBorder="1" applyAlignment="1" applyProtection="1">
      <alignment horizontal="center" vertical="center" wrapText="1"/>
      <protection locked="0"/>
    </xf>
    <xf numFmtId="37" fontId="0" fillId="27" borderId="25" xfId="0" applyNumberFormat="1" applyFill="1" applyBorder="1" applyAlignment="1">
      <alignment horizontal="right"/>
    </xf>
    <xf numFmtId="37" fontId="0" fillId="27" borderId="54" xfId="0" applyNumberFormat="1" applyFill="1" applyBorder="1" applyAlignment="1">
      <alignment horizontal="right"/>
    </xf>
    <xf numFmtId="0" fontId="11" fillId="15" borderId="8" xfId="0" applyFont="1" applyFill="1" applyBorder="1" applyAlignment="1">
      <alignment horizontal="center" vertical="center" wrapText="1"/>
    </xf>
    <xf numFmtId="0" fontId="11" fillId="15" borderId="0" xfId="0" applyFont="1" applyFill="1" applyAlignment="1">
      <alignment horizontal="center" vertical="center"/>
    </xf>
    <xf numFmtId="0" fontId="6" fillId="15" borderId="8" xfId="0" applyFont="1" applyFill="1" applyBorder="1" applyAlignment="1">
      <alignment wrapText="1"/>
    </xf>
    <xf numFmtId="0" fontId="0" fillId="0" borderId="25" xfId="0" applyBorder="1" applyAlignment="1">
      <alignment horizontal="center" vertical="center"/>
    </xf>
    <xf numFmtId="37" fontId="4" fillId="16" borderId="54" xfId="0" applyNumberFormat="1" applyFont="1" applyFill="1" applyBorder="1" applyAlignment="1" applyProtection="1">
      <alignment horizontal="center" wrapText="1"/>
      <protection locked="0"/>
    </xf>
    <xf numFmtId="37" fontId="4" fillId="27" borderId="3" xfId="0" applyNumberFormat="1" applyFont="1" applyFill="1" applyBorder="1" applyAlignment="1">
      <alignment horizontal="center" wrapText="1"/>
    </xf>
    <xf numFmtId="37" fontId="4" fillId="27" borderId="0" xfId="0" applyNumberFormat="1" applyFont="1" applyFill="1" applyAlignment="1">
      <alignment horizontal="center" wrapText="1"/>
    </xf>
    <xf numFmtId="37" fontId="4" fillId="27" borderId="24" xfId="0" applyNumberFormat="1" applyFont="1" applyFill="1" applyBorder="1" applyAlignment="1">
      <alignment horizontal="center" wrapText="1"/>
    </xf>
    <xf numFmtId="37" fontId="4" fillId="16" borderId="3" xfId="0" applyNumberFormat="1" applyFont="1" applyFill="1" applyBorder="1" applyAlignment="1" applyProtection="1">
      <alignment horizontal="center" wrapText="1"/>
      <protection locked="0"/>
    </xf>
    <xf numFmtId="37" fontId="4" fillId="16" borderId="0" xfId="0" applyNumberFormat="1" applyFont="1" applyFill="1" applyAlignment="1" applyProtection="1">
      <alignment horizontal="center" wrapText="1"/>
      <protection locked="0"/>
    </xf>
    <xf numFmtId="37" fontId="4" fillId="16" borderId="24" xfId="0" applyNumberFormat="1" applyFont="1" applyFill="1" applyBorder="1" applyAlignment="1" applyProtection="1">
      <alignment horizontal="center" wrapText="1"/>
      <protection locked="0"/>
    </xf>
    <xf numFmtId="0" fontId="15" fillId="15" borderId="107" xfId="0" applyFont="1" applyFill="1" applyBorder="1" applyAlignment="1">
      <alignment horizontal="center" vertical="center" wrapText="1"/>
    </xf>
    <xf numFmtId="0" fontId="15" fillId="0" borderId="203" xfId="0" applyFont="1" applyBorder="1" applyAlignment="1">
      <alignment horizontal="center" vertical="center" wrapText="1"/>
    </xf>
    <xf numFmtId="0" fontId="15" fillId="15" borderId="47" xfId="0" applyFont="1" applyFill="1" applyBorder="1" applyAlignment="1">
      <alignment horizontal="center" vertical="center" wrapText="1"/>
    </xf>
    <xf numFmtId="0" fontId="15" fillId="0" borderId="108" xfId="0" applyFont="1" applyBorder="1" applyAlignment="1">
      <alignment horizontal="center" vertical="center" wrapText="1"/>
    </xf>
    <xf numFmtId="0" fontId="15" fillId="0" borderId="27" xfId="0" applyFont="1" applyBorder="1" applyAlignment="1">
      <alignment horizontal="center" vertical="center" wrapText="1"/>
    </xf>
    <xf numFmtId="0" fontId="15" fillId="16" borderId="39" xfId="0" applyFont="1" applyFill="1" applyBorder="1" applyAlignment="1" applyProtection="1">
      <alignment horizontal="center" vertical="center" wrapText="1"/>
      <protection locked="0"/>
    </xf>
    <xf numFmtId="0" fontId="15" fillId="16" borderId="68" xfId="0" applyFont="1" applyFill="1" applyBorder="1" applyAlignment="1" applyProtection="1">
      <alignment horizontal="center" vertical="center" wrapText="1"/>
      <protection locked="0"/>
    </xf>
    <xf numFmtId="0" fontId="15" fillId="16" borderId="67" xfId="0" applyFont="1" applyFill="1" applyBorder="1" applyAlignment="1" applyProtection="1">
      <alignment horizontal="center" vertical="center" wrapText="1"/>
      <protection locked="0"/>
    </xf>
    <xf numFmtId="0" fontId="15" fillId="16" borderId="54" xfId="0" applyFont="1" applyFill="1" applyBorder="1" applyAlignment="1" applyProtection="1">
      <alignment horizontal="center" vertical="center" wrapText="1"/>
      <protection locked="0"/>
    </xf>
    <xf numFmtId="0" fontId="15" fillId="16" borderId="25" xfId="0" applyFont="1" applyFill="1" applyBorder="1" applyAlignment="1" applyProtection="1">
      <alignment horizontal="center" vertical="center" wrapText="1"/>
      <protection locked="0"/>
    </xf>
    <xf numFmtId="0" fontId="0" fillId="0" borderId="0" xfId="0" applyAlignment="1">
      <alignment vertical="center" wrapText="1"/>
    </xf>
    <xf numFmtId="0" fontId="15" fillId="16" borderId="111" xfId="0" applyFont="1" applyFill="1" applyBorder="1" applyAlignment="1" applyProtection="1">
      <alignment horizontal="center" vertical="center" wrapText="1"/>
      <protection locked="0"/>
    </xf>
    <xf numFmtId="0" fontId="15" fillId="16" borderId="73" xfId="0" applyFont="1" applyFill="1" applyBorder="1" applyAlignment="1" applyProtection="1">
      <alignment horizontal="center" vertical="center" wrapText="1"/>
      <protection locked="0"/>
    </xf>
    <xf numFmtId="0" fontId="15" fillId="16" borderId="52" xfId="0" applyFont="1" applyFill="1" applyBorder="1" applyAlignment="1" applyProtection="1">
      <alignment horizontal="center" vertical="center" wrapText="1"/>
      <protection locked="0"/>
    </xf>
    <xf numFmtId="0" fontId="15" fillId="16" borderId="112" xfId="0" applyFont="1" applyFill="1" applyBorder="1" applyAlignment="1" applyProtection="1">
      <alignment horizontal="center" vertical="center" wrapText="1"/>
      <protection locked="0"/>
    </xf>
    <xf numFmtId="0" fontId="11" fillId="16" borderId="30" xfId="0" applyFont="1" applyFill="1" applyBorder="1" applyAlignment="1" applyProtection="1">
      <alignment horizontal="center" vertical="center" wrapText="1"/>
      <protection locked="0"/>
    </xf>
    <xf numFmtId="0" fontId="11" fillId="16" borderId="14" xfId="0" applyFont="1" applyFill="1" applyBorder="1" applyAlignment="1" applyProtection="1">
      <alignment horizontal="center" vertical="center" wrapText="1"/>
      <protection locked="0"/>
    </xf>
    <xf numFmtId="0" fontId="11" fillId="16" borderId="9" xfId="0" applyFont="1" applyFill="1" applyBorder="1" applyAlignment="1" applyProtection="1">
      <alignment horizontal="center" vertical="center" wrapText="1"/>
      <protection locked="0"/>
    </xf>
    <xf numFmtId="0" fontId="11" fillId="16" borderId="11" xfId="0" applyFont="1" applyFill="1" applyBorder="1" applyAlignment="1" applyProtection="1">
      <alignment horizontal="center" vertical="center" wrapText="1"/>
      <protection locked="0"/>
    </xf>
    <xf numFmtId="0" fontId="11" fillId="16" borderId="15" xfId="0" applyFont="1" applyFill="1" applyBorder="1" applyAlignment="1" applyProtection="1">
      <alignment horizontal="center" vertical="center" wrapText="1"/>
      <protection locked="0"/>
    </xf>
    <xf numFmtId="0" fontId="4" fillId="16" borderId="30" xfId="0" applyFont="1" applyFill="1" applyBorder="1" applyAlignment="1" applyProtection="1">
      <alignment horizontal="center" vertical="center" wrapText="1"/>
      <protection locked="0"/>
    </xf>
    <xf numFmtId="0" fontId="0" fillId="0" borderId="10" xfId="0" applyBorder="1" applyAlignment="1" applyProtection="1">
      <alignment horizontal="center" wrapText="1"/>
      <protection locked="0"/>
    </xf>
    <xf numFmtId="0" fontId="0" fillId="0" borderId="9" xfId="0" applyBorder="1" applyAlignment="1" applyProtection="1">
      <alignment horizontal="center" wrapText="1"/>
      <protection locked="0"/>
    </xf>
    <xf numFmtId="0" fontId="11" fillId="16" borderId="10" xfId="0" applyFont="1" applyFill="1" applyBorder="1" applyAlignment="1" applyProtection="1">
      <alignment horizontal="center" vertical="center" wrapText="1"/>
      <protection locked="0"/>
    </xf>
    <xf numFmtId="0" fontId="15" fillId="16" borderId="31" xfId="0" applyFont="1" applyFill="1" applyBorder="1" applyAlignment="1" applyProtection="1">
      <alignment horizontal="center" vertical="center" wrapText="1"/>
      <protection locked="0"/>
    </xf>
    <xf numFmtId="0" fontId="4" fillId="15" borderId="25" xfId="0" applyFont="1" applyFill="1" applyBorder="1" applyAlignment="1">
      <alignment horizontal="center" vertical="center" wrapText="1"/>
    </xf>
    <xf numFmtId="0" fontId="47" fillId="15" borderId="25" xfId="0" quotePrefix="1" applyFont="1" applyFill="1" applyBorder="1" applyAlignment="1">
      <alignment horizontal="center" vertical="center" wrapText="1"/>
    </xf>
    <xf numFmtId="0" fontId="47" fillId="15" borderId="25" xfId="0" quotePrefix="1" applyFont="1" applyFill="1" applyBorder="1" applyAlignment="1">
      <alignment horizontal="center" vertical="center"/>
    </xf>
    <xf numFmtId="0" fontId="47" fillId="15" borderId="54" xfId="0" quotePrefix="1" applyFont="1" applyFill="1" applyBorder="1" applyAlignment="1">
      <alignment horizontal="center" vertical="center"/>
    </xf>
    <xf numFmtId="0" fontId="47" fillId="15" borderId="39" xfId="0" applyFont="1" applyFill="1" applyBorder="1" applyAlignment="1">
      <alignment horizontal="center" vertical="center" wrapText="1"/>
    </xf>
    <xf numFmtId="0" fontId="47" fillId="15" borderId="25" xfId="0" applyFont="1" applyFill="1" applyBorder="1" applyAlignment="1">
      <alignment horizontal="center" vertical="center"/>
    </xf>
    <xf numFmtId="0" fontId="47" fillId="15" borderId="54" xfId="0" applyFont="1" applyFill="1" applyBorder="1" applyAlignment="1">
      <alignment horizontal="center" vertical="center"/>
    </xf>
    <xf numFmtId="0" fontId="47" fillId="15" borderId="39" xfId="0" applyFont="1" applyFill="1" applyBorder="1" applyAlignment="1">
      <alignment horizontal="center" wrapText="1"/>
    </xf>
    <xf numFmtId="0" fontId="47" fillId="15" borderId="25" xfId="0" applyFont="1" applyFill="1" applyBorder="1" applyAlignment="1">
      <alignment horizontal="center"/>
    </xf>
    <xf numFmtId="0" fontId="47" fillId="15" borderId="54" xfId="0" applyFont="1" applyFill="1" applyBorder="1" applyAlignment="1">
      <alignment horizontal="center"/>
    </xf>
    <xf numFmtId="0" fontId="47" fillId="15" borderId="25" xfId="0" applyFont="1" applyFill="1" applyBorder="1" applyAlignment="1">
      <alignment horizontal="center" vertical="center" wrapText="1"/>
    </xf>
    <xf numFmtId="0" fontId="11" fillId="16" borderId="25" xfId="0" quotePrefix="1" applyFont="1" applyFill="1" applyBorder="1" applyAlignment="1" applyProtection="1">
      <alignment horizontal="left" vertical="center" wrapText="1"/>
      <protection locked="0"/>
    </xf>
    <xf numFmtId="0" fontId="11" fillId="16" borderId="25" xfId="0" quotePrefix="1" applyFont="1" applyFill="1" applyBorder="1" applyAlignment="1" applyProtection="1">
      <alignment horizontal="left" vertical="center"/>
      <protection locked="0"/>
    </xf>
    <xf numFmtId="0" fontId="11" fillId="16" borderId="54" xfId="0" quotePrefix="1" applyFont="1" applyFill="1" applyBorder="1" applyAlignment="1" applyProtection="1">
      <alignment horizontal="left" vertical="center"/>
      <protection locked="0"/>
    </xf>
    <xf numFmtId="15" fontId="11" fillId="16" borderId="39" xfId="0" applyNumberFormat="1" applyFont="1" applyFill="1" applyBorder="1" applyAlignment="1" applyProtection="1">
      <alignment horizontal="center" vertical="center" wrapText="1"/>
      <protection locked="0"/>
    </xf>
    <xf numFmtId="0" fontId="11" fillId="16" borderId="25" xfId="0" applyFont="1" applyFill="1" applyBorder="1" applyAlignment="1" applyProtection="1">
      <alignment horizontal="center" vertical="center"/>
      <protection locked="0"/>
    </xf>
    <xf numFmtId="0" fontId="11" fillId="16" borderId="54" xfId="0" applyFont="1" applyFill="1" applyBorder="1" applyAlignment="1" applyProtection="1">
      <alignment horizontal="center" vertical="center"/>
      <protection locked="0"/>
    </xf>
    <xf numFmtId="0" fontId="11" fillId="16" borderId="39" xfId="0" applyFont="1" applyFill="1" applyBorder="1" applyAlignment="1" applyProtection="1">
      <alignment horizontal="center" wrapText="1"/>
      <protection locked="0"/>
    </xf>
    <xf numFmtId="0" fontId="11" fillId="16" borderId="25" xfId="0" applyFont="1" applyFill="1" applyBorder="1" applyAlignment="1" applyProtection="1">
      <alignment horizontal="center"/>
      <protection locked="0"/>
    </xf>
    <xf numFmtId="0" fontId="11" fillId="16" borderId="54" xfId="0" applyFont="1" applyFill="1" applyBorder="1" applyAlignment="1" applyProtection="1">
      <alignment horizontal="center"/>
      <protection locked="0"/>
    </xf>
    <xf numFmtId="9" fontId="11" fillId="16" borderId="39" xfId="0" applyNumberFormat="1" applyFont="1" applyFill="1" applyBorder="1" applyAlignment="1" applyProtection="1">
      <alignment horizontal="center" wrapText="1"/>
      <protection locked="0"/>
    </xf>
    <xf numFmtId="0" fontId="11" fillId="15" borderId="198" xfId="0" applyFont="1" applyFill="1" applyBorder="1" applyAlignment="1">
      <alignment horizontal="center"/>
    </xf>
    <xf numFmtId="0" fontId="11" fillId="0" borderId="198" xfId="0" applyFont="1" applyBorder="1" applyAlignment="1">
      <alignment horizontal="center"/>
    </xf>
    <xf numFmtId="37" fontId="11" fillId="27" borderId="192" xfId="0" applyNumberFormat="1" applyFont="1" applyFill="1" applyBorder="1" applyAlignment="1">
      <alignment horizontal="right" vertical="center" wrapText="1"/>
    </xf>
    <xf numFmtId="37" fontId="11" fillId="27" borderId="99" xfId="0" applyNumberFormat="1" applyFont="1" applyFill="1" applyBorder="1" applyAlignment="1">
      <alignment horizontal="right" vertical="center" wrapText="1"/>
    </xf>
    <xf numFmtId="0" fontId="10" fillId="0" borderId="30" xfId="0" applyFont="1" applyBorder="1" applyAlignment="1">
      <alignment horizontal="center" vertical="center"/>
    </xf>
    <xf numFmtId="0" fontId="10" fillId="0" borderId="1" xfId="0" applyFont="1" applyBorder="1" applyAlignment="1">
      <alignment horizontal="center" vertical="center"/>
    </xf>
    <xf numFmtId="0" fontId="10" fillId="0" borderId="30" xfId="0" applyFont="1" applyBorder="1" applyAlignment="1">
      <alignment horizontal="center" vertical="center" wrapText="1"/>
    </xf>
    <xf numFmtId="37" fontId="15" fillId="0" borderId="39" xfId="0" applyNumberFormat="1" applyFont="1" applyBorder="1" applyAlignment="1" applyProtection="1">
      <alignment wrapText="1"/>
      <protection locked="0"/>
    </xf>
    <xf numFmtId="37" fontId="4" fillId="0" borderId="25" xfId="0" applyNumberFormat="1" applyFont="1" applyBorder="1" applyAlignment="1" applyProtection="1">
      <alignment wrapText="1"/>
      <protection locked="0"/>
    </xf>
    <xf numFmtId="37" fontId="4" fillId="0" borderId="54" xfId="0" applyNumberFormat="1" applyFont="1" applyBorder="1" applyAlignment="1" applyProtection="1">
      <alignment wrapText="1"/>
      <protection locked="0"/>
    </xf>
    <xf numFmtId="0" fontId="4" fillId="0" borderId="39" xfId="0" applyFont="1" applyBorder="1" applyAlignment="1" applyProtection="1">
      <alignment wrapText="1"/>
      <protection locked="0"/>
    </xf>
    <xf numFmtId="0" fontId="4" fillId="0" borderId="25" xfId="0" applyFont="1" applyBorder="1" applyAlignment="1" applyProtection="1">
      <alignment wrapText="1"/>
      <protection locked="0"/>
    </xf>
    <xf numFmtId="0" fontId="4" fillId="0" borderId="54" xfId="0" applyFont="1" applyBorder="1" applyAlignment="1" applyProtection="1">
      <alignment wrapText="1"/>
      <protection locked="0"/>
    </xf>
    <xf numFmtId="15" fontId="15" fillId="0" borderId="39" xfId="0" applyNumberFormat="1" applyFont="1" applyBorder="1" applyAlignment="1" applyProtection="1">
      <alignment horizontal="center"/>
      <protection locked="0"/>
    </xf>
    <xf numFmtId="0" fontId="15" fillId="0" borderId="25" xfId="0" applyFont="1" applyBorder="1" applyAlignment="1" applyProtection="1">
      <alignment horizontal="center"/>
      <protection locked="0"/>
    </xf>
    <xf numFmtId="0" fontId="15" fillId="0" borderId="54" xfId="0" applyFont="1" applyBorder="1" applyAlignment="1" applyProtection="1">
      <alignment horizontal="center"/>
      <protection locked="0"/>
    </xf>
    <xf numFmtId="37" fontId="15" fillId="0" borderId="39" xfId="0" applyNumberFormat="1" applyFont="1" applyBorder="1" applyAlignment="1" applyProtection="1">
      <alignment horizontal="right"/>
      <protection locked="0"/>
    </xf>
    <xf numFmtId="37" fontId="15" fillId="0" borderId="25" xfId="0" applyNumberFormat="1" applyFont="1" applyBorder="1" applyAlignment="1" applyProtection="1">
      <alignment horizontal="right"/>
      <protection locked="0"/>
    </xf>
    <xf numFmtId="37" fontId="15" fillId="0" borderId="54" xfId="0" applyNumberFormat="1" applyFont="1" applyBorder="1" applyAlignment="1" applyProtection="1">
      <alignment horizontal="right"/>
      <protection locked="0"/>
    </xf>
    <xf numFmtId="171" fontId="15" fillId="0" borderId="39" xfId="0" applyNumberFormat="1" applyFont="1" applyBorder="1" applyAlignment="1" applyProtection="1">
      <alignment horizontal="center"/>
      <protection locked="0"/>
    </xf>
    <xf numFmtId="171" fontId="15" fillId="0" borderId="25" xfId="0" applyNumberFormat="1" applyFont="1" applyBorder="1" applyAlignment="1" applyProtection="1">
      <alignment horizontal="center"/>
      <protection locked="0"/>
    </xf>
    <xf numFmtId="171" fontId="15" fillId="0" borderId="54" xfId="0" applyNumberFormat="1" applyFont="1" applyBorder="1" applyAlignment="1" applyProtection="1">
      <alignment horizontal="center"/>
      <protection locked="0"/>
    </xf>
    <xf numFmtId="37" fontId="15" fillId="0" borderId="39" xfId="0" applyNumberFormat="1" applyFont="1" applyBorder="1" applyAlignment="1" applyProtection="1">
      <alignment horizontal="center"/>
      <protection locked="0"/>
    </xf>
    <xf numFmtId="37" fontId="15" fillId="0" borderId="25" xfId="0" applyNumberFormat="1" applyFont="1" applyBorder="1" applyAlignment="1" applyProtection="1">
      <alignment horizontal="center"/>
      <protection locked="0"/>
    </xf>
    <xf numFmtId="37" fontId="15" fillId="0" borderId="54" xfId="0" applyNumberFormat="1" applyFont="1" applyBorder="1" applyAlignment="1" applyProtection="1">
      <alignment horizontal="center"/>
      <protection locked="0"/>
    </xf>
    <xf numFmtId="0" fontId="15" fillId="0" borderId="39" xfId="0" applyFont="1" applyBorder="1" applyAlignment="1" applyProtection="1">
      <alignment horizontal="center"/>
      <protection locked="0"/>
    </xf>
    <xf numFmtId="0" fontId="4" fillId="2" borderId="4" xfId="0" applyFont="1" applyFill="1" applyBorder="1" applyAlignment="1">
      <alignment horizontal="left"/>
    </xf>
    <xf numFmtId="37" fontId="20" fillId="27" borderId="1" xfId="0" quotePrefix="1" applyNumberFormat="1" applyFont="1" applyFill="1" applyBorder="1" applyAlignment="1">
      <alignment horizontal="right"/>
    </xf>
    <xf numFmtId="37" fontId="20" fillId="27" borderId="11" xfId="0" quotePrefix="1" applyNumberFormat="1" applyFont="1" applyFill="1" applyBorder="1" applyAlignment="1">
      <alignment horizontal="right"/>
    </xf>
    <xf numFmtId="37" fontId="123" fillId="15" borderId="3" xfId="0" applyNumberFormat="1" applyFont="1" applyFill="1" applyBorder="1" applyAlignment="1" applyProtection="1">
      <alignment horizontal="center"/>
      <protection locked="0"/>
    </xf>
    <xf numFmtId="37" fontId="123" fillId="15" borderId="0" xfId="0" applyNumberFormat="1" applyFont="1" applyFill="1" applyAlignment="1" applyProtection="1">
      <alignment horizontal="center"/>
      <protection locked="0"/>
    </xf>
    <xf numFmtId="0" fontId="20" fillId="15" borderId="3" xfId="0" applyFont="1" applyFill="1" applyBorder="1" applyAlignment="1">
      <alignment horizontal="center"/>
    </xf>
    <xf numFmtId="0" fontId="20" fillId="0" borderId="24" xfId="0" applyFont="1" applyBorder="1" applyAlignment="1">
      <alignment horizontal="center"/>
    </xf>
    <xf numFmtId="37" fontId="20" fillId="16" borderId="1" xfId="0" quotePrefix="1" applyNumberFormat="1" applyFont="1" applyFill="1" applyBorder="1" applyAlignment="1" applyProtection="1">
      <alignment horizontal="right"/>
      <protection locked="0"/>
    </xf>
    <xf numFmtId="37" fontId="20" fillId="16" borderId="11" xfId="0" quotePrefix="1" applyNumberFormat="1" applyFont="1" applyFill="1" applyBorder="1" applyAlignment="1" applyProtection="1">
      <alignment horizontal="right"/>
      <protection locked="0"/>
    </xf>
    <xf numFmtId="0" fontId="20" fillId="16" borderId="1" xfId="0" applyFont="1" applyFill="1" applyBorder="1" applyAlignment="1" applyProtection="1">
      <alignment horizontal="center"/>
      <protection locked="0"/>
    </xf>
    <xf numFmtId="39" fontId="123" fillId="15" borderId="3" xfId="0" applyNumberFormat="1" applyFont="1" applyFill="1" applyBorder="1" applyAlignment="1" applyProtection="1">
      <alignment horizontal="center"/>
      <protection locked="0"/>
    </xf>
    <xf numFmtId="39" fontId="123" fillId="15" borderId="0" xfId="0" applyNumberFormat="1" applyFont="1" applyFill="1" applyAlignment="1" applyProtection="1">
      <alignment horizontal="center"/>
      <protection locked="0"/>
    </xf>
    <xf numFmtId="37" fontId="166" fillId="15" borderId="3" xfId="0" applyNumberFormat="1" applyFont="1" applyFill="1" applyBorder="1" applyAlignment="1" applyProtection="1">
      <alignment horizontal="center"/>
      <protection locked="0"/>
    </xf>
    <xf numFmtId="37" fontId="166" fillId="15" borderId="0" xfId="0" applyNumberFormat="1" applyFont="1" applyFill="1" applyAlignment="1" applyProtection="1">
      <alignment horizontal="center"/>
      <protection locked="0"/>
    </xf>
    <xf numFmtId="37" fontId="20" fillId="27" borderId="9" xfId="0" quotePrefix="1" applyNumberFormat="1" applyFont="1" applyFill="1" applyBorder="1" applyAlignment="1">
      <alignment horizontal="right"/>
    </xf>
    <xf numFmtId="0" fontId="20" fillId="15" borderId="9" xfId="0" applyFont="1" applyFill="1" applyBorder="1" applyAlignment="1">
      <alignment horizontal="center"/>
    </xf>
    <xf numFmtId="0" fontId="20" fillId="0" borderId="11" xfId="0" applyFont="1" applyBorder="1" applyAlignment="1">
      <alignment horizontal="center"/>
    </xf>
    <xf numFmtId="0" fontId="20" fillId="15" borderId="24" xfId="0" applyFont="1" applyFill="1" applyBorder="1" applyAlignment="1">
      <alignment horizontal="center"/>
    </xf>
    <xf numFmtId="0" fontId="4" fillId="2" borderId="4" xfId="0" applyFont="1" applyFill="1" applyBorder="1" applyAlignment="1">
      <alignment horizontal="left" wrapText="1"/>
    </xf>
    <xf numFmtId="37" fontId="20" fillId="16" borderId="1" xfId="0" applyNumberFormat="1" applyFont="1" applyFill="1" applyBorder="1" applyAlignment="1" applyProtection="1">
      <alignment horizontal="right" vertical="center"/>
      <protection locked="0"/>
    </xf>
    <xf numFmtId="197" fontId="73" fillId="16" borderId="1" xfId="0" applyNumberFormat="1" applyFont="1" applyFill="1" applyBorder="1" applyAlignment="1" applyProtection="1">
      <alignment horizontal="center" vertical="center"/>
      <protection locked="0"/>
    </xf>
    <xf numFmtId="197" fontId="73" fillId="16" borderId="11" xfId="0" applyNumberFormat="1" applyFont="1" applyFill="1" applyBorder="1" applyAlignment="1" applyProtection="1">
      <alignment horizontal="center" vertical="center"/>
      <protection locked="0"/>
    </xf>
    <xf numFmtId="0" fontId="20" fillId="15" borderId="30" xfId="0" applyFont="1" applyFill="1" applyBorder="1" applyAlignment="1">
      <alignment horizontal="center"/>
    </xf>
    <xf numFmtId="0" fontId="20" fillId="0" borderId="8" xfId="0" applyFont="1" applyBorder="1" applyAlignment="1">
      <alignment horizontal="center"/>
    </xf>
    <xf numFmtId="0" fontId="6" fillId="15" borderId="8" xfId="0" applyFont="1" applyFill="1" applyBorder="1" applyAlignment="1">
      <alignment horizontal="center" vertical="center"/>
    </xf>
    <xf numFmtId="0" fontId="6" fillId="15" borderId="14" xfId="0" applyFont="1" applyFill="1" applyBorder="1" applyAlignment="1">
      <alignment horizontal="center" vertical="center"/>
    </xf>
    <xf numFmtId="0" fontId="6" fillId="15" borderId="9" xfId="0" applyFont="1" applyFill="1" applyBorder="1" applyAlignment="1">
      <alignment horizontal="center" vertical="center"/>
    </xf>
    <xf numFmtId="0" fontId="6" fillId="15" borderId="1" xfId="0" applyFont="1" applyFill="1" applyBorder="1" applyAlignment="1">
      <alignment horizontal="center" vertical="center"/>
    </xf>
    <xf numFmtId="0" fontId="6" fillId="15" borderId="11" xfId="0" applyFont="1" applyFill="1" applyBorder="1" applyAlignment="1">
      <alignment horizontal="center" vertical="center"/>
    </xf>
    <xf numFmtId="0" fontId="6" fillId="15" borderId="15" xfId="0" applyFont="1" applyFill="1" applyBorder="1" applyAlignment="1">
      <alignment horizontal="center" vertical="center"/>
    </xf>
    <xf numFmtId="0" fontId="6" fillId="15" borderId="10" xfId="0" applyFont="1" applyFill="1" applyBorder="1" applyAlignment="1">
      <alignment horizontal="center" vertical="center"/>
    </xf>
    <xf numFmtId="164" fontId="11" fillId="15" borderId="0" xfId="0" applyNumberFormat="1" applyFont="1" applyFill="1" applyAlignment="1">
      <alignment horizontal="right"/>
    </xf>
    <xf numFmtId="37" fontId="20" fillId="27" borderId="1" xfId="0" applyNumberFormat="1" applyFont="1" applyFill="1" applyBorder="1" applyAlignment="1">
      <alignment horizontal="right"/>
    </xf>
    <xf numFmtId="37" fontId="123" fillId="15" borderId="30" xfId="0" applyNumberFormat="1" applyFont="1" applyFill="1" applyBorder="1" applyAlignment="1" applyProtection="1">
      <alignment horizontal="center"/>
      <protection locked="0"/>
    </xf>
    <xf numFmtId="37" fontId="123" fillId="15" borderId="8" xfId="0" applyNumberFormat="1" applyFont="1" applyFill="1" applyBorder="1" applyAlignment="1" applyProtection="1">
      <alignment horizontal="center"/>
      <protection locked="0"/>
    </xf>
    <xf numFmtId="37" fontId="166" fillId="15" borderId="30" xfId="0" applyNumberFormat="1" applyFont="1" applyFill="1" applyBorder="1" applyAlignment="1" applyProtection="1">
      <alignment horizontal="center" vertical="top"/>
      <protection locked="0"/>
    </xf>
    <xf numFmtId="37" fontId="166" fillId="15" borderId="8" xfId="0" applyNumberFormat="1" applyFont="1" applyFill="1" applyBorder="1" applyAlignment="1" applyProtection="1">
      <alignment horizontal="center" vertical="top"/>
      <protection locked="0"/>
    </xf>
    <xf numFmtId="0" fontId="21" fillId="15" borderId="5" xfId="0" applyFont="1" applyFill="1" applyBorder="1" applyAlignment="1">
      <alignment horizontal="center" vertical="center" wrapText="1"/>
    </xf>
    <xf numFmtId="0" fontId="315" fillId="0" borderId="0" xfId="0" applyFont="1" applyAlignment="1">
      <alignment horizontal="center" vertical="center"/>
    </xf>
    <xf numFmtId="0" fontId="315" fillId="0" borderId="20" xfId="0" applyFont="1" applyBorder="1" applyAlignment="1">
      <alignment horizontal="center" vertical="center"/>
    </xf>
    <xf numFmtId="0" fontId="315" fillId="0" borderId="5" xfId="0" applyFont="1" applyBorder="1" applyAlignment="1">
      <alignment horizontal="center" vertical="center"/>
    </xf>
    <xf numFmtId="0" fontId="85" fillId="15" borderId="4" xfId="0" applyFont="1" applyFill="1" applyBorder="1" applyAlignment="1">
      <alignment horizontal="center"/>
    </xf>
    <xf numFmtId="0" fontId="15" fillId="15" borderId="21" xfId="0" applyFont="1" applyFill="1" applyBorder="1" applyAlignment="1">
      <alignment horizontal="center" vertical="top"/>
    </xf>
    <xf numFmtId="0" fontId="15" fillId="0" borderId="4" xfId="0" applyFont="1" applyBorder="1" applyAlignment="1">
      <alignment horizontal="center" vertical="top"/>
    </xf>
    <xf numFmtId="0" fontId="15" fillId="0" borderId="22" xfId="0" applyFont="1" applyBorder="1" applyAlignment="1">
      <alignment horizontal="center" vertical="top"/>
    </xf>
    <xf numFmtId="37" fontId="20" fillId="16" borderId="9" xfId="0" quotePrefix="1" applyNumberFormat="1" applyFont="1" applyFill="1" applyBorder="1" applyAlignment="1" applyProtection="1">
      <alignment horizontal="right"/>
      <protection locked="0"/>
    </xf>
    <xf numFmtId="0" fontId="20" fillId="0" borderId="14" xfId="0" applyFont="1" applyBorder="1" applyAlignment="1">
      <alignment horizontal="center"/>
    </xf>
    <xf numFmtId="37" fontId="20" fillId="16" borderId="9" xfId="0" applyNumberFormat="1" applyFont="1" applyFill="1" applyBorder="1" applyProtection="1">
      <protection locked="0"/>
    </xf>
    <xf numFmtId="37" fontId="20" fillId="16" borderId="1" xfId="0" applyNumberFormat="1" applyFont="1" applyFill="1" applyBorder="1" applyProtection="1">
      <protection locked="0"/>
    </xf>
    <xf numFmtId="37" fontId="20" fillId="27" borderId="69" xfId="0" quotePrefix="1" applyNumberFormat="1" applyFont="1" applyFill="1" applyBorder="1" applyAlignment="1">
      <alignment horizontal="right"/>
    </xf>
    <xf numFmtId="37" fontId="20" fillId="27" borderId="4" xfId="0" quotePrefix="1" applyNumberFormat="1" applyFont="1" applyFill="1" applyBorder="1" applyAlignment="1">
      <alignment horizontal="right"/>
    </xf>
    <xf numFmtId="0" fontId="20" fillId="15" borderId="69" xfId="0" applyFont="1" applyFill="1" applyBorder="1" applyAlignment="1">
      <alignment horizontal="center"/>
    </xf>
    <xf numFmtId="0" fontId="20" fillId="15" borderId="70" xfId="0" applyFont="1" applyFill="1" applyBorder="1" applyAlignment="1">
      <alignment horizontal="center"/>
    </xf>
    <xf numFmtId="0" fontId="20" fillId="16" borderId="1" xfId="0" applyFont="1" applyFill="1" applyBorder="1" applyAlignment="1" applyProtection="1">
      <alignment horizontal="center" vertical="center"/>
      <protection locked="0"/>
    </xf>
    <xf numFmtId="166" fontId="44" fillId="27" borderId="9" xfId="0" applyNumberFormat="1" applyFont="1" applyFill="1" applyBorder="1" applyAlignment="1">
      <alignment horizontal="center" vertical="center"/>
    </xf>
    <xf numFmtId="166" fontId="44" fillId="27" borderId="1" xfId="0" applyNumberFormat="1" applyFont="1" applyFill="1" applyBorder="1" applyAlignment="1">
      <alignment horizontal="center" vertical="center"/>
    </xf>
    <xf numFmtId="0" fontId="11" fillId="0" borderId="0" xfId="0" applyFont="1" applyAlignment="1">
      <alignment horizontal="center" vertical="center"/>
    </xf>
    <xf numFmtId="197" fontId="20" fillId="16" borderId="1" xfId="0" applyNumberFormat="1" applyFont="1" applyFill="1" applyBorder="1" applyAlignment="1" applyProtection="1">
      <alignment horizontal="center" vertical="center"/>
      <protection locked="0"/>
    </xf>
    <xf numFmtId="0" fontId="73" fillId="16" borderId="1" xfId="0" applyFont="1" applyFill="1" applyBorder="1" applyAlignment="1" applyProtection="1">
      <alignment horizontal="left" vertical="center"/>
      <protection locked="0"/>
    </xf>
    <xf numFmtId="0" fontId="73" fillId="16" borderId="218" xfId="0" applyFont="1" applyFill="1" applyBorder="1" applyAlignment="1" applyProtection="1">
      <alignment horizontal="center" vertical="center"/>
      <protection locked="0"/>
    </xf>
    <xf numFmtId="0" fontId="73" fillId="16" borderId="1" xfId="0" applyFont="1" applyFill="1" applyBorder="1" applyAlignment="1" applyProtection="1">
      <alignment horizontal="center" vertical="center"/>
      <protection locked="0"/>
    </xf>
    <xf numFmtId="0" fontId="73" fillId="16" borderId="219" xfId="0" applyFont="1" applyFill="1" applyBorder="1" applyAlignment="1" applyProtection="1">
      <alignment horizontal="center" vertical="center"/>
      <protection locked="0"/>
    </xf>
    <xf numFmtId="0" fontId="73" fillId="16" borderId="218" xfId="0" applyFont="1" applyFill="1" applyBorder="1" applyAlignment="1" applyProtection="1">
      <alignment horizontal="left" vertical="center"/>
      <protection locked="0"/>
    </xf>
    <xf numFmtId="0" fontId="73" fillId="16" borderId="219" xfId="0" applyFont="1" applyFill="1" applyBorder="1" applyAlignment="1" applyProtection="1">
      <alignment horizontal="left" vertical="center"/>
      <protection locked="0"/>
    </xf>
    <xf numFmtId="0" fontId="11" fillId="23" borderId="30" xfId="0" applyFont="1" applyFill="1" applyBorder="1" applyAlignment="1">
      <alignment horizontal="center"/>
    </xf>
    <xf numFmtId="0" fontId="11" fillId="23" borderId="14" xfId="0" applyFont="1" applyFill="1" applyBorder="1" applyAlignment="1">
      <alignment horizontal="center"/>
    </xf>
    <xf numFmtId="37" fontId="20" fillId="27" borderId="0" xfId="0" quotePrefix="1" applyNumberFormat="1" applyFont="1" applyFill="1" applyAlignment="1">
      <alignment horizontal="right"/>
    </xf>
    <xf numFmtId="37" fontId="20" fillId="27" borderId="24" xfId="0" quotePrefix="1" applyNumberFormat="1" applyFont="1" applyFill="1" applyBorder="1" applyAlignment="1">
      <alignment horizontal="right"/>
    </xf>
    <xf numFmtId="0" fontId="73" fillId="16" borderId="25" xfId="0" applyFont="1" applyFill="1" applyBorder="1" applyAlignment="1" applyProtection="1">
      <alignment horizontal="left" vertical="center"/>
      <protection locked="0"/>
    </xf>
    <xf numFmtId="0" fontId="73" fillId="16" borderId="54" xfId="0" applyFont="1" applyFill="1" applyBorder="1" applyAlignment="1" applyProtection="1">
      <alignment horizontal="left" vertical="center"/>
      <protection locked="0"/>
    </xf>
    <xf numFmtId="0" fontId="73" fillId="16" borderId="39" xfId="0" applyFont="1" applyFill="1" applyBorder="1" applyAlignment="1" applyProtection="1">
      <alignment horizontal="left" vertical="center"/>
      <protection locked="0"/>
    </xf>
    <xf numFmtId="197" fontId="73" fillId="16" borderId="39" xfId="0" applyNumberFormat="1" applyFont="1" applyFill="1" applyBorder="1" applyAlignment="1" applyProtection="1">
      <alignment horizontal="center" vertical="center"/>
      <protection locked="0"/>
    </xf>
    <xf numFmtId="197" fontId="73" fillId="16" borderId="25" xfId="0" applyNumberFormat="1" applyFont="1" applyFill="1" applyBorder="1" applyAlignment="1" applyProtection="1">
      <alignment horizontal="center" vertical="center"/>
      <protection locked="0"/>
    </xf>
    <xf numFmtId="197" fontId="73" fillId="16" borderId="54" xfId="0" applyNumberFormat="1" applyFont="1" applyFill="1" applyBorder="1" applyAlignment="1" applyProtection="1">
      <alignment horizontal="center" vertical="center"/>
      <protection locked="0"/>
    </xf>
    <xf numFmtId="0" fontId="73" fillId="16" borderId="39" xfId="0" applyFont="1" applyFill="1" applyBorder="1" applyAlignment="1" applyProtection="1">
      <alignment horizontal="center" vertical="center"/>
      <protection locked="0"/>
    </xf>
    <xf numFmtId="0" fontId="73" fillId="16" borderId="25" xfId="0" applyFont="1" applyFill="1" applyBorder="1" applyAlignment="1" applyProtection="1">
      <alignment horizontal="center" vertical="center"/>
      <protection locked="0"/>
    </xf>
    <xf numFmtId="0" fontId="73" fillId="16" borderId="54" xfId="0" applyFont="1" applyFill="1" applyBorder="1" applyAlignment="1" applyProtection="1">
      <alignment horizontal="center" vertical="center"/>
      <protection locked="0"/>
    </xf>
    <xf numFmtId="0" fontId="121" fillId="24" borderId="7" xfId="0" applyFont="1" applyFill="1" applyBorder="1" applyAlignment="1">
      <alignment horizontal="center" vertical="center" wrapText="1"/>
    </xf>
    <xf numFmtId="4" fontId="10" fillId="3" borderId="21" xfId="0" applyNumberFormat="1" applyFont="1" applyFill="1" applyBorder="1" applyAlignment="1">
      <alignment horizontal="left" vertical="center" indent="2"/>
    </xf>
    <xf numFmtId="0" fontId="0" fillId="0" borderId="4" xfId="0" applyBorder="1" applyAlignment="1">
      <alignment horizontal="left" vertical="center" indent="2"/>
    </xf>
    <xf numFmtId="4" fontId="16" fillId="3" borderId="26" xfId="0" applyNumberFormat="1" applyFont="1" applyFill="1" applyBorder="1" applyAlignment="1">
      <alignment horizontal="center"/>
    </xf>
    <xf numFmtId="0" fontId="92" fillId="0" borderId="8" xfId="0" applyFont="1" applyBorder="1" applyAlignment="1">
      <alignment horizontal="center"/>
    </xf>
    <xf numFmtId="0" fontId="92" fillId="0" borderId="5" xfId="0" applyFont="1" applyBorder="1" applyAlignment="1">
      <alignment horizontal="center"/>
    </xf>
    <xf numFmtId="0" fontId="92" fillId="0" borderId="0" xfId="0" applyFont="1" applyAlignment="1">
      <alignment horizontal="center"/>
    </xf>
    <xf numFmtId="0" fontId="11" fillId="3" borderId="25" xfId="0" applyFont="1" applyFill="1" applyBorder="1"/>
    <xf numFmtId="0" fontId="14" fillId="0" borderId="25" xfId="0" applyFont="1" applyBorder="1"/>
    <xf numFmtId="0" fontId="10" fillId="3" borderId="5" xfId="0" applyFont="1" applyFill="1" applyBorder="1" applyAlignment="1">
      <alignment horizontal="left" indent="2"/>
    </xf>
    <xf numFmtId="0" fontId="0" fillId="0" borderId="0" xfId="0" applyAlignment="1">
      <alignment horizontal="left" indent="2"/>
    </xf>
    <xf numFmtId="0" fontId="9" fillId="3" borderId="21" xfId="0" applyFont="1" applyFill="1" applyBorder="1" applyAlignment="1">
      <alignment horizontal="center" vertical="top"/>
    </xf>
    <xf numFmtId="0" fontId="9" fillId="3" borderId="4" xfId="0" applyFont="1" applyFill="1" applyBorder="1" applyAlignment="1">
      <alignment horizontal="center" vertical="top"/>
    </xf>
    <xf numFmtId="0" fontId="9" fillId="3" borderId="22" xfId="0" applyFont="1" applyFill="1" applyBorder="1" applyAlignment="1">
      <alignment horizontal="center" vertical="top"/>
    </xf>
    <xf numFmtId="0" fontId="44" fillId="3" borderId="0" xfId="0" applyFont="1" applyFill="1" applyAlignment="1">
      <alignment horizontal="center"/>
    </xf>
    <xf numFmtId="0" fontId="9" fillId="3" borderId="5" xfId="0" applyFont="1" applyFill="1" applyBorder="1" applyAlignment="1">
      <alignment horizontal="center" vertical="top"/>
    </xf>
    <xf numFmtId="0" fontId="9" fillId="3" borderId="0" xfId="0" applyFont="1" applyFill="1" applyAlignment="1">
      <alignment horizontal="center" vertical="top"/>
    </xf>
    <xf numFmtId="0" fontId="9" fillId="3" borderId="20" xfId="0" applyFont="1" applyFill="1" applyBorder="1" applyAlignment="1">
      <alignment horizontal="center" vertical="top"/>
    </xf>
    <xf numFmtId="0" fontId="14" fillId="25" borderId="1" xfId="0" applyFont="1" applyFill="1" applyBorder="1"/>
    <xf numFmtId="0" fontId="11" fillId="3" borderId="25" xfId="0" applyFont="1" applyFill="1" applyBorder="1" applyAlignment="1">
      <alignment vertical="center"/>
    </xf>
    <xf numFmtId="0" fontId="14" fillId="0" borderId="25" xfId="0" applyFont="1" applyBorder="1" applyAlignment="1">
      <alignment vertical="center"/>
    </xf>
    <xf numFmtId="4" fontId="12" fillId="3" borderId="3" xfId="0" applyNumberFormat="1" applyFont="1" applyFill="1" applyBorder="1" applyAlignment="1">
      <alignment horizontal="center"/>
    </xf>
    <xf numFmtId="0" fontId="0" fillId="0" borderId="7" xfId="0" applyBorder="1" applyAlignment="1">
      <alignment horizontal="center"/>
    </xf>
    <xf numFmtId="0" fontId="119" fillId="24" borderId="7" xfId="0" applyFont="1" applyFill="1" applyBorder="1" applyAlignment="1" applyProtection="1">
      <alignment horizontal="center" vertical="center" wrapText="1"/>
      <protection locked="0"/>
    </xf>
    <xf numFmtId="0" fontId="119" fillId="24" borderId="0" xfId="0" applyFont="1" applyFill="1" applyAlignment="1" applyProtection="1">
      <alignment horizontal="center" vertical="center" wrapText="1"/>
      <protection locked="0"/>
    </xf>
    <xf numFmtId="0" fontId="119" fillId="24" borderId="4" xfId="0" applyFont="1" applyFill="1" applyBorder="1" applyAlignment="1" applyProtection="1">
      <alignment horizontal="center" vertical="center" wrapText="1"/>
      <protection locked="0"/>
    </xf>
    <xf numFmtId="0" fontId="8" fillId="3" borderId="0" xfId="0" applyFont="1" applyFill="1" applyAlignment="1">
      <alignment horizontal="center"/>
    </xf>
    <xf numFmtId="0" fontId="118" fillId="24" borderId="23" xfId="0" applyFont="1" applyFill="1" applyBorder="1" applyAlignment="1">
      <alignment horizontal="center"/>
    </xf>
    <xf numFmtId="0" fontId="118" fillId="24" borderId="7" xfId="0" applyFont="1" applyFill="1" applyBorder="1" applyAlignment="1">
      <alignment horizontal="center"/>
    </xf>
    <xf numFmtId="0" fontId="118" fillId="24" borderId="19" xfId="0" applyFont="1" applyFill="1" applyBorder="1" applyAlignment="1">
      <alignment horizontal="center"/>
    </xf>
    <xf numFmtId="0" fontId="6" fillId="24" borderId="0" xfId="0" applyFont="1" applyFill="1" applyAlignment="1">
      <alignment vertical="center"/>
    </xf>
    <xf numFmtId="0" fontId="6" fillId="24" borderId="0" xfId="0" applyFont="1" applyFill="1"/>
    <xf numFmtId="0" fontId="104" fillId="3" borderId="0" xfId="0" applyFont="1" applyFill="1" applyAlignment="1">
      <alignment horizontal="left"/>
    </xf>
    <xf numFmtId="0" fontId="133" fillId="0" borderId="20" xfId="0" applyFont="1" applyBorder="1" applyAlignment="1">
      <alignment horizontal="left"/>
    </xf>
    <xf numFmtId="0" fontId="133" fillId="0" borderId="0" xfId="0" applyFont="1"/>
    <xf numFmtId="0" fontId="133" fillId="0" borderId="20" xfId="0" applyFont="1" applyBorder="1"/>
    <xf numFmtId="0" fontId="11" fillId="28" borderId="1" xfId="0" quotePrefix="1" applyFont="1" applyFill="1" applyBorder="1"/>
    <xf numFmtId="0" fontId="0" fillId="25" borderId="1" xfId="0" applyFill="1" applyBorder="1"/>
    <xf numFmtId="0" fontId="0" fillId="25" borderId="11" xfId="0" applyFill="1" applyBorder="1"/>
    <xf numFmtId="0" fontId="6" fillId="24" borderId="5" xfId="0" applyFont="1" applyFill="1" applyBorder="1" applyAlignment="1">
      <alignment horizontal="left"/>
    </xf>
    <xf numFmtId="0" fontId="6" fillId="24" borderId="0" xfId="0" applyFont="1" applyFill="1" applyAlignment="1">
      <alignment horizontal="left"/>
    </xf>
    <xf numFmtId="0" fontId="6" fillId="24" borderId="20" xfId="0" applyFont="1" applyFill="1" applyBorder="1" applyAlignment="1">
      <alignment horizontal="left"/>
    </xf>
    <xf numFmtId="0" fontId="6" fillId="24" borderId="5" xfId="0" applyFont="1" applyFill="1" applyBorder="1" applyAlignment="1">
      <alignment horizontal="left" vertical="top"/>
    </xf>
    <xf numFmtId="0" fontId="6" fillId="24" borderId="0" xfId="0" applyFont="1" applyFill="1" applyAlignment="1">
      <alignment horizontal="left" vertical="top"/>
    </xf>
    <xf numFmtId="0" fontId="6" fillId="24" borderId="20" xfId="0" applyFont="1" applyFill="1" applyBorder="1" applyAlignment="1">
      <alignment horizontal="left" vertical="top"/>
    </xf>
    <xf numFmtId="0" fontId="0" fillId="0" borderId="20" xfId="0" applyBorder="1" applyAlignment="1">
      <alignment horizontal="left" vertical="top" wrapText="1"/>
    </xf>
    <xf numFmtId="0" fontId="0" fillId="0" borderId="4" xfId="0" applyBorder="1" applyAlignment="1">
      <alignment horizontal="left" vertical="top" wrapText="1"/>
    </xf>
    <xf numFmtId="0" fontId="0" fillId="0" borderId="22" xfId="0" applyBorder="1" applyAlignment="1">
      <alignment horizontal="left" vertical="top" wrapText="1"/>
    </xf>
    <xf numFmtId="0" fontId="4" fillId="24" borderId="23" xfId="0" applyFont="1" applyFill="1" applyBorder="1" applyAlignment="1">
      <alignment horizontal="left" vertical="center" wrapText="1"/>
    </xf>
    <xf numFmtId="0" fontId="0" fillId="0" borderId="7" xfId="0" applyBorder="1" applyAlignment="1">
      <alignment horizontal="left" vertical="center" wrapText="1"/>
    </xf>
    <xf numFmtId="0" fontId="0" fillId="0" borderId="5" xfId="0" applyBorder="1" applyAlignment="1">
      <alignment horizontal="left" vertical="center" wrapText="1"/>
    </xf>
    <xf numFmtId="0" fontId="0" fillId="0" borderId="21" xfId="0" applyBorder="1" applyAlignment="1">
      <alignment horizontal="left" vertical="center" wrapText="1"/>
    </xf>
    <xf numFmtId="4" fontId="205" fillId="0" borderId="0" xfId="0" applyNumberFormat="1" applyFont="1" applyAlignment="1">
      <alignment horizontal="left"/>
    </xf>
    <xf numFmtId="4" fontId="205" fillId="0" borderId="20" xfId="0" applyNumberFormat="1" applyFont="1" applyBorder="1" applyAlignment="1">
      <alignment horizontal="left"/>
    </xf>
    <xf numFmtId="4" fontId="4" fillId="3" borderId="0" xfId="0" applyNumberFormat="1" applyFont="1" applyFill="1" applyAlignment="1" applyProtection="1">
      <alignment horizontal="right"/>
      <protection locked="0"/>
    </xf>
    <xf numFmtId="4" fontId="4" fillId="3" borderId="24" xfId="0" applyNumberFormat="1" applyFont="1" applyFill="1" applyBorder="1" applyAlignment="1" applyProtection="1">
      <alignment horizontal="right"/>
      <protection locked="0"/>
    </xf>
    <xf numFmtId="0" fontId="6" fillId="15" borderId="26" xfId="4" applyFill="1" applyBorder="1" applyAlignment="1" applyProtection="1">
      <alignment horizontal="center" vertical="center" wrapText="1"/>
      <protection hidden="1"/>
    </xf>
    <xf numFmtId="0" fontId="6" fillId="0" borderId="1" xfId="4" applyBorder="1" applyAlignment="1" applyProtection="1">
      <alignment horizontal="center" vertical="center" wrapText="1"/>
      <protection hidden="1"/>
    </xf>
    <xf numFmtId="0" fontId="6" fillId="15" borderId="5" xfId="4" applyFill="1" applyBorder="1" applyAlignment="1" applyProtection="1">
      <alignment horizontal="center"/>
      <protection hidden="1"/>
    </xf>
    <xf numFmtId="0" fontId="6" fillId="0" borderId="0" xfId="4" applyAlignment="1">
      <alignment horizontal="center"/>
    </xf>
    <xf numFmtId="0" fontId="6" fillId="0" borderId="20" xfId="4" applyBorder="1" applyAlignment="1">
      <alignment horizontal="center"/>
    </xf>
    <xf numFmtId="0" fontId="6" fillId="15" borderId="80" xfId="4" applyFill="1" applyBorder="1" applyAlignment="1" applyProtection="1">
      <alignment horizontal="left" vertical="center" wrapText="1" indent="2"/>
      <protection hidden="1"/>
    </xf>
    <xf numFmtId="0" fontId="6" fillId="0" borderId="8" xfId="4" applyBorder="1" applyAlignment="1" applyProtection="1">
      <alignment horizontal="left" vertical="center" wrapText="1" indent="2"/>
      <protection hidden="1"/>
    </xf>
    <xf numFmtId="0" fontId="6" fillId="0" borderId="5" xfId="4" applyBorder="1" applyAlignment="1" applyProtection="1">
      <alignment horizontal="left" vertical="center" wrapText="1" indent="2"/>
      <protection hidden="1"/>
    </xf>
    <xf numFmtId="0" fontId="6" fillId="0" borderId="0" xfId="4" applyAlignment="1" applyProtection="1">
      <alignment horizontal="left" vertical="center" wrapText="1" indent="2"/>
      <protection hidden="1"/>
    </xf>
    <xf numFmtId="0" fontId="6" fillId="0" borderId="21" xfId="4" applyBorder="1" applyAlignment="1" applyProtection="1">
      <alignment horizontal="left" vertical="center" wrapText="1" indent="2"/>
      <protection hidden="1"/>
    </xf>
    <xf numFmtId="0" fontId="6" fillId="0" borderId="4" xfId="4" applyBorder="1" applyAlignment="1" applyProtection="1">
      <alignment horizontal="left" vertical="center" wrapText="1" indent="2"/>
      <protection hidden="1"/>
    </xf>
    <xf numFmtId="0" fontId="20" fillId="0" borderId="8" xfId="4" applyFont="1" applyBorder="1" applyAlignment="1" applyProtection="1">
      <alignment horizontal="left" vertical="center" wrapText="1"/>
      <protection hidden="1"/>
    </xf>
    <xf numFmtId="0" fontId="20" fillId="0" borderId="0" xfId="4" applyFont="1" applyAlignment="1" applyProtection="1">
      <alignment horizontal="left" vertical="center" wrapText="1"/>
      <protection hidden="1"/>
    </xf>
    <xf numFmtId="0" fontId="20" fillId="0" borderId="4" xfId="4" applyFont="1" applyBorder="1" applyAlignment="1" applyProtection="1">
      <alignment horizontal="left" vertical="center" wrapText="1"/>
      <protection hidden="1"/>
    </xf>
    <xf numFmtId="0" fontId="10" fillId="15" borderId="0" xfId="4" applyFont="1" applyFill="1" applyAlignment="1" applyProtection="1">
      <alignment horizontal="left" vertical="center" wrapText="1"/>
      <protection hidden="1"/>
    </xf>
    <xf numFmtId="0" fontId="6" fillId="0" borderId="0" xfId="4" applyAlignment="1">
      <alignment horizontal="left" vertical="center" wrapText="1"/>
    </xf>
    <xf numFmtId="0" fontId="6" fillId="0" borderId="20" xfId="4" applyBorder="1" applyAlignment="1">
      <alignment horizontal="left" vertical="center" wrapText="1"/>
    </xf>
    <xf numFmtId="0" fontId="6" fillId="0" borderId="4" xfId="4" applyBorder="1" applyAlignment="1">
      <alignment horizontal="left" vertical="center" wrapText="1"/>
    </xf>
    <xf numFmtId="0" fontId="6" fillId="0" borderId="22" xfId="4" applyBorder="1" applyAlignment="1">
      <alignment horizontal="left" vertical="center" wrapText="1"/>
    </xf>
    <xf numFmtId="0" fontId="44" fillId="27" borderId="0" xfId="4" applyFont="1" applyFill="1" applyProtection="1">
      <protection hidden="1"/>
    </xf>
    <xf numFmtId="49" fontId="20" fillId="16" borderId="5" xfId="4" applyNumberFormat="1" applyFont="1" applyFill="1" applyBorder="1" applyAlignment="1" applyProtection="1">
      <alignment horizontal="center" vertical="center"/>
      <protection locked="0"/>
    </xf>
    <xf numFmtId="49" fontId="20" fillId="16" borderId="0" xfId="4" applyNumberFormat="1" applyFont="1" applyFill="1" applyAlignment="1" applyProtection="1">
      <alignment horizontal="center" vertical="center"/>
      <protection locked="0"/>
    </xf>
    <xf numFmtId="49" fontId="20" fillId="16" borderId="26" xfId="4" applyNumberFormat="1" applyFont="1" applyFill="1" applyBorder="1" applyAlignment="1" applyProtection="1">
      <alignment horizontal="center" vertical="center"/>
      <protection locked="0"/>
    </xf>
    <xf numFmtId="49" fontId="20" fillId="16" borderId="1" xfId="4" applyNumberFormat="1" applyFont="1" applyFill="1" applyBorder="1" applyAlignment="1" applyProtection="1">
      <alignment horizontal="center" vertical="center"/>
      <protection locked="0"/>
    </xf>
    <xf numFmtId="1" fontId="11" fillId="15" borderId="8" xfId="4" applyNumberFormat="1" applyFont="1" applyFill="1" applyBorder="1" applyAlignment="1" applyProtection="1">
      <alignment horizontal="center" vertical="center" wrapText="1"/>
      <protection hidden="1"/>
    </xf>
    <xf numFmtId="0" fontId="6" fillId="0" borderId="8" xfId="4" applyBorder="1" applyAlignment="1">
      <alignment horizontal="center" vertical="center" wrapText="1"/>
    </xf>
    <xf numFmtId="0" fontId="6" fillId="0" borderId="0" xfId="4" applyAlignment="1">
      <alignment horizontal="center" vertical="center" wrapText="1"/>
    </xf>
    <xf numFmtId="0" fontId="6" fillId="0" borderId="1" xfId="4" applyBorder="1" applyAlignment="1">
      <alignment horizontal="center" vertical="center" wrapText="1"/>
    </xf>
    <xf numFmtId="0" fontId="12" fillId="16" borderId="30" xfId="4" applyFont="1" applyFill="1" applyBorder="1" applyAlignment="1" applyProtection="1">
      <alignment horizontal="center" vertical="center" wrapText="1"/>
      <protection locked="0"/>
    </xf>
    <xf numFmtId="0" fontId="10" fillId="16" borderId="8" xfId="4" applyFont="1" applyFill="1" applyBorder="1" applyAlignment="1" applyProtection="1">
      <alignment wrapText="1"/>
      <protection locked="0"/>
    </xf>
    <xf numFmtId="0" fontId="10" fillId="16" borderId="14" xfId="4" applyFont="1" applyFill="1" applyBorder="1" applyAlignment="1" applyProtection="1">
      <alignment wrapText="1"/>
      <protection locked="0"/>
    </xf>
    <xf numFmtId="0" fontId="10" fillId="16" borderId="3" xfId="4" applyFont="1" applyFill="1" applyBorder="1" applyAlignment="1" applyProtection="1">
      <alignment wrapText="1"/>
      <protection locked="0"/>
    </xf>
    <xf numFmtId="0" fontId="10" fillId="16" borderId="0" xfId="4" applyFont="1" applyFill="1" applyAlignment="1" applyProtection="1">
      <alignment wrapText="1"/>
      <protection locked="0"/>
    </xf>
    <xf numFmtId="0" fontId="10" fillId="16" borderId="24" xfId="4" applyFont="1" applyFill="1" applyBorder="1" applyAlignment="1" applyProtection="1">
      <alignment wrapText="1"/>
      <protection locked="0"/>
    </xf>
    <xf numFmtId="0" fontId="10" fillId="16" borderId="9" xfId="4" applyFont="1" applyFill="1" applyBorder="1" applyAlignment="1" applyProtection="1">
      <alignment wrapText="1"/>
      <protection locked="0"/>
    </xf>
    <xf numFmtId="0" fontId="10" fillId="16" borderId="1" xfId="4" applyFont="1" applyFill="1" applyBorder="1" applyAlignment="1" applyProtection="1">
      <alignment wrapText="1"/>
      <protection locked="0"/>
    </xf>
    <xf numFmtId="0" fontId="10" fillId="16" borderId="11" xfId="4" applyFont="1" applyFill="1" applyBorder="1" applyAlignment="1" applyProtection="1">
      <alignment wrapText="1"/>
      <protection locked="0"/>
    </xf>
    <xf numFmtId="0" fontId="12" fillId="16" borderId="8" xfId="4" applyFont="1" applyFill="1" applyBorder="1" applyAlignment="1" applyProtection="1">
      <alignment horizontal="center" vertical="center" wrapText="1"/>
      <protection locked="0"/>
    </xf>
    <xf numFmtId="0" fontId="12" fillId="16" borderId="3" xfId="4" applyFont="1" applyFill="1" applyBorder="1" applyAlignment="1" applyProtection="1">
      <alignment horizontal="center" vertical="center" wrapText="1"/>
      <protection locked="0"/>
    </xf>
    <xf numFmtId="0" fontId="12" fillId="16" borderId="0" xfId="4" applyFont="1" applyFill="1" applyAlignment="1" applyProtection="1">
      <alignment horizontal="center" vertical="center" wrapText="1"/>
      <protection locked="0"/>
    </xf>
    <xf numFmtId="0" fontId="12" fillId="16" borderId="9" xfId="4" applyFont="1" applyFill="1" applyBorder="1" applyAlignment="1" applyProtection="1">
      <alignment horizontal="center" vertical="center" wrapText="1"/>
      <protection locked="0"/>
    </xf>
    <xf numFmtId="0" fontId="12" fillId="16" borderId="1" xfId="4" applyFont="1" applyFill="1" applyBorder="1" applyAlignment="1" applyProtection="1">
      <alignment horizontal="center" vertical="center" wrapText="1"/>
      <protection locked="0"/>
    </xf>
    <xf numFmtId="0" fontId="123" fillId="31" borderId="25" xfId="4" applyFont="1" applyFill="1" applyBorder="1" applyAlignment="1" applyProtection="1">
      <alignment horizontal="center"/>
      <protection hidden="1"/>
    </xf>
    <xf numFmtId="0" fontId="110" fillId="31" borderId="25" xfId="4" applyFont="1" applyFill="1" applyBorder="1" applyAlignment="1" applyProtection="1">
      <alignment horizontal="center"/>
      <protection hidden="1"/>
    </xf>
    <xf numFmtId="0" fontId="11" fillId="15" borderId="8" xfId="4" applyFont="1" applyFill="1" applyBorder="1" applyAlignment="1" applyProtection="1">
      <alignment horizontal="center" vertical="center" wrapText="1"/>
      <protection hidden="1"/>
    </xf>
    <xf numFmtId="0" fontId="11" fillId="15" borderId="0" xfId="4" applyFont="1" applyFill="1" applyAlignment="1" applyProtection="1">
      <alignment horizontal="center" vertical="center" wrapText="1"/>
      <protection hidden="1"/>
    </xf>
    <xf numFmtId="0" fontId="11" fillId="15" borderId="1" xfId="4" applyFont="1" applyFill="1" applyBorder="1" applyAlignment="1" applyProtection="1">
      <alignment horizontal="center" vertical="center" wrapText="1"/>
      <protection hidden="1"/>
    </xf>
    <xf numFmtId="0" fontId="8" fillId="15" borderId="8" xfId="4" applyFont="1" applyFill="1" applyBorder="1" applyAlignment="1" applyProtection="1">
      <alignment horizontal="center" vertical="center" wrapText="1"/>
      <protection hidden="1"/>
    </xf>
    <xf numFmtId="0" fontId="6" fillId="15" borderId="8" xfId="4" applyFill="1" applyBorder="1" applyAlignment="1" applyProtection="1">
      <alignment horizontal="center" vertical="center" wrapText="1"/>
      <protection hidden="1"/>
    </xf>
    <xf numFmtId="0" fontId="6" fillId="15" borderId="14" xfId="4" applyFill="1" applyBorder="1" applyAlignment="1" applyProtection="1">
      <alignment horizontal="center" vertical="center" wrapText="1"/>
      <protection hidden="1"/>
    </xf>
    <xf numFmtId="0" fontId="6" fillId="15" borderId="0" xfId="4" applyFill="1" applyAlignment="1" applyProtection="1">
      <alignment horizontal="center" vertical="center" wrapText="1"/>
      <protection hidden="1"/>
    </xf>
    <xf numFmtId="0" fontId="6" fillId="15" borderId="24" xfId="4" applyFill="1" applyBorder="1" applyAlignment="1" applyProtection="1">
      <alignment horizontal="center" vertical="center" wrapText="1"/>
      <protection hidden="1"/>
    </xf>
    <xf numFmtId="0" fontId="6" fillId="15" borderId="1" xfId="4" applyFill="1" applyBorder="1" applyAlignment="1" applyProtection="1">
      <alignment horizontal="center" vertical="center" wrapText="1"/>
      <protection hidden="1"/>
    </xf>
    <xf numFmtId="0" fontId="6" fillId="15" borderId="11" xfId="4" applyFill="1" applyBorder="1" applyAlignment="1" applyProtection="1">
      <alignment horizontal="center" vertical="center" wrapText="1"/>
      <protection hidden="1"/>
    </xf>
    <xf numFmtId="0" fontId="8" fillId="15" borderId="30" xfId="4" applyFont="1" applyFill="1" applyBorder="1" applyAlignment="1" applyProtection="1">
      <alignment horizontal="center" vertical="center" wrapText="1"/>
      <protection hidden="1"/>
    </xf>
    <xf numFmtId="0" fontId="6" fillId="15" borderId="3" xfId="4" applyFill="1" applyBorder="1" applyAlignment="1" applyProtection="1">
      <alignment horizontal="center" vertical="center" wrapText="1"/>
      <protection hidden="1"/>
    </xf>
    <xf numFmtId="0" fontId="6" fillId="15" borderId="9" xfId="4" applyFill="1" applyBorder="1" applyAlignment="1" applyProtection="1">
      <alignment horizontal="center" vertical="center" wrapText="1"/>
      <protection hidden="1"/>
    </xf>
    <xf numFmtId="0" fontId="10" fillId="15" borderId="30" xfId="4" applyFont="1" applyFill="1" applyBorder="1" applyAlignment="1" applyProtection="1">
      <alignment horizontal="center" vertical="center" wrapText="1"/>
      <protection hidden="1"/>
    </xf>
    <xf numFmtId="0" fontId="10" fillId="15" borderId="8" xfId="4" applyFont="1" applyFill="1" applyBorder="1" applyAlignment="1" applyProtection="1">
      <alignment horizontal="center" vertical="center" wrapText="1"/>
      <protection hidden="1"/>
    </xf>
    <xf numFmtId="0" fontId="10" fillId="15" borderId="14" xfId="4" applyFont="1" applyFill="1" applyBorder="1" applyAlignment="1" applyProtection="1">
      <alignment horizontal="center" vertical="center" wrapText="1"/>
      <protection hidden="1"/>
    </xf>
    <xf numFmtId="0" fontId="10" fillId="15" borderId="9" xfId="4" applyFont="1" applyFill="1" applyBorder="1" applyAlignment="1" applyProtection="1">
      <alignment horizontal="center" vertical="center" wrapText="1"/>
      <protection hidden="1"/>
    </xf>
    <xf numFmtId="0" fontId="10" fillId="15" borderId="1" xfId="4" applyFont="1" applyFill="1" applyBorder="1" applyAlignment="1" applyProtection="1">
      <alignment horizontal="center" vertical="center" wrapText="1"/>
      <protection hidden="1"/>
    </xf>
    <xf numFmtId="0" fontId="10" fillId="15" borderId="11" xfId="4" applyFont="1" applyFill="1" applyBorder="1" applyAlignment="1" applyProtection="1">
      <alignment horizontal="center" vertical="center" wrapText="1"/>
      <protection hidden="1"/>
    </xf>
    <xf numFmtId="0" fontId="6" fillId="15" borderId="14" xfId="4" applyFill="1" applyBorder="1" applyAlignment="1" applyProtection="1">
      <alignment wrapText="1"/>
      <protection hidden="1"/>
    </xf>
    <xf numFmtId="0" fontId="6" fillId="15" borderId="11" xfId="4" applyFill="1" applyBorder="1" applyAlignment="1" applyProtection="1">
      <alignment wrapText="1"/>
      <protection hidden="1"/>
    </xf>
    <xf numFmtId="0" fontId="10" fillId="15" borderId="8" xfId="4" applyFont="1" applyFill="1" applyBorder="1" applyAlignment="1">
      <alignment horizontal="center" vertical="center" wrapText="1"/>
    </xf>
    <xf numFmtId="0" fontId="10" fillId="15" borderId="14" xfId="4" applyFont="1" applyFill="1" applyBorder="1" applyAlignment="1">
      <alignment horizontal="center" vertical="center" wrapText="1"/>
    </xf>
    <xf numFmtId="0" fontId="10" fillId="15" borderId="9" xfId="4" applyFont="1" applyFill="1" applyBorder="1" applyAlignment="1">
      <alignment horizontal="center" vertical="center" wrapText="1"/>
    </xf>
    <xf numFmtId="0" fontId="10" fillId="15" borderId="1" xfId="4" applyFont="1" applyFill="1" applyBorder="1" applyAlignment="1">
      <alignment horizontal="center" vertical="center" wrapText="1"/>
    </xf>
    <xf numFmtId="0" fontId="10" fillId="15" borderId="11" xfId="4" applyFont="1" applyFill="1" applyBorder="1" applyAlignment="1">
      <alignment horizontal="center" vertical="center" wrapText="1"/>
    </xf>
    <xf numFmtId="0" fontId="6" fillId="15" borderId="8" xfId="4" applyFill="1" applyBorder="1" applyAlignment="1">
      <alignment horizontal="center" vertical="center" wrapText="1"/>
    </xf>
    <xf numFmtId="0" fontId="6" fillId="15" borderId="14" xfId="4" applyFill="1" applyBorder="1" applyAlignment="1">
      <alignment horizontal="center" vertical="center" wrapText="1"/>
    </xf>
    <xf numFmtId="0" fontId="6" fillId="15" borderId="9" xfId="4" applyFill="1" applyBorder="1" applyAlignment="1">
      <alignment horizontal="center" vertical="center" wrapText="1"/>
    </xf>
    <xf numFmtId="0" fontId="6" fillId="15" borderId="1" xfId="4" applyFill="1" applyBorder="1" applyAlignment="1">
      <alignment horizontal="center" vertical="center" wrapText="1"/>
    </xf>
    <xf numFmtId="0" fontId="6" fillId="15" borderId="11" xfId="4" applyFill="1" applyBorder="1" applyAlignment="1">
      <alignment horizontal="center" vertical="center" wrapText="1"/>
    </xf>
    <xf numFmtId="0" fontId="4" fillId="16" borderId="39" xfId="4" applyFont="1" applyFill="1" applyBorder="1" applyAlignment="1" applyProtection="1">
      <alignment horizontal="center" vertical="center" wrapText="1"/>
      <protection locked="0"/>
    </xf>
    <xf numFmtId="0" fontId="4" fillId="16" borderId="25" xfId="4" applyFont="1" applyFill="1" applyBorder="1" applyAlignment="1" applyProtection="1">
      <alignment horizontal="center" vertical="center" wrapText="1"/>
      <protection locked="0"/>
    </xf>
    <xf numFmtId="1" fontId="11" fillId="15" borderId="25" xfId="4" applyNumberFormat="1" applyFont="1" applyFill="1" applyBorder="1" applyAlignment="1" applyProtection="1">
      <alignment horizontal="center" vertical="center" wrapText="1"/>
      <protection hidden="1"/>
    </xf>
    <xf numFmtId="1" fontId="11" fillId="15" borderId="54" xfId="4" applyNumberFormat="1" applyFont="1" applyFill="1" applyBorder="1" applyAlignment="1" applyProtection="1">
      <alignment horizontal="center" vertical="center" wrapText="1"/>
      <protection hidden="1"/>
    </xf>
    <xf numFmtId="14" fontId="4" fillId="16" borderId="39" xfId="4" applyNumberFormat="1" applyFont="1" applyFill="1" applyBorder="1" applyAlignment="1" applyProtection="1">
      <alignment horizontal="center" vertical="center" wrapText="1"/>
      <protection locked="0"/>
    </xf>
    <xf numFmtId="14" fontId="4" fillId="16" borderId="25" xfId="4" applyNumberFormat="1" applyFont="1" applyFill="1" applyBorder="1" applyAlignment="1" applyProtection="1">
      <alignment horizontal="center" vertical="center" wrapText="1"/>
      <protection locked="0"/>
    </xf>
    <xf numFmtId="14" fontId="4" fillId="16" borderId="54" xfId="4" applyNumberFormat="1" applyFont="1" applyFill="1" applyBorder="1" applyAlignment="1" applyProtection="1">
      <alignment horizontal="center" vertical="center" wrapText="1"/>
      <protection locked="0"/>
    </xf>
    <xf numFmtId="190" fontId="4" fillId="16" borderId="39" xfId="4" applyNumberFormat="1" applyFont="1" applyFill="1" applyBorder="1" applyAlignment="1" applyProtection="1">
      <alignment horizontal="center" vertical="center" wrapText="1"/>
      <protection locked="0"/>
    </xf>
    <xf numFmtId="190" fontId="4" fillId="16" borderId="25" xfId="4" applyNumberFormat="1" applyFont="1" applyFill="1" applyBorder="1" applyAlignment="1" applyProtection="1">
      <alignment horizontal="center" vertical="center" wrapText="1"/>
      <protection locked="0"/>
    </xf>
    <xf numFmtId="190" fontId="4" fillId="16" borderId="54" xfId="4" applyNumberFormat="1" applyFont="1" applyFill="1" applyBorder="1" applyAlignment="1" applyProtection="1">
      <alignment horizontal="center" vertical="center" wrapText="1"/>
      <protection locked="0"/>
    </xf>
    <xf numFmtId="0" fontId="4" fillId="16" borderId="54" xfId="4" applyFont="1" applyFill="1" applyBorder="1" applyAlignment="1" applyProtection="1">
      <alignment horizontal="center" vertical="center" wrapText="1"/>
      <protection locked="0"/>
    </xf>
    <xf numFmtId="168" fontId="4" fillId="16" borderId="39" xfId="4" applyNumberFormat="1" applyFont="1" applyFill="1" applyBorder="1" applyAlignment="1" applyProtection="1">
      <alignment horizontal="center" vertical="center" wrapText="1"/>
      <protection locked="0"/>
    </xf>
    <xf numFmtId="168" fontId="4" fillId="16" borderId="25" xfId="4" applyNumberFormat="1" applyFont="1" applyFill="1" applyBorder="1" applyAlignment="1" applyProtection="1">
      <alignment horizontal="center" vertical="center" wrapText="1"/>
      <protection locked="0"/>
    </xf>
    <xf numFmtId="168" fontId="4" fillId="16" borderId="54" xfId="4" applyNumberFormat="1" applyFont="1" applyFill="1" applyBorder="1" applyAlignment="1" applyProtection="1">
      <alignment horizontal="center" vertical="center" wrapText="1"/>
      <protection locked="0"/>
    </xf>
    <xf numFmtId="0" fontId="4" fillId="16" borderId="52" xfId="4" applyFont="1" applyFill="1" applyBorder="1" applyAlignment="1" applyProtection="1">
      <alignment horizontal="center" vertical="center" wrapText="1"/>
      <protection locked="0"/>
    </xf>
    <xf numFmtId="0" fontId="4" fillId="16" borderId="31" xfId="4" applyFont="1" applyFill="1" applyBorder="1" applyAlignment="1" applyProtection="1">
      <alignment horizontal="center" vertical="center" wrapText="1"/>
      <protection locked="0"/>
    </xf>
    <xf numFmtId="0" fontId="123" fillId="31" borderId="25" xfId="4" applyFont="1" applyFill="1" applyBorder="1" applyAlignment="1" applyProtection="1">
      <alignment horizontal="center" vertical="center"/>
      <protection hidden="1"/>
    </xf>
    <xf numFmtId="0" fontId="110" fillId="31" borderId="25" xfId="4" applyFont="1" applyFill="1" applyBorder="1" applyAlignment="1" applyProtection="1">
      <alignment horizontal="center" vertical="center"/>
      <protection hidden="1"/>
    </xf>
    <xf numFmtId="0" fontId="15" fillId="15" borderId="0" xfId="4" applyFont="1" applyFill="1" applyAlignment="1" applyProtection="1">
      <alignment horizontal="right" vertical="center" wrapText="1" indent="1"/>
      <protection hidden="1"/>
    </xf>
    <xf numFmtId="0" fontId="15" fillId="15" borderId="0" xfId="4" applyFont="1" applyFill="1" applyAlignment="1">
      <alignment horizontal="right" vertical="center" wrapText="1" indent="1"/>
    </xf>
    <xf numFmtId="1" fontId="11" fillId="15" borderId="31" xfId="4" applyNumberFormat="1" applyFont="1" applyFill="1" applyBorder="1" applyAlignment="1" applyProtection="1">
      <alignment horizontal="center" vertical="center" wrapText="1"/>
      <protection hidden="1"/>
    </xf>
    <xf numFmtId="1" fontId="11" fillId="15" borderId="73" xfId="4" applyNumberFormat="1" applyFont="1" applyFill="1" applyBorder="1" applyAlignment="1" applyProtection="1">
      <alignment horizontal="center" vertical="center" wrapText="1"/>
      <protection hidden="1"/>
    </xf>
    <xf numFmtId="14" fontId="4" fillId="16" borderId="52" xfId="4" applyNumberFormat="1" applyFont="1" applyFill="1" applyBorder="1" applyAlignment="1" applyProtection="1">
      <alignment horizontal="center" vertical="center" wrapText="1"/>
      <protection locked="0"/>
    </xf>
    <xf numFmtId="14" fontId="4" fillId="16" borderId="31" xfId="4" applyNumberFormat="1" applyFont="1" applyFill="1" applyBorder="1" applyAlignment="1" applyProtection="1">
      <alignment horizontal="center" vertical="center" wrapText="1"/>
      <protection locked="0"/>
    </xf>
    <xf numFmtId="14" fontId="4" fillId="16" borderId="73" xfId="4" applyNumberFormat="1" applyFont="1" applyFill="1" applyBorder="1" applyAlignment="1" applyProtection="1">
      <alignment horizontal="center" vertical="center" wrapText="1"/>
      <protection locked="0"/>
    </xf>
    <xf numFmtId="190" fontId="4" fillId="16" borderId="52" xfId="4" applyNumberFormat="1" applyFont="1" applyFill="1" applyBorder="1" applyAlignment="1" applyProtection="1">
      <alignment horizontal="center" vertical="center" wrapText="1"/>
      <protection locked="0"/>
    </xf>
    <xf numFmtId="190" fontId="4" fillId="16" borderId="31" xfId="4" applyNumberFormat="1" applyFont="1" applyFill="1" applyBorder="1" applyAlignment="1" applyProtection="1">
      <alignment horizontal="center" vertical="center" wrapText="1"/>
      <protection locked="0"/>
    </xf>
    <xf numFmtId="190" fontId="4" fillId="16" borderId="73" xfId="4" applyNumberFormat="1" applyFont="1" applyFill="1" applyBorder="1" applyAlignment="1" applyProtection="1">
      <alignment horizontal="center" vertical="center" wrapText="1"/>
      <protection locked="0"/>
    </xf>
    <xf numFmtId="0" fontId="4" fillId="16" borderId="73" xfId="4" applyFont="1" applyFill="1" applyBorder="1" applyAlignment="1" applyProtection="1">
      <alignment horizontal="center" vertical="center" wrapText="1"/>
      <protection locked="0"/>
    </xf>
    <xf numFmtId="168" fontId="4" fillId="16" borderId="52" xfId="4" applyNumberFormat="1" applyFont="1" applyFill="1" applyBorder="1" applyAlignment="1" applyProtection="1">
      <alignment horizontal="center" vertical="center" wrapText="1"/>
      <protection locked="0"/>
    </xf>
    <xf numFmtId="168" fontId="4" fillId="16" borderId="31" xfId="4" applyNumberFormat="1" applyFont="1" applyFill="1" applyBorder="1" applyAlignment="1" applyProtection="1">
      <alignment horizontal="center" vertical="center" wrapText="1"/>
      <protection locked="0"/>
    </xf>
    <xf numFmtId="168" fontId="4" fillId="16" borderId="73" xfId="4" applyNumberFormat="1" applyFont="1" applyFill="1" applyBorder="1" applyAlignment="1" applyProtection="1">
      <alignment horizontal="center" vertical="center" wrapText="1"/>
      <protection locked="0"/>
    </xf>
    <xf numFmtId="14" fontId="12" fillId="16" borderId="39" xfId="4" applyNumberFormat="1" applyFont="1" applyFill="1" applyBorder="1" applyAlignment="1" applyProtection="1">
      <alignment horizontal="center" vertical="center" wrapText="1"/>
      <protection locked="0"/>
    </xf>
    <xf numFmtId="0" fontId="12" fillId="0" borderId="25" xfId="4" applyFont="1" applyBorder="1" applyAlignment="1" applyProtection="1">
      <alignment horizontal="center" vertical="center" wrapText="1"/>
      <protection locked="0"/>
    </xf>
    <xf numFmtId="0" fontId="4" fillId="0" borderId="54" xfId="4" applyFont="1" applyBorder="1" applyAlignment="1" applyProtection="1">
      <alignment horizontal="center" vertical="center" wrapText="1"/>
      <protection locked="0"/>
    </xf>
    <xf numFmtId="0" fontId="9" fillId="16" borderId="39" xfId="4" applyFont="1" applyFill="1" applyBorder="1" applyAlignment="1" applyProtection="1">
      <alignment horizontal="center" vertical="center" wrapText="1"/>
      <protection locked="0"/>
    </xf>
    <xf numFmtId="0" fontId="8" fillId="0" borderId="25" xfId="4" applyFont="1" applyBorder="1" applyAlignment="1" applyProtection="1">
      <alignment horizontal="center" vertical="center" wrapText="1"/>
      <protection locked="0"/>
    </xf>
    <xf numFmtId="0" fontId="8" fillId="0" borderId="54" xfId="4" applyFont="1" applyBorder="1" applyAlignment="1" applyProtection="1">
      <alignment horizontal="center" vertical="center" wrapText="1"/>
      <protection locked="0"/>
    </xf>
    <xf numFmtId="168" fontId="6" fillId="0" borderId="25" xfId="4" applyNumberFormat="1" applyBorder="1" applyAlignment="1" applyProtection="1">
      <alignment horizontal="center" vertical="center" wrapText="1"/>
      <protection locked="0"/>
    </xf>
    <xf numFmtId="0" fontId="6" fillId="0" borderId="14" xfId="4" applyBorder="1" applyAlignment="1">
      <alignment horizontal="center" vertical="center" wrapText="1"/>
    </xf>
    <xf numFmtId="0" fontId="6" fillId="0" borderId="24" xfId="4" applyBorder="1" applyAlignment="1">
      <alignment horizontal="center" vertical="center" wrapText="1"/>
    </xf>
    <xf numFmtId="0" fontId="6" fillId="0" borderId="11" xfId="4" applyBorder="1" applyAlignment="1">
      <alignment horizontal="center" vertical="center" wrapText="1"/>
    </xf>
    <xf numFmtId="0" fontId="8" fillId="0" borderId="8" xfId="4" applyFont="1" applyBorder="1" applyAlignment="1">
      <alignment horizontal="center" vertical="center" wrapText="1"/>
    </xf>
    <xf numFmtId="0" fontId="8" fillId="0" borderId="14" xfId="4" applyFont="1" applyBorder="1" applyAlignment="1">
      <alignment horizontal="center" vertical="center" wrapText="1"/>
    </xf>
    <xf numFmtId="0" fontId="8" fillId="0" borderId="3" xfId="4" applyFont="1" applyBorder="1" applyAlignment="1">
      <alignment horizontal="center" vertical="center" wrapText="1"/>
    </xf>
    <xf numFmtId="0" fontId="8" fillId="0" borderId="0" xfId="4" applyFont="1" applyAlignment="1">
      <alignment horizontal="center" vertical="center" wrapText="1"/>
    </xf>
    <xf numFmtId="0" fontId="8" fillId="0" borderId="24" xfId="4" applyFont="1" applyBorder="1" applyAlignment="1">
      <alignment horizontal="center" vertical="center" wrapText="1"/>
    </xf>
    <xf numFmtId="0" fontId="8" fillId="0" borderId="9" xfId="4" applyFont="1" applyBorder="1" applyAlignment="1">
      <alignment horizontal="center" vertical="center" wrapText="1"/>
    </xf>
    <xf numFmtId="0" fontId="8" fillId="0" borderId="1" xfId="4" applyFont="1" applyBorder="1" applyAlignment="1">
      <alignment horizontal="center" vertical="center" wrapText="1"/>
    </xf>
    <xf numFmtId="0" fontId="8" fillId="0" borderId="11" xfId="4" applyFont="1" applyBorder="1" applyAlignment="1">
      <alignment horizontal="center" vertical="center" wrapText="1"/>
    </xf>
    <xf numFmtId="0" fontId="6" fillId="15" borderId="30" xfId="4" applyFill="1" applyBorder="1" applyAlignment="1" applyProtection="1">
      <alignment horizontal="center" vertical="center" wrapText="1"/>
      <protection hidden="1"/>
    </xf>
    <xf numFmtId="14" fontId="6" fillId="0" borderId="25" xfId="4" applyNumberFormat="1" applyBorder="1" applyAlignment="1" applyProtection="1">
      <alignment horizontal="center" vertical="center" wrapText="1"/>
      <protection locked="0"/>
    </xf>
    <xf numFmtId="14" fontId="10" fillId="16" borderId="39" xfId="4" applyNumberFormat="1" applyFont="1" applyFill="1" applyBorder="1" applyAlignment="1" applyProtection="1">
      <alignment horizontal="center" vertical="center" wrapText="1"/>
      <protection locked="0"/>
    </xf>
    <xf numFmtId="14" fontId="10" fillId="16" borderId="25" xfId="4" applyNumberFormat="1" applyFont="1" applyFill="1" applyBorder="1" applyAlignment="1" applyProtection="1">
      <alignment horizontal="center" vertical="center" wrapText="1"/>
      <protection locked="0"/>
    </xf>
    <xf numFmtId="0" fontId="10" fillId="0" borderId="25" xfId="4" applyFont="1" applyBorder="1" applyAlignment="1" applyProtection="1">
      <alignment horizontal="center" vertical="center" wrapText="1"/>
      <protection locked="0"/>
    </xf>
    <xf numFmtId="0" fontId="10" fillId="0" borderId="25" xfId="4" applyFont="1" applyBorder="1" applyAlignment="1" applyProtection="1">
      <alignment wrapText="1"/>
      <protection locked="0"/>
    </xf>
    <xf numFmtId="0" fontId="10" fillId="0" borderId="54" xfId="4" applyFont="1" applyBorder="1" applyAlignment="1" applyProtection="1">
      <alignment wrapText="1"/>
      <protection locked="0"/>
    </xf>
    <xf numFmtId="168" fontId="6" fillId="0" borderId="25" xfId="4" applyNumberFormat="1" applyBorder="1" applyAlignment="1" applyProtection="1">
      <alignment wrapText="1"/>
      <protection locked="0"/>
    </xf>
    <xf numFmtId="168" fontId="6" fillId="0" borderId="54" xfId="4" applyNumberFormat="1" applyBorder="1" applyAlignment="1" applyProtection="1">
      <alignment wrapText="1"/>
      <protection locked="0"/>
    </xf>
    <xf numFmtId="0" fontId="6" fillId="0" borderId="8" xfId="4" applyBorder="1" applyAlignment="1">
      <alignment vertical="center" wrapText="1"/>
    </xf>
    <xf numFmtId="0" fontId="6" fillId="0" borderId="9" xfId="4" applyBorder="1" applyAlignment="1">
      <alignment vertical="center" wrapText="1"/>
    </xf>
    <xf numFmtId="0" fontId="6" fillId="0" borderId="1" xfId="4" applyBorder="1" applyAlignment="1">
      <alignment vertical="center" wrapText="1"/>
    </xf>
    <xf numFmtId="0" fontId="8" fillId="0" borderId="30" xfId="4" applyFont="1" applyBorder="1" applyAlignment="1">
      <alignment horizontal="center" vertical="center" wrapText="1"/>
    </xf>
    <xf numFmtId="0" fontId="6" fillId="0" borderId="14" xfId="4" applyBorder="1" applyAlignment="1">
      <alignment vertical="center" wrapText="1"/>
    </xf>
    <xf numFmtId="0" fontId="6" fillId="0" borderId="11" xfId="4" applyBorder="1" applyAlignment="1">
      <alignment vertical="center" wrapText="1"/>
    </xf>
    <xf numFmtId="0" fontId="6" fillId="0" borderId="8" xfId="4" applyBorder="1" applyAlignment="1">
      <alignment wrapText="1"/>
    </xf>
    <xf numFmtId="0" fontId="6" fillId="0" borderId="9" xfId="4" applyBorder="1" applyAlignment="1">
      <alignment wrapText="1"/>
    </xf>
    <xf numFmtId="0" fontId="6" fillId="0" borderId="1" xfId="4" applyBorder="1" applyAlignment="1">
      <alignment wrapText="1"/>
    </xf>
    <xf numFmtId="0" fontId="6" fillId="0" borderId="14" xfId="4" applyBorder="1" applyAlignment="1">
      <alignment wrapText="1"/>
    </xf>
    <xf numFmtId="0" fontId="6" fillId="0" borderId="11" xfId="4" applyBorder="1" applyAlignment="1">
      <alignment wrapText="1"/>
    </xf>
    <xf numFmtId="3" fontId="4" fillId="16" borderId="25" xfId="4" applyNumberFormat="1" applyFont="1" applyFill="1" applyBorder="1" applyAlignment="1" applyProtection="1">
      <alignment horizontal="center" vertical="center" wrapText="1"/>
      <protection locked="0"/>
    </xf>
    <xf numFmtId="0" fontId="15" fillId="16" borderId="1" xfId="4" applyFont="1" applyFill="1" applyBorder="1" applyAlignment="1" applyProtection="1">
      <alignment horizontal="left" wrapText="1"/>
      <protection locked="0"/>
    </xf>
    <xf numFmtId="0" fontId="15" fillId="0" borderId="1" xfId="4" applyFont="1" applyBorder="1" applyAlignment="1" applyProtection="1">
      <alignment horizontal="left" wrapText="1"/>
      <protection locked="0"/>
    </xf>
    <xf numFmtId="0" fontId="15" fillId="16" borderId="11" xfId="4" applyFont="1" applyFill="1" applyBorder="1" applyAlignment="1" applyProtection="1">
      <alignment horizontal="left" wrapText="1"/>
      <protection locked="0"/>
    </xf>
    <xf numFmtId="0" fontId="44" fillId="27" borderId="20" xfId="4" applyFont="1" applyFill="1" applyBorder="1" applyProtection="1">
      <protection hidden="1"/>
    </xf>
    <xf numFmtId="0" fontId="44" fillId="27" borderId="1" xfId="4" applyFont="1" applyFill="1" applyBorder="1" applyProtection="1">
      <protection hidden="1"/>
    </xf>
    <xf numFmtId="0" fontId="44" fillId="27" borderId="29" xfId="4" applyFont="1" applyFill="1" applyBorder="1" applyProtection="1">
      <protection hidden="1"/>
    </xf>
    <xf numFmtId="0" fontId="123" fillId="31" borderId="8" xfId="4" applyFont="1" applyFill="1" applyBorder="1" applyAlignment="1" applyProtection="1">
      <alignment horizontal="center"/>
      <protection hidden="1"/>
    </xf>
    <xf numFmtId="0" fontId="110" fillId="31" borderId="8" xfId="4" applyFont="1" applyFill="1" applyBorder="1" applyAlignment="1" applyProtection="1">
      <alignment horizontal="center"/>
      <protection hidden="1"/>
    </xf>
    <xf numFmtId="0" fontId="15" fillId="15" borderId="8" xfId="4" applyFont="1" applyFill="1" applyBorder="1" applyAlignment="1" applyProtection="1">
      <alignment horizontal="right" vertical="center" wrapText="1" indent="1"/>
      <protection hidden="1"/>
    </xf>
    <xf numFmtId="0" fontId="15" fillId="15" borderId="8" xfId="4" applyFont="1" applyFill="1" applyBorder="1" applyAlignment="1">
      <alignment horizontal="right" vertical="center" wrapText="1" indent="1"/>
    </xf>
    <xf numFmtId="3" fontId="4" fillId="16" borderId="1" xfId="4" applyNumberFormat="1" applyFont="1" applyFill="1" applyBorder="1" applyAlignment="1" applyProtection="1">
      <alignment horizontal="center" vertical="center" wrapText="1"/>
      <protection locked="0"/>
    </xf>
    <xf numFmtId="0" fontId="15" fillId="16" borderId="39" xfId="4" applyFont="1" applyFill="1" applyBorder="1" applyAlignment="1" applyProtection="1">
      <alignment horizontal="center" vertical="center" wrapText="1"/>
      <protection locked="0"/>
    </xf>
    <xf numFmtId="0" fontId="15" fillId="16" borderId="54" xfId="4" applyFont="1" applyFill="1" applyBorder="1" applyAlignment="1" applyProtection="1">
      <alignment horizontal="center" vertical="center" wrapText="1"/>
      <protection locked="0"/>
    </xf>
    <xf numFmtId="0" fontId="15" fillId="16" borderId="25" xfId="4" applyFont="1" applyFill="1" applyBorder="1" applyAlignment="1" applyProtection="1">
      <alignment horizontal="center" vertical="center" wrapText="1"/>
      <protection locked="0"/>
    </xf>
    <xf numFmtId="0" fontId="15" fillId="16" borderId="9" xfId="4" applyFont="1" applyFill="1" applyBorder="1" applyAlignment="1" applyProtection="1">
      <alignment horizontal="center" vertical="center" wrapText="1"/>
      <protection locked="0"/>
    </xf>
    <xf numFmtId="0" fontId="15" fillId="16" borderId="11" xfId="4" applyFont="1" applyFill="1" applyBorder="1" applyAlignment="1" applyProtection="1">
      <alignment horizontal="center" vertical="center" wrapText="1"/>
      <protection locked="0"/>
    </xf>
    <xf numFmtId="0" fontId="15" fillId="16" borderId="1" xfId="4" applyFont="1" applyFill="1" applyBorder="1" applyAlignment="1" applyProtection="1">
      <alignment horizontal="center" vertical="center" wrapText="1"/>
      <protection locked="0"/>
    </xf>
    <xf numFmtId="0" fontId="15" fillId="16" borderId="25" xfId="4" applyFont="1" applyFill="1" applyBorder="1" applyAlignment="1" applyProtection="1">
      <alignment horizontal="left" wrapText="1"/>
      <protection locked="0"/>
    </xf>
    <xf numFmtId="0" fontId="15" fillId="15" borderId="39" xfId="4" applyFont="1" applyFill="1" applyBorder="1" applyAlignment="1" applyProtection="1">
      <alignment horizontal="center" wrapText="1"/>
      <protection hidden="1"/>
    </xf>
    <xf numFmtId="0" fontId="15" fillId="15" borderId="54" xfId="4" applyFont="1" applyFill="1" applyBorder="1" applyAlignment="1">
      <alignment horizontal="center" wrapText="1"/>
    </xf>
    <xf numFmtId="0" fontId="15" fillId="15" borderId="25" xfId="4" applyFont="1" applyFill="1" applyBorder="1" applyAlignment="1">
      <alignment horizontal="center" wrapText="1"/>
    </xf>
    <xf numFmtId="0" fontId="10" fillId="15" borderId="0" xfId="4" applyFont="1" applyFill="1" applyAlignment="1" applyProtection="1">
      <alignment horizontal="left" wrapText="1" indent="1"/>
      <protection hidden="1"/>
    </xf>
    <xf numFmtId="0" fontId="10" fillId="0" borderId="0" xfId="4" applyFont="1" applyAlignment="1">
      <alignment horizontal="left" wrapText="1" indent="1"/>
    </xf>
    <xf numFmtId="0" fontId="15" fillId="15" borderId="24" xfId="4" applyFont="1" applyFill="1" applyBorder="1" applyAlignment="1" applyProtection="1">
      <alignment horizontal="left" wrapText="1"/>
      <protection hidden="1"/>
    </xf>
    <xf numFmtId="0" fontId="15" fillId="15" borderId="6" xfId="4" applyFont="1" applyFill="1" applyBorder="1" applyAlignment="1" applyProtection="1">
      <alignment horizontal="left" wrapText="1"/>
      <protection hidden="1"/>
    </xf>
    <xf numFmtId="0" fontId="15" fillId="15" borderId="11" xfId="4" applyFont="1" applyFill="1" applyBorder="1" applyAlignment="1" applyProtection="1">
      <alignment horizontal="left" wrapText="1"/>
      <protection hidden="1"/>
    </xf>
    <xf numFmtId="0" fontId="15" fillId="15" borderId="10" xfId="4" applyFont="1" applyFill="1" applyBorder="1" applyAlignment="1" applyProtection="1">
      <alignment horizontal="left" wrapText="1"/>
      <protection hidden="1"/>
    </xf>
    <xf numFmtId="0" fontId="4" fillId="16" borderId="1" xfId="4" applyFont="1" applyFill="1" applyBorder="1" applyAlignment="1" applyProtection="1">
      <alignment horizontal="left" vertical="center" wrapText="1"/>
      <protection locked="0"/>
    </xf>
    <xf numFmtId="14" fontId="4" fillId="16" borderId="1" xfId="4" applyNumberFormat="1" applyFont="1" applyFill="1" applyBorder="1" applyAlignment="1" applyProtection="1">
      <alignment horizontal="center" vertical="center" wrapText="1"/>
      <protection locked="0"/>
    </xf>
    <xf numFmtId="0" fontId="6" fillId="0" borderId="1" xfId="4" applyBorder="1" applyAlignment="1" applyProtection="1">
      <alignment vertical="center" wrapText="1"/>
      <protection locked="0"/>
    </xf>
    <xf numFmtId="0" fontId="15" fillId="15" borderId="4" xfId="4" applyFont="1" applyFill="1" applyBorder="1" applyAlignment="1" applyProtection="1">
      <alignment horizontal="right" vertical="center" wrapText="1" indent="1"/>
      <protection hidden="1"/>
    </xf>
    <xf numFmtId="0" fontId="15" fillId="16" borderId="52" xfId="4" applyFont="1" applyFill="1" applyBorder="1" applyAlignment="1" applyProtection="1">
      <alignment horizontal="center" vertical="center" wrapText="1"/>
      <protection locked="0"/>
    </xf>
    <xf numFmtId="0" fontId="15" fillId="16" borderId="73" xfId="4" applyFont="1" applyFill="1" applyBorder="1" applyAlignment="1" applyProtection="1">
      <alignment horizontal="center" vertical="center" wrapText="1"/>
      <protection locked="0"/>
    </xf>
    <xf numFmtId="0" fontId="15" fillId="16" borderId="31" xfId="4" applyFont="1" applyFill="1" applyBorder="1" applyAlignment="1" applyProtection="1">
      <alignment horizontal="center" vertical="center" wrapText="1"/>
      <protection locked="0"/>
    </xf>
    <xf numFmtId="0" fontId="6" fillId="16" borderId="1" xfId="4" applyFill="1" applyBorder="1" applyAlignment="1" applyProtection="1">
      <alignment horizontal="center"/>
      <protection locked="0"/>
    </xf>
    <xf numFmtId="0" fontId="6" fillId="15" borderId="1" xfId="4" applyFill="1" applyBorder="1" applyAlignment="1" applyProtection="1">
      <alignment horizontal="left" wrapText="1"/>
      <protection hidden="1"/>
    </xf>
    <xf numFmtId="0" fontId="6" fillId="15" borderId="25" xfId="4" applyFill="1" applyBorder="1" applyAlignment="1" applyProtection="1">
      <alignment horizontal="center"/>
      <protection hidden="1"/>
    </xf>
    <xf numFmtId="182" fontId="6" fillId="16" borderId="25" xfId="4" applyNumberFormat="1" applyFill="1" applyBorder="1" applyAlignment="1" applyProtection="1">
      <alignment horizontal="center" vertical="center"/>
      <protection locked="0"/>
    </xf>
    <xf numFmtId="49" fontId="9" fillId="16" borderId="1" xfId="4" applyNumberFormat="1" applyFont="1" applyFill="1" applyBorder="1" applyAlignment="1" applyProtection="1">
      <alignment wrapText="1"/>
      <protection locked="0"/>
    </xf>
    <xf numFmtId="49" fontId="9" fillId="16" borderId="11" xfId="4" applyNumberFormat="1" applyFont="1" applyFill="1" applyBorder="1" applyAlignment="1" applyProtection="1">
      <alignment wrapText="1"/>
      <protection locked="0"/>
    </xf>
    <xf numFmtId="49" fontId="9" fillId="16" borderId="9" xfId="4" applyNumberFormat="1" applyFont="1" applyFill="1" applyBorder="1" applyAlignment="1" applyProtection="1">
      <alignment wrapText="1"/>
      <protection locked="0"/>
    </xf>
    <xf numFmtId="49" fontId="9" fillId="15" borderId="1" xfId="4" applyNumberFormat="1" applyFont="1" applyFill="1" applyBorder="1" applyAlignment="1" applyProtection="1">
      <alignment horizontal="left" wrapText="1"/>
      <protection locked="0"/>
    </xf>
    <xf numFmtId="49" fontId="9" fillId="15" borderId="11" xfId="4" applyNumberFormat="1" applyFont="1" applyFill="1" applyBorder="1" applyAlignment="1" applyProtection="1">
      <alignment horizontal="left" wrapText="1"/>
      <protection locked="0"/>
    </xf>
    <xf numFmtId="49" fontId="6" fillId="0" borderId="1" xfId="4" applyNumberFormat="1" applyBorder="1" applyAlignment="1" applyProtection="1">
      <alignment wrapText="1"/>
      <protection locked="0"/>
    </xf>
    <xf numFmtId="49" fontId="6" fillId="0" borderId="11" xfId="4" applyNumberFormat="1" applyBorder="1" applyAlignment="1" applyProtection="1">
      <alignment wrapText="1"/>
      <protection locked="0"/>
    </xf>
    <xf numFmtId="14" fontId="9" fillId="15" borderId="9" xfId="4" applyNumberFormat="1" applyFont="1" applyFill="1" applyBorder="1" applyAlignment="1" applyProtection="1">
      <alignment horizontal="center" wrapText="1"/>
      <protection locked="0"/>
    </xf>
    <xf numFmtId="14" fontId="6" fillId="15" borderId="1" xfId="4" applyNumberFormat="1" applyFill="1" applyBorder="1" applyAlignment="1" applyProtection="1">
      <alignment horizontal="center" wrapText="1"/>
      <protection locked="0"/>
    </xf>
    <xf numFmtId="0" fontId="44" fillId="16" borderId="1" xfId="4" applyFont="1" applyFill="1" applyBorder="1" applyProtection="1">
      <protection locked="0"/>
    </xf>
    <xf numFmtId="0" fontId="6" fillId="0" borderId="1" xfId="4" applyBorder="1" applyProtection="1">
      <protection locked="0"/>
    </xf>
    <xf numFmtId="0" fontId="6" fillId="0" borderId="11" xfId="4" applyBorder="1" applyProtection="1">
      <protection locked="0"/>
    </xf>
    <xf numFmtId="49" fontId="20" fillId="16" borderId="9" xfId="4" applyNumberFormat="1" applyFont="1" applyFill="1" applyBorder="1" applyAlignment="1" applyProtection="1">
      <alignment horizontal="center" vertical="center"/>
      <protection locked="0"/>
    </xf>
    <xf numFmtId="0" fontId="44" fillId="16" borderId="1" xfId="4" applyFont="1" applyFill="1" applyBorder="1" applyAlignment="1" applyProtection="1">
      <alignment wrapText="1"/>
      <protection locked="0"/>
    </xf>
    <xf numFmtId="0" fontId="6" fillId="0" borderId="1" xfId="4" applyBorder="1" applyAlignment="1" applyProtection="1">
      <alignment wrapText="1"/>
      <protection locked="0"/>
    </xf>
    <xf numFmtId="182" fontId="15" fillId="16" borderId="1" xfId="4" applyNumberFormat="1" applyFont="1" applyFill="1" applyBorder="1" applyAlignment="1" applyProtection="1">
      <alignment horizontal="center" wrapText="1"/>
      <protection locked="0"/>
    </xf>
    <xf numFmtId="0" fontId="110" fillId="15" borderId="8" xfId="0" applyFont="1" applyFill="1" applyBorder="1" applyAlignment="1">
      <alignment horizontal="center"/>
    </xf>
    <xf numFmtId="37" fontId="11" fillId="27" borderId="69" xfId="0" quotePrefix="1" applyNumberFormat="1" applyFont="1" applyFill="1" applyBorder="1" applyAlignment="1">
      <alignment horizontal="right" indent="1"/>
    </xf>
    <xf numFmtId="37" fontId="11" fillId="27" borderId="4" xfId="0" quotePrefix="1" applyNumberFormat="1" applyFont="1" applyFill="1" applyBorder="1" applyAlignment="1">
      <alignment horizontal="right" indent="1"/>
    </xf>
    <xf numFmtId="37" fontId="11" fillId="27" borderId="70" xfId="0" quotePrefix="1" applyNumberFormat="1" applyFont="1" applyFill="1" applyBorder="1" applyAlignment="1">
      <alignment horizontal="right" indent="1"/>
    </xf>
    <xf numFmtId="39" fontId="11" fillId="27" borderId="39" xfId="0" quotePrefix="1" applyNumberFormat="1" applyFont="1" applyFill="1" applyBorder="1" applyAlignment="1">
      <alignment horizontal="center"/>
    </xf>
    <xf numFmtId="39" fontId="11" fillId="27" borderId="25" xfId="0" quotePrefix="1" applyNumberFormat="1" applyFont="1" applyFill="1" applyBorder="1" applyAlignment="1">
      <alignment horizontal="center"/>
    </xf>
    <xf numFmtId="39" fontId="11" fillId="27" borderId="54" xfId="0" quotePrefix="1" applyNumberFormat="1" applyFont="1" applyFill="1" applyBorder="1" applyAlignment="1">
      <alignment horizontal="center"/>
    </xf>
    <xf numFmtId="37" fontId="11" fillId="16" borderId="39" xfId="0" quotePrefix="1" applyNumberFormat="1" applyFont="1" applyFill="1" applyBorder="1" applyAlignment="1" applyProtection="1">
      <alignment horizontal="center"/>
      <protection locked="0"/>
    </xf>
    <xf numFmtId="37" fontId="11" fillId="16" borderId="25" xfId="0" quotePrefix="1" applyNumberFormat="1" applyFont="1" applyFill="1" applyBorder="1" applyAlignment="1" applyProtection="1">
      <alignment horizontal="center"/>
      <protection locked="0"/>
    </xf>
    <xf numFmtId="37" fontId="11" fillId="16" borderId="54" xfId="0" quotePrefix="1" applyNumberFormat="1" applyFont="1" applyFill="1" applyBorder="1" applyAlignment="1" applyProtection="1">
      <alignment horizontal="center"/>
      <protection locked="0"/>
    </xf>
    <xf numFmtId="0" fontId="14" fillId="15" borderId="8" xfId="0" applyFont="1" applyFill="1" applyBorder="1" applyAlignment="1">
      <alignment horizontal="center" vertical="center"/>
    </xf>
    <xf numFmtId="0" fontId="14" fillId="15" borderId="14" xfId="0" applyFont="1" applyFill="1" applyBorder="1" applyAlignment="1">
      <alignment horizontal="center" vertical="center"/>
    </xf>
    <xf numFmtId="0" fontId="14" fillId="15" borderId="0" xfId="0" applyFont="1" applyFill="1" applyAlignment="1">
      <alignment horizontal="center" vertical="center"/>
    </xf>
    <xf numFmtId="0" fontId="14" fillId="15" borderId="24" xfId="0" applyFont="1" applyFill="1" applyBorder="1" applyAlignment="1">
      <alignment horizontal="center" vertical="center"/>
    </xf>
    <xf numFmtId="0" fontId="14" fillId="15" borderId="1" xfId="0" applyFont="1" applyFill="1" applyBorder="1" applyAlignment="1">
      <alignment horizontal="center" vertical="center"/>
    </xf>
    <xf numFmtId="0" fontId="14" fillId="15" borderId="11" xfId="0" applyFont="1" applyFill="1" applyBorder="1" applyAlignment="1">
      <alignment horizontal="center" vertical="center"/>
    </xf>
    <xf numFmtId="0" fontId="307" fillId="15" borderId="0" xfId="0" applyFont="1" applyFill="1" applyAlignment="1">
      <alignment horizontal="left" wrapText="1"/>
    </xf>
    <xf numFmtId="39" fontId="6" fillId="0" borderId="0" xfId="0" applyNumberFormat="1" applyFont="1" applyAlignment="1" applyProtection="1">
      <alignment horizontal="left" vertical="center" wrapText="1"/>
      <protection locked="0"/>
    </xf>
    <xf numFmtId="0" fontId="4" fillId="15" borderId="4" xfId="0" applyFont="1" applyFill="1" applyBorder="1" applyAlignment="1">
      <alignment horizontal="right"/>
    </xf>
    <xf numFmtId="0" fontId="4" fillId="15" borderId="70" xfId="0" applyFont="1" applyFill="1" applyBorder="1" applyAlignment="1">
      <alignment horizontal="right"/>
    </xf>
    <xf numFmtId="37" fontId="11" fillId="16" borderId="39" xfId="0" quotePrefix="1" applyNumberFormat="1" applyFont="1" applyFill="1" applyBorder="1" applyAlignment="1" applyProtection="1">
      <alignment horizontal="right" indent="1"/>
      <protection locked="0"/>
    </xf>
    <xf numFmtId="37" fontId="11" fillId="16" borderId="25" xfId="0" quotePrefix="1" applyNumberFormat="1" applyFont="1" applyFill="1" applyBorder="1" applyAlignment="1" applyProtection="1">
      <alignment horizontal="right" indent="1"/>
      <protection locked="0"/>
    </xf>
    <xf numFmtId="37" fontId="11" fillId="16" borderId="54" xfId="0" quotePrefix="1" applyNumberFormat="1" applyFont="1" applyFill="1" applyBorder="1" applyAlignment="1" applyProtection="1">
      <alignment horizontal="right" indent="1"/>
      <protection locked="0"/>
    </xf>
    <xf numFmtId="37" fontId="11" fillId="27" borderId="39" xfId="0" quotePrefix="1" applyNumberFormat="1" applyFont="1" applyFill="1" applyBorder="1" applyAlignment="1">
      <alignment horizontal="right" indent="1"/>
    </xf>
    <xf numFmtId="37" fontId="11" fillId="27" borderId="25" xfId="0" quotePrefix="1" applyNumberFormat="1" applyFont="1" applyFill="1" applyBorder="1" applyAlignment="1">
      <alignment horizontal="right" indent="1"/>
    </xf>
    <xf numFmtId="37" fontId="11" fillId="27" borderId="54" xfId="0" quotePrefix="1" applyNumberFormat="1" applyFont="1" applyFill="1" applyBorder="1" applyAlignment="1">
      <alignment horizontal="right" indent="1"/>
    </xf>
    <xf numFmtId="0" fontId="305" fillId="15" borderId="1" xfId="0" applyFont="1" applyFill="1" applyBorder="1" applyAlignment="1">
      <alignment horizontal="left" vertical="center" wrapText="1"/>
    </xf>
    <xf numFmtId="0" fontId="11" fillId="15" borderId="30" xfId="0" applyFont="1" applyFill="1" applyBorder="1" applyAlignment="1">
      <alignment horizontal="left" vertical="center" wrapText="1" indent="1"/>
    </xf>
    <xf numFmtId="0" fontId="11" fillId="15" borderId="14" xfId="0" applyFont="1" applyFill="1" applyBorder="1" applyAlignment="1">
      <alignment horizontal="left" vertical="center" wrapText="1" indent="1"/>
    </xf>
    <xf numFmtId="0" fontId="11" fillId="15" borderId="3" xfId="0" applyFont="1" applyFill="1" applyBorder="1" applyAlignment="1">
      <alignment horizontal="left" vertical="center" wrapText="1" indent="1"/>
    </xf>
    <xf numFmtId="0" fontId="11" fillId="15" borderId="0" xfId="0" applyFont="1" applyFill="1" applyAlignment="1">
      <alignment horizontal="left" vertical="center" wrapText="1" indent="1"/>
    </xf>
    <xf numFmtId="0" fontId="11" fillId="15" borderId="24" xfId="0" applyFont="1" applyFill="1" applyBorder="1" applyAlignment="1">
      <alignment horizontal="left" vertical="center" wrapText="1" indent="1"/>
    </xf>
    <xf numFmtId="0" fontId="47" fillId="15" borderId="3" xfId="0" applyFont="1" applyFill="1" applyBorder="1" applyAlignment="1">
      <alignment horizontal="left" vertical="top" wrapText="1" indent="1"/>
    </xf>
    <xf numFmtId="0" fontId="47" fillId="15" borderId="0" xfId="0" applyFont="1" applyFill="1" applyAlignment="1">
      <alignment horizontal="left" vertical="top" wrapText="1" indent="1"/>
    </xf>
    <xf numFmtId="0" fontId="47" fillId="15" borderId="24" xfId="0" applyFont="1" applyFill="1" applyBorder="1" applyAlignment="1">
      <alignment horizontal="left" vertical="top" wrapText="1" indent="1"/>
    </xf>
    <xf numFmtId="0" fontId="265" fillId="15" borderId="0" xfId="0" applyFont="1" applyFill="1" applyAlignment="1">
      <alignment horizontal="center" vertical="top"/>
    </xf>
    <xf numFmtId="0" fontId="14" fillId="15" borderId="30" xfId="0" applyFont="1" applyFill="1" applyBorder="1" applyAlignment="1">
      <alignment horizontal="center" vertical="center"/>
    </xf>
    <xf numFmtId="0" fontId="14" fillId="15" borderId="9" xfId="0" applyFont="1" applyFill="1" applyBorder="1" applyAlignment="1">
      <alignment horizontal="center" vertical="center"/>
    </xf>
    <xf numFmtId="0" fontId="14" fillId="15" borderId="30" xfId="0" quotePrefix="1" applyFont="1" applyFill="1" applyBorder="1" applyAlignment="1">
      <alignment horizontal="center" vertical="center" wrapText="1"/>
    </xf>
    <xf numFmtId="0" fontId="14" fillId="15" borderId="8" xfId="0" quotePrefix="1" applyFont="1" applyFill="1" applyBorder="1" applyAlignment="1">
      <alignment horizontal="center" vertical="center" wrapText="1"/>
    </xf>
    <xf numFmtId="0" fontId="14" fillId="15" borderId="14" xfId="0" quotePrefix="1" applyFont="1" applyFill="1" applyBorder="1" applyAlignment="1">
      <alignment horizontal="center" vertical="center" wrapText="1"/>
    </xf>
    <xf numFmtId="0" fontId="14" fillId="15" borderId="9" xfId="0" quotePrefix="1" applyFont="1" applyFill="1" applyBorder="1" applyAlignment="1">
      <alignment horizontal="center" vertical="center" wrapText="1"/>
    </xf>
    <xf numFmtId="0" fontId="14" fillId="15" borderId="1" xfId="0" quotePrefix="1" applyFont="1" applyFill="1" applyBorder="1" applyAlignment="1">
      <alignment horizontal="center" vertical="center" wrapText="1"/>
    </xf>
    <xf numFmtId="0" fontId="14" fillId="15" borderId="11" xfId="0" quotePrefix="1" applyFont="1" applyFill="1" applyBorder="1" applyAlignment="1">
      <alignment horizontal="center" vertical="center" wrapText="1"/>
    </xf>
    <xf numFmtId="0" fontId="20" fillId="2" borderId="7" xfId="0" applyFont="1" applyFill="1" applyBorder="1" applyAlignment="1">
      <alignment horizontal="center"/>
    </xf>
    <xf numFmtId="37" fontId="11" fillId="16" borderId="52" xfId="0" quotePrefix="1" applyNumberFormat="1" applyFont="1" applyFill="1" applyBorder="1" applyAlignment="1" applyProtection="1">
      <alignment horizontal="right" indent="1"/>
      <protection locked="0"/>
    </xf>
    <xf numFmtId="37" fontId="11" fillId="16" borderId="31" xfId="0" quotePrefix="1" applyNumberFormat="1" applyFont="1" applyFill="1" applyBorder="1" applyAlignment="1" applyProtection="1">
      <alignment horizontal="right" indent="1"/>
      <protection locked="0"/>
    </xf>
    <xf numFmtId="37" fontId="11" fillId="16" borderId="73" xfId="0" quotePrefix="1" applyNumberFormat="1" applyFont="1" applyFill="1" applyBorder="1" applyAlignment="1" applyProtection="1">
      <alignment horizontal="right" indent="1"/>
      <protection locked="0"/>
    </xf>
    <xf numFmtId="0" fontId="11" fillId="15" borderId="30" xfId="0" quotePrefix="1" applyFont="1" applyFill="1" applyBorder="1" applyAlignment="1">
      <alignment horizontal="center" vertical="center" wrapText="1"/>
    </xf>
    <xf numFmtId="0" fontId="11" fillId="15" borderId="8" xfId="0" quotePrefix="1" applyFont="1" applyFill="1" applyBorder="1" applyAlignment="1">
      <alignment horizontal="center" vertical="center" wrapText="1"/>
    </xf>
    <xf numFmtId="0" fontId="11" fillId="15" borderId="3" xfId="0" quotePrefix="1" applyFont="1" applyFill="1" applyBorder="1" applyAlignment="1">
      <alignment horizontal="center" vertical="center" wrapText="1"/>
    </xf>
    <xf numFmtId="0" fontId="11" fillId="15" borderId="0" xfId="0" quotePrefix="1" applyFont="1" applyFill="1" applyAlignment="1">
      <alignment horizontal="center" vertical="center" wrapText="1"/>
    </xf>
    <xf numFmtId="0" fontId="11" fillId="15" borderId="9" xfId="0" quotePrefix="1" applyFont="1" applyFill="1" applyBorder="1" applyAlignment="1">
      <alignment horizontal="center" vertical="center" wrapText="1"/>
    </xf>
    <xf numFmtId="0" fontId="11" fillId="15" borderId="1" xfId="0" quotePrefix="1" applyFont="1" applyFill="1" applyBorder="1" applyAlignment="1">
      <alignment horizontal="center" vertical="center" wrapText="1"/>
    </xf>
    <xf numFmtId="39" fontId="11" fillId="15" borderId="35" xfId="0" quotePrefix="1" applyNumberFormat="1" applyFont="1" applyFill="1" applyBorder="1" applyAlignment="1">
      <alignment horizontal="center"/>
    </xf>
    <xf numFmtId="39" fontId="11" fillId="15" borderId="13" xfId="0" quotePrefix="1" applyNumberFormat="1" applyFont="1" applyFill="1" applyBorder="1" applyAlignment="1">
      <alignment horizontal="center"/>
    </xf>
    <xf numFmtId="39" fontId="11" fillId="15" borderId="17" xfId="0" quotePrefix="1" applyNumberFormat="1" applyFont="1" applyFill="1" applyBorder="1" applyAlignment="1">
      <alignment horizontal="center"/>
    </xf>
    <xf numFmtId="37" fontId="20" fillId="27" borderId="35" xfId="0" applyNumberFormat="1" applyFont="1" applyFill="1" applyBorder="1" applyAlignment="1">
      <alignment horizontal="right" wrapText="1" indent="1"/>
    </xf>
    <xf numFmtId="37" fontId="20" fillId="27" borderId="13" xfId="0" applyNumberFormat="1" applyFont="1" applyFill="1" applyBorder="1" applyAlignment="1">
      <alignment horizontal="right" wrapText="1" indent="1"/>
    </xf>
    <xf numFmtId="37" fontId="20" fillId="27" borderId="17" xfId="0" applyNumberFormat="1" applyFont="1" applyFill="1" applyBorder="1" applyAlignment="1">
      <alignment horizontal="right" wrapText="1" indent="1"/>
    </xf>
    <xf numFmtId="37" fontId="20" fillId="27" borderId="35" xfId="0" applyNumberFormat="1" applyFont="1" applyFill="1" applyBorder="1" applyAlignment="1">
      <alignment horizontal="center" wrapText="1"/>
    </xf>
    <xf numFmtId="37" fontId="20" fillId="27" borderId="13" xfId="0" applyNumberFormat="1" applyFont="1" applyFill="1" applyBorder="1" applyAlignment="1">
      <alignment horizontal="center" wrapText="1"/>
    </xf>
    <xf numFmtId="37" fontId="20" fillId="27" borderId="17" xfId="0" applyNumberFormat="1" applyFont="1" applyFill="1" applyBorder="1" applyAlignment="1">
      <alignment horizontal="center" wrapText="1"/>
    </xf>
    <xf numFmtId="37" fontId="20" fillId="27" borderId="35" xfId="0" applyNumberFormat="1" applyFont="1" applyFill="1" applyBorder="1" applyAlignment="1">
      <alignment horizontal="right" wrapText="1"/>
    </xf>
    <xf numFmtId="37" fontId="20" fillId="27" borderId="13" xfId="0" applyNumberFormat="1" applyFont="1" applyFill="1" applyBorder="1" applyAlignment="1">
      <alignment horizontal="right" wrapText="1"/>
    </xf>
    <xf numFmtId="37" fontId="20" fillId="27" borderId="9" xfId="0" applyNumberFormat="1" applyFont="1" applyFill="1" applyBorder="1" applyAlignment="1">
      <alignment horizontal="right" wrapText="1" indent="1"/>
    </xf>
    <xf numFmtId="37" fontId="20" fillId="27" borderId="1" xfId="0" applyNumberFormat="1" applyFont="1" applyFill="1" applyBorder="1" applyAlignment="1">
      <alignment horizontal="right" wrapText="1" indent="1"/>
    </xf>
    <xf numFmtId="37" fontId="20" fillId="27" borderId="11" xfId="0" applyNumberFormat="1" applyFont="1" applyFill="1" applyBorder="1" applyAlignment="1">
      <alignment horizontal="right" wrapText="1" indent="1"/>
    </xf>
    <xf numFmtId="39" fontId="20" fillId="27" borderId="9" xfId="0" applyNumberFormat="1" applyFont="1" applyFill="1" applyBorder="1" applyAlignment="1">
      <alignment horizontal="right" wrapText="1" indent="1"/>
    </xf>
    <xf numFmtId="39" fontId="20" fillId="27" borderId="1" xfId="0" applyNumberFormat="1" applyFont="1" applyFill="1" applyBorder="1" applyAlignment="1">
      <alignment horizontal="right" wrapText="1" indent="1"/>
    </xf>
    <xf numFmtId="39" fontId="20" fillId="27" borderId="11" xfId="0" applyNumberFormat="1" applyFont="1" applyFill="1" applyBorder="1" applyAlignment="1">
      <alignment horizontal="right" wrapText="1" indent="1"/>
    </xf>
    <xf numFmtId="37" fontId="20" fillId="27" borderId="9" xfId="0" applyNumberFormat="1" applyFont="1" applyFill="1" applyBorder="1" applyAlignment="1">
      <alignment horizontal="right" wrapText="1"/>
    </xf>
    <xf numFmtId="37" fontId="20" fillId="27" borderId="1" xfId="0" applyNumberFormat="1" applyFont="1" applyFill="1" applyBorder="1" applyAlignment="1">
      <alignment horizontal="right" wrapText="1"/>
    </xf>
    <xf numFmtId="37" fontId="20" fillId="27" borderId="11" xfId="0" applyNumberFormat="1" applyFont="1" applyFill="1" applyBorder="1" applyAlignment="1">
      <alignment horizontal="right" wrapText="1"/>
    </xf>
    <xf numFmtId="37" fontId="11" fillId="16" borderId="69" xfId="0" quotePrefix="1" applyNumberFormat="1" applyFont="1" applyFill="1" applyBorder="1" applyAlignment="1" applyProtection="1">
      <alignment horizontal="right" indent="1"/>
      <protection locked="0"/>
    </xf>
    <xf numFmtId="37" fontId="11" fillId="16" borderId="4" xfId="0" quotePrefix="1" applyNumberFormat="1" applyFont="1" applyFill="1" applyBorder="1" applyAlignment="1" applyProtection="1">
      <alignment horizontal="right" indent="1"/>
      <protection locked="0"/>
    </xf>
    <xf numFmtId="37" fontId="11" fillId="16" borderId="70" xfId="0" quotePrefix="1" applyNumberFormat="1" applyFont="1" applyFill="1" applyBorder="1" applyAlignment="1" applyProtection="1">
      <alignment horizontal="right" indent="1"/>
      <protection locked="0"/>
    </xf>
    <xf numFmtId="0" fontId="14" fillId="15" borderId="3" xfId="0" quotePrefix="1" applyFont="1" applyFill="1" applyBorder="1" applyAlignment="1">
      <alignment horizontal="center" vertical="center" wrapText="1"/>
    </xf>
    <xf numFmtId="0" fontId="14" fillId="15" borderId="0" xfId="0" quotePrefix="1" applyFont="1" applyFill="1" applyAlignment="1">
      <alignment horizontal="center" vertical="center" wrapText="1"/>
    </xf>
    <xf numFmtId="0" fontId="14" fillId="15" borderId="24" xfId="0" quotePrefix="1" applyFont="1" applyFill="1" applyBorder="1" applyAlignment="1">
      <alignment horizontal="center" vertical="center" wrapText="1"/>
    </xf>
    <xf numFmtId="0" fontId="11" fillId="15" borderId="8" xfId="0" applyFont="1" applyFill="1" applyBorder="1" applyAlignment="1">
      <alignment horizontal="center" vertical="center"/>
    </xf>
    <xf numFmtId="0" fontId="11" fillId="15" borderId="14" xfId="0" applyFont="1" applyFill="1" applyBorder="1" applyAlignment="1">
      <alignment horizontal="center" vertical="center"/>
    </xf>
    <xf numFmtId="0" fontId="11" fillId="15" borderId="1" xfId="0" applyFont="1" applyFill="1" applyBorder="1" applyAlignment="1">
      <alignment horizontal="center" vertical="center"/>
    </xf>
    <xf numFmtId="0" fontId="11" fillId="15" borderId="11" xfId="0" applyFont="1" applyFill="1" applyBorder="1" applyAlignment="1">
      <alignment horizontal="center" vertical="center"/>
    </xf>
    <xf numFmtId="0" fontId="14" fillId="15" borderId="30" xfId="0" applyFont="1" applyFill="1" applyBorder="1" applyAlignment="1">
      <alignment horizontal="center" vertical="center" wrapText="1"/>
    </xf>
    <xf numFmtId="0" fontId="11" fillId="15" borderId="30" xfId="0" applyFont="1" applyFill="1" applyBorder="1" applyAlignment="1">
      <alignment horizontal="center" vertical="center" wrapText="1"/>
    </xf>
    <xf numFmtId="0" fontId="0" fillId="19" borderId="30" xfId="0" applyFill="1" applyBorder="1" applyAlignment="1">
      <alignment horizontal="center"/>
    </xf>
    <xf numFmtId="0" fontId="0" fillId="19" borderId="8" xfId="0" applyFill="1" applyBorder="1" applyAlignment="1">
      <alignment horizontal="center"/>
    </xf>
    <xf numFmtId="0" fontId="0" fillId="19" borderId="3" xfId="0" applyFill="1" applyBorder="1" applyAlignment="1">
      <alignment horizontal="center"/>
    </xf>
    <xf numFmtId="0" fontId="0" fillId="19" borderId="0" xfId="0" applyFill="1" applyAlignment="1">
      <alignment horizontal="center"/>
    </xf>
    <xf numFmtId="0" fontId="0" fillId="19" borderId="24" xfId="0" applyFill="1" applyBorder="1" applyAlignment="1">
      <alignment horizontal="center"/>
    </xf>
    <xf numFmtId="0" fontId="0" fillId="19" borderId="9" xfId="0" applyFill="1" applyBorder="1" applyAlignment="1">
      <alignment horizontal="center"/>
    </xf>
    <xf numFmtId="0" fontId="0" fillId="19" borderId="1" xfId="0" applyFill="1" applyBorder="1" applyAlignment="1">
      <alignment horizontal="center"/>
    </xf>
    <xf numFmtId="0" fontId="0" fillId="19" borderId="11" xfId="0" applyFill="1" applyBorder="1" applyAlignment="1">
      <alignment horizontal="center"/>
    </xf>
    <xf numFmtId="0" fontId="11" fillId="16" borderId="216" xfId="0" applyFont="1" applyFill="1" applyBorder="1" applyAlignment="1" applyProtection="1">
      <alignment horizontal="center"/>
      <protection locked="0"/>
    </xf>
    <xf numFmtId="0" fontId="11" fillId="16" borderId="84" xfId="0" applyFont="1" applyFill="1" applyBorder="1" applyAlignment="1" applyProtection="1">
      <alignment horizontal="center"/>
      <protection locked="0"/>
    </xf>
    <xf numFmtId="0" fontId="11" fillId="16" borderId="31" xfId="0" applyFont="1" applyFill="1" applyBorder="1" applyAlignment="1" applyProtection="1">
      <alignment horizontal="center"/>
      <protection locked="0"/>
    </xf>
    <xf numFmtId="0" fontId="11" fillId="16" borderId="73" xfId="0" applyFont="1" applyFill="1" applyBorder="1" applyAlignment="1" applyProtection="1">
      <alignment horizontal="center"/>
      <protection locked="0"/>
    </xf>
    <xf numFmtId="37" fontId="20" fillId="26" borderId="25" xfId="0" applyNumberFormat="1" applyFont="1" applyFill="1" applyBorder="1" applyAlignment="1">
      <alignment horizontal="right"/>
    </xf>
    <xf numFmtId="0" fontId="47" fillId="15" borderId="30" xfId="0" quotePrefix="1" applyFont="1" applyFill="1" applyBorder="1" applyAlignment="1">
      <alignment horizontal="center" vertical="center" wrapText="1"/>
    </xf>
    <xf numFmtId="0" fontId="47" fillId="15" borderId="8" xfId="0" quotePrefix="1" applyFont="1" applyFill="1" applyBorder="1" applyAlignment="1">
      <alignment horizontal="center" vertical="center" wrapText="1"/>
    </xf>
    <xf numFmtId="0" fontId="47" fillId="15" borderId="14" xfId="0" quotePrefix="1" applyFont="1" applyFill="1" applyBorder="1" applyAlignment="1">
      <alignment horizontal="center" vertical="center" wrapText="1"/>
    </xf>
    <xf numFmtId="0" fontId="47" fillId="15" borderId="3" xfId="0" quotePrefix="1" applyFont="1" applyFill="1" applyBorder="1" applyAlignment="1">
      <alignment horizontal="center" vertical="center" wrapText="1"/>
    </xf>
    <xf numFmtId="0" fontId="47" fillId="15" borderId="0" xfId="0" quotePrefix="1" applyFont="1" applyFill="1" applyAlignment="1">
      <alignment horizontal="center" vertical="center" wrapText="1"/>
    </xf>
    <xf numFmtId="0" fontId="47" fillId="15" borderId="24" xfId="0" quotePrefix="1" applyFont="1" applyFill="1" applyBorder="1" applyAlignment="1">
      <alignment horizontal="center" vertical="center" wrapText="1"/>
    </xf>
    <xf numFmtId="0" fontId="47" fillId="15" borderId="9" xfId="0" quotePrefix="1" applyFont="1" applyFill="1" applyBorder="1" applyAlignment="1">
      <alignment horizontal="center" vertical="center" wrapText="1"/>
    </xf>
    <xf numFmtId="0" fontId="47" fillId="15" borderId="1" xfId="0" quotePrefix="1" applyFont="1" applyFill="1" applyBorder="1" applyAlignment="1">
      <alignment horizontal="center" vertical="center" wrapText="1"/>
    </xf>
    <xf numFmtId="0" fontId="47" fillId="15" borderId="11" xfId="0" quotePrefix="1" applyFont="1" applyFill="1" applyBorder="1" applyAlignment="1">
      <alignment horizontal="center" vertical="center" wrapText="1"/>
    </xf>
    <xf numFmtId="0" fontId="11" fillId="15" borderId="14" xfId="0" quotePrefix="1" applyFont="1" applyFill="1" applyBorder="1" applyAlignment="1">
      <alignment horizontal="center" vertical="center" wrapText="1"/>
    </xf>
    <xf numFmtId="0" fontId="11" fillId="15" borderId="24" xfId="0" quotePrefix="1" applyFont="1" applyFill="1" applyBorder="1" applyAlignment="1">
      <alignment horizontal="center" vertical="center" wrapText="1"/>
    </xf>
    <xf numFmtId="0" fontId="11" fillId="15" borderId="11" xfId="0" quotePrefix="1" applyFont="1" applyFill="1" applyBorder="1" applyAlignment="1">
      <alignment horizontal="center" vertical="center" wrapText="1"/>
    </xf>
    <xf numFmtId="39" fontId="11" fillId="15" borderId="56" xfId="0" quotePrefix="1" applyNumberFormat="1" applyFont="1" applyFill="1" applyBorder="1" applyAlignment="1">
      <alignment horizontal="center"/>
    </xf>
    <xf numFmtId="0" fontId="11" fillId="15" borderId="7" xfId="0" quotePrefix="1" applyFont="1" applyFill="1" applyBorder="1" applyAlignment="1">
      <alignment horizontal="center"/>
    </xf>
    <xf numFmtId="0" fontId="11" fillId="15" borderId="36" xfId="0" quotePrefix="1" applyFont="1" applyFill="1" applyBorder="1" applyAlignment="1">
      <alignment horizontal="center"/>
    </xf>
    <xf numFmtId="0" fontId="11" fillId="15" borderId="30" xfId="0" quotePrefix="1" applyFont="1" applyFill="1" applyBorder="1" applyAlignment="1">
      <alignment horizontal="center" wrapText="1"/>
    </xf>
    <xf numFmtId="0" fontId="11" fillId="15" borderId="8" xfId="0" quotePrefix="1" applyFont="1" applyFill="1" applyBorder="1" applyAlignment="1">
      <alignment horizontal="center" wrapText="1"/>
    </xf>
    <xf numFmtId="0" fontId="11" fillId="15" borderId="14" xfId="0" quotePrefix="1" applyFont="1" applyFill="1" applyBorder="1" applyAlignment="1">
      <alignment horizontal="center" wrapText="1"/>
    </xf>
    <xf numFmtId="0" fontId="11" fillId="15" borderId="9" xfId="0" quotePrefix="1" applyFont="1" applyFill="1" applyBorder="1" applyAlignment="1">
      <alignment horizontal="center" wrapText="1"/>
    </xf>
    <xf numFmtId="0" fontId="11" fillId="15" borderId="1" xfId="0" quotePrefix="1" applyFont="1" applyFill="1" applyBorder="1" applyAlignment="1">
      <alignment horizontal="center" wrapText="1"/>
    </xf>
    <xf numFmtId="0" fontId="11" fillId="15" borderId="11" xfId="0" quotePrefix="1" applyFont="1" applyFill="1" applyBorder="1" applyAlignment="1">
      <alignment horizontal="center" wrapText="1"/>
    </xf>
    <xf numFmtId="0" fontId="44" fillId="28" borderId="1" xfId="0" quotePrefix="1" applyFont="1" applyFill="1" applyBorder="1" applyAlignment="1">
      <alignment horizontal="left" vertical="center" indent="1"/>
    </xf>
    <xf numFmtId="0" fontId="44" fillId="28" borderId="11" xfId="0" quotePrefix="1" applyFont="1" applyFill="1" applyBorder="1" applyAlignment="1">
      <alignment horizontal="left" vertical="center" indent="1"/>
    </xf>
    <xf numFmtId="37" fontId="20" fillId="16" borderId="9" xfId="0" applyNumberFormat="1" applyFont="1" applyFill="1" applyBorder="1" applyAlignment="1" applyProtection="1">
      <alignment horizontal="right" wrapText="1" indent="1"/>
      <protection locked="0"/>
    </xf>
    <xf numFmtId="37" fontId="20" fillId="16" borderId="1" xfId="0" applyNumberFormat="1" applyFont="1" applyFill="1" applyBorder="1" applyAlignment="1" applyProtection="1">
      <alignment horizontal="right" wrapText="1" indent="1"/>
      <protection locked="0"/>
    </xf>
    <xf numFmtId="37" fontId="20" fillId="16" borderId="11" xfId="0" applyNumberFormat="1" applyFont="1" applyFill="1" applyBorder="1" applyAlignment="1" applyProtection="1">
      <alignment horizontal="right" wrapText="1" indent="1"/>
      <protection locked="0"/>
    </xf>
    <xf numFmtId="37" fontId="11" fillId="16" borderId="30" xfId="0" quotePrefix="1" applyNumberFormat="1" applyFont="1" applyFill="1" applyBorder="1" applyAlignment="1" applyProtection="1">
      <alignment horizontal="right" indent="1"/>
      <protection locked="0"/>
    </xf>
    <xf numFmtId="37" fontId="11" fillId="16" borderId="8" xfId="0" quotePrefix="1" applyNumberFormat="1" applyFont="1" applyFill="1" applyBorder="1" applyAlignment="1" applyProtection="1">
      <alignment horizontal="right" indent="1"/>
      <protection locked="0"/>
    </xf>
    <xf numFmtId="37" fontId="11" fillId="16" borderId="14" xfId="0" quotePrefix="1" applyNumberFormat="1" applyFont="1" applyFill="1" applyBorder="1" applyAlignment="1" applyProtection="1">
      <alignment horizontal="right" indent="1"/>
      <protection locked="0"/>
    </xf>
    <xf numFmtId="0" fontId="85" fillId="15" borderId="206" xfId="0" applyFont="1" applyFill="1" applyBorder="1" applyAlignment="1">
      <alignment horizontal="center" wrapText="1"/>
    </xf>
    <xf numFmtId="0" fontId="0" fillId="0" borderId="206" xfId="0" applyBorder="1" applyAlignment="1">
      <alignment horizontal="center"/>
    </xf>
    <xf numFmtId="0" fontId="267" fillId="15" borderId="8" xfId="0" applyFont="1" applyFill="1" applyBorder="1" applyAlignment="1">
      <alignment horizontal="center" vertical="center"/>
    </xf>
    <xf numFmtId="0" fontId="268" fillId="0" borderId="8" xfId="0" applyFont="1" applyBorder="1" applyAlignment="1">
      <alignment horizontal="center" vertical="center"/>
    </xf>
    <xf numFmtId="0" fontId="268" fillId="0" borderId="0" xfId="0" applyFont="1" applyAlignment="1">
      <alignment horizontal="center" vertical="center"/>
    </xf>
    <xf numFmtId="0" fontId="85" fillId="15" borderId="4" xfId="0" applyFont="1" applyFill="1" applyBorder="1" applyAlignment="1">
      <alignment horizontal="center" vertical="center"/>
    </xf>
    <xf numFmtId="0" fontId="15" fillId="15" borderId="208" xfId="0" applyFont="1" applyFill="1" applyBorder="1" applyAlignment="1">
      <alignment horizontal="center" vertical="top"/>
    </xf>
    <xf numFmtId="0" fontId="15" fillId="0" borderId="208" xfId="0" applyFont="1" applyBorder="1" applyAlignment="1">
      <alignment horizontal="center" vertical="top"/>
    </xf>
    <xf numFmtId="0" fontId="6" fillId="15" borderId="4" xfId="0" applyFont="1" applyFill="1" applyBorder="1" applyAlignment="1">
      <alignment horizontal="center" vertical="top"/>
    </xf>
    <xf numFmtId="0" fontId="0" fillId="0" borderId="4" xfId="0" applyBorder="1" applyAlignment="1">
      <alignment horizontal="center" vertical="top"/>
    </xf>
    <xf numFmtId="37" fontId="20" fillId="28" borderId="31" xfId="0" applyNumberFormat="1" applyFont="1" applyFill="1" applyBorder="1" applyAlignment="1">
      <alignment horizontal="right"/>
    </xf>
    <xf numFmtId="37" fontId="20" fillId="0" borderId="31" xfId="0" applyNumberFormat="1" applyFont="1" applyBorder="1" applyAlignment="1">
      <alignment horizontal="right"/>
    </xf>
    <xf numFmtId="37" fontId="20" fillId="28" borderId="1" xfId="0" applyNumberFormat="1" applyFont="1" applyFill="1" applyBorder="1" applyAlignment="1">
      <alignment horizontal="right"/>
    </xf>
    <xf numFmtId="37" fontId="20" fillId="0" borderId="1" xfId="0" applyNumberFormat="1" applyFont="1" applyBorder="1" applyAlignment="1">
      <alignment horizontal="right"/>
    </xf>
    <xf numFmtId="0" fontId="20" fillId="15" borderId="8" xfId="0" applyFont="1" applyFill="1" applyBorder="1" applyAlignment="1">
      <alignment horizontal="left" vertical="center"/>
    </xf>
    <xf numFmtId="37" fontId="15" fillId="14" borderId="0" xfId="0" applyNumberFormat="1" applyFont="1" applyFill="1" applyAlignment="1" applyProtection="1">
      <alignment horizontal="right"/>
      <protection locked="0"/>
    </xf>
    <xf numFmtId="37" fontId="15" fillId="15" borderId="0" xfId="0" applyNumberFormat="1" applyFont="1" applyFill="1" applyAlignment="1" applyProtection="1">
      <alignment horizontal="right"/>
      <protection locked="0"/>
    </xf>
    <xf numFmtId="0" fontId="267" fillId="15" borderId="0" xfId="0" quotePrefix="1" applyFont="1" applyFill="1" applyAlignment="1">
      <alignment horizontal="left" vertical="center"/>
    </xf>
    <xf numFmtId="0" fontId="267" fillId="15" borderId="75" xfId="0" quotePrefix="1" applyFont="1" applyFill="1" applyBorder="1" applyAlignment="1">
      <alignment horizontal="left" vertical="center"/>
    </xf>
    <xf numFmtId="0" fontId="15" fillId="15" borderId="100" xfId="0" applyFont="1" applyFill="1" applyBorder="1" applyAlignment="1">
      <alignment horizontal="center" vertical="center"/>
    </xf>
    <xf numFmtId="0" fontId="15" fillId="15" borderId="75" xfId="0" applyFont="1" applyFill="1" applyBorder="1" applyAlignment="1">
      <alignment horizontal="center" vertical="center"/>
    </xf>
    <xf numFmtId="37" fontId="20" fillId="26" borderId="9" xfId="0" applyNumberFormat="1" applyFont="1" applyFill="1" applyBorder="1" applyAlignment="1">
      <alignment horizontal="right"/>
    </xf>
    <xf numFmtId="37" fontId="20" fillId="26" borderId="1" xfId="0" applyNumberFormat="1" applyFont="1" applyFill="1" applyBorder="1" applyAlignment="1">
      <alignment horizontal="right"/>
    </xf>
    <xf numFmtId="37" fontId="20" fillId="26" borderId="11" xfId="0" applyNumberFormat="1" applyFont="1" applyFill="1" applyBorder="1" applyAlignment="1">
      <alignment horizontal="right"/>
    </xf>
    <xf numFmtId="0" fontId="223" fillId="31" borderId="0" xfId="0" applyFont="1" applyFill="1" applyAlignment="1">
      <alignment horizontal="center" vertical="center"/>
    </xf>
    <xf numFmtId="0" fontId="74" fillId="15" borderId="8" xfId="0" applyFont="1" applyFill="1" applyBorder="1" applyAlignment="1">
      <alignment horizontal="center" vertical="center"/>
    </xf>
    <xf numFmtId="0" fontId="74" fillId="15" borderId="14" xfId="0" applyFont="1" applyFill="1" applyBorder="1" applyAlignment="1">
      <alignment horizontal="center" vertical="center"/>
    </xf>
    <xf numFmtId="0" fontId="74" fillId="15" borderId="0" xfId="0" applyFont="1" applyFill="1" applyAlignment="1">
      <alignment horizontal="center" vertical="center"/>
    </xf>
    <xf numFmtId="0" fontId="74" fillId="15" borderId="24" xfId="0" applyFont="1" applyFill="1" applyBorder="1" applyAlignment="1">
      <alignment horizontal="center" vertical="center"/>
    </xf>
    <xf numFmtId="0" fontId="74" fillId="15" borderId="1" xfId="0" applyFont="1" applyFill="1" applyBorder="1" applyAlignment="1">
      <alignment horizontal="center" vertical="center"/>
    </xf>
    <xf numFmtId="0" fontId="74" fillId="15" borderId="11" xfId="0" applyFont="1" applyFill="1" applyBorder="1" applyAlignment="1">
      <alignment horizontal="center" vertical="center"/>
    </xf>
    <xf numFmtId="0" fontId="11" fillId="15" borderId="8" xfId="0" quotePrefix="1" applyFont="1" applyFill="1" applyBorder="1" applyAlignment="1">
      <alignment horizontal="center" vertical="center"/>
    </xf>
    <xf numFmtId="0" fontId="11" fillId="15" borderId="0" xfId="0" quotePrefix="1" applyFont="1" applyFill="1" applyAlignment="1">
      <alignment horizontal="center" vertical="center"/>
    </xf>
    <xf numFmtId="0" fontId="11" fillId="15" borderId="1" xfId="0" quotePrefix="1" applyFont="1" applyFill="1" applyBorder="1" applyAlignment="1">
      <alignment horizontal="center" vertical="center"/>
    </xf>
    <xf numFmtId="39" fontId="11" fillId="15" borderId="69" xfId="0" quotePrefix="1" applyNumberFormat="1" applyFont="1" applyFill="1" applyBorder="1" applyAlignment="1">
      <alignment horizontal="center"/>
    </xf>
    <xf numFmtId="39" fontId="11" fillId="15" borderId="4" xfId="0" quotePrefix="1" applyNumberFormat="1" applyFont="1" applyFill="1" applyBorder="1" applyAlignment="1">
      <alignment horizontal="center"/>
    </xf>
    <xf numFmtId="39" fontId="11" fillId="15" borderId="70" xfId="0" quotePrefix="1" applyNumberFormat="1" applyFont="1" applyFill="1" applyBorder="1" applyAlignment="1">
      <alignment horizontal="center"/>
    </xf>
    <xf numFmtId="0" fontId="11" fillId="15" borderId="30" xfId="0" quotePrefix="1" applyFont="1" applyFill="1" applyBorder="1" applyAlignment="1">
      <alignment horizontal="center" vertical="center"/>
    </xf>
    <xf numFmtId="0" fontId="11" fillId="15" borderId="14" xfId="0" quotePrefix="1" applyFont="1" applyFill="1" applyBorder="1" applyAlignment="1">
      <alignment horizontal="center" vertical="center"/>
    </xf>
    <xf numFmtId="0" fontId="11" fillId="15" borderId="9" xfId="0" quotePrefix="1" applyFont="1" applyFill="1" applyBorder="1" applyAlignment="1">
      <alignment horizontal="center" vertical="center"/>
    </xf>
    <xf numFmtId="0" fontId="11" fillId="15" borderId="11" xfId="0" quotePrefix="1" applyFont="1" applyFill="1" applyBorder="1" applyAlignment="1">
      <alignment horizontal="center" vertical="center"/>
    </xf>
    <xf numFmtId="166" fontId="44" fillId="20" borderId="9" xfId="0" quotePrefix="1" applyNumberFormat="1" applyFont="1" applyFill="1" applyBorder="1" applyAlignment="1" applyProtection="1">
      <alignment horizontal="center" vertical="center"/>
      <protection locked="0"/>
    </xf>
    <xf numFmtId="166" fontId="44" fillId="20" borderId="1" xfId="0" quotePrefix="1" applyNumberFormat="1" applyFont="1" applyFill="1" applyBorder="1" applyAlignment="1" applyProtection="1">
      <alignment horizontal="center" vertical="center"/>
      <protection locked="0"/>
    </xf>
    <xf numFmtId="37" fontId="20" fillId="26" borderId="52" xfId="0" applyNumberFormat="1" applyFont="1" applyFill="1" applyBorder="1" applyAlignment="1">
      <alignment horizontal="right"/>
    </xf>
    <xf numFmtId="37" fontId="20" fillId="26" borderId="31" xfId="0" applyNumberFormat="1" applyFont="1" applyFill="1" applyBorder="1" applyAlignment="1">
      <alignment horizontal="right"/>
    </xf>
    <xf numFmtId="37" fontId="20" fillId="26" borderId="73" xfId="0" applyNumberFormat="1" applyFont="1" applyFill="1" applyBorder="1" applyAlignment="1">
      <alignment horizontal="right"/>
    </xf>
    <xf numFmtId="37" fontId="20" fillId="26" borderId="69" xfId="0" applyNumberFormat="1" applyFont="1" applyFill="1" applyBorder="1" applyAlignment="1">
      <alignment horizontal="right"/>
    </xf>
    <xf numFmtId="37" fontId="20" fillId="26" borderId="4" xfId="0" applyNumberFormat="1" applyFont="1" applyFill="1" applyBorder="1" applyAlignment="1">
      <alignment horizontal="right"/>
    </xf>
    <xf numFmtId="0" fontId="0" fillId="19" borderId="56" xfId="0" applyFill="1" applyBorder="1" applyAlignment="1">
      <alignment horizontal="center"/>
    </xf>
    <xf numFmtId="0" fontId="0" fillId="19" borderId="7" xfId="0" applyFill="1" applyBorder="1" applyAlignment="1">
      <alignment horizontal="center"/>
    </xf>
    <xf numFmtId="0" fontId="0" fillId="19" borderId="36" xfId="0" applyFill="1" applyBorder="1" applyAlignment="1">
      <alignment horizontal="center"/>
    </xf>
    <xf numFmtId="0" fontId="0" fillId="19" borderId="69" xfId="0" applyFill="1" applyBorder="1" applyAlignment="1">
      <alignment horizontal="center"/>
    </xf>
    <xf numFmtId="0" fontId="0" fillId="19" borderId="4" xfId="0" applyFill="1" applyBorder="1" applyAlignment="1">
      <alignment horizontal="center"/>
    </xf>
    <xf numFmtId="0" fontId="0" fillId="19" borderId="70" xfId="0" applyFill="1" applyBorder="1" applyAlignment="1">
      <alignment horizontal="center"/>
    </xf>
    <xf numFmtId="0" fontId="110" fillId="15" borderId="3" xfId="0" applyFont="1" applyFill="1" applyBorder="1" applyAlignment="1">
      <alignment horizontal="right"/>
    </xf>
    <xf numFmtId="0" fontId="110" fillId="15" borderId="0" xfId="0" applyFont="1" applyFill="1" applyAlignment="1">
      <alignment horizontal="right"/>
    </xf>
    <xf numFmtId="0" fontId="6" fillId="15" borderId="0" xfId="0" applyFont="1" applyFill="1" applyAlignment="1">
      <alignment horizontal="center" textRotation="90"/>
    </xf>
    <xf numFmtId="0" fontId="265" fillId="15" borderId="0" xfId="0" applyFont="1" applyFill="1" applyAlignment="1">
      <alignment horizontal="center"/>
    </xf>
    <xf numFmtId="37" fontId="123" fillId="15" borderId="56" xfId="0" quotePrefix="1" applyNumberFormat="1" applyFont="1" applyFill="1" applyBorder="1" applyAlignment="1">
      <alignment horizontal="right" indent="1"/>
    </xf>
    <xf numFmtId="0" fontId="123" fillId="15" borderId="7" xfId="0" quotePrefix="1" applyFont="1" applyFill="1" applyBorder="1" applyAlignment="1">
      <alignment horizontal="right" indent="1"/>
    </xf>
    <xf numFmtId="0" fontId="123" fillId="15" borderId="36" xfId="0" quotePrefix="1" applyFont="1" applyFill="1" applyBorder="1" applyAlignment="1">
      <alignment horizontal="right" indent="1"/>
    </xf>
    <xf numFmtId="37" fontId="123" fillId="15" borderId="56" xfId="0" quotePrefix="1" applyNumberFormat="1" applyFont="1" applyFill="1" applyBorder="1" applyAlignment="1">
      <alignment horizontal="right"/>
    </xf>
    <xf numFmtId="37" fontId="123" fillId="15" borderId="7" xfId="0" quotePrefix="1" applyNumberFormat="1" applyFont="1" applyFill="1" applyBorder="1" applyAlignment="1">
      <alignment horizontal="right"/>
    </xf>
    <xf numFmtId="37" fontId="123" fillId="15" borderId="36" xfId="0" quotePrefix="1" applyNumberFormat="1" applyFont="1" applyFill="1" applyBorder="1" applyAlignment="1">
      <alignment horizontal="right"/>
    </xf>
    <xf numFmtId="0" fontId="20" fillId="2" borderId="7" xfId="0" applyFont="1" applyFill="1" applyBorder="1" applyAlignment="1">
      <alignment horizontal="left" vertical="top"/>
    </xf>
    <xf numFmtId="0" fontId="303" fillId="15" borderId="0" xfId="0" applyFont="1" applyFill="1" applyAlignment="1">
      <alignment horizontal="left" vertical="center" wrapText="1"/>
    </xf>
    <xf numFmtId="39" fontId="11" fillId="15" borderId="7" xfId="0" quotePrefix="1" applyNumberFormat="1" applyFont="1" applyFill="1" applyBorder="1" applyAlignment="1">
      <alignment horizontal="center"/>
    </xf>
    <xf numFmtId="39" fontId="11" fillId="15" borderId="36" xfId="0" quotePrefix="1" applyNumberFormat="1" applyFont="1" applyFill="1" applyBorder="1" applyAlignment="1">
      <alignment horizontal="center"/>
    </xf>
    <xf numFmtId="0" fontId="303" fillId="15" borderId="0" xfId="0" applyFont="1" applyFill="1" applyAlignment="1">
      <alignment vertical="center" wrapText="1"/>
    </xf>
    <xf numFmtId="0" fontId="304" fillId="15" borderId="0" xfId="0" applyFont="1" applyFill="1" applyAlignment="1">
      <alignment horizontal="left" vertical="center" wrapText="1"/>
    </xf>
    <xf numFmtId="1" fontId="0" fillId="24" borderId="0" xfId="0" applyNumberFormat="1" applyFill="1" applyAlignment="1">
      <alignment horizontal="left" indent="2"/>
    </xf>
    <xf numFmtId="1" fontId="6" fillId="24" borderId="0" xfId="0" applyNumberFormat="1" applyFont="1" applyFill="1" applyAlignment="1">
      <alignment horizontal="left"/>
    </xf>
    <xf numFmtId="1" fontId="6" fillId="24" borderId="1" xfId="0" applyNumberFormat="1" applyFont="1" applyFill="1" applyBorder="1" applyAlignment="1">
      <alignment horizontal="left"/>
    </xf>
    <xf numFmtId="39" fontId="6" fillId="15" borderId="30" xfId="0" applyNumberFormat="1" applyFont="1" applyFill="1" applyBorder="1" applyAlignment="1" applyProtection="1">
      <alignment horizontal="left" wrapText="1"/>
      <protection locked="0"/>
    </xf>
    <xf numFmtId="39" fontId="0" fillId="15" borderId="8" xfId="0" applyNumberFormat="1" applyFill="1" applyBorder="1" applyAlignment="1" applyProtection="1">
      <alignment horizontal="left" wrapText="1"/>
      <protection locked="0"/>
    </xf>
    <xf numFmtId="39" fontId="0" fillId="15" borderId="14" xfId="0" applyNumberFormat="1" applyFill="1" applyBorder="1" applyAlignment="1" applyProtection="1">
      <alignment horizontal="left" wrapText="1"/>
      <protection locked="0"/>
    </xf>
    <xf numFmtId="39" fontId="0" fillId="15" borderId="3" xfId="0" applyNumberFormat="1" applyFill="1" applyBorder="1" applyAlignment="1" applyProtection="1">
      <alignment horizontal="left" wrapText="1"/>
      <protection locked="0"/>
    </xf>
    <xf numFmtId="39" fontId="0" fillId="15" borderId="0" xfId="0" applyNumberFormat="1" applyFill="1" applyAlignment="1" applyProtection="1">
      <alignment horizontal="left" wrapText="1"/>
      <protection locked="0"/>
    </xf>
    <xf numFmtId="39" fontId="0" fillId="15" borderId="24" xfId="0" applyNumberFormat="1" applyFill="1" applyBorder="1" applyAlignment="1" applyProtection="1">
      <alignment horizontal="left" wrapText="1"/>
      <protection locked="0"/>
    </xf>
    <xf numFmtId="39" fontId="0" fillId="15" borderId="9" xfId="0" applyNumberFormat="1" applyFill="1" applyBorder="1" applyAlignment="1" applyProtection="1">
      <alignment horizontal="left" wrapText="1"/>
      <protection locked="0"/>
    </xf>
    <xf numFmtId="39" fontId="0" fillId="15" borderId="1" xfId="0" applyNumberFormat="1" applyFill="1" applyBorder="1" applyAlignment="1" applyProtection="1">
      <alignment horizontal="left" wrapText="1"/>
      <protection locked="0"/>
    </xf>
    <xf numFmtId="39" fontId="0" fillId="15" borderId="11" xfId="0" applyNumberFormat="1" applyFill="1" applyBorder="1" applyAlignment="1" applyProtection="1">
      <alignment horizontal="left" wrapText="1"/>
      <protection locked="0"/>
    </xf>
    <xf numFmtId="0" fontId="143" fillId="15" borderId="0" xfId="0" applyFont="1" applyFill="1" applyAlignment="1">
      <alignment horizontal="center" vertical="center"/>
    </xf>
    <xf numFmtId="2" fontId="110" fillId="15" borderId="30" xfId="0" applyNumberFormat="1" applyFont="1" applyFill="1" applyBorder="1" applyAlignment="1">
      <alignment horizontal="center"/>
    </xf>
    <xf numFmtId="2" fontId="110" fillId="15" borderId="8" xfId="0" applyNumberFormat="1" applyFont="1" applyFill="1" applyBorder="1" applyAlignment="1">
      <alignment horizontal="center"/>
    </xf>
    <xf numFmtId="37" fontId="15" fillId="28" borderId="1" xfId="0" applyNumberFormat="1" applyFont="1" applyFill="1" applyBorder="1" applyAlignment="1">
      <alignment horizontal="right"/>
    </xf>
    <xf numFmtId="37" fontId="15" fillId="0" borderId="1" xfId="0" applyNumberFormat="1" applyFont="1" applyBorder="1" applyAlignment="1">
      <alignment horizontal="right"/>
    </xf>
    <xf numFmtId="0" fontId="4" fillId="15" borderId="206" xfId="0" applyFont="1" applyFill="1" applyBorder="1" applyAlignment="1">
      <alignment horizontal="center" vertical="center"/>
    </xf>
    <xf numFmtId="0" fontId="123" fillId="31" borderId="16" xfId="0" applyFont="1" applyFill="1" applyBorder="1" applyAlignment="1">
      <alignment horizontal="center" vertical="center"/>
    </xf>
    <xf numFmtId="37" fontId="15" fillId="26" borderId="9" xfId="0" applyNumberFormat="1" applyFont="1" applyFill="1" applyBorder="1" applyAlignment="1">
      <alignment horizontal="right"/>
    </xf>
    <xf numFmtId="37" fontId="15" fillId="26" borderId="1" xfId="0" applyNumberFormat="1" applyFont="1" applyFill="1" applyBorder="1" applyAlignment="1">
      <alignment horizontal="right"/>
    </xf>
    <xf numFmtId="37" fontId="15" fillId="26" borderId="69" xfId="0" applyNumberFormat="1" applyFont="1" applyFill="1" applyBorder="1" applyAlignment="1">
      <alignment horizontal="right"/>
    </xf>
    <xf numFmtId="37" fontId="15" fillId="26" borderId="4" xfId="0" applyNumberFormat="1" applyFont="1" applyFill="1" applyBorder="1" applyAlignment="1">
      <alignment horizontal="right"/>
    </xf>
    <xf numFmtId="37" fontId="15" fillId="20" borderId="9" xfId="0" applyNumberFormat="1" applyFont="1" applyFill="1" applyBorder="1" applyAlignment="1" applyProtection="1">
      <alignment horizontal="right"/>
      <protection locked="0"/>
    </xf>
    <xf numFmtId="37" fontId="15" fillId="20" borderId="1" xfId="0" applyNumberFormat="1" applyFont="1" applyFill="1" applyBorder="1" applyAlignment="1" applyProtection="1">
      <alignment horizontal="right"/>
      <protection locked="0"/>
    </xf>
    <xf numFmtId="37" fontId="110" fillId="15" borderId="30" xfId="0" applyNumberFormat="1" applyFont="1" applyFill="1" applyBorder="1" applyAlignment="1">
      <alignment horizontal="center"/>
    </xf>
    <xf numFmtId="37" fontId="110" fillId="15" borderId="8" xfId="0" applyNumberFormat="1" applyFont="1" applyFill="1" applyBorder="1" applyAlignment="1">
      <alignment horizontal="center"/>
    </xf>
    <xf numFmtId="37" fontId="15" fillId="26" borderId="39" xfId="0" applyNumberFormat="1" applyFont="1" applyFill="1" applyBorder="1" applyAlignment="1">
      <alignment horizontal="right"/>
    </xf>
    <xf numFmtId="37" fontId="15" fillId="26" borderId="25" xfId="0" applyNumberFormat="1" applyFont="1" applyFill="1" applyBorder="1" applyAlignment="1">
      <alignment horizontal="right"/>
    </xf>
    <xf numFmtId="0" fontId="20" fillId="16" borderId="9" xfId="0" applyFont="1" applyFill="1" applyBorder="1" applyAlignment="1" applyProtection="1">
      <alignment horizontal="left" vertical="center" indent="1"/>
      <protection locked="0"/>
    </xf>
    <xf numFmtId="0" fontId="20" fillId="16" borderId="1" xfId="0" applyFont="1" applyFill="1" applyBorder="1" applyAlignment="1" applyProtection="1">
      <alignment horizontal="left" vertical="center" indent="1"/>
      <protection locked="0"/>
    </xf>
    <xf numFmtId="0" fontId="20" fillId="16" borderId="11" xfId="0" applyFont="1" applyFill="1" applyBorder="1" applyAlignment="1" applyProtection="1">
      <alignment horizontal="left" vertical="center" indent="1"/>
      <protection locked="0"/>
    </xf>
    <xf numFmtId="0" fontId="20" fillId="28" borderId="1" xfId="0" quotePrefix="1" applyFont="1" applyFill="1" applyBorder="1" applyAlignment="1">
      <alignment horizontal="left" vertical="center" indent="1"/>
    </xf>
    <xf numFmtId="0" fontId="20" fillId="28" borderId="11" xfId="0" quotePrefix="1" applyFont="1" applyFill="1" applyBorder="1" applyAlignment="1">
      <alignment horizontal="left" vertical="center" indent="1"/>
    </xf>
    <xf numFmtId="166" fontId="20" fillId="28" borderId="9" xfId="0" quotePrefix="1" applyNumberFormat="1" applyFont="1" applyFill="1" applyBorder="1" applyAlignment="1">
      <alignment horizontal="left" vertical="center" indent="2"/>
    </xf>
    <xf numFmtId="166" fontId="20" fillId="28" borderId="1" xfId="0" quotePrefix="1" applyNumberFormat="1" applyFont="1" applyFill="1" applyBorder="1" applyAlignment="1">
      <alignment horizontal="left" vertical="center" indent="2"/>
    </xf>
    <xf numFmtId="0" fontId="6" fillId="15" borderId="30" xfId="0" applyFont="1" applyFill="1" applyBorder="1" applyAlignment="1">
      <alignment horizontal="left" vertical="center" indent="1"/>
    </xf>
    <xf numFmtId="0" fontId="6" fillId="15" borderId="8" xfId="0" applyFont="1" applyFill="1" applyBorder="1" applyAlignment="1">
      <alignment horizontal="left" vertical="center" indent="1"/>
    </xf>
    <xf numFmtId="0" fontId="267" fillId="15" borderId="0" xfId="0" quotePrefix="1" applyFont="1" applyFill="1"/>
    <xf numFmtId="0" fontId="268" fillId="0" borderId="0" xfId="0" applyFont="1"/>
    <xf numFmtId="0" fontId="147" fillId="15" borderId="8" xfId="0" applyFont="1" applyFill="1" applyBorder="1" applyAlignment="1">
      <alignment horizontal="center" vertical="center"/>
    </xf>
    <xf numFmtId="0" fontId="4" fillId="15" borderId="208" xfId="0" applyFont="1" applyFill="1" applyBorder="1" applyAlignment="1">
      <alignment horizontal="center" vertical="top"/>
    </xf>
    <xf numFmtId="0" fontId="4" fillId="0" borderId="208" xfId="0" applyFont="1" applyBorder="1" applyAlignment="1">
      <alignment horizontal="center" vertical="top"/>
    </xf>
    <xf numFmtId="0" fontId="20" fillId="15" borderId="8" xfId="0" applyFont="1" applyFill="1" applyBorder="1" applyAlignment="1">
      <alignment horizontal="left" vertical="center" wrapText="1"/>
    </xf>
    <xf numFmtId="0" fontId="20" fillId="15" borderId="14" xfId="0" applyFont="1" applyFill="1" applyBorder="1" applyAlignment="1">
      <alignment horizontal="left" vertical="center" wrapText="1"/>
    </xf>
    <xf numFmtId="0" fontId="20" fillId="15" borderId="24" xfId="0" applyFont="1" applyFill="1" applyBorder="1" applyAlignment="1">
      <alignment horizontal="left" vertical="center" wrapText="1"/>
    </xf>
    <xf numFmtId="0" fontId="20" fillId="15" borderId="1" xfId="0" applyFont="1" applyFill="1" applyBorder="1" applyAlignment="1">
      <alignment horizontal="left" vertical="center" wrapText="1"/>
    </xf>
    <xf numFmtId="0" fontId="20" fillId="15" borderId="11" xfId="0" applyFont="1" applyFill="1" applyBorder="1" applyAlignment="1">
      <alignment horizontal="left" vertical="center" wrapText="1"/>
    </xf>
    <xf numFmtId="0" fontId="6" fillId="15" borderId="30" xfId="0" applyFont="1" applyFill="1" applyBorder="1" applyAlignment="1">
      <alignment horizontal="left"/>
    </xf>
    <xf numFmtId="0" fontId="6" fillId="15" borderId="8" xfId="0" applyFont="1" applyFill="1" applyBorder="1" applyAlignment="1">
      <alignment horizontal="left"/>
    </xf>
    <xf numFmtId="0" fontId="6" fillId="15" borderId="14" xfId="0" applyFont="1" applyFill="1" applyBorder="1" applyAlignment="1">
      <alignment horizontal="left"/>
    </xf>
    <xf numFmtId="0" fontId="8" fillId="15" borderId="30" xfId="0" applyFont="1" applyFill="1" applyBorder="1" applyAlignment="1">
      <alignment horizontal="left"/>
    </xf>
    <xf numFmtId="0" fontId="8" fillId="15" borderId="8" xfId="0" applyFont="1" applyFill="1" applyBorder="1" applyAlignment="1">
      <alignment horizontal="left"/>
    </xf>
    <xf numFmtId="0" fontId="44" fillId="15" borderId="8" xfId="0" applyFont="1" applyFill="1" applyBorder="1" applyAlignment="1">
      <alignment horizontal="left" vertical="center" wrapText="1"/>
    </xf>
    <xf numFmtId="0" fontId="44" fillId="15" borderId="14" xfId="0" applyFont="1" applyFill="1" applyBorder="1" applyAlignment="1">
      <alignment horizontal="left" vertical="center" wrapText="1"/>
    </xf>
    <xf numFmtId="0" fontId="44" fillId="15" borderId="0" xfId="0" applyFont="1" applyFill="1" applyAlignment="1">
      <alignment horizontal="left" vertical="center" wrapText="1"/>
    </xf>
    <xf numFmtId="0" fontId="44" fillId="15" borderId="24" xfId="0" applyFont="1" applyFill="1" applyBorder="1" applyAlignment="1">
      <alignment horizontal="left" vertical="center" wrapText="1"/>
    </xf>
    <xf numFmtId="0" fontId="44" fillId="15" borderId="13" xfId="0" applyFont="1" applyFill="1" applyBorder="1" applyAlignment="1">
      <alignment horizontal="left" vertical="center" wrapText="1"/>
    </xf>
    <xf numFmtId="0" fontId="44" fillId="15" borderId="17" xfId="0" applyFont="1" applyFill="1" applyBorder="1" applyAlignment="1">
      <alignment horizontal="left" vertical="center" wrapText="1"/>
    </xf>
    <xf numFmtId="0" fontId="4" fillId="16" borderId="3" xfId="0" applyFont="1" applyFill="1" applyBorder="1" applyAlignment="1" applyProtection="1">
      <alignment horizontal="left" vertical="center" indent="1"/>
      <protection locked="0"/>
    </xf>
    <xf numFmtId="0" fontId="4" fillId="16" borderId="0" xfId="0" applyFont="1" applyFill="1" applyAlignment="1" applyProtection="1">
      <alignment horizontal="left" vertical="center" indent="1"/>
      <protection locked="0"/>
    </xf>
    <xf numFmtId="0" fontId="4" fillId="16" borderId="24" xfId="0" applyFont="1" applyFill="1" applyBorder="1" applyAlignment="1" applyProtection="1">
      <alignment horizontal="left" vertical="center" indent="1"/>
      <protection locked="0"/>
    </xf>
    <xf numFmtId="0" fontId="4" fillId="16" borderId="9" xfId="0" applyFont="1" applyFill="1" applyBorder="1" applyAlignment="1" applyProtection="1">
      <alignment horizontal="left" vertical="center" indent="1"/>
      <protection locked="0"/>
    </xf>
    <xf numFmtId="0" fontId="4" fillId="16" borderId="1" xfId="0" applyFont="1" applyFill="1" applyBorder="1" applyAlignment="1" applyProtection="1">
      <alignment horizontal="left" vertical="center" indent="1"/>
      <protection locked="0"/>
    </xf>
    <xf numFmtId="0" fontId="4" fillId="16" borderId="11" xfId="0" applyFont="1" applyFill="1" applyBorder="1" applyAlignment="1" applyProtection="1">
      <alignment horizontal="left" vertical="center" indent="1"/>
      <protection locked="0"/>
    </xf>
    <xf numFmtId="182" fontId="4" fillId="16" borderId="3" xfId="0" applyNumberFormat="1" applyFont="1" applyFill="1" applyBorder="1" applyAlignment="1" applyProtection="1">
      <alignment horizontal="center" vertical="center" wrapText="1"/>
      <protection locked="0"/>
    </xf>
    <xf numFmtId="182" fontId="4" fillId="16" borderId="0" xfId="0" applyNumberFormat="1" applyFont="1" applyFill="1" applyAlignment="1" applyProtection="1">
      <alignment horizontal="center" vertical="center" wrapText="1"/>
      <protection locked="0"/>
    </xf>
    <xf numFmtId="182" fontId="4" fillId="16" borderId="24" xfId="0" applyNumberFormat="1" applyFont="1" applyFill="1" applyBorder="1" applyAlignment="1" applyProtection="1">
      <alignment horizontal="center" vertical="center" wrapText="1"/>
      <protection locked="0"/>
    </xf>
    <xf numFmtId="182" fontId="4" fillId="16" borderId="9" xfId="0" applyNumberFormat="1" applyFont="1" applyFill="1" applyBorder="1" applyAlignment="1" applyProtection="1">
      <alignment horizontal="center" vertical="center" wrapText="1"/>
      <protection locked="0"/>
    </xf>
    <xf numFmtId="182" fontId="4" fillId="16" borderId="1" xfId="0" applyNumberFormat="1" applyFont="1" applyFill="1" applyBorder="1" applyAlignment="1" applyProtection="1">
      <alignment horizontal="center" vertical="center" wrapText="1"/>
      <protection locked="0"/>
    </xf>
    <xf numFmtId="182" fontId="4" fillId="16" borderId="11" xfId="0" applyNumberFormat="1" applyFont="1" applyFill="1" applyBorder="1" applyAlignment="1" applyProtection="1">
      <alignment horizontal="center" vertical="center" wrapText="1"/>
      <protection locked="0"/>
    </xf>
    <xf numFmtId="0" fontId="4" fillId="16" borderId="3" xfId="0" applyFont="1" applyFill="1" applyBorder="1" applyAlignment="1" applyProtection="1">
      <alignment horizontal="center" vertical="center"/>
      <protection locked="0"/>
    </xf>
    <xf numFmtId="0" fontId="4" fillId="16" borderId="0" xfId="0" applyFont="1" applyFill="1" applyAlignment="1" applyProtection="1">
      <alignment horizontal="center" vertical="center"/>
      <protection locked="0"/>
    </xf>
    <xf numFmtId="0" fontId="4" fillId="16" borderId="9" xfId="0" applyFont="1" applyFill="1" applyBorder="1" applyAlignment="1" applyProtection="1">
      <alignment horizontal="center" vertical="center"/>
      <protection locked="0"/>
    </xf>
    <xf numFmtId="0" fontId="4" fillId="16" borderId="1" xfId="0" applyFont="1" applyFill="1" applyBorder="1" applyAlignment="1" applyProtection="1">
      <alignment horizontal="center" vertical="center"/>
      <protection locked="0"/>
    </xf>
    <xf numFmtId="0" fontId="4" fillId="16" borderId="99" xfId="0" applyFont="1" applyFill="1" applyBorder="1" applyAlignment="1" applyProtection="1">
      <alignment horizontal="left" indent="1"/>
      <protection locked="0"/>
    </xf>
    <xf numFmtId="165" fontId="9" fillId="16" borderId="99" xfId="0" applyNumberFormat="1" applyFont="1" applyFill="1" applyBorder="1" applyAlignment="1" applyProtection="1">
      <alignment horizontal="center" vertical="center"/>
      <protection locked="0"/>
    </xf>
    <xf numFmtId="0" fontId="15" fillId="26" borderId="1" xfId="0" applyFont="1" applyFill="1" applyBorder="1" applyAlignment="1">
      <alignment horizontal="right"/>
    </xf>
    <xf numFmtId="0" fontId="15" fillId="26" borderId="4" xfId="0" applyFont="1" applyFill="1" applyBorder="1" applyAlignment="1">
      <alignment horizontal="right"/>
    </xf>
    <xf numFmtId="0" fontId="15" fillId="20" borderId="1" xfId="0" applyFont="1" applyFill="1" applyBorder="1" applyAlignment="1" applyProtection="1">
      <alignment horizontal="right"/>
      <protection locked="0"/>
    </xf>
    <xf numFmtId="0" fontId="15" fillId="26" borderId="25" xfId="0" applyFont="1" applyFill="1" applyBorder="1" applyAlignment="1">
      <alignment horizontal="right"/>
    </xf>
    <xf numFmtId="37" fontId="0" fillId="15" borderId="30" xfId="0" applyNumberFormat="1" applyFill="1" applyBorder="1" applyAlignment="1">
      <alignment horizontal="center"/>
    </xf>
    <xf numFmtId="37" fontId="0" fillId="15" borderId="8" xfId="0" applyNumberFormat="1" applyFill="1" applyBorder="1" applyAlignment="1">
      <alignment horizontal="center"/>
    </xf>
    <xf numFmtId="0" fontId="47" fillId="15" borderId="0" xfId="0" applyFont="1" applyFill="1" applyAlignment="1" applyProtection="1">
      <alignment horizontal="center" vertical="center"/>
      <protection locked="0"/>
    </xf>
    <xf numFmtId="0" fontId="47" fillId="15" borderId="1" xfId="0" applyFont="1" applyFill="1" applyBorder="1" applyAlignment="1" applyProtection="1">
      <alignment horizontal="center" vertical="center"/>
      <protection locked="0"/>
    </xf>
    <xf numFmtId="37" fontId="15" fillId="20" borderId="11" xfId="0" applyNumberFormat="1" applyFont="1" applyFill="1" applyBorder="1" applyAlignment="1" applyProtection="1">
      <alignment horizontal="right"/>
      <protection locked="0"/>
    </xf>
    <xf numFmtId="37" fontId="15" fillId="26" borderId="11" xfId="0" applyNumberFormat="1" applyFont="1" applyFill="1" applyBorder="1" applyAlignment="1">
      <alignment horizontal="right"/>
    </xf>
    <xf numFmtId="0" fontId="110" fillId="15" borderId="30" xfId="0" applyFont="1" applyFill="1" applyBorder="1" applyAlignment="1">
      <alignment horizontal="center"/>
    </xf>
    <xf numFmtId="0" fontId="110" fillId="15" borderId="14" xfId="0" applyFont="1" applyFill="1" applyBorder="1" applyAlignment="1">
      <alignment horizontal="center"/>
    </xf>
    <xf numFmtId="196" fontId="11" fillId="26" borderId="1" xfId="0" applyNumberFormat="1" applyFont="1" applyFill="1" applyBorder="1" applyAlignment="1">
      <alignment horizontal="center"/>
    </xf>
    <xf numFmtId="196" fontId="11" fillId="26" borderId="11" xfId="0" applyNumberFormat="1" applyFont="1" applyFill="1" applyBorder="1" applyAlignment="1">
      <alignment horizontal="center"/>
    </xf>
    <xf numFmtId="182" fontId="11" fillId="16" borderId="0" xfId="0" applyNumberFormat="1" applyFont="1" applyFill="1" applyAlignment="1" applyProtection="1">
      <alignment horizontal="center"/>
      <protection locked="0"/>
    </xf>
    <xf numFmtId="182" fontId="11" fillId="16" borderId="1" xfId="0" applyNumberFormat="1" applyFont="1" applyFill="1" applyBorder="1" applyAlignment="1" applyProtection="1">
      <alignment horizontal="center"/>
      <protection locked="0"/>
    </xf>
    <xf numFmtId="37" fontId="47" fillId="15" borderId="56" xfId="0" applyNumberFormat="1" applyFont="1" applyFill="1" applyBorder="1" applyAlignment="1">
      <alignment horizontal="right"/>
    </xf>
    <xf numFmtId="37" fontId="47" fillId="15" borderId="7" xfId="0" applyNumberFormat="1" applyFont="1" applyFill="1" applyBorder="1" applyAlignment="1">
      <alignment horizontal="right"/>
    </xf>
    <xf numFmtId="37" fontId="15" fillId="16" borderId="1" xfId="0" applyNumberFormat="1" applyFont="1" applyFill="1" applyBorder="1" applyAlignment="1" applyProtection="1">
      <alignment horizontal="right"/>
      <protection locked="0"/>
    </xf>
    <xf numFmtId="37" fontId="134" fillId="15" borderId="30" xfId="0" applyNumberFormat="1" applyFont="1" applyFill="1" applyBorder="1" applyAlignment="1">
      <alignment horizontal="right"/>
    </xf>
    <xf numFmtId="37" fontId="134" fillId="15" borderId="8" xfId="0" applyNumberFormat="1" applyFont="1" applyFill="1" applyBorder="1" applyAlignment="1">
      <alignment horizontal="right"/>
    </xf>
    <xf numFmtId="0" fontId="11" fillId="15" borderId="7" xfId="0" applyFont="1" applyFill="1" applyBorder="1" applyAlignment="1">
      <alignment horizontal="left" vertical="center" wrapText="1"/>
    </xf>
    <xf numFmtId="0" fontId="11" fillId="15" borderId="0" xfId="0" applyFont="1" applyFill="1" applyAlignment="1">
      <alignment horizontal="left" vertical="center" wrapText="1"/>
    </xf>
    <xf numFmtId="0" fontId="11" fillId="15" borderId="1" xfId="0" applyFont="1" applyFill="1" applyBorder="1" applyAlignment="1">
      <alignment horizontal="left" vertical="center" wrapText="1"/>
    </xf>
    <xf numFmtId="0" fontId="4" fillId="15" borderId="23" xfId="0" applyFont="1" applyFill="1" applyBorder="1" applyAlignment="1">
      <alignment horizontal="left" vertical="center" wrapText="1"/>
    </xf>
    <xf numFmtId="0" fontId="4" fillId="15" borderId="7" xfId="0" applyFont="1" applyFill="1" applyBorder="1" applyAlignment="1">
      <alignment horizontal="left" vertical="center" wrapText="1"/>
    </xf>
    <xf numFmtId="0" fontId="4" fillId="15" borderId="19" xfId="0" applyFont="1" applyFill="1" applyBorder="1" applyAlignment="1">
      <alignment horizontal="left" vertical="center" wrapText="1"/>
    </xf>
    <xf numFmtId="0" fontId="4" fillId="15" borderId="5" xfId="0" applyFont="1" applyFill="1" applyBorder="1" applyAlignment="1">
      <alignment horizontal="left" vertical="center" wrapText="1"/>
    </xf>
    <xf numFmtId="0" fontId="4" fillId="15" borderId="0" xfId="0" applyFont="1" applyFill="1" applyAlignment="1">
      <alignment horizontal="left" vertical="center" wrapText="1"/>
    </xf>
    <xf numFmtId="0" fontId="4" fillId="15" borderId="20" xfId="0" applyFont="1" applyFill="1" applyBorder="1" applyAlignment="1">
      <alignment horizontal="left" vertical="center" wrapText="1"/>
    </xf>
    <xf numFmtId="0" fontId="4" fillId="15" borderId="21" xfId="0" applyFont="1" applyFill="1" applyBorder="1" applyAlignment="1">
      <alignment horizontal="left" vertical="center" wrapText="1"/>
    </xf>
    <xf numFmtId="0" fontId="4" fillId="15" borderId="4" xfId="0" applyFont="1" applyFill="1" applyBorder="1" applyAlignment="1">
      <alignment horizontal="left" vertical="center" wrapText="1"/>
    </xf>
    <xf numFmtId="0" fontId="4" fillId="15" borderId="22" xfId="0" applyFont="1" applyFill="1" applyBorder="1" applyAlignment="1">
      <alignment horizontal="left" vertical="center" wrapText="1"/>
    </xf>
    <xf numFmtId="0" fontId="47" fillId="15" borderId="0" xfId="0" applyFont="1" applyFill="1" applyAlignment="1">
      <alignment horizontal="left" vertical="center" indent="1"/>
    </xf>
    <xf numFmtId="0" fontId="47" fillId="15" borderId="24" xfId="0" applyFont="1" applyFill="1" applyBorder="1" applyAlignment="1">
      <alignment horizontal="left" vertical="center" indent="1"/>
    </xf>
    <xf numFmtId="0" fontId="110" fillId="15" borderId="24" xfId="0" applyFont="1" applyFill="1" applyBorder="1" applyAlignment="1">
      <alignment horizontal="center"/>
    </xf>
    <xf numFmtId="187" fontId="110" fillId="15" borderId="3" xfId="0" applyNumberFormat="1" applyFont="1" applyFill="1" applyBorder="1" applyAlignment="1">
      <alignment horizontal="center"/>
    </xf>
    <xf numFmtId="187" fontId="110" fillId="15" borderId="0" xfId="0" applyNumberFormat="1" applyFont="1" applyFill="1" applyAlignment="1">
      <alignment horizontal="center"/>
    </xf>
    <xf numFmtId="0" fontId="11" fillId="15" borderId="34" xfId="0" applyFont="1" applyFill="1" applyBorder="1" applyAlignment="1">
      <alignment horizontal="left" vertical="center"/>
    </xf>
    <xf numFmtId="0" fontId="4" fillId="16" borderId="199" xfId="0" applyFont="1" applyFill="1" applyBorder="1" applyAlignment="1" applyProtection="1">
      <alignment horizontal="left" indent="1"/>
      <protection locked="0"/>
    </xf>
    <xf numFmtId="0" fontId="4" fillId="16" borderId="54" xfId="0" applyFont="1" applyFill="1" applyBorder="1" applyAlignment="1" applyProtection="1">
      <alignment horizontal="left" indent="1"/>
      <protection locked="0"/>
    </xf>
    <xf numFmtId="0" fontId="85" fillId="15" borderId="100" xfId="0" applyFont="1" applyFill="1" applyBorder="1" applyAlignment="1">
      <alignment horizontal="center" wrapText="1"/>
    </xf>
    <xf numFmtId="0" fontId="85" fillId="15" borderId="0" xfId="0" applyFont="1" applyFill="1" applyAlignment="1">
      <alignment horizontal="center" wrapText="1"/>
    </xf>
    <xf numFmtId="0" fontId="85" fillId="15" borderId="75" xfId="0" applyFont="1" applyFill="1" applyBorder="1" applyAlignment="1">
      <alignment horizontal="center" wrapText="1"/>
    </xf>
    <xf numFmtId="0" fontId="0" fillId="15" borderId="101" xfId="0" applyFill="1" applyBorder="1" applyAlignment="1">
      <alignment horizontal="center"/>
    </xf>
    <xf numFmtId="0" fontId="147" fillId="15" borderId="212" xfId="0" applyFont="1" applyFill="1" applyBorder="1" applyAlignment="1">
      <alignment horizontal="center" vertical="center"/>
    </xf>
    <xf numFmtId="0" fontId="147" fillId="15" borderId="100" xfId="0" applyFont="1" applyFill="1" applyBorder="1" applyAlignment="1">
      <alignment horizontal="center" vertical="center"/>
    </xf>
    <xf numFmtId="0" fontId="147" fillId="15" borderId="0" xfId="0" applyFont="1" applyFill="1" applyAlignment="1">
      <alignment horizontal="center" vertical="center"/>
    </xf>
    <xf numFmtId="177" fontId="110" fillId="15" borderId="3" xfId="0" applyNumberFormat="1" applyFont="1" applyFill="1" applyBorder="1" applyAlignment="1">
      <alignment horizontal="center"/>
    </xf>
    <xf numFmtId="177" fontId="110" fillId="15" borderId="0" xfId="0" applyNumberFormat="1" applyFont="1" applyFill="1" applyAlignment="1">
      <alignment horizontal="center"/>
    </xf>
    <xf numFmtId="0" fontId="15" fillId="26" borderId="11" xfId="0" applyFont="1" applyFill="1" applyBorder="1" applyAlignment="1">
      <alignment horizontal="right"/>
    </xf>
    <xf numFmtId="39" fontId="6" fillId="24" borderId="0" xfId="0" applyNumberFormat="1" applyFont="1" applyFill="1" applyAlignment="1">
      <alignment horizontal="left" wrapText="1"/>
    </xf>
    <xf numFmtId="39" fontId="0" fillId="24" borderId="0" xfId="0" applyNumberFormat="1" applyFill="1" applyAlignment="1">
      <alignment horizontal="left" wrapText="1"/>
    </xf>
    <xf numFmtId="39" fontId="0" fillId="24" borderId="24" xfId="0" applyNumberFormat="1" applyFill="1" applyBorder="1" applyAlignment="1">
      <alignment horizontal="left" wrapText="1"/>
    </xf>
    <xf numFmtId="1" fontId="0" fillId="24" borderId="3" xfId="0" applyNumberFormat="1" applyFill="1" applyBorder="1" applyAlignment="1">
      <alignment horizontal="right" vertical="top"/>
    </xf>
    <xf numFmtId="1" fontId="0" fillId="24" borderId="0" xfId="0" applyNumberFormat="1" applyFill="1" applyAlignment="1">
      <alignment horizontal="left" vertical="top"/>
    </xf>
    <xf numFmtId="39" fontId="0" fillId="24" borderId="0" xfId="0" applyNumberFormat="1" applyFill="1" applyAlignment="1">
      <alignment horizontal="center"/>
    </xf>
    <xf numFmtId="39" fontId="0" fillId="24" borderId="24" xfId="0" applyNumberFormat="1" applyFill="1" applyBorder="1" applyAlignment="1">
      <alignment horizontal="center"/>
    </xf>
    <xf numFmtId="3" fontId="11" fillId="16" borderId="1" xfId="0" applyNumberFormat="1" applyFont="1" applyFill="1" applyBorder="1" applyAlignment="1" applyProtection="1">
      <alignment horizontal="right" indent="1"/>
      <protection locked="0"/>
    </xf>
    <xf numFmtId="1" fontId="4" fillId="39" borderId="3" xfId="0" applyNumberFormat="1" applyFont="1" applyFill="1" applyBorder="1" applyAlignment="1">
      <alignment horizontal="center" vertical="center"/>
    </xf>
    <xf numFmtId="1" fontId="4" fillId="39" borderId="24" xfId="0" applyNumberFormat="1" applyFont="1" applyFill="1" applyBorder="1" applyAlignment="1">
      <alignment horizontal="center" vertical="center"/>
    </xf>
    <xf numFmtId="37" fontId="15" fillId="14" borderId="30" xfId="0" applyNumberFormat="1" applyFont="1" applyFill="1" applyBorder="1" applyAlignment="1" applyProtection="1">
      <alignment horizontal="right"/>
      <protection hidden="1"/>
    </xf>
    <xf numFmtId="37" fontId="15" fillId="14" borderId="8" xfId="0" applyNumberFormat="1" applyFont="1" applyFill="1" applyBorder="1" applyAlignment="1" applyProtection="1">
      <alignment horizontal="right"/>
      <protection hidden="1"/>
    </xf>
    <xf numFmtId="37" fontId="15" fillId="15" borderId="8" xfId="0" applyNumberFormat="1" applyFont="1" applyFill="1" applyBorder="1" applyAlignment="1" applyProtection="1">
      <alignment horizontal="right"/>
      <protection hidden="1"/>
    </xf>
    <xf numFmtId="37" fontId="134" fillId="14" borderId="3" xfId="0" applyNumberFormat="1" applyFont="1" applyFill="1" applyBorder="1" applyAlignment="1" applyProtection="1">
      <alignment horizontal="center"/>
      <protection hidden="1"/>
    </xf>
    <xf numFmtId="37" fontId="134" fillId="15" borderId="0" xfId="0" applyNumberFormat="1" applyFont="1" applyFill="1" applyAlignment="1" applyProtection="1">
      <alignment horizontal="center"/>
      <protection hidden="1"/>
    </xf>
    <xf numFmtId="37" fontId="11" fillId="26" borderId="1" xfId="0" applyNumberFormat="1" applyFont="1" applyFill="1" applyBorder="1" applyAlignment="1">
      <alignment horizontal="right"/>
    </xf>
    <xf numFmtId="39" fontId="245" fillId="21" borderId="0" xfId="0" applyNumberFormat="1" applyFont="1" applyFill="1" applyAlignment="1" applyProtection="1">
      <alignment horizontal="left" vertical="center" wrapText="1"/>
      <protection locked="0"/>
    </xf>
    <xf numFmtId="0" fontId="11" fillId="15" borderId="11" xfId="0" applyFont="1" applyFill="1" applyBorder="1" applyAlignment="1">
      <alignment horizontal="center"/>
    </xf>
    <xf numFmtId="39" fontId="0" fillId="3" borderId="3" xfId="0" applyNumberFormat="1" applyFill="1" applyBorder="1"/>
    <xf numFmtId="39" fontId="0" fillId="3" borderId="0" xfId="0" applyNumberFormat="1" applyFill="1"/>
    <xf numFmtId="0" fontId="9" fillId="15" borderId="0" xfId="0" applyFont="1" applyFill="1" applyAlignment="1">
      <alignment horizontal="left"/>
    </xf>
    <xf numFmtId="0" fontId="9" fillId="15" borderId="24" xfId="0" applyFont="1" applyFill="1" applyBorder="1" applyAlignment="1">
      <alignment horizontal="left"/>
    </xf>
    <xf numFmtId="0" fontId="14" fillId="0" borderId="11" xfId="0" applyFont="1" applyBorder="1" applyAlignment="1">
      <alignment horizontal="center"/>
    </xf>
    <xf numFmtId="0" fontId="14" fillId="15" borderId="0" xfId="0" applyFont="1" applyFill="1" applyAlignment="1">
      <alignment horizontal="left" vertical="center" wrapText="1"/>
    </xf>
    <xf numFmtId="37" fontId="15" fillId="14" borderId="3" xfId="0" applyNumberFormat="1" applyFont="1" applyFill="1" applyBorder="1" applyAlignment="1" applyProtection="1">
      <alignment horizontal="right"/>
      <protection hidden="1"/>
    </xf>
    <xf numFmtId="37" fontId="15" fillId="15" borderId="0" xfId="0" applyNumberFormat="1" applyFont="1" applyFill="1" applyAlignment="1" applyProtection="1">
      <alignment horizontal="right"/>
      <protection hidden="1"/>
    </xf>
    <xf numFmtId="37" fontId="134" fillId="14" borderId="0" xfId="0" applyNumberFormat="1" applyFont="1" applyFill="1" applyAlignment="1" applyProtection="1">
      <alignment horizontal="center"/>
      <protection hidden="1"/>
    </xf>
    <xf numFmtId="37" fontId="11" fillId="26" borderId="35" xfId="0" applyNumberFormat="1" applyFont="1" applyFill="1" applyBorder="1" applyAlignment="1">
      <alignment horizontal="right"/>
    </xf>
    <xf numFmtId="37" fontId="11" fillId="27" borderId="13" xfId="0" applyNumberFormat="1" applyFont="1" applyFill="1" applyBorder="1" applyAlignment="1">
      <alignment horizontal="right"/>
    </xf>
    <xf numFmtId="0" fontId="44" fillId="15" borderId="206" xfId="0" applyFont="1" applyFill="1" applyBorder="1" applyAlignment="1">
      <alignment horizontal="center" wrapText="1"/>
    </xf>
    <xf numFmtId="0" fontId="120" fillId="0" borderId="206" xfId="0" applyFont="1" applyBorder="1" applyAlignment="1">
      <alignment horizontal="center"/>
    </xf>
    <xf numFmtId="0" fontId="6" fillId="15" borderId="1" xfId="0" applyFont="1" applyFill="1" applyBorder="1" applyAlignment="1">
      <alignment horizontal="center"/>
    </xf>
    <xf numFmtId="37" fontId="11" fillId="20" borderId="1" xfId="0" applyNumberFormat="1" applyFont="1" applyFill="1" applyBorder="1" applyAlignment="1" applyProtection="1">
      <alignment horizontal="right"/>
      <protection locked="0"/>
    </xf>
    <xf numFmtId="0" fontId="11" fillId="15" borderId="0" xfId="0" applyFont="1" applyFill="1" applyAlignment="1">
      <alignment horizontal="left"/>
    </xf>
    <xf numFmtId="37" fontId="257" fillId="14" borderId="3" xfId="0" applyNumberFormat="1" applyFont="1" applyFill="1" applyBorder="1" applyAlignment="1" applyProtection="1">
      <alignment horizontal="center"/>
      <protection hidden="1"/>
    </xf>
    <xf numFmtId="37" fontId="257" fillId="15" borderId="0" xfId="0" applyNumberFormat="1" applyFont="1" applyFill="1" applyAlignment="1" applyProtection="1">
      <alignment horizontal="center"/>
      <protection hidden="1"/>
    </xf>
    <xf numFmtId="37" fontId="168" fillId="14" borderId="3" xfId="0" applyNumberFormat="1" applyFont="1" applyFill="1" applyBorder="1" applyAlignment="1" applyProtection="1">
      <alignment horizontal="center"/>
      <protection hidden="1"/>
    </xf>
    <xf numFmtId="37" fontId="168" fillId="14" borderId="0" xfId="0" applyNumberFormat="1" applyFont="1" applyFill="1" applyAlignment="1" applyProtection="1">
      <alignment horizontal="center"/>
      <protection hidden="1"/>
    </xf>
    <xf numFmtId="37" fontId="172" fillId="14" borderId="3" xfId="0" applyNumberFormat="1" applyFont="1" applyFill="1" applyBorder="1" applyAlignment="1" applyProtection="1">
      <alignment horizontal="center"/>
      <protection hidden="1"/>
    </xf>
    <xf numFmtId="37" fontId="172" fillId="14" borderId="0" xfId="0" applyNumberFormat="1" applyFont="1" applyFill="1" applyAlignment="1" applyProtection="1">
      <alignment horizontal="center"/>
      <protection hidden="1"/>
    </xf>
    <xf numFmtId="37" fontId="134" fillId="14" borderId="30" xfId="0" applyNumberFormat="1" applyFont="1" applyFill="1" applyBorder="1" applyAlignment="1" applyProtection="1">
      <alignment horizontal="right"/>
      <protection hidden="1"/>
    </xf>
    <xf numFmtId="37" fontId="134" fillId="15" borderId="8" xfId="0" applyNumberFormat="1" applyFont="1" applyFill="1" applyBorder="1" applyAlignment="1" applyProtection="1">
      <alignment horizontal="right"/>
      <protection hidden="1"/>
    </xf>
    <xf numFmtId="0" fontId="110" fillId="15" borderId="16" xfId="0" applyFont="1" applyFill="1" applyBorder="1" applyAlignment="1">
      <alignment horizontal="center" vertical="center"/>
    </xf>
    <xf numFmtId="166" fontId="20" fillId="28" borderId="9" xfId="0" quotePrefix="1" applyNumberFormat="1" applyFont="1" applyFill="1" applyBorder="1" applyAlignment="1">
      <alignment horizontal="center" vertical="center"/>
    </xf>
    <xf numFmtId="166" fontId="20" fillId="28" borderId="1" xfId="0" quotePrefix="1" applyNumberFormat="1" applyFont="1" applyFill="1" applyBorder="1" applyAlignment="1">
      <alignment horizontal="center" vertical="center"/>
    </xf>
    <xf numFmtId="37" fontId="168" fillId="14" borderId="3" xfId="0" applyNumberFormat="1" applyFont="1" applyFill="1" applyBorder="1" applyAlignment="1" applyProtection="1">
      <alignment horizontal="right"/>
      <protection hidden="1"/>
    </xf>
    <xf numFmtId="37" fontId="168" fillId="15" borderId="0" xfId="0" applyNumberFormat="1" applyFont="1" applyFill="1" applyAlignment="1" applyProtection="1">
      <alignment horizontal="right"/>
      <protection hidden="1"/>
    </xf>
    <xf numFmtId="3" fontId="11" fillId="16" borderId="9" xfId="0" applyNumberFormat="1" applyFont="1" applyFill="1" applyBorder="1" applyAlignment="1" applyProtection="1">
      <alignment horizontal="right" indent="1"/>
      <protection locked="0"/>
    </xf>
    <xf numFmtId="0" fontId="0" fillId="39" borderId="54" xfId="0" applyFill="1" applyBorder="1"/>
    <xf numFmtId="0" fontId="20" fillId="28" borderId="1" xfId="0" quotePrefix="1" applyFont="1" applyFill="1" applyBorder="1" applyAlignment="1">
      <alignment horizontal="left" vertical="center"/>
    </xf>
    <xf numFmtId="37" fontId="146" fillId="14" borderId="3" xfId="0" applyNumberFormat="1" applyFont="1" applyFill="1" applyBorder="1" applyAlignment="1" applyProtection="1">
      <alignment horizontal="right"/>
      <protection hidden="1"/>
    </xf>
    <xf numFmtId="37" fontId="146" fillId="14" borderId="0" xfId="0" applyNumberFormat="1" applyFont="1" applyFill="1" applyAlignment="1" applyProtection="1">
      <alignment horizontal="right"/>
      <protection hidden="1"/>
    </xf>
    <xf numFmtId="0" fontId="134" fillId="2" borderId="25" xfId="0" applyFont="1" applyFill="1" applyBorder="1" applyAlignment="1">
      <alignment horizontal="center" vertical="center"/>
    </xf>
    <xf numFmtId="0" fontId="146" fillId="37" borderId="0" xfId="0" applyFont="1" applyFill="1" applyAlignment="1">
      <alignment horizontal="center" vertical="center" wrapText="1"/>
    </xf>
    <xf numFmtId="0" fontId="20" fillId="15" borderId="25" xfId="0" applyFont="1" applyFill="1" applyBorder="1" applyAlignment="1">
      <alignment horizontal="left" vertical="center" indent="1"/>
    </xf>
    <xf numFmtId="0" fontId="113" fillId="5" borderId="0" xfId="0" applyFont="1" applyFill="1" applyAlignment="1">
      <alignment horizontal="left" vertical="top" wrapText="1"/>
    </xf>
    <xf numFmtId="0" fontId="0" fillId="15" borderId="7" xfId="0" applyFill="1" applyBorder="1" applyAlignment="1">
      <alignment horizontal="center" vertical="top" wrapText="1"/>
    </xf>
    <xf numFmtId="0" fontId="0" fillId="15" borderId="0" xfId="0" applyFill="1" applyAlignment="1">
      <alignment horizontal="center" vertical="top" wrapText="1"/>
    </xf>
    <xf numFmtId="0" fontId="81" fillId="5" borderId="0" xfId="0" applyFont="1" applyFill="1" applyAlignment="1">
      <alignment horizontal="left" wrapText="1"/>
    </xf>
    <xf numFmtId="0" fontId="81" fillId="5" borderId="0" xfId="0" applyFont="1" applyFill="1" applyAlignment="1">
      <alignment horizontal="left"/>
    </xf>
    <xf numFmtId="0" fontId="283" fillId="23" borderId="0" xfId="0" applyFont="1" applyFill="1" applyAlignment="1">
      <alignment horizontal="center"/>
    </xf>
    <xf numFmtId="0" fontId="228" fillId="23" borderId="0" xfId="0" applyFont="1" applyFill="1" applyAlignment="1">
      <alignment horizontal="center"/>
    </xf>
    <xf numFmtId="0" fontId="116" fillId="15" borderId="0" xfId="0" applyFont="1" applyFill="1" applyAlignment="1">
      <alignment horizontal="center"/>
    </xf>
    <xf numFmtId="37" fontId="9" fillId="27" borderId="9" xfId="0" applyNumberFormat="1" applyFont="1" applyFill="1" applyBorder="1"/>
    <xf numFmtId="37" fontId="9" fillId="27" borderId="1" xfId="0" applyNumberFormat="1" applyFont="1" applyFill="1" applyBorder="1"/>
    <xf numFmtId="0" fontId="9" fillId="15" borderId="30" xfId="0" quotePrefix="1" applyFont="1" applyFill="1" applyBorder="1" applyAlignment="1">
      <alignment horizontal="center" vertical="center"/>
    </xf>
    <xf numFmtId="0" fontId="9" fillId="15" borderId="9" xfId="0" quotePrefix="1" applyFont="1" applyFill="1" applyBorder="1" applyAlignment="1">
      <alignment horizontal="center" vertical="center"/>
    </xf>
    <xf numFmtId="37" fontId="4" fillId="27" borderId="3" xfId="0" applyNumberFormat="1" applyFont="1" applyFill="1" applyBorder="1" applyAlignment="1">
      <alignment horizontal="right"/>
    </xf>
    <xf numFmtId="37" fontId="4" fillId="27" borderId="0" xfId="0" applyNumberFormat="1" applyFont="1" applyFill="1" applyAlignment="1">
      <alignment horizontal="right"/>
    </xf>
    <xf numFmtId="0" fontId="110" fillId="15" borderId="0" xfId="0" applyFont="1" applyFill="1" applyAlignment="1">
      <alignment horizontal="center" vertical="center"/>
    </xf>
    <xf numFmtId="0" fontId="110" fillId="15" borderId="24" xfId="0" applyFont="1" applyFill="1" applyBorder="1" applyAlignment="1">
      <alignment horizontal="center" vertical="center"/>
    </xf>
    <xf numFmtId="0" fontId="110" fillId="15" borderId="4" xfId="0" applyFont="1" applyFill="1" applyBorder="1" applyAlignment="1">
      <alignment horizontal="center" vertical="center"/>
    </xf>
    <xf numFmtId="3" fontId="4" fillId="25" borderId="10" xfId="0" applyNumberFormat="1" applyFont="1" applyFill="1" applyBorder="1" applyAlignment="1">
      <alignment horizontal="right" vertical="center" wrapText="1" indent="1"/>
    </xf>
    <xf numFmtId="3" fontId="0" fillId="25" borderId="10" xfId="0" applyNumberFormat="1" applyFill="1" applyBorder="1" applyAlignment="1">
      <alignment horizontal="right" vertical="center" wrapText="1" indent="1"/>
    </xf>
    <xf numFmtId="3" fontId="0" fillId="25" borderId="9" xfId="0" applyNumberFormat="1" applyFill="1" applyBorder="1" applyAlignment="1">
      <alignment horizontal="right" vertical="center" wrapText="1" indent="1"/>
    </xf>
    <xf numFmtId="37" fontId="9" fillId="27" borderId="1" xfId="0" applyNumberFormat="1" applyFont="1" applyFill="1" applyBorder="1" applyAlignment="1">
      <alignment horizontal="right" vertical="center" wrapText="1"/>
    </xf>
    <xf numFmtId="5" fontId="8" fillId="15" borderId="0" xfId="0" applyNumberFormat="1" applyFont="1" applyFill="1" applyAlignment="1">
      <alignment horizontal="center"/>
    </xf>
    <xf numFmtId="37" fontId="47" fillId="27" borderId="1" xfId="0" applyNumberFormat="1" applyFont="1" applyFill="1" applyBorder="1" applyAlignment="1">
      <alignment horizontal="center"/>
    </xf>
    <xf numFmtId="0" fontId="4" fillId="15" borderId="10" xfId="0" quotePrefix="1" applyFont="1" applyFill="1" applyBorder="1" applyAlignment="1">
      <alignment horizontal="center" vertical="center"/>
    </xf>
    <xf numFmtId="0" fontId="0" fillId="0" borderId="10" xfId="0" applyBorder="1" applyAlignment="1">
      <alignment horizontal="center" vertical="center"/>
    </xf>
    <xf numFmtId="0" fontId="4" fillId="15" borderId="0" xfId="0" quotePrefix="1" applyFont="1" applyFill="1" applyAlignment="1">
      <alignment horizontal="center" vertical="center"/>
    </xf>
    <xf numFmtId="0" fontId="110" fillId="15" borderId="30" xfId="0" applyFont="1" applyFill="1" applyBorder="1" applyAlignment="1">
      <alignment horizontal="center" vertical="center"/>
    </xf>
    <xf numFmtId="0" fontId="110" fillId="15" borderId="8" xfId="0" applyFont="1" applyFill="1" applyBorder="1" applyAlignment="1">
      <alignment horizontal="center" vertical="center"/>
    </xf>
    <xf numFmtId="0" fontId="123" fillId="31" borderId="1" xfId="0" applyFont="1" applyFill="1" applyBorder="1" applyAlignment="1">
      <alignment horizontal="right"/>
    </xf>
    <xf numFmtId="0" fontId="110" fillId="31" borderId="1" xfId="0" applyFont="1" applyFill="1" applyBorder="1" applyAlignment="1">
      <alignment horizontal="right"/>
    </xf>
    <xf numFmtId="6" fontId="263" fillId="15" borderId="0" xfId="0" applyNumberFormat="1" applyFont="1" applyFill="1" applyAlignment="1">
      <alignment horizontal="center" vertical="center"/>
    </xf>
    <xf numFmtId="0" fontId="263" fillId="15" borderId="0" xfId="0" applyFont="1" applyFill="1" applyAlignment="1">
      <alignment horizontal="center" vertical="center"/>
    </xf>
    <xf numFmtId="0" fontId="4" fillId="15" borderId="9" xfId="0" applyFont="1" applyFill="1" applyBorder="1" applyAlignment="1">
      <alignment horizontal="center" vertical="center"/>
    </xf>
    <xf numFmtId="0" fontId="146" fillId="15" borderId="27" xfId="0" applyFont="1" applyFill="1" applyBorder="1" applyAlignment="1">
      <alignment horizontal="center"/>
    </xf>
    <xf numFmtId="0" fontId="110" fillId="15" borderId="3" xfId="0" applyFont="1" applyFill="1" applyBorder="1" applyAlignment="1">
      <alignment horizontal="center" vertical="center"/>
    </xf>
    <xf numFmtId="37" fontId="110" fillId="15" borderId="3" xfId="0" applyNumberFormat="1" applyFont="1" applyFill="1" applyBorder="1" applyAlignment="1">
      <alignment horizontal="center" vertical="center"/>
    </xf>
    <xf numFmtId="37" fontId="110" fillId="15" borderId="0" xfId="0" applyNumberFormat="1" applyFont="1" applyFill="1" applyAlignment="1">
      <alignment horizontal="center" vertical="center"/>
    </xf>
    <xf numFmtId="37" fontId="110" fillId="15" borderId="24" xfId="0" applyNumberFormat="1" applyFont="1" applyFill="1" applyBorder="1" applyAlignment="1">
      <alignment horizontal="center" vertical="center"/>
    </xf>
    <xf numFmtId="0" fontId="110" fillId="15" borderId="25" xfId="0" applyFont="1" applyFill="1" applyBorder="1" applyAlignment="1">
      <alignment horizontal="center" vertical="center"/>
    </xf>
    <xf numFmtId="0" fontId="4" fillId="15" borderId="30" xfId="0" quotePrefix="1" applyFont="1" applyFill="1" applyBorder="1" applyAlignment="1">
      <alignment horizontal="center" vertical="center"/>
    </xf>
    <xf numFmtId="0" fontId="4" fillId="15" borderId="14" xfId="0" quotePrefix="1" applyFont="1" applyFill="1" applyBorder="1" applyAlignment="1">
      <alignment horizontal="center" vertical="center"/>
    </xf>
    <xf numFmtId="0" fontId="4" fillId="15" borderId="9" xfId="0" quotePrefix="1" applyFont="1" applyFill="1" applyBorder="1" applyAlignment="1">
      <alignment horizontal="center" vertical="center"/>
    </xf>
    <xf numFmtId="0" fontId="4" fillId="15" borderId="11" xfId="0" quotePrefix="1" applyFont="1" applyFill="1" applyBorder="1" applyAlignment="1">
      <alignment horizontal="center" vertical="center"/>
    </xf>
    <xf numFmtId="0" fontId="110" fillId="23" borderId="30" xfId="0" applyFont="1" applyFill="1" applyBorder="1" applyAlignment="1">
      <alignment horizontal="center" vertical="center"/>
    </xf>
    <xf numFmtId="0" fontId="110" fillId="23" borderId="8" xfId="0" applyFont="1" applyFill="1" applyBorder="1" applyAlignment="1">
      <alignment horizontal="center" vertical="center"/>
    </xf>
    <xf numFmtId="0" fontId="110" fillId="23" borderId="9" xfId="0" applyFont="1" applyFill="1" applyBorder="1" applyAlignment="1">
      <alignment horizontal="center" vertical="center"/>
    </xf>
    <xf numFmtId="0" fontId="110" fillId="23" borderId="1" xfId="0" applyFont="1" applyFill="1" applyBorder="1" applyAlignment="1">
      <alignment horizontal="center" vertical="center"/>
    </xf>
    <xf numFmtId="0" fontId="265" fillId="15" borderId="0" xfId="0" applyFont="1" applyFill="1" applyAlignment="1">
      <alignment horizontal="center" vertical="center"/>
    </xf>
    <xf numFmtId="0" fontId="9" fillId="15" borderId="16" xfId="0" applyFont="1" applyFill="1" applyBorder="1" applyAlignment="1">
      <alignment horizontal="center" vertical="center"/>
    </xf>
    <xf numFmtId="0" fontId="122" fillId="15" borderId="0" xfId="0" quotePrefix="1" applyFont="1" applyFill="1" applyAlignment="1">
      <alignment horizontal="center"/>
    </xf>
    <xf numFmtId="0" fontId="116" fillId="15" borderId="0" xfId="0" quotePrefix="1" applyFont="1" applyFill="1" applyAlignment="1">
      <alignment horizontal="center"/>
    </xf>
    <xf numFmtId="176" fontId="4" fillId="27" borderId="1" xfId="0" applyNumberFormat="1" applyFont="1" applyFill="1" applyBorder="1" applyAlignment="1">
      <alignment horizontal="center" vertical="center"/>
    </xf>
    <xf numFmtId="0" fontId="110" fillId="15" borderId="70" xfId="0" applyFont="1" applyFill="1" applyBorder="1" applyAlignment="1">
      <alignment horizontal="center" vertical="center"/>
    </xf>
    <xf numFmtId="0" fontId="110" fillId="15" borderId="27" xfId="0" applyFont="1" applyFill="1" applyBorder="1" applyAlignment="1">
      <alignment horizontal="center"/>
    </xf>
    <xf numFmtId="3" fontId="0" fillId="15" borderId="0" xfId="0" applyNumberFormat="1" applyFill="1" applyAlignment="1" applyProtection="1">
      <alignment horizontal="center"/>
      <protection locked="0"/>
    </xf>
    <xf numFmtId="3" fontId="0" fillId="15" borderId="1" xfId="0" applyNumberFormat="1" applyFill="1" applyBorder="1" applyAlignment="1" applyProtection="1">
      <alignment horizontal="center"/>
      <protection locked="0"/>
    </xf>
    <xf numFmtId="0" fontId="9" fillId="15" borderId="15" xfId="0" quotePrefix="1" applyFont="1" applyFill="1" applyBorder="1" applyAlignment="1">
      <alignment horizontal="center" vertical="center"/>
    </xf>
    <xf numFmtId="0" fontId="9" fillId="15" borderId="10" xfId="0" quotePrefix="1" applyFont="1" applyFill="1" applyBorder="1" applyAlignment="1">
      <alignment horizontal="center" vertical="center"/>
    </xf>
    <xf numFmtId="37" fontId="9" fillId="27" borderId="3" xfId="0" applyNumberFormat="1" applyFont="1" applyFill="1" applyBorder="1" applyAlignment="1">
      <alignment horizontal="right"/>
    </xf>
    <xf numFmtId="37" fontId="9" fillId="27" borderId="0" xfId="0" applyNumberFormat="1" applyFont="1" applyFill="1" applyAlignment="1">
      <alignment horizontal="right"/>
    </xf>
    <xf numFmtId="0" fontId="4" fillId="23" borderId="0" xfId="0" applyFont="1" applyFill="1" applyAlignment="1">
      <alignment horizontal="center" wrapText="1"/>
    </xf>
    <xf numFmtId="37" fontId="9" fillId="27" borderId="25" xfId="0" applyNumberFormat="1" applyFont="1" applyFill="1" applyBorder="1"/>
    <xf numFmtId="37" fontId="9" fillId="27" borderId="54" xfId="0" applyNumberFormat="1" applyFont="1" applyFill="1" applyBorder="1"/>
    <xf numFmtId="37" fontId="9" fillId="27" borderId="54" xfId="0" applyNumberFormat="1" applyFont="1" applyFill="1" applyBorder="1" applyAlignment="1">
      <alignment horizontal="right" vertical="center" wrapText="1"/>
    </xf>
    <xf numFmtId="37" fontId="9" fillId="27" borderId="12" xfId="0" applyNumberFormat="1" applyFont="1" applyFill="1" applyBorder="1" applyAlignment="1">
      <alignment horizontal="right" vertical="center" wrapText="1"/>
    </xf>
    <xf numFmtId="0" fontId="233" fillId="23" borderId="0" xfId="0" applyFont="1" applyFill="1" applyAlignment="1">
      <alignment horizontal="left" vertical="top" wrapText="1"/>
    </xf>
    <xf numFmtId="37" fontId="4" fillId="27" borderId="9" xfId="0" applyNumberFormat="1" applyFont="1" applyFill="1" applyBorder="1" applyAlignment="1">
      <alignment horizontal="right" vertical="center" wrapText="1" indent="1"/>
    </xf>
    <xf numFmtId="37" fontId="4" fillId="27" borderId="1" xfId="0" applyNumberFormat="1" applyFont="1" applyFill="1" applyBorder="1" applyAlignment="1">
      <alignment horizontal="right" vertical="center" wrapText="1" indent="1"/>
    </xf>
    <xf numFmtId="37" fontId="4" fillId="27" borderId="11" xfId="0" applyNumberFormat="1" applyFont="1" applyFill="1" applyBorder="1" applyAlignment="1">
      <alignment horizontal="right" vertical="center" wrapText="1" indent="1"/>
    </xf>
    <xf numFmtId="3" fontId="9" fillId="25" borderId="9" xfId="0" applyNumberFormat="1" applyFont="1" applyFill="1" applyBorder="1" applyAlignment="1">
      <alignment horizontal="right" vertical="center" wrapText="1" indent="1"/>
    </xf>
    <xf numFmtId="3" fontId="8" fillId="25" borderId="1" xfId="0" applyNumberFormat="1" applyFont="1" applyFill="1" applyBorder="1" applyAlignment="1">
      <alignment horizontal="right" vertical="center" wrapText="1" indent="1"/>
    </xf>
    <xf numFmtId="3" fontId="4" fillId="25" borderId="9" xfId="0" applyNumberFormat="1" applyFont="1" applyFill="1" applyBorder="1" applyAlignment="1">
      <alignment horizontal="right" vertical="center" wrapText="1" indent="1"/>
    </xf>
    <xf numFmtId="3" fontId="0" fillId="25" borderId="1" xfId="0" applyNumberFormat="1" applyFill="1" applyBorder="1" applyAlignment="1">
      <alignment horizontal="right" vertical="center" wrapText="1" indent="1"/>
    </xf>
    <xf numFmtId="37" fontId="4" fillId="25" borderId="9" xfId="0" applyNumberFormat="1" applyFont="1" applyFill="1" applyBorder="1" applyAlignment="1">
      <alignment horizontal="right" vertical="center" wrapText="1" indent="1"/>
    </xf>
    <xf numFmtId="37" fontId="0" fillId="25" borderId="1" xfId="0" applyNumberFormat="1" applyFill="1" applyBorder="1" applyAlignment="1">
      <alignment horizontal="right" vertical="center" wrapText="1" indent="1"/>
    </xf>
    <xf numFmtId="0" fontId="110" fillId="15" borderId="3" xfId="0" applyFont="1" applyFill="1" applyBorder="1" applyAlignment="1">
      <alignment horizontal="center" vertical="center" wrapText="1"/>
    </xf>
    <xf numFmtId="0" fontId="110" fillId="15" borderId="0" xfId="0" applyFont="1" applyFill="1" applyAlignment="1">
      <alignment horizontal="center" vertical="center" wrapText="1"/>
    </xf>
    <xf numFmtId="37" fontId="110" fillId="15" borderId="3" xfId="0" applyNumberFormat="1" applyFont="1" applyFill="1" applyBorder="1" applyAlignment="1">
      <alignment horizontal="right" vertical="center" wrapText="1"/>
    </xf>
    <xf numFmtId="37" fontId="110" fillId="15" borderId="0" xfId="0" applyNumberFormat="1" applyFont="1" applyFill="1" applyAlignment="1">
      <alignment horizontal="right" vertical="center" wrapText="1"/>
    </xf>
    <xf numFmtId="0" fontId="4" fillId="15" borderId="10" xfId="0" applyFont="1" applyFill="1" applyBorder="1" applyAlignment="1">
      <alignment horizontal="center" vertical="center"/>
    </xf>
    <xf numFmtId="0" fontId="4" fillId="15" borderId="11" xfId="0" applyFont="1" applyFill="1" applyBorder="1" applyAlignment="1">
      <alignment horizontal="center" vertical="center"/>
    </xf>
    <xf numFmtId="0" fontId="4" fillId="19" borderId="3" xfId="0" applyFont="1" applyFill="1" applyBorder="1" applyAlignment="1">
      <alignment horizontal="center" vertical="center"/>
    </xf>
    <xf numFmtId="0" fontId="4" fillId="19" borderId="24" xfId="0" applyFont="1" applyFill="1" applyBorder="1" applyAlignment="1">
      <alignment horizontal="center" vertical="center"/>
    </xf>
    <xf numFmtId="3" fontId="4" fillId="25" borderId="39" xfId="0" applyNumberFormat="1" applyFont="1" applyFill="1" applyBorder="1" applyAlignment="1">
      <alignment horizontal="right" vertical="center" wrapText="1" indent="1"/>
    </xf>
    <xf numFmtId="3" fontId="0" fillId="25" borderId="25" xfId="0" applyNumberFormat="1" applyFill="1" applyBorder="1" applyAlignment="1">
      <alignment horizontal="right" vertical="center" wrapText="1" indent="1"/>
    </xf>
    <xf numFmtId="0" fontId="8" fillId="15" borderId="26" xfId="0" applyFont="1" applyFill="1" applyBorder="1" applyAlignment="1">
      <alignment horizontal="center" wrapText="1"/>
    </xf>
    <xf numFmtId="0" fontId="8" fillId="0" borderId="1" xfId="0" applyFont="1" applyBorder="1" applyAlignment="1">
      <alignment horizontal="center" wrapText="1"/>
    </xf>
    <xf numFmtId="0" fontId="0" fillId="0" borderId="13" xfId="0" applyBorder="1" applyAlignment="1">
      <alignment horizontal="left" vertical="center" wrapText="1"/>
    </xf>
    <xf numFmtId="0" fontId="0" fillId="0" borderId="158" xfId="0" applyBorder="1" applyAlignment="1">
      <alignment horizontal="left" vertical="center" wrapText="1"/>
    </xf>
    <xf numFmtId="166" fontId="20" fillId="27" borderId="5" xfId="0" applyNumberFormat="1" applyFont="1" applyFill="1" applyBorder="1" applyAlignment="1">
      <alignment horizontal="center" vertical="center"/>
    </xf>
    <xf numFmtId="166" fontId="20" fillId="27" borderId="0" xfId="0" applyNumberFormat="1" applyFont="1" applyFill="1" applyAlignment="1">
      <alignment horizontal="center" vertical="center"/>
    </xf>
    <xf numFmtId="166" fontId="20" fillId="27" borderId="26" xfId="0" applyNumberFormat="1" applyFont="1" applyFill="1" applyBorder="1" applyAlignment="1">
      <alignment horizontal="center" vertical="center"/>
    </xf>
    <xf numFmtId="0" fontId="11" fillId="15" borderId="0" xfId="0" applyFont="1" applyFill="1" applyAlignment="1">
      <alignment wrapText="1"/>
    </xf>
    <xf numFmtId="0" fontId="11" fillId="0" borderId="0" xfId="0" applyFont="1" applyAlignment="1">
      <alignment wrapText="1"/>
    </xf>
    <xf numFmtId="0" fontId="11" fillId="0" borderId="20" xfId="0" applyFont="1" applyBorder="1" applyAlignment="1">
      <alignment wrapText="1"/>
    </xf>
    <xf numFmtId="0" fontId="15" fillId="15" borderId="0" xfId="0" applyFont="1" applyFill="1" applyAlignment="1">
      <alignment wrapText="1"/>
    </xf>
    <xf numFmtId="0" fontId="15" fillId="0" borderId="0" xfId="0" applyFont="1" applyAlignment="1">
      <alignment wrapText="1"/>
    </xf>
    <xf numFmtId="0" fontId="15" fillId="0" borderId="20" xfId="0" applyFont="1" applyBorder="1" applyAlignment="1">
      <alignment wrapText="1"/>
    </xf>
    <xf numFmtId="0" fontId="15" fillId="15" borderId="0" xfId="0" applyFont="1" applyFill="1" applyAlignment="1">
      <alignment horizontal="left" wrapText="1"/>
    </xf>
    <xf numFmtId="0" fontId="0" fillId="0" borderId="13" xfId="0" applyBorder="1" applyAlignment="1">
      <alignment horizontal="left" wrapText="1"/>
    </xf>
    <xf numFmtId="0" fontId="20" fillId="15" borderId="0" xfId="0" applyFont="1" applyFill="1" applyAlignment="1">
      <alignment horizontal="center" wrapText="1"/>
    </xf>
    <xf numFmtId="0" fontId="74" fillId="0" borderId="13" xfId="0" applyFont="1" applyBorder="1" applyAlignment="1">
      <alignment horizontal="center" wrapText="1"/>
    </xf>
    <xf numFmtId="0" fontId="119" fillId="15" borderId="0" xfId="0" applyFont="1" applyFill="1" applyAlignment="1" applyProtection="1">
      <alignment horizontal="center" wrapText="1"/>
      <protection locked="0"/>
    </xf>
    <xf numFmtId="0" fontId="119" fillId="15" borderId="0" xfId="0" applyFont="1" applyFill="1" applyAlignment="1" applyProtection="1">
      <alignment horizontal="center"/>
      <protection locked="0"/>
    </xf>
    <xf numFmtId="0" fontId="119" fillId="15" borderId="20" xfId="0" applyFont="1" applyFill="1" applyBorder="1" applyAlignment="1" applyProtection="1">
      <alignment horizontal="center"/>
      <protection locked="0"/>
    </xf>
    <xf numFmtId="0" fontId="121" fillId="15" borderId="16" xfId="0" applyFont="1" applyFill="1" applyBorder="1" applyAlignment="1">
      <alignment horizontal="center"/>
    </xf>
    <xf numFmtId="0" fontId="72" fillId="15" borderId="8" xfId="0" applyFont="1" applyFill="1" applyBorder="1" applyAlignment="1">
      <alignment horizontal="center" vertical="center" wrapText="1"/>
    </xf>
    <xf numFmtId="0" fontId="72" fillId="15" borderId="5" xfId="0" applyFont="1" applyFill="1" applyBorder="1" applyAlignment="1">
      <alignment horizontal="center" vertical="center" wrapText="1"/>
    </xf>
    <xf numFmtId="0" fontId="72" fillId="15" borderId="0" xfId="0" applyFont="1" applyFill="1" applyAlignment="1">
      <alignment horizontal="center" vertical="center" wrapText="1"/>
    </xf>
    <xf numFmtId="0" fontId="44" fillId="15" borderId="0" xfId="0" applyFont="1" applyFill="1" applyAlignment="1">
      <alignment horizontal="center" wrapText="1"/>
    </xf>
    <xf numFmtId="0" fontId="44" fillId="15" borderId="20" xfId="0" applyFont="1" applyFill="1" applyBorder="1" applyAlignment="1">
      <alignment horizontal="center" wrapText="1"/>
    </xf>
    <xf numFmtId="0" fontId="9" fillId="15" borderId="5" xfId="0" applyFont="1" applyFill="1" applyBorder="1" applyAlignment="1">
      <alignment horizontal="center" vertical="center"/>
    </xf>
    <xf numFmtId="0" fontId="9" fillId="15" borderId="0" xfId="0" applyFont="1" applyFill="1" applyAlignment="1">
      <alignment horizontal="center" vertical="center"/>
    </xf>
    <xf numFmtId="0" fontId="9" fillId="15" borderId="20" xfId="0" applyFont="1" applyFill="1" applyBorder="1" applyAlignment="1">
      <alignment horizontal="center" vertical="center"/>
    </xf>
    <xf numFmtId="0" fontId="9" fillId="15" borderId="197" xfId="0" applyFont="1" applyFill="1" applyBorder="1" applyAlignment="1">
      <alignment horizontal="center" vertical="center"/>
    </xf>
    <xf numFmtId="0" fontId="9" fillId="15" borderId="13" xfId="0" applyFont="1" applyFill="1" applyBorder="1" applyAlignment="1">
      <alignment horizontal="center" vertical="center"/>
    </xf>
    <xf numFmtId="0" fontId="9" fillId="15" borderId="158" xfId="0" applyFont="1" applyFill="1" applyBorder="1" applyAlignment="1">
      <alignment horizontal="center" vertical="center"/>
    </xf>
    <xf numFmtId="0" fontId="4" fillId="19" borderId="30" xfId="0" applyFont="1" applyFill="1" applyBorder="1" applyAlignment="1">
      <alignment horizontal="center" vertical="center"/>
    </xf>
    <xf numFmtId="0" fontId="4" fillId="19" borderId="14" xfId="0" applyFont="1" applyFill="1" applyBorder="1" applyAlignment="1">
      <alignment horizontal="center" vertical="center"/>
    </xf>
    <xf numFmtId="3" fontId="15" fillId="27" borderId="9" xfId="0" applyNumberFormat="1" applyFont="1" applyFill="1" applyBorder="1" applyAlignment="1">
      <alignment horizontal="center" vertical="center" wrapText="1"/>
    </xf>
    <xf numFmtId="3" fontId="15" fillId="27" borderId="1" xfId="0" applyNumberFormat="1" applyFont="1" applyFill="1" applyBorder="1" applyAlignment="1">
      <alignment horizontal="center" vertical="center" wrapText="1"/>
    </xf>
    <xf numFmtId="3" fontId="15" fillId="27" borderId="11" xfId="0" applyNumberFormat="1" applyFont="1" applyFill="1" applyBorder="1" applyAlignment="1">
      <alignment horizontal="center" vertical="center" wrapText="1"/>
    </xf>
    <xf numFmtId="0" fontId="8" fillId="15" borderId="0" xfId="0" applyFont="1" applyFill="1" applyAlignment="1">
      <alignment horizontal="center"/>
    </xf>
    <xf numFmtId="37" fontId="4" fillId="16" borderId="9" xfId="0" applyNumberFormat="1" applyFont="1" applyFill="1" applyBorder="1" applyAlignment="1" applyProtection="1">
      <alignment horizontal="right" vertical="center" wrapText="1" indent="1"/>
      <protection locked="0"/>
    </xf>
    <xf numFmtId="37" fontId="4" fillId="16" borderId="1" xfId="0" applyNumberFormat="1" applyFont="1" applyFill="1" applyBorder="1" applyAlignment="1" applyProtection="1">
      <alignment horizontal="right" vertical="center" wrapText="1" indent="1"/>
      <protection locked="0"/>
    </xf>
    <xf numFmtId="37" fontId="4" fillId="16" borderId="11" xfId="0" applyNumberFormat="1" applyFont="1" applyFill="1" applyBorder="1" applyAlignment="1" applyProtection="1">
      <alignment horizontal="right" vertical="center" wrapText="1" indent="1"/>
      <protection locked="0"/>
    </xf>
    <xf numFmtId="3" fontId="4" fillId="16" borderId="9" xfId="0" applyNumberFormat="1" applyFont="1" applyFill="1" applyBorder="1" applyAlignment="1" applyProtection="1">
      <alignment horizontal="right" vertical="center" wrapText="1" indent="1"/>
      <protection locked="0"/>
    </xf>
    <xf numFmtId="3" fontId="0" fillId="16" borderId="1" xfId="0" applyNumberFormat="1" applyFill="1" applyBorder="1" applyAlignment="1" applyProtection="1">
      <alignment horizontal="right" vertical="center" wrapText="1" indent="1"/>
      <protection locked="0"/>
    </xf>
    <xf numFmtId="0" fontId="4" fillId="15" borderId="69" xfId="0" applyFont="1" applyFill="1" applyBorder="1" applyAlignment="1">
      <alignment horizontal="center" vertical="center"/>
    </xf>
    <xf numFmtId="0" fontId="0" fillId="0" borderId="70" xfId="0" applyBorder="1" applyAlignment="1">
      <alignment horizontal="center" vertical="center"/>
    </xf>
    <xf numFmtId="37" fontId="4" fillId="25" borderId="10" xfId="0" applyNumberFormat="1" applyFont="1" applyFill="1" applyBorder="1" applyAlignment="1">
      <alignment horizontal="right" vertical="center" wrapText="1" indent="1"/>
    </xf>
    <xf numFmtId="37" fontId="0" fillId="25" borderId="10" xfId="0" applyNumberFormat="1" applyFill="1" applyBorder="1" applyAlignment="1">
      <alignment horizontal="right" vertical="center" wrapText="1" indent="1"/>
    </xf>
    <xf numFmtId="37" fontId="0" fillId="25" borderId="9" xfId="0" applyNumberFormat="1" applyFill="1" applyBorder="1" applyAlignment="1">
      <alignment horizontal="right" vertical="center" wrapText="1" indent="1"/>
    </xf>
    <xf numFmtId="37" fontId="4" fillId="25" borderId="69" xfId="0" applyNumberFormat="1" applyFont="1" applyFill="1" applyBorder="1" applyAlignment="1">
      <alignment horizontal="right" vertical="center" wrapText="1" indent="1"/>
    </xf>
    <xf numFmtId="37" fontId="0" fillId="25" borderId="4" xfId="0" applyNumberFormat="1" applyFill="1" applyBorder="1" applyAlignment="1">
      <alignment horizontal="right" vertical="center" wrapText="1" indent="1"/>
    </xf>
    <xf numFmtId="3" fontId="110" fillId="15" borderId="3" xfId="0" applyNumberFormat="1" applyFont="1" applyFill="1" applyBorder="1" applyAlignment="1">
      <alignment horizontal="center" vertical="center" wrapText="1"/>
    </xf>
    <xf numFmtId="3" fontId="110" fillId="15" borderId="0" xfId="0" applyNumberFormat="1" applyFont="1" applyFill="1" applyAlignment="1">
      <alignment horizontal="center" vertical="center" wrapText="1"/>
    </xf>
    <xf numFmtId="6" fontId="263" fillId="15" borderId="0" xfId="0" applyNumberFormat="1" applyFont="1" applyFill="1" applyAlignment="1">
      <alignment horizontal="left"/>
    </xf>
    <xf numFmtId="6" fontId="263" fillId="15" borderId="0" xfId="0" applyNumberFormat="1" applyFont="1" applyFill="1" applyAlignment="1">
      <alignment horizontal="right"/>
    </xf>
    <xf numFmtId="0" fontId="4" fillId="15" borderId="9" xfId="0" quotePrefix="1" applyFont="1" applyFill="1" applyBorder="1" applyAlignment="1">
      <alignment horizontal="center"/>
    </xf>
    <xf numFmtId="37" fontId="4" fillId="25" borderId="9" xfId="0" applyNumberFormat="1" applyFont="1" applyFill="1" applyBorder="1" applyAlignment="1">
      <alignment horizontal="right" wrapText="1" indent="1"/>
    </xf>
    <xf numFmtId="37" fontId="0" fillId="25" borderId="1" xfId="0" applyNumberFormat="1" applyFill="1" applyBorder="1" applyAlignment="1">
      <alignment horizontal="right" wrapText="1" indent="1"/>
    </xf>
    <xf numFmtId="0" fontId="4" fillId="15" borderId="39" xfId="0" quotePrefix="1" applyFont="1" applyFill="1" applyBorder="1" applyAlignment="1">
      <alignment horizontal="center" vertical="center"/>
    </xf>
    <xf numFmtId="0" fontId="166" fillId="23" borderId="0" xfId="0" applyFont="1" applyFill="1" applyAlignment="1">
      <alignment horizontal="center" vertical="center"/>
    </xf>
    <xf numFmtId="37" fontId="9" fillId="27" borderId="8" xfId="0" applyNumberFormat="1" applyFont="1" applyFill="1" applyBorder="1" applyAlignment="1">
      <alignment horizontal="right"/>
    </xf>
    <xf numFmtId="37" fontId="9" fillId="27" borderId="14" xfId="0" applyNumberFormat="1" applyFont="1" applyFill="1" applyBorder="1" applyAlignment="1">
      <alignment horizontal="right"/>
    </xf>
    <xf numFmtId="37" fontId="9" fillId="27" borderId="11" xfId="0" applyNumberFormat="1" applyFont="1" applyFill="1" applyBorder="1" applyAlignment="1">
      <alignment horizontal="right"/>
    </xf>
    <xf numFmtId="0" fontId="9" fillId="15" borderId="204" xfId="0" quotePrefix="1" applyFont="1" applyFill="1" applyBorder="1" applyAlignment="1">
      <alignment horizontal="center" vertical="center"/>
    </xf>
    <xf numFmtId="0" fontId="9" fillId="15" borderId="205" xfId="0" quotePrefix="1" applyFont="1" applyFill="1" applyBorder="1" applyAlignment="1">
      <alignment horizontal="center" vertical="center"/>
    </xf>
    <xf numFmtId="37" fontId="4" fillId="27" borderId="204" xfId="0" applyNumberFormat="1" applyFont="1" applyFill="1" applyBorder="1" applyAlignment="1">
      <alignment horizontal="right"/>
    </xf>
    <xf numFmtId="37" fontId="4" fillId="27" borderId="205" xfId="0" applyNumberFormat="1" applyFont="1" applyFill="1" applyBorder="1" applyAlignment="1">
      <alignment horizontal="right"/>
    </xf>
    <xf numFmtId="37" fontId="9" fillId="27" borderId="1" xfId="0" applyNumberFormat="1" applyFont="1" applyFill="1" applyBorder="1" applyAlignment="1">
      <alignment horizontal="right" vertical="top"/>
    </xf>
    <xf numFmtId="37" fontId="125" fillId="15" borderId="3" xfId="0" applyNumberFormat="1" applyFont="1" applyFill="1" applyBorder="1" applyAlignment="1">
      <alignment horizontal="right"/>
    </xf>
    <xf numFmtId="37" fontId="125" fillId="15" borderId="0" xfId="0" applyNumberFormat="1" applyFont="1" applyFill="1" applyAlignment="1">
      <alignment horizontal="right"/>
    </xf>
    <xf numFmtId="37" fontId="15" fillId="28" borderId="0" xfId="0" applyNumberFormat="1" applyFont="1" applyFill="1" applyAlignment="1">
      <alignment horizontal="right"/>
    </xf>
    <xf numFmtId="0" fontId="15" fillId="0" borderId="0" xfId="0" applyFont="1" applyAlignment="1">
      <alignment horizontal="right"/>
    </xf>
    <xf numFmtId="0" fontId="223" fillId="31" borderId="27" xfId="0" applyFont="1" applyFill="1" applyBorder="1" applyAlignment="1">
      <alignment horizontal="center" vertical="center"/>
    </xf>
    <xf numFmtId="37" fontId="15" fillId="28" borderId="13" xfId="0" applyNumberFormat="1" applyFont="1" applyFill="1" applyBorder="1" applyAlignment="1">
      <alignment horizontal="right"/>
    </xf>
    <xf numFmtId="0" fontId="15" fillId="0" borderId="13" xfId="0" applyFont="1" applyBorder="1" applyAlignment="1">
      <alignment horizontal="right"/>
    </xf>
    <xf numFmtId="0" fontId="15" fillId="0" borderId="1" xfId="0" applyFont="1" applyBorder="1" applyAlignment="1">
      <alignment horizontal="right"/>
    </xf>
    <xf numFmtId="37" fontId="15" fillId="20" borderId="12" xfId="0" applyNumberFormat="1" applyFont="1" applyFill="1" applyBorder="1" applyAlignment="1" applyProtection="1">
      <alignment horizontal="right"/>
      <protection locked="0"/>
    </xf>
    <xf numFmtId="37" fontId="15" fillId="16" borderId="12" xfId="0" applyNumberFormat="1" applyFont="1" applyFill="1" applyBorder="1" applyAlignment="1" applyProtection="1">
      <alignment horizontal="right"/>
      <protection locked="0"/>
    </xf>
    <xf numFmtId="37" fontId="15" fillId="26" borderId="12" xfId="0" applyNumberFormat="1" applyFont="1" applyFill="1" applyBorder="1" applyAlignment="1">
      <alignment horizontal="right"/>
    </xf>
    <xf numFmtId="37" fontId="15" fillId="27" borderId="12" xfId="0" applyNumberFormat="1" applyFont="1" applyFill="1" applyBorder="1" applyAlignment="1">
      <alignment horizontal="right"/>
    </xf>
    <xf numFmtId="37" fontId="15" fillId="28" borderId="69" xfId="0" applyNumberFormat="1" applyFont="1" applyFill="1" applyBorder="1" applyAlignment="1">
      <alignment horizontal="right"/>
    </xf>
    <xf numFmtId="37" fontId="15" fillId="28" borderId="4" xfId="0" applyNumberFormat="1" applyFont="1" applyFill="1" applyBorder="1" applyAlignment="1">
      <alignment horizontal="right"/>
    </xf>
    <xf numFmtId="0" fontId="15" fillId="16" borderId="1" xfId="0" applyFont="1" applyFill="1" applyBorder="1" applyAlignment="1" applyProtection="1">
      <alignment horizontal="right"/>
      <protection locked="0"/>
    </xf>
    <xf numFmtId="39" fontId="15" fillId="26" borderId="39" xfId="0" applyNumberFormat="1" applyFont="1" applyFill="1" applyBorder="1" applyAlignment="1">
      <alignment horizontal="right"/>
    </xf>
    <xf numFmtId="39" fontId="15" fillId="26" borderId="25" xfId="0" applyNumberFormat="1" applyFont="1" applyFill="1" applyBorder="1" applyAlignment="1">
      <alignment horizontal="right"/>
    </xf>
    <xf numFmtId="37" fontId="168" fillId="14" borderId="8" xfId="0" applyNumberFormat="1" applyFont="1" applyFill="1" applyBorder="1" applyAlignment="1">
      <alignment horizontal="center"/>
    </xf>
    <xf numFmtId="37" fontId="168" fillId="14" borderId="14" xfId="0" applyNumberFormat="1" applyFont="1" applyFill="1" applyBorder="1" applyAlignment="1">
      <alignment horizontal="center"/>
    </xf>
    <xf numFmtId="177" fontId="15" fillId="26" borderId="47" xfId="0" applyNumberFormat="1" applyFont="1" applyFill="1" applyBorder="1" applyAlignment="1">
      <alignment horizontal="right"/>
    </xf>
    <xf numFmtId="177" fontId="15" fillId="27" borderId="27" xfId="0" applyNumberFormat="1" applyFont="1" applyFill="1" applyBorder="1" applyAlignment="1">
      <alignment horizontal="right"/>
    </xf>
    <xf numFmtId="177" fontId="15" fillId="27" borderId="203" xfId="0" applyNumberFormat="1" applyFont="1" applyFill="1" applyBorder="1" applyAlignment="1">
      <alignment horizontal="right"/>
    </xf>
    <xf numFmtId="0" fontId="4" fillId="16" borderId="1" xfId="0" applyFont="1" applyFill="1" applyBorder="1" applyAlignment="1" applyProtection="1">
      <alignment horizontal="right"/>
      <protection locked="0"/>
    </xf>
    <xf numFmtId="0" fontId="6" fillId="15" borderId="21" xfId="0" applyFont="1" applyFill="1" applyBorder="1" applyAlignment="1">
      <alignment horizontal="center"/>
    </xf>
    <xf numFmtId="0" fontId="6" fillId="0" borderId="4" xfId="0" applyFont="1" applyBorder="1" applyAlignment="1">
      <alignment horizontal="center"/>
    </xf>
    <xf numFmtId="0" fontId="6" fillId="0" borderId="22" xfId="0" applyFont="1" applyBorder="1" applyAlignment="1">
      <alignment horizontal="center"/>
    </xf>
    <xf numFmtId="0" fontId="20" fillId="28" borderId="0" xfId="0" quotePrefix="1" applyFont="1" applyFill="1" applyAlignment="1" applyProtection="1">
      <alignment vertical="center"/>
      <protection locked="0"/>
    </xf>
    <xf numFmtId="0" fontId="74" fillId="25" borderId="0" xfId="0" applyFont="1" applyFill="1" applyAlignment="1" applyProtection="1">
      <alignment vertical="center"/>
      <protection locked="0"/>
    </xf>
    <xf numFmtId="0" fontId="74" fillId="0" borderId="0" xfId="0" applyFont="1" applyAlignment="1" applyProtection="1">
      <alignment vertical="center"/>
      <protection locked="0"/>
    </xf>
    <xf numFmtId="0" fontId="74" fillId="0" borderId="24" xfId="0" applyFont="1" applyBorder="1" applyAlignment="1" applyProtection="1">
      <alignment vertical="center"/>
      <protection locked="0"/>
    </xf>
    <xf numFmtId="0" fontId="74" fillId="0" borderId="1" xfId="0" applyFont="1" applyBorder="1" applyAlignment="1" applyProtection="1">
      <alignment vertical="center"/>
      <protection locked="0"/>
    </xf>
    <xf numFmtId="0" fontId="74" fillId="0" borderId="11" xfId="0" applyFont="1" applyBorder="1" applyAlignment="1" applyProtection="1">
      <alignment vertical="center"/>
      <protection locked="0"/>
    </xf>
    <xf numFmtId="166" fontId="11" fillId="28" borderId="3" xfId="0" quotePrefix="1" applyNumberFormat="1" applyFont="1" applyFill="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 xfId="0" applyBorder="1" applyAlignment="1" applyProtection="1">
      <alignment horizontal="center" vertical="center"/>
      <protection locked="0"/>
    </xf>
    <xf numFmtId="37" fontId="9" fillId="14" borderId="39" xfId="0" applyNumberFormat="1" applyFont="1" applyFill="1" applyBorder="1" applyAlignment="1">
      <alignment horizontal="center"/>
    </xf>
    <xf numFmtId="173" fontId="15" fillId="20" borderId="39" xfId="0" applyNumberFormat="1" applyFont="1" applyFill="1" applyBorder="1" applyAlignment="1" applyProtection="1">
      <alignment horizontal="right"/>
      <protection locked="0"/>
    </xf>
    <xf numFmtId="173" fontId="15" fillId="20" borderId="25" xfId="0" applyNumberFormat="1" applyFont="1" applyFill="1" applyBorder="1" applyAlignment="1" applyProtection="1">
      <alignment horizontal="right"/>
      <protection locked="0"/>
    </xf>
    <xf numFmtId="0" fontId="0" fillId="15" borderId="26" xfId="0" applyFill="1" applyBorder="1" applyAlignment="1">
      <alignment horizontal="center"/>
    </xf>
    <xf numFmtId="39" fontId="15" fillId="28" borderId="69" xfId="0" applyNumberFormat="1" applyFont="1" applyFill="1" applyBorder="1" applyAlignment="1">
      <alignment horizontal="right"/>
    </xf>
    <xf numFmtId="39" fontId="15" fillId="28" borderId="4" xfId="0" applyNumberFormat="1" applyFont="1" applyFill="1" applyBorder="1" applyAlignment="1">
      <alignment horizontal="right"/>
    </xf>
    <xf numFmtId="0" fontId="6" fillId="15" borderId="5" xfId="0" applyFont="1" applyFill="1" applyBorder="1" applyAlignment="1">
      <alignment horizontal="center"/>
    </xf>
    <xf numFmtId="37" fontId="15" fillId="20" borderId="69" xfId="0" applyNumberFormat="1" applyFont="1" applyFill="1" applyBorder="1" applyAlignment="1" applyProtection="1">
      <alignment horizontal="right"/>
      <protection locked="0"/>
    </xf>
    <xf numFmtId="37" fontId="15" fillId="20" borderId="4" xfId="0" applyNumberFormat="1" applyFont="1" applyFill="1" applyBorder="1" applyAlignment="1" applyProtection="1">
      <alignment horizontal="right"/>
      <protection locked="0"/>
    </xf>
    <xf numFmtId="0" fontId="6" fillId="15" borderId="5" xfId="0" applyFont="1" applyFill="1" applyBorder="1" applyAlignment="1">
      <alignment horizontal="center" vertical="top"/>
    </xf>
    <xf numFmtId="0" fontId="0" fillId="0" borderId="0" xfId="0" applyAlignment="1">
      <alignment horizontal="center" vertical="top"/>
    </xf>
    <xf numFmtId="0" fontId="0" fillId="0" borderId="20" xfId="0" applyBorder="1" applyAlignment="1">
      <alignment horizontal="center" vertical="top"/>
    </xf>
    <xf numFmtId="37" fontId="15" fillId="26" borderId="0" xfId="0" applyNumberFormat="1" applyFont="1" applyFill="1" applyAlignment="1">
      <alignment horizontal="right"/>
    </xf>
    <xf numFmtId="37" fontId="15" fillId="27" borderId="0" xfId="0" applyNumberFormat="1" applyFont="1" applyFill="1" applyAlignment="1">
      <alignment horizontal="right"/>
    </xf>
    <xf numFmtId="37" fontId="15" fillId="27" borderId="4" xfId="0" applyNumberFormat="1" applyFont="1" applyFill="1" applyBorder="1" applyAlignment="1">
      <alignment horizontal="right"/>
    </xf>
    <xf numFmtId="0" fontId="110" fillId="15" borderId="25" xfId="0" applyFont="1" applyFill="1" applyBorder="1" applyAlignment="1">
      <alignment horizontal="center"/>
    </xf>
    <xf numFmtId="37" fontId="15" fillId="27" borderId="1" xfId="0" applyNumberFormat="1" applyFont="1" applyFill="1" applyBorder="1" applyAlignment="1">
      <alignment horizontal="right"/>
    </xf>
    <xf numFmtId="0" fontId="4" fillId="15" borderId="190" xfId="0" applyFont="1" applyFill="1" applyBorder="1" applyAlignment="1">
      <alignment horizontal="center"/>
    </xf>
    <xf numFmtId="0" fontId="0" fillId="0" borderId="34" xfId="0" applyBorder="1" applyAlignment="1">
      <alignment horizontal="center"/>
    </xf>
    <xf numFmtId="0" fontId="20" fillId="27" borderId="25" xfId="0" quotePrefix="1" applyFont="1" applyFill="1" applyBorder="1" applyAlignment="1">
      <alignment horizontal="left" vertical="center"/>
    </xf>
    <xf numFmtId="0" fontId="74" fillId="27" borderId="25" xfId="0" applyFont="1" applyFill="1" applyBorder="1" applyAlignment="1">
      <alignment horizontal="left" vertical="center"/>
    </xf>
    <xf numFmtId="0" fontId="74" fillId="27" borderId="54" xfId="0" applyFont="1" applyFill="1" applyBorder="1" applyAlignment="1">
      <alignment horizontal="left" vertical="center"/>
    </xf>
    <xf numFmtId="166" fontId="20" fillId="27" borderId="39" xfId="0" applyNumberFormat="1" applyFont="1" applyFill="1" applyBorder="1" applyAlignment="1">
      <alignment horizontal="center" vertical="center"/>
    </xf>
    <xf numFmtId="166" fontId="20" fillId="27" borderId="25" xfId="0" applyNumberFormat="1" applyFont="1" applyFill="1" applyBorder="1" applyAlignment="1">
      <alignment horizontal="center" vertical="center"/>
    </xf>
    <xf numFmtId="0" fontId="47" fillId="15" borderId="8" xfId="0" applyFont="1" applyFill="1" applyBorder="1" applyAlignment="1">
      <alignment horizontal="left" vertical="center" wrapText="1"/>
    </xf>
    <xf numFmtId="0" fontId="47" fillId="15" borderId="0" xfId="0" applyFont="1" applyFill="1" applyAlignment="1">
      <alignment horizontal="left" vertical="center" wrapText="1"/>
    </xf>
    <xf numFmtId="0" fontId="47" fillId="15" borderId="1" xfId="0" applyFont="1" applyFill="1" applyBorder="1" applyAlignment="1">
      <alignment horizontal="left" vertical="center" wrapText="1"/>
    </xf>
    <xf numFmtId="0" fontId="47" fillId="15" borderId="14" xfId="0" applyFont="1" applyFill="1" applyBorder="1" applyAlignment="1">
      <alignment horizontal="left" vertical="center" wrapText="1"/>
    </xf>
    <xf numFmtId="0" fontId="47" fillId="15" borderId="24" xfId="0" applyFont="1" applyFill="1" applyBorder="1" applyAlignment="1">
      <alignment horizontal="left" vertical="center" wrapText="1"/>
    </xf>
    <xf numFmtId="49" fontId="44" fillId="16" borderId="0" xfId="0" applyNumberFormat="1" applyFont="1" applyFill="1" applyAlignment="1" applyProtection="1">
      <alignment horizontal="left"/>
      <protection locked="0"/>
    </xf>
    <xf numFmtId="49" fontId="44" fillId="16" borderId="24" xfId="0" applyNumberFormat="1" applyFont="1" applyFill="1" applyBorder="1" applyAlignment="1" applyProtection="1">
      <alignment horizontal="left"/>
      <protection locked="0"/>
    </xf>
    <xf numFmtId="49" fontId="44" fillId="16" borderId="1" xfId="0" applyNumberFormat="1" applyFont="1" applyFill="1" applyBorder="1" applyAlignment="1" applyProtection="1">
      <alignment horizontal="left"/>
      <protection locked="0"/>
    </xf>
    <xf numFmtId="49" fontId="44" fillId="16" borderId="11" xfId="0" applyNumberFormat="1" applyFont="1" applyFill="1" applyBorder="1" applyAlignment="1" applyProtection="1">
      <alignment horizontal="left"/>
      <protection locked="0"/>
    </xf>
    <xf numFmtId="166" fontId="20" fillId="16" borderId="1" xfId="0" applyNumberFormat="1" applyFont="1" applyFill="1" applyBorder="1" applyAlignment="1" applyProtection="1">
      <alignment horizontal="center"/>
      <protection locked="0"/>
    </xf>
    <xf numFmtId="0" fontId="20" fillId="16" borderId="1" xfId="0" applyFont="1" applyFill="1" applyBorder="1" applyAlignment="1" applyProtection="1">
      <alignment horizontal="left"/>
      <protection locked="0"/>
    </xf>
    <xf numFmtId="0" fontId="20" fillId="16" borderId="11" xfId="0" applyFont="1" applyFill="1" applyBorder="1" applyAlignment="1" applyProtection="1">
      <alignment horizontal="left"/>
      <protection locked="0"/>
    </xf>
    <xf numFmtId="39" fontId="6" fillId="15" borderId="5" xfId="0" applyNumberFormat="1" applyFont="1" applyFill="1" applyBorder="1" applyAlignment="1">
      <alignment horizontal="left"/>
    </xf>
    <xf numFmtId="39" fontId="6" fillId="15" borderId="0" xfId="0" applyNumberFormat="1" applyFont="1" applyFill="1" applyAlignment="1">
      <alignment horizontal="left"/>
    </xf>
    <xf numFmtId="0" fontId="158" fillId="15" borderId="0" xfId="0" applyFont="1" applyFill="1" applyAlignment="1">
      <alignment horizontal="left" vertical="center" wrapText="1"/>
    </xf>
    <xf numFmtId="0" fontId="20" fillId="16" borderId="9" xfId="0" applyFont="1" applyFill="1" applyBorder="1" applyAlignment="1" applyProtection="1">
      <alignment horizontal="left" indent="1"/>
      <protection locked="0"/>
    </xf>
    <xf numFmtId="0" fontId="20" fillId="16" borderId="1" xfId="0" applyFont="1" applyFill="1" applyBorder="1" applyAlignment="1" applyProtection="1">
      <alignment horizontal="left" indent="1"/>
      <protection locked="0"/>
    </xf>
    <xf numFmtId="0" fontId="11" fillId="16" borderId="9" xfId="0" applyFont="1" applyFill="1" applyBorder="1" applyAlignment="1" applyProtection="1">
      <alignment horizontal="left" indent="1"/>
      <protection locked="0"/>
    </xf>
    <xf numFmtId="0" fontId="110" fillId="15" borderId="3" xfId="0" applyFont="1" applyFill="1" applyBorder="1" applyAlignment="1">
      <alignment horizontal="center"/>
    </xf>
    <xf numFmtId="0" fontId="123" fillId="31" borderId="27" xfId="0" applyFont="1" applyFill="1" applyBorder="1" applyAlignment="1">
      <alignment horizontal="center" vertical="center"/>
    </xf>
    <xf numFmtId="0" fontId="15" fillId="25" borderId="1" xfId="0" applyFont="1" applyFill="1" applyBorder="1" applyAlignment="1">
      <alignment horizontal="right"/>
    </xf>
    <xf numFmtId="37" fontId="110" fillId="15" borderId="0" xfId="0" applyNumberFormat="1" applyFont="1" applyFill="1" applyAlignment="1">
      <alignment horizontal="center"/>
    </xf>
    <xf numFmtId="195" fontId="15" fillId="28" borderId="1" xfId="0" applyNumberFormat="1" applyFont="1" applyFill="1" applyBorder="1" applyAlignment="1">
      <alignment horizontal="right"/>
    </xf>
    <xf numFmtId="195" fontId="15" fillId="25" borderId="1" xfId="0" applyNumberFormat="1" applyFont="1" applyFill="1" applyBorder="1" applyAlignment="1">
      <alignment horizontal="right"/>
    </xf>
    <xf numFmtId="39" fontId="34" fillId="15" borderId="23" xfId="0" applyNumberFormat="1" applyFont="1" applyFill="1" applyBorder="1" applyAlignment="1">
      <alignment horizontal="center"/>
    </xf>
    <xf numFmtId="39" fontId="34" fillId="15" borderId="7" xfId="0" applyNumberFormat="1" applyFont="1" applyFill="1" applyBorder="1" applyAlignment="1">
      <alignment horizontal="center"/>
    </xf>
    <xf numFmtId="39" fontId="34" fillId="15" borderId="19" xfId="0" applyNumberFormat="1" applyFont="1" applyFill="1" applyBorder="1" applyAlignment="1">
      <alignment horizontal="center"/>
    </xf>
    <xf numFmtId="0" fontId="20" fillId="28" borderId="0" xfId="0" quotePrefix="1" applyFont="1" applyFill="1" applyAlignment="1">
      <alignment vertical="center"/>
    </xf>
    <xf numFmtId="0" fontId="74" fillId="25" borderId="0" xfId="0" applyFont="1" applyFill="1" applyAlignment="1">
      <alignment vertical="center"/>
    </xf>
    <xf numFmtId="0" fontId="74" fillId="0" borderId="0" xfId="0" applyFont="1" applyAlignment="1">
      <alignment vertical="center"/>
    </xf>
    <xf numFmtId="0" fontId="74" fillId="0" borderId="24" xfId="0" applyFont="1" applyBorder="1" applyAlignment="1">
      <alignment vertical="center"/>
    </xf>
    <xf numFmtId="0" fontId="74" fillId="0" borderId="1" xfId="0" applyFont="1" applyBorder="1" applyAlignment="1">
      <alignment vertical="center"/>
    </xf>
    <xf numFmtId="0" fontId="74" fillId="0" borderId="11" xfId="0" applyFont="1" applyBorder="1" applyAlignment="1">
      <alignment vertical="center"/>
    </xf>
    <xf numFmtId="166" fontId="20" fillId="28" borderId="3" xfId="0" quotePrefix="1" applyNumberFormat="1" applyFont="1" applyFill="1" applyBorder="1" applyAlignment="1">
      <alignment horizontal="center" vertical="center"/>
    </xf>
    <xf numFmtId="0" fontId="74" fillId="0" borderId="0" xfId="0" applyFont="1" applyAlignment="1">
      <alignment horizontal="center" vertical="center"/>
    </xf>
    <xf numFmtId="0" fontId="74" fillId="0" borderId="9" xfId="0" applyFont="1" applyBorder="1" applyAlignment="1">
      <alignment horizontal="center" vertical="center"/>
    </xf>
    <xf numFmtId="0" fontId="74" fillId="0" borderId="1" xfId="0" applyFont="1" applyBorder="1" applyAlignment="1">
      <alignment horizontal="center" vertical="center"/>
    </xf>
    <xf numFmtId="0" fontId="4" fillId="15" borderId="0" xfId="0" applyFont="1" applyFill="1" applyAlignment="1">
      <alignment horizontal="center" textRotation="90"/>
    </xf>
    <xf numFmtId="0" fontId="11" fillId="15" borderId="5" xfId="0" applyFont="1" applyFill="1" applyBorder="1" applyAlignment="1">
      <alignment horizontal="center" wrapText="1"/>
    </xf>
    <xf numFmtId="0" fontId="14" fillId="0" borderId="0" xfId="0" applyFont="1" applyAlignment="1">
      <alignment horizontal="center"/>
    </xf>
    <xf numFmtId="0" fontId="14" fillId="0" borderId="20" xfId="0" applyFont="1" applyBorder="1" applyAlignment="1">
      <alignment horizontal="center"/>
    </xf>
    <xf numFmtId="0" fontId="14" fillId="0" borderId="5" xfId="0" applyFont="1" applyBorder="1" applyAlignment="1">
      <alignment horizontal="center"/>
    </xf>
    <xf numFmtId="37" fontId="0" fillId="15" borderId="3" xfId="0" applyNumberFormat="1" applyFill="1" applyBorder="1" applyAlignment="1">
      <alignment horizontal="center"/>
    </xf>
    <xf numFmtId="37" fontId="0" fillId="15" borderId="0" xfId="0" applyNumberFormat="1" applyFill="1" applyAlignment="1">
      <alignment horizontal="center"/>
    </xf>
    <xf numFmtId="37" fontId="0" fillId="15" borderId="24" xfId="0" applyNumberFormat="1" applyFill="1" applyBorder="1" applyAlignment="1">
      <alignment horizontal="center"/>
    </xf>
    <xf numFmtId="0" fontId="0" fillId="15" borderId="30" xfId="0" applyFill="1" applyBorder="1" applyAlignment="1">
      <alignment horizontal="center"/>
    </xf>
    <xf numFmtId="0" fontId="0" fillId="15" borderId="8" xfId="0" applyFill="1" applyBorder="1" applyAlignment="1">
      <alignment horizontal="center"/>
    </xf>
    <xf numFmtId="0" fontId="0" fillId="15" borderId="14" xfId="0" applyFill="1" applyBorder="1" applyAlignment="1">
      <alignment horizontal="center"/>
    </xf>
    <xf numFmtId="37" fontId="15" fillId="0" borderId="4" xfId="0" applyNumberFormat="1" applyFont="1" applyBorder="1" applyAlignment="1">
      <alignment horizontal="right"/>
    </xf>
    <xf numFmtId="37" fontId="15" fillId="26" borderId="10" xfId="0" applyNumberFormat="1" applyFont="1" applyFill="1" applyBorder="1" applyAlignment="1">
      <alignment horizontal="right"/>
    </xf>
    <xf numFmtId="0" fontId="15" fillId="27" borderId="10" xfId="0" applyFont="1" applyFill="1" applyBorder="1" applyAlignment="1">
      <alignment horizontal="right"/>
    </xf>
    <xf numFmtId="0" fontId="15" fillId="27" borderId="9" xfId="0" applyFont="1" applyFill="1" applyBorder="1" applyAlignment="1">
      <alignment horizontal="right"/>
    </xf>
    <xf numFmtId="6" fontId="14" fillId="15" borderId="9" xfId="0" quotePrefix="1" applyNumberFormat="1" applyFont="1" applyFill="1" applyBorder="1" applyAlignment="1">
      <alignment horizontal="center"/>
    </xf>
    <xf numFmtId="0" fontId="14" fillId="15" borderId="1" xfId="0" applyFont="1" applyFill="1" applyBorder="1" applyAlignment="1">
      <alignment horizontal="center"/>
    </xf>
    <xf numFmtId="0" fontId="14" fillId="15" borderId="11" xfId="0" applyFont="1" applyFill="1" applyBorder="1" applyAlignment="1">
      <alignment horizontal="center"/>
    </xf>
    <xf numFmtId="0" fontId="14" fillId="15" borderId="9" xfId="0" quotePrefix="1" applyFont="1" applyFill="1" applyBorder="1" applyAlignment="1">
      <alignment horizontal="center"/>
    </xf>
    <xf numFmtId="200" fontId="14" fillId="15" borderId="9" xfId="0" applyNumberFormat="1" applyFont="1" applyFill="1" applyBorder="1" applyAlignment="1">
      <alignment horizontal="center"/>
    </xf>
    <xf numFmtId="200" fontId="14" fillId="15" borderId="1" xfId="0" applyNumberFormat="1" applyFont="1" applyFill="1" applyBorder="1" applyAlignment="1">
      <alignment horizontal="center"/>
    </xf>
    <xf numFmtId="200" fontId="14" fillId="15" borderId="11" xfId="0" applyNumberFormat="1" applyFont="1" applyFill="1" applyBorder="1" applyAlignment="1">
      <alignment horizontal="center"/>
    </xf>
    <xf numFmtId="0" fontId="14" fillId="15" borderId="8" xfId="0" applyFont="1" applyFill="1" applyBorder="1" applyAlignment="1">
      <alignment horizontal="center"/>
    </xf>
    <xf numFmtId="6" fontId="14" fillId="15" borderId="3" xfId="0" quotePrefix="1" applyNumberFormat="1" applyFont="1" applyFill="1" applyBorder="1" applyAlignment="1">
      <alignment horizontal="center"/>
    </xf>
    <xf numFmtId="0" fontId="14" fillId="15" borderId="0" xfId="0" applyFont="1" applyFill="1" applyAlignment="1">
      <alignment horizontal="center"/>
    </xf>
    <xf numFmtId="0" fontId="14" fillId="15" borderId="24" xfId="0" applyFont="1" applyFill="1" applyBorder="1" applyAlignment="1">
      <alignment horizontal="center"/>
    </xf>
    <xf numFmtId="200" fontId="14" fillId="15" borderId="3" xfId="0" applyNumberFormat="1" applyFont="1" applyFill="1" applyBorder="1" applyAlignment="1">
      <alignment horizontal="center"/>
    </xf>
    <xf numFmtId="200" fontId="14" fillId="15" borderId="0" xfId="0" applyNumberFormat="1" applyFont="1" applyFill="1" applyAlignment="1">
      <alignment horizontal="center"/>
    </xf>
    <xf numFmtId="200" fontId="14" fillId="15" borderId="24" xfId="0" applyNumberFormat="1" applyFont="1" applyFill="1" applyBorder="1" applyAlignment="1">
      <alignment horizontal="center"/>
    </xf>
    <xf numFmtId="37" fontId="14" fillId="26" borderId="1" xfId="0" applyNumberFormat="1" applyFont="1" applyFill="1" applyBorder="1" applyAlignment="1">
      <alignment horizontal="left"/>
    </xf>
    <xf numFmtId="0" fontId="134" fillId="15" borderId="0" xfId="0" applyFont="1" applyFill="1" applyAlignment="1">
      <alignment horizontal="center"/>
    </xf>
    <xf numFmtId="0" fontId="15" fillId="15" borderId="11" xfId="0" applyFont="1" applyFill="1" applyBorder="1" applyAlignment="1">
      <alignment horizontal="center"/>
    </xf>
    <xf numFmtId="0" fontId="14" fillId="15" borderId="30" xfId="0" quotePrefix="1" applyFont="1" applyFill="1" applyBorder="1" applyAlignment="1">
      <alignment horizontal="center"/>
    </xf>
    <xf numFmtId="0" fontId="14" fillId="15" borderId="14" xfId="0" applyFont="1" applyFill="1" applyBorder="1" applyAlignment="1">
      <alignment horizontal="center"/>
    </xf>
    <xf numFmtId="6" fontId="14" fillId="15" borderId="30" xfId="0" applyNumberFormat="1" applyFont="1" applyFill="1" applyBorder="1" applyAlignment="1">
      <alignment horizontal="center"/>
    </xf>
    <xf numFmtId="200" fontId="14" fillId="15" borderId="30" xfId="0" applyNumberFormat="1" applyFont="1" applyFill="1" applyBorder="1" applyAlignment="1">
      <alignment horizontal="center"/>
    </xf>
    <xf numFmtId="200" fontId="14" fillId="15" borderId="8" xfId="0" applyNumberFormat="1" applyFont="1" applyFill="1" applyBorder="1" applyAlignment="1">
      <alignment horizontal="center"/>
    </xf>
    <xf numFmtId="200" fontId="14" fillId="15" borderId="14" xfId="0" applyNumberFormat="1" applyFont="1" applyFill="1" applyBorder="1" applyAlignment="1">
      <alignment horizontal="center"/>
    </xf>
    <xf numFmtId="200" fontId="110" fillId="15" borderId="1" xfId="0" applyNumberFormat="1" applyFont="1" applyFill="1" applyBorder="1" applyAlignment="1">
      <alignment horizontal="center"/>
    </xf>
    <xf numFmtId="0" fontId="11" fillId="15" borderId="54" xfId="0" applyFont="1" applyFill="1" applyBorder="1" applyAlignment="1">
      <alignment horizontal="center"/>
    </xf>
    <xf numFmtId="0" fontId="47" fillId="15" borderId="30" xfId="0" applyFont="1" applyFill="1" applyBorder="1" applyAlignment="1">
      <alignment horizontal="center" vertical="center" wrapText="1"/>
    </xf>
    <xf numFmtId="0" fontId="47" fillId="15" borderId="8" xfId="0" applyFont="1" applyFill="1" applyBorder="1" applyAlignment="1">
      <alignment horizontal="center" vertical="center" wrapText="1"/>
    </xf>
    <xf numFmtId="0" fontId="47" fillId="15" borderId="14" xfId="0" applyFont="1" applyFill="1" applyBorder="1" applyAlignment="1">
      <alignment horizontal="center" vertical="center" wrapText="1"/>
    </xf>
    <xf numFmtId="0" fontId="47" fillId="15" borderId="3" xfId="0" applyFont="1" applyFill="1" applyBorder="1" applyAlignment="1">
      <alignment horizontal="center" vertical="center" wrapText="1"/>
    </xf>
    <xf numFmtId="0" fontId="47" fillId="15" borderId="0" xfId="0" applyFont="1" applyFill="1" applyAlignment="1">
      <alignment horizontal="center" vertical="center" wrapText="1"/>
    </xf>
    <xf numFmtId="0" fontId="47" fillId="15" borderId="24" xfId="0" applyFont="1" applyFill="1" applyBorder="1" applyAlignment="1">
      <alignment horizontal="center" vertical="center" wrapText="1"/>
    </xf>
    <xf numFmtId="0" fontId="47" fillId="15" borderId="9" xfId="0" applyFont="1" applyFill="1" applyBorder="1" applyAlignment="1">
      <alignment horizontal="center" vertical="center" wrapText="1"/>
    </xf>
    <xf numFmtId="0" fontId="47" fillId="15" borderId="1" xfId="0" applyFont="1" applyFill="1" applyBorder="1" applyAlignment="1">
      <alignment horizontal="center" vertical="center" wrapText="1"/>
    </xf>
    <xf numFmtId="0" fontId="47" fillId="15" borderId="11" xfId="0" applyFont="1" applyFill="1" applyBorder="1" applyAlignment="1">
      <alignment horizontal="center" vertical="center" wrapText="1"/>
    </xf>
    <xf numFmtId="37" fontId="110" fillId="15" borderId="24" xfId="0" applyNumberFormat="1" applyFont="1" applyFill="1" applyBorder="1" applyAlignment="1">
      <alignment horizontal="center"/>
    </xf>
    <xf numFmtId="37" fontId="11" fillId="27" borderId="52" xfId="0" applyNumberFormat="1" applyFont="1" applyFill="1" applyBorder="1" applyAlignment="1">
      <alignment horizontal="right"/>
    </xf>
    <xf numFmtId="37" fontId="11" fillId="27" borderId="31" xfId="0" applyNumberFormat="1" applyFont="1" applyFill="1" applyBorder="1" applyAlignment="1">
      <alignment horizontal="right"/>
    </xf>
    <xf numFmtId="37" fontId="11" fillId="27" borderId="73" xfId="0" applyNumberFormat="1" applyFont="1" applyFill="1" applyBorder="1" applyAlignment="1">
      <alignment horizontal="right"/>
    </xf>
    <xf numFmtId="0" fontId="110" fillId="15" borderId="36" xfId="0" applyFont="1" applyFill="1" applyBorder="1" applyAlignment="1">
      <alignment horizontal="center"/>
    </xf>
    <xf numFmtId="37" fontId="11" fillId="26" borderId="43" xfId="0" applyNumberFormat="1" applyFont="1" applyFill="1" applyBorder="1" applyAlignment="1">
      <alignment horizontal="right"/>
    </xf>
    <xf numFmtId="0" fontId="11" fillId="27" borderId="43" xfId="0" applyFont="1" applyFill="1" applyBorder="1" applyAlignment="1">
      <alignment horizontal="right"/>
    </xf>
    <xf numFmtId="0" fontId="11" fillId="27" borderId="47" xfId="0" applyFont="1" applyFill="1" applyBorder="1" applyAlignment="1">
      <alignment horizontal="right"/>
    </xf>
    <xf numFmtId="37" fontId="11" fillId="27" borderId="43" xfId="0" applyNumberFormat="1" applyFont="1" applyFill="1" applyBorder="1" applyAlignment="1">
      <alignment horizontal="right"/>
    </xf>
    <xf numFmtId="37" fontId="11" fillId="27" borderId="47" xfId="0" applyNumberFormat="1" applyFont="1" applyFill="1" applyBorder="1" applyAlignment="1">
      <alignment horizontal="right"/>
    </xf>
    <xf numFmtId="37" fontId="11" fillId="27" borderId="27" xfId="0" applyNumberFormat="1" applyFont="1" applyFill="1" applyBorder="1" applyAlignment="1">
      <alignment horizontal="right"/>
    </xf>
    <xf numFmtId="37" fontId="11" fillId="27" borderId="203" xfId="0" applyNumberFormat="1" applyFont="1" applyFill="1" applyBorder="1" applyAlignment="1">
      <alignment horizontal="right"/>
    </xf>
    <xf numFmtId="37" fontId="11" fillId="20" borderId="10" xfId="0" applyNumberFormat="1" applyFont="1" applyFill="1" applyBorder="1" applyAlignment="1" applyProtection="1">
      <alignment horizontal="right"/>
      <protection locked="0"/>
    </xf>
    <xf numFmtId="37" fontId="11" fillId="16" borderId="10" xfId="0" applyNumberFormat="1" applyFont="1" applyFill="1" applyBorder="1" applyAlignment="1" applyProtection="1">
      <alignment horizontal="right"/>
      <protection locked="0"/>
    </xf>
    <xf numFmtId="37" fontId="11" fillId="26" borderId="28" xfId="0" applyNumberFormat="1" applyFont="1" applyFill="1" applyBorder="1" applyAlignment="1">
      <alignment horizontal="right"/>
    </xf>
    <xf numFmtId="37" fontId="11" fillId="27" borderId="28" xfId="0" applyNumberFormat="1" applyFont="1" applyFill="1" applyBorder="1" applyAlignment="1">
      <alignment horizontal="right"/>
    </xf>
    <xf numFmtId="0" fontId="116" fillId="15" borderId="4" xfId="0" applyFont="1" applyFill="1" applyBorder="1" applyAlignment="1">
      <alignment horizontal="center" vertical="center"/>
    </xf>
    <xf numFmtId="0" fontId="116" fillId="15" borderId="0" xfId="0" applyFont="1" applyFill="1" applyAlignment="1">
      <alignment horizontal="center" vertical="center"/>
    </xf>
    <xf numFmtId="0" fontId="116" fillId="15" borderId="24" xfId="0" applyFont="1" applyFill="1" applyBorder="1" applyAlignment="1">
      <alignment horizontal="center" vertical="center"/>
    </xf>
    <xf numFmtId="0" fontId="15" fillId="15" borderId="27" xfId="0" applyFont="1" applyFill="1" applyBorder="1" applyAlignment="1">
      <alignment horizontal="center" vertical="center"/>
    </xf>
    <xf numFmtId="0" fontId="15" fillId="0" borderId="27" xfId="0" applyFont="1" applyBorder="1" applyAlignment="1">
      <alignment horizontal="center" vertical="center"/>
    </xf>
    <xf numFmtId="0" fontId="15" fillId="0" borderId="203" xfId="0" applyFont="1" applyBorder="1" applyAlignment="1">
      <alignment horizontal="center" vertical="center"/>
    </xf>
    <xf numFmtId="0" fontId="15" fillId="15" borderId="47" xfId="0" applyFont="1" applyFill="1" applyBorder="1" applyAlignment="1">
      <alignment horizontal="center" vertical="center"/>
    </xf>
    <xf numFmtId="3" fontId="116" fillId="15" borderId="0" xfId="0" applyNumberFormat="1" applyFont="1" applyFill="1" applyAlignment="1">
      <alignment horizontal="center" vertical="center"/>
    </xf>
    <xf numFmtId="0" fontId="20" fillId="15" borderId="5" xfId="0" applyFont="1" applyFill="1" applyBorder="1" applyAlignment="1">
      <alignment horizontal="center" vertical="center"/>
    </xf>
    <xf numFmtId="0" fontId="20" fillId="15" borderId="0" xfId="0" applyFont="1" applyFill="1" applyAlignment="1">
      <alignment horizontal="center" vertical="center"/>
    </xf>
    <xf numFmtId="0" fontId="20" fillId="15" borderId="20" xfId="0" applyFont="1" applyFill="1" applyBorder="1" applyAlignment="1">
      <alignment horizontal="center" vertical="center"/>
    </xf>
    <xf numFmtId="39" fontId="10" fillId="15" borderId="23" xfId="0" applyNumberFormat="1" applyFont="1" applyFill="1" applyBorder="1" applyAlignment="1" applyProtection="1">
      <alignment horizontal="left" vertical="top" wrapText="1"/>
      <protection locked="0"/>
    </xf>
    <xf numFmtId="39" fontId="10" fillId="15" borderId="7" xfId="0" applyNumberFormat="1" applyFont="1" applyFill="1" applyBorder="1" applyAlignment="1" applyProtection="1">
      <alignment horizontal="left" vertical="top" wrapText="1"/>
      <protection locked="0"/>
    </xf>
    <xf numFmtId="39" fontId="10" fillId="15" borderId="19" xfId="0" applyNumberFormat="1" applyFont="1" applyFill="1" applyBorder="1" applyAlignment="1" applyProtection="1">
      <alignment horizontal="left" vertical="top" wrapText="1"/>
      <protection locked="0"/>
    </xf>
    <xf numFmtId="39" fontId="10" fillId="15" borderId="5" xfId="0" applyNumberFormat="1" applyFont="1" applyFill="1" applyBorder="1" applyAlignment="1" applyProtection="1">
      <alignment horizontal="left" vertical="top" wrapText="1"/>
      <protection locked="0"/>
    </xf>
    <xf numFmtId="39" fontId="10" fillId="15" borderId="0" xfId="0" applyNumberFormat="1" applyFont="1" applyFill="1" applyAlignment="1" applyProtection="1">
      <alignment horizontal="left" vertical="top" wrapText="1"/>
      <protection locked="0"/>
    </xf>
    <xf numFmtId="39" fontId="10" fillId="15" borderId="20" xfId="0" applyNumberFormat="1" applyFont="1" applyFill="1" applyBorder="1" applyAlignment="1" applyProtection="1">
      <alignment horizontal="left" vertical="top" wrapText="1"/>
      <protection locked="0"/>
    </xf>
    <xf numFmtId="39" fontId="10" fillId="15" borderId="21" xfId="0" applyNumberFormat="1" applyFont="1" applyFill="1" applyBorder="1" applyAlignment="1" applyProtection="1">
      <alignment horizontal="left" vertical="top" wrapText="1"/>
      <protection locked="0"/>
    </xf>
    <xf numFmtId="39" fontId="10" fillId="15" borderId="4" xfId="0" applyNumberFormat="1" applyFont="1" applyFill="1" applyBorder="1" applyAlignment="1" applyProtection="1">
      <alignment horizontal="left" vertical="top" wrapText="1"/>
      <protection locked="0"/>
    </xf>
    <xf numFmtId="39" fontId="10" fillId="15" borderId="22" xfId="0" applyNumberFormat="1" applyFont="1" applyFill="1" applyBorder="1" applyAlignment="1" applyProtection="1">
      <alignment horizontal="left" vertical="top" wrapText="1"/>
      <protection locked="0"/>
    </xf>
    <xf numFmtId="0" fontId="309" fillId="15" borderId="0" xfId="0" applyFont="1" applyFill="1" applyAlignment="1">
      <alignment horizontal="left" wrapText="1"/>
    </xf>
    <xf numFmtId="0" fontId="12" fillId="0" borderId="1" xfId="0" applyFont="1" applyBorder="1" applyAlignment="1">
      <alignment horizontal="center"/>
    </xf>
    <xf numFmtId="0" fontId="6" fillId="3" borderId="0" xfId="0" applyFont="1" applyFill="1" applyAlignment="1">
      <alignment horizontal="left" wrapText="1" indent="1"/>
    </xf>
    <xf numFmtId="0" fontId="6" fillId="0" borderId="0" xfId="0" applyFont="1" applyAlignment="1">
      <alignment horizontal="left" wrapText="1" indent="1"/>
    </xf>
    <xf numFmtId="0" fontId="6" fillId="3" borderId="1" xfId="0" applyFont="1" applyFill="1" applyBorder="1" applyAlignment="1">
      <alignment horizontal="left" wrapText="1" indent="1"/>
    </xf>
    <xf numFmtId="0" fontId="6" fillId="0" borderId="1" xfId="0" applyFont="1" applyBorder="1" applyAlignment="1">
      <alignment horizontal="left" wrapText="1" indent="1"/>
    </xf>
    <xf numFmtId="0" fontId="104" fillId="3" borderId="80" xfId="0" applyFont="1" applyFill="1" applyBorder="1" applyAlignment="1">
      <alignment horizontal="center" vertical="center"/>
    </xf>
    <xf numFmtId="0" fontId="133" fillId="0" borderId="8" xfId="0" applyFont="1" applyBorder="1" applyAlignment="1">
      <alignment horizontal="center"/>
    </xf>
    <xf numFmtId="0" fontId="133" fillId="0" borderId="5" xfId="0" applyFont="1" applyBorder="1" applyAlignment="1">
      <alignment horizontal="center"/>
    </xf>
    <xf numFmtId="0" fontId="133" fillId="0" borderId="0" xfId="0" applyFont="1" applyAlignment="1">
      <alignment horizontal="center"/>
    </xf>
    <xf numFmtId="0" fontId="44" fillId="3" borderId="5" xfId="0" applyFont="1" applyFill="1" applyBorder="1" applyAlignment="1">
      <alignment horizontal="center"/>
    </xf>
    <xf numFmtId="0" fontId="44" fillId="3" borderId="20" xfId="0" applyFont="1" applyFill="1" applyBorder="1" applyAlignment="1">
      <alignment horizontal="center"/>
    </xf>
    <xf numFmtId="4" fontId="8" fillId="3" borderId="56" xfId="0" applyNumberFormat="1" applyFont="1" applyFill="1" applyBorder="1" applyAlignment="1">
      <alignment horizontal="left" vertical="center" wrapText="1"/>
    </xf>
    <xf numFmtId="4" fontId="8" fillId="3" borderId="7" xfId="0" applyNumberFormat="1" applyFont="1" applyFill="1" applyBorder="1" applyAlignment="1">
      <alignment horizontal="left" vertical="center" wrapText="1"/>
    </xf>
    <xf numFmtId="1" fontId="12" fillId="3" borderId="0" xfId="0" applyNumberFormat="1" applyFont="1" applyFill="1" applyAlignment="1">
      <alignment horizontal="center"/>
    </xf>
    <xf numFmtId="0" fontId="47" fillId="3" borderId="8" xfId="0" applyFont="1" applyFill="1" applyBorder="1" applyAlignment="1">
      <alignment horizontal="left" vertical="center" wrapText="1" indent="1"/>
    </xf>
    <xf numFmtId="0" fontId="47" fillId="3" borderId="0" xfId="0" applyFont="1" applyFill="1" applyAlignment="1">
      <alignment horizontal="left" wrapText="1" indent="1"/>
    </xf>
    <xf numFmtId="0" fontId="47" fillId="0" borderId="0" xfId="0" applyFont="1" applyAlignment="1">
      <alignment horizontal="left" wrapText="1" indent="1"/>
    </xf>
    <xf numFmtId="4" fontId="10" fillId="3" borderId="26" xfId="0" applyNumberFormat="1" applyFont="1" applyFill="1" applyBorder="1" applyAlignment="1">
      <alignment horizontal="center"/>
    </xf>
    <xf numFmtId="0" fontId="10" fillId="0" borderId="1" xfId="0" applyFont="1" applyBorder="1" applyAlignment="1">
      <alignment horizontal="center"/>
    </xf>
    <xf numFmtId="0" fontId="8" fillId="3" borderId="0" xfId="0" applyFont="1" applyFill="1" applyAlignment="1">
      <alignment horizontal="center" vertical="center"/>
    </xf>
    <xf numFmtId="0" fontId="104" fillId="3" borderId="0" xfId="0" applyFont="1" applyFill="1" applyAlignment="1">
      <alignment horizontal="left" vertical="center"/>
    </xf>
    <xf numFmtId="0" fontId="133" fillId="0" borderId="20" xfId="0" applyFont="1" applyBorder="1" applyAlignment="1">
      <alignment horizontal="left" vertical="center"/>
    </xf>
    <xf numFmtId="0" fontId="133" fillId="0" borderId="0" xfId="0" applyFont="1" applyAlignment="1">
      <alignment vertical="center"/>
    </xf>
    <xf numFmtId="0" fontId="133" fillId="0" borderId="20" xfId="0" applyFont="1" applyBorder="1" applyAlignment="1">
      <alignment vertical="center"/>
    </xf>
    <xf numFmtId="0" fontId="120" fillId="0" borderId="0" xfId="0" applyFont="1" applyAlignment="1">
      <alignment horizontal="center" vertical="center"/>
    </xf>
    <xf numFmtId="0" fontId="120" fillId="0" borderId="20" xfId="0" applyFont="1" applyBorder="1" applyAlignment="1">
      <alignment horizontal="center" vertical="center"/>
    </xf>
    <xf numFmtId="0" fontId="6" fillId="3" borderId="8" xfId="0" applyFont="1" applyFill="1" applyBorder="1" applyAlignment="1">
      <alignment horizontal="left" wrapText="1" indent="1"/>
    </xf>
    <xf numFmtId="0" fontId="6" fillId="0" borderId="8" xfId="0" applyFont="1" applyBorder="1" applyAlignment="1">
      <alignment horizontal="left" wrapText="1" indent="1"/>
    </xf>
    <xf numFmtId="0" fontId="65" fillId="5" borderId="0" xfId="0" applyFont="1" applyFill="1" applyAlignment="1">
      <alignment horizontal="center" vertical="center" wrapText="1"/>
    </xf>
    <xf numFmtId="0" fontId="4" fillId="0" borderId="0" xfId="0" applyFont="1" applyAlignment="1">
      <alignment horizontal="center" vertical="center" wrapText="1"/>
    </xf>
    <xf numFmtId="0" fontId="10" fillId="15" borderId="0" xfId="0" applyFont="1" applyFill="1" applyAlignment="1">
      <alignment horizontal="left"/>
    </xf>
    <xf numFmtId="0" fontId="6" fillId="3" borderId="0" xfId="0" applyFont="1" applyFill="1" applyAlignment="1">
      <alignment horizontal="left" vertical="center" wrapText="1"/>
    </xf>
    <xf numFmtId="0" fontId="6" fillId="3" borderId="1" xfId="0" applyFont="1" applyFill="1" applyBorder="1" applyAlignment="1">
      <alignment horizontal="left" vertical="center" wrapText="1"/>
    </xf>
    <xf numFmtId="0" fontId="8" fillId="14" borderId="0" xfId="0" applyFont="1" applyFill="1" applyAlignment="1">
      <alignment horizontal="left"/>
    </xf>
    <xf numFmtId="0" fontId="12" fillId="0" borderId="0" xfId="0" applyFont="1" applyAlignment="1">
      <alignment horizontal="center"/>
    </xf>
    <xf numFmtId="0" fontId="6" fillId="15" borderId="0" xfId="0" quotePrefix="1" applyFont="1" applyFill="1" applyAlignment="1">
      <alignment horizontal="left" vertical="top" wrapText="1"/>
    </xf>
    <xf numFmtId="0" fontId="206" fillId="5" borderId="0" xfId="0" applyFont="1" applyFill="1" applyAlignment="1">
      <alignment horizontal="center" vertical="center" wrapText="1"/>
    </xf>
    <xf numFmtId="4" fontId="9" fillId="15" borderId="107" xfId="0" applyNumberFormat="1" applyFont="1" applyFill="1" applyBorder="1" applyAlignment="1">
      <alignment horizontal="center" wrapText="1"/>
    </xf>
    <xf numFmtId="4" fontId="9" fillId="15" borderId="27" xfId="0" applyNumberFormat="1" applyFont="1" applyFill="1" applyBorder="1" applyAlignment="1">
      <alignment horizontal="center" wrapText="1"/>
    </xf>
    <xf numFmtId="4" fontId="9" fillId="15" borderId="108" xfId="0" applyNumberFormat="1" applyFont="1" applyFill="1" applyBorder="1" applyAlignment="1">
      <alignment horizontal="center" wrapText="1"/>
    </xf>
    <xf numFmtId="0" fontId="12" fillId="15" borderId="5" xfId="0" applyFont="1" applyFill="1" applyBorder="1" applyAlignment="1">
      <alignment horizontal="right" indent="1"/>
    </xf>
    <xf numFmtId="0" fontId="12" fillId="15" borderId="0" xfId="0" applyFont="1" applyFill="1" applyAlignment="1">
      <alignment horizontal="right" indent="1"/>
    </xf>
    <xf numFmtId="0" fontId="4" fillId="15" borderId="0" xfId="0" applyFont="1" applyFill="1" applyAlignment="1">
      <alignment horizontal="right" indent="1"/>
    </xf>
    <xf numFmtId="0" fontId="12" fillId="15" borderId="8" xfId="0" applyFont="1" applyFill="1" applyBorder="1" applyAlignment="1">
      <alignment horizontal="left" textRotation="90"/>
    </xf>
    <xf numFmtId="0" fontId="4" fillId="15" borderId="0" xfId="0" applyFont="1" applyFill="1" applyAlignment="1">
      <alignment textRotation="90"/>
    </xf>
    <xf numFmtId="0" fontId="143" fillId="15" borderId="21" xfId="0" applyFont="1" applyFill="1" applyBorder="1" applyAlignment="1">
      <alignment horizontal="center" wrapText="1"/>
    </xf>
    <xf numFmtId="0" fontId="143" fillId="15" borderId="4" xfId="0" applyFont="1" applyFill="1" applyBorder="1" applyAlignment="1">
      <alignment horizontal="center" wrapText="1"/>
    </xf>
    <xf numFmtId="0" fontId="143" fillId="0" borderId="4" xfId="0" applyFont="1" applyBorder="1" applyAlignment="1">
      <alignment horizontal="center" wrapText="1"/>
    </xf>
    <xf numFmtId="0" fontId="143" fillId="0" borderId="22" xfId="0" applyFont="1" applyBorder="1" applyAlignment="1">
      <alignment horizontal="center" wrapText="1"/>
    </xf>
    <xf numFmtId="0" fontId="204" fillId="15" borderId="7" xfId="0" applyFont="1" applyFill="1" applyBorder="1" applyAlignment="1">
      <alignment horizontal="center"/>
    </xf>
    <xf numFmtId="0" fontId="6" fillId="3" borderId="1" xfId="0" applyFont="1" applyFill="1" applyBorder="1" applyAlignment="1">
      <alignment horizontal="left" vertical="top" wrapText="1" indent="1"/>
    </xf>
    <xf numFmtId="0" fontId="6" fillId="0" borderId="1" xfId="0" applyFont="1" applyBorder="1" applyAlignment="1">
      <alignment horizontal="left" vertical="top" wrapText="1" indent="1"/>
    </xf>
    <xf numFmtId="0" fontId="10" fillId="3" borderId="4" xfId="0" applyFont="1" applyFill="1" applyBorder="1" applyAlignment="1">
      <alignment horizontal="left" vertical="top"/>
    </xf>
    <xf numFmtId="0" fontId="0" fillId="0" borderId="4" xfId="0" applyBorder="1" applyAlignment="1">
      <alignment horizontal="left" vertical="top"/>
    </xf>
    <xf numFmtId="0" fontId="0" fillId="0" borderId="22" xfId="0" applyBorder="1" applyAlignment="1">
      <alignment horizontal="left" vertical="top"/>
    </xf>
    <xf numFmtId="0" fontId="12" fillId="3" borderId="21" xfId="0" applyFont="1" applyFill="1" applyBorder="1" applyAlignment="1">
      <alignment horizontal="center" vertical="center"/>
    </xf>
    <xf numFmtId="0" fontId="10" fillId="0" borderId="4" xfId="0" applyFont="1" applyBorder="1" applyAlignment="1">
      <alignment horizontal="center" vertical="center"/>
    </xf>
    <xf numFmtId="0" fontId="10" fillId="0" borderId="22" xfId="0" applyFont="1" applyBorder="1" applyAlignment="1">
      <alignment horizontal="center" vertical="center"/>
    </xf>
    <xf numFmtId="4" fontId="10" fillId="3" borderId="21" xfId="0" applyNumberFormat="1" applyFont="1" applyFill="1" applyBorder="1" applyAlignment="1">
      <alignment horizontal="center" vertical="center"/>
    </xf>
    <xf numFmtId="0" fontId="0" fillId="0" borderId="4" xfId="0" applyBorder="1" applyAlignment="1">
      <alignment horizontal="center" vertical="center"/>
    </xf>
    <xf numFmtId="0" fontId="10" fillId="3" borderId="0" xfId="0" applyFont="1" applyFill="1" applyAlignment="1">
      <alignment horizontal="left"/>
    </xf>
    <xf numFmtId="0" fontId="0" fillId="0" borderId="20" xfId="0" applyBorder="1" applyAlignment="1">
      <alignment horizontal="left"/>
    </xf>
    <xf numFmtId="0" fontId="10" fillId="3" borderId="5" xfId="0" applyFont="1" applyFill="1" applyBorder="1" applyAlignment="1">
      <alignment horizontal="left"/>
    </xf>
    <xf numFmtId="0" fontId="6" fillId="14" borderId="0" xfId="0" applyFont="1" applyFill="1" applyAlignment="1">
      <alignment horizontal="left"/>
    </xf>
    <xf numFmtId="0" fontId="47" fillId="3" borderId="1" xfId="0" applyFont="1" applyFill="1" applyBorder="1" applyAlignment="1">
      <alignment horizontal="left" wrapText="1" indent="1"/>
    </xf>
    <xf numFmtId="0" fontId="47" fillId="0" borderId="1" xfId="0" applyFont="1" applyBorder="1" applyAlignment="1">
      <alignment horizontal="left" wrapText="1" indent="1"/>
    </xf>
    <xf numFmtId="0" fontId="12" fillId="3" borderId="21" xfId="0" applyFont="1" applyFill="1" applyBorder="1" applyAlignment="1">
      <alignment horizontal="center"/>
    </xf>
    <xf numFmtId="0" fontId="10" fillId="0" borderId="4" xfId="0" applyFont="1" applyBorder="1" applyAlignment="1">
      <alignment horizontal="center"/>
    </xf>
    <xf numFmtId="0" fontId="10" fillId="0" borderId="22" xfId="0" applyFont="1" applyBorder="1" applyAlignment="1">
      <alignment horizontal="center"/>
    </xf>
    <xf numFmtId="5" fontId="188" fillId="15" borderId="39" xfId="0" applyNumberFormat="1" applyFont="1" applyFill="1" applyBorder="1" applyAlignment="1">
      <alignment horizontal="right" vertical="center"/>
    </xf>
    <xf numFmtId="5" fontId="188" fillId="15" borderId="25" xfId="0" applyNumberFormat="1" applyFont="1" applyFill="1" applyBorder="1" applyAlignment="1">
      <alignment horizontal="right" vertical="center"/>
    </xf>
    <xf numFmtId="5" fontId="188" fillId="15" borderId="54" xfId="0" applyNumberFormat="1" applyFont="1" applyFill="1" applyBorder="1" applyAlignment="1">
      <alignment horizontal="right" vertical="center"/>
    </xf>
    <xf numFmtId="0" fontId="11" fillId="15" borderId="0" xfId="0" applyFont="1" applyFill="1" applyAlignment="1" applyProtection="1">
      <alignment horizontal="center"/>
      <protection locked="0"/>
    </xf>
    <xf numFmtId="0" fontId="11" fillId="16" borderId="0" xfId="0" applyFont="1" applyFill="1" applyAlignment="1" applyProtection="1">
      <alignment horizontal="left"/>
      <protection locked="0"/>
    </xf>
    <xf numFmtId="0" fontId="11" fillId="16" borderId="24" xfId="0" applyFont="1" applyFill="1" applyBorder="1" applyAlignment="1" applyProtection="1">
      <alignment horizontal="left"/>
      <protection locked="0"/>
    </xf>
    <xf numFmtId="166" fontId="188" fillId="16" borderId="3" xfId="0" applyNumberFormat="1" applyFont="1" applyFill="1" applyBorder="1" applyAlignment="1" applyProtection="1">
      <alignment horizontal="center" vertical="center"/>
      <protection locked="0"/>
    </xf>
    <xf numFmtId="166" fontId="188" fillId="16" borderId="0" xfId="0" applyNumberFormat="1" applyFont="1" applyFill="1" applyAlignment="1" applyProtection="1">
      <alignment horizontal="center" vertical="center"/>
      <protection locked="0"/>
    </xf>
    <xf numFmtId="166" fontId="188" fillId="16" borderId="24" xfId="0" applyNumberFormat="1" applyFont="1" applyFill="1" applyBorder="1" applyAlignment="1" applyProtection="1">
      <alignment horizontal="center" vertical="center"/>
      <protection locked="0"/>
    </xf>
    <xf numFmtId="166" fontId="188" fillId="16" borderId="9" xfId="0" applyNumberFormat="1" applyFont="1" applyFill="1" applyBorder="1" applyAlignment="1" applyProtection="1">
      <alignment horizontal="center" vertical="center"/>
      <protection locked="0"/>
    </xf>
    <xf numFmtId="166" fontId="188" fillId="16" borderId="1" xfId="0" applyNumberFormat="1" applyFont="1" applyFill="1" applyBorder="1" applyAlignment="1" applyProtection="1">
      <alignment horizontal="center" vertical="center"/>
      <protection locked="0"/>
    </xf>
    <xf numFmtId="166" fontId="188" fillId="16" borderId="11" xfId="0" applyNumberFormat="1" applyFont="1" applyFill="1" applyBorder="1" applyAlignment="1" applyProtection="1">
      <alignment horizontal="center" vertical="center"/>
      <protection locked="0"/>
    </xf>
    <xf numFmtId="0" fontId="73" fillId="16" borderId="3" xfId="0" applyFont="1" applyFill="1" applyBorder="1" applyAlignment="1" applyProtection="1">
      <alignment horizontal="center" vertical="center"/>
      <protection locked="0"/>
    </xf>
    <xf numFmtId="0" fontId="73" fillId="16" borderId="0" xfId="0" applyFont="1" applyFill="1" applyAlignment="1" applyProtection="1">
      <alignment horizontal="center" vertical="center"/>
      <protection locked="0"/>
    </xf>
    <xf numFmtId="0" fontId="73" fillId="16" borderId="24" xfId="0" applyFont="1" applyFill="1" applyBorder="1" applyAlignment="1" applyProtection="1">
      <alignment horizontal="center" vertical="center"/>
      <protection locked="0"/>
    </xf>
    <xf numFmtId="0" fontId="73" fillId="16" borderId="9" xfId="0" applyFont="1" applyFill="1" applyBorder="1" applyAlignment="1" applyProtection="1">
      <alignment horizontal="center" vertical="center"/>
      <protection locked="0"/>
    </xf>
    <xf numFmtId="0" fontId="73" fillId="16" borderId="11" xfId="0" applyFont="1" applyFill="1" applyBorder="1" applyAlignment="1" applyProtection="1">
      <alignment horizontal="center" vertical="center"/>
      <protection locked="0"/>
    </xf>
    <xf numFmtId="182" fontId="73" fillId="16" borderId="3" xfId="0" applyNumberFormat="1" applyFont="1" applyFill="1" applyBorder="1" applyAlignment="1" applyProtection="1">
      <alignment horizontal="center" vertical="center"/>
      <protection locked="0"/>
    </xf>
    <xf numFmtId="182" fontId="73" fillId="16" borderId="0" xfId="0" applyNumberFormat="1" applyFont="1" applyFill="1" applyAlignment="1" applyProtection="1">
      <alignment horizontal="center" vertical="center"/>
      <protection locked="0"/>
    </xf>
    <xf numFmtId="182" fontId="73" fillId="16" borderId="24" xfId="0" applyNumberFormat="1" applyFont="1" applyFill="1" applyBorder="1" applyAlignment="1" applyProtection="1">
      <alignment horizontal="center" vertical="center"/>
      <protection locked="0"/>
    </xf>
    <xf numFmtId="182" fontId="73" fillId="16" borderId="9" xfId="0" applyNumberFormat="1" applyFont="1" applyFill="1" applyBorder="1" applyAlignment="1" applyProtection="1">
      <alignment horizontal="center" vertical="center"/>
      <protection locked="0"/>
    </xf>
    <xf numFmtId="182" fontId="73" fillId="16" borderId="1" xfId="0" applyNumberFormat="1" applyFont="1" applyFill="1" applyBorder="1" applyAlignment="1" applyProtection="1">
      <alignment horizontal="center" vertical="center"/>
      <protection locked="0"/>
    </xf>
    <xf numFmtId="182" fontId="73" fillId="16" borderId="11" xfId="0" applyNumberFormat="1" applyFont="1" applyFill="1" applyBorder="1" applyAlignment="1" applyProtection="1">
      <alignment horizontal="center" vertical="center"/>
      <protection locked="0"/>
    </xf>
    <xf numFmtId="37" fontId="372" fillId="15" borderId="3" xfId="0" applyNumberFormat="1" applyFont="1" applyFill="1" applyBorder="1" applyAlignment="1">
      <alignment horizontal="right" vertical="center"/>
    </xf>
    <xf numFmtId="0" fontId="372" fillId="15" borderId="0" xfId="0" applyFont="1" applyFill="1" applyAlignment="1">
      <alignment horizontal="right" vertical="center"/>
    </xf>
    <xf numFmtId="0" fontId="372" fillId="15" borderId="24" xfId="0" applyFont="1" applyFill="1" applyBorder="1" applyAlignment="1">
      <alignment horizontal="right" vertical="center"/>
    </xf>
    <xf numFmtId="0" fontId="371" fillId="15" borderId="30" xfId="0" applyFont="1" applyFill="1" applyBorder="1" applyAlignment="1">
      <alignment horizontal="center" vertical="center"/>
    </xf>
    <xf numFmtId="0" fontId="371" fillId="15" borderId="8" xfId="0" applyFont="1" applyFill="1" applyBorder="1" applyAlignment="1">
      <alignment horizontal="center" vertical="center"/>
    </xf>
    <xf numFmtId="0" fontId="371" fillId="15" borderId="14" xfId="0" applyFont="1" applyFill="1" applyBorder="1" applyAlignment="1">
      <alignment horizontal="center" vertical="center"/>
    </xf>
    <xf numFmtId="0" fontId="372" fillId="15" borderId="30" xfId="0" applyFont="1" applyFill="1" applyBorder="1" applyAlignment="1">
      <alignment horizontal="center" vertical="center"/>
    </xf>
    <xf numFmtId="0" fontId="372" fillId="15" borderId="8" xfId="0" applyFont="1" applyFill="1" applyBorder="1" applyAlignment="1">
      <alignment horizontal="center" vertical="center"/>
    </xf>
    <xf numFmtId="0" fontId="372" fillId="15" borderId="14" xfId="0" applyFont="1" applyFill="1" applyBorder="1" applyAlignment="1">
      <alignment horizontal="center" vertical="center"/>
    </xf>
    <xf numFmtId="37" fontId="11" fillId="15" borderId="15" xfId="0" applyNumberFormat="1" applyFont="1" applyFill="1" applyBorder="1" applyAlignment="1" applyProtection="1">
      <alignment horizontal="right"/>
      <protection locked="0"/>
    </xf>
    <xf numFmtId="37" fontId="11" fillId="15" borderId="10" xfId="0" applyNumberFormat="1" applyFont="1" applyFill="1" applyBorder="1" applyAlignment="1" applyProtection="1">
      <alignment horizontal="right"/>
      <protection locked="0"/>
    </xf>
    <xf numFmtId="37" fontId="197" fillId="15" borderId="30" xfId="0" applyNumberFormat="1" applyFont="1" applyFill="1" applyBorder="1" applyAlignment="1">
      <alignment horizontal="right" vertical="center"/>
    </xf>
    <xf numFmtId="37" fontId="197" fillId="15" borderId="8" xfId="0" applyNumberFormat="1" applyFont="1" applyFill="1" applyBorder="1" applyAlignment="1">
      <alignment horizontal="right" vertical="center"/>
    </xf>
    <xf numFmtId="37" fontId="73" fillId="27" borderId="3" xfId="0" applyNumberFormat="1" applyFont="1" applyFill="1" applyBorder="1" applyAlignment="1">
      <alignment horizontal="right" vertical="center"/>
    </xf>
    <xf numFmtId="37" fontId="73" fillId="27" borderId="0" xfId="0" applyNumberFormat="1" applyFont="1" applyFill="1" applyAlignment="1">
      <alignment horizontal="right" vertical="center"/>
    </xf>
    <xf numFmtId="37" fontId="129" fillId="15" borderId="30" xfId="0" applyNumberFormat="1" applyFont="1" applyFill="1" applyBorder="1" applyAlignment="1">
      <alignment horizontal="right" vertical="center"/>
    </xf>
    <xf numFmtId="37" fontId="129" fillId="15" borderId="8" xfId="0" applyNumberFormat="1" applyFont="1" applyFill="1" applyBorder="1" applyAlignment="1">
      <alignment horizontal="right" vertical="center"/>
    </xf>
    <xf numFmtId="0" fontId="24" fillId="15" borderId="8" xfId="0" applyFont="1" applyFill="1" applyBorder="1" applyAlignment="1">
      <alignment horizontal="center" vertical="center"/>
    </xf>
    <xf numFmtId="0" fontId="24" fillId="15" borderId="14" xfId="0" applyFont="1" applyFill="1" applyBorder="1" applyAlignment="1">
      <alignment horizontal="center" vertical="center"/>
    </xf>
    <xf numFmtId="0" fontId="24" fillId="15" borderId="3" xfId="0" applyFont="1" applyFill="1" applyBorder="1" applyAlignment="1">
      <alignment horizontal="center" vertical="center"/>
    </xf>
    <xf numFmtId="0" fontId="24" fillId="15" borderId="0" xfId="0" applyFont="1" applyFill="1" applyAlignment="1">
      <alignment horizontal="center" vertical="center"/>
    </xf>
    <xf numFmtId="0" fontId="24" fillId="15" borderId="24" xfId="0" applyFont="1" applyFill="1" applyBorder="1" applyAlignment="1">
      <alignment horizontal="center" vertical="center"/>
    </xf>
    <xf numFmtId="0" fontId="24" fillId="15" borderId="9" xfId="0" applyFont="1" applyFill="1" applyBorder="1" applyAlignment="1">
      <alignment horizontal="center" vertical="center"/>
    </xf>
    <xf numFmtId="0" fontId="24" fillId="15" borderId="1" xfId="0" applyFont="1" applyFill="1" applyBorder="1" applyAlignment="1">
      <alignment horizontal="center" vertical="center"/>
    </xf>
    <xf numFmtId="0" fontId="24" fillId="15" borderId="11" xfId="0" applyFont="1" applyFill="1" applyBorder="1" applyAlignment="1">
      <alignment horizontal="center" vertical="center"/>
    </xf>
    <xf numFmtId="0" fontId="5" fillId="15" borderId="8" xfId="0" applyFont="1" applyFill="1" applyBorder="1" applyAlignment="1">
      <alignment horizontal="center" vertical="center"/>
    </xf>
    <xf numFmtId="0" fontId="5" fillId="15" borderId="14" xfId="0" applyFont="1" applyFill="1" applyBorder="1" applyAlignment="1">
      <alignment horizontal="center" vertical="center"/>
    </xf>
    <xf numFmtId="0" fontId="5" fillId="15" borderId="3" xfId="0" applyFont="1" applyFill="1" applyBorder="1" applyAlignment="1">
      <alignment horizontal="center" vertical="center"/>
    </xf>
    <xf numFmtId="0" fontId="5" fillId="15" borderId="0" xfId="0" applyFont="1" applyFill="1" applyAlignment="1">
      <alignment horizontal="center" vertical="center"/>
    </xf>
    <xf numFmtId="0" fontId="5" fillId="15" borderId="24" xfId="0" applyFont="1" applyFill="1" applyBorder="1" applyAlignment="1">
      <alignment horizontal="center" vertical="center"/>
    </xf>
    <xf numFmtId="0" fontId="5" fillId="15" borderId="9" xfId="0" applyFont="1" applyFill="1" applyBorder="1" applyAlignment="1">
      <alignment horizontal="center" vertical="center"/>
    </xf>
    <xf numFmtId="0" fontId="5" fillId="15" borderId="1" xfId="0" applyFont="1" applyFill="1" applyBorder="1" applyAlignment="1">
      <alignment horizontal="center" vertical="center"/>
    </xf>
    <xf numFmtId="0" fontId="5" fillId="15" borderId="11" xfId="0" applyFont="1" applyFill="1" applyBorder="1" applyAlignment="1">
      <alignment horizontal="center" vertical="center"/>
    </xf>
    <xf numFmtId="0" fontId="4" fillId="0" borderId="0" xfId="0" applyFont="1" applyAlignment="1">
      <alignment horizontal="center" vertical="center"/>
    </xf>
    <xf numFmtId="0" fontId="9" fillId="16" borderId="25" xfId="0" applyFont="1" applyFill="1" applyBorder="1" applyAlignment="1" applyProtection="1">
      <alignment horizontal="left" indent="1"/>
      <protection locked="0"/>
    </xf>
    <xf numFmtId="174" fontId="9" fillId="16" borderId="39" xfId="0" applyNumberFormat="1" applyFont="1" applyFill="1" applyBorder="1" applyAlignment="1" applyProtection="1">
      <alignment horizontal="center"/>
      <protection locked="0"/>
    </xf>
    <xf numFmtId="174" fontId="4" fillId="16" borderId="25" xfId="0" applyNumberFormat="1" applyFont="1" applyFill="1" applyBorder="1" applyAlignment="1" applyProtection="1">
      <alignment horizontal="center"/>
      <protection locked="0"/>
    </xf>
    <xf numFmtId="174" fontId="4" fillId="16" borderId="54" xfId="0" applyNumberFormat="1" applyFont="1" applyFill="1" applyBorder="1" applyAlignment="1" applyProtection="1">
      <alignment horizontal="center"/>
      <protection locked="0"/>
    </xf>
    <xf numFmtId="0" fontId="0" fillId="16" borderId="54" xfId="0" applyFill="1" applyBorder="1" applyAlignment="1" applyProtection="1">
      <alignment horizontal="right"/>
      <protection locked="0"/>
    </xf>
    <xf numFmtId="37" fontId="9" fillId="16" borderId="39" xfId="0" applyNumberFormat="1" applyFont="1" applyFill="1" applyBorder="1" applyAlignment="1" applyProtection="1">
      <alignment horizontal="center"/>
      <protection locked="0"/>
    </xf>
    <xf numFmtId="0" fontId="10" fillId="2" borderId="30" xfId="0" applyFont="1" applyFill="1" applyBorder="1" applyAlignment="1">
      <alignment horizontal="center" vertical="center" wrapText="1"/>
    </xf>
    <xf numFmtId="0" fontId="10" fillId="2" borderId="3" xfId="0" applyFont="1" applyFill="1" applyBorder="1" applyAlignment="1">
      <alignment horizontal="center" vertical="center" wrapText="1"/>
    </xf>
    <xf numFmtId="0" fontId="16" fillId="15" borderId="30" xfId="0" applyFont="1" applyFill="1" applyBorder="1" applyAlignment="1">
      <alignment horizontal="center" vertical="center" wrapText="1"/>
    </xf>
    <xf numFmtId="0" fontId="16" fillId="15" borderId="8" xfId="0" applyFont="1" applyFill="1" applyBorder="1" applyAlignment="1">
      <alignment horizontal="center" vertical="center" wrapText="1"/>
    </xf>
    <xf numFmtId="0" fontId="16" fillId="15" borderId="14" xfId="0" applyFont="1" applyFill="1" applyBorder="1" applyAlignment="1">
      <alignment horizontal="center" vertical="center" wrapText="1"/>
    </xf>
    <xf numFmtId="0" fontId="16" fillId="15" borderId="9"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16" fillId="15" borderId="11" xfId="0" applyFont="1" applyFill="1" applyBorder="1" applyAlignment="1">
      <alignment horizontal="center" vertical="center" wrapText="1"/>
    </xf>
    <xf numFmtId="0" fontId="8" fillId="0" borderId="14" xfId="0" applyFont="1" applyBorder="1" applyAlignment="1">
      <alignment horizontal="center" vertical="center"/>
    </xf>
    <xf numFmtId="0" fontId="8" fillId="0" borderId="24" xfId="0" applyFont="1" applyBorder="1" applyAlignment="1">
      <alignment horizontal="center" vertical="center"/>
    </xf>
    <xf numFmtId="0" fontId="8" fillId="0" borderId="11" xfId="0" applyFont="1" applyBorder="1" applyAlignment="1">
      <alignment horizontal="center" vertical="center"/>
    </xf>
    <xf numFmtId="174" fontId="9" fillId="16" borderId="25" xfId="0" applyNumberFormat="1" applyFont="1" applyFill="1" applyBorder="1" applyAlignment="1" applyProtection="1">
      <alignment horizontal="center"/>
      <protection locked="0"/>
    </xf>
    <xf numFmtId="174" fontId="9" fillId="16" borderId="54" xfId="0" applyNumberFormat="1" applyFont="1" applyFill="1" applyBorder="1" applyAlignment="1" applyProtection="1">
      <alignment horizontal="center"/>
      <protection locked="0"/>
    </xf>
    <xf numFmtId="37" fontId="9" fillId="16" borderId="39" xfId="0" applyNumberFormat="1" applyFont="1" applyFill="1" applyBorder="1" applyAlignment="1">
      <alignment horizontal="right"/>
    </xf>
    <xf numFmtId="37" fontId="4" fillId="16" borderId="25" xfId="0" applyNumberFormat="1" applyFont="1" applyFill="1" applyBorder="1" applyAlignment="1">
      <alignment horizontal="right"/>
    </xf>
    <xf numFmtId="37" fontId="0" fillId="23" borderId="30" xfId="0" applyNumberFormat="1" applyFill="1" applyBorder="1" applyAlignment="1">
      <alignment horizontal="right"/>
    </xf>
    <xf numFmtId="0" fontId="0" fillId="23" borderId="14" xfId="0" applyFill="1" applyBorder="1" applyAlignment="1">
      <alignment horizontal="right"/>
    </xf>
    <xf numFmtId="0" fontId="0" fillId="23" borderId="3" xfId="0" applyFill="1" applyBorder="1" applyAlignment="1">
      <alignment horizontal="right"/>
    </xf>
    <xf numFmtId="0" fontId="0" fillId="23" borderId="24" xfId="0" applyFill="1" applyBorder="1" applyAlignment="1">
      <alignment horizontal="right"/>
    </xf>
    <xf numFmtId="0" fontId="0" fillId="23" borderId="9" xfId="0" applyFill="1" applyBorder="1" applyAlignment="1">
      <alignment horizontal="right"/>
    </xf>
    <xf numFmtId="0" fontId="0" fillId="23" borderId="11" xfId="0" applyFill="1" applyBorder="1" applyAlignment="1">
      <alignment horizontal="right"/>
    </xf>
    <xf numFmtId="37" fontId="0" fillId="16" borderId="30" xfId="0" applyNumberFormat="1" applyFill="1" applyBorder="1" applyAlignment="1">
      <alignment horizontal="right"/>
    </xf>
    <xf numFmtId="0" fontId="0" fillId="16" borderId="8" xfId="0" applyFill="1" applyBorder="1" applyAlignment="1">
      <alignment horizontal="right"/>
    </xf>
    <xf numFmtId="0" fontId="0" fillId="16" borderId="14" xfId="0" applyFill="1" applyBorder="1" applyAlignment="1">
      <alignment horizontal="right"/>
    </xf>
    <xf numFmtId="0" fontId="0" fillId="16" borderId="3" xfId="0" applyFill="1" applyBorder="1" applyAlignment="1">
      <alignment horizontal="right"/>
    </xf>
    <xf numFmtId="0" fontId="0" fillId="16" borderId="0" xfId="0" applyFill="1" applyAlignment="1">
      <alignment horizontal="right"/>
    </xf>
    <xf numFmtId="0" fontId="0" fillId="16" borderId="24" xfId="0" applyFill="1" applyBorder="1" applyAlignment="1">
      <alignment horizontal="right"/>
    </xf>
    <xf numFmtId="0" fontId="0" fillId="16" borderId="9" xfId="0" applyFill="1" applyBorder="1" applyAlignment="1">
      <alignment horizontal="right"/>
    </xf>
    <xf numFmtId="0" fontId="0" fillId="16" borderId="1" xfId="0" applyFill="1" applyBorder="1" applyAlignment="1">
      <alignment horizontal="right"/>
    </xf>
    <xf numFmtId="0" fontId="0" fillId="16" borderId="11" xfId="0" applyFill="1" applyBorder="1" applyAlignment="1">
      <alignment horizontal="right"/>
    </xf>
    <xf numFmtId="0" fontId="8" fillId="15" borderId="99" xfId="0" applyFont="1" applyFill="1" applyBorder="1" applyAlignment="1">
      <alignment horizontal="left" vertical="top" wrapText="1"/>
    </xf>
    <xf numFmtId="0" fontId="8" fillId="0" borderId="99" xfId="0" applyFont="1" applyBorder="1" applyAlignment="1">
      <alignment wrapText="1"/>
    </xf>
    <xf numFmtId="0" fontId="8" fillId="0" borderId="13" xfId="0" applyFont="1" applyBorder="1" applyAlignment="1">
      <alignment wrapText="1"/>
    </xf>
    <xf numFmtId="0" fontId="8" fillId="2" borderId="8" xfId="0" applyFont="1" applyFill="1" applyBorder="1" applyAlignment="1">
      <alignment vertical="top" wrapText="1"/>
    </xf>
    <xf numFmtId="0" fontId="8" fillId="0" borderId="8" xfId="0" applyFont="1" applyBorder="1" applyAlignment="1">
      <alignment vertical="top" wrapText="1"/>
    </xf>
    <xf numFmtId="0" fontId="8" fillId="0" borderId="0" xfId="0" applyFont="1" applyAlignment="1">
      <alignment vertical="top" wrapText="1"/>
    </xf>
    <xf numFmtId="0" fontId="15" fillId="2" borderId="8" xfId="0" applyFont="1" applyFill="1" applyBorder="1"/>
    <xf numFmtId="0" fontId="15" fillId="2" borderId="0" xfId="0" applyFont="1" applyFill="1"/>
    <xf numFmtId="0" fontId="15" fillId="0" borderId="0" xfId="0" applyFont="1"/>
    <xf numFmtId="0" fontId="15" fillId="0" borderId="1" xfId="0" applyFont="1" applyBorder="1"/>
    <xf numFmtId="0" fontId="8" fillId="2" borderId="8" xfId="0" applyFont="1" applyFill="1" applyBorder="1" applyAlignment="1">
      <alignment horizontal="center" vertical="center" wrapText="1"/>
    </xf>
    <xf numFmtId="0" fontId="8" fillId="2" borderId="8" xfId="0" applyFont="1" applyFill="1" applyBorder="1" applyAlignment="1">
      <alignment horizontal="center" vertical="center"/>
    </xf>
    <xf numFmtId="0" fontId="8" fillId="2" borderId="14" xfId="0" applyFont="1" applyFill="1" applyBorder="1" applyAlignment="1">
      <alignment horizontal="center" vertical="center"/>
    </xf>
    <xf numFmtId="0" fontId="8" fillId="2" borderId="0" xfId="0" applyFont="1" applyFill="1" applyAlignment="1">
      <alignment horizontal="center" vertical="center"/>
    </xf>
    <xf numFmtId="0" fontId="8" fillId="2" borderId="24" xfId="0" applyFont="1" applyFill="1" applyBorder="1" applyAlignment="1">
      <alignment horizontal="center" vertical="center"/>
    </xf>
    <xf numFmtId="0" fontId="8" fillId="2" borderId="1" xfId="0" applyFont="1" applyFill="1" applyBorder="1" applyAlignment="1">
      <alignment horizontal="center" vertical="center"/>
    </xf>
    <xf numFmtId="0" fontId="8" fillId="2" borderId="11" xfId="0" applyFont="1" applyFill="1" applyBorder="1" applyAlignment="1">
      <alignment horizontal="center" vertical="center"/>
    </xf>
    <xf numFmtId="0" fontId="51" fillId="9" borderId="8" xfId="0" applyFont="1" applyFill="1" applyBorder="1" applyAlignment="1">
      <alignment horizontal="center"/>
    </xf>
    <xf numFmtId="0" fontId="11" fillId="27" borderId="4" xfId="0" applyFont="1" applyFill="1" applyBorder="1" applyAlignment="1">
      <alignment horizontal="left" indent="1"/>
    </xf>
    <xf numFmtId="0" fontId="0" fillId="27" borderId="4" xfId="0" applyFill="1" applyBorder="1" applyAlignment="1">
      <alignment horizontal="left" indent="1"/>
    </xf>
    <xf numFmtId="0" fontId="0" fillId="27" borderId="70" xfId="0" applyFill="1" applyBorder="1" applyAlignment="1">
      <alignment horizontal="left" indent="1"/>
    </xf>
    <xf numFmtId="166" fontId="11" fillId="27" borderId="69" xfId="0" applyNumberFormat="1" applyFont="1" applyFill="1" applyBorder="1" applyAlignment="1">
      <alignment horizontal="center" vertical="center"/>
    </xf>
    <xf numFmtId="0" fontId="0" fillId="27" borderId="4" xfId="0" applyFill="1" applyBorder="1"/>
    <xf numFmtId="0" fontId="11" fillId="0" borderId="8" xfId="0" applyFont="1" applyBorder="1" applyAlignment="1">
      <alignment horizontal="center" vertical="top"/>
    </xf>
    <xf numFmtId="0" fontId="11" fillId="0" borderId="0" xfId="0" applyFont="1" applyAlignment="1">
      <alignment horizontal="center" vertical="top"/>
    </xf>
    <xf numFmtId="0" fontId="5" fillId="15" borderId="7" xfId="0" applyFont="1" applyFill="1" applyBorder="1" applyAlignment="1">
      <alignment horizontal="left" wrapText="1"/>
    </xf>
    <xf numFmtId="0" fontId="5" fillId="15" borderId="7" xfId="0" applyFont="1" applyFill="1" applyBorder="1" applyAlignment="1">
      <alignment wrapText="1"/>
    </xf>
    <xf numFmtId="0" fontId="15" fillId="0" borderId="8" xfId="0" applyFont="1" applyBorder="1" applyAlignment="1">
      <alignment horizontal="center" vertical="top"/>
    </xf>
    <xf numFmtId="0" fontId="15" fillId="0" borderId="0" xfId="0" applyFont="1" applyAlignment="1">
      <alignment horizontal="center" vertical="top"/>
    </xf>
    <xf numFmtId="0" fontId="0" fillId="16" borderId="69" xfId="0" applyFill="1" applyBorder="1" applyAlignment="1">
      <alignment horizontal="right"/>
    </xf>
    <xf numFmtId="0" fontId="0" fillId="16" borderId="4" xfId="0" applyFill="1" applyBorder="1" applyAlignment="1">
      <alignment horizontal="right"/>
    </xf>
    <xf numFmtId="0" fontId="0" fillId="16" borderId="70" xfId="0" applyFill="1" applyBorder="1" applyAlignment="1">
      <alignment horizontal="right"/>
    </xf>
    <xf numFmtId="0" fontId="10" fillId="2" borderId="100" xfId="0" applyFont="1" applyFill="1" applyBorder="1" applyAlignment="1">
      <alignment horizontal="center" vertical="center" wrapText="1"/>
    </xf>
    <xf numFmtId="0" fontId="6" fillId="2" borderId="0" xfId="0" applyFont="1" applyFill="1" applyAlignment="1">
      <alignment horizontal="center" vertical="center" wrapText="1"/>
    </xf>
    <xf numFmtId="0" fontId="6" fillId="2" borderId="72" xfId="0" applyFont="1" applyFill="1" applyBorder="1" applyAlignment="1">
      <alignment horizontal="center" vertical="center" wrapText="1"/>
    </xf>
    <xf numFmtId="0" fontId="6" fillId="2" borderId="13" xfId="0" applyFont="1" applyFill="1" applyBorder="1" applyAlignment="1">
      <alignment horizontal="center" vertical="center" wrapText="1"/>
    </xf>
    <xf numFmtId="0" fontId="9" fillId="2" borderId="100" xfId="0" applyFont="1" applyFill="1" applyBorder="1" applyAlignment="1">
      <alignment horizontal="center" vertical="top"/>
    </xf>
    <xf numFmtId="0" fontId="9" fillId="0" borderId="0" xfId="0" applyFont="1" applyAlignment="1">
      <alignment horizontal="center" vertical="top"/>
    </xf>
    <xf numFmtId="0" fontId="9" fillId="0" borderId="75" xfId="0" applyFont="1" applyBorder="1" applyAlignment="1">
      <alignment horizontal="center" vertical="top"/>
    </xf>
    <xf numFmtId="0" fontId="8" fillId="0" borderId="72" xfId="0" applyFont="1" applyBorder="1" applyAlignment="1">
      <alignment vertical="top"/>
    </xf>
    <xf numFmtId="0" fontId="8" fillId="0" borderId="13" xfId="0" applyFont="1" applyBorder="1" applyAlignment="1">
      <alignment vertical="top"/>
    </xf>
    <xf numFmtId="0" fontId="8" fillId="0" borderId="33" xfId="0" applyFont="1" applyBorder="1" applyAlignment="1">
      <alignment vertical="top"/>
    </xf>
    <xf numFmtId="0" fontId="20" fillId="0" borderId="13" xfId="0" applyFont="1" applyBorder="1" applyAlignment="1">
      <alignment horizontal="left" wrapText="1"/>
    </xf>
    <xf numFmtId="0" fontId="10" fillId="0" borderId="12" xfId="0" applyFont="1" applyBorder="1" applyAlignment="1">
      <alignment horizontal="center" vertical="center" wrapText="1"/>
    </xf>
    <xf numFmtId="0" fontId="16" fillId="0" borderId="12" xfId="0" applyFont="1" applyBorder="1" applyAlignment="1">
      <alignment horizontal="center" vertical="center" wrapText="1"/>
    </xf>
    <xf numFmtId="0" fontId="113" fillId="5" borderId="0" xfId="0" applyFont="1" applyFill="1" applyAlignment="1">
      <alignment horizontal="right"/>
    </xf>
    <xf numFmtId="0" fontId="113" fillId="0" borderId="0" xfId="0" applyFont="1" applyAlignment="1">
      <alignment horizontal="right"/>
    </xf>
    <xf numFmtId="0" fontId="6" fillId="2" borderId="0" xfId="0" applyFont="1" applyFill="1"/>
    <xf numFmtId="0" fontId="72" fillId="2" borderId="0" xfId="0" applyFont="1" applyFill="1" applyAlignment="1">
      <alignment horizontal="center" vertical="center"/>
    </xf>
    <xf numFmtId="0" fontId="44" fillId="2" borderId="100" xfId="0" applyFont="1" applyFill="1" applyBorder="1" applyAlignment="1">
      <alignment horizontal="center"/>
    </xf>
    <xf numFmtId="0" fontId="44" fillId="0" borderId="0" xfId="0" applyFont="1" applyAlignment="1">
      <alignment horizontal="center"/>
    </xf>
    <xf numFmtId="0" fontId="44" fillId="0" borderId="75" xfId="0" applyFont="1" applyBorder="1" applyAlignment="1">
      <alignment horizontal="center"/>
    </xf>
    <xf numFmtId="0" fontId="44" fillId="0" borderId="100" xfId="0" applyFont="1" applyBorder="1" applyAlignment="1">
      <alignment horizontal="center"/>
    </xf>
    <xf numFmtId="0" fontId="0" fillId="0" borderId="100" xfId="0" applyBorder="1" applyAlignment="1">
      <alignment horizontal="center"/>
    </xf>
    <xf numFmtId="0" fontId="9" fillId="2" borderId="100" xfId="0" applyFont="1" applyFill="1" applyBorder="1" applyAlignment="1">
      <alignment horizontal="center" vertical="center"/>
    </xf>
    <xf numFmtId="0" fontId="9" fillId="0" borderId="0" xfId="0" applyFont="1" applyAlignment="1">
      <alignment horizontal="center" vertical="center"/>
    </xf>
    <xf numFmtId="0" fontId="9" fillId="0" borderId="75" xfId="0" applyFont="1" applyBorder="1" applyAlignment="1">
      <alignment horizontal="center" vertical="center"/>
    </xf>
    <xf numFmtId="0" fontId="6" fillId="0" borderId="39" xfId="0" applyFont="1" applyBorder="1" applyAlignment="1">
      <alignment horizontal="center"/>
    </xf>
    <xf numFmtId="0" fontId="6" fillId="0" borderId="12" xfId="0" applyFont="1" applyBorder="1" applyAlignment="1">
      <alignment horizontal="center" textRotation="90" wrapText="1"/>
    </xf>
    <xf numFmtId="0" fontId="6" fillId="0" borderId="12" xfId="0" applyFont="1" applyBorder="1" applyAlignment="1">
      <alignment horizontal="center" wrapText="1"/>
    </xf>
    <xf numFmtId="0" fontId="0" fillId="0" borderId="10" xfId="0" applyBorder="1" applyAlignment="1">
      <alignment horizontal="center" vertical="center" wrapText="1"/>
    </xf>
    <xf numFmtId="0" fontId="46" fillId="15" borderId="30" xfId="0" applyFont="1" applyFill="1" applyBorder="1" applyAlignment="1">
      <alignment horizontal="center" vertical="center" wrapText="1"/>
    </xf>
    <xf numFmtId="0" fontId="58" fillId="3" borderId="0" xfId="0" applyFont="1" applyFill="1" applyAlignment="1">
      <alignment horizontal="left" vertical="center"/>
    </xf>
    <xf numFmtId="0" fontId="92" fillId="0" borderId="20" xfId="0" applyFont="1" applyBorder="1" applyAlignment="1">
      <alignment horizontal="left" vertical="center"/>
    </xf>
    <xf numFmtId="0" fontId="92" fillId="0" borderId="0" xfId="0" applyFont="1" applyAlignment="1">
      <alignment vertical="center"/>
    </xf>
    <xf numFmtId="0" fontId="92" fillId="0" borderId="20" xfId="0" applyFont="1" applyBorder="1" applyAlignment="1">
      <alignment vertical="center"/>
    </xf>
    <xf numFmtId="0" fontId="20" fillId="3" borderId="0" xfId="0" applyFont="1" applyFill="1" applyAlignment="1">
      <alignment horizontal="center"/>
    </xf>
    <xf numFmtId="0" fontId="8" fillId="0" borderId="0" xfId="0" applyFont="1" applyAlignment="1">
      <alignment horizontal="center" vertical="top"/>
    </xf>
    <xf numFmtId="0" fontId="8" fillId="0" borderId="20" xfId="0" applyFont="1" applyBorder="1" applyAlignment="1">
      <alignment horizontal="center" vertical="top"/>
    </xf>
    <xf numFmtId="0" fontId="9" fillId="3" borderId="21" xfId="0" applyFont="1" applyFill="1" applyBorder="1" applyAlignment="1">
      <alignment horizontal="center" vertical="center"/>
    </xf>
    <xf numFmtId="0" fontId="8" fillId="0" borderId="4" xfId="0" applyFont="1" applyBorder="1" applyAlignment="1">
      <alignment horizontal="center" vertical="center"/>
    </xf>
    <xf numFmtId="0" fontId="8" fillId="0" borderId="22" xfId="0" applyFont="1" applyBorder="1" applyAlignment="1">
      <alignment horizontal="center" vertical="center"/>
    </xf>
    <xf numFmtId="5" fontId="8" fillId="3" borderId="0" xfId="0" applyNumberFormat="1" applyFont="1" applyFill="1" applyAlignment="1">
      <alignment horizontal="right"/>
    </xf>
    <xf numFmtId="5" fontId="0" fillId="0" borderId="24" xfId="0" applyNumberFormat="1" applyBorder="1" applyAlignment="1">
      <alignment horizontal="right"/>
    </xf>
    <xf numFmtId="0" fontId="166" fillId="5" borderId="0" xfId="0" applyFont="1" applyFill="1" applyAlignment="1">
      <alignment horizontal="center" vertical="top"/>
    </xf>
    <xf numFmtId="39" fontId="271" fillId="3" borderId="0" xfId="0" applyNumberFormat="1" applyFont="1" applyFill="1" applyAlignment="1">
      <alignment horizontal="center" vertical="top" wrapText="1"/>
    </xf>
    <xf numFmtId="0" fontId="12" fillId="14" borderId="21" xfId="0" applyFont="1" applyFill="1" applyBorder="1" applyAlignment="1">
      <alignment horizontal="center" vertical="center"/>
    </xf>
    <xf numFmtId="0" fontId="12" fillId="14" borderId="4" xfId="0" applyFont="1" applyFill="1" applyBorder="1" applyAlignment="1">
      <alignment horizontal="center" vertical="center"/>
    </xf>
    <xf numFmtId="0" fontId="10" fillId="15" borderId="4" xfId="0" applyFont="1" applyFill="1" applyBorder="1" applyAlignment="1">
      <alignment horizontal="center" vertical="center"/>
    </xf>
    <xf numFmtId="0" fontId="10" fillId="15" borderId="22" xfId="0" applyFont="1" applyFill="1" applyBorder="1" applyAlignment="1">
      <alignment horizontal="center" vertical="center"/>
    </xf>
    <xf numFmtId="0" fontId="20" fillId="14" borderId="0" xfId="0" applyFont="1" applyFill="1" applyAlignment="1">
      <alignment horizontal="center"/>
    </xf>
    <xf numFmtId="0" fontId="9" fillId="14" borderId="5" xfId="0" applyFont="1" applyFill="1" applyBorder="1" applyAlignment="1">
      <alignment horizontal="center" vertical="top"/>
    </xf>
    <xf numFmtId="0" fontId="41" fillId="14" borderId="0" xfId="0" applyFont="1" applyFill="1" applyAlignment="1">
      <alignment horizontal="center" vertical="top"/>
    </xf>
    <xf numFmtId="0" fontId="8" fillId="15" borderId="0" xfId="0" applyFont="1" applyFill="1" applyAlignment="1">
      <alignment horizontal="center" vertical="top"/>
    </xf>
    <xf numFmtId="0" fontId="8" fillId="15" borderId="20" xfId="0" applyFont="1" applyFill="1" applyBorder="1" applyAlignment="1">
      <alignment horizontal="center" vertical="top"/>
    </xf>
    <xf numFmtId="0" fontId="11" fillId="3" borderId="8" xfId="0" applyFont="1" applyFill="1" applyBorder="1" applyAlignment="1">
      <alignment horizontal="left" vertical="top"/>
    </xf>
    <xf numFmtId="0" fontId="166" fillId="5" borderId="0" xfId="0" applyFont="1" applyFill="1" applyAlignment="1">
      <alignment horizontal="center" vertical="center"/>
    </xf>
    <xf numFmtId="39" fontId="11" fillId="16" borderId="9" xfId="0" applyNumberFormat="1" applyFont="1" applyFill="1" applyBorder="1" applyAlignment="1" applyProtection="1">
      <alignment horizontal="center"/>
      <protection locked="0"/>
    </xf>
    <xf numFmtId="39" fontId="11" fillId="16" borderId="1" xfId="0" applyNumberFormat="1" applyFont="1" applyFill="1" applyBorder="1" applyAlignment="1" applyProtection="1">
      <alignment horizontal="center"/>
      <protection locked="0"/>
    </xf>
    <xf numFmtId="39" fontId="11" fillId="0" borderId="1" xfId="0" applyNumberFormat="1" applyFont="1" applyBorder="1" applyAlignment="1" applyProtection="1">
      <alignment horizontal="center"/>
      <protection locked="0"/>
    </xf>
    <xf numFmtId="39" fontId="11" fillId="0" borderId="11" xfId="0" applyNumberFormat="1" applyFont="1" applyBorder="1" applyAlignment="1" applyProtection="1">
      <alignment horizontal="center"/>
      <protection locked="0"/>
    </xf>
    <xf numFmtId="0" fontId="0" fillId="15" borderId="8" xfId="0" applyFill="1" applyBorder="1" applyAlignment="1">
      <alignment vertical="top"/>
    </xf>
    <xf numFmtId="49" fontId="0" fillId="16" borderId="1" xfId="0" applyNumberFormat="1" applyFill="1" applyBorder="1" applyAlignment="1" applyProtection="1">
      <alignment horizontal="center"/>
      <protection locked="0"/>
    </xf>
    <xf numFmtId="49" fontId="0" fillId="0" borderId="1" xfId="0" applyNumberFormat="1" applyBorder="1" applyAlignment="1" applyProtection="1">
      <alignment horizontal="center"/>
      <protection locked="0"/>
    </xf>
    <xf numFmtId="49" fontId="0" fillId="0" borderId="11" xfId="0" applyNumberFormat="1" applyBorder="1" applyAlignment="1" applyProtection="1">
      <alignment horizontal="center"/>
      <protection locked="0"/>
    </xf>
    <xf numFmtId="166" fontId="15" fillId="16" borderId="9" xfId="0" applyNumberFormat="1" applyFont="1" applyFill="1" applyBorder="1" applyAlignment="1" applyProtection="1">
      <alignment horizontal="center"/>
      <protection locked="0"/>
    </xf>
    <xf numFmtId="166" fontId="15" fillId="0" borderId="1" xfId="0" applyNumberFormat="1" applyFont="1" applyBorder="1" applyAlignment="1" applyProtection="1">
      <alignment horizontal="center"/>
      <protection locked="0"/>
    </xf>
    <xf numFmtId="166" fontId="15" fillId="0" borderId="11" xfId="0" applyNumberFormat="1" applyFont="1" applyBorder="1" applyAlignment="1" applyProtection="1">
      <alignment horizontal="center"/>
      <protection locked="0"/>
    </xf>
    <xf numFmtId="186" fontId="0" fillId="16" borderId="9" xfId="0" applyNumberFormat="1" applyFill="1" applyBorder="1" applyAlignment="1" applyProtection="1">
      <alignment horizontal="center"/>
      <protection locked="0"/>
    </xf>
    <xf numFmtId="186" fontId="0" fillId="16" borderId="1" xfId="0" applyNumberFormat="1" applyFill="1" applyBorder="1" applyAlignment="1" applyProtection="1">
      <alignment horizontal="center"/>
      <protection locked="0"/>
    </xf>
    <xf numFmtId="186" fontId="0" fillId="0" borderId="1" xfId="0" applyNumberFormat="1" applyBorder="1" applyAlignment="1" applyProtection="1">
      <alignment horizontal="center"/>
      <protection locked="0"/>
    </xf>
    <xf numFmtId="186" fontId="6" fillId="16" borderId="9" xfId="0" applyNumberFormat="1" applyFont="1" applyFill="1" applyBorder="1" applyAlignment="1" applyProtection="1">
      <alignment horizontal="center"/>
      <protection locked="0"/>
    </xf>
    <xf numFmtId="0" fontId="4" fillId="0" borderId="8" xfId="0" applyFont="1" applyBorder="1" applyAlignment="1">
      <alignment horizontal="left" vertical="center"/>
    </xf>
    <xf numFmtId="0" fontId="4" fillId="0" borderId="14" xfId="0" applyFont="1" applyBorder="1" applyAlignment="1">
      <alignment horizontal="left" vertical="center"/>
    </xf>
    <xf numFmtId="0" fontId="4" fillId="0" borderId="0" xfId="0" applyFont="1" applyAlignment="1">
      <alignment horizontal="left" vertical="center"/>
    </xf>
    <xf numFmtId="0" fontId="4" fillId="0" borderId="24" xfId="0" applyFont="1" applyBorder="1" applyAlignment="1">
      <alignment horizontal="left" vertical="center"/>
    </xf>
    <xf numFmtId="0" fontId="4" fillId="0" borderId="1" xfId="0" applyFont="1" applyBorder="1" applyAlignment="1">
      <alignment horizontal="left" vertical="center"/>
    </xf>
    <xf numFmtId="0" fontId="4" fillId="0" borderId="11" xfId="0" applyFont="1" applyBorder="1" applyAlignment="1">
      <alignment horizontal="left" vertical="center"/>
    </xf>
    <xf numFmtId="0" fontId="4" fillId="23" borderId="30" xfId="0" applyFont="1" applyFill="1" applyBorder="1" applyAlignment="1">
      <alignment horizontal="center" vertical="center"/>
    </xf>
    <xf numFmtId="0" fontId="4" fillId="23" borderId="8" xfId="0" applyFont="1" applyFill="1" applyBorder="1" applyAlignment="1">
      <alignment horizontal="center" vertical="center"/>
    </xf>
    <xf numFmtId="0" fontId="4" fillId="23" borderId="14" xfId="0" applyFont="1" applyFill="1" applyBorder="1" applyAlignment="1">
      <alignment horizontal="center" vertical="center"/>
    </xf>
    <xf numFmtId="0" fontId="4" fillId="23" borderId="3" xfId="0" applyFont="1" applyFill="1" applyBorder="1" applyAlignment="1">
      <alignment horizontal="center" vertical="center"/>
    </xf>
    <xf numFmtId="0" fontId="4" fillId="23" borderId="0" xfId="0" applyFont="1" applyFill="1" applyAlignment="1">
      <alignment horizontal="center" vertical="center"/>
    </xf>
    <xf numFmtId="0" fontId="4" fillId="23" borderId="24" xfId="0" applyFont="1" applyFill="1" applyBorder="1" applyAlignment="1">
      <alignment horizontal="center" vertical="center"/>
    </xf>
    <xf numFmtId="0" fontId="4" fillId="23" borderId="30" xfId="0" applyFont="1" applyFill="1" applyBorder="1" applyAlignment="1">
      <alignment horizontal="center" vertical="center" wrapText="1"/>
    </xf>
    <xf numFmtId="10" fontId="0" fillId="16" borderId="9" xfId="0" applyNumberFormat="1" applyFill="1" applyBorder="1" applyAlignment="1" applyProtection="1">
      <alignment horizontal="center"/>
      <protection locked="0"/>
    </xf>
    <xf numFmtId="10" fontId="0" fillId="16" borderId="1" xfId="0" applyNumberFormat="1" applyFill="1" applyBorder="1" applyAlignment="1" applyProtection="1">
      <alignment horizontal="center"/>
      <protection locked="0"/>
    </xf>
    <xf numFmtId="10" fontId="0" fillId="0" borderId="1" xfId="0" applyNumberFormat="1" applyBorder="1" applyAlignment="1" applyProtection="1">
      <alignment horizontal="center"/>
      <protection locked="0"/>
    </xf>
    <xf numFmtId="10" fontId="0" fillId="0" borderId="11" xfId="0" applyNumberFormat="1" applyBorder="1" applyAlignment="1" applyProtection="1">
      <alignment horizontal="center"/>
      <protection locked="0"/>
    </xf>
    <xf numFmtId="1" fontId="11" fillId="16" borderId="9" xfId="0" applyNumberFormat="1" applyFont="1" applyFill="1" applyBorder="1" applyAlignment="1" applyProtection="1">
      <alignment horizontal="center"/>
      <protection locked="0"/>
    </xf>
    <xf numFmtId="1" fontId="11" fillId="16" borderId="1" xfId="0" applyNumberFormat="1" applyFont="1" applyFill="1" applyBorder="1" applyAlignment="1" applyProtection="1">
      <alignment horizontal="center"/>
      <protection locked="0"/>
    </xf>
    <xf numFmtId="1" fontId="11" fillId="0" borderId="1" xfId="0" applyNumberFormat="1" applyFont="1" applyBorder="1" applyAlignment="1" applyProtection="1">
      <alignment horizontal="center"/>
      <protection locked="0"/>
    </xf>
    <xf numFmtId="1" fontId="11" fillId="0" borderId="11" xfId="0" applyNumberFormat="1" applyFont="1" applyBorder="1" applyAlignment="1" applyProtection="1">
      <alignment horizontal="center"/>
      <protection locked="0"/>
    </xf>
    <xf numFmtId="0" fontId="0" fillId="15" borderId="14" xfId="0" applyFill="1" applyBorder="1" applyAlignment="1">
      <alignment vertical="top"/>
    </xf>
    <xf numFmtId="0" fontId="4" fillId="0" borderId="1" xfId="0" applyFont="1" applyBorder="1" applyAlignment="1">
      <alignment horizontal="right"/>
    </xf>
    <xf numFmtId="0" fontId="4" fillId="0" borderId="0" xfId="0" applyFont="1" applyAlignment="1">
      <alignment horizontal="right"/>
    </xf>
    <xf numFmtId="0" fontId="6" fillId="15" borderId="8" xfId="0" applyFont="1" applyFill="1" applyBorder="1" applyAlignment="1">
      <alignment vertical="top" wrapText="1"/>
    </xf>
    <xf numFmtId="39" fontId="4" fillId="16" borderId="12" xfId="0" applyNumberFormat="1" applyFont="1" applyFill="1" applyBorder="1" applyProtection="1">
      <protection locked="0"/>
    </xf>
    <xf numFmtId="39" fontId="4" fillId="25" borderId="12" xfId="0" applyNumberFormat="1" applyFont="1" applyFill="1" applyBorder="1"/>
    <xf numFmtId="0" fontId="8" fillId="23" borderId="15" xfId="0" applyFont="1" applyFill="1" applyBorder="1" applyAlignment="1">
      <alignment horizontal="center" vertical="center" wrapText="1"/>
    </xf>
    <xf numFmtId="0" fontId="8" fillId="23" borderId="15" xfId="0" applyFont="1" applyFill="1" applyBorder="1" applyAlignment="1">
      <alignment horizontal="center" vertical="center"/>
    </xf>
    <xf numFmtId="0" fontId="8" fillId="23" borderId="6" xfId="0" applyFont="1" applyFill="1" applyBorder="1" applyAlignment="1">
      <alignment horizontal="center" vertical="center"/>
    </xf>
    <xf numFmtId="39" fontId="4" fillId="16" borderId="12" xfId="0" applyNumberFormat="1" applyFont="1" applyFill="1" applyBorder="1" applyAlignment="1" applyProtection="1">
      <alignment horizontal="right"/>
      <protection locked="0"/>
    </xf>
    <xf numFmtId="0" fontId="8" fillId="15" borderId="1" xfId="0" applyFont="1" applyFill="1" applyBorder="1" applyAlignment="1">
      <alignment horizontal="left"/>
    </xf>
    <xf numFmtId="0" fontId="8" fillId="15" borderId="8" xfId="0" applyFont="1" applyFill="1" applyBorder="1" applyAlignment="1">
      <alignment horizontal="center"/>
    </xf>
    <xf numFmtId="0" fontId="8" fillId="15" borderId="1" xfId="0" applyFont="1" applyFill="1" applyBorder="1" applyAlignment="1">
      <alignment horizontal="center"/>
    </xf>
    <xf numFmtId="39" fontId="4" fillId="16" borderId="51" xfId="0" applyNumberFormat="1" applyFont="1" applyFill="1" applyBorder="1" applyProtection="1">
      <protection locked="0"/>
    </xf>
    <xf numFmtId="39" fontId="4" fillId="16" borderId="52" xfId="0" applyNumberFormat="1" applyFont="1" applyFill="1" applyBorder="1" applyProtection="1">
      <protection locked="0"/>
    </xf>
    <xf numFmtId="37" fontId="4" fillId="0" borderId="4" xfId="0" applyNumberFormat="1" applyFont="1" applyBorder="1" applyAlignment="1">
      <alignment horizontal="right"/>
    </xf>
    <xf numFmtId="0" fontId="6" fillId="15" borderId="25" xfId="0" applyFont="1" applyFill="1" applyBorder="1" applyAlignment="1">
      <alignment horizontal="left"/>
    </xf>
    <xf numFmtId="0" fontId="37" fillId="15" borderId="30" xfId="0" applyFont="1" applyFill="1" applyBorder="1" applyAlignment="1">
      <alignment horizontal="left" vertical="center" wrapText="1"/>
    </xf>
    <xf numFmtId="0" fontId="37" fillId="15" borderId="8" xfId="0" applyFont="1" applyFill="1" applyBorder="1" applyAlignment="1">
      <alignment horizontal="left" vertical="center" wrapText="1"/>
    </xf>
    <xf numFmtId="0" fontId="37" fillId="15" borderId="14" xfId="0" applyFont="1" applyFill="1" applyBorder="1" applyAlignment="1">
      <alignment horizontal="left" vertical="center" wrapText="1"/>
    </xf>
    <xf numFmtId="0" fontId="37" fillId="15" borderId="3" xfId="0" applyFont="1" applyFill="1" applyBorder="1" applyAlignment="1">
      <alignment horizontal="left" vertical="center" wrapText="1"/>
    </xf>
    <xf numFmtId="0" fontId="37" fillId="15" borderId="0" xfId="0" applyFont="1" applyFill="1" applyAlignment="1">
      <alignment horizontal="left" vertical="center" wrapText="1"/>
    </xf>
    <xf numFmtId="0" fontId="37" fillId="15" borderId="24" xfId="0" applyFont="1" applyFill="1" applyBorder="1" applyAlignment="1">
      <alignment horizontal="left" vertical="center" wrapText="1"/>
    </xf>
    <xf numFmtId="0" fontId="37" fillId="15" borderId="9" xfId="0" applyFont="1" applyFill="1" applyBorder="1" applyAlignment="1">
      <alignment horizontal="left" vertical="center" wrapText="1"/>
    </xf>
    <xf numFmtId="0" fontId="37" fillId="15" borderId="1" xfId="0" applyFont="1" applyFill="1" applyBorder="1" applyAlignment="1">
      <alignment horizontal="left" vertical="center" wrapText="1"/>
    </xf>
    <xf numFmtId="0" fontId="37" fillId="15" borderId="11" xfId="0" applyFont="1" applyFill="1" applyBorder="1" applyAlignment="1">
      <alignment horizontal="left" vertical="center" wrapText="1"/>
    </xf>
    <xf numFmtId="1" fontId="9" fillId="28" borderId="9" xfId="0" applyNumberFormat="1" applyFont="1" applyFill="1" applyBorder="1" applyAlignment="1">
      <alignment horizontal="right"/>
    </xf>
    <xf numFmtId="39" fontId="4" fillId="16" borderId="39" xfId="0" applyNumberFormat="1" applyFont="1" applyFill="1" applyBorder="1" applyProtection="1">
      <protection locked="0"/>
    </xf>
    <xf numFmtId="37" fontId="9" fillId="26" borderId="31" xfId="0" applyNumberFormat="1" applyFont="1" applyFill="1" applyBorder="1" applyAlignment="1">
      <alignment horizontal="right"/>
    </xf>
    <xf numFmtId="0" fontId="4" fillId="26" borderId="31" xfId="0" applyFont="1" applyFill="1" applyBorder="1" applyAlignment="1">
      <alignment horizontal="right"/>
    </xf>
    <xf numFmtId="0" fontId="4" fillId="26" borderId="73" xfId="0" applyFont="1" applyFill="1" applyBorder="1" applyAlignment="1">
      <alignment horizontal="right"/>
    </xf>
    <xf numFmtId="0" fontId="110" fillId="15" borderId="30" xfId="0" applyFont="1" applyFill="1" applyBorder="1" applyAlignment="1">
      <alignment horizontal="left" vertical="center" wrapText="1"/>
    </xf>
    <xf numFmtId="0" fontId="110" fillId="15" borderId="8" xfId="0" applyFont="1" applyFill="1" applyBorder="1" applyAlignment="1">
      <alignment horizontal="left" vertical="center" wrapText="1"/>
    </xf>
    <xf numFmtId="0" fontId="110" fillId="15" borderId="14" xfId="0" applyFont="1" applyFill="1" applyBorder="1" applyAlignment="1">
      <alignment horizontal="left" vertical="center" wrapText="1"/>
    </xf>
    <xf numFmtId="0" fontId="110" fillId="15" borderId="3" xfId="0" applyFont="1" applyFill="1" applyBorder="1" applyAlignment="1">
      <alignment horizontal="left" vertical="center" wrapText="1"/>
    </xf>
    <xf numFmtId="0" fontId="110" fillId="15" borderId="0" xfId="0" applyFont="1" applyFill="1" applyAlignment="1">
      <alignment horizontal="left" vertical="center" wrapText="1"/>
    </xf>
    <xf numFmtId="0" fontId="110" fillId="15" borderId="24" xfId="0" applyFont="1" applyFill="1" applyBorder="1" applyAlignment="1">
      <alignment horizontal="left" vertical="center" wrapText="1"/>
    </xf>
    <xf numFmtId="0" fontId="110" fillId="15" borderId="9" xfId="0" applyFont="1" applyFill="1" applyBorder="1" applyAlignment="1">
      <alignment horizontal="left" vertical="center" wrapText="1"/>
    </xf>
    <xf numFmtId="0" fontId="110" fillId="15" borderId="1" xfId="0" applyFont="1" applyFill="1" applyBorder="1" applyAlignment="1">
      <alignment horizontal="left" vertical="center" wrapText="1"/>
    </xf>
    <xf numFmtId="0" fontId="110" fillId="15" borderId="11" xfId="0" applyFont="1" applyFill="1" applyBorder="1" applyAlignment="1">
      <alignment horizontal="left" vertical="center" wrapText="1"/>
    </xf>
    <xf numFmtId="180" fontId="9" fillId="28" borderId="1" xfId="0" applyNumberFormat="1" applyFont="1" applyFill="1" applyBorder="1" applyAlignment="1">
      <alignment horizontal="right"/>
    </xf>
    <xf numFmtId="180" fontId="4" fillId="0" borderId="1" xfId="0" applyNumberFormat="1" applyFont="1" applyBorder="1" applyAlignment="1">
      <alignment horizontal="right"/>
    </xf>
    <xf numFmtId="0" fontId="4" fillId="25" borderId="1" xfId="0" applyFont="1" applyFill="1" applyBorder="1" applyAlignment="1">
      <alignment horizontal="right"/>
    </xf>
    <xf numFmtId="0" fontId="0" fillId="15" borderId="0" xfId="0" applyFill="1"/>
    <xf numFmtId="0" fontId="8" fillId="23" borderId="30" xfId="0" applyFont="1" applyFill="1" applyBorder="1" applyAlignment="1">
      <alignment horizontal="center" vertical="center"/>
    </xf>
    <xf numFmtId="0" fontId="8" fillId="23" borderId="3" xfId="0" applyFont="1" applyFill="1" applyBorder="1" applyAlignment="1">
      <alignment horizontal="center" vertical="center"/>
    </xf>
    <xf numFmtId="0" fontId="4" fillId="27" borderId="1" xfId="0" applyFont="1" applyFill="1" applyBorder="1" applyAlignment="1">
      <alignment horizontal="right"/>
    </xf>
    <xf numFmtId="0" fontId="15" fillId="0" borderId="8" xfId="0" applyFont="1" applyBorder="1" applyAlignment="1">
      <alignment horizontal="center" vertical="center" wrapText="1"/>
    </xf>
    <xf numFmtId="0" fontId="15" fillId="0" borderId="8" xfId="0" applyFont="1" applyBorder="1" applyAlignment="1">
      <alignment horizontal="center" vertical="center"/>
    </xf>
    <xf numFmtId="0" fontId="15" fillId="0" borderId="0" xfId="0" applyFont="1" applyAlignment="1">
      <alignment horizontal="center" vertical="center"/>
    </xf>
    <xf numFmtId="0" fontId="140" fillId="0" borderId="111" xfId="0" applyFont="1" applyBorder="1" applyAlignment="1">
      <alignment horizontal="center" vertical="center" wrapText="1"/>
    </xf>
    <xf numFmtId="0" fontId="0" fillId="0" borderId="31" xfId="0" applyBorder="1" applyAlignment="1">
      <alignment horizontal="center" vertical="center" wrapText="1"/>
    </xf>
    <xf numFmtId="0" fontId="0" fillId="0" borderId="31" xfId="0" applyBorder="1" applyAlignment="1">
      <alignment vertical="center" wrapText="1"/>
    </xf>
    <xf numFmtId="0" fontId="0" fillId="0" borderId="112" xfId="0" applyBorder="1" applyAlignment="1">
      <alignment vertical="center" wrapText="1"/>
    </xf>
    <xf numFmtId="0" fontId="4" fillId="15" borderId="8" xfId="0" applyFont="1" applyFill="1" applyBorder="1" applyAlignment="1">
      <alignment horizontal="left" vertical="center" wrapText="1"/>
    </xf>
    <xf numFmtId="0" fontId="0" fillId="0" borderId="70" xfId="0" applyBorder="1" applyAlignment="1">
      <alignment horizontal="left" vertical="center" wrapText="1"/>
    </xf>
    <xf numFmtId="0" fontId="110" fillId="0" borderId="0" xfId="0" applyFont="1" applyAlignment="1">
      <alignment vertical="center" wrapText="1"/>
    </xf>
    <xf numFmtId="0" fontId="110" fillId="0" borderId="0" xfId="0" applyFont="1" applyAlignment="1">
      <alignment wrapText="1"/>
    </xf>
    <xf numFmtId="0" fontId="0" fillId="0" borderId="3" xfId="0" applyBorder="1" applyAlignment="1">
      <alignment horizontal="left" vertical="center" wrapText="1"/>
    </xf>
    <xf numFmtId="0" fontId="0" fillId="0" borderId="9" xfId="0" applyBorder="1" applyAlignment="1">
      <alignment horizontal="left" vertical="center" wrapText="1"/>
    </xf>
    <xf numFmtId="37" fontId="9" fillId="28" borderId="39" xfId="0" applyNumberFormat="1" applyFont="1" applyFill="1" applyBorder="1" applyAlignment="1">
      <alignment horizontal="right"/>
    </xf>
    <xf numFmtId="0" fontId="4" fillId="0" borderId="25" xfId="0" applyFont="1" applyBorder="1" applyAlignment="1">
      <alignment horizontal="right"/>
    </xf>
    <xf numFmtId="0" fontId="110" fillId="15" borderId="3" xfId="0" applyFont="1" applyFill="1" applyBorder="1"/>
    <xf numFmtId="0" fontId="152" fillId="0" borderId="0" xfId="0" applyFont="1" applyAlignment="1">
      <alignment horizontal="center" vertical="center" wrapText="1"/>
    </xf>
    <xf numFmtId="0" fontId="152" fillId="0" borderId="4" xfId="0" applyFont="1" applyBorder="1" applyAlignment="1">
      <alignment horizontal="center" vertical="center" wrapText="1"/>
    </xf>
    <xf numFmtId="0" fontId="4" fillId="0" borderId="4" xfId="0" applyFont="1" applyBorder="1" applyAlignment="1">
      <alignment horizontal="right"/>
    </xf>
    <xf numFmtId="0" fontId="6" fillId="15" borderId="25" xfId="0" applyFont="1" applyFill="1" applyBorder="1" applyAlignment="1">
      <alignment horizontal="right"/>
    </xf>
    <xf numFmtId="0" fontId="6" fillId="15" borderId="54" xfId="0" applyFont="1" applyFill="1" applyBorder="1" applyAlignment="1">
      <alignment horizontal="right"/>
    </xf>
    <xf numFmtId="0" fontId="6" fillId="15" borderId="31" xfId="0" applyFont="1" applyFill="1" applyBorder="1" applyAlignment="1">
      <alignment horizontal="left"/>
    </xf>
    <xf numFmtId="39" fontId="4" fillId="25" borderId="51" xfId="0" applyNumberFormat="1" applyFont="1" applyFill="1" applyBorder="1"/>
    <xf numFmtId="0" fontId="15" fillId="15" borderId="8" xfId="0" quotePrefix="1" applyFont="1" applyFill="1" applyBorder="1" applyAlignment="1">
      <alignment horizontal="right" vertical="center" wrapText="1"/>
    </xf>
    <xf numFmtId="0" fontId="0" fillId="0" borderId="1" xfId="0" applyBorder="1" applyAlignment="1">
      <alignment vertical="center" wrapText="1"/>
    </xf>
    <xf numFmtId="49" fontId="6" fillId="16" borderId="1" xfId="0" applyNumberFormat="1" applyFont="1" applyFill="1" applyBorder="1" applyAlignment="1" applyProtection="1">
      <alignment horizontal="center"/>
      <protection locked="0"/>
    </xf>
    <xf numFmtId="37" fontId="15" fillId="27" borderId="25" xfId="0" applyNumberFormat="1" applyFont="1" applyFill="1" applyBorder="1" applyAlignment="1">
      <alignment horizontal="right"/>
    </xf>
    <xf numFmtId="37" fontId="15" fillId="27" borderId="39" xfId="0" applyNumberFormat="1" applyFont="1" applyFill="1" applyBorder="1"/>
    <xf numFmtId="0" fontId="47" fillId="27" borderId="25" xfId="0" applyFont="1" applyFill="1" applyBorder="1"/>
    <xf numFmtId="37" fontId="15" fillId="27" borderId="9" xfId="0" applyNumberFormat="1" applyFont="1" applyFill="1" applyBorder="1" applyAlignment="1">
      <alignment horizontal="right"/>
    </xf>
    <xf numFmtId="37" fontId="15" fillId="27" borderId="9" xfId="0" applyNumberFormat="1" applyFont="1" applyFill="1" applyBorder="1"/>
    <xf numFmtId="0" fontId="47" fillId="27" borderId="1" xfId="0" applyFont="1" applyFill="1" applyBorder="1"/>
    <xf numFmtId="0" fontId="47" fillId="27" borderId="11" xfId="0" applyFont="1" applyFill="1" applyBorder="1"/>
    <xf numFmtId="37" fontId="110" fillId="0" borderId="0" xfId="0" applyNumberFormat="1" applyFont="1" applyAlignment="1">
      <alignment horizontal="right"/>
    </xf>
    <xf numFmtId="37" fontId="168" fillId="15" borderId="30" xfId="0" applyNumberFormat="1" applyFont="1" applyFill="1" applyBorder="1" applyAlignment="1">
      <alignment horizontal="right"/>
    </xf>
    <xf numFmtId="37" fontId="168" fillId="15" borderId="8" xfId="0" applyNumberFormat="1" applyFont="1" applyFill="1" applyBorder="1" applyAlignment="1">
      <alignment horizontal="right"/>
    </xf>
    <xf numFmtId="37" fontId="168" fillId="15" borderId="14" xfId="0" applyNumberFormat="1" applyFont="1" applyFill="1" applyBorder="1" applyAlignment="1">
      <alignment horizontal="right"/>
    </xf>
    <xf numFmtId="37" fontId="47" fillId="27" borderId="25" xfId="0" applyNumberFormat="1" applyFont="1" applyFill="1" applyBorder="1"/>
    <xf numFmtId="0" fontId="125" fillId="15" borderId="3" xfId="0" applyFont="1" applyFill="1" applyBorder="1" applyAlignment="1">
      <alignment horizontal="center"/>
    </xf>
    <xf numFmtId="0" fontId="163" fillId="15" borderId="30" xfId="0" applyFont="1" applyFill="1" applyBorder="1" applyAlignment="1">
      <alignment horizontal="center" vertical="center" wrapText="1"/>
    </xf>
    <xf numFmtId="0" fontId="163" fillId="15" borderId="8" xfId="0" applyFont="1" applyFill="1" applyBorder="1" applyAlignment="1">
      <alignment horizontal="center" vertical="center" wrapText="1"/>
    </xf>
    <xf numFmtId="0" fontId="163" fillId="15" borderId="3" xfId="0" applyFont="1" applyFill="1" applyBorder="1" applyAlignment="1">
      <alignment horizontal="center" vertical="center" wrapText="1"/>
    </xf>
    <xf numFmtId="0" fontId="163" fillId="15" borderId="0" xfId="0" applyFont="1" applyFill="1" applyAlignment="1">
      <alignment horizontal="center" vertical="center" wrapText="1"/>
    </xf>
    <xf numFmtId="37" fontId="47" fillId="27" borderId="1" xfId="0" applyNumberFormat="1" applyFont="1" applyFill="1" applyBorder="1"/>
    <xf numFmtId="37" fontId="47" fillId="27" borderId="11" xfId="0" applyNumberFormat="1" applyFont="1" applyFill="1" applyBorder="1"/>
    <xf numFmtId="0" fontId="4" fillId="16" borderId="30" xfId="0" applyFont="1" applyFill="1" applyBorder="1" applyAlignment="1" applyProtection="1">
      <alignment horizontal="left" wrapText="1"/>
      <protection locked="0"/>
    </xf>
    <xf numFmtId="0" fontId="4" fillId="16" borderId="8" xfId="0" applyFont="1" applyFill="1" applyBorder="1" applyAlignment="1" applyProtection="1">
      <alignment horizontal="left" wrapText="1"/>
      <protection locked="0"/>
    </xf>
    <xf numFmtId="0" fontId="4" fillId="16" borderId="14" xfId="0" applyFont="1" applyFill="1" applyBorder="1" applyAlignment="1" applyProtection="1">
      <alignment horizontal="left" wrapText="1"/>
      <protection locked="0"/>
    </xf>
    <xf numFmtId="0" fontId="4" fillId="16" borderId="9" xfId="0" applyFont="1" applyFill="1" applyBorder="1" applyAlignment="1" applyProtection="1">
      <alignment horizontal="left" wrapText="1"/>
      <protection locked="0"/>
    </xf>
    <xf numFmtId="0" fontId="4" fillId="16" borderId="1" xfId="0" applyFont="1" applyFill="1" applyBorder="1" applyAlignment="1" applyProtection="1">
      <alignment horizontal="left" wrapText="1"/>
      <protection locked="0"/>
    </xf>
    <xf numFmtId="0" fontId="4" fillId="16" borderId="11" xfId="0" applyFont="1" applyFill="1" applyBorder="1" applyAlignment="1" applyProtection="1">
      <alignment horizontal="left" wrapText="1"/>
      <protection locked="0"/>
    </xf>
    <xf numFmtId="0" fontId="4" fillId="15" borderId="8" xfId="0" quotePrefix="1" applyFont="1" applyFill="1" applyBorder="1" applyAlignment="1">
      <alignment horizontal="center"/>
    </xf>
    <xf numFmtId="37" fontId="15" fillId="16" borderId="25" xfId="0" applyNumberFormat="1" applyFont="1" applyFill="1" applyBorder="1" applyAlignment="1" applyProtection="1">
      <alignment horizontal="right"/>
      <protection locked="0"/>
    </xf>
    <xf numFmtId="0" fontId="44" fillId="16" borderId="0" xfId="0" applyFont="1" applyFill="1" applyAlignment="1" applyProtection="1">
      <alignment horizontal="left"/>
      <protection locked="0"/>
    </xf>
    <xf numFmtId="0" fontId="44" fillId="16" borderId="24" xfId="0" applyFont="1" applyFill="1" applyBorder="1" applyAlignment="1" applyProtection="1">
      <alignment horizontal="left"/>
      <protection locked="0"/>
    </xf>
    <xf numFmtId="0" fontId="44" fillId="16" borderId="1" xfId="0" applyFont="1" applyFill="1" applyBorder="1" applyAlignment="1" applyProtection="1">
      <alignment horizontal="left"/>
      <protection locked="0"/>
    </xf>
    <xf numFmtId="0" fontId="44" fillId="16" borderId="11" xfId="0" applyFont="1" applyFill="1" applyBorder="1" applyAlignment="1" applyProtection="1">
      <alignment horizontal="left"/>
      <protection locked="0"/>
    </xf>
    <xf numFmtId="166" fontId="20" fillId="16" borderId="3" xfId="0" applyNumberFormat="1" applyFont="1" applyFill="1" applyBorder="1" applyAlignment="1" applyProtection="1">
      <alignment horizontal="center" vertical="center"/>
      <protection locked="0"/>
    </xf>
    <xf numFmtId="166" fontId="20" fillId="16" borderId="0" xfId="0" applyNumberFormat="1" applyFont="1" applyFill="1" applyAlignment="1" applyProtection="1">
      <alignment horizontal="center" vertical="center"/>
      <protection locked="0"/>
    </xf>
    <xf numFmtId="166" fontId="20" fillId="16" borderId="9" xfId="0" applyNumberFormat="1" applyFont="1" applyFill="1" applyBorder="1" applyAlignment="1" applyProtection="1">
      <alignment horizontal="center" vertical="center"/>
      <protection locked="0"/>
    </xf>
    <xf numFmtId="166" fontId="20" fillId="16" borderId="1" xfId="0" applyNumberFormat="1" applyFont="1" applyFill="1" applyBorder="1" applyAlignment="1" applyProtection="1">
      <alignment horizontal="center" vertical="center"/>
      <protection locked="0"/>
    </xf>
    <xf numFmtId="0" fontId="4" fillId="15" borderId="25" xfId="0" quotePrefix="1" applyFont="1" applyFill="1" applyBorder="1" applyAlignment="1">
      <alignment horizontal="center" vertical="top" wrapText="1"/>
    </xf>
    <xf numFmtId="0" fontId="0" fillId="0" borderId="54" xfId="0" applyBorder="1" applyAlignment="1">
      <alignment horizontal="center" vertical="top"/>
    </xf>
    <xf numFmtId="0" fontId="6" fillId="15" borderId="39" xfId="0" applyFont="1" applyFill="1" applyBorder="1" applyAlignment="1">
      <alignment horizontal="center" vertical="top" wrapText="1"/>
    </xf>
    <xf numFmtId="0" fontId="0" fillId="15" borderId="25" xfId="0" applyFill="1" applyBorder="1" applyAlignment="1">
      <alignment horizontal="center" vertical="top"/>
    </xf>
    <xf numFmtId="0" fontId="0" fillId="15" borderId="54" xfId="0" applyFill="1" applyBorder="1" applyAlignment="1">
      <alignment horizontal="center" vertical="top"/>
    </xf>
    <xf numFmtId="0" fontId="0" fillId="15" borderId="25" xfId="0" applyFill="1" applyBorder="1" applyAlignment="1">
      <alignment horizontal="center" vertical="center"/>
    </xf>
    <xf numFmtId="0" fontId="0" fillId="15" borderId="54" xfId="0" applyFill="1" applyBorder="1" applyAlignment="1">
      <alignment horizontal="center" vertical="center"/>
    </xf>
    <xf numFmtId="37" fontId="15" fillId="16" borderId="9" xfId="0" quotePrefix="1" applyNumberFormat="1" applyFont="1" applyFill="1" applyBorder="1" applyAlignment="1" applyProtection="1">
      <alignment horizontal="right"/>
      <protection locked="0"/>
    </xf>
    <xf numFmtId="0" fontId="10" fillId="0" borderId="4" xfId="0" applyFont="1" applyBorder="1" applyAlignment="1">
      <alignment horizontal="left" vertical="top" wrapText="1"/>
    </xf>
    <xf numFmtId="0" fontId="10" fillId="0" borderId="22" xfId="0" applyFont="1" applyBorder="1" applyAlignment="1">
      <alignment horizontal="left" vertical="top" wrapText="1"/>
    </xf>
    <xf numFmtId="0" fontId="20" fillId="15" borderId="0" xfId="0" applyFont="1" applyFill="1" applyAlignment="1">
      <alignment horizontal="left" wrapText="1"/>
    </xf>
    <xf numFmtId="0" fontId="74" fillId="0" borderId="4" xfId="0" applyFont="1" applyBorder="1" applyAlignment="1">
      <alignment horizontal="left" wrapText="1"/>
    </xf>
    <xf numFmtId="0" fontId="47" fillId="15" borderId="0" xfId="0" applyFont="1" applyFill="1" applyAlignment="1">
      <alignment horizontal="center"/>
    </xf>
    <xf numFmtId="0" fontId="104" fillId="15" borderId="0" xfId="0" applyFont="1" applyFill="1" applyAlignment="1">
      <alignment horizontal="left"/>
    </xf>
    <xf numFmtId="0" fontId="104" fillId="15" borderId="20" xfId="0" applyFont="1" applyFill="1" applyBorder="1" applyAlignment="1">
      <alignment horizontal="left"/>
    </xf>
    <xf numFmtId="0" fontId="20" fillId="15" borderId="5" xfId="0" applyFont="1" applyFill="1" applyBorder="1" applyAlignment="1">
      <alignment horizontal="center"/>
    </xf>
    <xf numFmtId="0" fontId="20" fillId="15" borderId="20" xfId="0" applyFont="1" applyFill="1" applyBorder="1" applyAlignment="1">
      <alignment horizontal="center"/>
    </xf>
    <xf numFmtId="0" fontId="8" fillId="15" borderId="26" xfId="0" applyFont="1" applyFill="1" applyBorder="1" applyAlignment="1">
      <alignment horizontal="center" vertical="center"/>
    </xf>
    <xf numFmtId="1" fontId="205" fillId="10" borderId="0" xfId="0" applyNumberFormat="1" applyFont="1" applyFill="1" applyAlignment="1">
      <alignment horizontal="center" vertical="center" wrapText="1"/>
    </xf>
    <xf numFmtId="166" fontId="15" fillId="16" borderId="9" xfId="0" applyNumberFormat="1" applyFont="1" applyFill="1" applyBorder="1" applyAlignment="1" applyProtection="1">
      <alignment horizontal="center" vertical="center"/>
      <protection locked="0"/>
    </xf>
    <xf numFmtId="166" fontId="15" fillId="16" borderId="1" xfId="0" applyNumberFormat="1" applyFont="1" applyFill="1" applyBorder="1" applyAlignment="1" applyProtection="1">
      <alignment horizontal="center" vertical="center"/>
      <protection locked="0"/>
    </xf>
    <xf numFmtId="166" fontId="15" fillId="16" borderId="11" xfId="0" applyNumberFormat="1" applyFont="1" applyFill="1" applyBorder="1" applyAlignment="1" applyProtection="1">
      <alignment horizontal="center" vertical="center"/>
      <protection locked="0"/>
    </xf>
    <xf numFmtId="37" fontId="15" fillId="16" borderId="9" xfId="0" applyNumberFormat="1" applyFont="1" applyFill="1" applyBorder="1" applyAlignment="1" applyProtection="1">
      <alignment horizontal="right"/>
      <protection locked="0"/>
    </xf>
    <xf numFmtId="0" fontId="24" fillId="15" borderId="8" xfId="0" applyFont="1" applyFill="1" applyBorder="1" applyAlignment="1">
      <alignment horizontal="left" wrapText="1"/>
    </xf>
    <xf numFmtId="0" fontId="24" fillId="15" borderId="1" xfId="0" applyFont="1" applyFill="1" applyBorder="1" applyAlignment="1">
      <alignment horizontal="left" vertical="top" wrapText="1"/>
    </xf>
    <xf numFmtId="0" fontId="24" fillId="15" borderId="1" xfId="0" applyFont="1" applyFill="1" applyBorder="1" applyAlignment="1">
      <alignment horizontal="left" vertical="top"/>
    </xf>
    <xf numFmtId="0" fontId="12" fillId="0" borderId="48" xfId="0" applyFont="1" applyBorder="1" applyAlignment="1" applyProtection="1">
      <alignment horizontal="center"/>
      <protection hidden="1"/>
    </xf>
    <xf numFmtId="0" fontId="12" fillId="0" borderId="107" xfId="0" applyFont="1" applyBorder="1" applyAlignment="1" applyProtection="1">
      <alignment horizontal="center"/>
      <protection hidden="1"/>
    </xf>
    <xf numFmtId="0" fontId="0" fillId="0" borderId="27" xfId="0" applyBorder="1" applyAlignment="1" applyProtection="1">
      <alignment horizontal="center"/>
      <protection hidden="1"/>
    </xf>
    <xf numFmtId="0" fontId="0" fillId="0" borderId="108" xfId="0" applyBorder="1" applyAlignment="1" applyProtection="1">
      <alignment horizontal="center"/>
      <protection hidden="1"/>
    </xf>
    <xf numFmtId="3" fontId="12" fillId="0" borderId="107" xfId="0" applyNumberFormat="1" applyFont="1" applyBorder="1" applyAlignment="1" applyProtection="1">
      <alignment horizontal="center"/>
      <protection hidden="1"/>
    </xf>
    <xf numFmtId="3" fontId="0" fillId="0" borderId="27" xfId="0" applyNumberFormat="1" applyBorder="1" applyAlignment="1" applyProtection="1">
      <alignment horizontal="center"/>
      <protection hidden="1"/>
    </xf>
    <xf numFmtId="3" fontId="0" fillId="0" borderId="108" xfId="0" applyNumberFormat="1" applyBorder="1" applyAlignment="1" applyProtection="1">
      <alignment horizontal="center"/>
      <protection hidden="1"/>
    </xf>
    <xf numFmtId="0" fontId="285" fillId="0" borderId="30" xfId="0" applyFont="1" applyBorder="1" applyAlignment="1" applyProtection="1">
      <alignment horizontal="center" vertical="center"/>
      <protection hidden="1"/>
    </xf>
    <xf numFmtId="0" fontId="285" fillId="0" borderId="8" xfId="0" applyFont="1" applyBorder="1" applyAlignment="1" applyProtection="1">
      <alignment horizontal="center" vertical="center"/>
      <protection hidden="1"/>
    </xf>
    <xf numFmtId="0" fontId="285" fillId="0" borderId="14" xfId="0" applyFont="1" applyBorder="1" applyAlignment="1" applyProtection="1">
      <alignment horizontal="center" vertical="center"/>
      <protection hidden="1"/>
    </xf>
    <xf numFmtId="0" fontId="285" fillId="0" borderId="9" xfId="0" applyFont="1" applyBorder="1" applyAlignment="1" applyProtection="1">
      <alignment horizontal="center" vertical="center"/>
      <protection hidden="1"/>
    </xf>
    <xf numFmtId="0" fontId="285" fillId="0" borderId="1" xfId="0" applyFont="1" applyBorder="1" applyAlignment="1" applyProtection="1">
      <alignment horizontal="center" vertical="center"/>
      <protection hidden="1"/>
    </xf>
    <xf numFmtId="0" fontId="285" fillId="0" borderId="11" xfId="0" applyFont="1" applyBorder="1" applyAlignment="1" applyProtection="1">
      <alignment horizontal="center" vertical="center"/>
      <protection hidden="1"/>
    </xf>
  </cellXfs>
  <cellStyles count="12">
    <cellStyle name="Currency" xfId="1" builtinId="4"/>
    <cellStyle name="Hyperlink" xfId="2" builtinId="8"/>
    <cellStyle name="Hyperlink 2" xfId="3" xr:uid="{00000000-0005-0000-0000-000002000000}"/>
    <cellStyle name="Hyperlink 2 2" xfId="7" xr:uid="{00000000-0005-0000-0000-000003000000}"/>
    <cellStyle name="Hyperlink 3" xfId="5" xr:uid="{00000000-0005-0000-0000-000004000000}"/>
    <cellStyle name="Hyperlink 3 2" xfId="8" xr:uid="{00000000-0005-0000-0000-000005000000}"/>
    <cellStyle name="Normal" xfId="0" builtinId="0"/>
    <cellStyle name="Normal 2" xfId="4" xr:uid="{00000000-0005-0000-0000-000007000000}"/>
    <cellStyle name="Normal 3" xfId="6" xr:uid="{00000000-0005-0000-0000-000008000000}"/>
    <cellStyle name="Normal 3 2" xfId="9" xr:uid="{00000000-0005-0000-0000-000009000000}"/>
    <cellStyle name="Normal 3 2 2" xfId="11" xr:uid="{00000000-0005-0000-0000-00000A000000}"/>
    <cellStyle name="Normal 3 3" xfId="10" xr:uid="{00000000-0005-0000-0000-00000B000000}"/>
  </cellStyles>
  <dxfs count="4012">
    <dxf>
      <font>
        <color rgb="FFC00000"/>
      </font>
    </dxf>
    <dxf>
      <fill>
        <patternFill patternType="solid">
          <fgColor theme="0"/>
          <bgColor theme="0"/>
        </patternFill>
      </fill>
    </dxf>
    <dxf>
      <fill>
        <patternFill patternType="solid">
          <fgColor theme="0"/>
          <bgColor theme="0"/>
        </patternFill>
      </fill>
    </dxf>
    <dxf>
      <fill>
        <patternFill patternType="solid">
          <bgColor theme="0"/>
        </patternFill>
      </fill>
    </dxf>
    <dxf>
      <border>
        <left style="thin">
          <color auto="1"/>
        </left>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ill>
        <patternFill>
          <bgColor theme="0"/>
        </patternFill>
      </fill>
    </dxf>
    <dxf>
      <fill>
        <patternFill>
          <bgColor theme="0"/>
        </patternFill>
      </fill>
    </dxf>
    <dxf>
      <font>
        <color rgb="FFC00000"/>
      </font>
    </dxf>
    <dxf>
      <fill>
        <patternFill>
          <bgColor theme="0"/>
        </patternFill>
      </fill>
    </dxf>
    <dxf>
      <font>
        <color rgb="FFFF0000"/>
      </font>
    </dxf>
    <dxf>
      <font>
        <color theme="0"/>
      </font>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1"/>
      </font>
      <border>
        <left style="thin">
          <color auto="1"/>
        </left>
        <right style="thin">
          <color auto="1"/>
        </right>
        <top style="thin">
          <color auto="1"/>
        </top>
        <bottom style="thin">
          <color auto="1"/>
        </bottom>
      </border>
    </dxf>
    <dxf>
      <font>
        <b/>
        <i val="0"/>
        <color rgb="FF008000"/>
      </font>
    </dxf>
    <dxf>
      <font>
        <b/>
        <i val="0"/>
        <color rgb="FF008000"/>
      </font>
    </dxf>
    <dxf>
      <border>
        <left style="thin">
          <color auto="1"/>
        </left>
        <right style="thin">
          <color auto="1"/>
        </right>
        <top style="thin">
          <color auto="1"/>
        </top>
        <bottom style="thin">
          <color auto="1"/>
        </bottom>
        <vertical/>
        <horizontal/>
      </border>
    </dxf>
    <dxf>
      <border>
        <right style="thin">
          <color auto="1"/>
        </right>
        <top style="thin">
          <color auto="1"/>
        </top>
        <bottom style="thin">
          <color auto="1"/>
        </bottom>
        <vertical/>
        <horizontal/>
      </border>
    </dxf>
    <dxf>
      <font>
        <color auto="1"/>
      </font>
      <border>
        <left style="thin">
          <color auto="1"/>
        </left>
        <right style="thin">
          <color auto="1"/>
        </right>
        <top style="thin">
          <color auto="1"/>
        </top>
        <bottom style="thin">
          <color auto="1"/>
        </bottom>
      </border>
    </dxf>
    <dxf>
      <font>
        <strike val="0"/>
      </font>
      <border>
        <left/>
        <right style="thin">
          <color auto="1"/>
        </right>
        <top style="thin">
          <color auto="1"/>
        </top>
        <bottom style="thin">
          <color auto="1"/>
        </bottom>
        <vertical/>
        <horizontal/>
      </border>
    </dxf>
    <dxf>
      <font>
        <b/>
        <i val="0"/>
        <color rgb="FFC00000"/>
      </font>
    </dxf>
    <dxf>
      <font>
        <color theme="1"/>
      </font>
    </dxf>
    <dxf>
      <fill>
        <patternFill>
          <bgColor theme="0"/>
        </patternFill>
      </fill>
      <border>
        <right style="thin">
          <color auto="1"/>
        </right>
        <top style="thin">
          <color auto="1"/>
        </top>
        <bottom style="thin">
          <color auto="1"/>
        </bottom>
        <vertical/>
        <horizontal/>
      </border>
    </dxf>
    <dxf>
      <fill>
        <patternFill>
          <bgColor theme="0"/>
        </patternFill>
      </fill>
    </dxf>
    <dxf>
      <font>
        <color theme="0"/>
      </font>
    </dxf>
    <dxf>
      <fill>
        <patternFill>
          <bgColor theme="0"/>
        </patternFill>
      </fill>
    </dxf>
    <dxf>
      <font>
        <color theme="4" tint="0.79998168889431442"/>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4" tint="0.79998168889431442"/>
      </font>
    </dxf>
    <dxf>
      <font>
        <color theme="4" tint="0.79998168889431442"/>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C00000"/>
      </font>
    </dxf>
    <dxf>
      <fill>
        <patternFill>
          <bgColor theme="0"/>
        </patternFill>
      </fill>
    </dxf>
    <dxf>
      <fill>
        <patternFill>
          <bgColor theme="0"/>
        </patternFill>
      </fill>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i val="0"/>
        <color rgb="FF008000"/>
      </font>
    </dxf>
    <dxf>
      <fill>
        <patternFill>
          <bgColor theme="0"/>
        </patternFill>
      </fill>
    </dxf>
    <dxf>
      <fill>
        <patternFill>
          <bgColor theme="0"/>
        </patternFill>
      </fill>
    </dxf>
    <dxf>
      <fill>
        <patternFill>
          <bgColor theme="0"/>
        </patternFill>
      </fill>
    </dxf>
    <dxf>
      <fill>
        <patternFill>
          <bgColor theme="0"/>
        </patternFill>
      </fill>
    </dxf>
    <dxf>
      <font>
        <b/>
        <i val="0"/>
        <color rgb="FF008000"/>
      </font>
    </dxf>
    <dxf>
      <font>
        <b/>
        <i val="0"/>
        <color rgb="FF008000"/>
      </font>
    </dxf>
    <dxf>
      <fill>
        <patternFill>
          <bgColor theme="0"/>
        </patternFill>
      </fill>
    </dxf>
    <dxf>
      <fill>
        <patternFill>
          <bgColor theme="0"/>
        </patternFill>
      </fill>
    </dxf>
    <dxf>
      <fill>
        <patternFill>
          <bgColor theme="0"/>
        </patternFill>
      </fill>
      <border>
        <left style="thin">
          <color auto="1"/>
        </left>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ill>
        <patternFill>
          <bgColor theme="4" tint="0.79998168889431442"/>
        </patternFill>
      </fill>
      <border>
        <left style="thin">
          <color auto="1"/>
        </left>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ill>
        <patternFill>
          <bgColor theme="0"/>
        </patternFill>
      </fill>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008000"/>
      </font>
    </dxf>
    <dxf>
      <border>
        <left/>
        <right style="thin">
          <color auto="1"/>
        </right>
        <top style="thin">
          <color auto="1"/>
        </top>
        <bottom style="thin">
          <color auto="1"/>
        </bottom>
        <vertical/>
        <horizontal/>
      </border>
    </dxf>
    <dxf>
      <font>
        <b/>
        <i val="0"/>
        <color rgb="FFC00000"/>
      </font>
    </dxf>
    <dxf>
      <fill>
        <patternFill>
          <bgColor theme="0"/>
        </patternFill>
      </fill>
    </dxf>
    <dxf>
      <fill>
        <patternFill>
          <bgColor theme="0"/>
        </patternFill>
      </fill>
    </dxf>
    <dxf>
      <font>
        <b val="0"/>
        <i val="0"/>
        <color rgb="FFFF0000"/>
      </font>
    </dxf>
    <dxf>
      <font>
        <b val="0"/>
        <i val="0"/>
        <color rgb="FFFF0000"/>
      </font>
    </dxf>
    <dxf>
      <font>
        <b val="0"/>
        <i val="0"/>
        <color rgb="FFFF0000"/>
      </font>
    </dxf>
    <dxf>
      <fill>
        <patternFill>
          <bgColor theme="0"/>
        </patternFill>
      </fill>
    </dxf>
    <dxf>
      <fill>
        <patternFill>
          <bgColor theme="0"/>
        </patternFill>
      </fill>
    </dxf>
    <dxf>
      <font>
        <b/>
        <i val="0"/>
        <color rgb="FFFF0000"/>
      </font>
    </dxf>
    <dxf>
      <font>
        <b/>
        <i val="0"/>
        <color rgb="FFFF0000"/>
      </font>
    </dxf>
    <dxf>
      <font>
        <color rgb="FFC00000"/>
      </font>
    </dxf>
    <dxf>
      <font>
        <b/>
        <i val="0"/>
        <color rgb="FFFF0000"/>
      </font>
    </dxf>
    <dxf>
      <font>
        <b/>
        <i val="0"/>
        <color rgb="FFFF0000"/>
      </font>
    </dxf>
    <dxf>
      <font>
        <b/>
        <i val="0"/>
        <color rgb="FFFF0000"/>
      </font>
    </dxf>
    <dxf>
      <font>
        <b/>
        <i val="0"/>
        <color theme="1"/>
      </font>
      <fill>
        <patternFill>
          <bgColor theme="0"/>
        </patternFill>
      </fill>
      <border>
        <left style="thin">
          <color indexed="64"/>
        </left>
        <right style="thin">
          <color indexed="64"/>
        </right>
        <top style="thin">
          <color indexed="64"/>
        </top>
        <bottom style="thin">
          <color indexed="64"/>
        </bottom>
      </border>
    </dxf>
    <dxf>
      <font>
        <b/>
        <i val="0"/>
        <color rgb="FFFF0000"/>
      </font>
    </dxf>
    <dxf>
      <font>
        <color rgb="FFFF0000"/>
      </font>
    </dxf>
    <dxf>
      <font>
        <b/>
        <i val="0"/>
        <color rgb="FFFF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0"/>
        </patternFill>
      </fill>
    </dxf>
    <dxf>
      <fill>
        <patternFill>
          <bgColor theme="5" tint="0.79998168889431442"/>
        </patternFill>
      </fill>
    </dxf>
    <dxf>
      <fill>
        <patternFill>
          <bgColor theme="5" tint="0.79998168889431442"/>
        </patternFill>
      </fill>
    </dxf>
    <dxf>
      <fill>
        <patternFill>
          <bgColor theme="0"/>
        </patternFill>
      </fill>
    </dxf>
    <dxf>
      <fill>
        <patternFill>
          <bgColor theme="0"/>
        </patternFill>
      </fill>
    </dxf>
    <dxf>
      <fill>
        <patternFill>
          <bgColor theme="5" tint="0.79998168889431442"/>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ont>
        <b/>
        <i val="0"/>
        <color rgb="FFFF0000"/>
      </font>
    </dxf>
    <dxf>
      <font>
        <b/>
        <i val="0"/>
        <color rgb="FFC00000"/>
      </font>
    </dxf>
    <dxf>
      <font>
        <b/>
        <i val="0"/>
        <color rgb="FFFF0000"/>
      </font>
    </dxf>
    <dxf>
      <font>
        <b/>
        <i val="0"/>
        <color rgb="FFFF0000"/>
      </font>
      <fill>
        <patternFill>
          <bgColor theme="0"/>
        </patternFill>
      </fill>
    </dxf>
    <dxf>
      <border>
        <left/>
        <right style="thin">
          <color auto="1"/>
        </right>
        <top style="thin">
          <color auto="1"/>
        </top>
        <bottom style="thin">
          <color auto="1"/>
        </bottom>
        <vertical/>
        <horizontal/>
      </border>
    </dxf>
    <dxf>
      <font>
        <b/>
        <i val="0"/>
        <color rgb="FFC00000"/>
      </font>
    </dxf>
    <dxf>
      <fill>
        <patternFill>
          <bgColor theme="0"/>
        </patternFill>
      </fill>
    </dxf>
    <dxf>
      <fill>
        <patternFill>
          <bgColor theme="0"/>
        </patternFill>
      </fill>
    </dxf>
    <dxf>
      <font>
        <b val="0"/>
        <i val="0"/>
        <color rgb="FFFF0000"/>
      </font>
    </dxf>
    <dxf>
      <font>
        <b val="0"/>
        <i val="0"/>
        <color rgb="FFFF0000"/>
      </font>
    </dxf>
    <dxf>
      <font>
        <b val="0"/>
        <i val="0"/>
        <color rgb="FFFF0000"/>
      </font>
    </dxf>
    <dxf>
      <fill>
        <patternFill>
          <bgColor theme="0"/>
        </patternFill>
      </fill>
    </dxf>
    <dxf>
      <fill>
        <patternFill>
          <bgColor theme="0"/>
        </patternFill>
      </fill>
    </dxf>
    <dxf>
      <font>
        <b/>
        <i val="0"/>
        <color rgb="FFFF0000"/>
      </font>
    </dxf>
    <dxf>
      <font>
        <b/>
        <i val="0"/>
        <color rgb="FFFF0000"/>
      </font>
    </dxf>
    <dxf>
      <font>
        <color rgb="FFC00000"/>
      </font>
    </dxf>
    <dxf>
      <font>
        <b/>
        <i val="0"/>
        <color rgb="FFFF0000"/>
      </font>
    </dxf>
    <dxf>
      <font>
        <b/>
        <i val="0"/>
        <color rgb="FFFF0000"/>
      </font>
    </dxf>
    <dxf>
      <font>
        <b/>
        <i val="0"/>
        <color rgb="FFFF0000"/>
      </font>
    </dxf>
    <dxf>
      <font>
        <b/>
        <i val="0"/>
        <color theme="1"/>
      </font>
      <fill>
        <patternFill>
          <bgColor theme="0"/>
        </patternFill>
      </fill>
      <border>
        <left style="thin">
          <color indexed="64"/>
        </left>
        <right style="thin">
          <color indexed="64"/>
        </right>
        <top style="thin">
          <color indexed="64"/>
        </top>
        <bottom style="thin">
          <color indexed="64"/>
        </bottom>
      </border>
    </dxf>
    <dxf>
      <font>
        <b/>
        <i val="0"/>
        <color rgb="FFFF0000"/>
      </font>
    </dxf>
    <dxf>
      <font>
        <color rgb="FFFF0000"/>
      </font>
    </dxf>
    <dxf>
      <font>
        <b/>
        <i val="0"/>
        <color rgb="FFFF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0"/>
        </patternFill>
      </fill>
    </dxf>
    <dxf>
      <fill>
        <patternFill>
          <bgColor theme="5" tint="0.79998168889431442"/>
        </patternFill>
      </fill>
    </dxf>
    <dxf>
      <fill>
        <patternFill>
          <bgColor theme="5" tint="0.79998168889431442"/>
        </patternFill>
      </fill>
    </dxf>
    <dxf>
      <fill>
        <patternFill>
          <bgColor theme="0"/>
        </patternFill>
      </fill>
    </dxf>
    <dxf>
      <fill>
        <patternFill>
          <bgColor theme="0"/>
        </patternFill>
      </fill>
    </dxf>
    <dxf>
      <fill>
        <patternFill>
          <bgColor theme="5" tint="0.79998168889431442"/>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ont>
        <b/>
        <i val="0"/>
        <color rgb="FFFF0000"/>
      </font>
    </dxf>
    <dxf>
      <font>
        <b/>
        <i val="0"/>
        <color rgb="FFC00000"/>
      </font>
    </dxf>
    <dxf>
      <font>
        <b/>
        <i val="0"/>
        <color rgb="FFFF0000"/>
      </font>
    </dxf>
    <dxf>
      <font>
        <b/>
        <i val="0"/>
        <color rgb="FFFF0000"/>
      </font>
      <fill>
        <patternFill>
          <bgColor theme="0"/>
        </patternFill>
      </fill>
    </dxf>
    <dxf>
      <border>
        <left/>
        <right style="thin">
          <color auto="1"/>
        </right>
        <top style="thin">
          <color auto="1"/>
        </top>
        <bottom style="thin">
          <color auto="1"/>
        </bottom>
        <vertical/>
        <horizontal/>
      </border>
    </dxf>
    <dxf>
      <font>
        <b/>
        <i val="0"/>
        <color rgb="FFC00000"/>
      </font>
    </dxf>
    <dxf>
      <fill>
        <patternFill>
          <bgColor theme="0"/>
        </patternFill>
      </fill>
    </dxf>
    <dxf>
      <fill>
        <patternFill>
          <bgColor theme="0"/>
        </patternFill>
      </fill>
    </dxf>
    <dxf>
      <font>
        <b val="0"/>
        <i val="0"/>
        <color rgb="FFFF0000"/>
      </font>
    </dxf>
    <dxf>
      <font>
        <b val="0"/>
        <i val="0"/>
        <color rgb="FFFF0000"/>
      </font>
    </dxf>
    <dxf>
      <font>
        <b val="0"/>
        <i val="0"/>
        <color rgb="FFFF0000"/>
      </font>
    </dxf>
    <dxf>
      <fill>
        <patternFill>
          <bgColor theme="0"/>
        </patternFill>
      </fill>
    </dxf>
    <dxf>
      <fill>
        <patternFill>
          <bgColor theme="0"/>
        </patternFill>
      </fill>
    </dxf>
    <dxf>
      <font>
        <b/>
        <i val="0"/>
        <color rgb="FFFF0000"/>
      </font>
    </dxf>
    <dxf>
      <font>
        <b/>
        <i val="0"/>
        <color rgb="FFFF0000"/>
      </font>
    </dxf>
    <dxf>
      <font>
        <color rgb="FFC00000"/>
      </font>
    </dxf>
    <dxf>
      <font>
        <b/>
        <i val="0"/>
        <color rgb="FFFF0000"/>
      </font>
    </dxf>
    <dxf>
      <font>
        <b/>
        <i val="0"/>
        <color rgb="FFFF0000"/>
      </font>
    </dxf>
    <dxf>
      <font>
        <b/>
        <i val="0"/>
        <color rgb="FFFF0000"/>
      </font>
    </dxf>
    <dxf>
      <font>
        <b/>
        <i val="0"/>
        <color theme="1"/>
      </font>
      <fill>
        <patternFill>
          <bgColor theme="0"/>
        </patternFill>
      </fill>
      <border>
        <left style="thin">
          <color indexed="64"/>
        </left>
        <right style="thin">
          <color indexed="64"/>
        </right>
        <top style="thin">
          <color indexed="64"/>
        </top>
        <bottom style="thin">
          <color indexed="64"/>
        </bottom>
      </border>
    </dxf>
    <dxf>
      <font>
        <b/>
        <i val="0"/>
        <color rgb="FFFF0000"/>
      </font>
    </dxf>
    <dxf>
      <font>
        <color rgb="FFFF0000"/>
      </font>
    </dxf>
    <dxf>
      <font>
        <b/>
        <i val="0"/>
        <color rgb="FFFF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0"/>
        </patternFill>
      </fill>
    </dxf>
    <dxf>
      <fill>
        <patternFill>
          <bgColor theme="5" tint="0.79998168889431442"/>
        </patternFill>
      </fill>
    </dxf>
    <dxf>
      <fill>
        <patternFill>
          <bgColor theme="5" tint="0.79998168889431442"/>
        </patternFill>
      </fill>
    </dxf>
    <dxf>
      <fill>
        <patternFill>
          <bgColor theme="0"/>
        </patternFill>
      </fill>
    </dxf>
    <dxf>
      <fill>
        <patternFill>
          <bgColor theme="0"/>
        </patternFill>
      </fill>
    </dxf>
    <dxf>
      <fill>
        <patternFill>
          <bgColor theme="5" tint="0.79998168889431442"/>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ont>
        <b/>
        <i val="0"/>
        <color rgb="FFFF0000"/>
      </font>
    </dxf>
    <dxf>
      <font>
        <b/>
        <i val="0"/>
        <color rgb="FFC00000"/>
      </font>
    </dxf>
    <dxf>
      <font>
        <b/>
        <i val="0"/>
        <color rgb="FFFF0000"/>
      </font>
    </dxf>
    <dxf>
      <font>
        <b/>
        <i val="0"/>
        <color rgb="FFFF0000"/>
      </font>
      <fill>
        <patternFill>
          <bgColor theme="0"/>
        </patternFill>
      </fill>
    </dxf>
    <dxf>
      <border>
        <left/>
        <right style="thin">
          <color auto="1"/>
        </right>
        <top style="thin">
          <color auto="1"/>
        </top>
        <bottom style="thin">
          <color auto="1"/>
        </bottom>
        <vertical/>
        <horizontal/>
      </border>
    </dxf>
    <dxf>
      <font>
        <b/>
        <i val="0"/>
        <color rgb="FFC00000"/>
      </font>
    </dxf>
    <dxf>
      <fill>
        <patternFill>
          <bgColor theme="0"/>
        </patternFill>
      </fill>
    </dxf>
    <dxf>
      <fill>
        <patternFill>
          <bgColor theme="0"/>
        </patternFill>
      </fill>
    </dxf>
    <dxf>
      <font>
        <b val="0"/>
        <i val="0"/>
        <color rgb="FFFF0000"/>
      </font>
    </dxf>
    <dxf>
      <font>
        <b val="0"/>
        <i val="0"/>
        <color rgb="FFFF0000"/>
      </font>
    </dxf>
    <dxf>
      <font>
        <b val="0"/>
        <i val="0"/>
        <color rgb="FFFF0000"/>
      </font>
    </dxf>
    <dxf>
      <fill>
        <patternFill>
          <bgColor theme="0"/>
        </patternFill>
      </fill>
    </dxf>
    <dxf>
      <fill>
        <patternFill>
          <bgColor theme="0"/>
        </patternFill>
      </fill>
    </dxf>
    <dxf>
      <font>
        <b/>
        <i val="0"/>
        <color rgb="FFFF0000"/>
      </font>
    </dxf>
    <dxf>
      <font>
        <b/>
        <i val="0"/>
        <color rgb="FFFF0000"/>
      </font>
    </dxf>
    <dxf>
      <font>
        <color rgb="FFC00000"/>
      </font>
    </dxf>
    <dxf>
      <font>
        <b/>
        <i val="0"/>
        <color rgb="FFFF0000"/>
      </font>
    </dxf>
    <dxf>
      <font>
        <b/>
        <i val="0"/>
        <color rgb="FFFF0000"/>
      </font>
    </dxf>
    <dxf>
      <font>
        <b/>
        <i val="0"/>
        <color rgb="FFFF0000"/>
      </font>
    </dxf>
    <dxf>
      <font>
        <b/>
        <i val="0"/>
        <color theme="1"/>
      </font>
      <fill>
        <patternFill>
          <bgColor theme="0"/>
        </patternFill>
      </fill>
      <border>
        <left style="thin">
          <color indexed="64"/>
        </left>
        <right style="thin">
          <color indexed="64"/>
        </right>
        <top style="thin">
          <color indexed="64"/>
        </top>
        <bottom style="thin">
          <color indexed="64"/>
        </bottom>
      </border>
    </dxf>
    <dxf>
      <font>
        <b/>
        <i val="0"/>
        <color rgb="FFFF0000"/>
      </font>
    </dxf>
    <dxf>
      <font>
        <color rgb="FFFF0000"/>
      </font>
    </dxf>
    <dxf>
      <font>
        <b/>
        <i val="0"/>
        <color rgb="FFFF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5" tint="0.79998168889431442"/>
        </patternFill>
      </fill>
    </dxf>
    <dxf>
      <fill>
        <patternFill>
          <bgColor theme="0"/>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5" tint="0.79998168889431442"/>
        </patternFill>
      </fill>
    </dxf>
    <dxf>
      <fill>
        <patternFill>
          <bgColor theme="0"/>
        </patternFill>
      </fill>
    </dxf>
    <dxf>
      <fill>
        <patternFill>
          <bgColor theme="0"/>
        </patternFill>
      </fill>
    </dxf>
    <dxf>
      <fill>
        <patternFill>
          <bgColor theme="5" tint="0.79998168889431442"/>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5" tint="0.79998168889431442"/>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ont>
        <b/>
        <i val="0"/>
        <color rgb="FFFF0000"/>
      </font>
    </dxf>
    <dxf>
      <font>
        <b/>
        <i val="0"/>
        <color rgb="FFC00000"/>
      </font>
    </dxf>
    <dxf>
      <font>
        <b/>
        <i val="0"/>
        <color rgb="FFFF0000"/>
      </font>
    </dxf>
    <dxf>
      <font>
        <b/>
        <i val="0"/>
        <color rgb="FFFF0000"/>
      </font>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ont>
        <color theme="4" tint="0.79998168889431442"/>
      </font>
    </dxf>
    <dxf>
      <font>
        <color theme="0"/>
      </font>
    </dxf>
    <dxf>
      <font>
        <color theme="0"/>
      </font>
    </dxf>
    <dxf>
      <font>
        <color theme="4" tint="0.79998168889431442"/>
      </font>
    </dxf>
    <dxf>
      <font>
        <color theme="0"/>
      </font>
    </dxf>
    <dxf>
      <fill>
        <patternFill>
          <bgColor theme="0"/>
        </patternFill>
      </fill>
    </dxf>
    <dxf>
      <fill>
        <patternFill>
          <bgColor theme="0"/>
        </patternFill>
      </fill>
    </dxf>
    <dxf>
      <fill>
        <patternFill>
          <bgColor theme="0"/>
        </patternFill>
      </fill>
    </dxf>
    <dxf>
      <fill>
        <patternFill>
          <bgColor theme="0"/>
        </patternFill>
      </fill>
    </dxf>
    <dxf>
      <font>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patternType="none">
          <bgColor auto="1"/>
        </patternFill>
      </fill>
      <border>
        <left/>
        <right/>
        <top/>
        <bottom/>
        <vertical/>
        <horizontal/>
      </border>
    </dxf>
    <dxf>
      <fill>
        <patternFill>
          <bgColor theme="0"/>
        </patternFill>
      </fill>
      <border>
        <left style="thin">
          <color auto="1"/>
        </left>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right/>
        <bottom/>
        <vertical/>
        <horizontal/>
      </border>
    </dxf>
    <dxf>
      <fill>
        <patternFill>
          <bgColor theme="0"/>
        </patternFill>
      </fill>
      <border>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4" tint="0.59996337778862885"/>
      </font>
      <border>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C00000"/>
      </font>
    </dxf>
    <dxf>
      <fill>
        <patternFill>
          <bgColor theme="0"/>
        </patternFill>
      </fill>
    </dxf>
    <dxf>
      <fill>
        <patternFill>
          <bgColor theme="0"/>
        </patternFill>
      </fill>
    </dxf>
    <dxf>
      <fill>
        <patternFill>
          <bgColor theme="0"/>
        </patternFill>
      </fill>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C00000"/>
      </font>
    </dxf>
    <dxf>
      <fill>
        <patternFill>
          <bgColor theme="0"/>
        </patternFill>
      </fill>
    </dxf>
    <dxf>
      <font>
        <color rgb="FFC00000"/>
      </font>
    </dxf>
    <dxf>
      <font>
        <color rgb="FFC00000"/>
      </font>
    </dxf>
    <dxf>
      <font>
        <color rgb="FFC00000"/>
      </font>
    </dxf>
    <dxf>
      <font>
        <color rgb="FFC00000"/>
      </font>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1"/>
      </font>
    </dxf>
    <dxf>
      <font>
        <b/>
        <i val="0"/>
        <color rgb="FFFF0000"/>
      </font>
    </dxf>
    <dxf>
      <font>
        <b/>
        <i val="0"/>
        <color rgb="FFFF0000"/>
      </font>
    </dxf>
    <dxf>
      <font>
        <color theme="1"/>
      </font>
    </dxf>
    <dxf>
      <font>
        <b/>
        <i val="0"/>
        <color rgb="FFFF0000"/>
      </font>
    </dxf>
    <dxf>
      <font>
        <color theme="1"/>
      </font>
    </dxf>
    <dxf>
      <font>
        <color theme="1"/>
      </font>
    </dxf>
    <dxf>
      <font>
        <b/>
        <i val="0"/>
        <color rgb="FFFF0000"/>
      </font>
    </dxf>
    <dxf>
      <font>
        <b/>
        <i val="0"/>
        <color rgb="FFFF0000"/>
      </font>
    </dxf>
    <dxf>
      <font>
        <color theme="1"/>
      </font>
    </dxf>
    <dxf>
      <font>
        <b/>
        <i val="0"/>
        <color rgb="FFFF0000"/>
      </font>
    </dxf>
    <dxf>
      <font>
        <color theme="1"/>
      </font>
    </dxf>
    <dxf>
      <font>
        <b/>
        <i val="0"/>
        <color rgb="FFFF0000"/>
      </font>
    </dxf>
    <dxf>
      <font>
        <color theme="1"/>
      </font>
    </dxf>
    <dxf>
      <font>
        <b/>
        <i val="0"/>
        <color rgb="FFFF0000"/>
      </font>
    </dxf>
    <dxf>
      <font>
        <color theme="1"/>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4" tint="0.79998168889431442"/>
      </font>
    </dxf>
    <dxf>
      <font>
        <color theme="4" tint="0.79998168889431442"/>
      </font>
    </dxf>
    <dxf>
      <font>
        <color theme="4" tint="0.79998168889431442"/>
      </font>
    </dxf>
    <dxf>
      <font>
        <color theme="4" tint="0.79998168889431442"/>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ont>
        <color theme="0"/>
      </font>
    </dxf>
    <dxf>
      <font>
        <color theme="0"/>
      </font>
    </dxf>
    <dxf>
      <font>
        <color theme="0"/>
      </font>
    </dxf>
    <dxf>
      <fill>
        <patternFill>
          <bgColor theme="0"/>
        </patternFill>
      </fill>
    </dxf>
    <dxf>
      <fill>
        <patternFill>
          <bgColor theme="0"/>
        </patternFill>
      </fill>
    </dxf>
    <dxf>
      <fill>
        <patternFill>
          <bgColor theme="0"/>
        </patternFill>
      </fill>
    </dxf>
    <dxf>
      <fill>
        <patternFill>
          <bgColor theme="0"/>
        </patternFill>
      </fill>
    </dxf>
    <dxf>
      <font>
        <color theme="4" tint="0.79998168889431442"/>
      </font>
    </dxf>
    <dxf>
      <fill>
        <patternFill>
          <bgColor theme="0"/>
        </patternFill>
      </fill>
    </dxf>
    <dxf>
      <font>
        <color theme="4" tint="0.79998168889431442"/>
      </font>
    </dxf>
    <dxf>
      <fill>
        <patternFill>
          <bgColor theme="0"/>
        </patternFill>
      </fill>
    </dxf>
    <dxf>
      <font>
        <color theme="4" tint="0.79998168889431442"/>
      </font>
    </dxf>
    <dxf>
      <fill>
        <patternFill>
          <bgColor theme="0"/>
        </patternFill>
      </fill>
    </dxf>
    <dxf>
      <fill>
        <patternFill>
          <bgColor theme="0"/>
        </patternFill>
      </fill>
    </dxf>
    <dxf>
      <font>
        <color theme="4" tint="0.79998168889431442"/>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FF0000"/>
      </font>
    </dxf>
    <dxf>
      <font>
        <color rgb="FFFF0000"/>
      </font>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FF0000"/>
      </font>
    </dxf>
    <dxf>
      <font>
        <color rgb="FFFF0000"/>
      </font>
    </dxf>
    <dxf>
      <fill>
        <patternFill>
          <bgColor theme="0"/>
        </patternFill>
      </fill>
    </dxf>
    <dxf>
      <fill>
        <patternFill>
          <bgColor theme="0"/>
        </patternFill>
      </fill>
    </dxf>
    <dxf>
      <fill>
        <patternFill>
          <bgColor theme="0"/>
        </patternFill>
      </fill>
    </dxf>
    <dxf>
      <font>
        <color rgb="FFFF0000"/>
      </font>
    </dxf>
    <dxf>
      <fill>
        <patternFill>
          <bgColor theme="0"/>
        </patternFill>
      </fill>
    </dxf>
    <dxf>
      <fill>
        <patternFill>
          <bgColor theme="0"/>
        </patternFill>
      </fill>
    </dxf>
    <dxf>
      <fill>
        <patternFill>
          <bgColor theme="0"/>
        </patternFill>
      </fill>
    </dxf>
    <dxf>
      <font>
        <color rgb="FFFF0000"/>
      </font>
    </dxf>
    <dxf>
      <fill>
        <patternFill>
          <bgColor theme="0"/>
        </patternFill>
      </fill>
    </dxf>
    <dxf>
      <fill>
        <patternFill>
          <bgColor theme="0"/>
        </patternFill>
      </fill>
    </dxf>
    <dxf>
      <fill>
        <patternFill>
          <bgColor theme="0"/>
        </patternFill>
      </fill>
    </dxf>
    <dxf>
      <font>
        <color rgb="FFFF0000"/>
      </font>
    </dxf>
    <dxf>
      <fill>
        <patternFill>
          <bgColor theme="0"/>
        </patternFill>
      </fill>
    </dxf>
    <dxf>
      <fill>
        <patternFill>
          <bgColor theme="0"/>
        </patternFill>
      </fill>
    </dxf>
    <dxf>
      <font>
        <color rgb="FFFF0000"/>
      </font>
    </dxf>
    <dxf>
      <font>
        <color rgb="FFFF0000"/>
      </font>
    </dxf>
    <dxf>
      <font>
        <color rgb="FFFF0000"/>
      </font>
    </dxf>
    <dxf>
      <fill>
        <patternFill>
          <bgColor theme="0"/>
        </patternFill>
      </fill>
    </dxf>
    <dxf>
      <font>
        <color rgb="FFFF0000"/>
      </font>
    </dxf>
    <dxf>
      <fill>
        <patternFill>
          <bgColor theme="0"/>
        </patternFill>
      </fill>
    </dxf>
    <dxf>
      <font>
        <color rgb="FFFF0000"/>
      </font>
    </dxf>
    <dxf>
      <fill>
        <patternFill>
          <bgColor theme="0"/>
        </patternFill>
      </fill>
    </dxf>
    <dxf>
      <font>
        <color rgb="FFFF0000"/>
      </font>
    </dxf>
    <dxf>
      <fill>
        <patternFill>
          <bgColor theme="0"/>
        </patternFill>
      </fill>
    </dxf>
    <dxf>
      <fill>
        <patternFill>
          <bgColor theme="0"/>
        </patternFill>
      </fill>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theme="4" tint="0.59996337778862885"/>
      </font>
    </dxf>
    <dxf>
      <font>
        <color theme="0"/>
      </font>
    </dxf>
    <dxf>
      <font>
        <b/>
        <i val="0"/>
        <color rgb="FFC00000"/>
      </font>
    </dxf>
    <dxf>
      <font>
        <color rgb="FF008000"/>
      </font>
    </dxf>
    <dxf>
      <fill>
        <patternFill>
          <bgColor theme="0"/>
        </patternFill>
      </fill>
    </dxf>
    <dxf>
      <fill>
        <patternFill>
          <bgColor theme="0"/>
        </patternFill>
      </fill>
    </dxf>
    <dxf>
      <fill>
        <patternFill>
          <bgColor theme="0"/>
        </patternFill>
      </fill>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4" tint="0.79998168889431442"/>
      </font>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border>
        <left/>
        <right/>
        <top/>
        <bottom style="thin">
          <color auto="1"/>
        </bottom>
        <vertical/>
        <horizontal/>
      </border>
    </dxf>
    <dxf>
      <fill>
        <patternFill>
          <bgColor theme="0"/>
        </patternFill>
      </fill>
      <border>
        <left/>
        <right/>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008000"/>
      </font>
    </dxf>
    <dxf>
      <font>
        <color rgb="FF008000"/>
      </font>
    </dxf>
    <dxf>
      <fill>
        <patternFill>
          <bgColor theme="0"/>
        </patternFill>
      </fill>
    </dxf>
    <dxf>
      <font>
        <color rgb="FFC00000"/>
      </font>
    </dxf>
    <dxf>
      <font>
        <b/>
        <i val="0"/>
      </font>
    </dxf>
    <dxf>
      <font>
        <b/>
        <i val="0"/>
        <color rgb="FFC00000"/>
      </font>
    </dxf>
    <dxf>
      <fill>
        <patternFill>
          <bgColor theme="0"/>
        </patternFill>
      </fill>
    </dxf>
    <dxf>
      <font>
        <b/>
        <i val="0"/>
        <color rgb="FFC00000"/>
      </font>
    </dxf>
    <dxf>
      <font>
        <color rgb="FFFF0000"/>
      </font>
    </dxf>
    <dxf>
      <fill>
        <patternFill>
          <bgColor theme="0"/>
        </patternFill>
      </fill>
    </dxf>
    <dxf>
      <font>
        <b/>
        <i val="0"/>
        <color rgb="FF008000"/>
      </font>
    </dxf>
    <dxf>
      <font>
        <color rgb="FFFF0000"/>
      </font>
    </dxf>
    <dxf>
      <fill>
        <patternFill>
          <bgColor theme="0"/>
        </patternFill>
      </fill>
    </dxf>
    <dxf>
      <fill>
        <patternFill>
          <bgColor theme="0"/>
        </patternFill>
      </fill>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border>
        <left style="thin">
          <color auto="1"/>
        </left>
        <right style="thin">
          <color auto="1"/>
        </right>
        <top style="thin">
          <color auto="1"/>
        </top>
        <bottom style="thin">
          <color auto="1"/>
        </bottom>
        <vertical/>
        <horizontal/>
      </border>
    </dxf>
    <dxf>
      <fill>
        <patternFill>
          <bgColor theme="0"/>
        </patternFill>
      </fill>
    </dxf>
    <dxf>
      <fill>
        <patternFill>
          <bgColor theme="0"/>
        </patternFill>
      </fill>
    </dxf>
    <dxf>
      <font>
        <color theme="1"/>
      </font>
      <fill>
        <patternFill>
          <bgColor theme="0"/>
        </patternFill>
      </fill>
    </dxf>
    <dxf>
      <font>
        <color theme="1"/>
      </font>
      <fill>
        <patternFill>
          <bgColor theme="0"/>
        </patternFill>
      </fill>
    </dxf>
    <dxf>
      <font>
        <color auto="1"/>
      </font>
      <fill>
        <patternFill>
          <bgColor theme="0"/>
        </patternFill>
      </fill>
    </dxf>
    <dxf>
      <font>
        <b/>
        <i val="0"/>
        <color theme="9" tint="-0.24994659260841701"/>
      </font>
      <fill>
        <patternFill>
          <bgColor theme="0"/>
        </patternFill>
      </fill>
    </dxf>
    <dxf>
      <fill>
        <patternFill>
          <bgColor theme="0"/>
        </patternFill>
      </fill>
    </dxf>
    <dxf>
      <fill>
        <patternFill>
          <bgColor theme="0"/>
        </patternFill>
      </fill>
      <border>
        <right style="thin">
          <color auto="1"/>
        </right>
        <top style="thin">
          <color auto="1"/>
        </top>
        <bottom style="thin">
          <color auto="1"/>
        </bottom>
      </border>
    </dxf>
    <dxf>
      <fill>
        <patternFill>
          <bgColor theme="0"/>
        </patternFill>
      </fill>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C00000"/>
      </font>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fgColor indexed="64"/>
          <bgColor theme="0"/>
        </patternFill>
      </fill>
    </dxf>
    <dxf>
      <fill>
        <patternFill>
          <bgColor theme="0"/>
        </patternFill>
      </fill>
    </dxf>
    <dxf>
      <font>
        <color rgb="FFC00000"/>
      </font>
    </dxf>
    <dxf>
      <font>
        <b/>
        <i val="0"/>
        <color rgb="FFC00000"/>
      </font>
    </dxf>
    <dxf>
      <font>
        <b/>
        <i val="0"/>
        <color rgb="FFC00000"/>
      </font>
    </dxf>
    <dxf>
      <fill>
        <patternFill>
          <bgColor theme="0"/>
        </patternFill>
      </fill>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ill>
        <patternFill>
          <fgColor indexed="64"/>
          <bgColor theme="0"/>
        </patternFill>
      </fill>
    </dxf>
    <dxf>
      <fill>
        <patternFill>
          <bgColor theme="0"/>
        </patternFill>
      </fill>
    </dxf>
    <dxf>
      <fill>
        <patternFill>
          <bgColor theme="0"/>
        </patternFill>
      </fill>
    </dxf>
    <dxf>
      <fill>
        <patternFill>
          <bgColor theme="0"/>
        </patternFill>
      </fill>
    </dxf>
    <dxf>
      <font>
        <color rgb="FFFF0000"/>
      </font>
    </dxf>
    <dxf>
      <border>
        <left style="thin">
          <color auto="1"/>
        </left>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vertical/>
        <horizontal/>
      </border>
    </dxf>
    <dxf>
      <font>
        <color rgb="FFFF0000"/>
      </font>
    </dxf>
    <dxf>
      <font>
        <color rgb="FFFF0000"/>
      </font>
    </dxf>
    <dxf>
      <font>
        <b/>
        <i val="0"/>
        <color rgb="FFFF0000"/>
      </font>
    </dxf>
    <dxf>
      <font>
        <color theme="1"/>
      </font>
    </dxf>
    <dxf>
      <border>
        <left style="thin">
          <color auto="1"/>
        </left>
        <right style="thin">
          <color auto="1"/>
        </right>
        <top style="thin">
          <color auto="1"/>
        </top>
        <bottom style="thin">
          <color auto="1"/>
        </bottom>
        <vertical/>
        <horizontal/>
      </border>
    </dxf>
    <dxf>
      <fill>
        <patternFill>
          <bgColor theme="0"/>
        </patternFill>
      </fill>
      <border>
        <left/>
        <right/>
        <bottom/>
        <vertical/>
        <horizontal/>
      </border>
    </dxf>
    <dxf>
      <fill>
        <patternFill>
          <bgColor theme="0"/>
        </patternFill>
      </fill>
    </dxf>
    <dxf>
      <fill>
        <patternFill>
          <bgColor theme="0"/>
        </patternFill>
      </fill>
    </dxf>
    <dxf>
      <fill>
        <patternFill>
          <bgColor theme="0"/>
        </patternFill>
      </fill>
      <border>
        <left/>
        <right/>
        <top/>
        <vertical/>
        <horizontal/>
      </border>
    </dxf>
    <dxf>
      <border>
        <left style="thin">
          <color auto="1"/>
        </left>
        <right style="thin">
          <color auto="1"/>
        </right>
        <top style="thin">
          <color auto="1"/>
        </top>
        <bottom style="thin">
          <color auto="1"/>
        </bottom>
        <vertical/>
        <horizontal/>
      </border>
    </dxf>
    <dxf>
      <fill>
        <patternFill>
          <bgColor theme="0"/>
        </patternFill>
      </fill>
      <border>
        <left/>
        <right/>
        <bottom/>
        <vertical/>
        <horizontal/>
      </border>
    </dxf>
    <dxf>
      <fill>
        <patternFill>
          <bgColor theme="0"/>
        </patternFill>
      </fill>
    </dxf>
    <dxf>
      <fill>
        <patternFill>
          <bgColor theme="0"/>
        </patternFill>
      </fill>
    </dxf>
    <dxf>
      <fill>
        <patternFill>
          <bgColor theme="0"/>
        </patternFill>
      </fill>
      <border>
        <left/>
        <right/>
        <top/>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ill>
        <patternFill>
          <bgColor theme="0"/>
        </patternFill>
      </fill>
    </dxf>
    <dxf>
      <font>
        <color rgb="FFFF0000"/>
      </font>
    </dxf>
    <dxf>
      <font>
        <color rgb="FFC00000"/>
      </font>
      <border>
        <vertical/>
        <horizontal/>
      </border>
    </dxf>
    <dxf>
      <font>
        <color rgb="FFC00000"/>
      </font>
      <border>
        <vertical/>
        <horizontal/>
      </border>
    </dxf>
    <dxf>
      <font>
        <color rgb="FFFF0000"/>
      </font>
    </dxf>
    <dxf>
      <fill>
        <patternFill>
          <bgColor theme="0"/>
        </patternFill>
      </fill>
    </dxf>
    <dxf>
      <font>
        <color rgb="FFFF0000"/>
      </font>
    </dxf>
    <dxf>
      <fill>
        <patternFill>
          <bgColor theme="0"/>
        </patternFill>
      </fill>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FF0000"/>
      </font>
    </dxf>
    <dxf>
      <font>
        <color rgb="FFFF0000"/>
      </font>
    </dxf>
    <dxf>
      <font>
        <color rgb="FFFF0000"/>
      </font>
    </dxf>
    <dxf>
      <fill>
        <patternFill>
          <bgColor theme="0"/>
        </patternFill>
      </fill>
    </dxf>
    <dxf>
      <font>
        <color rgb="FFFF0000"/>
      </font>
    </dxf>
    <dxf>
      <fill>
        <patternFill>
          <bgColor theme="0"/>
        </patternFill>
      </fill>
    </dxf>
    <dxf>
      <font>
        <color rgb="FFC00000"/>
      </font>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008000"/>
      </font>
    </dxf>
    <dxf>
      <font>
        <color rgb="FF008000"/>
      </font>
    </dxf>
    <dxf>
      <font>
        <color rgb="FFC00000"/>
      </font>
    </dxf>
    <dxf>
      <font>
        <color rgb="FFFF0000"/>
      </font>
    </dxf>
    <dxf>
      <font>
        <color rgb="FFFF0000"/>
      </font>
    </dxf>
    <dxf>
      <font>
        <color rgb="FFFF0000"/>
      </font>
    </dxf>
    <dxf>
      <font>
        <color rgb="FFC0000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b/>
        <i val="0"/>
        <color rgb="FFC00000"/>
      </font>
    </dxf>
    <dxf>
      <font>
        <color rgb="FFC00000"/>
      </font>
    </dxf>
    <dxf>
      <fill>
        <patternFill>
          <bgColor theme="0"/>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none">
          <bgColor auto="1"/>
        </patternFill>
      </fill>
    </dxf>
    <dxf>
      <fill>
        <patternFill patternType="none">
          <bgColor auto="1"/>
        </patternFill>
      </fill>
    </dxf>
    <dxf>
      <fill>
        <patternFill patternType="solid">
          <bgColor theme="0"/>
        </patternFill>
      </fill>
    </dxf>
    <dxf>
      <fill>
        <patternFill patternType="none">
          <bgColor auto="1"/>
        </patternFill>
      </fill>
    </dxf>
    <dxf>
      <fill>
        <patternFill patternType="solid">
          <bgColor theme="0"/>
        </patternFill>
      </fill>
    </dxf>
    <dxf>
      <fill>
        <patternFill patternType="none">
          <bgColor auto="1"/>
        </patternFill>
      </fill>
    </dxf>
    <dxf>
      <fill>
        <patternFill patternType="none">
          <bgColor auto="1"/>
        </patternFill>
      </fill>
    </dxf>
    <dxf>
      <fill>
        <patternFill patternType="solid">
          <bgColor theme="0"/>
        </patternFill>
      </fill>
    </dxf>
    <dxf>
      <fill>
        <patternFill patternType="none">
          <bgColor auto="1"/>
        </patternFill>
      </fill>
    </dxf>
    <dxf>
      <fill>
        <patternFill patternType="solid">
          <bgColor theme="0"/>
        </patternFill>
      </fill>
    </dxf>
    <dxf>
      <fill>
        <patternFill patternType="none">
          <bgColor auto="1"/>
        </patternFill>
      </fill>
    </dxf>
    <dxf>
      <fill>
        <patternFill>
          <bgColor theme="0"/>
        </patternFill>
      </fill>
    </dxf>
    <dxf>
      <fill>
        <patternFill patternType="none">
          <bgColor auto="1"/>
        </patternFill>
      </fill>
    </dxf>
    <dxf>
      <fill>
        <patternFill patternType="solid">
          <bgColor theme="0"/>
        </patternFill>
      </fill>
    </dxf>
    <dxf>
      <fill>
        <patternFill patternType="none">
          <bgColor auto="1"/>
        </patternFill>
      </fill>
    </dxf>
    <dxf>
      <fill>
        <patternFill patternType="none">
          <bgColor auto="1"/>
        </patternFill>
      </fill>
    </dxf>
    <dxf>
      <fill>
        <patternFill patternType="solid">
          <bgColor theme="0"/>
        </patternFill>
      </fill>
    </dxf>
    <dxf>
      <fill>
        <patternFill patternType="none">
          <bgColor auto="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none">
          <bgColor auto="1"/>
        </patternFill>
      </fill>
    </dxf>
    <dxf>
      <fill>
        <patternFill patternType="solid">
          <bgColor theme="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ont>
        <color theme="4" tint="0.79998168889431442"/>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ndense val="0"/>
        <extend val="0"/>
        <color indexed="17"/>
      </font>
    </dxf>
    <dxf>
      <font>
        <color rgb="FFFF0000"/>
      </font>
    </dxf>
    <dxf>
      <font>
        <b/>
        <i val="0"/>
        <color rgb="FFC00000"/>
      </font>
    </dxf>
    <dxf>
      <font>
        <b/>
        <i val="0"/>
        <color rgb="FFC00000"/>
      </font>
    </dxf>
    <dxf>
      <font>
        <color rgb="FFFF0000"/>
      </font>
    </dxf>
    <dxf>
      <font>
        <color rgb="FFFF0000"/>
      </font>
    </dxf>
    <dxf>
      <fill>
        <patternFill>
          <bgColor theme="0"/>
        </patternFill>
      </fill>
    </dxf>
    <dxf>
      <fill>
        <patternFill>
          <bgColor theme="0"/>
        </patternFill>
      </fill>
    </dxf>
    <dxf>
      <font>
        <b/>
        <i val="0"/>
        <color rgb="FFFF0000"/>
      </font>
    </dxf>
    <dxf>
      <font>
        <b val="0"/>
        <i val="0"/>
        <color indexed="10"/>
      </font>
    </dxf>
    <dxf>
      <fill>
        <patternFill>
          <bgColor theme="0"/>
        </patternFill>
      </fill>
    </dxf>
    <dxf>
      <border>
        <left style="thin">
          <color auto="1"/>
        </left>
        <right style="thin">
          <color auto="1"/>
        </right>
        <top style="thin">
          <color auto="1"/>
        </top>
        <bottom style="thin">
          <color auto="1"/>
        </bottom>
        <vertical/>
        <horizontal/>
      </border>
    </dxf>
    <dxf>
      <border>
        <left/>
        <right/>
        <top/>
        <bottom/>
        <vertical/>
        <horizontal/>
      </border>
    </dxf>
    <dxf>
      <font>
        <color theme="1"/>
      </font>
    </dxf>
    <dxf>
      <fill>
        <patternFill>
          <bgColor theme="0"/>
        </patternFill>
      </fill>
    </dxf>
    <dxf>
      <font>
        <b/>
        <i val="0"/>
        <color rgb="FFC00000"/>
      </font>
    </dxf>
    <dxf>
      <font>
        <color theme="1"/>
      </font>
    </dxf>
    <dxf>
      <font>
        <color theme="1"/>
      </font>
    </dxf>
    <dxf>
      <font>
        <b/>
        <i val="0"/>
        <color auto="1"/>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ill>
        <patternFill>
          <bgColor theme="4" tint="0.79998168889431442"/>
        </patternFill>
      </fill>
      <border>
        <left style="thin">
          <color auto="1"/>
        </left>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ndense val="0"/>
        <extend val="0"/>
        <color indexed="10"/>
      </font>
    </dxf>
    <dxf>
      <font>
        <b val="0"/>
        <i val="0"/>
        <condense val="0"/>
        <extend val="0"/>
        <color indexed="10"/>
      </font>
    </dxf>
    <dxf>
      <font>
        <condense val="0"/>
        <extend val="0"/>
        <color indexed="9"/>
      </font>
    </dxf>
    <dxf>
      <font>
        <b/>
        <i val="0"/>
        <color rgb="FFFF0000"/>
      </font>
    </dxf>
    <dxf>
      <fill>
        <patternFill>
          <bgColor theme="0"/>
        </patternFill>
      </fill>
    </dxf>
    <dxf>
      <font>
        <b val="0"/>
        <i val="0"/>
        <color indexed="10"/>
      </font>
    </dxf>
    <dxf>
      <font>
        <b val="0"/>
        <i val="0"/>
        <condense val="0"/>
        <extend val="0"/>
        <color indexed="10"/>
      </font>
    </dxf>
    <dxf>
      <font>
        <condense val="0"/>
        <extend val="0"/>
        <color indexed="9"/>
      </font>
    </dxf>
    <dxf>
      <font>
        <b/>
        <i val="0"/>
        <condense val="0"/>
        <extend val="0"/>
        <color indexed="10"/>
      </font>
    </dxf>
    <dxf>
      <font>
        <b/>
        <i val="0"/>
        <color rgb="FFFF0000"/>
      </font>
    </dxf>
    <dxf>
      <font>
        <b val="0"/>
        <i val="0"/>
        <color indexed="10"/>
      </font>
    </dxf>
    <dxf>
      <font>
        <b val="0"/>
        <i val="0"/>
        <color rgb="FFFF0000"/>
      </font>
    </dxf>
    <dxf>
      <font>
        <b/>
        <i val="0"/>
        <color rgb="FFFF0000"/>
      </font>
    </dxf>
    <dxf>
      <font>
        <color rgb="FFC00000"/>
      </font>
    </dxf>
    <dxf>
      <font>
        <color rgb="FFC00000"/>
      </font>
    </dxf>
    <dxf>
      <font>
        <condense val="0"/>
        <extend val="0"/>
        <color indexed="10"/>
      </font>
    </dxf>
    <dxf>
      <font>
        <color rgb="FFC00000"/>
      </font>
    </dxf>
    <dxf>
      <font>
        <color rgb="FFC00000"/>
      </font>
    </dxf>
    <dxf>
      <font>
        <b/>
        <i val="0"/>
        <color rgb="FFC00000"/>
      </font>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ont>
        <color theme="0"/>
      </font>
    </dxf>
    <dxf>
      <font>
        <color theme="4" tint="0.79998168889431442"/>
      </font>
    </dxf>
    <dxf>
      <font>
        <color theme="0"/>
      </font>
    </dxf>
    <dxf>
      <fill>
        <patternFill>
          <bgColor theme="0"/>
        </patternFill>
      </fill>
    </dxf>
    <dxf>
      <fill>
        <patternFill>
          <bgColor theme="0"/>
        </patternFill>
      </fill>
    </dxf>
    <dxf>
      <fill>
        <patternFill>
          <bgColor theme="0"/>
        </patternFill>
      </fill>
    </dxf>
    <dxf>
      <fill>
        <patternFill>
          <bgColor theme="0"/>
        </patternFill>
      </fill>
    </dxf>
    <dxf>
      <font>
        <color rgb="FFFF0000"/>
      </font>
    </dxf>
    <dxf>
      <fill>
        <patternFill>
          <bgColor theme="0"/>
        </patternFill>
      </fill>
    </dxf>
    <dxf>
      <font>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1"/>
      </font>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1"/>
      </font>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ill>
        <patternFill>
          <bgColor theme="0"/>
        </patternFill>
      </fill>
    </dxf>
    <dxf>
      <font>
        <b/>
        <i val="0"/>
        <color rgb="FFC00000"/>
      </font>
    </dxf>
    <dxf>
      <fill>
        <patternFill>
          <bgColor theme="0"/>
        </patternFill>
      </fill>
    </dxf>
    <dxf>
      <font>
        <b/>
        <i val="0"/>
        <color rgb="FFC00000"/>
      </font>
    </dxf>
    <dxf>
      <font>
        <b/>
        <i val="0"/>
        <color rgb="FFC00000"/>
      </font>
    </dxf>
    <dxf>
      <font>
        <b/>
        <i val="0"/>
        <color rgb="FFC00000"/>
      </font>
    </dxf>
    <dxf>
      <font>
        <b/>
        <i val="0"/>
        <color rgb="FFC00000"/>
      </font>
    </dxf>
    <dxf>
      <font>
        <b/>
        <i val="0"/>
        <color rgb="FFC00000"/>
      </font>
    </dxf>
    <dxf>
      <fill>
        <patternFill>
          <bgColor theme="0"/>
        </patternFill>
      </fill>
    </dxf>
    <dxf>
      <font>
        <b/>
        <i val="0"/>
        <color rgb="FFC00000"/>
      </font>
    </dxf>
    <dxf>
      <font>
        <b/>
        <i val="0"/>
        <color rgb="FFC00000"/>
      </font>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ont>
        <color rgb="FFFF0000"/>
      </font>
    </dxf>
    <dxf>
      <fill>
        <patternFill>
          <bgColor theme="0"/>
        </patternFill>
      </fill>
    </dxf>
    <dxf>
      <font>
        <color rgb="FFFF0000"/>
      </font>
    </dxf>
    <dxf>
      <fill>
        <patternFill>
          <bgColor theme="0"/>
        </patternFill>
      </fill>
    </dxf>
    <dxf>
      <font>
        <color rgb="FFFF0000"/>
      </font>
    </dxf>
    <dxf>
      <font>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ill>
        <patternFill>
          <bgColor theme="0"/>
        </patternFill>
      </fill>
    </dxf>
    <dxf>
      <fill>
        <patternFill>
          <bgColor theme="0"/>
        </patternFill>
      </fill>
    </dxf>
    <dxf>
      <fill>
        <patternFill>
          <bgColor theme="0"/>
        </patternFill>
      </fill>
    </dxf>
    <dxf>
      <font>
        <color rgb="FFFF0000"/>
      </font>
    </dxf>
    <dxf>
      <font>
        <b/>
        <i val="0"/>
        <color rgb="FFC00000"/>
      </font>
    </dxf>
    <dxf>
      <font>
        <b/>
        <i/>
        <color rgb="FF008000"/>
      </font>
    </dxf>
    <dxf>
      <font>
        <b/>
        <i val="0"/>
        <color rgb="FFC00000"/>
      </font>
    </dxf>
    <dxf>
      <fill>
        <patternFill>
          <bgColor theme="0"/>
        </patternFill>
      </fill>
    </dxf>
    <dxf>
      <fill>
        <patternFill>
          <bgColor theme="0"/>
        </patternFill>
      </fill>
    </dxf>
    <dxf>
      <fill>
        <patternFill>
          <bgColor theme="0"/>
        </patternFill>
      </fill>
    </dxf>
    <dxf>
      <font>
        <b/>
        <i val="0"/>
        <color rgb="FFC00000"/>
      </font>
    </dxf>
    <dxf>
      <font>
        <color rgb="FFFF0000"/>
      </font>
    </dxf>
    <dxf>
      <font>
        <b/>
        <i val="0"/>
        <color rgb="FFC00000"/>
      </font>
    </dxf>
    <dxf>
      <font>
        <color rgb="FFFF0000"/>
      </font>
    </dxf>
    <dxf>
      <font>
        <b/>
        <i val="0"/>
        <color rgb="FFC00000"/>
      </font>
    </dxf>
    <dxf>
      <font>
        <b val="0"/>
        <i val="0"/>
        <color rgb="FFC00000"/>
      </font>
    </dxf>
    <dxf>
      <fill>
        <patternFill>
          <bgColor theme="0"/>
        </patternFill>
      </fill>
    </dxf>
    <dxf>
      <font>
        <color rgb="FFFF0000"/>
      </font>
    </dxf>
    <dxf>
      <font>
        <color rgb="FFFF0000"/>
      </font>
    </dxf>
    <dxf>
      <font>
        <color rgb="FFFF0000"/>
      </font>
    </dxf>
    <dxf>
      <font>
        <color rgb="FFFF0000"/>
      </font>
    </dxf>
    <dxf>
      <fill>
        <patternFill>
          <bgColor theme="0"/>
        </patternFill>
      </fill>
    </dxf>
    <dxf>
      <font>
        <color rgb="FFC00000"/>
      </font>
    </dxf>
    <dxf>
      <font>
        <color rgb="FFFF0000"/>
      </font>
    </dxf>
    <dxf>
      <font>
        <color rgb="FFFF0000"/>
      </font>
    </dxf>
    <dxf>
      <font>
        <color rgb="FFFF0000"/>
      </font>
    </dxf>
    <dxf>
      <font>
        <color rgb="FFC00000"/>
      </font>
    </dxf>
    <dxf>
      <font>
        <color rgb="FFC00000"/>
      </font>
    </dxf>
    <dxf>
      <font>
        <color rgb="FFC00000"/>
      </font>
    </dxf>
    <dxf>
      <font>
        <color rgb="FFC00000"/>
      </font>
    </dxf>
    <dxf>
      <fill>
        <patternFill>
          <bgColor theme="0"/>
        </patternFill>
      </fill>
    </dxf>
    <dxf>
      <font>
        <color rgb="FFC00000"/>
      </font>
    </dxf>
    <dxf>
      <font>
        <color rgb="FFFF0000"/>
      </font>
    </dxf>
    <dxf>
      <font>
        <color rgb="FFFF0000"/>
      </font>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ont>
        <color rgb="FFC00000"/>
      </font>
    </dxf>
    <dxf>
      <fill>
        <patternFill>
          <bgColor theme="0"/>
        </patternFill>
      </fill>
    </dxf>
    <dxf>
      <fill>
        <patternFill>
          <bgColor theme="0"/>
        </patternFill>
      </fill>
    </dxf>
    <dxf>
      <font>
        <color theme="0"/>
      </font>
    </dxf>
    <dxf>
      <font>
        <color theme="4" tint="0.79998168889431442"/>
      </font>
    </dxf>
    <dxf>
      <font>
        <color theme="0"/>
      </font>
    </dxf>
    <dxf>
      <fill>
        <patternFill>
          <bgColor theme="0"/>
        </patternFill>
      </fill>
    </dxf>
    <dxf>
      <fill>
        <patternFill>
          <bgColor theme="0"/>
        </patternFill>
      </fill>
    </dxf>
    <dxf>
      <fill>
        <patternFill>
          <bgColor theme="0"/>
        </patternFill>
      </fill>
    </dxf>
    <dxf>
      <fill>
        <patternFill>
          <bgColor theme="0"/>
        </patternFill>
      </fill>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ont>
        <color theme="0"/>
      </font>
    </dxf>
    <dxf>
      <font>
        <color rgb="FFC00000"/>
      </font>
    </dxf>
    <dxf>
      <font>
        <color theme="4" tint="0.79998168889431442"/>
      </font>
    </dxf>
    <dxf>
      <fill>
        <patternFill>
          <bgColor theme="0"/>
        </patternFill>
      </fill>
    </dxf>
    <dxf>
      <fill>
        <patternFill>
          <bgColor theme="0"/>
        </patternFill>
      </fill>
    </dxf>
    <dxf>
      <font>
        <color theme="4" tint="0.79998168889431442"/>
      </font>
    </dxf>
    <dxf>
      <fill>
        <patternFill>
          <bgColor theme="0"/>
        </patternFill>
      </fill>
    </dxf>
    <dxf>
      <fill>
        <patternFill>
          <bgColor theme="0"/>
        </patternFill>
      </fill>
    </dxf>
    <dxf>
      <font>
        <b/>
        <i val="0"/>
        <color rgb="FFFF0000"/>
      </font>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FF0000"/>
      </font>
    </dxf>
    <dxf>
      <font>
        <color rgb="FFFF0000"/>
      </font>
    </dxf>
    <dxf>
      <fill>
        <patternFill>
          <bgColor theme="0"/>
        </patternFill>
      </fill>
    </dxf>
    <dxf>
      <fill>
        <patternFill>
          <bgColor theme="0"/>
        </patternFill>
      </fill>
    </dxf>
    <dxf>
      <font>
        <b/>
        <i val="0"/>
        <color rgb="FFC00000"/>
      </font>
    </dxf>
    <dxf>
      <font>
        <color theme="0"/>
      </font>
    </dxf>
    <dxf>
      <font>
        <color theme="4" tint="0.79998168889431442"/>
      </font>
    </dxf>
    <dxf>
      <font>
        <color theme="0"/>
      </font>
    </dxf>
    <dxf>
      <font>
        <color theme="0"/>
      </font>
    </dxf>
    <dxf>
      <font>
        <color theme="4" tint="0.79998168889431442"/>
      </font>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ill>
        <patternFill>
          <bgColor theme="0"/>
        </patternFill>
      </fill>
    </dxf>
    <dxf>
      <font>
        <color rgb="FFFF0000"/>
      </font>
    </dxf>
    <dxf>
      <fill>
        <patternFill>
          <bgColor theme="0"/>
        </patternFill>
      </fill>
    </dxf>
    <dxf>
      <font>
        <color rgb="FFFF0000"/>
      </font>
    </dxf>
    <dxf>
      <fill>
        <patternFill>
          <bgColor theme="0"/>
        </patternFill>
      </fill>
    </dxf>
    <dxf>
      <font>
        <color rgb="FFFF0000"/>
      </font>
    </dxf>
    <dxf>
      <fill>
        <patternFill>
          <bgColor theme="0"/>
        </patternFill>
      </fill>
    </dxf>
    <dxf>
      <font>
        <color rgb="FFFF0000"/>
      </font>
    </dxf>
    <dxf>
      <fill>
        <patternFill>
          <bgColor theme="0"/>
        </patternFill>
      </fill>
    </dxf>
    <dxf>
      <fill>
        <patternFill>
          <bgColor theme="0"/>
        </patternFill>
      </fill>
    </dxf>
    <dxf>
      <font>
        <color rgb="FFFF0000"/>
      </font>
    </dxf>
    <dxf>
      <fill>
        <patternFill>
          <bgColor theme="0"/>
        </patternFill>
      </fill>
    </dxf>
    <dxf>
      <font>
        <color rgb="FFFF0000"/>
      </font>
    </dxf>
    <dxf>
      <fill>
        <patternFill>
          <bgColor theme="0"/>
        </patternFill>
      </fill>
    </dxf>
    <dxf>
      <font>
        <color rgb="FFFF0000"/>
      </font>
    </dxf>
    <dxf>
      <fill>
        <patternFill>
          <bgColor theme="0"/>
        </patternFill>
      </fill>
    </dxf>
    <dxf>
      <font>
        <color rgb="FFFF0000"/>
      </font>
    </dxf>
    <dxf>
      <fill>
        <patternFill>
          <bgColor theme="0"/>
        </patternFill>
      </fill>
    </dxf>
    <dxf>
      <font>
        <color rgb="FFFF0000"/>
      </font>
    </dxf>
    <dxf>
      <fill>
        <patternFill>
          <bgColor theme="0"/>
        </patternFill>
      </fill>
    </dxf>
    <dxf>
      <font>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border>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fill>
        <patternFill patternType="none">
          <bgColor auto="1"/>
        </patternFill>
      </fill>
      <border>
        <left/>
        <right/>
        <top/>
        <bottom/>
        <vertical/>
        <horizontal/>
      </border>
    </dxf>
    <dxf>
      <font>
        <b/>
        <i val="0"/>
        <color rgb="FFFF0000"/>
      </font>
      <fill>
        <patternFill>
          <bgColor theme="0"/>
        </patternFill>
      </fill>
    </dxf>
    <dxf>
      <font>
        <color theme="0"/>
      </font>
      <fill>
        <patternFill patternType="none">
          <bgColor auto="1"/>
        </patternFill>
      </fill>
      <border>
        <left/>
        <right/>
        <top/>
        <bottom/>
        <vertical/>
        <horizontal/>
      </border>
    </dxf>
    <dxf>
      <font>
        <strike val="0"/>
        <color auto="1"/>
      </font>
    </dxf>
    <dxf>
      <font>
        <strike val="0"/>
        <color auto="1"/>
      </font>
    </dxf>
    <dxf>
      <font>
        <color theme="0"/>
      </font>
      <fill>
        <patternFill patternType="none">
          <bgColor auto="1"/>
        </patternFill>
      </fill>
      <border>
        <left/>
        <right/>
        <top/>
        <bottom/>
        <vertical/>
        <horizontal/>
      </border>
    </dxf>
    <dxf>
      <font>
        <b/>
        <i val="0"/>
        <color rgb="FFFF0000"/>
      </font>
      <fill>
        <patternFill>
          <bgColor theme="0"/>
        </patternFill>
      </fill>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fill>
        <patternFill patternType="solid">
          <bgColor theme="0"/>
        </patternFill>
      </fill>
      <border>
        <left style="thin">
          <color auto="1"/>
        </left>
        <right style="thin">
          <color auto="1"/>
        </right>
        <top style="thin">
          <color auto="1"/>
        </top>
        <bottom style="thin">
          <color auto="1"/>
        </bottom>
      </border>
    </dxf>
    <dxf>
      <font>
        <strike val="0"/>
        <color rgb="FFFF0000"/>
      </font>
      <fill>
        <patternFill patternType="solid">
          <bgColor theme="0"/>
        </patternFill>
      </fill>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b/>
        <i val="0"/>
        <color rgb="FFFF0000"/>
      </font>
      <fill>
        <patternFill>
          <bgColor theme="0"/>
        </patternFill>
      </fill>
    </dxf>
    <dxf>
      <fill>
        <patternFill>
          <bgColor theme="0"/>
        </patternFill>
      </fill>
    </dxf>
    <dxf>
      <fill>
        <patternFill>
          <bgColor theme="0"/>
        </patternFill>
      </fill>
      <border>
        <left style="thin">
          <color auto="1"/>
        </left>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ill>
        <patternFill>
          <bgColor theme="0"/>
        </patternFill>
      </fill>
    </dxf>
    <dxf>
      <fill>
        <patternFill>
          <bgColor theme="0"/>
        </patternFill>
      </fill>
    </dxf>
    <dxf>
      <fill>
        <patternFill>
          <bgColor theme="0"/>
        </patternFill>
      </fill>
    </dxf>
    <dxf>
      <font>
        <b/>
        <i/>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ill>
        <patternFill patternType="solid"/>
      </fill>
    </dxf>
    <dxf>
      <fill>
        <patternFill>
          <fgColor theme="0"/>
          <bgColor theme="0"/>
        </patternFill>
      </fill>
    </dxf>
    <dxf>
      <font>
        <b val="0"/>
        <i val="0"/>
      </font>
      <fill>
        <patternFill patternType="solid">
          <bgColor theme="0"/>
        </patternFill>
      </fill>
    </dxf>
    <dxf>
      <fill>
        <patternFill patternType="solid">
          <bgColor theme="0"/>
        </patternFill>
      </fill>
    </dxf>
    <dxf>
      <fill>
        <patternFill patternType="solid">
          <bgColor theme="0"/>
        </patternFill>
      </fill>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ill>
        <patternFill>
          <bgColor theme="0"/>
        </patternFill>
      </fill>
    </dxf>
    <dxf>
      <font>
        <color rgb="FFFF0000"/>
      </font>
    </dxf>
    <dxf>
      <font>
        <color theme="0"/>
      </font>
    </dxf>
    <dxf>
      <fill>
        <patternFill>
          <bgColor theme="0"/>
        </patternFill>
      </fill>
    </dxf>
    <dxf>
      <fill>
        <patternFill>
          <bgColor theme="0"/>
        </patternFill>
      </fill>
    </dxf>
    <dxf>
      <font>
        <condense val="0"/>
        <extend val="0"/>
        <color indexed="9"/>
      </font>
    </dxf>
    <dxf>
      <fill>
        <patternFill>
          <bgColor theme="0"/>
        </patternFill>
      </fill>
    </dxf>
    <dxf>
      <font>
        <color theme="4" tint="0.79998168889431442"/>
      </font>
    </dxf>
    <dxf>
      <fill>
        <patternFill>
          <bgColor theme="0"/>
        </patternFill>
      </fill>
    </dxf>
    <dxf>
      <fill>
        <patternFill>
          <bgColor theme="0"/>
        </patternFill>
      </fill>
    </dxf>
    <dxf>
      <font>
        <color theme="4" tint="0.79998168889431442"/>
      </font>
    </dxf>
    <dxf>
      <fill>
        <patternFill>
          <bgColor theme="0"/>
        </patternFill>
      </fill>
    </dxf>
    <dxf>
      <font>
        <condense val="0"/>
        <extend val="0"/>
        <color indexed="9"/>
      </font>
    </dxf>
    <dxf>
      <fill>
        <patternFill>
          <bgColor theme="0"/>
        </patternFill>
      </fill>
    </dxf>
    <dxf>
      <font>
        <color theme="4" tint="0.79998168889431442"/>
      </font>
    </dxf>
    <dxf>
      <fill>
        <patternFill>
          <bgColor theme="0"/>
        </patternFill>
      </fill>
    </dxf>
    <dxf>
      <fill>
        <patternFill>
          <bgColor theme="0"/>
        </patternFill>
      </fill>
    </dxf>
    <dxf>
      <font>
        <color rgb="FFFF0000"/>
      </font>
    </dxf>
    <dxf>
      <fill>
        <patternFill>
          <bgColor theme="0"/>
        </patternFill>
      </fill>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C00000"/>
      </font>
    </dxf>
    <dxf>
      <fill>
        <patternFill>
          <bgColor theme="0"/>
        </patternFill>
      </fill>
    </dxf>
    <dxf>
      <font>
        <b/>
        <i val="0"/>
        <color rgb="FFC00000"/>
      </font>
      <fill>
        <patternFill patternType="solid">
          <bgColor theme="0"/>
        </patternFill>
      </fill>
    </dxf>
    <dxf>
      <fill>
        <patternFill>
          <bgColor theme="0"/>
        </patternFill>
      </fill>
    </dxf>
    <dxf>
      <fill>
        <patternFill>
          <bgColor theme="0"/>
        </patternFill>
      </fill>
    </dxf>
    <dxf>
      <fill>
        <patternFill>
          <bgColor theme="0"/>
        </patternFill>
      </fill>
    </dxf>
    <dxf>
      <font>
        <color theme="0"/>
      </font>
    </dxf>
    <dxf>
      <fill>
        <patternFill>
          <bgColor theme="0"/>
        </patternFill>
      </fill>
    </dxf>
    <dxf>
      <fill>
        <patternFill>
          <bgColor theme="0"/>
        </patternFill>
      </fill>
    </dxf>
    <dxf>
      <fill>
        <patternFill>
          <bgColor theme="0"/>
        </patternFill>
      </fill>
    </dxf>
    <dxf>
      <font>
        <color rgb="FF008000"/>
      </font>
    </dxf>
    <dxf>
      <font>
        <b/>
        <i val="0"/>
      </font>
    </dxf>
    <dxf>
      <font>
        <color rgb="FFFF0000"/>
      </font>
    </dxf>
    <dxf>
      <font>
        <color rgb="FFFF0000"/>
      </font>
    </dxf>
    <dxf>
      <font>
        <b/>
        <i val="0"/>
        <color rgb="FFFF0000"/>
      </font>
    </dxf>
    <dxf>
      <font>
        <color rgb="FFFF0000"/>
      </font>
    </dxf>
    <dxf>
      <font>
        <color rgb="FFFF0000"/>
      </font>
    </dxf>
    <dxf>
      <font>
        <color rgb="FFFF0000"/>
      </font>
    </dxf>
    <dxf>
      <font>
        <b/>
        <i val="0"/>
        <color rgb="FFFF0000"/>
      </font>
    </dxf>
    <dxf>
      <font>
        <color rgb="FFFF0000"/>
      </font>
    </dxf>
    <dxf>
      <font>
        <color rgb="FFFF0000"/>
      </font>
    </dxf>
    <dxf>
      <font>
        <color rgb="FFFF0000"/>
      </font>
    </dxf>
    <dxf>
      <font>
        <b/>
        <i val="0"/>
        <color rgb="FFFF0000"/>
      </font>
    </dxf>
    <dxf>
      <font>
        <b/>
        <i val="0"/>
        <color rgb="FFFF0000"/>
      </font>
    </dxf>
    <dxf>
      <font>
        <color rgb="FFFF0000"/>
      </font>
    </dxf>
    <dxf>
      <font>
        <color rgb="FFFF0000"/>
      </font>
    </dxf>
    <dxf>
      <font>
        <color rgb="FFFF0000"/>
      </font>
    </dxf>
    <dxf>
      <font>
        <b/>
        <i/>
        <color rgb="FFFF0000"/>
      </font>
    </dxf>
    <dxf>
      <font>
        <color rgb="FFFF0000"/>
      </font>
    </dxf>
    <dxf>
      <font>
        <color rgb="FFFF0000"/>
      </font>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b/>
        <i/>
        <color rgb="FFFF0000"/>
      </font>
    </dxf>
    <dxf>
      <font>
        <color rgb="FFFF0000"/>
      </font>
    </dxf>
    <dxf>
      <font>
        <condense val="0"/>
        <extend val="0"/>
      </font>
      <fill>
        <patternFill>
          <bgColor indexed="9"/>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C00000"/>
      </font>
    </dxf>
    <dxf>
      <font>
        <color rgb="FF008000"/>
      </font>
    </dxf>
    <dxf>
      <font>
        <color rgb="FF008000"/>
      </font>
    </dxf>
    <dxf>
      <font>
        <color rgb="FFC00000"/>
      </font>
    </dxf>
    <dxf>
      <font>
        <color rgb="FF008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ill>
        <patternFill>
          <bgColor theme="0"/>
        </patternFill>
      </fill>
      <border>
        <bottom style="thin">
          <color auto="1"/>
        </bottom>
      </border>
    </dxf>
    <dxf>
      <fill>
        <patternFill>
          <bgColor theme="4" tint="0.59996337778862885"/>
        </patternFill>
      </fill>
      <border>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ill>
        <patternFill>
          <bgColor theme="0"/>
        </patternFill>
      </fill>
    </dxf>
    <dxf>
      <fill>
        <patternFill>
          <bgColor theme="0"/>
        </patternFill>
      </fill>
    </dxf>
    <dxf>
      <font>
        <b/>
        <i val="0"/>
        <color rgb="FFFF0000"/>
      </font>
    </dxf>
    <dxf>
      <fill>
        <patternFill>
          <bgColor theme="0"/>
        </patternFill>
      </fill>
    </dxf>
    <dxf>
      <font>
        <b/>
        <i val="0"/>
        <color rgb="FFFF0000"/>
      </font>
    </dxf>
    <dxf>
      <fill>
        <patternFill>
          <bgColor theme="0"/>
        </patternFill>
      </fill>
    </dxf>
    <dxf>
      <font>
        <b/>
        <i val="0"/>
        <color rgb="FFFF0000"/>
      </font>
    </dxf>
    <dxf>
      <font>
        <color rgb="FFFF0000"/>
      </font>
    </dxf>
    <dxf>
      <font>
        <color rgb="FFFF0000"/>
      </font>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FF0000"/>
      </font>
    </dxf>
    <dxf>
      <font>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FF0000"/>
      </font>
    </dxf>
    <dxf>
      <fill>
        <patternFill>
          <bgColor theme="0"/>
        </patternFill>
      </fill>
    </dxf>
    <dxf>
      <font>
        <color rgb="FFFF0000"/>
      </font>
    </dxf>
    <dxf>
      <font>
        <color rgb="FFFF0000"/>
      </font>
    </dxf>
    <dxf>
      <fill>
        <patternFill>
          <bgColor theme="0"/>
        </patternFill>
      </fill>
    </dxf>
    <dxf>
      <font>
        <b/>
        <i val="0"/>
        <color rgb="FFFF0000"/>
      </font>
    </dxf>
    <dxf>
      <font>
        <color rgb="FFFF0000"/>
      </font>
    </dxf>
    <dxf>
      <fill>
        <patternFill>
          <bgColor theme="0"/>
        </patternFill>
      </fill>
    </dxf>
    <dxf>
      <font>
        <color rgb="FF008000"/>
      </font>
    </dxf>
    <dxf>
      <font>
        <color theme="0"/>
      </font>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ill>
        <patternFill>
          <fgColor theme="0"/>
          <bgColor theme="0"/>
        </patternFill>
      </fill>
    </dxf>
    <dxf>
      <fill>
        <patternFill>
          <fgColor theme="0"/>
          <bgColor theme="0"/>
        </patternFill>
      </fill>
    </dxf>
    <dxf>
      <fill>
        <patternFill patternType="solid">
          <bgColor theme="0"/>
        </patternFill>
      </fill>
    </dxf>
    <dxf>
      <fill>
        <patternFill patternType="solid">
          <bgColor theme="0"/>
        </patternFill>
      </fill>
    </dxf>
    <dxf>
      <fill>
        <patternFill>
          <bgColor theme="0"/>
        </patternFill>
      </fill>
    </dxf>
    <dxf>
      <fill>
        <patternFill patternType="solid">
          <fgColor theme="0"/>
          <bgColor theme="0"/>
        </patternFill>
      </fill>
      <border>
        <left/>
        <right/>
        <top/>
        <bottom/>
      </border>
    </dxf>
    <dxf>
      <fill>
        <patternFill>
          <bgColor theme="0"/>
        </patternFill>
      </fill>
    </dxf>
    <dxf>
      <fill>
        <patternFill patternType="solid">
          <fgColor theme="0"/>
          <bgColor theme="0"/>
        </patternFill>
      </fill>
      <border>
        <left/>
        <right/>
        <top/>
        <bottom/>
      </border>
    </dxf>
    <dxf>
      <fill>
        <patternFill>
          <fgColor theme="0"/>
          <bgColor theme="0"/>
        </patternFill>
      </fill>
    </dxf>
    <dxf>
      <fill>
        <patternFill>
          <bgColor theme="0"/>
        </patternFill>
      </fill>
    </dxf>
    <dxf>
      <fill>
        <patternFill>
          <fgColor theme="0"/>
          <bgColor theme="0"/>
        </patternFill>
      </fill>
    </dxf>
    <dxf>
      <fill>
        <patternFill>
          <fgColor theme="0"/>
          <bgColor theme="0"/>
        </patternFill>
      </fill>
    </dxf>
    <dxf>
      <fill>
        <patternFill>
          <bgColor theme="0"/>
        </patternFill>
      </fill>
    </dxf>
    <dxf>
      <fill>
        <patternFill>
          <fgColor theme="0"/>
          <bgColor theme="0"/>
        </patternFill>
      </fill>
    </dxf>
    <dxf>
      <fill>
        <patternFill>
          <fgColor theme="0"/>
          <bgColor theme="0"/>
        </patternFill>
      </fill>
    </dxf>
    <dxf>
      <fill>
        <patternFill>
          <fgColor theme="0"/>
          <bgColor theme="0"/>
        </patternFill>
      </fill>
    </dxf>
    <dxf>
      <fill>
        <patternFill>
          <fgColor theme="0"/>
          <bgColor theme="0"/>
        </patternFill>
      </fill>
    </dxf>
    <dxf>
      <fill>
        <patternFill>
          <fgColor theme="0"/>
          <bgColor theme="0"/>
        </patternFill>
      </fill>
    </dxf>
    <dxf>
      <fill>
        <patternFill>
          <fgColor theme="0"/>
          <bgColor theme="0"/>
        </patternFill>
      </fill>
    </dxf>
    <dxf>
      <fill>
        <patternFill>
          <fgColor theme="0"/>
          <bgColor theme="0"/>
        </patternFill>
      </fill>
    </dxf>
    <dxf>
      <fill>
        <patternFill patternType="solid">
          <bgColor theme="0"/>
        </patternFill>
      </fill>
    </dxf>
    <dxf>
      <fill>
        <patternFill patternType="lightUp">
          <fgColor theme="0"/>
          <bgColor theme="0"/>
        </patternFill>
      </fill>
    </dxf>
    <dxf>
      <fill>
        <patternFill patternType="lightUp">
          <fgColor theme="0"/>
          <bgColor theme="0"/>
        </patternFill>
      </fill>
    </dxf>
    <dxf>
      <fill>
        <patternFill patternType="lightUp">
          <fgColor theme="0"/>
          <bgColor theme="0"/>
        </patternFill>
      </fill>
    </dxf>
    <dxf>
      <fill>
        <patternFill>
          <fgColor theme="0"/>
          <bgColor theme="0"/>
        </patternFill>
      </fill>
    </dxf>
    <dxf>
      <fill>
        <patternFill>
          <fgColor theme="0"/>
          <bgColor theme="0"/>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ill>
        <patternFill patternType="solid">
          <fgColor auto="1"/>
          <bgColor theme="0"/>
        </patternFill>
      </fill>
    </dxf>
    <dxf>
      <fill>
        <patternFill patternType="solid">
          <fgColor theme="0"/>
          <bgColor theme="0"/>
        </patternFill>
      </fill>
    </dxf>
    <dxf>
      <fill>
        <patternFill patternType="solid">
          <fgColor auto="1"/>
          <bgColor theme="0"/>
        </patternFill>
      </fill>
      <border>
        <left style="thin">
          <color auto="1"/>
        </left>
        <right style="thin">
          <color auto="1"/>
        </right>
        <top style="thin">
          <color auto="1"/>
        </top>
        <bottom style="thin">
          <color auto="1"/>
        </bottom>
      </border>
    </dxf>
    <dxf>
      <fill>
        <patternFill patternType="solid">
          <bgColor theme="0"/>
        </patternFill>
      </fill>
    </dxf>
    <dxf>
      <fill>
        <patternFill patternType="lightUp">
          <fgColor theme="0"/>
          <bgColor theme="0"/>
        </patternFill>
      </fill>
    </dxf>
    <dxf>
      <fill>
        <patternFill patternType="lightUp">
          <fgColor theme="0"/>
          <bgColor theme="0"/>
        </patternFill>
      </fill>
    </dxf>
    <dxf>
      <fill>
        <patternFill>
          <fgColor theme="0"/>
          <bgColor theme="0"/>
        </patternFill>
      </fill>
    </dxf>
    <dxf>
      <fill>
        <patternFill>
          <fgColor theme="0"/>
          <bgColor theme="0"/>
        </patternFill>
      </fill>
    </dxf>
    <dxf>
      <fill>
        <patternFill>
          <fgColor theme="0"/>
          <bgColor theme="0"/>
        </patternFill>
      </fill>
    </dxf>
    <dxf>
      <fill>
        <patternFill patternType="solid">
          <fgColor theme="0"/>
          <bgColor theme="0"/>
        </patternFill>
      </fill>
    </dxf>
    <dxf>
      <fill>
        <patternFill patternType="solid">
          <fgColor theme="0"/>
          <bgColor theme="0"/>
        </patternFill>
      </fill>
    </dxf>
    <dxf>
      <fill>
        <patternFill patternType="solid">
          <fgColor auto="1"/>
          <bgColor theme="0"/>
        </patternFill>
      </fill>
    </dxf>
    <dxf>
      <fill>
        <patternFill patternType="solid">
          <fgColor theme="0"/>
          <bgColor theme="0"/>
        </patternFill>
      </fill>
    </dxf>
    <dxf>
      <fill>
        <patternFill patternType="solid">
          <fgColor auto="1"/>
          <bgColor theme="0"/>
        </patternFill>
      </fill>
      <border>
        <left style="thin">
          <color auto="1"/>
        </left>
        <right style="thin">
          <color auto="1"/>
        </right>
        <top style="thin">
          <color auto="1"/>
        </top>
        <bottom style="thin">
          <color auto="1"/>
        </bottom>
      </border>
    </dxf>
    <dxf>
      <fill>
        <patternFill>
          <bgColor theme="0"/>
        </patternFill>
      </fill>
      <border>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4" tint="0.59996337778862885"/>
      </font>
    </dxf>
    <dxf>
      <fill>
        <patternFill>
          <bgColor theme="0"/>
        </patternFill>
      </fill>
    </dxf>
    <dxf>
      <font>
        <color theme="4" tint="0.59996337778862885"/>
      </font>
    </dxf>
    <dxf>
      <font>
        <color theme="4" tint="0.59996337778862885"/>
      </font>
    </dxf>
    <dxf>
      <fill>
        <patternFill>
          <bgColor theme="0"/>
        </patternFill>
      </fill>
    </dxf>
    <dxf>
      <font>
        <b/>
        <i val="0"/>
        <condense val="0"/>
        <extend val="0"/>
        <color indexed="10"/>
      </font>
    </dxf>
    <dxf>
      <font>
        <b/>
        <i val="0"/>
        <condense val="0"/>
        <extend val="0"/>
        <color indexed="10"/>
      </font>
    </dxf>
    <dxf>
      <fill>
        <patternFill>
          <bgColor theme="0"/>
        </patternFill>
      </fill>
    </dxf>
    <dxf>
      <font>
        <color theme="4" tint="0.59996337778862885"/>
      </font>
    </dxf>
    <dxf>
      <fill>
        <patternFill>
          <bgColor theme="0"/>
        </patternFill>
      </fill>
    </dxf>
    <dxf>
      <font>
        <color theme="4" tint="0.59996337778862885"/>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4" tint="0.59996337778862885"/>
      </font>
    </dxf>
    <dxf>
      <fill>
        <patternFill>
          <bgColor theme="0"/>
        </patternFill>
      </fill>
    </dxf>
    <dxf>
      <font>
        <color theme="4" tint="0.59996337778862885"/>
      </font>
    </dxf>
    <dxf>
      <font>
        <color theme="4" tint="0.59996337778862885"/>
      </font>
    </dxf>
    <dxf>
      <fill>
        <patternFill>
          <bgColor theme="0"/>
        </patternFill>
      </fill>
    </dxf>
    <dxf>
      <font>
        <color theme="4" tint="0.59996337778862885"/>
      </font>
    </dxf>
    <dxf>
      <font>
        <b/>
        <i val="0"/>
        <condense val="0"/>
        <extend val="0"/>
        <color indexed="10"/>
      </font>
    </dxf>
    <dxf>
      <font>
        <b/>
        <i val="0"/>
        <condense val="0"/>
        <extend val="0"/>
        <color indexed="10"/>
      </font>
    </dxf>
    <dxf>
      <font>
        <color theme="4" tint="0.59996337778862885"/>
      </font>
    </dxf>
    <dxf>
      <fill>
        <patternFill>
          <bgColor theme="0"/>
        </patternFill>
      </fill>
    </dxf>
    <dxf>
      <font>
        <color theme="4" tint="0.59996337778862885"/>
      </font>
    </dxf>
    <dxf>
      <fill>
        <patternFill>
          <bgColor theme="0"/>
        </patternFill>
      </fill>
    </dxf>
    <dxf>
      <fill>
        <patternFill>
          <bgColor theme="0"/>
        </patternFill>
      </fill>
    </dxf>
    <dxf>
      <fill>
        <patternFill>
          <bgColor theme="0"/>
        </patternFill>
      </fill>
    </dxf>
    <dxf>
      <font>
        <color theme="0"/>
      </font>
    </dxf>
    <dxf>
      <font>
        <b/>
        <i val="0"/>
        <color rgb="FFC00000"/>
      </font>
    </dxf>
    <dxf>
      <fill>
        <patternFill>
          <bgColor theme="0"/>
        </patternFill>
      </fill>
    </dxf>
    <dxf>
      <font>
        <color theme="0"/>
      </font>
    </dxf>
    <dxf>
      <font>
        <b/>
        <i val="0"/>
        <color rgb="FFC00000"/>
      </font>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C00000"/>
      </font>
    </dxf>
    <dxf>
      <font>
        <color rgb="FFC00000"/>
      </font>
    </dxf>
    <dxf>
      <font>
        <color rgb="FFFF0000"/>
      </font>
    </dxf>
    <dxf>
      <font>
        <color rgb="FFFF0000"/>
      </font>
    </dxf>
    <dxf>
      <font>
        <color theme="0"/>
      </font>
    </dxf>
    <dxf>
      <font>
        <b val="0"/>
        <i val="0"/>
        <color rgb="FFC00000"/>
      </font>
    </dxf>
    <dxf>
      <font>
        <b val="0"/>
        <i val="0"/>
        <color rgb="FFC00000"/>
      </font>
    </dxf>
    <dxf>
      <font>
        <color rgb="FFFF0000"/>
      </font>
    </dxf>
    <dxf>
      <font>
        <color rgb="FFFF0000"/>
      </font>
    </dxf>
    <dxf>
      <fill>
        <patternFill>
          <bgColor theme="0"/>
        </patternFill>
      </fill>
    </dxf>
    <dxf>
      <fill>
        <patternFill>
          <bgColor theme="0"/>
        </patternFill>
      </fill>
    </dxf>
    <dxf>
      <font>
        <color theme="1"/>
      </font>
      <fill>
        <patternFill>
          <bgColor theme="4" tint="0.79998168889431442"/>
        </patternFill>
      </fill>
      <border>
        <left style="thin">
          <color auto="1"/>
        </left>
        <right style="thin">
          <color auto="1"/>
        </right>
        <top style="thin">
          <color auto="1"/>
        </top>
        <bottom style="thin">
          <color auto="1"/>
        </bottom>
        <vertical/>
        <horizontal/>
      </border>
    </dxf>
    <dxf>
      <font>
        <color theme="1"/>
      </font>
      <fill>
        <patternFill>
          <bgColor theme="4" tint="0.59996337778862885"/>
        </patternFill>
      </fill>
      <border>
        <left style="thin">
          <color auto="1"/>
        </left>
        <right style="thin">
          <color auto="1"/>
        </right>
        <top style="thin">
          <color auto="1"/>
        </top>
        <bottom style="thin">
          <color auto="1"/>
        </bottom>
        <vertical/>
        <horizontal/>
      </border>
    </dxf>
    <dxf>
      <fill>
        <patternFill>
          <bgColor theme="0"/>
        </patternFill>
      </fill>
    </dxf>
    <dxf>
      <fill>
        <patternFill>
          <bgColor theme="0"/>
        </patternFill>
      </fill>
    </dxf>
    <dxf>
      <fill>
        <patternFill patternType="solid">
          <fgColor theme="0"/>
          <bgColor theme="0"/>
        </patternFill>
      </fill>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ill>
        <patternFill>
          <bgColor theme="4" tint="0.79998168889431442"/>
        </patternFill>
      </fill>
      <border>
        <bottom style="thin">
          <color auto="1"/>
        </bottom>
        <vertical/>
        <horizontal/>
      </border>
    </dxf>
    <dxf>
      <fill>
        <patternFill>
          <bgColor theme="4" tint="0.79998168889431442"/>
        </patternFill>
      </fill>
      <border>
        <bottom style="thin">
          <color auto="1"/>
        </bottom>
        <vertical/>
        <horizontal/>
      </border>
    </dxf>
    <dxf>
      <fill>
        <patternFill>
          <bgColor theme="4" tint="0.79998168889431442"/>
        </patternFill>
      </fill>
      <border>
        <bottom style="thin">
          <color auto="1"/>
        </bottom>
        <vertical/>
        <horizontal/>
      </border>
    </dxf>
    <dxf>
      <fill>
        <patternFill>
          <bgColor theme="4" tint="0.59996337778862885"/>
        </patternFill>
      </fill>
      <border>
        <bottom style="thin">
          <color auto="1"/>
        </bottom>
        <vertical/>
        <horizontal/>
      </border>
    </dxf>
    <dxf>
      <border>
        <bottom style="dotted">
          <color auto="1"/>
        </bottom>
        <vertical/>
        <horizontal/>
      </border>
    </dxf>
    <dxf>
      <font>
        <color rgb="FFFF0000"/>
      </font>
    </dxf>
    <dxf>
      <fill>
        <patternFill>
          <bgColor theme="4" tint="0.79998168889431442"/>
        </patternFill>
      </fill>
      <border>
        <bottom style="thin">
          <color auto="1"/>
        </bottom>
        <vertical/>
        <horizontal/>
      </border>
    </dxf>
    <dxf>
      <fill>
        <patternFill>
          <bgColor theme="4" tint="0.79998168889431442"/>
        </patternFill>
      </fill>
      <border>
        <bottom style="thin">
          <color auto="1"/>
        </bottom>
        <vertical/>
        <horizontal/>
      </border>
    </dxf>
    <dxf>
      <fill>
        <patternFill>
          <bgColor theme="4" tint="0.79998168889431442"/>
        </patternFill>
      </fill>
      <border>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ill>
        <patternFill>
          <bgColor theme="0"/>
        </patternFill>
      </fill>
    </dxf>
    <dxf>
      <font>
        <color theme="1"/>
      </font>
      <fill>
        <patternFill>
          <bgColor theme="4" tint="0.79998168889431442"/>
        </patternFill>
      </fill>
      <border>
        <left style="thin">
          <color auto="1"/>
        </left>
        <right style="thin">
          <color auto="1"/>
        </right>
        <top style="thin">
          <color auto="1"/>
        </top>
        <bottom style="thin">
          <color auto="1"/>
        </bottom>
        <vertical/>
        <horizontal/>
      </border>
    </dxf>
    <dxf>
      <font>
        <color rgb="FFC00000"/>
      </font>
    </dxf>
    <dxf>
      <fill>
        <patternFill patternType="solid">
          <fgColor theme="0"/>
          <bgColor theme="0"/>
        </patternFill>
      </fill>
    </dxf>
    <dxf>
      <font>
        <color rgb="FFC00000"/>
      </font>
    </dxf>
    <dxf>
      <fill>
        <patternFill>
          <bgColor theme="0"/>
        </patternFill>
      </fill>
      <border>
        <left/>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color rgb="FFC00000"/>
      </font>
      <fill>
        <patternFill>
          <bgColor theme="0"/>
        </patternFill>
      </fill>
      <border>
        <vertical/>
        <horizontal/>
      </border>
    </dxf>
    <dxf>
      <fill>
        <patternFill>
          <bgColor theme="0"/>
        </patternFill>
      </fill>
    </dxf>
    <dxf>
      <font>
        <color theme="0"/>
      </font>
    </dxf>
    <dxf>
      <fill>
        <patternFill>
          <bgColor theme="0"/>
        </patternFill>
      </fill>
    </dxf>
    <dxf>
      <font>
        <color theme="4" tint="0.79998168889431442"/>
      </font>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auto="1"/>
      </font>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ill>
        <patternFill>
          <bgColor theme="0"/>
        </patternFill>
      </fill>
    </dxf>
    <dxf>
      <fill>
        <patternFill>
          <bgColor theme="0"/>
        </patternFill>
      </fill>
    </dxf>
    <dxf>
      <fill>
        <patternFill>
          <bgColor theme="0"/>
        </patternFill>
      </fill>
    </dxf>
    <dxf>
      <fill>
        <patternFill>
          <bgColor theme="0"/>
        </patternFill>
      </fill>
      <border>
        <left style="thin">
          <color auto="1"/>
        </left>
        <right style="thin">
          <color auto="1"/>
        </right>
        <top style="thin">
          <color auto="1"/>
        </top>
        <bottom style="thin">
          <color auto="1"/>
        </bottom>
      </border>
    </dxf>
    <dxf>
      <fill>
        <patternFill>
          <bgColor theme="0"/>
        </patternFill>
      </fill>
      <border>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border>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ill>
        <patternFill>
          <bgColor theme="0"/>
        </patternFill>
      </fill>
    </dxf>
    <dxf>
      <fill>
        <patternFill>
          <bgColor theme="0"/>
        </patternFill>
      </fill>
    </dxf>
    <dxf>
      <fill>
        <patternFill>
          <bgColor theme="0"/>
        </patternFill>
      </fill>
    </dxf>
    <dxf>
      <fill>
        <patternFill>
          <bgColor theme="0"/>
        </patternFill>
      </fill>
    </dxf>
    <dxf>
      <font>
        <color theme="0"/>
      </font>
    </dxf>
    <dxf>
      <fill>
        <patternFill>
          <bgColor theme="0"/>
        </patternFill>
      </fill>
    </dxf>
    <dxf>
      <fill>
        <patternFill>
          <bgColor theme="0"/>
        </patternFill>
      </fill>
    </dxf>
    <dxf>
      <font>
        <color theme="0"/>
      </font>
    </dxf>
    <dxf>
      <font>
        <b/>
        <i/>
        <color rgb="FFC00000"/>
      </font>
    </dxf>
    <dxf>
      <font>
        <b/>
        <i/>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4" tint="0.79998168889431442"/>
        </patternFill>
      </fill>
    </dxf>
    <dxf>
      <fill>
        <patternFill>
          <bgColor theme="4" tint="0.79998168889431442"/>
        </patternFill>
      </fill>
    </dxf>
    <dxf>
      <font>
        <color rgb="FFFF0000"/>
      </font>
    </dxf>
    <dxf>
      <font>
        <color rgb="FFFF0000"/>
      </font>
    </dxf>
    <dxf>
      <fill>
        <patternFill>
          <bgColor theme="0"/>
        </patternFill>
      </fill>
    </dxf>
    <dxf>
      <font>
        <color theme="0"/>
      </font>
    </dxf>
    <dxf>
      <fill>
        <patternFill>
          <bgColor theme="0"/>
        </patternFill>
      </fill>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FF0000"/>
      </font>
    </dxf>
    <dxf>
      <font>
        <color theme="0"/>
      </font>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C00000"/>
      </font>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border>
        <left style="thin">
          <color auto="1"/>
        </left>
        <top style="thin">
          <color auto="1"/>
        </top>
        <bottom style="thin">
          <color auto="1"/>
        </bottom>
        <vertical/>
        <horizontal/>
      </border>
    </dxf>
    <dxf>
      <fill>
        <patternFill>
          <bgColor theme="0"/>
        </patternFill>
      </fill>
      <border>
        <left style="thin">
          <color auto="1"/>
        </lef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border>
    </dxf>
    <dxf>
      <fill>
        <patternFill>
          <bgColor theme="0"/>
        </patternFill>
      </fill>
      <border>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border>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ill>
        <patternFill>
          <bgColor theme="0"/>
        </patternFill>
      </fill>
    </dxf>
    <dxf>
      <fill>
        <patternFill>
          <bgColor theme="0"/>
        </patternFill>
      </fill>
    </dxf>
    <dxf>
      <fill>
        <patternFill>
          <bgColor theme="0"/>
        </patternFill>
      </fill>
    </dxf>
    <dxf>
      <fill>
        <patternFill>
          <bgColor theme="0"/>
        </patternFill>
      </fill>
    </dxf>
    <dxf>
      <font>
        <color theme="0"/>
      </font>
    </dxf>
    <dxf>
      <fill>
        <patternFill>
          <bgColor theme="0"/>
        </patternFill>
      </fill>
    </dxf>
    <dxf>
      <fill>
        <patternFill>
          <bgColor theme="0"/>
        </patternFill>
      </fill>
    </dxf>
    <dxf>
      <font>
        <color theme="0"/>
      </font>
    </dxf>
    <dxf>
      <font>
        <b/>
        <i/>
        <color rgb="FFC00000"/>
      </font>
    </dxf>
    <dxf>
      <font>
        <b/>
        <i/>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4" tint="0.79998168889431442"/>
        </patternFill>
      </fill>
    </dxf>
    <dxf>
      <fill>
        <patternFill>
          <bgColor theme="0"/>
        </patternFill>
      </fill>
    </dxf>
    <dxf>
      <font>
        <color rgb="FFFF0000"/>
      </font>
    </dxf>
    <dxf>
      <font>
        <color rgb="FFFF0000"/>
      </font>
    </dxf>
    <dxf>
      <fill>
        <patternFill>
          <bgColor theme="0"/>
        </patternFill>
      </fill>
    </dxf>
    <dxf>
      <font>
        <color theme="0"/>
      </font>
    </dxf>
    <dxf>
      <fill>
        <patternFill>
          <bgColor theme="0"/>
        </patternFill>
      </fill>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color rgb="FFFF0000"/>
      </font>
    </dxf>
    <dxf>
      <font>
        <color theme="0"/>
      </font>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C00000"/>
      </font>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border>
        <left style="thin">
          <color auto="1"/>
        </left>
        <top style="thin">
          <color auto="1"/>
        </top>
        <bottom style="thin">
          <color auto="1"/>
        </bottom>
        <vertical/>
        <horizontal/>
      </border>
    </dxf>
    <dxf>
      <fill>
        <patternFill>
          <bgColor theme="0"/>
        </patternFill>
      </fill>
      <border>
        <left style="thin">
          <color auto="1"/>
        </left>
        <top style="thin">
          <color auto="1"/>
        </top>
        <bottom style="thin">
          <color auto="1"/>
        </bottom>
        <vertical/>
        <horizontal/>
      </border>
    </dxf>
    <dxf>
      <fill>
        <patternFill>
          <bgColor theme="0"/>
        </patternFill>
      </fill>
    </dxf>
    <dxf>
      <fill>
        <patternFill>
          <bgColor theme="0"/>
        </patternFill>
      </fill>
    </dxf>
    <dxf>
      <fill>
        <patternFill>
          <bgColor theme="0"/>
        </patternFill>
      </fill>
    </dxf>
    <dxf>
      <font>
        <b/>
        <i val="0"/>
        <color rgb="FFC00000"/>
      </font>
    </dxf>
    <dxf>
      <font>
        <b/>
        <i val="0"/>
        <color rgb="FF008000"/>
      </font>
    </dxf>
    <dxf>
      <border>
        <left style="thin">
          <color auto="1"/>
        </left>
        <right style="thin">
          <color auto="1"/>
        </right>
        <top style="thin">
          <color auto="1"/>
        </top>
        <bottom style="thin">
          <color auto="1"/>
        </bottom>
        <vertical/>
        <horizontal/>
      </border>
    </dxf>
    <dxf>
      <font>
        <color rgb="FF008000"/>
      </font>
    </dxf>
    <dxf>
      <font>
        <color rgb="FF008000"/>
      </font>
    </dxf>
    <dxf>
      <font>
        <color rgb="FF008000"/>
      </font>
    </dxf>
    <dxf>
      <font>
        <b/>
        <i val="0"/>
        <condense val="0"/>
        <extend val="0"/>
        <color indexed="17"/>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bgColor theme="0"/>
        </patternFill>
      </fill>
    </dxf>
    <dxf>
      <font>
        <b/>
        <i/>
        <color rgb="FFC00000"/>
      </font>
    </dxf>
    <dxf>
      <font>
        <b/>
        <i/>
        <color rgb="FFC00000"/>
      </font>
    </dxf>
    <dxf>
      <fill>
        <patternFill>
          <bgColor theme="0"/>
        </patternFill>
      </fill>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ill>
        <patternFill>
          <bgColor indexed="47"/>
        </patternFill>
      </fill>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C00000"/>
      </font>
    </dxf>
    <dxf>
      <font>
        <color rgb="FFC00000"/>
      </font>
    </dxf>
    <dxf>
      <font>
        <b/>
        <i val="0"/>
        <color rgb="FFFF0000"/>
      </font>
    </dxf>
    <dxf>
      <font>
        <color theme="0"/>
      </font>
    </dxf>
    <dxf>
      <font>
        <color theme="0"/>
      </font>
    </dxf>
    <dxf>
      <font>
        <color theme="0"/>
      </font>
    </dxf>
    <dxf>
      <font>
        <color rgb="FFC00000"/>
      </font>
    </dxf>
    <dxf>
      <font>
        <color rgb="FFFF0000"/>
      </font>
    </dxf>
    <dxf>
      <font>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ont>
        <b/>
        <i val="0"/>
        <color rgb="FFFF0000"/>
      </font>
    </dxf>
    <dxf>
      <font>
        <b/>
        <i val="0"/>
        <color rgb="FF008000"/>
      </font>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ont>
        <b/>
        <i val="0"/>
        <condense val="0"/>
        <extend val="0"/>
        <color indexed="10"/>
      </font>
    </dxf>
    <dxf>
      <fill>
        <patternFill>
          <bgColor theme="0"/>
        </patternFill>
      </fill>
    </dxf>
    <dxf>
      <font>
        <b/>
        <i val="0"/>
        <condense val="0"/>
        <extend val="0"/>
        <color indexed="1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ndense val="0"/>
        <extend val="0"/>
        <color indexed="10"/>
      </font>
    </dxf>
    <dxf>
      <font>
        <b/>
        <i val="0"/>
        <condense val="0"/>
        <extend val="0"/>
        <color indexed="10"/>
      </font>
    </dxf>
    <dxf>
      <fill>
        <patternFill>
          <bgColor theme="0"/>
        </patternFill>
      </fill>
    </dxf>
    <dxf>
      <font>
        <color rgb="FFFF0000"/>
      </font>
    </dxf>
    <dxf>
      <font>
        <color rgb="FFFF0000"/>
      </font>
    </dxf>
    <dxf>
      <fill>
        <patternFill>
          <bgColor theme="0"/>
        </patternFill>
      </fill>
    </dxf>
    <dxf>
      <fill>
        <patternFill>
          <bgColor theme="0"/>
        </patternFill>
      </fill>
    </dxf>
    <dxf>
      <fill>
        <patternFill patternType="solid">
          <fgColor theme="0"/>
        </patternFill>
      </fill>
    </dxf>
    <dxf>
      <fill>
        <patternFill patternType="solid">
          <fgColor theme="0"/>
        </patternFill>
      </fill>
    </dxf>
    <dxf>
      <fill>
        <patternFill patternType="solid">
          <fgColor theme="0"/>
        </patternFill>
      </fill>
    </dxf>
    <dxf>
      <fill>
        <patternFill patternType="solid">
          <fgColor theme="0"/>
        </patternFill>
      </fill>
    </dxf>
    <dxf>
      <fill>
        <patternFill patternType="solid">
          <fgColor theme="0"/>
        </patternFill>
      </fill>
    </dxf>
    <dxf>
      <fill>
        <patternFill patternType="solid">
          <fgColor theme="0"/>
        </patternFill>
      </fill>
    </dxf>
    <dxf>
      <fill>
        <patternFill patternType="solid">
          <fgColor theme="0"/>
        </patternFill>
      </fill>
    </dxf>
    <dxf>
      <fill>
        <patternFill patternType="solid">
          <fgColor theme="0"/>
        </patternFill>
      </fill>
    </dxf>
    <dxf>
      <fill>
        <patternFill patternType="solid">
          <fgColor theme="0"/>
          <bgColor theme="0"/>
        </patternFill>
      </fill>
    </dxf>
    <dxf>
      <fill>
        <patternFill patternType="solid">
          <fgColor theme="0"/>
        </patternFill>
      </fill>
    </dxf>
    <dxf>
      <fill>
        <patternFill patternType="solid">
          <fgColor theme="0"/>
        </patternFill>
      </fill>
    </dxf>
    <dxf>
      <fill>
        <patternFill patternType="solid">
          <fgColor theme="0"/>
        </patternFill>
      </fill>
    </dxf>
    <dxf>
      <fill>
        <patternFill patternType="solid">
          <fgColor theme="0"/>
        </patternFill>
      </fill>
    </dxf>
    <dxf>
      <fill>
        <patternFill patternType="solid">
          <fgColor theme="0"/>
        </patternFill>
      </fill>
    </dxf>
    <dxf>
      <fill>
        <patternFill patternType="solid">
          <fgColor theme="0"/>
        </patternFill>
      </fill>
    </dxf>
    <dxf>
      <fill>
        <patternFill patternType="solid">
          <fgColor theme="0"/>
        </patternFill>
      </fill>
    </dxf>
    <dxf>
      <fill>
        <patternFill patternType="solid">
          <fgColor theme="0"/>
        </patternFill>
      </fill>
    </dxf>
    <dxf>
      <fill>
        <patternFill patternType="solid">
          <fgColor theme="0"/>
        </patternFill>
      </fill>
    </dxf>
    <dxf>
      <fill>
        <patternFill patternType="solid">
          <fgColor theme="0"/>
          <bgColor theme="0"/>
        </patternFill>
      </fill>
      <border>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border>
        <vertical/>
        <horizontal/>
      </border>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ill>
        <patternFill>
          <bgColor theme="0"/>
        </patternFill>
      </fill>
    </dxf>
    <dxf>
      <font>
        <color theme="4" tint="0.79998168889431442"/>
      </font>
    </dxf>
    <dxf>
      <fill>
        <patternFill>
          <bgColor theme="0"/>
        </patternFill>
      </fill>
    </dxf>
    <dxf>
      <fill>
        <patternFill>
          <bgColor theme="0"/>
        </patternFill>
      </fill>
    </dxf>
    <dxf>
      <font>
        <color theme="4" tint="0.79998168889431442"/>
      </font>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0"/>
      </font>
    </dxf>
    <dxf>
      <fill>
        <patternFill>
          <bgColor theme="0"/>
        </patternFill>
      </fill>
    </dxf>
    <dxf>
      <font>
        <color theme="0"/>
      </font>
    </dxf>
    <dxf>
      <font>
        <color rgb="FFFF0000"/>
      </font>
    </dxf>
    <dxf>
      <font>
        <color rgb="FFFF0000"/>
      </font>
    </dxf>
    <dxf>
      <fill>
        <patternFill>
          <bgColor theme="0"/>
        </patternFill>
      </fill>
    </dxf>
    <dxf>
      <fill>
        <patternFill>
          <bgColor theme="0"/>
        </patternFill>
      </fill>
    </dxf>
    <dxf>
      <fill>
        <patternFill>
          <bgColor theme="0"/>
        </patternFill>
      </fill>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ont>
        <b/>
        <i val="0"/>
        <color rgb="FFFF0000"/>
      </font>
    </dxf>
    <dxf>
      <fill>
        <patternFill>
          <bgColor theme="0"/>
        </patternFill>
      </fill>
    </dxf>
    <dxf>
      <fill>
        <patternFill>
          <bgColor theme="0"/>
        </patternFill>
      </fill>
    </dxf>
    <dxf>
      <fill>
        <patternFill>
          <bgColor theme="0"/>
        </patternFill>
      </fill>
    </dxf>
    <dxf>
      <font>
        <b/>
        <i val="0"/>
        <color rgb="FFFF0000"/>
      </font>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ont>
        <color theme="0"/>
      </font>
    </dxf>
    <dxf>
      <font>
        <b/>
        <i val="0"/>
        <color rgb="FFFF0000"/>
      </font>
    </dxf>
    <dxf>
      <font>
        <color rgb="FFFF0000"/>
      </font>
    </dxf>
    <dxf>
      <font>
        <b/>
        <i val="0"/>
        <color rgb="FF008000"/>
      </font>
    </dxf>
    <dxf>
      <fill>
        <patternFill>
          <bgColor theme="0"/>
        </patternFill>
      </fill>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4" tint="0.79998168889431442"/>
        </patternFill>
      </fill>
      <border>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tint="-4.9989318521683403E-2"/>
        </patternFill>
      </fill>
      <border>
        <left/>
        <right/>
        <top/>
        <bottom/>
        <vertical/>
        <horizontal/>
      </border>
    </dxf>
    <dxf>
      <border>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auto="1"/>
      </font>
      <fill>
        <patternFill>
          <bgColor theme="4" tint="0.79998168889431442"/>
        </patternFill>
      </fill>
      <border>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border>
        <bottom/>
        <vertical/>
        <horizontal/>
      </border>
    </dxf>
    <dxf>
      <font>
        <color auto="1"/>
      </font>
    </dxf>
    <dxf>
      <font>
        <b/>
        <i val="0"/>
        <color rgb="FF008000"/>
      </font>
    </dxf>
    <dxf>
      <font>
        <b/>
        <i val="0"/>
        <color rgb="FFC00000"/>
      </font>
    </dxf>
    <dxf>
      <font>
        <b/>
        <i val="0"/>
        <color rgb="FF008000"/>
      </font>
    </dxf>
    <dxf>
      <font>
        <b/>
        <i val="0"/>
        <color rgb="FF008000"/>
      </font>
    </dxf>
    <dxf>
      <font>
        <b/>
        <i val="0"/>
        <color rgb="FFFF0000"/>
      </font>
    </dxf>
    <dxf>
      <font>
        <b/>
        <i val="0"/>
        <color rgb="FF008000"/>
      </font>
    </dxf>
    <dxf>
      <font>
        <b/>
        <i val="0"/>
        <color rgb="FFFF0000"/>
      </font>
    </dxf>
    <dxf>
      <font>
        <b/>
        <i val="0"/>
        <color rgb="FF008000"/>
      </font>
    </dxf>
    <dxf>
      <font>
        <b/>
        <i val="0"/>
        <color rgb="FFFF0000"/>
      </font>
    </dxf>
    <dxf>
      <font>
        <b/>
        <i val="0"/>
        <color rgb="FF008000"/>
      </font>
    </dxf>
    <dxf>
      <font>
        <b/>
        <i val="0"/>
        <color rgb="FF008000"/>
      </font>
    </dxf>
    <dxf>
      <font>
        <b/>
        <i val="0"/>
        <color rgb="FFFF0000"/>
      </font>
    </dxf>
    <dxf>
      <font>
        <b/>
        <i val="0"/>
        <color rgb="FFFF0000"/>
      </font>
    </dxf>
    <dxf>
      <font>
        <b/>
        <i val="0"/>
        <color rgb="FFFF0000"/>
      </font>
    </dxf>
    <dxf>
      <font>
        <b/>
        <i val="0"/>
        <color rgb="FF008000"/>
      </font>
    </dxf>
    <dxf>
      <font>
        <color theme="0"/>
      </font>
    </dxf>
    <dxf>
      <fill>
        <patternFill patternType="none">
          <bgColor auto="1"/>
        </patternFill>
      </fill>
      <border>
        <left/>
        <right/>
        <top/>
        <bottom/>
        <vertical/>
        <horizontal/>
      </border>
    </dxf>
    <dxf>
      <font>
        <color theme="0"/>
      </font>
    </dxf>
    <dxf>
      <font>
        <color rgb="FFFF0000"/>
      </font>
    </dxf>
    <dxf>
      <font>
        <color theme="0"/>
      </font>
      <fill>
        <patternFill patternType="none">
          <bgColor auto="1"/>
        </patternFill>
      </fill>
      <border>
        <left/>
        <right/>
        <top/>
        <bottom/>
        <vertical/>
        <horizontal/>
      </border>
    </dxf>
    <dxf>
      <fill>
        <patternFill patternType="none">
          <bgColor auto="1"/>
        </patternFill>
      </fill>
      <border>
        <left/>
        <right/>
        <top/>
        <bottom/>
        <vertical/>
        <horizontal/>
      </border>
    </dxf>
    <dxf>
      <font>
        <color theme="0"/>
      </font>
    </dxf>
    <dxf>
      <border>
        <left style="thin">
          <color rgb="FFC00000"/>
        </left>
        <right style="thin">
          <color rgb="FFC00000"/>
        </right>
        <top style="thin">
          <color rgb="FFC00000"/>
        </top>
        <bottom style="thin">
          <color rgb="FFC00000"/>
        </bottom>
        <vertical/>
        <horizontal/>
      </border>
    </dxf>
    <dxf>
      <font>
        <color theme="0"/>
      </font>
    </dxf>
    <dxf>
      <font>
        <b/>
        <i val="0"/>
        <color rgb="FFFF0000"/>
      </font>
      <fill>
        <patternFill patternType="solid">
          <bgColor theme="0"/>
        </patternFill>
      </fill>
    </dxf>
    <dxf>
      <fill>
        <patternFill patternType="solid">
          <fgColor auto="1"/>
          <bgColor theme="0"/>
        </patternFill>
      </fill>
    </dxf>
    <dxf>
      <fill>
        <patternFill patternType="solid">
          <fgColor theme="0"/>
          <bgColor theme="0"/>
        </patternFill>
      </fill>
    </dxf>
    <dxf>
      <fill>
        <patternFill patternType="solid">
          <fgColor theme="0"/>
          <bgColor theme="0"/>
        </patternFill>
      </fill>
    </dxf>
    <dxf>
      <fill>
        <patternFill>
          <bgColor theme="0"/>
        </patternFill>
      </fill>
      <border>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border>
    </dxf>
    <dxf>
      <fill>
        <patternFill>
          <bgColor theme="0"/>
        </patternFill>
      </fill>
      <border>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ont>
        <color auto="1"/>
      </font>
    </dxf>
    <dxf>
      <font>
        <color rgb="FF008000"/>
      </font>
    </dxf>
    <dxf>
      <fill>
        <patternFill>
          <bgColor theme="0"/>
        </patternFill>
      </fill>
    </dxf>
    <dxf>
      <font>
        <strike val="0"/>
        <color auto="1"/>
      </font>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border>
        <left style="thin">
          <color auto="1"/>
        </left>
        <right style="thin">
          <color auto="1"/>
        </right>
        <top style="thin">
          <color auto="1"/>
        </top>
        <bottom style="thin">
          <color auto="1"/>
        </bottom>
        <vertical/>
        <horizontal/>
      </border>
    </dxf>
    <dxf>
      <fill>
        <patternFill>
          <bgColor theme="0"/>
        </patternFill>
      </fill>
    </dxf>
    <dxf>
      <font>
        <b/>
        <i val="0"/>
        <color rgb="FF008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trike val="0"/>
        <color auto="1"/>
      </font>
      <fill>
        <patternFill>
          <bgColor theme="0"/>
        </patternFill>
      </fill>
    </dxf>
    <dxf>
      <font>
        <strike val="0"/>
        <color auto="1"/>
      </font>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008000"/>
      </font>
    </dxf>
    <dxf>
      <fill>
        <patternFill>
          <bgColor theme="0"/>
        </patternFill>
      </fill>
    </dxf>
    <dxf>
      <border>
        <left/>
        <right/>
        <top/>
        <bottom/>
        <vertical/>
        <horizontal/>
      </border>
    </dxf>
    <dxf>
      <font>
        <color rgb="FFC00000"/>
      </font>
    </dxf>
    <dxf>
      <font>
        <color rgb="FFC00000"/>
      </font>
    </dxf>
    <dxf>
      <font>
        <b/>
        <i val="0"/>
        <color rgb="FFFF0000"/>
      </font>
    </dxf>
    <dxf>
      <font>
        <b/>
        <i val="0"/>
        <color rgb="FFFF0000"/>
      </font>
    </dxf>
    <dxf>
      <font>
        <b/>
        <i val="0"/>
        <color rgb="FFFF0000"/>
      </font>
    </dxf>
    <dxf>
      <font>
        <b/>
        <i val="0"/>
        <color rgb="FFFF0000"/>
      </font>
    </dxf>
    <dxf>
      <font>
        <color rgb="FF008000"/>
      </font>
    </dxf>
    <dxf>
      <font>
        <color rgb="FFC00000"/>
      </font>
    </dxf>
    <dxf>
      <font>
        <color rgb="FFC00000"/>
      </font>
    </dxf>
    <dxf>
      <font>
        <color rgb="FF008000"/>
      </font>
    </dxf>
    <dxf>
      <font>
        <b/>
        <i val="0"/>
        <color rgb="FF008000"/>
      </font>
    </dxf>
    <dxf>
      <font>
        <b/>
        <i val="0"/>
        <color rgb="FF008000"/>
      </font>
    </dxf>
    <dxf>
      <font>
        <b/>
        <i val="0"/>
        <color rgb="FF008000"/>
      </font>
    </dxf>
    <dxf>
      <font>
        <b/>
        <i val="0"/>
        <color rgb="FF008000"/>
      </font>
    </dxf>
    <dxf>
      <font>
        <b/>
        <i val="0"/>
        <color rgb="FF008000"/>
      </font>
    </dxf>
    <dxf>
      <font>
        <b/>
        <i val="0"/>
        <color rgb="FF008000"/>
      </font>
    </dxf>
    <dxf>
      <font>
        <b/>
        <i val="0"/>
        <condense val="0"/>
        <extend val="0"/>
        <color indexed="17"/>
      </font>
    </dxf>
    <dxf>
      <font>
        <b/>
        <i val="0"/>
        <condense val="0"/>
        <extend val="0"/>
        <color indexed="17"/>
      </font>
    </dxf>
    <dxf>
      <font>
        <b/>
        <i val="0"/>
        <color rgb="FFFF0000"/>
      </font>
    </dxf>
    <dxf>
      <font>
        <b/>
        <i val="0"/>
        <condense val="0"/>
        <extend val="0"/>
        <color indexed="17"/>
      </font>
    </dxf>
    <dxf>
      <font>
        <b/>
        <i val="0"/>
        <condense val="0"/>
        <extend val="0"/>
        <color indexed="17"/>
      </font>
    </dxf>
    <dxf>
      <font>
        <color rgb="FF008000"/>
      </font>
    </dxf>
    <dxf>
      <font>
        <color rgb="FF008000"/>
      </font>
    </dxf>
    <dxf>
      <font>
        <color rgb="FF008000"/>
      </font>
    </dxf>
    <dxf>
      <font>
        <color rgb="FFFF0000"/>
      </font>
    </dxf>
    <dxf>
      <font>
        <color rgb="FFC00000"/>
      </font>
    </dxf>
    <dxf>
      <font>
        <color rgb="FF008000"/>
      </font>
    </dxf>
    <dxf>
      <font>
        <b/>
        <i val="0"/>
        <condense val="0"/>
        <extend val="0"/>
        <color indexed="17"/>
      </font>
    </dxf>
    <dxf>
      <font>
        <b/>
        <i val="0"/>
        <condense val="0"/>
        <extend val="0"/>
        <color indexed="17"/>
      </font>
    </dxf>
    <dxf>
      <font>
        <b/>
        <i val="0"/>
        <condense val="0"/>
        <extend val="0"/>
        <color indexed="17"/>
      </font>
    </dxf>
    <dxf>
      <font>
        <color rgb="FFFF0000"/>
      </font>
    </dxf>
    <dxf>
      <font>
        <b/>
        <i val="0"/>
        <condense val="0"/>
        <extend val="0"/>
        <color indexed="17"/>
      </font>
    </dxf>
    <dxf>
      <font>
        <b/>
        <i val="0"/>
        <condense val="0"/>
        <extend val="0"/>
        <color indexed="10"/>
      </font>
    </dxf>
    <dxf>
      <font>
        <b/>
        <i val="0"/>
        <condense val="0"/>
        <extend val="0"/>
        <color indexed="17"/>
      </font>
    </dxf>
    <dxf>
      <font>
        <color rgb="FFFF0000"/>
      </font>
    </dxf>
    <dxf>
      <font>
        <color rgb="FF008000"/>
      </font>
    </dxf>
    <dxf>
      <font>
        <b/>
        <i val="0"/>
        <color theme="3" tint="0.39991454817346722"/>
      </font>
    </dxf>
    <dxf>
      <font>
        <b/>
        <i val="0"/>
        <condense val="0"/>
        <extend val="0"/>
        <color indexed="17"/>
      </font>
    </dxf>
    <dxf>
      <font>
        <color rgb="FFFF0000"/>
      </font>
    </dxf>
    <dxf>
      <font>
        <color rgb="FF008000"/>
      </font>
    </dxf>
    <dxf>
      <font>
        <b/>
        <i val="0"/>
        <condense val="0"/>
        <extend val="0"/>
        <color indexed="10"/>
      </font>
    </dxf>
    <dxf>
      <font>
        <color rgb="FF008000"/>
      </font>
    </dxf>
    <dxf>
      <font>
        <color rgb="FF008000"/>
      </font>
    </dxf>
    <dxf>
      <font>
        <color indexed="17"/>
      </font>
    </dxf>
    <dxf>
      <font>
        <b/>
        <i val="0"/>
        <condense val="0"/>
        <extend val="0"/>
        <color indexed="10"/>
      </font>
    </dxf>
    <dxf>
      <font>
        <b/>
        <i val="0"/>
        <condense val="0"/>
        <extend val="0"/>
        <color indexed="10"/>
      </font>
    </dxf>
    <dxf>
      <font>
        <b/>
        <i val="0"/>
        <strike val="0"/>
        <color rgb="FFFF0000"/>
        <name val="Cambria"/>
        <scheme val="none"/>
      </font>
    </dxf>
    <dxf>
      <fill>
        <patternFill>
          <bgColor theme="0"/>
        </patternFill>
      </fill>
    </dxf>
    <dxf>
      <fill>
        <patternFill>
          <bgColor theme="0"/>
        </patternFill>
      </fill>
    </dxf>
    <dxf>
      <fill>
        <patternFill>
          <bgColor theme="4" tint="0.79998168889431442"/>
        </patternFill>
      </fill>
      <border>
        <left style="thin">
          <color auto="1"/>
        </left>
        <right style="thin">
          <color auto="1"/>
        </right>
        <top style="thin">
          <color auto="1"/>
        </top>
        <bottom style="thin">
          <color auto="1"/>
        </bottom>
        <vertical/>
        <horizontal/>
      </border>
    </dxf>
    <dxf>
      <border>
        <left/>
        <right/>
        <top/>
        <bottom/>
        <vertical/>
        <horizontal/>
      </border>
    </dxf>
    <dxf>
      <fill>
        <patternFill>
          <bgColor theme="0"/>
        </patternFill>
      </fill>
      <border>
        <left style="thin">
          <color auto="1"/>
        </left>
        <right style="thin">
          <color auto="1"/>
        </right>
        <top style="thin">
          <color auto="1"/>
        </top>
        <bottom style="thin">
          <color auto="1"/>
        </bottom>
        <vertical/>
        <horizontal/>
      </border>
    </dxf>
    <dxf>
      <fill>
        <patternFill>
          <bgColor theme="4" tint="0.79998168889431442"/>
        </patternFill>
      </fill>
      <border>
        <left style="thin">
          <color auto="1"/>
        </left>
        <right style="thin">
          <color auto="1"/>
        </right>
        <top style="thin">
          <color auto="1"/>
        </top>
        <bottom style="thin">
          <color auto="1"/>
        </bottom>
        <vertical/>
        <horizontal/>
      </border>
    </dxf>
    <dxf>
      <fill>
        <patternFill>
          <bgColor theme="0"/>
        </patternFill>
      </fill>
    </dxf>
    <dxf>
      <fill>
        <patternFill>
          <bgColor theme="4" tint="0.79998168889431442"/>
        </patternFill>
      </fill>
      <border>
        <left style="thin">
          <color auto="1"/>
        </left>
        <right style="thin">
          <color auto="1"/>
        </right>
        <top style="thin">
          <color auto="1"/>
        </top>
        <bottom style="thin">
          <color auto="1"/>
        </bottom>
        <vertical/>
        <horizontal/>
      </border>
    </dxf>
    <dxf>
      <fill>
        <patternFill>
          <bgColor theme="0"/>
        </patternFill>
      </fill>
    </dxf>
    <dxf>
      <fill>
        <patternFill>
          <bgColor theme="0"/>
        </patternFill>
      </fill>
    </dxf>
    <dxf>
      <font>
        <b/>
        <i val="0"/>
        <color rgb="FF008000"/>
      </font>
    </dxf>
    <dxf>
      <font>
        <b/>
        <i val="0"/>
        <condense val="0"/>
        <extend val="0"/>
        <color indexed="17"/>
      </font>
    </dxf>
    <dxf>
      <font>
        <b/>
        <i val="0"/>
        <condense val="0"/>
        <extend val="0"/>
        <color indexed="17"/>
      </font>
    </dxf>
    <dxf>
      <font>
        <color rgb="FFFF0000"/>
      </font>
    </dxf>
    <dxf>
      <font>
        <color rgb="FF008000"/>
      </font>
    </dxf>
    <dxf>
      <font>
        <b/>
        <i val="0"/>
        <color rgb="FF008000"/>
      </font>
    </dxf>
    <dxf>
      <font>
        <color theme="3" tint="0.39994506668294322"/>
      </font>
    </dxf>
    <dxf>
      <font>
        <b/>
        <i val="0"/>
        <color theme="3" tint="0.39994506668294322"/>
      </font>
    </dxf>
    <dxf>
      <font>
        <b/>
        <i val="0"/>
        <color theme="3" tint="0.39994506668294322"/>
      </font>
    </dxf>
    <dxf>
      <font>
        <b/>
        <i val="0"/>
        <condense val="0"/>
        <extend val="0"/>
        <color indexed="17"/>
      </font>
    </dxf>
    <dxf>
      <font>
        <b/>
        <i val="0"/>
        <color rgb="FF008000"/>
      </font>
    </dxf>
    <dxf>
      <font>
        <b/>
        <i val="0"/>
        <condense val="0"/>
        <extend val="0"/>
        <color indexed="17"/>
      </font>
    </dxf>
    <dxf>
      <font>
        <b/>
        <i val="0"/>
        <condense val="0"/>
        <extend val="0"/>
        <color indexed="17"/>
      </font>
    </dxf>
    <dxf>
      <font>
        <b/>
        <i val="0"/>
        <condense val="0"/>
        <extend val="0"/>
        <color indexed="17"/>
      </font>
    </dxf>
    <dxf>
      <font>
        <b/>
        <i val="0"/>
        <condense val="0"/>
        <extend val="0"/>
        <color indexed="10"/>
      </font>
    </dxf>
    <dxf>
      <font>
        <b/>
        <i val="0"/>
        <condense val="0"/>
        <extend val="0"/>
        <color indexed="10"/>
      </font>
    </dxf>
    <dxf>
      <font>
        <b/>
        <i val="0"/>
        <color rgb="FF008000"/>
      </font>
    </dxf>
    <dxf>
      <font>
        <color rgb="FF008000"/>
      </font>
    </dxf>
    <dxf>
      <font>
        <color rgb="FF008000"/>
      </font>
    </dxf>
    <dxf>
      <font>
        <color rgb="FF008000"/>
      </font>
    </dxf>
    <dxf>
      <font>
        <b/>
        <i val="0"/>
        <condense val="0"/>
        <extend val="0"/>
        <color indexed="10"/>
      </font>
    </dxf>
    <dxf>
      <font>
        <color rgb="FF008000"/>
      </font>
    </dxf>
    <dxf>
      <font>
        <color rgb="FFFF0000"/>
      </font>
    </dxf>
    <dxf>
      <font>
        <b/>
        <i val="0"/>
        <color rgb="FF008000"/>
      </font>
    </dxf>
    <dxf>
      <font>
        <condense val="0"/>
        <extend val="0"/>
        <color indexed="17"/>
      </font>
    </dxf>
    <dxf>
      <font>
        <condense val="0"/>
        <extend val="0"/>
        <color indexed="17"/>
      </font>
    </dxf>
    <dxf>
      <font>
        <b/>
        <i val="0"/>
        <color rgb="FF008000"/>
      </font>
    </dxf>
    <dxf>
      <font>
        <b/>
        <i val="0"/>
        <color rgb="FF008000"/>
      </font>
    </dxf>
    <dxf>
      <font>
        <b/>
        <i val="0"/>
        <condense val="0"/>
        <extend val="0"/>
        <color indexed="10"/>
      </font>
    </dxf>
    <dxf>
      <font>
        <b/>
        <i val="0"/>
        <color rgb="FF008000"/>
      </font>
    </dxf>
    <dxf>
      <font>
        <color rgb="FFFF0000"/>
      </font>
    </dxf>
    <dxf>
      <font>
        <b/>
        <i val="0"/>
        <condense val="0"/>
        <extend val="0"/>
        <color indexed="17"/>
      </font>
    </dxf>
    <dxf>
      <font>
        <color rgb="FFFF0000"/>
      </font>
    </dxf>
    <dxf>
      <font>
        <b/>
        <i val="0"/>
        <condense val="0"/>
        <extend val="0"/>
        <color indexed="17"/>
      </font>
    </dxf>
    <dxf>
      <font>
        <color rgb="FFFF0000"/>
      </font>
    </dxf>
    <dxf>
      <font>
        <b/>
        <i val="0"/>
        <condense val="0"/>
        <extend val="0"/>
        <color indexed="17"/>
      </font>
    </dxf>
    <dxf>
      <font>
        <color rgb="FFFF0000"/>
      </font>
    </dxf>
    <dxf>
      <font>
        <color rgb="FFFF0000"/>
      </font>
    </dxf>
    <dxf>
      <font>
        <color rgb="FFFF0000"/>
      </font>
    </dxf>
    <dxf>
      <font>
        <color rgb="FFFF0000"/>
      </font>
    </dxf>
    <dxf>
      <font>
        <color rgb="FFFF0000"/>
      </font>
    </dxf>
    <dxf>
      <font>
        <color rgb="FFFF0000"/>
      </font>
    </dxf>
    <dxf>
      <font>
        <color rgb="FF008000"/>
      </font>
    </dxf>
    <dxf>
      <font>
        <color rgb="FF008000"/>
      </font>
    </dxf>
    <dxf>
      <font>
        <color rgb="FFFF0000"/>
      </font>
    </dxf>
    <dxf>
      <font>
        <color rgb="FF008000"/>
      </font>
    </dxf>
    <dxf>
      <font>
        <color rgb="FFFF0000"/>
      </font>
    </dxf>
    <dxf>
      <font>
        <color rgb="FF008000"/>
      </font>
    </dxf>
    <dxf>
      <font>
        <color rgb="FFFF0000"/>
      </font>
    </dxf>
    <dxf>
      <font>
        <b/>
        <i val="0"/>
        <color rgb="FF008000"/>
      </font>
    </dxf>
    <dxf>
      <font>
        <color rgb="FFFF0000"/>
      </font>
    </dxf>
    <dxf>
      <font>
        <b/>
        <i val="0"/>
        <condense val="0"/>
        <extend val="0"/>
        <color indexed="10"/>
      </font>
    </dxf>
    <dxf>
      <font>
        <b/>
        <i val="0"/>
        <condense val="0"/>
        <extend val="0"/>
        <color indexed="10"/>
      </font>
    </dxf>
    <dxf>
      <font>
        <color rgb="FF008000"/>
      </font>
    </dxf>
    <dxf>
      <font>
        <color rgb="FF008000"/>
      </font>
    </dxf>
    <dxf>
      <font>
        <color rgb="FF008000"/>
      </font>
    </dxf>
    <dxf>
      <font>
        <b/>
        <i val="0"/>
        <condense val="0"/>
        <extend val="0"/>
        <color indexed="10"/>
      </font>
    </dxf>
    <dxf>
      <font>
        <color rgb="FF008000"/>
      </font>
    </dxf>
    <dxf>
      <font>
        <color rgb="FF008000"/>
      </font>
    </dxf>
    <dxf>
      <font>
        <b/>
        <i val="0"/>
        <color theme="3" tint="0.39994506668294322"/>
      </font>
    </dxf>
    <dxf>
      <font>
        <b/>
        <i val="0"/>
        <color rgb="FFFF0000"/>
      </font>
    </dxf>
    <dxf>
      <font>
        <b/>
        <i val="0"/>
        <color rgb="FF0070C0"/>
      </font>
    </dxf>
    <dxf>
      <font>
        <color rgb="FFFF0000"/>
      </font>
    </dxf>
    <dxf>
      <font>
        <b/>
        <i val="0"/>
        <color rgb="FF0070C0"/>
      </font>
    </dxf>
    <dxf>
      <font>
        <color rgb="FF008000"/>
      </font>
    </dxf>
    <dxf>
      <font>
        <b/>
        <i val="0"/>
        <condense val="0"/>
        <extend val="0"/>
        <color indexed="10"/>
      </font>
    </dxf>
    <dxf>
      <font>
        <b/>
        <i val="0"/>
        <condense val="0"/>
        <extend val="0"/>
        <color indexed="10"/>
      </font>
    </dxf>
    <dxf>
      <font>
        <b/>
        <i val="0"/>
        <color rgb="FF0070C0"/>
      </font>
    </dxf>
    <dxf>
      <font>
        <b/>
        <i val="0"/>
        <condense val="0"/>
        <extend val="0"/>
        <color indexed="10"/>
      </font>
    </dxf>
    <dxf>
      <font>
        <b/>
        <i val="0"/>
        <color rgb="FF0070C0"/>
      </font>
    </dxf>
    <dxf>
      <font>
        <b/>
        <i val="0"/>
        <condense val="0"/>
        <extend val="0"/>
        <color indexed="17"/>
      </font>
    </dxf>
    <dxf>
      <font>
        <b/>
        <i val="0"/>
        <color rgb="FF0070C0"/>
      </font>
    </dxf>
    <dxf>
      <font>
        <b/>
        <i val="0"/>
        <condense val="0"/>
        <extend val="0"/>
        <color indexed="17"/>
      </font>
    </dxf>
    <dxf>
      <font>
        <b/>
        <i val="0"/>
        <color rgb="FF008000"/>
      </font>
    </dxf>
    <dxf>
      <font>
        <b/>
        <i val="0"/>
        <condense val="0"/>
        <extend val="0"/>
        <color indexed="10"/>
      </font>
    </dxf>
    <dxf>
      <font>
        <b/>
        <i val="0"/>
        <condense val="0"/>
        <extend val="0"/>
        <color indexed="17"/>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theme="3" tint="0.39994506668294322"/>
      </font>
    </dxf>
    <dxf>
      <font>
        <b/>
        <i val="0"/>
        <color theme="3" tint="0.39994506668294322"/>
      </font>
    </dxf>
    <dxf>
      <font>
        <color theme="3" tint="0.39994506668294322"/>
      </font>
    </dxf>
    <dxf>
      <font>
        <color theme="3" tint="0.39994506668294322"/>
      </font>
    </dxf>
    <dxf>
      <font>
        <color theme="3" tint="0.39994506668294322"/>
      </font>
    </dxf>
    <dxf>
      <font>
        <color theme="3" tint="0.39994506668294322"/>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008000"/>
      </font>
    </dxf>
    <dxf>
      <fill>
        <patternFill>
          <bgColor theme="0"/>
        </patternFill>
      </fill>
    </dxf>
    <dxf>
      <fill>
        <patternFill>
          <bgColor theme="0"/>
        </patternFill>
      </fill>
    </dxf>
    <dxf>
      <fill>
        <patternFill>
          <bgColor theme="0"/>
        </patternFill>
      </fill>
    </dxf>
    <dxf>
      <font>
        <color rgb="FF008000"/>
      </font>
    </dxf>
    <dxf>
      <font>
        <color rgb="FF008000"/>
      </font>
    </dxf>
    <dxf>
      <font>
        <color rgb="FFFF0000"/>
      </font>
    </dxf>
    <dxf>
      <fill>
        <patternFill>
          <bgColor theme="0"/>
        </patternFill>
      </fill>
    </dxf>
    <dxf>
      <fill>
        <patternFill>
          <bgColor theme="0"/>
        </patternFill>
      </fill>
    </dxf>
    <dxf>
      <font>
        <color rgb="FF008000"/>
      </font>
    </dxf>
    <dxf>
      <font>
        <b/>
        <i val="0"/>
        <color rgb="FF008000"/>
      </font>
    </dxf>
    <dxf>
      <font>
        <b val="0"/>
        <i val="0"/>
        <color rgb="FFC00000"/>
      </font>
    </dxf>
    <dxf>
      <font>
        <b/>
        <i val="0"/>
        <color rgb="FF008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b val="0"/>
        <i val="0"/>
        <color theme="1"/>
      </font>
    </dxf>
    <dxf>
      <font>
        <b val="0"/>
        <i val="0"/>
        <color theme="1"/>
      </font>
    </dxf>
    <dxf>
      <font>
        <color rgb="FF008000"/>
      </font>
    </dxf>
    <dxf>
      <border>
        <left/>
        <right/>
        <top/>
        <bottom/>
        <vertical/>
        <horizontal/>
      </border>
    </dxf>
    <dxf>
      <font>
        <color rgb="FF008000"/>
      </font>
      <border>
        <top style="thin">
          <color auto="1"/>
        </top>
      </border>
    </dxf>
    <dxf>
      <border>
        <left/>
        <right/>
        <top/>
        <bottom/>
        <vertical/>
        <horizontal/>
      </border>
    </dxf>
    <dxf>
      <font>
        <color rgb="FFFF0000"/>
      </font>
    </dxf>
    <dxf>
      <fill>
        <patternFill>
          <bgColor theme="0"/>
        </patternFill>
      </fill>
    </dxf>
    <dxf>
      <fill>
        <patternFill>
          <bgColor theme="0"/>
        </patternFill>
      </fill>
    </dxf>
    <dxf>
      <font>
        <strike val="0"/>
        <color rgb="FFFF0000"/>
      </font>
    </dxf>
    <dxf>
      <fill>
        <patternFill>
          <bgColor theme="0"/>
        </patternFill>
      </fill>
    </dxf>
    <dxf>
      <fill>
        <patternFill>
          <bgColor theme="0"/>
        </patternFill>
      </fill>
    </dxf>
    <dxf>
      <fill>
        <patternFill>
          <bgColor theme="0"/>
        </patternFill>
      </fill>
    </dxf>
    <dxf>
      <font>
        <condense val="0"/>
        <extend val="0"/>
        <color indexed="9"/>
      </font>
      <border>
        <right/>
      </border>
    </dxf>
    <dxf>
      <border>
        <left/>
        <right/>
        <top/>
        <bottom/>
      </border>
    </dxf>
    <dxf>
      <font>
        <condense val="0"/>
        <extend val="0"/>
        <color indexed="9"/>
      </font>
    </dxf>
    <dxf>
      <border>
        <top/>
      </border>
    </dxf>
    <dxf>
      <font>
        <condense val="0"/>
        <extend val="0"/>
        <color indexed="9"/>
      </font>
      <border>
        <left/>
        <right/>
        <top/>
        <bottom/>
      </border>
    </dxf>
    <dxf>
      <border>
        <left/>
        <right/>
        <bottom/>
      </border>
    </dxf>
    <dxf>
      <border>
        <left/>
        <bottom/>
      </border>
    </dxf>
    <dxf>
      <border>
        <left/>
        <right/>
        <top/>
        <bottom/>
      </border>
    </dxf>
    <dxf>
      <font>
        <condense val="0"/>
        <extend val="0"/>
        <color indexed="9"/>
      </font>
    </dxf>
    <dxf>
      <font>
        <condense val="0"/>
        <extend val="0"/>
        <color indexed="9"/>
      </font>
    </dxf>
    <dxf>
      <font>
        <condense val="0"/>
        <extend val="0"/>
        <color indexed="9"/>
      </font>
    </dxf>
    <dxf>
      <font>
        <condense val="0"/>
        <extend val="0"/>
        <color indexed="9"/>
      </font>
    </dxf>
    <dxf>
      <font>
        <condense val="0"/>
        <extend val="0"/>
        <color indexed="9"/>
      </font>
    </dxf>
    <dxf>
      <font>
        <condense val="0"/>
        <extend val="0"/>
        <color indexed="9"/>
      </font>
    </dxf>
    <dxf>
      <font>
        <condense val="0"/>
        <extend val="0"/>
        <color indexed="9"/>
      </font>
    </dxf>
    <dxf>
      <fill>
        <patternFill>
          <bgColor theme="0"/>
        </patternFill>
      </fill>
    </dxf>
    <dxf>
      <fill>
        <patternFill>
          <bgColor theme="0"/>
        </patternFill>
      </fill>
    </dxf>
    <dxf>
      <fill>
        <patternFill>
          <bgColor theme="0"/>
        </patternFill>
      </fill>
    </dxf>
    <dxf>
      <font>
        <condense val="0"/>
        <extend val="0"/>
        <color indexed="9"/>
      </font>
    </dxf>
    <dxf>
      <fill>
        <patternFill>
          <bgColor theme="0"/>
        </patternFill>
      </fill>
    </dxf>
    <dxf>
      <fill>
        <patternFill>
          <bgColor theme="0"/>
        </patternFill>
      </fill>
      <border>
        <bottom/>
        <vertical/>
        <horizontal/>
      </border>
    </dxf>
    <dxf>
      <font>
        <color auto="1"/>
      </font>
    </dxf>
    <dxf>
      <font>
        <b val="0"/>
        <i val="0"/>
        <strike val="0"/>
        <color indexed="10"/>
      </font>
    </dxf>
    <dxf>
      <font>
        <condense val="0"/>
        <extend val="0"/>
        <color indexed="9"/>
      </font>
    </dxf>
    <dxf>
      <font>
        <condense val="0"/>
        <extend val="0"/>
        <color indexed="9"/>
      </font>
    </dxf>
    <dxf>
      <fill>
        <patternFill>
          <bgColor theme="0"/>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bgColor theme="0"/>
        </patternFill>
      </fill>
    </dxf>
    <dxf>
      <fill>
        <patternFill>
          <bgColor theme="0"/>
        </patternFill>
      </fill>
    </dxf>
    <dxf>
      <fill>
        <patternFill>
          <bgColor theme="0"/>
        </patternFill>
      </fill>
    </dxf>
    <dxf>
      <font>
        <b val="0"/>
        <i val="0"/>
        <color rgb="FFFF0000"/>
      </font>
    </dxf>
    <dxf>
      <fill>
        <patternFill>
          <bgColor theme="0"/>
        </patternFill>
      </fill>
    </dxf>
    <dxf>
      <border>
        <left style="thin">
          <color indexed="64"/>
        </left>
        <right style="thin">
          <color indexed="64"/>
        </right>
        <top style="thin">
          <color indexed="64"/>
        </top>
        <bottom style="thin">
          <color indexed="64"/>
        </bottom>
      </border>
    </dxf>
    <dxf>
      <font>
        <b/>
        <i val="0"/>
        <condense val="0"/>
        <extend val="0"/>
        <color indexed="10"/>
      </font>
    </dxf>
    <dxf>
      <fill>
        <patternFill>
          <bgColor theme="0"/>
        </patternFill>
      </fill>
    </dxf>
    <dxf>
      <fill>
        <patternFill>
          <bgColor theme="0"/>
        </patternFill>
      </fill>
    </dxf>
    <dxf>
      <font>
        <color rgb="FFC00000"/>
      </font>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ont>
        <b/>
        <i val="0"/>
        <color rgb="FF008000"/>
      </font>
    </dxf>
    <dxf>
      <font>
        <color rgb="FFFF0000"/>
      </font>
    </dxf>
    <dxf>
      <font>
        <color rgb="FFFF0000"/>
      </font>
      <fill>
        <patternFill>
          <bgColor theme="0"/>
        </patternFill>
      </fill>
      <border>
        <left style="thin">
          <color auto="1"/>
        </left>
        <right style="thin">
          <color auto="1"/>
        </right>
        <top style="thin">
          <color auto="1"/>
        </top>
        <bottom style="thin">
          <color auto="1"/>
        </bottom>
      </border>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ont>
        <color rgb="FF008000"/>
      </font>
    </dxf>
    <dxf>
      <font>
        <color rgb="FF008000"/>
      </font>
    </dxf>
    <dxf>
      <border>
        <left/>
        <right/>
        <top/>
        <bottom/>
        <vertical/>
        <horizontal/>
      </border>
    </dxf>
    <dxf>
      <font>
        <color rgb="FF008000"/>
      </font>
    </dxf>
    <dxf>
      <border>
        <left/>
        <right/>
        <top/>
        <bottom/>
        <vertical/>
        <horizontal/>
      </border>
    </dxf>
    <dxf>
      <border>
        <left/>
        <right/>
        <top/>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ont>
        <color auto="1"/>
      </font>
      <fill>
        <patternFill>
          <bgColor theme="0"/>
        </patternFill>
      </fill>
    </dxf>
    <dxf>
      <font>
        <color theme="0"/>
      </font>
      <fill>
        <patternFill>
          <bgColor theme="0"/>
        </patternFill>
      </fill>
      <border>
        <left/>
        <right/>
        <top/>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border>
        <bottom style="thin">
          <color indexed="64"/>
        </bottom>
      </border>
    </dxf>
    <dxf>
      <font>
        <b/>
        <i val="0"/>
        <color rgb="FFFF0000"/>
      </font>
    </dxf>
    <dxf>
      <font>
        <condense val="0"/>
        <extend val="0"/>
        <color indexed="9"/>
      </font>
    </dxf>
    <dxf>
      <font>
        <condense val="0"/>
        <extend val="0"/>
        <color indexed="9"/>
      </font>
    </dxf>
    <dxf>
      <fill>
        <patternFill>
          <bgColor theme="0"/>
        </patternFill>
      </fill>
    </dxf>
    <dxf>
      <fill>
        <patternFill>
          <bgColor theme="0"/>
        </patternFill>
      </fill>
    </dxf>
    <dxf>
      <font>
        <condense val="0"/>
        <extend val="0"/>
        <color indexed="9"/>
      </font>
    </dxf>
    <dxf>
      <font>
        <color theme="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val="0"/>
        <i val="0"/>
        <color rgb="FFFF0000"/>
      </font>
    </dxf>
    <dxf>
      <font>
        <b/>
        <i val="0"/>
        <condense val="0"/>
        <extend val="0"/>
        <color indexed="10"/>
      </font>
    </dxf>
    <dxf>
      <font>
        <condense val="0"/>
        <extend val="0"/>
        <color indexed="10"/>
      </font>
    </dxf>
    <dxf>
      <font>
        <condense val="0"/>
        <extend val="0"/>
        <color indexed="10"/>
      </font>
    </dxf>
    <dxf>
      <font>
        <condense val="0"/>
        <extend val="0"/>
        <color indexed="10"/>
      </font>
    </dxf>
    <dxf>
      <font>
        <b/>
        <i val="0"/>
        <color rgb="FF008000"/>
      </font>
    </dxf>
    <dxf>
      <font>
        <condense val="0"/>
        <extend val="0"/>
        <color indexed="10"/>
      </font>
    </dxf>
    <dxf>
      <fill>
        <patternFill>
          <bgColor theme="0"/>
        </patternFill>
      </fill>
    </dxf>
    <dxf>
      <fill>
        <patternFill>
          <bgColor theme="0"/>
        </patternFill>
      </fill>
    </dxf>
    <dxf>
      <fill>
        <patternFill>
          <bgColor theme="0"/>
        </patternFill>
      </fill>
    </dxf>
    <dxf>
      <fill>
        <patternFill>
          <bgColor theme="0"/>
        </patternFill>
      </fill>
    </dxf>
    <dxf>
      <font>
        <b/>
        <i val="0"/>
        <color rgb="FF008000"/>
      </font>
    </dxf>
    <dxf>
      <fill>
        <patternFill>
          <bgColor theme="0"/>
        </patternFill>
      </fill>
    </dxf>
    <dxf>
      <fill>
        <patternFill>
          <bgColor theme="0"/>
        </patternFill>
      </fill>
    </dxf>
    <dxf>
      <fill>
        <patternFill>
          <bgColor theme="0"/>
        </patternFill>
      </fill>
    </dxf>
    <dxf>
      <fill>
        <patternFill>
          <bgColor theme="0"/>
        </patternFill>
      </fill>
    </dxf>
    <dxf>
      <font>
        <b val="0"/>
        <i val="0"/>
        <color rgb="FFFF0000"/>
      </font>
    </dxf>
    <dxf>
      <font>
        <b/>
        <i val="0"/>
        <color rgb="FFFF0000"/>
      </font>
      <fill>
        <patternFill>
          <bgColor theme="0"/>
        </patternFill>
      </fill>
    </dxf>
    <dxf>
      <font>
        <b/>
        <i val="0"/>
        <color rgb="FFFF0000"/>
      </font>
    </dxf>
    <dxf>
      <font>
        <color rgb="FFC00000"/>
      </font>
      <border>
        <left style="thin">
          <color auto="1"/>
        </left>
        <right style="thin">
          <color auto="1"/>
        </right>
        <top style="thin">
          <color auto="1"/>
        </top>
        <bottom style="thin">
          <color auto="1"/>
        </bottom>
      </border>
    </dxf>
    <dxf>
      <font>
        <color auto="1"/>
      </font>
      <fill>
        <patternFill>
          <bgColor theme="0"/>
        </patternFill>
      </fill>
      <border>
        <left style="thin">
          <color auto="1"/>
        </left>
        <right style="thin">
          <color auto="1"/>
        </right>
        <top style="thin">
          <color auto="1"/>
        </top>
        <bottom style="thin">
          <color auto="1"/>
        </bottom>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b/>
        <i val="0"/>
        <color rgb="FFC00000"/>
      </font>
      <border>
        <left style="thin">
          <color auto="1"/>
        </left>
        <right style="thin">
          <color auto="1"/>
        </right>
        <top style="thin">
          <color auto="1"/>
        </top>
        <bottom style="thin">
          <color auto="1"/>
        </bottom>
        <vertical/>
        <horizontal/>
      </border>
    </dxf>
    <dxf>
      <font>
        <color rgb="FFC00000"/>
      </font>
    </dxf>
    <dxf>
      <font>
        <b/>
        <i val="0"/>
        <color rgb="FFC00000"/>
      </font>
      <fill>
        <patternFill patternType="solid">
          <fgColor auto="1"/>
          <bgColor theme="0"/>
        </patternFill>
      </fill>
    </dxf>
    <dxf>
      <font>
        <b/>
        <i val="0"/>
        <color rgb="FFC00000"/>
      </font>
      <fill>
        <patternFill patternType="solid">
          <fgColor auto="1"/>
          <bgColor theme="0"/>
        </patternFill>
      </fill>
    </dxf>
    <dxf>
      <font>
        <b/>
        <i val="0"/>
        <color rgb="FFC00000"/>
      </font>
      <fill>
        <patternFill patternType="solid">
          <fgColor auto="1"/>
          <bgColor theme="0"/>
        </patternFill>
      </fill>
    </dxf>
    <dxf>
      <fill>
        <patternFill>
          <bgColor theme="0"/>
        </patternFill>
      </fill>
      <border>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border>
        <left style="thin">
          <color auto="1"/>
        </left>
        <top style="thin">
          <color auto="1"/>
        </top>
        <bottom style="thin">
          <color auto="1"/>
        </bottom>
        <vertical/>
        <horizontal/>
      </border>
    </dxf>
    <dxf>
      <font>
        <color rgb="FFC00000"/>
      </font>
      <border>
        <left style="thin">
          <color auto="1"/>
        </left>
        <right style="thin">
          <color auto="1"/>
        </right>
        <top style="thin">
          <color auto="1"/>
        </top>
        <bottom style="thin">
          <color auto="1"/>
        </bottom>
      </border>
    </dxf>
    <dxf>
      <font>
        <color auto="1"/>
      </font>
      <fill>
        <patternFill>
          <bgColor theme="0"/>
        </patternFill>
      </fill>
      <border>
        <left style="thin">
          <color auto="1"/>
        </left>
        <right style="thin">
          <color auto="1"/>
        </right>
        <top style="thin">
          <color auto="1"/>
        </top>
        <bottom style="thin">
          <color auto="1"/>
        </bottom>
      </border>
    </dxf>
    <dxf>
      <font>
        <color rgb="FFC00000"/>
      </font>
      <border>
        <left style="thin">
          <color auto="1"/>
        </left>
        <right style="thin">
          <color auto="1"/>
        </right>
        <top style="thin">
          <color auto="1"/>
        </top>
        <bottom style="thin">
          <color auto="1"/>
        </bottom>
        <vertical/>
        <horizontal/>
      </border>
    </dxf>
    <dxf>
      <font>
        <color rgb="FFC00000"/>
      </font>
      <border>
        <left style="thin">
          <color auto="1"/>
        </left>
        <right style="thin">
          <color auto="1"/>
        </right>
        <top style="thin">
          <color auto="1"/>
        </top>
        <bottom style="thin">
          <color auto="1"/>
        </bottom>
        <vertical/>
        <horizontal/>
      </border>
    </dxf>
    <dxf>
      <font>
        <b/>
        <i val="0"/>
        <color rgb="FFC00000"/>
      </font>
      <border>
        <left style="thin">
          <color auto="1"/>
        </left>
        <right style="thin">
          <color auto="1"/>
        </right>
        <top style="thin">
          <color auto="1"/>
        </top>
        <bottom style="thin">
          <color auto="1"/>
        </bottom>
        <vertical/>
        <horizontal/>
      </border>
    </dxf>
    <dxf>
      <font>
        <color rgb="FFC00000"/>
      </font>
    </dxf>
    <dxf>
      <border>
        <left style="thin">
          <color auto="1"/>
        </left>
        <right style="thin">
          <color auto="1"/>
        </right>
        <top style="thin">
          <color auto="1"/>
        </top>
        <bottom style="thin">
          <color auto="1"/>
        </bottom>
        <vertical/>
        <horizontal/>
      </border>
    </dxf>
    <dxf>
      <font>
        <b/>
        <i val="0"/>
        <color rgb="FFC00000"/>
      </font>
      <fill>
        <patternFill patternType="solid">
          <bgColor theme="0"/>
        </patternFill>
      </fill>
    </dxf>
    <dxf>
      <font>
        <b/>
        <i val="0"/>
        <color rgb="FFC00000"/>
      </font>
      <fill>
        <patternFill patternType="solid">
          <fgColor auto="1"/>
          <bgColor theme="0"/>
        </patternFill>
      </fill>
    </dxf>
    <dxf>
      <fill>
        <patternFill>
          <bgColor theme="0"/>
        </patternFill>
      </fill>
      <border>
        <right style="thin">
          <color auto="1"/>
        </right>
        <top style="thin">
          <color auto="1"/>
        </top>
        <bottom style="thin">
          <color auto="1"/>
        </bottom>
        <vertical/>
        <horizontal/>
      </border>
    </dxf>
    <dxf>
      <font>
        <color rgb="FFC00000"/>
      </font>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C00000"/>
      </font>
    </dxf>
    <dxf>
      <fill>
        <patternFill>
          <bgColor theme="0"/>
        </patternFill>
      </fill>
    </dxf>
    <dxf>
      <fill>
        <patternFill>
          <bgColor theme="0"/>
        </patternFill>
      </fill>
    </dxf>
    <dxf>
      <fill>
        <patternFill>
          <bgColor theme="0"/>
        </patternFill>
      </fill>
    </dxf>
    <dxf>
      <font>
        <b/>
        <i val="0"/>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6" tint="0.59996337778862885"/>
        </patternFill>
      </fill>
    </dxf>
    <dxf>
      <fill>
        <patternFill>
          <bgColor theme="6" tint="0.59996337778862885"/>
        </patternFill>
      </fill>
    </dxf>
    <dxf>
      <fill>
        <patternFill>
          <bgColor theme="0"/>
        </patternFill>
      </fill>
    </dxf>
    <dxf>
      <fill>
        <patternFill>
          <bgColor theme="0"/>
        </patternFill>
      </fill>
    </dxf>
    <dxf>
      <fill>
        <patternFill>
          <bgColor theme="0"/>
        </patternFill>
      </fill>
    </dxf>
    <dxf>
      <fill>
        <patternFill>
          <bgColor theme="0"/>
        </patternFill>
      </fill>
    </dxf>
    <dxf>
      <fill>
        <patternFill>
          <fgColor indexed="64"/>
          <bgColor theme="0"/>
        </patternFill>
      </fill>
    </dxf>
    <dxf>
      <fill>
        <patternFill>
          <fgColor indexed="64"/>
          <bgColor theme="0"/>
        </patternFill>
      </fill>
    </dxf>
    <dxf>
      <fill>
        <patternFill>
          <bgColor theme="0"/>
        </patternFill>
      </fill>
    </dxf>
    <dxf>
      <fill>
        <patternFill>
          <bgColor theme="6" tint="0.59996337778862885"/>
        </patternFill>
      </fill>
    </dxf>
    <dxf>
      <fill>
        <patternFill>
          <bgColor theme="6" tint="0.59996337778862885"/>
        </patternFill>
      </fill>
    </dxf>
    <dxf>
      <fill>
        <patternFill>
          <bgColor theme="0"/>
        </patternFill>
      </fill>
    </dxf>
    <dxf>
      <fill>
        <patternFill>
          <bgColor theme="0"/>
        </patternFill>
      </fill>
    </dxf>
    <dxf>
      <fill>
        <patternFill>
          <fgColor indexed="64"/>
          <bgColor theme="0"/>
        </patternFill>
      </fill>
    </dxf>
    <dxf>
      <fill>
        <patternFill>
          <fgColor indexed="64"/>
          <bgColor theme="0"/>
        </patternFill>
      </fill>
    </dxf>
    <dxf>
      <font>
        <b/>
        <i val="0"/>
        <color theme="9" tint="-0.24994659260841701"/>
      </font>
    </dxf>
    <dxf>
      <font>
        <b/>
        <i val="0"/>
        <color theme="9" tint="-0.24994659260841701"/>
      </font>
    </dxf>
    <dxf>
      <fill>
        <patternFill>
          <fgColor indexed="64"/>
          <bgColor theme="0"/>
        </patternFill>
      </fill>
    </dxf>
    <dxf>
      <fill>
        <patternFill>
          <fgColor indexed="64"/>
          <bgColor theme="0"/>
        </patternFill>
      </fill>
    </dxf>
    <dxf>
      <font>
        <b/>
        <i val="0"/>
        <color theme="9" tint="-0.24994659260841701"/>
      </font>
    </dxf>
    <dxf>
      <font>
        <b/>
        <i val="0"/>
        <color theme="9" tint="-0.24994659260841701"/>
      </font>
    </dxf>
    <dxf>
      <fill>
        <patternFill>
          <fgColor indexed="64"/>
          <bgColor theme="0"/>
        </patternFill>
      </fill>
    </dxf>
    <dxf>
      <fill>
        <patternFill>
          <fgColor indexed="64"/>
          <bgColor theme="0"/>
        </patternFill>
      </fill>
    </dxf>
    <dxf>
      <font>
        <b/>
        <i val="0"/>
        <color theme="9" tint="-0.24994659260841701"/>
      </font>
    </dxf>
    <dxf>
      <font>
        <b/>
        <i val="0"/>
        <color theme="9" tint="-0.24994659260841701"/>
      </font>
    </dxf>
    <dxf>
      <fill>
        <patternFill>
          <fgColor indexed="64"/>
          <bgColor theme="0"/>
        </patternFill>
      </fill>
    </dxf>
    <dxf>
      <font>
        <b/>
        <i val="0"/>
        <color theme="9" tint="-0.24994659260841701"/>
      </font>
    </dxf>
    <dxf>
      <fill>
        <patternFill>
          <fgColor indexed="64"/>
          <bgColor theme="0"/>
        </patternFill>
      </fill>
    </dxf>
    <dxf>
      <fill>
        <patternFill>
          <fgColor indexed="64"/>
          <bgColor theme="0"/>
        </patternFill>
      </fill>
    </dxf>
    <dxf>
      <fill>
        <patternFill>
          <fgColor indexed="64"/>
          <bgColor theme="0"/>
        </patternFill>
      </fill>
    </dxf>
    <dxf>
      <fill>
        <patternFill>
          <fgColor indexed="64"/>
          <bgColor theme="0"/>
        </patternFill>
      </fill>
    </dxf>
    <dxf>
      <fill>
        <patternFill>
          <fgColor indexed="64"/>
          <bgColor theme="0"/>
        </patternFill>
      </fill>
    </dxf>
    <dxf>
      <fill>
        <patternFill>
          <fgColor indexed="64"/>
          <bgColor theme="0"/>
        </patternFill>
      </fill>
    </dxf>
    <dxf>
      <fill>
        <patternFill>
          <bgColor theme="0"/>
        </patternFill>
      </fill>
    </dxf>
    <dxf>
      <fill>
        <patternFill>
          <bgColor theme="0"/>
        </patternFill>
      </fill>
    </dxf>
    <dxf>
      <fill>
        <patternFill>
          <fgColor indexed="64"/>
          <bgColor theme="0"/>
        </patternFill>
      </fill>
    </dxf>
    <dxf>
      <fill>
        <patternFill>
          <fgColor indexed="64"/>
          <bgColor theme="0"/>
        </patternFill>
      </fill>
    </dxf>
    <dxf>
      <font>
        <color theme="0"/>
      </font>
    </dxf>
    <dxf>
      <font>
        <color theme="4" tint="0.79998168889431442"/>
      </font>
    </dxf>
    <dxf>
      <font>
        <color theme="0"/>
      </font>
    </dxf>
    <dxf>
      <font>
        <color theme="4" tint="0.79998168889431442"/>
      </font>
    </dxf>
    <dxf>
      <font>
        <color rgb="FFC00000"/>
      </font>
    </dxf>
    <dxf>
      <font>
        <color theme="4" tint="0.79998168889431442"/>
      </font>
    </dxf>
    <dxf>
      <font>
        <color theme="0"/>
      </font>
    </dxf>
    <dxf>
      <font>
        <color rgb="FFC00000"/>
      </font>
    </dxf>
    <dxf>
      <font>
        <color theme="4" tint="0.79998168889431442"/>
      </font>
    </dxf>
    <dxf>
      <font>
        <color theme="0"/>
      </font>
    </dxf>
    <dxf>
      <font>
        <color rgb="FFC00000"/>
      </font>
    </dxf>
    <dxf>
      <font>
        <color rgb="FFC00000"/>
      </font>
    </dxf>
    <dxf>
      <font>
        <color theme="0"/>
      </font>
    </dxf>
    <dxf>
      <font>
        <color theme="4" tint="0.79998168889431442"/>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trike val="0"/>
        <color rgb="FFFF0000"/>
      </font>
    </dxf>
    <dxf>
      <fill>
        <patternFill>
          <bgColor theme="0"/>
        </patternFill>
      </fill>
    </dxf>
    <dxf>
      <font>
        <strike val="0"/>
        <color rgb="FFFF0000"/>
      </font>
    </dxf>
    <dxf>
      <fill>
        <patternFill>
          <bgColor theme="0"/>
        </patternFill>
      </fill>
    </dxf>
    <dxf>
      <fill>
        <patternFill>
          <bgColor theme="0"/>
        </patternFill>
      </fill>
    </dxf>
    <dxf>
      <fill>
        <patternFill>
          <bgColor theme="0"/>
        </patternFill>
      </fill>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ont>
        <color theme="0"/>
      </font>
    </dxf>
    <dxf>
      <font>
        <color theme="0"/>
      </font>
    </dxf>
    <dxf>
      <font>
        <color theme="0"/>
      </font>
    </dxf>
    <dxf>
      <fill>
        <patternFill>
          <bgColor theme="0"/>
        </patternFill>
      </fill>
    </dxf>
    <dxf>
      <font>
        <color theme="0"/>
      </font>
    </dxf>
    <dxf>
      <border>
        <left style="thin">
          <color auto="1"/>
        </left>
        <right style="thin">
          <color auto="1"/>
        </right>
        <top style="thin">
          <color auto="1"/>
        </top>
        <bottom style="thin">
          <color auto="1"/>
        </bottom>
        <vertical/>
        <horizontal/>
      </border>
    </dxf>
    <dxf>
      <font>
        <color rgb="FF008000"/>
      </font>
    </dxf>
    <dxf>
      <border>
        <right style="thin">
          <color auto="1"/>
        </right>
        <top style="thin">
          <color auto="1"/>
        </top>
        <bottom style="thin">
          <color auto="1"/>
        </bottom>
        <vertical/>
        <horizontal/>
      </border>
    </dxf>
    <dxf>
      <border>
        <left/>
        <right style="thin">
          <color auto="1"/>
        </right>
        <bottom style="thin">
          <color auto="1"/>
        </bottom>
        <vertical/>
        <horizontal/>
      </border>
    </dxf>
    <dxf>
      <border>
        <right style="thin">
          <color auto="1"/>
        </right>
        <top style="thin">
          <color auto="1"/>
        </top>
        <vertical/>
        <horizontal/>
      </border>
    </dxf>
    <dxf>
      <border>
        <left style="thin">
          <color auto="1"/>
        </left>
        <right style="thin">
          <color auto="1"/>
        </right>
        <top style="thin">
          <color auto="1"/>
        </top>
        <bottom style="thin">
          <color auto="1"/>
        </bottom>
        <vertical/>
        <horizontal/>
      </border>
    </dxf>
    <dxf>
      <border>
        <right style="thin">
          <color auto="1"/>
        </right>
        <top style="thin">
          <color auto="1"/>
        </top>
        <vertical/>
        <horizontal/>
      </border>
    </dxf>
    <dxf>
      <font>
        <b val="0"/>
        <i val="0"/>
        <color theme="0"/>
      </font>
      <fill>
        <patternFill>
          <bgColor theme="0"/>
        </patternFill>
      </fill>
      <border>
        <left/>
        <right/>
        <top/>
        <bottom/>
        <vertical/>
        <horizontal/>
      </border>
    </dxf>
    <dxf>
      <fill>
        <patternFill>
          <bgColor theme="0"/>
        </patternFill>
      </fill>
    </dxf>
    <dxf>
      <fill>
        <patternFill>
          <bgColor theme="0"/>
        </patternFill>
      </fill>
      <border>
        <left/>
        <right/>
        <top/>
        <bottom/>
        <vertical/>
        <horizontal/>
      </border>
    </dxf>
    <dxf>
      <fill>
        <patternFill>
          <bgColor theme="0"/>
        </patternFill>
      </fill>
    </dxf>
    <dxf>
      <font>
        <color rgb="FFC00000"/>
      </font>
    </dxf>
    <dxf>
      <font>
        <color rgb="FFFF0000"/>
      </font>
    </dxf>
    <dxf>
      <font>
        <color rgb="FFFF0000"/>
      </font>
    </dxf>
    <dxf>
      <border>
        <top style="thin">
          <color auto="1"/>
        </top>
        <vertical/>
        <horizontal/>
      </border>
    </dxf>
    <dxf>
      <font>
        <b/>
        <i val="0"/>
        <color rgb="FFC00000"/>
      </font>
    </dxf>
    <dxf>
      <font>
        <color rgb="FF008000"/>
      </font>
      <border>
        <left style="thin">
          <color auto="1"/>
        </left>
        <right style="thin">
          <color auto="1"/>
        </right>
        <top style="thin">
          <color auto="1"/>
        </top>
        <bottom style="thin">
          <color auto="1"/>
        </bottom>
      </border>
    </dxf>
    <dxf>
      <border>
        <bottom style="thin">
          <color auto="1"/>
        </bottom>
        <vertical/>
        <horizontal/>
      </border>
    </dxf>
    <dxf>
      <border>
        <right/>
        <top style="thin">
          <color auto="1"/>
        </top>
        <bottom style="thin">
          <color auto="1"/>
        </bottom>
        <vertical/>
        <horizontal/>
      </border>
    </dxf>
    <dxf>
      <font>
        <color rgb="FF008000"/>
      </font>
    </dxf>
    <dxf>
      <font>
        <color rgb="FF008000"/>
      </font>
    </dxf>
    <dxf>
      <font>
        <color rgb="FF008000"/>
      </font>
    </dxf>
    <dxf>
      <font>
        <strike val="0"/>
        <color rgb="FF008000"/>
      </font>
    </dxf>
    <dxf>
      <border>
        <left style="thin">
          <color auto="1"/>
        </left>
        <top style="thin">
          <color auto="1"/>
        </top>
        <bottom/>
        <vertical/>
        <horizontal/>
      </border>
    </dxf>
    <dxf>
      <fill>
        <patternFill>
          <bgColor theme="4" tint="0.79998168889431442"/>
        </patternFill>
      </fill>
      <border>
        <right style="thin">
          <color auto="1"/>
        </right>
        <top style="thin">
          <color auto="1"/>
        </top>
        <bottom style="thin">
          <color auto="1"/>
        </bottom>
        <vertical/>
        <horizontal/>
      </border>
    </dxf>
    <dxf>
      <fill>
        <patternFill>
          <bgColor theme="4" tint="0.79998168889431442"/>
        </patternFill>
      </fill>
      <border>
        <left style="thin">
          <color auto="1"/>
        </left>
        <right style="thin">
          <color auto="1"/>
        </right>
        <top style="thin">
          <color auto="1"/>
        </top>
        <bottom style="thin">
          <color auto="1"/>
        </bottom>
        <vertical/>
        <horizontal/>
      </border>
    </dxf>
    <dxf>
      <border>
        <left style="thin">
          <color auto="1"/>
        </left>
        <top style="thin">
          <color auto="1"/>
        </top>
        <vertical/>
        <horizontal/>
      </border>
    </dxf>
    <dxf>
      <border>
        <left style="thin">
          <color auto="1"/>
        </left>
        <right style="thin">
          <color auto="1"/>
        </right>
        <bottom style="thin">
          <color auto="1"/>
        </bottom>
      </border>
    </dxf>
    <dxf>
      <font>
        <b/>
        <i val="0"/>
        <color rgb="FFC00000"/>
      </font>
    </dxf>
    <dxf>
      <font>
        <color rgb="FFFF0000"/>
      </font>
    </dxf>
    <dxf>
      <border>
        <left style="thin">
          <color auto="1"/>
        </left>
        <right style="thin">
          <color auto="1"/>
        </right>
        <top style="thin">
          <color auto="1"/>
        </top>
        <bottom/>
        <vertical/>
        <horizontal/>
      </border>
    </dxf>
    <dxf>
      <font>
        <color rgb="FF008000"/>
      </font>
    </dxf>
    <dxf>
      <font>
        <b/>
        <i val="0"/>
        <color theme="9" tint="-0.24994659260841701"/>
      </font>
    </dxf>
    <dxf>
      <font>
        <b/>
        <i val="0"/>
        <color rgb="FF008000"/>
      </font>
    </dxf>
    <dxf>
      <font>
        <b/>
        <i val="0"/>
        <color theme="9" tint="-0.24994659260841701"/>
      </font>
    </dxf>
    <dxf>
      <font>
        <b/>
        <i val="0"/>
        <color rgb="FF008000"/>
      </font>
    </dxf>
    <dxf>
      <font>
        <b/>
        <i val="0"/>
        <color rgb="FFC00000"/>
      </font>
    </dxf>
    <dxf>
      <font>
        <b/>
        <i val="0"/>
        <color theme="9" tint="-0.24994659260841701"/>
      </font>
    </dxf>
    <dxf>
      <font>
        <b/>
        <i val="0"/>
        <color rgb="FF008000"/>
      </font>
    </dxf>
    <dxf>
      <font>
        <b/>
        <i val="0"/>
        <color rgb="FFC00000"/>
      </font>
    </dxf>
    <dxf>
      <font>
        <b/>
        <i val="0"/>
        <color theme="9" tint="-0.24994659260841701"/>
      </font>
    </dxf>
    <dxf>
      <font>
        <b/>
        <i val="0"/>
        <color rgb="FFFF0000"/>
      </font>
    </dxf>
    <dxf>
      <font>
        <color rgb="FF008000"/>
      </font>
    </dxf>
    <dxf>
      <font>
        <color theme="9" tint="-0.24994659260841701"/>
      </font>
    </dxf>
    <dxf>
      <fill>
        <patternFill>
          <bgColor theme="0"/>
        </patternFill>
      </fill>
      <border>
        <left style="thin">
          <color auto="1"/>
        </left>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vertical/>
        <horizontal/>
      </border>
    </dxf>
    <dxf>
      <fill>
        <patternFill>
          <bgColor theme="0"/>
        </patternFill>
      </fill>
      <border>
        <left/>
        <right style="thin">
          <color auto="1"/>
        </right>
        <top style="thin">
          <color auto="1"/>
        </top>
        <bottom style="thin">
          <color auto="1"/>
        </bottom>
        <vertical/>
        <horizontal/>
      </border>
    </dxf>
    <dxf>
      <fill>
        <patternFill>
          <bgColor theme="0"/>
        </patternFill>
      </fill>
      <border>
        <left/>
        <right style="thin">
          <color auto="1"/>
        </right>
        <top style="thin">
          <color auto="1"/>
        </top>
        <bottom style="thin">
          <color auto="1"/>
        </bottom>
        <vertical/>
        <horizontal/>
      </border>
    </dxf>
    <dxf>
      <fill>
        <patternFill>
          <bgColor theme="0"/>
        </patternFill>
      </fill>
      <border>
        <right style="thin">
          <color auto="1"/>
        </right>
        <top style="thin">
          <color auto="1"/>
        </top>
        <bottom style="thin">
          <color auto="1"/>
        </bottom>
        <vertical/>
        <horizontal/>
      </border>
    </dxf>
    <dxf>
      <fill>
        <patternFill>
          <fgColor indexed="64"/>
          <bgColor theme="0"/>
        </patternFill>
      </fill>
    </dxf>
    <dxf>
      <font>
        <b/>
        <i val="0"/>
        <color rgb="FFFF0000"/>
      </font>
    </dxf>
    <dxf>
      <font>
        <b/>
        <i val="0"/>
        <color rgb="FFFF0000"/>
      </font>
    </dxf>
    <dxf>
      <fill>
        <patternFill>
          <bgColor theme="0"/>
        </patternFill>
      </fill>
    </dxf>
    <dxf>
      <fill>
        <patternFill>
          <bgColor theme="0"/>
        </patternFill>
      </fill>
    </dxf>
    <dxf>
      <font>
        <b/>
        <i val="0"/>
        <color rgb="FFFF0000"/>
      </font>
    </dxf>
    <dxf>
      <fill>
        <patternFill>
          <fgColor indexed="64"/>
          <bgColor theme="0"/>
        </patternFill>
      </fill>
    </dxf>
    <dxf>
      <fill>
        <patternFill>
          <bgColor theme="0"/>
        </patternFill>
      </fill>
    </dxf>
    <dxf>
      <fill>
        <patternFill>
          <fgColor indexed="64"/>
          <bgColor theme="0"/>
        </patternFill>
      </fill>
    </dxf>
    <dxf>
      <fill>
        <patternFill>
          <bgColor theme="0"/>
        </patternFill>
      </fill>
    </dxf>
    <dxf>
      <font>
        <b/>
        <i val="0"/>
        <color rgb="FFFF0000"/>
      </font>
    </dxf>
    <dxf>
      <fill>
        <patternFill>
          <fgColor indexed="64"/>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ill>
        <patternFill>
          <bgColor theme="0"/>
        </patternFill>
      </fill>
    </dxf>
    <dxf>
      <fill>
        <patternFill>
          <bgColor theme="0"/>
        </patternFill>
      </fill>
    </dxf>
    <dxf>
      <font>
        <color rgb="FFFF0000"/>
      </font>
    </dxf>
    <dxf>
      <font>
        <color rgb="FFFF0000"/>
      </font>
    </dxf>
    <dxf>
      <font>
        <color rgb="FFFF0000"/>
      </font>
    </dxf>
    <dxf>
      <font>
        <color rgb="FFFF0000"/>
      </font>
    </dxf>
    <dxf>
      <fill>
        <patternFill>
          <bgColor theme="0"/>
        </patternFill>
      </fill>
    </dxf>
    <dxf>
      <fill>
        <patternFill>
          <fgColor indexed="64"/>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FF0000"/>
      </font>
    </dxf>
    <dxf>
      <fill>
        <patternFill>
          <bgColor theme="0"/>
        </patternFill>
      </fill>
    </dxf>
    <dxf>
      <font>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ill>
        <patternFill>
          <bgColor theme="0"/>
        </patternFill>
      </fill>
    </dxf>
    <dxf>
      <fill>
        <patternFill>
          <fgColor indexed="64"/>
          <bgColor theme="0"/>
        </patternFill>
      </fill>
    </dxf>
    <dxf>
      <fill>
        <patternFill>
          <bgColor theme="0"/>
        </patternFill>
      </fill>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ont>
        <color theme="0"/>
      </font>
    </dxf>
    <dxf>
      <font>
        <color theme="4" tint="0.79998168889431442"/>
      </font>
    </dxf>
    <dxf>
      <font>
        <b/>
        <i val="0"/>
        <color rgb="FFC00000"/>
      </font>
    </dxf>
    <dxf>
      <font>
        <b/>
        <i val="0"/>
        <color rgb="FFFF0000"/>
      </font>
    </dxf>
    <dxf>
      <font>
        <color theme="4" tint="0.79998168889431442"/>
      </font>
    </dxf>
    <dxf>
      <font>
        <color theme="0"/>
      </font>
    </dxf>
    <dxf>
      <fill>
        <patternFill>
          <bgColor theme="0"/>
        </patternFill>
      </fill>
    </dxf>
    <dxf>
      <fill>
        <patternFill>
          <bgColor theme="0"/>
        </patternFill>
      </fill>
    </dxf>
    <dxf>
      <fill>
        <patternFill>
          <fgColor indexed="64"/>
          <bgColor theme="0"/>
        </patternFill>
      </fill>
    </dxf>
    <dxf>
      <font>
        <b/>
        <i val="0"/>
        <color rgb="FFFF0000"/>
      </font>
    </dxf>
    <dxf>
      <fill>
        <patternFill>
          <fgColor indexed="64"/>
          <bgColor theme="0"/>
        </patternFill>
      </fill>
    </dxf>
    <dxf>
      <fill>
        <patternFill>
          <bgColor theme="0"/>
        </patternFill>
      </fill>
    </dxf>
    <dxf>
      <fill>
        <patternFill>
          <bgColor theme="0"/>
        </patternFill>
      </fill>
    </dxf>
    <dxf>
      <fill>
        <patternFill>
          <fgColor indexed="64"/>
          <bgColor theme="0"/>
        </patternFill>
      </fill>
    </dxf>
    <dxf>
      <fill>
        <patternFill>
          <fgColor indexed="64"/>
          <bgColor theme="0"/>
        </patternFill>
      </fill>
    </dxf>
    <dxf>
      <fill>
        <patternFill>
          <fgColor indexed="64"/>
          <bgColor theme="0"/>
        </patternFill>
      </fill>
    </dxf>
    <dxf>
      <fill>
        <patternFill>
          <bgColor theme="0"/>
        </patternFill>
      </fill>
    </dxf>
    <dxf>
      <fill>
        <patternFill>
          <fgColor indexed="64"/>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fgColor indexed="64"/>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solid">
          <bgColor theme="0"/>
        </patternFill>
      </fill>
    </dxf>
    <dxf>
      <fill>
        <patternFill>
          <fgColor indexed="64"/>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fgColor indexed="64"/>
          <bgColor theme="0"/>
        </patternFill>
      </fill>
    </dxf>
    <dxf>
      <fill>
        <patternFill>
          <bgColor theme="0"/>
        </patternFill>
      </fill>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C00000"/>
      </font>
    </dxf>
    <dxf>
      <fill>
        <patternFill>
          <bgColor theme="0"/>
        </patternFill>
      </fill>
    </dxf>
    <dxf>
      <fill>
        <patternFill>
          <fgColor indexed="64"/>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fgColor indexed="64"/>
          <bgColor theme="0"/>
        </patternFill>
      </fill>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fgColor indexed="64"/>
          <bgColor theme="0"/>
        </patternFill>
      </fill>
    </dxf>
    <dxf>
      <fill>
        <patternFill>
          <bgColor theme="0"/>
        </patternFill>
      </fill>
    </dxf>
    <dxf>
      <fill>
        <patternFill>
          <bgColor theme="0"/>
        </patternFill>
      </fill>
    </dxf>
    <dxf>
      <fill>
        <patternFill>
          <bgColor theme="0"/>
        </patternFill>
      </fill>
    </dxf>
    <dxf>
      <font>
        <b/>
        <i val="0"/>
        <color rgb="FFFF0000"/>
      </font>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ont>
        <b/>
        <i val="0"/>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ndense val="0"/>
        <extend val="0"/>
        <color indexed="10"/>
      </font>
    </dxf>
    <dxf>
      <fill>
        <patternFill>
          <bgColor theme="0"/>
        </patternFill>
      </fill>
    </dxf>
    <dxf>
      <fill>
        <patternFill>
          <fgColor indexed="64"/>
          <bgColor theme="0"/>
        </patternFill>
      </fill>
    </dxf>
    <dxf>
      <fill>
        <patternFill>
          <bgColor theme="0"/>
        </patternFill>
      </fill>
    </dxf>
    <dxf>
      <fill>
        <patternFill>
          <fgColor indexed="64"/>
          <bgColor theme="0"/>
        </patternFill>
      </fill>
    </dxf>
    <dxf>
      <fill>
        <patternFill>
          <bgColor theme="0"/>
        </patternFill>
      </fill>
    </dxf>
    <dxf>
      <fill>
        <patternFill>
          <bgColor theme="0"/>
        </patternFill>
      </fill>
    </dxf>
    <dxf>
      <font>
        <strike val="0"/>
        <color rgb="FFFF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C00000"/>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solid">
          <bgColor theme="0"/>
        </patternFill>
      </fill>
    </dxf>
    <dxf>
      <fill>
        <patternFill>
          <bgColor theme="0"/>
        </patternFill>
      </fill>
    </dxf>
    <dxf>
      <fill>
        <patternFill patternType="solid">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b/>
        <i val="0"/>
        <color rgb="FFFF0000"/>
      </font>
    </dxf>
    <dxf>
      <fill>
        <patternFill>
          <fgColor indexed="64"/>
          <bgColor theme="0"/>
        </patternFill>
      </fill>
    </dxf>
    <dxf>
      <fill>
        <patternFill>
          <fgColor indexed="64"/>
          <bgColor theme="0"/>
        </patternFill>
      </fill>
    </dxf>
    <dxf>
      <fill>
        <patternFill>
          <bgColor theme="0"/>
        </patternFill>
      </fill>
    </dxf>
    <dxf>
      <fill>
        <patternFill>
          <bgColor theme="0"/>
        </patternFill>
      </fill>
    </dxf>
    <dxf>
      <fill>
        <patternFill>
          <bgColor theme="0"/>
        </patternFill>
      </fill>
    </dxf>
    <dxf>
      <font>
        <b/>
        <i val="0"/>
        <color rgb="FFFF0000"/>
      </font>
    </dxf>
    <dxf>
      <font>
        <color rgb="FFC00000"/>
      </font>
    </dxf>
    <dxf>
      <fill>
        <patternFill patternType="solid">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rgb="FFC00000"/>
      </font>
    </dxf>
    <dxf>
      <fill>
        <patternFill>
          <bgColor theme="0"/>
        </patternFill>
      </fill>
    </dxf>
    <dxf>
      <fill>
        <patternFill>
          <fgColor indexed="64"/>
          <bgColor theme="0"/>
        </patternFill>
      </fill>
    </dxf>
    <dxf>
      <fill>
        <patternFill>
          <bgColor theme="0"/>
        </patternFill>
      </fill>
    </dxf>
    <dxf>
      <fill>
        <patternFill>
          <bgColor theme="0"/>
        </patternFill>
      </fill>
    </dxf>
    <dxf>
      <fill>
        <patternFill patternType="solid">
          <bgColor theme="0"/>
        </patternFill>
      </fill>
    </dxf>
    <dxf>
      <font>
        <b/>
        <i val="0"/>
        <strike val="0"/>
        <color rgb="FFFF0000"/>
      </font>
    </dxf>
    <dxf>
      <fill>
        <patternFill>
          <bgColor theme="0"/>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bgColor theme="0"/>
        </patternFill>
      </fill>
    </dxf>
    <dxf>
      <fill>
        <patternFill patternType="none">
          <bgColor auto="1"/>
        </patternFill>
      </fill>
    </dxf>
    <dxf>
      <font>
        <b/>
        <i val="0"/>
        <condense val="0"/>
        <extend val="0"/>
        <color indexed="10"/>
      </font>
    </dxf>
    <dxf>
      <font>
        <b/>
        <i val="0"/>
        <color rgb="FF008000"/>
      </font>
    </dxf>
    <dxf>
      <font>
        <b/>
        <i val="0"/>
        <color rgb="FFC00000"/>
      </font>
    </dxf>
    <dxf>
      <font>
        <b/>
        <i val="0"/>
        <color rgb="FF008000"/>
      </font>
    </dxf>
    <dxf>
      <font>
        <b/>
        <i val="0"/>
        <color rgb="FF008000"/>
      </font>
    </dxf>
    <dxf>
      <font>
        <b/>
        <i val="0"/>
        <color rgb="FF008000"/>
      </font>
    </dxf>
    <dxf>
      <font>
        <b/>
        <i val="0"/>
        <color rgb="FF008000"/>
      </font>
    </dxf>
    <dxf>
      <font>
        <b/>
        <i val="0"/>
        <color rgb="FF008000"/>
      </font>
    </dxf>
    <dxf>
      <font>
        <b/>
        <i val="0"/>
        <color rgb="FFC00000"/>
      </font>
    </dxf>
    <dxf>
      <font>
        <b/>
        <i val="0"/>
        <color rgb="FFC00000"/>
      </font>
    </dxf>
    <dxf>
      <font>
        <b/>
        <i val="0"/>
        <color rgb="FF008000"/>
      </font>
    </dxf>
    <dxf>
      <font>
        <b/>
        <i val="0"/>
        <color rgb="FF008000"/>
      </font>
    </dxf>
    <dxf>
      <font>
        <b/>
        <i val="0"/>
        <color rgb="FF008000"/>
      </font>
    </dxf>
    <dxf>
      <font>
        <b/>
        <i val="0"/>
        <color rgb="FF008000"/>
      </font>
    </dxf>
    <dxf>
      <font>
        <b/>
        <i val="0"/>
        <color rgb="FF008000"/>
      </font>
    </dxf>
    <dxf>
      <font>
        <b/>
        <i val="0"/>
        <color rgb="FF008000"/>
      </font>
    </dxf>
    <dxf>
      <font>
        <b/>
        <i val="0"/>
        <color rgb="FF008000"/>
      </font>
    </dxf>
    <dxf>
      <font>
        <b/>
        <i val="0"/>
        <color rgb="FF008000"/>
      </font>
    </dxf>
    <dxf>
      <font>
        <b/>
        <i val="0"/>
        <color rgb="FF008000"/>
      </font>
    </dxf>
    <dxf>
      <font>
        <b/>
        <i val="0"/>
        <color rgb="FF008000"/>
      </font>
    </dxf>
    <dxf>
      <font>
        <b/>
        <i val="0"/>
        <color rgb="FF008000"/>
      </font>
    </dxf>
    <dxf>
      <border>
        <left style="thin">
          <color auto="1"/>
        </left>
        <right style="thin">
          <color auto="1"/>
        </right>
        <top style="thin">
          <color auto="1"/>
        </top>
        <bottom style="thin">
          <color auto="1"/>
        </bottom>
        <vertical/>
        <horizontal/>
      </border>
    </dxf>
    <dxf>
      <fill>
        <patternFill>
          <bgColor theme="0"/>
        </patternFill>
      </fill>
    </dxf>
    <dxf>
      <fill>
        <patternFill patternType="none">
          <bgColor auto="1"/>
        </patternFill>
      </fill>
    </dxf>
    <dxf>
      <fill>
        <patternFill patternType="none">
          <bgColor auto="1"/>
        </patternFill>
      </fill>
    </dxf>
    <dxf>
      <font>
        <b/>
        <i val="0"/>
        <color rgb="FFFF0000"/>
      </font>
    </dxf>
    <dxf>
      <font>
        <color rgb="FF008000"/>
      </font>
      <border>
        <left style="thin">
          <color auto="1"/>
        </left>
        <right style="thin">
          <color auto="1"/>
        </right>
        <top style="thin">
          <color auto="1"/>
        </top>
        <bottom style="thin">
          <color auto="1"/>
        </bottom>
      </border>
    </dxf>
    <dxf>
      <font>
        <b/>
        <i val="0"/>
        <color rgb="FFFF0000"/>
      </font>
    </dxf>
    <dxf>
      <fill>
        <patternFill>
          <bgColor theme="0"/>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ont>
        <b/>
        <i val="0"/>
        <color rgb="FFFF0000"/>
      </font>
    </dxf>
    <dxf>
      <font>
        <color rgb="FF008000"/>
      </font>
      <border>
        <left style="thin">
          <color auto="1"/>
        </left>
        <right style="thin">
          <color auto="1"/>
        </right>
        <top style="thin">
          <color auto="1"/>
        </top>
        <bottom style="thin">
          <color auto="1"/>
        </bottom>
      </border>
    </dxf>
    <dxf>
      <font>
        <color rgb="FF008000"/>
      </font>
      <border>
        <left style="thin">
          <color auto="1"/>
        </left>
        <right style="thin">
          <color auto="1"/>
        </right>
        <top style="thin">
          <color auto="1"/>
        </top>
        <bottom style="thin">
          <color auto="1"/>
        </bottom>
      </border>
    </dxf>
    <dxf>
      <font>
        <b/>
        <i val="0"/>
        <color rgb="FFFF0000"/>
      </font>
    </dxf>
    <dxf>
      <fill>
        <patternFill>
          <bgColor theme="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patternType="none">
          <bgColor auto="1"/>
        </patternFill>
      </fill>
    </dxf>
    <dxf>
      <font>
        <b/>
        <i val="0"/>
        <color rgb="FFFF0000"/>
      </font>
    </dxf>
    <dxf>
      <fill>
        <patternFill>
          <bgColor theme="0"/>
        </patternFill>
      </fill>
    </dxf>
    <dxf>
      <fill>
        <patternFill patternType="none">
          <bgColor auto="1"/>
        </patternFill>
      </fill>
    </dxf>
    <dxf>
      <fill>
        <patternFill patternType="none">
          <bgColor auto="1"/>
        </patternFill>
      </fill>
    </dxf>
    <dxf>
      <font>
        <color rgb="FFFF0000"/>
      </font>
    </dxf>
    <dxf>
      <fill>
        <patternFill patternType="none">
          <bgColor auto="1"/>
        </patternFill>
      </fill>
    </dxf>
    <dxf>
      <font>
        <color rgb="FFFF0000"/>
      </font>
    </dxf>
    <dxf>
      <fill>
        <patternFill patternType="none">
          <bgColor auto="1"/>
        </patternFill>
      </fill>
    </dxf>
    <dxf>
      <fill>
        <patternFill patternType="none">
          <bgColor auto="1"/>
        </patternFill>
      </fill>
    </dxf>
    <dxf>
      <font>
        <color rgb="FFFF0000"/>
      </font>
    </dxf>
    <dxf>
      <fill>
        <patternFill patternType="none">
          <bgColor auto="1"/>
        </patternFill>
      </fill>
    </dxf>
    <dxf>
      <font>
        <color rgb="FFFF0000"/>
      </font>
    </dxf>
    <dxf>
      <fill>
        <patternFill patternType="none">
          <bgColor auto="1"/>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patternType="none">
          <bgColor auto="1"/>
        </patternFill>
      </fill>
    </dxf>
    <dxf>
      <font>
        <color rgb="FFC00000"/>
      </font>
    </dxf>
    <dxf>
      <font>
        <color rgb="FFC00000"/>
      </font>
    </dxf>
    <dxf>
      <font>
        <color rgb="FFC00000"/>
      </font>
    </dxf>
    <dxf>
      <font>
        <color rgb="FFC00000"/>
      </font>
    </dxf>
    <dxf>
      <font>
        <color rgb="FFC00000"/>
      </font>
    </dxf>
    <dxf>
      <font>
        <color rgb="FFC0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i val="0"/>
        <color rgb="FFC00000"/>
      </font>
    </dxf>
    <dxf>
      <font>
        <b/>
        <i val="0"/>
        <color rgb="FF00B050"/>
      </font>
    </dxf>
    <dxf>
      <font>
        <b/>
        <i val="0"/>
        <color rgb="FF00B05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008000"/>
      <color rgb="FF00FF00"/>
      <color rgb="FFB9FFF2"/>
      <color rgb="FFDDFFF9"/>
      <color rgb="FFABFFEF"/>
      <color rgb="FF5BFFE0"/>
      <color rgb="FF00FFCC"/>
      <color rgb="FFD1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tyles" Target="styles.xml"/><Relationship Id="rId7" Type="http://schemas.openxmlformats.org/officeDocument/2006/relationships/worksheet" Target="worksheets/sheet7.xml"/><Relationship Id="rId71"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emf"/></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jpeg"/><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s>
</file>

<file path=xl/drawings/_rels/drawing18.xml.rels><?xml version="1.0" encoding="UTF-8" standalone="yes"?>
<Relationships xmlns="http://schemas.openxmlformats.org/package/2006/relationships"><Relationship Id="rId2" Type="http://schemas.openxmlformats.org/officeDocument/2006/relationships/image" Target="../media/image15.png"/><Relationship Id="rId1" Type="http://schemas.openxmlformats.org/officeDocument/2006/relationships/image" Target="../media/image14.png"/></Relationships>
</file>

<file path=xl/drawings/_rels/drawing19.xml.rels><?xml version="1.0" encoding="UTF-8" standalone="yes"?>
<Relationships xmlns="http://schemas.openxmlformats.org/package/2006/relationships"><Relationship Id="rId1" Type="http://schemas.openxmlformats.org/officeDocument/2006/relationships/image" Target="../media/image16.emf"/></Relationships>
</file>

<file path=xl/drawings/_rels/drawing21.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4.xml.rels><?xml version="1.0" encoding="UTF-8" standalone="yes"?>
<Relationships xmlns="http://schemas.openxmlformats.org/package/2006/relationships"><Relationship Id="rId2" Type="http://schemas.openxmlformats.org/officeDocument/2006/relationships/image" Target="../media/image20.jpeg"/><Relationship Id="rId1" Type="http://schemas.openxmlformats.org/officeDocument/2006/relationships/image" Target="../media/image19.png"/></Relationships>
</file>

<file path=xl/drawings/_rels/drawing25.xml.rels><?xml version="1.0" encoding="UTF-8" standalone="yes"?>
<Relationships xmlns="http://schemas.openxmlformats.org/package/2006/relationships"><Relationship Id="rId1" Type="http://schemas.openxmlformats.org/officeDocument/2006/relationships/image" Target="../media/image15.png"/></Relationships>
</file>

<file path=xl/drawings/_rels/drawing26.xml.rels><?xml version="1.0" encoding="UTF-8" standalone="yes"?>
<Relationships xmlns="http://schemas.openxmlformats.org/package/2006/relationships"><Relationship Id="rId1" Type="http://schemas.openxmlformats.org/officeDocument/2006/relationships/image" Target="../media/image21.png"/></Relationships>
</file>

<file path=xl/drawings/_rels/drawing28.xml.rels><?xml version="1.0" encoding="UTF-8" standalone="yes"?>
<Relationships xmlns="http://schemas.openxmlformats.org/package/2006/relationships"><Relationship Id="rId3" Type="http://schemas.openxmlformats.org/officeDocument/2006/relationships/image" Target="../media/image24.jpeg"/><Relationship Id="rId2" Type="http://schemas.openxmlformats.org/officeDocument/2006/relationships/image" Target="../media/image23.jpeg"/><Relationship Id="rId1" Type="http://schemas.openxmlformats.org/officeDocument/2006/relationships/image" Target="../media/image22.jpeg"/></Relationships>
</file>

<file path=xl/drawings/_rels/drawing30.xml.rels><?xml version="1.0" encoding="UTF-8" standalone="yes"?>
<Relationships xmlns="http://schemas.openxmlformats.org/package/2006/relationships"><Relationship Id="rId2" Type="http://schemas.openxmlformats.org/officeDocument/2006/relationships/image" Target="../media/image25.png"/><Relationship Id="rId1" Type="http://schemas.openxmlformats.org/officeDocument/2006/relationships/image" Target="../media/image18.png"/></Relationships>
</file>

<file path=xl/drawings/_rels/drawing33.xml.rels><?xml version="1.0" encoding="UTF-8" standalone="yes"?>
<Relationships xmlns="http://schemas.openxmlformats.org/package/2006/relationships"><Relationship Id="rId1" Type="http://schemas.openxmlformats.org/officeDocument/2006/relationships/image" Target="../media/image26.png"/></Relationships>
</file>

<file path=xl/drawings/_rels/drawing34.xml.rels><?xml version="1.0" encoding="UTF-8" standalone="yes"?>
<Relationships xmlns="http://schemas.openxmlformats.org/package/2006/relationships"><Relationship Id="rId1" Type="http://schemas.openxmlformats.org/officeDocument/2006/relationships/image" Target="../media/image27.png"/></Relationships>
</file>

<file path=xl/drawings/_rels/drawing36.xml.rels><?xml version="1.0" encoding="UTF-8" standalone="yes"?>
<Relationships xmlns="http://schemas.openxmlformats.org/package/2006/relationships"><Relationship Id="rId1" Type="http://schemas.openxmlformats.org/officeDocument/2006/relationships/image" Target="../media/image28.png"/></Relationships>
</file>

<file path=xl/drawings/drawing1.xml><?xml version="1.0" encoding="utf-8"?>
<xdr:wsDr xmlns:xdr="http://schemas.openxmlformats.org/drawingml/2006/spreadsheetDrawing" xmlns:a="http://schemas.openxmlformats.org/drawingml/2006/main">
  <xdr:twoCellAnchor editAs="oneCell">
    <xdr:from>
      <xdr:col>1</xdr:col>
      <xdr:colOff>220774</xdr:colOff>
      <xdr:row>10</xdr:row>
      <xdr:rowOff>146536</xdr:rowOff>
    </xdr:from>
    <xdr:to>
      <xdr:col>13</xdr:col>
      <xdr:colOff>65942</xdr:colOff>
      <xdr:row>39</xdr:row>
      <xdr:rowOff>24346</xdr:rowOff>
    </xdr:to>
    <xdr:pic>
      <xdr:nvPicPr>
        <xdr:cNvPr id="4" name="Picture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1"/>
        <a:stretch>
          <a:fillRect/>
        </a:stretch>
      </xdr:blipFill>
      <xdr:spPr>
        <a:xfrm>
          <a:off x="418601" y="1773113"/>
          <a:ext cx="6915649" cy="4552387"/>
        </a:xfrm>
        <a:prstGeom prst="rect">
          <a:avLst/>
        </a:prstGeom>
      </xdr:spPr>
    </xdr:pic>
    <xdr:clientData/>
  </xdr:twoCellAnchor>
  <xdr:twoCellAnchor editAs="oneCell">
    <xdr:from>
      <xdr:col>1</xdr:col>
      <xdr:colOff>7326</xdr:colOff>
      <xdr:row>40</xdr:row>
      <xdr:rowOff>183173</xdr:rowOff>
    </xdr:from>
    <xdr:to>
      <xdr:col>14</xdr:col>
      <xdr:colOff>19491</xdr:colOff>
      <xdr:row>67</xdr:row>
      <xdr:rowOff>80596</xdr:rowOff>
    </xdr:to>
    <xdr:pic>
      <xdr:nvPicPr>
        <xdr:cNvPr id="5" name="Picture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2"/>
        <a:stretch>
          <a:fillRect/>
        </a:stretch>
      </xdr:blipFill>
      <xdr:spPr>
        <a:xfrm>
          <a:off x="205153" y="6975231"/>
          <a:ext cx="7690780" cy="436684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2143125</xdr:colOff>
      <xdr:row>13</xdr:row>
      <xdr:rowOff>9821</xdr:rowOff>
    </xdr:from>
    <xdr:to>
      <xdr:col>6</xdr:col>
      <xdr:colOff>57150</xdr:colOff>
      <xdr:row>14</xdr:row>
      <xdr:rowOff>206375</xdr:rowOff>
    </xdr:to>
    <xdr:pic>
      <xdr:nvPicPr>
        <xdr:cNvPr id="32321" name="Picture 1">
          <a:extLst>
            <a:ext uri="{FF2B5EF4-FFF2-40B4-BE49-F238E27FC236}">
              <a16:creationId xmlns:a16="http://schemas.microsoft.com/office/drawing/2014/main" id="{00000000-0008-0000-0A00-0000417E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43625" y="3153071"/>
          <a:ext cx="400050" cy="48230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49</xdr:col>
      <xdr:colOff>669903</xdr:colOff>
      <xdr:row>49</xdr:row>
      <xdr:rowOff>171451</xdr:rowOff>
    </xdr:from>
    <xdr:to>
      <xdr:col>49</xdr:col>
      <xdr:colOff>885825</xdr:colOff>
      <xdr:row>49</xdr:row>
      <xdr:rowOff>257175</xdr:rowOff>
    </xdr:to>
    <xdr:sp macro="" textlink="">
      <xdr:nvSpPr>
        <xdr:cNvPr id="26" name="AutoShape 344">
          <a:extLst>
            <a:ext uri="{FF2B5EF4-FFF2-40B4-BE49-F238E27FC236}">
              <a16:creationId xmlns:a16="http://schemas.microsoft.com/office/drawing/2014/main" id="{00000000-0008-0000-0B00-00001A000000}"/>
            </a:ext>
          </a:extLst>
        </xdr:cNvPr>
        <xdr:cNvSpPr>
          <a:spLocks noChangeArrowheads="1"/>
        </xdr:cNvSpPr>
      </xdr:nvSpPr>
      <xdr:spPr bwMode="auto">
        <a:xfrm rot="10800000">
          <a:off x="12852378" y="9067801"/>
          <a:ext cx="215922" cy="85724"/>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50</xdr:col>
      <xdr:colOff>684557</xdr:colOff>
      <xdr:row>59</xdr:row>
      <xdr:rowOff>47626</xdr:rowOff>
    </xdr:from>
    <xdr:to>
      <xdr:col>50</xdr:col>
      <xdr:colOff>875057</xdr:colOff>
      <xdr:row>59</xdr:row>
      <xdr:rowOff>161926</xdr:rowOff>
    </xdr:to>
    <xdr:sp macro="" textlink="">
      <xdr:nvSpPr>
        <xdr:cNvPr id="3" name="AutoShape 344">
          <a:extLst>
            <a:ext uri="{FF2B5EF4-FFF2-40B4-BE49-F238E27FC236}">
              <a16:creationId xmlns:a16="http://schemas.microsoft.com/office/drawing/2014/main" id="{00000000-0008-0000-0B00-000003000000}"/>
            </a:ext>
          </a:extLst>
        </xdr:cNvPr>
        <xdr:cNvSpPr>
          <a:spLocks noChangeArrowheads="1"/>
        </xdr:cNvSpPr>
      </xdr:nvSpPr>
      <xdr:spPr bwMode="auto">
        <a:xfrm rot="10800000">
          <a:off x="12695582" y="7686676"/>
          <a:ext cx="190500" cy="11430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549729</xdr:colOff>
      <xdr:row>9</xdr:row>
      <xdr:rowOff>2369</xdr:rowOff>
    </xdr:from>
    <xdr:to>
      <xdr:col>2</xdr:col>
      <xdr:colOff>648293</xdr:colOff>
      <xdr:row>9</xdr:row>
      <xdr:rowOff>134890</xdr:rowOff>
    </xdr:to>
    <xdr:sp macro="" textlink="">
      <xdr:nvSpPr>
        <xdr:cNvPr id="3" name="AutoShape 655">
          <a:extLst>
            <a:ext uri="{FF2B5EF4-FFF2-40B4-BE49-F238E27FC236}">
              <a16:creationId xmlns:a16="http://schemas.microsoft.com/office/drawing/2014/main" id="{00000000-0008-0000-0C00-000003000000}"/>
            </a:ext>
          </a:extLst>
        </xdr:cNvPr>
        <xdr:cNvSpPr>
          <a:spLocks noChangeArrowheads="1"/>
        </xdr:cNvSpPr>
      </xdr:nvSpPr>
      <xdr:spPr bwMode="auto">
        <a:xfrm rot="5400000">
          <a:off x="904225" y="5801023"/>
          <a:ext cx="132521" cy="98564"/>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xdr:from>
      <xdr:col>36</xdr:col>
      <xdr:colOff>676275</xdr:colOff>
      <xdr:row>8</xdr:row>
      <xdr:rowOff>6212</xdr:rowOff>
    </xdr:from>
    <xdr:to>
      <xdr:col>36</xdr:col>
      <xdr:colOff>866775</xdr:colOff>
      <xdr:row>8</xdr:row>
      <xdr:rowOff>82412</xdr:rowOff>
    </xdr:to>
    <xdr:sp macro="" textlink="">
      <xdr:nvSpPr>
        <xdr:cNvPr id="6" name="AutoShape 344">
          <a:extLst>
            <a:ext uri="{FF2B5EF4-FFF2-40B4-BE49-F238E27FC236}">
              <a16:creationId xmlns:a16="http://schemas.microsoft.com/office/drawing/2014/main" id="{00000000-0008-0000-0D00-000006000000}"/>
            </a:ext>
          </a:extLst>
        </xdr:cNvPr>
        <xdr:cNvSpPr>
          <a:spLocks noChangeArrowheads="1"/>
        </xdr:cNvSpPr>
      </xdr:nvSpPr>
      <xdr:spPr bwMode="auto">
        <a:xfrm rot="10800000">
          <a:off x="9066558" y="1439103"/>
          <a:ext cx="190500" cy="7620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wsDr>
</file>

<file path=xl/drawings/drawing6.xml><?xml version="1.0" encoding="utf-8"?>
<xdr:wsDr xmlns:xdr="http://schemas.openxmlformats.org/drawingml/2006/spreadsheetDrawing" xmlns:a="http://schemas.openxmlformats.org/drawingml/2006/main">
  <xdr:twoCellAnchor>
    <xdr:from>
      <xdr:col>36</xdr:col>
      <xdr:colOff>676275</xdr:colOff>
      <xdr:row>8</xdr:row>
      <xdr:rowOff>6212</xdr:rowOff>
    </xdr:from>
    <xdr:to>
      <xdr:col>36</xdr:col>
      <xdr:colOff>866775</xdr:colOff>
      <xdr:row>8</xdr:row>
      <xdr:rowOff>82412</xdr:rowOff>
    </xdr:to>
    <xdr:sp macro="" textlink="">
      <xdr:nvSpPr>
        <xdr:cNvPr id="2" name="AutoShape 344">
          <a:extLst>
            <a:ext uri="{FF2B5EF4-FFF2-40B4-BE49-F238E27FC236}">
              <a16:creationId xmlns:a16="http://schemas.microsoft.com/office/drawing/2014/main" id="{7B628F96-2C13-4A2A-A3B0-EC40BBEBA4AC}"/>
            </a:ext>
          </a:extLst>
        </xdr:cNvPr>
        <xdr:cNvSpPr>
          <a:spLocks noChangeArrowheads="1"/>
        </xdr:cNvSpPr>
      </xdr:nvSpPr>
      <xdr:spPr bwMode="auto">
        <a:xfrm rot="10800000">
          <a:off x="9534525" y="1358762"/>
          <a:ext cx="190500" cy="7620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xdr:from>
      <xdr:col>6</xdr:col>
      <xdr:colOff>2533650</xdr:colOff>
      <xdr:row>51</xdr:row>
      <xdr:rowOff>66675</xdr:rowOff>
    </xdr:from>
    <xdr:to>
      <xdr:col>6</xdr:col>
      <xdr:colOff>2638425</xdr:colOff>
      <xdr:row>54</xdr:row>
      <xdr:rowOff>9525</xdr:rowOff>
    </xdr:to>
    <xdr:sp macro="" textlink="">
      <xdr:nvSpPr>
        <xdr:cNvPr id="107799" name="AutoShape 7">
          <a:extLst>
            <a:ext uri="{FF2B5EF4-FFF2-40B4-BE49-F238E27FC236}">
              <a16:creationId xmlns:a16="http://schemas.microsoft.com/office/drawing/2014/main" id="{00000000-0008-0000-0E00-000017A50100}"/>
            </a:ext>
          </a:extLst>
        </xdr:cNvPr>
        <xdr:cNvSpPr>
          <a:spLocks/>
        </xdr:cNvSpPr>
      </xdr:nvSpPr>
      <xdr:spPr bwMode="auto">
        <a:xfrm>
          <a:off x="4276725" y="5229225"/>
          <a:ext cx="104775" cy="476250"/>
        </a:xfrm>
        <a:prstGeom prst="rightBrace">
          <a:avLst>
            <a:gd name="adj1" fmla="val 3787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11</xdr:col>
      <xdr:colOff>695325</xdr:colOff>
      <xdr:row>21</xdr:row>
      <xdr:rowOff>9525</xdr:rowOff>
    </xdr:from>
    <xdr:to>
      <xdr:col>12</xdr:col>
      <xdr:colOff>142875</xdr:colOff>
      <xdr:row>21</xdr:row>
      <xdr:rowOff>371475</xdr:rowOff>
    </xdr:to>
    <xdr:pic>
      <xdr:nvPicPr>
        <xdr:cNvPr id="107801" name="Picture 10" descr="E:\My Documents\Excel\03_1040\Pencil - Black.jpg">
          <a:extLst>
            <a:ext uri="{FF2B5EF4-FFF2-40B4-BE49-F238E27FC236}">
              <a16:creationId xmlns:a16="http://schemas.microsoft.com/office/drawing/2014/main" id="{00000000-0008-0000-0E00-000019A5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115175" y="2562225"/>
          <a:ext cx="342900" cy="361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2526196</xdr:colOff>
      <xdr:row>30</xdr:row>
      <xdr:rowOff>82826</xdr:rowOff>
    </xdr:from>
    <xdr:to>
      <xdr:col>6</xdr:col>
      <xdr:colOff>2617306</xdr:colOff>
      <xdr:row>35</xdr:row>
      <xdr:rowOff>0</xdr:rowOff>
    </xdr:to>
    <xdr:sp macro="" textlink="">
      <xdr:nvSpPr>
        <xdr:cNvPr id="5" name="AutoShape 7">
          <a:extLst>
            <a:ext uri="{FF2B5EF4-FFF2-40B4-BE49-F238E27FC236}">
              <a16:creationId xmlns:a16="http://schemas.microsoft.com/office/drawing/2014/main" id="{00000000-0008-0000-0E00-000005000000}"/>
            </a:ext>
          </a:extLst>
        </xdr:cNvPr>
        <xdr:cNvSpPr>
          <a:spLocks/>
        </xdr:cNvSpPr>
      </xdr:nvSpPr>
      <xdr:spPr bwMode="auto">
        <a:xfrm>
          <a:off x="4273826" y="4663109"/>
          <a:ext cx="91110" cy="646043"/>
        </a:xfrm>
        <a:prstGeom prst="rightBrace">
          <a:avLst>
            <a:gd name="adj1" fmla="val 3787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6</xdr:col>
      <xdr:colOff>2517913</xdr:colOff>
      <xdr:row>39</xdr:row>
      <xdr:rowOff>49697</xdr:rowOff>
    </xdr:from>
    <xdr:to>
      <xdr:col>6</xdr:col>
      <xdr:colOff>2617306</xdr:colOff>
      <xdr:row>43</xdr:row>
      <xdr:rowOff>0</xdr:rowOff>
    </xdr:to>
    <xdr:sp macro="" textlink="">
      <xdr:nvSpPr>
        <xdr:cNvPr id="6" name="AutoShape 7">
          <a:extLst>
            <a:ext uri="{FF2B5EF4-FFF2-40B4-BE49-F238E27FC236}">
              <a16:creationId xmlns:a16="http://schemas.microsoft.com/office/drawing/2014/main" id="{00000000-0008-0000-0E00-000006000000}"/>
            </a:ext>
          </a:extLst>
        </xdr:cNvPr>
        <xdr:cNvSpPr>
          <a:spLocks/>
        </xdr:cNvSpPr>
      </xdr:nvSpPr>
      <xdr:spPr bwMode="auto">
        <a:xfrm>
          <a:off x="4265543" y="5806110"/>
          <a:ext cx="99393" cy="546652"/>
        </a:xfrm>
        <a:prstGeom prst="rightBrace">
          <a:avLst>
            <a:gd name="adj1" fmla="val 3787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8.xml><?xml version="1.0" encoding="utf-8"?>
<xdr:wsDr xmlns:xdr="http://schemas.openxmlformats.org/drawingml/2006/spreadsheetDrawing" xmlns:a="http://schemas.openxmlformats.org/drawingml/2006/main">
  <xdr:twoCellAnchor>
    <xdr:from>
      <xdr:col>9</xdr:col>
      <xdr:colOff>54429</xdr:colOff>
      <xdr:row>16</xdr:row>
      <xdr:rowOff>180975</xdr:rowOff>
    </xdr:from>
    <xdr:to>
      <xdr:col>9</xdr:col>
      <xdr:colOff>200025</xdr:colOff>
      <xdr:row>24</xdr:row>
      <xdr:rowOff>19050</xdr:rowOff>
    </xdr:to>
    <xdr:sp macro="" textlink="">
      <xdr:nvSpPr>
        <xdr:cNvPr id="111150" name="AutoShape 24">
          <a:extLst>
            <a:ext uri="{FF2B5EF4-FFF2-40B4-BE49-F238E27FC236}">
              <a16:creationId xmlns:a16="http://schemas.microsoft.com/office/drawing/2014/main" id="{00000000-0008-0000-0F00-00002EB20100}"/>
            </a:ext>
          </a:extLst>
        </xdr:cNvPr>
        <xdr:cNvSpPr>
          <a:spLocks/>
        </xdr:cNvSpPr>
      </xdr:nvSpPr>
      <xdr:spPr bwMode="auto">
        <a:xfrm>
          <a:off x="5646965" y="3494314"/>
          <a:ext cx="145596" cy="1164772"/>
        </a:xfrm>
        <a:prstGeom prst="rightBrace">
          <a:avLst>
            <a:gd name="adj1" fmla="val 55742"/>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2</xdr:col>
      <xdr:colOff>104775</xdr:colOff>
      <xdr:row>85</xdr:row>
      <xdr:rowOff>57150</xdr:rowOff>
    </xdr:from>
    <xdr:to>
      <xdr:col>4</xdr:col>
      <xdr:colOff>238124</xdr:colOff>
      <xdr:row>89</xdr:row>
      <xdr:rowOff>38100</xdr:rowOff>
    </xdr:to>
    <xdr:pic>
      <xdr:nvPicPr>
        <xdr:cNvPr id="111151" name="Picture 105" descr="caution">
          <a:extLst>
            <a:ext uri="{FF2B5EF4-FFF2-40B4-BE49-F238E27FC236}">
              <a16:creationId xmlns:a16="http://schemas.microsoft.com/office/drawing/2014/main" id="{00000000-0008-0000-0F00-00002FB201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0" y="15706725"/>
          <a:ext cx="666750" cy="666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257175</xdr:colOff>
      <xdr:row>67</xdr:row>
      <xdr:rowOff>85725</xdr:rowOff>
    </xdr:from>
    <xdr:to>
      <xdr:col>7</xdr:col>
      <xdr:colOff>352425</xdr:colOff>
      <xdr:row>76</xdr:row>
      <xdr:rowOff>38100</xdr:rowOff>
    </xdr:to>
    <xdr:sp macro="" textlink="">
      <xdr:nvSpPr>
        <xdr:cNvPr id="111152" name="AutoShape 517">
          <a:extLst>
            <a:ext uri="{FF2B5EF4-FFF2-40B4-BE49-F238E27FC236}">
              <a16:creationId xmlns:a16="http://schemas.microsoft.com/office/drawing/2014/main" id="{00000000-0008-0000-0F00-000030B20100}"/>
            </a:ext>
          </a:extLst>
        </xdr:cNvPr>
        <xdr:cNvSpPr>
          <a:spLocks/>
        </xdr:cNvSpPr>
      </xdr:nvSpPr>
      <xdr:spPr bwMode="auto">
        <a:xfrm>
          <a:off x="4714875" y="12553950"/>
          <a:ext cx="95250" cy="1247775"/>
        </a:xfrm>
        <a:prstGeom prst="rightBrace">
          <a:avLst>
            <a:gd name="adj1" fmla="val 109167"/>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142875</xdr:colOff>
      <xdr:row>37</xdr:row>
      <xdr:rowOff>10886</xdr:rowOff>
    </xdr:from>
    <xdr:to>
      <xdr:col>9</xdr:col>
      <xdr:colOff>307521</xdr:colOff>
      <xdr:row>49</xdr:row>
      <xdr:rowOff>0</xdr:rowOff>
    </xdr:to>
    <xdr:sp macro="" textlink="">
      <xdr:nvSpPr>
        <xdr:cNvPr id="111155" name="AutoShape 645">
          <a:extLst>
            <a:ext uri="{FF2B5EF4-FFF2-40B4-BE49-F238E27FC236}">
              <a16:creationId xmlns:a16="http://schemas.microsoft.com/office/drawing/2014/main" id="{00000000-0008-0000-0F00-000033B20100}"/>
            </a:ext>
          </a:extLst>
        </xdr:cNvPr>
        <xdr:cNvSpPr>
          <a:spLocks/>
        </xdr:cNvSpPr>
      </xdr:nvSpPr>
      <xdr:spPr bwMode="auto">
        <a:xfrm>
          <a:off x="5735411" y="6617154"/>
          <a:ext cx="164646" cy="1860096"/>
        </a:xfrm>
        <a:prstGeom prst="rightBrace">
          <a:avLst>
            <a:gd name="adj1" fmla="val 88596"/>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23</xdr:col>
      <xdr:colOff>409575</xdr:colOff>
      <xdr:row>69</xdr:row>
      <xdr:rowOff>19050</xdr:rowOff>
    </xdr:from>
    <xdr:to>
      <xdr:col>23</xdr:col>
      <xdr:colOff>600075</xdr:colOff>
      <xdr:row>69</xdr:row>
      <xdr:rowOff>133350</xdr:rowOff>
    </xdr:to>
    <xdr:sp macro="" textlink="">
      <xdr:nvSpPr>
        <xdr:cNvPr id="9" name="AutoShape 344">
          <a:extLst>
            <a:ext uri="{FF2B5EF4-FFF2-40B4-BE49-F238E27FC236}">
              <a16:creationId xmlns:a16="http://schemas.microsoft.com/office/drawing/2014/main" id="{00000000-0008-0000-0F00-000009000000}"/>
            </a:ext>
          </a:extLst>
        </xdr:cNvPr>
        <xdr:cNvSpPr>
          <a:spLocks noChangeArrowheads="1"/>
        </xdr:cNvSpPr>
      </xdr:nvSpPr>
      <xdr:spPr bwMode="auto">
        <a:xfrm rot="10800000">
          <a:off x="9686925" y="5648325"/>
          <a:ext cx="190500" cy="11430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23</xdr:col>
      <xdr:colOff>409575</xdr:colOff>
      <xdr:row>94</xdr:row>
      <xdr:rowOff>19050</xdr:rowOff>
    </xdr:from>
    <xdr:to>
      <xdr:col>23</xdr:col>
      <xdr:colOff>600075</xdr:colOff>
      <xdr:row>94</xdr:row>
      <xdr:rowOff>133350</xdr:rowOff>
    </xdr:to>
    <xdr:sp macro="" textlink="">
      <xdr:nvSpPr>
        <xdr:cNvPr id="10" name="AutoShape 344">
          <a:extLst>
            <a:ext uri="{FF2B5EF4-FFF2-40B4-BE49-F238E27FC236}">
              <a16:creationId xmlns:a16="http://schemas.microsoft.com/office/drawing/2014/main" id="{00000000-0008-0000-0F00-00000A000000}"/>
            </a:ext>
          </a:extLst>
        </xdr:cNvPr>
        <xdr:cNvSpPr>
          <a:spLocks noChangeArrowheads="1"/>
        </xdr:cNvSpPr>
      </xdr:nvSpPr>
      <xdr:spPr bwMode="auto">
        <a:xfrm rot="10800000">
          <a:off x="9686925" y="5648325"/>
          <a:ext cx="190500" cy="11430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23</xdr:col>
      <xdr:colOff>409575</xdr:colOff>
      <xdr:row>40</xdr:row>
      <xdr:rowOff>19050</xdr:rowOff>
    </xdr:from>
    <xdr:to>
      <xdr:col>23</xdr:col>
      <xdr:colOff>600075</xdr:colOff>
      <xdr:row>40</xdr:row>
      <xdr:rowOff>133350</xdr:rowOff>
    </xdr:to>
    <xdr:sp macro="" textlink="">
      <xdr:nvSpPr>
        <xdr:cNvPr id="11" name="AutoShape 344">
          <a:extLst>
            <a:ext uri="{FF2B5EF4-FFF2-40B4-BE49-F238E27FC236}">
              <a16:creationId xmlns:a16="http://schemas.microsoft.com/office/drawing/2014/main" id="{00000000-0008-0000-0F00-00000B000000}"/>
            </a:ext>
          </a:extLst>
        </xdr:cNvPr>
        <xdr:cNvSpPr>
          <a:spLocks noChangeArrowheads="1"/>
        </xdr:cNvSpPr>
      </xdr:nvSpPr>
      <xdr:spPr bwMode="auto">
        <a:xfrm rot="10800000">
          <a:off x="9686925" y="5648325"/>
          <a:ext cx="190500" cy="11430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23</xdr:col>
      <xdr:colOff>409575</xdr:colOff>
      <xdr:row>58</xdr:row>
      <xdr:rowOff>19050</xdr:rowOff>
    </xdr:from>
    <xdr:to>
      <xdr:col>23</xdr:col>
      <xdr:colOff>600075</xdr:colOff>
      <xdr:row>58</xdr:row>
      <xdr:rowOff>133350</xdr:rowOff>
    </xdr:to>
    <xdr:sp macro="" textlink="">
      <xdr:nvSpPr>
        <xdr:cNvPr id="12" name="AutoShape 344">
          <a:extLst>
            <a:ext uri="{FF2B5EF4-FFF2-40B4-BE49-F238E27FC236}">
              <a16:creationId xmlns:a16="http://schemas.microsoft.com/office/drawing/2014/main" id="{00000000-0008-0000-0F00-00000C000000}"/>
            </a:ext>
          </a:extLst>
        </xdr:cNvPr>
        <xdr:cNvSpPr>
          <a:spLocks noChangeArrowheads="1"/>
        </xdr:cNvSpPr>
      </xdr:nvSpPr>
      <xdr:spPr bwMode="auto">
        <a:xfrm rot="10800000">
          <a:off x="9686925" y="7829550"/>
          <a:ext cx="190500" cy="11430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23</xdr:col>
      <xdr:colOff>409575</xdr:colOff>
      <xdr:row>25</xdr:row>
      <xdr:rowOff>19050</xdr:rowOff>
    </xdr:from>
    <xdr:to>
      <xdr:col>23</xdr:col>
      <xdr:colOff>600075</xdr:colOff>
      <xdr:row>25</xdr:row>
      <xdr:rowOff>133350</xdr:rowOff>
    </xdr:to>
    <xdr:sp macro="" textlink="">
      <xdr:nvSpPr>
        <xdr:cNvPr id="13" name="AutoShape 344">
          <a:extLst>
            <a:ext uri="{FF2B5EF4-FFF2-40B4-BE49-F238E27FC236}">
              <a16:creationId xmlns:a16="http://schemas.microsoft.com/office/drawing/2014/main" id="{00000000-0008-0000-0F00-00000D000000}"/>
            </a:ext>
          </a:extLst>
        </xdr:cNvPr>
        <xdr:cNvSpPr>
          <a:spLocks noChangeArrowheads="1"/>
        </xdr:cNvSpPr>
      </xdr:nvSpPr>
      <xdr:spPr bwMode="auto">
        <a:xfrm rot="10800000">
          <a:off x="9730937" y="5004895"/>
          <a:ext cx="190500" cy="11430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wsDr>
</file>

<file path=xl/drawings/drawing9.xml><?xml version="1.0" encoding="utf-8"?>
<xdr:wsDr xmlns:xdr="http://schemas.openxmlformats.org/drawingml/2006/spreadsheetDrawing" xmlns:a="http://schemas.openxmlformats.org/drawingml/2006/main">
  <xdr:twoCellAnchor>
    <xdr:from>
      <xdr:col>7</xdr:col>
      <xdr:colOff>342900</xdr:colOff>
      <xdr:row>18</xdr:row>
      <xdr:rowOff>47625</xdr:rowOff>
    </xdr:from>
    <xdr:to>
      <xdr:col>7</xdr:col>
      <xdr:colOff>447675</xdr:colOff>
      <xdr:row>21</xdr:row>
      <xdr:rowOff>38100</xdr:rowOff>
    </xdr:to>
    <xdr:sp macro="" textlink="">
      <xdr:nvSpPr>
        <xdr:cNvPr id="38" name="AutoShape 973">
          <a:extLst>
            <a:ext uri="{FF2B5EF4-FFF2-40B4-BE49-F238E27FC236}">
              <a16:creationId xmlns:a16="http://schemas.microsoft.com/office/drawing/2014/main" id="{00000000-0008-0000-1000-000026000000}"/>
            </a:ext>
          </a:extLst>
        </xdr:cNvPr>
        <xdr:cNvSpPr>
          <a:spLocks/>
        </xdr:cNvSpPr>
      </xdr:nvSpPr>
      <xdr:spPr bwMode="auto">
        <a:xfrm>
          <a:off x="17487900" y="8582025"/>
          <a:ext cx="104775" cy="533400"/>
        </a:xfrm>
        <a:prstGeom prst="rightBrace">
          <a:avLst>
            <a:gd name="adj1" fmla="val 61181"/>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10.xml><?xml version="1.0" encoding="utf-8"?>
<xdr:wsDr xmlns:xdr="http://schemas.openxmlformats.org/drawingml/2006/spreadsheetDrawing" xmlns:a="http://schemas.openxmlformats.org/drawingml/2006/main">
  <xdr:twoCellAnchor>
    <xdr:from>
      <xdr:col>36</xdr:col>
      <xdr:colOff>676275</xdr:colOff>
      <xdr:row>8</xdr:row>
      <xdr:rowOff>6212</xdr:rowOff>
    </xdr:from>
    <xdr:to>
      <xdr:col>36</xdr:col>
      <xdr:colOff>866775</xdr:colOff>
      <xdr:row>8</xdr:row>
      <xdr:rowOff>82412</xdr:rowOff>
    </xdr:to>
    <xdr:sp macro="" textlink="">
      <xdr:nvSpPr>
        <xdr:cNvPr id="5" name="AutoShape 344">
          <a:extLst>
            <a:ext uri="{FF2B5EF4-FFF2-40B4-BE49-F238E27FC236}">
              <a16:creationId xmlns:a16="http://schemas.microsoft.com/office/drawing/2014/main" id="{00000000-0008-0000-1100-000005000000}"/>
            </a:ext>
          </a:extLst>
        </xdr:cNvPr>
        <xdr:cNvSpPr>
          <a:spLocks noChangeArrowheads="1"/>
        </xdr:cNvSpPr>
      </xdr:nvSpPr>
      <xdr:spPr bwMode="auto">
        <a:xfrm rot="10800000">
          <a:off x="9426575" y="1403212"/>
          <a:ext cx="190500" cy="7620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36</xdr:col>
      <xdr:colOff>649999</xdr:colOff>
      <xdr:row>85</xdr:row>
      <xdr:rowOff>81643</xdr:rowOff>
    </xdr:from>
    <xdr:to>
      <xdr:col>36</xdr:col>
      <xdr:colOff>840499</xdr:colOff>
      <xdr:row>85</xdr:row>
      <xdr:rowOff>188829</xdr:rowOff>
    </xdr:to>
    <xdr:sp macro="" textlink="">
      <xdr:nvSpPr>
        <xdr:cNvPr id="7" name="AutoShape 344">
          <a:extLst>
            <a:ext uri="{FF2B5EF4-FFF2-40B4-BE49-F238E27FC236}">
              <a16:creationId xmlns:a16="http://schemas.microsoft.com/office/drawing/2014/main" id="{00000000-0008-0000-1100-000007000000}"/>
            </a:ext>
          </a:extLst>
        </xdr:cNvPr>
        <xdr:cNvSpPr>
          <a:spLocks noChangeArrowheads="1"/>
        </xdr:cNvSpPr>
      </xdr:nvSpPr>
      <xdr:spPr bwMode="auto">
        <a:xfrm rot="10800000">
          <a:off x="8902731" y="13695589"/>
          <a:ext cx="190500" cy="107186"/>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36</xdr:col>
      <xdr:colOff>649999</xdr:colOff>
      <xdr:row>60</xdr:row>
      <xdr:rowOff>81643</xdr:rowOff>
    </xdr:from>
    <xdr:to>
      <xdr:col>36</xdr:col>
      <xdr:colOff>840499</xdr:colOff>
      <xdr:row>60</xdr:row>
      <xdr:rowOff>188829</xdr:rowOff>
    </xdr:to>
    <xdr:sp macro="" textlink="">
      <xdr:nvSpPr>
        <xdr:cNvPr id="9" name="AutoShape 344">
          <a:extLst>
            <a:ext uri="{FF2B5EF4-FFF2-40B4-BE49-F238E27FC236}">
              <a16:creationId xmlns:a16="http://schemas.microsoft.com/office/drawing/2014/main" id="{00000000-0008-0000-1100-000009000000}"/>
            </a:ext>
          </a:extLst>
        </xdr:cNvPr>
        <xdr:cNvSpPr>
          <a:spLocks noChangeArrowheads="1"/>
        </xdr:cNvSpPr>
      </xdr:nvSpPr>
      <xdr:spPr bwMode="auto">
        <a:xfrm rot="10800000">
          <a:off x="8831974" y="9063718"/>
          <a:ext cx="190500" cy="107186"/>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wsDr>
</file>

<file path=xl/drawings/drawing11.xml><?xml version="1.0" encoding="utf-8"?>
<xdr:wsDr xmlns:xdr="http://schemas.openxmlformats.org/drawingml/2006/spreadsheetDrawing" xmlns:a="http://schemas.openxmlformats.org/drawingml/2006/main">
  <xdr:twoCellAnchor>
    <xdr:from>
      <xdr:col>35</xdr:col>
      <xdr:colOff>676275</xdr:colOff>
      <xdr:row>8</xdr:row>
      <xdr:rowOff>6212</xdr:rowOff>
    </xdr:from>
    <xdr:to>
      <xdr:col>35</xdr:col>
      <xdr:colOff>866775</xdr:colOff>
      <xdr:row>8</xdr:row>
      <xdr:rowOff>82412</xdr:rowOff>
    </xdr:to>
    <xdr:sp macro="" textlink="">
      <xdr:nvSpPr>
        <xdr:cNvPr id="4" name="AutoShape 344">
          <a:extLst>
            <a:ext uri="{FF2B5EF4-FFF2-40B4-BE49-F238E27FC236}">
              <a16:creationId xmlns:a16="http://schemas.microsoft.com/office/drawing/2014/main" id="{00000000-0008-0000-1200-000004000000}"/>
            </a:ext>
          </a:extLst>
        </xdr:cNvPr>
        <xdr:cNvSpPr>
          <a:spLocks noChangeArrowheads="1"/>
        </xdr:cNvSpPr>
      </xdr:nvSpPr>
      <xdr:spPr bwMode="auto">
        <a:xfrm rot="10800000">
          <a:off x="9426575" y="1403212"/>
          <a:ext cx="190500" cy="7620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10</xdr:col>
      <xdr:colOff>85725</xdr:colOff>
      <xdr:row>1</xdr:row>
      <xdr:rowOff>66675</xdr:rowOff>
    </xdr:from>
    <xdr:to>
      <xdr:col>10</xdr:col>
      <xdr:colOff>523875</xdr:colOff>
      <xdr:row>3</xdr:row>
      <xdr:rowOff>167217</xdr:rowOff>
    </xdr:to>
    <xdr:pic>
      <xdr:nvPicPr>
        <xdr:cNvPr id="3" name="Picture 579" descr="Pencil - Black">
          <a:extLst>
            <a:ext uri="{FF2B5EF4-FFF2-40B4-BE49-F238E27FC236}">
              <a16:creationId xmlns:a16="http://schemas.microsoft.com/office/drawing/2014/main" id="{00000000-0008-0000-13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657975" y="1266825"/>
          <a:ext cx="438150" cy="46249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3.xml><?xml version="1.0" encoding="utf-8"?>
<xdr:wsDr xmlns:xdr="http://schemas.openxmlformats.org/drawingml/2006/spreadsheetDrawing" xmlns:a="http://schemas.openxmlformats.org/drawingml/2006/main">
  <xdr:twoCellAnchor>
    <xdr:from>
      <xdr:col>3</xdr:col>
      <xdr:colOff>809953</xdr:colOff>
      <xdr:row>63</xdr:row>
      <xdr:rowOff>19050</xdr:rowOff>
    </xdr:from>
    <xdr:to>
      <xdr:col>3</xdr:col>
      <xdr:colOff>1264526</xdr:colOff>
      <xdr:row>65</xdr:row>
      <xdr:rowOff>105103</xdr:rowOff>
    </xdr:to>
    <xdr:sp macro="" textlink="">
      <xdr:nvSpPr>
        <xdr:cNvPr id="108737" name="AutoShape 87">
          <a:extLst>
            <a:ext uri="{FF2B5EF4-FFF2-40B4-BE49-F238E27FC236}">
              <a16:creationId xmlns:a16="http://schemas.microsoft.com/office/drawing/2014/main" id="{00000000-0008-0000-1400-0000C1A80100}"/>
            </a:ext>
          </a:extLst>
        </xdr:cNvPr>
        <xdr:cNvSpPr>
          <a:spLocks noChangeArrowheads="1"/>
        </xdr:cNvSpPr>
      </xdr:nvSpPr>
      <xdr:spPr bwMode="auto">
        <a:xfrm>
          <a:off x="1419553" y="11068050"/>
          <a:ext cx="454573" cy="352753"/>
        </a:xfrm>
        <a:prstGeom prst="octagon">
          <a:avLst>
            <a:gd name="adj" fmla="val 29287"/>
          </a:avLst>
        </a:prstGeom>
        <a:noFill/>
        <a:ln w="1587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77665</xdr:colOff>
      <xdr:row>49</xdr:row>
      <xdr:rowOff>56174</xdr:rowOff>
    </xdr:from>
    <xdr:to>
      <xdr:col>4</xdr:col>
      <xdr:colOff>41763</xdr:colOff>
      <xdr:row>52</xdr:row>
      <xdr:rowOff>81573</xdr:rowOff>
    </xdr:to>
    <xdr:pic>
      <xdr:nvPicPr>
        <xdr:cNvPr id="110033" name="Picture 98">
          <a:extLst>
            <a:ext uri="{FF2B5EF4-FFF2-40B4-BE49-F238E27FC236}">
              <a16:creationId xmlns:a16="http://schemas.microsoft.com/office/drawing/2014/main" id="{00000000-0008-0000-1500-0000D1AD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36415" y="8628674"/>
          <a:ext cx="456223" cy="438149"/>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8</xdr:col>
      <xdr:colOff>67186</xdr:colOff>
      <xdr:row>24</xdr:row>
      <xdr:rowOff>134200</xdr:rowOff>
    </xdr:from>
    <xdr:to>
      <xdr:col>8</xdr:col>
      <xdr:colOff>187440</xdr:colOff>
      <xdr:row>32</xdr:row>
      <xdr:rowOff>134200</xdr:rowOff>
    </xdr:to>
    <xdr:sp macro="" textlink="">
      <xdr:nvSpPr>
        <xdr:cNvPr id="110034" name="AutoShape 99">
          <a:extLst>
            <a:ext uri="{FF2B5EF4-FFF2-40B4-BE49-F238E27FC236}">
              <a16:creationId xmlns:a16="http://schemas.microsoft.com/office/drawing/2014/main" id="{00000000-0008-0000-1500-0000D2AD0100}"/>
            </a:ext>
          </a:extLst>
        </xdr:cNvPr>
        <xdr:cNvSpPr>
          <a:spLocks/>
        </xdr:cNvSpPr>
      </xdr:nvSpPr>
      <xdr:spPr bwMode="auto">
        <a:xfrm>
          <a:off x="4673204" y="4692593"/>
          <a:ext cx="120254" cy="1306286"/>
        </a:xfrm>
        <a:prstGeom prst="rightBrace">
          <a:avLst>
            <a:gd name="adj1" fmla="val 62963"/>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4</xdr:col>
      <xdr:colOff>304800</xdr:colOff>
      <xdr:row>19</xdr:row>
      <xdr:rowOff>38100</xdr:rowOff>
    </xdr:from>
    <xdr:to>
      <xdr:col>4</xdr:col>
      <xdr:colOff>761943</xdr:colOff>
      <xdr:row>21</xdr:row>
      <xdr:rowOff>123772</xdr:rowOff>
    </xdr:to>
    <xdr:pic>
      <xdr:nvPicPr>
        <xdr:cNvPr id="2" name="Pictur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2"/>
        <a:stretch>
          <a:fillRect/>
        </a:stretch>
      </xdr:blipFill>
      <xdr:spPr>
        <a:xfrm>
          <a:off x="962025" y="4029075"/>
          <a:ext cx="457143" cy="428571"/>
        </a:xfrm>
        <a:prstGeom prst="rect">
          <a:avLst/>
        </a:prstGeom>
      </xdr:spPr>
    </xdr:pic>
    <xdr:clientData/>
  </xdr:twoCellAnchor>
  <xdr:twoCellAnchor editAs="oneCell">
    <xdr:from>
      <xdr:col>4</xdr:col>
      <xdr:colOff>255104</xdr:colOff>
      <xdr:row>32</xdr:row>
      <xdr:rowOff>152400</xdr:rowOff>
    </xdr:from>
    <xdr:to>
      <xdr:col>4</xdr:col>
      <xdr:colOff>712247</xdr:colOff>
      <xdr:row>35</xdr:row>
      <xdr:rowOff>76145</xdr:rowOff>
    </xdr:to>
    <xdr:pic>
      <xdr:nvPicPr>
        <xdr:cNvPr id="3" name="Picture 2">
          <a:extLst>
            <a:ext uri="{FF2B5EF4-FFF2-40B4-BE49-F238E27FC236}">
              <a16:creationId xmlns:a16="http://schemas.microsoft.com/office/drawing/2014/main" id="{00000000-0008-0000-1500-000003000000}"/>
            </a:ext>
          </a:extLst>
        </xdr:cNvPr>
        <xdr:cNvPicPr>
          <a:picLocks noChangeAspect="1"/>
        </xdr:cNvPicPr>
      </xdr:nvPicPr>
      <xdr:blipFill>
        <a:blip xmlns:r="http://schemas.openxmlformats.org/officeDocument/2006/relationships" r:embed="rId2"/>
        <a:stretch>
          <a:fillRect/>
        </a:stretch>
      </xdr:blipFill>
      <xdr:spPr>
        <a:xfrm>
          <a:off x="917713" y="6587987"/>
          <a:ext cx="457143" cy="437267"/>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xdr:from>
      <xdr:col>8</xdr:col>
      <xdr:colOff>285750</xdr:colOff>
      <xdr:row>8</xdr:row>
      <xdr:rowOff>38100</xdr:rowOff>
    </xdr:from>
    <xdr:to>
      <xdr:col>8</xdr:col>
      <xdr:colOff>352425</xdr:colOff>
      <xdr:row>10</xdr:row>
      <xdr:rowOff>133350</xdr:rowOff>
    </xdr:to>
    <xdr:sp macro="" textlink="">
      <xdr:nvSpPr>
        <xdr:cNvPr id="29" name="AutoShape 973">
          <a:extLst>
            <a:ext uri="{FF2B5EF4-FFF2-40B4-BE49-F238E27FC236}">
              <a16:creationId xmlns:a16="http://schemas.microsoft.com/office/drawing/2014/main" id="{00000000-0008-0000-1600-00001D000000}"/>
            </a:ext>
          </a:extLst>
        </xdr:cNvPr>
        <xdr:cNvSpPr>
          <a:spLocks/>
        </xdr:cNvSpPr>
      </xdr:nvSpPr>
      <xdr:spPr bwMode="auto">
        <a:xfrm>
          <a:off x="4629150" y="1457325"/>
          <a:ext cx="66675" cy="438150"/>
        </a:xfrm>
        <a:prstGeom prst="rightBrace">
          <a:avLst>
            <a:gd name="adj1" fmla="val 61181"/>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8</xdr:col>
      <xdr:colOff>247650</xdr:colOff>
      <xdr:row>22</xdr:row>
      <xdr:rowOff>57150</xdr:rowOff>
    </xdr:from>
    <xdr:to>
      <xdr:col>8</xdr:col>
      <xdr:colOff>333375</xdr:colOff>
      <xdr:row>25</xdr:row>
      <xdr:rowOff>57150</xdr:rowOff>
    </xdr:to>
    <xdr:sp macro="" textlink="">
      <xdr:nvSpPr>
        <xdr:cNvPr id="30" name="AutoShape 973">
          <a:extLst>
            <a:ext uri="{FF2B5EF4-FFF2-40B4-BE49-F238E27FC236}">
              <a16:creationId xmlns:a16="http://schemas.microsoft.com/office/drawing/2014/main" id="{00000000-0008-0000-1600-00001E000000}"/>
            </a:ext>
          </a:extLst>
        </xdr:cNvPr>
        <xdr:cNvSpPr>
          <a:spLocks/>
        </xdr:cNvSpPr>
      </xdr:nvSpPr>
      <xdr:spPr bwMode="auto">
        <a:xfrm>
          <a:off x="4591050" y="3486150"/>
          <a:ext cx="85725" cy="514350"/>
        </a:xfrm>
        <a:prstGeom prst="rightBrace">
          <a:avLst>
            <a:gd name="adj1" fmla="val 61194"/>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8</xdr:col>
      <xdr:colOff>266700</xdr:colOff>
      <xdr:row>17</xdr:row>
      <xdr:rowOff>85725</xdr:rowOff>
    </xdr:from>
    <xdr:to>
      <xdr:col>8</xdr:col>
      <xdr:colOff>333375</xdr:colOff>
      <xdr:row>21</xdr:row>
      <xdr:rowOff>9525</xdr:rowOff>
    </xdr:to>
    <xdr:sp macro="" textlink="">
      <xdr:nvSpPr>
        <xdr:cNvPr id="6" name="AutoShape 973">
          <a:extLst>
            <a:ext uri="{FF2B5EF4-FFF2-40B4-BE49-F238E27FC236}">
              <a16:creationId xmlns:a16="http://schemas.microsoft.com/office/drawing/2014/main" id="{00000000-0008-0000-1600-000006000000}"/>
            </a:ext>
          </a:extLst>
        </xdr:cNvPr>
        <xdr:cNvSpPr>
          <a:spLocks/>
        </xdr:cNvSpPr>
      </xdr:nvSpPr>
      <xdr:spPr bwMode="auto">
        <a:xfrm>
          <a:off x="4610100" y="2828925"/>
          <a:ext cx="66675" cy="438150"/>
        </a:xfrm>
        <a:prstGeom prst="rightBrace">
          <a:avLst>
            <a:gd name="adj1" fmla="val 61181"/>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16.xml><?xml version="1.0" encoding="utf-8"?>
<xdr:wsDr xmlns:xdr="http://schemas.openxmlformats.org/drawingml/2006/spreadsheetDrawing" xmlns:a="http://schemas.openxmlformats.org/drawingml/2006/main">
  <xdr:twoCellAnchor>
    <xdr:from>
      <xdr:col>7</xdr:col>
      <xdr:colOff>2019300</xdr:colOff>
      <xdr:row>42</xdr:row>
      <xdr:rowOff>66675</xdr:rowOff>
    </xdr:from>
    <xdr:to>
      <xdr:col>8</xdr:col>
      <xdr:colOff>38100</xdr:colOff>
      <xdr:row>45</xdr:row>
      <xdr:rowOff>19050</xdr:rowOff>
    </xdr:to>
    <xdr:sp macro="" textlink="">
      <xdr:nvSpPr>
        <xdr:cNvPr id="3" name="AutoShape 21">
          <a:extLst>
            <a:ext uri="{FF2B5EF4-FFF2-40B4-BE49-F238E27FC236}">
              <a16:creationId xmlns:a16="http://schemas.microsoft.com/office/drawing/2014/main" id="{00000000-0008-0000-1700-000003000000}"/>
            </a:ext>
          </a:extLst>
        </xdr:cNvPr>
        <xdr:cNvSpPr>
          <a:spLocks/>
        </xdr:cNvSpPr>
      </xdr:nvSpPr>
      <xdr:spPr bwMode="auto">
        <a:xfrm>
          <a:off x="3930650" y="7648575"/>
          <a:ext cx="95250" cy="434975"/>
        </a:xfrm>
        <a:prstGeom prst="rightBrace">
          <a:avLst>
            <a:gd name="adj1" fmla="val 30326"/>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1890346</xdr:colOff>
      <xdr:row>34</xdr:row>
      <xdr:rowOff>66675</xdr:rowOff>
    </xdr:from>
    <xdr:to>
      <xdr:col>8</xdr:col>
      <xdr:colOff>0</xdr:colOff>
      <xdr:row>38</xdr:row>
      <xdr:rowOff>104775</xdr:rowOff>
    </xdr:to>
    <xdr:sp macro="" textlink="">
      <xdr:nvSpPr>
        <xdr:cNvPr id="4" name="AutoShape 43">
          <a:extLst>
            <a:ext uri="{FF2B5EF4-FFF2-40B4-BE49-F238E27FC236}">
              <a16:creationId xmlns:a16="http://schemas.microsoft.com/office/drawing/2014/main" id="{00000000-0008-0000-1700-000004000000}"/>
            </a:ext>
          </a:extLst>
        </xdr:cNvPr>
        <xdr:cNvSpPr>
          <a:spLocks/>
        </xdr:cNvSpPr>
      </xdr:nvSpPr>
      <xdr:spPr bwMode="auto">
        <a:xfrm>
          <a:off x="3795346" y="5343525"/>
          <a:ext cx="81329" cy="723900"/>
        </a:xfrm>
        <a:prstGeom prst="rightBrace">
          <a:avLst>
            <a:gd name="adj1" fmla="val 26852"/>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2025650</xdr:colOff>
      <xdr:row>53</xdr:row>
      <xdr:rowOff>24912</xdr:rowOff>
    </xdr:from>
    <xdr:to>
      <xdr:col>8</xdr:col>
      <xdr:colOff>25400</xdr:colOff>
      <xdr:row>56</xdr:row>
      <xdr:rowOff>59104</xdr:rowOff>
    </xdr:to>
    <xdr:sp macro="" textlink="">
      <xdr:nvSpPr>
        <xdr:cNvPr id="5" name="AutoShape 21">
          <a:extLst>
            <a:ext uri="{FF2B5EF4-FFF2-40B4-BE49-F238E27FC236}">
              <a16:creationId xmlns:a16="http://schemas.microsoft.com/office/drawing/2014/main" id="{00000000-0008-0000-1700-000005000000}"/>
            </a:ext>
          </a:extLst>
        </xdr:cNvPr>
        <xdr:cNvSpPr>
          <a:spLocks/>
        </xdr:cNvSpPr>
      </xdr:nvSpPr>
      <xdr:spPr bwMode="auto">
        <a:xfrm>
          <a:off x="3937000" y="9410212"/>
          <a:ext cx="76200" cy="516792"/>
        </a:xfrm>
        <a:prstGeom prst="rightBrace">
          <a:avLst>
            <a:gd name="adj1" fmla="val 30326"/>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1</xdr:col>
      <xdr:colOff>87923</xdr:colOff>
      <xdr:row>78</xdr:row>
      <xdr:rowOff>29309</xdr:rowOff>
    </xdr:from>
    <xdr:to>
      <xdr:col>4</xdr:col>
      <xdr:colOff>11723</xdr:colOff>
      <xdr:row>79</xdr:row>
      <xdr:rowOff>128307</xdr:rowOff>
    </xdr:to>
    <xdr:pic>
      <xdr:nvPicPr>
        <xdr:cNvPr id="7" name="Picture 113" descr="E:\My Documents\Excel\04_1040\IRS Forms\CAUTION_Black.jpg">
          <a:extLst>
            <a:ext uri="{FF2B5EF4-FFF2-40B4-BE49-F238E27FC236}">
              <a16:creationId xmlns:a16="http://schemas.microsoft.com/office/drawing/2014/main" id="{00000000-0008-0000-17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56442" y="13591444"/>
          <a:ext cx="392723" cy="4140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7.xml><?xml version="1.0" encoding="utf-8"?>
<xdr:wsDr xmlns:xdr="http://schemas.openxmlformats.org/drawingml/2006/spreadsheetDrawing" xmlns:a="http://schemas.openxmlformats.org/drawingml/2006/main">
  <xdr:twoCellAnchor>
    <xdr:from>
      <xdr:col>16</xdr:col>
      <xdr:colOff>95250</xdr:colOff>
      <xdr:row>402</xdr:row>
      <xdr:rowOff>0</xdr:rowOff>
    </xdr:from>
    <xdr:to>
      <xdr:col>16</xdr:col>
      <xdr:colOff>140969</xdr:colOff>
      <xdr:row>404</xdr:row>
      <xdr:rowOff>9526</xdr:rowOff>
    </xdr:to>
    <xdr:sp macro="" textlink="">
      <xdr:nvSpPr>
        <xdr:cNvPr id="3" name="AutoShape 2">
          <a:extLst>
            <a:ext uri="{FF2B5EF4-FFF2-40B4-BE49-F238E27FC236}">
              <a16:creationId xmlns:a16="http://schemas.microsoft.com/office/drawing/2014/main" id="{00000000-0008-0000-1800-000003000000}"/>
            </a:ext>
          </a:extLst>
        </xdr:cNvPr>
        <xdr:cNvSpPr>
          <a:spLocks/>
        </xdr:cNvSpPr>
      </xdr:nvSpPr>
      <xdr:spPr bwMode="auto">
        <a:xfrm>
          <a:off x="8248650" y="70132575"/>
          <a:ext cx="45719" cy="333376"/>
        </a:xfrm>
        <a:prstGeom prst="leftBrace">
          <a:avLst>
            <a:gd name="adj1" fmla="val 53125"/>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0</xdr:col>
      <xdr:colOff>707927</xdr:colOff>
      <xdr:row>263</xdr:row>
      <xdr:rowOff>53578</xdr:rowOff>
    </xdr:from>
    <xdr:to>
      <xdr:col>2</xdr:col>
      <xdr:colOff>188913</xdr:colOff>
      <xdr:row>266</xdr:row>
      <xdr:rowOff>67862</xdr:rowOff>
    </xdr:to>
    <xdr:pic>
      <xdr:nvPicPr>
        <xdr:cNvPr id="4" name="Picture 113" descr="E:\My Documents\Excel\04_1040\IRS Forms\CAUTION_Black.jpg">
          <a:extLst>
            <a:ext uri="{FF2B5EF4-FFF2-40B4-BE49-F238E27FC236}">
              <a16:creationId xmlns:a16="http://schemas.microsoft.com/office/drawing/2014/main" id="{00000000-0008-0000-1800-000004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07927" y="40582453"/>
          <a:ext cx="439439" cy="4964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78828</xdr:colOff>
      <xdr:row>502</xdr:row>
      <xdr:rowOff>158888</xdr:rowOff>
    </xdr:from>
    <xdr:to>
      <xdr:col>3</xdr:col>
      <xdr:colOff>503238</xdr:colOff>
      <xdr:row>505</xdr:row>
      <xdr:rowOff>146048</xdr:rowOff>
    </xdr:to>
    <xdr:pic>
      <xdr:nvPicPr>
        <xdr:cNvPr id="5" name="Picture 113" descr="E:\My Documents\Excel\04_1040\IRS Forms\CAUTION_Black.jpg">
          <a:extLst>
            <a:ext uri="{FF2B5EF4-FFF2-40B4-BE49-F238E27FC236}">
              <a16:creationId xmlns:a16="http://schemas.microsoft.com/office/drawing/2014/main" id="{00000000-0008-0000-18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00656" y="79124422"/>
          <a:ext cx="424410" cy="48640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xdr:col>
      <xdr:colOff>76200</xdr:colOff>
      <xdr:row>360</xdr:row>
      <xdr:rowOff>47625</xdr:rowOff>
    </xdr:from>
    <xdr:ext cx="366712" cy="419100"/>
    <xdr:pic>
      <xdr:nvPicPr>
        <xdr:cNvPr id="8" name="Picture 113" descr="E:\My Documents\Excel\04_1040\IRS Forms\CAUTION_Black.jpg">
          <a:extLst>
            <a:ext uri="{FF2B5EF4-FFF2-40B4-BE49-F238E27FC236}">
              <a16:creationId xmlns:a16="http://schemas.microsoft.com/office/drawing/2014/main" id="{00000000-0008-0000-1800-000008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23900" y="38185725"/>
          <a:ext cx="366712"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editAs="oneCell">
    <xdr:from>
      <xdr:col>16</xdr:col>
      <xdr:colOff>0</xdr:colOff>
      <xdr:row>366</xdr:row>
      <xdr:rowOff>0</xdr:rowOff>
    </xdr:from>
    <xdr:to>
      <xdr:col>18</xdr:col>
      <xdr:colOff>198782</xdr:colOff>
      <xdr:row>368</xdr:row>
      <xdr:rowOff>23131</xdr:rowOff>
    </xdr:to>
    <xdr:pic>
      <xdr:nvPicPr>
        <xdr:cNvPr id="9" name="Picture 8">
          <a:extLst>
            <a:ext uri="{FF2B5EF4-FFF2-40B4-BE49-F238E27FC236}">
              <a16:creationId xmlns:a16="http://schemas.microsoft.com/office/drawing/2014/main" id="{00000000-0008-0000-1800-000009000000}"/>
            </a:ext>
          </a:extLst>
        </xdr:cNvPr>
        <xdr:cNvPicPr>
          <a:picLocks noChangeAspect="1"/>
        </xdr:cNvPicPr>
      </xdr:nvPicPr>
      <xdr:blipFill>
        <a:blip xmlns:r="http://schemas.openxmlformats.org/officeDocument/2006/relationships" r:embed="rId2"/>
        <a:stretch>
          <a:fillRect/>
        </a:stretch>
      </xdr:blipFill>
      <xdr:spPr>
        <a:xfrm>
          <a:off x="8154865" y="52512058"/>
          <a:ext cx="461597" cy="474785"/>
        </a:xfrm>
        <a:prstGeom prst="rect">
          <a:avLst/>
        </a:prstGeom>
      </xdr:spPr>
    </xdr:pic>
    <xdr:clientData/>
  </xdr:twoCellAnchor>
  <xdr:oneCellAnchor>
    <xdr:from>
      <xdr:col>16</xdr:col>
      <xdr:colOff>0</xdr:colOff>
      <xdr:row>376</xdr:row>
      <xdr:rowOff>0</xdr:rowOff>
    </xdr:from>
    <xdr:ext cx="466725" cy="476251"/>
    <xdr:pic>
      <xdr:nvPicPr>
        <xdr:cNvPr id="10" name="Picture 9">
          <a:extLst>
            <a:ext uri="{FF2B5EF4-FFF2-40B4-BE49-F238E27FC236}">
              <a16:creationId xmlns:a16="http://schemas.microsoft.com/office/drawing/2014/main" id="{00000000-0008-0000-1800-00000A000000}"/>
            </a:ext>
          </a:extLst>
        </xdr:cNvPr>
        <xdr:cNvPicPr>
          <a:picLocks noChangeAspect="1"/>
        </xdr:cNvPicPr>
      </xdr:nvPicPr>
      <xdr:blipFill>
        <a:blip xmlns:r="http://schemas.openxmlformats.org/officeDocument/2006/relationships" r:embed="rId2"/>
        <a:stretch>
          <a:fillRect/>
        </a:stretch>
      </xdr:blipFill>
      <xdr:spPr>
        <a:xfrm>
          <a:off x="8153400" y="52787550"/>
          <a:ext cx="466725" cy="476251"/>
        </a:xfrm>
        <a:prstGeom prst="rect">
          <a:avLst/>
        </a:prstGeom>
      </xdr:spPr>
    </xdr:pic>
    <xdr:clientData/>
  </xdr:oneCellAnchor>
  <xdr:oneCellAnchor>
    <xdr:from>
      <xdr:col>16</xdr:col>
      <xdr:colOff>0</xdr:colOff>
      <xdr:row>392</xdr:row>
      <xdr:rowOff>0</xdr:rowOff>
    </xdr:from>
    <xdr:ext cx="466725" cy="476251"/>
    <xdr:pic>
      <xdr:nvPicPr>
        <xdr:cNvPr id="11" name="Picture 10">
          <a:extLst>
            <a:ext uri="{FF2B5EF4-FFF2-40B4-BE49-F238E27FC236}">
              <a16:creationId xmlns:a16="http://schemas.microsoft.com/office/drawing/2014/main" id="{00000000-0008-0000-1800-00000B000000}"/>
            </a:ext>
          </a:extLst>
        </xdr:cNvPr>
        <xdr:cNvPicPr>
          <a:picLocks noChangeAspect="1"/>
        </xdr:cNvPicPr>
      </xdr:nvPicPr>
      <xdr:blipFill>
        <a:blip xmlns:r="http://schemas.openxmlformats.org/officeDocument/2006/relationships" r:embed="rId2"/>
        <a:stretch>
          <a:fillRect/>
        </a:stretch>
      </xdr:blipFill>
      <xdr:spPr>
        <a:xfrm>
          <a:off x="8153400" y="54121050"/>
          <a:ext cx="466725" cy="476251"/>
        </a:xfrm>
        <a:prstGeom prst="rect">
          <a:avLst/>
        </a:prstGeom>
      </xdr:spPr>
    </xdr:pic>
    <xdr:clientData/>
  </xdr:oneCellAnchor>
  <xdr:twoCellAnchor>
    <xdr:from>
      <xdr:col>16</xdr:col>
      <xdr:colOff>104774</xdr:colOff>
      <xdr:row>399</xdr:row>
      <xdr:rowOff>0</xdr:rowOff>
    </xdr:from>
    <xdr:to>
      <xdr:col>16</xdr:col>
      <xdr:colOff>152399</xdr:colOff>
      <xdr:row>400</xdr:row>
      <xdr:rowOff>142875</xdr:rowOff>
    </xdr:to>
    <xdr:sp macro="" textlink="">
      <xdr:nvSpPr>
        <xdr:cNvPr id="14" name="AutoShape 2">
          <a:extLst>
            <a:ext uri="{FF2B5EF4-FFF2-40B4-BE49-F238E27FC236}">
              <a16:creationId xmlns:a16="http://schemas.microsoft.com/office/drawing/2014/main" id="{00000000-0008-0000-1800-00000E000000}"/>
            </a:ext>
          </a:extLst>
        </xdr:cNvPr>
        <xdr:cNvSpPr>
          <a:spLocks/>
        </xdr:cNvSpPr>
      </xdr:nvSpPr>
      <xdr:spPr bwMode="auto">
        <a:xfrm>
          <a:off x="8258174" y="69646800"/>
          <a:ext cx="47625" cy="304800"/>
        </a:xfrm>
        <a:prstGeom prst="leftBrace">
          <a:avLst>
            <a:gd name="adj1" fmla="val 53125"/>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4</xdr:col>
      <xdr:colOff>291705</xdr:colOff>
      <xdr:row>138</xdr:row>
      <xdr:rowOff>77392</xdr:rowOff>
    </xdr:from>
    <xdr:to>
      <xdr:col>4</xdr:col>
      <xdr:colOff>431129</xdr:colOff>
      <xdr:row>139</xdr:row>
      <xdr:rowOff>107158</xdr:rowOff>
    </xdr:to>
    <xdr:pic>
      <xdr:nvPicPr>
        <xdr:cNvPr id="7" name="Picture 6">
          <a:extLst>
            <a:ext uri="{FF2B5EF4-FFF2-40B4-BE49-F238E27FC236}">
              <a16:creationId xmlns:a16="http://schemas.microsoft.com/office/drawing/2014/main" id="{00000000-0008-0000-1800-000007000000}"/>
            </a:ext>
          </a:extLst>
        </xdr:cNvPr>
        <xdr:cNvPicPr>
          <a:picLocks noChangeAspect="1"/>
        </xdr:cNvPicPr>
      </xdr:nvPicPr>
      <xdr:blipFill>
        <a:blip xmlns:r="http://schemas.openxmlformats.org/officeDocument/2006/relationships" r:embed="rId3"/>
        <a:stretch>
          <a:fillRect/>
        </a:stretch>
      </xdr:blipFill>
      <xdr:spPr>
        <a:xfrm>
          <a:off x="2113361" y="22002751"/>
          <a:ext cx="139424" cy="190500"/>
        </a:xfrm>
        <a:prstGeom prst="rect">
          <a:avLst/>
        </a:prstGeom>
      </xdr:spPr>
    </xdr:pic>
    <xdr:clientData/>
  </xdr:twoCellAnchor>
  <xdr:twoCellAnchor editAs="oneCell">
    <xdr:from>
      <xdr:col>4</xdr:col>
      <xdr:colOff>291704</xdr:colOff>
      <xdr:row>119</xdr:row>
      <xdr:rowOff>89297</xdr:rowOff>
    </xdr:from>
    <xdr:to>
      <xdr:col>4</xdr:col>
      <xdr:colOff>431128</xdr:colOff>
      <xdr:row>120</xdr:row>
      <xdr:rowOff>119063</xdr:rowOff>
    </xdr:to>
    <xdr:pic>
      <xdr:nvPicPr>
        <xdr:cNvPr id="12" name="Picture 11">
          <a:extLst>
            <a:ext uri="{FF2B5EF4-FFF2-40B4-BE49-F238E27FC236}">
              <a16:creationId xmlns:a16="http://schemas.microsoft.com/office/drawing/2014/main" id="{00000000-0008-0000-1800-00000C000000}"/>
            </a:ext>
          </a:extLst>
        </xdr:cNvPr>
        <xdr:cNvPicPr>
          <a:picLocks noChangeAspect="1"/>
        </xdr:cNvPicPr>
      </xdr:nvPicPr>
      <xdr:blipFill>
        <a:blip xmlns:r="http://schemas.openxmlformats.org/officeDocument/2006/relationships" r:embed="rId3"/>
        <a:stretch>
          <a:fillRect/>
        </a:stretch>
      </xdr:blipFill>
      <xdr:spPr>
        <a:xfrm>
          <a:off x="2113360" y="18960703"/>
          <a:ext cx="139424" cy="190500"/>
        </a:xfrm>
        <a:prstGeom prst="rect">
          <a:avLst/>
        </a:prstGeom>
      </xdr:spPr>
    </xdr:pic>
    <xdr:clientData/>
  </xdr:twoCellAnchor>
  <xdr:twoCellAnchor editAs="oneCell">
    <xdr:from>
      <xdr:col>10</xdr:col>
      <xdr:colOff>410765</xdr:colOff>
      <xdr:row>124</xdr:row>
      <xdr:rowOff>83344</xdr:rowOff>
    </xdr:from>
    <xdr:to>
      <xdr:col>10</xdr:col>
      <xdr:colOff>550189</xdr:colOff>
      <xdr:row>125</xdr:row>
      <xdr:rowOff>113109</xdr:rowOff>
    </xdr:to>
    <xdr:pic>
      <xdr:nvPicPr>
        <xdr:cNvPr id="13" name="Picture 12">
          <a:extLst>
            <a:ext uri="{FF2B5EF4-FFF2-40B4-BE49-F238E27FC236}">
              <a16:creationId xmlns:a16="http://schemas.microsoft.com/office/drawing/2014/main" id="{00000000-0008-0000-1800-00000D000000}"/>
            </a:ext>
          </a:extLst>
        </xdr:cNvPr>
        <xdr:cNvPicPr>
          <a:picLocks noChangeAspect="1"/>
        </xdr:cNvPicPr>
      </xdr:nvPicPr>
      <xdr:blipFill>
        <a:blip xmlns:r="http://schemas.openxmlformats.org/officeDocument/2006/relationships" r:embed="rId3"/>
        <a:stretch>
          <a:fillRect/>
        </a:stretch>
      </xdr:blipFill>
      <xdr:spPr>
        <a:xfrm>
          <a:off x="5244703" y="19758422"/>
          <a:ext cx="139424" cy="190500"/>
        </a:xfrm>
        <a:prstGeom prst="rect">
          <a:avLst/>
        </a:prstGeom>
      </xdr:spPr>
    </xdr:pic>
    <xdr:clientData/>
  </xdr:twoCellAnchor>
  <xdr:twoCellAnchor editAs="oneCell">
    <xdr:from>
      <xdr:col>4</xdr:col>
      <xdr:colOff>297657</xdr:colOff>
      <xdr:row>131</xdr:row>
      <xdr:rowOff>89297</xdr:rowOff>
    </xdr:from>
    <xdr:to>
      <xdr:col>4</xdr:col>
      <xdr:colOff>437081</xdr:colOff>
      <xdr:row>132</xdr:row>
      <xdr:rowOff>119062</xdr:rowOff>
    </xdr:to>
    <xdr:pic>
      <xdr:nvPicPr>
        <xdr:cNvPr id="15" name="Picture 14">
          <a:extLst>
            <a:ext uri="{FF2B5EF4-FFF2-40B4-BE49-F238E27FC236}">
              <a16:creationId xmlns:a16="http://schemas.microsoft.com/office/drawing/2014/main" id="{00000000-0008-0000-1800-00000F000000}"/>
            </a:ext>
          </a:extLst>
        </xdr:cNvPr>
        <xdr:cNvPicPr>
          <a:picLocks noChangeAspect="1"/>
        </xdr:cNvPicPr>
      </xdr:nvPicPr>
      <xdr:blipFill>
        <a:blip xmlns:r="http://schemas.openxmlformats.org/officeDocument/2006/relationships" r:embed="rId3"/>
        <a:stretch>
          <a:fillRect/>
        </a:stretch>
      </xdr:blipFill>
      <xdr:spPr>
        <a:xfrm>
          <a:off x="2119313" y="20889516"/>
          <a:ext cx="139424" cy="190500"/>
        </a:xfrm>
        <a:prstGeom prst="rect">
          <a:avLst/>
        </a:prstGeom>
      </xdr:spPr>
    </xdr:pic>
    <xdr:clientData/>
  </xdr:twoCellAnchor>
  <xdr:twoCellAnchor editAs="oneCell">
    <xdr:from>
      <xdr:col>4</xdr:col>
      <xdr:colOff>291704</xdr:colOff>
      <xdr:row>146</xdr:row>
      <xdr:rowOff>83345</xdr:rowOff>
    </xdr:from>
    <xdr:to>
      <xdr:col>4</xdr:col>
      <xdr:colOff>431128</xdr:colOff>
      <xdr:row>147</xdr:row>
      <xdr:rowOff>113111</xdr:rowOff>
    </xdr:to>
    <xdr:pic>
      <xdr:nvPicPr>
        <xdr:cNvPr id="16" name="Picture 15">
          <a:extLst>
            <a:ext uri="{FF2B5EF4-FFF2-40B4-BE49-F238E27FC236}">
              <a16:creationId xmlns:a16="http://schemas.microsoft.com/office/drawing/2014/main" id="{00000000-0008-0000-1800-000010000000}"/>
            </a:ext>
          </a:extLst>
        </xdr:cNvPr>
        <xdr:cNvPicPr>
          <a:picLocks noChangeAspect="1"/>
        </xdr:cNvPicPr>
      </xdr:nvPicPr>
      <xdr:blipFill>
        <a:blip xmlns:r="http://schemas.openxmlformats.org/officeDocument/2006/relationships" r:embed="rId3"/>
        <a:stretch>
          <a:fillRect/>
        </a:stretch>
      </xdr:blipFill>
      <xdr:spPr>
        <a:xfrm>
          <a:off x="2113360" y="23294579"/>
          <a:ext cx="139424" cy="190500"/>
        </a:xfrm>
        <a:prstGeom prst="rect">
          <a:avLst/>
        </a:prstGeom>
      </xdr:spPr>
    </xdr:pic>
    <xdr:clientData/>
  </xdr:twoCellAnchor>
  <xdr:twoCellAnchor editAs="oneCell">
    <xdr:from>
      <xdr:col>10</xdr:col>
      <xdr:colOff>357188</xdr:colOff>
      <xdr:row>171</xdr:row>
      <xdr:rowOff>89297</xdr:rowOff>
    </xdr:from>
    <xdr:to>
      <xdr:col>10</xdr:col>
      <xdr:colOff>496612</xdr:colOff>
      <xdr:row>172</xdr:row>
      <xdr:rowOff>119063</xdr:rowOff>
    </xdr:to>
    <xdr:pic>
      <xdr:nvPicPr>
        <xdr:cNvPr id="17" name="Picture 16">
          <a:extLst>
            <a:ext uri="{FF2B5EF4-FFF2-40B4-BE49-F238E27FC236}">
              <a16:creationId xmlns:a16="http://schemas.microsoft.com/office/drawing/2014/main" id="{00000000-0008-0000-1800-000011000000}"/>
            </a:ext>
          </a:extLst>
        </xdr:cNvPr>
        <xdr:cNvPicPr>
          <a:picLocks noChangeAspect="1"/>
        </xdr:cNvPicPr>
      </xdr:nvPicPr>
      <xdr:blipFill>
        <a:blip xmlns:r="http://schemas.openxmlformats.org/officeDocument/2006/relationships" r:embed="rId3"/>
        <a:stretch>
          <a:fillRect/>
        </a:stretch>
      </xdr:blipFill>
      <xdr:spPr>
        <a:xfrm>
          <a:off x="5191126" y="26425922"/>
          <a:ext cx="139424" cy="190500"/>
        </a:xfrm>
        <a:prstGeom prst="rect">
          <a:avLst/>
        </a:prstGeom>
      </xdr:spPr>
    </xdr:pic>
    <xdr:clientData/>
  </xdr:twoCellAnchor>
  <xdr:twoCellAnchor editAs="oneCell">
    <xdr:from>
      <xdr:col>4</xdr:col>
      <xdr:colOff>321469</xdr:colOff>
      <xdr:row>184</xdr:row>
      <xdr:rowOff>77390</xdr:rowOff>
    </xdr:from>
    <xdr:to>
      <xdr:col>4</xdr:col>
      <xdr:colOff>460893</xdr:colOff>
      <xdr:row>185</xdr:row>
      <xdr:rowOff>107155</xdr:rowOff>
    </xdr:to>
    <xdr:pic>
      <xdr:nvPicPr>
        <xdr:cNvPr id="18" name="Picture 17">
          <a:extLst>
            <a:ext uri="{FF2B5EF4-FFF2-40B4-BE49-F238E27FC236}">
              <a16:creationId xmlns:a16="http://schemas.microsoft.com/office/drawing/2014/main" id="{00000000-0008-0000-1800-000012000000}"/>
            </a:ext>
          </a:extLst>
        </xdr:cNvPr>
        <xdr:cNvPicPr>
          <a:picLocks noChangeAspect="1"/>
        </xdr:cNvPicPr>
      </xdr:nvPicPr>
      <xdr:blipFill>
        <a:blip xmlns:r="http://schemas.openxmlformats.org/officeDocument/2006/relationships" r:embed="rId3"/>
        <a:stretch>
          <a:fillRect/>
        </a:stretch>
      </xdr:blipFill>
      <xdr:spPr>
        <a:xfrm>
          <a:off x="2143125" y="28348781"/>
          <a:ext cx="139424" cy="190500"/>
        </a:xfrm>
        <a:prstGeom prst="rect">
          <a:avLst/>
        </a:prstGeom>
      </xdr:spPr>
    </xdr:pic>
    <xdr:clientData/>
  </xdr:twoCellAnchor>
  <xdr:twoCellAnchor editAs="oneCell">
    <xdr:from>
      <xdr:col>4</xdr:col>
      <xdr:colOff>297656</xdr:colOff>
      <xdr:row>198</xdr:row>
      <xdr:rowOff>83344</xdr:rowOff>
    </xdr:from>
    <xdr:to>
      <xdr:col>4</xdr:col>
      <xdr:colOff>437080</xdr:colOff>
      <xdr:row>199</xdr:row>
      <xdr:rowOff>113109</xdr:rowOff>
    </xdr:to>
    <xdr:pic>
      <xdr:nvPicPr>
        <xdr:cNvPr id="19" name="Picture 18">
          <a:extLst>
            <a:ext uri="{FF2B5EF4-FFF2-40B4-BE49-F238E27FC236}">
              <a16:creationId xmlns:a16="http://schemas.microsoft.com/office/drawing/2014/main" id="{00000000-0008-0000-1800-000013000000}"/>
            </a:ext>
          </a:extLst>
        </xdr:cNvPr>
        <xdr:cNvPicPr>
          <a:picLocks noChangeAspect="1"/>
        </xdr:cNvPicPr>
      </xdr:nvPicPr>
      <xdr:blipFill>
        <a:blip xmlns:r="http://schemas.openxmlformats.org/officeDocument/2006/relationships" r:embed="rId3"/>
        <a:stretch>
          <a:fillRect/>
        </a:stretch>
      </xdr:blipFill>
      <xdr:spPr>
        <a:xfrm>
          <a:off x="2119312" y="29801344"/>
          <a:ext cx="139424" cy="190500"/>
        </a:xfrm>
        <a:prstGeom prst="rect">
          <a:avLst/>
        </a:prstGeom>
      </xdr:spPr>
    </xdr:pic>
    <xdr:clientData/>
  </xdr:twoCellAnchor>
  <xdr:twoCellAnchor editAs="oneCell">
    <xdr:from>
      <xdr:col>10</xdr:col>
      <xdr:colOff>470296</xdr:colOff>
      <xdr:row>205</xdr:row>
      <xdr:rowOff>77390</xdr:rowOff>
    </xdr:from>
    <xdr:to>
      <xdr:col>10</xdr:col>
      <xdr:colOff>609720</xdr:colOff>
      <xdr:row>206</xdr:row>
      <xdr:rowOff>107156</xdr:rowOff>
    </xdr:to>
    <xdr:pic>
      <xdr:nvPicPr>
        <xdr:cNvPr id="20" name="Picture 19">
          <a:extLst>
            <a:ext uri="{FF2B5EF4-FFF2-40B4-BE49-F238E27FC236}">
              <a16:creationId xmlns:a16="http://schemas.microsoft.com/office/drawing/2014/main" id="{00000000-0008-0000-1800-000014000000}"/>
            </a:ext>
          </a:extLst>
        </xdr:cNvPr>
        <xdr:cNvPicPr>
          <a:picLocks noChangeAspect="1"/>
        </xdr:cNvPicPr>
      </xdr:nvPicPr>
      <xdr:blipFill>
        <a:blip xmlns:r="http://schemas.openxmlformats.org/officeDocument/2006/relationships" r:embed="rId3"/>
        <a:stretch>
          <a:fillRect/>
        </a:stretch>
      </xdr:blipFill>
      <xdr:spPr>
        <a:xfrm>
          <a:off x="5304234" y="30920531"/>
          <a:ext cx="139424" cy="190500"/>
        </a:xfrm>
        <a:prstGeom prst="rect">
          <a:avLst/>
        </a:prstGeom>
      </xdr:spPr>
    </xdr:pic>
    <xdr:clientData/>
  </xdr:twoCellAnchor>
  <xdr:twoCellAnchor editAs="oneCell">
    <xdr:from>
      <xdr:col>10</xdr:col>
      <xdr:colOff>428625</xdr:colOff>
      <xdr:row>215</xdr:row>
      <xdr:rowOff>83344</xdr:rowOff>
    </xdr:from>
    <xdr:to>
      <xdr:col>10</xdr:col>
      <xdr:colOff>568049</xdr:colOff>
      <xdr:row>216</xdr:row>
      <xdr:rowOff>113110</xdr:rowOff>
    </xdr:to>
    <xdr:pic>
      <xdr:nvPicPr>
        <xdr:cNvPr id="21" name="Picture 20">
          <a:extLst>
            <a:ext uri="{FF2B5EF4-FFF2-40B4-BE49-F238E27FC236}">
              <a16:creationId xmlns:a16="http://schemas.microsoft.com/office/drawing/2014/main" id="{00000000-0008-0000-1800-000015000000}"/>
            </a:ext>
          </a:extLst>
        </xdr:cNvPr>
        <xdr:cNvPicPr>
          <a:picLocks noChangeAspect="1"/>
        </xdr:cNvPicPr>
      </xdr:nvPicPr>
      <xdr:blipFill>
        <a:blip xmlns:r="http://schemas.openxmlformats.org/officeDocument/2006/relationships" r:embed="rId3"/>
        <a:stretch>
          <a:fillRect/>
        </a:stretch>
      </xdr:blipFill>
      <xdr:spPr>
        <a:xfrm>
          <a:off x="5262563" y="32533828"/>
          <a:ext cx="139424" cy="190500"/>
        </a:xfrm>
        <a:prstGeom prst="rect">
          <a:avLst/>
        </a:prstGeom>
      </xdr:spPr>
    </xdr:pic>
    <xdr:clientData/>
  </xdr:twoCellAnchor>
  <xdr:twoCellAnchor editAs="oneCell">
    <xdr:from>
      <xdr:col>10</xdr:col>
      <xdr:colOff>440531</xdr:colOff>
      <xdr:row>225</xdr:row>
      <xdr:rowOff>89297</xdr:rowOff>
    </xdr:from>
    <xdr:to>
      <xdr:col>10</xdr:col>
      <xdr:colOff>579955</xdr:colOff>
      <xdr:row>226</xdr:row>
      <xdr:rowOff>119063</xdr:rowOff>
    </xdr:to>
    <xdr:pic>
      <xdr:nvPicPr>
        <xdr:cNvPr id="22" name="Picture 21">
          <a:extLst>
            <a:ext uri="{FF2B5EF4-FFF2-40B4-BE49-F238E27FC236}">
              <a16:creationId xmlns:a16="http://schemas.microsoft.com/office/drawing/2014/main" id="{00000000-0008-0000-1800-000016000000}"/>
            </a:ext>
          </a:extLst>
        </xdr:cNvPr>
        <xdr:cNvPicPr>
          <a:picLocks noChangeAspect="1"/>
        </xdr:cNvPicPr>
      </xdr:nvPicPr>
      <xdr:blipFill>
        <a:blip xmlns:r="http://schemas.openxmlformats.org/officeDocument/2006/relationships" r:embed="rId3"/>
        <a:stretch>
          <a:fillRect/>
        </a:stretch>
      </xdr:blipFill>
      <xdr:spPr>
        <a:xfrm>
          <a:off x="5274469" y="34147125"/>
          <a:ext cx="139424" cy="190500"/>
        </a:xfrm>
        <a:prstGeom prst="rect">
          <a:avLst/>
        </a:prstGeom>
      </xdr:spPr>
    </xdr:pic>
    <xdr:clientData/>
  </xdr:twoCellAnchor>
  <xdr:twoCellAnchor editAs="oneCell">
    <xdr:from>
      <xdr:col>10</xdr:col>
      <xdr:colOff>381000</xdr:colOff>
      <xdr:row>275</xdr:row>
      <xdr:rowOff>77390</xdr:rowOff>
    </xdr:from>
    <xdr:to>
      <xdr:col>10</xdr:col>
      <xdr:colOff>520424</xdr:colOff>
      <xdr:row>276</xdr:row>
      <xdr:rowOff>107156</xdr:rowOff>
    </xdr:to>
    <xdr:pic>
      <xdr:nvPicPr>
        <xdr:cNvPr id="23" name="Picture 22">
          <a:extLst>
            <a:ext uri="{FF2B5EF4-FFF2-40B4-BE49-F238E27FC236}">
              <a16:creationId xmlns:a16="http://schemas.microsoft.com/office/drawing/2014/main" id="{00000000-0008-0000-1800-000017000000}"/>
            </a:ext>
          </a:extLst>
        </xdr:cNvPr>
        <xdr:cNvPicPr>
          <a:picLocks noChangeAspect="1"/>
        </xdr:cNvPicPr>
      </xdr:nvPicPr>
      <xdr:blipFill>
        <a:blip xmlns:r="http://schemas.openxmlformats.org/officeDocument/2006/relationships" r:embed="rId3"/>
        <a:stretch>
          <a:fillRect/>
        </a:stretch>
      </xdr:blipFill>
      <xdr:spPr>
        <a:xfrm>
          <a:off x="5214938" y="42523171"/>
          <a:ext cx="139424" cy="190500"/>
        </a:xfrm>
        <a:prstGeom prst="rect">
          <a:avLst/>
        </a:prstGeom>
      </xdr:spPr>
    </xdr:pic>
    <xdr:clientData/>
  </xdr:twoCellAnchor>
  <xdr:twoCellAnchor editAs="oneCell">
    <xdr:from>
      <xdr:col>12</xdr:col>
      <xdr:colOff>119063</xdr:colOff>
      <xdr:row>304</xdr:row>
      <xdr:rowOff>154782</xdr:rowOff>
    </xdr:from>
    <xdr:to>
      <xdr:col>12</xdr:col>
      <xdr:colOff>589360</xdr:colOff>
      <xdr:row>307</xdr:row>
      <xdr:rowOff>64803</xdr:rowOff>
    </xdr:to>
    <xdr:pic>
      <xdr:nvPicPr>
        <xdr:cNvPr id="24" name="Picture 23">
          <a:extLst>
            <a:ext uri="{FF2B5EF4-FFF2-40B4-BE49-F238E27FC236}">
              <a16:creationId xmlns:a16="http://schemas.microsoft.com/office/drawing/2014/main" id="{00000000-0008-0000-1800-000018000000}"/>
            </a:ext>
          </a:extLst>
        </xdr:cNvPr>
        <xdr:cNvPicPr>
          <a:picLocks noChangeAspect="1"/>
        </xdr:cNvPicPr>
      </xdr:nvPicPr>
      <xdr:blipFill>
        <a:blip xmlns:r="http://schemas.openxmlformats.org/officeDocument/2006/relationships" r:embed="rId2"/>
        <a:stretch>
          <a:fillRect/>
        </a:stretch>
      </xdr:blipFill>
      <xdr:spPr>
        <a:xfrm>
          <a:off x="6369844" y="47226141"/>
          <a:ext cx="470297" cy="481521"/>
        </a:xfrm>
        <a:prstGeom prst="rect">
          <a:avLst/>
        </a:prstGeom>
      </xdr:spPr>
    </xdr:pic>
    <xdr:clientData/>
  </xdr:twoCellAnchor>
  <xdr:twoCellAnchor editAs="oneCell">
    <xdr:from>
      <xdr:col>0</xdr:col>
      <xdr:colOff>95251</xdr:colOff>
      <xdr:row>246</xdr:row>
      <xdr:rowOff>43964</xdr:rowOff>
    </xdr:from>
    <xdr:to>
      <xdr:col>0</xdr:col>
      <xdr:colOff>696059</xdr:colOff>
      <xdr:row>249</xdr:row>
      <xdr:rowOff>102580</xdr:rowOff>
    </xdr:to>
    <xdr:pic>
      <xdr:nvPicPr>
        <xdr:cNvPr id="25" name="Picture 24">
          <a:extLst>
            <a:ext uri="{FF2B5EF4-FFF2-40B4-BE49-F238E27FC236}">
              <a16:creationId xmlns:a16="http://schemas.microsoft.com/office/drawing/2014/main" id="{22302FF5-0830-081C-7609-903C742E72DC}"/>
            </a:ext>
          </a:extLst>
        </xdr:cNvPr>
        <xdr:cNvPicPr>
          <a:picLocks noChangeAspect="1"/>
        </xdr:cNvPicPr>
      </xdr:nvPicPr>
      <xdr:blipFill>
        <a:blip xmlns:r="http://schemas.openxmlformats.org/officeDocument/2006/relationships" r:embed="rId4"/>
        <a:stretch>
          <a:fillRect/>
        </a:stretch>
      </xdr:blipFill>
      <xdr:spPr>
        <a:xfrm>
          <a:off x="95251" y="39352906"/>
          <a:ext cx="600808" cy="600808"/>
        </a:xfrm>
        <a:prstGeom prst="rect">
          <a:avLst/>
        </a:prstGeom>
      </xdr:spPr>
    </xdr:pic>
    <xdr:clientData/>
  </xdr:twoCellAnchor>
  <xdr:twoCellAnchor editAs="oneCell">
    <xdr:from>
      <xdr:col>12</xdr:col>
      <xdr:colOff>89297</xdr:colOff>
      <xdr:row>499</xdr:row>
      <xdr:rowOff>13718</xdr:rowOff>
    </xdr:from>
    <xdr:to>
      <xdr:col>16</xdr:col>
      <xdr:colOff>41958</xdr:colOff>
      <xdr:row>504</xdr:row>
      <xdr:rowOff>9568</xdr:rowOff>
    </xdr:to>
    <xdr:pic>
      <xdr:nvPicPr>
        <xdr:cNvPr id="27" name="Picture 26">
          <a:extLst>
            <a:ext uri="{FF2B5EF4-FFF2-40B4-BE49-F238E27FC236}">
              <a16:creationId xmlns:a16="http://schemas.microsoft.com/office/drawing/2014/main" id="{9DE10405-FA3E-9C1B-4BCC-878AAEB8FFE9}"/>
            </a:ext>
          </a:extLst>
        </xdr:cNvPr>
        <xdr:cNvPicPr>
          <a:picLocks noChangeAspect="1"/>
        </xdr:cNvPicPr>
      </xdr:nvPicPr>
      <xdr:blipFill>
        <a:blip xmlns:r="http://schemas.openxmlformats.org/officeDocument/2006/relationships" r:embed="rId5"/>
        <a:stretch>
          <a:fillRect/>
        </a:stretch>
      </xdr:blipFill>
      <xdr:spPr>
        <a:xfrm>
          <a:off x="6367514" y="82069522"/>
          <a:ext cx="2048161" cy="824111"/>
        </a:xfrm>
        <a:prstGeom prst="rect">
          <a:avLst/>
        </a:prstGeom>
      </xdr:spPr>
    </xdr:pic>
    <xdr:clientData/>
  </xdr:twoCellAnchor>
  <xdr:twoCellAnchor editAs="oneCell">
    <xdr:from>
      <xdr:col>15</xdr:col>
      <xdr:colOff>0</xdr:colOff>
      <xdr:row>496</xdr:row>
      <xdr:rowOff>41955</xdr:rowOff>
    </xdr:from>
    <xdr:to>
      <xdr:col>16</xdr:col>
      <xdr:colOff>41290</xdr:colOff>
      <xdr:row>499</xdr:row>
      <xdr:rowOff>14802</xdr:rowOff>
    </xdr:to>
    <xdr:pic>
      <xdr:nvPicPr>
        <xdr:cNvPr id="28" name="Picture 27">
          <a:extLst>
            <a:ext uri="{FF2B5EF4-FFF2-40B4-BE49-F238E27FC236}">
              <a16:creationId xmlns:a16="http://schemas.microsoft.com/office/drawing/2014/main" id="{4CCEB0AA-72F8-ABE6-D9AE-91C0F463B24A}"/>
            </a:ext>
          </a:extLst>
        </xdr:cNvPr>
        <xdr:cNvPicPr>
          <a:picLocks noChangeAspect="1"/>
        </xdr:cNvPicPr>
      </xdr:nvPicPr>
      <xdr:blipFill>
        <a:blip xmlns:r="http://schemas.openxmlformats.org/officeDocument/2006/relationships" r:embed="rId6"/>
        <a:stretch>
          <a:fillRect/>
        </a:stretch>
      </xdr:blipFill>
      <xdr:spPr>
        <a:xfrm>
          <a:off x="8305800" y="80754084"/>
          <a:ext cx="106604" cy="451818"/>
        </a:xfrm>
        <a:prstGeom prst="rect">
          <a:avLst/>
        </a:prstGeom>
      </xdr:spPr>
    </xdr:pic>
    <xdr:clientData/>
  </xdr:twoCellAnchor>
  <xdr:twoCellAnchor editAs="oneCell">
    <xdr:from>
      <xdr:col>11</xdr:col>
      <xdr:colOff>166687</xdr:colOff>
      <xdr:row>357</xdr:row>
      <xdr:rowOff>0</xdr:rowOff>
    </xdr:from>
    <xdr:to>
      <xdr:col>14</xdr:col>
      <xdr:colOff>111410</xdr:colOff>
      <xdr:row>361</xdr:row>
      <xdr:rowOff>154601</xdr:rowOff>
    </xdr:to>
    <xdr:pic>
      <xdr:nvPicPr>
        <xdr:cNvPr id="6" name="Picture 5">
          <a:extLst>
            <a:ext uri="{FF2B5EF4-FFF2-40B4-BE49-F238E27FC236}">
              <a16:creationId xmlns:a16="http://schemas.microsoft.com/office/drawing/2014/main" id="{7BC3C37F-5C39-48E7-BBCF-2BDAE40F3B85}"/>
            </a:ext>
          </a:extLst>
        </xdr:cNvPr>
        <xdr:cNvPicPr>
          <a:picLocks noChangeAspect="1"/>
        </xdr:cNvPicPr>
      </xdr:nvPicPr>
      <xdr:blipFill>
        <a:blip xmlns:r="http://schemas.openxmlformats.org/officeDocument/2006/relationships" r:embed="rId5"/>
        <a:stretch>
          <a:fillRect/>
        </a:stretch>
      </xdr:blipFill>
      <xdr:spPr>
        <a:xfrm>
          <a:off x="5691187" y="56951563"/>
          <a:ext cx="2048161" cy="789600"/>
        </a:xfrm>
        <a:prstGeom prst="rect">
          <a:avLst/>
        </a:prstGeom>
      </xdr:spPr>
    </xdr:pic>
    <xdr:clientData/>
  </xdr:twoCellAnchor>
  <xdr:twoCellAnchor editAs="oneCell">
    <xdr:from>
      <xdr:col>14</xdr:col>
      <xdr:colOff>7937</xdr:colOff>
      <xdr:row>354</xdr:row>
      <xdr:rowOff>182563</xdr:rowOff>
    </xdr:from>
    <xdr:to>
      <xdr:col>14</xdr:col>
      <xdr:colOff>103300</xdr:colOff>
      <xdr:row>356</xdr:row>
      <xdr:rowOff>147470</xdr:rowOff>
    </xdr:to>
    <xdr:pic>
      <xdr:nvPicPr>
        <xdr:cNvPr id="26" name="Picture 25">
          <a:extLst>
            <a:ext uri="{FF2B5EF4-FFF2-40B4-BE49-F238E27FC236}">
              <a16:creationId xmlns:a16="http://schemas.microsoft.com/office/drawing/2014/main" id="{08D8C9C6-1DCA-4663-AD47-4C19E6CBAB54}"/>
            </a:ext>
          </a:extLst>
        </xdr:cNvPr>
        <xdr:cNvPicPr>
          <a:picLocks noChangeAspect="1"/>
        </xdr:cNvPicPr>
      </xdr:nvPicPr>
      <xdr:blipFill>
        <a:blip xmlns:r="http://schemas.openxmlformats.org/officeDocument/2006/relationships" r:embed="rId6"/>
        <a:stretch>
          <a:fillRect/>
        </a:stretch>
      </xdr:blipFill>
      <xdr:spPr>
        <a:xfrm>
          <a:off x="7635875" y="56538813"/>
          <a:ext cx="95363" cy="40147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22</xdr:col>
      <xdr:colOff>88900</xdr:colOff>
      <xdr:row>41</xdr:row>
      <xdr:rowOff>25401</xdr:rowOff>
    </xdr:from>
    <xdr:to>
      <xdr:col>23</xdr:col>
      <xdr:colOff>190500</xdr:colOff>
      <xdr:row>43</xdr:row>
      <xdr:rowOff>30127</xdr:rowOff>
    </xdr:to>
    <xdr:pic>
      <xdr:nvPicPr>
        <xdr:cNvPr id="2" name="Picture 1">
          <a:extLst>
            <a:ext uri="{FF2B5EF4-FFF2-40B4-BE49-F238E27FC236}">
              <a16:creationId xmlns:a16="http://schemas.microsoft.com/office/drawing/2014/main" id="{40596C2D-E1EA-45DB-DD49-E85619C9F2EE}"/>
            </a:ext>
          </a:extLst>
        </xdr:cNvPr>
        <xdr:cNvPicPr>
          <a:picLocks noChangeAspect="1"/>
        </xdr:cNvPicPr>
      </xdr:nvPicPr>
      <xdr:blipFill>
        <a:blip xmlns:r="http://schemas.openxmlformats.org/officeDocument/2006/relationships" r:embed="rId1"/>
        <a:stretch>
          <a:fillRect/>
        </a:stretch>
      </xdr:blipFill>
      <xdr:spPr>
        <a:xfrm>
          <a:off x="12255500" y="4222751"/>
          <a:ext cx="406400" cy="411126"/>
        </a:xfrm>
        <a:prstGeom prst="rect">
          <a:avLst/>
        </a:prstGeom>
      </xdr:spPr>
    </xdr:pic>
    <xdr:clientData/>
  </xdr:twoCellAnchor>
  <xdr:oneCellAnchor>
    <xdr:from>
      <xdr:col>34</xdr:col>
      <xdr:colOff>400050</xdr:colOff>
      <xdr:row>20</xdr:row>
      <xdr:rowOff>38100</xdr:rowOff>
    </xdr:from>
    <xdr:ext cx="334937" cy="371476"/>
    <xdr:pic>
      <xdr:nvPicPr>
        <xdr:cNvPr id="3" name="Picture 27">
          <a:extLst>
            <a:ext uri="{FF2B5EF4-FFF2-40B4-BE49-F238E27FC236}">
              <a16:creationId xmlns:a16="http://schemas.microsoft.com/office/drawing/2014/main" id="{FF714619-8181-4C31-B3D2-D25C32A997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754725" y="3848100"/>
          <a:ext cx="334937" cy="371476"/>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oneCellAnchor>
</xdr:wsDr>
</file>

<file path=xl/drawings/drawing19.xml><?xml version="1.0" encoding="utf-8"?>
<xdr:wsDr xmlns:xdr="http://schemas.openxmlformats.org/drawingml/2006/spreadsheetDrawing" xmlns:a="http://schemas.openxmlformats.org/drawingml/2006/main">
  <xdr:twoCellAnchor>
    <xdr:from>
      <xdr:col>15</xdr:col>
      <xdr:colOff>265756</xdr:colOff>
      <xdr:row>57</xdr:row>
      <xdr:rowOff>26106</xdr:rowOff>
    </xdr:from>
    <xdr:to>
      <xdr:col>16</xdr:col>
      <xdr:colOff>40348</xdr:colOff>
      <xdr:row>61</xdr:row>
      <xdr:rowOff>111831</xdr:rowOff>
    </xdr:to>
    <xdr:sp macro="" textlink="">
      <xdr:nvSpPr>
        <xdr:cNvPr id="103103" name="AutoShape 1">
          <a:extLst>
            <a:ext uri="{FF2B5EF4-FFF2-40B4-BE49-F238E27FC236}">
              <a16:creationId xmlns:a16="http://schemas.microsoft.com/office/drawing/2014/main" id="{00000000-0008-0000-1B00-0000BF920100}"/>
            </a:ext>
          </a:extLst>
        </xdr:cNvPr>
        <xdr:cNvSpPr>
          <a:spLocks/>
        </xdr:cNvSpPr>
      </xdr:nvSpPr>
      <xdr:spPr bwMode="auto">
        <a:xfrm>
          <a:off x="6535927" y="9779706"/>
          <a:ext cx="79392" cy="749754"/>
        </a:xfrm>
        <a:prstGeom prst="rightBrace">
          <a:avLst>
            <a:gd name="adj1" fmla="val 53472"/>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15</xdr:col>
      <xdr:colOff>264227</xdr:colOff>
      <xdr:row>53</xdr:row>
      <xdr:rowOff>34407</xdr:rowOff>
    </xdr:from>
    <xdr:to>
      <xdr:col>16</xdr:col>
      <xdr:colOff>51497</xdr:colOff>
      <xdr:row>56</xdr:row>
      <xdr:rowOff>142682</xdr:rowOff>
    </xdr:to>
    <xdr:sp macro="" textlink="">
      <xdr:nvSpPr>
        <xdr:cNvPr id="103104" name="AutoShape 2">
          <a:extLst>
            <a:ext uri="{FF2B5EF4-FFF2-40B4-BE49-F238E27FC236}">
              <a16:creationId xmlns:a16="http://schemas.microsoft.com/office/drawing/2014/main" id="{00000000-0008-0000-1B00-0000C0920100}"/>
            </a:ext>
          </a:extLst>
        </xdr:cNvPr>
        <xdr:cNvSpPr>
          <a:spLocks/>
        </xdr:cNvSpPr>
      </xdr:nvSpPr>
      <xdr:spPr bwMode="auto">
        <a:xfrm>
          <a:off x="6534398" y="9118536"/>
          <a:ext cx="92070" cy="614460"/>
        </a:xfrm>
        <a:prstGeom prst="rightBrace">
          <a:avLst>
            <a:gd name="adj1" fmla="val 26190"/>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15</xdr:col>
      <xdr:colOff>264472</xdr:colOff>
      <xdr:row>171</xdr:row>
      <xdr:rowOff>70261</xdr:rowOff>
    </xdr:from>
    <xdr:to>
      <xdr:col>16</xdr:col>
      <xdr:colOff>33255</xdr:colOff>
      <xdr:row>175</xdr:row>
      <xdr:rowOff>118069</xdr:rowOff>
    </xdr:to>
    <xdr:sp macro="" textlink="">
      <xdr:nvSpPr>
        <xdr:cNvPr id="14" name="AutoShape 1">
          <a:extLst>
            <a:ext uri="{FF2B5EF4-FFF2-40B4-BE49-F238E27FC236}">
              <a16:creationId xmlns:a16="http://schemas.microsoft.com/office/drawing/2014/main" id="{00000000-0008-0000-1B00-00000E000000}"/>
            </a:ext>
          </a:extLst>
        </xdr:cNvPr>
        <xdr:cNvSpPr>
          <a:spLocks/>
        </xdr:cNvSpPr>
      </xdr:nvSpPr>
      <xdr:spPr bwMode="auto">
        <a:xfrm>
          <a:off x="6534643" y="31344918"/>
          <a:ext cx="73583" cy="700951"/>
        </a:xfrm>
        <a:prstGeom prst="rightBrace">
          <a:avLst>
            <a:gd name="adj1" fmla="val 53472"/>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7</xdr:col>
      <xdr:colOff>147827</xdr:colOff>
      <xdr:row>11</xdr:row>
      <xdr:rowOff>27214</xdr:rowOff>
    </xdr:from>
    <xdr:to>
      <xdr:col>7</xdr:col>
      <xdr:colOff>237218</xdr:colOff>
      <xdr:row>11</xdr:row>
      <xdr:rowOff>122011</xdr:rowOff>
    </xdr:to>
    <xdr:pic>
      <xdr:nvPicPr>
        <xdr:cNvPr id="25" name="Picture 3">
          <a:extLst>
            <a:ext uri="{FF2B5EF4-FFF2-40B4-BE49-F238E27FC236}">
              <a16:creationId xmlns:a16="http://schemas.microsoft.com/office/drawing/2014/main" id="{00000000-0008-0000-1B00-000019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163170" y="2084614"/>
          <a:ext cx="86216" cy="9797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15</xdr:col>
      <xdr:colOff>270073</xdr:colOff>
      <xdr:row>167</xdr:row>
      <xdr:rowOff>147384</xdr:rowOff>
    </xdr:from>
    <xdr:to>
      <xdr:col>16</xdr:col>
      <xdr:colOff>25832</xdr:colOff>
      <xdr:row>170</xdr:row>
      <xdr:rowOff>143896</xdr:rowOff>
    </xdr:to>
    <xdr:sp macro="" textlink="">
      <xdr:nvSpPr>
        <xdr:cNvPr id="29" name="AutoShape 1">
          <a:extLst>
            <a:ext uri="{FF2B5EF4-FFF2-40B4-BE49-F238E27FC236}">
              <a16:creationId xmlns:a16="http://schemas.microsoft.com/office/drawing/2014/main" id="{00000000-0008-0000-1B00-00001D000000}"/>
            </a:ext>
          </a:extLst>
        </xdr:cNvPr>
        <xdr:cNvSpPr>
          <a:spLocks/>
        </xdr:cNvSpPr>
      </xdr:nvSpPr>
      <xdr:spPr bwMode="auto">
        <a:xfrm>
          <a:off x="6540244" y="30752570"/>
          <a:ext cx="60559" cy="502697"/>
        </a:xfrm>
        <a:prstGeom prst="rightBrace">
          <a:avLst>
            <a:gd name="adj1" fmla="val 53472"/>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20.xml><?xml version="1.0" encoding="utf-8"?>
<xdr:wsDr xmlns:xdr="http://schemas.openxmlformats.org/drawingml/2006/spreadsheetDrawing" xmlns:a="http://schemas.openxmlformats.org/drawingml/2006/main">
  <xdr:twoCellAnchor>
    <xdr:from>
      <xdr:col>8</xdr:col>
      <xdr:colOff>619352</xdr:colOff>
      <xdr:row>84</xdr:row>
      <xdr:rowOff>60780</xdr:rowOff>
    </xdr:from>
    <xdr:to>
      <xdr:col>9</xdr:col>
      <xdr:colOff>25400</xdr:colOff>
      <xdr:row>87</xdr:row>
      <xdr:rowOff>6350</xdr:rowOff>
    </xdr:to>
    <xdr:sp macro="" textlink="">
      <xdr:nvSpPr>
        <xdr:cNvPr id="103982" name="AutoShape 7">
          <a:extLst>
            <a:ext uri="{FF2B5EF4-FFF2-40B4-BE49-F238E27FC236}">
              <a16:creationId xmlns:a16="http://schemas.microsoft.com/office/drawing/2014/main" id="{00000000-0008-0000-1C00-00002E960100}"/>
            </a:ext>
          </a:extLst>
        </xdr:cNvPr>
        <xdr:cNvSpPr>
          <a:spLocks/>
        </xdr:cNvSpPr>
      </xdr:nvSpPr>
      <xdr:spPr bwMode="auto">
        <a:xfrm>
          <a:off x="3921352" y="15122980"/>
          <a:ext cx="72798" cy="409120"/>
        </a:xfrm>
        <a:prstGeom prst="rightBrace">
          <a:avLst>
            <a:gd name="adj1" fmla="val 36572"/>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499241</xdr:colOff>
      <xdr:row>90</xdr:row>
      <xdr:rowOff>0</xdr:rowOff>
    </xdr:from>
    <xdr:to>
      <xdr:col>9</xdr:col>
      <xdr:colOff>586154</xdr:colOff>
      <xdr:row>93</xdr:row>
      <xdr:rowOff>80596</xdr:rowOff>
    </xdr:to>
    <xdr:sp macro="" textlink="">
      <xdr:nvSpPr>
        <xdr:cNvPr id="124010" name="AutoShape 1">
          <a:extLst>
            <a:ext uri="{FF2B5EF4-FFF2-40B4-BE49-F238E27FC236}">
              <a16:creationId xmlns:a16="http://schemas.microsoft.com/office/drawing/2014/main" id="{00000000-0008-0000-1D00-00006AE40100}"/>
            </a:ext>
          </a:extLst>
        </xdr:cNvPr>
        <xdr:cNvSpPr>
          <a:spLocks/>
        </xdr:cNvSpPr>
      </xdr:nvSpPr>
      <xdr:spPr bwMode="auto">
        <a:xfrm>
          <a:off x="4624551" y="15423931"/>
          <a:ext cx="86913" cy="586406"/>
        </a:xfrm>
        <a:prstGeom prst="rightBrace">
          <a:avLst>
            <a:gd name="adj1" fmla="val 31373"/>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10</xdr:col>
      <xdr:colOff>75786</xdr:colOff>
      <xdr:row>48</xdr:row>
      <xdr:rowOff>66675</xdr:rowOff>
    </xdr:from>
    <xdr:to>
      <xdr:col>10</xdr:col>
      <xdr:colOff>151986</xdr:colOff>
      <xdr:row>51</xdr:row>
      <xdr:rowOff>9525</xdr:rowOff>
    </xdr:to>
    <xdr:sp macro="" textlink="">
      <xdr:nvSpPr>
        <xdr:cNvPr id="124011" name="AutoShape 2">
          <a:extLst>
            <a:ext uri="{FF2B5EF4-FFF2-40B4-BE49-F238E27FC236}">
              <a16:creationId xmlns:a16="http://schemas.microsoft.com/office/drawing/2014/main" id="{00000000-0008-0000-1D00-00006BE40100}"/>
            </a:ext>
          </a:extLst>
        </xdr:cNvPr>
        <xdr:cNvSpPr>
          <a:spLocks/>
        </xdr:cNvSpPr>
      </xdr:nvSpPr>
      <xdr:spPr bwMode="auto">
        <a:xfrm>
          <a:off x="5338349" y="8841581"/>
          <a:ext cx="76200" cy="460772"/>
        </a:xfrm>
        <a:prstGeom prst="rightBrace">
          <a:avLst>
            <a:gd name="adj1" fmla="val 50000"/>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17</xdr:col>
      <xdr:colOff>428625</xdr:colOff>
      <xdr:row>57</xdr:row>
      <xdr:rowOff>28575</xdr:rowOff>
    </xdr:from>
    <xdr:to>
      <xdr:col>18</xdr:col>
      <xdr:colOff>655</xdr:colOff>
      <xdr:row>58</xdr:row>
      <xdr:rowOff>228927</xdr:rowOff>
    </xdr:to>
    <xdr:pic>
      <xdr:nvPicPr>
        <xdr:cNvPr id="124016" name="Picture 7" descr="E:\My Documents\Excel\03_1040\Pencil - Blue.jpg">
          <a:extLst>
            <a:ext uri="{FF2B5EF4-FFF2-40B4-BE49-F238E27FC236}">
              <a16:creationId xmlns:a16="http://schemas.microsoft.com/office/drawing/2014/main" id="{00000000-0008-0000-1D00-000070E4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43900" y="10201275"/>
          <a:ext cx="353081" cy="3622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457200</xdr:colOff>
      <xdr:row>34</xdr:row>
      <xdr:rowOff>231775</xdr:rowOff>
    </xdr:from>
    <xdr:to>
      <xdr:col>18</xdr:col>
      <xdr:colOff>28574</xdr:colOff>
      <xdr:row>34</xdr:row>
      <xdr:rowOff>593726</xdr:rowOff>
    </xdr:to>
    <xdr:pic>
      <xdr:nvPicPr>
        <xdr:cNvPr id="124017" name="Picture 8" descr="E:\My Documents\Excel\03_1040\Pencil - Blue.jpg">
          <a:extLst>
            <a:ext uri="{FF2B5EF4-FFF2-40B4-BE49-F238E27FC236}">
              <a16:creationId xmlns:a16="http://schemas.microsoft.com/office/drawing/2014/main" id="{00000000-0008-0000-1D00-000071E4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29638" y="6232525"/>
          <a:ext cx="349250" cy="36195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16</xdr:col>
      <xdr:colOff>130968</xdr:colOff>
      <xdr:row>45</xdr:row>
      <xdr:rowOff>151086</xdr:rowOff>
    </xdr:from>
    <xdr:to>
      <xdr:col>16</xdr:col>
      <xdr:colOff>208358</xdr:colOff>
      <xdr:row>52</xdr:row>
      <xdr:rowOff>148827</xdr:rowOff>
    </xdr:to>
    <xdr:sp macro="" textlink="">
      <xdr:nvSpPr>
        <xdr:cNvPr id="14" name="AutoShape 2">
          <a:extLst>
            <a:ext uri="{FF2B5EF4-FFF2-40B4-BE49-F238E27FC236}">
              <a16:creationId xmlns:a16="http://schemas.microsoft.com/office/drawing/2014/main" id="{00000000-0008-0000-1D00-00000E000000}"/>
            </a:ext>
          </a:extLst>
        </xdr:cNvPr>
        <xdr:cNvSpPr>
          <a:spLocks/>
        </xdr:cNvSpPr>
      </xdr:nvSpPr>
      <xdr:spPr bwMode="auto">
        <a:xfrm flipH="1">
          <a:off x="7977187" y="8431883"/>
          <a:ext cx="77390" cy="1182413"/>
        </a:xfrm>
        <a:prstGeom prst="rightBrace">
          <a:avLst>
            <a:gd name="adj1" fmla="val 50000"/>
            <a:gd name="adj2" fmla="val 50787"/>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512380</xdr:colOff>
      <xdr:row>108</xdr:row>
      <xdr:rowOff>161925</xdr:rowOff>
    </xdr:from>
    <xdr:to>
      <xdr:col>9</xdr:col>
      <xdr:colOff>619126</xdr:colOff>
      <xdr:row>112</xdr:row>
      <xdr:rowOff>104775</xdr:rowOff>
    </xdr:to>
    <xdr:sp macro="" textlink="">
      <xdr:nvSpPr>
        <xdr:cNvPr id="15" name="AutoShape 1">
          <a:extLst>
            <a:ext uri="{FF2B5EF4-FFF2-40B4-BE49-F238E27FC236}">
              <a16:creationId xmlns:a16="http://schemas.microsoft.com/office/drawing/2014/main" id="{00000000-0008-0000-1D00-00000F000000}"/>
            </a:ext>
          </a:extLst>
        </xdr:cNvPr>
        <xdr:cNvSpPr>
          <a:spLocks/>
        </xdr:cNvSpPr>
      </xdr:nvSpPr>
      <xdr:spPr bwMode="auto">
        <a:xfrm>
          <a:off x="4637690" y="17753615"/>
          <a:ext cx="106746" cy="632591"/>
        </a:xfrm>
        <a:prstGeom prst="rightBrace">
          <a:avLst>
            <a:gd name="adj1" fmla="val 31373"/>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10</xdr:col>
      <xdr:colOff>310243</xdr:colOff>
      <xdr:row>37</xdr:row>
      <xdr:rowOff>116232</xdr:rowOff>
    </xdr:from>
    <xdr:to>
      <xdr:col>11</xdr:col>
      <xdr:colOff>95802</xdr:colOff>
      <xdr:row>44</xdr:row>
      <xdr:rowOff>87085</xdr:rowOff>
    </xdr:to>
    <xdr:sp macro="" textlink="">
      <xdr:nvSpPr>
        <xdr:cNvPr id="16" name="AutoShape 2">
          <a:extLst>
            <a:ext uri="{FF2B5EF4-FFF2-40B4-BE49-F238E27FC236}">
              <a16:creationId xmlns:a16="http://schemas.microsoft.com/office/drawing/2014/main" id="{00000000-0008-0000-1D00-000010000000}"/>
            </a:ext>
          </a:extLst>
        </xdr:cNvPr>
        <xdr:cNvSpPr>
          <a:spLocks/>
        </xdr:cNvSpPr>
      </xdr:nvSpPr>
      <xdr:spPr bwMode="auto">
        <a:xfrm>
          <a:off x="5572806" y="7111154"/>
          <a:ext cx="118934" cy="1095994"/>
        </a:xfrm>
        <a:prstGeom prst="rightBrace">
          <a:avLst>
            <a:gd name="adj1" fmla="val 50000"/>
            <a:gd name="adj2" fmla="val 50787"/>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19</xdr:col>
      <xdr:colOff>9523</xdr:colOff>
      <xdr:row>6</xdr:row>
      <xdr:rowOff>104773</xdr:rowOff>
    </xdr:from>
    <xdr:to>
      <xdr:col>19</xdr:col>
      <xdr:colOff>428625</xdr:colOff>
      <xdr:row>6</xdr:row>
      <xdr:rowOff>104775</xdr:rowOff>
    </xdr:to>
    <xdr:sp macro="" textlink="">
      <xdr:nvSpPr>
        <xdr:cNvPr id="31" name="Line 3">
          <a:extLst>
            <a:ext uri="{FF2B5EF4-FFF2-40B4-BE49-F238E27FC236}">
              <a16:creationId xmlns:a16="http://schemas.microsoft.com/office/drawing/2014/main" id="{00000000-0008-0000-1D00-00001F000000}"/>
            </a:ext>
          </a:extLst>
        </xdr:cNvPr>
        <xdr:cNvSpPr>
          <a:spLocks noChangeShapeType="1"/>
        </xdr:cNvSpPr>
      </xdr:nvSpPr>
      <xdr:spPr bwMode="auto">
        <a:xfrm flipH="1" flipV="1">
          <a:off x="8810623" y="790573"/>
          <a:ext cx="419102" cy="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533400</xdr:colOff>
      <xdr:row>97</xdr:row>
      <xdr:rowOff>85725</xdr:rowOff>
    </xdr:from>
    <xdr:to>
      <xdr:col>9</xdr:col>
      <xdr:colOff>619125</xdr:colOff>
      <xdr:row>100</xdr:row>
      <xdr:rowOff>38100</xdr:rowOff>
    </xdr:to>
    <xdr:sp macro="" textlink="">
      <xdr:nvSpPr>
        <xdr:cNvPr id="41" name="AutoShape 1">
          <a:extLst>
            <a:ext uri="{FF2B5EF4-FFF2-40B4-BE49-F238E27FC236}">
              <a16:creationId xmlns:a16="http://schemas.microsoft.com/office/drawing/2014/main" id="{00000000-0008-0000-1D00-000029000000}"/>
            </a:ext>
          </a:extLst>
        </xdr:cNvPr>
        <xdr:cNvSpPr>
          <a:spLocks/>
        </xdr:cNvSpPr>
      </xdr:nvSpPr>
      <xdr:spPr bwMode="auto">
        <a:xfrm>
          <a:off x="4829175" y="16592550"/>
          <a:ext cx="85725" cy="457200"/>
        </a:xfrm>
        <a:prstGeom prst="rightBrace">
          <a:avLst>
            <a:gd name="adj1" fmla="val 31373"/>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19</xdr:col>
      <xdr:colOff>19050</xdr:colOff>
      <xdr:row>3</xdr:row>
      <xdr:rowOff>114300</xdr:rowOff>
    </xdr:from>
    <xdr:to>
      <xdr:col>19</xdr:col>
      <xdr:colOff>438152</xdr:colOff>
      <xdr:row>3</xdr:row>
      <xdr:rowOff>114302</xdr:rowOff>
    </xdr:to>
    <xdr:sp macro="" textlink="">
      <xdr:nvSpPr>
        <xdr:cNvPr id="42" name="Line 3">
          <a:extLst>
            <a:ext uri="{FF2B5EF4-FFF2-40B4-BE49-F238E27FC236}">
              <a16:creationId xmlns:a16="http://schemas.microsoft.com/office/drawing/2014/main" id="{00000000-0008-0000-1D00-00002A000000}"/>
            </a:ext>
          </a:extLst>
        </xdr:cNvPr>
        <xdr:cNvSpPr>
          <a:spLocks noChangeShapeType="1"/>
        </xdr:cNvSpPr>
      </xdr:nvSpPr>
      <xdr:spPr bwMode="auto">
        <a:xfrm flipH="1" flipV="1">
          <a:off x="8820150" y="1019175"/>
          <a:ext cx="419102" cy="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19</xdr:col>
      <xdr:colOff>19050</xdr:colOff>
      <xdr:row>4</xdr:row>
      <xdr:rowOff>114300</xdr:rowOff>
    </xdr:from>
    <xdr:to>
      <xdr:col>19</xdr:col>
      <xdr:colOff>438152</xdr:colOff>
      <xdr:row>4</xdr:row>
      <xdr:rowOff>114302</xdr:rowOff>
    </xdr:to>
    <xdr:sp macro="" textlink="">
      <xdr:nvSpPr>
        <xdr:cNvPr id="43" name="Line 3">
          <a:extLst>
            <a:ext uri="{FF2B5EF4-FFF2-40B4-BE49-F238E27FC236}">
              <a16:creationId xmlns:a16="http://schemas.microsoft.com/office/drawing/2014/main" id="{00000000-0008-0000-1D00-00002B000000}"/>
            </a:ext>
          </a:extLst>
        </xdr:cNvPr>
        <xdr:cNvSpPr>
          <a:spLocks noChangeShapeType="1"/>
        </xdr:cNvSpPr>
      </xdr:nvSpPr>
      <xdr:spPr bwMode="auto">
        <a:xfrm flipH="1" flipV="1">
          <a:off x="8820150" y="1190625"/>
          <a:ext cx="419102" cy="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19</xdr:col>
      <xdr:colOff>19050</xdr:colOff>
      <xdr:row>5</xdr:row>
      <xdr:rowOff>95250</xdr:rowOff>
    </xdr:from>
    <xdr:to>
      <xdr:col>19</xdr:col>
      <xdr:colOff>438152</xdr:colOff>
      <xdr:row>5</xdr:row>
      <xdr:rowOff>95252</xdr:rowOff>
    </xdr:to>
    <xdr:sp macro="" textlink="">
      <xdr:nvSpPr>
        <xdr:cNvPr id="44" name="Line 3">
          <a:extLst>
            <a:ext uri="{FF2B5EF4-FFF2-40B4-BE49-F238E27FC236}">
              <a16:creationId xmlns:a16="http://schemas.microsoft.com/office/drawing/2014/main" id="{00000000-0008-0000-1D00-00002C000000}"/>
            </a:ext>
          </a:extLst>
        </xdr:cNvPr>
        <xdr:cNvSpPr>
          <a:spLocks noChangeShapeType="1"/>
        </xdr:cNvSpPr>
      </xdr:nvSpPr>
      <xdr:spPr bwMode="auto">
        <a:xfrm flipH="1" flipV="1">
          <a:off x="8820150" y="1343025"/>
          <a:ext cx="419102" cy="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19</xdr:col>
      <xdr:colOff>19050</xdr:colOff>
      <xdr:row>7</xdr:row>
      <xdr:rowOff>104775</xdr:rowOff>
    </xdr:from>
    <xdr:to>
      <xdr:col>19</xdr:col>
      <xdr:colOff>438152</xdr:colOff>
      <xdr:row>7</xdr:row>
      <xdr:rowOff>104777</xdr:rowOff>
    </xdr:to>
    <xdr:sp macro="" textlink="">
      <xdr:nvSpPr>
        <xdr:cNvPr id="45" name="Line 3">
          <a:extLst>
            <a:ext uri="{FF2B5EF4-FFF2-40B4-BE49-F238E27FC236}">
              <a16:creationId xmlns:a16="http://schemas.microsoft.com/office/drawing/2014/main" id="{00000000-0008-0000-1D00-00002D000000}"/>
            </a:ext>
          </a:extLst>
        </xdr:cNvPr>
        <xdr:cNvSpPr>
          <a:spLocks noChangeShapeType="1"/>
        </xdr:cNvSpPr>
      </xdr:nvSpPr>
      <xdr:spPr bwMode="auto">
        <a:xfrm flipH="1" flipV="1">
          <a:off x="8820150" y="1524000"/>
          <a:ext cx="419102" cy="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19</xdr:col>
      <xdr:colOff>0</xdr:colOff>
      <xdr:row>45</xdr:row>
      <xdr:rowOff>95250</xdr:rowOff>
    </xdr:from>
    <xdr:to>
      <xdr:col>19</xdr:col>
      <xdr:colOff>419102</xdr:colOff>
      <xdr:row>45</xdr:row>
      <xdr:rowOff>95252</xdr:rowOff>
    </xdr:to>
    <xdr:sp macro="" textlink="">
      <xdr:nvSpPr>
        <xdr:cNvPr id="46" name="Line 3">
          <a:extLst>
            <a:ext uri="{FF2B5EF4-FFF2-40B4-BE49-F238E27FC236}">
              <a16:creationId xmlns:a16="http://schemas.microsoft.com/office/drawing/2014/main" id="{00000000-0008-0000-1D00-00002E000000}"/>
            </a:ext>
          </a:extLst>
        </xdr:cNvPr>
        <xdr:cNvSpPr>
          <a:spLocks noChangeShapeType="1"/>
        </xdr:cNvSpPr>
      </xdr:nvSpPr>
      <xdr:spPr bwMode="auto">
        <a:xfrm flipH="1" flipV="1">
          <a:off x="8801100" y="8258175"/>
          <a:ext cx="419102" cy="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19</xdr:col>
      <xdr:colOff>9525</xdr:colOff>
      <xdr:row>47</xdr:row>
      <xdr:rowOff>95250</xdr:rowOff>
    </xdr:from>
    <xdr:to>
      <xdr:col>19</xdr:col>
      <xdr:colOff>428627</xdr:colOff>
      <xdr:row>47</xdr:row>
      <xdr:rowOff>95252</xdr:rowOff>
    </xdr:to>
    <xdr:sp macro="" textlink="">
      <xdr:nvSpPr>
        <xdr:cNvPr id="47" name="Line 3">
          <a:extLst>
            <a:ext uri="{FF2B5EF4-FFF2-40B4-BE49-F238E27FC236}">
              <a16:creationId xmlns:a16="http://schemas.microsoft.com/office/drawing/2014/main" id="{00000000-0008-0000-1D00-00002F000000}"/>
            </a:ext>
          </a:extLst>
        </xdr:cNvPr>
        <xdr:cNvSpPr>
          <a:spLocks noChangeShapeType="1"/>
        </xdr:cNvSpPr>
      </xdr:nvSpPr>
      <xdr:spPr bwMode="auto">
        <a:xfrm flipH="1" flipV="1">
          <a:off x="8810625" y="8591550"/>
          <a:ext cx="419102" cy="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19</xdr:col>
      <xdr:colOff>9525</xdr:colOff>
      <xdr:row>50</xdr:row>
      <xdr:rowOff>85725</xdr:rowOff>
    </xdr:from>
    <xdr:to>
      <xdr:col>19</xdr:col>
      <xdr:colOff>428627</xdr:colOff>
      <xdr:row>50</xdr:row>
      <xdr:rowOff>85727</xdr:rowOff>
    </xdr:to>
    <xdr:sp macro="" textlink="">
      <xdr:nvSpPr>
        <xdr:cNvPr id="48" name="Line 3">
          <a:extLst>
            <a:ext uri="{FF2B5EF4-FFF2-40B4-BE49-F238E27FC236}">
              <a16:creationId xmlns:a16="http://schemas.microsoft.com/office/drawing/2014/main" id="{00000000-0008-0000-1D00-000030000000}"/>
            </a:ext>
          </a:extLst>
        </xdr:cNvPr>
        <xdr:cNvSpPr>
          <a:spLocks noChangeShapeType="1"/>
        </xdr:cNvSpPr>
      </xdr:nvSpPr>
      <xdr:spPr bwMode="auto">
        <a:xfrm flipH="1" flipV="1">
          <a:off x="8810625" y="9086850"/>
          <a:ext cx="419102" cy="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19</xdr:col>
      <xdr:colOff>0</xdr:colOff>
      <xdr:row>52</xdr:row>
      <xdr:rowOff>104775</xdr:rowOff>
    </xdr:from>
    <xdr:to>
      <xdr:col>19</xdr:col>
      <xdr:colOff>419102</xdr:colOff>
      <xdr:row>52</xdr:row>
      <xdr:rowOff>104777</xdr:rowOff>
    </xdr:to>
    <xdr:sp macro="" textlink="">
      <xdr:nvSpPr>
        <xdr:cNvPr id="49" name="Line 3">
          <a:extLst>
            <a:ext uri="{FF2B5EF4-FFF2-40B4-BE49-F238E27FC236}">
              <a16:creationId xmlns:a16="http://schemas.microsoft.com/office/drawing/2014/main" id="{00000000-0008-0000-1D00-000031000000}"/>
            </a:ext>
          </a:extLst>
        </xdr:cNvPr>
        <xdr:cNvSpPr>
          <a:spLocks noChangeShapeType="1"/>
        </xdr:cNvSpPr>
      </xdr:nvSpPr>
      <xdr:spPr bwMode="auto">
        <a:xfrm flipH="1" flipV="1">
          <a:off x="8801100" y="9448800"/>
          <a:ext cx="419102" cy="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19</xdr:col>
      <xdr:colOff>441813</xdr:colOff>
      <xdr:row>48</xdr:row>
      <xdr:rowOff>146538</xdr:rowOff>
    </xdr:from>
    <xdr:to>
      <xdr:col>20</xdr:col>
      <xdr:colOff>15874</xdr:colOff>
      <xdr:row>52</xdr:row>
      <xdr:rowOff>6594</xdr:rowOff>
    </xdr:to>
    <xdr:sp macro="" textlink="">
      <xdr:nvSpPr>
        <xdr:cNvPr id="51" name="AutoShape 2">
          <a:extLst>
            <a:ext uri="{FF2B5EF4-FFF2-40B4-BE49-F238E27FC236}">
              <a16:creationId xmlns:a16="http://schemas.microsoft.com/office/drawing/2014/main" id="{00000000-0008-0000-1D00-000033000000}"/>
            </a:ext>
          </a:extLst>
        </xdr:cNvPr>
        <xdr:cNvSpPr>
          <a:spLocks/>
        </xdr:cNvSpPr>
      </xdr:nvSpPr>
      <xdr:spPr bwMode="auto">
        <a:xfrm flipH="1">
          <a:off x="9395313" y="8901601"/>
          <a:ext cx="58249" cy="558556"/>
        </a:xfrm>
        <a:prstGeom prst="rightBrace">
          <a:avLst>
            <a:gd name="adj1" fmla="val 50000"/>
            <a:gd name="adj2" fmla="val 50787"/>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14</xdr:col>
      <xdr:colOff>107146</xdr:colOff>
      <xdr:row>0</xdr:row>
      <xdr:rowOff>47625</xdr:rowOff>
    </xdr:from>
    <xdr:to>
      <xdr:col>14</xdr:col>
      <xdr:colOff>485258</xdr:colOff>
      <xdr:row>1</xdr:row>
      <xdr:rowOff>190499</xdr:rowOff>
    </xdr:to>
    <xdr:pic>
      <xdr:nvPicPr>
        <xdr:cNvPr id="2" name="Picture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2"/>
        <a:stretch>
          <a:fillRect/>
        </a:stretch>
      </xdr:blipFill>
      <xdr:spPr>
        <a:xfrm>
          <a:off x="7060396" y="47625"/>
          <a:ext cx="378112" cy="38099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8</xdr:col>
      <xdr:colOff>223600</xdr:colOff>
      <xdr:row>137</xdr:row>
      <xdr:rowOff>21889</xdr:rowOff>
    </xdr:from>
    <xdr:to>
      <xdr:col>9</xdr:col>
      <xdr:colOff>52150</xdr:colOff>
      <xdr:row>137</xdr:row>
      <xdr:rowOff>127855</xdr:rowOff>
    </xdr:to>
    <xdr:sp macro="" textlink="">
      <xdr:nvSpPr>
        <xdr:cNvPr id="6" name="AutoShape 85">
          <a:extLst>
            <a:ext uri="{FF2B5EF4-FFF2-40B4-BE49-F238E27FC236}">
              <a16:creationId xmlns:a16="http://schemas.microsoft.com/office/drawing/2014/main" id="{00000000-0008-0000-1E00-000006000000}"/>
            </a:ext>
          </a:extLst>
        </xdr:cNvPr>
        <xdr:cNvSpPr>
          <a:spLocks noChangeArrowheads="1"/>
        </xdr:cNvSpPr>
      </xdr:nvSpPr>
      <xdr:spPr bwMode="auto">
        <a:xfrm rot="5400000">
          <a:off x="2085142" y="1160722"/>
          <a:ext cx="105966" cy="7620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92075</xdr:colOff>
      <xdr:row>98</xdr:row>
      <xdr:rowOff>73025</xdr:rowOff>
    </xdr:from>
    <xdr:to>
      <xdr:col>3</xdr:col>
      <xdr:colOff>46038</xdr:colOff>
      <xdr:row>101</xdr:row>
      <xdr:rowOff>139701</xdr:rowOff>
    </xdr:to>
    <xdr:pic>
      <xdr:nvPicPr>
        <xdr:cNvPr id="19" name="Picture 113" descr="E:\My Documents\Excel\04_1040\IRS Forms\CAUTION_Black.jpg">
          <a:extLst>
            <a:ext uri="{FF2B5EF4-FFF2-40B4-BE49-F238E27FC236}">
              <a16:creationId xmlns:a16="http://schemas.microsoft.com/office/drawing/2014/main" id="{00000000-0008-0000-2000-00001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25425" y="15567025"/>
          <a:ext cx="53657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127000</xdr:colOff>
      <xdr:row>23</xdr:row>
      <xdr:rowOff>3629</xdr:rowOff>
    </xdr:from>
    <xdr:to>
      <xdr:col>1</xdr:col>
      <xdr:colOff>279400</xdr:colOff>
      <xdr:row>24</xdr:row>
      <xdr:rowOff>44745</xdr:rowOff>
    </xdr:to>
    <xdr:pic>
      <xdr:nvPicPr>
        <xdr:cNvPr id="11" name="Picture 10">
          <a:extLst>
            <a:ext uri="{FF2B5EF4-FFF2-40B4-BE49-F238E27FC236}">
              <a16:creationId xmlns:a16="http://schemas.microsoft.com/office/drawing/2014/main" id="{00000000-0008-0000-2100-00000B000000}"/>
            </a:ext>
          </a:extLst>
        </xdr:cNvPr>
        <xdr:cNvPicPr>
          <a:picLocks noChangeAspect="1"/>
        </xdr:cNvPicPr>
      </xdr:nvPicPr>
      <xdr:blipFill>
        <a:blip xmlns:r="http://schemas.openxmlformats.org/officeDocument/2006/relationships" r:embed="rId1"/>
        <a:stretch>
          <a:fillRect/>
        </a:stretch>
      </xdr:blipFill>
      <xdr:spPr>
        <a:xfrm>
          <a:off x="127000" y="3458029"/>
          <a:ext cx="285750" cy="282416"/>
        </a:xfrm>
        <a:prstGeom prst="rect">
          <a:avLst/>
        </a:prstGeom>
      </xdr:spPr>
    </xdr:pic>
    <xdr:clientData/>
  </xdr:twoCellAnchor>
  <xdr:twoCellAnchor editAs="oneCell">
    <xdr:from>
      <xdr:col>1</xdr:col>
      <xdr:colOff>76200</xdr:colOff>
      <xdr:row>93</xdr:row>
      <xdr:rowOff>38354</xdr:rowOff>
    </xdr:from>
    <xdr:to>
      <xdr:col>2</xdr:col>
      <xdr:colOff>32655</xdr:colOff>
      <xdr:row>95</xdr:row>
      <xdr:rowOff>48985</xdr:rowOff>
    </xdr:to>
    <xdr:pic>
      <xdr:nvPicPr>
        <xdr:cNvPr id="19" name="Picture 18">
          <a:extLst>
            <a:ext uri="{FF2B5EF4-FFF2-40B4-BE49-F238E27FC236}">
              <a16:creationId xmlns:a16="http://schemas.microsoft.com/office/drawing/2014/main" id="{00000000-0008-0000-2100-000013000000}"/>
            </a:ext>
          </a:extLst>
        </xdr:cNvPr>
        <xdr:cNvPicPr>
          <a:picLocks noChangeAspect="1"/>
        </xdr:cNvPicPr>
      </xdr:nvPicPr>
      <xdr:blipFill>
        <a:blip xmlns:r="http://schemas.openxmlformats.org/officeDocument/2006/relationships" r:embed="rId1"/>
        <a:stretch>
          <a:fillRect/>
        </a:stretch>
      </xdr:blipFill>
      <xdr:spPr>
        <a:xfrm>
          <a:off x="209550" y="13951204"/>
          <a:ext cx="254905" cy="251931"/>
        </a:xfrm>
        <a:prstGeom prst="rect">
          <a:avLst/>
        </a:prstGeom>
      </xdr:spPr>
    </xdr:pic>
    <xdr:clientData/>
  </xdr:twoCellAnchor>
  <xdr:twoCellAnchor>
    <xdr:from>
      <xdr:col>13</xdr:col>
      <xdr:colOff>37566</xdr:colOff>
      <xdr:row>77</xdr:row>
      <xdr:rowOff>3695</xdr:rowOff>
    </xdr:from>
    <xdr:to>
      <xdr:col>13</xdr:col>
      <xdr:colOff>113766</xdr:colOff>
      <xdr:row>80</xdr:row>
      <xdr:rowOff>7637</xdr:rowOff>
    </xdr:to>
    <xdr:sp macro="" textlink="">
      <xdr:nvSpPr>
        <xdr:cNvPr id="20" name="AutoShape 2">
          <a:extLst>
            <a:ext uri="{FF2B5EF4-FFF2-40B4-BE49-F238E27FC236}">
              <a16:creationId xmlns:a16="http://schemas.microsoft.com/office/drawing/2014/main" id="{00000000-0008-0000-2100-000014000000}"/>
            </a:ext>
          </a:extLst>
        </xdr:cNvPr>
        <xdr:cNvSpPr>
          <a:spLocks/>
        </xdr:cNvSpPr>
      </xdr:nvSpPr>
      <xdr:spPr bwMode="auto">
        <a:xfrm>
          <a:off x="3895191" y="11784929"/>
          <a:ext cx="76200" cy="468286"/>
        </a:xfrm>
        <a:prstGeom prst="rightBrace">
          <a:avLst>
            <a:gd name="adj1" fmla="val 50000"/>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171357</xdr:colOff>
      <xdr:row>111</xdr:row>
      <xdr:rowOff>141514</xdr:rowOff>
    </xdr:from>
    <xdr:to>
      <xdr:col>10</xdr:col>
      <xdr:colOff>29842</xdr:colOff>
      <xdr:row>114</xdr:row>
      <xdr:rowOff>145456</xdr:rowOff>
    </xdr:to>
    <xdr:sp macro="" textlink="">
      <xdr:nvSpPr>
        <xdr:cNvPr id="21" name="AutoShape 2">
          <a:extLst>
            <a:ext uri="{FF2B5EF4-FFF2-40B4-BE49-F238E27FC236}">
              <a16:creationId xmlns:a16="http://schemas.microsoft.com/office/drawing/2014/main" id="{00000000-0008-0000-2100-000015000000}"/>
            </a:ext>
          </a:extLst>
        </xdr:cNvPr>
        <xdr:cNvSpPr>
          <a:spLocks/>
        </xdr:cNvSpPr>
      </xdr:nvSpPr>
      <xdr:spPr bwMode="auto">
        <a:xfrm>
          <a:off x="3284671" y="16807543"/>
          <a:ext cx="76200" cy="461142"/>
        </a:xfrm>
        <a:prstGeom prst="rightBrace">
          <a:avLst>
            <a:gd name="adj1" fmla="val 50000"/>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29</xdr:col>
      <xdr:colOff>253319</xdr:colOff>
      <xdr:row>128</xdr:row>
      <xdr:rowOff>70945</xdr:rowOff>
    </xdr:from>
    <xdr:to>
      <xdr:col>29</xdr:col>
      <xdr:colOff>537246</xdr:colOff>
      <xdr:row>130</xdr:row>
      <xdr:rowOff>8445</xdr:rowOff>
    </xdr:to>
    <xdr:pic>
      <xdr:nvPicPr>
        <xdr:cNvPr id="5" name="Picture 4">
          <a:extLst>
            <a:ext uri="{FF2B5EF4-FFF2-40B4-BE49-F238E27FC236}">
              <a16:creationId xmlns:a16="http://schemas.microsoft.com/office/drawing/2014/main" id="{00000000-0008-0000-21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688262" y="19175374"/>
          <a:ext cx="283927" cy="285842"/>
        </a:xfrm>
        <a:prstGeom prst="rect">
          <a:avLst/>
        </a:prstGeom>
      </xdr:spPr>
    </xdr:pic>
    <xdr:clientData/>
  </xdr:twoCellAnchor>
  <xdr:twoCellAnchor>
    <xdr:from>
      <xdr:col>13</xdr:col>
      <xdr:colOff>35719</xdr:colOff>
      <xdr:row>88</xdr:row>
      <xdr:rowOff>31078</xdr:rowOff>
    </xdr:from>
    <xdr:to>
      <xdr:col>13</xdr:col>
      <xdr:colOff>117339</xdr:colOff>
      <xdr:row>93</xdr:row>
      <xdr:rowOff>29765</xdr:rowOff>
    </xdr:to>
    <xdr:sp macro="" textlink="">
      <xdr:nvSpPr>
        <xdr:cNvPr id="2" name="AutoShape 2">
          <a:extLst>
            <a:ext uri="{FF2B5EF4-FFF2-40B4-BE49-F238E27FC236}">
              <a16:creationId xmlns:a16="http://schemas.microsoft.com/office/drawing/2014/main" id="{00000000-0008-0000-2100-000002000000}"/>
            </a:ext>
          </a:extLst>
        </xdr:cNvPr>
        <xdr:cNvSpPr>
          <a:spLocks/>
        </xdr:cNvSpPr>
      </xdr:nvSpPr>
      <xdr:spPr bwMode="auto">
        <a:xfrm>
          <a:off x="3893344" y="13181531"/>
          <a:ext cx="81620" cy="772593"/>
        </a:xfrm>
        <a:prstGeom prst="rightBrace">
          <a:avLst>
            <a:gd name="adj1" fmla="val 50000"/>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25.xml><?xml version="1.0" encoding="utf-8"?>
<xdr:wsDr xmlns:xdr="http://schemas.openxmlformats.org/drawingml/2006/spreadsheetDrawing" xmlns:a="http://schemas.openxmlformats.org/drawingml/2006/main">
  <xdr:twoCellAnchor>
    <xdr:from>
      <xdr:col>5</xdr:col>
      <xdr:colOff>0</xdr:colOff>
      <xdr:row>15</xdr:row>
      <xdr:rowOff>0</xdr:rowOff>
    </xdr:from>
    <xdr:to>
      <xdr:col>5</xdr:col>
      <xdr:colOff>0</xdr:colOff>
      <xdr:row>17</xdr:row>
      <xdr:rowOff>0</xdr:rowOff>
    </xdr:to>
    <xdr:sp macro="" textlink="">
      <xdr:nvSpPr>
        <xdr:cNvPr id="4" name="Line 4">
          <a:extLst>
            <a:ext uri="{FF2B5EF4-FFF2-40B4-BE49-F238E27FC236}">
              <a16:creationId xmlns:a16="http://schemas.microsoft.com/office/drawing/2014/main" id="{00000000-0008-0000-2400-000004000000}"/>
            </a:ext>
          </a:extLst>
        </xdr:cNvPr>
        <xdr:cNvSpPr>
          <a:spLocks noChangeShapeType="1"/>
        </xdr:cNvSpPr>
      </xdr:nvSpPr>
      <xdr:spPr bwMode="auto">
        <a:xfrm>
          <a:off x="1362075" y="4905375"/>
          <a:ext cx="0" cy="2476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16</xdr:col>
      <xdr:colOff>507274</xdr:colOff>
      <xdr:row>26</xdr:row>
      <xdr:rowOff>2178</xdr:rowOff>
    </xdr:from>
    <xdr:to>
      <xdr:col>16</xdr:col>
      <xdr:colOff>507274</xdr:colOff>
      <xdr:row>27</xdr:row>
      <xdr:rowOff>100694</xdr:rowOff>
    </xdr:to>
    <xdr:sp macro="" textlink="">
      <xdr:nvSpPr>
        <xdr:cNvPr id="5" name="Line 5">
          <a:extLst>
            <a:ext uri="{FF2B5EF4-FFF2-40B4-BE49-F238E27FC236}">
              <a16:creationId xmlns:a16="http://schemas.microsoft.com/office/drawing/2014/main" id="{00000000-0008-0000-2400-000005000000}"/>
            </a:ext>
          </a:extLst>
        </xdr:cNvPr>
        <xdr:cNvSpPr>
          <a:spLocks noChangeShapeType="1"/>
        </xdr:cNvSpPr>
      </xdr:nvSpPr>
      <xdr:spPr bwMode="auto">
        <a:xfrm>
          <a:off x="5188131" y="3621678"/>
          <a:ext cx="0" cy="18560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none" w="med" len="med"/>
        </a:ln>
        <a:extLst>
          <a:ext uri="{909E8E84-426E-40DD-AFC4-6F175D3DCCD1}">
            <a14:hiddenFill xmlns:a14="http://schemas.microsoft.com/office/drawing/2010/main">
              <a:noFill/>
            </a14:hiddenFill>
          </a:ext>
        </a:extLst>
      </xdr:spPr>
    </xdr:sp>
    <xdr:clientData/>
  </xdr:twoCellAnchor>
  <xdr:twoCellAnchor>
    <xdr:from>
      <xdr:col>5</xdr:col>
      <xdr:colOff>0</xdr:colOff>
      <xdr:row>26</xdr:row>
      <xdr:rowOff>0</xdr:rowOff>
    </xdr:from>
    <xdr:to>
      <xdr:col>5</xdr:col>
      <xdr:colOff>0</xdr:colOff>
      <xdr:row>29</xdr:row>
      <xdr:rowOff>0</xdr:rowOff>
    </xdr:to>
    <xdr:sp macro="" textlink="">
      <xdr:nvSpPr>
        <xdr:cNvPr id="6" name="Line 6">
          <a:extLst>
            <a:ext uri="{FF2B5EF4-FFF2-40B4-BE49-F238E27FC236}">
              <a16:creationId xmlns:a16="http://schemas.microsoft.com/office/drawing/2014/main" id="{00000000-0008-0000-2400-000006000000}"/>
            </a:ext>
          </a:extLst>
        </xdr:cNvPr>
        <xdr:cNvSpPr>
          <a:spLocks noChangeShapeType="1"/>
        </xdr:cNvSpPr>
      </xdr:nvSpPr>
      <xdr:spPr bwMode="auto">
        <a:xfrm>
          <a:off x="1362075" y="6381750"/>
          <a:ext cx="0" cy="2476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14654</xdr:colOff>
      <xdr:row>25</xdr:row>
      <xdr:rowOff>7326</xdr:rowOff>
    </xdr:from>
    <xdr:to>
      <xdr:col>14</xdr:col>
      <xdr:colOff>0</xdr:colOff>
      <xdr:row>25</xdr:row>
      <xdr:rowOff>7327</xdr:rowOff>
    </xdr:to>
    <xdr:sp macro="" textlink="">
      <xdr:nvSpPr>
        <xdr:cNvPr id="14" name="Line 18">
          <a:extLst>
            <a:ext uri="{FF2B5EF4-FFF2-40B4-BE49-F238E27FC236}">
              <a16:creationId xmlns:a16="http://schemas.microsoft.com/office/drawing/2014/main" id="{00000000-0008-0000-2400-00000E000000}"/>
            </a:ext>
          </a:extLst>
        </xdr:cNvPr>
        <xdr:cNvSpPr>
          <a:spLocks noChangeShapeType="1"/>
        </xdr:cNvSpPr>
      </xdr:nvSpPr>
      <xdr:spPr bwMode="auto">
        <a:xfrm>
          <a:off x="3531577" y="3509595"/>
          <a:ext cx="410308" cy="1"/>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13136</xdr:colOff>
      <xdr:row>14</xdr:row>
      <xdr:rowOff>13136</xdr:rowOff>
    </xdr:from>
    <xdr:to>
      <xdr:col>13</xdr:col>
      <xdr:colOff>349250</xdr:colOff>
      <xdr:row>14</xdr:row>
      <xdr:rowOff>25399</xdr:rowOff>
    </xdr:to>
    <xdr:sp macro="" textlink="">
      <xdr:nvSpPr>
        <xdr:cNvPr id="15" name="Line 20">
          <a:extLst>
            <a:ext uri="{FF2B5EF4-FFF2-40B4-BE49-F238E27FC236}">
              <a16:creationId xmlns:a16="http://schemas.microsoft.com/office/drawing/2014/main" id="{00000000-0008-0000-2400-00000F000000}"/>
            </a:ext>
          </a:extLst>
        </xdr:cNvPr>
        <xdr:cNvSpPr>
          <a:spLocks noChangeShapeType="1"/>
        </xdr:cNvSpPr>
      </xdr:nvSpPr>
      <xdr:spPr bwMode="auto">
        <a:xfrm>
          <a:off x="3740586" y="2749986"/>
          <a:ext cx="666314" cy="12263"/>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0</xdr:colOff>
      <xdr:row>19</xdr:row>
      <xdr:rowOff>19049</xdr:rowOff>
    </xdr:from>
    <xdr:to>
      <xdr:col>14</xdr:col>
      <xdr:colOff>6349</xdr:colOff>
      <xdr:row>19</xdr:row>
      <xdr:rowOff>19050</xdr:rowOff>
    </xdr:to>
    <xdr:sp macro="" textlink="">
      <xdr:nvSpPr>
        <xdr:cNvPr id="16" name="Line 21">
          <a:extLst>
            <a:ext uri="{FF2B5EF4-FFF2-40B4-BE49-F238E27FC236}">
              <a16:creationId xmlns:a16="http://schemas.microsoft.com/office/drawing/2014/main" id="{00000000-0008-0000-2400-000010000000}"/>
            </a:ext>
          </a:extLst>
        </xdr:cNvPr>
        <xdr:cNvSpPr>
          <a:spLocks noChangeShapeType="1"/>
        </xdr:cNvSpPr>
      </xdr:nvSpPr>
      <xdr:spPr bwMode="auto">
        <a:xfrm>
          <a:off x="3727450" y="3517899"/>
          <a:ext cx="692149" cy="1"/>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16</xdr:col>
      <xdr:colOff>506186</xdr:colOff>
      <xdr:row>27</xdr:row>
      <xdr:rowOff>97971</xdr:rowOff>
    </xdr:from>
    <xdr:to>
      <xdr:col>18</xdr:col>
      <xdr:colOff>0</xdr:colOff>
      <xdr:row>27</xdr:row>
      <xdr:rowOff>97971</xdr:rowOff>
    </xdr:to>
    <xdr:sp macro="" textlink="">
      <xdr:nvSpPr>
        <xdr:cNvPr id="22" name="Line 93">
          <a:extLst>
            <a:ext uri="{FF2B5EF4-FFF2-40B4-BE49-F238E27FC236}">
              <a16:creationId xmlns:a16="http://schemas.microsoft.com/office/drawing/2014/main" id="{00000000-0008-0000-2400-000016000000}"/>
            </a:ext>
          </a:extLst>
        </xdr:cNvPr>
        <xdr:cNvSpPr>
          <a:spLocks noChangeShapeType="1"/>
        </xdr:cNvSpPr>
      </xdr:nvSpPr>
      <xdr:spPr bwMode="auto">
        <a:xfrm flipV="1">
          <a:off x="5187043" y="3804557"/>
          <a:ext cx="326571"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7883</xdr:colOff>
      <xdr:row>20</xdr:row>
      <xdr:rowOff>93278</xdr:rowOff>
    </xdr:from>
    <xdr:to>
      <xdr:col>5</xdr:col>
      <xdr:colOff>7883</xdr:colOff>
      <xdr:row>22</xdr:row>
      <xdr:rowOff>158968</xdr:rowOff>
    </xdr:to>
    <xdr:sp macro="" textlink="">
      <xdr:nvSpPr>
        <xdr:cNvPr id="34" name="Line 5">
          <a:extLst>
            <a:ext uri="{FF2B5EF4-FFF2-40B4-BE49-F238E27FC236}">
              <a16:creationId xmlns:a16="http://schemas.microsoft.com/office/drawing/2014/main" id="{00000000-0008-0000-2400-000022000000}"/>
            </a:ext>
          </a:extLst>
        </xdr:cNvPr>
        <xdr:cNvSpPr>
          <a:spLocks noChangeShapeType="1"/>
        </xdr:cNvSpPr>
      </xdr:nvSpPr>
      <xdr:spPr bwMode="auto">
        <a:xfrm>
          <a:off x="1374228" y="3036175"/>
          <a:ext cx="0" cy="249621"/>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14</xdr:col>
      <xdr:colOff>108856</xdr:colOff>
      <xdr:row>26</xdr:row>
      <xdr:rowOff>5444</xdr:rowOff>
    </xdr:from>
    <xdr:to>
      <xdr:col>14</xdr:col>
      <xdr:colOff>108856</xdr:colOff>
      <xdr:row>29</xdr:row>
      <xdr:rowOff>5444</xdr:rowOff>
    </xdr:to>
    <xdr:sp macro="" textlink="">
      <xdr:nvSpPr>
        <xdr:cNvPr id="36" name="Line 6">
          <a:extLst>
            <a:ext uri="{FF2B5EF4-FFF2-40B4-BE49-F238E27FC236}">
              <a16:creationId xmlns:a16="http://schemas.microsoft.com/office/drawing/2014/main" id="{00000000-0008-0000-2400-000024000000}"/>
            </a:ext>
          </a:extLst>
        </xdr:cNvPr>
        <xdr:cNvSpPr>
          <a:spLocks noChangeShapeType="1"/>
        </xdr:cNvSpPr>
      </xdr:nvSpPr>
      <xdr:spPr bwMode="auto">
        <a:xfrm>
          <a:off x="4294413" y="3624944"/>
          <a:ext cx="0" cy="424543"/>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21</xdr:col>
      <xdr:colOff>146152</xdr:colOff>
      <xdr:row>108</xdr:row>
      <xdr:rowOff>170678</xdr:rowOff>
    </xdr:from>
    <xdr:to>
      <xdr:col>22</xdr:col>
      <xdr:colOff>439616</xdr:colOff>
      <xdr:row>111</xdr:row>
      <xdr:rowOff>115034</xdr:rowOff>
    </xdr:to>
    <xdr:pic>
      <xdr:nvPicPr>
        <xdr:cNvPr id="23" name="Picture 27">
          <a:extLst>
            <a:ext uri="{FF2B5EF4-FFF2-40B4-BE49-F238E27FC236}">
              <a16:creationId xmlns:a16="http://schemas.microsoft.com/office/drawing/2014/main" id="{00000000-0008-0000-2400-00001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656248" y="30943755"/>
          <a:ext cx="513272" cy="532708"/>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26.xml><?xml version="1.0" encoding="utf-8"?>
<xdr:wsDr xmlns:xdr="http://schemas.openxmlformats.org/drawingml/2006/spreadsheetDrawing" xmlns:a="http://schemas.openxmlformats.org/drawingml/2006/main">
  <xdr:twoCellAnchor>
    <xdr:from>
      <xdr:col>10</xdr:col>
      <xdr:colOff>0</xdr:colOff>
      <xdr:row>24</xdr:row>
      <xdr:rowOff>57150</xdr:rowOff>
    </xdr:from>
    <xdr:to>
      <xdr:col>10</xdr:col>
      <xdr:colOff>615950</xdr:colOff>
      <xdr:row>24</xdr:row>
      <xdr:rowOff>57150</xdr:rowOff>
    </xdr:to>
    <xdr:sp macro="" textlink="">
      <xdr:nvSpPr>
        <xdr:cNvPr id="2" name="Line 1">
          <a:extLst>
            <a:ext uri="{FF2B5EF4-FFF2-40B4-BE49-F238E27FC236}">
              <a16:creationId xmlns:a16="http://schemas.microsoft.com/office/drawing/2014/main" id="{00000000-0008-0000-2500-000002000000}"/>
            </a:ext>
          </a:extLst>
        </xdr:cNvPr>
        <xdr:cNvSpPr>
          <a:spLocks noChangeShapeType="1"/>
        </xdr:cNvSpPr>
      </xdr:nvSpPr>
      <xdr:spPr bwMode="auto">
        <a:xfrm>
          <a:off x="3841750" y="3352800"/>
          <a:ext cx="6159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12700</xdr:colOff>
      <xdr:row>26</xdr:row>
      <xdr:rowOff>88900</xdr:rowOff>
    </xdr:from>
    <xdr:to>
      <xdr:col>10</xdr:col>
      <xdr:colOff>628650</xdr:colOff>
      <xdr:row>26</xdr:row>
      <xdr:rowOff>88900</xdr:rowOff>
    </xdr:to>
    <xdr:sp macro="" textlink="">
      <xdr:nvSpPr>
        <xdr:cNvPr id="3" name="Line 2">
          <a:extLst>
            <a:ext uri="{FF2B5EF4-FFF2-40B4-BE49-F238E27FC236}">
              <a16:creationId xmlns:a16="http://schemas.microsoft.com/office/drawing/2014/main" id="{00000000-0008-0000-2500-000003000000}"/>
            </a:ext>
          </a:extLst>
        </xdr:cNvPr>
        <xdr:cNvSpPr>
          <a:spLocks noChangeShapeType="1"/>
        </xdr:cNvSpPr>
      </xdr:nvSpPr>
      <xdr:spPr bwMode="auto">
        <a:xfrm>
          <a:off x="3854450" y="3708400"/>
          <a:ext cx="6159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11</xdr:col>
      <xdr:colOff>247650</xdr:colOff>
      <xdr:row>24</xdr:row>
      <xdr:rowOff>57150</xdr:rowOff>
    </xdr:from>
    <xdr:to>
      <xdr:col>11</xdr:col>
      <xdr:colOff>806450</xdr:colOff>
      <xdr:row>24</xdr:row>
      <xdr:rowOff>57150</xdr:rowOff>
    </xdr:to>
    <xdr:sp macro="" textlink="">
      <xdr:nvSpPr>
        <xdr:cNvPr id="4" name="Line 3">
          <a:extLst>
            <a:ext uri="{FF2B5EF4-FFF2-40B4-BE49-F238E27FC236}">
              <a16:creationId xmlns:a16="http://schemas.microsoft.com/office/drawing/2014/main" id="{00000000-0008-0000-2500-000004000000}"/>
            </a:ext>
          </a:extLst>
        </xdr:cNvPr>
        <xdr:cNvSpPr>
          <a:spLocks noChangeShapeType="1"/>
        </xdr:cNvSpPr>
      </xdr:nvSpPr>
      <xdr:spPr bwMode="auto">
        <a:xfrm>
          <a:off x="4756150" y="3352800"/>
          <a:ext cx="5588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none" w="med" len="med"/>
        </a:ln>
        <a:extLst>
          <a:ext uri="{909E8E84-426E-40DD-AFC4-6F175D3DCCD1}">
            <a14:hiddenFill xmlns:a14="http://schemas.microsoft.com/office/drawing/2010/main">
              <a:noFill/>
            </a14:hiddenFill>
          </a:ext>
        </a:extLst>
      </xdr:spPr>
    </xdr:sp>
    <xdr:clientData/>
  </xdr:twoCellAnchor>
  <xdr:twoCellAnchor>
    <xdr:from>
      <xdr:col>11</xdr:col>
      <xdr:colOff>292100</xdr:colOff>
      <xdr:row>26</xdr:row>
      <xdr:rowOff>88900</xdr:rowOff>
    </xdr:from>
    <xdr:to>
      <xdr:col>12</xdr:col>
      <xdr:colOff>0</xdr:colOff>
      <xdr:row>26</xdr:row>
      <xdr:rowOff>88900</xdr:rowOff>
    </xdr:to>
    <xdr:sp macro="" textlink="">
      <xdr:nvSpPr>
        <xdr:cNvPr id="5" name="Line 4">
          <a:extLst>
            <a:ext uri="{FF2B5EF4-FFF2-40B4-BE49-F238E27FC236}">
              <a16:creationId xmlns:a16="http://schemas.microsoft.com/office/drawing/2014/main" id="{00000000-0008-0000-2500-000005000000}"/>
            </a:ext>
          </a:extLst>
        </xdr:cNvPr>
        <xdr:cNvSpPr>
          <a:spLocks noChangeShapeType="1"/>
        </xdr:cNvSpPr>
      </xdr:nvSpPr>
      <xdr:spPr bwMode="auto">
        <a:xfrm>
          <a:off x="4800600" y="3708400"/>
          <a:ext cx="5143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none" w="med" len="med"/>
        </a:ln>
        <a:extLst>
          <a:ext uri="{909E8E84-426E-40DD-AFC4-6F175D3DCCD1}">
            <a14:hiddenFill xmlns:a14="http://schemas.microsoft.com/office/drawing/2010/main">
              <a:noFill/>
            </a14:hiddenFill>
          </a:ext>
        </a:extLst>
      </xdr:spPr>
    </xdr:sp>
    <xdr:clientData/>
  </xdr:twoCellAnchor>
  <xdr:twoCellAnchor>
    <xdr:from>
      <xdr:col>11</xdr:col>
      <xdr:colOff>140623</xdr:colOff>
      <xdr:row>81</xdr:row>
      <xdr:rowOff>129883</xdr:rowOff>
    </xdr:from>
    <xdr:to>
      <xdr:col>11</xdr:col>
      <xdr:colOff>242546</xdr:colOff>
      <xdr:row>87</xdr:row>
      <xdr:rowOff>82258</xdr:rowOff>
    </xdr:to>
    <xdr:sp macro="" textlink="">
      <xdr:nvSpPr>
        <xdr:cNvPr id="6" name="AutoShape 6">
          <a:extLst>
            <a:ext uri="{FF2B5EF4-FFF2-40B4-BE49-F238E27FC236}">
              <a16:creationId xmlns:a16="http://schemas.microsoft.com/office/drawing/2014/main" id="{00000000-0008-0000-2500-000006000000}"/>
            </a:ext>
          </a:extLst>
        </xdr:cNvPr>
        <xdr:cNvSpPr>
          <a:spLocks/>
        </xdr:cNvSpPr>
      </xdr:nvSpPr>
      <xdr:spPr bwMode="auto">
        <a:xfrm>
          <a:off x="4392855" y="15621615"/>
          <a:ext cx="101923" cy="1061357"/>
        </a:xfrm>
        <a:prstGeom prst="rightBrace">
          <a:avLst>
            <a:gd name="adj1" fmla="val 92187"/>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21</xdr:col>
      <xdr:colOff>290365</xdr:colOff>
      <xdr:row>180</xdr:row>
      <xdr:rowOff>161290</xdr:rowOff>
    </xdr:from>
    <xdr:to>
      <xdr:col>21</xdr:col>
      <xdr:colOff>534866</xdr:colOff>
      <xdr:row>181</xdr:row>
      <xdr:rowOff>197826</xdr:rowOff>
    </xdr:to>
    <xdr:pic>
      <xdr:nvPicPr>
        <xdr:cNvPr id="9" name="Picture 8">
          <a:extLst>
            <a:ext uri="{FF2B5EF4-FFF2-40B4-BE49-F238E27FC236}">
              <a16:creationId xmlns:a16="http://schemas.microsoft.com/office/drawing/2014/main" id="{00000000-0008-0000-2500-000009000000}"/>
            </a:ext>
          </a:extLst>
        </xdr:cNvPr>
        <xdr:cNvPicPr>
          <a:picLocks noChangeAspect="1"/>
        </xdr:cNvPicPr>
      </xdr:nvPicPr>
      <xdr:blipFill>
        <a:blip xmlns:r="http://schemas.openxmlformats.org/officeDocument/2006/relationships" r:embed="rId1"/>
        <a:stretch>
          <a:fillRect/>
        </a:stretch>
      </xdr:blipFill>
      <xdr:spPr>
        <a:xfrm>
          <a:off x="7690557" y="34817636"/>
          <a:ext cx="244501" cy="24901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20</xdr:col>
      <xdr:colOff>39662</xdr:colOff>
      <xdr:row>159</xdr:row>
      <xdr:rowOff>74365</xdr:rowOff>
    </xdr:from>
    <xdr:to>
      <xdr:col>20</xdr:col>
      <xdr:colOff>106059</xdr:colOff>
      <xdr:row>161</xdr:row>
      <xdr:rowOff>134690</xdr:rowOff>
    </xdr:to>
    <xdr:sp macro="" textlink="">
      <xdr:nvSpPr>
        <xdr:cNvPr id="4" name="AutoShape 6">
          <a:extLst>
            <a:ext uri="{FF2B5EF4-FFF2-40B4-BE49-F238E27FC236}">
              <a16:creationId xmlns:a16="http://schemas.microsoft.com/office/drawing/2014/main" id="{00000000-0008-0000-2600-000004000000}"/>
            </a:ext>
          </a:extLst>
        </xdr:cNvPr>
        <xdr:cNvSpPr>
          <a:spLocks/>
        </xdr:cNvSpPr>
      </xdr:nvSpPr>
      <xdr:spPr bwMode="auto">
        <a:xfrm>
          <a:off x="5417624" y="28957096"/>
          <a:ext cx="66397" cy="441325"/>
        </a:xfrm>
        <a:prstGeom prst="rightBrace">
          <a:avLst>
            <a:gd name="adj1" fmla="val 92187"/>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27</xdr:col>
      <xdr:colOff>18582</xdr:colOff>
      <xdr:row>161</xdr:row>
      <xdr:rowOff>157529</xdr:rowOff>
    </xdr:from>
    <xdr:to>
      <xdr:col>27</xdr:col>
      <xdr:colOff>71180</xdr:colOff>
      <xdr:row>164</xdr:row>
      <xdr:rowOff>27354</xdr:rowOff>
    </xdr:to>
    <xdr:sp macro="" textlink="">
      <xdr:nvSpPr>
        <xdr:cNvPr id="35" name="AutoShape 6">
          <a:extLst>
            <a:ext uri="{FF2B5EF4-FFF2-40B4-BE49-F238E27FC236}">
              <a16:creationId xmlns:a16="http://schemas.microsoft.com/office/drawing/2014/main" id="{00000000-0008-0000-2600-000023000000}"/>
            </a:ext>
          </a:extLst>
        </xdr:cNvPr>
        <xdr:cNvSpPr>
          <a:spLocks/>
        </xdr:cNvSpPr>
      </xdr:nvSpPr>
      <xdr:spPr bwMode="auto">
        <a:xfrm>
          <a:off x="7111044" y="29421260"/>
          <a:ext cx="52598" cy="441325"/>
        </a:xfrm>
        <a:prstGeom prst="rightBrace">
          <a:avLst>
            <a:gd name="adj1" fmla="val 92187"/>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20</xdr:col>
      <xdr:colOff>105604</xdr:colOff>
      <xdr:row>348</xdr:row>
      <xdr:rowOff>74365</xdr:rowOff>
    </xdr:from>
    <xdr:to>
      <xdr:col>20</xdr:col>
      <xdr:colOff>172001</xdr:colOff>
      <xdr:row>350</xdr:row>
      <xdr:rowOff>134690</xdr:rowOff>
    </xdr:to>
    <xdr:sp macro="" textlink="">
      <xdr:nvSpPr>
        <xdr:cNvPr id="2" name="AutoShape 6">
          <a:extLst>
            <a:ext uri="{FF2B5EF4-FFF2-40B4-BE49-F238E27FC236}">
              <a16:creationId xmlns:a16="http://schemas.microsoft.com/office/drawing/2014/main" id="{00000000-0008-0000-2600-000002000000}"/>
            </a:ext>
          </a:extLst>
        </xdr:cNvPr>
        <xdr:cNvSpPr>
          <a:spLocks/>
        </xdr:cNvSpPr>
      </xdr:nvSpPr>
      <xdr:spPr bwMode="auto">
        <a:xfrm>
          <a:off x="5315779" y="28858915"/>
          <a:ext cx="66397" cy="441325"/>
        </a:xfrm>
        <a:prstGeom prst="rightBrace">
          <a:avLst>
            <a:gd name="adj1" fmla="val 92187"/>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27</xdr:col>
      <xdr:colOff>218852</xdr:colOff>
      <xdr:row>351</xdr:row>
      <xdr:rowOff>25644</xdr:rowOff>
    </xdr:from>
    <xdr:to>
      <xdr:col>27</xdr:col>
      <xdr:colOff>272061</xdr:colOff>
      <xdr:row>353</xdr:row>
      <xdr:rowOff>85969</xdr:rowOff>
    </xdr:to>
    <xdr:sp macro="" textlink="">
      <xdr:nvSpPr>
        <xdr:cNvPr id="6" name="AutoShape 6">
          <a:extLst>
            <a:ext uri="{FF2B5EF4-FFF2-40B4-BE49-F238E27FC236}">
              <a16:creationId xmlns:a16="http://schemas.microsoft.com/office/drawing/2014/main" id="{00000000-0008-0000-2600-000006000000}"/>
            </a:ext>
          </a:extLst>
        </xdr:cNvPr>
        <xdr:cNvSpPr>
          <a:spLocks/>
        </xdr:cNvSpPr>
      </xdr:nvSpPr>
      <xdr:spPr bwMode="auto">
        <a:xfrm>
          <a:off x="7150121" y="63784529"/>
          <a:ext cx="53209" cy="441325"/>
        </a:xfrm>
        <a:prstGeom prst="rightBrace">
          <a:avLst>
            <a:gd name="adj1" fmla="val 92187"/>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28.xml><?xml version="1.0" encoding="utf-8"?>
<xdr:wsDr xmlns:xdr="http://schemas.openxmlformats.org/drawingml/2006/spreadsheetDrawing" xmlns:a="http://schemas.openxmlformats.org/drawingml/2006/main">
  <xdr:twoCellAnchor>
    <xdr:from>
      <xdr:col>10</xdr:col>
      <xdr:colOff>481045</xdr:colOff>
      <xdr:row>49</xdr:row>
      <xdr:rowOff>26929</xdr:rowOff>
    </xdr:from>
    <xdr:to>
      <xdr:col>10</xdr:col>
      <xdr:colOff>566525</xdr:colOff>
      <xdr:row>56</xdr:row>
      <xdr:rowOff>36245</xdr:rowOff>
    </xdr:to>
    <xdr:sp macro="" textlink="">
      <xdr:nvSpPr>
        <xdr:cNvPr id="107241" name="AutoShape 7">
          <a:extLst>
            <a:ext uri="{FF2B5EF4-FFF2-40B4-BE49-F238E27FC236}">
              <a16:creationId xmlns:a16="http://schemas.microsoft.com/office/drawing/2014/main" id="{00000000-0008-0000-2800-0000E9A20100}"/>
            </a:ext>
          </a:extLst>
        </xdr:cNvPr>
        <xdr:cNvSpPr>
          <a:spLocks/>
        </xdr:cNvSpPr>
      </xdr:nvSpPr>
      <xdr:spPr bwMode="auto">
        <a:xfrm>
          <a:off x="6425959" y="8914739"/>
          <a:ext cx="85480" cy="1198299"/>
        </a:xfrm>
        <a:prstGeom prst="rightBrace">
          <a:avLst>
            <a:gd name="adj1" fmla="val 70602"/>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258911</xdr:colOff>
      <xdr:row>87</xdr:row>
      <xdr:rowOff>82615</xdr:rowOff>
    </xdr:from>
    <xdr:to>
      <xdr:col>7</xdr:col>
      <xdr:colOff>325586</xdr:colOff>
      <xdr:row>90</xdr:row>
      <xdr:rowOff>15940</xdr:rowOff>
    </xdr:to>
    <xdr:sp macro="" textlink="">
      <xdr:nvSpPr>
        <xdr:cNvPr id="107244" name="AutoShape 318">
          <a:extLst>
            <a:ext uri="{FF2B5EF4-FFF2-40B4-BE49-F238E27FC236}">
              <a16:creationId xmlns:a16="http://schemas.microsoft.com/office/drawing/2014/main" id="{00000000-0008-0000-2800-0000ECA20100}"/>
            </a:ext>
          </a:extLst>
        </xdr:cNvPr>
        <xdr:cNvSpPr>
          <a:spLocks/>
        </xdr:cNvSpPr>
      </xdr:nvSpPr>
      <xdr:spPr bwMode="auto">
        <a:xfrm>
          <a:off x="4881711" y="16046515"/>
          <a:ext cx="66675" cy="454025"/>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6</xdr:col>
      <xdr:colOff>857251</xdr:colOff>
      <xdr:row>99</xdr:row>
      <xdr:rowOff>178676</xdr:rowOff>
    </xdr:from>
    <xdr:to>
      <xdr:col>6</xdr:col>
      <xdr:colOff>939363</xdr:colOff>
      <xdr:row>103</xdr:row>
      <xdr:rowOff>104775</xdr:rowOff>
    </xdr:to>
    <xdr:sp macro="" textlink="">
      <xdr:nvSpPr>
        <xdr:cNvPr id="13" name="AutoShape 318">
          <a:extLst>
            <a:ext uri="{FF2B5EF4-FFF2-40B4-BE49-F238E27FC236}">
              <a16:creationId xmlns:a16="http://schemas.microsoft.com/office/drawing/2014/main" id="{00000000-0008-0000-2800-00000D000000}"/>
            </a:ext>
          </a:extLst>
        </xdr:cNvPr>
        <xdr:cNvSpPr>
          <a:spLocks/>
        </xdr:cNvSpPr>
      </xdr:nvSpPr>
      <xdr:spPr bwMode="auto">
        <a:xfrm>
          <a:off x="4476751" y="18047576"/>
          <a:ext cx="82112" cy="649999"/>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22</xdr:col>
      <xdr:colOff>914399</xdr:colOff>
      <xdr:row>5</xdr:row>
      <xdr:rowOff>38100</xdr:rowOff>
    </xdr:from>
    <xdr:to>
      <xdr:col>22</xdr:col>
      <xdr:colOff>1114424</xdr:colOff>
      <xdr:row>6</xdr:row>
      <xdr:rowOff>100943</xdr:rowOff>
    </xdr:to>
    <xdr:pic>
      <xdr:nvPicPr>
        <xdr:cNvPr id="2" name="Picture 1">
          <a:extLst>
            <a:ext uri="{FF2B5EF4-FFF2-40B4-BE49-F238E27FC236}">
              <a16:creationId xmlns:a16="http://schemas.microsoft.com/office/drawing/2014/main" id="{00000000-0008-0000-2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201649" y="1152525"/>
          <a:ext cx="200025" cy="244475"/>
        </a:xfrm>
        <a:prstGeom prst="rect">
          <a:avLst/>
        </a:prstGeom>
      </xdr:spPr>
    </xdr:pic>
    <xdr:clientData/>
  </xdr:twoCellAnchor>
  <xdr:oneCellAnchor>
    <xdr:from>
      <xdr:col>28</xdr:col>
      <xdr:colOff>575128</xdr:colOff>
      <xdr:row>71</xdr:row>
      <xdr:rowOff>144236</xdr:rowOff>
    </xdr:from>
    <xdr:ext cx="345274" cy="340272"/>
    <xdr:pic>
      <xdr:nvPicPr>
        <xdr:cNvPr id="25" name="Picture 24">
          <a:extLst>
            <a:ext uri="{FF2B5EF4-FFF2-40B4-BE49-F238E27FC236}">
              <a16:creationId xmlns:a16="http://schemas.microsoft.com/office/drawing/2014/main" id="{00000000-0008-0000-2800-000019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786070" y="25810448"/>
          <a:ext cx="345274" cy="340272"/>
        </a:xfrm>
        <a:prstGeom prst="rect">
          <a:avLst/>
        </a:prstGeom>
      </xdr:spPr>
    </xdr:pic>
    <xdr:clientData/>
  </xdr:oneCellAnchor>
  <xdr:oneCellAnchor>
    <xdr:from>
      <xdr:col>28</xdr:col>
      <xdr:colOff>74976</xdr:colOff>
      <xdr:row>96</xdr:row>
      <xdr:rowOff>69753</xdr:rowOff>
    </xdr:from>
    <xdr:ext cx="450542" cy="445908"/>
    <xdr:pic>
      <xdr:nvPicPr>
        <xdr:cNvPr id="26" name="Picture 25">
          <a:extLst>
            <a:ext uri="{FF2B5EF4-FFF2-40B4-BE49-F238E27FC236}">
              <a16:creationId xmlns:a16="http://schemas.microsoft.com/office/drawing/2014/main" id="{00000000-0008-0000-2800-00001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160855" y="21596253"/>
          <a:ext cx="450542" cy="445908"/>
        </a:xfrm>
        <a:prstGeom prst="rect">
          <a:avLst/>
        </a:prstGeom>
      </xdr:spPr>
    </xdr:pic>
    <xdr:clientData/>
  </xdr:oneCellAnchor>
  <xdr:twoCellAnchor>
    <xdr:from>
      <xdr:col>27</xdr:col>
      <xdr:colOff>44450</xdr:colOff>
      <xdr:row>109</xdr:row>
      <xdr:rowOff>139700</xdr:rowOff>
    </xdr:from>
    <xdr:to>
      <xdr:col>27</xdr:col>
      <xdr:colOff>127000</xdr:colOff>
      <xdr:row>117</xdr:row>
      <xdr:rowOff>12699</xdr:rowOff>
    </xdr:to>
    <xdr:sp macro="" textlink="">
      <xdr:nvSpPr>
        <xdr:cNvPr id="27" name="AutoShape 7">
          <a:extLst>
            <a:ext uri="{FF2B5EF4-FFF2-40B4-BE49-F238E27FC236}">
              <a16:creationId xmlns:a16="http://schemas.microsoft.com/office/drawing/2014/main" id="{00000000-0008-0000-2800-00001B000000}"/>
            </a:ext>
          </a:extLst>
        </xdr:cNvPr>
        <xdr:cNvSpPr>
          <a:spLocks/>
        </xdr:cNvSpPr>
      </xdr:nvSpPr>
      <xdr:spPr bwMode="auto">
        <a:xfrm>
          <a:off x="17392650" y="20104100"/>
          <a:ext cx="82550" cy="1282699"/>
        </a:xfrm>
        <a:prstGeom prst="rightBrace">
          <a:avLst>
            <a:gd name="adj1" fmla="val 70602"/>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22</xdr:col>
      <xdr:colOff>866775</xdr:colOff>
      <xdr:row>99</xdr:row>
      <xdr:rowOff>9526</xdr:rowOff>
    </xdr:from>
    <xdr:to>
      <xdr:col>22</xdr:col>
      <xdr:colOff>990600</xdr:colOff>
      <xdr:row>99</xdr:row>
      <xdr:rowOff>163732</xdr:rowOff>
    </xdr:to>
    <xdr:pic>
      <xdr:nvPicPr>
        <xdr:cNvPr id="16" name="Picture 15">
          <a:extLst>
            <a:ext uri="{FF2B5EF4-FFF2-40B4-BE49-F238E27FC236}">
              <a16:creationId xmlns:a16="http://schemas.microsoft.com/office/drawing/2014/main" id="{00000000-0008-0000-2800-000010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154025" y="22640926"/>
          <a:ext cx="123825" cy="151342"/>
        </a:xfrm>
        <a:prstGeom prst="rect">
          <a:avLst/>
        </a:prstGeom>
      </xdr:spPr>
    </xdr:pic>
    <xdr:clientData/>
  </xdr:twoCellAnchor>
  <xdr:twoCellAnchor>
    <xdr:from>
      <xdr:col>10</xdr:col>
      <xdr:colOff>87367</xdr:colOff>
      <xdr:row>42</xdr:row>
      <xdr:rowOff>91310</xdr:rowOff>
    </xdr:from>
    <xdr:to>
      <xdr:col>10</xdr:col>
      <xdr:colOff>159626</xdr:colOff>
      <xdr:row>45</xdr:row>
      <xdr:rowOff>150431</xdr:rowOff>
    </xdr:to>
    <xdr:sp macro="" textlink="">
      <xdr:nvSpPr>
        <xdr:cNvPr id="17" name="AutoShape 7">
          <a:extLst>
            <a:ext uri="{FF2B5EF4-FFF2-40B4-BE49-F238E27FC236}">
              <a16:creationId xmlns:a16="http://schemas.microsoft.com/office/drawing/2014/main" id="{00000000-0008-0000-2800-000011000000}"/>
            </a:ext>
          </a:extLst>
        </xdr:cNvPr>
        <xdr:cNvSpPr>
          <a:spLocks/>
        </xdr:cNvSpPr>
      </xdr:nvSpPr>
      <xdr:spPr bwMode="auto">
        <a:xfrm>
          <a:off x="5830942" y="7768460"/>
          <a:ext cx="72259" cy="573471"/>
        </a:xfrm>
        <a:prstGeom prst="rightBrace">
          <a:avLst>
            <a:gd name="adj1" fmla="val 70602"/>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25</xdr:col>
      <xdr:colOff>59120</xdr:colOff>
      <xdr:row>37</xdr:row>
      <xdr:rowOff>52552</xdr:rowOff>
    </xdr:from>
    <xdr:to>
      <xdr:col>25</xdr:col>
      <xdr:colOff>131379</xdr:colOff>
      <xdr:row>40</xdr:row>
      <xdr:rowOff>52552</xdr:rowOff>
    </xdr:to>
    <xdr:sp macro="" textlink="">
      <xdr:nvSpPr>
        <xdr:cNvPr id="30" name="AutoShape 7">
          <a:extLst>
            <a:ext uri="{FF2B5EF4-FFF2-40B4-BE49-F238E27FC236}">
              <a16:creationId xmlns:a16="http://schemas.microsoft.com/office/drawing/2014/main" id="{00000000-0008-0000-2800-00001E000000}"/>
            </a:ext>
          </a:extLst>
        </xdr:cNvPr>
        <xdr:cNvSpPr>
          <a:spLocks/>
        </xdr:cNvSpPr>
      </xdr:nvSpPr>
      <xdr:spPr bwMode="auto">
        <a:xfrm>
          <a:off x="15765517" y="6582104"/>
          <a:ext cx="72259" cy="571500"/>
        </a:xfrm>
        <a:prstGeom prst="rightBrace">
          <a:avLst>
            <a:gd name="adj1" fmla="val 70602"/>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25</xdr:col>
      <xdr:colOff>144518</xdr:colOff>
      <xdr:row>25</xdr:row>
      <xdr:rowOff>65690</xdr:rowOff>
    </xdr:from>
    <xdr:to>
      <xdr:col>25</xdr:col>
      <xdr:colOff>216777</xdr:colOff>
      <xdr:row>28</xdr:row>
      <xdr:rowOff>65690</xdr:rowOff>
    </xdr:to>
    <xdr:sp macro="" textlink="">
      <xdr:nvSpPr>
        <xdr:cNvPr id="31" name="AutoShape 7">
          <a:extLst>
            <a:ext uri="{FF2B5EF4-FFF2-40B4-BE49-F238E27FC236}">
              <a16:creationId xmlns:a16="http://schemas.microsoft.com/office/drawing/2014/main" id="{00000000-0008-0000-2800-00001F000000}"/>
            </a:ext>
          </a:extLst>
        </xdr:cNvPr>
        <xdr:cNvSpPr>
          <a:spLocks/>
        </xdr:cNvSpPr>
      </xdr:nvSpPr>
      <xdr:spPr bwMode="auto">
        <a:xfrm>
          <a:off x="15850915" y="4309242"/>
          <a:ext cx="72259" cy="571500"/>
        </a:xfrm>
        <a:prstGeom prst="rightBrace">
          <a:avLst>
            <a:gd name="adj1" fmla="val 70602"/>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27</xdr:col>
      <xdr:colOff>108857</xdr:colOff>
      <xdr:row>93</xdr:row>
      <xdr:rowOff>47625</xdr:rowOff>
    </xdr:from>
    <xdr:to>
      <xdr:col>27</xdr:col>
      <xdr:colOff>166007</xdr:colOff>
      <xdr:row>93</xdr:row>
      <xdr:rowOff>153591</xdr:rowOff>
    </xdr:to>
    <xdr:sp macro="" textlink="">
      <xdr:nvSpPr>
        <xdr:cNvPr id="32" name="AutoShape 85">
          <a:extLst>
            <a:ext uri="{FF2B5EF4-FFF2-40B4-BE49-F238E27FC236}">
              <a16:creationId xmlns:a16="http://schemas.microsoft.com/office/drawing/2014/main" id="{00000000-0008-0000-2800-000020000000}"/>
            </a:ext>
          </a:extLst>
        </xdr:cNvPr>
        <xdr:cNvSpPr>
          <a:spLocks noChangeArrowheads="1"/>
        </xdr:cNvSpPr>
      </xdr:nvSpPr>
      <xdr:spPr bwMode="auto">
        <a:xfrm rot="5400000">
          <a:off x="17202235" y="19448604"/>
          <a:ext cx="105966"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wsDr>
</file>

<file path=xl/drawings/drawing29.xml><?xml version="1.0" encoding="utf-8"?>
<xdr:wsDr xmlns:xdr="http://schemas.openxmlformats.org/drawingml/2006/spreadsheetDrawing" xmlns:a="http://schemas.openxmlformats.org/drawingml/2006/main">
  <xdr:twoCellAnchor>
    <xdr:from>
      <xdr:col>37</xdr:col>
      <xdr:colOff>110671</xdr:colOff>
      <xdr:row>81</xdr:row>
      <xdr:rowOff>50346</xdr:rowOff>
    </xdr:from>
    <xdr:to>
      <xdr:col>37</xdr:col>
      <xdr:colOff>167821</xdr:colOff>
      <xdr:row>81</xdr:row>
      <xdr:rowOff>156312</xdr:rowOff>
    </xdr:to>
    <xdr:sp macro="" textlink="">
      <xdr:nvSpPr>
        <xdr:cNvPr id="2" name="AutoShape 85">
          <a:extLst>
            <a:ext uri="{FF2B5EF4-FFF2-40B4-BE49-F238E27FC236}">
              <a16:creationId xmlns:a16="http://schemas.microsoft.com/office/drawing/2014/main" id="{00000000-0008-0000-2900-000002000000}"/>
            </a:ext>
          </a:extLst>
        </xdr:cNvPr>
        <xdr:cNvSpPr>
          <a:spLocks noChangeArrowheads="1"/>
        </xdr:cNvSpPr>
      </xdr:nvSpPr>
      <xdr:spPr bwMode="auto">
        <a:xfrm rot="5400000">
          <a:off x="7868188" y="14057454"/>
          <a:ext cx="105966"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33</xdr:col>
      <xdr:colOff>114300</xdr:colOff>
      <xdr:row>83</xdr:row>
      <xdr:rowOff>47625</xdr:rowOff>
    </xdr:from>
    <xdr:to>
      <xdr:col>33</xdr:col>
      <xdr:colOff>171450</xdr:colOff>
      <xdr:row>83</xdr:row>
      <xdr:rowOff>153591</xdr:rowOff>
    </xdr:to>
    <xdr:sp macro="" textlink="">
      <xdr:nvSpPr>
        <xdr:cNvPr id="3" name="AutoShape 85">
          <a:extLst>
            <a:ext uri="{FF2B5EF4-FFF2-40B4-BE49-F238E27FC236}">
              <a16:creationId xmlns:a16="http://schemas.microsoft.com/office/drawing/2014/main" id="{00000000-0008-0000-2900-000003000000}"/>
            </a:ext>
          </a:extLst>
        </xdr:cNvPr>
        <xdr:cNvSpPr>
          <a:spLocks noChangeArrowheads="1"/>
        </xdr:cNvSpPr>
      </xdr:nvSpPr>
      <xdr:spPr bwMode="auto">
        <a:xfrm rot="5400000">
          <a:off x="6776442" y="14426208"/>
          <a:ext cx="105966"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33</xdr:col>
      <xdr:colOff>114300</xdr:colOff>
      <xdr:row>84</xdr:row>
      <xdr:rowOff>57150</xdr:rowOff>
    </xdr:from>
    <xdr:to>
      <xdr:col>33</xdr:col>
      <xdr:colOff>171450</xdr:colOff>
      <xdr:row>84</xdr:row>
      <xdr:rowOff>163116</xdr:rowOff>
    </xdr:to>
    <xdr:sp macro="" textlink="">
      <xdr:nvSpPr>
        <xdr:cNvPr id="4" name="AutoShape 85">
          <a:extLst>
            <a:ext uri="{FF2B5EF4-FFF2-40B4-BE49-F238E27FC236}">
              <a16:creationId xmlns:a16="http://schemas.microsoft.com/office/drawing/2014/main" id="{00000000-0008-0000-2900-000004000000}"/>
            </a:ext>
          </a:extLst>
        </xdr:cNvPr>
        <xdr:cNvSpPr>
          <a:spLocks noChangeArrowheads="1"/>
        </xdr:cNvSpPr>
      </xdr:nvSpPr>
      <xdr:spPr bwMode="auto">
        <a:xfrm rot="5400000">
          <a:off x="6776442" y="14626233"/>
          <a:ext cx="105966"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27</xdr:col>
      <xdr:colOff>76200</xdr:colOff>
      <xdr:row>91</xdr:row>
      <xdr:rowOff>38100</xdr:rowOff>
    </xdr:from>
    <xdr:to>
      <xdr:col>27</xdr:col>
      <xdr:colOff>133350</xdr:colOff>
      <xdr:row>91</xdr:row>
      <xdr:rowOff>144066</xdr:rowOff>
    </xdr:to>
    <xdr:sp macro="" textlink="">
      <xdr:nvSpPr>
        <xdr:cNvPr id="5" name="AutoShape 85">
          <a:extLst>
            <a:ext uri="{FF2B5EF4-FFF2-40B4-BE49-F238E27FC236}">
              <a16:creationId xmlns:a16="http://schemas.microsoft.com/office/drawing/2014/main" id="{00000000-0008-0000-2900-000005000000}"/>
            </a:ext>
          </a:extLst>
        </xdr:cNvPr>
        <xdr:cNvSpPr>
          <a:spLocks noChangeArrowheads="1"/>
        </xdr:cNvSpPr>
      </xdr:nvSpPr>
      <xdr:spPr bwMode="auto">
        <a:xfrm rot="5400000">
          <a:off x="5461992" y="15912108"/>
          <a:ext cx="105966"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33</xdr:col>
      <xdr:colOff>114300</xdr:colOff>
      <xdr:row>92</xdr:row>
      <xdr:rowOff>28575</xdr:rowOff>
    </xdr:from>
    <xdr:to>
      <xdr:col>33</xdr:col>
      <xdr:colOff>171450</xdr:colOff>
      <xdr:row>92</xdr:row>
      <xdr:rowOff>134541</xdr:rowOff>
    </xdr:to>
    <xdr:sp macro="" textlink="">
      <xdr:nvSpPr>
        <xdr:cNvPr id="6" name="AutoShape 85">
          <a:extLst>
            <a:ext uri="{FF2B5EF4-FFF2-40B4-BE49-F238E27FC236}">
              <a16:creationId xmlns:a16="http://schemas.microsoft.com/office/drawing/2014/main" id="{00000000-0008-0000-2900-000006000000}"/>
            </a:ext>
          </a:extLst>
        </xdr:cNvPr>
        <xdr:cNvSpPr>
          <a:spLocks noChangeArrowheads="1"/>
        </xdr:cNvSpPr>
      </xdr:nvSpPr>
      <xdr:spPr bwMode="auto">
        <a:xfrm rot="5400000">
          <a:off x="6776442" y="16093083"/>
          <a:ext cx="105966"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1</xdr:col>
      <xdr:colOff>98425</xdr:colOff>
      <xdr:row>104</xdr:row>
      <xdr:rowOff>161925</xdr:rowOff>
    </xdr:from>
    <xdr:to>
      <xdr:col>1</xdr:col>
      <xdr:colOff>155575</xdr:colOff>
      <xdr:row>105</xdr:row>
      <xdr:rowOff>102791</xdr:rowOff>
    </xdr:to>
    <xdr:sp macro="" textlink="">
      <xdr:nvSpPr>
        <xdr:cNvPr id="7" name="AutoShape 85">
          <a:extLst>
            <a:ext uri="{FF2B5EF4-FFF2-40B4-BE49-F238E27FC236}">
              <a16:creationId xmlns:a16="http://schemas.microsoft.com/office/drawing/2014/main" id="{00000000-0008-0000-2900-000007000000}"/>
            </a:ext>
          </a:extLst>
        </xdr:cNvPr>
        <xdr:cNvSpPr>
          <a:spLocks noChangeArrowheads="1"/>
        </xdr:cNvSpPr>
      </xdr:nvSpPr>
      <xdr:spPr bwMode="auto">
        <a:xfrm rot="5400000">
          <a:off x="247054" y="18577521"/>
          <a:ext cx="121841"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33</xdr:col>
      <xdr:colOff>133350</xdr:colOff>
      <xdr:row>106</xdr:row>
      <xdr:rowOff>101600</xdr:rowOff>
    </xdr:from>
    <xdr:to>
      <xdr:col>33</xdr:col>
      <xdr:colOff>190500</xdr:colOff>
      <xdr:row>106</xdr:row>
      <xdr:rowOff>207566</xdr:rowOff>
    </xdr:to>
    <xdr:sp macro="" textlink="">
      <xdr:nvSpPr>
        <xdr:cNvPr id="8" name="AutoShape 85">
          <a:extLst>
            <a:ext uri="{FF2B5EF4-FFF2-40B4-BE49-F238E27FC236}">
              <a16:creationId xmlns:a16="http://schemas.microsoft.com/office/drawing/2014/main" id="{00000000-0008-0000-2900-000008000000}"/>
            </a:ext>
          </a:extLst>
        </xdr:cNvPr>
        <xdr:cNvSpPr>
          <a:spLocks noChangeArrowheads="1"/>
        </xdr:cNvSpPr>
      </xdr:nvSpPr>
      <xdr:spPr bwMode="auto">
        <a:xfrm rot="5400000">
          <a:off x="6795492" y="18852158"/>
          <a:ext cx="105966"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5</xdr:col>
      <xdr:colOff>104775</xdr:colOff>
      <xdr:row>106</xdr:row>
      <xdr:rowOff>165100</xdr:rowOff>
    </xdr:from>
    <xdr:to>
      <xdr:col>5</xdr:col>
      <xdr:colOff>161925</xdr:colOff>
      <xdr:row>106</xdr:row>
      <xdr:rowOff>271066</xdr:rowOff>
    </xdr:to>
    <xdr:sp macro="" textlink="">
      <xdr:nvSpPr>
        <xdr:cNvPr id="9" name="AutoShape 85">
          <a:extLst>
            <a:ext uri="{FF2B5EF4-FFF2-40B4-BE49-F238E27FC236}">
              <a16:creationId xmlns:a16="http://schemas.microsoft.com/office/drawing/2014/main" id="{00000000-0008-0000-2900-000009000000}"/>
            </a:ext>
          </a:extLst>
        </xdr:cNvPr>
        <xdr:cNvSpPr>
          <a:spLocks noChangeArrowheads="1"/>
        </xdr:cNvSpPr>
      </xdr:nvSpPr>
      <xdr:spPr bwMode="auto">
        <a:xfrm rot="5400000">
          <a:off x="1175742" y="18915658"/>
          <a:ext cx="105966"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34</xdr:col>
      <xdr:colOff>123825</xdr:colOff>
      <xdr:row>111</xdr:row>
      <xdr:rowOff>38100</xdr:rowOff>
    </xdr:from>
    <xdr:to>
      <xdr:col>34</xdr:col>
      <xdr:colOff>180975</xdr:colOff>
      <xdr:row>111</xdr:row>
      <xdr:rowOff>144066</xdr:rowOff>
    </xdr:to>
    <xdr:sp macro="" textlink="">
      <xdr:nvSpPr>
        <xdr:cNvPr id="10" name="AutoShape 85">
          <a:extLst>
            <a:ext uri="{FF2B5EF4-FFF2-40B4-BE49-F238E27FC236}">
              <a16:creationId xmlns:a16="http://schemas.microsoft.com/office/drawing/2014/main" id="{00000000-0008-0000-2900-00000A000000}"/>
            </a:ext>
          </a:extLst>
        </xdr:cNvPr>
        <xdr:cNvSpPr>
          <a:spLocks noChangeArrowheads="1"/>
        </xdr:cNvSpPr>
      </xdr:nvSpPr>
      <xdr:spPr bwMode="auto">
        <a:xfrm rot="5400000">
          <a:off x="7014567" y="20922258"/>
          <a:ext cx="105966"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5</xdr:col>
      <xdr:colOff>152400</xdr:colOff>
      <xdr:row>111</xdr:row>
      <xdr:rowOff>47625</xdr:rowOff>
    </xdr:from>
    <xdr:to>
      <xdr:col>5</xdr:col>
      <xdr:colOff>209550</xdr:colOff>
      <xdr:row>111</xdr:row>
      <xdr:rowOff>153591</xdr:rowOff>
    </xdr:to>
    <xdr:sp macro="" textlink="">
      <xdr:nvSpPr>
        <xdr:cNvPr id="11" name="AutoShape 85">
          <a:extLst>
            <a:ext uri="{FF2B5EF4-FFF2-40B4-BE49-F238E27FC236}">
              <a16:creationId xmlns:a16="http://schemas.microsoft.com/office/drawing/2014/main" id="{00000000-0008-0000-2900-00000B000000}"/>
            </a:ext>
          </a:extLst>
        </xdr:cNvPr>
        <xdr:cNvSpPr>
          <a:spLocks noChangeArrowheads="1"/>
        </xdr:cNvSpPr>
      </xdr:nvSpPr>
      <xdr:spPr bwMode="auto">
        <a:xfrm rot="5400000">
          <a:off x="1223367" y="20931783"/>
          <a:ext cx="105966"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18</xdr:col>
      <xdr:colOff>82550</xdr:colOff>
      <xdr:row>119</xdr:row>
      <xdr:rowOff>44450</xdr:rowOff>
    </xdr:from>
    <xdr:to>
      <xdr:col>18</xdr:col>
      <xdr:colOff>139700</xdr:colOff>
      <xdr:row>119</xdr:row>
      <xdr:rowOff>150416</xdr:rowOff>
    </xdr:to>
    <xdr:sp macro="" textlink="">
      <xdr:nvSpPr>
        <xdr:cNvPr id="12" name="AutoShape 85">
          <a:extLst>
            <a:ext uri="{FF2B5EF4-FFF2-40B4-BE49-F238E27FC236}">
              <a16:creationId xmlns:a16="http://schemas.microsoft.com/office/drawing/2014/main" id="{00000000-0008-0000-2900-00000C000000}"/>
            </a:ext>
          </a:extLst>
        </xdr:cNvPr>
        <xdr:cNvSpPr>
          <a:spLocks noChangeArrowheads="1"/>
        </xdr:cNvSpPr>
      </xdr:nvSpPr>
      <xdr:spPr bwMode="auto">
        <a:xfrm rot="5400000">
          <a:off x="3839567" y="22357358"/>
          <a:ext cx="105966"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32</xdr:col>
      <xdr:colOff>114300</xdr:colOff>
      <xdr:row>123</xdr:row>
      <xdr:rowOff>28575</xdr:rowOff>
    </xdr:from>
    <xdr:to>
      <xdr:col>32</xdr:col>
      <xdr:colOff>171450</xdr:colOff>
      <xdr:row>123</xdr:row>
      <xdr:rowOff>134541</xdr:rowOff>
    </xdr:to>
    <xdr:sp macro="" textlink="">
      <xdr:nvSpPr>
        <xdr:cNvPr id="13" name="AutoShape 85">
          <a:extLst>
            <a:ext uri="{FF2B5EF4-FFF2-40B4-BE49-F238E27FC236}">
              <a16:creationId xmlns:a16="http://schemas.microsoft.com/office/drawing/2014/main" id="{00000000-0008-0000-2900-00000D000000}"/>
            </a:ext>
          </a:extLst>
        </xdr:cNvPr>
        <xdr:cNvSpPr>
          <a:spLocks noChangeArrowheads="1"/>
        </xdr:cNvSpPr>
      </xdr:nvSpPr>
      <xdr:spPr bwMode="auto">
        <a:xfrm rot="5400000">
          <a:off x="6547842" y="22951083"/>
          <a:ext cx="105966"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21</xdr:col>
      <xdr:colOff>57150</xdr:colOff>
      <xdr:row>112</xdr:row>
      <xdr:rowOff>28575</xdr:rowOff>
    </xdr:from>
    <xdr:to>
      <xdr:col>21</xdr:col>
      <xdr:colOff>114300</xdr:colOff>
      <xdr:row>112</xdr:row>
      <xdr:rowOff>134541</xdr:rowOff>
    </xdr:to>
    <xdr:sp macro="" textlink="">
      <xdr:nvSpPr>
        <xdr:cNvPr id="14" name="AutoShape 85">
          <a:extLst>
            <a:ext uri="{FF2B5EF4-FFF2-40B4-BE49-F238E27FC236}">
              <a16:creationId xmlns:a16="http://schemas.microsoft.com/office/drawing/2014/main" id="{00000000-0008-0000-2900-00000E000000}"/>
            </a:ext>
          </a:extLst>
        </xdr:cNvPr>
        <xdr:cNvSpPr>
          <a:spLocks noChangeArrowheads="1"/>
        </xdr:cNvSpPr>
      </xdr:nvSpPr>
      <xdr:spPr bwMode="auto">
        <a:xfrm rot="5400000">
          <a:off x="4357092" y="21084183"/>
          <a:ext cx="105966" cy="5715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wsDr>
</file>

<file path=xl/drawings/drawing30.xml><?xml version="1.0" encoding="utf-8"?>
<xdr:wsDr xmlns:xdr="http://schemas.openxmlformats.org/drawingml/2006/spreadsheetDrawing" xmlns:a="http://schemas.openxmlformats.org/drawingml/2006/main">
  <xdr:twoCellAnchor>
    <xdr:from>
      <xdr:col>28</xdr:col>
      <xdr:colOff>85725</xdr:colOff>
      <xdr:row>104</xdr:row>
      <xdr:rowOff>76200</xdr:rowOff>
    </xdr:from>
    <xdr:to>
      <xdr:col>28</xdr:col>
      <xdr:colOff>196849</xdr:colOff>
      <xdr:row>115</xdr:row>
      <xdr:rowOff>152400</xdr:rowOff>
    </xdr:to>
    <xdr:sp macro="" textlink="">
      <xdr:nvSpPr>
        <xdr:cNvPr id="2" name="AutoShape 318">
          <a:extLst>
            <a:ext uri="{FF2B5EF4-FFF2-40B4-BE49-F238E27FC236}">
              <a16:creationId xmlns:a16="http://schemas.microsoft.com/office/drawing/2014/main" id="{9DCDC964-54E0-4FF3-A3D4-C38DE199CA7B}"/>
            </a:ext>
          </a:extLst>
        </xdr:cNvPr>
        <xdr:cNvSpPr>
          <a:spLocks/>
        </xdr:cNvSpPr>
      </xdr:nvSpPr>
      <xdr:spPr bwMode="auto">
        <a:xfrm>
          <a:off x="7429500" y="7343775"/>
          <a:ext cx="111124" cy="2171700"/>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22</xdr:col>
      <xdr:colOff>57150</xdr:colOff>
      <xdr:row>178</xdr:row>
      <xdr:rowOff>180975</xdr:rowOff>
    </xdr:from>
    <xdr:to>
      <xdr:col>22</xdr:col>
      <xdr:colOff>168274</xdr:colOff>
      <xdr:row>182</xdr:row>
      <xdr:rowOff>142875</xdr:rowOff>
    </xdr:to>
    <xdr:sp macro="" textlink="">
      <xdr:nvSpPr>
        <xdr:cNvPr id="3" name="AutoShape 318">
          <a:extLst>
            <a:ext uri="{FF2B5EF4-FFF2-40B4-BE49-F238E27FC236}">
              <a16:creationId xmlns:a16="http://schemas.microsoft.com/office/drawing/2014/main" id="{EC157624-DCAB-43DE-B908-6162CD76614A}"/>
            </a:ext>
          </a:extLst>
        </xdr:cNvPr>
        <xdr:cNvSpPr>
          <a:spLocks/>
        </xdr:cNvSpPr>
      </xdr:nvSpPr>
      <xdr:spPr bwMode="auto">
        <a:xfrm>
          <a:off x="6076950" y="35433000"/>
          <a:ext cx="111124" cy="876300"/>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22</xdr:col>
      <xdr:colOff>85725</xdr:colOff>
      <xdr:row>193</xdr:row>
      <xdr:rowOff>85725</xdr:rowOff>
    </xdr:from>
    <xdr:to>
      <xdr:col>22</xdr:col>
      <xdr:colOff>196849</xdr:colOff>
      <xdr:row>198</xdr:row>
      <xdr:rowOff>0</xdr:rowOff>
    </xdr:to>
    <xdr:sp macro="" textlink="">
      <xdr:nvSpPr>
        <xdr:cNvPr id="4" name="AutoShape 318">
          <a:extLst>
            <a:ext uri="{FF2B5EF4-FFF2-40B4-BE49-F238E27FC236}">
              <a16:creationId xmlns:a16="http://schemas.microsoft.com/office/drawing/2014/main" id="{B8D36BB7-D363-4BAE-84E8-CF18D8F544BA}"/>
            </a:ext>
          </a:extLst>
        </xdr:cNvPr>
        <xdr:cNvSpPr>
          <a:spLocks/>
        </xdr:cNvSpPr>
      </xdr:nvSpPr>
      <xdr:spPr bwMode="auto">
        <a:xfrm>
          <a:off x="6105525" y="38642925"/>
          <a:ext cx="111124" cy="1057275"/>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editAs="oneCell">
    <xdr:from>
      <xdr:col>33</xdr:col>
      <xdr:colOff>85725</xdr:colOff>
      <xdr:row>232</xdr:row>
      <xdr:rowOff>123825</xdr:rowOff>
    </xdr:from>
    <xdr:to>
      <xdr:col>35</xdr:col>
      <xdr:colOff>63787</xdr:colOff>
      <xdr:row>233</xdr:row>
      <xdr:rowOff>342899</xdr:rowOff>
    </xdr:to>
    <xdr:pic>
      <xdr:nvPicPr>
        <xdr:cNvPr id="5" name="Picture 4">
          <a:extLst>
            <a:ext uri="{FF2B5EF4-FFF2-40B4-BE49-F238E27FC236}">
              <a16:creationId xmlns:a16="http://schemas.microsoft.com/office/drawing/2014/main" id="{172DEB6B-53F9-4F67-B5D1-18ED7742D561}"/>
            </a:ext>
          </a:extLst>
        </xdr:cNvPr>
        <xdr:cNvPicPr>
          <a:picLocks noChangeAspect="1"/>
        </xdr:cNvPicPr>
      </xdr:nvPicPr>
      <xdr:blipFill>
        <a:blip xmlns:r="http://schemas.openxmlformats.org/officeDocument/2006/relationships" r:embed="rId1"/>
        <a:stretch>
          <a:fillRect/>
        </a:stretch>
      </xdr:blipFill>
      <xdr:spPr>
        <a:xfrm>
          <a:off x="8582025" y="34004250"/>
          <a:ext cx="378112" cy="380999"/>
        </a:xfrm>
        <a:prstGeom prst="rect">
          <a:avLst/>
        </a:prstGeom>
      </xdr:spPr>
    </xdr:pic>
    <xdr:clientData/>
  </xdr:twoCellAnchor>
  <xdr:twoCellAnchor editAs="oneCell">
    <xdr:from>
      <xdr:col>8</xdr:col>
      <xdr:colOff>200025</xdr:colOff>
      <xdr:row>234</xdr:row>
      <xdr:rowOff>38100</xdr:rowOff>
    </xdr:from>
    <xdr:to>
      <xdr:col>9</xdr:col>
      <xdr:colOff>153591</xdr:colOff>
      <xdr:row>234</xdr:row>
      <xdr:rowOff>285750</xdr:rowOff>
    </xdr:to>
    <xdr:pic>
      <xdr:nvPicPr>
        <xdr:cNvPr id="6" name="Picture 5">
          <a:extLst>
            <a:ext uri="{FF2B5EF4-FFF2-40B4-BE49-F238E27FC236}">
              <a16:creationId xmlns:a16="http://schemas.microsoft.com/office/drawing/2014/main" id="{A8E59D83-C8A3-D251-7716-4414B01E2523}"/>
            </a:ext>
          </a:extLst>
        </xdr:cNvPr>
        <xdr:cNvPicPr>
          <a:picLocks noChangeAspect="1"/>
        </xdr:cNvPicPr>
      </xdr:nvPicPr>
      <xdr:blipFill>
        <a:blip xmlns:r="http://schemas.openxmlformats.org/officeDocument/2006/relationships" r:embed="rId2"/>
        <a:stretch>
          <a:fillRect/>
        </a:stretch>
      </xdr:blipFill>
      <xdr:spPr>
        <a:xfrm>
          <a:off x="2238375" y="34451925"/>
          <a:ext cx="201216" cy="247650"/>
        </a:xfrm>
        <a:prstGeom prst="rect">
          <a:avLst/>
        </a:prstGeom>
      </xdr:spPr>
    </xdr:pic>
    <xdr:clientData/>
  </xdr:twoCellAnchor>
  <xdr:twoCellAnchor>
    <xdr:from>
      <xdr:col>28</xdr:col>
      <xdr:colOff>57150</xdr:colOff>
      <xdr:row>243</xdr:row>
      <xdr:rowOff>104775</xdr:rowOff>
    </xdr:from>
    <xdr:to>
      <xdr:col>28</xdr:col>
      <xdr:colOff>168274</xdr:colOff>
      <xdr:row>252</xdr:row>
      <xdr:rowOff>19050</xdr:rowOff>
    </xdr:to>
    <xdr:sp macro="" textlink="">
      <xdr:nvSpPr>
        <xdr:cNvPr id="7" name="AutoShape 318">
          <a:extLst>
            <a:ext uri="{FF2B5EF4-FFF2-40B4-BE49-F238E27FC236}">
              <a16:creationId xmlns:a16="http://schemas.microsoft.com/office/drawing/2014/main" id="{D0371742-7F19-40CD-A2DC-73C649B2B228}"/>
            </a:ext>
          </a:extLst>
        </xdr:cNvPr>
        <xdr:cNvSpPr>
          <a:spLocks/>
        </xdr:cNvSpPr>
      </xdr:nvSpPr>
      <xdr:spPr bwMode="auto">
        <a:xfrm>
          <a:off x="7543800" y="49682400"/>
          <a:ext cx="111124" cy="1647825"/>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31.xml><?xml version="1.0" encoding="utf-8"?>
<xdr:wsDr xmlns:xdr="http://schemas.openxmlformats.org/drawingml/2006/spreadsheetDrawing" xmlns:a="http://schemas.openxmlformats.org/drawingml/2006/main">
  <xdr:twoCellAnchor>
    <xdr:from>
      <xdr:col>26</xdr:col>
      <xdr:colOff>190844</xdr:colOff>
      <xdr:row>77</xdr:row>
      <xdr:rowOff>38726</xdr:rowOff>
    </xdr:from>
    <xdr:to>
      <xdr:col>27</xdr:col>
      <xdr:colOff>60215</xdr:colOff>
      <xdr:row>79</xdr:row>
      <xdr:rowOff>186199</xdr:rowOff>
    </xdr:to>
    <xdr:sp macro="" textlink="">
      <xdr:nvSpPr>
        <xdr:cNvPr id="10" name="AutoShape 318">
          <a:extLst>
            <a:ext uri="{FF2B5EF4-FFF2-40B4-BE49-F238E27FC236}">
              <a16:creationId xmlns:a16="http://schemas.microsoft.com/office/drawing/2014/main" id="{00000000-0008-0000-2C00-00000A000000}"/>
            </a:ext>
          </a:extLst>
        </xdr:cNvPr>
        <xdr:cNvSpPr>
          <a:spLocks/>
        </xdr:cNvSpPr>
      </xdr:nvSpPr>
      <xdr:spPr bwMode="auto">
        <a:xfrm>
          <a:off x="5620094" y="14123026"/>
          <a:ext cx="72571" cy="528473"/>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26</xdr:col>
      <xdr:colOff>5561</xdr:colOff>
      <xdr:row>30</xdr:row>
      <xdr:rowOff>98753</xdr:rowOff>
    </xdr:from>
    <xdr:to>
      <xdr:col>26</xdr:col>
      <xdr:colOff>74957</xdr:colOff>
      <xdr:row>33</xdr:row>
      <xdr:rowOff>163785</xdr:rowOff>
    </xdr:to>
    <xdr:sp macro="" textlink="">
      <xdr:nvSpPr>
        <xdr:cNvPr id="12" name="AutoShape 318">
          <a:extLst>
            <a:ext uri="{FF2B5EF4-FFF2-40B4-BE49-F238E27FC236}">
              <a16:creationId xmlns:a16="http://schemas.microsoft.com/office/drawing/2014/main" id="{00000000-0008-0000-2C00-00000C000000}"/>
            </a:ext>
          </a:extLst>
        </xdr:cNvPr>
        <xdr:cNvSpPr>
          <a:spLocks/>
        </xdr:cNvSpPr>
      </xdr:nvSpPr>
      <xdr:spPr bwMode="auto">
        <a:xfrm>
          <a:off x="5368136" y="5299403"/>
          <a:ext cx="69396" cy="588907"/>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14</xdr:col>
      <xdr:colOff>94796</xdr:colOff>
      <xdr:row>28</xdr:row>
      <xdr:rowOff>33892</xdr:rowOff>
    </xdr:from>
    <xdr:to>
      <xdr:col>14</xdr:col>
      <xdr:colOff>140515</xdr:colOff>
      <xdr:row>29</xdr:row>
      <xdr:rowOff>156482</xdr:rowOff>
    </xdr:to>
    <xdr:sp macro="" textlink="">
      <xdr:nvSpPr>
        <xdr:cNvPr id="9" name="AutoShape 318">
          <a:extLst>
            <a:ext uri="{FF2B5EF4-FFF2-40B4-BE49-F238E27FC236}">
              <a16:creationId xmlns:a16="http://schemas.microsoft.com/office/drawing/2014/main" id="{00000000-0008-0000-2C00-000009000000}"/>
            </a:ext>
          </a:extLst>
        </xdr:cNvPr>
        <xdr:cNvSpPr>
          <a:spLocks/>
        </xdr:cNvSpPr>
      </xdr:nvSpPr>
      <xdr:spPr bwMode="auto">
        <a:xfrm>
          <a:off x="3006725" y="4483428"/>
          <a:ext cx="45719" cy="265465"/>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22</xdr:col>
      <xdr:colOff>138509</xdr:colOff>
      <xdr:row>180</xdr:row>
      <xdr:rowOff>34924</xdr:rowOff>
    </xdr:from>
    <xdr:to>
      <xdr:col>23</xdr:col>
      <xdr:colOff>2778</xdr:colOff>
      <xdr:row>184</xdr:row>
      <xdr:rowOff>0</xdr:rowOff>
    </xdr:to>
    <xdr:sp macro="" textlink="">
      <xdr:nvSpPr>
        <xdr:cNvPr id="15" name="AutoShape 318">
          <a:extLst>
            <a:ext uri="{FF2B5EF4-FFF2-40B4-BE49-F238E27FC236}">
              <a16:creationId xmlns:a16="http://schemas.microsoft.com/office/drawing/2014/main" id="{00000000-0008-0000-2C00-00000F000000}"/>
            </a:ext>
          </a:extLst>
        </xdr:cNvPr>
        <xdr:cNvSpPr>
          <a:spLocks/>
        </xdr:cNvSpPr>
      </xdr:nvSpPr>
      <xdr:spPr bwMode="auto">
        <a:xfrm>
          <a:off x="4740275" y="32741393"/>
          <a:ext cx="66675" cy="593725"/>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20</xdr:col>
      <xdr:colOff>39688</xdr:colOff>
      <xdr:row>193</xdr:row>
      <xdr:rowOff>98027</xdr:rowOff>
    </xdr:from>
    <xdr:to>
      <xdr:col>20</xdr:col>
      <xdr:colOff>106363</xdr:colOff>
      <xdr:row>197</xdr:row>
      <xdr:rowOff>26193</xdr:rowOff>
    </xdr:to>
    <xdr:sp macro="" textlink="">
      <xdr:nvSpPr>
        <xdr:cNvPr id="16" name="AutoShape 318">
          <a:extLst>
            <a:ext uri="{FF2B5EF4-FFF2-40B4-BE49-F238E27FC236}">
              <a16:creationId xmlns:a16="http://schemas.microsoft.com/office/drawing/2014/main" id="{00000000-0008-0000-2C00-000010000000}"/>
            </a:ext>
          </a:extLst>
        </xdr:cNvPr>
        <xdr:cNvSpPr>
          <a:spLocks/>
        </xdr:cNvSpPr>
      </xdr:nvSpPr>
      <xdr:spPr bwMode="auto">
        <a:xfrm>
          <a:off x="4236641" y="34286824"/>
          <a:ext cx="66675" cy="571103"/>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24</xdr:col>
      <xdr:colOff>185859</xdr:colOff>
      <xdr:row>220</xdr:row>
      <xdr:rowOff>194958</xdr:rowOff>
    </xdr:from>
    <xdr:to>
      <xdr:col>25</xdr:col>
      <xdr:colOff>50128</xdr:colOff>
      <xdr:row>224</xdr:row>
      <xdr:rowOff>165650</xdr:rowOff>
    </xdr:to>
    <xdr:sp macro="" textlink="">
      <xdr:nvSpPr>
        <xdr:cNvPr id="17" name="AutoShape 318">
          <a:extLst>
            <a:ext uri="{FF2B5EF4-FFF2-40B4-BE49-F238E27FC236}">
              <a16:creationId xmlns:a16="http://schemas.microsoft.com/office/drawing/2014/main" id="{00000000-0008-0000-2C00-000011000000}"/>
            </a:ext>
          </a:extLst>
        </xdr:cNvPr>
        <xdr:cNvSpPr>
          <a:spLocks/>
        </xdr:cNvSpPr>
      </xdr:nvSpPr>
      <xdr:spPr bwMode="auto">
        <a:xfrm>
          <a:off x="5192437" y="38146130"/>
          <a:ext cx="66675" cy="691020"/>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44</xdr:col>
      <xdr:colOff>845039</xdr:colOff>
      <xdr:row>107</xdr:row>
      <xdr:rowOff>0</xdr:rowOff>
    </xdr:from>
    <xdr:to>
      <xdr:col>44</xdr:col>
      <xdr:colOff>1003789</xdr:colOff>
      <xdr:row>114</xdr:row>
      <xdr:rowOff>0</xdr:rowOff>
    </xdr:to>
    <xdr:sp macro="" textlink="">
      <xdr:nvSpPr>
        <xdr:cNvPr id="18" name="AutoShape 318">
          <a:extLst>
            <a:ext uri="{FF2B5EF4-FFF2-40B4-BE49-F238E27FC236}">
              <a16:creationId xmlns:a16="http://schemas.microsoft.com/office/drawing/2014/main" id="{00000000-0008-0000-2C00-000012000000}"/>
            </a:ext>
          </a:extLst>
        </xdr:cNvPr>
        <xdr:cNvSpPr>
          <a:spLocks/>
        </xdr:cNvSpPr>
      </xdr:nvSpPr>
      <xdr:spPr bwMode="auto">
        <a:xfrm>
          <a:off x="9908443" y="19548231"/>
          <a:ext cx="158750" cy="1186961"/>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24</xdr:col>
      <xdr:colOff>144463</xdr:colOff>
      <xdr:row>205</xdr:row>
      <xdr:rowOff>81359</xdr:rowOff>
    </xdr:from>
    <xdr:to>
      <xdr:col>25</xdr:col>
      <xdr:colOff>8732</xdr:colOff>
      <xdr:row>209</xdr:row>
      <xdr:rowOff>128587</xdr:rowOff>
    </xdr:to>
    <xdr:sp macro="" textlink="">
      <xdr:nvSpPr>
        <xdr:cNvPr id="2" name="AutoShape 318">
          <a:extLst>
            <a:ext uri="{FF2B5EF4-FFF2-40B4-BE49-F238E27FC236}">
              <a16:creationId xmlns:a16="http://schemas.microsoft.com/office/drawing/2014/main" id="{00000000-0008-0000-2C00-000002000000}"/>
            </a:ext>
          </a:extLst>
        </xdr:cNvPr>
        <xdr:cNvSpPr>
          <a:spLocks/>
        </xdr:cNvSpPr>
      </xdr:nvSpPr>
      <xdr:spPr bwMode="auto">
        <a:xfrm>
          <a:off x="5167313" y="36193809"/>
          <a:ext cx="67469" cy="580628"/>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32.xml><?xml version="1.0" encoding="utf-8"?>
<xdr:wsDr xmlns:xdr="http://schemas.openxmlformats.org/drawingml/2006/spreadsheetDrawing" xmlns:a="http://schemas.openxmlformats.org/drawingml/2006/main">
  <xdr:twoCellAnchor>
    <xdr:from>
      <xdr:col>23</xdr:col>
      <xdr:colOff>210583</xdr:colOff>
      <xdr:row>25</xdr:row>
      <xdr:rowOff>120306</xdr:rowOff>
    </xdr:from>
    <xdr:to>
      <xdr:col>23</xdr:col>
      <xdr:colOff>283120</xdr:colOff>
      <xdr:row>27</xdr:row>
      <xdr:rowOff>134960</xdr:rowOff>
    </xdr:to>
    <xdr:sp macro="" textlink="">
      <xdr:nvSpPr>
        <xdr:cNvPr id="8" name="AutoShape 318">
          <a:extLst>
            <a:ext uri="{FF2B5EF4-FFF2-40B4-BE49-F238E27FC236}">
              <a16:creationId xmlns:a16="http://schemas.microsoft.com/office/drawing/2014/main" id="{00000000-0008-0000-2E00-000008000000}"/>
            </a:ext>
          </a:extLst>
        </xdr:cNvPr>
        <xdr:cNvSpPr>
          <a:spLocks/>
        </xdr:cNvSpPr>
      </xdr:nvSpPr>
      <xdr:spPr bwMode="auto">
        <a:xfrm>
          <a:off x="6104177" y="4960197"/>
          <a:ext cx="72537" cy="413513"/>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25</xdr:col>
      <xdr:colOff>117231</xdr:colOff>
      <xdr:row>49</xdr:row>
      <xdr:rowOff>87923</xdr:rowOff>
    </xdr:from>
    <xdr:to>
      <xdr:col>25</xdr:col>
      <xdr:colOff>189767</xdr:colOff>
      <xdr:row>51</xdr:row>
      <xdr:rowOff>139212</xdr:rowOff>
    </xdr:to>
    <xdr:sp macro="" textlink="">
      <xdr:nvSpPr>
        <xdr:cNvPr id="2" name="AutoShape 318">
          <a:extLst>
            <a:ext uri="{FF2B5EF4-FFF2-40B4-BE49-F238E27FC236}">
              <a16:creationId xmlns:a16="http://schemas.microsoft.com/office/drawing/2014/main" id="{4084549A-D49A-44BC-AC77-753B7BF87BCB}"/>
            </a:ext>
          </a:extLst>
        </xdr:cNvPr>
        <xdr:cNvSpPr>
          <a:spLocks/>
        </xdr:cNvSpPr>
      </xdr:nvSpPr>
      <xdr:spPr bwMode="auto">
        <a:xfrm>
          <a:off x="6528289" y="9869365"/>
          <a:ext cx="72536" cy="476251"/>
        </a:xfrm>
        <a:prstGeom prst="rightBrace">
          <a:avLst>
            <a:gd name="adj1" fmla="val 34529"/>
            <a:gd name="adj2" fmla="val 50000"/>
          </a:avLst>
        </a:prstGeom>
        <a:noFill/>
        <a:ln w="1587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33.xml><?xml version="1.0" encoding="utf-8"?>
<xdr:wsDr xmlns:xdr="http://schemas.openxmlformats.org/drawingml/2006/spreadsheetDrawing" xmlns:a="http://schemas.openxmlformats.org/drawingml/2006/main">
  <xdr:twoCellAnchor editAs="oneCell">
    <xdr:from>
      <xdr:col>1</xdr:col>
      <xdr:colOff>19050</xdr:colOff>
      <xdr:row>9</xdr:row>
      <xdr:rowOff>133350</xdr:rowOff>
    </xdr:from>
    <xdr:to>
      <xdr:col>2</xdr:col>
      <xdr:colOff>402927</xdr:colOff>
      <xdr:row>13</xdr:row>
      <xdr:rowOff>85725</xdr:rowOff>
    </xdr:to>
    <xdr:pic>
      <xdr:nvPicPr>
        <xdr:cNvPr id="4" name="Picture 3">
          <a:extLst>
            <a:ext uri="{FF2B5EF4-FFF2-40B4-BE49-F238E27FC236}">
              <a16:creationId xmlns:a16="http://schemas.microsoft.com/office/drawing/2014/main" id="{00000000-0008-0000-2F00-000004000000}"/>
            </a:ext>
          </a:extLst>
        </xdr:cNvPr>
        <xdr:cNvPicPr>
          <a:picLocks noChangeAspect="1"/>
        </xdr:cNvPicPr>
      </xdr:nvPicPr>
      <xdr:blipFill>
        <a:blip xmlns:r="http://schemas.openxmlformats.org/officeDocument/2006/relationships" r:embed="rId1"/>
        <a:stretch>
          <a:fillRect/>
        </a:stretch>
      </xdr:blipFill>
      <xdr:spPr>
        <a:xfrm>
          <a:off x="266700" y="1781175"/>
          <a:ext cx="726777" cy="733425"/>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28</xdr:col>
      <xdr:colOff>733425</xdr:colOff>
      <xdr:row>58</xdr:row>
      <xdr:rowOff>47625</xdr:rowOff>
    </xdr:from>
    <xdr:to>
      <xdr:col>29</xdr:col>
      <xdr:colOff>180975</xdr:colOff>
      <xdr:row>60</xdr:row>
      <xdr:rowOff>159544</xdr:rowOff>
    </xdr:to>
    <xdr:pic>
      <xdr:nvPicPr>
        <xdr:cNvPr id="2" name="Picture 2" descr="pencil">
          <a:extLst>
            <a:ext uri="{FF2B5EF4-FFF2-40B4-BE49-F238E27FC236}">
              <a16:creationId xmlns:a16="http://schemas.microsoft.com/office/drawing/2014/main" id="{00000000-0008-0000-36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544925" y="6038850"/>
          <a:ext cx="46672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5.xml><?xml version="1.0" encoding="utf-8"?>
<xdr:wsDr xmlns:xdr="http://schemas.openxmlformats.org/drawingml/2006/spreadsheetDrawing" xmlns:a="http://schemas.openxmlformats.org/drawingml/2006/main">
  <xdr:twoCellAnchor>
    <xdr:from>
      <xdr:col>35</xdr:col>
      <xdr:colOff>676275</xdr:colOff>
      <xdr:row>21</xdr:row>
      <xdr:rowOff>6212</xdr:rowOff>
    </xdr:from>
    <xdr:to>
      <xdr:col>35</xdr:col>
      <xdr:colOff>866775</xdr:colOff>
      <xdr:row>21</xdr:row>
      <xdr:rowOff>82412</xdr:rowOff>
    </xdr:to>
    <xdr:sp macro="" textlink="">
      <xdr:nvSpPr>
        <xdr:cNvPr id="7" name="AutoShape 344">
          <a:extLst>
            <a:ext uri="{FF2B5EF4-FFF2-40B4-BE49-F238E27FC236}">
              <a16:creationId xmlns:a16="http://schemas.microsoft.com/office/drawing/2014/main" id="{00000000-0008-0000-3800-000007000000}"/>
            </a:ext>
          </a:extLst>
        </xdr:cNvPr>
        <xdr:cNvSpPr>
          <a:spLocks noChangeArrowheads="1"/>
        </xdr:cNvSpPr>
      </xdr:nvSpPr>
      <xdr:spPr bwMode="auto">
        <a:xfrm rot="10800000">
          <a:off x="9439275" y="1446868"/>
          <a:ext cx="190500" cy="76200"/>
        </a:xfrm>
        <a:prstGeom prst="triangle">
          <a:avLst>
            <a:gd name="adj" fmla="val 50000"/>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wsDr>
</file>

<file path=xl/drawings/drawing36.xml><?xml version="1.0" encoding="utf-8"?>
<xdr:wsDr xmlns:xdr="http://schemas.openxmlformats.org/drawingml/2006/spreadsheetDrawing" xmlns:a="http://schemas.openxmlformats.org/drawingml/2006/main">
  <xdr:twoCellAnchor editAs="oneCell">
    <xdr:from>
      <xdr:col>12</xdr:col>
      <xdr:colOff>66675</xdr:colOff>
      <xdr:row>9</xdr:row>
      <xdr:rowOff>66675</xdr:rowOff>
    </xdr:from>
    <xdr:to>
      <xdr:col>21</xdr:col>
      <xdr:colOff>523875</xdr:colOff>
      <xdr:row>51</xdr:row>
      <xdr:rowOff>48188</xdr:rowOff>
    </xdr:to>
    <xdr:pic>
      <xdr:nvPicPr>
        <xdr:cNvPr id="3" name="Picture 2">
          <a:extLst>
            <a:ext uri="{FF2B5EF4-FFF2-40B4-BE49-F238E27FC236}">
              <a16:creationId xmlns:a16="http://schemas.microsoft.com/office/drawing/2014/main" id="{1A35D87C-1FED-EA30-BE4B-C3E442DF618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705975" y="1609725"/>
          <a:ext cx="9505950" cy="7182413"/>
        </a:xfrm>
        <a:prstGeom prst="rect">
          <a:avLst/>
        </a:prstGeom>
        <a:noFill/>
        <a:ln>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venmo.com/" TargetMode="External"/><Relationship Id="rId3" Type="http://schemas.openxmlformats.org/officeDocument/2006/relationships/hyperlink" Target="https://pay.google.com/payments/u/0/home" TargetMode="External"/><Relationship Id="rId7" Type="http://schemas.openxmlformats.org/officeDocument/2006/relationships/hyperlink" Target="https://sites.google.com/view/incometaxspreadsheet/home" TargetMode="External"/><Relationship Id="rId2" Type="http://schemas.openxmlformats.org/officeDocument/2006/relationships/hyperlink" Target="https://www.zellepay.com/" TargetMode="External"/><Relationship Id="rId1" Type="http://schemas.openxmlformats.org/officeDocument/2006/relationships/hyperlink" Target="http://paypal.me/incometaxspreadsheet" TargetMode="External"/><Relationship Id="rId6" Type="http://schemas.openxmlformats.org/officeDocument/2006/relationships/hyperlink" Target="http://www.excel1040.com/" TargetMode="External"/><Relationship Id="rId5" Type="http://schemas.openxmlformats.org/officeDocument/2006/relationships/hyperlink" Target="mailto:incometaxspreadsheet@gmail.com" TargetMode="External"/><Relationship Id="rId4" Type="http://schemas.openxmlformats.org/officeDocument/2006/relationships/hyperlink" Target="https://sites.google.com/view/incometaxspreadsheet/home/changes"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irs.gov/downloads/irs-pdf"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www.irs.gov/instructions/i1099mec" TargetMode="External"/><Relationship Id="rId1" Type="http://schemas.openxmlformats.org/officeDocument/2006/relationships/hyperlink" Target="https://www.irs.gov/pub/irs-pdf/f1099msc.pdf" TargetMode="External"/><Relationship Id="rId4"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hyperlink" Target="http://www.irs.gov/pub/irs-pdf/f1040.pdf" TargetMode="External"/><Relationship Id="rId7" Type="http://schemas.openxmlformats.org/officeDocument/2006/relationships/drawing" Target="../drawings/drawing3.xml"/><Relationship Id="rId2" Type="http://schemas.openxmlformats.org/officeDocument/2006/relationships/hyperlink" Target="http://www.irs.gov/pub/irs-pdf/i1040gi.pdf" TargetMode="External"/><Relationship Id="rId1" Type="http://schemas.openxmlformats.org/officeDocument/2006/relationships/hyperlink" Target="http://www.excel1040.com/" TargetMode="External"/><Relationship Id="rId6" Type="http://schemas.openxmlformats.org/officeDocument/2006/relationships/printerSettings" Target="../printerSettings/printerSettings13.bin"/><Relationship Id="rId5" Type="http://schemas.openxmlformats.org/officeDocument/2006/relationships/hyperlink" Target="http://www.irs.gov/pub/irs-pdf/f1040.pdf" TargetMode="External"/><Relationship Id="rId4" Type="http://schemas.openxmlformats.org/officeDocument/2006/relationships/hyperlink" Target="http://www.irs.gov/pub/irs-pdf/f1040.pdf" TargetMode="Externa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14.bin"/><Relationship Id="rId1" Type="http://schemas.openxmlformats.org/officeDocument/2006/relationships/hyperlink" Target="https://www.irs.gov/credits-deductions/individuals/dependents" TargetMode="Externa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3" Type="http://schemas.openxmlformats.org/officeDocument/2006/relationships/printerSettings" Target="../printerSettings/printerSettings27.bin"/><Relationship Id="rId2" Type="http://schemas.openxmlformats.org/officeDocument/2006/relationships/hyperlink" Target="https://www.irs.gov/pub/irs-pdf/f1040sei.pdf" TargetMode="External"/><Relationship Id="rId1" Type="http://schemas.openxmlformats.org/officeDocument/2006/relationships/hyperlink" Target="https://www.irs.gov/pub/irs-pdf/f1040sei.pdf" TargetMode="External"/><Relationship Id="rId4" Type="http://schemas.openxmlformats.org/officeDocument/2006/relationships/drawing" Target="../drawings/drawing17.xml"/></Relationships>
</file>

<file path=xl/worksheets/_rels/sheet28.xml.rels><?xml version="1.0" encoding="UTF-8" standalone="yes"?>
<Relationships xmlns="http://schemas.openxmlformats.org/package/2006/relationships"><Relationship Id="rId3" Type="http://schemas.openxmlformats.org/officeDocument/2006/relationships/printerSettings" Target="../printerSettings/printerSettings28.bin"/><Relationship Id="rId2" Type="http://schemas.openxmlformats.org/officeDocument/2006/relationships/hyperlink" Target="http://www.irs.gov/pub/irs-pdf/i1040sca.pdf" TargetMode="External"/><Relationship Id="rId1" Type="http://schemas.openxmlformats.org/officeDocument/2006/relationships/hyperlink" Target="http://www.irs.gov/pub/irs-pdf/f1040sa.pdf" TargetMode="External"/><Relationship Id="rId4" Type="http://schemas.openxmlformats.org/officeDocument/2006/relationships/drawing" Target="../drawings/drawing18.xml"/></Relationships>
</file>

<file path=xl/worksheets/_rels/sheet29.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hyperlink" Target="http://www.irs.gov/pub/irs-pdf/f1040sb.pdf" TargetMode="External"/></Relationships>
</file>

<file path=xl/worksheets/_rels/sheet30.xml.rels><?xml version="1.0" encoding="UTF-8" standalone="yes"?>
<Relationships xmlns="http://schemas.openxmlformats.org/package/2006/relationships"><Relationship Id="rId3" Type="http://schemas.openxmlformats.org/officeDocument/2006/relationships/printerSettings" Target="../printerSettings/printerSettings30.bin"/><Relationship Id="rId2" Type="http://schemas.openxmlformats.org/officeDocument/2006/relationships/hyperlink" Target="http://www.irs.gov/pub/irs-pdf/i1040sc.pdf" TargetMode="External"/><Relationship Id="rId1" Type="http://schemas.openxmlformats.org/officeDocument/2006/relationships/hyperlink" Target="http://www.irs.gov/pub/irs-pdf/f1040sc.pdf" TargetMode="External"/><Relationship Id="rId4" Type="http://schemas.openxmlformats.org/officeDocument/2006/relationships/drawing" Target="../drawings/drawing19.xml"/></Relationships>
</file>

<file path=xl/worksheets/_rels/sheet31.xml.rels><?xml version="1.0" encoding="UTF-8" standalone="yes"?>
<Relationships xmlns="http://schemas.openxmlformats.org/package/2006/relationships"><Relationship Id="rId3" Type="http://schemas.openxmlformats.org/officeDocument/2006/relationships/printerSettings" Target="../printerSettings/printerSettings31.bin"/><Relationship Id="rId2" Type="http://schemas.openxmlformats.org/officeDocument/2006/relationships/hyperlink" Target="http://www.irs.gov/pub/irs-pdf/i1040sd.pdf" TargetMode="External"/><Relationship Id="rId1" Type="http://schemas.openxmlformats.org/officeDocument/2006/relationships/hyperlink" Target="http://www.irs.gov/pub/irs-pdf/f1040sd.pdf" TargetMode="External"/><Relationship Id="rId4" Type="http://schemas.openxmlformats.org/officeDocument/2006/relationships/drawing" Target="../drawings/drawing20.xml"/></Relationships>
</file>

<file path=xl/worksheets/_rels/sheet32.xml.rels><?xml version="1.0" encoding="UTF-8" standalone="yes"?>
<Relationships xmlns="http://schemas.openxmlformats.org/package/2006/relationships"><Relationship Id="rId3" Type="http://schemas.openxmlformats.org/officeDocument/2006/relationships/printerSettings" Target="../printerSettings/printerSettings32.bin"/><Relationship Id="rId2" Type="http://schemas.openxmlformats.org/officeDocument/2006/relationships/hyperlink" Target="http://www.irs.gov/pub/irs-pdf/i1040sd.pdf" TargetMode="External"/><Relationship Id="rId1" Type="http://schemas.openxmlformats.org/officeDocument/2006/relationships/hyperlink" Target="http://www.irs.gov/pub/irs-pdf/f1040sd.pdf" TargetMode="External"/><Relationship Id="rId4" Type="http://schemas.openxmlformats.org/officeDocument/2006/relationships/drawing" Target="../drawings/drawing21.xm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3" Type="http://schemas.openxmlformats.org/officeDocument/2006/relationships/printerSettings" Target="../printerSettings/printerSettings35.bin"/><Relationship Id="rId2" Type="http://schemas.openxmlformats.org/officeDocument/2006/relationships/hyperlink" Target="http://www.irs.gov/pub/irs-pdf/i1040sf.pdf" TargetMode="External"/><Relationship Id="rId1" Type="http://schemas.openxmlformats.org/officeDocument/2006/relationships/hyperlink" Target="http://www.irs.gov/pub/irs-pdf/f1040sf.pdf" TargetMode="External"/><Relationship Id="rId4" Type="http://schemas.openxmlformats.org/officeDocument/2006/relationships/drawing" Target="../drawings/drawing23.xml"/></Relationships>
</file>

<file path=xl/worksheets/_rels/sheet36.xml.rels><?xml version="1.0" encoding="UTF-8" standalone="yes"?>
<Relationships xmlns="http://schemas.openxmlformats.org/package/2006/relationships"><Relationship Id="rId3" Type="http://schemas.openxmlformats.org/officeDocument/2006/relationships/printerSettings" Target="../printerSettings/printerSettings36.bin"/><Relationship Id="rId2" Type="http://schemas.openxmlformats.org/officeDocument/2006/relationships/hyperlink" Target="http://www.irs.gov/pub/irs-pdf/i1040sr.pdf" TargetMode="External"/><Relationship Id="rId1" Type="http://schemas.openxmlformats.org/officeDocument/2006/relationships/hyperlink" Target="http://www.irs.gov/pub/irs-pdf/f1040sr.pdf" TargetMode="External"/><Relationship Id="rId4" Type="http://schemas.openxmlformats.org/officeDocument/2006/relationships/drawing" Target="../drawings/drawing24.xml"/></Relationships>
</file>

<file path=xl/worksheets/_rels/sheet37.xml.rels><?xml version="1.0" encoding="UTF-8" standalone="yes"?>
<Relationships xmlns="http://schemas.openxmlformats.org/package/2006/relationships"><Relationship Id="rId3" Type="http://schemas.openxmlformats.org/officeDocument/2006/relationships/printerSettings" Target="../printerSettings/printerSettings37.bin"/><Relationship Id="rId2" Type="http://schemas.openxmlformats.org/officeDocument/2006/relationships/hyperlink" Target="http://www.irs.gov/pub/irs-pdf/i1040sse.pdf" TargetMode="External"/><Relationship Id="rId1" Type="http://schemas.openxmlformats.org/officeDocument/2006/relationships/hyperlink" Target="http://www.irs.gov/pub/irs-pdf/f1040sse.pdf" TargetMode="External"/></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3" Type="http://schemas.openxmlformats.org/officeDocument/2006/relationships/hyperlink" Target="http://www.irs.gov/pub/irs-pdf/f2210.pdf" TargetMode="External"/><Relationship Id="rId2" Type="http://schemas.openxmlformats.org/officeDocument/2006/relationships/hyperlink" Target="http://www.irs.gov/pub/irs-pdf/i1040sse.pdf" TargetMode="External"/><Relationship Id="rId1" Type="http://schemas.openxmlformats.org/officeDocument/2006/relationships/hyperlink" Target="http://www.irs.gov/pub/irs-pdf/f1040sse.pdf" TargetMode="External"/><Relationship Id="rId6" Type="http://schemas.openxmlformats.org/officeDocument/2006/relationships/drawing" Target="../drawings/drawing25.xml"/><Relationship Id="rId5" Type="http://schemas.openxmlformats.org/officeDocument/2006/relationships/printerSettings" Target="../printerSettings/printerSettings39.bin"/><Relationship Id="rId4" Type="http://schemas.openxmlformats.org/officeDocument/2006/relationships/hyperlink" Target="http://www.irs.gov/pub/irs-pdf/i2210.pdf" TargetMode="External"/></Relationships>
</file>

<file path=xl/worksheets/_rels/sheet40.xml.rels><?xml version="1.0" encoding="UTF-8" standalone="yes"?>
<Relationships xmlns="http://schemas.openxmlformats.org/package/2006/relationships"><Relationship Id="rId3" Type="http://schemas.openxmlformats.org/officeDocument/2006/relationships/printerSettings" Target="../printerSettings/printerSettings40.bin"/><Relationship Id="rId2" Type="http://schemas.openxmlformats.org/officeDocument/2006/relationships/hyperlink" Target="http://www.irs.gov/pub/irs-pdf/i2441.pdf" TargetMode="External"/><Relationship Id="rId1" Type="http://schemas.openxmlformats.org/officeDocument/2006/relationships/hyperlink" Target="http://www.irs.gov/pub/irs-pdf/f2441.pdf" TargetMode="External"/><Relationship Id="rId4" Type="http://schemas.openxmlformats.org/officeDocument/2006/relationships/drawing" Target="../drawings/drawing26.xm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3" Type="http://schemas.openxmlformats.org/officeDocument/2006/relationships/hyperlink" Target="https://www.irs.gov/pub/irs-pdf/i6251.pdf" TargetMode="External"/><Relationship Id="rId2" Type="http://schemas.openxmlformats.org/officeDocument/2006/relationships/hyperlink" Target="http://www.irs.gov/pub/irs-pdf/i6251.pdf" TargetMode="External"/><Relationship Id="rId1" Type="http://schemas.openxmlformats.org/officeDocument/2006/relationships/hyperlink" Target="http://www.irs.gov/pub/irs-pdf/f6251.pdf" TargetMode="External"/><Relationship Id="rId5" Type="http://schemas.openxmlformats.org/officeDocument/2006/relationships/drawing" Target="../drawings/drawing28.xml"/><Relationship Id="rId4"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3" Type="http://schemas.openxmlformats.org/officeDocument/2006/relationships/hyperlink" Target="http://www.irs.gov/pub/irs-pdf/f8962.pdf" TargetMode="External"/><Relationship Id="rId2" Type="http://schemas.openxmlformats.org/officeDocument/2006/relationships/hyperlink" Target="http://www.irs.gov/pub/irs-pdf/i1040sr.pdf" TargetMode="External"/><Relationship Id="rId1" Type="http://schemas.openxmlformats.org/officeDocument/2006/relationships/hyperlink" Target="http://www.irs.gov/pub/irs-pdf/f1040sr.pdf" TargetMode="External"/><Relationship Id="rId6" Type="http://schemas.openxmlformats.org/officeDocument/2006/relationships/printerSettings" Target="../printerSettings/printerSettings51.bin"/><Relationship Id="rId5" Type="http://schemas.openxmlformats.org/officeDocument/2006/relationships/hyperlink" Target="https://www.irs.gov/pub/irs-pdf/f8829.pdf" TargetMode="External"/><Relationship Id="rId4" Type="http://schemas.openxmlformats.org/officeDocument/2006/relationships/hyperlink" Target="http://www.irs.gov/pub/irs-pdf/i8829.pdf" TargetMode="External"/></Relationships>
</file>

<file path=xl/worksheets/_rels/sheet5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52.bin"/></Relationships>
</file>

<file path=xl/worksheets/_rels/sheet53.xml.rels><?xml version="1.0" encoding="UTF-8" standalone="yes"?>
<Relationships xmlns="http://schemas.openxmlformats.org/package/2006/relationships"><Relationship Id="rId3" Type="http://schemas.openxmlformats.org/officeDocument/2006/relationships/hyperlink" Target="https://www.irs.gov/pub/irs-pdf/f8880.pdf" TargetMode="External"/><Relationship Id="rId2" Type="http://schemas.openxmlformats.org/officeDocument/2006/relationships/hyperlink" Target="http://www.irs.gov/pub/irs-pdf/f8962.pdf" TargetMode="External"/><Relationship Id="rId1" Type="http://schemas.openxmlformats.org/officeDocument/2006/relationships/hyperlink" Target="http://www.irs.gov/pub/irs-pdf/f1040sr.pdf" TargetMode="External"/><Relationship Id="rId5" Type="http://schemas.openxmlformats.org/officeDocument/2006/relationships/drawing" Target="../drawings/drawing33.xml"/><Relationship Id="rId4" Type="http://schemas.openxmlformats.org/officeDocument/2006/relationships/printerSettings" Target="../printerSettings/printerSettings53.bin"/></Relationships>
</file>

<file path=xl/worksheets/_rels/sheet54.xml.rels><?xml version="1.0" encoding="UTF-8" standalone="yes"?>
<Relationships xmlns="http://schemas.openxmlformats.org/package/2006/relationships"><Relationship Id="rId3" Type="http://schemas.openxmlformats.org/officeDocument/2006/relationships/printerSettings" Target="../printerSettings/printerSettings54.bin"/><Relationship Id="rId2" Type="http://schemas.openxmlformats.org/officeDocument/2006/relationships/hyperlink" Target="http://www.irs.gov/pub/irs-pdf/i8889.pdf" TargetMode="External"/><Relationship Id="rId1" Type="http://schemas.openxmlformats.org/officeDocument/2006/relationships/hyperlink" Target="http://www.irs.gov/pub/irs-pdf/f8889.pdf" TargetMode="External"/></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0.xml.rels><?xml version="1.0" encoding="UTF-8" standalone="yes"?>
<Relationships xmlns="http://schemas.openxmlformats.org/package/2006/relationships"><Relationship Id="rId3" Type="http://schemas.openxmlformats.org/officeDocument/2006/relationships/printerSettings" Target="../printerSettings/printerSettings60.bin"/><Relationship Id="rId2" Type="http://schemas.openxmlformats.org/officeDocument/2006/relationships/hyperlink" Target="http://www.irs.gov/pub/irs-pdf/i8959.pdf" TargetMode="External"/><Relationship Id="rId1" Type="http://schemas.openxmlformats.org/officeDocument/2006/relationships/hyperlink" Target="http://www.irs.gov/pub/irs-pdf/f8959.pdf" TargetMode="External"/></Relationships>
</file>

<file path=xl/worksheets/_rels/sheet61.xml.rels><?xml version="1.0" encoding="UTF-8" standalone="yes"?>
<Relationships xmlns="http://schemas.openxmlformats.org/package/2006/relationships"><Relationship Id="rId3" Type="http://schemas.openxmlformats.org/officeDocument/2006/relationships/printerSettings" Target="../printerSettings/printerSettings61.bin"/><Relationship Id="rId2" Type="http://schemas.openxmlformats.org/officeDocument/2006/relationships/hyperlink" Target="https://www.irs.gov/pub/irs-pdf/i8960.pdf" TargetMode="External"/><Relationship Id="rId1" Type="http://schemas.openxmlformats.org/officeDocument/2006/relationships/hyperlink" Target="http://www.irs.gov/pub/irs-pdf/f8960.pdf" TargetMode="External"/><Relationship Id="rId4" Type="http://schemas.openxmlformats.org/officeDocument/2006/relationships/drawing" Target="../drawings/drawing34.xml"/></Relationships>
</file>

<file path=xl/worksheets/_rels/sheet62.xml.rels><?xml version="1.0" encoding="UTF-8" standalone="yes"?>
<Relationships xmlns="http://schemas.openxmlformats.org/package/2006/relationships"><Relationship Id="rId3" Type="http://schemas.openxmlformats.org/officeDocument/2006/relationships/hyperlink" Target="http://www.irs.gov/pub/irs-pdf/f8962.pdf" TargetMode="External"/><Relationship Id="rId2" Type="http://schemas.openxmlformats.org/officeDocument/2006/relationships/hyperlink" Target="http://www.irs.gov/pub/irs-pdf/i1040sr.pdf" TargetMode="External"/><Relationship Id="rId1" Type="http://schemas.openxmlformats.org/officeDocument/2006/relationships/hyperlink" Target="http://www.irs.gov/pub/irs-pdf/f1040sr.pdf" TargetMode="External"/><Relationship Id="rId6" Type="http://schemas.openxmlformats.org/officeDocument/2006/relationships/printerSettings" Target="../printerSettings/printerSettings62.bin"/><Relationship Id="rId5" Type="http://schemas.openxmlformats.org/officeDocument/2006/relationships/hyperlink" Target="http://www.irs.gov/pub/irs-pdf/f8962.pdf" TargetMode="External"/><Relationship Id="rId4" Type="http://schemas.openxmlformats.org/officeDocument/2006/relationships/hyperlink" Target="http://www.irs.gov/pub/irs-pdf/i8962.pdf" TargetMode="External"/></Relationships>
</file>

<file path=xl/worksheets/_rels/sheet63.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63.bin"/></Relationships>
</file>

<file path=xl/worksheets/_rels/sheet64.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64.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66.xml.rels><?xml version="1.0" encoding="UTF-8" standalone="yes"?>
<Relationships xmlns="http://schemas.openxmlformats.org/package/2006/relationships"><Relationship Id="rId2" Type="http://schemas.openxmlformats.org/officeDocument/2006/relationships/printerSettings" Target="../printerSettings/printerSettings66.bin"/><Relationship Id="rId1" Type="http://schemas.openxmlformats.org/officeDocument/2006/relationships/hyperlink" Target="http://www.excel1040.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72"/>
  <sheetViews>
    <sheetView tabSelected="1" zoomScaleNormal="100" zoomScaleSheetLayoutView="100" workbookViewId="0"/>
  </sheetViews>
  <sheetFormatPr defaultColWidth="9.140625" defaultRowHeight="12.75"/>
  <cols>
    <col min="1" max="1" width="5.140625" style="275" customWidth="1"/>
    <col min="2" max="2" width="12.42578125" style="275" customWidth="1"/>
    <col min="3" max="3" width="9.140625" style="275"/>
    <col min="4" max="4" width="34.7109375" style="275" customWidth="1"/>
    <col min="5" max="5" width="21" style="275" customWidth="1"/>
    <col min="6" max="6" width="19.7109375" style="275" customWidth="1"/>
    <col min="7" max="11" width="7.140625" style="275" customWidth="1"/>
    <col min="12" max="12" width="4.42578125" style="275" customWidth="1"/>
    <col min="13" max="16384" width="9.140625" style="275"/>
  </cols>
  <sheetData>
    <row r="1" spans="2:11" ht="33.75" customHeight="1" thickBot="1">
      <c r="B1" s="4222" t="s">
        <v>536</v>
      </c>
      <c r="D1" s="1240" t="s">
        <v>1235</v>
      </c>
      <c r="E1" s="4222" t="s">
        <v>5472</v>
      </c>
      <c r="F1" s="4222"/>
    </row>
    <row r="2" spans="2:11" s="437" customFormat="1" ht="30.75" customHeight="1" thickBot="1">
      <c r="B2" s="4223" t="str">
        <f>IF(AND(TaxYearStart&lt;&gt;"",TaxYearEnd&lt;&gt;""),"For tax year "&amp;TEXT(TaxYearStart,"mmm. d")&amp;" - "&amp;TEXT(TaxYearEnd,"mmm. dd, yyyy")&amp;".","For tax year Jan. 1 - Dec. 31, "&amp;TaxYear&amp;".")</f>
        <v>For tax year Jan. 1 - Dec. 31, 2025.</v>
      </c>
      <c r="D2" s="994"/>
      <c r="E2" s="994"/>
      <c r="F2" s="1025"/>
      <c r="G2" s="994" t="s">
        <v>5473</v>
      </c>
      <c r="H2" s="7010">
        <f>RevDateTime</f>
        <v>46111.392361111109</v>
      </c>
      <c r="I2" s="7011"/>
      <c r="J2" s="7011"/>
      <c r="K2" s="7012"/>
    </row>
    <row r="3" spans="2:11" s="437" customFormat="1" ht="16.5" customHeight="1" thickBot="1">
      <c r="B3" s="4223"/>
      <c r="D3" s="994"/>
      <c r="E3" s="994"/>
      <c r="F3" s="1025"/>
      <c r="G3" s="994"/>
      <c r="H3" s="6755"/>
      <c r="I3" s="6755"/>
      <c r="J3" s="6755"/>
      <c r="K3" s="6755"/>
    </row>
    <row r="4" spans="2:11" ht="23.25" customHeight="1">
      <c r="B4" s="6995" t="s">
        <v>0</v>
      </c>
      <c r="C4" s="6996"/>
      <c r="D4" s="6996"/>
      <c r="E4" s="6996"/>
      <c r="F4" s="6996"/>
      <c r="G4" s="6996"/>
      <c r="H4" s="6996"/>
      <c r="I4" s="6996"/>
      <c r="J4" s="6996"/>
      <c r="K4" s="6997"/>
    </row>
    <row r="5" spans="2:11" ht="23.25" customHeight="1">
      <c r="B5" s="6998"/>
      <c r="C5" s="6999"/>
      <c r="D5" s="6999"/>
      <c r="E5" s="6999"/>
      <c r="F5" s="6999"/>
      <c r="G5" s="6999"/>
      <c r="H5" s="6999"/>
      <c r="I5" s="6999"/>
      <c r="J5" s="6999"/>
      <c r="K5" s="7000"/>
    </row>
    <row r="6" spans="2:11" ht="23.25" customHeight="1">
      <c r="B6" s="6998"/>
      <c r="C6" s="6999"/>
      <c r="D6" s="6999"/>
      <c r="E6" s="6999"/>
      <c r="F6" s="6999"/>
      <c r="G6" s="6999"/>
      <c r="H6" s="6999"/>
      <c r="I6" s="6999"/>
      <c r="J6" s="6999"/>
      <c r="K6" s="7000"/>
    </row>
    <row r="7" spans="2:11" ht="23.25" customHeight="1">
      <c r="B7" s="6998"/>
      <c r="C7" s="6999"/>
      <c r="D7" s="6999"/>
      <c r="E7" s="6999"/>
      <c r="F7" s="6999"/>
      <c r="G7" s="6999"/>
      <c r="H7" s="6999"/>
      <c r="I7" s="6999"/>
      <c r="J7" s="6999"/>
      <c r="K7" s="7000"/>
    </row>
    <row r="8" spans="2:11" ht="23.25" customHeight="1">
      <c r="B8" s="6998"/>
      <c r="C8" s="6999"/>
      <c r="D8" s="6999"/>
      <c r="E8" s="6999"/>
      <c r="F8" s="6999"/>
      <c r="G8" s="6999"/>
      <c r="H8" s="6999"/>
      <c r="I8" s="6999"/>
      <c r="J8" s="6999"/>
      <c r="K8" s="7000"/>
    </row>
    <row r="9" spans="2:11" ht="23.25" customHeight="1">
      <c r="B9" s="6998"/>
      <c r="C9" s="6999"/>
      <c r="D9" s="6999"/>
      <c r="E9" s="6999"/>
      <c r="F9" s="6999"/>
      <c r="G9" s="6999"/>
      <c r="H9" s="6999"/>
      <c r="I9" s="6999"/>
      <c r="J9" s="6999"/>
      <c r="K9" s="7000"/>
    </row>
    <row r="10" spans="2:11" ht="23.25" customHeight="1">
      <c r="B10" s="6998"/>
      <c r="C10" s="6999"/>
      <c r="D10" s="6999"/>
      <c r="E10" s="6999"/>
      <c r="F10" s="6999"/>
      <c r="G10" s="6999"/>
      <c r="H10" s="6999"/>
      <c r="I10" s="6999"/>
      <c r="J10" s="6999"/>
      <c r="K10" s="7000"/>
    </row>
    <row r="11" spans="2:11" ht="23.25" customHeight="1">
      <c r="B11" s="6998"/>
      <c r="C11" s="6999"/>
      <c r="D11" s="6999"/>
      <c r="E11" s="6999"/>
      <c r="F11" s="6999"/>
      <c r="G11" s="6999"/>
      <c r="H11" s="6999"/>
      <c r="I11" s="6999"/>
      <c r="J11" s="6999"/>
      <c r="K11" s="7000"/>
    </row>
    <row r="12" spans="2:11" ht="12.75" customHeight="1" thickBot="1">
      <c r="B12" s="7001"/>
      <c r="C12" s="7002"/>
      <c r="D12" s="7002"/>
      <c r="E12" s="7002"/>
      <c r="F12" s="7002"/>
      <c r="G12" s="7002"/>
      <c r="H12" s="7002"/>
      <c r="I12" s="7002"/>
      <c r="J12" s="7002"/>
      <c r="K12" s="7003"/>
    </row>
    <row r="13" spans="2:11" ht="14.25" thickBot="1">
      <c r="B13" s="394"/>
      <c r="C13" s="394"/>
      <c r="D13" s="394"/>
      <c r="E13" s="394"/>
      <c r="F13" s="394"/>
      <c r="G13" s="394"/>
      <c r="H13" s="394"/>
      <c r="I13" s="394"/>
      <c r="J13" s="394"/>
      <c r="K13" s="394"/>
    </row>
    <row r="14" spans="2:11">
      <c r="B14" s="7004" t="s">
        <v>1</v>
      </c>
      <c r="C14" s="6996"/>
      <c r="D14" s="6996"/>
      <c r="E14" s="6996"/>
      <c r="F14" s="6996"/>
      <c r="G14" s="6996"/>
      <c r="H14" s="6996"/>
      <c r="I14" s="6996"/>
      <c r="J14" s="6996"/>
      <c r="K14" s="6997"/>
    </row>
    <row r="15" spans="2:11">
      <c r="B15" s="6998"/>
      <c r="C15" s="6999"/>
      <c r="D15" s="6999"/>
      <c r="E15" s="6999"/>
      <c r="F15" s="6999"/>
      <c r="G15" s="6999"/>
      <c r="H15" s="6999"/>
      <c r="I15" s="6999"/>
      <c r="J15" s="6999"/>
      <c r="K15" s="7000"/>
    </row>
    <row r="16" spans="2:11">
      <c r="B16" s="6998"/>
      <c r="C16" s="6999"/>
      <c r="D16" s="6999"/>
      <c r="E16" s="6999"/>
      <c r="F16" s="6999"/>
      <c r="G16" s="6999"/>
      <c r="H16" s="6999"/>
      <c r="I16" s="6999"/>
      <c r="J16" s="6999"/>
      <c r="K16" s="7000"/>
    </row>
    <row r="17" spans="2:11">
      <c r="B17" s="6998"/>
      <c r="C17" s="6999"/>
      <c r="D17" s="6999"/>
      <c r="E17" s="6999"/>
      <c r="F17" s="6999"/>
      <c r="G17" s="6999"/>
      <c r="H17" s="6999"/>
      <c r="I17" s="6999"/>
      <c r="J17" s="6999"/>
      <c r="K17" s="7000"/>
    </row>
    <row r="18" spans="2:11">
      <c r="B18" s="6998"/>
      <c r="C18" s="6999"/>
      <c r="D18" s="6999"/>
      <c r="E18" s="6999"/>
      <c r="F18" s="6999"/>
      <c r="G18" s="6999"/>
      <c r="H18" s="6999"/>
      <c r="I18" s="6999"/>
      <c r="J18" s="6999"/>
      <c r="K18" s="7000"/>
    </row>
    <row r="19" spans="2:11">
      <c r="B19" s="6998"/>
      <c r="C19" s="6999"/>
      <c r="D19" s="6999"/>
      <c r="E19" s="6999"/>
      <c r="F19" s="6999"/>
      <c r="G19" s="6999"/>
      <c r="H19" s="6999"/>
      <c r="I19" s="6999"/>
      <c r="J19" s="6999"/>
      <c r="K19" s="7000"/>
    </row>
    <row r="20" spans="2:11">
      <c r="B20" s="6998"/>
      <c r="C20" s="6999"/>
      <c r="D20" s="6999"/>
      <c r="E20" s="6999"/>
      <c r="F20" s="6999"/>
      <c r="G20" s="6999"/>
      <c r="H20" s="6999"/>
      <c r="I20" s="6999"/>
      <c r="J20" s="6999"/>
      <c r="K20" s="7000"/>
    </row>
    <row r="21" spans="2:11">
      <c r="B21" s="6998"/>
      <c r="C21" s="6999"/>
      <c r="D21" s="6999"/>
      <c r="E21" s="6999"/>
      <c r="F21" s="6999"/>
      <c r="G21" s="6999"/>
      <c r="H21" s="6999"/>
      <c r="I21" s="6999"/>
      <c r="J21" s="6999"/>
      <c r="K21" s="7000"/>
    </row>
    <row r="22" spans="2:11" ht="13.5" thickBot="1">
      <c r="B22" s="7001"/>
      <c r="C22" s="7002"/>
      <c r="D22" s="7002"/>
      <c r="E22" s="7002"/>
      <c r="F22" s="7002"/>
      <c r="G22" s="7002"/>
      <c r="H22" s="7002"/>
      <c r="I22" s="7002"/>
      <c r="J22" s="7002"/>
      <c r="K22" s="7003"/>
    </row>
    <row r="23" spans="2:11" ht="14.25" thickBot="1">
      <c r="B23" s="394"/>
      <c r="C23" s="394"/>
      <c r="D23" s="394"/>
      <c r="E23" s="394"/>
      <c r="F23" s="394"/>
      <c r="G23" s="394"/>
      <c r="H23" s="394"/>
      <c r="I23" s="394"/>
      <c r="J23" s="394"/>
      <c r="K23" s="394"/>
    </row>
    <row r="24" spans="2:11" ht="27" customHeight="1">
      <c r="B24" s="7004" t="s">
        <v>2</v>
      </c>
      <c r="C24" s="7005"/>
      <c r="D24" s="7005"/>
      <c r="E24" s="7005"/>
      <c r="F24" s="7005"/>
      <c r="G24" s="7005"/>
      <c r="H24" s="7005"/>
      <c r="I24" s="7005"/>
      <c r="J24" s="7005"/>
      <c r="K24" s="7006"/>
    </row>
    <row r="25" spans="2:11" ht="18" customHeight="1">
      <c r="B25" s="7007"/>
      <c r="C25" s="7008"/>
      <c r="D25" s="7008"/>
      <c r="E25" s="7008"/>
      <c r="F25" s="7008"/>
      <c r="G25" s="7008"/>
      <c r="H25" s="7008"/>
      <c r="I25" s="7008"/>
      <c r="J25" s="7008"/>
      <c r="K25" s="7009"/>
    </row>
    <row r="26" spans="2:11" ht="18" customHeight="1">
      <c r="B26" s="1010"/>
      <c r="C26" s="1011"/>
      <c r="D26" s="1011"/>
      <c r="E26" s="1020" t="s">
        <v>3</v>
      </c>
      <c r="F26" s="1011"/>
      <c r="G26" s="1011"/>
      <c r="H26" s="1011"/>
      <c r="I26" s="1011"/>
      <c r="J26" s="1011"/>
      <c r="K26" s="1012"/>
    </row>
    <row r="27" spans="2:11" ht="13.5" customHeight="1">
      <c r="B27" s="1013"/>
      <c r="C27" s="1018" t="s">
        <v>4</v>
      </c>
      <c r="D27" s="1018"/>
      <c r="E27" s="1018"/>
      <c r="F27" s="1018"/>
      <c r="G27" s="1018"/>
      <c r="H27" s="1018"/>
      <c r="I27" s="1018"/>
      <c r="J27" s="1018"/>
      <c r="K27" s="1014"/>
    </row>
    <row r="28" spans="2:11" ht="13.5" customHeight="1">
      <c r="B28" s="1013"/>
      <c r="C28" s="1018" t="s">
        <v>5</v>
      </c>
      <c r="D28" s="1018"/>
      <c r="E28" s="1018"/>
      <c r="F28" s="1018"/>
      <c r="G28" s="1018"/>
      <c r="H28" s="1018"/>
      <c r="I28" s="1018"/>
      <c r="J28" s="1018"/>
      <c r="K28" s="1014"/>
    </row>
    <row r="29" spans="2:11" ht="13.5" customHeight="1">
      <c r="B29" s="1013"/>
      <c r="C29" s="1018" t="s">
        <v>6</v>
      </c>
      <c r="D29" s="1018"/>
      <c r="E29" s="1018"/>
      <c r="F29" s="1018"/>
      <c r="G29" s="1018"/>
      <c r="H29" s="1018"/>
      <c r="I29" s="1018"/>
      <c r="J29" s="1018"/>
      <c r="K29" s="1014"/>
    </row>
    <row r="30" spans="2:11" ht="13.5" customHeight="1">
      <c r="B30" s="1013"/>
      <c r="C30" s="1018" t="s">
        <v>7</v>
      </c>
      <c r="D30" s="1018"/>
      <c r="E30" s="1018"/>
      <c r="F30" s="1018"/>
      <c r="G30" s="1018"/>
      <c r="H30" s="1018"/>
      <c r="I30" s="1018"/>
      <c r="J30" s="1018"/>
      <c r="K30" s="1014"/>
    </row>
    <row r="31" spans="2:11" ht="13.5" customHeight="1">
      <c r="B31" s="1013"/>
      <c r="C31" s="1018" t="s">
        <v>8</v>
      </c>
      <c r="D31" s="1018"/>
      <c r="E31" s="1018"/>
      <c r="F31" s="1018"/>
      <c r="G31" s="1018"/>
      <c r="H31" s="1018"/>
      <c r="I31" s="1018"/>
      <c r="J31" s="1018"/>
      <c r="K31" s="1014"/>
    </row>
    <row r="32" spans="2:11" ht="24.75" customHeight="1" thickBot="1">
      <c r="B32" s="1015"/>
      <c r="C32" s="1016"/>
      <c r="D32" s="1016"/>
      <c r="E32" s="1019" t="s">
        <v>9</v>
      </c>
      <c r="F32" s="1016"/>
      <c r="G32" s="1016"/>
      <c r="H32" s="1016"/>
      <c r="I32" s="1016"/>
      <c r="J32" s="1016"/>
      <c r="K32" s="1017"/>
    </row>
    <row r="33" spans="1:14" ht="14.25" thickBot="1">
      <c r="B33" s="394"/>
      <c r="C33" s="394"/>
      <c r="D33" s="394"/>
      <c r="E33" s="394"/>
      <c r="F33" s="394"/>
      <c r="G33" s="394"/>
      <c r="H33" s="394"/>
      <c r="I33" s="394"/>
      <c r="J33" s="394"/>
      <c r="K33" s="394"/>
    </row>
    <row r="34" spans="1:14" ht="12.75" customHeight="1">
      <c r="B34" s="403"/>
      <c r="C34" s="307"/>
      <c r="D34" s="307"/>
      <c r="E34" s="307"/>
      <c r="F34" s="395"/>
      <c r="G34" s="307"/>
      <c r="H34" s="307"/>
      <c r="I34" s="307"/>
      <c r="J34" s="307"/>
      <c r="K34" s="308"/>
    </row>
    <row r="35" spans="1:14" ht="21.75" customHeight="1">
      <c r="B35" s="963" t="s">
        <v>10</v>
      </c>
      <c r="F35" s="577"/>
      <c r="K35" s="298"/>
    </row>
    <row r="36" spans="1:14">
      <c r="B36" s="400" t="s">
        <v>11</v>
      </c>
      <c r="E36" s="396">
        <f>Adj_Gross_Inc</f>
        <v>0</v>
      </c>
      <c r="G36" s="309" t="s">
        <v>12</v>
      </c>
      <c r="K36" s="298"/>
      <c r="M36" s="626" t="s">
        <v>13</v>
      </c>
      <c r="N36" s="301" t="str">
        <f>IF(Taxable_Inc="","---",IF(Taxable_Inc&lt;BOTT_A2,TEXT(RATE_A1,"0%"),IF(Taxable_Inc&lt;BOTT_A3,TEXT(RATE_A2,"0%"),IF(Taxable_Inc&lt;BOTT_A4,TEXT(RATE_A3,"0%"),IF(Taxable_Inc&lt;BOTT_A5,TEXT(RATE_A4,"0%"),IF(Taxable_Inc&lt;BOTT_A6,TEXT(RATE_A5,"0%"),IF(Taxable_Inc&lt;BOTT_A7,TEXT(RATE_A6,"0%"),TEXT(RATE_A7,"0.0%"))))))))</f>
        <v>10%</v>
      </c>
    </row>
    <row r="37" spans="1:14">
      <c r="B37" s="400" t="s">
        <v>14</v>
      </c>
      <c r="E37" s="397">
        <f>TotalDeductions</f>
        <v>0</v>
      </c>
      <c r="G37" s="309" t="s">
        <v>15</v>
      </c>
      <c r="K37" s="298"/>
      <c r="M37" s="626"/>
      <c r="N37" s="301"/>
    </row>
    <row r="38" spans="1:14" ht="15">
      <c r="A38" s="330"/>
      <c r="B38" s="400" t="s">
        <v>16</v>
      </c>
      <c r="E38" s="397">
        <f>Taxable_Inc</f>
        <v>0</v>
      </c>
      <c r="F38" s="398"/>
      <c r="G38" s="309" t="s">
        <v>17</v>
      </c>
      <c r="K38" s="298"/>
      <c r="M38" s="626" t="s">
        <v>18</v>
      </c>
      <c r="N38" s="301" t="str">
        <f>IF(Taxable_Inc="","---",IF(Taxable_Inc&lt;BOTT_B2,TEXT(RATE_B1,"0%"),IF(Taxable_Inc&lt;BOTT_B3,TEXT(RATE_B2,"0%"),IF(Taxable_Inc&lt;BOTT_B4,TEXT(RATE_B3,"0%"),IF(Taxable_Inc&lt;BOTT_B5,TEXT(RATE_B4,"0%"),IF(Taxable_Inc&lt;BOTT_B6,TEXT(RATE_B5,"0%"),IF(Taxable_Inc&lt;BOTT_B7,TEXT(RATE_B6,"0%"),TEXT(RATE_B7,"0.0%"))))))))</f>
        <v>10%</v>
      </c>
    </row>
    <row r="39" spans="1:14" ht="15">
      <c r="B39" s="400" t="s">
        <v>19</v>
      </c>
      <c r="E39" s="397">
        <f>Tot_Tax</f>
        <v>0</v>
      </c>
      <c r="F39" s="398"/>
      <c r="G39" s="309" t="s">
        <v>20</v>
      </c>
      <c r="K39" s="298"/>
      <c r="M39" s="626" t="s">
        <v>21</v>
      </c>
      <c r="N39" s="301" t="str">
        <f>IF(Taxable_Inc="","---",IF(Taxable_Inc&lt;BOTT_C2,TEXT(RATE_C1,"0%"),IF(Taxable_Inc&lt;BOTT_C3,TEXT(RATE_C2,"0%"),IF(Taxable_Inc&lt;BOTT_C4,TEXT(RATE_C3,"0%"),IF(Taxable_Inc&lt;BOTT_C5,TEXT(RATE_C4,"0%"),IF(Taxable_Inc&lt;BOTT_C6,TEXT(RATE_C5,"0%"),IF(Taxable_Inc&lt;BOTT_C7,TEXT(RATE_C6,"0%"),TEXT(RATE_C7,"0.0%"))))))))</f>
        <v>10%</v>
      </c>
    </row>
    <row r="40" spans="1:14" ht="15">
      <c r="B40" s="400" t="s">
        <v>22</v>
      </c>
      <c r="E40" s="397">
        <f>Tot_Payments</f>
        <v>0</v>
      </c>
      <c r="F40" s="398"/>
      <c r="G40" s="309" t="s">
        <v>23</v>
      </c>
      <c r="K40" s="298"/>
      <c r="M40" s="626" t="s">
        <v>24</v>
      </c>
      <c r="N40" s="301" t="str">
        <f>IF(Taxable_Inc="","---",IF(Taxable_Inc&lt;BOTT_D2,TEXT(RATE_D1,"0%"),IF(Taxable_Inc&lt;BOTT_D3,TEXT(RATE_D2,"0%"),IF(Taxable_Inc&lt;BOTT_D4,TEXT(RATE_D3,"0%"),IF(Taxable_Inc&lt;BOTT_D5,TEXT(RATE_D4,"0%"),IF(Taxable_Inc&lt;BOTT_D6,TEXT(RATE_D5,"0%"),IF(Taxable_Inc&lt;BOTT_D7,TEXT(RATE_D6,"0%"),TEXT(RATE_D7,"0.0%"))))))))</f>
        <v>10%</v>
      </c>
    </row>
    <row r="41" spans="1:14" ht="15">
      <c r="B41" s="400" t="str">
        <f>IF(Overpaid&gt;0,"Amount You Overpaid",IF(AND(E41&lt;&gt;"",E41&gt;0),"Amount You Underpaid",""))</f>
        <v/>
      </c>
      <c r="E41" s="397" t="str">
        <f>IF(Overpaid&gt;0,Overpaid,IF(SUM(Tot_Tax,-Tot_Payments)&gt;0,SUM(Tot_Tax,-Tot_Payments),""))</f>
        <v/>
      </c>
      <c r="F41" s="398"/>
      <c r="G41" s="309" t="str">
        <f>IF(Overpaid&gt;0,"Form 1040, Line 34","")</f>
        <v/>
      </c>
      <c r="K41" s="298"/>
      <c r="M41" s="626"/>
      <c r="N41" s="301"/>
    </row>
    <row r="42" spans="1:14" ht="15">
      <c r="B42" s="400" t="str">
        <f>IF(TaxPenalty&gt;0,"Penalty/Interest","")</f>
        <v/>
      </c>
      <c r="E42" s="397" t="str">
        <f>IF(TaxPenalty&gt;0,TaxPenalty,"")</f>
        <v/>
      </c>
      <c r="F42" s="398"/>
      <c r="G42" s="309" t="str">
        <f>IF(TaxPenalty&gt;0,"Form 1040, Line 38","")</f>
        <v/>
      </c>
      <c r="K42" s="298"/>
      <c r="M42" s="626"/>
      <c r="N42" s="301"/>
    </row>
    <row r="43" spans="1:14">
      <c r="B43" s="400" t="str">
        <f>IF(Overpaid&gt;0,"Amount To be Refunded","Amount You Owe")</f>
        <v>Amount You Owe</v>
      </c>
      <c r="E43" s="397">
        <f>IF('1040'!AL126&gt;0,'1040'!AL126,You_Owe)</f>
        <v>0</v>
      </c>
      <c r="G43" s="309" t="str">
        <f>IF(Overpaid&gt;0,"Form 1040, Line 35a","Form 1040, Line 37")</f>
        <v>Form 1040, Line 37</v>
      </c>
      <c r="K43" s="298"/>
    </row>
    <row r="44" spans="1:14">
      <c r="B44" s="400" t="str">
        <f>IF(AND('1040'!AD129&lt;&gt;"",'1040'!AD129&gt;0),"Amount applied to your "&amp;TaxYear+1&amp;" estimated tax","")</f>
        <v/>
      </c>
      <c r="E44" s="6715" t="str">
        <f>IF(AND('1040'!AD129&lt;&gt;"",'1040'!AD129&gt;1000),TEXT('1040'!AD129,"$0,000"),IF(AND('1040'!AD129&lt;&gt;"",'1040'!AD129&gt;0),TEXT('1040'!AD129,"$0"),""))</f>
        <v/>
      </c>
      <c r="G44" s="309" t="str">
        <f>IF(AND('1040'!AD129&lt;&gt;"",'1040'!AD129&gt;0),"Form 1040, Line 36","")</f>
        <v/>
      </c>
      <c r="K44" s="298"/>
    </row>
    <row r="45" spans="1:14">
      <c r="B45" s="401"/>
      <c r="K45" s="298"/>
    </row>
    <row r="46" spans="1:14">
      <c r="B46" s="400" t="s">
        <v>25</v>
      </c>
      <c r="E46" s="399" t="str">
        <f>IF(File_Single&lt;&gt;"",N36,IF(OR(File_Marr_Joint&lt;&gt;"",File_Qual_Widow&lt;&gt;""),N38,IF(File_Marr_Sep&lt;&gt;"",N39,IF(File_Head&lt;&gt;"",N40,"---"))))</f>
        <v>---</v>
      </c>
      <c r="G46" s="309"/>
      <c r="K46" s="298"/>
    </row>
    <row r="47" spans="1:14">
      <c r="B47" s="400" t="s">
        <v>5520</v>
      </c>
      <c r="E47" s="399" t="str">
        <f>IF(E36=0,"---",E39/E36)</f>
        <v>---</v>
      </c>
      <c r="G47" s="309"/>
      <c r="K47" s="298"/>
    </row>
    <row r="48" spans="1:14" ht="13.5" thickBot="1">
      <c r="B48" s="402"/>
      <c r="C48" s="312"/>
      <c r="D48" s="312"/>
      <c r="E48" s="312"/>
      <c r="F48" s="312"/>
      <c r="G48" s="312"/>
      <c r="H48" s="312"/>
      <c r="I48" s="312"/>
      <c r="J48" s="312"/>
      <c r="K48" s="313"/>
    </row>
    <row r="49" spans="2:12" ht="13.5" thickBot="1"/>
    <row r="50" spans="2:12">
      <c r="B50" s="306"/>
      <c r="C50" s="307"/>
      <c r="D50" s="307"/>
      <c r="E50" s="307"/>
      <c r="F50" s="307"/>
      <c r="G50" s="307"/>
      <c r="H50" s="307"/>
      <c r="I50" s="307"/>
      <c r="J50" s="307"/>
      <c r="K50" s="308"/>
    </row>
    <row r="51" spans="2:12" ht="21.75" customHeight="1">
      <c r="B51" s="6991" t="s">
        <v>26</v>
      </c>
      <c r="C51" s="6992"/>
      <c r="D51" s="6992"/>
      <c r="E51" s="6992"/>
      <c r="F51" s="6992"/>
      <c r="G51" s="6992"/>
      <c r="H51" s="6992"/>
      <c r="I51" s="6992"/>
      <c r="J51" s="6992"/>
      <c r="K51" s="6993"/>
    </row>
    <row r="52" spans="2:12" ht="21.75" customHeight="1">
      <c r="B52" s="6994"/>
      <c r="C52" s="6992"/>
      <c r="D52" s="6992"/>
      <c r="E52" s="6992"/>
      <c r="F52" s="6992"/>
      <c r="G52" s="6992"/>
      <c r="H52" s="6992"/>
      <c r="I52" s="6992"/>
      <c r="J52" s="6992"/>
      <c r="K52" s="6993"/>
    </row>
    <row r="53" spans="2:12" ht="21.75" customHeight="1">
      <c r="B53" s="6994"/>
      <c r="C53" s="6992"/>
      <c r="D53" s="6992"/>
      <c r="E53" s="6992"/>
      <c r="F53" s="6992"/>
      <c r="G53" s="6992"/>
      <c r="H53" s="6992"/>
      <c r="I53" s="6992"/>
      <c r="J53" s="6992"/>
      <c r="K53" s="6993"/>
    </row>
    <row r="54" spans="2:12" ht="21.75" customHeight="1">
      <c r="B54" s="6994"/>
      <c r="C54" s="6992"/>
      <c r="D54" s="6992"/>
      <c r="E54" s="6992"/>
      <c r="F54" s="6992"/>
      <c r="G54" s="6992"/>
      <c r="H54" s="6992"/>
      <c r="I54" s="6992"/>
      <c r="J54" s="6992"/>
      <c r="K54" s="6993"/>
    </row>
    <row r="55" spans="2:12">
      <c r="B55" s="6994"/>
      <c r="C55" s="6992"/>
      <c r="D55" s="6992"/>
      <c r="E55" s="6992"/>
      <c r="F55" s="6992"/>
      <c r="G55" s="6992"/>
      <c r="H55" s="6992"/>
      <c r="I55" s="6992"/>
      <c r="J55" s="6992"/>
      <c r="K55" s="6993"/>
    </row>
    <row r="56" spans="2:12">
      <c r="B56" s="415"/>
      <c r="C56" s="955" t="s">
        <v>27</v>
      </c>
      <c r="D56" s="416"/>
      <c r="E56" s="955" t="s">
        <v>28</v>
      </c>
      <c r="F56" s="416"/>
      <c r="G56" s="416"/>
      <c r="H56" s="416"/>
      <c r="I56" s="416"/>
      <c r="J56" s="416"/>
      <c r="K56" s="298"/>
      <c r="L56" s="310"/>
    </row>
    <row r="57" spans="2:12">
      <c r="B57" s="956"/>
      <c r="C57" s="698" t="s">
        <v>29</v>
      </c>
      <c r="D57" s="725"/>
      <c r="E57" s="698" t="s">
        <v>30</v>
      </c>
      <c r="F57" s="725"/>
      <c r="G57" s="725"/>
      <c r="H57" s="725"/>
      <c r="I57" s="725"/>
      <c r="J57" s="725"/>
      <c r="K57" s="957"/>
    </row>
    <row r="58" spans="2:12">
      <c r="B58" s="415"/>
      <c r="C58" s="759" t="s">
        <v>31</v>
      </c>
      <c r="D58" s="416"/>
      <c r="E58" s="759" t="s">
        <v>32</v>
      </c>
      <c r="F58" s="416"/>
      <c r="G58" s="416"/>
      <c r="H58" s="416"/>
      <c r="I58" s="416"/>
      <c r="J58" s="416"/>
      <c r="K58" s="417"/>
    </row>
    <row r="59" spans="2:12">
      <c r="B59" s="415"/>
      <c r="C59" s="416"/>
      <c r="D59" s="416"/>
      <c r="E59" s="759"/>
      <c r="F59" s="416"/>
      <c r="G59" s="416"/>
      <c r="H59" s="416"/>
      <c r="I59" s="416"/>
      <c r="J59" s="416"/>
      <c r="K59" s="417"/>
    </row>
    <row r="60" spans="2:12">
      <c r="B60" s="415"/>
      <c r="C60" s="955" t="s">
        <v>33</v>
      </c>
      <c r="D60" s="416"/>
      <c r="E60" s="955" t="s">
        <v>5474</v>
      </c>
      <c r="F60" s="416"/>
      <c r="G60" s="416"/>
      <c r="H60" s="416"/>
      <c r="I60" s="416"/>
      <c r="J60" s="416"/>
      <c r="K60" s="298"/>
      <c r="L60" s="310"/>
    </row>
    <row r="61" spans="2:12">
      <c r="B61" s="956"/>
      <c r="C61" s="698" t="s">
        <v>34</v>
      </c>
      <c r="D61" s="253"/>
      <c r="E61" s="698" t="s">
        <v>5475</v>
      </c>
      <c r="F61" s="253"/>
      <c r="G61" s="253"/>
      <c r="H61" s="253"/>
      <c r="I61" s="253"/>
      <c r="J61" s="253"/>
      <c r="K61" s="379"/>
    </row>
    <row r="62" spans="2:12">
      <c r="B62" s="415"/>
      <c r="C62" s="759" t="s">
        <v>31</v>
      </c>
      <c r="D62" s="416"/>
      <c r="E62" s="759" t="s">
        <v>5476</v>
      </c>
      <c r="F62" s="416"/>
      <c r="G62" s="416"/>
      <c r="H62" s="416"/>
      <c r="I62" s="416"/>
      <c r="J62" s="416"/>
      <c r="K62" s="417"/>
    </row>
    <row r="63" spans="2:12">
      <c r="B63" s="415"/>
      <c r="C63" s="416"/>
      <c r="D63" s="416"/>
      <c r="E63" s="416"/>
      <c r="F63" s="416"/>
      <c r="G63" s="416"/>
      <c r="H63" s="416"/>
      <c r="I63" s="416"/>
      <c r="J63" s="416"/>
      <c r="K63" s="417"/>
    </row>
    <row r="64" spans="2:12">
      <c r="B64" s="415"/>
      <c r="C64" s="955" t="s">
        <v>35</v>
      </c>
      <c r="D64" s="416"/>
      <c r="E64" s="955"/>
      <c r="F64" s="416"/>
      <c r="G64" s="416"/>
      <c r="H64" s="416"/>
      <c r="I64" s="416"/>
      <c r="J64" s="416"/>
      <c r="K64" s="298"/>
      <c r="L64" s="310"/>
    </row>
    <row r="65" spans="2:12" ht="16.5">
      <c r="B65" s="415"/>
      <c r="C65" s="954" t="s">
        <v>36</v>
      </c>
      <c r="E65" s="954"/>
      <c r="K65" s="298"/>
      <c r="L65" s="310"/>
    </row>
    <row r="66" spans="2:12" ht="16.5">
      <c r="B66" s="415"/>
      <c r="C66" s="954" t="s">
        <v>37</v>
      </c>
      <c r="E66" s="954"/>
      <c r="K66" s="298"/>
      <c r="L66" s="310"/>
    </row>
    <row r="67" spans="2:12" ht="16.5">
      <c r="B67" s="415"/>
      <c r="C67" s="954" t="s">
        <v>38</v>
      </c>
      <c r="E67" s="954"/>
      <c r="K67" s="298"/>
      <c r="L67" s="310"/>
    </row>
    <row r="68" spans="2:12" ht="16.5">
      <c r="B68" s="415"/>
      <c r="C68" s="954" t="s">
        <v>39</v>
      </c>
      <c r="E68" s="954"/>
      <c r="K68" s="298"/>
      <c r="L68" s="310"/>
    </row>
    <row r="69" spans="2:12" ht="16.5">
      <c r="B69" s="415"/>
      <c r="E69" s="954"/>
      <c r="K69" s="298"/>
    </row>
    <row r="70" spans="2:12" ht="22.5" customHeight="1">
      <c r="B70" s="415"/>
      <c r="C70" s="958"/>
      <c r="D70" s="960" t="s">
        <v>40</v>
      </c>
      <c r="E70" s="958"/>
      <c r="F70" s="958"/>
      <c r="G70" s="958"/>
      <c r="H70" s="958"/>
      <c r="I70" s="958"/>
      <c r="J70" s="958"/>
      <c r="K70" s="959"/>
    </row>
    <row r="71" spans="2:12" ht="13.5" thickBot="1">
      <c r="B71" s="311"/>
      <c r="C71" s="312"/>
      <c r="D71" s="312"/>
      <c r="E71" s="312"/>
      <c r="F71" s="312"/>
      <c r="G71" s="312"/>
      <c r="H71" s="312"/>
      <c r="I71" s="312"/>
      <c r="J71" s="312"/>
      <c r="K71" s="313"/>
    </row>
    <row r="72" spans="2:12">
      <c r="B72" s="307"/>
      <c r="C72" s="307"/>
      <c r="D72" s="307"/>
      <c r="E72" s="307"/>
      <c r="F72" s="307"/>
      <c r="G72" s="307"/>
      <c r="H72" s="307"/>
      <c r="I72" s="307"/>
      <c r="J72" s="307"/>
      <c r="K72" s="307"/>
    </row>
  </sheetData>
  <sheetProtection algorithmName="SHA-512" hashValue="wfZPepQ4TrERHNPc2X/Z6SsHryDA8+ICed9nErMdXNb1w/Hs7YEMRT3841/ZZ3oqoH24W3k7NMnIYMiBnrlJCw==" saltValue="Yg8Swz82x1uBlycSA41vpQ==" spinCount="100000" sheet="1" objects="1" scenarios="1" formatCells="0" formatColumns="0" formatRows="0"/>
  <mergeCells count="5">
    <mergeCell ref="B51:K55"/>
    <mergeCell ref="B4:K12"/>
    <mergeCell ref="B14:K22"/>
    <mergeCell ref="B24:K25"/>
    <mergeCell ref="H2:K2"/>
  </mergeCells>
  <conditionalFormatting sqref="A38">
    <cfRule type="expression" dxfId="4011" priority="4">
      <formula>IF(Disclaimer,TRUE,FALSE)</formula>
    </cfRule>
  </conditionalFormatting>
  <conditionalFormatting sqref="F38:F42">
    <cfRule type="expression" dxfId="4010" priority="1">
      <formula>IF(Disclaimer,TRUE,FALSE)</formula>
    </cfRule>
  </conditionalFormatting>
  <hyperlinks>
    <hyperlink ref="C57" r:id="rId1" display="http://paypal.me/incometaxspreadsheet" xr:uid="{00000000-0004-0000-0000-000000000000}"/>
    <hyperlink ref="E57" r:id="rId2" xr:uid="{00000000-0004-0000-0000-000001000000}"/>
    <hyperlink ref="C61" r:id="rId3" location="sendRequestMoney" xr:uid="{00000000-0004-0000-0000-000002000000}"/>
    <hyperlink ref="E26" r:id="rId4" xr:uid="{00000000-0004-0000-0000-000003000000}"/>
    <hyperlink ref="E32" r:id="rId5" xr:uid="{00000000-0004-0000-0000-000004000000}"/>
    <hyperlink ref="B1" r:id="rId6" xr:uid="{00000000-0004-0000-0000-000005000000}"/>
    <hyperlink ref="E1" r:id="rId7" xr:uid="{00000000-0004-0000-0000-000006000000}"/>
    <hyperlink ref="E61" r:id="rId8" xr:uid="{00000000-0004-0000-0000-000007000000}"/>
  </hyperlinks>
  <pageMargins left="0.75" right="0.25" top="0.36" bottom="0.28999999999999998" header="0.36" footer="0.21"/>
  <pageSetup scale="69" orientation="portrait"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86"/>
  <sheetViews>
    <sheetView zoomScaleNormal="100" workbookViewId="0">
      <pane ySplit="6" topLeftCell="A7" activePane="bottomLeft" state="frozen"/>
      <selection activeCell="E24" sqref="E24"/>
      <selection pane="bottomLeft"/>
    </sheetView>
  </sheetViews>
  <sheetFormatPr defaultRowHeight="14.25" customHeight="1"/>
  <cols>
    <col min="1" max="1" width="4" style="1802" customWidth="1"/>
    <col min="2" max="2" width="32.140625" style="193" customWidth="1"/>
    <col min="3" max="3" width="114.42578125" style="996" customWidth="1"/>
    <col min="4" max="4" width="3.7109375" style="996" customWidth="1"/>
    <col min="5" max="5" width="9.140625" hidden="1" customWidth="1"/>
    <col min="6" max="6" width="31" style="84" hidden="1" customWidth="1"/>
    <col min="7" max="12" width="13.42578125" style="84" hidden="1" customWidth="1"/>
    <col min="13" max="13" width="4.28515625" hidden="1" customWidth="1"/>
    <col min="14" max="14" width="59.42578125" hidden="1" customWidth="1"/>
    <col min="15" max="15" width="13.5703125" customWidth="1"/>
  </cols>
  <sheetData>
    <row r="1" spans="1:12" ht="14.25" customHeight="1" thickBot="1">
      <c r="A1" s="1800"/>
      <c r="B1" s="1325"/>
      <c r="C1" s="1215"/>
      <c r="D1" s="1215"/>
    </row>
    <row r="2" spans="1:12" ht="8.25" customHeight="1" thickTop="1">
      <c r="A2" s="7013" t="s">
        <v>5152</v>
      </c>
      <c r="B2" s="7014" t="s">
        <v>5260</v>
      </c>
      <c r="C2" s="997"/>
      <c r="D2" s="1212"/>
    </row>
    <row r="3" spans="1:12" ht="16.5" customHeight="1" thickBot="1">
      <c r="A3" s="7013"/>
      <c r="B3" s="7015"/>
      <c r="C3" s="1823" t="s">
        <v>41</v>
      </c>
      <c r="D3" s="1213"/>
      <c r="G3" s="6194"/>
    </row>
    <row r="4" spans="1:12" ht="16.5" customHeight="1">
      <c r="A4" s="7013"/>
      <c r="B4" s="7015"/>
      <c r="C4" s="1824" t="s">
        <v>42</v>
      </c>
      <c r="D4" s="1214"/>
      <c r="F4" s="1161"/>
      <c r="G4" s="1162" t="s">
        <v>43</v>
      </c>
      <c r="H4" s="1163" t="s">
        <v>45</v>
      </c>
      <c r="I4" s="1162" t="s">
        <v>43</v>
      </c>
      <c r="J4" s="1163" t="s">
        <v>45</v>
      </c>
      <c r="K4" s="1162" t="s">
        <v>44</v>
      </c>
      <c r="L4" s="1163" t="s">
        <v>44</v>
      </c>
    </row>
    <row r="5" spans="1:12" ht="16.5" customHeight="1" thickBot="1">
      <c r="A5" s="7013"/>
      <c r="B5" s="7015"/>
      <c r="C5" s="1225" t="str">
        <f>"© Glenn Reeves, "&amp;TaxYear+1</f>
        <v>© Glenn Reeves, 2026</v>
      </c>
      <c r="D5" s="1215"/>
      <c r="F5" s="1164" t="s">
        <v>46</v>
      </c>
      <c r="G5" s="1153" t="s">
        <v>48</v>
      </c>
      <c r="H5" s="1154" t="s">
        <v>48</v>
      </c>
      <c r="I5" s="1153" t="s">
        <v>46</v>
      </c>
      <c r="J5" s="1154" t="s">
        <v>46</v>
      </c>
      <c r="K5" s="1153" t="s">
        <v>47</v>
      </c>
      <c r="L5" s="1154" t="s">
        <v>49</v>
      </c>
    </row>
    <row r="6" spans="1:12" ht="16.5" customHeight="1">
      <c r="A6" s="7013"/>
      <c r="B6" s="7015"/>
      <c r="C6" s="1004" t="s">
        <v>50</v>
      </c>
      <c r="D6" s="1216"/>
      <c r="F6" s="1253" t="s">
        <v>51</v>
      </c>
      <c r="G6" s="1254">
        <f>MAX(G7:L72)</f>
        <v>46093</v>
      </c>
      <c r="H6" s="1156"/>
      <c r="I6" s="1254"/>
      <c r="J6" s="1156"/>
      <c r="K6" s="1159"/>
      <c r="L6" s="1306"/>
    </row>
    <row r="7" spans="1:12" ht="16.5" customHeight="1">
      <c r="A7" s="1799" t="str">
        <f t="shared" ref="A7:A40" si="0">IF(L7&lt;&gt;"","F",IF(K7&lt;&gt;"","D",""))</f>
        <v/>
      </c>
      <c r="B7" s="1001" t="s">
        <v>52</v>
      </c>
      <c r="C7" s="999" t="s">
        <v>53</v>
      </c>
      <c r="D7" s="1217"/>
      <c r="F7" s="1165"/>
      <c r="G7" s="1155"/>
      <c r="H7" s="1158"/>
      <c r="I7" s="1155"/>
      <c r="J7" s="1156"/>
      <c r="K7" s="1159"/>
      <c r="L7" s="1166"/>
    </row>
    <row r="8" spans="1:12" ht="16.5" customHeight="1">
      <c r="A8" s="1799" t="str">
        <f t="shared" si="0"/>
        <v/>
      </c>
      <c r="B8" s="1001" t="s">
        <v>42</v>
      </c>
      <c r="C8" s="999" t="s">
        <v>54</v>
      </c>
      <c r="D8" s="1217"/>
      <c r="F8" s="1165"/>
      <c r="G8" s="1157"/>
      <c r="H8" s="1158"/>
      <c r="I8" s="1157"/>
      <c r="J8" s="1158"/>
      <c r="K8" s="1160"/>
      <c r="L8" s="1168"/>
    </row>
    <row r="9" spans="1:12" ht="16.5" customHeight="1">
      <c r="A9" s="1799" t="str">
        <f t="shared" si="0"/>
        <v/>
      </c>
      <c r="B9" s="1001" t="s">
        <v>55</v>
      </c>
      <c r="C9" s="999" t="s">
        <v>56</v>
      </c>
      <c r="D9" s="1217"/>
      <c r="F9" s="1165"/>
      <c r="G9" s="1157"/>
      <c r="H9" s="1158"/>
      <c r="I9" s="1157"/>
      <c r="J9" s="1158"/>
      <c r="K9" s="1160"/>
      <c r="L9" s="1168"/>
    </row>
    <row r="10" spans="1:12" ht="16.5" customHeight="1">
      <c r="A10" s="1799" t="str">
        <f t="shared" si="0"/>
        <v/>
      </c>
      <c r="B10" s="1001" t="s">
        <v>57</v>
      </c>
      <c r="C10" s="999" t="s">
        <v>58</v>
      </c>
      <c r="D10" s="1217"/>
      <c r="E10">
        <v>1</v>
      </c>
      <c r="F10" s="1167" t="str">
        <f t="shared" ref="F10:F43" si="1">B10</f>
        <v>W-2s</v>
      </c>
      <c r="G10" s="1157"/>
      <c r="H10" s="1158"/>
      <c r="I10" s="1157"/>
      <c r="J10" s="1158"/>
      <c r="K10" s="1160"/>
      <c r="L10" s="1168"/>
    </row>
    <row r="11" spans="1:12" ht="16.5" customHeight="1">
      <c r="A11" s="1799" t="str">
        <f t="shared" si="0"/>
        <v/>
      </c>
      <c r="B11" s="1001" t="s">
        <v>59</v>
      </c>
      <c r="C11" s="999" t="s">
        <v>60</v>
      </c>
      <c r="D11" s="1217"/>
      <c r="E11">
        <v>2</v>
      </c>
      <c r="F11" s="1167" t="str">
        <f t="shared" si="1"/>
        <v>1099-INT</v>
      </c>
      <c r="G11" s="1157"/>
      <c r="H11" s="1158"/>
      <c r="I11" s="1157"/>
      <c r="J11" s="1158"/>
      <c r="K11" s="1160"/>
      <c r="L11" s="1168"/>
    </row>
    <row r="12" spans="1:12" ht="16.5" customHeight="1">
      <c r="A12" s="1799" t="str">
        <f t="shared" si="0"/>
        <v/>
      </c>
      <c r="B12" s="1001" t="s">
        <v>61</v>
      </c>
      <c r="C12" s="999" t="s">
        <v>62</v>
      </c>
      <c r="D12" s="1217"/>
      <c r="E12">
        <v>3</v>
      </c>
      <c r="F12" s="1167" t="str">
        <f t="shared" si="1"/>
        <v>1099-DIV</v>
      </c>
      <c r="G12" s="1157"/>
      <c r="H12" s="1158"/>
      <c r="I12" s="1157"/>
      <c r="J12" s="1158"/>
      <c r="K12" s="1160"/>
      <c r="L12" s="1168"/>
    </row>
    <row r="13" spans="1:12" ht="16.5" customHeight="1">
      <c r="A13" s="1799" t="str">
        <f t="shared" si="0"/>
        <v/>
      </c>
      <c r="B13" s="1001" t="s">
        <v>63</v>
      </c>
      <c r="C13" s="999" t="s">
        <v>64</v>
      </c>
      <c r="D13" s="1217"/>
      <c r="E13">
        <v>4</v>
      </c>
      <c r="F13" s="1167" t="str">
        <f t="shared" si="1"/>
        <v>1099-G</v>
      </c>
      <c r="G13" s="1157"/>
      <c r="H13" s="1158"/>
      <c r="I13" s="1157"/>
      <c r="J13" s="1158"/>
      <c r="K13" s="1160"/>
      <c r="L13" s="1168"/>
    </row>
    <row r="14" spans="1:12" ht="16.5" customHeight="1">
      <c r="A14" s="1799" t="str">
        <f t="shared" si="0"/>
        <v/>
      </c>
      <c r="B14" s="1001" t="s">
        <v>65</v>
      </c>
      <c r="C14" s="999" t="s">
        <v>66</v>
      </c>
      <c r="D14" s="1217"/>
      <c r="E14">
        <v>5</v>
      </c>
      <c r="F14" s="1167" t="str">
        <f t="shared" si="1"/>
        <v>1099-MISC</v>
      </c>
      <c r="G14" s="1157"/>
      <c r="H14" s="1158"/>
      <c r="I14" s="1157"/>
      <c r="J14" s="1158"/>
      <c r="K14" s="1160"/>
      <c r="L14" s="1168"/>
    </row>
    <row r="15" spans="1:12" ht="16.5" customHeight="1">
      <c r="A15" s="1799" t="str">
        <f t="shared" ref="A15" si="2">IF(L15&lt;&gt;"","F",IF(K15&lt;&gt;"","D",""))</f>
        <v/>
      </c>
      <c r="B15" s="1001" t="s">
        <v>6676</v>
      </c>
      <c r="C15" s="999" t="s">
        <v>6675</v>
      </c>
      <c r="D15" s="1217"/>
      <c r="E15">
        <v>6</v>
      </c>
      <c r="F15" s="1167" t="str">
        <f t="shared" ref="F15" si="3">B15</f>
        <v>1099-NEC</v>
      </c>
      <c r="G15" s="1157"/>
      <c r="H15" s="1158"/>
      <c r="I15" s="1157"/>
      <c r="J15" s="1158"/>
      <c r="K15" s="1160"/>
      <c r="L15" s="1168"/>
    </row>
    <row r="16" spans="1:12" ht="16.5" customHeight="1">
      <c r="A16" s="1799" t="str">
        <f t="shared" si="0"/>
        <v/>
      </c>
      <c r="B16" s="1001" t="s">
        <v>67</v>
      </c>
      <c r="C16" s="999" t="s">
        <v>68</v>
      </c>
      <c r="D16" s="1217"/>
      <c r="E16">
        <v>7</v>
      </c>
      <c r="F16" s="1167" t="str">
        <f t="shared" si="1"/>
        <v>1099-R</v>
      </c>
      <c r="G16" s="1157"/>
      <c r="H16" s="1158"/>
      <c r="I16" s="1157"/>
      <c r="J16" s="1158"/>
      <c r="K16" s="1160"/>
      <c r="L16" s="1168"/>
    </row>
    <row r="17" spans="1:14" ht="16.5" customHeight="1">
      <c r="A17" s="1799" t="str">
        <f t="shared" si="0"/>
        <v/>
      </c>
      <c r="B17" s="1001" t="s">
        <v>69</v>
      </c>
      <c r="C17" s="999" t="s">
        <v>70</v>
      </c>
      <c r="D17" s="1217"/>
      <c r="E17">
        <v>8</v>
      </c>
      <c r="F17" s="1167" t="str">
        <f t="shared" si="1"/>
        <v>Lines 4ab (IRA Dist.)</v>
      </c>
      <c r="G17" s="1157"/>
      <c r="H17" s="1158"/>
      <c r="I17" s="1157"/>
      <c r="J17" s="1158"/>
      <c r="K17" s="1160"/>
      <c r="L17" s="1168"/>
    </row>
    <row r="18" spans="1:14" ht="16.5" customHeight="1">
      <c r="A18" s="1799" t="str">
        <f t="shared" si="0"/>
        <v/>
      </c>
      <c r="B18" s="1001" t="s">
        <v>71</v>
      </c>
      <c r="C18" s="999" t="s">
        <v>72</v>
      </c>
      <c r="D18" s="1217"/>
      <c r="E18">
        <v>9</v>
      </c>
      <c r="F18" s="1167" t="str">
        <f t="shared" si="1"/>
        <v>SSA-1099</v>
      </c>
      <c r="G18" s="1157"/>
      <c r="H18" s="1158"/>
      <c r="I18" s="1157"/>
      <c r="J18" s="1158"/>
      <c r="K18" s="1160"/>
      <c r="L18" s="1168"/>
    </row>
    <row r="19" spans="1:14" ht="16.5" customHeight="1">
      <c r="A19" s="1799" t="str">
        <f t="shared" si="0"/>
        <v>F</v>
      </c>
      <c r="B19" s="1002" t="s">
        <v>73</v>
      </c>
      <c r="C19" s="999" t="s">
        <v>74</v>
      </c>
      <c r="D19" s="1217"/>
      <c r="E19">
        <v>10</v>
      </c>
      <c r="F19" s="1167" t="str">
        <f t="shared" si="1"/>
        <v>1040</v>
      </c>
      <c r="G19" s="1157">
        <v>45999</v>
      </c>
      <c r="H19" s="1158"/>
      <c r="I19" s="1157">
        <v>45996</v>
      </c>
      <c r="J19" s="1158">
        <v>46024</v>
      </c>
      <c r="K19" s="1160">
        <v>45922</v>
      </c>
      <c r="L19" s="1168">
        <v>46026</v>
      </c>
      <c r="N19" s="329"/>
    </row>
    <row r="20" spans="1:14" ht="16.5" customHeight="1">
      <c r="A20" s="1799" t="str">
        <f t="shared" si="0"/>
        <v>F</v>
      </c>
      <c r="B20" s="1001" t="s">
        <v>75</v>
      </c>
      <c r="C20" s="999" t="s">
        <v>76</v>
      </c>
      <c r="D20" s="1217"/>
      <c r="E20">
        <v>11</v>
      </c>
      <c r="F20" s="1167" t="str">
        <f t="shared" si="1"/>
        <v>Sch. 1</v>
      </c>
      <c r="G20" s="1157">
        <v>45999</v>
      </c>
      <c r="H20" s="1158">
        <v>45733</v>
      </c>
      <c r="I20" s="1157"/>
      <c r="J20" s="1158"/>
      <c r="K20" s="1160">
        <v>45991</v>
      </c>
      <c r="L20" s="1168">
        <v>46026</v>
      </c>
    </row>
    <row r="21" spans="1:14" ht="16.5" customHeight="1">
      <c r="A21" s="1799" t="str">
        <f t="shared" si="0"/>
        <v>F</v>
      </c>
      <c r="B21" s="1001" t="s">
        <v>5758</v>
      </c>
      <c r="C21" s="999" t="s">
        <v>5759</v>
      </c>
      <c r="D21" s="1217"/>
      <c r="E21">
        <v>12</v>
      </c>
      <c r="F21" s="1167" t="s">
        <v>5758</v>
      </c>
      <c r="G21" s="1157">
        <v>45999</v>
      </c>
      <c r="H21" s="1158"/>
      <c r="I21" s="1157">
        <v>45918</v>
      </c>
      <c r="J21" s="1158"/>
      <c r="K21" s="1160">
        <v>45918</v>
      </c>
      <c r="L21" s="1168">
        <v>46026</v>
      </c>
    </row>
    <row r="22" spans="1:14" ht="16.5" customHeight="1">
      <c r="A22" s="1799" t="str">
        <f t="shared" si="0"/>
        <v>F</v>
      </c>
      <c r="B22" s="1001" t="s">
        <v>5955</v>
      </c>
      <c r="C22" s="998" t="s">
        <v>77</v>
      </c>
      <c r="D22" s="1218"/>
      <c r="E22">
        <v>13</v>
      </c>
      <c r="F22" s="1167" t="str">
        <f t="shared" si="1"/>
        <v>Sch 1, Line 1 (SALT)</v>
      </c>
      <c r="G22" s="1157">
        <v>45999</v>
      </c>
      <c r="H22" s="1158"/>
      <c r="I22" s="1157"/>
      <c r="J22" s="1158"/>
      <c r="K22" s="1160">
        <v>45990</v>
      </c>
      <c r="L22" s="1168">
        <v>46030</v>
      </c>
      <c r="N22" s="329" t="s">
        <v>5482</v>
      </c>
    </row>
    <row r="23" spans="1:14" ht="16.5" customHeight="1">
      <c r="A23" s="1799" t="str">
        <f t="shared" si="0"/>
        <v>F</v>
      </c>
      <c r="B23" s="1001" t="s">
        <v>78</v>
      </c>
      <c r="C23" s="998" t="s">
        <v>79</v>
      </c>
      <c r="D23" s="1218"/>
      <c r="E23">
        <v>14</v>
      </c>
      <c r="F23" s="1167" t="str">
        <f t="shared" si="1"/>
        <v>Sch. 1 Line 20 (IRA)</v>
      </c>
      <c r="G23" s="1157">
        <v>45999</v>
      </c>
      <c r="H23" s="1158"/>
      <c r="I23" s="1157"/>
      <c r="J23" s="1158"/>
      <c r="K23" s="1160">
        <v>45990</v>
      </c>
      <c r="L23" s="1168">
        <v>46030</v>
      </c>
      <c r="N23" s="329" t="s">
        <v>5483</v>
      </c>
    </row>
    <row r="24" spans="1:14" ht="16.5" customHeight="1">
      <c r="A24" s="1799" t="str">
        <f t="shared" si="0"/>
        <v>F</v>
      </c>
      <c r="B24" s="1001" t="s">
        <v>80</v>
      </c>
      <c r="C24" s="998" t="s">
        <v>81</v>
      </c>
      <c r="D24" s="1218"/>
      <c r="E24">
        <v>15</v>
      </c>
      <c r="F24" s="1167" t="str">
        <f t="shared" si="1"/>
        <v>Sch. 1 Line 21 (Stu Loan)</v>
      </c>
      <c r="G24" s="1157">
        <v>45999</v>
      </c>
      <c r="H24" s="1158"/>
      <c r="I24" s="1157"/>
      <c r="J24" s="1158"/>
      <c r="K24" s="1160">
        <v>46009</v>
      </c>
      <c r="L24" s="1168">
        <v>46030</v>
      </c>
    </row>
    <row r="25" spans="1:14" ht="16.5" customHeight="1">
      <c r="A25" s="1799" t="str">
        <f t="shared" si="0"/>
        <v>F</v>
      </c>
      <c r="B25" s="1001" t="s">
        <v>82</v>
      </c>
      <c r="C25" s="999" t="s">
        <v>83</v>
      </c>
      <c r="D25" s="1217"/>
      <c r="E25">
        <v>16</v>
      </c>
      <c r="F25" s="1167" t="str">
        <f t="shared" si="1"/>
        <v>Sch. 2</v>
      </c>
      <c r="G25" s="1157">
        <v>45999</v>
      </c>
      <c r="H25" s="1158">
        <v>45785</v>
      </c>
      <c r="I25" s="1157"/>
      <c r="J25" s="1158"/>
      <c r="K25" s="1160">
        <v>45862</v>
      </c>
      <c r="L25" s="1168">
        <v>46026</v>
      </c>
    </row>
    <row r="26" spans="1:14" ht="16.5" customHeight="1">
      <c r="A26" s="1799" t="str">
        <f t="shared" si="0"/>
        <v>F</v>
      </c>
      <c r="B26" s="1001" t="s">
        <v>84</v>
      </c>
      <c r="C26" s="999" t="s">
        <v>6803</v>
      </c>
      <c r="D26" s="1217"/>
      <c r="E26">
        <v>17</v>
      </c>
      <c r="F26" s="1167" t="str">
        <f t="shared" si="1"/>
        <v>Sch. 3</v>
      </c>
      <c r="G26" s="1157">
        <v>45999</v>
      </c>
      <c r="H26" s="1158">
        <v>45785</v>
      </c>
      <c r="I26" s="1157">
        <v>45862</v>
      </c>
      <c r="J26" s="1158"/>
      <c r="K26" s="1160">
        <v>46026</v>
      </c>
      <c r="L26" s="1168">
        <v>46027</v>
      </c>
    </row>
    <row r="27" spans="1:14" ht="16.5" customHeight="1">
      <c r="A27" s="1799" t="str">
        <f t="shared" si="0"/>
        <v/>
      </c>
      <c r="B27" s="1001" t="s">
        <v>85</v>
      </c>
      <c r="C27" s="999" t="s">
        <v>86</v>
      </c>
      <c r="D27" s="1217"/>
      <c r="E27">
        <v>18</v>
      </c>
      <c r="F27" s="1167" t="str">
        <f t="shared" si="1"/>
        <v>Earned Inc WS</v>
      </c>
      <c r="G27" s="1157"/>
      <c r="H27" s="1158"/>
      <c r="I27" s="1157"/>
      <c r="J27" s="1158"/>
      <c r="K27" s="1160"/>
      <c r="L27" s="1168"/>
    </row>
    <row r="28" spans="1:14" ht="16.5" customHeight="1">
      <c r="A28" s="1799" t="str">
        <f t="shared" si="0"/>
        <v>F</v>
      </c>
      <c r="B28" s="1001" t="s">
        <v>87</v>
      </c>
      <c r="C28" s="999" t="s">
        <v>88</v>
      </c>
      <c r="D28" s="1217"/>
      <c r="E28">
        <v>19</v>
      </c>
      <c r="F28" s="1167" t="str">
        <f t="shared" si="1"/>
        <v>Lines 5ab (Simplified Meth WS)</v>
      </c>
      <c r="G28" s="1157">
        <v>45999</v>
      </c>
      <c r="H28" s="1158"/>
      <c r="I28" s="1157">
        <v>45980</v>
      </c>
      <c r="J28" s="1158"/>
      <c r="K28" s="1160">
        <v>45988</v>
      </c>
      <c r="L28" s="1168">
        <v>46030</v>
      </c>
    </row>
    <row r="29" spans="1:14" ht="16.5" customHeight="1">
      <c r="A29" s="1799" t="str">
        <f t="shared" si="0"/>
        <v>F</v>
      </c>
      <c r="B29" s="1001" t="s">
        <v>89</v>
      </c>
      <c r="C29" s="999" t="s">
        <v>90</v>
      </c>
      <c r="D29" s="1217"/>
      <c r="E29">
        <v>20</v>
      </c>
      <c r="F29" s="1167" t="str">
        <f t="shared" si="1"/>
        <v>Line 6ab (SS Bene)</v>
      </c>
      <c r="G29" s="1157">
        <v>45999</v>
      </c>
      <c r="H29" s="1158"/>
      <c r="I29" s="1157"/>
      <c r="J29" s="1158"/>
      <c r="K29" s="1160">
        <v>45989</v>
      </c>
      <c r="L29" s="1168">
        <v>46030</v>
      </c>
    </row>
    <row r="30" spans="1:14" ht="16.5" customHeight="1">
      <c r="A30" s="1799" t="str">
        <f t="shared" si="0"/>
        <v>F</v>
      </c>
      <c r="B30" s="1001" t="s">
        <v>5960</v>
      </c>
      <c r="C30" s="998" t="s">
        <v>5961</v>
      </c>
      <c r="D30" s="1218"/>
      <c r="E30">
        <v>21</v>
      </c>
      <c r="F30" s="1167" t="str">
        <f t="shared" si="1"/>
        <v>Line 12e (SD Depnts)</v>
      </c>
      <c r="G30" s="1157">
        <v>45999</v>
      </c>
      <c r="H30" s="1158"/>
      <c r="I30" s="1157"/>
      <c r="J30" s="1158"/>
      <c r="K30" s="1160">
        <v>45990</v>
      </c>
      <c r="L30" s="1168">
        <v>46030</v>
      </c>
      <c r="N30" s="329" t="s">
        <v>5398</v>
      </c>
    </row>
    <row r="31" spans="1:14" ht="16.5" customHeight="1">
      <c r="A31" s="1799" t="str">
        <f t="shared" si="0"/>
        <v>F</v>
      </c>
      <c r="B31" s="1001" t="s">
        <v>91</v>
      </c>
      <c r="C31" s="998" t="s">
        <v>92</v>
      </c>
      <c r="D31" s="1218"/>
      <c r="E31">
        <v>22</v>
      </c>
      <c r="F31" s="1167" t="str">
        <f t="shared" si="1"/>
        <v>Line 16 (QDCG Tax)</v>
      </c>
      <c r="G31" s="1157">
        <v>45999</v>
      </c>
      <c r="H31" s="1158"/>
      <c r="I31" s="1157"/>
      <c r="J31" s="1158"/>
      <c r="K31" s="1160">
        <v>45990</v>
      </c>
      <c r="L31" s="1168">
        <v>46030</v>
      </c>
      <c r="N31" s="961" t="s">
        <v>5403</v>
      </c>
    </row>
    <row r="32" spans="1:14" s="138" customFormat="1" ht="15" customHeight="1">
      <c r="A32" s="2717" t="str">
        <f t="shared" si="0"/>
        <v>F</v>
      </c>
      <c r="B32" s="1001" t="s">
        <v>6509</v>
      </c>
      <c r="C32" s="6464" t="s">
        <v>6510</v>
      </c>
      <c r="D32" s="2718"/>
      <c r="E32">
        <v>23</v>
      </c>
      <c r="F32" s="2719" t="str">
        <f t="shared" si="1"/>
        <v>Line 27a (EIC)</v>
      </c>
      <c r="G32" s="1157">
        <v>45999</v>
      </c>
      <c r="H32" s="1314"/>
      <c r="I32" s="1312"/>
      <c r="J32" s="1314"/>
      <c r="K32" s="1313"/>
      <c r="L32" s="1315">
        <v>46038</v>
      </c>
      <c r="N32" s="1008" t="s">
        <v>5405</v>
      </c>
    </row>
    <row r="33" spans="1:14" ht="16.5" customHeight="1">
      <c r="A33" s="1799" t="str">
        <f t="shared" si="0"/>
        <v>F</v>
      </c>
      <c r="B33" s="1001" t="s">
        <v>93</v>
      </c>
      <c r="C33" s="998" t="s">
        <v>94</v>
      </c>
      <c r="D33" s="1218"/>
      <c r="E33">
        <v>24</v>
      </c>
      <c r="F33" s="1167" t="str">
        <f t="shared" si="1"/>
        <v>Sch. A</v>
      </c>
      <c r="G33" s="1157">
        <v>45992</v>
      </c>
      <c r="H33" s="1158">
        <v>46009</v>
      </c>
      <c r="I33" s="1157">
        <v>45911</v>
      </c>
      <c r="J33" s="1158">
        <v>46008</v>
      </c>
      <c r="K33" s="1160">
        <v>46014</v>
      </c>
      <c r="L33" s="1168">
        <v>46020</v>
      </c>
    </row>
    <row r="34" spans="1:14" ht="16.5" customHeight="1">
      <c r="A34" s="1799" t="str">
        <f t="shared" si="0"/>
        <v>F</v>
      </c>
      <c r="B34" s="1001" t="s">
        <v>95</v>
      </c>
      <c r="C34" s="998" t="s">
        <v>96</v>
      </c>
      <c r="D34" s="1218"/>
      <c r="E34">
        <v>25</v>
      </c>
      <c r="F34" s="1167" t="str">
        <f t="shared" si="1"/>
        <v>Sch. B</v>
      </c>
      <c r="G34" s="1157">
        <v>45770</v>
      </c>
      <c r="H34" s="1158"/>
      <c r="I34" s="1157">
        <v>45784</v>
      </c>
      <c r="J34" s="1158"/>
      <c r="K34" s="1160">
        <v>45955</v>
      </c>
      <c r="L34" s="1168">
        <v>46030</v>
      </c>
    </row>
    <row r="35" spans="1:14" ht="16.5" customHeight="1">
      <c r="A35" s="1799" t="str">
        <f t="shared" si="0"/>
        <v>F</v>
      </c>
      <c r="B35" s="1001" t="s">
        <v>97</v>
      </c>
      <c r="C35" s="998" t="s">
        <v>98</v>
      </c>
      <c r="D35" s="1218"/>
      <c r="E35">
        <v>26</v>
      </c>
      <c r="F35" s="1167" t="str">
        <f t="shared" si="1"/>
        <v>Sch. C</v>
      </c>
      <c r="G35" s="1157">
        <v>45985</v>
      </c>
      <c r="H35" s="1158">
        <v>46028</v>
      </c>
      <c r="I35" s="1157">
        <v>45756</v>
      </c>
      <c r="J35" s="1158">
        <v>46028</v>
      </c>
      <c r="K35" s="1160"/>
      <c r="L35" s="1168">
        <v>46029</v>
      </c>
    </row>
    <row r="36" spans="1:14" ht="16.5" customHeight="1">
      <c r="A36" s="1799" t="str">
        <f t="shared" si="0"/>
        <v>F</v>
      </c>
      <c r="B36" s="1001" t="s">
        <v>99</v>
      </c>
      <c r="C36" s="998" t="s">
        <v>100</v>
      </c>
      <c r="D36" s="1218"/>
      <c r="E36">
        <v>27</v>
      </c>
      <c r="F36" s="1167" t="str">
        <f t="shared" si="1"/>
        <v>Sch. D</v>
      </c>
      <c r="G36" s="1157">
        <v>46002</v>
      </c>
      <c r="H36" s="1158">
        <v>46002</v>
      </c>
      <c r="I36" s="1157">
        <v>45936</v>
      </c>
      <c r="J36" s="1158">
        <v>46008</v>
      </c>
      <c r="K36" s="1160">
        <v>45983</v>
      </c>
      <c r="L36" s="1168">
        <v>46021</v>
      </c>
    </row>
    <row r="37" spans="1:14" ht="54" customHeight="1">
      <c r="A37" s="1801" t="str">
        <f t="shared" si="0"/>
        <v>F</v>
      </c>
      <c r="B37" s="1308" t="s">
        <v>101</v>
      </c>
      <c r="C37" s="1309" t="s">
        <v>102</v>
      </c>
      <c r="D37" s="1310"/>
      <c r="E37">
        <v>28</v>
      </c>
      <c r="F37" s="1311" t="str">
        <f t="shared" si="1"/>
        <v>Sch. D WS</v>
      </c>
      <c r="G37" s="1312">
        <v>46002</v>
      </c>
      <c r="H37" s="1314">
        <v>46002</v>
      </c>
      <c r="I37" s="1312"/>
      <c r="J37" s="1314"/>
      <c r="K37" s="1313"/>
      <c r="L37" s="1315">
        <v>46021</v>
      </c>
    </row>
    <row r="38" spans="1:14" ht="16.5" customHeight="1">
      <c r="A38" s="1799" t="str">
        <f t="shared" si="0"/>
        <v>F</v>
      </c>
      <c r="B38" s="1001" t="s">
        <v>103</v>
      </c>
      <c r="C38" s="998" t="s">
        <v>104</v>
      </c>
      <c r="D38" s="1218"/>
      <c r="E38">
        <v>29</v>
      </c>
      <c r="F38" s="1167" t="str">
        <f t="shared" si="1"/>
        <v>Sch. E</v>
      </c>
      <c r="G38" s="1157"/>
      <c r="H38" s="1158">
        <v>46009</v>
      </c>
      <c r="I38" s="1157">
        <v>45783</v>
      </c>
      <c r="J38" s="1158">
        <v>46009</v>
      </c>
      <c r="K38" s="1160"/>
      <c r="L38" s="1168">
        <v>46021</v>
      </c>
    </row>
    <row r="39" spans="1:14" ht="16.5" customHeight="1">
      <c r="A39" s="1799" t="str">
        <f t="shared" si="0"/>
        <v>F</v>
      </c>
      <c r="B39" s="1001" t="s">
        <v>105</v>
      </c>
      <c r="C39" s="998" t="s">
        <v>104</v>
      </c>
      <c r="D39" s="1218"/>
      <c r="E39">
        <v>30</v>
      </c>
      <c r="F39" s="1167" t="str">
        <f t="shared" si="1"/>
        <v>Sch. E (2)</v>
      </c>
      <c r="G39" s="1157"/>
      <c r="H39" s="1158">
        <v>46009</v>
      </c>
      <c r="I39" s="1157">
        <v>45783</v>
      </c>
      <c r="J39" s="1158">
        <v>46009</v>
      </c>
      <c r="K39" s="1160"/>
      <c r="L39" s="1168">
        <v>46021</v>
      </c>
    </row>
    <row r="40" spans="1:14" ht="16.5" customHeight="1">
      <c r="A40" s="1799" t="str">
        <f t="shared" si="0"/>
        <v>F</v>
      </c>
      <c r="B40" s="1001" t="s">
        <v>106</v>
      </c>
      <c r="C40" s="998" t="s">
        <v>107</v>
      </c>
      <c r="D40" s="1218"/>
      <c r="E40">
        <v>31</v>
      </c>
      <c r="F40" s="1167" t="str">
        <f t="shared" si="1"/>
        <v>Sch. F</v>
      </c>
      <c r="G40" s="1157">
        <v>45987</v>
      </c>
      <c r="H40" s="1158">
        <v>46009</v>
      </c>
      <c r="I40" s="1157">
        <v>45783</v>
      </c>
      <c r="J40" s="1158">
        <v>46009</v>
      </c>
      <c r="K40" s="1160"/>
      <c r="L40" s="1168">
        <v>46021</v>
      </c>
    </row>
    <row r="41" spans="1:14" ht="16.5" customHeight="1">
      <c r="A41" s="1799" t="str">
        <f t="shared" ref="A41:A71" si="4">IF(L41&lt;&gt;"","F",IF(K41&lt;&gt;"","D",""))</f>
        <v>F</v>
      </c>
      <c r="B41" s="1001" t="s">
        <v>108</v>
      </c>
      <c r="C41" s="998" t="s">
        <v>109</v>
      </c>
      <c r="D41" s="1218"/>
      <c r="E41">
        <v>32</v>
      </c>
      <c r="F41" s="1167" t="str">
        <f t="shared" si="1"/>
        <v>Sch. R</v>
      </c>
      <c r="G41" s="1157"/>
      <c r="H41" s="1158"/>
      <c r="I41" s="1157">
        <v>45931</v>
      </c>
      <c r="J41" s="1158">
        <v>45933</v>
      </c>
      <c r="K41" s="1160"/>
      <c r="L41" s="1168">
        <v>46030</v>
      </c>
    </row>
    <row r="42" spans="1:14" ht="16.5" customHeight="1">
      <c r="A42" s="1799" t="str">
        <f t="shared" si="4"/>
        <v>F</v>
      </c>
      <c r="B42" s="1001" t="s">
        <v>110</v>
      </c>
      <c r="C42" s="998" t="s">
        <v>111</v>
      </c>
      <c r="D42" s="1218"/>
      <c r="E42">
        <v>33</v>
      </c>
      <c r="F42" s="1167" t="str">
        <f t="shared" si="1"/>
        <v>Sch. SE</v>
      </c>
      <c r="G42" s="1157">
        <v>45926</v>
      </c>
      <c r="H42" s="1158"/>
      <c r="I42" s="1157">
        <v>45797</v>
      </c>
      <c r="J42" s="1158"/>
      <c r="K42" s="1160"/>
      <c r="L42" s="1168">
        <v>46030</v>
      </c>
      <c r="N42" s="329"/>
    </row>
    <row r="43" spans="1:14" ht="16.5" customHeight="1">
      <c r="A43" s="1799" t="str">
        <f t="shared" si="4"/>
        <v>F</v>
      </c>
      <c r="B43" s="1002" t="s">
        <v>112</v>
      </c>
      <c r="C43" s="998" t="s">
        <v>113</v>
      </c>
      <c r="D43" s="1218"/>
      <c r="E43">
        <v>34</v>
      </c>
      <c r="F43" s="1167" t="str">
        <f t="shared" si="1"/>
        <v>1116</v>
      </c>
      <c r="G43" s="1157">
        <v>45950</v>
      </c>
      <c r="H43" s="1158">
        <v>46029</v>
      </c>
      <c r="I43" s="1157">
        <v>45929</v>
      </c>
      <c r="J43" s="1158">
        <v>46028</v>
      </c>
      <c r="K43" s="1160"/>
      <c r="L43" s="1168">
        <v>46030</v>
      </c>
    </row>
    <row r="44" spans="1:14" ht="16.5" customHeight="1">
      <c r="A44" s="1799" t="str">
        <f t="shared" si="4"/>
        <v/>
      </c>
      <c r="B44" s="1002" t="s">
        <v>114</v>
      </c>
      <c r="C44" s="998" t="s">
        <v>5151</v>
      </c>
      <c r="D44" s="1218"/>
      <c r="E44">
        <v>35</v>
      </c>
      <c r="F44" s="1167" t="str">
        <f t="shared" ref="F44:F71" si="5">B44</f>
        <v>2210</v>
      </c>
      <c r="G44" s="1157">
        <v>45940</v>
      </c>
      <c r="H44" s="1158"/>
      <c r="I44" s="1157">
        <v>46014</v>
      </c>
      <c r="J44" s="1158">
        <v>46036</v>
      </c>
      <c r="K44" s="1160"/>
      <c r="L44" s="1168"/>
    </row>
    <row r="45" spans="1:14" ht="16.5" customHeight="1">
      <c r="A45" s="1799" t="str">
        <f t="shared" si="4"/>
        <v>F</v>
      </c>
      <c r="B45" s="1002" t="s">
        <v>115</v>
      </c>
      <c r="C45" s="998" t="s">
        <v>116</v>
      </c>
      <c r="D45" s="1218"/>
      <c r="E45">
        <v>36</v>
      </c>
      <c r="F45" s="1167" t="str">
        <f t="shared" si="5"/>
        <v>2441</v>
      </c>
      <c r="G45" s="1157">
        <v>45930</v>
      </c>
      <c r="H45" s="1158">
        <v>46007</v>
      </c>
      <c r="I45" s="1157"/>
      <c r="J45" s="1158">
        <v>46007</v>
      </c>
      <c r="K45" s="1160"/>
      <c r="L45" s="1168">
        <v>46023</v>
      </c>
      <c r="N45" s="329"/>
    </row>
    <row r="46" spans="1:14" ht="16.5" customHeight="1">
      <c r="A46" s="1799" t="str">
        <f t="shared" si="4"/>
        <v>F</v>
      </c>
      <c r="B46" s="1002" t="s">
        <v>117</v>
      </c>
      <c r="C46" s="998" t="s">
        <v>118</v>
      </c>
      <c r="D46" s="1218"/>
      <c r="E46">
        <v>37</v>
      </c>
      <c r="F46" s="1167" t="str">
        <f t="shared" si="5"/>
        <v>2555</v>
      </c>
      <c r="G46" s="1157">
        <v>45917</v>
      </c>
      <c r="H46" s="1158">
        <v>45917</v>
      </c>
      <c r="I46" s="1157"/>
      <c r="J46" s="1158">
        <v>45917</v>
      </c>
      <c r="K46" s="1160"/>
      <c r="L46" s="1168">
        <v>46006</v>
      </c>
      <c r="N46" s="329"/>
    </row>
    <row r="47" spans="1:14" ht="16.5" customHeight="1">
      <c r="A47" s="1799" t="str">
        <f t="shared" si="4"/>
        <v>F</v>
      </c>
      <c r="B47" s="1002">
        <v>4137</v>
      </c>
      <c r="C47" s="998" t="s">
        <v>6645</v>
      </c>
      <c r="D47" s="1218"/>
      <c r="E47">
        <v>38</v>
      </c>
      <c r="F47" s="6660">
        <f t="shared" si="5"/>
        <v>4137</v>
      </c>
      <c r="G47" s="1157"/>
      <c r="H47" s="1158"/>
      <c r="I47" s="1157"/>
      <c r="J47" s="1158"/>
      <c r="K47" s="1160"/>
      <c r="L47" s="1168">
        <v>46054</v>
      </c>
      <c r="N47" s="329"/>
    </row>
    <row r="48" spans="1:14" ht="16.5" customHeight="1">
      <c r="A48" s="1799" t="str">
        <f t="shared" si="4"/>
        <v>F</v>
      </c>
      <c r="B48" s="1002" t="s">
        <v>119</v>
      </c>
      <c r="C48" s="998" t="s">
        <v>120</v>
      </c>
      <c r="D48" s="1218"/>
      <c r="E48">
        <v>39</v>
      </c>
      <c r="F48" s="1167" t="str">
        <f t="shared" si="5"/>
        <v>4562</v>
      </c>
      <c r="G48" s="1157"/>
      <c r="H48" s="1158"/>
      <c r="I48" s="1157"/>
      <c r="J48" s="1158">
        <v>46029</v>
      </c>
      <c r="K48" s="1160"/>
      <c r="L48" s="1168">
        <v>46031</v>
      </c>
    </row>
    <row r="49" spans="1:14" ht="16.5" customHeight="1">
      <c r="A49" s="1799" t="str">
        <f t="shared" si="4"/>
        <v>F</v>
      </c>
      <c r="B49" s="1002">
        <v>5695</v>
      </c>
      <c r="C49" s="998" t="s">
        <v>5197</v>
      </c>
      <c r="D49" s="1218"/>
      <c r="E49">
        <v>40</v>
      </c>
      <c r="F49" s="1288">
        <v>5695</v>
      </c>
      <c r="G49" s="1157"/>
      <c r="H49" s="1158">
        <v>45994</v>
      </c>
      <c r="I49" s="1157"/>
      <c r="J49" s="1158">
        <v>45994</v>
      </c>
      <c r="K49" s="1160"/>
      <c r="L49" s="1168">
        <v>46025</v>
      </c>
    </row>
    <row r="50" spans="1:14" ht="16.5" customHeight="1">
      <c r="A50" s="1799" t="str">
        <f t="shared" si="4"/>
        <v>F</v>
      </c>
      <c r="B50" s="1002" t="s">
        <v>121</v>
      </c>
      <c r="C50" s="998" t="s">
        <v>122</v>
      </c>
      <c r="D50" s="1218"/>
      <c r="E50">
        <v>41</v>
      </c>
      <c r="F50" s="1167" t="str">
        <f t="shared" si="5"/>
        <v>6251</v>
      </c>
      <c r="G50" s="1157">
        <v>45995</v>
      </c>
      <c r="H50" s="1158"/>
      <c r="I50" s="1157">
        <v>45930</v>
      </c>
      <c r="J50" s="1158">
        <v>46029</v>
      </c>
      <c r="K50" s="1160">
        <v>45862</v>
      </c>
      <c r="L50" s="1168">
        <v>46031</v>
      </c>
      <c r="N50" s="329"/>
    </row>
    <row r="51" spans="1:14" ht="16.5" customHeight="1">
      <c r="A51" s="1799" t="str">
        <f t="shared" si="4"/>
        <v/>
      </c>
      <c r="B51" s="1002" t="s">
        <v>123</v>
      </c>
      <c r="C51" s="998" t="s">
        <v>124</v>
      </c>
      <c r="D51" s="1218"/>
      <c r="E51">
        <v>42</v>
      </c>
      <c r="F51" s="1167" t="str">
        <f t="shared" si="5"/>
        <v>8283</v>
      </c>
      <c r="G51" s="1157">
        <v>46014</v>
      </c>
      <c r="H51" s="1158"/>
      <c r="I51" s="1157"/>
      <c r="J51" s="1158">
        <v>46028</v>
      </c>
      <c r="K51" s="1160"/>
      <c r="L51" s="1168"/>
    </row>
    <row r="52" spans="1:14" ht="16.5" customHeight="1">
      <c r="A52" s="1799" t="str">
        <f t="shared" si="4"/>
        <v>F</v>
      </c>
      <c r="B52" s="1002" t="s">
        <v>4855</v>
      </c>
      <c r="C52" s="998" t="s">
        <v>4856</v>
      </c>
      <c r="D52" s="1218"/>
      <c r="E52">
        <v>43</v>
      </c>
      <c r="F52" s="1167" t="str">
        <f t="shared" si="5"/>
        <v>8582</v>
      </c>
      <c r="G52" s="1157">
        <v>45989</v>
      </c>
      <c r="H52" s="1158">
        <v>45967</v>
      </c>
      <c r="I52" s="1157"/>
      <c r="J52" s="1158">
        <v>45967</v>
      </c>
      <c r="K52" s="1160"/>
      <c r="L52" s="1168">
        <v>46038</v>
      </c>
    </row>
    <row r="53" spans="1:14" ht="16.5" customHeight="1">
      <c r="A53" s="1799" t="str">
        <f t="shared" si="4"/>
        <v>F</v>
      </c>
      <c r="B53" s="1002" t="s">
        <v>125</v>
      </c>
      <c r="C53" s="998" t="s">
        <v>126</v>
      </c>
      <c r="D53" s="1218"/>
      <c r="E53">
        <v>44</v>
      </c>
      <c r="F53" s="1167" t="str">
        <f t="shared" si="5"/>
        <v>8606</v>
      </c>
      <c r="G53" s="1157">
        <v>45992</v>
      </c>
      <c r="H53" s="1158"/>
      <c r="I53" s="1157"/>
      <c r="J53" s="1158">
        <v>46006</v>
      </c>
      <c r="K53" s="1160"/>
      <c r="L53" s="1168">
        <v>46093</v>
      </c>
    </row>
    <row r="54" spans="1:14" ht="16.5" customHeight="1">
      <c r="A54" s="1799" t="str">
        <f t="shared" si="4"/>
        <v>F</v>
      </c>
      <c r="B54" s="1002" t="s">
        <v>5549</v>
      </c>
      <c r="C54" s="998" t="s">
        <v>5611</v>
      </c>
      <c r="D54" s="1218"/>
      <c r="E54">
        <v>45</v>
      </c>
      <c r="F54" s="1167" t="str">
        <f>B54</f>
        <v>8801</v>
      </c>
      <c r="G54" s="1157">
        <v>45869</v>
      </c>
      <c r="H54" s="1158">
        <v>46014</v>
      </c>
      <c r="I54" s="1157">
        <v>45777</v>
      </c>
      <c r="J54" s="6246">
        <v>46014</v>
      </c>
      <c r="K54" s="1160">
        <v>45904</v>
      </c>
      <c r="L54" s="1168">
        <v>46035</v>
      </c>
      <c r="M54" s="329"/>
      <c r="N54" s="329"/>
    </row>
    <row r="55" spans="1:14" ht="16.5" customHeight="1">
      <c r="A55" s="1799" t="str">
        <f t="shared" si="4"/>
        <v>F</v>
      </c>
      <c r="B55" s="1002" t="s">
        <v>127</v>
      </c>
      <c r="C55" s="998" t="s">
        <v>128</v>
      </c>
      <c r="D55" s="1218"/>
      <c r="E55">
        <v>46</v>
      </c>
      <c r="F55" s="1167" t="str">
        <f t="shared" si="5"/>
        <v>8812</v>
      </c>
      <c r="G55" s="1157">
        <v>46006</v>
      </c>
      <c r="H55" s="1158">
        <v>46010</v>
      </c>
      <c r="I55" s="1157">
        <v>45896</v>
      </c>
      <c r="J55" s="1158">
        <v>46010</v>
      </c>
      <c r="K55" s="1160">
        <v>46010</v>
      </c>
      <c r="L55" s="1168">
        <v>46020</v>
      </c>
      <c r="M55" s="329"/>
      <c r="N55" s="329"/>
    </row>
    <row r="56" spans="1:14" ht="16.5" customHeight="1">
      <c r="A56" s="1799" t="str">
        <f t="shared" si="4"/>
        <v/>
      </c>
      <c r="B56" s="1002">
        <v>8829</v>
      </c>
      <c r="C56" s="998" t="s">
        <v>129</v>
      </c>
      <c r="D56" s="1218"/>
      <c r="E56">
        <v>47</v>
      </c>
      <c r="F56" s="1288">
        <f t="shared" si="5"/>
        <v>8829</v>
      </c>
      <c r="G56" s="1157">
        <v>45876</v>
      </c>
      <c r="H56" s="1158">
        <v>46031</v>
      </c>
      <c r="I56" s="1157"/>
      <c r="J56" s="1158">
        <v>46006</v>
      </c>
      <c r="K56" s="1160"/>
      <c r="L56" s="1168"/>
    </row>
    <row r="57" spans="1:14" ht="16.5" customHeight="1">
      <c r="A57" s="1799" t="str">
        <f t="shared" si="4"/>
        <v>F</v>
      </c>
      <c r="B57" s="1002" t="s">
        <v>130</v>
      </c>
      <c r="C57" s="998" t="s">
        <v>131</v>
      </c>
      <c r="D57" s="1218"/>
      <c r="E57">
        <v>48</v>
      </c>
      <c r="F57" s="1167" t="str">
        <f t="shared" si="5"/>
        <v>8863</v>
      </c>
      <c r="G57" s="1157"/>
      <c r="H57" s="1158"/>
      <c r="I57" s="1157"/>
      <c r="J57" s="1158">
        <v>46006</v>
      </c>
      <c r="K57" s="1160"/>
      <c r="L57" s="1168">
        <v>46031</v>
      </c>
    </row>
    <row r="58" spans="1:14" ht="16.5" customHeight="1">
      <c r="A58" s="1799" t="str">
        <f t="shared" si="4"/>
        <v/>
      </c>
      <c r="B58" s="1002" t="s">
        <v>132</v>
      </c>
      <c r="C58" s="998" t="s">
        <v>133</v>
      </c>
      <c r="D58" s="1218"/>
      <c r="E58">
        <v>49</v>
      </c>
      <c r="F58" s="1167" t="str">
        <f t="shared" si="5"/>
        <v>8880</v>
      </c>
      <c r="G58" s="1157"/>
      <c r="H58" s="1158"/>
      <c r="I58" s="1157">
        <v>45908</v>
      </c>
      <c r="J58" s="1158">
        <v>46006</v>
      </c>
      <c r="K58" s="1160"/>
      <c r="L58" s="1168"/>
    </row>
    <row r="59" spans="1:14" ht="16.5" customHeight="1">
      <c r="A59" s="1799" t="str">
        <f t="shared" si="4"/>
        <v/>
      </c>
      <c r="B59" s="1002" t="s">
        <v>134</v>
      </c>
      <c r="C59" s="998" t="s">
        <v>135</v>
      </c>
      <c r="D59" s="1218"/>
      <c r="E59">
        <v>50</v>
      </c>
      <c r="F59" s="1167" t="str">
        <f t="shared" si="5"/>
        <v>8889</v>
      </c>
      <c r="G59" s="1157">
        <v>46000</v>
      </c>
      <c r="H59" s="1158">
        <v>46006</v>
      </c>
      <c r="I59" s="1157"/>
      <c r="J59" s="1158">
        <v>46006</v>
      </c>
      <c r="K59" s="1160"/>
      <c r="L59" s="1168"/>
    </row>
    <row r="60" spans="1:14" ht="16.5" customHeight="1">
      <c r="A60" s="1799" t="str">
        <f t="shared" si="4"/>
        <v>F</v>
      </c>
      <c r="B60" s="1002">
        <v>8919</v>
      </c>
      <c r="C60" s="998" t="s">
        <v>6609</v>
      </c>
      <c r="D60" s="1218"/>
      <c r="E60">
        <v>51</v>
      </c>
      <c r="F60" s="6652">
        <f t="shared" si="5"/>
        <v>8919</v>
      </c>
      <c r="G60" s="1157"/>
      <c r="H60" s="1158"/>
      <c r="I60" s="1157"/>
      <c r="J60" s="1158"/>
      <c r="K60" s="1160"/>
      <c r="L60" s="1168">
        <v>46054</v>
      </c>
    </row>
    <row r="61" spans="1:14" ht="16.5" customHeight="1">
      <c r="A61" s="1799" t="str">
        <f t="shared" si="4"/>
        <v>F</v>
      </c>
      <c r="B61" s="1002" t="s">
        <v>136</v>
      </c>
      <c r="C61" s="998" t="s">
        <v>137</v>
      </c>
      <c r="D61" s="1218"/>
      <c r="E61">
        <v>52</v>
      </c>
      <c r="F61" s="1167" t="str">
        <f t="shared" si="5"/>
        <v>8949A</v>
      </c>
      <c r="G61" s="1157"/>
      <c r="H61" s="1158"/>
      <c r="I61" s="1157">
        <v>45783</v>
      </c>
      <c r="J61" s="1158">
        <v>46002</v>
      </c>
      <c r="K61" s="1160">
        <v>45983</v>
      </c>
      <c r="L61" s="1168">
        <v>46030</v>
      </c>
    </row>
    <row r="62" spans="1:14" ht="16.5" customHeight="1">
      <c r="A62" s="1799" t="str">
        <f t="shared" si="4"/>
        <v>F</v>
      </c>
      <c r="B62" s="1002" t="s">
        <v>138</v>
      </c>
      <c r="C62" s="998" t="s">
        <v>137</v>
      </c>
      <c r="D62" s="1218"/>
      <c r="E62">
        <v>53</v>
      </c>
      <c r="F62" s="1167" t="str">
        <f t="shared" si="5"/>
        <v>8949B</v>
      </c>
      <c r="G62" s="1247"/>
      <c r="H62" s="1287"/>
      <c r="I62" s="1157">
        <v>45783</v>
      </c>
      <c r="J62" s="1158">
        <v>46002</v>
      </c>
      <c r="K62" s="1160">
        <v>45983</v>
      </c>
      <c r="L62" s="1168">
        <v>46030</v>
      </c>
    </row>
    <row r="63" spans="1:14" ht="16.5" customHeight="1">
      <c r="A63" s="1799" t="str">
        <f t="shared" si="4"/>
        <v>F</v>
      </c>
      <c r="B63" s="1001" t="s">
        <v>139</v>
      </c>
      <c r="C63" s="998" t="s">
        <v>137</v>
      </c>
      <c r="D63" s="1218"/>
      <c r="E63">
        <v>54</v>
      </c>
      <c r="F63" s="1167" t="str">
        <f t="shared" si="5"/>
        <v>8949C</v>
      </c>
      <c r="G63" s="1247"/>
      <c r="H63" s="1287"/>
      <c r="I63" s="1157">
        <v>45783</v>
      </c>
      <c r="J63" s="1158">
        <v>46002</v>
      </c>
      <c r="K63" s="1160">
        <v>45983</v>
      </c>
      <c r="L63" s="1168">
        <v>46030</v>
      </c>
    </row>
    <row r="64" spans="1:14" ht="16.5" customHeight="1">
      <c r="A64" s="1799" t="str">
        <f t="shared" si="4"/>
        <v>F</v>
      </c>
      <c r="B64" s="1001" t="s">
        <v>140</v>
      </c>
      <c r="C64" s="998" t="s">
        <v>137</v>
      </c>
      <c r="D64" s="1218"/>
      <c r="E64">
        <v>55</v>
      </c>
      <c r="F64" s="1167" t="str">
        <f t="shared" si="5"/>
        <v>8949D</v>
      </c>
      <c r="G64" s="1247"/>
      <c r="H64" s="1287"/>
      <c r="I64" s="1157">
        <v>45783</v>
      </c>
      <c r="J64" s="1158">
        <v>46002</v>
      </c>
      <c r="K64" s="1160">
        <v>45983</v>
      </c>
      <c r="L64" s="1168">
        <v>46030</v>
      </c>
    </row>
    <row r="65" spans="1:14" ht="16.5" customHeight="1">
      <c r="A65" s="1799" t="str">
        <f t="shared" si="4"/>
        <v>F</v>
      </c>
      <c r="B65" s="1002" t="s">
        <v>141</v>
      </c>
      <c r="C65" s="998" t="s">
        <v>142</v>
      </c>
      <c r="D65" s="1218"/>
      <c r="E65">
        <v>56</v>
      </c>
      <c r="F65" s="1167" t="str">
        <f t="shared" si="5"/>
        <v>8959</v>
      </c>
      <c r="G65" s="1157">
        <v>45916</v>
      </c>
      <c r="H65" s="1158">
        <v>46006</v>
      </c>
      <c r="I65" s="1157"/>
      <c r="J65" s="1158">
        <v>46006</v>
      </c>
      <c r="K65" s="1160"/>
      <c r="L65" s="1168">
        <v>46042</v>
      </c>
    </row>
    <row r="66" spans="1:14" ht="16.5" customHeight="1">
      <c r="A66" s="1799" t="str">
        <f t="shared" si="4"/>
        <v>F</v>
      </c>
      <c r="B66" s="1002" t="s">
        <v>143</v>
      </c>
      <c r="C66" s="998" t="s">
        <v>144</v>
      </c>
      <c r="D66" s="1218"/>
      <c r="E66">
        <v>57</v>
      </c>
      <c r="F66" s="1167" t="str">
        <f t="shared" si="5"/>
        <v>8960</v>
      </c>
      <c r="G66" s="1157">
        <v>45999</v>
      </c>
      <c r="H66" s="1158"/>
      <c r="I66" s="1157">
        <v>45917</v>
      </c>
      <c r="J66" s="1158">
        <v>46029</v>
      </c>
      <c r="K66" s="1160">
        <v>46042</v>
      </c>
      <c r="L66" s="1168">
        <v>46091</v>
      </c>
      <c r="N66" s="329"/>
    </row>
    <row r="67" spans="1:14" ht="16.5" customHeight="1">
      <c r="A67" s="1799" t="str">
        <f t="shared" si="4"/>
        <v>F</v>
      </c>
      <c r="B67" s="1002" t="s">
        <v>145</v>
      </c>
      <c r="C67" s="998" t="s">
        <v>146</v>
      </c>
      <c r="D67" s="1218"/>
      <c r="E67">
        <v>58</v>
      </c>
      <c r="F67" s="1167" t="str">
        <f t="shared" si="5"/>
        <v>8962</v>
      </c>
      <c r="G67" s="1157">
        <v>45946</v>
      </c>
      <c r="H67" s="1158"/>
      <c r="I67" s="1157">
        <v>45800</v>
      </c>
      <c r="J67" s="1158">
        <v>46029</v>
      </c>
      <c r="K67" s="1160"/>
      <c r="L67" s="1168">
        <v>46038</v>
      </c>
      <c r="N67" s="329"/>
    </row>
    <row r="68" spans="1:14" ht="16.5" customHeight="1">
      <c r="A68" s="1799" t="str">
        <f t="shared" si="4"/>
        <v>F</v>
      </c>
      <c r="B68" s="1049">
        <v>8995</v>
      </c>
      <c r="C68" s="1050" t="s">
        <v>147</v>
      </c>
      <c r="D68" s="1219"/>
      <c r="E68">
        <v>59</v>
      </c>
      <c r="F68" s="1288">
        <f t="shared" si="5"/>
        <v>8995</v>
      </c>
      <c r="G68" s="1157"/>
      <c r="H68" s="1158">
        <v>46036</v>
      </c>
      <c r="I68" s="1157">
        <v>45917</v>
      </c>
      <c r="J68" s="1158">
        <v>46031</v>
      </c>
      <c r="K68" s="1160">
        <v>46013</v>
      </c>
      <c r="L68" s="1168">
        <v>46038</v>
      </c>
      <c r="N68" s="329" t="s">
        <v>5539</v>
      </c>
    </row>
    <row r="69" spans="1:14" ht="16.5" customHeight="1">
      <c r="A69" s="1799" t="str">
        <f t="shared" si="4"/>
        <v/>
      </c>
      <c r="B69" s="1001" t="s">
        <v>148</v>
      </c>
      <c r="C69" s="998" t="s">
        <v>149</v>
      </c>
      <c r="D69" s="1218"/>
      <c r="E69">
        <v>60</v>
      </c>
      <c r="F69" s="1167" t="str">
        <f t="shared" si="5"/>
        <v>EIC Table</v>
      </c>
      <c r="G69" s="1157"/>
      <c r="H69" s="1158"/>
      <c r="I69" s="1157"/>
      <c r="J69" s="1158">
        <v>46009</v>
      </c>
      <c r="K69" s="1160"/>
      <c r="L69" s="1168"/>
      <c r="N69" s="329"/>
    </row>
    <row r="70" spans="1:14" ht="16.5" customHeight="1">
      <c r="A70" s="1799" t="str">
        <f t="shared" si="4"/>
        <v>F</v>
      </c>
      <c r="B70" s="1001" t="s">
        <v>150</v>
      </c>
      <c r="C70" s="999" t="s">
        <v>151</v>
      </c>
      <c r="D70" s="1217"/>
      <c r="E70">
        <v>61</v>
      </c>
      <c r="F70" s="1167" t="str">
        <f t="shared" si="5"/>
        <v>Tax Table</v>
      </c>
      <c r="G70" s="1157">
        <v>45853</v>
      </c>
      <c r="H70" s="1158">
        <v>45853</v>
      </c>
      <c r="I70" s="1157">
        <v>45853</v>
      </c>
      <c r="J70" s="1158">
        <v>45853</v>
      </c>
      <c r="K70" s="1160">
        <v>45853</v>
      </c>
      <c r="L70" s="1168">
        <v>45853</v>
      </c>
      <c r="N70" s="1" t="s">
        <v>5526</v>
      </c>
    </row>
    <row r="71" spans="1:14" ht="16.5" customHeight="1">
      <c r="A71" s="1799" t="str">
        <f t="shared" si="4"/>
        <v/>
      </c>
      <c r="B71" s="1001" t="s">
        <v>152</v>
      </c>
      <c r="C71" s="999" t="s">
        <v>153</v>
      </c>
      <c r="D71" s="1217"/>
      <c r="E71">
        <v>62</v>
      </c>
      <c r="F71" s="1167" t="str">
        <f t="shared" si="5"/>
        <v>Changes</v>
      </c>
      <c r="G71" s="1157"/>
      <c r="H71" s="1158"/>
      <c r="I71" s="1157"/>
      <c r="J71" s="1158"/>
      <c r="K71" s="1160"/>
      <c r="L71" s="1287"/>
    </row>
    <row r="72" spans="1:14" ht="14.25" customHeight="1" thickBot="1">
      <c r="A72" s="1799"/>
      <c r="B72" s="1003"/>
      <c r="C72" s="1000"/>
      <c r="D72" s="1215"/>
      <c r="F72" s="1169"/>
      <c r="G72" s="1412"/>
      <c r="H72" s="1414"/>
      <c r="I72" s="1412"/>
      <c r="J72" s="1414"/>
      <c r="K72" s="1413"/>
      <c r="L72" s="1415"/>
    </row>
    <row r="73" spans="1:14" ht="14.25" customHeight="1" thickTop="1">
      <c r="A73" s="1800"/>
      <c r="B73" s="1325"/>
      <c r="C73" s="1215"/>
      <c r="D73" s="1215"/>
    </row>
    <row r="75" spans="1:14" ht="14.25" customHeight="1">
      <c r="F75" s="6001" t="s">
        <v>6419</v>
      </c>
    </row>
    <row r="76" spans="1:14" ht="14.25" customHeight="1">
      <c r="F76" s="2390" t="s">
        <v>5521</v>
      </c>
    </row>
    <row r="77" spans="1:14" ht="14.25" customHeight="1">
      <c r="F77" s="2390" t="s">
        <v>5522</v>
      </c>
    </row>
    <row r="78" spans="1:14" ht="14.25" customHeight="1">
      <c r="F78" s="2390" t="s">
        <v>5523</v>
      </c>
    </row>
    <row r="79" spans="1:14" ht="14.25" customHeight="1">
      <c r="F79" s="2390" t="s">
        <v>65</v>
      </c>
    </row>
    <row r="80" spans="1:14" ht="14.25" customHeight="1">
      <c r="F80" s="2390" t="s">
        <v>5524</v>
      </c>
    </row>
    <row r="81" spans="6:6" ht="14.25" customHeight="1">
      <c r="F81" s="2390"/>
    </row>
    <row r="82" spans="6:6" ht="14.25" customHeight="1">
      <c r="F82" s="2390" t="s">
        <v>5525</v>
      </c>
    </row>
    <row r="83" spans="6:6" ht="14.25" customHeight="1">
      <c r="F83" s="2390"/>
    </row>
    <row r="84" spans="6:6" ht="14.25" customHeight="1">
      <c r="F84" s="2390"/>
    </row>
    <row r="85" spans="6:6" ht="14.25" customHeight="1">
      <c r="F85" s="2390"/>
    </row>
    <row r="86" spans="6:6" ht="14.25" customHeight="1">
      <c r="F86" s="2390"/>
    </row>
  </sheetData>
  <sheetProtection algorithmName="SHA-512" hashValue="Xe+LPfiD91HGtrT8PxE/RGEmaa1CxowAcKuhCJ2ezWWT/8bE1wQv/qJs0P5jfZc1WQ4sHla21eCnE4NxlcD/Gw==" saltValue="g/TlqeaXTofY+Wz5ycC7Dw==" spinCount="100000" sheet="1" formatCells="0" formatColumns="0" formatRows="0"/>
  <sortState xmlns:xlrd2="http://schemas.microsoft.com/office/spreadsheetml/2017/richdata2" ref="E10:L71">
    <sortCondition ref="E10:E71"/>
  </sortState>
  <mergeCells count="2">
    <mergeCell ref="A2:A6"/>
    <mergeCell ref="B2:B6"/>
  </mergeCells>
  <conditionalFormatting sqref="A7:A72">
    <cfRule type="expression" dxfId="4009" priority="1">
      <formula>A7="D"</formula>
    </cfRule>
  </conditionalFormatting>
  <hyperlinks>
    <hyperlink ref="B19" location="'1040'!A1" display="1040" xr:uid="{00000000-0004-0000-0100-000000000000}"/>
    <hyperlink ref="B7" location="Coversheet!A1" display="Coversheet" xr:uid="{00000000-0004-0000-0100-000001000000}"/>
    <hyperlink ref="B9" location="Instructions!A1" display="Instructions" xr:uid="{00000000-0004-0000-0100-000002000000}"/>
    <hyperlink ref="B10" location="'W-2s'!A1" display="W-2s" xr:uid="{00000000-0004-0000-0100-000003000000}"/>
    <hyperlink ref="B11" location="'1099-INT'!A1" display="1099-INT" xr:uid="{00000000-0004-0000-0100-000004000000}"/>
    <hyperlink ref="B12" location="'1099-DIV'!A1" display="1099-DIV" xr:uid="{00000000-0004-0000-0100-000005000000}"/>
    <hyperlink ref="B13" location="'1099-G'!A1" display="1099-G" xr:uid="{00000000-0004-0000-0100-000006000000}"/>
    <hyperlink ref="B14" location="'1099-MISC'!A1" display="1099-MISC" xr:uid="{00000000-0004-0000-0100-000007000000}"/>
    <hyperlink ref="B16" location="'1099-R'!A1" display="1099-R" xr:uid="{00000000-0004-0000-0100-000008000000}"/>
    <hyperlink ref="B18" location="'SSA-1099'!A1" display="SSA-1099" xr:uid="{00000000-0004-0000-0100-000009000000}"/>
    <hyperlink ref="B8" location="'Table of Contents'!A1" display="Table of Contents" xr:uid="{00000000-0004-0000-0100-00000A000000}"/>
    <hyperlink ref="B20" location="'Sch. 1'!A1" display="Sch. 1" xr:uid="{00000000-0004-0000-0100-00000B000000}"/>
    <hyperlink ref="B25" location="'Sch. 2'!A1" display="Sch. 2" xr:uid="{00000000-0004-0000-0100-00000C000000}"/>
    <hyperlink ref="B26" location="'Sch. 3'!A1" display="Sch. 3" xr:uid="{00000000-0004-0000-0100-00000D000000}"/>
    <hyperlink ref="B68" location="'8995'!A1" display="8995" xr:uid="{00000000-0004-0000-0100-00000E000000}"/>
    <hyperlink ref="B28" location="'Lines 5ab (Simplified Meth WS)'!A1" display="Lines 5ab (Simplified Meth WS)" xr:uid="{00000000-0004-0000-0100-00000F000000}"/>
    <hyperlink ref="B29" location="'Line 6ab (SS Bene)'!A1" display="Line 6ab (SS Bene)" xr:uid="{00000000-0004-0000-0100-000010000000}"/>
    <hyperlink ref="B30" location="'Line 12e (SD Depnts)'!A1" display="Line 12e (SD Depnts)" xr:uid="{00000000-0004-0000-0100-000011000000}"/>
    <hyperlink ref="B27" location="'Earned Inc WS'!A1" display="Earned Inc WS" xr:uid="{00000000-0004-0000-0100-000012000000}"/>
    <hyperlink ref="B22" location="'Sch 1, Line 1 (SALT)'!A1" display="Sch. 1, Line 1 (SALT)" xr:uid="{00000000-0004-0000-0100-000013000000}"/>
    <hyperlink ref="B31" location="'Line 16 (QDCG Tax)'!A1" display="Line 16 (QDCG Tax)" xr:uid="{00000000-0004-0000-0100-000014000000}"/>
    <hyperlink ref="B32" location="'Line 27a (EIC)'!A1" display="Line 27a (EIC)" xr:uid="{00000000-0004-0000-0100-000015000000}"/>
    <hyperlink ref="B23" location="'Sch. 1, Line 20 (IRA)'!A1" display="Sch. 1 Line 20 (IRA)" xr:uid="{00000000-0004-0000-0100-000016000000}"/>
    <hyperlink ref="B24" location="'Sch. 1, Line 21 (Stu Loan)'!A1" display="Sch. 1 Line 21 (Stu Loan)" xr:uid="{00000000-0004-0000-0100-000017000000}"/>
    <hyperlink ref="B33" location="'Sch. A'!A1" display="Sch. A" xr:uid="{00000000-0004-0000-0100-000018000000}"/>
    <hyperlink ref="B34" location="'Sch. B'!A1" display="Sch. B" xr:uid="{00000000-0004-0000-0100-000019000000}"/>
    <hyperlink ref="B35" location="'Sch. C'!A1" display="Sch. C" xr:uid="{00000000-0004-0000-0100-00001A000000}"/>
    <hyperlink ref="B36" location="'Sch. D'!A1" display="Sch. D" xr:uid="{00000000-0004-0000-0100-00001B000000}"/>
    <hyperlink ref="B37" location="'Sch. D WS'!A1" display="Sch. D WS" xr:uid="{00000000-0004-0000-0100-00001C000000}"/>
    <hyperlink ref="B38" location="'Sch. E'!A1" display="Sch. E" xr:uid="{00000000-0004-0000-0100-00001D000000}"/>
    <hyperlink ref="B40" location="'Sch. F'!A1" display="Sch. F" xr:uid="{00000000-0004-0000-0100-00001E000000}"/>
    <hyperlink ref="B41" location="'Sch. R'!A1" display="Sch. R" xr:uid="{00000000-0004-0000-0100-00001F000000}"/>
    <hyperlink ref="B42" location="'Sch. SE'!A1" display="Sch. SE" xr:uid="{00000000-0004-0000-0100-000020000000}"/>
    <hyperlink ref="B43" location="'1116'!A1" display="1116" xr:uid="{00000000-0004-0000-0100-000021000000}"/>
    <hyperlink ref="B44" location="'2210'!A1" display="2210" xr:uid="{00000000-0004-0000-0100-000022000000}"/>
    <hyperlink ref="B45" location="'2441'!A1" display="2441" xr:uid="{00000000-0004-0000-0100-000023000000}"/>
    <hyperlink ref="B46" location="'2555'!A1" display="2555" xr:uid="{00000000-0004-0000-0100-000024000000}"/>
    <hyperlink ref="B50" location="'6251'!A1" display="6251" xr:uid="{00000000-0004-0000-0100-000025000000}"/>
    <hyperlink ref="B51" location="'8283'!A1" display="8283" xr:uid="{00000000-0004-0000-0100-000026000000}"/>
    <hyperlink ref="B55" location="'8812'!A1" display="8812" xr:uid="{00000000-0004-0000-0100-000027000000}"/>
    <hyperlink ref="B59" location="'8889'!A1" display="8889" xr:uid="{00000000-0004-0000-0100-000028000000}"/>
    <hyperlink ref="B61" location="'8949A'!A1" display="8949A" xr:uid="{00000000-0004-0000-0100-000029000000}"/>
    <hyperlink ref="B62" location="'8949B'!A1" display="8949B" xr:uid="{00000000-0004-0000-0100-00002A000000}"/>
    <hyperlink ref="B63" location="'8949C'!A1" display="8949C" xr:uid="{00000000-0004-0000-0100-00002B000000}"/>
    <hyperlink ref="B64" location="'8949D'!A1" display="8949D" xr:uid="{00000000-0004-0000-0100-00002C000000}"/>
    <hyperlink ref="B65" location="'8959'!A1" display="8959" xr:uid="{00000000-0004-0000-0100-00002D000000}"/>
    <hyperlink ref="B66" location="'8960'!A1" display="8960" xr:uid="{00000000-0004-0000-0100-00002E000000}"/>
    <hyperlink ref="B67" location="'8962'!A1" display="8962" xr:uid="{00000000-0004-0000-0100-00002F000000}"/>
    <hyperlink ref="B69" location="'EIC Table'!A1" display="EIC Table" xr:uid="{00000000-0004-0000-0100-000030000000}"/>
    <hyperlink ref="B70" location="'Tax Table'!A1" display="Tax Table" xr:uid="{00000000-0004-0000-0100-000031000000}"/>
    <hyperlink ref="B71" location="Changes!A1" display="Changes" xr:uid="{00000000-0004-0000-0100-000032000000}"/>
    <hyperlink ref="B57" location="'8863'!A1" display="8863" xr:uid="{00000000-0004-0000-0100-000033000000}"/>
    <hyperlink ref="B53" location="'8606'!A1" display="8606" xr:uid="{00000000-0004-0000-0100-000034000000}"/>
    <hyperlink ref="B48" location="'4562'!A1" display="4562" xr:uid="{00000000-0004-0000-0100-000035000000}"/>
    <hyperlink ref="B56" location="'8829'!A1" display="8829" xr:uid="{00000000-0004-0000-0100-000036000000}"/>
    <hyperlink ref="B39" location="'Sch. E (2)'!A1" display="Sch. E (2)" xr:uid="{00000000-0004-0000-0100-000037000000}"/>
    <hyperlink ref="B58" location="'8880'!A1" display="8880" xr:uid="{00000000-0004-0000-0100-000038000000}"/>
    <hyperlink ref="B17" location="'Lines 4ab (IRA Dist.)'!A1" display="Lines 4ab (IRA Dist.)" xr:uid="{00000000-0004-0000-0100-000039000000}"/>
    <hyperlink ref="B52" location="'8582'!A1" display="8582" xr:uid="{00000000-0004-0000-0100-00003A000000}"/>
    <hyperlink ref="B49" location="'5695'!A1" display="'5695'!A1" xr:uid="{00000000-0004-0000-0100-00003B000000}"/>
    <hyperlink ref="B54" location="'8801'!A1" display="8801" xr:uid="{00000000-0004-0000-0100-00003C000000}"/>
    <hyperlink ref="B21" location="'Sch. 1-A'!A1" display="Sch. 1-A" xr:uid="{00000000-0004-0000-0100-00003D000000}"/>
    <hyperlink ref="B60" location="'8919'!A1" display="'8919'!A1" xr:uid="{00000000-0004-0000-0100-00003E000000}"/>
    <hyperlink ref="B47" location="'4137'!A1" display="'4137'!A1" xr:uid="{00000000-0004-0000-0100-00003F000000}"/>
    <hyperlink ref="B15" location="'1099-NEC'!A1" display="1099-NEC" xr:uid="{00000000-0004-0000-0100-000040000000}"/>
  </hyperlinks>
  <pageMargins left="0.75" right="0.25" top="0.36" bottom="0.28999999999999998" header="0.36" footer="0.21"/>
  <pageSetup scale="66"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2:L94"/>
  <sheetViews>
    <sheetView zoomScaleNormal="100" workbookViewId="0">
      <selection activeCell="C70" sqref="C70"/>
    </sheetView>
  </sheetViews>
  <sheetFormatPr defaultColWidth="9.140625" defaultRowHeight="12.75"/>
  <cols>
    <col min="1" max="1" width="5.28515625" style="253" customWidth="1"/>
    <col min="2" max="2" width="4.42578125" style="253" customWidth="1"/>
    <col min="3" max="3" width="9.140625" style="1215"/>
    <col min="4" max="7" width="9.140625" style="253"/>
    <col min="8" max="8" width="13.5703125" style="253" customWidth="1"/>
    <col min="9" max="11" width="9.140625" style="253"/>
    <col min="12" max="12" width="12.140625" style="253" customWidth="1"/>
    <col min="13" max="16384" width="9.140625" style="253"/>
  </cols>
  <sheetData>
    <row r="2" spans="1:12" ht="26.25">
      <c r="A2" s="5692" t="s">
        <v>154</v>
      </c>
      <c r="B2" s="5692"/>
      <c r="C2" s="4033"/>
      <c r="D2" s="4033"/>
      <c r="E2" s="4033"/>
      <c r="F2" s="4033"/>
      <c r="G2" s="4033"/>
      <c r="H2" s="4033"/>
      <c r="I2" s="4033"/>
      <c r="J2" s="4033"/>
      <c r="K2" s="4033"/>
      <c r="L2" s="4033"/>
    </row>
    <row r="3" spans="1:12" ht="23.25">
      <c r="A3" s="5693" t="s">
        <v>155</v>
      </c>
      <c r="B3" s="4033"/>
      <c r="C3" s="4033"/>
      <c r="D3" s="4033"/>
      <c r="E3" s="5693"/>
      <c r="F3" s="4033"/>
      <c r="G3" s="4033"/>
      <c r="H3" s="4033"/>
      <c r="I3" s="4033"/>
      <c r="J3" s="4033"/>
      <c r="K3" s="4033"/>
      <c r="L3" s="4033"/>
    </row>
    <row r="5" spans="1:12">
      <c r="B5" s="349" t="s">
        <v>156</v>
      </c>
    </row>
    <row r="6" spans="1:12">
      <c r="B6" s="351" t="s">
        <v>157</v>
      </c>
      <c r="C6" s="1217" t="s">
        <v>158</v>
      </c>
    </row>
    <row r="7" spans="1:12">
      <c r="C7" s="1217" t="s">
        <v>159</v>
      </c>
    </row>
    <row r="8" spans="1:12">
      <c r="C8" s="1217" t="s">
        <v>160</v>
      </c>
    </row>
    <row r="10" spans="1:12">
      <c r="B10" s="351" t="s">
        <v>161</v>
      </c>
      <c r="C10" s="1217" t="s">
        <v>162</v>
      </c>
    </row>
    <row r="11" spans="1:12">
      <c r="B11" s="351"/>
      <c r="C11" s="1217" t="s">
        <v>163</v>
      </c>
    </row>
    <row r="12" spans="1:12">
      <c r="C12" s="1217" t="s">
        <v>164</v>
      </c>
    </row>
    <row r="13" spans="1:12">
      <c r="C13" s="1217" t="s">
        <v>165</v>
      </c>
    </row>
    <row r="14" spans="1:12">
      <c r="C14" s="1217" t="s">
        <v>166</v>
      </c>
    </row>
    <row r="15" spans="1:12">
      <c r="C15" s="1217"/>
    </row>
    <row r="16" spans="1:12">
      <c r="B16" s="351" t="s">
        <v>167</v>
      </c>
      <c r="C16" s="1217" t="s">
        <v>168</v>
      </c>
    </row>
    <row r="17" spans="2:11">
      <c r="C17" s="1217" t="s">
        <v>169</v>
      </c>
    </row>
    <row r="18" spans="2:11">
      <c r="C18" s="1217" t="s">
        <v>6104</v>
      </c>
      <c r="H18" s="1325" t="s">
        <v>6105</v>
      </c>
      <c r="I18" s="725" t="s">
        <v>170</v>
      </c>
    </row>
    <row r="20" spans="2:11">
      <c r="B20" s="351" t="s">
        <v>171</v>
      </c>
      <c r="C20" s="1217" t="s">
        <v>6102</v>
      </c>
    </row>
    <row r="21" spans="2:11">
      <c r="C21" s="1217" t="s">
        <v>6103</v>
      </c>
      <c r="F21" s="1061"/>
      <c r="G21" s="1061"/>
      <c r="H21" s="1061" t="s">
        <v>6106</v>
      </c>
      <c r="I21" s="725" t="s">
        <v>9</v>
      </c>
      <c r="J21" s="725"/>
      <c r="K21" s="725"/>
    </row>
    <row r="23" spans="2:11">
      <c r="B23" s="349" t="s">
        <v>172</v>
      </c>
    </row>
    <row r="24" spans="2:11">
      <c r="B24" s="351" t="s">
        <v>157</v>
      </c>
      <c r="C24" s="1217" t="s">
        <v>173</v>
      </c>
    </row>
    <row r="25" spans="2:11">
      <c r="C25" s="1217" t="s">
        <v>174</v>
      </c>
    </row>
    <row r="26" spans="2:11">
      <c r="C26" s="1217" t="s">
        <v>175</v>
      </c>
    </row>
    <row r="27" spans="2:11">
      <c r="C27" s="1215" t="s">
        <v>5544</v>
      </c>
    </row>
    <row r="29" spans="2:11">
      <c r="B29" s="351" t="s">
        <v>161</v>
      </c>
      <c r="C29" s="5694" t="s">
        <v>176</v>
      </c>
    </row>
    <row r="30" spans="2:11">
      <c r="B30" s="351"/>
      <c r="C30" s="5694" t="s">
        <v>177</v>
      </c>
    </row>
    <row r="31" spans="2:11">
      <c r="B31" s="351"/>
      <c r="C31" s="5694" t="s">
        <v>178</v>
      </c>
    </row>
    <row r="32" spans="2:11">
      <c r="B32" s="351"/>
      <c r="C32" s="5694"/>
    </row>
    <row r="33" spans="2:3">
      <c r="B33" s="351"/>
      <c r="C33" s="5694" t="s">
        <v>179</v>
      </c>
    </row>
    <row r="34" spans="2:3">
      <c r="B34" s="351"/>
      <c r="C34" s="5694" t="s">
        <v>180</v>
      </c>
    </row>
    <row r="35" spans="2:3">
      <c r="B35" s="351"/>
      <c r="C35" s="5694" t="s">
        <v>181</v>
      </c>
    </row>
    <row r="37" spans="2:3">
      <c r="B37" s="351" t="s">
        <v>167</v>
      </c>
      <c r="C37" s="5694" t="s">
        <v>182</v>
      </c>
    </row>
    <row r="38" spans="2:3">
      <c r="B38" s="351"/>
      <c r="C38" s="5694"/>
    </row>
    <row r="39" spans="2:3">
      <c r="B39" s="351"/>
      <c r="C39" s="5694" t="s">
        <v>183</v>
      </c>
    </row>
    <row r="40" spans="2:3">
      <c r="B40" s="351"/>
      <c r="C40" s="5694" t="s">
        <v>180</v>
      </c>
    </row>
    <row r="41" spans="2:3">
      <c r="B41" s="351"/>
      <c r="C41" s="5694" t="s">
        <v>181</v>
      </c>
    </row>
    <row r="43" spans="2:3">
      <c r="B43" s="351" t="s">
        <v>171</v>
      </c>
      <c r="C43" s="5694" t="s">
        <v>6098</v>
      </c>
    </row>
    <row r="44" spans="2:3">
      <c r="B44" s="351"/>
      <c r="C44" s="5694" t="s">
        <v>6099</v>
      </c>
    </row>
    <row r="45" spans="2:3">
      <c r="B45" s="351"/>
      <c r="C45" s="5694" t="s">
        <v>5165</v>
      </c>
    </row>
    <row r="47" spans="2:3">
      <c r="B47" s="351" t="s">
        <v>184</v>
      </c>
      <c r="C47" s="5694" t="s">
        <v>185</v>
      </c>
    </row>
    <row r="48" spans="2:3">
      <c r="B48" s="351"/>
      <c r="C48" s="5694" t="s">
        <v>186</v>
      </c>
    </row>
    <row r="49" spans="2:9">
      <c r="B49" s="351"/>
      <c r="C49" s="5694" t="s">
        <v>187</v>
      </c>
    </row>
    <row r="50" spans="2:9">
      <c r="B50" s="351"/>
      <c r="C50" s="5694"/>
    </row>
    <row r="51" spans="2:9">
      <c r="B51" s="351" t="s">
        <v>188</v>
      </c>
      <c r="C51" s="5694" t="s">
        <v>189</v>
      </c>
    </row>
    <row r="52" spans="2:9">
      <c r="B52" s="351"/>
      <c r="C52" s="5694" t="s">
        <v>6096</v>
      </c>
    </row>
    <row r="53" spans="2:9">
      <c r="B53" s="351"/>
      <c r="C53" s="5694" t="s">
        <v>6097</v>
      </c>
    </row>
    <row r="54" spans="2:9">
      <c r="B54" s="351"/>
      <c r="C54" s="5694"/>
    </row>
    <row r="55" spans="2:9">
      <c r="B55" s="351" t="s">
        <v>198</v>
      </c>
      <c r="C55" s="5694" t="s">
        <v>6100</v>
      </c>
    </row>
    <row r="56" spans="2:9">
      <c r="B56" s="351"/>
      <c r="C56" s="5694" t="s">
        <v>6101</v>
      </c>
    </row>
    <row r="58" spans="2:9">
      <c r="B58" s="349" t="s">
        <v>5168</v>
      </c>
    </row>
    <row r="59" spans="2:9">
      <c r="B59" s="349"/>
    </row>
    <row r="60" spans="2:9">
      <c r="B60" s="351" t="s">
        <v>157</v>
      </c>
      <c r="C60" s="1215" t="s">
        <v>6094</v>
      </c>
    </row>
    <row r="61" spans="2:9">
      <c r="B61" s="349"/>
    </row>
    <row r="62" spans="2:9">
      <c r="B62" s="351" t="s">
        <v>161</v>
      </c>
      <c r="C62" s="1217" t="s">
        <v>6095</v>
      </c>
    </row>
    <row r="63" spans="2:9">
      <c r="B63" s="351"/>
      <c r="C63" s="516" t="s">
        <v>214</v>
      </c>
      <c r="D63" s="344"/>
      <c r="E63" s="344"/>
      <c r="F63" s="344"/>
      <c r="G63" s="344"/>
      <c r="H63" s="344"/>
      <c r="I63" s="344"/>
    </row>
    <row r="64" spans="2:9">
      <c r="B64" s="351"/>
      <c r="C64" s="516" t="s">
        <v>215</v>
      </c>
      <c r="D64" s="344"/>
      <c r="E64" s="344"/>
      <c r="F64" s="344"/>
      <c r="G64" s="344"/>
      <c r="H64" s="344"/>
      <c r="I64" s="344"/>
    </row>
    <row r="65" spans="2:9">
      <c r="B65" s="351"/>
      <c r="C65" s="516" t="s">
        <v>216</v>
      </c>
      <c r="D65" s="344"/>
      <c r="E65" s="344"/>
      <c r="F65" s="344"/>
      <c r="G65" s="344"/>
      <c r="H65" s="344"/>
      <c r="I65" s="344"/>
    </row>
    <row r="66" spans="2:9">
      <c r="C66" s="516" t="s">
        <v>217</v>
      </c>
      <c r="D66" s="344"/>
      <c r="E66" s="344"/>
      <c r="F66" s="344"/>
      <c r="G66" s="344"/>
      <c r="H66" s="344"/>
      <c r="I66" s="344"/>
    </row>
    <row r="67" spans="2:9">
      <c r="C67" s="516"/>
      <c r="D67" s="344"/>
      <c r="E67" s="344"/>
      <c r="F67" s="344"/>
      <c r="G67" s="344"/>
      <c r="H67" s="344"/>
      <c r="I67" s="344"/>
    </row>
    <row r="68" spans="2:9">
      <c r="B68" s="349" t="s">
        <v>190</v>
      </c>
    </row>
    <row r="69" spans="2:9">
      <c r="B69" s="351" t="s">
        <v>157</v>
      </c>
      <c r="C69" s="1217" t="s">
        <v>6107</v>
      </c>
    </row>
    <row r="70" spans="2:9">
      <c r="B70" s="351" t="s">
        <v>161</v>
      </c>
      <c r="C70" s="1217" t="s">
        <v>5166</v>
      </c>
    </row>
    <row r="71" spans="2:9">
      <c r="B71" s="351"/>
      <c r="C71" s="1217" t="s">
        <v>5167</v>
      </c>
    </row>
    <row r="72" spans="2:9">
      <c r="B72" s="351" t="s">
        <v>167</v>
      </c>
      <c r="C72" s="1217" t="s">
        <v>191</v>
      </c>
    </row>
    <row r="73" spans="2:9">
      <c r="B73" s="351"/>
      <c r="C73" s="1217" t="s">
        <v>192</v>
      </c>
    </row>
    <row r="74" spans="2:9">
      <c r="B74" s="351" t="s">
        <v>171</v>
      </c>
      <c r="C74" s="1217" t="s">
        <v>193</v>
      </c>
    </row>
    <row r="75" spans="2:9">
      <c r="B75" s="351"/>
      <c r="C75" s="1217" t="s">
        <v>194</v>
      </c>
    </row>
    <row r="76" spans="2:9">
      <c r="B76" s="351" t="s">
        <v>184</v>
      </c>
      <c r="C76" s="1217" t="s">
        <v>195</v>
      </c>
    </row>
    <row r="77" spans="2:9">
      <c r="B77" s="351"/>
      <c r="C77" s="1217" t="s">
        <v>196</v>
      </c>
    </row>
    <row r="78" spans="2:9">
      <c r="B78" s="351" t="s">
        <v>188</v>
      </c>
      <c r="C78" s="1217" t="s">
        <v>197</v>
      </c>
    </row>
    <row r="79" spans="2:9">
      <c r="B79" s="351" t="s">
        <v>198</v>
      </c>
      <c r="C79" s="1217" t="s">
        <v>199</v>
      </c>
    </row>
    <row r="80" spans="2:9">
      <c r="B80" s="351" t="s">
        <v>200</v>
      </c>
      <c r="C80" s="1217" t="s">
        <v>201</v>
      </c>
    </row>
    <row r="81" spans="2:4">
      <c r="C81" s="1217" t="s">
        <v>202</v>
      </c>
    </row>
    <row r="82" spans="2:4">
      <c r="C82" s="1217" t="s">
        <v>203</v>
      </c>
    </row>
    <row r="83" spans="2:4" ht="14.1" customHeight="1">
      <c r="C83" s="1217" t="s">
        <v>204</v>
      </c>
    </row>
    <row r="84" spans="2:4" ht="14.1" customHeight="1">
      <c r="B84" s="351" t="s">
        <v>205</v>
      </c>
      <c r="C84" s="1217" t="s">
        <v>206</v>
      </c>
    </row>
    <row r="85" spans="2:4" ht="14.1" customHeight="1">
      <c r="B85" s="351"/>
      <c r="C85" s="1217" t="s">
        <v>207</v>
      </c>
    </row>
    <row r="86" spans="2:4" ht="14.1" customHeight="1">
      <c r="B86" s="351"/>
      <c r="C86" s="1217" t="s">
        <v>208</v>
      </c>
    </row>
    <row r="87" spans="2:4">
      <c r="B87" s="351"/>
      <c r="C87" s="1217" t="s">
        <v>209</v>
      </c>
    </row>
    <row r="88" spans="2:4">
      <c r="B88" s="351" t="s">
        <v>210</v>
      </c>
      <c r="C88" s="1217" t="s">
        <v>211</v>
      </c>
    </row>
    <row r="89" spans="2:4">
      <c r="B89" s="351" t="s">
        <v>212</v>
      </c>
      <c r="C89" s="1217" t="s">
        <v>213</v>
      </c>
    </row>
    <row r="91" spans="2:4" ht="15.75" thickBot="1">
      <c r="C91" s="5695"/>
    </row>
    <row r="92" spans="2:4">
      <c r="C92" s="5696"/>
      <c r="D92" s="378"/>
    </row>
    <row r="93" spans="2:4">
      <c r="C93" s="5697" t="s">
        <v>42</v>
      </c>
      <c r="D93" s="379"/>
    </row>
    <row r="94" spans="2:4" ht="13.5" thickBot="1">
      <c r="C94" s="5210"/>
      <c r="D94" s="381"/>
    </row>
  </sheetData>
  <sheetProtection algorithmName="SHA-512" hashValue="t5Vkzq9F/j+yUvU9p2uSFejzzysLVyM7Agvv14teOaKh6pPsQ8cgKFknGP5rF+MkbX4j0ye9e6GtBHR9DfqKWw==" saltValue="sew9bW9t+GzwQgxu30OHWQ==" spinCount="100000" sheet="1" objects="1" scenarios="1" formatCells="0" formatColumns="0" formatRows="0"/>
  <hyperlinks>
    <hyperlink ref="I18" r:id="rId1" xr:uid="{00000000-0004-0000-0200-000000000000}"/>
    <hyperlink ref="C93" location="'Table of Contents'!A1" display="Table of Contents" xr:uid="{00000000-0004-0000-0200-000001000000}"/>
  </hyperlinks>
  <pageMargins left="0.75" right="0.25" top="0.36" bottom="0.28999999999999998" header="0.36" footer="0.21"/>
  <pageSetup scale="93" fitToHeight="0" orientation="portrait" r:id="rId2"/>
  <rowBreaks count="1" manualBreakCount="1">
    <brk id="67" max="11"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pageSetUpPr fitToPage="1"/>
  </sheetPr>
  <dimension ref="A1:AA113"/>
  <sheetViews>
    <sheetView zoomScaleNormal="100" zoomScaleSheetLayoutView="100" workbookViewId="0"/>
  </sheetViews>
  <sheetFormatPr defaultColWidth="9.140625" defaultRowHeight="12.75"/>
  <cols>
    <col min="1" max="1" width="7" style="4638" customWidth="1"/>
    <col min="2" max="2" width="37.7109375" customWidth="1"/>
    <col min="3" max="8" width="19.42578125" customWidth="1"/>
    <col min="9" max="9" width="13" customWidth="1"/>
    <col min="10" max="10" width="13.28515625" customWidth="1"/>
    <col min="11" max="11" width="2.140625" customWidth="1"/>
    <col min="12" max="12" width="18.140625" style="5" customWidth="1"/>
    <col min="13" max="13" width="30.5703125" customWidth="1"/>
    <col min="14" max="14" width="10.85546875" style="304" customWidth="1"/>
    <col min="15" max="15" width="13.7109375" style="769" customWidth="1"/>
    <col min="16" max="25" width="9.140625" style="658"/>
    <col min="26" max="26" width="9.140625" style="1363"/>
    <col min="27" max="27" width="8.140625" style="194" bestFit="1" customWidth="1"/>
  </cols>
  <sheetData>
    <row r="1" spans="1:27" ht="42" customHeight="1" thickBot="1">
      <c r="A1" s="4567"/>
      <c r="B1" s="4568" t="s">
        <v>218</v>
      </c>
      <c r="C1" s="4569"/>
      <c r="D1" s="4570"/>
      <c r="E1" s="4570"/>
      <c r="F1" s="4571" t="s">
        <v>219</v>
      </c>
      <c r="G1" s="4572">
        <v>176100</v>
      </c>
      <c r="H1" s="4571" t="s">
        <v>220</v>
      </c>
      <c r="I1" s="4573">
        <v>6.2E-2</v>
      </c>
      <c r="J1" s="4571"/>
      <c r="K1" s="4571" t="s">
        <v>221</v>
      </c>
      <c r="L1" s="4572">
        <f>ROUND(MaxSSTaxEarnings*SSTaxRate,2)</f>
        <v>10918.2</v>
      </c>
      <c r="M1" s="1614" t="s">
        <v>222</v>
      </c>
      <c r="N1" s="2159"/>
      <c r="O1" s="768" t="s">
        <v>223</v>
      </c>
    </row>
    <row r="2" spans="1:27" ht="42" customHeight="1" thickTop="1">
      <c r="A2" s="4574"/>
      <c r="B2" s="4575" t="str">
        <f>IF(Name_1st_Yours="","Enter your name on the"&amp;CHAR(10)&amp;"sheet labeled '1040'",NameYours)</f>
        <v>Enter your name on the
sheet labeled '1040'</v>
      </c>
      <c r="C2" s="1331" t="s">
        <v>6601</v>
      </c>
      <c r="D2" s="1331" t="s">
        <v>6602</v>
      </c>
      <c r="E2" s="1331" t="s">
        <v>6603</v>
      </c>
      <c r="F2" s="1331" t="s">
        <v>6604</v>
      </c>
      <c r="G2" s="1331" t="s">
        <v>6605</v>
      </c>
      <c r="H2" s="1331" t="s">
        <v>6606</v>
      </c>
      <c r="I2" s="4574" t="s">
        <v>224</v>
      </c>
      <c r="J2" s="4576" t="s">
        <v>225</v>
      </c>
      <c r="K2" s="185"/>
      <c r="L2" s="4577" t="s">
        <v>226</v>
      </c>
      <c r="M2" s="4578"/>
      <c r="N2" s="4579"/>
      <c r="O2" s="968" t="s">
        <v>227</v>
      </c>
    </row>
    <row r="3" spans="1:27" ht="19.5" customHeight="1">
      <c r="A3" s="4580" t="s">
        <v>228</v>
      </c>
      <c r="B3" s="1895" t="s">
        <v>229</v>
      </c>
      <c r="C3" s="639"/>
      <c r="D3" s="639"/>
      <c r="E3" s="640"/>
      <c r="F3" s="641"/>
      <c r="G3" s="641"/>
      <c r="H3" s="641"/>
      <c r="I3" s="4581">
        <f>SUM(ROUND(C3,0),ROUND(D3,0),ROUND(E3,0),ROUND(F3,0),ROUND(G3,0),ROUND(H3,0))</f>
        <v>0</v>
      </c>
      <c r="J3" s="4582"/>
      <c r="K3" s="4582"/>
      <c r="L3" s="4583"/>
      <c r="M3" s="4584"/>
      <c r="N3" s="989">
        <v>100000</v>
      </c>
      <c r="Z3" s="1364"/>
      <c r="AA3" s="989"/>
    </row>
    <row r="4" spans="1:27">
      <c r="A4" s="4580" t="s">
        <v>230</v>
      </c>
      <c r="B4" s="1895" t="s">
        <v>231</v>
      </c>
      <c r="C4" s="642"/>
      <c r="D4" s="642"/>
      <c r="E4" s="642"/>
      <c r="F4" s="644"/>
      <c r="G4" s="644"/>
      <c r="H4" s="644"/>
      <c r="I4" s="4585">
        <f t="shared" ref="I4:I28" si="0">SUM(ROUND(C4,0),ROUND(D4,0),ROUND(E4,0),ROUND(F4,0),ROUND(G4,0),ROUND(H4,0))</f>
        <v>0</v>
      </c>
      <c r="J4" s="4582"/>
      <c r="K4" s="4582"/>
      <c r="L4" s="4586"/>
      <c r="M4" s="4584"/>
      <c r="N4" s="989">
        <f>0.19*N3</f>
        <v>19000</v>
      </c>
      <c r="Z4" s="1364"/>
      <c r="AA4" s="989"/>
    </row>
    <row r="5" spans="1:27">
      <c r="A5" s="4580" t="s">
        <v>232</v>
      </c>
      <c r="B5" s="1895" t="s">
        <v>233</v>
      </c>
      <c r="C5" s="642"/>
      <c r="D5" s="642"/>
      <c r="E5" s="642"/>
      <c r="F5" s="644"/>
      <c r="G5" s="644"/>
      <c r="H5" s="644"/>
      <c r="I5" s="4585">
        <f t="shared" si="0"/>
        <v>0</v>
      </c>
      <c r="J5" s="4"/>
      <c r="K5" s="4"/>
      <c r="L5" s="4578" t="s">
        <v>6611</v>
      </c>
      <c r="M5" s="4584"/>
      <c r="N5" s="989">
        <f>IF(N3="",0,MIN(N3,MaxSSTaxEarnings))</f>
        <v>100000</v>
      </c>
      <c r="Z5" s="1364"/>
      <c r="AA5" s="989"/>
    </row>
    <row r="6" spans="1:27">
      <c r="A6" s="4580" t="s">
        <v>235</v>
      </c>
      <c r="B6" s="1895" t="s">
        <v>236</v>
      </c>
      <c r="C6" s="642"/>
      <c r="D6" s="642"/>
      <c r="E6" s="642"/>
      <c r="F6" s="644"/>
      <c r="G6" s="644"/>
      <c r="H6" s="644"/>
      <c r="I6" s="4587">
        <f>SUM(C6:H6)</f>
        <v>0</v>
      </c>
      <c r="J6" s="4">
        <f>IF(SUM(I6,-MaxSSTax)&gt;0,SUM(I6,-MaxSSTax),0)</f>
        <v>0</v>
      </c>
      <c r="K6" s="4"/>
      <c r="L6" s="4582" t="str">
        <f>IF(AND(EmployerCountYou&gt;1,J6&gt;0),"Schedule 3, line 11.",IF(AND(EmployerCountYou=1,J6&gt;0),"See note below.",""))</f>
        <v/>
      </c>
      <c r="M6" s="4351" t="str">
        <f>IF(J6&lt;1000,TEXT(J6,"$0.00"),TEXT(J6,"$0,000.00"))</f>
        <v>$0.00</v>
      </c>
      <c r="N6" s="989">
        <f>MIN(SSTaxRate*N3,MaxSSTax)</f>
        <v>6200</v>
      </c>
      <c r="Z6" s="1364"/>
      <c r="AA6" s="989"/>
    </row>
    <row r="7" spans="1:27">
      <c r="A7" s="4580" t="s">
        <v>237</v>
      </c>
      <c r="B7" s="1895" t="s">
        <v>238</v>
      </c>
      <c r="C7" s="642"/>
      <c r="D7" s="642"/>
      <c r="E7" s="642"/>
      <c r="F7" s="644"/>
      <c r="G7" s="644"/>
      <c r="H7" s="644"/>
      <c r="I7" s="4585">
        <f t="shared" si="0"/>
        <v>0</v>
      </c>
      <c r="J7" s="4"/>
      <c r="K7" s="4"/>
      <c r="L7" s="4586"/>
      <c r="M7" s="4584"/>
      <c r="N7" s="989">
        <f>N3</f>
        <v>100000</v>
      </c>
      <c r="Z7" s="1364"/>
      <c r="AA7" s="989"/>
    </row>
    <row r="8" spans="1:27">
      <c r="A8" s="4580" t="s">
        <v>239</v>
      </c>
      <c r="B8" s="1895" t="s">
        <v>240</v>
      </c>
      <c r="C8" s="642"/>
      <c r="D8" s="642"/>
      <c r="E8" s="642"/>
      <c r="F8" s="644"/>
      <c r="G8" s="644"/>
      <c r="H8" s="644"/>
      <c r="I8" s="4585">
        <f t="shared" si="0"/>
        <v>0</v>
      </c>
      <c r="J8" s="4"/>
      <c r="K8" s="4"/>
      <c r="L8" s="4588" t="s">
        <v>241</v>
      </c>
      <c r="M8" s="4584"/>
      <c r="N8" s="989">
        <f>MedicareTaxRate*N7</f>
        <v>1450</v>
      </c>
      <c r="Z8" s="1364"/>
      <c r="AA8" s="989"/>
    </row>
    <row r="9" spans="1:27">
      <c r="A9" s="4580" t="s">
        <v>242</v>
      </c>
      <c r="B9" s="1895" t="s">
        <v>243</v>
      </c>
      <c r="C9" s="642"/>
      <c r="D9" s="642"/>
      <c r="E9" s="643"/>
      <c r="F9" s="644"/>
      <c r="G9" s="644"/>
      <c r="H9" s="644"/>
      <c r="I9" s="4585">
        <f t="shared" si="0"/>
        <v>0</v>
      </c>
      <c r="J9" s="4"/>
      <c r="K9" s="4"/>
      <c r="L9" s="4578" t="s">
        <v>6611</v>
      </c>
      <c r="M9" s="4584"/>
      <c r="N9" s="5691">
        <v>26789</v>
      </c>
    </row>
    <row r="10" spans="1:27">
      <c r="A10" s="4580" t="s">
        <v>244</v>
      </c>
      <c r="B10" s="4589" t="s">
        <v>245</v>
      </c>
      <c r="C10" s="642"/>
      <c r="D10" s="642"/>
      <c r="E10" s="643"/>
      <c r="F10" s="644"/>
      <c r="G10" s="644"/>
      <c r="H10" s="644"/>
      <c r="I10" s="4585">
        <f t="shared" si="0"/>
        <v>0</v>
      </c>
      <c r="J10" s="4"/>
      <c r="K10" s="4"/>
      <c r="M10" s="4590"/>
      <c r="P10" s="664"/>
    </row>
    <row r="11" spans="1:27">
      <c r="A11" s="4580" t="s">
        <v>246</v>
      </c>
      <c r="B11" s="1895" t="s">
        <v>247</v>
      </c>
      <c r="C11" s="642"/>
      <c r="D11" s="642"/>
      <c r="E11" s="643"/>
      <c r="F11" s="644"/>
      <c r="G11" s="644"/>
      <c r="H11" s="644"/>
      <c r="I11" s="4585">
        <f t="shared" si="0"/>
        <v>0</v>
      </c>
      <c r="J11" s="4"/>
      <c r="K11" s="4"/>
      <c r="M11" s="4590"/>
    </row>
    <row r="12" spans="1:27">
      <c r="A12" s="4580" t="s">
        <v>248</v>
      </c>
      <c r="B12" s="4589" t="s">
        <v>249</v>
      </c>
      <c r="C12" s="642"/>
      <c r="D12" s="642"/>
      <c r="E12" s="643"/>
      <c r="F12" s="644"/>
      <c r="G12" s="644"/>
      <c r="H12" s="644"/>
      <c r="I12" s="4585">
        <f t="shared" si="0"/>
        <v>0</v>
      </c>
      <c r="J12" s="4"/>
      <c r="K12" s="4"/>
      <c r="M12" s="4590"/>
    </row>
    <row r="13" spans="1:27">
      <c r="A13" s="6619" t="s">
        <v>6542</v>
      </c>
      <c r="B13" s="1895" t="s">
        <v>6543</v>
      </c>
      <c r="C13" s="642"/>
      <c r="D13" s="642"/>
      <c r="E13" s="643"/>
      <c r="F13" s="644"/>
      <c r="G13" s="644"/>
      <c r="H13" s="6650" t="s">
        <v>369</v>
      </c>
      <c r="I13" s="4585">
        <f>SUM(ROUND(C13,0),ROUND(D13,0),ROUND(E13,0),ROUND(F13,0),ROUND(G13,0))</f>
        <v>0</v>
      </c>
      <c r="J13" s="4"/>
      <c r="K13" s="4"/>
      <c r="L13" s="329" t="s">
        <v>6608</v>
      </c>
      <c r="M13" s="4590"/>
    </row>
    <row r="14" spans="1:27">
      <c r="A14" s="6619" t="s">
        <v>6544</v>
      </c>
      <c r="B14" s="1895" t="s">
        <v>6545</v>
      </c>
      <c r="C14" s="642"/>
      <c r="D14" s="642"/>
      <c r="E14" s="643"/>
      <c r="F14" s="644"/>
      <c r="G14" s="644"/>
      <c r="H14" s="6650" t="s">
        <v>369</v>
      </c>
      <c r="I14" s="4585">
        <f>SUM(ROUND(C14,0),ROUND(D14,0),ROUND(E14,0),ROUND(F14,0),ROUND(G14,0))</f>
        <v>0</v>
      </c>
      <c r="J14" s="4"/>
      <c r="K14" s="4"/>
      <c r="L14" s="329" t="s">
        <v>6608</v>
      </c>
      <c r="M14" s="4590"/>
    </row>
    <row r="15" spans="1:27">
      <c r="A15" s="6619" t="s">
        <v>6546</v>
      </c>
      <c r="B15" s="1895" t="s">
        <v>6547</v>
      </c>
      <c r="C15" s="642"/>
      <c r="D15" s="642"/>
      <c r="E15" s="643"/>
      <c r="F15" s="644"/>
      <c r="G15" s="644"/>
      <c r="H15" s="644"/>
      <c r="I15" s="4585">
        <f t="shared" si="0"/>
        <v>0</v>
      </c>
      <c r="J15" s="4"/>
      <c r="K15" s="4"/>
      <c r="L15" s="6705" t="s">
        <v>6729</v>
      </c>
      <c r="M15" s="4590"/>
    </row>
    <row r="16" spans="1:27" ht="27" customHeight="1">
      <c r="A16" s="6619" t="s">
        <v>6548</v>
      </c>
      <c r="B16" s="6620" t="s">
        <v>6557</v>
      </c>
      <c r="C16" s="642"/>
      <c r="D16" s="642"/>
      <c r="E16" s="643"/>
      <c r="F16" s="644"/>
      <c r="G16" s="644"/>
      <c r="H16" s="644"/>
      <c r="I16" s="4585">
        <f t="shared" si="0"/>
        <v>0</v>
      </c>
      <c r="J16" s="4"/>
      <c r="K16" s="4"/>
      <c r="L16" s="6681" t="s">
        <v>6649</v>
      </c>
      <c r="M16" s="4590"/>
      <c r="O16" s="795"/>
    </row>
    <row r="17" spans="1:26" ht="25.5">
      <c r="A17" s="6619" t="s">
        <v>6549</v>
      </c>
      <c r="B17" s="6621" t="s">
        <v>6550</v>
      </c>
      <c r="C17" s="642"/>
      <c r="D17" s="642"/>
      <c r="E17" s="643"/>
      <c r="F17" s="644"/>
      <c r="G17" s="644"/>
      <c r="H17" s="644"/>
      <c r="I17" s="4585">
        <f t="shared" ref="I17:I23" si="1">SUM(ROUND(C17,0),ROUND(D17,0),ROUND(E17,0),ROUND(F17,0),ROUND(G17,0),ROUND(H17,0))</f>
        <v>0</v>
      </c>
      <c r="J17" s="4"/>
      <c r="K17" s="4"/>
      <c r="L17" s="6681" t="s">
        <v>6652</v>
      </c>
      <c r="M17" s="4590"/>
    </row>
    <row r="18" spans="1:26" ht="25.5">
      <c r="A18" s="6619" t="s">
        <v>6551</v>
      </c>
      <c r="B18" s="6621" t="s">
        <v>6552</v>
      </c>
      <c r="C18" s="642"/>
      <c r="D18" s="642"/>
      <c r="E18" s="643"/>
      <c r="F18" s="644"/>
      <c r="G18" s="644"/>
      <c r="H18" s="644"/>
      <c r="I18" s="4585">
        <f t="shared" si="1"/>
        <v>0</v>
      </c>
      <c r="J18" s="4"/>
      <c r="K18" s="4"/>
      <c r="L18" s="6681" t="s">
        <v>6652</v>
      </c>
      <c r="M18" s="4590"/>
    </row>
    <row r="19" spans="1:26" ht="25.5">
      <c r="A19" s="6619" t="s">
        <v>6553</v>
      </c>
      <c r="B19" s="6621" t="s">
        <v>6554</v>
      </c>
      <c r="C19" s="642"/>
      <c r="D19" s="642"/>
      <c r="E19" s="643"/>
      <c r="F19" s="644"/>
      <c r="G19" s="644"/>
      <c r="H19" s="644"/>
      <c r="I19" s="4585">
        <f t="shared" si="1"/>
        <v>0</v>
      </c>
      <c r="J19" s="4"/>
      <c r="K19" s="4"/>
      <c r="L19" s="6681" t="s">
        <v>6654</v>
      </c>
      <c r="M19" s="4590"/>
    </row>
    <row r="20" spans="1:26">
      <c r="A20" s="6619" t="s">
        <v>6555</v>
      </c>
      <c r="B20" s="1895" t="s">
        <v>6556</v>
      </c>
      <c r="C20" s="642"/>
      <c r="D20" s="642"/>
      <c r="E20" s="643"/>
      <c r="F20" s="644"/>
      <c r="G20" s="644"/>
      <c r="H20" s="644"/>
      <c r="I20" s="4585">
        <f t="shared" si="1"/>
        <v>0</v>
      </c>
      <c r="J20" s="4"/>
      <c r="K20" s="4"/>
      <c r="L20" s="6705" t="s">
        <v>6695</v>
      </c>
      <c r="M20" s="6705"/>
    </row>
    <row r="21" spans="1:26">
      <c r="A21" s="6619" t="s">
        <v>6727</v>
      </c>
      <c r="B21" s="1895" t="s">
        <v>6728</v>
      </c>
      <c r="C21" s="642"/>
      <c r="D21" s="642"/>
      <c r="E21" s="643"/>
      <c r="F21" s="644"/>
      <c r="G21" s="644"/>
      <c r="H21" s="644"/>
      <c r="I21" s="4585">
        <f t="shared" si="1"/>
        <v>0</v>
      </c>
      <c r="J21" s="4"/>
      <c r="K21" s="4"/>
      <c r="L21" s="6705" t="s">
        <v>6729</v>
      </c>
      <c r="M21" s="6705"/>
    </row>
    <row r="22" spans="1:26">
      <c r="A22" s="6619" t="s">
        <v>6718</v>
      </c>
      <c r="B22" s="1895" t="s">
        <v>6724</v>
      </c>
      <c r="C22" s="642"/>
      <c r="D22" s="642"/>
      <c r="E22" s="643"/>
      <c r="F22" s="644"/>
      <c r="G22" s="644"/>
      <c r="H22" s="644"/>
      <c r="I22" s="4585">
        <f t="shared" si="1"/>
        <v>0</v>
      </c>
      <c r="J22" s="4"/>
      <c r="K22" s="4"/>
      <c r="L22" s="6705" t="s">
        <v>6721</v>
      </c>
      <c r="M22" s="6705"/>
    </row>
    <row r="23" spans="1:26">
      <c r="A23" s="4580" t="s">
        <v>251</v>
      </c>
      <c r="B23" s="4589" t="s">
        <v>252</v>
      </c>
      <c r="C23" s="642"/>
      <c r="D23" s="642"/>
      <c r="E23" s="643"/>
      <c r="F23" s="644"/>
      <c r="G23" s="644"/>
      <c r="H23" s="644"/>
      <c r="I23" s="4585">
        <f t="shared" si="1"/>
        <v>0</v>
      </c>
      <c r="J23" s="4"/>
      <c r="K23" s="4"/>
      <c r="M23" s="4590"/>
    </row>
    <row r="24" spans="1:26">
      <c r="A24" s="4580" t="s">
        <v>253</v>
      </c>
      <c r="B24" s="4589" t="s">
        <v>254</v>
      </c>
      <c r="C24" s="642"/>
      <c r="D24" s="642"/>
      <c r="E24" s="643"/>
      <c r="F24" s="644"/>
      <c r="G24" s="644"/>
      <c r="H24" s="644"/>
      <c r="I24" s="4585">
        <f t="shared" si="0"/>
        <v>0</v>
      </c>
      <c r="J24" s="4"/>
      <c r="K24" s="4"/>
      <c r="M24" s="4590"/>
      <c r="O24" s="795"/>
    </row>
    <row r="25" spans="1:26">
      <c r="A25" s="4580" t="s">
        <v>253</v>
      </c>
      <c r="B25" s="1895" t="s">
        <v>255</v>
      </c>
      <c r="C25" s="642"/>
      <c r="D25" s="642"/>
      <c r="E25" s="643"/>
      <c r="F25" s="643"/>
      <c r="G25" s="643"/>
      <c r="H25" s="643"/>
      <c r="I25" s="4585">
        <f t="shared" si="0"/>
        <v>0</v>
      </c>
      <c r="J25" s="4"/>
      <c r="K25" s="4"/>
      <c r="L25" s="1" t="str">
        <f>IF(I35,"Form 8959, line 14","")</f>
        <v/>
      </c>
      <c r="M25" s="4590"/>
    </row>
    <row r="26" spans="1:26">
      <c r="A26" s="4580" t="s">
        <v>253</v>
      </c>
      <c r="B26" s="4591" t="s">
        <v>256</v>
      </c>
      <c r="C26" s="642"/>
      <c r="D26" s="642"/>
      <c r="E26" s="642"/>
      <c r="F26" s="642"/>
      <c r="G26" s="642"/>
      <c r="H26" s="642"/>
      <c r="I26" s="4585">
        <f t="shared" si="0"/>
        <v>0</v>
      </c>
      <c r="J26" s="4"/>
      <c r="K26" s="4"/>
      <c r="M26" s="4590"/>
    </row>
    <row r="27" spans="1:26">
      <c r="A27" s="4580" t="s">
        <v>257</v>
      </c>
      <c r="B27" s="4589" t="s">
        <v>258</v>
      </c>
      <c r="C27" s="1472"/>
      <c r="D27" s="1472"/>
      <c r="E27" s="1472"/>
      <c r="F27" s="1472"/>
      <c r="G27" s="1472"/>
      <c r="H27" s="1472"/>
      <c r="I27" s="4592" t="s">
        <v>259</v>
      </c>
      <c r="J27" s="4"/>
      <c r="K27" s="4"/>
      <c r="M27" s="4590"/>
    </row>
    <row r="28" spans="1:26">
      <c r="A28" s="4580" t="s">
        <v>260</v>
      </c>
      <c r="B28" s="4589" t="s">
        <v>261</v>
      </c>
      <c r="C28" s="642"/>
      <c r="D28" s="642"/>
      <c r="E28" s="643"/>
      <c r="F28" s="643"/>
      <c r="G28" s="643"/>
      <c r="H28" s="644"/>
      <c r="I28" s="4585">
        <f t="shared" si="0"/>
        <v>0</v>
      </c>
      <c r="J28" s="4"/>
      <c r="K28" s="4"/>
      <c r="M28" s="4590"/>
    </row>
    <row r="29" spans="1:26">
      <c r="A29" s="4580" t="s">
        <v>262</v>
      </c>
      <c r="B29" s="1895" t="s">
        <v>263</v>
      </c>
      <c r="C29" s="642"/>
      <c r="D29" s="642"/>
      <c r="E29" s="643"/>
      <c r="F29" s="644"/>
      <c r="G29" s="644"/>
      <c r="H29" s="644"/>
      <c r="I29" s="4585">
        <f>SUM(ROUND(C29,0),ROUND(D29,0),ROUND(E29,0),ROUND(F29,0),ROUND(G29,0),ROUND(H29,0))</f>
        <v>0</v>
      </c>
      <c r="J29" s="4"/>
      <c r="K29" s="4"/>
      <c r="M29" s="4590"/>
      <c r="N29" s="1250">
        <f>0.05*N3</f>
        <v>5000</v>
      </c>
      <c r="Z29" s="1364"/>
    </row>
    <row r="30" spans="1:26">
      <c r="A30" s="4580" t="s">
        <v>264</v>
      </c>
      <c r="B30" s="4589" t="s">
        <v>265</v>
      </c>
      <c r="C30" s="642"/>
      <c r="D30" s="643"/>
      <c r="E30" s="643"/>
      <c r="F30" s="644"/>
      <c r="G30" s="644"/>
      <c r="H30" s="644"/>
      <c r="I30" s="4585">
        <f>SUM(ROUND(C30,0),ROUND(D30,0),ROUND(E30,0),ROUND(F30,0),ROUND(G30,0),ROUND(H30,0))</f>
        <v>0</v>
      </c>
      <c r="J30" s="4"/>
      <c r="K30" s="4"/>
      <c r="M30" s="4590"/>
    </row>
    <row r="31" spans="1:26">
      <c r="A31" s="4580" t="s">
        <v>266</v>
      </c>
      <c r="B31" s="1895" t="s">
        <v>267</v>
      </c>
      <c r="C31" s="642"/>
      <c r="D31" s="642"/>
      <c r="E31" s="642"/>
      <c r="F31" s="642"/>
      <c r="G31" s="642"/>
      <c r="H31" s="642"/>
      <c r="I31" s="4585">
        <f>SUM(ROUND(C31,0),ROUND(D31,0),ROUND(E31,0),ROUND(F31,0),ROUND(G31,0),ROUND(H31,0))</f>
        <v>0</v>
      </c>
      <c r="J31" s="4"/>
      <c r="K31" s="4"/>
      <c r="M31" s="4593"/>
    </row>
    <row r="32" spans="1:26">
      <c r="A32" s="4580" t="s">
        <v>268</v>
      </c>
      <c r="B32" s="4594" t="s">
        <v>269</v>
      </c>
      <c r="C32" s="1472"/>
      <c r="D32" s="1472"/>
      <c r="E32" s="1472"/>
      <c r="F32" s="1472"/>
      <c r="G32" s="1472"/>
      <c r="H32" s="1472"/>
      <c r="I32" s="4592" t="s">
        <v>259</v>
      </c>
      <c r="J32" s="4595"/>
      <c r="K32" s="4"/>
      <c r="M32" s="4593"/>
    </row>
    <row r="33" spans="1:14" hidden="1">
      <c r="A33" s="185"/>
      <c r="B33" s="4596" t="s">
        <v>270</v>
      </c>
      <c r="C33" s="1517">
        <f t="shared" ref="C33:H33" si="2">IF(C6&lt;&gt;"",1,0)</f>
        <v>0</v>
      </c>
      <c r="D33" s="1517">
        <f t="shared" si="2"/>
        <v>0</v>
      </c>
      <c r="E33" s="1517">
        <f t="shared" si="2"/>
        <v>0</v>
      </c>
      <c r="F33" s="1517">
        <f t="shared" si="2"/>
        <v>0</v>
      </c>
      <c r="G33" s="1517">
        <f t="shared" si="2"/>
        <v>0</v>
      </c>
      <c r="H33" s="1517">
        <f t="shared" si="2"/>
        <v>0</v>
      </c>
      <c r="I33" s="820">
        <f>SUM(C33:H33)</f>
        <v>0</v>
      </c>
      <c r="J33" s="740"/>
      <c r="K33" s="4"/>
      <c r="M33" s="3502"/>
    </row>
    <row r="34" spans="1:14" ht="15" hidden="1" customHeight="1">
      <c r="A34" s="817"/>
      <c r="B34" s="4596" t="str">
        <f>"Medicare wages and tip &gt; "&amp;TEXT(J34,"$0,000")</f>
        <v>Medicare wages and tip &gt; $200,000</v>
      </c>
      <c r="C34" s="4597" t="b">
        <f t="shared" ref="C34:H34" si="3">(C7&gt;$J34)</f>
        <v>0</v>
      </c>
      <c r="D34" s="4597" t="b">
        <f t="shared" si="3"/>
        <v>0</v>
      </c>
      <c r="E34" s="4597" t="b">
        <f t="shared" si="3"/>
        <v>0</v>
      </c>
      <c r="F34" s="4597" t="b">
        <f t="shared" si="3"/>
        <v>0</v>
      </c>
      <c r="G34" s="4597" t="b">
        <f t="shared" si="3"/>
        <v>0</v>
      </c>
      <c r="H34" s="4597" t="b">
        <f t="shared" si="3"/>
        <v>0</v>
      </c>
      <c r="I34" s="4597" t="b">
        <f>OR(C34:H34)</f>
        <v>0</v>
      </c>
      <c r="J34" s="4598">
        <f>'8959'!$H$24</f>
        <v>200000</v>
      </c>
      <c r="K34" s="185"/>
      <c r="L34" s="4599"/>
      <c r="M34" s="4600"/>
    </row>
    <row r="35" spans="1:14" ht="15" hidden="1" customHeight="1">
      <c r="A35" s="817"/>
      <c r="B35" s="4596" t="str">
        <f>"RRTA &gt; "&amp;TEXT(J35,"$0,000")</f>
        <v>RRTA &gt; $200,000</v>
      </c>
      <c r="C35" s="4597" t="b">
        <f>IF(C25&gt;'8959'!$H$24,TRUE,FALSE)</f>
        <v>0</v>
      </c>
      <c r="D35" s="4597" t="b">
        <f>IF(D25&gt;'8959'!$H$24,TRUE,FALSE)</f>
        <v>0</v>
      </c>
      <c r="E35" s="4597" t="b">
        <f>IF(E25&gt;'8959'!$H$24,TRUE,FALSE)</f>
        <v>0</v>
      </c>
      <c r="F35" s="4597" t="b">
        <f>IF(F25&gt;'8959'!$H$24,TRUE,FALSE)</f>
        <v>0</v>
      </c>
      <c r="G35" s="4597" t="b">
        <f>IF(G25&gt;'8959'!$H$24,TRUE,FALSE)</f>
        <v>0</v>
      </c>
      <c r="H35" s="4597" t="b">
        <f>IF(H25&gt;'8959'!$H$24,TRUE,FALSE)</f>
        <v>0</v>
      </c>
      <c r="I35" s="4597" t="b">
        <f>OR(C35:H35)</f>
        <v>0</v>
      </c>
      <c r="J35" s="4598">
        <f>'8959'!H46</f>
        <v>200000</v>
      </c>
      <c r="K35" s="185"/>
      <c r="L35" s="4599"/>
      <c r="M35" s="4600"/>
    </row>
    <row r="36" spans="1:14" ht="15" customHeight="1">
      <c r="A36" s="817"/>
      <c r="B36" s="4601"/>
      <c r="C36" s="4602" t="str">
        <f>IF(AND(I6&gt;MaxSSTax,EmployerCountYou=1),"Notify your employer that they withheld "&amp;M6&amp;" too much Social Security Tax or file Form 843, Claim for Refund and Request for Abatement.","")</f>
        <v/>
      </c>
      <c r="D36" s="4601"/>
      <c r="E36" s="4601"/>
      <c r="F36" s="4601"/>
      <c r="G36" s="4601"/>
      <c r="H36" s="4601"/>
      <c r="I36" s="4601"/>
      <c r="J36" s="4601"/>
      <c r="K36" s="185"/>
      <c r="L36" s="4599"/>
      <c r="M36" s="4600"/>
    </row>
    <row r="37" spans="1:14" ht="15" customHeight="1" thickBot="1">
      <c r="A37" s="817"/>
      <c r="B37" s="4603" t="str">
        <f>IF(OR(AND(C7="",C8&lt;&gt;""),AND(D7="",D8&lt;&gt;""),AND(E7="",E8&lt;&gt;""),AND(F7="",F8&lt;&gt;"")),"CAUTION:  Entering an amount into Line 6 without entering an amount into Line 5 will result in a tax calculation error.","")</f>
        <v/>
      </c>
      <c r="C37" s="4603"/>
      <c r="D37" s="228"/>
      <c r="E37" s="228"/>
      <c r="F37" s="228"/>
      <c r="G37" s="228"/>
      <c r="H37" s="228"/>
      <c r="I37" s="228"/>
      <c r="J37" s="228"/>
      <c r="K37" s="185"/>
      <c r="L37" s="4599"/>
      <c r="M37" s="4600"/>
    </row>
    <row r="38" spans="1:14" ht="42" customHeight="1" thickTop="1">
      <c r="A38" s="4604"/>
      <c r="B38" s="4605" t="s">
        <v>218</v>
      </c>
      <c r="C38" s="4606"/>
      <c r="D38" s="4607"/>
      <c r="E38" s="4607"/>
      <c r="F38" s="4607"/>
      <c r="G38" s="4607"/>
      <c r="H38" s="4607"/>
      <c r="I38" s="4607"/>
      <c r="J38" s="4607"/>
      <c r="K38" s="4607"/>
      <c r="L38" s="4608"/>
      <c r="M38" s="141"/>
      <c r="N38" s="2159"/>
    </row>
    <row r="39" spans="1:14" ht="36.75" customHeight="1">
      <c r="A39" s="228"/>
      <c r="B39" s="4609" t="str">
        <f>IF(Name_1st_Sp="","Enter your spouse's name on"&amp;CHAR(10)&amp;"the sheet labeled '1040'",NameSpouse)</f>
        <v>Enter your spouse's name on
the sheet labeled '1040'</v>
      </c>
      <c r="C39" s="1332" t="s">
        <v>6323</v>
      </c>
      <c r="D39" s="1332" t="s">
        <v>6324</v>
      </c>
      <c r="E39" s="1332" t="s">
        <v>6325</v>
      </c>
      <c r="F39" s="1332" t="s">
        <v>6326</v>
      </c>
      <c r="G39" s="1332" t="s">
        <v>6327</v>
      </c>
      <c r="H39" s="1332" t="s">
        <v>6328</v>
      </c>
      <c r="I39" s="4577" t="s">
        <v>224</v>
      </c>
      <c r="J39" s="4577" t="s">
        <v>225</v>
      </c>
      <c r="K39" s="185"/>
      <c r="L39" s="4577" t="s">
        <v>226</v>
      </c>
      <c r="M39" s="4600"/>
      <c r="N39" s="1471">
        <v>0.75</v>
      </c>
    </row>
    <row r="40" spans="1:14" ht="18" customHeight="1">
      <c r="A40" s="4580" t="s">
        <v>228</v>
      </c>
      <c r="B40" s="1895" t="s">
        <v>229</v>
      </c>
      <c r="C40" s="639"/>
      <c r="D40" s="639"/>
      <c r="E40" s="640"/>
      <c r="F40" s="641"/>
      <c r="G40" s="641"/>
      <c r="H40" s="641"/>
      <c r="I40" s="4581">
        <f>SUM(ROUND(C40,0),ROUND(D40,0),ROUND(E40,0),ROUND(F40,0),ROUND(G40,0),ROUND(H40,0))</f>
        <v>0</v>
      </c>
      <c r="J40" s="4582"/>
      <c r="K40" s="4582"/>
      <c r="L40" s="4583"/>
      <c r="M40" s="4610"/>
      <c r="N40" s="1250">
        <f>N3*$N$39</f>
        <v>75000</v>
      </c>
    </row>
    <row r="41" spans="1:14">
      <c r="A41" s="4580" t="s">
        <v>230</v>
      </c>
      <c r="B41" s="1895" t="s">
        <v>231</v>
      </c>
      <c r="C41" s="642"/>
      <c r="D41" s="642"/>
      <c r="E41" s="643"/>
      <c r="F41" s="644"/>
      <c r="G41" s="644"/>
      <c r="H41" s="644"/>
      <c r="I41" s="4585">
        <f t="shared" ref="I41:I65" si="4">SUM(ROUND(C41,0),ROUND(D41,0),ROUND(E41,0),ROUND(F41,0),ROUND(G41,0),ROUND(H41,0))</f>
        <v>0</v>
      </c>
      <c r="J41" s="4582"/>
      <c r="K41" s="4582"/>
      <c r="L41" s="4611"/>
      <c r="M41" s="3502"/>
      <c r="N41" s="1250">
        <f>0.19*N40</f>
        <v>14250</v>
      </c>
    </row>
    <row r="42" spans="1:14">
      <c r="A42" s="4580" t="s">
        <v>232</v>
      </c>
      <c r="B42" s="1895" t="s">
        <v>233</v>
      </c>
      <c r="C42" s="642"/>
      <c r="D42" s="642"/>
      <c r="E42" s="643"/>
      <c r="F42" s="644"/>
      <c r="G42" s="644"/>
      <c r="H42" s="644"/>
      <c r="I42" s="4585">
        <f t="shared" si="4"/>
        <v>0</v>
      </c>
      <c r="J42" s="4"/>
      <c r="K42" s="4"/>
      <c r="L42" s="4578" t="s">
        <v>6611</v>
      </c>
      <c r="M42" s="3502"/>
      <c r="N42" s="1250">
        <f>MIN(N40,MaxSSTaxEarnings)</f>
        <v>75000</v>
      </c>
    </row>
    <row r="43" spans="1:14">
      <c r="A43" s="4580" t="s">
        <v>235</v>
      </c>
      <c r="B43" s="1895" t="s">
        <v>236</v>
      </c>
      <c r="C43" s="642"/>
      <c r="D43" s="642"/>
      <c r="E43" s="643"/>
      <c r="F43" s="644"/>
      <c r="G43" s="644"/>
      <c r="H43" s="644"/>
      <c r="I43" s="4587">
        <f>SUM(C43:H43)</f>
        <v>0</v>
      </c>
      <c r="J43" s="4">
        <f>IF(SUM(I43,-MaxSSTax)&gt;0,SUM(I43,-MaxSSTax),0)</f>
        <v>0</v>
      </c>
      <c r="K43" s="4"/>
      <c r="L43" s="4582" t="str">
        <f>IF(AND(EmployerCountSpouse&gt;1,J43&gt;0),"Schedule 3, line 11.",IF(AND(EmployerCountSpouse=1,J43&gt;0),"See note below.",""))</f>
        <v/>
      </c>
      <c r="M43" s="4351" t="str">
        <f>IF(J43&lt;1000,TEXT(J43,"$0.00"),TEXT(J43,"$0,000.00"))</f>
        <v>$0.00</v>
      </c>
      <c r="N43" s="1250">
        <f>MIN(SSTaxRate*N40,MaxSSTax)</f>
        <v>4650</v>
      </c>
    </row>
    <row r="44" spans="1:14">
      <c r="A44" s="4580" t="s">
        <v>237</v>
      </c>
      <c r="B44" s="1895" t="s">
        <v>238</v>
      </c>
      <c r="C44" s="642"/>
      <c r="D44" s="642"/>
      <c r="E44" s="643"/>
      <c r="F44" s="644"/>
      <c r="G44" s="644"/>
      <c r="H44" s="644"/>
      <c r="I44" s="4585">
        <f t="shared" si="4"/>
        <v>0</v>
      </c>
      <c r="J44" s="4"/>
      <c r="K44" s="4"/>
      <c r="L44" s="4612"/>
      <c r="M44" s="3502"/>
      <c r="N44" s="1250">
        <f>N40</f>
        <v>75000</v>
      </c>
    </row>
    <row r="45" spans="1:14">
      <c r="A45" s="4580" t="s">
        <v>239</v>
      </c>
      <c r="B45" s="1895" t="s">
        <v>240</v>
      </c>
      <c r="C45" s="642"/>
      <c r="D45" s="642"/>
      <c r="E45" s="642"/>
      <c r="F45" s="642"/>
      <c r="G45" s="642"/>
      <c r="H45" s="642"/>
      <c r="I45" s="4585">
        <f t="shared" si="4"/>
        <v>0</v>
      </c>
      <c r="L45" s="4588" t="s">
        <v>241</v>
      </c>
      <c r="M45" s="3502"/>
      <c r="N45" s="1250">
        <f>MedicareTaxRate*N44</f>
        <v>1087.5</v>
      </c>
    </row>
    <row r="46" spans="1:14">
      <c r="A46" s="4580" t="s">
        <v>242</v>
      </c>
      <c r="B46" s="1895" t="s">
        <v>243</v>
      </c>
      <c r="C46" s="642"/>
      <c r="D46" s="642"/>
      <c r="E46" s="643"/>
      <c r="F46" s="644"/>
      <c r="G46" s="644"/>
      <c r="H46" s="644"/>
      <c r="I46" s="4585">
        <f t="shared" si="4"/>
        <v>0</v>
      </c>
      <c r="J46" s="4"/>
      <c r="K46" s="4"/>
      <c r="L46" s="4578" t="s">
        <v>6611</v>
      </c>
      <c r="M46" s="3502"/>
      <c r="N46" s="4579"/>
    </row>
    <row r="47" spans="1:14">
      <c r="A47" s="4580" t="s">
        <v>244</v>
      </c>
      <c r="B47" s="4589" t="s">
        <v>245</v>
      </c>
      <c r="C47" s="642"/>
      <c r="D47" s="642"/>
      <c r="E47" s="643"/>
      <c r="F47" s="644"/>
      <c r="G47" s="644"/>
      <c r="H47" s="644"/>
      <c r="I47" s="4585">
        <f t="shared" si="4"/>
        <v>0</v>
      </c>
      <c r="J47" s="4"/>
      <c r="K47" s="4"/>
      <c r="M47" s="3502"/>
      <c r="N47" s="4579"/>
    </row>
    <row r="48" spans="1:14">
      <c r="A48" s="4580" t="s">
        <v>246</v>
      </c>
      <c r="B48" s="1895" t="s">
        <v>247</v>
      </c>
      <c r="C48" s="642"/>
      <c r="D48" s="642"/>
      <c r="E48" s="643"/>
      <c r="F48" s="644"/>
      <c r="G48" s="644"/>
      <c r="H48" s="644"/>
      <c r="I48" s="4585">
        <f t="shared" si="4"/>
        <v>0</v>
      </c>
      <c r="J48" s="4"/>
      <c r="K48" s="4"/>
      <c r="M48" s="3502"/>
      <c r="N48" s="4579"/>
    </row>
    <row r="49" spans="1:15">
      <c r="A49" s="4580" t="s">
        <v>248</v>
      </c>
      <c r="B49" s="4589" t="s">
        <v>249</v>
      </c>
      <c r="C49" s="642"/>
      <c r="D49" s="642"/>
      <c r="E49" s="643"/>
      <c r="F49" s="644"/>
      <c r="G49" s="644"/>
      <c r="H49" s="644"/>
      <c r="I49" s="4585">
        <f t="shared" si="4"/>
        <v>0</v>
      </c>
      <c r="J49" s="4"/>
      <c r="K49" s="4"/>
      <c r="M49" s="3502"/>
      <c r="N49" s="4579"/>
    </row>
    <row r="50" spans="1:15">
      <c r="A50" s="6619" t="s">
        <v>6542</v>
      </c>
      <c r="B50" s="6622" t="s">
        <v>6543</v>
      </c>
      <c r="C50" s="642"/>
      <c r="D50" s="642"/>
      <c r="E50" s="643"/>
      <c r="F50" s="644"/>
      <c r="G50" s="644"/>
      <c r="H50" s="6650" t="s">
        <v>369</v>
      </c>
      <c r="I50" s="4585">
        <f>SUM(ROUND(C50,0),ROUND(D50,0),ROUND(E50,0),ROUND(F50,0),ROUND(G50,0))</f>
        <v>0</v>
      </c>
      <c r="J50" s="4"/>
      <c r="K50" s="4"/>
      <c r="L50" s="329" t="s">
        <v>6607</v>
      </c>
      <c r="M50" s="3502"/>
      <c r="N50" s="4579"/>
    </row>
    <row r="51" spans="1:15">
      <c r="A51" s="6619" t="s">
        <v>6544</v>
      </c>
      <c r="B51" s="6622" t="s">
        <v>6545</v>
      </c>
      <c r="C51" s="642"/>
      <c r="D51" s="642"/>
      <c r="E51" s="643"/>
      <c r="F51" s="644"/>
      <c r="G51" s="644"/>
      <c r="H51" s="6650" t="s">
        <v>369</v>
      </c>
      <c r="I51" s="4585">
        <f>SUM(ROUND(C51,0),ROUND(D51,0),ROUND(E51,0),ROUND(F51,0),ROUND(G51,0))</f>
        <v>0</v>
      </c>
      <c r="J51" s="4"/>
      <c r="K51" s="4"/>
      <c r="L51" s="329" t="s">
        <v>6607</v>
      </c>
      <c r="M51" s="3502"/>
      <c r="N51" s="4579"/>
    </row>
    <row r="52" spans="1:15">
      <c r="A52" s="6619" t="s">
        <v>6546</v>
      </c>
      <c r="B52" s="6622" t="s">
        <v>6547</v>
      </c>
      <c r="C52" s="642"/>
      <c r="D52" s="642"/>
      <c r="E52" s="643"/>
      <c r="F52" s="644"/>
      <c r="G52" s="644"/>
      <c r="H52" s="644"/>
      <c r="I52" s="4585">
        <f t="shared" si="4"/>
        <v>0</v>
      </c>
      <c r="J52" s="4"/>
      <c r="K52" s="4"/>
      <c r="L52" s="6705" t="s">
        <v>6730</v>
      </c>
      <c r="M52" s="3502"/>
      <c r="N52" s="4579"/>
    </row>
    <row r="53" spans="1:15" ht="25.5">
      <c r="A53" s="6619" t="s">
        <v>6548</v>
      </c>
      <c r="B53" s="6620" t="s">
        <v>6557</v>
      </c>
      <c r="C53" s="642"/>
      <c r="D53" s="642"/>
      <c r="E53" s="643"/>
      <c r="F53" s="644"/>
      <c r="G53" s="644"/>
      <c r="H53" s="644"/>
      <c r="I53" s="4585">
        <f t="shared" si="4"/>
        <v>0</v>
      </c>
      <c r="J53" s="4"/>
      <c r="K53" s="4"/>
      <c r="L53" s="6681" t="s">
        <v>6649</v>
      </c>
      <c r="M53" s="3502"/>
      <c r="N53" s="4579"/>
    </row>
    <row r="54" spans="1:15" ht="25.5">
      <c r="A54" s="6619" t="s">
        <v>6549</v>
      </c>
      <c r="B54" s="6623" t="s">
        <v>6550</v>
      </c>
      <c r="C54" s="642"/>
      <c r="D54" s="642"/>
      <c r="E54" s="643"/>
      <c r="F54" s="644"/>
      <c r="G54" s="644"/>
      <c r="H54" s="644"/>
      <c r="I54" s="4585">
        <f t="shared" si="4"/>
        <v>0</v>
      </c>
      <c r="J54" s="4"/>
      <c r="K54" s="4"/>
      <c r="L54" s="6681" t="s">
        <v>6652</v>
      </c>
      <c r="M54" s="4590"/>
    </row>
    <row r="55" spans="1:15" ht="25.5">
      <c r="A55" s="6619" t="s">
        <v>6551</v>
      </c>
      <c r="B55" s="6623" t="s">
        <v>6552</v>
      </c>
      <c r="C55" s="642"/>
      <c r="D55" s="642"/>
      <c r="E55" s="643"/>
      <c r="F55" s="644"/>
      <c r="G55" s="644"/>
      <c r="H55" s="644"/>
      <c r="I55" s="4585">
        <f t="shared" si="4"/>
        <v>0</v>
      </c>
      <c r="J55" s="4"/>
      <c r="K55" s="4"/>
      <c r="L55" s="6681" t="s">
        <v>6652</v>
      </c>
      <c r="M55" s="4590"/>
    </row>
    <row r="56" spans="1:15" ht="25.5">
      <c r="A56" s="6619" t="s">
        <v>6553</v>
      </c>
      <c r="B56" s="6623" t="s">
        <v>6554</v>
      </c>
      <c r="C56" s="642"/>
      <c r="D56" s="642"/>
      <c r="E56" s="643"/>
      <c r="F56" s="644"/>
      <c r="G56" s="644"/>
      <c r="H56" s="644"/>
      <c r="I56" s="4585">
        <f t="shared" si="4"/>
        <v>0</v>
      </c>
      <c r="J56" s="4"/>
      <c r="K56" s="4"/>
      <c r="L56" s="6681" t="s">
        <v>6654</v>
      </c>
      <c r="M56" s="4590"/>
    </row>
    <row r="57" spans="1:15">
      <c r="A57" s="6619" t="s">
        <v>6555</v>
      </c>
      <c r="B57" s="6622" t="s">
        <v>6556</v>
      </c>
      <c r="C57" s="642"/>
      <c r="D57" s="642"/>
      <c r="E57" s="643"/>
      <c r="F57" s="644"/>
      <c r="G57" s="644"/>
      <c r="H57" s="644"/>
      <c r="I57" s="4585">
        <f t="shared" si="4"/>
        <v>0</v>
      </c>
      <c r="J57" s="4"/>
      <c r="K57" s="4"/>
      <c r="L57" s="6705" t="s">
        <v>6696</v>
      </c>
      <c r="M57" s="4590"/>
      <c r="O57" s="795"/>
    </row>
    <row r="58" spans="1:15">
      <c r="A58" s="6619" t="s">
        <v>6727</v>
      </c>
      <c r="B58" s="1895" t="s">
        <v>6728</v>
      </c>
      <c r="C58" s="642"/>
      <c r="D58" s="642"/>
      <c r="E58" s="643"/>
      <c r="F58" s="644"/>
      <c r="G58" s="644"/>
      <c r="H58" s="644"/>
      <c r="I58" s="4585">
        <f>SUM(ROUND(C58,0),ROUND(D58,0),ROUND(E58,0),ROUND(F58,0),ROUND(G58,0),ROUND(H58,0))</f>
        <v>0</v>
      </c>
      <c r="J58" s="4"/>
      <c r="K58" s="4"/>
      <c r="L58" s="6705" t="s">
        <v>6730</v>
      </c>
      <c r="M58" s="6705"/>
    </row>
    <row r="59" spans="1:15">
      <c r="A59" s="6619" t="s">
        <v>6718</v>
      </c>
      <c r="B59" s="1895" t="s">
        <v>6724</v>
      </c>
      <c r="C59" s="642"/>
      <c r="D59" s="642"/>
      <c r="E59" s="643"/>
      <c r="F59" s="644"/>
      <c r="G59" s="644"/>
      <c r="H59" s="644"/>
      <c r="I59" s="4585">
        <f>SUM(ROUND(C59,0),ROUND(D59,0),ROUND(E59,0),ROUND(F59,0),ROUND(G59,0),ROUND(H59,0))</f>
        <v>0</v>
      </c>
      <c r="J59" s="4"/>
      <c r="K59" s="4"/>
      <c r="L59" s="6705" t="s">
        <v>6722</v>
      </c>
      <c r="M59" s="6705"/>
    </row>
    <row r="60" spans="1:15">
      <c r="A60" s="4580" t="s">
        <v>251</v>
      </c>
      <c r="B60" s="4589" t="s">
        <v>252</v>
      </c>
      <c r="C60" s="642"/>
      <c r="D60" s="642"/>
      <c r="E60" s="643"/>
      <c r="F60" s="644"/>
      <c r="G60" s="644"/>
      <c r="H60" s="644"/>
      <c r="I60" s="4585">
        <f t="shared" si="4"/>
        <v>0</v>
      </c>
      <c r="J60" s="4"/>
      <c r="K60" s="4"/>
      <c r="M60" s="3502"/>
      <c r="N60" s="4579"/>
    </row>
    <row r="61" spans="1:15">
      <c r="A61" s="4580" t="s">
        <v>253</v>
      </c>
      <c r="B61" s="4589" t="s">
        <v>254</v>
      </c>
      <c r="C61" s="642"/>
      <c r="D61" s="642"/>
      <c r="E61" s="643"/>
      <c r="F61" s="644"/>
      <c r="G61" s="644"/>
      <c r="H61" s="644"/>
      <c r="I61" s="4585">
        <f t="shared" si="4"/>
        <v>0</v>
      </c>
      <c r="J61" s="4"/>
      <c r="K61" s="4"/>
      <c r="M61" s="3502"/>
      <c r="N61" s="4579"/>
    </row>
    <row r="62" spans="1:15">
      <c r="A62" s="4580" t="s">
        <v>253</v>
      </c>
      <c r="B62" s="1895" t="s">
        <v>255</v>
      </c>
      <c r="C62" s="642"/>
      <c r="D62" s="642"/>
      <c r="E62" s="642"/>
      <c r="F62" s="644"/>
      <c r="G62" s="644"/>
      <c r="H62" s="644"/>
      <c r="I62" s="4585">
        <f t="shared" si="4"/>
        <v>0</v>
      </c>
      <c r="J62" s="4"/>
      <c r="K62" s="4"/>
      <c r="L62" s="4582" t="str">
        <f>IF(I72,"Form 8959, line 14","")</f>
        <v/>
      </c>
      <c r="M62" s="3502"/>
      <c r="N62" s="4579"/>
    </row>
    <row r="63" spans="1:15">
      <c r="A63" s="4580" t="s">
        <v>253</v>
      </c>
      <c r="B63" s="4591" t="s">
        <v>256</v>
      </c>
      <c r="C63" s="642"/>
      <c r="D63" s="642"/>
      <c r="E63" s="643"/>
      <c r="F63" s="644"/>
      <c r="G63" s="644"/>
      <c r="H63" s="644"/>
      <c r="I63" s="4585">
        <f t="shared" si="4"/>
        <v>0</v>
      </c>
      <c r="J63" s="4"/>
      <c r="K63" s="4"/>
      <c r="M63" s="3502"/>
    </row>
    <row r="64" spans="1:15">
      <c r="A64" s="4580" t="s">
        <v>257</v>
      </c>
      <c r="B64" s="4589" t="s">
        <v>258</v>
      </c>
      <c r="C64" s="1472"/>
      <c r="D64" s="1472"/>
      <c r="E64" s="1472"/>
      <c r="F64" s="1472"/>
      <c r="G64" s="1472"/>
      <c r="H64" s="1472"/>
      <c r="I64" s="4592" t="s">
        <v>259</v>
      </c>
      <c r="J64" s="4"/>
      <c r="K64" s="4"/>
      <c r="M64" s="4590"/>
      <c r="N64" s="4579"/>
    </row>
    <row r="65" spans="1:14">
      <c r="A65" s="4580" t="s">
        <v>260</v>
      </c>
      <c r="B65" s="4589" t="s">
        <v>261</v>
      </c>
      <c r="C65" s="642"/>
      <c r="D65" s="642"/>
      <c r="E65" s="643"/>
      <c r="F65" s="644"/>
      <c r="G65" s="644"/>
      <c r="H65" s="644"/>
      <c r="I65" s="4585">
        <f t="shared" si="4"/>
        <v>0</v>
      </c>
      <c r="J65" s="4"/>
      <c r="K65" s="4"/>
      <c r="M65" s="3502"/>
      <c r="N65" s="1250">
        <f>0.05*N74</f>
        <v>0</v>
      </c>
    </row>
    <row r="66" spans="1:14">
      <c r="A66" s="4580" t="s">
        <v>262</v>
      </c>
      <c r="B66" s="1895" t="s">
        <v>263</v>
      </c>
      <c r="C66" s="642"/>
      <c r="D66" s="642"/>
      <c r="E66" s="643"/>
      <c r="F66" s="644"/>
      <c r="G66" s="644"/>
      <c r="H66" s="644"/>
      <c r="I66" s="4585">
        <f>SUM(ROUND(C66,0),ROUND(D66,0),ROUND(E66,0),ROUND(F66,0),ROUND(G66,0),ROUND(H66,0))</f>
        <v>0</v>
      </c>
      <c r="M66" s="3502"/>
      <c r="N66" s="1250">
        <f>0.05*N40</f>
        <v>3750</v>
      </c>
    </row>
    <row r="67" spans="1:14">
      <c r="A67" s="4580" t="s">
        <v>264</v>
      </c>
      <c r="B67" s="4589" t="s">
        <v>265</v>
      </c>
      <c r="C67" s="642"/>
      <c r="D67" s="643"/>
      <c r="E67" s="643"/>
      <c r="F67" s="644"/>
      <c r="G67" s="644"/>
      <c r="H67" s="644"/>
      <c r="I67" s="4585">
        <f>SUM(ROUND(C67,0),ROUND(D67,0),ROUND(E67,0),ROUND(F67,0),ROUND(G67,0),ROUND(H67,0))</f>
        <v>0</v>
      </c>
      <c r="J67" s="4"/>
      <c r="K67" s="4"/>
      <c r="M67" s="3502"/>
      <c r="N67" s="4579"/>
    </row>
    <row r="68" spans="1:14">
      <c r="A68" s="4580" t="s">
        <v>266</v>
      </c>
      <c r="B68" s="1895" t="s">
        <v>267</v>
      </c>
      <c r="C68" s="642"/>
      <c r="D68" s="642"/>
      <c r="E68" s="642"/>
      <c r="F68" s="642"/>
      <c r="G68" s="642"/>
      <c r="H68" s="642"/>
      <c r="I68" s="4585">
        <f>SUM(ROUND(C68,0),ROUND(D68,0),ROUND(E68,0),ROUND(F68,0),ROUND(G68,0),ROUND(H68,0))</f>
        <v>0</v>
      </c>
      <c r="J68" s="4"/>
      <c r="K68" s="4"/>
      <c r="M68" s="3502"/>
      <c r="N68" s="4579"/>
    </row>
    <row r="69" spans="1:14">
      <c r="A69" s="4580" t="s">
        <v>268</v>
      </c>
      <c r="B69" s="4594" t="s">
        <v>269</v>
      </c>
      <c r="C69" s="1516"/>
      <c r="D69" s="1516"/>
      <c r="E69" s="1516"/>
      <c r="F69" s="1516"/>
      <c r="G69" s="1516"/>
      <c r="H69" s="1516"/>
      <c r="I69" s="4592" t="s">
        <v>259</v>
      </c>
      <c r="J69" s="4"/>
      <c r="K69" s="4"/>
      <c r="M69" s="4593"/>
      <c r="N69" s="4613"/>
    </row>
    <row r="70" spans="1:14" hidden="1">
      <c r="A70" s="185"/>
      <c r="B70" s="4596" t="s">
        <v>270</v>
      </c>
      <c r="C70" s="1517">
        <f t="shared" ref="C70:H70" si="5">IF(C43&lt;&gt;"",1,0)</f>
        <v>0</v>
      </c>
      <c r="D70" s="1517">
        <f t="shared" si="5"/>
        <v>0</v>
      </c>
      <c r="E70" s="1517">
        <f t="shared" si="5"/>
        <v>0</v>
      </c>
      <c r="F70" s="1517">
        <f t="shared" si="5"/>
        <v>0</v>
      </c>
      <c r="G70" s="1517">
        <f t="shared" si="5"/>
        <v>0</v>
      </c>
      <c r="H70" s="1517">
        <f t="shared" si="5"/>
        <v>0</v>
      </c>
      <c r="I70" s="820">
        <f>SUM(C70:H70)</f>
        <v>0</v>
      </c>
      <c r="J70" s="4614"/>
      <c r="K70" s="4"/>
      <c r="M70" s="3502"/>
      <c r="N70" s="4613"/>
    </row>
    <row r="71" spans="1:14" ht="15" hidden="1" customHeight="1">
      <c r="A71" s="817"/>
      <c r="B71" s="4596" t="str">
        <f>"Medicare wages and tip &gt; "&amp;TEXT($J$34,"$0,000")</f>
        <v>Medicare wages and tip &gt; $200,000</v>
      </c>
      <c r="C71" s="2988" t="b">
        <f>IF(C44&gt;'8959'!$H$24,TRUE,FALSE)</f>
        <v>0</v>
      </c>
      <c r="D71" s="2988" t="b">
        <f>IF(D44&gt;'8959'!$H$24,TRUE,FALSE)</f>
        <v>0</v>
      </c>
      <c r="E71" s="2988" t="b">
        <f>IF(E44&gt;'8959'!$H$24,TRUE,FALSE)</f>
        <v>0</v>
      </c>
      <c r="F71" s="2988" t="b">
        <f>IF(F44&gt;'8959'!$H$24,TRUE,FALSE)</f>
        <v>0</v>
      </c>
      <c r="G71" s="2988" t="b">
        <f>IF(G44&gt;'8959'!$H$24,TRUE,FALSE)</f>
        <v>0</v>
      </c>
      <c r="H71" s="2988" t="b">
        <f>IF(H44&gt;'8959'!$H$24,TRUE,FALSE)</f>
        <v>0</v>
      </c>
      <c r="I71" s="4597" t="b">
        <f>OR(C71:H71)</f>
        <v>0</v>
      </c>
      <c r="J71" s="4615" t="b">
        <f>OR(I34,I71)</f>
        <v>0</v>
      </c>
      <c r="K71" s="185"/>
      <c r="L71" s="4599"/>
      <c r="M71" s="4600"/>
      <c r="N71" s="4613"/>
    </row>
    <row r="72" spans="1:14" ht="15" hidden="1" customHeight="1">
      <c r="A72" s="817"/>
      <c r="B72" s="4596" t="str">
        <f>"RRTA &gt; "&amp;TEXT($J$35,"$0,000")</f>
        <v>RRTA &gt; $200,000</v>
      </c>
      <c r="C72" s="4597" t="b">
        <f>IF(C62&gt;'8959'!$H$24,TRUE,FALSE)</f>
        <v>0</v>
      </c>
      <c r="D72" s="4597" t="b">
        <f>IF(D62&gt;'8959'!$H$24,TRUE,FALSE)</f>
        <v>0</v>
      </c>
      <c r="E72" s="4597" t="b">
        <f>IF(E62&gt;'8959'!$H$24,TRUE,FALSE)</f>
        <v>0</v>
      </c>
      <c r="F72" s="4597" t="b">
        <f>IF(F62&gt;'8959'!$H$24,TRUE,FALSE)</f>
        <v>0</v>
      </c>
      <c r="G72" s="4597" t="b">
        <f>IF(G62&gt;'8959'!$H$24,TRUE,FALSE)</f>
        <v>0</v>
      </c>
      <c r="H72" s="4597" t="b">
        <f>IF(H62&gt;'8959'!$H$24,TRUE,FALSE)</f>
        <v>0</v>
      </c>
      <c r="I72" s="4597" t="b">
        <f>OR(C72:H72)</f>
        <v>0</v>
      </c>
      <c r="J72" s="4615" t="b">
        <f>OR(I35,I72)</f>
        <v>0</v>
      </c>
      <c r="K72" s="185"/>
      <c r="L72" s="4599"/>
      <c r="M72" s="4600"/>
    </row>
    <row r="73" spans="1:14" ht="15" customHeight="1">
      <c r="A73" s="817"/>
      <c r="B73" s="4601"/>
      <c r="C73" s="4602" t="str">
        <f>IF(AND(I43&gt;MaxSSTax,EmployerCountSpouse=1),"Notify your employer that they withheld "&amp;M43&amp;" too much Social Security Tax or file Form 843, Claim for Refund and Request for Abatement.","")</f>
        <v/>
      </c>
      <c r="D73" s="4601"/>
      <c r="E73" s="4601"/>
      <c r="F73" s="4601"/>
      <c r="G73" s="4601"/>
      <c r="H73" s="4601"/>
      <c r="I73" s="4601"/>
      <c r="J73" s="4601"/>
      <c r="K73" s="185"/>
      <c r="L73" s="4599"/>
      <c r="M73" s="4600"/>
      <c r="N73" s="4613"/>
    </row>
    <row r="74" spans="1:14" ht="15" customHeight="1">
      <c r="A74" s="817"/>
      <c r="B74" s="4603" t="str">
        <f>IF(OR(AND(C44="",C45&lt;&gt;""),AND(D44="",D45&lt;&gt;""),AND(E44="",E45&lt;&gt;""),AND(F44="",F45&lt;&gt;"")),"CAUTION:  Entering an amount into Line 6 without entering an amount into Line 5 will resutl in a tax calculation error.","")</f>
        <v/>
      </c>
      <c r="C74" s="4603"/>
      <c r="D74" s="228"/>
      <c r="E74" s="228"/>
      <c r="F74" s="228"/>
      <c r="G74" s="228"/>
      <c r="H74" s="228"/>
      <c r="I74" s="228"/>
      <c r="J74" s="2715"/>
      <c r="K74" s="185"/>
      <c r="L74" s="4599"/>
      <c r="M74" s="4600"/>
      <c r="N74" s="4616"/>
    </row>
    <row r="75" spans="1:14" ht="33" customHeight="1">
      <c r="A75" s="817"/>
      <c r="B75" s="4617" t="s">
        <v>271</v>
      </c>
      <c r="C75" s="4577" t="s">
        <v>271</v>
      </c>
      <c r="D75" s="4577" t="s">
        <v>226</v>
      </c>
      <c r="E75" s="4577"/>
      <c r="F75" s="4577"/>
      <c r="G75" s="4577"/>
      <c r="H75" s="4577"/>
      <c r="I75" s="4577"/>
      <c r="J75" s="4618" t="s">
        <v>272</v>
      </c>
      <c r="K75" s="4619"/>
      <c r="L75" s="4577" t="s">
        <v>226</v>
      </c>
      <c r="M75" s="4620"/>
      <c r="N75" s="4579"/>
    </row>
    <row r="76" spans="1:14" ht="18" customHeight="1">
      <c r="A76" s="4580" t="s">
        <v>228</v>
      </c>
      <c r="B76" s="1895" t="s">
        <v>229</v>
      </c>
      <c r="C76" s="4621">
        <f>SUM(I3,I40)</f>
        <v>0</v>
      </c>
      <c r="D76" s="4622" t="s">
        <v>273</v>
      </c>
      <c r="E76" s="4623"/>
      <c r="F76" s="4624"/>
      <c r="G76" s="4624"/>
      <c r="H76" s="4624"/>
      <c r="I76" s="4584"/>
      <c r="J76" s="4582"/>
      <c r="K76" s="4582"/>
      <c r="L76" s="4611"/>
      <c r="M76" s="3502"/>
      <c r="N76" s="4579"/>
    </row>
    <row r="77" spans="1:14">
      <c r="A77" s="4580" t="s">
        <v>230</v>
      </c>
      <c r="B77" s="1895" t="s">
        <v>231</v>
      </c>
      <c r="C77" s="4625">
        <f>SUM(I4,I41)</f>
        <v>0</v>
      </c>
      <c r="D77" s="4626" t="s">
        <v>274</v>
      </c>
      <c r="E77" s="4627"/>
      <c r="F77" s="4357"/>
      <c r="G77" s="4357"/>
      <c r="H77" s="4357"/>
      <c r="I77" s="4584"/>
      <c r="J77" s="4582"/>
      <c r="K77" s="4582"/>
      <c r="L77" s="4588" t="s">
        <v>241</v>
      </c>
      <c r="M77" s="4610"/>
      <c r="N77" s="4616"/>
    </row>
    <row r="78" spans="1:14">
      <c r="A78" s="4580" t="s">
        <v>232</v>
      </c>
      <c r="B78" s="4628" t="s">
        <v>233</v>
      </c>
      <c r="C78" s="4629">
        <f>SUM(I5,I42)</f>
        <v>0</v>
      </c>
      <c r="D78" s="4626" t="s">
        <v>234</v>
      </c>
      <c r="E78" s="4627"/>
      <c r="F78" s="4357"/>
      <c r="G78" s="4357"/>
      <c r="H78" s="4357"/>
      <c r="I78" s="4584"/>
      <c r="J78" s="4"/>
      <c r="K78" s="4"/>
      <c r="L78" s="4612"/>
      <c r="M78" s="3502"/>
      <c r="N78" s="4579"/>
    </row>
    <row r="79" spans="1:14">
      <c r="A79" s="4580" t="s">
        <v>235</v>
      </c>
      <c r="B79" s="1895" t="s">
        <v>236</v>
      </c>
      <c r="C79" s="4625">
        <f>SUM(ROUND(I6,0),ROUND(I43,0))</f>
        <v>0</v>
      </c>
      <c r="D79" s="4626" t="s">
        <v>275</v>
      </c>
      <c r="E79" s="4627"/>
      <c r="F79" s="4357"/>
      <c r="G79" s="4357"/>
      <c r="H79" s="4357"/>
      <c r="I79" s="4584"/>
      <c r="J79" s="4630">
        <f>ROUND(SUM(J6,J43),0)</f>
        <v>0</v>
      </c>
      <c r="K79" s="4"/>
      <c r="L79" s="4631" t="s">
        <v>276</v>
      </c>
      <c r="M79" s="3502"/>
      <c r="N79" s="4579"/>
    </row>
    <row r="80" spans="1:14">
      <c r="A80" s="4580" t="s">
        <v>237</v>
      </c>
      <c r="B80" s="1895" t="s">
        <v>238</v>
      </c>
      <c r="C80" s="4625">
        <f t="shared" ref="C80:C99" si="6">SUM(I7,I44)</f>
        <v>0</v>
      </c>
      <c r="D80" s="4626" t="s">
        <v>277</v>
      </c>
      <c r="E80" s="4627"/>
      <c r="F80" s="4357"/>
      <c r="G80" s="4357"/>
      <c r="H80" s="4357"/>
      <c r="I80" s="4584"/>
      <c r="J80" s="4632"/>
      <c r="K80" s="4"/>
      <c r="L80" s="4612"/>
      <c r="M80" s="3502"/>
      <c r="N80" s="4579"/>
    </row>
    <row r="81" spans="1:14">
      <c r="A81" s="4580" t="s">
        <v>239</v>
      </c>
      <c r="B81" s="1895" t="s">
        <v>240</v>
      </c>
      <c r="C81" s="4625">
        <f t="shared" si="6"/>
        <v>0</v>
      </c>
      <c r="D81" s="4626" t="s">
        <v>278</v>
      </c>
      <c r="E81" s="4627"/>
      <c r="F81" s="4357"/>
      <c r="G81" s="4357"/>
      <c r="H81" s="4357"/>
      <c r="I81" s="4584"/>
      <c r="J81" s="4"/>
      <c r="K81" s="4"/>
      <c r="L81" s="4588"/>
      <c r="M81" s="3502"/>
      <c r="N81" s="4579"/>
    </row>
    <row r="82" spans="1:14">
      <c r="A82" s="4580" t="s">
        <v>242</v>
      </c>
      <c r="B82" s="1895" t="s">
        <v>243</v>
      </c>
      <c r="C82" s="4625">
        <f t="shared" si="6"/>
        <v>0</v>
      </c>
      <c r="D82" s="4626" t="s">
        <v>5540</v>
      </c>
      <c r="E82" s="4627"/>
      <c r="F82" s="4357"/>
      <c r="G82" s="4357"/>
      <c r="H82" s="4357"/>
      <c r="I82" s="4584"/>
      <c r="J82" s="4"/>
      <c r="K82" s="4"/>
      <c r="M82" s="3502"/>
      <c r="N82" s="4579"/>
    </row>
    <row r="83" spans="1:14">
      <c r="A83" s="4580" t="s">
        <v>244</v>
      </c>
      <c r="B83" s="4589" t="s">
        <v>245</v>
      </c>
      <c r="C83" s="4629">
        <f t="shared" si="6"/>
        <v>0</v>
      </c>
      <c r="D83" s="4626"/>
      <c r="E83" s="4627"/>
      <c r="F83" s="4357"/>
      <c r="G83" s="4357"/>
      <c r="H83" s="4357"/>
      <c r="I83" s="4584"/>
      <c r="J83" s="4"/>
      <c r="K83" s="4"/>
      <c r="M83" s="3502"/>
      <c r="N83" s="4579"/>
    </row>
    <row r="84" spans="1:14">
      <c r="A84" s="4580" t="s">
        <v>246</v>
      </c>
      <c r="B84" s="1895" t="s">
        <v>247</v>
      </c>
      <c r="C84" s="4625">
        <f t="shared" si="6"/>
        <v>0</v>
      </c>
      <c r="D84" s="4626" t="s">
        <v>279</v>
      </c>
      <c r="E84" s="4627"/>
      <c r="F84" s="4357"/>
      <c r="G84" s="4357"/>
      <c r="H84" s="4357"/>
      <c r="I84" s="4584"/>
      <c r="J84" s="4"/>
      <c r="K84" s="4"/>
      <c r="M84" s="3502"/>
      <c r="N84" s="4579"/>
    </row>
    <row r="85" spans="1:14">
      <c r="A85" s="4580" t="s">
        <v>248</v>
      </c>
      <c r="B85" s="4589" t="s">
        <v>249</v>
      </c>
      <c r="C85" s="4629">
        <f t="shared" si="6"/>
        <v>0</v>
      </c>
      <c r="D85" s="4626"/>
      <c r="E85" s="4627"/>
      <c r="F85" s="4357"/>
      <c r="G85" s="4357"/>
      <c r="H85" s="4357"/>
      <c r="I85" s="4584"/>
      <c r="J85" s="4"/>
      <c r="K85" s="4"/>
      <c r="M85" s="3502"/>
      <c r="N85" s="4579"/>
    </row>
    <row r="86" spans="1:14">
      <c r="A86" s="6619" t="s">
        <v>6542</v>
      </c>
      <c r="B86" s="6622" t="s">
        <v>6543</v>
      </c>
      <c r="C86" s="4629">
        <f t="shared" si="6"/>
        <v>0</v>
      </c>
      <c r="D86" s="4626" t="s">
        <v>6610</v>
      </c>
      <c r="E86" s="4627"/>
      <c r="F86" s="4357"/>
      <c r="G86" s="4357"/>
      <c r="H86" s="4357"/>
      <c r="I86" s="4584"/>
      <c r="J86" s="4"/>
      <c r="K86" s="4"/>
      <c r="M86" s="3502"/>
      <c r="N86" s="4579"/>
    </row>
    <row r="87" spans="1:14">
      <c r="A87" s="6619" t="s">
        <v>6544</v>
      </c>
      <c r="B87" s="6622" t="s">
        <v>6545</v>
      </c>
      <c r="C87" s="4629">
        <f t="shared" si="6"/>
        <v>0</v>
      </c>
      <c r="D87" s="4626" t="s">
        <v>6610</v>
      </c>
      <c r="E87" s="4627"/>
      <c r="F87" s="4357"/>
      <c r="G87" s="4357"/>
      <c r="H87" s="4357"/>
      <c r="I87" s="4584"/>
      <c r="J87" s="4"/>
      <c r="K87" s="4"/>
      <c r="M87" s="3502"/>
      <c r="N87" s="4579"/>
    </row>
    <row r="88" spans="1:14">
      <c r="A88" s="6619" t="s">
        <v>6546</v>
      </c>
      <c r="B88" s="6622" t="s">
        <v>6547</v>
      </c>
      <c r="C88" s="4629">
        <f t="shared" si="6"/>
        <v>0</v>
      </c>
      <c r="D88" s="6741" t="s">
        <v>6735</v>
      </c>
      <c r="E88" s="4627"/>
      <c r="F88" s="4357"/>
      <c r="G88" s="4357"/>
      <c r="H88" s="4357"/>
      <c r="I88" s="4584"/>
      <c r="J88" s="4"/>
      <c r="K88" s="4"/>
      <c r="M88" s="3502"/>
      <c r="N88" s="4579"/>
    </row>
    <row r="89" spans="1:14" ht="25.5">
      <c r="A89" s="6619" t="s">
        <v>6548</v>
      </c>
      <c r="B89" s="6620" t="s">
        <v>6557</v>
      </c>
      <c r="C89" s="4629">
        <f t="shared" si="6"/>
        <v>0</v>
      </c>
      <c r="D89" s="4626" t="s">
        <v>6649</v>
      </c>
      <c r="E89" s="4627"/>
      <c r="F89" s="4357"/>
      <c r="G89" s="4357"/>
      <c r="H89" s="4357"/>
      <c r="I89" s="4584"/>
      <c r="J89" s="4"/>
      <c r="K89" s="4"/>
      <c r="M89" s="3502"/>
      <c r="N89" s="4579"/>
    </row>
    <row r="90" spans="1:14" ht="25.5">
      <c r="A90" s="6619" t="s">
        <v>6549</v>
      </c>
      <c r="B90" s="6623" t="s">
        <v>6550</v>
      </c>
      <c r="C90" s="4629">
        <f t="shared" si="6"/>
        <v>0</v>
      </c>
      <c r="D90" s="4626" t="s">
        <v>6652</v>
      </c>
      <c r="E90" s="4627"/>
      <c r="F90" s="4357"/>
      <c r="G90" s="4357"/>
      <c r="H90" s="4357"/>
      <c r="I90" s="4584"/>
      <c r="J90" s="4"/>
      <c r="K90" s="4"/>
      <c r="M90" s="3502"/>
      <c r="N90" s="4579"/>
    </row>
    <row r="91" spans="1:14" ht="25.5">
      <c r="A91" s="6619" t="s">
        <v>6551</v>
      </c>
      <c r="B91" s="6623" t="s">
        <v>6552</v>
      </c>
      <c r="C91" s="4629">
        <f t="shared" si="6"/>
        <v>0</v>
      </c>
      <c r="D91" s="4626" t="s">
        <v>6652</v>
      </c>
      <c r="E91" s="4627"/>
      <c r="F91" s="4357"/>
      <c r="G91" s="4357"/>
      <c r="H91" s="4357"/>
      <c r="I91" s="4584"/>
      <c r="J91" s="4"/>
      <c r="K91" s="4"/>
      <c r="M91" s="3502"/>
      <c r="N91" s="4579"/>
    </row>
    <row r="92" spans="1:14" ht="25.5">
      <c r="A92" s="6619" t="s">
        <v>6553</v>
      </c>
      <c r="B92" s="6623" t="s">
        <v>6554</v>
      </c>
      <c r="C92" s="4629">
        <f t="shared" si="6"/>
        <v>0</v>
      </c>
      <c r="D92" s="4626" t="s">
        <v>6658</v>
      </c>
      <c r="E92" s="4627"/>
      <c r="F92" s="4357"/>
      <c r="G92" s="4357"/>
      <c r="H92" s="4357"/>
      <c r="I92" s="4584"/>
      <c r="J92" s="4"/>
      <c r="K92" s="4"/>
      <c r="M92" s="3502"/>
      <c r="N92" s="4579"/>
    </row>
    <row r="93" spans="1:14">
      <c r="A93" s="6619" t="s">
        <v>6555</v>
      </c>
      <c r="B93" s="6622" t="s">
        <v>6556</v>
      </c>
      <c r="C93" s="4629">
        <f t="shared" si="6"/>
        <v>0</v>
      </c>
      <c r="D93" s="6624" t="s">
        <v>6656</v>
      </c>
      <c r="E93" s="4627"/>
      <c r="F93" s="4357"/>
      <c r="G93" s="4357"/>
      <c r="H93" s="4357"/>
      <c r="I93" s="4584"/>
      <c r="J93" s="4"/>
      <c r="K93" s="4"/>
      <c r="M93" s="3502"/>
      <c r="N93" s="4579"/>
    </row>
    <row r="94" spans="1:14">
      <c r="A94" s="6619" t="s">
        <v>6727</v>
      </c>
      <c r="B94" s="1895" t="s">
        <v>6728</v>
      </c>
      <c r="C94" s="4629">
        <f t="shared" si="6"/>
        <v>0</v>
      </c>
      <c r="D94" s="6742" t="s">
        <v>6735</v>
      </c>
      <c r="E94" s="4627"/>
      <c r="F94" s="4357"/>
      <c r="G94" s="4357"/>
      <c r="H94" s="4357"/>
      <c r="I94" s="4584"/>
      <c r="J94" s="4"/>
      <c r="K94" s="4"/>
      <c r="M94" s="3502"/>
      <c r="N94" s="4579"/>
    </row>
    <row r="95" spans="1:14">
      <c r="A95" s="6619" t="s">
        <v>6718</v>
      </c>
      <c r="B95" s="6622" t="s">
        <v>6719</v>
      </c>
      <c r="C95" s="4629">
        <f t="shared" si="6"/>
        <v>0</v>
      </c>
      <c r="D95" s="6741" t="s">
        <v>6720</v>
      </c>
      <c r="E95" s="4627"/>
      <c r="F95" s="4357"/>
      <c r="G95" s="4357"/>
      <c r="H95" s="4357"/>
      <c r="I95" s="4584"/>
      <c r="J95" s="4"/>
      <c r="K95" s="4"/>
      <c r="M95" s="3502"/>
      <c r="N95" s="4579"/>
    </row>
    <row r="96" spans="1:14">
      <c r="A96" s="4580" t="s">
        <v>251</v>
      </c>
      <c r="B96" s="4589" t="s">
        <v>252</v>
      </c>
      <c r="C96" s="4629">
        <f t="shared" si="6"/>
        <v>0</v>
      </c>
      <c r="D96" s="4626"/>
      <c r="E96" s="4627"/>
      <c r="F96" s="4357"/>
      <c r="G96" s="4357"/>
      <c r="H96" s="4357"/>
      <c r="I96" s="4584"/>
      <c r="J96" s="4"/>
      <c r="K96" s="4"/>
      <c r="M96" s="3502"/>
      <c r="N96" s="4579"/>
    </row>
    <row r="97" spans="1:14">
      <c r="A97" s="4580" t="s">
        <v>253</v>
      </c>
      <c r="B97" s="4589" t="s">
        <v>254</v>
      </c>
      <c r="C97" s="4629">
        <f t="shared" si="6"/>
        <v>0</v>
      </c>
      <c r="D97" s="4626"/>
      <c r="E97" s="4627"/>
      <c r="F97" s="4357"/>
      <c r="G97" s="4357"/>
      <c r="H97" s="4357"/>
      <c r="I97" s="4584"/>
      <c r="J97" s="4"/>
      <c r="K97" s="4"/>
      <c r="M97" s="3502"/>
      <c r="N97" s="4579"/>
    </row>
    <row r="98" spans="1:14">
      <c r="A98" s="4580" t="s">
        <v>253</v>
      </c>
      <c r="B98" s="1895" t="s">
        <v>255</v>
      </c>
      <c r="C98" s="4625">
        <f t="shared" si="6"/>
        <v>0</v>
      </c>
      <c r="D98" s="4626" t="s">
        <v>280</v>
      </c>
      <c r="E98" s="4627"/>
      <c r="F98" s="4357"/>
      <c r="G98" s="4357"/>
      <c r="H98" s="4357"/>
      <c r="I98" s="4584"/>
      <c r="J98" s="4"/>
      <c r="K98" s="4"/>
      <c r="M98" s="3502"/>
      <c r="N98" s="4579"/>
    </row>
    <row r="99" spans="1:14">
      <c r="A99" s="4580" t="s">
        <v>253</v>
      </c>
      <c r="B99" s="4591" t="s">
        <v>256</v>
      </c>
      <c r="C99" s="4625">
        <f t="shared" si="6"/>
        <v>0</v>
      </c>
      <c r="D99" s="4626" t="s">
        <v>281</v>
      </c>
      <c r="E99" s="4627"/>
      <c r="F99" s="4357"/>
      <c r="G99" s="4357"/>
      <c r="H99" s="4357"/>
      <c r="I99" s="4584"/>
      <c r="J99" s="4"/>
      <c r="K99" s="4"/>
      <c r="M99" s="3502"/>
      <c r="N99" s="4579"/>
    </row>
    <row r="100" spans="1:14">
      <c r="A100" s="4580" t="s">
        <v>257</v>
      </c>
      <c r="B100" s="4589" t="s">
        <v>258</v>
      </c>
      <c r="C100" s="4592" t="s">
        <v>259</v>
      </c>
      <c r="D100" s="4633"/>
      <c r="E100" s="4633"/>
      <c r="F100" s="4633"/>
      <c r="G100" s="4633"/>
      <c r="H100" s="4633"/>
      <c r="I100" s="4"/>
      <c r="J100" s="4"/>
      <c r="K100" s="5"/>
      <c r="L100" s="4590"/>
      <c r="M100" s="4590"/>
      <c r="N100" s="4579"/>
    </row>
    <row r="101" spans="1:14">
      <c r="A101" s="4580" t="s">
        <v>260</v>
      </c>
      <c r="B101" s="4589" t="s">
        <v>261</v>
      </c>
      <c r="C101" s="4629">
        <f>SUM(I28,I65)</f>
        <v>0</v>
      </c>
      <c r="D101" s="4626"/>
      <c r="E101" s="4627"/>
      <c r="F101" s="4357"/>
      <c r="G101" s="4357"/>
      <c r="H101" s="4357"/>
      <c r="I101" s="4584"/>
      <c r="J101" s="4"/>
      <c r="K101" s="4"/>
      <c r="M101" s="3502"/>
      <c r="N101" s="4579"/>
    </row>
    <row r="102" spans="1:14">
      <c r="A102" s="4580" t="s">
        <v>262</v>
      </c>
      <c r="B102" s="1895" t="s">
        <v>263</v>
      </c>
      <c r="C102" s="4625">
        <f>SUM(I29,I66)</f>
        <v>0</v>
      </c>
      <c r="D102" s="4626" t="s">
        <v>282</v>
      </c>
      <c r="E102" s="4627"/>
      <c r="F102" s="4357"/>
      <c r="G102" s="4357"/>
      <c r="H102" s="4357"/>
      <c r="I102" s="4584"/>
      <c r="J102" s="4"/>
      <c r="K102" s="4"/>
      <c r="L102" s="4612"/>
      <c r="M102" s="3502"/>
      <c r="N102" s="4579"/>
    </row>
    <row r="103" spans="1:14">
      <c r="A103" s="4580" t="s">
        <v>264</v>
      </c>
      <c r="B103" s="4589" t="s">
        <v>265</v>
      </c>
      <c r="C103" s="4629">
        <f>SUM(I30,I67)</f>
        <v>0</v>
      </c>
      <c r="D103" s="4626"/>
      <c r="E103" s="4627"/>
      <c r="F103" s="4357"/>
      <c r="G103" s="4357"/>
      <c r="H103" s="4357"/>
      <c r="I103" s="4584"/>
      <c r="J103" s="4"/>
      <c r="K103" s="4"/>
      <c r="L103" s="4612"/>
      <c r="M103" s="3502"/>
      <c r="N103" s="4579"/>
    </row>
    <row r="104" spans="1:14">
      <c r="A104" s="4580" t="s">
        <v>266</v>
      </c>
      <c r="B104" s="1895" t="s">
        <v>267</v>
      </c>
      <c r="C104" s="4629">
        <f>SUM(I31,I68)</f>
        <v>0</v>
      </c>
      <c r="D104" s="4626" t="s">
        <v>282</v>
      </c>
      <c r="E104" s="4627"/>
      <c r="F104" s="740"/>
      <c r="G104" s="740"/>
      <c r="H104" s="740"/>
      <c r="I104" s="4584"/>
      <c r="J104" s="4"/>
      <c r="M104" s="3502"/>
      <c r="N104" s="4579"/>
    </row>
    <row r="105" spans="1:14">
      <c r="A105" s="4580" t="s">
        <v>268</v>
      </c>
      <c r="B105" s="4594" t="s">
        <v>269</v>
      </c>
      <c r="C105" s="4634" t="s">
        <v>259</v>
      </c>
      <c r="D105" s="1518"/>
      <c r="E105" s="1518"/>
      <c r="F105" s="1518"/>
      <c r="G105" s="1518"/>
      <c r="H105" s="1518"/>
      <c r="I105" s="4584"/>
      <c r="J105" s="4"/>
      <c r="K105" s="4"/>
      <c r="M105" s="4593"/>
      <c r="N105" s="4613"/>
    </row>
    <row r="106" spans="1:14" ht="26.25" customHeight="1">
      <c r="A106" s="228"/>
      <c r="B106" s="88"/>
      <c r="C106" s="88"/>
      <c r="D106" s="88"/>
      <c r="E106" s="88"/>
      <c r="F106" s="88"/>
      <c r="G106" s="88"/>
      <c r="H106" s="88"/>
      <c r="I106" s="4584"/>
      <c r="J106" s="4"/>
    </row>
    <row r="107" spans="1:14" ht="13.5" thickBot="1">
      <c r="A107" s="185"/>
      <c r="I107" s="4584"/>
      <c r="J107" s="4"/>
    </row>
    <row r="108" spans="1:14">
      <c r="A108" s="185"/>
      <c r="B108" s="4635"/>
    </row>
    <row r="109" spans="1:14">
      <c r="A109" s="185"/>
      <c r="B109" s="4636" t="s">
        <v>42</v>
      </c>
    </row>
    <row r="110" spans="1:14" ht="13.5" thickBot="1">
      <c r="A110" s="185"/>
      <c r="B110" s="4637"/>
    </row>
    <row r="111" spans="1:14">
      <c r="B111" s="7016" t="s">
        <v>2238</v>
      </c>
    </row>
    <row r="112" spans="1:14">
      <c r="B112" s="7017"/>
    </row>
    <row r="113" spans="2:2" ht="13.5" thickBot="1">
      <c r="B113" s="7018"/>
    </row>
  </sheetData>
  <sheetProtection algorithmName="SHA-512" hashValue="LsKG7rKiF0gfl9BaEZIl/IoO4w+qWYtkMadJowAQd45jnoLbi2mGQvOujxtXgDBqUdLghNcSt3V6k5eQGiZEbg==" saltValue="Zfg7WBLbIb/0mV/2pnHd/A==" spinCount="100000" sheet="1" formatCells="0" formatColumns="0" formatRows="0"/>
  <mergeCells count="1">
    <mergeCell ref="B111:B113"/>
  </mergeCells>
  <phoneticPr fontId="13" type="noConversion"/>
  <conditionalFormatting sqref="C3:C12 I4:I20 C13:I24 I23:I33 I40:I57 C76:C105">
    <cfRule type="expression" dxfId="4008" priority="160">
      <formula>IF(NoColor,1,0)</formula>
    </cfRule>
  </conditionalFormatting>
  <conditionalFormatting sqref="C2:H2">
    <cfRule type="expression" dxfId="4007" priority="230">
      <formula>IF(NoColor,1,0)</formula>
    </cfRule>
  </conditionalFormatting>
  <conditionalFormatting sqref="C25:H33">
    <cfRule type="expression" dxfId="4006" priority="1">
      <formula>IF(NoColor,1,0)</formula>
    </cfRule>
  </conditionalFormatting>
  <conditionalFormatting sqref="C39:H53">
    <cfRule type="expression" dxfId="4005" priority="10">
      <formula>IF(NoColor,1,0)</formula>
    </cfRule>
  </conditionalFormatting>
  <conditionalFormatting sqref="C54:I70">
    <cfRule type="expression" dxfId="4004" priority="31">
      <formula>IF(NoColor,1,0)</formula>
    </cfRule>
  </conditionalFormatting>
  <conditionalFormatting sqref="D3:D8">
    <cfRule type="expression" dxfId="4003" priority="179">
      <formula>IF(NoColor,1,0)</formula>
    </cfRule>
  </conditionalFormatting>
  <conditionalFormatting sqref="D9:F9 D10:G11 D12:H12">
    <cfRule type="expression" dxfId="4002" priority="74">
      <formula>IF(NoColor,1,0)</formula>
    </cfRule>
  </conditionalFormatting>
  <conditionalFormatting sqref="D105:H105">
    <cfRule type="expression" dxfId="4001" priority="95">
      <formula>IF(NoColor,1,0)</formula>
    </cfRule>
  </conditionalFormatting>
  <conditionalFormatting sqref="E4:H4 E5:F8 G5:G9 H5:H11">
    <cfRule type="expression" dxfId="4000" priority="185">
      <formula>IF(NoColor,1,0)</formula>
    </cfRule>
  </conditionalFormatting>
  <conditionalFormatting sqref="E3:I3 D100:H100">
    <cfRule type="expression" dxfId="3999" priority="282">
      <formula>IF(NoColor,1,0)</formula>
    </cfRule>
  </conditionalFormatting>
  <conditionalFormatting sqref="J79">
    <cfRule type="expression" dxfId="3998" priority="269">
      <formula>IF(NoColor,1,0)</formula>
    </cfRule>
  </conditionalFormatting>
  <conditionalFormatting sqref="L6">
    <cfRule type="expression" dxfId="3997" priority="109">
      <formula>AND(EmployerCountYou=1,J6&gt;0)</formula>
    </cfRule>
    <cfRule type="expression" dxfId="3996" priority="110">
      <formula>AND(EmployerCountSpouse=1,J6&gt;0)</formula>
    </cfRule>
  </conditionalFormatting>
  <conditionalFormatting sqref="L43">
    <cfRule type="expression" dxfId="3995" priority="107">
      <formula>AND(EmployerCountYou=1,J43&gt;0)</formula>
    </cfRule>
    <cfRule type="expression" dxfId="3994" priority="108">
      <formula>AND(EmployerCountSpouse=1,J43&gt;0)</formula>
    </cfRule>
  </conditionalFormatting>
  <conditionalFormatting sqref="L62">
    <cfRule type="expression" dxfId="3993" priority="102">
      <formula>AND(EmployerCountYou=1,J62&gt;0)</formula>
    </cfRule>
    <cfRule type="expression" dxfId="3992" priority="103">
      <formula>AND(EmployerCountSpouse=1,J62&gt;0)</formula>
    </cfRule>
  </conditionalFormatting>
  <hyperlinks>
    <hyperlink ref="B109" location="'Table of Contents'!A1" display="Table of Contents" xr:uid="{00000000-0004-0000-0300-000000000000}"/>
    <hyperlink ref="B111:B113" location="'1040'!A1" display="Form 1040" xr:uid="{00000000-0004-0000-0300-000001000000}"/>
  </hyperlinks>
  <pageMargins left="0.75" right="0.25" top="0.36" bottom="0.28999999999999998" header="0.36" footer="0.21"/>
  <pageSetup scale="54" fitToHeight="0" orientation="landscape" r:id="rId1"/>
  <rowBreaks count="1" manualBreakCount="1">
    <brk id="74" max="12"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E94"/>
  <sheetViews>
    <sheetView zoomScaleNormal="100" zoomScaleSheetLayoutView="100" workbookViewId="0"/>
  </sheetViews>
  <sheetFormatPr defaultRowHeight="12.75"/>
  <cols>
    <col min="1" max="1" width="2.5703125" customWidth="1"/>
    <col min="2" max="2" width="4.42578125" customWidth="1"/>
    <col min="3" max="3" width="48" customWidth="1"/>
    <col min="4" max="8" width="26.28515625" customWidth="1"/>
    <col min="9" max="9" width="17.28515625" customWidth="1"/>
    <col min="10" max="10" width="39" customWidth="1"/>
    <col min="11" max="11" width="14" style="1357" customWidth="1"/>
    <col min="12" max="25" width="9.140625" style="658" customWidth="1"/>
    <col min="27" max="31" width="9.140625" hidden="1" customWidth="1"/>
  </cols>
  <sheetData>
    <row r="1" spans="1:31" ht="42" customHeight="1" thickBot="1">
      <c r="A1" s="4660"/>
      <c r="B1" s="4568" t="s">
        <v>283</v>
      </c>
      <c r="C1" s="4661"/>
      <c r="D1" s="4662"/>
      <c r="E1" s="4663"/>
      <c r="F1" s="4662"/>
      <c r="G1" s="4662"/>
      <c r="H1" s="4662"/>
      <c r="I1" s="4703"/>
      <c r="J1" s="4703"/>
      <c r="K1" s="1356" t="s">
        <v>223</v>
      </c>
    </row>
    <row r="2" spans="1:31" ht="42" customHeight="1" thickTop="1" thickBot="1">
      <c r="A2" s="257"/>
      <c r="B2" s="1534"/>
      <c r="C2" s="4664" t="str">
        <f>IF(Name_1st_Yours="","Enter your name(s) on the"&amp;CHAR(10)&amp;"sheet lableled '1040'",IF(File_Marr_Joint&lt;&gt;"",NameYours&amp;CHAR(10)&amp;" and "&amp;NameSpouse,NameYours))</f>
        <v>Enter your name(s) on the
sheet lableled '1040'</v>
      </c>
      <c r="D2" s="458" t="s">
        <v>284</v>
      </c>
      <c r="E2" s="458" t="s">
        <v>285</v>
      </c>
      <c r="F2" s="458" t="s">
        <v>286</v>
      </c>
      <c r="G2" s="458" t="s">
        <v>287</v>
      </c>
      <c r="H2" s="458" t="s">
        <v>288</v>
      </c>
      <c r="I2" s="758"/>
      <c r="J2" s="758"/>
      <c r="K2" s="1355" t="s">
        <v>289</v>
      </c>
    </row>
    <row r="3" spans="1:31">
      <c r="A3" s="253"/>
      <c r="B3" s="4666"/>
      <c r="C3" s="4704" t="s">
        <v>290</v>
      </c>
      <c r="D3" s="601"/>
      <c r="E3" s="602"/>
      <c r="F3" s="602"/>
      <c r="G3" s="602"/>
      <c r="H3" s="603"/>
      <c r="I3" s="4705"/>
      <c r="J3" s="4665"/>
    </row>
    <row r="4" spans="1:31">
      <c r="A4" s="253"/>
      <c r="B4" s="4668"/>
      <c r="C4" s="4706" t="s">
        <v>291</v>
      </c>
      <c r="D4" s="629"/>
      <c r="E4" s="630"/>
      <c r="F4" s="630"/>
      <c r="G4" s="630"/>
      <c r="H4" s="631"/>
      <c r="I4" s="4705"/>
      <c r="J4" s="4665"/>
    </row>
    <row r="5" spans="1:31" ht="13.5" thickBot="1">
      <c r="A5" s="253"/>
      <c r="B5" s="4670"/>
      <c r="C5" s="4707" t="s">
        <v>292</v>
      </c>
      <c r="D5" s="632"/>
      <c r="E5" s="633"/>
      <c r="F5" s="633"/>
      <c r="G5" s="633"/>
      <c r="H5" s="634"/>
      <c r="I5" s="4705"/>
      <c r="J5" s="4665"/>
    </row>
    <row r="6" spans="1:31" ht="13.5" customHeight="1">
      <c r="A6" s="253"/>
      <c r="B6" s="4672">
        <v>1</v>
      </c>
      <c r="C6" s="4673" t="s">
        <v>293</v>
      </c>
      <c r="D6" s="604"/>
      <c r="E6" s="605"/>
      <c r="F6" s="605"/>
      <c r="G6" s="646"/>
      <c r="H6" s="647"/>
      <c r="I6" s="4708"/>
      <c r="J6" s="4665"/>
      <c r="AA6" s="4">
        <f>ROUND(D6,0)</f>
        <v>0</v>
      </c>
      <c r="AB6" s="4">
        <f t="shared" ref="AB6:AE8" si="0">ROUND(E6,0)</f>
        <v>0</v>
      </c>
      <c r="AC6" s="4">
        <f t="shared" si="0"/>
        <v>0</v>
      </c>
      <c r="AD6" s="4">
        <f t="shared" si="0"/>
        <v>0</v>
      </c>
      <c r="AE6" s="4">
        <f t="shared" si="0"/>
        <v>0</v>
      </c>
    </row>
    <row r="7" spans="1:31" ht="13.5" customHeight="1">
      <c r="A7" s="253"/>
      <c r="B7" s="4675">
        <v>2</v>
      </c>
      <c r="C7" s="4676" t="s">
        <v>294</v>
      </c>
      <c r="D7" s="606"/>
      <c r="E7" s="607"/>
      <c r="F7" s="607"/>
      <c r="G7" s="608"/>
      <c r="H7" s="609"/>
      <c r="I7" s="4709"/>
      <c r="J7" s="4665"/>
      <c r="AA7" s="4">
        <f>ROUND(D7,0)</f>
        <v>0</v>
      </c>
      <c r="AB7" s="4">
        <f t="shared" si="0"/>
        <v>0</v>
      </c>
      <c r="AC7" s="4">
        <f t="shared" si="0"/>
        <v>0</v>
      </c>
      <c r="AD7" s="4">
        <f t="shared" si="0"/>
        <v>0</v>
      </c>
      <c r="AE7" s="4">
        <f t="shared" si="0"/>
        <v>0</v>
      </c>
    </row>
    <row r="8" spans="1:31" ht="13.5" customHeight="1">
      <c r="A8" s="253"/>
      <c r="B8" s="4675">
        <v>3</v>
      </c>
      <c r="C8" s="4676" t="s">
        <v>295</v>
      </c>
      <c r="D8" s="606"/>
      <c r="E8" s="607"/>
      <c r="F8" s="607"/>
      <c r="G8" s="608"/>
      <c r="H8" s="609"/>
      <c r="I8" s="4709"/>
      <c r="J8" s="4665"/>
      <c r="AA8" s="4">
        <f>ROUND(D8,0)</f>
        <v>0</v>
      </c>
      <c r="AB8" s="4">
        <f t="shared" si="0"/>
        <v>0</v>
      </c>
      <c r="AC8" s="4">
        <f t="shared" si="0"/>
        <v>0</v>
      </c>
      <c r="AD8" s="4">
        <f t="shared" si="0"/>
        <v>0</v>
      </c>
      <c r="AE8" s="4">
        <f t="shared" si="0"/>
        <v>0</v>
      </c>
    </row>
    <row r="9" spans="1:31" ht="13.5" customHeight="1">
      <c r="A9" s="253"/>
      <c r="B9" s="4675" t="s">
        <v>296</v>
      </c>
      <c r="C9" s="4676" t="s">
        <v>297</v>
      </c>
      <c r="D9" s="736" t="s">
        <v>298</v>
      </c>
      <c r="E9" s="737" t="s">
        <v>298</v>
      </c>
      <c r="F9" s="737" t="s">
        <v>298</v>
      </c>
      <c r="G9" s="738" t="s">
        <v>298</v>
      </c>
      <c r="H9" s="739" t="s">
        <v>298</v>
      </c>
      <c r="I9" s="4709"/>
      <c r="J9" s="4665"/>
      <c r="AA9" s="4"/>
      <c r="AB9" s="4"/>
      <c r="AC9" s="4"/>
      <c r="AD9" s="4"/>
      <c r="AE9" s="4"/>
    </row>
    <row r="10" spans="1:31" ht="13.5" customHeight="1">
      <c r="A10" s="253"/>
      <c r="B10" s="4675">
        <v>4</v>
      </c>
      <c r="C10" s="4676" t="s">
        <v>231</v>
      </c>
      <c r="D10" s="606"/>
      <c r="E10" s="607"/>
      <c r="F10" s="607"/>
      <c r="G10" s="608"/>
      <c r="H10" s="609"/>
      <c r="I10" s="4709"/>
      <c r="J10" s="4665"/>
      <c r="AA10" s="4">
        <f t="shared" ref="AA10:AA15" si="1">ROUND(D10,0)</f>
        <v>0</v>
      </c>
      <c r="AB10" s="4">
        <f t="shared" ref="AB10:AE15" si="2">ROUND(E10,0)</f>
        <v>0</v>
      </c>
      <c r="AC10" s="4">
        <f t="shared" si="2"/>
        <v>0</v>
      </c>
      <c r="AD10" s="4">
        <f t="shared" si="2"/>
        <v>0</v>
      </c>
      <c r="AE10" s="4">
        <f t="shared" si="2"/>
        <v>0</v>
      </c>
    </row>
    <row r="11" spans="1:31">
      <c r="A11" s="253"/>
      <c r="B11" s="4680">
        <v>5</v>
      </c>
      <c r="C11" s="4678" t="s">
        <v>299</v>
      </c>
      <c r="D11" s="606"/>
      <c r="E11" s="607"/>
      <c r="F11" s="607"/>
      <c r="G11" s="608"/>
      <c r="H11" s="609"/>
      <c r="I11" s="4709"/>
      <c r="J11" s="4665"/>
      <c r="AA11" s="4">
        <f t="shared" si="1"/>
        <v>0</v>
      </c>
      <c r="AB11" s="4">
        <f t="shared" si="2"/>
        <v>0</v>
      </c>
      <c r="AC11" s="4">
        <f t="shared" si="2"/>
        <v>0</v>
      </c>
      <c r="AD11" s="4">
        <f t="shared" si="2"/>
        <v>0</v>
      </c>
      <c r="AE11" s="4">
        <f t="shared" si="2"/>
        <v>0</v>
      </c>
    </row>
    <row r="12" spans="1:31">
      <c r="A12" s="253"/>
      <c r="B12" s="4675">
        <v>6</v>
      </c>
      <c r="C12" s="4676" t="s">
        <v>300</v>
      </c>
      <c r="D12" s="606"/>
      <c r="E12" s="607"/>
      <c r="F12" s="607"/>
      <c r="G12" s="608"/>
      <c r="H12" s="609"/>
      <c r="I12" s="4681" t="str">
        <f>IF(SUM(D12:H12)&gt;0,"Check Form 1116, Foreign Tax Credit","")</f>
        <v/>
      </c>
      <c r="J12" s="4665"/>
      <c r="AA12" s="4">
        <f t="shared" si="1"/>
        <v>0</v>
      </c>
      <c r="AB12" s="4">
        <f t="shared" si="2"/>
        <v>0</v>
      </c>
      <c r="AC12" s="4">
        <f t="shared" si="2"/>
        <v>0</v>
      </c>
      <c r="AD12" s="4">
        <f t="shared" si="2"/>
        <v>0</v>
      </c>
      <c r="AE12" s="4">
        <f t="shared" si="2"/>
        <v>0</v>
      </c>
    </row>
    <row r="13" spans="1:31">
      <c r="A13" s="253"/>
      <c r="B13" s="4680">
        <v>7</v>
      </c>
      <c r="C13" s="4678" t="s">
        <v>301</v>
      </c>
      <c r="D13" s="595"/>
      <c r="E13" s="596"/>
      <c r="F13" s="596"/>
      <c r="G13" s="610"/>
      <c r="H13" s="611"/>
      <c r="I13" s="4710"/>
      <c r="J13" s="4665"/>
      <c r="AA13" s="4">
        <f t="shared" si="1"/>
        <v>0</v>
      </c>
      <c r="AB13" s="4">
        <f t="shared" si="2"/>
        <v>0</v>
      </c>
      <c r="AC13" s="4">
        <f t="shared" si="2"/>
        <v>0</v>
      </c>
      <c r="AD13" s="4">
        <f t="shared" si="2"/>
        <v>0</v>
      </c>
      <c r="AE13" s="4">
        <f t="shared" si="2"/>
        <v>0</v>
      </c>
    </row>
    <row r="14" spans="1:31">
      <c r="A14" s="253"/>
      <c r="B14" s="4675">
        <v>8</v>
      </c>
      <c r="C14" s="4676" t="s">
        <v>302</v>
      </c>
      <c r="D14" s="606"/>
      <c r="E14" s="607"/>
      <c r="F14" s="607"/>
      <c r="G14" s="608"/>
      <c r="H14" s="609"/>
      <c r="I14" s="4709"/>
      <c r="J14" s="4665"/>
      <c r="AA14" s="4">
        <f t="shared" si="1"/>
        <v>0</v>
      </c>
      <c r="AB14" s="4">
        <f t="shared" si="2"/>
        <v>0</v>
      </c>
      <c r="AC14" s="4">
        <f t="shared" si="2"/>
        <v>0</v>
      </c>
      <c r="AD14" s="4">
        <f t="shared" si="2"/>
        <v>0</v>
      </c>
      <c r="AE14" s="4">
        <f t="shared" si="2"/>
        <v>0</v>
      </c>
    </row>
    <row r="15" spans="1:31">
      <c r="A15" s="253"/>
      <c r="B15" s="4675">
        <v>9</v>
      </c>
      <c r="C15" s="4676" t="s">
        <v>303</v>
      </c>
      <c r="D15" s="606"/>
      <c r="E15" s="607"/>
      <c r="F15" s="607"/>
      <c r="G15" s="607"/>
      <c r="H15" s="609"/>
      <c r="I15" s="4711"/>
      <c r="J15" s="4665"/>
      <c r="AA15" s="4">
        <f t="shared" si="1"/>
        <v>0</v>
      </c>
      <c r="AB15" s="4">
        <f t="shared" si="2"/>
        <v>0</v>
      </c>
      <c r="AC15" s="4">
        <f t="shared" si="2"/>
        <v>0</v>
      </c>
      <c r="AD15" s="4">
        <f t="shared" si="2"/>
        <v>0</v>
      </c>
      <c r="AE15" s="4">
        <f t="shared" si="2"/>
        <v>0</v>
      </c>
    </row>
    <row r="16" spans="1:31">
      <c r="A16" s="253"/>
      <c r="B16" s="4680"/>
      <c r="C16" s="4678"/>
      <c r="D16" s="606"/>
      <c r="E16" s="607"/>
      <c r="F16" s="607"/>
      <c r="G16" s="608"/>
      <c r="H16" s="609"/>
      <c r="I16" s="4709"/>
      <c r="J16" s="4665"/>
      <c r="AA16" s="4"/>
      <c r="AB16" s="4"/>
      <c r="AC16" s="4"/>
      <c r="AD16" s="4"/>
      <c r="AE16" s="4"/>
    </row>
    <row r="17" spans="1:31">
      <c r="A17" s="253"/>
      <c r="B17" s="4675">
        <v>10</v>
      </c>
      <c r="C17" s="4676" t="s">
        <v>304</v>
      </c>
      <c r="D17" s="1120"/>
      <c r="E17" s="607"/>
      <c r="F17" s="607"/>
      <c r="G17" s="608"/>
      <c r="H17" s="609"/>
      <c r="I17" s="4709"/>
      <c r="J17" s="4665"/>
      <c r="AA17" s="4">
        <f>ROUND(D17,0)</f>
        <v>0</v>
      </c>
      <c r="AB17" s="4">
        <f t="shared" ref="AB17:AE21" si="3">ROUND(E17,0)</f>
        <v>0</v>
      </c>
      <c r="AC17" s="4">
        <f t="shared" si="3"/>
        <v>0</v>
      </c>
      <c r="AD17" s="4">
        <f t="shared" si="3"/>
        <v>0</v>
      </c>
      <c r="AE17" s="4">
        <f t="shared" si="3"/>
        <v>0</v>
      </c>
    </row>
    <row r="18" spans="1:31">
      <c r="A18" s="253"/>
      <c r="B18" s="4680">
        <v>11</v>
      </c>
      <c r="C18" s="4678" t="s">
        <v>305</v>
      </c>
      <c r="D18" s="1120"/>
      <c r="E18" s="1121"/>
      <c r="F18" s="1121"/>
      <c r="G18" s="1121"/>
      <c r="H18" s="1122"/>
      <c r="I18" s="4709"/>
      <c r="J18" s="4665"/>
      <c r="AA18" s="4">
        <f>ROUND(D18,0)</f>
        <v>0</v>
      </c>
      <c r="AB18" s="4">
        <f t="shared" si="3"/>
        <v>0</v>
      </c>
      <c r="AC18" s="4">
        <f t="shared" si="3"/>
        <v>0</v>
      </c>
      <c r="AD18" s="4">
        <f t="shared" si="3"/>
        <v>0</v>
      </c>
      <c r="AE18" s="4">
        <f t="shared" si="3"/>
        <v>0</v>
      </c>
    </row>
    <row r="19" spans="1:31">
      <c r="A19" s="253"/>
      <c r="B19" s="4680">
        <v>12</v>
      </c>
      <c r="C19" s="4678" t="s">
        <v>306</v>
      </c>
      <c r="D19" s="1120"/>
      <c r="E19" s="1121"/>
      <c r="F19" s="1121"/>
      <c r="G19" s="1121"/>
      <c r="H19" s="1122"/>
      <c r="I19" s="4709"/>
      <c r="J19" s="4665"/>
      <c r="AA19" s="4">
        <f>ROUND(D19,0)</f>
        <v>0</v>
      </c>
      <c r="AB19" s="4">
        <f t="shared" si="3"/>
        <v>0</v>
      </c>
      <c r="AC19" s="4">
        <f t="shared" si="3"/>
        <v>0</v>
      </c>
      <c r="AD19" s="4">
        <f t="shared" si="3"/>
        <v>0</v>
      </c>
      <c r="AE19" s="4">
        <f t="shared" si="3"/>
        <v>0</v>
      </c>
    </row>
    <row r="20" spans="1:31">
      <c r="A20" s="253"/>
      <c r="B20" s="4680">
        <v>13</v>
      </c>
      <c r="C20" s="4678" t="s">
        <v>307</v>
      </c>
      <c r="D20" s="1120"/>
      <c r="E20" s="1121"/>
      <c r="F20" s="1121"/>
      <c r="G20" s="1121"/>
      <c r="H20" s="1122"/>
      <c r="I20" s="4710"/>
      <c r="J20" s="4665"/>
      <c r="AA20" s="4">
        <f>ROUND(D20,0)</f>
        <v>0</v>
      </c>
      <c r="AB20" s="4">
        <f t="shared" si="3"/>
        <v>0</v>
      </c>
      <c r="AC20" s="4">
        <f t="shared" si="3"/>
        <v>0</v>
      </c>
      <c r="AD20" s="4">
        <f t="shared" si="3"/>
        <v>0</v>
      </c>
      <c r="AE20" s="4">
        <f t="shared" si="3"/>
        <v>0</v>
      </c>
    </row>
    <row r="21" spans="1:31">
      <c r="A21" s="253"/>
      <c r="B21" s="4680">
        <v>14</v>
      </c>
      <c r="C21" s="4678" t="s">
        <v>308</v>
      </c>
      <c r="D21" s="595"/>
      <c r="E21" s="596"/>
      <c r="F21" s="596"/>
      <c r="G21" s="596"/>
      <c r="H21" s="611"/>
      <c r="I21" s="4709"/>
      <c r="J21" s="4665"/>
      <c r="AA21" s="4">
        <f>ROUND(D21,0)</f>
        <v>0</v>
      </c>
      <c r="AB21" s="4">
        <f t="shared" si="3"/>
        <v>0</v>
      </c>
      <c r="AC21" s="4">
        <f t="shared" si="3"/>
        <v>0</v>
      </c>
      <c r="AD21" s="4">
        <f t="shared" si="3"/>
        <v>0</v>
      </c>
      <c r="AE21" s="4">
        <f t="shared" si="3"/>
        <v>0</v>
      </c>
    </row>
    <row r="22" spans="1:31">
      <c r="A22" s="253"/>
      <c r="B22" s="4680">
        <v>15</v>
      </c>
      <c r="C22" s="4678" t="s">
        <v>309</v>
      </c>
      <c r="D22" s="1119"/>
      <c r="E22" s="1123"/>
      <c r="F22" s="1123"/>
      <c r="G22" s="1123"/>
      <c r="H22" s="1124"/>
      <c r="I22" s="4709"/>
      <c r="J22" s="4665"/>
      <c r="AA22" s="4"/>
      <c r="AB22" s="4"/>
      <c r="AC22" s="4"/>
      <c r="AD22" s="4"/>
      <c r="AE22" s="4"/>
    </row>
    <row r="23" spans="1:31">
      <c r="A23" s="253"/>
      <c r="B23" s="4680">
        <v>16</v>
      </c>
      <c r="C23" s="4678" t="s">
        <v>310</v>
      </c>
      <c r="D23" s="597"/>
      <c r="E23" s="598"/>
      <c r="F23" s="598"/>
      <c r="G23" s="598"/>
      <c r="H23" s="600"/>
      <c r="I23" s="4710"/>
      <c r="J23" s="4665"/>
      <c r="AA23" s="4"/>
      <c r="AB23" s="4"/>
      <c r="AC23" s="4"/>
      <c r="AD23" s="4"/>
      <c r="AE23" s="4"/>
    </row>
    <row r="24" spans="1:31" ht="13.5" thickBot="1">
      <c r="A24" s="253"/>
      <c r="B24" s="4682">
        <v>17</v>
      </c>
      <c r="C24" s="4683" t="s">
        <v>311</v>
      </c>
      <c r="D24" s="616"/>
      <c r="E24" s="617"/>
      <c r="F24" s="617"/>
      <c r="G24" s="618"/>
      <c r="H24" s="619"/>
      <c r="I24" s="4709"/>
      <c r="J24" s="4665"/>
      <c r="AA24" s="4">
        <f>ROUND(D24,0)</f>
        <v>0</v>
      </c>
      <c r="AB24" s="4">
        <f>ROUND(E24,0)</f>
        <v>0</v>
      </c>
      <c r="AC24" s="4">
        <f>ROUND(F24,0)</f>
        <v>0</v>
      </c>
      <c r="AD24" s="4">
        <f>ROUND(G24,0)</f>
        <v>0</v>
      </c>
      <c r="AE24" s="4">
        <f>ROUND(H24,0)</f>
        <v>0</v>
      </c>
    </row>
    <row r="25" spans="1:31" ht="17.25" customHeight="1" thickBot="1">
      <c r="A25" s="253"/>
      <c r="B25" s="4712" t="s">
        <v>312</v>
      </c>
      <c r="C25" s="253"/>
      <c r="D25" s="253"/>
      <c r="E25" s="253"/>
      <c r="F25" s="253"/>
      <c r="G25" s="253"/>
      <c r="H25" s="253"/>
      <c r="I25" s="253"/>
      <c r="J25" s="4665"/>
      <c r="AA25" s="4"/>
    </row>
    <row r="26" spans="1:31" s="579" customFormat="1" ht="17.25" hidden="1" customHeight="1">
      <c r="A26" s="580"/>
      <c r="B26" s="4712"/>
      <c r="C26" s="580"/>
      <c r="D26" s="4713" t="str">
        <f>IF(OR(LEFT(D9,1)="Y",LEFT(D9,1)="y"),D8,"")</f>
        <v/>
      </c>
      <c r="E26" s="4713" t="str">
        <f>IF(OR(LEFT(E9,1)="Y",LEFT(E9,1)="y"),E8,"")</f>
        <v/>
      </c>
      <c r="F26" s="4713" t="str">
        <f>IF(OR(LEFT(F9,1)="Y",LEFT(F9,1)="y"),F8,"")</f>
        <v/>
      </c>
      <c r="G26" s="4713" t="str">
        <f>IF(OR(LEFT(G9,1)="Y",LEFT(G9,1)="y"),G8,"")</f>
        <v/>
      </c>
      <c r="H26" s="4713" t="str">
        <f>IF(OR(LEFT(H9,1)="Y",LEFT(H9,1)="y"),H8,"")</f>
        <v/>
      </c>
      <c r="I26" s="580"/>
      <c r="J26" s="4714"/>
      <c r="K26" s="1358"/>
      <c r="L26" s="750"/>
      <c r="M26" s="750"/>
      <c r="N26" s="750"/>
      <c r="O26" s="750"/>
      <c r="P26" s="750"/>
      <c r="Q26" s="750"/>
      <c r="R26" s="750"/>
      <c r="S26" s="750"/>
      <c r="T26" s="750"/>
      <c r="U26" s="750"/>
      <c r="V26" s="750"/>
      <c r="W26" s="750"/>
      <c r="X26" s="750"/>
      <c r="Y26" s="750"/>
      <c r="AA26"/>
    </row>
    <row r="27" spans="1:31" s="622" customFormat="1" ht="13.5" hidden="1" thickBot="1">
      <c r="D27" s="622" t="str">
        <f>IF(D3&lt;&gt;"",D3,"")</f>
        <v/>
      </c>
      <c r="E27" s="622" t="str">
        <f>IF(E3&lt;&gt;"",E3,"")</f>
        <v/>
      </c>
      <c r="F27" s="622" t="str">
        <f>IF(F3&lt;&gt;"",F3,"")</f>
        <v/>
      </c>
      <c r="G27" s="622" t="str">
        <f>IF(G3&lt;&gt;"",G3,"")</f>
        <v/>
      </c>
      <c r="H27" s="622" t="str">
        <f>IF(H3&lt;&gt;"",H3,"")</f>
        <v/>
      </c>
      <c r="K27" s="1359"/>
      <c r="L27" s="715"/>
      <c r="M27" s="715"/>
      <c r="N27" s="715"/>
      <c r="O27" s="715"/>
      <c r="P27" s="715"/>
      <c r="Q27" s="715"/>
      <c r="R27" s="715"/>
      <c r="S27" s="715"/>
      <c r="T27" s="715"/>
      <c r="U27" s="715"/>
      <c r="V27" s="715"/>
      <c r="W27" s="715"/>
      <c r="X27" s="715"/>
      <c r="Y27" s="715"/>
      <c r="AA27" s="579"/>
    </row>
    <row r="28" spans="1:31" s="622" customFormat="1" ht="13.5" hidden="1" thickBot="1">
      <c r="D28" s="622" t="str">
        <f>IF(D4&lt;&gt;"", " - "&amp;D4,"")</f>
        <v/>
      </c>
      <c r="E28" s="622" t="str">
        <f>IF(E4&lt;&gt;"", " - "&amp;E4,"")</f>
        <v/>
      </c>
      <c r="F28" s="622" t="str">
        <f>IF(F4&lt;&gt;"", " - "&amp;F4,"")</f>
        <v/>
      </c>
      <c r="G28" s="622" t="str">
        <f>IF(G4&lt;&gt;"", " - "&amp;G4,"")</f>
        <v/>
      </c>
      <c r="H28" s="622" t="str">
        <f>IF(H4&lt;&gt;"", " - "&amp;H4,"")</f>
        <v/>
      </c>
      <c r="K28" s="1359"/>
      <c r="L28" s="715"/>
      <c r="M28" s="715"/>
      <c r="N28" s="715"/>
      <c r="O28" s="715"/>
      <c r="P28" s="715"/>
      <c r="Q28" s="715"/>
      <c r="R28" s="715"/>
      <c r="S28" s="715"/>
      <c r="T28" s="715"/>
      <c r="U28" s="715"/>
      <c r="V28" s="715"/>
      <c r="W28" s="715"/>
      <c r="X28" s="715"/>
      <c r="Y28" s="715"/>
    </row>
    <row r="29" spans="1:31" s="622" customFormat="1" ht="13.5" hidden="1" thickBot="1">
      <c r="D29" s="622" t="str">
        <f>IF(D5&lt;&gt;""," - "&amp;D5,"")</f>
        <v/>
      </c>
      <c r="E29" s="622" t="str">
        <f>IF(E5&lt;&gt;""," - "&amp;E5,"")</f>
        <v/>
      </c>
      <c r="F29" s="622" t="str">
        <f>IF(F5&lt;&gt;""," - "&amp;F5,"")</f>
        <v/>
      </c>
      <c r="G29" s="622" t="str">
        <f>IF(G5&lt;&gt;""," - "&amp;G5,"")</f>
        <v/>
      </c>
      <c r="H29" s="622" t="str">
        <f>IF(H5&lt;&gt;""," - "&amp;H5,"")</f>
        <v/>
      </c>
      <c r="K29" s="1359"/>
      <c r="L29" s="715"/>
      <c r="M29" s="715"/>
      <c r="N29" s="715"/>
      <c r="O29" s="715"/>
      <c r="P29" s="715"/>
      <c r="Q29" s="715"/>
      <c r="R29" s="715"/>
      <c r="S29" s="715"/>
      <c r="T29" s="715"/>
      <c r="U29" s="715"/>
      <c r="V29" s="715"/>
      <c r="W29" s="715"/>
      <c r="X29" s="715"/>
      <c r="Y29" s="715"/>
    </row>
    <row r="30" spans="1:31" s="622" customFormat="1" ht="13.5" hidden="1" thickBot="1">
      <c r="D30" s="4686" t="str">
        <f>D27&amp;D28&amp;D29</f>
        <v/>
      </c>
      <c r="E30" s="4686" t="str">
        <f>E27&amp;E28&amp;E29</f>
        <v/>
      </c>
      <c r="F30" s="4686" t="str">
        <f>F27&amp;F28&amp;F29</f>
        <v/>
      </c>
      <c r="G30" s="4686" t="str">
        <f>G27&amp;G28&amp;G29</f>
        <v/>
      </c>
      <c r="H30" s="4686" t="str">
        <f>H27&amp;H28&amp;H29</f>
        <v/>
      </c>
      <c r="K30" s="1359"/>
      <c r="L30" s="715"/>
      <c r="M30" s="715"/>
      <c r="N30" s="715"/>
      <c r="O30" s="715"/>
      <c r="P30" s="715"/>
      <c r="Q30" s="715"/>
      <c r="R30" s="715"/>
      <c r="S30" s="715"/>
      <c r="T30" s="715"/>
      <c r="U30" s="715"/>
      <c r="V30" s="715"/>
      <c r="W30" s="715"/>
      <c r="X30" s="715"/>
      <c r="Y30" s="715"/>
    </row>
    <row r="31" spans="1:31" ht="42" customHeight="1" thickTop="1" thickBot="1">
      <c r="A31" s="257"/>
      <c r="B31" s="1534"/>
      <c r="C31" s="4664" t="str">
        <f>IF(Name_1st_Yours="","Enter your name(s) on the"&amp;CHAR(10)&amp;"sheet lableled '1040'",IF(File_Marr_Joint&lt;&gt;"",NameYours&amp;CHAR(10)&amp;" and "&amp;NameSpouse,NameYours))</f>
        <v>Enter your name(s) on the
sheet lableled '1040'</v>
      </c>
      <c r="D31" s="458" t="s">
        <v>313</v>
      </c>
      <c r="E31" s="458" t="s">
        <v>314</v>
      </c>
      <c r="F31" s="458" t="s">
        <v>315</v>
      </c>
      <c r="G31" s="458" t="s">
        <v>316</v>
      </c>
      <c r="H31" s="458" t="s">
        <v>317</v>
      </c>
      <c r="I31" s="758"/>
      <c r="J31" s="758"/>
      <c r="AA31" s="622"/>
    </row>
    <row r="32" spans="1:31">
      <c r="A32" s="253"/>
      <c r="B32" s="4666"/>
      <c r="C32" s="4704" t="s">
        <v>290</v>
      </c>
      <c r="D32" s="601"/>
      <c r="E32" s="602"/>
      <c r="F32" s="602"/>
      <c r="G32" s="602"/>
      <c r="H32" s="603"/>
      <c r="I32" s="4705"/>
      <c r="J32" s="4665"/>
    </row>
    <row r="33" spans="1:31">
      <c r="A33" s="253"/>
      <c r="B33" s="4668"/>
      <c r="C33" s="4706" t="s">
        <v>291</v>
      </c>
      <c r="D33" s="629"/>
      <c r="E33" s="630"/>
      <c r="F33" s="630"/>
      <c r="G33" s="630"/>
      <c r="H33" s="631"/>
      <c r="I33" s="4705"/>
      <c r="J33" s="4665"/>
    </row>
    <row r="34" spans="1:31" ht="13.5" thickBot="1">
      <c r="A34" s="253"/>
      <c r="B34" s="4670"/>
      <c r="C34" s="4707" t="s">
        <v>292</v>
      </c>
      <c r="D34" s="632"/>
      <c r="E34" s="633"/>
      <c r="F34" s="633"/>
      <c r="G34" s="633"/>
      <c r="H34" s="634"/>
      <c r="I34" s="4705"/>
      <c r="J34" s="4665"/>
    </row>
    <row r="35" spans="1:31" ht="13.5" customHeight="1">
      <c r="A35" s="253"/>
      <c r="B35" s="4672">
        <v>1</v>
      </c>
      <c r="C35" s="4673" t="s">
        <v>293</v>
      </c>
      <c r="D35" s="604"/>
      <c r="E35" s="605"/>
      <c r="F35" s="605"/>
      <c r="G35" s="646"/>
      <c r="H35" s="647"/>
      <c r="I35" s="4708"/>
      <c r="J35" s="4665"/>
      <c r="AA35" s="4">
        <f t="shared" ref="AA35:AE37" si="4">ROUND(D35,0)</f>
        <v>0</v>
      </c>
      <c r="AB35" s="4">
        <f t="shared" si="4"/>
        <v>0</v>
      </c>
      <c r="AC35" s="4">
        <f t="shared" si="4"/>
        <v>0</v>
      </c>
      <c r="AD35" s="4">
        <f t="shared" si="4"/>
        <v>0</v>
      </c>
      <c r="AE35" s="4">
        <f t="shared" si="4"/>
        <v>0</v>
      </c>
    </row>
    <row r="36" spans="1:31" ht="13.5" customHeight="1">
      <c r="A36" s="253"/>
      <c r="B36" s="4675">
        <v>2</v>
      </c>
      <c r="C36" s="4676" t="s">
        <v>294</v>
      </c>
      <c r="D36" s="606"/>
      <c r="E36" s="607"/>
      <c r="F36" s="607"/>
      <c r="G36" s="608"/>
      <c r="H36" s="609"/>
      <c r="I36" s="4709"/>
      <c r="J36" s="4665"/>
      <c r="AA36" s="4">
        <f t="shared" si="4"/>
        <v>0</v>
      </c>
      <c r="AB36" s="4">
        <f t="shared" si="4"/>
        <v>0</v>
      </c>
      <c r="AC36" s="4">
        <f t="shared" si="4"/>
        <v>0</v>
      </c>
      <c r="AD36" s="4">
        <f t="shared" si="4"/>
        <v>0</v>
      </c>
      <c r="AE36" s="4">
        <f t="shared" si="4"/>
        <v>0</v>
      </c>
    </row>
    <row r="37" spans="1:31" ht="13.5" customHeight="1">
      <c r="A37" s="253"/>
      <c r="B37" s="4675">
        <v>3</v>
      </c>
      <c r="C37" s="4676" t="s">
        <v>295</v>
      </c>
      <c r="D37" s="606"/>
      <c r="E37" s="607"/>
      <c r="F37" s="607"/>
      <c r="G37" s="608"/>
      <c r="H37" s="609"/>
      <c r="I37" s="4709"/>
      <c r="J37" s="4665"/>
      <c r="AA37" s="4">
        <f t="shared" si="4"/>
        <v>0</v>
      </c>
      <c r="AB37" s="4">
        <f t="shared" si="4"/>
        <v>0</v>
      </c>
      <c r="AC37" s="4">
        <f t="shared" si="4"/>
        <v>0</v>
      </c>
      <c r="AD37" s="4">
        <f t="shared" si="4"/>
        <v>0</v>
      </c>
      <c r="AE37" s="4">
        <f t="shared" si="4"/>
        <v>0</v>
      </c>
    </row>
    <row r="38" spans="1:31" ht="13.5" customHeight="1">
      <c r="A38" s="253"/>
      <c r="B38" s="4675" t="s">
        <v>296</v>
      </c>
      <c r="C38" s="4676" t="s">
        <v>297</v>
      </c>
      <c r="D38" s="736" t="s">
        <v>298</v>
      </c>
      <c r="E38" s="737" t="s">
        <v>298</v>
      </c>
      <c r="F38" s="737" t="s">
        <v>298</v>
      </c>
      <c r="G38" s="738" t="s">
        <v>298</v>
      </c>
      <c r="H38" s="739" t="s">
        <v>298</v>
      </c>
      <c r="I38" s="4709"/>
      <c r="J38" s="4665"/>
      <c r="AA38" s="4"/>
      <c r="AB38" s="4"/>
      <c r="AC38" s="4"/>
      <c r="AD38" s="4"/>
      <c r="AE38" s="4"/>
    </row>
    <row r="39" spans="1:31" ht="13.5" customHeight="1">
      <c r="A39" s="253"/>
      <c r="B39" s="4675">
        <v>4</v>
      </c>
      <c r="C39" s="4676" t="s">
        <v>231</v>
      </c>
      <c r="D39" s="606"/>
      <c r="E39" s="607"/>
      <c r="F39" s="607"/>
      <c r="G39" s="608"/>
      <c r="H39" s="609"/>
      <c r="I39" s="4709"/>
      <c r="J39" s="4665"/>
      <c r="AA39" s="4">
        <f t="shared" ref="AA39:AA44" si="5">ROUND(D39,0)</f>
        <v>0</v>
      </c>
      <c r="AB39" s="4">
        <f t="shared" ref="AB39:AB44" si="6">ROUND(E39,0)</f>
        <v>0</v>
      </c>
      <c r="AC39" s="4">
        <f t="shared" ref="AC39:AC44" si="7">ROUND(F39,0)</f>
        <v>0</v>
      </c>
      <c r="AD39" s="4">
        <f t="shared" ref="AD39:AD44" si="8">ROUND(G39,0)</f>
        <v>0</v>
      </c>
      <c r="AE39" s="4">
        <f t="shared" ref="AE39:AE44" si="9">ROUND(H39,0)</f>
        <v>0</v>
      </c>
    </row>
    <row r="40" spans="1:31">
      <c r="A40" s="253"/>
      <c r="B40" s="4680">
        <v>5</v>
      </c>
      <c r="C40" s="4678" t="s">
        <v>299</v>
      </c>
      <c r="D40" s="606"/>
      <c r="E40" s="607"/>
      <c r="F40" s="607"/>
      <c r="G40" s="608"/>
      <c r="H40" s="609"/>
      <c r="I40" s="4709"/>
      <c r="J40" s="4665"/>
      <c r="AA40" s="4">
        <f t="shared" si="5"/>
        <v>0</v>
      </c>
      <c r="AB40" s="4">
        <f t="shared" si="6"/>
        <v>0</v>
      </c>
      <c r="AC40" s="4">
        <f t="shared" si="7"/>
        <v>0</v>
      </c>
      <c r="AD40" s="4">
        <f t="shared" si="8"/>
        <v>0</v>
      </c>
      <c r="AE40" s="4">
        <f t="shared" si="9"/>
        <v>0</v>
      </c>
    </row>
    <row r="41" spans="1:31">
      <c r="A41" s="253"/>
      <c r="B41" s="4675">
        <v>6</v>
      </c>
      <c r="C41" s="4676" t="s">
        <v>300</v>
      </c>
      <c r="D41" s="606"/>
      <c r="E41" s="607"/>
      <c r="F41" s="607"/>
      <c r="G41" s="608"/>
      <c r="H41" s="609"/>
      <c r="I41" s="4681" t="str">
        <f>IF(SUM(D41:H41)&gt;0,"Check Form 1116, Foreign Tax Credit","")</f>
        <v/>
      </c>
      <c r="J41" s="4665"/>
      <c r="AA41" s="4">
        <f t="shared" si="5"/>
        <v>0</v>
      </c>
      <c r="AB41" s="4">
        <f t="shared" si="6"/>
        <v>0</v>
      </c>
      <c r="AC41" s="4">
        <f t="shared" si="7"/>
        <v>0</v>
      </c>
      <c r="AD41" s="4">
        <f t="shared" si="8"/>
        <v>0</v>
      </c>
      <c r="AE41" s="4">
        <f t="shared" si="9"/>
        <v>0</v>
      </c>
    </row>
    <row r="42" spans="1:31">
      <c r="A42" s="253"/>
      <c r="B42" s="4680">
        <v>7</v>
      </c>
      <c r="C42" s="4678" t="s">
        <v>301</v>
      </c>
      <c r="D42" s="595"/>
      <c r="E42" s="596"/>
      <c r="F42" s="596"/>
      <c r="G42" s="610"/>
      <c r="H42" s="611"/>
      <c r="I42" s="4710"/>
      <c r="J42" s="4665"/>
      <c r="AA42" s="4">
        <f t="shared" si="5"/>
        <v>0</v>
      </c>
      <c r="AB42" s="4">
        <f t="shared" si="6"/>
        <v>0</v>
      </c>
      <c r="AC42" s="4">
        <f t="shared" si="7"/>
        <v>0</v>
      </c>
      <c r="AD42" s="4">
        <f t="shared" si="8"/>
        <v>0</v>
      </c>
      <c r="AE42" s="4">
        <f t="shared" si="9"/>
        <v>0</v>
      </c>
    </row>
    <row r="43" spans="1:31">
      <c r="A43" s="253"/>
      <c r="B43" s="4675">
        <v>8</v>
      </c>
      <c r="C43" s="4676" t="s">
        <v>302</v>
      </c>
      <c r="D43" s="606"/>
      <c r="E43" s="607"/>
      <c r="F43" s="607"/>
      <c r="G43" s="608"/>
      <c r="H43" s="609"/>
      <c r="I43" s="4709"/>
      <c r="J43" s="4665"/>
      <c r="AA43" s="4">
        <f t="shared" si="5"/>
        <v>0</v>
      </c>
      <c r="AB43" s="4">
        <f t="shared" si="6"/>
        <v>0</v>
      </c>
      <c r="AC43" s="4">
        <f t="shared" si="7"/>
        <v>0</v>
      </c>
      <c r="AD43" s="4">
        <f t="shared" si="8"/>
        <v>0</v>
      </c>
      <c r="AE43" s="4">
        <f t="shared" si="9"/>
        <v>0</v>
      </c>
    </row>
    <row r="44" spans="1:31">
      <c r="A44" s="253"/>
      <c r="B44" s="4675">
        <v>9</v>
      </c>
      <c r="C44" s="4676" t="s">
        <v>303</v>
      </c>
      <c r="D44" s="606"/>
      <c r="E44" s="607"/>
      <c r="F44" s="607"/>
      <c r="G44" s="607"/>
      <c r="H44" s="609"/>
      <c r="I44" s="4711"/>
      <c r="J44" s="4665"/>
      <c r="AA44" s="4">
        <f t="shared" si="5"/>
        <v>0</v>
      </c>
      <c r="AB44" s="4">
        <f t="shared" si="6"/>
        <v>0</v>
      </c>
      <c r="AC44" s="4">
        <f t="shared" si="7"/>
        <v>0</v>
      </c>
      <c r="AD44" s="4">
        <f t="shared" si="8"/>
        <v>0</v>
      </c>
      <c r="AE44" s="4">
        <f t="shared" si="9"/>
        <v>0</v>
      </c>
    </row>
    <row r="45" spans="1:31">
      <c r="A45" s="253"/>
      <c r="B45" s="4680"/>
      <c r="C45" s="4678"/>
      <c r="D45" s="606"/>
      <c r="E45" s="607"/>
      <c r="F45" s="607"/>
      <c r="G45" s="608"/>
      <c r="H45" s="609"/>
      <c r="I45" s="4709"/>
      <c r="J45" s="4665"/>
      <c r="AA45" s="4"/>
      <c r="AB45" s="4"/>
      <c r="AC45" s="4"/>
      <c r="AD45" s="4"/>
      <c r="AE45" s="4"/>
    </row>
    <row r="46" spans="1:31">
      <c r="A46" s="253"/>
      <c r="B46" s="4675">
        <v>10</v>
      </c>
      <c r="C46" s="4676" t="s">
        <v>304</v>
      </c>
      <c r="D46" s="606"/>
      <c r="E46" s="607"/>
      <c r="F46" s="607"/>
      <c r="G46" s="608"/>
      <c r="H46" s="609"/>
      <c r="I46" s="4709"/>
      <c r="J46" s="4665"/>
      <c r="AA46" s="4">
        <f t="shared" ref="AA46:AE50" si="10">ROUND(D46,0)</f>
        <v>0</v>
      </c>
      <c r="AB46" s="4">
        <f t="shared" si="10"/>
        <v>0</v>
      </c>
      <c r="AC46" s="4">
        <f t="shared" si="10"/>
        <v>0</v>
      </c>
      <c r="AD46" s="4">
        <f t="shared" si="10"/>
        <v>0</v>
      </c>
      <c r="AE46" s="4">
        <f t="shared" si="10"/>
        <v>0</v>
      </c>
    </row>
    <row r="47" spans="1:31">
      <c r="A47" s="253"/>
      <c r="B47" s="4680">
        <v>11</v>
      </c>
      <c r="C47" s="4678" t="s">
        <v>305</v>
      </c>
      <c r="D47" s="1120"/>
      <c r="E47" s="1121"/>
      <c r="F47" s="1121"/>
      <c r="G47" s="1121"/>
      <c r="H47" s="1122"/>
      <c r="I47" s="4709"/>
      <c r="J47" s="4665"/>
      <c r="AA47" s="4">
        <f t="shared" si="10"/>
        <v>0</v>
      </c>
      <c r="AB47" s="4">
        <f t="shared" si="10"/>
        <v>0</v>
      </c>
      <c r="AC47" s="4">
        <f t="shared" si="10"/>
        <v>0</v>
      </c>
      <c r="AD47" s="4">
        <f t="shared" si="10"/>
        <v>0</v>
      </c>
      <c r="AE47" s="4">
        <f t="shared" si="10"/>
        <v>0</v>
      </c>
    </row>
    <row r="48" spans="1:31">
      <c r="A48" s="253"/>
      <c r="B48" s="4680">
        <v>12</v>
      </c>
      <c r="C48" s="4678" t="s">
        <v>306</v>
      </c>
      <c r="D48" s="1120"/>
      <c r="E48" s="1121"/>
      <c r="F48" s="1121"/>
      <c r="G48" s="1121"/>
      <c r="H48" s="1122"/>
      <c r="I48" s="4709"/>
      <c r="J48" s="4665"/>
      <c r="AA48" s="4">
        <f t="shared" si="10"/>
        <v>0</v>
      </c>
      <c r="AB48" s="4">
        <f t="shared" si="10"/>
        <v>0</v>
      </c>
      <c r="AC48" s="4">
        <f t="shared" si="10"/>
        <v>0</v>
      </c>
      <c r="AD48" s="4">
        <f t="shared" si="10"/>
        <v>0</v>
      </c>
      <c r="AE48" s="4">
        <f t="shared" si="10"/>
        <v>0</v>
      </c>
    </row>
    <row r="49" spans="1:31">
      <c r="A49" s="253"/>
      <c r="B49" s="4680">
        <v>13</v>
      </c>
      <c r="C49" s="4678" t="s">
        <v>307</v>
      </c>
      <c r="D49" s="1120"/>
      <c r="E49" s="1121"/>
      <c r="F49" s="1121"/>
      <c r="G49" s="1121"/>
      <c r="H49" s="1122"/>
      <c r="I49" s="4710"/>
      <c r="J49" s="4665"/>
      <c r="AA49" s="4">
        <f t="shared" si="10"/>
        <v>0</v>
      </c>
      <c r="AB49" s="4">
        <f t="shared" si="10"/>
        <v>0</v>
      </c>
      <c r="AC49" s="4">
        <f t="shared" si="10"/>
        <v>0</v>
      </c>
      <c r="AD49" s="4">
        <f t="shared" si="10"/>
        <v>0</v>
      </c>
      <c r="AE49" s="4">
        <f t="shared" si="10"/>
        <v>0</v>
      </c>
    </row>
    <row r="50" spans="1:31">
      <c r="A50" s="253"/>
      <c r="B50" s="4680">
        <v>14</v>
      </c>
      <c r="C50" s="4678" t="s">
        <v>308</v>
      </c>
      <c r="D50" s="595"/>
      <c r="E50" s="596"/>
      <c r="F50" s="596"/>
      <c r="G50" s="596"/>
      <c r="H50" s="611"/>
      <c r="I50" s="4709"/>
      <c r="J50" s="4665"/>
      <c r="AA50" s="4">
        <f t="shared" si="10"/>
        <v>0</v>
      </c>
      <c r="AB50" s="4">
        <f t="shared" si="10"/>
        <v>0</v>
      </c>
      <c r="AC50" s="4">
        <f t="shared" si="10"/>
        <v>0</v>
      </c>
      <c r="AD50" s="4">
        <f t="shared" si="10"/>
        <v>0</v>
      </c>
      <c r="AE50" s="4">
        <f t="shared" si="10"/>
        <v>0</v>
      </c>
    </row>
    <row r="51" spans="1:31">
      <c r="A51" s="253"/>
      <c r="B51" s="4680">
        <v>15</v>
      </c>
      <c r="C51" s="4678" t="s">
        <v>309</v>
      </c>
      <c r="D51" s="1119"/>
      <c r="E51" s="1123"/>
      <c r="F51" s="1123"/>
      <c r="G51" s="1123"/>
      <c r="H51" s="1124"/>
      <c r="I51" s="4709"/>
      <c r="J51" s="4665"/>
      <c r="AA51" s="4"/>
      <c r="AB51" s="4"/>
      <c r="AC51" s="4"/>
      <c r="AD51" s="4"/>
      <c r="AE51" s="4"/>
    </row>
    <row r="52" spans="1:31">
      <c r="A52" s="253"/>
      <c r="B52" s="4680">
        <v>16</v>
      </c>
      <c r="C52" s="4678" t="s">
        <v>310</v>
      </c>
      <c r="D52" s="597"/>
      <c r="E52" s="598"/>
      <c r="F52" s="598"/>
      <c r="G52" s="598"/>
      <c r="H52" s="600"/>
      <c r="I52" s="4710"/>
      <c r="J52" s="4665"/>
      <c r="AA52" s="4"/>
      <c r="AB52" s="4"/>
      <c r="AC52" s="4"/>
      <c r="AD52" s="4"/>
      <c r="AE52" s="4"/>
    </row>
    <row r="53" spans="1:31" ht="13.5" thickBot="1">
      <c r="A53" s="253"/>
      <c r="B53" s="4682">
        <v>17</v>
      </c>
      <c r="C53" s="4683" t="s">
        <v>311</v>
      </c>
      <c r="D53" s="616"/>
      <c r="E53" s="617"/>
      <c r="F53" s="617"/>
      <c r="G53" s="618"/>
      <c r="H53" s="619"/>
      <c r="I53" s="4709"/>
      <c r="J53" s="4665"/>
      <c r="AA53" s="4">
        <f>ROUND(D53,0)</f>
        <v>0</v>
      </c>
      <c r="AB53" s="4">
        <f>ROUND(E53,0)</f>
        <v>0</v>
      </c>
      <c r="AC53" s="4">
        <f>ROUND(F53,0)</f>
        <v>0</v>
      </c>
      <c r="AD53" s="4">
        <f>ROUND(G53,0)</f>
        <v>0</v>
      </c>
      <c r="AE53" s="4">
        <f>ROUND(H53,0)</f>
        <v>0</v>
      </c>
    </row>
    <row r="54" spans="1:31" ht="17.25" customHeight="1" thickBot="1">
      <c r="A54" s="253"/>
      <c r="B54" s="4712" t="s">
        <v>312</v>
      </c>
      <c r="C54" s="253"/>
      <c r="D54" s="253"/>
      <c r="E54" s="253"/>
      <c r="F54" s="253"/>
      <c r="G54" s="253"/>
      <c r="H54" s="253"/>
      <c r="I54" s="253"/>
      <c r="J54" s="4665"/>
    </row>
    <row r="55" spans="1:31" ht="17.25" hidden="1" customHeight="1">
      <c r="A55" s="253"/>
      <c r="B55" s="4712"/>
      <c r="C55" s="253"/>
      <c r="D55" s="740" t="str">
        <f>IF(OR(LEFT(D38,1)="Y",LEFT(D38,1)="y"),D37,"")</f>
        <v/>
      </c>
      <c r="E55" s="740" t="str">
        <f>IF(OR(LEFT(E38,1)="Y",LEFT(E38,1)="y"),E37,"")</f>
        <v/>
      </c>
      <c r="F55" s="740" t="str">
        <f>IF(OR(LEFT(F38,1)="Y",LEFT(F38,1)="y"),F37,"")</f>
        <v/>
      </c>
      <c r="G55" s="740" t="str">
        <f>IF(OR(LEFT(G38,1)="Y",LEFT(G38,1)="y"),G37,"")</f>
        <v/>
      </c>
      <c r="H55" s="740" t="str">
        <f>IF(OR(LEFT(H38,1)="Y",LEFT(H38,1)="y"),H37,"")</f>
        <v/>
      </c>
      <c r="I55" s="253"/>
      <c r="J55" s="4665"/>
    </row>
    <row r="56" spans="1:31" s="622" customFormat="1" ht="13.5" hidden="1" thickBot="1">
      <c r="D56" s="622" t="str">
        <f>IF(D32&lt;&gt;"",D32,"")</f>
        <v/>
      </c>
      <c r="E56" s="622" t="str">
        <f>IF(E32&lt;&gt;"",E32,"")</f>
        <v/>
      </c>
      <c r="F56" s="622" t="str">
        <f>IF(F32&lt;&gt;"",F32,"")</f>
        <v/>
      </c>
      <c r="G56" s="622" t="str">
        <f>IF(G32&lt;&gt;"",G32,"")</f>
        <v/>
      </c>
      <c r="H56" s="622" t="str">
        <f>IF(H32&lt;&gt;"",H32,"")</f>
        <v/>
      </c>
      <c r="K56" s="1359"/>
      <c r="L56" s="715"/>
      <c r="M56" s="715"/>
      <c r="N56" s="715"/>
      <c r="O56" s="715"/>
      <c r="P56" s="715"/>
      <c r="Q56" s="715"/>
      <c r="R56" s="715"/>
      <c r="S56" s="715"/>
      <c r="T56" s="715"/>
      <c r="U56" s="715"/>
      <c r="V56" s="715"/>
      <c r="W56" s="715"/>
      <c r="X56" s="715"/>
      <c r="Y56" s="715"/>
    </row>
    <row r="57" spans="1:31" s="622" customFormat="1" ht="13.5" hidden="1" thickBot="1">
      <c r="D57" s="622" t="str">
        <f>IF(D33&lt;&gt;"", " - "&amp;D33,"")</f>
        <v/>
      </c>
      <c r="E57" s="622" t="str">
        <f>IF(E33&lt;&gt;"", " - "&amp;E33,"")</f>
        <v/>
      </c>
      <c r="F57" s="622" t="str">
        <f>IF(F33&lt;&gt;"", " - "&amp;F33,"")</f>
        <v/>
      </c>
      <c r="G57" s="622" t="str">
        <f>IF(G33&lt;&gt;"", " - "&amp;G33,"")</f>
        <v/>
      </c>
      <c r="H57" s="622" t="str">
        <f>IF(H33&lt;&gt;"", " - "&amp;H33,"")</f>
        <v/>
      </c>
      <c r="K57" s="1359"/>
      <c r="L57" s="715"/>
      <c r="M57" s="715"/>
      <c r="N57" s="715"/>
      <c r="O57" s="715"/>
      <c r="P57" s="715"/>
      <c r="Q57" s="715"/>
      <c r="R57" s="715"/>
      <c r="S57" s="715"/>
      <c r="T57" s="715"/>
      <c r="U57" s="715"/>
      <c r="V57" s="715"/>
      <c r="W57" s="715"/>
      <c r="X57" s="715"/>
      <c r="Y57" s="715"/>
    </row>
    <row r="58" spans="1:31" s="622" customFormat="1" ht="13.5" hidden="1" thickBot="1">
      <c r="D58" s="622" t="str">
        <f>IF(D34&lt;&gt;""," - "&amp;D34,"")</f>
        <v/>
      </c>
      <c r="E58" s="622" t="str">
        <f>IF(E34&lt;&gt;""," - "&amp;E34,"")</f>
        <v/>
      </c>
      <c r="F58" s="622" t="str">
        <f>IF(F34&lt;&gt;""," - "&amp;F34,"")</f>
        <v/>
      </c>
      <c r="G58" s="622" t="str">
        <f>IF(G34&lt;&gt;""," - "&amp;G34,"")</f>
        <v/>
      </c>
      <c r="H58" s="622" t="str">
        <f>IF(H34&lt;&gt;""," - "&amp;H34,"")</f>
        <v/>
      </c>
      <c r="K58" s="1359"/>
      <c r="L58" s="715"/>
      <c r="M58" s="715"/>
      <c r="N58" s="715"/>
      <c r="O58" s="715"/>
      <c r="P58" s="715"/>
      <c r="Q58" s="715"/>
      <c r="R58" s="715"/>
      <c r="S58" s="715"/>
      <c r="T58" s="715"/>
      <c r="U58" s="715"/>
      <c r="V58" s="715"/>
      <c r="W58" s="715"/>
      <c r="X58" s="715"/>
      <c r="Y58" s="715"/>
    </row>
    <row r="59" spans="1:31" s="622" customFormat="1" ht="13.5" hidden="1" thickBot="1">
      <c r="D59" s="4686" t="str">
        <f>D56&amp;D57&amp;D58</f>
        <v/>
      </c>
      <c r="E59" s="4686" t="str">
        <f>E56&amp;E57&amp;E58</f>
        <v/>
      </c>
      <c r="F59" s="4686" t="str">
        <f>F56&amp;F57&amp;F58</f>
        <v/>
      </c>
      <c r="G59" s="4686" t="str">
        <f>G56&amp;G57&amp;G58</f>
        <v/>
      </c>
      <c r="H59" s="4686" t="str">
        <f>H56&amp;H57&amp;H58</f>
        <v/>
      </c>
      <c r="K59" s="1359"/>
      <c r="L59" s="715"/>
      <c r="M59" s="715"/>
      <c r="N59" s="715"/>
      <c r="O59" s="715"/>
      <c r="P59" s="715"/>
      <c r="Q59" s="715"/>
      <c r="R59" s="715"/>
      <c r="S59" s="715"/>
      <c r="T59" s="715"/>
      <c r="U59" s="715"/>
      <c r="V59" s="715"/>
      <c r="W59" s="715"/>
      <c r="X59" s="715"/>
      <c r="Y59" s="715"/>
    </row>
    <row r="60" spans="1:31" ht="42" customHeight="1" thickTop="1" thickBot="1">
      <c r="A60" s="4604"/>
      <c r="B60" s="4605" t="s">
        <v>283</v>
      </c>
      <c r="C60" s="4715"/>
      <c r="D60" s="4716"/>
      <c r="E60" s="4717"/>
      <c r="F60" s="4716"/>
      <c r="G60" s="4716"/>
      <c r="H60" s="4716"/>
      <c r="I60" s="4718"/>
      <c r="J60" s="4665"/>
    </row>
    <row r="61" spans="1:31" ht="42" customHeight="1" thickTop="1" thickBot="1">
      <c r="A61" s="253"/>
      <c r="B61" s="4657"/>
      <c r="C61" s="4664" t="str">
        <f>IF(Name_1st_Yours="","Enter your name(s) on the"&amp;CHAR(10)&amp;"sheet lableled '1040'",IF(File_Marr_Joint&lt;&gt;"",NameYours&amp;CHAR(10)&amp;" and "&amp;NameSpouse,NameYours))</f>
        <v>Enter your name(s) on the
sheet lableled '1040'</v>
      </c>
      <c r="D61" s="458" t="s">
        <v>318</v>
      </c>
      <c r="E61" s="458" t="s">
        <v>319</v>
      </c>
      <c r="F61" s="458" t="s">
        <v>320</v>
      </c>
      <c r="G61" s="458" t="s">
        <v>321</v>
      </c>
      <c r="H61" s="458" t="s">
        <v>322</v>
      </c>
      <c r="I61" s="4719" t="s">
        <v>224</v>
      </c>
      <c r="J61" s="4720" t="s">
        <v>226</v>
      </c>
    </row>
    <row r="62" spans="1:31">
      <c r="A62" s="253"/>
      <c r="B62" s="4666"/>
      <c r="C62" s="4704" t="s">
        <v>290</v>
      </c>
      <c r="D62" s="601"/>
      <c r="E62" s="602"/>
      <c r="F62" s="602"/>
      <c r="G62" s="602"/>
      <c r="H62" s="603"/>
      <c r="I62" s="4721"/>
      <c r="J62" s="4722"/>
    </row>
    <row r="63" spans="1:31">
      <c r="A63" s="253"/>
      <c r="B63" s="4668"/>
      <c r="C63" s="4706" t="s">
        <v>291</v>
      </c>
      <c r="D63" s="629"/>
      <c r="E63" s="630"/>
      <c r="F63" s="630"/>
      <c r="G63" s="630"/>
      <c r="H63" s="631"/>
      <c r="I63" s="4723"/>
      <c r="J63" s="4722"/>
    </row>
    <row r="64" spans="1:31" ht="13.5" thickBot="1">
      <c r="A64" s="253"/>
      <c r="B64" s="4670"/>
      <c r="C64" s="4707" t="s">
        <v>292</v>
      </c>
      <c r="D64" s="632"/>
      <c r="E64" s="633"/>
      <c r="F64" s="633"/>
      <c r="G64" s="633"/>
      <c r="H64" s="634"/>
      <c r="I64" s="4724"/>
      <c r="J64" s="4681" t="str">
        <f>IF(AND(ForeignTaxPaid_INT&lt;&gt;"",ForeignTaxPaid_INT&gt;0),"Check Form 1116, Foreign Tax Credit","")</f>
        <v/>
      </c>
    </row>
    <row r="65" spans="1:31" ht="13.5" customHeight="1">
      <c r="A65" s="253"/>
      <c r="B65" s="4672">
        <v>1</v>
      </c>
      <c r="C65" s="4673" t="s">
        <v>293</v>
      </c>
      <c r="D65" s="604"/>
      <c r="E65" s="605"/>
      <c r="F65" s="605"/>
      <c r="G65" s="646"/>
      <c r="H65" s="647"/>
      <c r="I65" s="4725">
        <f>ROUND(SUM(D6:H6,D35:H35,D65:H65),0)</f>
        <v>0</v>
      </c>
      <c r="J65" s="4693" t="s">
        <v>323</v>
      </c>
      <c r="AA65" s="4">
        <f t="shared" ref="AA65:AE67" si="11">ROUND(D65,0)</f>
        <v>0</v>
      </c>
      <c r="AB65" s="4">
        <f t="shared" si="11"/>
        <v>0</v>
      </c>
      <c r="AC65" s="4">
        <f t="shared" si="11"/>
        <v>0</v>
      </c>
      <c r="AD65" s="4">
        <f t="shared" si="11"/>
        <v>0</v>
      </c>
      <c r="AE65" s="4">
        <f t="shared" si="11"/>
        <v>0</v>
      </c>
    </row>
    <row r="66" spans="1:31" ht="13.5" customHeight="1">
      <c r="A66" s="253"/>
      <c r="B66" s="4675">
        <v>2</v>
      </c>
      <c r="C66" s="4676" t="s">
        <v>294</v>
      </c>
      <c r="D66" s="606"/>
      <c r="E66" s="607"/>
      <c r="F66" s="607"/>
      <c r="G66" s="608"/>
      <c r="H66" s="609"/>
      <c r="I66" s="4528">
        <f>ROUND(SUM(D7:H7,D36:H36,D66:H66),0)</f>
        <v>0</v>
      </c>
      <c r="J66" s="4693" t="s">
        <v>324</v>
      </c>
      <c r="AA66" s="4">
        <f t="shared" si="11"/>
        <v>0</v>
      </c>
      <c r="AB66" s="4">
        <f t="shared" si="11"/>
        <v>0</v>
      </c>
      <c r="AC66" s="4">
        <f t="shared" si="11"/>
        <v>0</v>
      </c>
      <c r="AD66" s="4">
        <f t="shared" si="11"/>
        <v>0</v>
      </c>
      <c r="AE66" s="4">
        <f t="shared" si="11"/>
        <v>0</v>
      </c>
    </row>
    <row r="67" spans="1:31" ht="13.5" customHeight="1">
      <c r="A67" s="253"/>
      <c r="B67" s="4675">
        <v>3</v>
      </c>
      <c r="C67" s="4676" t="s">
        <v>295</v>
      </c>
      <c r="D67" s="606"/>
      <c r="E67" s="607"/>
      <c r="F67" s="607"/>
      <c r="G67" s="608"/>
      <c r="H67" s="609"/>
      <c r="I67" s="4726">
        <f>ROUND(SUM(D8:H8,D37:H37,D67:H67),0)</f>
        <v>0</v>
      </c>
      <c r="J67" s="4693" t="s">
        <v>325</v>
      </c>
      <c r="AA67" s="4">
        <f t="shared" si="11"/>
        <v>0</v>
      </c>
      <c r="AB67" s="4">
        <f t="shared" si="11"/>
        <v>0</v>
      </c>
      <c r="AC67" s="4">
        <f t="shared" si="11"/>
        <v>0</v>
      </c>
      <c r="AD67" s="4">
        <f t="shared" si="11"/>
        <v>0</v>
      </c>
      <c r="AE67" s="4">
        <f t="shared" si="11"/>
        <v>0</v>
      </c>
    </row>
    <row r="68" spans="1:31" ht="13.5" customHeight="1" thickBot="1">
      <c r="A68" s="253"/>
      <c r="B68" s="4675" t="s">
        <v>296</v>
      </c>
      <c r="C68" s="4676" t="s">
        <v>297</v>
      </c>
      <c r="D68" s="736" t="s">
        <v>298</v>
      </c>
      <c r="E68" s="737" t="s">
        <v>298</v>
      </c>
      <c r="F68" s="737" t="s">
        <v>298</v>
      </c>
      <c r="G68" s="738" t="s">
        <v>298</v>
      </c>
      <c r="H68" s="739" t="s">
        <v>298</v>
      </c>
      <c r="I68" s="4727"/>
      <c r="J68" s="4693"/>
      <c r="AA68" s="4"/>
      <c r="AB68" s="4"/>
      <c r="AC68" s="4"/>
      <c r="AD68" s="4"/>
      <c r="AE68" s="4"/>
    </row>
    <row r="69" spans="1:31" ht="13.5" customHeight="1">
      <c r="A69" s="253"/>
      <c r="B69" s="4675">
        <v>4</v>
      </c>
      <c r="C69" s="4676" t="s">
        <v>231</v>
      </c>
      <c r="D69" s="606"/>
      <c r="E69" s="607"/>
      <c r="F69" s="607"/>
      <c r="G69" s="608"/>
      <c r="H69" s="609"/>
      <c r="I69" s="4526">
        <f>ROUND(SUM(D10:H10,D39:H39,D69:H69),0)</f>
        <v>0</v>
      </c>
      <c r="J69" s="4693" t="s">
        <v>326</v>
      </c>
      <c r="AA69" s="4">
        <f t="shared" ref="AA69:AA74" si="12">ROUND(D69,0)</f>
        <v>0</v>
      </c>
      <c r="AB69" s="4">
        <f t="shared" ref="AB69:AB74" si="13">ROUND(E69,0)</f>
        <v>0</v>
      </c>
      <c r="AC69" s="4">
        <f t="shared" ref="AC69:AC74" si="14">ROUND(F69,0)</f>
        <v>0</v>
      </c>
      <c r="AD69" s="4">
        <f t="shared" ref="AD69:AD74" si="15">ROUND(G69,0)</f>
        <v>0</v>
      </c>
      <c r="AE69" s="4">
        <f t="shared" ref="AE69:AE74" si="16">ROUND(H69,0)</f>
        <v>0</v>
      </c>
    </row>
    <row r="70" spans="1:31" ht="12.75" customHeight="1">
      <c r="A70" s="253"/>
      <c r="B70" s="4680">
        <v>5</v>
      </c>
      <c r="C70" s="4678" t="s">
        <v>299</v>
      </c>
      <c r="D70" s="606"/>
      <c r="E70" s="607"/>
      <c r="F70" s="607"/>
      <c r="G70" s="608"/>
      <c r="H70" s="609"/>
      <c r="I70" s="4726">
        <f>ROUND(SUM(D11:H11,D40:H40,D70:H70),0)</f>
        <v>0</v>
      </c>
      <c r="J70" s="4693" t="s">
        <v>327</v>
      </c>
      <c r="AA70" s="4">
        <f t="shared" si="12"/>
        <v>0</v>
      </c>
      <c r="AB70" s="4">
        <f t="shared" si="13"/>
        <v>0</v>
      </c>
      <c r="AC70" s="4">
        <f t="shared" si="14"/>
        <v>0</v>
      </c>
      <c r="AD70" s="4">
        <f t="shared" si="15"/>
        <v>0</v>
      </c>
      <c r="AE70" s="4">
        <f t="shared" si="16"/>
        <v>0</v>
      </c>
    </row>
    <row r="71" spans="1:31">
      <c r="A71" s="253"/>
      <c r="B71" s="4675">
        <v>6</v>
      </c>
      <c r="C71" s="4676" t="s">
        <v>300</v>
      </c>
      <c r="D71" s="606"/>
      <c r="E71" s="607"/>
      <c r="F71" s="607"/>
      <c r="G71" s="608"/>
      <c r="H71" s="609"/>
      <c r="I71" s="4528">
        <f>ROUND(SUM(D12:H12,D41:H41,D71:H71),0)</f>
        <v>0</v>
      </c>
      <c r="J71" s="4696" t="s">
        <v>328</v>
      </c>
      <c r="AA71" s="4">
        <f t="shared" si="12"/>
        <v>0</v>
      </c>
      <c r="AB71" s="4">
        <f t="shared" si="13"/>
        <v>0</v>
      </c>
      <c r="AC71" s="4">
        <f t="shared" si="14"/>
        <v>0</v>
      </c>
      <c r="AD71" s="4">
        <f t="shared" si="15"/>
        <v>0</v>
      </c>
      <c r="AE71" s="4">
        <f t="shared" si="16"/>
        <v>0</v>
      </c>
    </row>
    <row r="72" spans="1:31">
      <c r="A72" s="253"/>
      <c r="B72" s="4680">
        <v>7</v>
      </c>
      <c r="C72" s="4678" t="s">
        <v>301</v>
      </c>
      <c r="D72" s="595"/>
      <c r="E72" s="596"/>
      <c r="F72" s="596"/>
      <c r="G72" s="610"/>
      <c r="H72" s="611"/>
      <c r="I72" s="4728" t="str">
        <f>" - - - -"</f>
        <v xml:space="preserve"> - - - -</v>
      </c>
      <c r="J72" s="4698" t="str">
        <f>IF(ForeignTaxPaid_INT&gt;0,"Check Form 1116, Foreign Tax Credit","")</f>
        <v/>
      </c>
      <c r="AA72" s="4">
        <f t="shared" si="12"/>
        <v>0</v>
      </c>
      <c r="AB72" s="4">
        <f t="shared" si="13"/>
        <v>0</v>
      </c>
      <c r="AC72" s="4">
        <f t="shared" si="14"/>
        <v>0</v>
      </c>
      <c r="AD72" s="4">
        <f t="shared" si="15"/>
        <v>0</v>
      </c>
      <c r="AE72" s="4">
        <f t="shared" si="16"/>
        <v>0</v>
      </c>
    </row>
    <row r="73" spans="1:31">
      <c r="A73" s="253"/>
      <c r="B73" s="4675">
        <v>8</v>
      </c>
      <c r="C73" s="4676" t="s">
        <v>302</v>
      </c>
      <c r="D73" s="606"/>
      <c r="E73" s="607"/>
      <c r="F73" s="607"/>
      <c r="G73" s="608"/>
      <c r="H73" s="609"/>
      <c r="I73" s="4528">
        <f t="shared" ref="I73:I78" si="17">ROUND(SUM(D14:H14,D43:H43,D73:H73),0)</f>
        <v>0</v>
      </c>
      <c r="J73" s="4693" t="s">
        <v>329</v>
      </c>
      <c r="AA73" s="4">
        <f t="shared" si="12"/>
        <v>0</v>
      </c>
      <c r="AB73" s="4">
        <f t="shared" si="13"/>
        <v>0</v>
      </c>
      <c r="AC73" s="4">
        <f t="shared" si="14"/>
        <v>0</v>
      </c>
      <c r="AD73" s="4">
        <f t="shared" si="15"/>
        <v>0</v>
      </c>
      <c r="AE73" s="4">
        <f t="shared" si="16"/>
        <v>0</v>
      </c>
    </row>
    <row r="74" spans="1:31">
      <c r="A74" s="253"/>
      <c r="B74" s="4675">
        <v>9</v>
      </c>
      <c r="C74" s="4676" t="s">
        <v>303</v>
      </c>
      <c r="D74" s="606"/>
      <c r="E74" s="607"/>
      <c r="F74" s="607"/>
      <c r="G74" s="607"/>
      <c r="H74" s="609"/>
      <c r="I74" s="4528">
        <f t="shared" si="17"/>
        <v>0</v>
      </c>
      <c r="J74" s="4693" t="s">
        <v>330</v>
      </c>
      <c r="AA74" s="4">
        <f t="shared" si="12"/>
        <v>0</v>
      </c>
      <c r="AB74" s="4">
        <f t="shared" si="13"/>
        <v>0</v>
      </c>
      <c r="AC74" s="4">
        <f t="shared" si="14"/>
        <v>0</v>
      </c>
      <c r="AD74" s="4">
        <f t="shared" si="15"/>
        <v>0</v>
      </c>
      <c r="AE74" s="4">
        <f t="shared" si="16"/>
        <v>0</v>
      </c>
    </row>
    <row r="75" spans="1:31">
      <c r="A75" s="253"/>
      <c r="B75" s="4680"/>
      <c r="C75" s="4678"/>
      <c r="D75" s="606"/>
      <c r="E75" s="607"/>
      <c r="F75" s="607"/>
      <c r="G75" s="608"/>
      <c r="H75" s="609"/>
      <c r="I75" s="4726">
        <f t="shared" si="17"/>
        <v>0</v>
      </c>
      <c r="J75" s="4693"/>
      <c r="AA75" s="4"/>
      <c r="AB75" s="4"/>
      <c r="AC75" s="4"/>
      <c r="AD75" s="4"/>
      <c r="AE75" s="4"/>
    </row>
    <row r="76" spans="1:31">
      <c r="A76" s="253"/>
      <c r="B76" s="4675">
        <v>10</v>
      </c>
      <c r="C76" s="4676" t="s">
        <v>304</v>
      </c>
      <c r="D76" s="606"/>
      <c r="E76" s="607"/>
      <c r="F76" s="607"/>
      <c r="G76" s="608"/>
      <c r="H76" s="609"/>
      <c r="I76" s="4528">
        <f t="shared" si="17"/>
        <v>0</v>
      </c>
      <c r="J76" s="4722" t="s">
        <v>323</v>
      </c>
      <c r="AA76" s="4">
        <f t="shared" ref="AA76:AE80" si="18">ROUND(D76,0)</f>
        <v>0</v>
      </c>
      <c r="AB76" s="4">
        <f t="shared" si="18"/>
        <v>0</v>
      </c>
      <c r="AC76" s="4">
        <f t="shared" si="18"/>
        <v>0</v>
      </c>
      <c r="AD76" s="4">
        <f t="shared" si="18"/>
        <v>0</v>
      </c>
      <c r="AE76" s="4">
        <f t="shared" si="18"/>
        <v>0</v>
      </c>
    </row>
    <row r="77" spans="1:31">
      <c r="A77" s="253"/>
      <c r="B77" s="4680">
        <v>11</v>
      </c>
      <c r="C77" s="4678" t="s">
        <v>305</v>
      </c>
      <c r="D77" s="1120"/>
      <c r="E77" s="1121"/>
      <c r="F77" s="1121"/>
      <c r="G77" s="1121"/>
      <c r="H77" s="1122"/>
      <c r="I77" s="4726">
        <f t="shared" si="17"/>
        <v>0</v>
      </c>
      <c r="J77" s="4722"/>
      <c r="AA77" s="4">
        <f t="shared" si="18"/>
        <v>0</v>
      </c>
      <c r="AB77" s="4">
        <f t="shared" si="18"/>
        <v>0</v>
      </c>
      <c r="AC77" s="4">
        <f t="shared" si="18"/>
        <v>0</v>
      </c>
      <c r="AD77" s="4">
        <f t="shared" si="18"/>
        <v>0</v>
      </c>
      <c r="AE77" s="4">
        <f t="shared" si="18"/>
        <v>0</v>
      </c>
    </row>
    <row r="78" spans="1:31">
      <c r="A78" s="253"/>
      <c r="B78" s="4680">
        <v>12</v>
      </c>
      <c r="C78" s="4678" t="s">
        <v>306</v>
      </c>
      <c r="D78" s="1120"/>
      <c r="E78" s="1121"/>
      <c r="F78" s="1121"/>
      <c r="G78" s="1121"/>
      <c r="H78" s="1122"/>
      <c r="I78" s="4726">
        <f t="shared" si="17"/>
        <v>0</v>
      </c>
      <c r="J78" s="4693"/>
      <c r="AA78" s="4">
        <f t="shared" si="18"/>
        <v>0</v>
      </c>
      <c r="AB78" s="4">
        <f t="shared" si="18"/>
        <v>0</v>
      </c>
      <c r="AC78" s="4">
        <f t="shared" si="18"/>
        <v>0</v>
      </c>
      <c r="AD78" s="4">
        <f t="shared" si="18"/>
        <v>0</v>
      </c>
      <c r="AE78" s="4">
        <f t="shared" si="18"/>
        <v>0</v>
      </c>
    </row>
    <row r="79" spans="1:31">
      <c r="A79" s="253"/>
      <c r="B79" s="4680">
        <v>13</v>
      </c>
      <c r="C79" s="4678" t="s">
        <v>307</v>
      </c>
      <c r="D79" s="1120"/>
      <c r="E79" s="1121"/>
      <c r="F79" s="1121"/>
      <c r="G79" s="1121"/>
      <c r="H79" s="1122"/>
      <c r="I79" s="4728" t="str">
        <f>" - - - -"</f>
        <v xml:space="preserve"> - - - -</v>
      </c>
      <c r="J79" s="4693"/>
      <c r="AA79" s="4">
        <f t="shared" si="18"/>
        <v>0</v>
      </c>
      <c r="AB79" s="4">
        <f t="shared" si="18"/>
        <v>0</v>
      </c>
      <c r="AC79" s="4">
        <f t="shared" si="18"/>
        <v>0</v>
      </c>
      <c r="AD79" s="4">
        <f t="shared" si="18"/>
        <v>0</v>
      </c>
      <c r="AE79" s="4">
        <f t="shared" si="18"/>
        <v>0</v>
      </c>
    </row>
    <row r="80" spans="1:31">
      <c r="A80" s="253"/>
      <c r="B80" s="4680">
        <v>14</v>
      </c>
      <c r="C80" s="4678" t="s">
        <v>308</v>
      </c>
      <c r="D80" s="595"/>
      <c r="E80" s="596"/>
      <c r="F80" s="596"/>
      <c r="G80" s="596"/>
      <c r="H80" s="611"/>
      <c r="I80" s="4728" t="str">
        <f>" - - - -"</f>
        <v xml:space="preserve"> - - - -</v>
      </c>
      <c r="J80" s="4693"/>
      <c r="AA80" s="4">
        <f t="shared" si="18"/>
        <v>0</v>
      </c>
      <c r="AB80" s="4">
        <f t="shared" si="18"/>
        <v>0</v>
      </c>
      <c r="AC80" s="4">
        <f t="shared" si="18"/>
        <v>0</v>
      </c>
      <c r="AD80" s="4">
        <f t="shared" si="18"/>
        <v>0</v>
      </c>
      <c r="AE80" s="4">
        <f t="shared" si="18"/>
        <v>0</v>
      </c>
    </row>
    <row r="81" spans="1:31">
      <c r="A81" s="253"/>
      <c r="B81" s="4680">
        <v>15</v>
      </c>
      <c r="C81" s="4678" t="s">
        <v>309</v>
      </c>
      <c r="D81" s="1119"/>
      <c r="E81" s="1123"/>
      <c r="F81" s="1123"/>
      <c r="G81" s="1123"/>
      <c r="H81" s="1124"/>
      <c r="I81" s="4728" t="str">
        <f>" - - - -"</f>
        <v xml:space="preserve"> - - - -</v>
      </c>
      <c r="J81" s="4693"/>
      <c r="AA81" s="4"/>
      <c r="AB81" s="4"/>
      <c r="AC81" s="4"/>
      <c r="AD81" s="4"/>
      <c r="AE81" s="4"/>
    </row>
    <row r="82" spans="1:31" ht="12.75" customHeight="1">
      <c r="A82" s="253"/>
      <c r="B82" s="4680">
        <v>16</v>
      </c>
      <c r="C82" s="4678" t="s">
        <v>310</v>
      </c>
      <c r="D82" s="597"/>
      <c r="E82" s="598"/>
      <c r="F82" s="598"/>
      <c r="G82" s="598"/>
      <c r="H82" s="600"/>
      <c r="I82" s="4728" t="str">
        <f>" - - - -"</f>
        <v xml:space="preserve"> - - - -</v>
      </c>
      <c r="J82" s="4693"/>
      <c r="AA82" s="4"/>
      <c r="AB82" s="4"/>
      <c r="AC82" s="4"/>
      <c r="AD82" s="4"/>
      <c r="AE82" s="4"/>
    </row>
    <row r="83" spans="1:31" ht="13.5" thickBot="1">
      <c r="A83" s="253"/>
      <c r="B83" s="4682">
        <v>17</v>
      </c>
      <c r="C83" s="4683" t="s">
        <v>311</v>
      </c>
      <c r="D83" s="616"/>
      <c r="E83" s="617"/>
      <c r="F83" s="617"/>
      <c r="G83" s="618"/>
      <c r="H83" s="619"/>
      <c r="I83" s="4729">
        <f>ROUND(SUM(D24:H24,D53:H53,D83:H83),0)</f>
        <v>0</v>
      </c>
      <c r="J83" s="4693" t="s">
        <v>331</v>
      </c>
      <c r="AA83" s="4">
        <f>ROUND(D83,0)</f>
        <v>0</v>
      </c>
      <c r="AB83" s="4">
        <f>ROUND(E83,0)</f>
        <v>0</v>
      </c>
      <c r="AC83" s="4">
        <f>ROUND(F83,0)</f>
        <v>0</v>
      </c>
      <c r="AD83" s="4">
        <f>ROUND(G83,0)</f>
        <v>0</v>
      </c>
      <c r="AE83" s="4">
        <f>ROUND(H83,0)</f>
        <v>0</v>
      </c>
    </row>
    <row r="84" spans="1:31" ht="17.25" customHeight="1">
      <c r="A84" s="253"/>
      <c r="B84" s="580" t="s">
        <v>312</v>
      </c>
      <c r="C84" s="253"/>
      <c r="D84" s="253"/>
      <c r="E84" s="253"/>
      <c r="F84" s="253"/>
      <c r="G84" s="253"/>
      <c r="H84" s="253"/>
      <c r="I84" s="253"/>
      <c r="J84" s="253"/>
    </row>
    <row r="85" spans="1:31" ht="17.25" hidden="1" customHeight="1">
      <c r="A85" s="253"/>
      <c r="B85" s="4712"/>
      <c r="C85" s="253"/>
      <c r="D85" s="740" t="str">
        <f>IF(OR(LEFT(D68,1)="Y",LEFT(D68,1)="y"),D67,"")</f>
        <v/>
      </c>
      <c r="E85" s="740" t="str">
        <f>IF(OR(LEFT(E68,1)="Y",LEFT(E68,1)="y"),E67,"")</f>
        <v/>
      </c>
      <c r="F85" s="740" t="str">
        <f>IF(OR(LEFT(F68,1)="Y",LEFT(F68,1)="y"),F67,"")</f>
        <v/>
      </c>
      <c r="G85" s="740" t="str">
        <f>IF(OR(LEFT(G68,1)="Y",LEFT(G68,1)="y"),G67,"")</f>
        <v/>
      </c>
      <c r="H85" s="740" t="str">
        <f>IF(OR(LEFT(H68,1)="Y",LEFT(H68,1)="y"),H67,"")</f>
        <v/>
      </c>
      <c r="I85" s="253"/>
      <c r="J85" s="4665"/>
    </row>
    <row r="86" spans="1:31" s="622" customFormat="1" hidden="1">
      <c r="D86" s="622" t="str">
        <f>IF(D62&lt;&gt;"",D62,"")</f>
        <v/>
      </c>
      <c r="E86" s="622" t="str">
        <f>IF(E62&lt;&gt;"",E62,"")</f>
        <v/>
      </c>
      <c r="F86" s="622" t="str">
        <f>IF(F62&lt;&gt;"",F62,"")</f>
        <v/>
      </c>
      <c r="G86" s="622" t="str">
        <f>IF(G62&lt;&gt;"",G62,"")</f>
        <v/>
      </c>
      <c r="H86" s="622" t="str">
        <f>IF(H62&lt;&gt;"",H62,"")</f>
        <v/>
      </c>
      <c r="K86" s="1359"/>
      <c r="L86" s="715"/>
      <c r="M86" s="715"/>
      <c r="N86" s="715"/>
      <c r="O86" s="715"/>
      <c r="P86" s="715"/>
      <c r="Q86" s="715"/>
      <c r="R86" s="715"/>
      <c r="S86" s="715"/>
      <c r="T86" s="715"/>
      <c r="U86" s="715"/>
      <c r="V86" s="715"/>
      <c r="W86" s="715"/>
      <c r="X86" s="715"/>
      <c r="Y86" s="715"/>
    </row>
    <row r="87" spans="1:31" s="622" customFormat="1" hidden="1">
      <c r="D87" s="622" t="str">
        <f>IF(D63&lt;&gt;"", " - "&amp;D63,"")</f>
        <v/>
      </c>
      <c r="E87" s="622" t="str">
        <f>IF(E63&lt;&gt;"", " - "&amp;E63,"")</f>
        <v/>
      </c>
      <c r="F87" s="622" t="str">
        <f>IF(F63&lt;&gt;"", " - "&amp;F63,"")</f>
        <v/>
      </c>
      <c r="G87" s="622" t="str">
        <f>IF(G63&lt;&gt;"", " - "&amp;G63,"")</f>
        <v/>
      </c>
      <c r="H87" s="622" t="str">
        <f>IF(H63&lt;&gt;"", " - "&amp;H63,"")</f>
        <v/>
      </c>
      <c r="K87" s="1359"/>
      <c r="L87" s="715"/>
      <c r="M87" s="715"/>
      <c r="N87" s="715"/>
      <c r="O87" s="715"/>
      <c r="P87" s="715"/>
      <c r="Q87" s="715"/>
      <c r="R87" s="715"/>
      <c r="S87" s="715"/>
      <c r="T87" s="715"/>
      <c r="U87" s="715"/>
      <c r="V87" s="715"/>
      <c r="W87" s="715"/>
      <c r="X87" s="715"/>
      <c r="Y87" s="715"/>
    </row>
    <row r="88" spans="1:31" s="622" customFormat="1" hidden="1">
      <c r="D88" s="622" t="str">
        <f>IF(D64&lt;&gt;""," - "&amp;D64,"")</f>
        <v/>
      </c>
      <c r="E88" s="622" t="str">
        <f>IF(E64&lt;&gt;""," - "&amp;E64,"")</f>
        <v/>
      </c>
      <c r="F88" s="622" t="str">
        <f>IF(F64&lt;&gt;""," - "&amp;F64,"")</f>
        <v/>
      </c>
      <c r="G88" s="622" t="str">
        <f>IF(G64&lt;&gt;""," - "&amp;G64,"")</f>
        <v/>
      </c>
      <c r="H88" s="622" t="str">
        <f>IF(H64&lt;&gt;""," - "&amp;H64,"")</f>
        <v/>
      </c>
      <c r="K88" s="1359"/>
      <c r="L88" s="715"/>
      <c r="M88" s="715"/>
      <c r="N88" s="715"/>
      <c r="O88" s="715"/>
      <c r="P88" s="715"/>
      <c r="Q88" s="715"/>
      <c r="R88" s="715"/>
      <c r="S88" s="715"/>
      <c r="T88" s="715"/>
      <c r="U88" s="715"/>
      <c r="V88" s="715"/>
      <c r="W88" s="715"/>
      <c r="X88" s="715"/>
      <c r="Y88" s="715"/>
    </row>
    <row r="89" spans="1:31" s="622" customFormat="1" hidden="1">
      <c r="D89" s="4686" t="str">
        <f>D86&amp;D87&amp;D88</f>
        <v/>
      </c>
      <c r="E89" s="4686" t="str">
        <f>E86&amp;E87&amp;E88</f>
        <v/>
      </c>
      <c r="F89" s="4686" t="str">
        <f>F86&amp;F87&amp;F88</f>
        <v/>
      </c>
      <c r="G89" s="4686" t="str">
        <f>G86&amp;G87&amp;G88</f>
        <v/>
      </c>
      <c r="H89" s="4686" t="str">
        <f>H86&amp;H87&amp;H88</f>
        <v/>
      </c>
      <c r="K89" s="1359"/>
      <c r="L89" s="715"/>
      <c r="M89" s="715"/>
      <c r="N89" s="715"/>
      <c r="O89" s="715"/>
      <c r="P89" s="715"/>
      <c r="Q89" s="715"/>
      <c r="R89" s="715"/>
      <c r="S89" s="715"/>
      <c r="T89" s="715"/>
      <c r="U89" s="715"/>
      <c r="V89" s="715"/>
      <c r="W89" s="715"/>
      <c r="X89" s="715"/>
      <c r="Y89" s="715"/>
    </row>
    <row r="91" spans="1:31" ht="13.5" thickBot="1"/>
    <row r="92" spans="1:31">
      <c r="C92" s="4635"/>
    </row>
    <row r="93" spans="1:31">
      <c r="C93" s="4636" t="s">
        <v>42</v>
      </c>
    </row>
    <row r="94" spans="1:31" ht="13.5" thickBot="1">
      <c r="C94" s="4637"/>
    </row>
  </sheetData>
  <sheetProtection algorithmName="SHA-512" hashValue="Nmk2XJTT0nL5xv2ZxO///xP/eFbMsJeVeQZ5yTwQf7OwEE+zUrRecHqorFg7g36TvwwsPk9viH9gSqS1ILm/ZA==" saltValue="QWHCnV/fbZ9m1gWL9HtnaQ==" spinCount="100000" sheet="1" objects="1" scenarios="1" formatCells="0" formatColumns="0" formatRows="0"/>
  <conditionalFormatting sqref="D2:H24">
    <cfRule type="expression" dxfId="3991" priority="6">
      <formula>IF(NoColor,1,0)</formula>
    </cfRule>
  </conditionalFormatting>
  <conditionalFormatting sqref="D31:H53">
    <cfRule type="expression" dxfId="3990" priority="2">
      <formula>IF(NoColor,1,0)</formula>
    </cfRule>
  </conditionalFormatting>
  <conditionalFormatting sqref="D61:H83">
    <cfRule type="expression" dxfId="3989" priority="1">
      <formula>IF(NoColor,1,0)</formula>
    </cfRule>
  </conditionalFormatting>
  <conditionalFormatting sqref="I62:I83">
    <cfRule type="expression" dxfId="3988" priority="3">
      <formula>NoColor</formula>
    </cfRule>
  </conditionalFormatting>
  <hyperlinks>
    <hyperlink ref="C93" location="'Table of Contents'!A1" display="Table of Contents" xr:uid="{00000000-0004-0000-0400-000000000000}"/>
  </hyperlinks>
  <pageMargins left="0.75" right="0.25" top="0.36" bottom="0.28999999999999998" header="0.36" footer="0.21"/>
  <pageSetup scale="53" fitToHeight="0" orientation="landscape" r:id="rId1"/>
  <rowBreaks count="1" manualBreakCount="1">
    <brk id="59" max="9"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F124"/>
  <sheetViews>
    <sheetView zoomScaleNormal="100" zoomScaleSheetLayoutView="100" workbookViewId="0"/>
  </sheetViews>
  <sheetFormatPr defaultRowHeight="12.75"/>
  <cols>
    <col min="1" max="1" width="2.5703125" customWidth="1"/>
    <col min="2" max="2" width="4.42578125" customWidth="1"/>
    <col min="3" max="3" width="45.7109375" customWidth="1"/>
    <col min="4" max="8" width="26.28515625" customWidth="1"/>
    <col min="9" max="9" width="37.140625" customWidth="1"/>
    <col min="10" max="10" width="5.5703125" customWidth="1"/>
    <col min="11" max="11" width="13.140625" style="827" customWidth="1"/>
    <col min="12" max="25" width="9.140625" style="656" customWidth="1"/>
    <col min="26" max="26" width="9.140625" customWidth="1"/>
    <col min="27" max="27" width="5.28515625" style="1040" hidden="1" customWidth="1"/>
    <col min="28" max="32" width="9.140625" hidden="1" customWidth="1"/>
  </cols>
  <sheetData>
    <row r="1" spans="1:32" ht="42" customHeight="1" thickBot="1">
      <c r="A1" s="4660"/>
      <c r="B1" s="4568" t="s">
        <v>332</v>
      </c>
      <c r="C1" s="4661"/>
      <c r="D1" s="4662"/>
      <c r="E1" s="4663"/>
      <c r="F1" s="4662"/>
      <c r="G1" s="4662"/>
      <c r="H1" s="4662"/>
      <c r="I1" s="4662"/>
      <c r="J1" s="4362"/>
      <c r="K1" s="825" t="s">
        <v>223</v>
      </c>
    </row>
    <row r="2" spans="1:32" ht="42" customHeight="1" thickTop="1" thickBot="1">
      <c r="A2" s="257"/>
      <c r="B2" s="1534"/>
      <c r="C2" s="4664" t="str">
        <f>IF(Name_1st_Yours="","Enter your name(s) on the"&amp;CHAR(10)&amp;"sheet labeled '1040'",Names)</f>
        <v>Enter your name(s) on the
sheet labeled '1040'</v>
      </c>
      <c r="D2" s="458" t="s">
        <v>284</v>
      </c>
      <c r="E2" s="458" t="s">
        <v>285</v>
      </c>
      <c r="F2" s="458" t="s">
        <v>286</v>
      </c>
      <c r="G2" s="458" t="s">
        <v>287</v>
      </c>
      <c r="H2" s="458" t="s">
        <v>288</v>
      </c>
      <c r="I2" s="3526"/>
      <c r="J2" s="4665"/>
      <c r="K2" s="1355" t="s">
        <v>289</v>
      </c>
    </row>
    <row r="3" spans="1:32">
      <c r="A3" s="253"/>
      <c r="B3" s="4666"/>
      <c r="C3" s="4667" t="s">
        <v>290</v>
      </c>
      <c r="D3" s="601"/>
      <c r="E3" s="602"/>
      <c r="F3" s="602"/>
      <c r="G3" s="602"/>
      <c r="H3" s="602"/>
      <c r="I3" s="3298"/>
      <c r="J3" s="4665"/>
    </row>
    <row r="4" spans="1:32">
      <c r="A4" s="253"/>
      <c r="B4" s="4668"/>
      <c r="C4" s="4669" t="s">
        <v>291</v>
      </c>
      <c r="D4" s="629"/>
      <c r="E4" s="630"/>
      <c r="F4" s="630"/>
      <c r="G4" s="630"/>
      <c r="H4" s="630"/>
      <c r="I4" s="3298"/>
      <c r="J4" s="4665"/>
    </row>
    <row r="5" spans="1:32" ht="13.5" thickBot="1">
      <c r="A5" s="253"/>
      <c r="B5" s="4670"/>
      <c r="C5" s="4671" t="s">
        <v>292</v>
      </c>
      <c r="D5" s="632"/>
      <c r="E5" s="633"/>
      <c r="F5" s="633"/>
      <c r="G5" s="633"/>
      <c r="H5" s="633"/>
      <c r="I5" s="3298"/>
      <c r="J5" s="4665"/>
    </row>
    <row r="6" spans="1:32" ht="13.5" customHeight="1">
      <c r="A6" s="253"/>
      <c r="B6" s="4672" t="s">
        <v>333</v>
      </c>
      <c r="C6" s="4673" t="s">
        <v>334</v>
      </c>
      <c r="D6" s="1057"/>
      <c r="E6" s="646"/>
      <c r="F6" s="605"/>
      <c r="G6" s="605"/>
      <c r="H6" s="605"/>
      <c r="I6" s="4674" t="str">
        <f>IF(I26,"Error: All qualified dividends must be included in","")</f>
        <v/>
      </c>
      <c r="J6" s="4665"/>
      <c r="AA6" s="1040" t="str">
        <f>B6</f>
        <v>1a</v>
      </c>
      <c r="AB6" s="4">
        <f t="shared" ref="AB6:AF7" si="0">ROUND(D6,2)</f>
        <v>0</v>
      </c>
      <c r="AC6" s="4">
        <f t="shared" si="0"/>
        <v>0</v>
      </c>
      <c r="AD6" s="4">
        <f t="shared" si="0"/>
        <v>0</v>
      </c>
      <c r="AE6" s="4">
        <f t="shared" si="0"/>
        <v>0</v>
      </c>
      <c r="AF6" s="4">
        <f t="shared" si="0"/>
        <v>0</v>
      </c>
    </row>
    <row r="7" spans="1:32" ht="13.5" customHeight="1">
      <c r="A7" s="253"/>
      <c r="B7" s="4675" t="s">
        <v>335</v>
      </c>
      <c r="C7" s="4676" t="s">
        <v>336</v>
      </c>
      <c r="D7" s="1058"/>
      <c r="E7" s="608"/>
      <c r="F7" s="607"/>
      <c r="G7" s="607"/>
      <c r="H7" s="607"/>
      <c r="I7" s="4674" t="str">
        <f>IF(I26,"the Total ordinary dividend amount.","")</f>
        <v/>
      </c>
      <c r="J7" s="4665"/>
      <c r="AA7" s="1040" t="str">
        <f t="shared" ref="AA7:AA25" si="1">B7</f>
        <v>1b</v>
      </c>
      <c r="AB7" s="4">
        <f t="shared" si="0"/>
        <v>0</v>
      </c>
      <c r="AC7" s="4">
        <f t="shared" si="0"/>
        <v>0</v>
      </c>
      <c r="AD7" s="4">
        <f t="shared" si="0"/>
        <v>0</v>
      </c>
      <c r="AE7" s="4">
        <f t="shared" si="0"/>
        <v>0</v>
      </c>
      <c r="AF7" s="4">
        <f t="shared" si="0"/>
        <v>0</v>
      </c>
    </row>
    <row r="8" spans="1:32" ht="13.5" customHeight="1">
      <c r="A8" s="253"/>
      <c r="B8" s="4675" t="s">
        <v>337</v>
      </c>
      <c r="C8" s="4676" t="s">
        <v>338</v>
      </c>
      <c r="D8" s="606"/>
      <c r="E8" s="607"/>
      <c r="F8" s="607"/>
      <c r="G8" s="607"/>
      <c r="H8" s="607"/>
      <c r="I8" s="4076"/>
      <c r="J8" s="4665"/>
      <c r="AA8" s="1040" t="str">
        <f t="shared" si="1"/>
        <v>2a</v>
      </c>
      <c r="AB8" s="4">
        <f t="shared" ref="AB8:AB15" si="2">ROUND(D8,0)</f>
        <v>0</v>
      </c>
      <c r="AC8" s="4">
        <f t="shared" ref="AC8:AF9" si="3">ROUND(E8,0)</f>
        <v>0</v>
      </c>
      <c r="AD8" s="4">
        <f t="shared" si="3"/>
        <v>0</v>
      </c>
      <c r="AE8" s="4">
        <f t="shared" si="3"/>
        <v>0</v>
      </c>
      <c r="AF8" s="4">
        <f t="shared" si="3"/>
        <v>0</v>
      </c>
    </row>
    <row r="9" spans="1:32" ht="13.5" customHeight="1">
      <c r="A9" s="253"/>
      <c r="B9" s="4677" t="s">
        <v>339</v>
      </c>
      <c r="C9" s="4678" t="s">
        <v>340</v>
      </c>
      <c r="D9" s="606"/>
      <c r="E9" s="607"/>
      <c r="F9" s="607"/>
      <c r="G9" s="607"/>
      <c r="H9" s="607"/>
      <c r="I9" s="4076"/>
      <c r="J9" s="4665"/>
      <c r="AA9" s="1040" t="str">
        <f t="shared" si="1"/>
        <v>2b</v>
      </c>
      <c r="AB9" s="4">
        <f t="shared" si="2"/>
        <v>0</v>
      </c>
      <c r="AC9" s="4">
        <f t="shared" si="3"/>
        <v>0</v>
      </c>
      <c r="AD9" s="4">
        <f t="shared" si="3"/>
        <v>0</v>
      </c>
      <c r="AE9" s="4">
        <f t="shared" si="3"/>
        <v>0</v>
      </c>
      <c r="AF9" s="4">
        <f t="shared" si="3"/>
        <v>0</v>
      </c>
    </row>
    <row r="10" spans="1:32">
      <c r="A10" s="253"/>
      <c r="B10" s="4677" t="s">
        <v>341</v>
      </c>
      <c r="C10" s="4679" t="s">
        <v>342</v>
      </c>
      <c r="D10" s="606"/>
      <c r="E10" s="607"/>
      <c r="F10" s="607"/>
      <c r="G10" s="607"/>
      <c r="H10" s="607"/>
      <c r="I10" s="3298"/>
      <c r="J10" s="4665"/>
      <c r="AA10" s="1040" t="str">
        <f t="shared" si="1"/>
        <v>2c</v>
      </c>
      <c r="AB10" s="4">
        <f t="shared" ref="AB10:AF11" si="4">ROUND(D10,2)</f>
        <v>0</v>
      </c>
      <c r="AC10" s="4">
        <f t="shared" si="4"/>
        <v>0</v>
      </c>
      <c r="AD10" s="4">
        <f t="shared" si="4"/>
        <v>0</v>
      </c>
      <c r="AE10" s="4">
        <f t="shared" si="4"/>
        <v>0</v>
      </c>
      <c r="AF10" s="4">
        <f t="shared" si="4"/>
        <v>0</v>
      </c>
    </row>
    <row r="11" spans="1:32">
      <c r="A11" s="253"/>
      <c r="B11" s="4675" t="s">
        <v>343</v>
      </c>
      <c r="C11" s="4676" t="s">
        <v>344</v>
      </c>
      <c r="D11" s="606"/>
      <c r="E11" s="607"/>
      <c r="F11" s="607"/>
      <c r="G11" s="607"/>
      <c r="H11" s="607"/>
      <c r="I11" s="3298"/>
      <c r="J11" s="4665"/>
      <c r="AA11" s="1040" t="str">
        <f t="shared" si="1"/>
        <v>2d</v>
      </c>
      <c r="AB11" s="4">
        <f t="shared" si="4"/>
        <v>0</v>
      </c>
      <c r="AC11" s="4">
        <f t="shared" si="4"/>
        <v>0</v>
      </c>
      <c r="AD11" s="4">
        <f t="shared" si="4"/>
        <v>0</v>
      </c>
      <c r="AE11" s="4">
        <f t="shared" si="4"/>
        <v>0</v>
      </c>
      <c r="AF11" s="4">
        <f t="shared" si="4"/>
        <v>0</v>
      </c>
    </row>
    <row r="12" spans="1:32">
      <c r="A12" s="253"/>
      <c r="B12" s="4680">
        <v>3</v>
      </c>
      <c r="C12" s="4678" t="s">
        <v>345</v>
      </c>
      <c r="D12" s="606"/>
      <c r="E12" s="607"/>
      <c r="F12" s="607"/>
      <c r="G12" s="607"/>
      <c r="H12" s="607"/>
      <c r="I12" s="3298"/>
      <c r="J12" s="4665"/>
      <c r="AA12" s="1040">
        <f t="shared" si="1"/>
        <v>3</v>
      </c>
      <c r="AB12" s="4">
        <f t="shared" si="2"/>
        <v>0</v>
      </c>
      <c r="AC12" s="4">
        <f>ROUND(E12,0)</f>
        <v>0</v>
      </c>
      <c r="AD12" s="4">
        <f>ROUND(F12,0)</f>
        <v>0</v>
      </c>
      <c r="AE12" s="4">
        <f>ROUND(G12,0)</f>
        <v>0</v>
      </c>
      <c r="AF12" s="4">
        <f>ROUND(H12,0)</f>
        <v>0</v>
      </c>
    </row>
    <row r="13" spans="1:32">
      <c r="A13" s="253"/>
      <c r="B13" s="4675">
        <v>4</v>
      </c>
      <c r="C13" s="4676" t="s">
        <v>231</v>
      </c>
      <c r="D13" s="606"/>
      <c r="E13" s="607"/>
      <c r="F13" s="607"/>
      <c r="G13" s="607"/>
      <c r="H13" s="607"/>
      <c r="I13" s="3298"/>
      <c r="J13" s="4665"/>
      <c r="AA13" s="1040">
        <f t="shared" si="1"/>
        <v>4</v>
      </c>
      <c r="AB13" s="4">
        <f t="shared" ref="AB13:AF14" si="5">ROUND(D13,2)</f>
        <v>0</v>
      </c>
      <c r="AC13" s="4">
        <f t="shared" si="5"/>
        <v>0</v>
      </c>
      <c r="AD13" s="4">
        <f t="shared" si="5"/>
        <v>0</v>
      </c>
      <c r="AE13" s="4">
        <f t="shared" si="5"/>
        <v>0</v>
      </c>
      <c r="AF13" s="4">
        <f t="shared" si="5"/>
        <v>0</v>
      </c>
    </row>
    <row r="14" spans="1:32">
      <c r="A14" s="253"/>
      <c r="B14" s="4675">
        <v>5</v>
      </c>
      <c r="C14" s="4676" t="s">
        <v>346</v>
      </c>
      <c r="D14" s="606"/>
      <c r="E14" s="607"/>
      <c r="F14" s="607"/>
      <c r="G14" s="607"/>
      <c r="H14" s="607"/>
      <c r="I14" s="3298"/>
      <c r="J14" s="4665"/>
      <c r="AA14" s="1040">
        <f t="shared" si="1"/>
        <v>5</v>
      </c>
      <c r="AB14" s="4">
        <f t="shared" si="5"/>
        <v>0</v>
      </c>
      <c r="AC14" s="4">
        <f t="shared" si="5"/>
        <v>0</v>
      </c>
      <c r="AD14" s="4">
        <f t="shared" si="5"/>
        <v>0</v>
      </c>
      <c r="AE14" s="4">
        <f t="shared" si="5"/>
        <v>0</v>
      </c>
      <c r="AF14" s="4">
        <f t="shared" si="5"/>
        <v>0</v>
      </c>
    </row>
    <row r="15" spans="1:32">
      <c r="A15" s="253"/>
      <c r="B15" s="4680">
        <v>6</v>
      </c>
      <c r="C15" s="4678" t="s">
        <v>299</v>
      </c>
      <c r="D15" s="606"/>
      <c r="E15" s="607"/>
      <c r="F15" s="607"/>
      <c r="G15" s="607"/>
      <c r="H15" s="607"/>
      <c r="I15" s="3298"/>
      <c r="J15" s="4665"/>
      <c r="AA15" s="1040">
        <f t="shared" si="1"/>
        <v>6</v>
      </c>
      <c r="AB15" s="4">
        <f t="shared" si="2"/>
        <v>0</v>
      </c>
      <c r="AC15" s="4">
        <f>ROUND(E15,0)</f>
        <v>0</v>
      </c>
      <c r="AD15" s="4">
        <f>ROUND(F15,0)</f>
        <v>0</v>
      </c>
      <c r="AE15" s="4">
        <f>ROUND(G15,0)</f>
        <v>0</v>
      </c>
      <c r="AF15" s="4">
        <f>ROUND(H15,0)</f>
        <v>0</v>
      </c>
    </row>
    <row r="16" spans="1:32">
      <c r="A16" s="253"/>
      <c r="B16" s="4675">
        <v>7</v>
      </c>
      <c r="C16" s="4676" t="s">
        <v>300</v>
      </c>
      <c r="D16" s="606"/>
      <c r="E16" s="607"/>
      <c r="F16" s="607"/>
      <c r="G16" s="607"/>
      <c r="H16" s="607"/>
      <c r="I16" s="4681" t="str">
        <f>IF(SUM(D16:H16)&gt;0,"Check Form 1116, Foreign Tax Credit","")</f>
        <v/>
      </c>
      <c r="J16" s="4665"/>
      <c r="AA16" s="1040">
        <f t="shared" si="1"/>
        <v>7</v>
      </c>
      <c r="AB16" s="4">
        <f>ROUND(D16,2)</f>
        <v>0</v>
      </c>
      <c r="AC16" s="4">
        <f>ROUND(E16,2)</f>
        <v>0</v>
      </c>
      <c r="AD16" s="4">
        <f>ROUND(F16,2)</f>
        <v>0</v>
      </c>
      <c r="AE16" s="4">
        <f>ROUND(G16,2)</f>
        <v>0</v>
      </c>
      <c r="AF16" s="4">
        <f>ROUND(H16,2)</f>
        <v>0</v>
      </c>
    </row>
    <row r="17" spans="1:32">
      <c r="A17" s="253"/>
      <c r="B17" s="4680">
        <v>8</v>
      </c>
      <c r="C17" s="4678" t="s">
        <v>301</v>
      </c>
      <c r="D17" s="606"/>
      <c r="E17" s="607"/>
      <c r="F17" s="607"/>
      <c r="G17" s="607"/>
      <c r="H17" s="607"/>
      <c r="I17" s="3298"/>
      <c r="J17" s="4665"/>
      <c r="AA17" s="1040">
        <f t="shared" si="1"/>
        <v>8</v>
      </c>
      <c r="AB17" s="4"/>
      <c r="AC17" s="4"/>
      <c r="AD17" s="4"/>
      <c r="AE17" s="4"/>
      <c r="AF17" s="4"/>
    </row>
    <row r="18" spans="1:32">
      <c r="A18" s="253"/>
      <c r="B18" s="4680">
        <v>9</v>
      </c>
      <c r="C18" s="4678" t="s">
        <v>347</v>
      </c>
      <c r="D18" s="606"/>
      <c r="E18" s="607"/>
      <c r="F18" s="607"/>
      <c r="G18" s="607"/>
      <c r="H18" s="607"/>
      <c r="I18" s="3298"/>
      <c r="J18" s="4665"/>
      <c r="AA18" s="1040">
        <f t="shared" si="1"/>
        <v>9</v>
      </c>
      <c r="AB18" s="4">
        <f t="shared" ref="AB18:AF19" si="6">ROUND(D18,0)</f>
        <v>0</v>
      </c>
      <c r="AC18" s="4">
        <f t="shared" si="6"/>
        <v>0</v>
      </c>
      <c r="AD18" s="4">
        <f t="shared" si="6"/>
        <v>0</v>
      </c>
      <c r="AE18" s="4">
        <f t="shared" si="6"/>
        <v>0</v>
      </c>
      <c r="AF18" s="4">
        <f t="shared" si="6"/>
        <v>0</v>
      </c>
    </row>
    <row r="19" spans="1:32">
      <c r="A19" s="253"/>
      <c r="B19" s="4680">
        <v>10</v>
      </c>
      <c r="C19" s="4678" t="s">
        <v>348</v>
      </c>
      <c r="D19" s="606"/>
      <c r="E19" s="607"/>
      <c r="F19" s="607"/>
      <c r="G19" s="607"/>
      <c r="H19" s="607"/>
      <c r="I19" s="3298"/>
      <c r="J19" s="4665"/>
      <c r="AA19" s="1040">
        <f t="shared" si="1"/>
        <v>10</v>
      </c>
      <c r="AB19" s="4">
        <f t="shared" si="6"/>
        <v>0</v>
      </c>
      <c r="AC19" s="4">
        <f t="shared" si="6"/>
        <v>0</v>
      </c>
      <c r="AD19" s="4">
        <f t="shared" si="6"/>
        <v>0</v>
      </c>
      <c r="AE19" s="4">
        <f t="shared" si="6"/>
        <v>0</v>
      </c>
      <c r="AF19" s="4">
        <f t="shared" si="6"/>
        <v>0</v>
      </c>
    </row>
    <row r="20" spans="1:32">
      <c r="A20" s="253"/>
      <c r="B20" s="4680">
        <v>11</v>
      </c>
      <c r="C20" s="4678" t="s">
        <v>349</v>
      </c>
      <c r="D20" s="606"/>
      <c r="E20" s="607"/>
      <c r="F20" s="607"/>
      <c r="G20" s="607"/>
      <c r="H20" s="607"/>
      <c r="I20" s="3298"/>
      <c r="J20" s="4665"/>
      <c r="AA20" s="1040">
        <f t="shared" si="1"/>
        <v>11</v>
      </c>
      <c r="AB20" s="4">
        <f t="shared" ref="AB20:AF22" si="7">ROUND(D20,2)</f>
        <v>0</v>
      </c>
      <c r="AC20" s="4">
        <f t="shared" si="7"/>
        <v>0</v>
      </c>
      <c r="AD20" s="4">
        <f t="shared" si="7"/>
        <v>0</v>
      </c>
      <c r="AE20" s="4">
        <f t="shared" si="7"/>
        <v>0</v>
      </c>
      <c r="AF20" s="4">
        <f t="shared" si="7"/>
        <v>0</v>
      </c>
    </row>
    <row r="21" spans="1:32">
      <c r="A21" s="253"/>
      <c r="B21" s="4675">
        <v>12</v>
      </c>
      <c r="C21" s="4676" t="s">
        <v>350</v>
      </c>
      <c r="D21" s="606"/>
      <c r="E21" s="607"/>
      <c r="F21" s="607"/>
      <c r="G21" s="607"/>
      <c r="H21" s="607"/>
      <c r="I21" s="3298"/>
      <c r="J21" s="4665"/>
      <c r="AA21" s="1040">
        <f t="shared" si="1"/>
        <v>12</v>
      </c>
      <c r="AB21" s="4">
        <f t="shared" si="7"/>
        <v>0</v>
      </c>
      <c r="AC21" s="4">
        <f t="shared" si="7"/>
        <v>0</v>
      </c>
      <c r="AD21" s="4">
        <f t="shared" si="7"/>
        <v>0</v>
      </c>
      <c r="AE21" s="4">
        <f t="shared" si="7"/>
        <v>0</v>
      </c>
      <c r="AF21" s="4">
        <f t="shared" si="7"/>
        <v>0</v>
      </c>
    </row>
    <row r="22" spans="1:32">
      <c r="A22" s="253"/>
      <c r="B22" s="4675">
        <v>13</v>
      </c>
      <c r="C22" s="4676" t="s">
        <v>351</v>
      </c>
      <c r="D22" s="606"/>
      <c r="E22" s="607"/>
      <c r="F22" s="607"/>
      <c r="G22" s="607"/>
      <c r="H22" s="607"/>
      <c r="I22" s="3298"/>
      <c r="J22" s="4665"/>
      <c r="AA22" s="1040">
        <f t="shared" si="1"/>
        <v>13</v>
      </c>
      <c r="AB22" s="4">
        <f t="shared" si="7"/>
        <v>0</v>
      </c>
      <c r="AC22" s="4">
        <f t="shared" si="7"/>
        <v>0</v>
      </c>
      <c r="AD22" s="4">
        <f t="shared" si="7"/>
        <v>0</v>
      </c>
      <c r="AE22" s="4">
        <f t="shared" si="7"/>
        <v>0</v>
      </c>
      <c r="AF22" s="4">
        <f t="shared" si="7"/>
        <v>0</v>
      </c>
    </row>
    <row r="23" spans="1:32">
      <c r="A23" s="253"/>
      <c r="B23" s="4680">
        <v>14</v>
      </c>
      <c r="C23" s="4678" t="s">
        <v>309</v>
      </c>
      <c r="D23" s="595"/>
      <c r="E23" s="596"/>
      <c r="F23" s="596"/>
      <c r="G23" s="596"/>
      <c r="H23" s="596"/>
      <c r="I23" s="3298"/>
      <c r="J23" s="4665"/>
      <c r="AA23" s="1040">
        <f t="shared" si="1"/>
        <v>14</v>
      </c>
      <c r="AB23" s="4"/>
      <c r="AC23" s="4"/>
      <c r="AD23" s="4"/>
      <c r="AE23" s="4"/>
      <c r="AF23" s="4"/>
    </row>
    <row r="24" spans="1:32">
      <c r="A24" s="253"/>
      <c r="B24" s="4680">
        <v>15</v>
      </c>
      <c r="C24" s="4678" t="s">
        <v>310</v>
      </c>
      <c r="D24" s="597"/>
      <c r="E24" s="598"/>
      <c r="F24" s="598"/>
      <c r="G24" s="598"/>
      <c r="H24" s="598"/>
      <c r="I24" s="3298"/>
      <c r="J24" s="4665"/>
      <c r="AA24" s="1040">
        <f t="shared" si="1"/>
        <v>15</v>
      </c>
      <c r="AB24" s="4"/>
      <c r="AC24" s="4"/>
      <c r="AD24" s="4"/>
      <c r="AE24" s="4"/>
      <c r="AF24" s="4"/>
    </row>
    <row r="25" spans="1:32" ht="13.5" thickBot="1">
      <c r="A25" s="253"/>
      <c r="B25" s="4682">
        <v>16</v>
      </c>
      <c r="C25" s="4683" t="s">
        <v>311</v>
      </c>
      <c r="D25" s="616"/>
      <c r="E25" s="617"/>
      <c r="F25" s="617"/>
      <c r="G25" s="617"/>
      <c r="H25" s="617"/>
      <c r="I25" s="3298"/>
      <c r="J25" s="4665"/>
      <c r="AA25" s="1040">
        <f t="shared" si="1"/>
        <v>16</v>
      </c>
      <c r="AB25" s="4">
        <f>ROUND(D25,2)</f>
        <v>0</v>
      </c>
      <c r="AC25" s="4">
        <f>ROUND(E25,2)</f>
        <v>0</v>
      </c>
      <c r="AD25" s="4">
        <f>ROUND(F25,2)</f>
        <v>0</v>
      </c>
      <c r="AE25" s="4">
        <f>ROUND(G25,2)</f>
        <v>0</v>
      </c>
      <c r="AF25" s="4">
        <f>ROUND(H25,2)</f>
        <v>0</v>
      </c>
    </row>
    <row r="26" spans="1:32" ht="17.25" customHeight="1" thickBot="1">
      <c r="A26" s="253"/>
      <c r="B26" s="580" t="s">
        <v>312</v>
      </c>
      <c r="C26" s="253"/>
      <c r="D26" s="512" t="b">
        <f>D7&gt;D6</f>
        <v>0</v>
      </c>
      <c r="E26" s="512" t="b">
        <f>E7&gt;E6</f>
        <v>0</v>
      </c>
      <c r="F26" s="512" t="b">
        <f>F7&gt;F6</f>
        <v>0</v>
      </c>
      <c r="G26" s="512" t="b">
        <f>G7&gt;G6</f>
        <v>0</v>
      </c>
      <c r="H26" s="512" t="b">
        <f>H7&gt;H6</f>
        <v>0</v>
      </c>
      <c r="I26" s="4684" t="b">
        <f>OR(D26:H26)</f>
        <v>0</v>
      </c>
      <c r="J26" s="4665"/>
    </row>
    <row r="27" spans="1:32" s="622" customFormat="1" hidden="1">
      <c r="D27" s="622" t="str">
        <f>IF(D3&lt;&gt;"",D3,"")</f>
        <v/>
      </c>
      <c r="E27" s="622" t="str">
        <f>IF(E3&lt;&gt;"",E3,"")</f>
        <v/>
      </c>
      <c r="F27" s="622" t="str">
        <f>IF(F3&lt;&gt;"",F3,"")</f>
        <v/>
      </c>
      <c r="G27" s="622" t="str">
        <f>IF(G3&lt;&gt;"",G3,"")</f>
        <v/>
      </c>
      <c r="H27" s="622" t="str">
        <f>IF(H3&lt;&gt;"",H3,"")</f>
        <v/>
      </c>
      <c r="I27" s="3298"/>
      <c r="J27" s="4665"/>
      <c r="K27" s="1354"/>
      <c r="L27" s="715"/>
      <c r="M27" s="715"/>
      <c r="N27" s="715"/>
      <c r="O27" s="715"/>
      <c r="P27" s="715"/>
      <c r="Q27" s="715"/>
      <c r="R27" s="715"/>
      <c r="S27" s="715"/>
      <c r="T27" s="715"/>
      <c r="U27" s="715"/>
      <c r="V27" s="715"/>
      <c r="W27" s="715"/>
      <c r="X27" s="715"/>
      <c r="Y27" s="715"/>
      <c r="AA27" s="4685"/>
    </row>
    <row r="28" spans="1:32" s="622" customFormat="1" hidden="1">
      <c r="D28" s="622" t="str">
        <f>IF(D4&lt;&gt;"", " - "&amp;D4,"")</f>
        <v/>
      </c>
      <c r="E28" s="622" t="str">
        <f>IF(E4&lt;&gt;"", " - "&amp;E4,"")</f>
        <v/>
      </c>
      <c r="F28" s="622" t="str">
        <f>IF(F4&lt;&gt;"", " - "&amp;F4,"")</f>
        <v/>
      </c>
      <c r="G28" s="622" t="str">
        <f>IF(G4&lt;&gt;"", " - "&amp;G4,"")</f>
        <v/>
      </c>
      <c r="H28" s="622" t="str">
        <f>IF(H4&lt;&gt;"", " - "&amp;H4,"")</f>
        <v/>
      </c>
      <c r="I28" s="3298"/>
      <c r="J28" s="4665"/>
      <c r="K28" s="1354"/>
      <c r="L28" s="715"/>
      <c r="M28" s="715"/>
      <c r="N28" s="715"/>
      <c r="O28" s="715"/>
      <c r="P28" s="715"/>
      <c r="Q28" s="715"/>
      <c r="R28" s="715"/>
      <c r="S28" s="715"/>
      <c r="T28" s="715"/>
      <c r="U28" s="715"/>
      <c r="V28" s="715"/>
      <c r="W28" s="715"/>
      <c r="X28" s="715"/>
      <c r="Y28" s="715"/>
      <c r="AA28" s="4685"/>
    </row>
    <row r="29" spans="1:32" s="622" customFormat="1" hidden="1">
      <c r="D29" s="622" t="str">
        <f>IF(D5&lt;&gt;""," - "&amp;D5,"")</f>
        <v/>
      </c>
      <c r="E29" s="622" t="str">
        <f>IF(E5&lt;&gt;""," - "&amp;E5,"")</f>
        <v/>
      </c>
      <c r="F29" s="622" t="str">
        <f>IF(F5&lt;&gt;""," - "&amp;F5,"")</f>
        <v/>
      </c>
      <c r="G29" s="622" t="str">
        <f>IF(G5&lt;&gt;""," - "&amp;G5,"")</f>
        <v/>
      </c>
      <c r="H29" s="622" t="str">
        <f>IF(H5&lt;&gt;""," - "&amp;H5,"")</f>
        <v/>
      </c>
      <c r="I29" s="3298"/>
      <c r="J29" s="4665"/>
      <c r="K29" s="1354"/>
      <c r="L29" s="715"/>
      <c r="M29" s="715"/>
      <c r="N29" s="715"/>
      <c r="O29" s="715"/>
      <c r="P29" s="715"/>
      <c r="Q29" s="715"/>
      <c r="R29" s="715"/>
      <c r="S29" s="715"/>
      <c r="T29" s="715"/>
      <c r="U29" s="715"/>
      <c r="V29" s="715"/>
      <c r="W29" s="715"/>
      <c r="X29" s="715"/>
      <c r="Y29" s="715"/>
      <c r="AA29" s="4685"/>
    </row>
    <row r="30" spans="1:32" s="622" customFormat="1" ht="13.5" hidden="1" thickBot="1">
      <c r="D30" s="4686" t="str">
        <f>IF(D6="","",D27&amp;D28&amp;D29)</f>
        <v/>
      </c>
      <c r="E30" s="4686" t="str">
        <f>IF(E6="","",E27&amp;E28&amp;E29)</f>
        <v/>
      </c>
      <c r="F30" s="4686" t="str">
        <f>IF(F6="","",F27&amp;F28&amp;F29)</f>
        <v/>
      </c>
      <c r="G30" s="4686" t="str">
        <f>IF(G6="","",G27&amp;G28&amp;G29)</f>
        <v/>
      </c>
      <c r="H30" s="4686" t="str">
        <f>IF(H6="","",H27&amp;H28&amp;H29)</f>
        <v/>
      </c>
      <c r="I30" s="3298"/>
      <c r="J30" s="4665"/>
      <c r="K30" s="1354"/>
      <c r="L30" s="715"/>
      <c r="M30" s="715"/>
      <c r="N30" s="715"/>
      <c r="O30" s="715"/>
      <c r="P30" s="715"/>
      <c r="Q30" s="715"/>
      <c r="R30" s="715"/>
      <c r="S30" s="715"/>
      <c r="T30" s="715"/>
      <c r="U30" s="715"/>
      <c r="V30" s="715"/>
      <c r="W30" s="715"/>
      <c r="X30" s="715"/>
      <c r="Y30" s="715"/>
      <c r="AA30" s="4685"/>
    </row>
    <row r="31" spans="1:32" ht="42" customHeight="1" thickTop="1" thickBot="1">
      <c r="A31" s="257"/>
      <c r="B31" s="1534"/>
      <c r="C31" s="4664" t="str">
        <f>IF(Name_1st_Yours="","Enter your name(s) on the"&amp;CHAR(10)&amp;"sheet labeled '1040'",Names)</f>
        <v>Enter your name(s) on the
sheet labeled '1040'</v>
      </c>
      <c r="D31" s="458" t="s">
        <v>313</v>
      </c>
      <c r="E31" s="458" t="s">
        <v>314</v>
      </c>
      <c r="F31" s="458" t="s">
        <v>315</v>
      </c>
      <c r="G31" s="458" t="s">
        <v>316</v>
      </c>
      <c r="H31" s="458" t="s">
        <v>317</v>
      </c>
      <c r="I31" s="3526"/>
      <c r="J31" s="4665"/>
    </row>
    <row r="32" spans="1:32">
      <c r="A32" s="253"/>
      <c r="B32" s="4666"/>
      <c r="C32" s="4667" t="s">
        <v>290</v>
      </c>
      <c r="D32" s="601"/>
      <c r="E32" s="602"/>
      <c r="F32" s="602"/>
      <c r="G32" s="602"/>
      <c r="H32" s="602"/>
      <c r="I32" s="3298"/>
      <c r="J32" s="4665"/>
    </row>
    <row r="33" spans="1:32">
      <c r="A33" s="253"/>
      <c r="B33" s="4668"/>
      <c r="C33" s="4669" t="s">
        <v>291</v>
      </c>
      <c r="D33" s="629"/>
      <c r="E33" s="630"/>
      <c r="F33" s="630"/>
      <c r="G33" s="630"/>
      <c r="H33" s="630"/>
      <c r="I33" s="3298"/>
      <c r="J33" s="4665"/>
    </row>
    <row r="34" spans="1:32" ht="13.5" thickBot="1">
      <c r="A34" s="253"/>
      <c r="B34" s="4670"/>
      <c r="C34" s="4671" t="s">
        <v>292</v>
      </c>
      <c r="D34" s="632"/>
      <c r="E34" s="633"/>
      <c r="F34" s="633"/>
      <c r="G34" s="633"/>
      <c r="H34" s="633"/>
      <c r="I34" s="3298"/>
      <c r="J34" s="4665"/>
    </row>
    <row r="35" spans="1:32" ht="13.5" customHeight="1">
      <c r="A35" s="253"/>
      <c r="B35" s="4672" t="s">
        <v>333</v>
      </c>
      <c r="C35" s="4673" t="s">
        <v>334</v>
      </c>
      <c r="D35" s="604"/>
      <c r="E35" s="605"/>
      <c r="F35" s="605"/>
      <c r="G35" s="605"/>
      <c r="H35" s="605"/>
      <c r="I35" s="4674" t="str">
        <f>IF(I55,"Error: All qualified dividends must be included in","")</f>
        <v/>
      </c>
      <c r="J35" s="4665"/>
      <c r="AA35" s="1040" t="str">
        <f>B35</f>
        <v>1a</v>
      </c>
      <c r="AB35" s="4">
        <f t="shared" ref="AB35:AF36" si="8">ROUND(D35,2)</f>
        <v>0</v>
      </c>
      <c r="AC35" s="4">
        <f t="shared" si="8"/>
        <v>0</v>
      </c>
      <c r="AD35" s="4">
        <f t="shared" si="8"/>
        <v>0</v>
      </c>
      <c r="AE35" s="4">
        <f t="shared" si="8"/>
        <v>0</v>
      </c>
      <c r="AF35" s="4">
        <f t="shared" si="8"/>
        <v>0</v>
      </c>
    </row>
    <row r="36" spans="1:32" ht="13.5" customHeight="1">
      <c r="A36" s="253"/>
      <c r="B36" s="4675" t="s">
        <v>335</v>
      </c>
      <c r="C36" s="4676" t="s">
        <v>336</v>
      </c>
      <c r="D36" s="606"/>
      <c r="E36" s="607"/>
      <c r="F36" s="607"/>
      <c r="G36" s="607"/>
      <c r="H36" s="607"/>
      <c r="I36" s="4674" t="str">
        <f>IF(I55,"the Total ordinary dividend amount.","")</f>
        <v/>
      </c>
      <c r="J36" s="4665"/>
      <c r="AA36" s="1040" t="str">
        <f t="shared" ref="AA36:AA54" si="9">B36</f>
        <v>1b</v>
      </c>
      <c r="AB36" s="4">
        <f t="shared" si="8"/>
        <v>0</v>
      </c>
      <c r="AC36" s="4">
        <f t="shared" si="8"/>
        <v>0</v>
      </c>
      <c r="AD36" s="4">
        <f t="shared" si="8"/>
        <v>0</v>
      </c>
      <c r="AE36" s="4">
        <f t="shared" si="8"/>
        <v>0</v>
      </c>
      <c r="AF36" s="4">
        <f t="shared" si="8"/>
        <v>0</v>
      </c>
    </row>
    <row r="37" spans="1:32" ht="13.5" customHeight="1">
      <c r="A37" s="253"/>
      <c r="B37" s="4675" t="s">
        <v>337</v>
      </c>
      <c r="C37" s="4676" t="s">
        <v>338</v>
      </c>
      <c r="D37" s="606"/>
      <c r="E37" s="607"/>
      <c r="F37" s="607"/>
      <c r="G37" s="607"/>
      <c r="H37" s="607"/>
      <c r="I37" s="4076"/>
      <c r="J37" s="4665"/>
      <c r="AA37" s="1040" t="str">
        <f t="shared" si="9"/>
        <v>2a</v>
      </c>
      <c r="AB37" s="4">
        <f t="shared" ref="AB37:AF38" si="10">ROUND(D37,0)</f>
        <v>0</v>
      </c>
      <c r="AC37" s="4">
        <f t="shared" si="10"/>
        <v>0</v>
      </c>
      <c r="AD37" s="4">
        <f t="shared" si="10"/>
        <v>0</v>
      </c>
      <c r="AE37" s="4">
        <f t="shared" si="10"/>
        <v>0</v>
      </c>
      <c r="AF37" s="4">
        <f t="shared" si="10"/>
        <v>0</v>
      </c>
    </row>
    <row r="38" spans="1:32" ht="13.5" customHeight="1">
      <c r="A38" s="253"/>
      <c r="B38" s="4677" t="s">
        <v>339</v>
      </c>
      <c r="C38" s="4678" t="s">
        <v>340</v>
      </c>
      <c r="D38" s="606"/>
      <c r="E38" s="607"/>
      <c r="F38" s="607"/>
      <c r="G38" s="607"/>
      <c r="H38" s="607"/>
      <c r="I38" s="4076"/>
      <c r="J38" s="4665"/>
      <c r="AA38" s="1040" t="str">
        <f t="shared" si="9"/>
        <v>2b</v>
      </c>
      <c r="AB38" s="4">
        <f t="shared" si="10"/>
        <v>0</v>
      </c>
      <c r="AC38" s="4">
        <f t="shared" si="10"/>
        <v>0</v>
      </c>
      <c r="AD38" s="4">
        <f t="shared" si="10"/>
        <v>0</v>
      </c>
      <c r="AE38" s="4">
        <f t="shared" si="10"/>
        <v>0</v>
      </c>
      <c r="AF38" s="4">
        <f t="shared" si="10"/>
        <v>0</v>
      </c>
    </row>
    <row r="39" spans="1:32">
      <c r="A39" s="253"/>
      <c r="B39" s="4677" t="s">
        <v>341</v>
      </c>
      <c r="C39" s="4679" t="s">
        <v>342</v>
      </c>
      <c r="D39" s="606"/>
      <c r="E39" s="607"/>
      <c r="F39" s="607"/>
      <c r="G39" s="607"/>
      <c r="H39" s="607"/>
      <c r="I39" s="3298"/>
      <c r="J39" s="4665"/>
      <c r="AA39" s="1040" t="str">
        <f t="shared" si="9"/>
        <v>2c</v>
      </c>
      <c r="AB39" s="4">
        <f t="shared" ref="AB39:AF40" si="11">ROUND(D39,2)</f>
        <v>0</v>
      </c>
      <c r="AC39" s="4">
        <f t="shared" si="11"/>
        <v>0</v>
      </c>
      <c r="AD39" s="4">
        <f t="shared" si="11"/>
        <v>0</v>
      </c>
      <c r="AE39" s="4">
        <f t="shared" si="11"/>
        <v>0</v>
      </c>
      <c r="AF39" s="4">
        <f t="shared" si="11"/>
        <v>0</v>
      </c>
    </row>
    <row r="40" spans="1:32">
      <c r="A40" s="253"/>
      <c r="B40" s="4675" t="s">
        <v>343</v>
      </c>
      <c r="C40" s="4676" t="s">
        <v>344</v>
      </c>
      <c r="D40" s="606"/>
      <c r="E40" s="607"/>
      <c r="F40" s="607"/>
      <c r="G40" s="607"/>
      <c r="H40" s="607"/>
      <c r="I40" s="3298"/>
      <c r="J40" s="4665"/>
      <c r="AA40" s="1040" t="str">
        <f t="shared" si="9"/>
        <v>2d</v>
      </c>
      <c r="AB40" s="4">
        <f t="shared" si="11"/>
        <v>0</v>
      </c>
      <c r="AC40" s="4">
        <f t="shared" si="11"/>
        <v>0</v>
      </c>
      <c r="AD40" s="4">
        <f t="shared" si="11"/>
        <v>0</v>
      </c>
      <c r="AE40" s="4">
        <f t="shared" si="11"/>
        <v>0</v>
      </c>
      <c r="AF40" s="4">
        <f t="shared" si="11"/>
        <v>0</v>
      </c>
    </row>
    <row r="41" spans="1:32">
      <c r="A41" s="253"/>
      <c r="B41" s="4680">
        <v>3</v>
      </c>
      <c r="C41" s="4678" t="s">
        <v>345</v>
      </c>
      <c r="D41" s="606"/>
      <c r="E41" s="607"/>
      <c r="F41" s="607"/>
      <c r="G41" s="607"/>
      <c r="H41" s="607"/>
      <c r="I41" s="3298"/>
      <c r="J41" s="4665"/>
      <c r="AA41" s="1040">
        <f t="shared" si="9"/>
        <v>3</v>
      </c>
      <c r="AB41" s="4">
        <f>ROUND(D41,0)</f>
        <v>0</v>
      </c>
      <c r="AC41" s="4">
        <f>ROUND(E41,0)</f>
        <v>0</v>
      </c>
      <c r="AD41" s="4">
        <f>ROUND(F41,0)</f>
        <v>0</v>
      </c>
      <c r="AE41" s="4">
        <f>ROUND(G41,0)</f>
        <v>0</v>
      </c>
      <c r="AF41" s="4">
        <f>ROUND(H41,0)</f>
        <v>0</v>
      </c>
    </row>
    <row r="42" spans="1:32">
      <c r="A42" s="253"/>
      <c r="B42" s="4675">
        <v>4</v>
      </c>
      <c r="C42" s="4676" t="s">
        <v>231</v>
      </c>
      <c r="D42" s="606"/>
      <c r="E42" s="607"/>
      <c r="F42" s="607"/>
      <c r="G42" s="607"/>
      <c r="H42" s="607"/>
      <c r="I42" s="3298"/>
      <c r="J42" s="4665"/>
      <c r="AA42" s="1040">
        <f t="shared" si="9"/>
        <v>4</v>
      </c>
      <c r="AB42" s="4">
        <f t="shared" ref="AB42:AF43" si="12">ROUND(D42,2)</f>
        <v>0</v>
      </c>
      <c r="AC42" s="4">
        <f t="shared" si="12"/>
        <v>0</v>
      </c>
      <c r="AD42" s="4">
        <f t="shared" si="12"/>
        <v>0</v>
      </c>
      <c r="AE42" s="4">
        <f t="shared" si="12"/>
        <v>0</v>
      </c>
      <c r="AF42" s="4">
        <f t="shared" si="12"/>
        <v>0</v>
      </c>
    </row>
    <row r="43" spans="1:32">
      <c r="A43" s="253"/>
      <c r="B43" s="4675">
        <v>5</v>
      </c>
      <c r="C43" s="4676" t="s">
        <v>346</v>
      </c>
      <c r="D43" s="606"/>
      <c r="E43" s="607"/>
      <c r="F43" s="607"/>
      <c r="G43" s="607"/>
      <c r="H43" s="607"/>
      <c r="I43" s="3298"/>
      <c r="J43" s="4665"/>
      <c r="AA43" s="1040">
        <f t="shared" si="9"/>
        <v>5</v>
      </c>
      <c r="AB43" s="4">
        <f t="shared" si="12"/>
        <v>0</v>
      </c>
      <c r="AC43" s="4">
        <f t="shared" si="12"/>
        <v>0</v>
      </c>
      <c r="AD43" s="4">
        <f t="shared" si="12"/>
        <v>0</v>
      </c>
      <c r="AE43" s="4">
        <f t="shared" si="12"/>
        <v>0</v>
      </c>
      <c r="AF43" s="4">
        <f t="shared" si="12"/>
        <v>0</v>
      </c>
    </row>
    <row r="44" spans="1:32">
      <c r="A44" s="253"/>
      <c r="B44" s="4680">
        <v>6</v>
      </c>
      <c r="C44" s="4678" t="s">
        <v>299</v>
      </c>
      <c r="D44" s="606"/>
      <c r="E44" s="607"/>
      <c r="F44" s="607"/>
      <c r="G44" s="607"/>
      <c r="H44" s="607"/>
      <c r="I44" s="3298"/>
      <c r="J44" s="4665"/>
      <c r="AA44" s="1040">
        <f t="shared" si="9"/>
        <v>6</v>
      </c>
      <c r="AB44" s="4">
        <f>ROUND(D44,0)</f>
        <v>0</v>
      </c>
      <c r="AC44" s="4">
        <f>ROUND(E44,0)</f>
        <v>0</v>
      </c>
      <c r="AD44" s="4">
        <f>ROUND(F44,0)</f>
        <v>0</v>
      </c>
      <c r="AE44" s="4">
        <f>ROUND(G44,0)</f>
        <v>0</v>
      </c>
      <c r="AF44" s="4">
        <f>ROUND(H44,0)</f>
        <v>0</v>
      </c>
    </row>
    <row r="45" spans="1:32">
      <c r="A45" s="253"/>
      <c r="B45" s="4675">
        <v>7</v>
      </c>
      <c r="C45" s="4676" t="s">
        <v>300</v>
      </c>
      <c r="D45" s="606"/>
      <c r="E45" s="607"/>
      <c r="F45" s="607"/>
      <c r="G45" s="607"/>
      <c r="H45" s="607"/>
      <c r="I45" s="4681" t="str">
        <f>IF(SUM(D45:H45)&gt;0,"Check Form 1116, Foreign Tax Credit","")</f>
        <v/>
      </c>
      <c r="J45" s="4665"/>
      <c r="AA45" s="1040">
        <f t="shared" si="9"/>
        <v>7</v>
      </c>
      <c r="AB45" s="4">
        <f>ROUND(D45,2)</f>
        <v>0</v>
      </c>
      <c r="AC45" s="4">
        <f>ROUND(E45,2)</f>
        <v>0</v>
      </c>
      <c r="AD45" s="4">
        <f>ROUND(F45,2)</f>
        <v>0</v>
      </c>
      <c r="AE45" s="4">
        <f>ROUND(G45,2)</f>
        <v>0</v>
      </c>
      <c r="AF45" s="4">
        <f>ROUND(H45,2)</f>
        <v>0</v>
      </c>
    </row>
    <row r="46" spans="1:32">
      <c r="A46" s="253"/>
      <c r="B46" s="4680">
        <v>8</v>
      </c>
      <c r="C46" s="4678" t="s">
        <v>301</v>
      </c>
      <c r="D46" s="606"/>
      <c r="E46" s="607"/>
      <c r="F46" s="607"/>
      <c r="G46" s="607"/>
      <c r="H46" s="607"/>
      <c r="I46" s="3298"/>
      <c r="J46" s="4665"/>
      <c r="AA46" s="1040">
        <f t="shared" si="9"/>
        <v>8</v>
      </c>
      <c r="AB46" s="4"/>
      <c r="AC46" s="4"/>
      <c r="AD46" s="4"/>
      <c r="AE46" s="4"/>
      <c r="AF46" s="4"/>
    </row>
    <row r="47" spans="1:32">
      <c r="A47" s="253"/>
      <c r="B47" s="4680">
        <v>9</v>
      </c>
      <c r="C47" s="4678" t="s">
        <v>347</v>
      </c>
      <c r="D47" s="606"/>
      <c r="E47" s="607"/>
      <c r="F47" s="607"/>
      <c r="G47" s="607"/>
      <c r="H47" s="607"/>
      <c r="I47" s="3298"/>
      <c r="J47" s="4665"/>
      <c r="AA47" s="1040">
        <f t="shared" si="9"/>
        <v>9</v>
      </c>
      <c r="AB47" s="4">
        <f t="shared" ref="AB47:AF48" si="13">ROUND(D47,0)</f>
        <v>0</v>
      </c>
      <c r="AC47" s="4">
        <f t="shared" si="13"/>
        <v>0</v>
      </c>
      <c r="AD47" s="4">
        <f t="shared" si="13"/>
        <v>0</v>
      </c>
      <c r="AE47" s="4">
        <f t="shared" si="13"/>
        <v>0</v>
      </c>
      <c r="AF47" s="4">
        <f t="shared" si="13"/>
        <v>0</v>
      </c>
    </row>
    <row r="48" spans="1:32">
      <c r="A48" s="253"/>
      <c r="B48" s="4680">
        <v>10</v>
      </c>
      <c r="C48" s="4678" t="s">
        <v>348</v>
      </c>
      <c r="D48" s="606"/>
      <c r="E48" s="607"/>
      <c r="F48" s="607"/>
      <c r="G48" s="607"/>
      <c r="H48" s="607"/>
      <c r="I48" s="3298"/>
      <c r="J48" s="4665"/>
      <c r="AA48" s="1040">
        <f t="shared" si="9"/>
        <v>10</v>
      </c>
      <c r="AB48" s="4">
        <f t="shared" si="13"/>
        <v>0</v>
      </c>
      <c r="AC48" s="4">
        <f t="shared" si="13"/>
        <v>0</v>
      </c>
      <c r="AD48" s="4">
        <f t="shared" si="13"/>
        <v>0</v>
      </c>
      <c r="AE48" s="4">
        <f t="shared" si="13"/>
        <v>0</v>
      </c>
      <c r="AF48" s="4">
        <f t="shared" si="13"/>
        <v>0</v>
      </c>
    </row>
    <row r="49" spans="1:32">
      <c r="A49" s="253"/>
      <c r="B49" s="4680">
        <v>11</v>
      </c>
      <c r="C49" s="4678" t="s">
        <v>349</v>
      </c>
      <c r="D49" s="606"/>
      <c r="E49" s="607"/>
      <c r="F49" s="607"/>
      <c r="G49" s="607"/>
      <c r="H49" s="607"/>
      <c r="I49" s="3298"/>
      <c r="J49" s="4665"/>
      <c r="Z49" s="656"/>
      <c r="AA49" s="1040">
        <f t="shared" si="9"/>
        <v>11</v>
      </c>
      <c r="AB49" s="4">
        <f t="shared" ref="AB49:AF51" si="14">ROUND(D49,2)</f>
        <v>0</v>
      </c>
      <c r="AC49" s="4">
        <f t="shared" si="14"/>
        <v>0</v>
      </c>
      <c r="AD49" s="4">
        <f t="shared" si="14"/>
        <v>0</v>
      </c>
      <c r="AE49" s="4">
        <f t="shared" si="14"/>
        <v>0</v>
      </c>
      <c r="AF49" s="4">
        <f t="shared" si="14"/>
        <v>0</v>
      </c>
    </row>
    <row r="50" spans="1:32">
      <c r="A50" s="253"/>
      <c r="B50" s="4675">
        <v>12</v>
      </c>
      <c r="C50" s="4676" t="s">
        <v>350</v>
      </c>
      <c r="D50" s="606"/>
      <c r="E50" s="607"/>
      <c r="F50" s="607"/>
      <c r="G50" s="607"/>
      <c r="H50" s="607"/>
      <c r="I50" s="3298"/>
      <c r="J50" s="4665"/>
      <c r="AA50" s="1040">
        <f t="shared" si="9"/>
        <v>12</v>
      </c>
      <c r="AB50" s="4">
        <f t="shared" si="14"/>
        <v>0</v>
      </c>
      <c r="AC50" s="4">
        <f t="shared" si="14"/>
        <v>0</v>
      </c>
      <c r="AD50" s="4">
        <f t="shared" si="14"/>
        <v>0</v>
      </c>
      <c r="AE50" s="4">
        <f t="shared" si="14"/>
        <v>0</v>
      </c>
      <c r="AF50" s="4">
        <f t="shared" si="14"/>
        <v>0</v>
      </c>
    </row>
    <row r="51" spans="1:32">
      <c r="A51" s="253"/>
      <c r="B51" s="4675">
        <v>13</v>
      </c>
      <c r="C51" s="4676" t="s">
        <v>351</v>
      </c>
      <c r="D51" s="606"/>
      <c r="E51" s="607"/>
      <c r="F51" s="607"/>
      <c r="G51" s="607"/>
      <c r="H51" s="607"/>
      <c r="I51" s="3298"/>
      <c r="J51" s="4665"/>
      <c r="AA51" s="1040">
        <f t="shared" si="9"/>
        <v>13</v>
      </c>
      <c r="AB51" s="4">
        <f t="shared" si="14"/>
        <v>0</v>
      </c>
      <c r="AC51" s="4">
        <f t="shared" si="14"/>
        <v>0</v>
      </c>
      <c r="AD51" s="4">
        <f t="shared" si="14"/>
        <v>0</v>
      </c>
      <c r="AE51" s="4">
        <f t="shared" si="14"/>
        <v>0</v>
      </c>
      <c r="AF51" s="4">
        <f t="shared" si="14"/>
        <v>0</v>
      </c>
    </row>
    <row r="52" spans="1:32">
      <c r="A52" s="253"/>
      <c r="B52" s="4680">
        <v>14</v>
      </c>
      <c r="C52" s="4678" t="s">
        <v>309</v>
      </c>
      <c r="D52" s="595"/>
      <c r="E52" s="596"/>
      <c r="F52" s="596"/>
      <c r="G52" s="596"/>
      <c r="H52" s="596"/>
      <c r="I52" s="3298"/>
      <c r="J52" s="4665"/>
      <c r="AA52" s="1040">
        <f t="shared" si="9"/>
        <v>14</v>
      </c>
      <c r="AB52" s="4"/>
      <c r="AC52" s="4"/>
      <c r="AD52" s="4"/>
      <c r="AE52" s="4"/>
      <c r="AF52" s="4"/>
    </row>
    <row r="53" spans="1:32">
      <c r="A53" s="253"/>
      <c r="B53" s="4680">
        <v>15</v>
      </c>
      <c r="C53" s="4678" t="s">
        <v>310</v>
      </c>
      <c r="D53" s="597"/>
      <c r="E53" s="598"/>
      <c r="F53" s="598"/>
      <c r="G53" s="598"/>
      <c r="H53" s="598"/>
      <c r="I53" s="3298"/>
      <c r="J53" s="4665"/>
      <c r="AA53" s="1040">
        <f t="shared" si="9"/>
        <v>15</v>
      </c>
      <c r="AB53" s="4"/>
      <c r="AC53" s="4"/>
      <c r="AD53" s="4"/>
      <c r="AE53" s="4"/>
      <c r="AF53" s="4"/>
    </row>
    <row r="54" spans="1:32" ht="13.5" thickBot="1">
      <c r="A54" s="253"/>
      <c r="B54" s="4682">
        <v>16</v>
      </c>
      <c r="C54" s="4683" t="s">
        <v>311</v>
      </c>
      <c r="D54" s="616"/>
      <c r="E54" s="617"/>
      <c r="F54" s="617"/>
      <c r="G54" s="617"/>
      <c r="H54" s="617"/>
      <c r="I54" s="3298"/>
      <c r="J54" s="4665"/>
      <c r="AA54" s="1040">
        <f t="shared" si="9"/>
        <v>16</v>
      </c>
      <c r="AB54" s="4">
        <f>ROUND(D54,2)</f>
        <v>0</v>
      </c>
      <c r="AC54" s="4">
        <f>ROUND(E54,2)</f>
        <v>0</v>
      </c>
      <c r="AD54" s="4">
        <f>ROUND(F54,2)</f>
        <v>0</v>
      </c>
      <c r="AE54" s="4">
        <f>ROUND(G54,2)</f>
        <v>0</v>
      </c>
      <c r="AF54" s="4">
        <f>ROUND(H54,2)</f>
        <v>0</v>
      </c>
    </row>
    <row r="55" spans="1:32" ht="17.25" customHeight="1" thickBot="1">
      <c r="A55" s="253"/>
      <c r="B55" s="580" t="s">
        <v>312</v>
      </c>
      <c r="C55" s="253"/>
      <c r="D55" s="512" t="b">
        <f>D36&gt;D35</f>
        <v>0</v>
      </c>
      <c r="E55" s="512" t="b">
        <f>E36&gt;E35</f>
        <v>0</v>
      </c>
      <c r="F55" s="512" t="b">
        <f>F36&gt;F35</f>
        <v>0</v>
      </c>
      <c r="G55" s="512" t="b">
        <f>G36&gt;G35</f>
        <v>0</v>
      </c>
      <c r="H55" s="512" t="b">
        <f>H36&gt;H35</f>
        <v>0</v>
      </c>
      <c r="I55" s="4684" t="b">
        <f>OR(D55:H55)</f>
        <v>0</v>
      </c>
      <c r="J55" s="4665"/>
    </row>
    <row r="56" spans="1:32" s="622" customFormat="1" hidden="1">
      <c r="D56" s="622" t="str">
        <f>IF(D32&lt;&gt;"",D32,"")</f>
        <v/>
      </c>
      <c r="E56" s="622" t="str">
        <f>IF(E32&lt;&gt;"",E32,"")</f>
        <v/>
      </c>
      <c r="F56" s="622" t="str">
        <f>IF(F32&lt;&gt;"",F32,"")</f>
        <v/>
      </c>
      <c r="G56" s="622" t="str">
        <f>IF(G32&lt;&gt;"",G32,"")</f>
        <v/>
      </c>
      <c r="H56" s="622" t="str">
        <f>IF(H32&lt;&gt;"",H32,"")</f>
        <v/>
      </c>
      <c r="I56" s="3298"/>
      <c r="J56" s="4665"/>
      <c r="K56" s="1354"/>
      <c r="L56" s="715"/>
      <c r="M56" s="715"/>
      <c r="N56" s="715"/>
      <c r="O56" s="715"/>
      <c r="P56" s="715"/>
      <c r="Q56" s="715"/>
      <c r="R56" s="715"/>
      <c r="S56" s="715"/>
      <c r="T56" s="715"/>
      <c r="U56" s="715"/>
      <c r="V56" s="715"/>
      <c r="W56" s="715"/>
      <c r="X56" s="715"/>
      <c r="Y56" s="715"/>
      <c r="AA56" s="4685"/>
    </row>
    <row r="57" spans="1:32" s="622" customFormat="1" hidden="1">
      <c r="D57" s="622" t="str">
        <f>IF(D33&lt;&gt;"", " - "&amp;D33,"")</f>
        <v/>
      </c>
      <c r="E57" s="622" t="str">
        <f>IF(E33&lt;&gt;"", " - "&amp;E33,"")</f>
        <v/>
      </c>
      <c r="F57" s="622" t="str">
        <f>IF(F33&lt;&gt;"", " - "&amp;F33,"")</f>
        <v/>
      </c>
      <c r="G57" s="622" t="str">
        <f>IF(G33&lt;&gt;"", " - "&amp;G33,"")</f>
        <v/>
      </c>
      <c r="H57" s="622" t="str">
        <f>IF(H33&lt;&gt;"", " - "&amp;H33,"")</f>
        <v/>
      </c>
      <c r="I57" s="3298"/>
      <c r="J57" s="4665"/>
      <c r="K57" s="1354"/>
      <c r="L57" s="715"/>
      <c r="M57" s="715"/>
      <c r="N57" s="715"/>
      <c r="O57" s="715"/>
      <c r="P57" s="715"/>
      <c r="Q57" s="715"/>
      <c r="R57" s="715"/>
      <c r="S57" s="715"/>
      <c r="T57" s="715"/>
      <c r="U57" s="715"/>
      <c r="V57" s="715"/>
      <c r="W57" s="715"/>
      <c r="X57" s="715"/>
      <c r="Y57" s="715"/>
      <c r="AA57" s="4685"/>
    </row>
    <row r="58" spans="1:32" s="622" customFormat="1" hidden="1">
      <c r="D58" s="622" t="str">
        <f>IF(D34&lt;&gt;""," - "&amp;D34,"")</f>
        <v/>
      </c>
      <c r="E58" s="622" t="str">
        <f>IF(E34&lt;&gt;""," - "&amp;E34,"")</f>
        <v/>
      </c>
      <c r="F58" s="622" t="str">
        <f>IF(F34&lt;&gt;""," - "&amp;F34,"")</f>
        <v/>
      </c>
      <c r="G58" s="622" t="str">
        <f>IF(G34&lt;&gt;""," - "&amp;G34,"")</f>
        <v/>
      </c>
      <c r="H58" s="622" t="str">
        <f>IF(H34&lt;&gt;""," - "&amp;H34,"")</f>
        <v/>
      </c>
      <c r="I58" s="3298"/>
      <c r="J58" s="4665"/>
      <c r="K58" s="1354"/>
      <c r="L58" s="715"/>
      <c r="M58" s="715"/>
      <c r="N58" s="715"/>
      <c r="O58" s="715"/>
      <c r="P58" s="715"/>
      <c r="Q58" s="715"/>
      <c r="R58" s="715"/>
      <c r="S58" s="715"/>
      <c r="T58" s="715"/>
      <c r="U58" s="715"/>
      <c r="V58" s="715"/>
      <c r="W58" s="715"/>
      <c r="X58" s="715"/>
      <c r="Y58" s="715"/>
      <c r="AA58" s="4685"/>
    </row>
    <row r="59" spans="1:32" s="622" customFormat="1" ht="13.5" hidden="1" thickBot="1">
      <c r="D59" s="4686" t="str">
        <f>IF(D35="","",D56&amp;D57&amp;D58)</f>
        <v/>
      </c>
      <c r="E59" s="4686" t="str">
        <f>IF(E35="","",E56&amp;E57&amp;E58)</f>
        <v/>
      </c>
      <c r="F59" s="4686" t="str">
        <f>IF(F35="","",F56&amp;F57&amp;F58)</f>
        <v/>
      </c>
      <c r="G59" s="4686" t="str">
        <f>IF(G35="","",G56&amp;G57&amp;G58)</f>
        <v/>
      </c>
      <c r="H59" s="4686" t="str">
        <f>IF(H35="","",H56&amp;H57&amp;H58)</f>
        <v/>
      </c>
      <c r="I59" s="3298"/>
      <c r="J59" s="4665"/>
      <c r="K59" s="1354"/>
      <c r="L59" s="715"/>
      <c r="M59" s="715"/>
      <c r="N59" s="715"/>
      <c r="O59" s="715"/>
      <c r="P59" s="715"/>
      <c r="Q59" s="715"/>
      <c r="R59" s="715"/>
      <c r="S59" s="715"/>
      <c r="T59" s="715"/>
      <c r="U59" s="715"/>
      <c r="V59" s="715"/>
      <c r="W59" s="715"/>
      <c r="X59" s="715"/>
      <c r="Y59" s="715"/>
      <c r="AA59" s="4685"/>
    </row>
    <row r="60" spans="1:32" ht="42" customHeight="1" thickTop="1" thickBot="1">
      <c r="A60" s="257"/>
      <c r="B60" s="1534"/>
      <c r="C60" s="4664" t="str">
        <f>IF(Name_1st_Yours="","Enter your name(s) on the"&amp;CHAR(10)&amp;"sheet labeled '1040'",Names)</f>
        <v>Enter your name(s) on the
sheet labeled '1040'</v>
      </c>
      <c r="D60" s="458" t="s">
        <v>318</v>
      </c>
      <c r="E60" s="458" t="s">
        <v>319</v>
      </c>
      <c r="F60" s="458" t="s">
        <v>320</v>
      </c>
      <c r="G60" s="458" t="s">
        <v>321</v>
      </c>
      <c r="H60" s="458" t="s">
        <v>322</v>
      </c>
      <c r="I60" s="3526"/>
      <c r="J60" s="4665"/>
    </row>
    <row r="61" spans="1:32">
      <c r="A61" s="253"/>
      <c r="B61" s="4666"/>
      <c r="C61" s="4667" t="s">
        <v>290</v>
      </c>
      <c r="D61" s="601"/>
      <c r="E61" s="602"/>
      <c r="F61" s="602"/>
      <c r="G61" s="601"/>
      <c r="H61" s="602"/>
      <c r="I61" s="3298"/>
      <c r="J61" s="4665"/>
    </row>
    <row r="62" spans="1:32">
      <c r="A62" s="253"/>
      <c r="B62" s="4668"/>
      <c r="C62" s="4669" t="s">
        <v>291</v>
      </c>
      <c r="D62" s="629"/>
      <c r="E62" s="630"/>
      <c r="F62" s="630"/>
      <c r="G62" s="630"/>
      <c r="H62" s="630"/>
      <c r="I62" s="3298"/>
      <c r="J62" s="4665"/>
    </row>
    <row r="63" spans="1:32" ht="13.5" thickBot="1">
      <c r="A63" s="253"/>
      <c r="B63" s="4670"/>
      <c r="C63" s="4671" t="s">
        <v>292</v>
      </c>
      <c r="D63" s="632"/>
      <c r="E63" s="633"/>
      <c r="F63" s="633"/>
      <c r="G63" s="633"/>
      <c r="H63" s="633"/>
      <c r="I63" s="3298"/>
      <c r="J63" s="4665"/>
    </row>
    <row r="64" spans="1:32" ht="13.5" customHeight="1">
      <c r="A64" s="253"/>
      <c r="B64" s="4672" t="s">
        <v>333</v>
      </c>
      <c r="C64" s="4673" t="s">
        <v>334</v>
      </c>
      <c r="D64" s="604"/>
      <c r="E64" s="605"/>
      <c r="F64" s="605"/>
      <c r="G64" s="605"/>
      <c r="H64" s="605"/>
      <c r="I64" s="4674" t="str">
        <f>IF(I84,"Error: All qualified dividends must be included in","")</f>
        <v/>
      </c>
      <c r="J64" s="4665"/>
      <c r="AA64" s="1040" t="str">
        <f t="shared" ref="AA64:AA83" si="15">B64</f>
        <v>1a</v>
      </c>
      <c r="AB64" s="4">
        <f t="shared" ref="AB64:AF65" si="16">ROUND(D64,2)</f>
        <v>0</v>
      </c>
      <c r="AC64" s="4">
        <f t="shared" si="16"/>
        <v>0</v>
      </c>
      <c r="AD64" s="4">
        <f t="shared" si="16"/>
        <v>0</v>
      </c>
      <c r="AE64" s="4">
        <f t="shared" si="16"/>
        <v>0</v>
      </c>
      <c r="AF64" s="4">
        <f t="shared" si="16"/>
        <v>0</v>
      </c>
    </row>
    <row r="65" spans="1:32" ht="13.5" customHeight="1">
      <c r="A65" s="253"/>
      <c r="B65" s="4675" t="s">
        <v>335</v>
      </c>
      <c r="C65" s="4676" t="s">
        <v>336</v>
      </c>
      <c r="D65" s="606"/>
      <c r="E65" s="607"/>
      <c r="F65" s="607"/>
      <c r="G65" s="607"/>
      <c r="H65" s="607"/>
      <c r="I65" s="4674" t="str">
        <f>IF(I84,"the Total ordinary dividend amount.","")</f>
        <v/>
      </c>
      <c r="J65" s="4665"/>
      <c r="AA65" s="1040" t="str">
        <f t="shared" si="15"/>
        <v>1b</v>
      </c>
      <c r="AB65" s="4">
        <f t="shared" si="16"/>
        <v>0</v>
      </c>
      <c r="AC65" s="4">
        <f t="shared" si="16"/>
        <v>0</v>
      </c>
      <c r="AD65" s="4">
        <f t="shared" si="16"/>
        <v>0</v>
      </c>
      <c r="AE65" s="4">
        <f t="shared" si="16"/>
        <v>0</v>
      </c>
      <c r="AF65" s="4">
        <f t="shared" si="16"/>
        <v>0</v>
      </c>
    </row>
    <row r="66" spans="1:32" ht="13.5" customHeight="1">
      <c r="A66" s="253"/>
      <c r="B66" s="4675" t="s">
        <v>337</v>
      </c>
      <c r="C66" s="4676" t="s">
        <v>338</v>
      </c>
      <c r="D66" s="606"/>
      <c r="E66" s="607"/>
      <c r="F66" s="607"/>
      <c r="G66" s="607"/>
      <c r="H66" s="607"/>
      <c r="I66" s="4076"/>
      <c r="J66" s="4665"/>
      <c r="AA66" s="1040" t="str">
        <f t="shared" si="15"/>
        <v>2a</v>
      </c>
      <c r="AB66" s="4">
        <f t="shared" ref="AB66:AF67" si="17">ROUND(D66,0)</f>
        <v>0</v>
      </c>
      <c r="AC66" s="4">
        <f t="shared" si="17"/>
        <v>0</v>
      </c>
      <c r="AD66" s="4">
        <f t="shared" si="17"/>
        <v>0</v>
      </c>
      <c r="AE66" s="4">
        <f t="shared" si="17"/>
        <v>0</v>
      </c>
      <c r="AF66" s="4">
        <f t="shared" si="17"/>
        <v>0</v>
      </c>
    </row>
    <row r="67" spans="1:32" ht="13.5" customHeight="1">
      <c r="A67" s="253"/>
      <c r="B67" s="4677" t="s">
        <v>339</v>
      </c>
      <c r="C67" s="4678" t="s">
        <v>340</v>
      </c>
      <c r="D67" s="606"/>
      <c r="E67" s="607"/>
      <c r="F67" s="607"/>
      <c r="G67" s="607"/>
      <c r="H67" s="607"/>
      <c r="I67" s="4076"/>
      <c r="J67" s="4665"/>
      <c r="AA67" s="1040" t="str">
        <f t="shared" si="15"/>
        <v>2b</v>
      </c>
      <c r="AB67" s="4">
        <f t="shared" si="17"/>
        <v>0</v>
      </c>
      <c r="AC67" s="4">
        <f t="shared" si="17"/>
        <v>0</v>
      </c>
      <c r="AD67" s="4">
        <f t="shared" si="17"/>
        <v>0</v>
      </c>
      <c r="AE67" s="4">
        <f t="shared" si="17"/>
        <v>0</v>
      </c>
      <c r="AF67" s="4">
        <f t="shared" si="17"/>
        <v>0</v>
      </c>
    </row>
    <row r="68" spans="1:32">
      <c r="A68" s="253"/>
      <c r="B68" s="4677" t="s">
        <v>341</v>
      </c>
      <c r="C68" s="4679" t="s">
        <v>342</v>
      </c>
      <c r="D68" s="606"/>
      <c r="E68" s="607"/>
      <c r="F68" s="607"/>
      <c r="G68" s="607"/>
      <c r="H68" s="607"/>
      <c r="I68" s="3298"/>
      <c r="J68" s="4665"/>
      <c r="AA68" s="1040" t="str">
        <f t="shared" si="15"/>
        <v>2c</v>
      </c>
      <c r="AB68" s="4">
        <f t="shared" ref="AB68:AF69" si="18">ROUND(D68,2)</f>
        <v>0</v>
      </c>
      <c r="AC68" s="4">
        <f t="shared" si="18"/>
        <v>0</v>
      </c>
      <c r="AD68" s="4">
        <f t="shared" si="18"/>
        <v>0</v>
      </c>
      <c r="AE68" s="4">
        <f t="shared" si="18"/>
        <v>0</v>
      </c>
      <c r="AF68" s="4">
        <f t="shared" si="18"/>
        <v>0</v>
      </c>
    </row>
    <row r="69" spans="1:32">
      <c r="A69" s="253"/>
      <c r="B69" s="4675" t="s">
        <v>343</v>
      </c>
      <c r="C69" s="4676" t="s">
        <v>344</v>
      </c>
      <c r="D69" s="606"/>
      <c r="E69" s="607"/>
      <c r="F69" s="607"/>
      <c r="G69" s="607"/>
      <c r="H69" s="607"/>
      <c r="I69" s="3298"/>
      <c r="J69" s="4665"/>
      <c r="AA69" s="1040" t="str">
        <f t="shared" si="15"/>
        <v>2d</v>
      </c>
      <c r="AB69" s="4">
        <f t="shared" si="18"/>
        <v>0</v>
      </c>
      <c r="AC69" s="4">
        <f t="shared" si="18"/>
        <v>0</v>
      </c>
      <c r="AD69" s="4">
        <f t="shared" si="18"/>
        <v>0</v>
      </c>
      <c r="AE69" s="4">
        <f t="shared" si="18"/>
        <v>0</v>
      </c>
      <c r="AF69" s="4">
        <f t="shared" si="18"/>
        <v>0</v>
      </c>
    </row>
    <row r="70" spans="1:32">
      <c r="A70" s="253"/>
      <c r="B70" s="4680">
        <v>3</v>
      </c>
      <c r="C70" s="4678" t="s">
        <v>345</v>
      </c>
      <c r="D70" s="606"/>
      <c r="E70" s="607"/>
      <c r="F70" s="607"/>
      <c r="G70" s="607"/>
      <c r="H70" s="607"/>
      <c r="I70" s="3298"/>
      <c r="J70" s="4665"/>
      <c r="AA70" s="1040">
        <f t="shared" si="15"/>
        <v>3</v>
      </c>
      <c r="AB70" s="4">
        <f>ROUND(D70,0)</f>
        <v>0</v>
      </c>
      <c r="AC70" s="4">
        <f>ROUND(E70,0)</f>
        <v>0</v>
      </c>
      <c r="AD70" s="4">
        <f>ROUND(F70,0)</f>
        <v>0</v>
      </c>
      <c r="AE70" s="4">
        <f>ROUND(G70,0)</f>
        <v>0</v>
      </c>
      <c r="AF70" s="4">
        <f>ROUND(H70,0)</f>
        <v>0</v>
      </c>
    </row>
    <row r="71" spans="1:32">
      <c r="A71" s="253"/>
      <c r="B71" s="4675">
        <v>4</v>
      </c>
      <c r="C71" s="4676" t="s">
        <v>231</v>
      </c>
      <c r="D71" s="606"/>
      <c r="E71" s="607"/>
      <c r="F71" s="607"/>
      <c r="G71" s="607"/>
      <c r="H71" s="607"/>
      <c r="I71" s="3298"/>
      <c r="J71" s="4665"/>
      <c r="AA71" s="1040">
        <f t="shared" si="15"/>
        <v>4</v>
      </c>
      <c r="AB71" s="4">
        <f t="shared" ref="AB71:AF72" si="19">ROUND(D71,2)</f>
        <v>0</v>
      </c>
      <c r="AC71" s="4">
        <f t="shared" si="19"/>
        <v>0</v>
      </c>
      <c r="AD71" s="4">
        <f t="shared" si="19"/>
        <v>0</v>
      </c>
      <c r="AE71" s="4">
        <f t="shared" si="19"/>
        <v>0</v>
      </c>
      <c r="AF71" s="4">
        <f t="shared" si="19"/>
        <v>0</v>
      </c>
    </row>
    <row r="72" spans="1:32">
      <c r="A72" s="253"/>
      <c r="B72" s="4675">
        <v>5</v>
      </c>
      <c r="C72" s="4676" t="s">
        <v>346</v>
      </c>
      <c r="D72" s="606"/>
      <c r="E72" s="607"/>
      <c r="F72" s="607"/>
      <c r="G72" s="607"/>
      <c r="H72" s="607"/>
      <c r="I72" s="3298"/>
      <c r="J72" s="4665"/>
      <c r="AA72" s="1040">
        <f t="shared" si="15"/>
        <v>5</v>
      </c>
      <c r="AB72" s="4">
        <f t="shared" si="19"/>
        <v>0</v>
      </c>
      <c r="AC72" s="4">
        <f t="shared" si="19"/>
        <v>0</v>
      </c>
      <c r="AD72" s="4">
        <f t="shared" si="19"/>
        <v>0</v>
      </c>
      <c r="AE72" s="4">
        <f t="shared" si="19"/>
        <v>0</v>
      </c>
      <c r="AF72" s="4">
        <f t="shared" si="19"/>
        <v>0</v>
      </c>
    </row>
    <row r="73" spans="1:32">
      <c r="A73" s="253"/>
      <c r="B73" s="4680">
        <v>6</v>
      </c>
      <c r="C73" s="4678" t="s">
        <v>299</v>
      </c>
      <c r="D73" s="606"/>
      <c r="E73" s="607"/>
      <c r="F73" s="607"/>
      <c r="G73" s="607"/>
      <c r="H73" s="607"/>
      <c r="I73" s="3298"/>
      <c r="J73" s="4665"/>
      <c r="AA73" s="1040">
        <f t="shared" si="15"/>
        <v>6</v>
      </c>
      <c r="AB73" s="4">
        <f>ROUND(D73,0)</f>
        <v>0</v>
      </c>
      <c r="AC73" s="4">
        <f>ROUND(E73,0)</f>
        <v>0</v>
      </c>
      <c r="AD73" s="4">
        <f>ROUND(F73,0)</f>
        <v>0</v>
      </c>
      <c r="AE73" s="4">
        <f>ROUND(G73,0)</f>
        <v>0</v>
      </c>
      <c r="AF73" s="4">
        <f>ROUND(H73,0)</f>
        <v>0</v>
      </c>
    </row>
    <row r="74" spans="1:32">
      <c r="A74" s="253"/>
      <c r="B74" s="4675">
        <v>7</v>
      </c>
      <c r="C74" s="4676" t="s">
        <v>300</v>
      </c>
      <c r="D74" s="606"/>
      <c r="E74" s="607"/>
      <c r="F74" s="607"/>
      <c r="G74" s="607"/>
      <c r="H74" s="607"/>
      <c r="I74" s="4681" t="str">
        <f>IF(SUM(D74:H74)&gt;0,"Check Form 1116, Foreign Tax Credit","")</f>
        <v/>
      </c>
      <c r="J74" s="4665"/>
      <c r="AA74" s="1040">
        <f t="shared" si="15"/>
        <v>7</v>
      </c>
      <c r="AB74" s="4">
        <f>ROUND(D74,2)</f>
        <v>0</v>
      </c>
      <c r="AC74" s="4">
        <f>ROUND(E74,2)</f>
        <v>0</v>
      </c>
      <c r="AD74" s="4">
        <f>ROUND(F74,2)</f>
        <v>0</v>
      </c>
      <c r="AE74" s="4">
        <f>ROUND(G74,2)</f>
        <v>0</v>
      </c>
      <c r="AF74" s="4">
        <f>ROUND(H74,2)</f>
        <v>0</v>
      </c>
    </row>
    <row r="75" spans="1:32">
      <c r="A75" s="253"/>
      <c r="B75" s="4680">
        <v>8</v>
      </c>
      <c r="C75" s="4678" t="s">
        <v>301</v>
      </c>
      <c r="D75" s="606"/>
      <c r="E75" s="607"/>
      <c r="F75" s="607"/>
      <c r="G75" s="607"/>
      <c r="H75" s="607"/>
      <c r="I75" s="3298"/>
      <c r="J75" s="4665"/>
      <c r="AA75" s="1040">
        <f t="shared" si="15"/>
        <v>8</v>
      </c>
      <c r="AB75" s="4"/>
      <c r="AC75" s="4"/>
      <c r="AD75" s="4"/>
      <c r="AE75" s="4"/>
      <c r="AF75" s="4"/>
    </row>
    <row r="76" spans="1:32">
      <c r="A76" s="253"/>
      <c r="B76" s="4680">
        <v>9</v>
      </c>
      <c r="C76" s="4678" t="s">
        <v>347</v>
      </c>
      <c r="D76" s="606"/>
      <c r="E76" s="607"/>
      <c r="F76" s="607"/>
      <c r="G76" s="607"/>
      <c r="H76" s="607"/>
      <c r="I76" s="3298"/>
      <c r="J76" s="4665"/>
      <c r="AA76" s="1040">
        <f t="shared" si="15"/>
        <v>9</v>
      </c>
      <c r="AB76" s="4">
        <f t="shared" ref="AB76:AF77" si="20">ROUND(D76,0)</f>
        <v>0</v>
      </c>
      <c r="AC76" s="4">
        <f t="shared" si="20"/>
        <v>0</v>
      </c>
      <c r="AD76" s="4">
        <f t="shared" si="20"/>
        <v>0</v>
      </c>
      <c r="AE76" s="4">
        <f t="shared" si="20"/>
        <v>0</v>
      </c>
      <c r="AF76" s="4">
        <f t="shared" si="20"/>
        <v>0</v>
      </c>
    </row>
    <row r="77" spans="1:32">
      <c r="A77" s="253"/>
      <c r="B77" s="4680">
        <v>10</v>
      </c>
      <c r="C77" s="4678" t="s">
        <v>348</v>
      </c>
      <c r="D77" s="606"/>
      <c r="E77" s="607"/>
      <c r="F77" s="607"/>
      <c r="G77" s="607"/>
      <c r="H77" s="607"/>
      <c r="I77" s="3298"/>
      <c r="J77" s="4665"/>
      <c r="AA77" s="1040">
        <f t="shared" si="15"/>
        <v>10</v>
      </c>
      <c r="AB77" s="4">
        <f t="shared" si="20"/>
        <v>0</v>
      </c>
      <c r="AC77" s="4">
        <f t="shared" si="20"/>
        <v>0</v>
      </c>
      <c r="AD77" s="4">
        <f t="shared" si="20"/>
        <v>0</v>
      </c>
      <c r="AE77" s="4">
        <f t="shared" si="20"/>
        <v>0</v>
      </c>
      <c r="AF77" s="4">
        <f t="shared" si="20"/>
        <v>0</v>
      </c>
    </row>
    <row r="78" spans="1:32">
      <c r="A78" s="253"/>
      <c r="B78" s="4680">
        <v>11</v>
      </c>
      <c r="C78" s="4678" t="s">
        <v>349</v>
      </c>
      <c r="D78" s="606"/>
      <c r="E78" s="607"/>
      <c r="F78" s="607"/>
      <c r="G78" s="607"/>
      <c r="H78" s="607"/>
      <c r="I78" s="3298"/>
      <c r="J78" s="4665"/>
      <c r="Z78" s="656"/>
      <c r="AA78" s="1040">
        <f t="shared" si="15"/>
        <v>11</v>
      </c>
      <c r="AB78" s="4">
        <f t="shared" ref="AB78:AF80" si="21">ROUND(D78,2)</f>
        <v>0</v>
      </c>
      <c r="AC78" s="4">
        <f t="shared" si="21"/>
        <v>0</v>
      </c>
      <c r="AD78" s="4">
        <f t="shared" si="21"/>
        <v>0</v>
      </c>
      <c r="AE78" s="4">
        <f t="shared" si="21"/>
        <v>0</v>
      </c>
      <c r="AF78" s="4">
        <f t="shared" si="21"/>
        <v>0</v>
      </c>
    </row>
    <row r="79" spans="1:32">
      <c r="A79" s="253"/>
      <c r="B79" s="4675">
        <v>12</v>
      </c>
      <c r="C79" s="4676" t="s">
        <v>350</v>
      </c>
      <c r="D79" s="606"/>
      <c r="E79" s="607"/>
      <c r="F79" s="607"/>
      <c r="G79" s="607"/>
      <c r="H79" s="607"/>
      <c r="I79" s="3298"/>
      <c r="J79" s="4665"/>
      <c r="AA79" s="1040">
        <f t="shared" si="15"/>
        <v>12</v>
      </c>
      <c r="AB79" s="4">
        <f t="shared" si="21"/>
        <v>0</v>
      </c>
      <c r="AC79" s="4">
        <f t="shared" si="21"/>
        <v>0</v>
      </c>
      <c r="AD79" s="4">
        <f t="shared" si="21"/>
        <v>0</v>
      </c>
      <c r="AE79" s="4">
        <f t="shared" si="21"/>
        <v>0</v>
      </c>
      <c r="AF79" s="4">
        <f t="shared" si="21"/>
        <v>0</v>
      </c>
    </row>
    <row r="80" spans="1:32">
      <c r="A80" s="253"/>
      <c r="B80" s="4675">
        <v>13</v>
      </c>
      <c r="C80" s="4676" t="s">
        <v>351</v>
      </c>
      <c r="D80" s="606"/>
      <c r="E80" s="607"/>
      <c r="F80" s="607"/>
      <c r="G80" s="607"/>
      <c r="H80" s="607"/>
      <c r="I80" s="3298"/>
      <c r="J80" s="4665"/>
      <c r="AA80" s="1040">
        <f t="shared" si="15"/>
        <v>13</v>
      </c>
      <c r="AB80" s="4">
        <f t="shared" si="21"/>
        <v>0</v>
      </c>
      <c r="AC80" s="4">
        <f t="shared" si="21"/>
        <v>0</v>
      </c>
      <c r="AD80" s="4">
        <f t="shared" si="21"/>
        <v>0</v>
      </c>
      <c r="AE80" s="4">
        <f t="shared" si="21"/>
        <v>0</v>
      </c>
      <c r="AF80" s="4">
        <f t="shared" si="21"/>
        <v>0</v>
      </c>
    </row>
    <row r="81" spans="1:32">
      <c r="A81" s="253"/>
      <c r="B81" s="4680">
        <v>14</v>
      </c>
      <c r="C81" s="4678" t="s">
        <v>309</v>
      </c>
      <c r="D81" s="595"/>
      <c r="E81" s="596"/>
      <c r="F81" s="596"/>
      <c r="G81" s="596"/>
      <c r="H81" s="596"/>
      <c r="I81" s="3298"/>
      <c r="J81" s="4665"/>
      <c r="AA81" s="1040">
        <f t="shared" si="15"/>
        <v>14</v>
      </c>
      <c r="AB81" s="4"/>
      <c r="AC81" s="4"/>
      <c r="AD81" s="4"/>
      <c r="AE81" s="4"/>
      <c r="AF81" s="4"/>
    </row>
    <row r="82" spans="1:32">
      <c r="A82" s="253"/>
      <c r="B82" s="4680">
        <v>15</v>
      </c>
      <c r="C82" s="4678" t="s">
        <v>310</v>
      </c>
      <c r="D82" s="597"/>
      <c r="E82" s="598"/>
      <c r="F82" s="598"/>
      <c r="G82" s="598"/>
      <c r="H82" s="598"/>
      <c r="I82" s="3298"/>
      <c r="J82" s="4665"/>
      <c r="AA82" s="1040">
        <f t="shared" si="15"/>
        <v>15</v>
      </c>
      <c r="AB82" s="4"/>
      <c r="AC82" s="4"/>
      <c r="AD82" s="4"/>
      <c r="AE82" s="4"/>
      <c r="AF82" s="4"/>
    </row>
    <row r="83" spans="1:32" ht="13.5" thickBot="1">
      <c r="A83" s="253"/>
      <c r="B83" s="4682">
        <v>16</v>
      </c>
      <c r="C83" s="4683" t="s">
        <v>311</v>
      </c>
      <c r="D83" s="616"/>
      <c r="E83" s="617"/>
      <c r="F83" s="617"/>
      <c r="G83" s="617"/>
      <c r="H83" s="617"/>
      <c r="I83" s="3298"/>
      <c r="J83" s="4665"/>
      <c r="AA83" s="1040">
        <f t="shared" si="15"/>
        <v>16</v>
      </c>
      <c r="AB83" s="4">
        <f>ROUND(D83,2)</f>
        <v>0</v>
      </c>
      <c r="AC83" s="4">
        <f>ROUND(E83,2)</f>
        <v>0</v>
      </c>
      <c r="AD83" s="4">
        <f>ROUND(F83,2)</f>
        <v>0</v>
      </c>
      <c r="AE83" s="4">
        <f>ROUND(G83,2)</f>
        <v>0</v>
      </c>
      <c r="AF83" s="4">
        <f>ROUND(H83,2)</f>
        <v>0</v>
      </c>
    </row>
    <row r="84" spans="1:32" ht="17.25" customHeight="1" thickBot="1">
      <c r="A84" s="253"/>
      <c r="B84" s="580" t="s">
        <v>312</v>
      </c>
      <c r="C84" s="253"/>
      <c r="D84" s="512" t="b">
        <f>D65&gt;D64</f>
        <v>0</v>
      </c>
      <c r="E84" s="512" t="b">
        <f>E65&gt;E64</f>
        <v>0</v>
      </c>
      <c r="F84" s="512" t="b">
        <f>F65&gt;F64</f>
        <v>0</v>
      </c>
      <c r="G84" s="512" t="b">
        <f>G65&gt;G64</f>
        <v>0</v>
      </c>
      <c r="H84" s="512" t="b">
        <f>H65&gt;H64</f>
        <v>0</v>
      </c>
      <c r="I84" s="4684" t="b">
        <f>OR(D84:H84)</f>
        <v>0</v>
      </c>
      <c r="J84" s="4665"/>
    </row>
    <row r="85" spans="1:32" s="622" customFormat="1" hidden="1">
      <c r="D85" s="622" t="str">
        <f>IF(D61&lt;&gt;"",D61,"")</f>
        <v/>
      </c>
      <c r="E85" s="622" t="str">
        <f>IF(E61&lt;&gt;"",E61,"")</f>
        <v/>
      </c>
      <c r="F85" s="622" t="str">
        <f>IF(F61&lt;&gt;"",F61,"")</f>
        <v/>
      </c>
      <c r="G85" s="622" t="str">
        <f>IF(G61&lt;&gt;"",G61,"")</f>
        <v/>
      </c>
      <c r="H85" s="622" t="str">
        <f>IF(H61&lt;&gt;"",H61,"")</f>
        <v/>
      </c>
      <c r="I85" s="3298"/>
      <c r="K85" s="1354"/>
      <c r="L85" s="715"/>
      <c r="M85" s="715"/>
      <c r="N85" s="715"/>
      <c r="O85" s="715"/>
      <c r="P85" s="715"/>
      <c r="Q85" s="715"/>
      <c r="R85" s="715"/>
      <c r="S85" s="715"/>
      <c r="T85" s="715"/>
      <c r="U85" s="715"/>
      <c r="V85" s="715"/>
      <c r="W85" s="715"/>
      <c r="X85" s="715"/>
      <c r="Y85" s="715"/>
      <c r="AA85" s="4685"/>
    </row>
    <row r="86" spans="1:32" s="622" customFormat="1" hidden="1">
      <c r="D86" s="622" t="str">
        <f>IF(D62&lt;&gt;"", " - "&amp;D62,"")</f>
        <v/>
      </c>
      <c r="E86" s="622" t="str">
        <f>IF(E62&lt;&gt;"", " - "&amp;E62,"")</f>
        <v/>
      </c>
      <c r="F86" s="622" t="str">
        <f>IF(F62&lt;&gt;"", " - "&amp;F62,"")</f>
        <v/>
      </c>
      <c r="G86" s="622" t="str">
        <f>IF(G62&lt;&gt;"", " - "&amp;G62,"")</f>
        <v/>
      </c>
      <c r="H86" s="622" t="str">
        <f>IF(H62&lt;&gt;"", " - "&amp;H62,"")</f>
        <v/>
      </c>
      <c r="I86" s="3298"/>
      <c r="K86" s="1354"/>
      <c r="L86" s="715"/>
      <c r="M86" s="715"/>
      <c r="N86" s="715"/>
      <c r="O86" s="715"/>
      <c r="P86" s="715"/>
      <c r="Q86" s="715"/>
      <c r="R86" s="715"/>
      <c r="S86" s="715"/>
      <c r="T86" s="715"/>
      <c r="U86" s="715"/>
      <c r="V86" s="715"/>
      <c r="W86" s="715"/>
      <c r="X86" s="715"/>
      <c r="Y86" s="715"/>
      <c r="AA86" s="4685"/>
    </row>
    <row r="87" spans="1:32" s="622" customFormat="1" hidden="1">
      <c r="D87" s="622" t="str">
        <f>IF(D63&lt;&gt;""," - "&amp;D63,"")</f>
        <v/>
      </c>
      <c r="E87" s="622" t="str">
        <f>IF(E63&lt;&gt;""," - "&amp;E63,"")</f>
        <v/>
      </c>
      <c r="F87" s="622" t="str">
        <f>IF(F63&lt;&gt;""," - "&amp;F63,"")</f>
        <v/>
      </c>
      <c r="G87" s="622" t="str">
        <f>IF(G63&lt;&gt;""," - "&amp;G63,"")</f>
        <v/>
      </c>
      <c r="H87" s="622" t="str">
        <f>IF(H63&lt;&gt;""," - "&amp;H63,"")</f>
        <v/>
      </c>
      <c r="I87" s="3298"/>
      <c r="J87"/>
      <c r="K87" s="1354"/>
      <c r="L87" s="715"/>
      <c r="M87" s="715"/>
      <c r="N87" s="715"/>
      <c r="O87" s="715"/>
      <c r="P87" s="715"/>
      <c r="Q87" s="715"/>
      <c r="R87" s="715"/>
      <c r="S87" s="715"/>
      <c r="T87" s="715"/>
      <c r="U87" s="715"/>
      <c r="V87" s="715"/>
      <c r="W87" s="715"/>
      <c r="X87" s="715"/>
      <c r="Y87" s="715"/>
      <c r="AA87" s="4685"/>
    </row>
    <row r="88" spans="1:32" s="622" customFormat="1" ht="13.5" hidden="1" thickBot="1">
      <c r="D88" s="4686" t="str">
        <f>IF(D64="","",D85&amp;D86&amp;D87)</f>
        <v/>
      </c>
      <c r="E88" s="4686" t="str">
        <f>IF(E64="","",E85&amp;E86&amp;E87)</f>
        <v/>
      </c>
      <c r="F88" s="4686" t="str">
        <f>IF(F64="","",F85&amp;F86&amp;F87)</f>
        <v/>
      </c>
      <c r="G88" s="4686" t="str">
        <f>IF(G64="","",G85&amp;G86&amp;G87)</f>
        <v/>
      </c>
      <c r="H88" s="4686" t="str">
        <f>IF(H64="","",H85&amp;H86&amp;H87)</f>
        <v/>
      </c>
      <c r="I88" s="3298"/>
      <c r="J88"/>
      <c r="K88" s="1354"/>
      <c r="L88" s="715"/>
      <c r="M88" s="715"/>
      <c r="N88" s="715"/>
      <c r="O88" s="715"/>
      <c r="P88" s="715"/>
      <c r="Q88" s="715"/>
      <c r="R88" s="715"/>
      <c r="S88" s="715"/>
      <c r="T88" s="715"/>
      <c r="U88" s="715"/>
      <c r="V88" s="715"/>
      <c r="W88" s="715"/>
      <c r="X88" s="715"/>
      <c r="Y88" s="715"/>
      <c r="AA88" s="4685"/>
    </row>
    <row r="89" spans="1:32" ht="42" customHeight="1" thickTop="1" thickBot="1">
      <c r="A89" s="257"/>
      <c r="B89" s="1534"/>
      <c r="C89" s="4664" t="str">
        <f>IF(Name_1st_Yours="","Enter your name(s) on the"&amp;CHAR(10)&amp;"sheet labeled '1040'",Names)</f>
        <v>Enter your name(s) on the
sheet labeled '1040'</v>
      </c>
      <c r="D89" s="458" t="s">
        <v>352</v>
      </c>
      <c r="E89" s="458" t="s">
        <v>353</v>
      </c>
      <c r="F89" s="458" t="s">
        <v>354</v>
      </c>
      <c r="G89" s="458" t="s">
        <v>355</v>
      </c>
      <c r="H89" s="458" t="s">
        <v>224</v>
      </c>
      <c r="I89" s="3526" t="s">
        <v>226</v>
      </c>
      <c r="J89" s="4665"/>
    </row>
    <row r="90" spans="1:32">
      <c r="A90" s="253"/>
      <c r="B90" s="4666"/>
      <c r="C90" s="4667" t="s">
        <v>290</v>
      </c>
      <c r="D90" s="601"/>
      <c r="E90" s="602"/>
      <c r="F90" s="602"/>
      <c r="G90" s="602"/>
      <c r="H90" s="4687"/>
      <c r="I90" s="4688"/>
      <c r="J90" s="253"/>
    </row>
    <row r="91" spans="1:32">
      <c r="A91" s="253"/>
      <c r="B91" s="4668"/>
      <c r="C91" s="4669" t="s">
        <v>291</v>
      </c>
      <c r="D91" s="629"/>
      <c r="E91" s="630"/>
      <c r="F91" s="630"/>
      <c r="G91" s="630"/>
      <c r="H91" s="4689"/>
      <c r="I91" s="4690"/>
      <c r="J91" s="253"/>
    </row>
    <row r="92" spans="1:32" ht="13.5" thickBot="1">
      <c r="A92" s="253"/>
      <c r="B92" s="4670"/>
      <c r="C92" s="4671" t="s">
        <v>292</v>
      </c>
      <c r="D92" s="632"/>
      <c r="E92" s="633"/>
      <c r="F92" s="633"/>
      <c r="G92" s="633"/>
      <c r="H92" s="4691"/>
      <c r="I92" s="4690">
        <f>SUM(ForeignTaxPaid_INT,ForeignTaxPaid_DIV)</f>
        <v>0</v>
      </c>
      <c r="J92" s="253"/>
    </row>
    <row r="93" spans="1:32" ht="13.5" customHeight="1">
      <c r="A93" s="253"/>
      <c r="B93" s="4672" t="s">
        <v>333</v>
      </c>
      <c r="C93" s="4673" t="s">
        <v>334</v>
      </c>
      <c r="D93" s="604"/>
      <c r="E93" s="605"/>
      <c r="F93" s="605"/>
      <c r="G93" s="605"/>
      <c r="H93" s="4692">
        <f>ROUND(SUM(D6:H6,D35:H35,D64:H64,D93:G93),0)</f>
        <v>0</v>
      </c>
      <c r="I93" s="4693" t="str">
        <f>IF(I113,"Error: All qualified dividends must be included in","Sch. B, Line 5")</f>
        <v>Sch. B, Line 5</v>
      </c>
      <c r="J93" s="253"/>
      <c r="Z93" s="329"/>
      <c r="AA93" s="1040" t="str">
        <f t="shared" ref="AA93:AA112" si="22">B93</f>
        <v>1a</v>
      </c>
      <c r="AB93" s="4">
        <f t="shared" ref="AB93:AE94" si="23">ROUND(D93,2)</f>
        <v>0</v>
      </c>
      <c r="AC93" s="4">
        <f t="shared" si="23"/>
        <v>0</v>
      </c>
      <c r="AD93" s="4">
        <f t="shared" si="23"/>
        <v>0</v>
      </c>
      <c r="AE93" s="4">
        <f t="shared" si="23"/>
        <v>0</v>
      </c>
      <c r="AF93" s="4"/>
    </row>
    <row r="94" spans="1:32" ht="13.5" customHeight="1">
      <c r="A94" s="253"/>
      <c r="B94" s="4675" t="s">
        <v>335</v>
      </c>
      <c r="C94" s="4676" t="s">
        <v>336</v>
      </c>
      <c r="D94" s="606"/>
      <c r="E94" s="607"/>
      <c r="F94" s="607"/>
      <c r="G94" s="607"/>
      <c r="H94" s="4125">
        <f>ROUND(SUM(D7:H7,D36:H36,D65:H65,D94:G94),0)</f>
        <v>0</v>
      </c>
      <c r="I94" s="4693" t="str">
        <f>IF(I113,"the Total ordinary dividend amount.","Form 1040, Line 3a and 3b")</f>
        <v>Form 1040, Line 3a and 3b</v>
      </c>
      <c r="J94" s="253"/>
      <c r="Z94" s="329"/>
      <c r="AA94" s="1040" t="str">
        <f t="shared" si="22"/>
        <v>1b</v>
      </c>
      <c r="AB94" s="4">
        <f t="shared" si="23"/>
        <v>0</v>
      </c>
      <c r="AC94" s="4">
        <f t="shared" si="23"/>
        <v>0</v>
      </c>
      <c r="AD94" s="4">
        <f t="shared" si="23"/>
        <v>0</v>
      </c>
      <c r="AE94" s="4">
        <f t="shared" si="23"/>
        <v>0</v>
      </c>
      <c r="AF94" s="4"/>
    </row>
    <row r="95" spans="1:32" ht="13.5" customHeight="1">
      <c r="A95" s="253"/>
      <c r="B95" s="4675" t="s">
        <v>337</v>
      </c>
      <c r="C95" s="4676" t="s">
        <v>338</v>
      </c>
      <c r="D95" s="606"/>
      <c r="E95" s="607"/>
      <c r="F95" s="607"/>
      <c r="G95" s="607"/>
      <c r="H95" s="4125">
        <f>ROUND(SUM(D8:H8,D37:H37,D66:H66,D95:G95),0)</f>
        <v>0</v>
      </c>
      <c r="I95" s="4693" t="s">
        <v>356</v>
      </c>
      <c r="J95" s="253"/>
      <c r="Z95" s="329"/>
      <c r="AA95" s="1040" t="str">
        <f t="shared" si="22"/>
        <v>2a</v>
      </c>
      <c r="AB95" s="4">
        <f t="shared" ref="AB95:AE96" si="24">ROUND(D95,0)</f>
        <v>0</v>
      </c>
      <c r="AC95" s="4">
        <f t="shared" si="24"/>
        <v>0</v>
      </c>
      <c r="AD95" s="4">
        <f t="shared" si="24"/>
        <v>0</v>
      </c>
      <c r="AE95" s="4">
        <f t="shared" si="24"/>
        <v>0</v>
      </c>
      <c r="AF95" s="4"/>
    </row>
    <row r="96" spans="1:32" ht="13.5" customHeight="1">
      <c r="A96" s="253"/>
      <c r="B96" s="4680" t="s">
        <v>339</v>
      </c>
      <c r="C96" s="4678" t="s">
        <v>340</v>
      </c>
      <c r="D96" s="606"/>
      <c r="E96" s="607"/>
      <c r="F96" s="607"/>
      <c r="G96" s="607"/>
      <c r="H96" s="4694">
        <f>ROUND(SUM(D9:H9,D38:H38,D67:H67,D96:G96),0)</f>
        <v>0</v>
      </c>
      <c r="I96" s="4693"/>
      <c r="J96" s="253"/>
      <c r="AA96" s="1040" t="str">
        <f t="shared" si="22"/>
        <v>2b</v>
      </c>
      <c r="AB96" s="4">
        <f t="shared" si="24"/>
        <v>0</v>
      </c>
      <c r="AC96" s="4">
        <f t="shared" si="24"/>
        <v>0</v>
      </c>
      <c r="AD96" s="4">
        <f t="shared" si="24"/>
        <v>0</v>
      </c>
      <c r="AE96" s="4">
        <f t="shared" si="24"/>
        <v>0</v>
      </c>
      <c r="AF96" s="4"/>
    </row>
    <row r="97" spans="1:32" ht="26.25" customHeight="1">
      <c r="A97" s="253"/>
      <c r="B97" s="4677" t="s">
        <v>341</v>
      </c>
      <c r="C97" s="4679" t="s">
        <v>342</v>
      </c>
      <c r="D97" s="606"/>
      <c r="E97" s="607"/>
      <c r="F97" s="607"/>
      <c r="G97" s="607"/>
      <c r="H97" s="4694">
        <f>SUM(AB10:AF10,AB39:AF39,AB68:AF68,AB97:AE97)</f>
        <v>0</v>
      </c>
      <c r="I97" s="4695"/>
      <c r="J97" s="253"/>
      <c r="AA97" s="1040" t="str">
        <f t="shared" si="22"/>
        <v>2c</v>
      </c>
      <c r="AB97" s="4">
        <f t="shared" ref="AB97:AE98" si="25">ROUND(D97,2)</f>
        <v>0</v>
      </c>
      <c r="AC97" s="4">
        <f t="shared" si="25"/>
        <v>0</v>
      </c>
      <c r="AD97" s="4">
        <f t="shared" si="25"/>
        <v>0</v>
      </c>
      <c r="AE97" s="4">
        <f t="shared" si="25"/>
        <v>0</v>
      </c>
      <c r="AF97" s="4"/>
    </row>
    <row r="98" spans="1:32">
      <c r="A98" s="253"/>
      <c r="B98" s="4675" t="s">
        <v>343</v>
      </c>
      <c r="C98" s="4676" t="s">
        <v>344</v>
      </c>
      <c r="D98" s="606"/>
      <c r="E98" s="607"/>
      <c r="F98" s="607"/>
      <c r="G98" s="607"/>
      <c r="H98" s="4125">
        <f t="shared" ref="H98:H103" si="26">ROUND(SUM(D11:H11,D40:H40,D69:H69,D98:G98),0)</f>
        <v>0</v>
      </c>
      <c r="I98" s="4693" t="s">
        <v>357</v>
      </c>
      <c r="J98" s="253"/>
      <c r="Z98" s="329"/>
      <c r="AA98" s="1040" t="str">
        <f t="shared" si="22"/>
        <v>2d</v>
      </c>
      <c r="AB98" s="4">
        <f t="shared" si="25"/>
        <v>0</v>
      </c>
      <c r="AC98" s="4">
        <f t="shared" si="25"/>
        <v>0</v>
      </c>
      <c r="AD98" s="4">
        <f t="shared" si="25"/>
        <v>0</v>
      </c>
      <c r="AE98" s="4">
        <f t="shared" si="25"/>
        <v>0</v>
      </c>
      <c r="AF98" s="4"/>
    </row>
    <row r="99" spans="1:32">
      <c r="A99" s="253"/>
      <c r="B99" s="4680">
        <v>3</v>
      </c>
      <c r="C99" s="4678" t="s">
        <v>345</v>
      </c>
      <c r="D99" s="606"/>
      <c r="E99" s="607"/>
      <c r="F99" s="607"/>
      <c r="G99" s="607"/>
      <c r="H99" s="4694">
        <f t="shared" si="26"/>
        <v>0</v>
      </c>
      <c r="I99" s="4693"/>
      <c r="J99" s="253"/>
      <c r="AA99" s="1040">
        <f t="shared" si="22"/>
        <v>3</v>
      </c>
      <c r="AB99" s="4">
        <f>ROUND(D99,0)</f>
        <v>0</v>
      </c>
      <c r="AC99" s="4">
        <f>ROUND(E99,0)</f>
        <v>0</v>
      </c>
      <c r="AD99" s="4">
        <f>ROUND(F99,0)</f>
        <v>0</v>
      </c>
      <c r="AE99" s="4">
        <f>ROUND(G99,0)</f>
        <v>0</v>
      </c>
      <c r="AF99" s="4"/>
    </row>
    <row r="100" spans="1:32">
      <c r="A100" s="253"/>
      <c r="B100" s="4675">
        <v>4</v>
      </c>
      <c r="C100" s="4676" t="s">
        <v>231</v>
      </c>
      <c r="D100" s="606"/>
      <c r="E100" s="607"/>
      <c r="F100" s="607"/>
      <c r="G100" s="607"/>
      <c r="H100" s="4125">
        <f t="shared" si="26"/>
        <v>0</v>
      </c>
      <c r="I100" s="4693" t="s">
        <v>358</v>
      </c>
      <c r="J100" s="253"/>
      <c r="Z100" s="329"/>
      <c r="AA100" s="1040">
        <f t="shared" si="22"/>
        <v>4</v>
      </c>
      <c r="AB100" s="4">
        <f t="shared" ref="AB100:AE101" si="27">ROUND(D100,2)</f>
        <v>0</v>
      </c>
      <c r="AC100" s="4">
        <f t="shared" si="27"/>
        <v>0</v>
      </c>
      <c r="AD100" s="4">
        <f t="shared" si="27"/>
        <v>0</v>
      </c>
      <c r="AE100" s="4">
        <f t="shared" si="27"/>
        <v>0</v>
      </c>
      <c r="AF100" s="4"/>
    </row>
    <row r="101" spans="1:32">
      <c r="A101" s="253"/>
      <c r="B101" s="4675">
        <v>5</v>
      </c>
      <c r="C101" s="4676" t="s">
        <v>346</v>
      </c>
      <c r="D101" s="606"/>
      <c r="E101" s="607"/>
      <c r="F101" s="607"/>
      <c r="G101" s="607"/>
      <c r="H101" s="4125">
        <f t="shared" si="26"/>
        <v>0</v>
      </c>
      <c r="I101" s="4693" t="s">
        <v>359</v>
      </c>
      <c r="J101" s="253"/>
      <c r="Z101" s="329"/>
      <c r="AA101" s="1040">
        <f t="shared" si="22"/>
        <v>5</v>
      </c>
      <c r="AB101" s="4">
        <f t="shared" si="27"/>
        <v>0</v>
      </c>
      <c r="AC101" s="4">
        <f t="shared" si="27"/>
        <v>0</v>
      </c>
      <c r="AD101" s="4">
        <f t="shared" si="27"/>
        <v>0</v>
      </c>
      <c r="AE101" s="4">
        <f t="shared" si="27"/>
        <v>0</v>
      </c>
      <c r="AF101" s="4"/>
    </row>
    <row r="102" spans="1:32">
      <c r="A102" s="253"/>
      <c r="B102" s="4680">
        <v>6</v>
      </c>
      <c r="C102" s="4678" t="s">
        <v>299</v>
      </c>
      <c r="D102" s="606"/>
      <c r="E102" s="607"/>
      <c r="F102" s="607"/>
      <c r="G102" s="607"/>
      <c r="H102" s="4694">
        <f t="shared" si="26"/>
        <v>0</v>
      </c>
      <c r="I102" s="4693"/>
      <c r="J102" s="253"/>
      <c r="AA102" s="1040">
        <f t="shared" si="22"/>
        <v>6</v>
      </c>
      <c r="AB102" s="4">
        <f>ROUND(D102,0)</f>
        <v>0</v>
      </c>
      <c r="AC102" s="4">
        <f>ROUND(E102,0)</f>
        <v>0</v>
      </c>
      <c r="AD102" s="4">
        <f>ROUND(F102,0)</f>
        <v>0</v>
      </c>
      <c r="AE102" s="4">
        <f>ROUND(G102,0)</f>
        <v>0</v>
      </c>
      <c r="AF102" s="4"/>
    </row>
    <row r="103" spans="1:32">
      <c r="A103" s="253"/>
      <c r="B103" s="4675">
        <v>7</v>
      </c>
      <c r="C103" s="4676" t="s">
        <v>300</v>
      </c>
      <c r="D103" s="606"/>
      <c r="E103" s="607"/>
      <c r="F103" s="607"/>
      <c r="G103" s="607"/>
      <c r="H103" s="4125">
        <f t="shared" si="26"/>
        <v>0</v>
      </c>
      <c r="I103" s="4696" t="s">
        <v>360</v>
      </c>
      <c r="J103" s="253"/>
      <c r="AA103" s="1040">
        <f t="shared" si="22"/>
        <v>7</v>
      </c>
      <c r="AB103" s="4">
        <f>ROUND(D103,2)</f>
        <v>0</v>
      </c>
      <c r="AC103" s="4">
        <f>ROUND(E103,2)</f>
        <v>0</v>
      </c>
      <c r="AD103" s="4">
        <f>ROUND(F103,2)</f>
        <v>0</v>
      </c>
      <c r="AE103" s="4">
        <f>ROUND(G103,2)</f>
        <v>0</v>
      </c>
      <c r="AF103" s="4"/>
    </row>
    <row r="104" spans="1:32">
      <c r="A104" s="253"/>
      <c r="B104" s="4680">
        <v>8</v>
      </c>
      <c r="C104" s="4678" t="s">
        <v>301</v>
      </c>
      <c r="D104" s="606"/>
      <c r="E104" s="607"/>
      <c r="F104" s="607"/>
      <c r="G104" s="607"/>
      <c r="H104" s="4697" t="str">
        <f>" - - - -"</f>
        <v xml:space="preserve"> - - - -</v>
      </c>
      <c r="I104" s="4698" t="str">
        <f>IF(ForeignTaxPaid_DIV&gt;0,"Check Form 1116, Foreign Tax Credit","")</f>
        <v/>
      </c>
      <c r="J104" s="253"/>
      <c r="AA104" s="1040">
        <f t="shared" si="22"/>
        <v>8</v>
      </c>
      <c r="AB104" s="4"/>
      <c r="AC104" s="4"/>
      <c r="AD104" s="4"/>
      <c r="AE104" s="4"/>
      <c r="AF104" s="4"/>
    </row>
    <row r="105" spans="1:32">
      <c r="A105" s="253"/>
      <c r="B105" s="4680">
        <v>9</v>
      </c>
      <c r="C105" s="4678" t="s">
        <v>347</v>
      </c>
      <c r="D105" s="606"/>
      <c r="E105" s="607"/>
      <c r="F105" s="607"/>
      <c r="G105" s="607"/>
      <c r="H105" s="4694">
        <f>ROUND(SUM(D18:H18,D47:H47,D76:H76,D105:G105),0)</f>
        <v>0</v>
      </c>
      <c r="I105" s="4681"/>
      <c r="J105" s="253"/>
      <c r="AA105" s="1040">
        <f t="shared" si="22"/>
        <v>9</v>
      </c>
      <c r="AB105" s="4">
        <f t="shared" ref="AB105:AE106" si="28">ROUND(D105,0)</f>
        <v>0</v>
      </c>
      <c r="AC105" s="4">
        <f t="shared" si="28"/>
        <v>0</v>
      </c>
      <c r="AD105" s="4">
        <f t="shared" si="28"/>
        <v>0</v>
      </c>
      <c r="AE105" s="4">
        <f t="shared" si="28"/>
        <v>0</v>
      </c>
      <c r="AF105" s="4"/>
    </row>
    <row r="106" spans="1:32">
      <c r="A106" s="253"/>
      <c r="B106" s="4680">
        <v>10</v>
      </c>
      <c r="C106" s="4678" t="s">
        <v>348</v>
      </c>
      <c r="D106" s="606"/>
      <c r="E106" s="607"/>
      <c r="F106" s="607"/>
      <c r="G106" s="607"/>
      <c r="H106" s="4694">
        <f>ROUND(SUM(D19:H19,D48:H48,D77:H77,D106:G106),0)</f>
        <v>0</v>
      </c>
      <c r="I106" s="4693"/>
      <c r="J106" s="253"/>
      <c r="AA106" s="1040">
        <f t="shared" si="22"/>
        <v>10</v>
      </c>
      <c r="AB106" s="4">
        <f t="shared" si="28"/>
        <v>0</v>
      </c>
      <c r="AC106" s="4">
        <f t="shared" si="28"/>
        <v>0</v>
      </c>
      <c r="AD106" s="4">
        <f t="shared" si="28"/>
        <v>0</v>
      </c>
      <c r="AE106" s="4">
        <f t="shared" si="28"/>
        <v>0</v>
      </c>
      <c r="AF106" s="4"/>
    </row>
    <row r="107" spans="1:32">
      <c r="A107" s="253"/>
      <c r="B107" s="4680">
        <v>11</v>
      </c>
      <c r="C107" s="4678" t="s">
        <v>349</v>
      </c>
      <c r="D107" s="606"/>
      <c r="E107" s="607"/>
      <c r="F107" s="607"/>
      <c r="G107" s="607"/>
      <c r="H107" s="4697" t="str">
        <f>" - - - -"</f>
        <v xml:space="preserve"> - - - -</v>
      </c>
      <c r="I107" s="3298"/>
      <c r="J107" s="4665"/>
      <c r="Z107" s="656"/>
      <c r="AA107" s="1040">
        <f t="shared" si="22"/>
        <v>11</v>
      </c>
      <c r="AB107" s="4">
        <f>ROUND(D107,2)</f>
        <v>0</v>
      </c>
      <c r="AC107" s="4">
        <f>ROUND(E107,2)</f>
        <v>0</v>
      </c>
      <c r="AD107" s="4">
        <f>ROUND(F107,2)</f>
        <v>0</v>
      </c>
      <c r="AE107" s="4">
        <f>ROUND(G107,2)</f>
        <v>0</v>
      </c>
      <c r="AF107" s="4"/>
    </row>
    <row r="108" spans="1:32">
      <c r="A108" s="253"/>
      <c r="B108" s="4675">
        <v>12</v>
      </c>
      <c r="C108" s="4676" t="s">
        <v>350</v>
      </c>
      <c r="D108" s="606"/>
      <c r="E108" s="607"/>
      <c r="F108" s="607"/>
      <c r="G108" s="607"/>
      <c r="H108" s="4125">
        <f>ROUND(SUM(D21:H21,D50:H50,D79:H79,D108:G108),0)</f>
        <v>0</v>
      </c>
      <c r="I108" s="4693" t="s">
        <v>329</v>
      </c>
      <c r="J108" s="253"/>
      <c r="Z108" s="329"/>
      <c r="AA108" s="1040">
        <f t="shared" si="22"/>
        <v>12</v>
      </c>
      <c r="AB108" s="4">
        <f t="shared" ref="AB108:AE109" si="29">ROUND(D108,2)</f>
        <v>0</v>
      </c>
      <c r="AC108" s="4">
        <f t="shared" si="29"/>
        <v>0</v>
      </c>
      <c r="AD108" s="4">
        <f t="shared" si="29"/>
        <v>0</v>
      </c>
      <c r="AE108" s="4">
        <f t="shared" si="29"/>
        <v>0</v>
      </c>
      <c r="AF108" s="4"/>
    </row>
    <row r="109" spans="1:32">
      <c r="A109" s="253"/>
      <c r="B109" s="4675">
        <v>13</v>
      </c>
      <c r="C109" s="4676" t="s">
        <v>351</v>
      </c>
      <c r="D109" s="606"/>
      <c r="E109" s="607"/>
      <c r="F109" s="607"/>
      <c r="G109" s="607"/>
      <c r="H109" s="4125">
        <f>ROUND(SUM(D22:H22,D51:H51,D80:H80,D109:G109),0)</f>
        <v>0</v>
      </c>
      <c r="I109" s="4693" t="s">
        <v>330</v>
      </c>
      <c r="J109" s="253"/>
      <c r="Z109" s="329"/>
      <c r="AA109" s="1040">
        <f t="shared" si="22"/>
        <v>13</v>
      </c>
      <c r="AB109" s="4">
        <f t="shared" si="29"/>
        <v>0</v>
      </c>
      <c r="AC109" s="4">
        <f t="shared" si="29"/>
        <v>0</v>
      </c>
      <c r="AD109" s="4">
        <f t="shared" si="29"/>
        <v>0</v>
      </c>
      <c r="AE109" s="4">
        <f t="shared" si="29"/>
        <v>0</v>
      </c>
      <c r="AF109" s="4"/>
    </row>
    <row r="110" spans="1:32">
      <c r="A110" s="253"/>
      <c r="B110" s="4680">
        <v>14</v>
      </c>
      <c r="C110" s="4678" t="s">
        <v>309</v>
      </c>
      <c r="D110" s="595"/>
      <c r="E110" s="596"/>
      <c r="F110" s="596"/>
      <c r="G110" s="596"/>
      <c r="H110" s="4697" t="str">
        <f>" - - - -"</f>
        <v xml:space="preserve"> - - - -</v>
      </c>
      <c r="I110" s="4693"/>
      <c r="J110" s="253"/>
      <c r="AA110" s="1040">
        <f t="shared" si="22"/>
        <v>14</v>
      </c>
      <c r="AB110" s="4"/>
      <c r="AC110" s="4"/>
      <c r="AD110" s="4"/>
      <c r="AE110" s="4"/>
      <c r="AF110" s="4"/>
    </row>
    <row r="111" spans="1:32">
      <c r="A111" s="253"/>
      <c r="B111" s="4680">
        <v>15</v>
      </c>
      <c r="C111" s="4678" t="s">
        <v>310</v>
      </c>
      <c r="D111" s="597"/>
      <c r="E111" s="598"/>
      <c r="F111" s="598"/>
      <c r="G111" s="598"/>
      <c r="H111" s="4697" t="str">
        <f>" - - - -"</f>
        <v xml:space="preserve"> - - - -</v>
      </c>
      <c r="I111" s="4693"/>
      <c r="J111" s="253"/>
      <c r="AA111" s="1040">
        <f t="shared" si="22"/>
        <v>15</v>
      </c>
      <c r="AB111" s="4"/>
      <c r="AC111" s="4"/>
      <c r="AD111" s="4"/>
      <c r="AE111" s="4"/>
      <c r="AF111" s="4"/>
    </row>
    <row r="112" spans="1:32" ht="13.5" thickBot="1">
      <c r="A112" s="253"/>
      <c r="B112" s="4682">
        <v>16</v>
      </c>
      <c r="C112" s="4683" t="s">
        <v>311</v>
      </c>
      <c r="D112" s="616"/>
      <c r="E112" s="617"/>
      <c r="F112" s="617"/>
      <c r="G112" s="617"/>
      <c r="H112" s="4126">
        <f>ROUND(SUM(D25:H25,D54:H54,D83:H83,D112:G112),0)</f>
        <v>0</v>
      </c>
      <c r="I112" s="4693" t="s">
        <v>331</v>
      </c>
      <c r="J112" s="253"/>
      <c r="Z112" s="329"/>
      <c r="AA112" s="1040">
        <f t="shared" si="22"/>
        <v>16</v>
      </c>
      <c r="AB112" s="4">
        <f>ROUND(D112,2)</f>
        <v>0</v>
      </c>
      <c r="AC112" s="4">
        <f>ROUND(E112,2)</f>
        <v>0</v>
      </c>
      <c r="AD112" s="4">
        <f>ROUND(F112,2)</f>
        <v>0</v>
      </c>
      <c r="AE112" s="4">
        <f>ROUND(G112,2)</f>
        <v>0</v>
      </c>
      <c r="AF112" s="4"/>
    </row>
    <row r="113" spans="1:27" ht="17.25" customHeight="1">
      <c r="A113" s="88"/>
      <c r="B113" s="580" t="s">
        <v>312</v>
      </c>
      <c r="C113" s="88"/>
      <c r="D113" s="512" t="b">
        <f>D94&gt;D93</f>
        <v>0</v>
      </c>
      <c r="E113" s="512" t="b">
        <f>E94&gt;E93</f>
        <v>0</v>
      </c>
      <c r="F113" s="512" t="b">
        <f>F94&gt;F93</f>
        <v>0</v>
      </c>
      <c r="G113" s="512" t="b">
        <f>G94&gt;G93</f>
        <v>0</v>
      </c>
      <c r="H113" s="441"/>
      <c r="I113" s="4684" t="b">
        <f>OR(D113:G113)</f>
        <v>0</v>
      </c>
      <c r="J113" s="253"/>
    </row>
    <row r="114" spans="1:27" s="622" customFormat="1">
      <c r="D114" s="622" t="str">
        <f>IF(D90&lt;&gt;"",D90,"")</f>
        <v/>
      </c>
      <c r="E114" s="622" t="str">
        <f>IF(E90&lt;&gt;"",E90,"")</f>
        <v/>
      </c>
      <c r="F114" s="622" t="str">
        <f>IF(F90&lt;&gt;"",F90,"")</f>
        <v/>
      </c>
      <c r="G114" s="622" t="str">
        <f>IF(G90&lt;&gt;"",G90,"")</f>
        <v/>
      </c>
      <c r="J114"/>
      <c r="K114" s="1354"/>
      <c r="L114" s="715"/>
      <c r="M114" s="715"/>
      <c r="N114" s="715"/>
      <c r="O114" s="715"/>
      <c r="P114" s="715"/>
      <c r="Q114" s="715"/>
      <c r="R114" s="715"/>
      <c r="S114" s="715"/>
      <c r="T114" s="715"/>
      <c r="U114" s="715"/>
      <c r="V114" s="715"/>
      <c r="W114" s="715"/>
      <c r="X114" s="715"/>
      <c r="Y114" s="656"/>
      <c r="AA114" s="4685"/>
    </row>
    <row r="115" spans="1:27" s="622" customFormat="1">
      <c r="D115" s="622" t="str">
        <f>IF(D91&lt;&gt;"", " - "&amp;D91,"")</f>
        <v/>
      </c>
      <c r="E115" s="622" t="str">
        <f>IF(E91&lt;&gt;"", " - "&amp;E91,"")</f>
        <v/>
      </c>
      <c r="F115" s="622" t="str">
        <f>IF(F91&lt;&gt;"", " - "&amp;F91,"")</f>
        <v/>
      </c>
      <c r="G115" s="622" t="str">
        <f>IF(G91&lt;&gt;"", " - "&amp;G91,"")</f>
        <v/>
      </c>
      <c r="J115"/>
      <c r="K115" s="1354"/>
      <c r="L115" s="715"/>
      <c r="M115" s="715"/>
      <c r="N115" s="715"/>
      <c r="O115" s="715"/>
      <c r="P115" s="715"/>
      <c r="Q115" s="715"/>
      <c r="R115" s="715"/>
      <c r="S115" s="715"/>
      <c r="T115" s="715"/>
      <c r="U115" s="715"/>
      <c r="V115" s="715"/>
      <c r="W115" s="715"/>
      <c r="X115" s="715"/>
      <c r="Y115" s="656"/>
      <c r="AA115" s="4685"/>
    </row>
    <row r="116" spans="1:27" s="622" customFormat="1">
      <c r="D116" s="622" t="str">
        <f>IF(D92&lt;&gt;""," - "&amp;D92,"")</f>
        <v/>
      </c>
      <c r="E116" s="622" t="str">
        <f>IF(E92&lt;&gt;""," - "&amp;E92,"")</f>
        <v/>
      </c>
      <c r="F116" s="622" t="str">
        <f>IF(F92&lt;&gt;""," - "&amp;F92,"")</f>
        <v/>
      </c>
      <c r="G116" s="622" t="str">
        <f>IF(G92&lt;&gt;""," - "&amp;G92,"")</f>
        <v/>
      </c>
      <c r="J116"/>
      <c r="K116" s="1354"/>
      <c r="L116" s="715"/>
      <c r="M116" s="715"/>
      <c r="N116" s="715"/>
      <c r="O116" s="715"/>
      <c r="P116" s="715"/>
      <c r="Q116" s="715"/>
      <c r="R116" s="715"/>
      <c r="S116" s="715"/>
      <c r="T116" s="715"/>
      <c r="U116" s="715"/>
      <c r="V116" s="715"/>
      <c r="W116" s="715"/>
      <c r="X116" s="715"/>
      <c r="Y116" s="656"/>
      <c r="AA116" s="4685"/>
    </row>
    <row r="117" spans="1:27" s="622" customFormat="1" ht="13.5" thickBot="1">
      <c r="D117" s="4686" t="str">
        <f>IF(D93="","",D114&amp;D115&amp;D116)</f>
        <v/>
      </c>
      <c r="E117" s="4686" t="str">
        <f>IF(E93="","",E114&amp;E115&amp;E116)</f>
        <v/>
      </c>
      <c r="F117" s="4686" t="str">
        <f>IF(F93="","",F114&amp;F115&amp;F116)</f>
        <v/>
      </c>
      <c r="G117" s="4686" t="str">
        <f>IF(G93="","",G114&amp;G115&amp;G116)</f>
        <v/>
      </c>
      <c r="H117" s="4699"/>
      <c r="J117"/>
      <c r="K117" s="1354"/>
      <c r="L117" s="715"/>
      <c r="M117" s="715"/>
      <c r="N117" s="715"/>
      <c r="O117" s="715"/>
      <c r="P117" s="715"/>
      <c r="Q117" s="715"/>
      <c r="R117" s="715"/>
      <c r="S117" s="715"/>
      <c r="T117" s="715"/>
      <c r="U117" s="715"/>
      <c r="V117" s="715"/>
      <c r="W117" s="715"/>
      <c r="X117" s="715"/>
      <c r="Y117" s="656"/>
      <c r="AA117" s="4685"/>
    </row>
    <row r="118" spans="1:27" ht="13.5" thickTop="1">
      <c r="A118" s="4651"/>
      <c r="G118" s="1040" t="s">
        <v>361</v>
      </c>
      <c r="H118" s="4">
        <f>SUM(ROUND('1099-INT'!I65,0),'1099-DIV'!H93)</f>
        <v>0</v>
      </c>
      <c r="I118" s="329" t="str">
        <f>"Sch. B required if &gt;"&amp;TEXT(H119,"$0,000")&amp;"."</f>
        <v>Sch. B required if &gt;$1,500.</v>
      </c>
    </row>
    <row r="119" spans="1:27">
      <c r="H119" s="391">
        <v>1500</v>
      </c>
      <c r="I119" s="4700" t="b">
        <f>H118&gt;H119</f>
        <v>0</v>
      </c>
    </row>
    <row r="121" spans="1:27" ht="13.5" thickBot="1"/>
    <row r="122" spans="1:27">
      <c r="C122" s="4701"/>
    </row>
    <row r="123" spans="1:27">
      <c r="C123" s="4636" t="s">
        <v>42</v>
      </c>
    </row>
    <row r="124" spans="1:27" ht="13.5" thickBot="1">
      <c r="C124" s="4702"/>
    </row>
  </sheetData>
  <sheetProtection algorithmName="SHA-512" hashValue="zSNcocw1gp7bHIk3nNK5JyGS5Si1Q/zf7PDvzIDsfcNbk3atKT8n/kp59zqs14vFEapYD6a1LY2l4xI+fVU/5g==" saltValue="sDrtyuJLbgYn78G8IJ4cLw==" spinCount="100000" sheet="1" objects="1" scenarios="1" formatCells="0" formatColumns="0" formatRows="0"/>
  <conditionalFormatting sqref="D8:D20">
    <cfRule type="expression" dxfId="3987" priority="8">
      <formula>IF(NoColor,1,0)</formula>
    </cfRule>
  </conditionalFormatting>
  <conditionalFormatting sqref="D90:G112">
    <cfRule type="expression" dxfId="3986" priority="2">
      <formula>IF(NoColor,1,0)</formula>
    </cfRule>
  </conditionalFormatting>
  <conditionalFormatting sqref="D93:G94">
    <cfRule type="expression" dxfId="3985" priority="15">
      <formula>D$113</formula>
    </cfRule>
  </conditionalFormatting>
  <conditionalFormatting sqref="D2:H7">
    <cfRule type="expression" dxfId="3984" priority="55">
      <formula>IF(NoColor,1,0)</formula>
    </cfRule>
  </conditionalFormatting>
  <conditionalFormatting sqref="D6:H7">
    <cfRule type="expression" dxfId="3983" priority="27">
      <formula>D$26</formula>
    </cfRule>
  </conditionalFormatting>
  <conditionalFormatting sqref="D21:H25">
    <cfRule type="expression" dxfId="3982" priority="39">
      <formula>IF(NoColor,1,0)</formula>
    </cfRule>
  </conditionalFormatting>
  <conditionalFormatting sqref="D31:H54">
    <cfRule type="expression" dxfId="3981" priority="6">
      <formula>IF(NoColor,1,0)</formula>
    </cfRule>
  </conditionalFormatting>
  <conditionalFormatting sqref="D35:H36">
    <cfRule type="expression" dxfId="3980" priority="23">
      <formula>D$55</formula>
    </cfRule>
  </conditionalFormatting>
  <conditionalFormatting sqref="D60:H83">
    <cfRule type="expression" dxfId="3979" priority="4">
      <formula>IF(NoColor,1,0)</formula>
    </cfRule>
  </conditionalFormatting>
  <conditionalFormatting sqref="D64:H65">
    <cfRule type="expression" dxfId="3978" priority="19">
      <formula>D$84</formula>
    </cfRule>
  </conditionalFormatting>
  <conditionalFormatting sqref="D89:H89">
    <cfRule type="expression" dxfId="3977" priority="30">
      <formula>IF(NoColor,1,0)</formula>
    </cfRule>
  </conditionalFormatting>
  <conditionalFormatting sqref="E6:H20">
    <cfRule type="expression" dxfId="3976" priority="9">
      <formula>IF(NoColor,1,0)</formula>
    </cfRule>
  </conditionalFormatting>
  <conditionalFormatting sqref="H90:H112">
    <cfRule type="expression" dxfId="3975" priority="1">
      <formula>NoColor</formula>
    </cfRule>
  </conditionalFormatting>
  <conditionalFormatting sqref="I93:I94">
    <cfRule type="expression" dxfId="3974" priority="13">
      <formula>I$113</formula>
    </cfRule>
  </conditionalFormatting>
  <hyperlinks>
    <hyperlink ref="C123" location="'Table of Contents'!A1" display="Table of Contents" xr:uid="{00000000-0004-0000-0500-000000000000}"/>
  </hyperlinks>
  <pageMargins left="0.75" right="0.25" top="0.36" bottom="0.28999999999999998" header="0.36" footer="0.21"/>
  <pageSetup scale="57" fitToHeight="0" orientation="landscape" r:id="rId1"/>
  <rowBreaks count="1" manualBreakCount="1">
    <brk id="55" max="9"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A44"/>
  <sheetViews>
    <sheetView zoomScaleNormal="100" zoomScaleSheetLayoutView="100" workbookViewId="0">
      <pane ySplit="1" topLeftCell="A2" activePane="bottomLeft" state="frozen"/>
      <selection activeCell="E24" sqref="E24"/>
      <selection pane="bottomLeft"/>
    </sheetView>
  </sheetViews>
  <sheetFormatPr defaultRowHeight="12.75"/>
  <cols>
    <col min="1" max="1" width="2.5703125" customWidth="1"/>
    <col min="2" max="2" width="4.42578125" customWidth="1"/>
    <col min="3" max="3" width="45.7109375" customWidth="1"/>
    <col min="4" max="10" width="19.85546875" customWidth="1"/>
    <col min="11" max="11" width="46.42578125" customWidth="1"/>
    <col min="12" max="12" width="5.5703125" customWidth="1"/>
    <col min="13" max="27" width="9.140625" style="1021"/>
  </cols>
  <sheetData>
    <row r="1" spans="1:27" ht="42" customHeight="1" thickBot="1">
      <c r="A1" s="4660"/>
      <c r="B1" s="4568" t="s">
        <v>362</v>
      </c>
      <c r="C1" s="4661"/>
      <c r="D1" s="4662"/>
      <c r="E1" s="4730" t="str">
        <f>IF(FALSE,"After Form 1040 and Schedule 1 are complete,"&amp;CHAR(10)&amp;" be sure to review 'Sch. 1 Line 8 WS', line 1.",IF(FALSE,"'Sch. 1 Line 8 WS', line 1, has been Updated.",""))</f>
        <v/>
      </c>
      <c r="F1" s="4662"/>
      <c r="G1" s="4662"/>
      <c r="H1" s="4662"/>
      <c r="I1" s="4662"/>
      <c r="J1" s="4662"/>
      <c r="K1" s="4662"/>
      <c r="L1" s="4362"/>
      <c r="M1" s="655" t="s">
        <v>223</v>
      </c>
      <c r="N1" s="656"/>
      <c r="O1" s="656"/>
      <c r="P1" s="656"/>
      <c r="Q1" s="656"/>
      <c r="R1" s="656"/>
      <c r="S1" s="656"/>
      <c r="T1" s="656"/>
      <c r="U1" s="656"/>
      <c r="V1" s="656"/>
      <c r="W1" s="656"/>
      <c r="X1" s="656"/>
      <c r="Y1" s="656"/>
      <c r="Z1" s="656"/>
      <c r="AA1" s="656"/>
    </row>
    <row r="2" spans="1:27" ht="42" customHeight="1" thickTop="1" thickBot="1">
      <c r="A2" s="257"/>
      <c r="B2" s="1534"/>
      <c r="C2" s="4664" t="str">
        <f>IF(Name_1st_Yours="","Enter your name on the"&amp;CHAR(10)&amp;"sheet labeled '1040'",NameYours)</f>
        <v>Enter your name on the
sheet labeled '1040'</v>
      </c>
      <c r="D2" s="458" t="s">
        <v>284</v>
      </c>
      <c r="E2" s="458" t="s">
        <v>285</v>
      </c>
      <c r="F2" s="458" t="s">
        <v>286</v>
      </c>
      <c r="G2" s="458" t="s">
        <v>287</v>
      </c>
      <c r="H2" s="458" t="s">
        <v>288</v>
      </c>
      <c r="I2" s="458" t="s">
        <v>313</v>
      </c>
      <c r="J2" s="458" t="s">
        <v>363</v>
      </c>
      <c r="K2" s="4720" t="s">
        <v>226</v>
      </c>
      <c r="L2" s="4665"/>
      <c r="M2" s="656"/>
      <c r="N2" s="656"/>
      <c r="O2" s="656"/>
      <c r="P2" s="656"/>
      <c r="Q2" s="656"/>
      <c r="R2" s="656"/>
      <c r="S2" s="656"/>
      <c r="T2" s="656"/>
      <c r="U2" s="656"/>
      <c r="V2" s="656"/>
      <c r="W2" s="656"/>
      <c r="X2" s="656"/>
      <c r="Y2" s="656"/>
      <c r="Z2" s="656"/>
      <c r="AA2" s="656"/>
    </row>
    <row r="3" spans="1:27" ht="12.75" customHeight="1">
      <c r="A3" s="253"/>
      <c r="B3" s="4666"/>
      <c r="C3" s="4667" t="s">
        <v>290</v>
      </c>
      <c r="D3" s="601"/>
      <c r="E3" s="602"/>
      <c r="F3" s="602"/>
      <c r="G3" s="602"/>
      <c r="H3" s="602"/>
      <c r="I3" s="602"/>
      <c r="J3" s="4687"/>
      <c r="K3" s="3298"/>
      <c r="L3" s="4665"/>
      <c r="M3" s="656"/>
      <c r="N3" s="656"/>
      <c r="O3" s="656"/>
      <c r="P3" s="656"/>
      <c r="Q3" s="656"/>
      <c r="R3" s="656"/>
      <c r="S3" s="656"/>
      <c r="T3" s="656"/>
      <c r="U3" s="656"/>
      <c r="V3" s="656"/>
      <c r="W3" s="656"/>
      <c r="X3" s="656"/>
      <c r="Y3" s="656"/>
      <c r="Z3" s="656"/>
      <c r="AA3" s="656"/>
    </row>
    <row r="4" spans="1:27">
      <c r="A4" s="253"/>
      <c r="B4" s="4668"/>
      <c r="C4" s="4669" t="s">
        <v>364</v>
      </c>
      <c r="D4" s="629"/>
      <c r="E4" s="630"/>
      <c r="F4" s="630"/>
      <c r="G4" s="630"/>
      <c r="H4" s="630"/>
      <c r="I4" s="630"/>
      <c r="J4" s="4689"/>
      <c r="K4" s="3298"/>
      <c r="L4" s="4665"/>
      <c r="M4" s="656"/>
      <c r="N4" s="656"/>
      <c r="O4" s="656"/>
      <c r="P4" s="656"/>
      <c r="Q4" s="656"/>
      <c r="R4" s="656"/>
      <c r="S4" s="656"/>
      <c r="T4" s="656"/>
      <c r="U4" s="656"/>
      <c r="V4" s="656"/>
      <c r="W4" s="656"/>
      <c r="X4" s="656"/>
      <c r="Y4" s="656"/>
      <c r="Z4" s="656"/>
      <c r="AA4" s="656"/>
    </row>
    <row r="5" spans="1:27" ht="13.5" thickBot="1">
      <c r="A5" s="253"/>
      <c r="B5" s="4670"/>
      <c r="C5" s="4671" t="s">
        <v>292</v>
      </c>
      <c r="D5" s="632"/>
      <c r="E5" s="633"/>
      <c r="F5" s="633"/>
      <c r="G5" s="633"/>
      <c r="H5" s="633"/>
      <c r="I5" s="633"/>
      <c r="J5" s="4691"/>
      <c r="K5" s="3298"/>
      <c r="L5" s="4665"/>
      <c r="M5" s="656"/>
      <c r="N5" s="656"/>
      <c r="O5" s="656"/>
      <c r="P5" s="656"/>
      <c r="Q5" s="656"/>
      <c r="R5" s="656"/>
      <c r="S5" s="656"/>
      <c r="T5" s="656"/>
      <c r="U5" s="656"/>
      <c r="V5" s="656"/>
      <c r="W5" s="656"/>
      <c r="X5" s="656"/>
      <c r="Y5" s="656"/>
      <c r="Z5" s="656"/>
      <c r="AA5" s="656"/>
    </row>
    <row r="6" spans="1:27" ht="13.5" customHeight="1">
      <c r="A6" s="253"/>
      <c r="B6" s="4731" t="s">
        <v>228</v>
      </c>
      <c r="C6" s="4673" t="s">
        <v>365</v>
      </c>
      <c r="D6" s="604"/>
      <c r="E6" s="605"/>
      <c r="F6" s="605"/>
      <c r="G6" s="605"/>
      <c r="H6" s="605"/>
      <c r="I6" s="605"/>
      <c r="J6" s="4732">
        <f>ROUND(SUM(D6:I6),0)</f>
        <v>0</v>
      </c>
      <c r="K6" s="4733" t="s">
        <v>366</v>
      </c>
      <c r="L6" s="4665"/>
      <c r="M6" s="656"/>
      <c r="N6" s="656"/>
      <c r="O6" s="656"/>
      <c r="P6" s="656"/>
      <c r="Q6" s="656"/>
      <c r="R6" s="656"/>
      <c r="S6" s="656"/>
      <c r="T6" s="656"/>
      <c r="U6" s="656"/>
      <c r="V6" s="656"/>
      <c r="W6" s="656"/>
      <c r="X6" s="656"/>
      <c r="Y6" s="656"/>
      <c r="Z6" s="656"/>
      <c r="AA6" s="656"/>
    </row>
    <row r="7" spans="1:27" ht="13.5" customHeight="1">
      <c r="A7" s="253"/>
      <c r="B7" s="4734" t="s">
        <v>230</v>
      </c>
      <c r="C7" s="4676" t="s">
        <v>367</v>
      </c>
      <c r="D7" s="606"/>
      <c r="E7" s="607"/>
      <c r="F7" s="607"/>
      <c r="G7" s="607"/>
      <c r="H7" s="607"/>
      <c r="I7" s="607"/>
      <c r="J7" s="4735">
        <f>ROUND(SUM(D7:I7),0)</f>
        <v>0</v>
      </c>
      <c r="K7" s="4736" t="str">
        <f>IF(Needs_SALT,"  See sheet labeled","   'Sch. 1, Line 1 (SALT)', line 1   [State &amp; local tax]")</f>
        <v xml:space="preserve">   'Sch. 1, Line 1 (SALT)', line 1   [State &amp; local tax]</v>
      </c>
      <c r="L7" s="4665"/>
      <c r="M7" s="656"/>
      <c r="N7" s="656"/>
      <c r="O7" s="656"/>
      <c r="P7" s="656"/>
      <c r="Q7" s="656"/>
      <c r="R7" s="656"/>
      <c r="S7" s="656"/>
      <c r="T7" s="656"/>
      <c r="U7" s="656"/>
      <c r="V7" s="656"/>
      <c r="W7" s="656"/>
      <c r="X7" s="656"/>
      <c r="Y7" s="656"/>
      <c r="Z7" s="656"/>
      <c r="AA7" s="656"/>
    </row>
    <row r="8" spans="1:27" ht="13.5" customHeight="1">
      <c r="A8" s="253"/>
      <c r="B8" s="4737" t="s">
        <v>232</v>
      </c>
      <c r="C8" s="4679" t="s">
        <v>368</v>
      </c>
      <c r="D8" s="984"/>
      <c r="E8" s="985"/>
      <c r="F8" s="985"/>
      <c r="G8" s="985"/>
      <c r="H8" s="985"/>
      <c r="I8" s="985"/>
      <c r="J8" s="4738" t="s">
        <v>369</v>
      </c>
      <c r="K8" s="4681" t="str">
        <f>IF(Needs_SALT,"'Sch. 1, Line 1 (SALT)'. (State &amp; Local Tax)","")</f>
        <v/>
      </c>
      <c r="L8" s="4665"/>
      <c r="M8" s="656"/>
      <c r="N8" s="656"/>
      <c r="O8" s="656"/>
      <c r="P8" s="656"/>
      <c r="Q8" s="656"/>
      <c r="R8" s="656"/>
      <c r="S8" s="656"/>
      <c r="T8" s="656"/>
      <c r="U8" s="656"/>
      <c r="V8" s="656"/>
      <c r="W8" s="656"/>
      <c r="X8" s="656"/>
      <c r="Y8" s="656"/>
      <c r="Z8" s="656"/>
      <c r="AA8" s="656"/>
    </row>
    <row r="9" spans="1:27" ht="13.5" customHeight="1">
      <c r="A9" s="253"/>
      <c r="B9" s="4734">
        <v>4</v>
      </c>
      <c r="C9" s="4676" t="s">
        <v>231</v>
      </c>
      <c r="D9" s="606"/>
      <c r="E9" s="607"/>
      <c r="F9" s="607"/>
      <c r="G9" s="607"/>
      <c r="H9" s="607"/>
      <c r="I9" s="607"/>
      <c r="J9" s="4735">
        <f>ROUND(SUM(D9:I9),0)</f>
        <v>0</v>
      </c>
      <c r="K9" s="4076"/>
      <c r="L9" s="4665"/>
      <c r="M9" s="656"/>
      <c r="N9" s="656"/>
      <c r="O9" s="656"/>
      <c r="P9" s="656"/>
      <c r="Q9" s="656"/>
      <c r="R9" s="656"/>
      <c r="S9" s="656"/>
      <c r="T9" s="656"/>
      <c r="U9" s="656"/>
      <c r="V9" s="656"/>
      <c r="W9" s="656"/>
      <c r="X9" s="656"/>
      <c r="Y9" s="656"/>
      <c r="Z9" s="656"/>
      <c r="AA9" s="656"/>
    </row>
    <row r="10" spans="1:27">
      <c r="A10" s="253"/>
      <c r="B10" s="4734" t="s">
        <v>237</v>
      </c>
      <c r="C10" s="4676" t="s">
        <v>370</v>
      </c>
      <c r="D10" s="606"/>
      <c r="E10" s="607"/>
      <c r="F10" s="607"/>
      <c r="G10" s="607"/>
      <c r="H10" s="607"/>
      <c r="I10" s="607"/>
      <c r="J10" s="4735">
        <f>ROUND(SUM(D10:I10),0)</f>
        <v>0</v>
      </c>
      <c r="K10" s="3298"/>
      <c r="L10" s="4665"/>
      <c r="M10" s="656"/>
      <c r="N10" s="656"/>
      <c r="O10" s="656"/>
      <c r="P10" s="656"/>
      <c r="Q10" s="656"/>
      <c r="R10" s="656"/>
      <c r="S10" s="656"/>
      <c r="T10" s="656"/>
      <c r="U10" s="656"/>
      <c r="V10" s="656"/>
      <c r="W10" s="656"/>
      <c r="X10" s="656"/>
      <c r="Y10" s="656"/>
      <c r="Z10" s="656"/>
      <c r="AA10" s="656"/>
    </row>
    <row r="11" spans="1:27">
      <c r="B11" s="2623" t="s">
        <v>239</v>
      </c>
      <c r="C11" s="4739" t="s">
        <v>371</v>
      </c>
      <c r="D11" s="606"/>
      <c r="E11" s="607"/>
      <c r="F11" s="607"/>
      <c r="G11" s="607"/>
      <c r="H11" s="607"/>
      <c r="I11" s="607"/>
      <c r="J11" s="4735">
        <f>ROUND(SUM(D11:I11),0)</f>
        <v>0</v>
      </c>
      <c r="K11" s="3298"/>
      <c r="L11" s="4665"/>
      <c r="M11" s="656"/>
      <c r="N11" s="656"/>
      <c r="O11" s="656"/>
      <c r="P11" s="656"/>
      <c r="Q11" s="656"/>
      <c r="R11" s="656"/>
      <c r="S11" s="656"/>
      <c r="T11" s="656"/>
      <c r="U11" s="656"/>
      <c r="V11" s="656"/>
      <c r="W11" s="656"/>
      <c r="X11" s="656"/>
      <c r="Y11" s="656"/>
      <c r="Z11" s="656"/>
      <c r="AA11" s="656"/>
    </row>
    <row r="12" spans="1:27" s="1021" customFormat="1">
      <c r="A12"/>
      <c r="B12" s="2623" t="s">
        <v>372</v>
      </c>
      <c r="C12" s="4739" t="s">
        <v>373</v>
      </c>
      <c r="D12" s="606"/>
      <c r="E12" s="607"/>
      <c r="F12" s="607"/>
      <c r="G12" s="607"/>
      <c r="H12" s="607"/>
      <c r="I12" s="607"/>
      <c r="J12" s="4735">
        <f>ROUND(SUM(D12:I12),0)</f>
        <v>0</v>
      </c>
      <c r="K12" s="3298"/>
      <c r="L12" s="4665"/>
      <c r="M12" s="656"/>
      <c r="N12" s="656"/>
      <c r="O12" s="656"/>
      <c r="P12" s="656"/>
      <c r="Q12" s="656"/>
      <c r="R12" s="656"/>
      <c r="S12" s="656"/>
      <c r="T12" s="656"/>
      <c r="U12" s="656"/>
      <c r="V12" s="656"/>
      <c r="W12" s="656"/>
      <c r="X12" s="656"/>
      <c r="Y12" s="656"/>
      <c r="Z12" s="656"/>
      <c r="AA12" s="656"/>
    </row>
    <row r="13" spans="1:27" s="1021" customFormat="1">
      <c r="A13"/>
      <c r="B13" s="2623" t="s">
        <v>374</v>
      </c>
      <c r="C13" s="4739" t="s">
        <v>375</v>
      </c>
      <c r="D13" s="606"/>
      <c r="E13" s="607"/>
      <c r="F13" s="607"/>
      <c r="G13" s="607"/>
      <c r="H13" s="607"/>
      <c r="I13" s="607"/>
      <c r="J13" s="4735">
        <f>ROUND(SUM(D13:I13),0)</f>
        <v>0</v>
      </c>
      <c r="K13" s="4684" t="b">
        <f>AND(D13="",E13="",F13="",G13="",J13="")</f>
        <v>0</v>
      </c>
      <c r="L13" s="4665"/>
      <c r="M13" s="656"/>
      <c r="N13" s="656"/>
      <c r="O13" s="656"/>
      <c r="P13" s="656"/>
      <c r="Q13" s="656"/>
      <c r="R13" s="656"/>
      <c r="S13" s="656"/>
      <c r="T13" s="656"/>
      <c r="U13" s="656"/>
      <c r="V13" s="656"/>
      <c r="W13" s="656"/>
      <c r="X13" s="656"/>
      <c r="Y13" s="656"/>
      <c r="Z13" s="656"/>
      <c r="AA13" s="656"/>
    </row>
    <row r="14" spans="1:27" s="1021" customFormat="1">
      <c r="A14"/>
      <c r="B14" s="4740" t="s">
        <v>244</v>
      </c>
      <c r="C14" s="4741" t="s">
        <v>376</v>
      </c>
      <c r="D14" s="741"/>
      <c r="E14" s="742"/>
      <c r="F14" s="742"/>
      <c r="G14" s="742"/>
      <c r="H14" s="742"/>
      <c r="I14" s="742"/>
      <c r="J14" s="737"/>
      <c r="K14" s="3298"/>
      <c r="L14" s="4665"/>
      <c r="M14" s="656"/>
      <c r="N14" s="656"/>
      <c r="O14" s="656"/>
      <c r="P14" s="656"/>
      <c r="Q14" s="656"/>
      <c r="R14" s="656"/>
      <c r="S14" s="656"/>
      <c r="T14" s="656"/>
      <c r="U14" s="656"/>
      <c r="V14" s="656"/>
      <c r="W14" s="656"/>
      <c r="X14" s="656"/>
      <c r="Y14" s="656"/>
      <c r="Z14" s="656"/>
      <c r="AA14" s="656"/>
    </row>
    <row r="15" spans="1:27" s="1021" customFormat="1">
      <c r="A15"/>
      <c r="B15" s="2623" t="s">
        <v>377</v>
      </c>
      <c r="C15" s="4739" t="s">
        <v>378</v>
      </c>
      <c r="D15" s="606"/>
      <c r="E15" s="607"/>
      <c r="F15" s="607"/>
      <c r="G15" s="607"/>
      <c r="H15" s="607"/>
      <c r="I15" s="607"/>
      <c r="J15" s="4735">
        <f>ROUND(SUM(D15:I15),0)</f>
        <v>0</v>
      </c>
      <c r="K15" s="4684" t="b">
        <f>AND(D15="",E15="",F15="",G15="",J15="")</f>
        <v>0</v>
      </c>
      <c r="L15" s="4665"/>
      <c r="M15" s="656"/>
      <c r="N15" s="656"/>
      <c r="O15" s="656"/>
      <c r="P15" s="656"/>
      <c r="Q15" s="656"/>
      <c r="R15" s="656"/>
      <c r="S15" s="656"/>
      <c r="T15" s="656"/>
      <c r="U15" s="656"/>
      <c r="V15" s="656"/>
      <c r="W15" s="656"/>
      <c r="X15" s="656"/>
      <c r="Y15" s="656"/>
      <c r="Z15" s="656"/>
      <c r="AA15" s="656"/>
    </row>
    <row r="16" spans="1:27" s="1021" customFormat="1">
      <c r="A16"/>
      <c r="B16" s="4740" t="s">
        <v>379</v>
      </c>
      <c r="C16" s="4741" t="s">
        <v>309</v>
      </c>
      <c r="D16" s="595"/>
      <c r="E16" s="596"/>
      <c r="F16" s="596"/>
      <c r="G16" s="596"/>
      <c r="H16" s="596"/>
      <c r="I16" s="596"/>
      <c r="J16" s="4735"/>
      <c r="K16" s="3298"/>
      <c r="L16" s="4665"/>
      <c r="M16" s="656"/>
      <c r="N16" s="656"/>
      <c r="O16" s="656"/>
      <c r="P16" s="656"/>
      <c r="Q16" s="656"/>
      <c r="R16" s="656"/>
      <c r="S16" s="656"/>
      <c r="T16" s="656"/>
      <c r="U16" s="656"/>
      <c r="V16" s="656"/>
      <c r="W16" s="656"/>
      <c r="X16" s="656"/>
      <c r="Y16" s="656"/>
      <c r="Z16" s="656"/>
      <c r="AA16" s="656"/>
    </row>
    <row r="17" spans="1:27" s="1021" customFormat="1" ht="15">
      <c r="A17"/>
      <c r="B17" s="4740" t="s">
        <v>380</v>
      </c>
      <c r="C17" s="4741" t="s">
        <v>310</v>
      </c>
      <c r="D17" s="597"/>
      <c r="E17" s="598"/>
      <c r="F17" s="598"/>
      <c r="G17" s="598"/>
      <c r="H17" s="598"/>
      <c r="I17" s="598"/>
      <c r="J17" s="4735"/>
      <c r="K17" s="4742"/>
      <c r="L17" s="4665"/>
      <c r="M17" s="656"/>
      <c r="N17" s="656"/>
      <c r="O17" s="656"/>
      <c r="P17" s="656"/>
      <c r="Q17" s="656"/>
      <c r="R17" s="656"/>
      <c r="S17" s="656"/>
      <c r="T17" s="656"/>
      <c r="U17" s="656"/>
      <c r="V17" s="656"/>
      <c r="W17" s="656"/>
      <c r="X17" s="656"/>
      <c r="Y17" s="656"/>
      <c r="Z17" s="656"/>
      <c r="AA17" s="656"/>
    </row>
    <row r="18" spans="1:27" ht="13.5" customHeight="1" thickBot="1">
      <c r="A18" s="253"/>
      <c r="B18" s="4743">
        <v>11</v>
      </c>
      <c r="C18" s="4683" t="s">
        <v>381</v>
      </c>
      <c r="D18" s="616"/>
      <c r="E18" s="617"/>
      <c r="F18" s="617"/>
      <c r="G18" s="617"/>
      <c r="H18" s="617"/>
      <c r="I18" s="617"/>
      <c r="J18" s="4744">
        <f>ROUND(SUM(D18:I18),0)</f>
        <v>0</v>
      </c>
      <c r="K18" s="4745"/>
      <c r="L18" s="4665"/>
      <c r="M18" s="656"/>
      <c r="N18" s="656"/>
      <c r="O18" s="656"/>
      <c r="P18" s="656"/>
      <c r="Q18" s="656"/>
      <c r="R18" s="656"/>
      <c r="S18" s="656"/>
      <c r="T18" s="656"/>
      <c r="U18" s="656"/>
      <c r="V18" s="656"/>
      <c r="W18" s="656"/>
      <c r="X18" s="656"/>
      <c r="Y18" s="656"/>
      <c r="Z18" s="656"/>
      <c r="AA18" s="656"/>
    </row>
    <row r="19" spans="1:27" ht="17.25" customHeight="1">
      <c r="A19" s="253"/>
      <c r="B19" s="580" t="s">
        <v>312</v>
      </c>
      <c r="C19" s="253"/>
      <c r="D19" s="253"/>
      <c r="E19" s="253"/>
      <c r="F19" s="253"/>
      <c r="G19" s="253"/>
      <c r="H19" s="253"/>
      <c r="I19" s="253"/>
      <c r="J19" s="253"/>
      <c r="K19" s="4745"/>
      <c r="L19" s="4665"/>
      <c r="M19" s="656"/>
      <c r="N19" s="656"/>
      <c r="O19" s="656"/>
      <c r="P19" s="656"/>
      <c r="Q19" s="656"/>
      <c r="R19" s="656"/>
      <c r="S19" s="656"/>
      <c r="T19" s="656"/>
      <c r="U19" s="656"/>
      <c r="V19" s="656"/>
      <c r="W19" s="656"/>
      <c r="X19" s="656"/>
      <c r="Y19" s="656"/>
      <c r="Z19" s="656"/>
      <c r="AA19" s="656"/>
    </row>
    <row r="20" spans="1:27" s="622" customFormat="1" ht="13.5" customHeight="1" thickBot="1">
      <c r="A20" s="1009"/>
      <c r="B20" s="1009"/>
      <c r="C20" s="1009"/>
      <c r="D20" s="1009"/>
      <c r="E20" s="1009"/>
      <c r="F20" s="1009"/>
      <c r="G20" s="1009"/>
      <c r="H20" s="1009"/>
      <c r="I20" s="1009"/>
      <c r="J20" s="1009" t="str">
        <f>IF(J3&lt;&gt;"",J3,"")</f>
        <v/>
      </c>
      <c r="K20" s="4745"/>
      <c r="L20" s="4665"/>
      <c r="M20" s="715"/>
      <c r="N20" s="715"/>
      <c r="O20" s="715"/>
      <c r="P20" s="715"/>
      <c r="Q20" s="715"/>
      <c r="R20" s="715"/>
      <c r="S20" s="715"/>
      <c r="T20" s="715"/>
      <c r="U20" s="715"/>
      <c r="V20" s="715"/>
      <c r="W20" s="715"/>
      <c r="X20" s="715"/>
      <c r="Y20" s="715"/>
      <c r="Z20" s="715"/>
      <c r="AA20" s="715"/>
    </row>
    <row r="21" spans="1:27" ht="42" customHeight="1" thickTop="1" thickBot="1">
      <c r="A21" s="257"/>
      <c r="B21" s="1534"/>
      <c r="C21" s="4664" t="str">
        <f>IF(Name_1st_Sp="","Enter your spouse's name on"&amp;CHAR(10)&amp;"the sheet labeled '1040'",NameSpouse)</f>
        <v>Enter your spouse's name on
the sheet labeled '1040'</v>
      </c>
      <c r="D21" s="458" t="s">
        <v>284</v>
      </c>
      <c r="E21" s="458" t="s">
        <v>285</v>
      </c>
      <c r="F21" s="458" t="s">
        <v>286</v>
      </c>
      <c r="G21" s="458" t="s">
        <v>287</v>
      </c>
      <c r="H21" s="458" t="s">
        <v>288</v>
      </c>
      <c r="I21" s="458" t="s">
        <v>382</v>
      </c>
      <c r="J21" s="458" t="s">
        <v>224</v>
      </c>
      <c r="K21" s="4720" t="s">
        <v>226</v>
      </c>
      <c r="L21" s="4665"/>
      <c r="M21" s="656"/>
      <c r="N21" s="656"/>
      <c r="O21" s="656"/>
      <c r="P21" s="656"/>
      <c r="Q21" s="656"/>
      <c r="R21" s="656"/>
      <c r="S21" s="656"/>
      <c r="T21" s="656"/>
      <c r="U21" s="656"/>
      <c r="V21" s="656"/>
      <c r="W21" s="656"/>
      <c r="X21" s="656"/>
      <c r="Y21" s="656"/>
      <c r="Z21" s="656"/>
      <c r="AA21" s="656"/>
    </row>
    <row r="22" spans="1:27">
      <c r="A22" s="253"/>
      <c r="B22" s="4666"/>
      <c r="C22" s="4667" t="s">
        <v>290</v>
      </c>
      <c r="D22" s="601"/>
      <c r="E22" s="602"/>
      <c r="F22" s="602"/>
      <c r="G22" s="602"/>
      <c r="H22" s="602"/>
      <c r="I22" s="4687"/>
      <c r="J22" s="4687"/>
      <c r="K22" s="4688"/>
      <c r="L22" s="253"/>
      <c r="M22" s="656"/>
      <c r="N22" s="656"/>
      <c r="O22" s="656"/>
      <c r="P22" s="656"/>
      <c r="Q22" s="656"/>
      <c r="R22" s="656"/>
      <c r="S22" s="656"/>
      <c r="T22" s="656"/>
      <c r="U22" s="656"/>
      <c r="V22" s="656"/>
      <c r="W22" s="656"/>
      <c r="X22" s="656"/>
      <c r="Y22" s="656"/>
      <c r="Z22" s="656"/>
      <c r="AA22" s="1022"/>
    </row>
    <row r="23" spans="1:27">
      <c r="A23" s="253"/>
      <c r="B23" s="4668"/>
      <c r="C23" s="4669" t="s">
        <v>291</v>
      </c>
      <c r="D23" s="629"/>
      <c r="E23" s="630"/>
      <c r="F23" s="630"/>
      <c r="G23" s="630"/>
      <c r="H23" s="630"/>
      <c r="I23" s="4689"/>
      <c r="J23" s="4689"/>
      <c r="K23" s="4690"/>
      <c r="L23" s="253"/>
      <c r="M23" s="656"/>
      <c r="N23" s="656"/>
      <c r="O23" s="656"/>
      <c r="P23" s="656"/>
      <c r="Q23" s="656"/>
      <c r="R23" s="656"/>
      <c r="S23" s="656"/>
      <c r="T23" s="656"/>
      <c r="U23" s="656"/>
      <c r="V23" s="656"/>
      <c r="W23" s="656"/>
      <c r="X23" s="656"/>
      <c r="Y23" s="656"/>
      <c r="Z23" s="656"/>
      <c r="AA23" s="1022"/>
    </row>
    <row r="24" spans="1:27" ht="13.5" thickBot="1">
      <c r="A24" s="253"/>
      <c r="B24" s="4670"/>
      <c r="C24" s="4671" t="s">
        <v>292</v>
      </c>
      <c r="D24" s="632"/>
      <c r="E24" s="633"/>
      <c r="F24" s="633"/>
      <c r="G24" s="633"/>
      <c r="H24" s="633"/>
      <c r="I24" s="4691"/>
      <c r="J24" s="4691"/>
      <c r="K24" s="4690">
        <f>SUM(ForeignTaxPaid_INT,ForeignTaxPaid_DIV)</f>
        <v>0</v>
      </c>
      <c r="L24" s="253"/>
      <c r="M24" s="656"/>
      <c r="N24" s="656"/>
      <c r="O24" s="656"/>
      <c r="P24" s="656"/>
      <c r="Q24" s="656"/>
      <c r="R24" s="656"/>
      <c r="S24" s="656"/>
      <c r="T24" s="656"/>
      <c r="U24" s="656"/>
      <c r="V24" s="656"/>
      <c r="W24" s="656"/>
      <c r="X24" s="656"/>
      <c r="Y24" s="656"/>
      <c r="Z24" s="656"/>
      <c r="AA24" s="1022"/>
    </row>
    <row r="25" spans="1:27" ht="13.5" customHeight="1">
      <c r="A25" s="253"/>
      <c r="B25" s="4731" t="s">
        <v>228</v>
      </c>
      <c r="C25" s="4673" t="s">
        <v>365</v>
      </c>
      <c r="D25" s="604"/>
      <c r="E25" s="605"/>
      <c r="F25" s="605"/>
      <c r="G25" s="605"/>
      <c r="H25" s="605"/>
      <c r="I25" s="4732">
        <f>ROUND(SUM(D25:G25),0)</f>
        <v>0</v>
      </c>
      <c r="J25" s="4732">
        <f>SUM(UCE_You,UCE_Spouse)</f>
        <v>0</v>
      </c>
      <c r="K25" s="4746" t="s">
        <v>383</v>
      </c>
      <c r="L25" s="253"/>
      <c r="M25" s="656"/>
      <c r="N25" s="656"/>
      <c r="O25" s="656"/>
      <c r="P25" s="656"/>
      <c r="Q25" s="656"/>
      <c r="R25" s="656"/>
      <c r="S25" s="656"/>
      <c r="T25" s="656"/>
      <c r="U25" s="656"/>
      <c r="V25" s="656"/>
      <c r="W25" s="656"/>
      <c r="X25" s="656"/>
      <c r="Y25" s="656"/>
      <c r="Z25" s="656"/>
      <c r="AA25" s="1022"/>
    </row>
    <row r="26" spans="1:27" ht="13.5" customHeight="1">
      <c r="A26" s="253"/>
      <c r="B26" s="4734" t="s">
        <v>230</v>
      </c>
      <c r="C26" s="4676" t="s">
        <v>367</v>
      </c>
      <c r="D26" s="606"/>
      <c r="E26" s="607"/>
      <c r="F26" s="607"/>
      <c r="G26" s="607"/>
      <c r="H26" s="607"/>
      <c r="I26" s="4735">
        <f>ROUND(SUM(D26:G26),0)</f>
        <v>0</v>
      </c>
      <c r="J26" s="4735">
        <f>SUM(J7,I26)</f>
        <v>0</v>
      </c>
      <c r="K26" s="4736" t="str">
        <f>IF(Needs_SALT,"  See sheet labeled","   'Sch. 1, Line 1 (SALT)', line 1   [State &amp; local tax]")</f>
        <v xml:space="preserve">   'Sch. 1, Line 1 (SALT)', line 1   [State &amp; local tax]</v>
      </c>
      <c r="L26" s="253"/>
      <c r="M26" s="656"/>
      <c r="N26" s="656"/>
      <c r="O26" s="656"/>
      <c r="P26" s="656"/>
      <c r="Q26" s="656"/>
      <c r="R26" s="656"/>
      <c r="S26" s="656"/>
      <c r="T26" s="656"/>
      <c r="U26" s="656"/>
      <c r="V26" s="656"/>
      <c r="W26" s="656"/>
      <c r="X26" s="656"/>
      <c r="Y26" s="656"/>
      <c r="Z26" s="656"/>
      <c r="AA26" s="1022"/>
    </row>
    <row r="27" spans="1:27" ht="13.5" customHeight="1">
      <c r="A27" s="253"/>
      <c r="B27" s="4737" t="s">
        <v>232</v>
      </c>
      <c r="C27" s="4679" t="s">
        <v>368</v>
      </c>
      <c r="D27" s="595"/>
      <c r="E27" s="596"/>
      <c r="F27" s="596"/>
      <c r="G27" s="596"/>
      <c r="H27" s="596"/>
      <c r="I27" s="4738" t="s">
        <v>369</v>
      </c>
      <c r="J27" s="4738" t="s">
        <v>369</v>
      </c>
      <c r="K27" s="4681" t="str">
        <f>IF(Needs_SALT,"      'Sch. 1, Line 1 (SALT)'. (State &amp; Local Tax)","")</f>
        <v/>
      </c>
      <c r="L27" s="253"/>
      <c r="M27" s="656"/>
      <c r="N27" s="656"/>
      <c r="O27" s="656"/>
      <c r="P27" s="656"/>
      <c r="Q27" s="656"/>
      <c r="R27" s="656"/>
      <c r="S27" s="656"/>
      <c r="T27" s="656"/>
      <c r="U27" s="656"/>
      <c r="V27" s="656"/>
      <c r="W27" s="656"/>
      <c r="X27" s="656"/>
      <c r="Y27" s="656"/>
      <c r="Z27" s="656"/>
      <c r="AA27" s="1022"/>
    </row>
    <row r="28" spans="1:27" ht="13.5" customHeight="1">
      <c r="A28" s="253"/>
      <c r="B28" s="4734">
        <v>4</v>
      </c>
      <c r="C28" s="4676" t="s">
        <v>231</v>
      </c>
      <c r="D28" s="606"/>
      <c r="E28" s="607"/>
      <c r="F28" s="607"/>
      <c r="G28" s="607"/>
      <c r="H28" s="607"/>
      <c r="I28" s="4735">
        <f>ROUND(SUM(D28:G28),0)</f>
        <v>0</v>
      </c>
      <c r="J28" s="4735">
        <f>SUM(J9,I28)</f>
        <v>0</v>
      </c>
      <c r="K28" s="4693" t="s">
        <v>358</v>
      </c>
      <c r="L28" s="253"/>
      <c r="M28" s="656"/>
      <c r="N28" s="656"/>
      <c r="O28" s="656"/>
      <c r="P28" s="656"/>
      <c r="Q28" s="656"/>
      <c r="R28" s="656"/>
      <c r="S28" s="656"/>
      <c r="T28" s="656"/>
      <c r="U28" s="656"/>
      <c r="V28" s="656"/>
      <c r="W28" s="656"/>
      <c r="X28" s="656"/>
      <c r="Y28" s="656"/>
      <c r="Z28" s="656"/>
      <c r="AA28" s="1022"/>
    </row>
    <row r="29" spans="1:27" ht="26.25" customHeight="1">
      <c r="A29" s="253"/>
      <c r="B29" s="4734" t="s">
        <v>237</v>
      </c>
      <c r="C29" s="4676" t="s">
        <v>370</v>
      </c>
      <c r="D29" s="606"/>
      <c r="E29" s="607"/>
      <c r="F29" s="607"/>
      <c r="G29" s="607"/>
      <c r="H29" s="607"/>
      <c r="I29" s="4735">
        <f>ROUND(SUM(D29:G29),0)</f>
        <v>0</v>
      </c>
      <c r="J29" s="4735">
        <f>SUM(J10,I29)</f>
        <v>0</v>
      </c>
      <c r="K29" s="4693" t="s">
        <v>5435</v>
      </c>
      <c r="L29" s="253"/>
      <c r="M29" s="656"/>
      <c r="N29" s="656"/>
      <c r="O29" s="656"/>
      <c r="P29" s="656"/>
      <c r="Q29" s="656"/>
      <c r="R29" s="656"/>
      <c r="S29" s="656"/>
      <c r="T29" s="656"/>
      <c r="U29" s="656"/>
      <c r="V29" s="656"/>
      <c r="W29" s="656"/>
      <c r="X29" s="656"/>
      <c r="Y29" s="656"/>
      <c r="Z29" s="656"/>
      <c r="AA29" s="1022"/>
    </row>
    <row r="30" spans="1:27">
      <c r="A30" s="253"/>
      <c r="B30" s="4734" t="s">
        <v>239</v>
      </c>
      <c r="C30" s="4676" t="s">
        <v>371</v>
      </c>
      <c r="D30" s="606"/>
      <c r="E30" s="607"/>
      <c r="F30" s="607"/>
      <c r="G30" s="607"/>
      <c r="H30" s="607"/>
      <c r="I30" s="4735">
        <f>ROUND(SUM(D30:G30),0)</f>
        <v>0</v>
      </c>
      <c r="J30" s="4735">
        <f>SUM(J11,I30)</f>
        <v>0</v>
      </c>
      <c r="K30" s="4693" t="s">
        <v>5435</v>
      </c>
      <c r="L30" s="253"/>
      <c r="M30" s="656"/>
      <c r="N30" s="656"/>
      <c r="O30" s="656"/>
      <c r="P30" s="656"/>
      <c r="Q30" s="656"/>
      <c r="R30" s="656"/>
      <c r="S30" s="656"/>
      <c r="T30" s="656"/>
      <c r="U30" s="656"/>
      <c r="V30" s="656"/>
      <c r="W30" s="656"/>
      <c r="X30" s="656"/>
      <c r="Y30" s="656"/>
      <c r="Z30" s="656"/>
      <c r="AA30" s="1022"/>
    </row>
    <row r="31" spans="1:27">
      <c r="A31" s="253"/>
      <c r="B31" s="4734" t="s">
        <v>372</v>
      </c>
      <c r="C31" s="4676" t="s">
        <v>373</v>
      </c>
      <c r="D31" s="606"/>
      <c r="E31" s="607"/>
      <c r="F31" s="607"/>
      <c r="G31" s="607"/>
      <c r="H31" s="607"/>
      <c r="I31" s="4735">
        <f>ROUND(SUM(D31:G31),0)</f>
        <v>0</v>
      </c>
      <c r="J31" s="4735">
        <f>SUM(J12,I31)</f>
        <v>0</v>
      </c>
      <c r="K31" s="4693" t="s">
        <v>384</v>
      </c>
      <c r="L31" s="253"/>
      <c r="M31" s="656"/>
      <c r="N31" s="656"/>
      <c r="O31" s="656"/>
      <c r="P31" s="656"/>
      <c r="Q31" s="656"/>
      <c r="R31" s="656"/>
      <c r="S31" s="656"/>
      <c r="T31" s="656"/>
      <c r="U31" s="656"/>
      <c r="V31" s="656"/>
      <c r="W31" s="656"/>
      <c r="X31" s="656"/>
      <c r="Y31" s="656"/>
      <c r="Z31" s="656"/>
      <c r="AA31" s="1022"/>
    </row>
    <row r="32" spans="1:27">
      <c r="A32" s="253"/>
      <c r="B32" s="4734" t="s">
        <v>374</v>
      </c>
      <c r="C32" s="4676" t="s">
        <v>375</v>
      </c>
      <c r="D32" s="606"/>
      <c r="E32" s="607"/>
      <c r="F32" s="607"/>
      <c r="G32" s="607"/>
      <c r="H32" s="607"/>
      <c r="I32" s="4735">
        <f>ROUND(SUM(D32:G32),0)</f>
        <v>0</v>
      </c>
      <c r="J32" s="4735">
        <f>SUM(J13,I32)</f>
        <v>0</v>
      </c>
      <c r="K32" s="4693" t="s">
        <v>385</v>
      </c>
      <c r="L32" s="253"/>
      <c r="M32" s="656"/>
      <c r="N32" s="656"/>
      <c r="O32" s="656"/>
      <c r="P32" s="656"/>
      <c r="Q32" s="656"/>
      <c r="R32" s="656"/>
      <c r="S32" s="656"/>
      <c r="T32" s="656"/>
      <c r="U32" s="656"/>
      <c r="V32" s="656"/>
      <c r="W32" s="656"/>
      <c r="X32" s="656"/>
      <c r="Y32" s="656"/>
      <c r="Z32" s="656"/>
      <c r="AA32" s="1022"/>
    </row>
    <row r="33" spans="1:27">
      <c r="A33" s="253"/>
      <c r="B33" s="4737" t="s">
        <v>244</v>
      </c>
      <c r="C33" s="4679" t="s">
        <v>376</v>
      </c>
      <c r="D33" s="736"/>
      <c r="E33" s="737"/>
      <c r="F33" s="737"/>
      <c r="G33" s="737"/>
      <c r="H33" s="737"/>
      <c r="I33" s="737"/>
      <c r="J33" s="737"/>
      <c r="K33" s="4747" t="b">
        <f>AND(K13,D31="",E31="",F31="",G31="")</f>
        <v>0</v>
      </c>
      <c r="L33" s="253"/>
      <c r="M33" s="656"/>
      <c r="N33" s="656"/>
      <c r="O33" s="656"/>
      <c r="P33" s="656"/>
      <c r="Q33" s="656"/>
      <c r="R33" s="656"/>
      <c r="S33" s="656"/>
      <c r="T33" s="656"/>
      <c r="U33" s="656"/>
      <c r="V33" s="656"/>
      <c r="W33" s="656"/>
      <c r="X33" s="656"/>
      <c r="Y33" s="656"/>
      <c r="Z33" s="656"/>
      <c r="AA33" s="1022"/>
    </row>
    <row r="34" spans="1:27">
      <c r="A34" s="253"/>
      <c r="B34" s="4734" t="s">
        <v>377</v>
      </c>
      <c r="C34" s="4676" t="s">
        <v>378</v>
      </c>
      <c r="D34" s="606"/>
      <c r="E34" s="607"/>
      <c r="F34" s="607"/>
      <c r="G34" s="607"/>
      <c r="H34" s="607"/>
      <c r="I34" s="4735">
        <f>ROUND(SUM(D34:G34),0)</f>
        <v>0</v>
      </c>
      <c r="J34" s="4735">
        <f>SUM(J15,I34)</f>
        <v>0</v>
      </c>
      <c r="K34" s="4693" t="s">
        <v>385</v>
      </c>
      <c r="L34" s="253"/>
      <c r="M34" s="656"/>
      <c r="N34" s="656"/>
      <c r="O34" s="656"/>
      <c r="P34" s="656"/>
      <c r="Q34" s="656"/>
      <c r="R34" s="656"/>
      <c r="S34" s="656"/>
      <c r="T34" s="656"/>
      <c r="U34" s="656"/>
      <c r="V34" s="656"/>
      <c r="W34" s="656"/>
      <c r="X34" s="656"/>
      <c r="Y34" s="656"/>
      <c r="Z34" s="656"/>
      <c r="AA34" s="1022"/>
    </row>
    <row r="35" spans="1:27">
      <c r="A35" s="253"/>
      <c r="B35" s="4737" t="s">
        <v>379</v>
      </c>
      <c r="C35" s="4679" t="s">
        <v>309</v>
      </c>
      <c r="D35" s="595"/>
      <c r="E35" s="596"/>
      <c r="F35" s="596"/>
      <c r="G35" s="596"/>
      <c r="H35" s="596"/>
      <c r="I35" s="4735"/>
      <c r="J35" s="4735"/>
      <c r="K35" s="4747" t="b">
        <f>AND(K15,D33="",E33="",F33="",G33="")</f>
        <v>0</v>
      </c>
      <c r="L35" s="253"/>
      <c r="M35" s="656"/>
      <c r="N35" s="656"/>
      <c r="O35" s="656"/>
      <c r="P35" s="656"/>
      <c r="Q35" s="656"/>
      <c r="R35" s="656"/>
      <c r="S35" s="656"/>
      <c r="T35" s="656"/>
      <c r="U35" s="656"/>
      <c r="V35" s="656"/>
      <c r="W35" s="656"/>
      <c r="X35" s="656"/>
      <c r="Y35" s="656"/>
      <c r="Z35" s="656"/>
      <c r="AA35" s="1022"/>
    </row>
    <row r="36" spans="1:27">
      <c r="A36" s="253"/>
      <c r="B36" s="4737" t="s">
        <v>380</v>
      </c>
      <c r="C36" s="4679" t="s">
        <v>310</v>
      </c>
      <c r="D36" s="597"/>
      <c r="E36" s="598"/>
      <c r="F36" s="598"/>
      <c r="G36" s="598"/>
      <c r="H36" s="598"/>
      <c r="I36" s="4735"/>
      <c r="J36" s="4735"/>
      <c r="K36" s="4748"/>
      <c r="L36" s="253"/>
      <c r="M36" s="656"/>
      <c r="N36" s="656"/>
      <c r="O36" s="656"/>
      <c r="P36" s="656"/>
      <c r="Q36" s="656"/>
      <c r="R36" s="656"/>
      <c r="S36" s="656"/>
      <c r="T36" s="656"/>
      <c r="U36" s="656"/>
      <c r="V36" s="656"/>
      <c r="W36" s="656"/>
      <c r="X36" s="656"/>
      <c r="Y36" s="656"/>
      <c r="Z36" s="656"/>
      <c r="AA36" s="1022"/>
    </row>
    <row r="37" spans="1:27" ht="13.5" thickBot="1">
      <c r="A37" s="253"/>
      <c r="B37" s="4743">
        <v>11</v>
      </c>
      <c r="C37" s="4683" t="s">
        <v>381</v>
      </c>
      <c r="D37" s="616"/>
      <c r="E37" s="617"/>
      <c r="F37" s="617"/>
      <c r="G37" s="617"/>
      <c r="H37" s="617"/>
      <c r="I37" s="4744">
        <f>ROUND(SUM(D37:G37),0)</f>
        <v>0</v>
      </c>
      <c r="J37" s="4744">
        <f>SUM(J18,I37)</f>
        <v>0</v>
      </c>
      <c r="K37" s="4693" t="s">
        <v>386</v>
      </c>
      <c r="L37" s="253"/>
      <c r="M37" s="656"/>
      <c r="N37" s="656"/>
      <c r="O37" s="656"/>
      <c r="P37" s="656"/>
      <c r="Q37" s="656"/>
      <c r="R37" s="656"/>
      <c r="S37" s="656"/>
      <c r="T37" s="656"/>
      <c r="U37" s="656"/>
      <c r="V37" s="656"/>
      <c r="W37" s="656"/>
      <c r="X37" s="656"/>
      <c r="Y37" s="656"/>
      <c r="Z37" s="656"/>
      <c r="AA37" s="1022"/>
    </row>
    <row r="38" spans="1:27" ht="17.25" customHeight="1" thickBot="1">
      <c r="A38" s="88"/>
      <c r="B38" s="580" t="s">
        <v>312</v>
      </c>
      <c r="C38" s="88"/>
      <c r="D38" s="88"/>
      <c r="E38" s="88"/>
      <c r="F38" s="88"/>
      <c r="G38" s="88"/>
      <c r="H38" s="88"/>
      <c r="I38" s="88"/>
      <c r="J38" s="88"/>
      <c r="K38" s="88"/>
      <c r="L38" s="253"/>
      <c r="M38" s="656"/>
      <c r="N38" s="656"/>
      <c r="O38" s="656"/>
      <c r="P38" s="656"/>
      <c r="Q38" s="656"/>
      <c r="R38" s="656"/>
      <c r="S38" s="656"/>
      <c r="T38" s="656"/>
      <c r="U38" s="656"/>
      <c r="V38" s="656"/>
      <c r="W38" s="656"/>
      <c r="X38" s="656"/>
      <c r="Y38" s="656"/>
      <c r="Z38" s="656"/>
      <c r="AA38" s="1022"/>
    </row>
    <row r="39" spans="1:27" ht="13.5" thickTop="1">
      <c r="A39" s="4651"/>
      <c r="AA39"/>
    </row>
    <row r="40" spans="1:27">
      <c r="AA40"/>
    </row>
    <row r="41" spans="1:27" ht="13.5" thickBot="1">
      <c r="AA41"/>
    </row>
    <row r="42" spans="1:27">
      <c r="C42" s="4701"/>
      <c r="AA42"/>
    </row>
    <row r="43" spans="1:27">
      <c r="C43" s="4636" t="s">
        <v>42</v>
      </c>
    </row>
    <row r="44" spans="1:27" ht="13.5" thickBot="1">
      <c r="C44" s="4702"/>
    </row>
  </sheetData>
  <sheetProtection algorithmName="SHA-512" hashValue="mXMQ6Lfk6nxTv+iY6VAUPlovyz7il+7MgMO/VJZm9ZQwdUsyVJUThDmKkJBnEcyrHrovcir5x5fh8W2tehnXZA==" saltValue="KyJ5Lk/8XCg7IVxfonRYVQ==" spinCount="100000" sheet="1" formatCells="0" formatColumns="0" formatRows="0"/>
  <conditionalFormatting sqref="D21:H37">
    <cfRule type="expression" dxfId="3973" priority="19">
      <formula>IF(NoColor,1,0)</formula>
    </cfRule>
  </conditionalFormatting>
  <conditionalFormatting sqref="D2:I18">
    <cfRule type="expression" dxfId="3972" priority="11">
      <formula>IF(NoColor,1,0)</formula>
    </cfRule>
  </conditionalFormatting>
  <conditionalFormatting sqref="I21:J21">
    <cfRule type="expression" dxfId="3971" priority="14">
      <formula>IF(NoColor,1,0)</formula>
    </cfRule>
  </conditionalFormatting>
  <conditionalFormatting sqref="I22:J32">
    <cfRule type="expression" dxfId="3970" priority="3">
      <formula>NoColor</formula>
    </cfRule>
  </conditionalFormatting>
  <conditionalFormatting sqref="I33:J33">
    <cfRule type="expression" dxfId="3969" priority="10">
      <formula>IF(NoColor,1,0)</formula>
    </cfRule>
  </conditionalFormatting>
  <conditionalFormatting sqref="I34:J37">
    <cfRule type="expression" dxfId="3968" priority="13">
      <formula>NoColor</formula>
    </cfRule>
  </conditionalFormatting>
  <conditionalFormatting sqref="J2">
    <cfRule type="expression" dxfId="3967" priority="9">
      <formula>IF(NoColor,1,0)</formula>
    </cfRule>
  </conditionalFormatting>
  <conditionalFormatting sqref="J3:J13">
    <cfRule type="expression" dxfId="3966" priority="5">
      <formula>NoColor</formula>
    </cfRule>
  </conditionalFormatting>
  <conditionalFormatting sqref="J14">
    <cfRule type="expression" dxfId="3965" priority="6">
      <formula>IF(NoColor,1,0)</formula>
    </cfRule>
  </conditionalFormatting>
  <conditionalFormatting sqref="J15:J18">
    <cfRule type="expression" dxfId="3964" priority="8">
      <formula>NoColor</formula>
    </cfRule>
  </conditionalFormatting>
  <conditionalFormatting sqref="K7">
    <cfRule type="expression" dxfId="3963" priority="17">
      <formula>Needs_SALT</formula>
    </cfRule>
  </conditionalFormatting>
  <conditionalFormatting sqref="K17">
    <cfRule type="expression" dxfId="3962" priority="4066">
      <formula>AND(#REF!,OR(#REF!="""",#REF!=""""))</formula>
    </cfRule>
  </conditionalFormatting>
  <conditionalFormatting sqref="K18 K20">
    <cfRule type="expression" dxfId="3961" priority="2">
      <formula>"AND('Sch. 1 Line 8 WS'!AP2,'Sch. 1 Line 8 WS'!AI7="""")"</formula>
    </cfRule>
  </conditionalFormatting>
  <conditionalFormatting sqref="K26">
    <cfRule type="expression" dxfId="3960" priority="23">
      <formula>Needs_SALT</formula>
    </cfRule>
  </conditionalFormatting>
  <hyperlinks>
    <hyperlink ref="C43" location="'Table of Contents'!A1" display="Table of Contents" xr:uid="{00000000-0004-0000-0600-000000000000}"/>
  </hyperlinks>
  <pageMargins left="0.75" right="0.25" top="0.36" bottom="0.28999999999999998" header="0.36" footer="0.21"/>
  <pageSetup scale="58"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O72"/>
  <sheetViews>
    <sheetView zoomScaleNormal="100" workbookViewId="0"/>
  </sheetViews>
  <sheetFormatPr defaultRowHeight="12.75"/>
  <cols>
    <col min="1" max="1" width="3" customWidth="1"/>
    <col min="2" max="2" width="5.7109375" customWidth="1"/>
    <col min="15" max="15" width="3.28515625" customWidth="1"/>
  </cols>
  <sheetData>
    <row r="1" spans="1:15" ht="13.5" thickBot="1">
      <c r="A1" s="723"/>
      <c r="B1" s="723"/>
      <c r="C1" s="723"/>
      <c r="D1" s="723"/>
      <c r="E1" s="723"/>
      <c r="F1" s="723"/>
      <c r="G1" s="723"/>
      <c r="H1" s="723"/>
      <c r="I1" s="723"/>
      <c r="J1" s="723"/>
      <c r="K1" s="723"/>
      <c r="L1" s="723"/>
      <c r="M1" s="723"/>
      <c r="N1" s="723"/>
      <c r="O1" s="723"/>
    </row>
    <row r="2" spans="1:15" ht="13.5" thickTop="1">
      <c r="A2" s="723"/>
      <c r="B2" s="716"/>
      <c r="C2" s="257"/>
      <c r="D2" s="257"/>
      <c r="E2" s="257"/>
      <c r="F2" s="257"/>
      <c r="G2" s="257"/>
      <c r="H2" s="257"/>
      <c r="I2" s="257"/>
      <c r="J2" s="257"/>
      <c r="K2" s="257"/>
      <c r="L2" s="257"/>
      <c r="M2" s="257"/>
      <c r="N2" s="717"/>
      <c r="O2" s="723"/>
    </row>
    <row r="3" spans="1:15">
      <c r="A3" s="723"/>
      <c r="B3" s="718"/>
      <c r="C3" s="349" t="s">
        <v>387</v>
      </c>
      <c r="D3" s="253"/>
      <c r="E3" s="253"/>
      <c r="F3" s="253"/>
      <c r="G3" s="253"/>
      <c r="H3" s="253"/>
      <c r="I3" s="253"/>
      <c r="J3" s="253"/>
      <c r="K3" s="253"/>
      <c r="L3" s="253"/>
      <c r="M3" s="253"/>
      <c r="N3" s="719"/>
      <c r="O3" s="723"/>
    </row>
    <row r="4" spans="1:15">
      <c r="A4" s="723"/>
      <c r="B4" s="718"/>
      <c r="C4" s="253"/>
      <c r="D4" s="253"/>
      <c r="E4" s="253"/>
      <c r="F4" s="253"/>
      <c r="G4" s="253"/>
      <c r="H4" s="253"/>
      <c r="I4" s="253"/>
      <c r="J4" s="253"/>
      <c r="K4" s="253"/>
      <c r="L4" s="253"/>
      <c r="M4" s="253"/>
      <c r="N4" s="719"/>
      <c r="O4" s="723"/>
    </row>
    <row r="5" spans="1:15">
      <c r="A5" s="723"/>
      <c r="B5" s="718"/>
      <c r="C5" s="344" t="s">
        <v>388</v>
      </c>
      <c r="D5" s="253"/>
      <c r="E5" s="253"/>
      <c r="F5" s="253"/>
      <c r="G5" s="253"/>
      <c r="H5" s="253"/>
      <c r="I5" s="253"/>
      <c r="J5" s="253"/>
      <c r="K5" s="253"/>
      <c r="L5" s="253"/>
      <c r="M5" s="253"/>
      <c r="N5" s="719"/>
      <c r="O5" s="723"/>
    </row>
    <row r="6" spans="1:15">
      <c r="A6" s="723"/>
      <c r="B6" s="718"/>
      <c r="C6" s="253"/>
      <c r="D6" s="253"/>
      <c r="E6" s="253"/>
      <c r="F6" s="253"/>
      <c r="G6" s="253"/>
      <c r="H6" s="253"/>
      <c r="I6" s="253"/>
      <c r="J6" s="253"/>
      <c r="K6" s="253"/>
      <c r="L6" s="253"/>
      <c r="M6" s="253"/>
      <c r="N6" s="719"/>
      <c r="O6" s="723"/>
    </row>
    <row r="7" spans="1:15">
      <c r="A7" s="723"/>
      <c r="B7" s="718"/>
      <c r="C7" s="349" t="s">
        <v>389</v>
      </c>
      <c r="D7" s="724" t="s">
        <v>5083</v>
      </c>
      <c r="E7" s="253"/>
      <c r="F7" s="253"/>
      <c r="G7" s="253"/>
      <c r="H7" s="253"/>
      <c r="I7" s="253"/>
      <c r="J7" s="253"/>
      <c r="K7" s="253"/>
      <c r="L7" s="253"/>
      <c r="M7" s="253"/>
      <c r="N7" s="719"/>
      <c r="O7" s="723"/>
    </row>
    <row r="8" spans="1:15">
      <c r="A8" s="723"/>
      <c r="B8" s="718"/>
      <c r="C8" s="253"/>
      <c r="D8" s="344"/>
      <c r="E8" s="253"/>
      <c r="F8" s="253"/>
      <c r="G8" s="253"/>
      <c r="H8" s="253"/>
      <c r="I8" s="253"/>
      <c r="J8" s="253"/>
      <c r="K8" s="253"/>
      <c r="L8" s="253"/>
      <c r="M8" s="253"/>
      <c r="N8" s="719"/>
      <c r="O8" s="723"/>
    </row>
    <row r="9" spans="1:15">
      <c r="A9" s="723"/>
      <c r="B9" s="718"/>
      <c r="C9" s="349" t="s">
        <v>5084</v>
      </c>
      <c r="D9" s="253"/>
      <c r="E9" s="253"/>
      <c r="F9" s="253"/>
      <c r="G9" s="253"/>
      <c r="H9" s="253"/>
      <c r="I9" s="253"/>
      <c r="J9" s="253"/>
      <c r="K9" s="253"/>
      <c r="L9" s="253"/>
      <c r="M9" s="253"/>
      <c r="N9" s="719"/>
      <c r="O9" s="723"/>
    </row>
    <row r="10" spans="1:15">
      <c r="A10" s="723"/>
      <c r="B10" s="718"/>
      <c r="C10" s="725" t="s">
        <v>390</v>
      </c>
      <c r="D10" s="253"/>
      <c r="E10" s="253"/>
      <c r="F10" s="253"/>
      <c r="G10" s="253"/>
      <c r="H10" s="725" t="s">
        <v>5477</v>
      </c>
      <c r="I10" s="253"/>
      <c r="J10" s="253"/>
      <c r="K10" s="253"/>
      <c r="L10" s="253"/>
      <c r="M10" s="253"/>
      <c r="N10" s="719"/>
      <c r="O10" s="723"/>
    </row>
    <row r="11" spans="1:15">
      <c r="A11" s="723"/>
      <c r="B11" s="718"/>
      <c r="C11" s="253"/>
      <c r="D11" s="253"/>
      <c r="E11" s="253"/>
      <c r="F11" s="253"/>
      <c r="G11" s="253"/>
      <c r="H11" s="253"/>
      <c r="I11" s="253"/>
      <c r="J11" s="253"/>
      <c r="K11" s="253"/>
      <c r="L11" s="253"/>
      <c r="M11" s="253"/>
      <c r="N11" s="719"/>
      <c r="O11" s="723"/>
    </row>
    <row r="12" spans="1:15">
      <c r="A12" s="723"/>
      <c r="B12" s="718"/>
      <c r="C12" s="253"/>
      <c r="D12" s="253"/>
      <c r="E12" s="253"/>
      <c r="F12" s="253"/>
      <c r="G12" s="253"/>
      <c r="H12" s="253"/>
      <c r="I12" s="253"/>
      <c r="J12" s="253"/>
      <c r="K12" s="253"/>
      <c r="L12" s="253"/>
      <c r="M12" s="253"/>
      <c r="N12" s="719"/>
      <c r="O12" s="723"/>
    </row>
    <row r="13" spans="1:15">
      <c r="A13" s="723"/>
      <c r="B13" s="718"/>
      <c r="C13" s="253"/>
      <c r="D13" s="253"/>
      <c r="E13" s="253"/>
      <c r="F13" s="253"/>
      <c r="G13" s="253"/>
      <c r="H13" s="253"/>
      <c r="I13" s="253"/>
      <c r="J13" s="253"/>
      <c r="K13" s="253"/>
      <c r="L13" s="253"/>
      <c r="M13" s="253"/>
      <c r="N13" s="719"/>
      <c r="O13" s="723"/>
    </row>
    <row r="14" spans="1:15">
      <c r="A14" s="723"/>
      <c r="B14" s="718"/>
      <c r="C14" s="253"/>
      <c r="D14" s="253"/>
      <c r="E14" s="253"/>
      <c r="F14" s="253"/>
      <c r="G14" s="253"/>
      <c r="H14" s="253"/>
      <c r="I14" s="253"/>
      <c r="J14" s="253"/>
      <c r="K14" s="253"/>
      <c r="L14" s="253"/>
      <c r="M14" s="253"/>
      <c r="N14" s="719"/>
      <c r="O14" s="723"/>
    </row>
    <row r="15" spans="1:15">
      <c r="A15" s="723"/>
      <c r="B15" s="718"/>
      <c r="C15" s="253"/>
      <c r="D15" s="253"/>
      <c r="E15" s="253"/>
      <c r="F15" s="253"/>
      <c r="G15" s="253"/>
      <c r="H15" s="253"/>
      <c r="I15" s="253"/>
      <c r="J15" s="253"/>
      <c r="K15" s="253"/>
      <c r="L15" s="253"/>
      <c r="M15" s="253"/>
      <c r="N15" s="719"/>
      <c r="O15" s="723"/>
    </row>
    <row r="16" spans="1:15">
      <c r="A16" s="723"/>
      <c r="B16" s="718"/>
      <c r="C16" s="253"/>
      <c r="D16" s="253"/>
      <c r="E16" s="253"/>
      <c r="F16" s="253"/>
      <c r="G16" s="253"/>
      <c r="H16" s="253"/>
      <c r="I16" s="253"/>
      <c r="J16" s="253"/>
      <c r="K16" s="253"/>
      <c r="L16" s="253"/>
      <c r="M16" s="253"/>
      <c r="N16" s="719"/>
      <c r="O16" s="723"/>
    </row>
    <row r="17" spans="1:15">
      <c r="A17" s="723"/>
      <c r="B17" s="718"/>
      <c r="C17" s="253"/>
      <c r="D17" s="253"/>
      <c r="E17" s="253"/>
      <c r="F17" s="253"/>
      <c r="G17" s="253"/>
      <c r="H17" s="253"/>
      <c r="I17" s="253"/>
      <c r="J17" s="253"/>
      <c r="K17" s="253"/>
      <c r="L17" s="253"/>
      <c r="M17" s="253"/>
      <c r="N17" s="719"/>
      <c r="O17" s="723"/>
    </row>
    <row r="18" spans="1:15">
      <c r="A18" s="723"/>
      <c r="B18" s="718"/>
      <c r="C18" s="253"/>
      <c r="D18" s="253"/>
      <c r="E18" s="253"/>
      <c r="F18" s="253"/>
      <c r="G18" s="253"/>
      <c r="H18" s="253"/>
      <c r="I18" s="253"/>
      <c r="J18" s="253"/>
      <c r="K18" s="253"/>
      <c r="L18" s="253"/>
      <c r="M18" s="253"/>
      <c r="N18" s="719"/>
      <c r="O18" s="723"/>
    </row>
    <row r="19" spans="1:15">
      <c r="A19" s="723"/>
      <c r="B19" s="718"/>
      <c r="C19" s="253"/>
      <c r="D19" s="253"/>
      <c r="E19" s="253"/>
      <c r="F19" s="253"/>
      <c r="G19" s="253"/>
      <c r="H19" s="253"/>
      <c r="I19" s="253"/>
      <c r="J19" s="253"/>
      <c r="K19" s="253"/>
      <c r="L19" s="253"/>
      <c r="M19" s="253"/>
      <c r="N19" s="719"/>
      <c r="O19" s="723"/>
    </row>
    <row r="20" spans="1:15">
      <c r="A20" s="723"/>
      <c r="B20" s="718"/>
      <c r="C20" s="253"/>
      <c r="D20" s="253"/>
      <c r="E20" s="253"/>
      <c r="F20" s="253"/>
      <c r="G20" s="253"/>
      <c r="H20" s="253"/>
      <c r="I20" s="253"/>
      <c r="J20" s="253"/>
      <c r="K20" s="253"/>
      <c r="L20" s="253"/>
      <c r="M20" s="253"/>
      <c r="N20" s="719"/>
      <c r="O20" s="723"/>
    </row>
    <row r="21" spans="1:15">
      <c r="A21" s="723"/>
      <c r="B21" s="718"/>
      <c r="C21" s="253"/>
      <c r="D21" s="253"/>
      <c r="E21" s="253"/>
      <c r="F21" s="253"/>
      <c r="G21" s="253"/>
      <c r="H21" s="253"/>
      <c r="I21" s="253"/>
      <c r="J21" s="253"/>
      <c r="K21" s="253"/>
      <c r="L21" s="253"/>
      <c r="M21" s="253"/>
      <c r="N21" s="719"/>
      <c r="O21" s="723"/>
    </row>
    <row r="22" spans="1:15">
      <c r="A22" s="723"/>
      <c r="B22" s="718"/>
      <c r="C22" s="253"/>
      <c r="D22" s="253"/>
      <c r="E22" s="253"/>
      <c r="F22" s="253"/>
      <c r="G22" s="253"/>
      <c r="H22" s="253"/>
      <c r="I22" s="253"/>
      <c r="J22" s="253"/>
      <c r="K22" s="253"/>
      <c r="L22" s="253"/>
      <c r="M22" s="253"/>
      <c r="N22" s="719"/>
      <c r="O22" s="723"/>
    </row>
    <row r="23" spans="1:15">
      <c r="A23" s="723"/>
      <c r="B23" s="718"/>
      <c r="C23" s="253"/>
      <c r="D23" s="253"/>
      <c r="E23" s="253"/>
      <c r="F23" s="253"/>
      <c r="G23" s="253"/>
      <c r="H23" s="253"/>
      <c r="I23" s="253"/>
      <c r="J23" s="253"/>
      <c r="K23" s="253"/>
      <c r="L23" s="253"/>
      <c r="M23" s="253"/>
      <c r="N23" s="719"/>
      <c r="O23" s="723"/>
    </row>
    <row r="24" spans="1:15">
      <c r="A24" s="723"/>
      <c r="B24" s="718"/>
      <c r="C24" s="253"/>
      <c r="D24" s="253"/>
      <c r="E24" s="253"/>
      <c r="F24" s="253"/>
      <c r="G24" s="253"/>
      <c r="H24" s="253"/>
      <c r="I24" s="253"/>
      <c r="J24" s="253"/>
      <c r="K24" s="253"/>
      <c r="L24" s="253"/>
      <c r="M24" s="253"/>
      <c r="N24" s="719"/>
      <c r="O24" s="723"/>
    </row>
    <row r="25" spans="1:15">
      <c r="A25" s="723"/>
      <c r="B25" s="718"/>
      <c r="C25" s="253"/>
      <c r="D25" s="253"/>
      <c r="E25" s="253"/>
      <c r="F25" s="253"/>
      <c r="G25" s="253"/>
      <c r="H25" s="253"/>
      <c r="I25" s="253"/>
      <c r="J25" s="253"/>
      <c r="K25" s="253"/>
      <c r="L25" s="253"/>
      <c r="M25" s="253"/>
      <c r="N25" s="719"/>
      <c r="O25" s="723"/>
    </row>
    <row r="26" spans="1:15">
      <c r="A26" s="723"/>
      <c r="B26" s="718"/>
      <c r="C26" s="253"/>
      <c r="D26" s="253"/>
      <c r="E26" s="253"/>
      <c r="F26" s="253"/>
      <c r="G26" s="253"/>
      <c r="H26" s="253"/>
      <c r="I26" s="253"/>
      <c r="J26" s="253"/>
      <c r="K26" s="253"/>
      <c r="L26" s="253"/>
      <c r="M26" s="253"/>
      <c r="N26" s="719"/>
      <c r="O26" s="723"/>
    </row>
    <row r="27" spans="1:15">
      <c r="A27" s="723"/>
      <c r="B27" s="718"/>
      <c r="C27" s="253"/>
      <c r="D27" s="253"/>
      <c r="E27" s="253"/>
      <c r="F27" s="253"/>
      <c r="G27" s="253"/>
      <c r="H27" s="253"/>
      <c r="I27" s="253"/>
      <c r="J27" s="253"/>
      <c r="K27" s="253"/>
      <c r="L27" s="253"/>
      <c r="M27" s="253"/>
      <c r="N27" s="719"/>
      <c r="O27" s="723"/>
    </row>
    <row r="28" spans="1:15">
      <c r="A28" s="723"/>
      <c r="B28" s="718"/>
      <c r="C28" s="253"/>
      <c r="D28" s="253"/>
      <c r="E28" s="253"/>
      <c r="F28" s="253"/>
      <c r="G28" s="253"/>
      <c r="H28" s="253"/>
      <c r="I28" s="253"/>
      <c r="J28" s="253"/>
      <c r="K28" s="253"/>
      <c r="L28" s="253"/>
      <c r="M28" s="253"/>
      <c r="N28" s="719"/>
      <c r="O28" s="723"/>
    </row>
    <row r="29" spans="1:15">
      <c r="A29" s="723"/>
      <c r="B29" s="718"/>
      <c r="C29" s="253"/>
      <c r="D29" s="253"/>
      <c r="E29" s="253"/>
      <c r="F29" s="253"/>
      <c r="G29" s="253"/>
      <c r="H29" s="253"/>
      <c r="I29" s="253"/>
      <c r="J29" s="253"/>
      <c r="K29" s="253"/>
      <c r="L29" s="253"/>
      <c r="M29" s="253"/>
      <c r="N29" s="719"/>
      <c r="O29" s="723"/>
    </row>
    <row r="30" spans="1:15">
      <c r="A30" s="723"/>
      <c r="B30" s="718"/>
      <c r="C30" s="253"/>
      <c r="D30" s="253"/>
      <c r="E30" s="253"/>
      <c r="F30" s="253"/>
      <c r="G30" s="253"/>
      <c r="H30" s="253"/>
      <c r="I30" s="253"/>
      <c r="J30" s="253"/>
      <c r="K30" s="253"/>
      <c r="L30" s="253"/>
      <c r="M30" s="253"/>
      <c r="N30" s="719"/>
      <c r="O30" s="723"/>
    </row>
    <row r="31" spans="1:15">
      <c r="A31" s="723"/>
      <c r="B31" s="718"/>
      <c r="C31" s="253"/>
      <c r="D31" s="253"/>
      <c r="E31" s="253"/>
      <c r="F31" s="253"/>
      <c r="G31" s="253"/>
      <c r="H31" s="253"/>
      <c r="I31" s="253"/>
      <c r="J31" s="253"/>
      <c r="K31" s="253"/>
      <c r="L31" s="253"/>
      <c r="M31" s="253"/>
      <c r="N31" s="719"/>
      <c r="O31" s="723"/>
    </row>
    <row r="32" spans="1:15">
      <c r="A32" s="723"/>
      <c r="B32" s="718"/>
      <c r="C32" s="253"/>
      <c r="D32" s="253"/>
      <c r="E32" s="253"/>
      <c r="F32" s="253"/>
      <c r="G32" s="253"/>
      <c r="H32" s="253"/>
      <c r="I32" s="253"/>
      <c r="J32" s="253"/>
      <c r="K32" s="253"/>
      <c r="L32" s="253"/>
      <c r="M32" s="253"/>
      <c r="N32" s="719"/>
      <c r="O32" s="723"/>
    </row>
    <row r="33" spans="1:15">
      <c r="A33" s="723"/>
      <c r="B33" s="718"/>
      <c r="C33" s="253"/>
      <c r="D33" s="253"/>
      <c r="E33" s="253"/>
      <c r="F33" s="253"/>
      <c r="G33" s="253"/>
      <c r="H33" s="253"/>
      <c r="I33" s="253"/>
      <c r="J33" s="253"/>
      <c r="K33" s="253"/>
      <c r="L33" s="253"/>
      <c r="M33" s="253"/>
      <c r="N33" s="719"/>
      <c r="O33" s="723"/>
    </row>
    <row r="34" spans="1:15">
      <c r="A34" s="723"/>
      <c r="B34" s="718"/>
      <c r="C34" s="253"/>
      <c r="D34" s="253"/>
      <c r="E34" s="253"/>
      <c r="F34" s="253"/>
      <c r="G34" s="253"/>
      <c r="H34" s="253"/>
      <c r="I34" s="253"/>
      <c r="J34" s="253"/>
      <c r="K34" s="253"/>
      <c r="L34" s="253"/>
      <c r="M34" s="253"/>
      <c r="N34" s="719"/>
      <c r="O34" s="723"/>
    </row>
    <row r="35" spans="1:15">
      <c r="A35" s="723"/>
      <c r="B35" s="718"/>
      <c r="C35" s="253"/>
      <c r="D35" s="253"/>
      <c r="E35" s="253"/>
      <c r="F35" s="253"/>
      <c r="G35" s="253"/>
      <c r="H35" s="253"/>
      <c r="I35" s="253"/>
      <c r="J35" s="253"/>
      <c r="K35" s="253"/>
      <c r="L35" s="253"/>
      <c r="M35" s="253"/>
      <c r="N35" s="719"/>
      <c r="O35" s="723"/>
    </row>
    <row r="36" spans="1:15">
      <c r="A36" s="723"/>
      <c r="B36" s="718"/>
      <c r="C36" s="253"/>
      <c r="D36" s="253"/>
      <c r="E36" s="253"/>
      <c r="F36" s="253"/>
      <c r="G36" s="253"/>
      <c r="H36" s="253"/>
      <c r="I36" s="253"/>
      <c r="J36" s="253"/>
      <c r="K36" s="253"/>
      <c r="L36" s="253"/>
      <c r="M36" s="253"/>
      <c r="N36" s="719"/>
      <c r="O36" s="723"/>
    </row>
    <row r="37" spans="1:15">
      <c r="A37" s="723"/>
      <c r="B37" s="718"/>
      <c r="C37" s="253"/>
      <c r="D37" s="253"/>
      <c r="E37" s="253"/>
      <c r="F37" s="253"/>
      <c r="G37" s="253"/>
      <c r="H37" s="253"/>
      <c r="I37" s="253"/>
      <c r="J37" s="253"/>
      <c r="K37" s="253"/>
      <c r="L37" s="253"/>
      <c r="M37" s="253"/>
      <c r="N37" s="719"/>
      <c r="O37" s="723"/>
    </row>
    <row r="38" spans="1:15">
      <c r="A38" s="723"/>
      <c r="B38" s="718"/>
      <c r="C38" s="253"/>
      <c r="D38" s="253"/>
      <c r="E38" s="253"/>
      <c r="F38" s="253"/>
      <c r="G38" s="253"/>
      <c r="H38" s="253"/>
      <c r="I38" s="253"/>
      <c r="J38" s="253"/>
      <c r="K38" s="253"/>
      <c r="L38" s="253"/>
      <c r="M38" s="253"/>
      <c r="N38" s="719"/>
      <c r="O38" s="723"/>
    </row>
    <row r="39" spans="1:15">
      <c r="A39" s="723"/>
      <c r="B39" s="718"/>
      <c r="C39" s="253"/>
      <c r="D39" s="253"/>
      <c r="E39" s="253"/>
      <c r="F39" s="253"/>
      <c r="G39" s="253"/>
      <c r="H39" s="253"/>
      <c r="I39" s="253"/>
      <c r="J39" s="253"/>
      <c r="K39" s="253"/>
      <c r="L39" s="253"/>
      <c r="M39" s="253"/>
      <c r="N39" s="719"/>
      <c r="O39" s="723"/>
    </row>
    <row r="40" spans="1:15" ht="13.5" thickBot="1">
      <c r="A40" s="723"/>
      <c r="B40" s="720"/>
      <c r="C40" s="721"/>
      <c r="D40" s="721"/>
      <c r="E40" s="721"/>
      <c r="F40" s="721"/>
      <c r="G40" s="721"/>
      <c r="H40" s="721"/>
      <c r="I40" s="721"/>
      <c r="J40" s="721"/>
      <c r="K40" s="721"/>
      <c r="L40" s="721"/>
      <c r="M40" s="721"/>
      <c r="N40" s="722"/>
      <c r="O40" s="723"/>
    </row>
    <row r="41" spans="1:15" ht="21.75" customHeight="1" thickTop="1">
      <c r="A41" s="723"/>
      <c r="B41" s="723"/>
      <c r="C41" s="723"/>
      <c r="D41" s="723"/>
      <c r="E41" s="723"/>
      <c r="F41" s="723"/>
      <c r="G41" s="723"/>
      <c r="H41" s="723"/>
      <c r="I41" s="723"/>
      <c r="J41" s="723"/>
      <c r="K41" s="723"/>
      <c r="L41" s="723"/>
      <c r="M41" s="723"/>
      <c r="N41" s="723"/>
      <c r="O41" s="723"/>
    </row>
    <row r="42" spans="1:15">
      <c r="A42" s="723"/>
      <c r="B42" s="723"/>
      <c r="C42" s="723"/>
      <c r="D42" s="723"/>
      <c r="E42" s="723"/>
      <c r="F42" s="723"/>
      <c r="G42" s="723"/>
      <c r="H42" s="723"/>
      <c r="I42" s="723"/>
      <c r="J42" s="723"/>
      <c r="K42" s="723"/>
      <c r="L42" s="723"/>
      <c r="M42" s="723"/>
      <c r="N42" s="723"/>
      <c r="O42" s="723"/>
    </row>
    <row r="43" spans="1:15">
      <c r="A43" s="723"/>
      <c r="B43" s="723"/>
      <c r="C43" s="723"/>
      <c r="D43" s="723"/>
      <c r="E43" s="723"/>
      <c r="F43" s="723"/>
      <c r="G43" s="723"/>
      <c r="H43" s="723"/>
      <c r="I43" s="723"/>
      <c r="J43" s="723"/>
      <c r="K43" s="723"/>
      <c r="L43" s="723"/>
      <c r="M43" s="723"/>
      <c r="N43" s="723"/>
      <c r="O43" s="723"/>
    </row>
    <row r="44" spans="1:15">
      <c r="A44" s="723"/>
      <c r="B44" s="723"/>
      <c r="C44" s="723"/>
      <c r="D44" s="723"/>
      <c r="E44" s="723"/>
      <c r="F44" s="723"/>
      <c r="G44" s="723"/>
      <c r="H44" s="723"/>
      <c r="I44" s="723"/>
      <c r="J44" s="723"/>
      <c r="K44" s="723"/>
      <c r="L44" s="723"/>
      <c r="M44" s="723"/>
      <c r="N44" s="723"/>
      <c r="O44" s="723"/>
    </row>
    <row r="45" spans="1:15">
      <c r="A45" s="723"/>
      <c r="B45" s="723"/>
      <c r="C45" s="723"/>
      <c r="D45" s="723"/>
      <c r="E45" s="723"/>
      <c r="F45" s="723"/>
      <c r="G45" s="723"/>
      <c r="H45" s="723"/>
      <c r="I45" s="723"/>
      <c r="J45" s="723"/>
      <c r="K45" s="723"/>
      <c r="L45" s="723"/>
      <c r="M45" s="723"/>
      <c r="N45" s="723"/>
      <c r="O45" s="723"/>
    </row>
    <row r="46" spans="1:15">
      <c r="A46" s="723"/>
      <c r="B46" s="723"/>
      <c r="C46" s="723"/>
      <c r="D46" s="723"/>
      <c r="E46" s="723"/>
      <c r="F46" s="723"/>
      <c r="G46" s="723"/>
      <c r="H46" s="723"/>
      <c r="I46" s="723"/>
      <c r="J46" s="723"/>
      <c r="K46" s="723"/>
      <c r="L46" s="723"/>
      <c r="M46" s="723"/>
      <c r="N46" s="723"/>
      <c r="O46" s="723"/>
    </row>
    <row r="47" spans="1:15">
      <c r="A47" s="723"/>
      <c r="B47" s="723"/>
      <c r="C47" s="723"/>
      <c r="D47" s="723"/>
      <c r="E47" s="723"/>
      <c r="F47" s="723"/>
      <c r="G47" s="723"/>
      <c r="H47" s="723"/>
      <c r="I47" s="723"/>
      <c r="J47" s="723"/>
      <c r="K47" s="723"/>
      <c r="L47" s="723"/>
      <c r="M47" s="723"/>
      <c r="N47" s="723"/>
      <c r="O47" s="723"/>
    </row>
    <row r="48" spans="1:15">
      <c r="A48" s="723"/>
      <c r="B48" s="723"/>
      <c r="C48" s="723"/>
      <c r="D48" s="723"/>
      <c r="E48" s="723"/>
      <c r="F48" s="723"/>
      <c r="G48" s="723"/>
      <c r="H48" s="723"/>
      <c r="I48" s="723"/>
      <c r="J48" s="723"/>
      <c r="K48" s="723"/>
      <c r="L48" s="723"/>
      <c r="M48" s="723"/>
      <c r="N48" s="723"/>
      <c r="O48" s="723"/>
    </row>
    <row r="49" spans="1:15">
      <c r="A49" s="723"/>
      <c r="B49" s="723"/>
      <c r="C49" s="723"/>
      <c r="D49" s="723"/>
      <c r="E49" s="723"/>
      <c r="F49" s="723"/>
      <c r="G49" s="723"/>
      <c r="H49" s="723"/>
      <c r="I49" s="723"/>
      <c r="J49" s="723"/>
      <c r="K49" s="723"/>
      <c r="L49" s="723"/>
      <c r="M49" s="723"/>
      <c r="N49" s="723"/>
      <c r="O49" s="723"/>
    </row>
    <row r="50" spans="1:15">
      <c r="A50" s="723"/>
      <c r="B50" s="723"/>
      <c r="C50" s="723"/>
      <c r="D50" s="723"/>
      <c r="E50" s="723"/>
      <c r="F50" s="723"/>
      <c r="G50" s="723"/>
      <c r="H50" s="723"/>
      <c r="I50" s="723"/>
      <c r="J50" s="723"/>
      <c r="K50" s="723"/>
      <c r="L50" s="723"/>
      <c r="M50" s="723"/>
      <c r="N50" s="723"/>
      <c r="O50" s="723"/>
    </row>
    <row r="51" spans="1:15">
      <c r="A51" s="723"/>
      <c r="B51" s="723"/>
      <c r="C51" s="723"/>
      <c r="D51" s="723"/>
      <c r="E51" s="723"/>
      <c r="F51" s="723"/>
      <c r="G51" s="723"/>
      <c r="H51" s="723"/>
      <c r="I51" s="723"/>
      <c r="J51" s="723"/>
      <c r="K51" s="723"/>
      <c r="L51" s="723"/>
      <c r="M51" s="723"/>
      <c r="N51" s="723"/>
      <c r="O51" s="723"/>
    </row>
    <row r="52" spans="1:15">
      <c r="A52" s="723"/>
      <c r="B52" s="723"/>
      <c r="C52" s="723"/>
      <c r="D52" s="723"/>
      <c r="E52" s="723"/>
      <c r="F52" s="723"/>
      <c r="G52" s="723"/>
      <c r="H52" s="723"/>
      <c r="I52" s="723"/>
      <c r="J52" s="723"/>
      <c r="K52" s="723"/>
      <c r="L52" s="723"/>
      <c r="M52" s="723"/>
      <c r="N52" s="723"/>
      <c r="O52" s="723"/>
    </row>
    <row r="53" spans="1:15">
      <c r="A53" s="723"/>
      <c r="B53" s="723"/>
      <c r="C53" s="723"/>
      <c r="D53" s="723"/>
      <c r="E53" s="723"/>
      <c r="F53" s="723"/>
      <c r="G53" s="723"/>
      <c r="H53" s="723"/>
      <c r="I53" s="723"/>
      <c r="J53" s="723"/>
      <c r="K53" s="723"/>
      <c r="L53" s="723"/>
      <c r="M53" s="723"/>
      <c r="N53" s="723"/>
      <c r="O53" s="723"/>
    </row>
    <row r="54" spans="1:15">
      <c r="A54" s="723"/>
      <c r="B54" s="723"/>
      <c r="C54" s="723"/>
      <c r="D54" s="723"/>
      <c r="E54" s="723"/>
      <c r="F54" s="723"/>
      <c r="G54" s="723"/>
      <c r="H54" s="723"/>
      <c r="I54" s="723"/>
      <c r="J54" s="723"/>
      <c r="K54" s="723"/>
      <c r="L54" s="723"/>
      <c r="M54" s="723"/>
      <c r="N54" s="723"/>
      <c r="O54" s="723"/>
    </row>
    <row r="55" spans="1:15">
      <c r="A55" s="723"/>
      <c r="B55" s="723"/>
      <c r="C55" s="723"/>
      <c r="D55" s="723"/>
      <c r="E55" s="723"/>
      <c r="F55" s="723"/>
      <c r="G55" s="723"/>
      <c r="H55" s="723"/>
      <c r="I55" s="723"/>
      <c r="J55" s="723"/>
      <c r="K55" s="723"/>
      <c r="L55" s="723"/>
      <c r="M55" s="723"/>
      <c r="N55" s="723"/>
      <c r="O55" s="723"/>
    </row>
    <row r="56" spans="1:15">
      <c r="A56" s="723"/>
      <c r="B56" s="723"/>
      <c r="C56" s="723"/>
      <c r="D56" s="723"/>
      <c r="E56" s="723"/>
      <c r="F56" s="723"/>
      <c r="G56" s="723"/>
      <c r="H56" s="723"/>
      <c r="I56" s="723"/>
      <c r="J56" s="723"/>
      <c r="K56" s="723"/>
      <c r="L56" s="723"/>
      <c r="M56" s="723"/>
      <c r="N56" s="723"/>
      <c r="O56" s="723"/>
    </row>
    <row r="57" spans="1:15">
      <c r="A57" s="723"/>
      <c r="B57" s="723"/>
      <c r="C57" s="723"/>
      <c r="D57" s="723"/>
      <c r="E57" s="723"/>
      <c r="F57" s="723"/>
      <c r="G57" s="723"/>
      <c r="H57" s="723"/>
      <c r="I57" s="723"/>
      <c r="J57" s="723"/>
      <c r="K57" s="723"/>
      <c r="L57" s="723"/>
      <c r="M57" s="723"/>
      <c r="N57" s="723"/>
      <c r="O57" s="723"/>
    </row>
    <row r="58" spans="1:15">
      <c r="A58" s="723"/>
      <c r="B58" s="723"/>
      <c r="C58" s="723"/>
      <c r="D58" s="723"/>
      <c r="E58" s="723"/>
      <c r="F58" s="723"/>
      <c r="G58" s="723"/>
      <c r="H58" s="723"/>
      <c r="I58" s="723"/>
      <c r="J58" s="723"/>
      <c r="K58" s="723"/>
      <c r="L58" s="723"/>
      <c r="M58" s="723"/>
      <c r="N58" s="723"/>
      <c r="O58" s="723"/>
    </row>
    <row r="59" spans="1:15">
      <c r="A59" s="723"/>
      <c r="B59" s="723"/>
      <c r="C59" s="723"/>
      <c r="D59" s="723"/>
      <c r="E59" s="723"/>
      <c r="F59" s="723"/>
      <c r="G59" s="723"/>
      <c r="H59" s="723"/>
      <c r="I59" s="723"/>
      <c r="J59" s="723"/>
      <c r="K59" s="723"/>
      <c r="L59" s="723"/>
      <c r="M59" s="723"/>
      <c r="N59" s="723"/>
      <c r="O59" s="723"/>
    </row>
    <row r="60" spans="1:15">
      <c r="A60" s="723"/>
      <c r="B60" s="723"/>
      <c r="C60" s="723"/>
      <c r="D60" s="723"/>
      <c r="E60" s="723"/>
      <c r="F60" s="723"/>
      <c r="G60" s="723"/>
      <c r="H60" s="723"/>
      <c r="I60" s="723"/>
      <c r="J60" s="723"/>
      <c r="K60" s="723"/>
      <c r="L60" s="723"/>
      <c r="M60" s="723"/>
      <c r="N60" s="723"/>
      <c r="O60" s="723"/>
    </row>
    <row r="61" spans="1:15">
      <c r="A61" s="723"/>
      <c r="B61" s="723"/>
      <c r="C61" s="723"/>
      <c r="D61" s="723"/>
      <c r="E61" s="723"/>
      <c r="F61" s="723"/>
      <c r="G61" s="723"/>
      <c r="H61" s="723"/>
      <c r="I61" s="723"/>
      <c r="J61" s="723"/>
      <c r="K61" s="723"/>
      <c r="L61" s="723"/>
      <c r="M61" s="723"/>
      <c r="N61" s="723"/>
      <c r="O61" s="723"/>
    </row>
    <row r="62" spans="1:15">
      <c r="A62" s="723"/>
      <c r="B62" s="723"/>
      <c r="C62" s="723"/>
      <c r="D62" s="723"/>
      <c r="E62" s="723"/>
      <c r="F62" s="723"/>
      <c r="G62" s="723"/>
      <c r="H62" s="723"/>
      <c r="I62" s="723"/>
      <c r="J62" s="723"/>
      <c r="K62" s="723"/>
      <c r="L62" s="723"/>
      <c r="M62" s="723"/>
      <c r="N62" s="723"/>
      <c r="O62" s="723"/>
    </row>
    <row r="63" spans="1:15">
      <c r="A63" s="723"/>
      <c r="B63" s="723"/>
      <c r="C63" s="723"/>
      <c r="D63" s="723"/>
      <c r="E63" s="723"/>
      <c r="F63" s="723"/>
      <c r="G63" s="723"/>
      <c r="H63" s="723"/>
      <c r="I63" s="723"/>
      <c r="J63" s="723"/>
      <c r="K63" s="723"/>
      <c r="L63" s="723"/>
      <c r="M63" s="723"/>
      <c r="N63" s="723"/>
      <c r="O63" s="723"/>
    </row>
    <row r="64" spans="1:15">
      <c r="A64" s="723"/>
      <c r="B64" s="723"/>
      <c r="C64" s="723"/>
      <c r="D64" s="723"/>
      <c r="E64" s="723"/>
      <c r="F64" s="723"/>
      <c r="G64" s="723"/>
      <c r="H64" s="723"/>
      <c r="I64" s="723"/>
      <c r="J64" s="723"/>
      <c r="K64" s="723"/>
      <c r="L64" s="723"/>
      <c r="M64" s="723"/>
      <c r="N64" s="723"/>
      <c r="O64" s="723"/>
    </row>
    <row r="65" spans="1:15">
      <c r="A65" s="723"/>
      <c r="B65" s="723"/>
      <c r="C65" s="723"/>
      <c r="D65" s="723"/>
      <c r="E65" s="723"/>
      <c r="F65" s="723"/>
      <c r="G65" s="723"/>
      <c r="H65" s="723"/>
      <c r="I65" s="723"/>
      <c r="J65" s="723"/>
      <c r="K65" s="723"/>
      <c r="L65" s="723"/>
      <c r="M65" s="723"/>
      <c r="N65" s="723"/>
      <c r="O65" s="723"/>
    </row>
    <row r="66" spans="1:15">
      <c r="A66" s="723"/>
      <c r="B66" s="723"/>
      <c r="C66" s="723"/>
      <c r="D66" s="723"/>
      <c r="E66" s="723"/>
      <c r="F66" s="723"/>
      <c r="G66" s="723"/>
      <c r="H66" s="723"/>
      <c r="I66" s="723"/>
      <c r="J66" s="723"/>
      <c r="K66" s="723"/>
      <c r="L66" s="723"/>
      <c r="M66" s="723"/>
      <c r="N66" s="723"/>
      <c r="O66" s="723"/>
    </row>
    <row r="67" spans="1:15">
      <c r="A67" s="723"/>
      <c r="B67" s="723"/>
      <c r="C67" s="723"/>
      <c r="D67" s="723"/>
      <c r="E67" s="723"/>
      <c r="F67" s="723"/>
      <c r="G67" s="723"/>
      <c r="H67" s="723"/>
      <c r="I67" s="723"/>
      <c r="J67" s="723"/>
      <c r="K67" s="723"/>
      <c r="L67" s="723"/>
      <c r="M67" s="723"/>
      <c r="N67" s="723"/>
      <c r="O67" s="723"/>
    </row>
    <row r="68" spans="1:15" ht="20.25" customHeight="1">
      <c r="A68" s="723"/>
      <c r="B68" s="723"/>
      <c r="C68" s="723"/>
      <c r="D68" s="723"/>
      <c r="E68" s="723"/>
      <c r="F68" s="723"/>
      <c r="G68" s="723"/>
      <c r="H68" s="723"/>
      <c r="I68" s="723"/>
      <c r="J68" s="723"/>
      <c r="K68" s="723"/>
      <c r="L68" s="723"/>
      <c r="M68" s="723"/>
      <c r="N68" s="723"/>
      <c r="O68" s="723"/>
    </row>
    <row r="69" spans="1:15" ht="18" customHeight="1" thickBot="1"/>
    <row r="70" spans="1:15">
      <c r="C70" s="7019" t="s">
        <v>42</v>
      </c>
      <c r="D70" s="7020"/>
    </row>
    <row r="71" spans="1:15">
      <c r="C71" s="7021"/>
      <c r="D71" s="7022"/>
    </row>
    <row r="72" spans="1:15" ht="13.5" thickBot="1">
      <c r="C72" s="7023"/>
      <c r="D72" s="7024"/>
    </row>
  </sheetData>
  <sheetProtection algorithmName="SHA-512" hashValue="XvkBBZmRmjS+tkcTUI/PznZCDlr82oSvPLyDeH3XX74AsP5EZzmdwgyruouSamFv7/liuXRX34edGnaL6/NbzA==" saltValue="rcgyFcn+0d8h1cewplK7Xw==" spinCount="100000" sheet="1" objects="1" scenarios="1"/>
  <mergeCells count="1">
    <mergeCell ref="C70:D72"/>
  </mergeCells>
  <hyperlinks>
    <hyperlink ref="C10" r:id="rId1" xr:uid="{00000000-0004-0000-0700-000000000000}"/>
    <hyperlink ref="C70" location="'Table of Contents'!A1" display="Table of Contents" xr:uid="{00000000-0004-0000-0700-000001000000}"/>
    <hyperlink ref="H10" r:id="rId2" xr:uid="{00000000-0004-0000-0700-000002000000}"/>
  </hyperlinks>
  <pageMargins left="0.75" right="0.25" top="0.36" bottom="0.28999999999999998" header="0.36" footer="0.21"/>
  <pageSetup scale="84" fitToHeight="0" orientation="portrait" r:id="rId3"/>
  <drawing r:id="rId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A32"/>
  <sheetViews>
    <sheetView zoomScaleNormal="100" zoomScaleSheetLayoutView="100" workbookViewId="0">
      <pane ySplit="1" topLeftCell="A2" activePane="bottomLeft" state="frozen"/>
      <selection activeCell="E24" sqref="E24"/>
      <selection pane="bottomLeft"/>
    </sheetView>
  </sheetViews>
  <sheetFormatPr defaultRowHeight="12.75"/>
  <cols>
    <col min="1" max="1" width="2.5703125" customWidth="1"/>
    <col min="2" max="2" width="4.42578125" customWidth="1"/>
    <col min="3" max="3" width="45.7109375" customWidth="1"/>
    <col min="4" max="10" width="19.85546875" customWidth="1"/>
    <col min="11" max="11" width="46.42578125" customWidth="1"/>
    <col min="12" max="12" width="5.5703125" customWidth="1"/>
    <col min="13" max="27" width="9.140625" style="1021"/>
  </cols>
  <sheetData>
    <row r="1" spans="1:27" ht="42" customHeight="1" thickBot="1">
      <c r="A1" s="4660"/>
      <c r="B1" s="4568" t="s">
        <v>6674</v>
      </c>
      <c r="C1" s="4661"/>
      <c r="D1" s="4662"/>
      <c r="E1" s="4730" t="str">
        <f>IF(FALSE,"After Form 1040 and Schedule 1 are complete,"&amp;CHAR(10)&amp;" be sure to review 'Sch. 1 Line 8 WS', line 1.",IF(FALSE,"'Sch. 1 Line 8 WS', line 1, has been Updated.",""))</f>
        <v/>
      </c>
      <c r="F1" s="4662"/>
      <c r="G1" s="4662"/>
      <c r="H1" s="4662"/>
      <c r="I1" s="4662"/>
      <c r="J1" s="4662"/>
      <c r="K1" s="4662"/>
      <c r="L1" s="4362"/>
      <c r="M1" s="655" t="s">
        <v>223</v>
      </c>
      <c r="N1" s="656"/>
      <c r="O1" s="656"/>
      <c r="P1" s="656"/>
      <c r="Q1" s="656"/>
      <c r="R1" s="656"/>
      <c r="S1" s="656"/>
      <c r="T1" s="656"/>
      <c r="U1" s="656"/>
      <c r="V1" s="656"/>
      <c r="W1" s="656"/>
      <c r="X1" s="656"/>
      <c r="Y1" s="656"/>
      <c r="Z1" s="656"/>
      <c r="AA1" s="656"/>
    </row>
    <row r="2" spans="1:27" ht="42" customHeight="1" thickTop="1" thickBot="1">
      <c r="A2" s="257"/>
      <c r="B2" s="1534"/>
      <c r="C2" s="4664" t="str">
        <f>IF(Name_1st_Yours="","Enter your name on the"&amp;CHAR(10)&amp;"sheet labeled '1040'",NameYours)</f>
        <v>Enter your name on the
sheet labeled '1040'</v>
      </c>
      <c r="D2" s="458" t="s">
        <v>284</v>
      </c>
      <c r="E2" s="458" t="s">
        <v>285</v>
      </c>
      <c r="F2" s="458" t="s">
        <v>286</v>
      </c>
      <c r="G2" s="458" t="s">
        <v>287</v>
      </c>
      <c r="H2" s="458" t="s">
        <v>288</v>
      </c>
      <c r="I2" s="458" t="s">
        <v>313</v>
      </c>
      <c r="J2" s="458" t="s">
        <v>363</v>
      </c>
      <c r="K2" s="4720" t="s">
        <v>226</v>
      </c>
      <c r="L2" s="4665"/>
      <c r="M2" s="656"/>
      <c r="N2" s="656"/>
      <c r="O2" s="656"/>
      <c r="P2" s="656"/>
      <c r="Q2" s="656"/>
      <c r="R2" s="656"/>
      <c r="S2" s="656"/>
      <c r="T2" s="656"/>
      <c r="U2" s="656"/>
      <c r="V2" s="656"/>
      <c r="W2" s="656"/>
      <c r="X2" s="656"/>
      <c r="Y2" s="656"/>
      <c r="Z2" s="656"/>
      <c r="AA2" s="656"/>
    </row>
    <row r="3" spans="1:27" ht="12.75" customHeight="1">
      <c r="A3" s="253"/>
      <c r="B3" s="4666"/>
      <c r="C3" s="4667" t="s">
        <v>290</v>
      </c>
      <c r="D3" s="601"/>
      <c r="E3" s="602"/>
      <c r="F3" s="602"/>
      <c r="G3" s="602"/>
      <c r="H3" s="602"/>
      <c r="I3" s="602"/>
      <c r="J3" s="6694" t="s">
        <v>369</v>
      </c>
      <c r="K3" s="3298"/>
      <c r="L3" s="4665"/>
      <c r="M3" s="656"/>
      <c r="N3" s="656"/>
      <c r="O3" s="656"/>
      <c r="P3" s="656"/>
      <c r="Q3" s="656"/>
      <c r="R3" s="656"/>
      <c r="S3" s="656"/>
      <c r="T3" s="656"/>
      <c r="U3" s="656"/>
      <c r="V3" s="656"/>
      <c r="W3" s="656"/>
      <c r="X3" s="656"/>
      <c r="Y3" s="656"/>
      <c r="Z3" s="656"/>
      <c r="AA3" s="656"/>
    </row>
    <row r="4" spans="1:27">
      <c r="A4" s="253"/>
      <c r="B4" s="4668"/>
      <c r="C4" s="4669" t="s">
        <v>364</v>
      </c>
      <c r="D4" s="629"/>
      <c r="E4" s="630"/>
      <c r="F4" s="630"/>
      <c r="G4" s="630"/>
      <c r="H4" s="630"/>
      <c r="I4" s="630"/>
      <c r="J4" s="6695" t="s">
        <v>369</v>
      </c>
      <c r="K4" s="3298"/>
      <c r="L4" s="4665"/>
      <c r="M4" s="656"/>
      <c r="N4" s="656"/>
      <c r="O4" s="656"/>
      <c r="P4" s="656"/>
      <c r="Q4" s="656"/>
      <c r="R4" s="656"/>
      <c r="S4" s="656"/>
      <c r="T4" s="656"/>
      <c r="U4" s="656"/>
      <c r="V4" s="656"/>
      <c r="W4" s="656"/>
      <c r="X4" s="656"/>
      <c r="Y4" s="656"/>
      <c r="Z4" s="656"/>
      <c r="AA4" s="656"/>
    </row>
    <row r="5" spans="1:27" ht="13.5" thickBot="1">
      <c r="A5" s="253"/>
      <c r="B5" s="4670"/>
      <c r="C5" s="4671" t="s">
        <v>292</v>
      </c>
      <c r="D5" s="632"/>
      <c r="E5" s="633"/>
      <c r="F5" s="633"/>
      <c r="G5" s="633"/>
      <c r="H5" s="633"/>
      <c r="I5" s="633"/>
      <c r="J5" s="6696" t="s">
        <v>369</v>
      </c>
      <c r="K5" s="3298"/>
      <c r="L5" s="4665"/>
      <c r="M5" s="656"/>
      <c r="N5" s="656"/>
      <c r="O5" s="656"/>
      <c r="P5" s="656"/>
      <c r="Q5" s="656"/>
      <c r="R5" s="656"/>
      <c r="S5" s="656"/>
      <c r="T5" s="656"/>
      <c r="U5" s="656"/>
      <c r="V5" s="656"/>
      <c r="W5" s="656"/>
      <c r="X5" s="656"/>
      <c r="Y5" s="656"/>
      <c r="Z5" s="656"/>
      <c r="AA5" s="656"/>
    </row>
    <row r="6" spans="1:27" ht="13.5" customHeight="1">
      <c r="A6" s="253"/>
      <c r="B6" s="4731" t="s">
        <v>228</v>
      </c>
      <c r="C6" s="4673" t="s">
        <v>6662</v>
      </c>
      <c r="D6" s="6690"/>
      <c r="E6" s="6691"/>
      <c r="F6" s="6691"/>
      <c r="G6" s="6691"/>
      <c r="H6" s="6691"/>
      <c r="I6" s="6691"/>
      <c r="J6" s="4732">
        <f>ROUND(SUM(D6:I6),0)</f>
        <v>0</v>
      </c>
      <c r="K6" s="4733" t="s">
        <v>6672</v>
      </c>
      <c r="L6" s="4665"/>
      <c r="M6" s="656"/>
      <c r="N6" s="656"/>
      <c r="O6" s="656"/>
      <c r="P6" s="656"/>
      <c r="Q6" s="656"/>
      <c r="R6" s="656"/>
      <c r="S6" s="656"/>
      <c r="T6" s="656"/>
      <c r="U6" s="656"/>
      <c r="V6" s="656"/>
      <c r="W6" s="656"/>
      <c r="X6" s="656"/>
      <c r="Y6" s="656"/>
      <c r="Z6" s="656"/>
      <c r="AA6" s="656"/>
    </row>
    <row r="7" spans="1:27" ht="25.5">
      <c r="A7" s="253"/>
      <c r="B7" s="6682" t="s">
        <v>230</v>
      </c>
      <c r="C7" s="6684" t="s">
        <v>6663</v>
      </c>
      <c r="D7" s="6685" t="s">
        <v>6668</v>
      </c>
      <c r="E7" s="6686" t="s">
        <v>6668</v>
      </c>
      <c r="F7" s="6686" t="s">
        <v>6668</v>
      </c>
      <c r="G7" s="6686" t="s">
        <v>6668</v>
      </c>
      <c r="H7" s="6686" t="s">
        <v>6668</v>
      </c>
      <c r="I7" s="6686" t="s">
        <v>6668</v>
      </c>
      <c r="J7" s="6697" t="s">
        <v>369</v>
      </c>
      <c r="K7" s="4736"/>
      <c r="L7" s="4665"/>
      <c r="M7" s="656"/>
      <c r="N7" s="656"/>
      <c r="O7" s="656"/>
      <c r="P7" s="656"/>
      <c r="Q7" s="656"/>
      <c r="R7" s="656"/>
      <c r="S7" s="656"/>
      <c r="T7" s="656"/>
      <c r="U7" s="656"/>
      <c r="V7" s="656"/>
      <c r="W7" s="656"/>
      <c r="X7" s="656"/>
      <c r="Y7" s="656"/>
      <c r="Z7" s="656"/>
      <c r="AA7" s="656"/>
    </row>
    <row r="8" spans="1:27" ht="13.5" customHeight="1">
      <c r="A8" s="253"/>
      <c r="B8" s="4734" t="s">
        <v>232</v>
      </c>
      <c r="C8" s="4741" t="s">
        <v>6664</v>
      </c>
      <c r="D8" s="6688"/>
      <c r="E8" s="6689"/>
      <c r="F8" s="1121"/>
      <c r="G8" s="6689"/>
      <c r="H8" s="6689"/>
      <c r="I8" s="6689"/>
      <c r="J8" s="4735">
        <f>ROUND(SUM(D8:I8),0)</f>
        <v>0</v>
      </c>
      <c r="K8" s="4681" t="str">
        <f>IF(Needs_SALT,"'Sch. 1, Line 1 (SALT)'. (State &amp; Local Tax)","")</f>
        <v/>
      </c>
      <c r="L8" s="4665"/>
      <c r="M8" s="656"/>
      <c r="N8" s="656"/>
      <c r="O8" s="656"/>
      <c r="P8" s="656"/>
      <c r="Q8" s="656"/>
      <c r="R8" s="656"/>
      <c r="S8" s="656"/>
      <c r="T8" s="656"/>
      <c r="U8" s="656"/>
      <c r="V8" s="656"/>
      <c r="W8" s="656"/>
      <c r="X8" s="656"/>
      <c r="Y8" s="656"/>
      <c r="Z8" s="656"/>
      <c r="AA8" s="656"/>
    </row>
    <row r="9" spans="1:27" ht="13.5" customHeight="1">
      <c r="A9" s="253"/>
      <c r="B9" s="4734">
        <v>4</v>
      </c>
      <c r="C9" s="4676" t="s">
        <v>231</v>
      </c>
      <c r="D9" s="1120"/>
      <c r="E9" s="1121"/>
      <c r="F9" s="1121"/>
      <c r="G9" s="1121"/>
      <c r="H9" s="1121"/>
      <c r="I9" s="1121"/>
      <c r="J9" s="4735">
        <f>ROUND(SUM(D9:I9),0)</f>
        <v>0</v>
      </c>
      <c r="K9" s="4076"/>
      <c r="L9" s="4665"/>
      <c r="M9" s="656"/>
      <c r="N9" s="656"/>
      <c r="O9" s="656"/>
      <c r="P9" s="656"/>
      <c r="Q9" s="656"/>
      <c r="R9" s="656"/>
      <c r="S9" s="656"/>
      <c r="T9" s="656"/>
      <c r="U9" s="656"/>
      <c r="V9" s="656"/>
      <c r="W9" s="656"/>
      <c r="X9" s="656"/>
      <c r="Y9" s="656"/>
      <c r="Z9" s="656"/>
      <c r="AA9" s="656"/>
    </row>
    <row r="10" spans="1:27">
      <c r="A10" s="253"/>
      <c r="B10" s="4734" t="s">
        <v>237</v>
      </c>
      <c r="C10" s="4676" t="s">
        <v>311</v>
      </c>
      <c r="D10" s="1120"/>
      <c r="E10" s="1121"/>
      <c r="F10" s="1121"/>
      <c r="G10" s="1121"/>
      <c r="H10" s="1121"/>
      <c r="I10" s="1121"/>
      <c r="J10" s="4735">
        <f>ROUND(SUM(D10:I10),0)</f>
        <v>0</v>
      </c>
      <c r="K10" s="3298"/>
      <c r="L10" s="4665"/>
      <c r="M10" s="656"/>
      <c r="N10" s="656"/>
      <c r="O10" s="656"/>
      <c r="P10" s="656"/>
      <c r="Q10" s="656"/>
      <c r="R10" s="656"/>
      <c r="S10" s="656"/>
      <c r="T10" s="656"/>
      <c r="U10" s="656"/>
      <c r="V10" s="656"/>
      <c r="W10" s="656"/>
      <c r="X10" s="656"/>
      <c r="Y10" s="656"/>
      <c r="Z10" s="656"/>
      <c r="AA10" s="656"/>
    </row>
    <row r="11" spans="1:27">
      <c r="B11" s="2623" t="s">
        <v>239</v>
      </c>
      <c r="C11" s="4741" t="s">
        <v>6665</v>
      </c>
      <c r="D11" s="1120"/>
      <c r="E11" s="1121"/>
      <c r="F11" s="1121"/>
      <c r="G11" s="1121"/>
      <c r="H11" s="1121"/>
      <c r="I11" s="1121"/>
      <c r="J11" s="4735">
        <f>ROUND(SUM(D11:I11),0)</f>
        <v>0</v>
      </c>
      <c r="K11" s="3298"/>
      <c r="L11" s="4665"/>
      <c r="M11" s="656"/>
      <c r="N11" s="656"/>
      <c r="O11" s="656"/>
      <c r="P11" s="656"/>
      <c r="Q11" s="656"/>
      <c r="R11" s="656"/>
      <c r="S11" s="656"/>
      <c r="T11" s="656"/>
      <c r="U11" s="656"/>
      <c r="V11" s="656"/>
      <c r="W11" s="656"/>
      <c r="X11" s="656"/>
      <c r="Y11" s="656"/>
      <c r="Z11" s="656"/>
      <c r="AA11" s="656"/>
    </row>
    <row r="12" spans="1:27" ht="13.5" customHeight="1" thickBot="1">
      <c r="A12" s="253"/>
      <c r="B12" s="4743">
        <v>7</v>
      </c>
      <c r="C12" s="6687" t="s">
        <v>6666</v>
      </c>
      <c r="D12" s="6692"/>
      <c r="E12" s="6693"/>
      <c r="F12" s="6693"/>
      <c r="G12" s="6693"/>
      <c r="H12" s="6693"/>
      <c r="I12" s="6693"/>
      <c r="J12" s="4744">
        <f>ROUND(SUM(D12:I12),0)</f>
        <v>0</v>
      </c>
      <c r="K12" s="4745"/>
      <c r="L12" s="4665"/>
      <c r="M12" s="656"/>
      <c r="N12" s="656"/>
      <c r="O12" s="656"/>
      <c r="P12" s="656"/>
      <c r="Q12" s="656"/>
      <c r="R12" s="656"/>
      <c r="S12" s="656"/>
      <c r="T12" s="656"/>
      <c r="U12" s="656"/>
      <c r="V12" s="656"/>
      <c r="W12" s="656"/>
      <c r="X12" s="656"/>
      <c r="Y12" s="656"/>
      <c r="Z12" s="656"/>
      <c r="AA12" s="656"/>
    </row>
    <row r="13" spans="1:27" ht="17.25" customHeight="1">
      <c r="A13" s="253"/>
      <c r="B13" s="580" t="s">
        <v>312</v>
      </c>
      <c r="C13" s="253"/>
      <c r="D13" s="253"/>
      <c r="E13" s="253"/>
      <c r="F13" s="253"/>
      <c r="G13" s="253"/>
      <c r="H13" s="253"/>
      <c r="I13" s="253"/>
      <c r="J13" s="253"/>
      <c r="K13" s="4745"/>
      <c r="L13" s="4665"/>
      <c r="M13" s="656"/>
      <c r="N13" s="656"/>
      <c r="O13" s="656"/>
      <c r="P13" s="656"/>
      <c r="Q13" s="656"/>
      <c r="R13" s="656"/>
      <c r="S13" s="656"/>
      <c r="T13" s="656"/>
      <c r="U13" s="656"/>
      <c r="V13" s="656"/>
      <c r="W13" s="656"/>
      <c r="X13" s="656"/>
      <c r="Y13" s="656"/>
      <c r="Z13" s="656"/>
      <c r="AA13" s="656"/>
    </row>
    <row r="14" spans="1:27" s="622" customFormat="1" ht="13.5" customHeight="1" thickBot="1">
      <c r="A14" s="1009"/>
      <c r="B14" s="1009"/>
      <c r="C14" s="1009"/>
      <c r="D14" s="1009"/>
      <c r="E14" s="1009"/>
      <c r="F14" s="1009"/>
      <c r="G14" s="1009"/>
      <c r="H14" s="1009"/>
      <c r="I14" s="1009"/>
      <c r="J14" s="1009" t="str">
        <f>IF(J3&lt;&gt;"",J3,"")</f>
        <v>---</v>
      </c>
      <c r="K14" s="4745"/>
      <c r="L14" s="4665"/>
      <c r="M14" s="715"/>
      <c r="N14" s="715"/>
      <c r="O14" s="715"/>
      <c r="P14" s="715"/>
      <c r="Q14" s="715"/>
      <c r="R14" s="715"/>
      <c r="S14" s="715"/>
      <c r="T14" s="715"/>
      <c r="U14" s="715"/>
      <c r="V14" s="715"/>
      <c r="W14" s="715"/>
      <c r="X14" s="715"/>
      <c r="Y14" s="715"/>
      <c r="Z14" s="715"/>
      <c r="AA14" s="715"/>
    </row>
    <row r="15" spans="1:27" ht="42" customHeight="1" thickTop="1" thickBot="1">
      <c r="A15" s="257"/>
      <c r="B15" s="1534"/>
      <c r="C15" s="4664" t="str">
        <f>IF(Name_1st_Sp="","Enter your spouse's name on"&amp;CHAR(10)&amp;"the sheet labeled '1040'",NameSpouse)</f>
        <v>Enter your spouse's name on
the sheet labeled '1040'</v>
      </c>
      <c r="D15" s="458" t="s">
        <v>284</v>
      </c>
      <c r="E15" s="458" t="s">
        <v>285</v>
      </c>
      <c r="F15" s="458" t="s">
        <v>286</v>
      </c>
      <c r="G15" s="458" t="s">
        <v>287</v>
      </c>
      <c r="H15" s="458" t="s">
        <v>288</v>
      </c>
      <c r="I15" s="458" t="s">
        <v>382</v>
      </c>
      <c r="J15" s="458" t="s">
        <v>224</v>
      </c>
      <c r="K15" s="4720" t="s">
        <v>226</v>
      </c>
      <c r="L15" s="4665"/>
      <c r="M15" s="656"/>
      <c r="N15" s="656"/>
      <c r="O15" s="656"/>
      <c r="P15" s="656"/>
      <c r="Q15" s="656"/>
      <c r="R15" s="656"/>
      <c r="S15" s="656"/>
      <c r="T15" s="656"/>
      <c r="U15" s="656"/>
      <c r="V15" s="656"/>
      <c r="W15" s="656"/>
      <c r="X15" s="656"/>
      <c r="Y15" s="656"/>
      <c r="Z15" s="656"/>
      <c r="AA15" s="656"/>
    </row>
    <row r="16" spans="1:27">
      <c r="A16" s="253"/>
      <c r="B16" s="4666"/>
      <c r="C16" s="4667" t="s">
        <v>290</v>
      </c>
      <c r="D16" s="601"/>
      <c r="E16" s="602"/>
      <c r="F16" s="602"/>
      <c r="G16" s="602"/>
      <c r="H16" s="602"/>
      <c r="I16" s="4687"/>
      <c r="J16" s="6694" t="s">
        <v>369</v>
      </c>
      <c r="K16" s="4688"/>
      <c r="L16" s="253"/>
      <c r="M16" s="656"/>
      <c r="N16" s="656"/>
      <c r="O16" s="656"/>
      <c r="P16" s="656"/>
      <c r="Q16" s="656"/>
      <c r="R16" s="656"/>
      <c r="S16" s="656"/>
      <c r="T16" s="656"/>
      <c r="U16" s="656"/>
      <c r="V16" s="656"/>
      <c r="W16" s="656"/>
      <c r="X16" s="656"/>
      <c r="Y16" s="656"/>
      <c r="Z16" s="656"/>
      <c r="AA16" s="1022"/>
    </row>
    <row r="17" spans="1:27">
      <c r="A17" s="253"/>
      <c r="B17" s="4668"/>
      <c r="C17" s="4669" t="s">
        <v>291</v>
      </c>
      <c r="D17" s="629"/>
      <c r="E17" s="630"/>
      <c r="F17" s="630"/>
      <c r="G17" s="630"/>
      <c r="H17" s="630"/>
      <c r="I17" s="4689"/>
      <c r="J17" s="6695" t="s">
        <v>369</v>
      </c>
      <c r="K17" s="4690"/>
      <c r="L17" s="253"/>
      <c r="M17" s="656"/>
      <c r="N17" s="656"/>
      <c r="O17" s="656"/>
      <c r="P17" s="656"/>
      <c r="Q17" s="656"/>
      <c r="R17" s="656"/>
      <c r="S17" s="656"/>
      <c r="T17" s="656"/>
      <c r="U17" s="656"/>
      <c r="V17" s="656"/>
      <c r="W17" s="656"/>
      <c r="X17" s="656"/>
      <c r="Y17" s="656"/>
      <c r="Z17" s="656"/>
      <c r="AA17" s="1022"/>
    </row>
    <row r="18" spans="1:27" ht="13.5" thickBot="1">
      <c r="A18" s="253"/>
      <c r="B18" s="4670"/>
      <c r="C18" s="4671" t="s">
        <v>292</v>
      </c>
      <c r="D18" s="632"/>
      <c r="E18" s="633"/>
      <c r="F18" s="633"/>
      <c r="G18" s="633"/>
      <c r="H18" s="633"/>
      <c r="I18" s="4691"/>
      <c r="J18" s="6696" t="s">
        <v>369</v>
      </c>
      <c r="K18" s="4690">
        <f>SUM(ForeignTaxPaid_INT,ForeignTaxPaid_DIV)</f>
        <v>0</v>
      </c>
      <c r="L18" s="253"/>
      <c r="M18" s="656"/>
      <c r="N18" s="656"/>
      <c r="O18" s="656"/>
      <c r="P18" s="656"/>
      <c r="Q18" s="656"/>
      <c r="R18" s="656"/>
      <c r="S18" s="656"/>
      <c r="T18" s="656"/>
      <c r="U18" s="656"/>
      <c r="V18" s="656"/>
      <c r="W18" s="656"/>
      <c r="X18" s="656"/>
      <c r="Y18" s="656"/>
      <c r="Z18" s="656"/>
      <c r="AA18" s="1022"/>
    </row>
    <row r="19" spans="1:27" ht="13.5" customHeight="1">
      <c r="A19" s="253"/>
      <c r="B19" s="4731" t="s">
        <v>228</v>
      </c>
      <c r="C19" s="4673" t="s">
        <v>6662</v>
      </c>
      <c r="D19" s="6690"/>
      <c r="E19" s="6691"/>
      <c r="F19" s="6691"/>
      <c r="G19" s="6691"/>
      <c r="H19" s="6691"/>
      <c r="I19" s="4732">
        <f>ROUND(SUM(D19:H19),0)</f>
        <v>0</v>
      </c>
      <c r="J19" s="4732">
        <f>SUM(NonEmployeeComp_You,NonEmployeeComp_Spouse)</f>
        <v>0</v>
      </c>
      <c r="K19" s="4733" t="s">
        <v>6671</v>
      </c>
      <c r="L19" s="253"/>
      <c r="M19" s="656"/>
      <c r="N19" s="656"/>
      <c r="O19" s="656"/>
      <c r="P19" s="656"/>
      <c r="Q19" s="656"/>
      <c r="R19" s="656"/>
      <c r="S19" s="656"/>
      <c r="T19" s="656"/>
      <c r="U19" s="656"/>
      <c r="V19" s="656"/>
      <c r="W19" s="656"/>
      <c r="X19" s="656"/>
      <c r="Y19" s="656"/>
      <c r="Z19" s="656"/>
      <c r="AA19" s="1022"/>
    </row>
    <row r="20" spans="1:27" ht="25.5">
      <c r="A20" s="253"/>
      <c r="B20" s="6682" t="s">
        <v>230</v>
      </c>
      <c r="C20" s="6684" t="s">
        <v>6663</v>
      </c>
      <c r="D20" s="6685" t="s">
        <v>6668</v>
      </c>
      <c r="E20" s="6686" t="s">
        <v>6668</v>
      </c>
      <c r="F20" s="6686" t="s">
        <v>6668</v>
      </c>
      <c r="G20" s="6686" t="s">
        <v>6668</v>
      </c>
      <c r="H20" s="6686" t="s">
        <v>6668</v>
      </c>
      <c r="I20" s="6697" t="s">
        <v>369</v>
      </c>
      <c r="J20" s="6697" t="s">
        <v>369</v>
      </c>
      <c r="K20" s="4736"/>
      <c r="L20" s="253"/>
      <c r="M20" s="656"/>
      <c r="N20" s="656"/>
      <c r="O20" s="656"/>
      <c r="P20" s="656"/>
      <c r="Q20" s="656"/>
      <c r="R20" s="656"/>
      <c r="S20" s="656"/>
      <c r="T20" s="656"/>
      <c r="U20" s="656"/>
      <c r="V20" s="656"/>
      <c r="W20" s="656"/>
      <c r="X20" s="656"/>
      <c r="Y20" s="656"/>
      <c r="Z20" s="656"/>
      <c r="AA20" s="1022"/>
    </row>
    <row r="21" spans="1:27" ht="13.5" customHeight="1">
      <c r="A21" s="253"/>
      <c r="B21" s="4734" t="s">
        <v>232</v>
      </c>
      <c r="C21" s="4741" t="s">
        <v>6664</v>
      </c>
      <c r="D21" s="1120"/>
      <c r="E21" s="1121"/>
      <c r="F21" s="1121"/>
      <c r="G21" s="1121"/>
      <c r="H21" s="1121"/>
      <c r="I21" s="4735">
        <f>ROUND(SUM(D21:H21),0)</f>
        <v>0</v>
      </c>
      <c r="J21" s="4735">
        <f>SUM(J8,I21)</f>
        <v>0</v>
      </c>
      <c r="K21" s="4722"/>
      <c r="L21" s="253"/>
      <c r="M21" s="656"/>
      <c r="N21" s="656"/>
      <c r="O21" s="656"/>
      <c r="P21" s="656"/>
      <c r="Q21" s="656"/>
      <c r="R21" s="656"/>
      <c r="S21" s="656"/>
      <c r="T21" s="656"/>
      <c r="U21" s="656"/>
      <c r="V21" s="656"/>
      <c r="W21" s="656"/>
      <c r="X21" s="656"/>
      <c r="Y21" s="656"/>
      <c r="Z21" s="656"/>
      <c r="AA21" s="1022"/>
    </row>
    <row r="22" spans="1:27" ht="13.5" customHeight="1">
      <c r="A22" s="253"/>
      <c r="B22" s="4734">
        <v>4</v>
      </c>
      <c r="C22" s="4676" t="s">
        <v>231</v>
      </c>
      <c r="D22" s="1120"/>
      <c r="E22" s="1121"/>
      <c r="F22" s="1121"/>
      <c r="G22" s="1121"/>
      <c r="H22" s="1121"/>
      <c r="I22" s="4735">
        <f>ROUND(SUM(D22:H22),0)</f>
        <v>0</v>
      </c>
      <c r="J22" s="4735">
        <f>SUM(J9,I22)</f>
        <v>0</v>
      </c>
      <c r="K22" s="4722" t="s">
        <v>6669</v>
      </c>
      <c r="L22" s="253"/>
      <c r="M22" s="656"/>
      <c r="N22" s="656"/>
      <c r="O22" s="656"/>
      <c r="P22" s="656"/>
      <c r="Q22" s="656"/>
      <c r="R22" s="656"/>
      <c r="S22" s="656"/>
      <c r="T22" s="656"/>
      <c r="U22" s="656"/>
      <c r="V22" s="656"/>
      <c r="W22" s="656"/>
      <c r="X22" s="656"/>
      <c r="Y22" s="656"/>
      <c r="Z22" s="656"/>
      <c r="AA22" s="1022"/>
    </row>
    <row r="23" spans="1:27" ht="26.25" customHeight="1">
      <c r="A23" s="253"/>
      <c r="B23" s="4734" t="s">
        <v>237</v>
      </c>
      <c r="C23" s="4676" t="s">
        <v>311</v>
      </c>
      <c r="D23" s="1120"/>
      <c r="E23" s="1121"/>
      <c r="F23" s="1121"/>
      <c r="G23" s="1121"/>
      <c r="H23" s="1121"/>
      <c r="I23" s="4735">
        <f>ROUND(SUM(D23:H23),0)</f>
        <v>0</v>
      </c>
      <c r="J23" s="4735">
        <f>SUM(J10,I23)</f>
        <v>0</v>
      </c>
      <c r="K23" s="4722" t="s">
        <v>6670</v>
      </c>
      <c r="L23" s="253"/>
      <c r="M23" s="656"/>
      <c r="N23" s="656"/>
      <c r="O23" s="656"/>
      <c r="P23" s="656"/>
      <c r="Q23" s="656"/>
      <c r="R23" s="656"/>
      <c r="S23" s="656"/>
      <c r="T23" s="656"/>
      <c r="U23" s="656"/>
      <c r="V23" s="656"/>
      <c r="W23" s="656"/>
      <c r="X23" s="656"/>
      <c r="Y23" s="656"/>
      <c r="Z23" s="656"/>
      <c r="AA23" s="1022"/>
    </row>
    <row r="24" spans="1:27">
      <c r="A24" s="253"/>
      <c r="B24" s="2623" t="s">
        <v>239</v>
      </c>
      <c r="C24" s="4741" t="s">
        <v>6665</v>
      </c>
      <c r="D24" s="1120"/>
      <c r="E24" s="1121"/>
      <c r="F24" s="1121"/>
      <c r="G24" s="1121"/>
      <c r="H24" s="1121"/>
      <c r="I24" s="4735">
        <f>ROUND(SUM(D24:H24),0)</f>
        <v>0</v>
      </c>
      <c r="J24" s="4735">
        <f>SUM(J11,I24)</f>
        <v>0</v>
      </c>
      <c r="K24" s="4693"/>
      <c r="L24" s="253"/>
      <c r="M24" s="656"/>
      <c r="N24" s="656"/>
      <c r="O24" s="656"/>
      <c r="P24" s="656"/>
      <c r="Q24" s="656"/>
      <c r="R24" s="656"/>
      <c r="S24" s="656"/>
      <c r="T24" s="656"/>
      <c r="U24" s="656"/>
      <c r="V24" s="656"/>
      <c r="W24" s="656"/>
      <c r="X24" s="656"/>
      <c r="Y24" s="656"/>
      <c r="Z24" s="656"/>
      <c r="AA24" s="1022"/>
    </row>
    <row r="25" spans="1:27" ht="13.5" thickBot="1">
      <c r="A25" s="253"/>
      <c r="B25" s="4743">
        <v>7</v>
      </c>
      <c r="C25" s="6687" t="s">
        <v>6666</v>
      </c>
      <c r="D25" s="6692"/>
      <c r="E25" s="6693"/>
      <c r="F25" s="6693"/>
      <c r="G25" s="6693"/>
      <c r="H25" s="6693"/>
      <c r="I25" s="4744">
        <f>ROUND(SUM(D25:H25),0)</f>
        <v>0</v>
      </c>
      <c r="J25" s="4744">
        <f>SUM(J12,I25)</f>
        <v>0</v>
      </c>
      <c r="K25" s="4693"/>
      <c r="L25" s="253"/>
      <c r="M25" s="656"/>
      <c r="N25" s="656"/>
      <c r="O25" s="656"/>
      <c r="P25" s="656"/>
      <c r="Q25" s="656"/>
      <c r="R25" s="656"/>
      <c r="S25" s="656"/>
      <c r="T25" s="656"/>
      <c r="U25" s="656"/>
      <c r="V25" s="656"/>
      <c r="W25" s="656"/>
      <c r="X25" s="656"/>
      <c r="Y25" s="656"/>
      <c r="Z25" s="656"/>
      <c r="AA25" s="1022"/>
    </row>
    <row r="26" spans="1:27" ht="17.25" customHeight="1" thickBot="1">
      <c r="A26" s="88"/>
      <c r="B26" s="580" t="s">
        <v>312</v>
      </c>
      <c r="C26" s="88"/>
      <c r="D26" s="88"/>
      <c r="E26" s="88"/>
      <c r="F26" s="88"/>
      <c r="G26" s="88"/>
      <c r="H26" s="88"/>
      <c r="I26" s="88"/>
      <c r="J26" s="88"/>
      <c r="K26" s="88"/>
      <c r="L26" s="253"/>
      <c r="M26" s="656"/>
      <c r="N26" s="656"/>
      <c r="O26" s="656"/>
      <c r="P26" s="656"/>
      <c r="Q26" s="656"/>
      <c r="R26" s="656"/>
      <c r="S26" s="656"/>
      <c r="T26" s="656"/>
      <c r="U26" s="656"/>
      <c r="V26" s="656"/>
      <c r="W26" s="656"/>
      <c r="X26" s="656"/>
      <c r="Y26" s="656"/>
      <c r="Z26" s="656"/>
      <c r="AA26" s="1022"/>
    </row>
    <row r="27" spans="1:27" ht="13.5" thickTop="1">
      <c r="A27" s="4651"/>
      <c r="AA27"/>
    </row>
    <row r="28" spans="1:27">
      <c r="AA28"/>
    </row>
    <row r="29" spans="1:27" ht="13.5" thickBot="1">
      <c r="AA29"/>
    </row>
    <row r="30" spans="1:27">
      <c r="C30" s="4701"/>
      <c r="AA30"/>
    </row>
    <row r="31" spans="1:27">
      <c r="C31" s="4636" t="s">
        <v>42</v>
      </c>
    </row>
    <row r="32" spans="1:27" ht="13.5" thickBot="1">
      <c r="C32" s="4702"/>
    </row>
  </sheetData>
  <sheetProtection algorithmName="SHA-512" hashValue="SaJbVUQeuLqaVhv7xx05OZu1wV8M/4VKv37LkGoDa+zXvj/NVx0idH2zidAay/dXN/aeoYxe/mItyhWPSpVMIw==" saltValue="kcJO7Z060sDiTqRYQTHW0A==" spinCount="100000" sheet="1" objects="1" scenarios="1" formatCells="0" formatColumns="0" formatRows="0"/>
  <conditionalFormatting sqref="D2:I12 D15:H25">
    <cfRule type="expression" dxfId="3959" priority="14">
      <formula>IF(NoColor,1,0)</formula>
    </cfRule>
  </conditionalFormatting>
  <conditionalFormatting sqref="I15:J15">
    <cfRule type="expression" dxfId="3958" priority="12">
      <formula>IF(NoColor,1,0)</formula>
    </cfRule>
  </conditionalFormatting>
  <conditionalFormatting sqref="I16:J25">
    <cfRule type="expression" dxfId="3957" priority="1">
      <formula>NoColor</formula>
    </cfRule>
  </conditionalFormatting>
  <conditionalFormatting sqref="J2">
    <cfRule type="expression" dxfId="3956" priority="8">
      <formula>IF(NoColor,1,0)</formula>
    </cfRule>
  </conditionalFormatting>
  <conditionalFormatting sqref="J3:J12">
    <cfRule type="expression" dxfId="3955" priority="2">
      <formula>NoColor</formula>
    </cfRule>
  </conditionalFormatting>
  <conditionalFormatting sqref="K7">
    <cfRule type="expression" dxfId="3954" priority="13">
      <formula>Needs_SALT</formula>
    </cfRule>
  </conditionalFormatting>
  <conditionalFormatting sqref="K12 K14">
    <cfRule type="expression" dxfId="3953" priority="3">
      <formula>"AND('Sch. 1 Line 8 WS'!AP2,'Sch. 1 Line 8 WS'!AI7="""")"</formula>
    </cfRule>
  </conditionalFormatting>
  <conditionalFormatting sqref="K20">
    <cfRule type="expression" dxfId="3952" priority="15">
      <formula>Needs_SALT</formula>
    </cfRule>
  </conditionalFormatting>
  <hyperlinks>
    <hyperlink ref="C31" location="'Table of Contents'!A1" display="Table of Contents" xr:uid="{00000000-0004-0000-0800-000000000000}"/>
  </hyperlinks>
  <pageMargins left="0.75" right="0.25" top="0.36" bottom="0.28999999999999998" header="0.36" footer="0.21"/>
  <pageSetup scale="3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2">
    <pageSetUpPr fitToPage="1"/>
  </sheetPr>
  <dimension ref="A1:BG87"/>
  <sheetViews>
    <sheetView zoomScale="110" zoomScaleNormal="110" zoomScaleSheetLayoutView="100" workbookViewId="0">
      <pane ySplit="1" topLeftCell="A2" activePane="bottomLeft" state="frozen"/>
      <selection activeCell="E24" sqref="E24"/>
      <selection pane="bottomLeft"/>
    </sheetView>
  </sheetViews>
  <sheetFormatPr defaultRowHeight="12.75"/>
  <cols>
    <col min="1" max="1" width="2.5703125" customWidth="1"/>
    <col min="2" max="2" width="4.42578125" customWidth="1"/>
    <col min="3" max="3" width="44" customWidth="1"/>
    <col min="4" max="12" width="13.140625" customWidth="1"/>
    <col min="13" max="13" width="13.42578125" customWidth="1"/>
    <col min="14" max="15" width="12.42578125" customWidth="1"/>
    <col min="16" max="16" width="6.7109375" customWidth="1"/>
    <col min="17" max="25" width="9.140625" hidden="1" customWidth="1"/>
    <col min="26" max="26" width="6.42578125" hidden="1" customWidth="1"/>
    <col min="27" max="35" width="9.140625" hidden="1" customWidth="1"/>
    <col min="36" max="36" width="6.42578125" hidden="1" customWidth="1"/>
    <col min="37" max="45" width="9.140625" hidden="1" customWidth="1"/>
    <col min="46" max="46" width="9.140625" customWidth="1"/>
    <col min="47" max="59" width="9.140625" style="658"/>
  </cols>
  <sheetData>
    <row r="1" spans="1:59" s="591" customFormat="1" ht="36.75" customHeight="1" thickBot="1">
      <c r="A1" s="116"/>
      <c r="B1" s="592" t="s">
        <v>391</v>
      </c>
      <c r="C1" s="587"/>
      <c r="D1" s="588"/>
      <c r="E1" s="588"/>
      <c r="F1" s="588"/>
      <c r="G1" s="588"/>
      <c r="H1" s="588"/>
      <c r="I1" s="588"/>
      <c r="J1" s="588"/>
      <c r="K1" s="588"/>
      <c r="L1" s="588"/>
      <c r="M1" s="588"/>
      <c r="N1" s="588"/>
      <c r="O1" s="588"/>
      <c r="P1" s="589"/>
      <c r="Q1" s="590"/>
      <c r="R1" s="590"/>
      <c r="S1" s="590"/>
      <c r="T1" s="590"/>
      <c r="U1" s="590"/>
      <c r="V1" s="590"/>
      <c r="W1" s="590"/>
      <c r="X1" s="590"/>
      <c r="Y1" s="590"/>
      <c r="Z1" s="589"/>
      <c r="AA1" s="590"/>
      <c r="AB1" s="590"/>
      <c r="AC1" s="590"/>
      <c r="AD1" s="590"/>
      <c r="AE1" s="590"/>
      <c r="AF1" s="590"/>
      <c r="AG1" s="590"/>
      <c r="AH1" s="590"/>
      <c r="AI1" s="590"/>
      <c r="AJ1" s="589"/>
      <c r="AK1" s="590"/>
      <c r="AL1" s="590"/>
      <c r="AM1" s="590"/>
      <c r="AN1" s="590"/>
      <c r="AO1" s="590"/>
      <c r="AP1" s="590"/>
      <c r="AQ1" s="590"/>
      <c r="AR1" s="590"/>
      <c r="AS1" s="590"/>
      <c r="AT1" s="590"/>
      <c r="AU1" s="657" t="s">
        <v>223</v>
      </c>
      <c r="AV1" s="663"/>
      <c r="AW1" s="663"/>
      <c r="AX1" s="663"/>
      <c r="AY1" s="663"/>
      <c r="AZ1" s="663"/>
      <c r="BA1" s="663"/>
      <c r="BB1" s="663"/>
      <c r="BC1" s="663"/>
      <c r="BD1" s="663"/>
      <c r="BE1" s="663"/>
      <c r="BF1" s="663"/>
      <c r="BG1" s="663"/>
    </row>
    <row r="2" spans="1:59" ht="41.25" customHeight="1" thickTop="1" thickBot="1">
      <c r="A2" s="257"/>
      <c r="B2" s="1534"/>
      <c r="C2" s="594" t="str">
        <f>IF(Name_1st_Yours="","Enter your name on the"&amp;CHAR(10)&amp;"sheet labeled '1040'",NameYours)</f>
        <v>Enter your name on the
sheet labeled '1040'</v>
      </c>
      <c r="D2" s="458" t="s">
        <v>392</v>
      </c>
      <c r="E2" s="458" t="s">
        <v>285</v>
      </c>
      <c r="F2" s="458" t="s">
        <v>286</v>
      </c>
      <c r="G2" s="458" t="s">
        <v>287</v>
      </c>
      <c r="H2" s="458" t="s">
        <v>288</v>
      </c>
      <c r="I2" s="458" t="s">
        <v>313</v>
      </c>
      <c r="J2" s="458" t="s">
        <v>314</v>
      </c>
      <c r="K2" s="458" t="s">
        <v>315</v>
      </c>
      <c r="L2" s="458" t="s">
        <v>316</v>
      </c>
      <c r="M2" s="758" t="s">
        <v>393</v>
      </c>
      <c r="N2" s="638" t="s">
        <v>394</v>
      </c>
      <c r="O2" s="638" t="s">
        <v>395</v>
      </c>
      <c r="P2" s="39"/>
      <c r="Q2" s="104"/>
      <c r="R2" s="104"/>
      <c r="S2" s="104"/>
      <c r="T2" s="104"/>
      <c r="U2" s="1229" t="s">
        <v>396</v>
      </c>
      <c r="V2" s="104"/>
      <c r="W2" s="104"/>
      <c r="X2" s="104"/>
      <c r="Y2" s="104"/>
      <c r="Z2" s="39"/>
      <c r="AA2" s="104"/>
      <c r="AB2" s="104"/>
      <c r="AC2" s="104"/>
      <c r="AD2" s="104"/>
      <c r="AE2" s="1229" t="s">
        <v>397</v>
      </c>
      <c r="AF2" s="104"/>
      <c r="AG2" s="104"/>
      <c r="AH2" s="104"/>
      <c r="AI2" s="104"/>
      <c r="AJ2" s="39"/>
      <c r="AK2" s="104"/>
      <c r="AL2" s="104"/>
      <c r="AM2" s="104"/>
      <c r="AN2" s="104"/>
      <c r="AO2" s="1229" t="s">
        <v>398</v>
      </c>
      <c r="AP2" s="104"/>
      <c r="AQ2" s="104"/>
      <c r="AR2" s="104"/>
      <c r="AS2" s="104"/>
      <c r="AT2" s="104"/>
    </row>
    <row r="3" spans="1:59" ht="13.5" thickBot="1">
      <c r="A3" s="253"/>
      <c r="B3" s="254"/>
      <c r="C3" s="255" t="s">
        <v>399</v>
      </c>
      <c r="D3" s="459"/>
      <c r="E3" s="459"/>
      <c r="F3" s="459"/>
      <c r="G3" s="515"/>
      <c r="H3" s="515"/>
      <c r="I3" s="515"/>
      <c r="J3" s="515"/>
      <c r="K3" s="515"/>
      <c r="L3" s="515"/>
      <c r="M3" s="1348" t="s">
        <v>396</v>
      </c>
      <c r="N3" s="1348" t="s">
        <v>397</v>
      </c>
      <c r="O3" s="1348" t="s">
        <v>398</v>
      </c>
      <c r="P3" s="648"/>
      <c r="Q3" s="26" t="b">
        <f t="shared" ref="Q3:Y3" si="0">NOT(AND(ISERROR(FIND("IRA",D3,1)),ISERROR(FIND("ira",D3,1))))</f>
        <v>0</v>
      </c>
      <c r="R3" s="26" t="b">
        <f t="shared" si="0"/>
        <v>0</v>
      </c>
      <c r="S3" s="26" t="b">
        <f t="shared" si="0"/>
        <v>0</v>
      </c>
      <c r="T3" s="26" t="b">
        <f t="shared" si="0"/>
        <v>0</v>
      </c>
      <c r="U3" s="26" t="b">
        <f t="shared" si="0"/>
        <v>0</v>
      </c>
      <c r="V3" s="26" t="b">
        <f t="shared" si="0"/>
        <v>0</v>
      </c>
      <c r="W3" s="26" t="b">
        <f t="shared" si="0"/>
        <v>0</v>
      </c>
      <c r="X3" s="26" t="b">
        <f t="shared" si="0"/>
        <v>0</v>
      </c>
      <c r="Y3" s="645" t="b">
        <f t="shared" si="0"/>
        <v>0</v>
      </c>
      <c r="Z3" s="60"/>
      <c r="AA3" s="26" t="b">
        <f t="shared" ref="AA3:AI3" si="1">NOT(AND(ISERROR(FIND("P/A",D3,1)),ISERROR(FIND("p/a",D3,1))))</f>
        <v>0</v>
      </c>
      <c r="AB3" s="26" t="b">
        <f t="shared" si="1"/>
        <v>0</v>
      </c>
      <c r="AC3" s="26" t="b">
        <f t="shared" si="1"/>
        <v>0</v>
      </c>
      <c r="AD3" s="26" t="b">
        <f t="shared" si="1"/>
        <v>0</v>
      </c>
      <c r="AE3" s="26" t="b">
        <f t="shared" si="1"/>
        <v>0</v>
      </c>
      <c r="AF3" s="26" t="b">
        <f t="shared" si="1"/>
        <v>0</v>
      </c>
      <c r="AG3" s="26" t="b">
        <f t="shared" si="1"/>
        <v>0</v>
      </c>
      <c r="AH3" s="26" t="b">
        <f t="shared" si="1"/>
        <v>0</v>
      </c>
      <c r="AI3" s="26" t="b">
        <f t="shared" si="1"/>
        <v>0</v>
      </c>
      <c r="AJ3" s="60"/>
      <c r="AK3" s="26" t="b">
        <f>NOT(AND(ISERROR(FIND("CONV",D3,1)),ISERROR(FIND("conv",D3,1))))</f>
        <v>0</v>
      </c>
      <c r="AL3" s="26" t="b">
        <f t="shared" ref="AL3:AS3" si="2">NOT(AND(ISERROR(FIND("CONV",E3,1)),ISERROR(FIND("conv",E3,1))))</f>
        <v>0</v>
      </c>
      <c r="AM3" s="26" t="b">
        <f t="shared" si="2"/>
        <v>0</v>
      </c>
      <c r="AN3" s="26" t="b">
        <f t="shared" si="2"/>
        <v>0</v>
      </c>
      <c r="AO3" s="26" t="b">
        <f t="shared" si="2"/>
        <v>0</v>
      </c>
      <c r="AP3" s="26" t="b">
        <f t="shared" si="2"/>
        <v>0</v>
      </c>
      <c r="AQ3" s="26" t="b">
        <f t="shared" si="2"/>
        <v>0</v>
      </c>
      <c r="AR3" s="26" t="b">
        <f t="shared" si="2"/>
        <v>0</v>
      </c>
      <c r="AS3" s="26" t="b">
        <f t="shared" si="2"/>
        <v>0</v>
      </c>
      <c r="AT3" s="26"/>
    </row>
    <row r="4" spans="1:59" ht="13.5" customHeight="1">
      <c r="A4" s="253"/>
      <c r="B4" s="526">
        <v>1</v>
      </c>
      <c r="C4" s="524" t="s">
        <v>400</v>
      </c>
      <c r="D4" s="604"/>
      <c r="E4" s="605"/>
      <c r="F4" s="605"/>
      <c r="G4" s="605"/>
      <c r="H4" s="605"/>
      <c r="I4" s="605"/>
      <c r="J4" s="605"/>
      <c r="K4" s="605"/>
      <c r="L4" s="647"/>
      <c r="M4" s="1349">
        <f>SUM(Q4:Y4)</f>
        <v>0</v>
      </c>
      <c r="N4" s="1349">
        <f>SUM(AA4:AI4)</f>
        <v>0</v>
      </c>
      <c r="O4" s="1349">
        <f>SUM(AK4:AS4)</f>
        <v>0</v>
      </c>
      <c r="P4" s="1211"/>
      <c r="Q4" s="1344">
        <f t="shared" ref="Q4:Y4" si="3">IF(Q$3,ROUND(D4,0),0)</f>
        <v>0</v>
      </c>
      <c r="R4" s="1344">
        <f t="shared" si="3"/>
        <v>0</v>
      </c>
      <c r="S4" s="1344">
        <f t="shared" si="3"/>
        <v>0</v>
      </c>
      <c r="T4" s="1344">
        <f t="shared" si="3"/>
        <v>0</v>
      </c>
      <c r="U4" s="1344">
        <f t="shared" si="3"/>
        <v>0</v>
      </c>
      <c r="V4" s="1344">
        <f t="shared" si="3"/>
        <v>0</v>
      </c>
      <c r="W4" s="1344">
        <f t="shared" si="3"/>
        <v>0</v>
      </c>
      <c r="X4" s="1344">
        <f t="shared" si="3"/>
        <v>0</v>
      </c>
      <c r="Y4" s="1344">
        <f t="shared" si="3"/>
        <v>0</v>
      </c>
      <c r="Z4" s="1211"/>
      <c r="AA4" s="1344">
        <f>IF(AA$3,ROUND(D4,0),0)</f>
        <v>0</v>
      </c>
      <c r="AB4" s="1344">
        <f>IF(AB$3,ROUND(E4,0),0)</f>
        <v>0</v>
      </c>
      <c r="AC4" s="1344">
        <f t="shared" ref="AC4:AI5" si="4">IF(AC$3,ROUND(F4,0),0)</f>
        <v>0</v>
      </c>
      <c r="AD4" s="1344">
        <f t="shared" si="4"/>
        <v>0</v>
      </c>
      <c r="AE4" s="1344">
        <f t="shared" si="4"/>
        <v>0</v>
      </c>
      <c r="AF4" s="1344">
        <f t="shared" si="4"/>
        <v>0</v>
      </c>
      <c r="AG4" s="1344">
        <f t="shared" si="4"/>
        <v>0</v>
      </c>
      <c r="AH4" s="1344">
        <f t="shared" si="4"/>
        <v>0</v>
      </c>
      <c r="AI4" s="1344">
        <f t="shared" si="4"/>
        <v>0</v>
      </c>
      <c r="AJ4" s="1211"/>
      <c r="AK4" s="1344">
        <f>IF(AK$3,ROUND(D4,0),0)</f>
        <v>0</v>
      </c>
      <c r="AL4" s="1344">
        <f t="shared" ref="AL4:AS4" si="5">IF(AL$3,ROUND(E4,0),0)</f>
        <v>0</v>
      </c>
      <c r="AM4" s="1344">
        <f t="shared" si="5"/>
        <v>0</v>
      </c>
      <c r="AN4" s="1344">
        <f t="shared" si="5"/>
        <v>0</v>
      </c>
      <c r="AO4" s="1344">
        <f t="shared" si="5"/>
        <v>0</v>
      </c>
      <c r="AP4" s="1344">
        <f t="shared" si="5"/>
        <v>0</v>
      </c>
      <c r="AQ4" s="1344">
        <f t="shared" si="5"/>
        <v>0</v>
      </c>
      <c r="AR4" s="1344">
        <f t="shared" si="5"/>
        <v>0</v>
      </c>
      <c r="AS4" s="1344">
        <f t="shared" si="5"/>
        <v>0</v>
      </c>
      <c r="AT4" s="66"/>
    </row>
    <row r="5" spans="1:59" ht="13.5" customHeight="1">
      <c r="A5" s="253"/>
      <c r="B5" s="527" t="s">
        <v>337</v>
      </c>
      <c r="C5" s="525" t="s">
        <v>401</v>
      </c>
      <c r="D5" s="606"/>
      <c r="E5" s="607"/>
      <c r="F5" s="607"/>
      <c r="G5" s="607"/>
      <c r="H5" s="607"/>
      <c r="I5" s="607"/>
      <c r="J5" s="607"/>
      <c r="K5" s="607"/>
      <c r="L5" s="609"/>
      <c r="M5" s="1346">
        <f>SUM(Q5:Y5)</f>
        <v>0</v>
      </c>
      <c r="N5" s="1346">
        <f>SUM(AA5:AI5)</f>
        <v>0</v>
      </c>
      <c r="O5" s="262" t="str">
        <f>IF(SUM(D5:L5)&gt;0,"See note.","- - - -")</f>
        <v>- - - -</v>
      </c>
      <c r="P5" s="1211"/>
      <c r="Q5" s="1344">
        <f t="shared" ref="Q5:Y24" si="6">IF(Q$3,ROUND(D5,0),0)</f>
        <v>0</v>
      </c>
      <c r="R5" s="1344">
        <f t="shared" si="6"/>
        <v>0</v>
      </c>
      <c r="S5" s="1344">
        <f t="shared" si="6"/>
        <v>0</v>
      </c>
      <c r="T5" s="1344">
        <f t="shared" si="6"/>
        <v>0</v>
      </c>
      <c r="U5" s="1344">
        <f t="shared" si="6"/>
        <v>0</v>
      </c>
      <c r="V5" s="1344">
        <f t="shared" si="6"/>
        <v>0</v>
      </c>
      <c r="W5" s="1344">
        <f t="shared" si="6"/>
        <v>0</v>
      </c>
      <c r="X5" s="1344">
        <f t="shared" si="6"/>
        <v>0</v>
      </c>
      <c r="Y5" s="1344">
        <f t="shared" si="6"/>
        <v>0</v>
      </c>
      <c r="Z5" s="1211"/>
      <c r="AA5" s="1344">
        <f t="shared" ref="AA5:AI24" si="7">IF(AA$3,ROUND(D5,0),0)</f>
        <v>0</v>
      </c>
      <c r="AB5" s="1344">
        <f t="shared" si="7"/>
        <v>0</v>
      </c>
      <c r="AC5" s="1344">
        <f t="shared" si="4"/>
        <v>0</v>
      </c>
      <c r="AD5" s="1344">
        <f t="shared" si="4"/>
        <v>0</v>
      </c>
      <c r="AE5" s="1344">
        <f t="shared" si="4"/>
        <v>0</v>
      </c>
      <c r="AF5" s="1344">
        <f t="shared" si="4"/>
        <v>0</v>
      </c>
      <c r="AG5" s="1344">
        <f t="shared" si="4"/>
        <v>0</v>
      </c>
      <c r="AH5" s="1344">
        <f t="shared" si="4"/>
        <v>0</v>
      </c>
      <c r="AI5" s="1344">
        <f t="shared" si="4"/>
        <v>0</v>
      </c>
      <c r="AJ5" s="1211"/>
      <c r="AK5" s="1344" t="str">
        <f>"---"</f>
        <v>---</v>
      </c>
      <c r="AL5" s="1344" t="str">
        <f t="shared" ref="AL5:AS5" si="8">"---"</f>
        <v>---</v>
      </c>
      <c r="AM5" s="1344" t="str">
        <f t="shared" si="8"/>
        <v>---</v>
      </c>
      <c r="AN5" s="1344" t="str">
        <f t="shared" si="8"/>
        <v>---</v>
      </c>
      <c r="AO5" s="1344" t="str">
        <f t="shared" si="8"/>
        <v>---</v>
      </c>
      <c r="AP5" s="1344" t="str">
        <f t="shared" si="8"/>
        <v>---</v>
      </c>
      <c r="AQ5" s="1344" t="str">
        <f t="shared" si="8"/>
        <v>---</v>
      </c>
      <c r="AR5" s="1344" t="str">
        <f t="shared" si="8"/>
        <v>---</v>
      </c>
      <c r="AS5" s="1344" t="str">
        <f t="shared" si="8"/>
        <v>---</v>
      </c>
      <c r="AT5" s="66"/>
    </row>
    <row r="6" spans="1:59" ht="13.5" customHeight="1">
      <c r="A6" s="253"/>
      <c r="B6" s="258" t="s">
        <v>339</v>
      </c>
      <c r="C6" s="259" t="s">
        <v>402</v>
      </c>
      <c r="D6" s="606"/>
      <c r="E6" s="607"/>
      <c r="F6" s="607"/>
      <c r="G6" s="608"/>
      <c r="H6" s="608"/>
      <c r="I6" s="608"/>
      <c r="J6" s="608"/>
      <c r="K6" s="608"/>
      <c r="L6" s="609"/>
      <c r="M6" s="262" t="str">
        <f>" - - - -"</f>
        <v xml:space="preserve"> - - - -</v>
      </c>
      <c r="N6" s="262" t="str">
        <f>" - - - -"</f>
        <v xml:space="preserve"> - - - -</v>
      </c>
      <c r="O6" s="262" t="str">
        <f>" - - - -"</f>
        <v xml:space="preserve"> - - - -</v>
      </c>
      <c r="P6" s="1211"/>
      <c r="Q6" s="1344"/>
      <c r="R6" s="1344"/>
      <c r="S6" s="1344"/>
      <c r="T6" s="1344"/>
      <c r="U6" s="1344"/>
      <c r="V6" s="1344"/>
      <c r="W6" s="1344"/>
      <c r="X6" s="1344"/>
      <c r="Y6" s="1344"/>
      <c r="Z6" s="1211"/>
      <c r="AA6" s="1344"/>
      <c r="AB6" s="1344"/>
      <c r="AC6" s="1344"/>
      <c r="AD6" s="1344"/>
      <c r="AE6" s="1344"/>
      <c r="AF6" s="1344"/>
      <c r="AG6" s="1344"/>
      <c r="AH6" s="1344"/>
      <c r="AI6" s="1344"/>
      <c r="AJ6" s="1211"/>
      <c r="AK6" s="1344"/>
      <c r="AL6" s="1344"/>
      <c r="AM6" s="1344"/>
      <c r="AN6" s="1344"/>
      <c r="AO6" s="1344"/>
      <c r="AP6" s="1344"/>
      <c r="AQ6" s="1344"/>
      <c r="AR6" s="1344"/>
      <c r="AS6" s="1344"/>
      <c r="AT6" s="66"/>
    </row>
    <row r="7" spans="1:59" ht="13.5" customHeight="1">
      <c r="A7" s="253"/>
      <c r="B7" s="258">
        <v>3</v>
      </c>
      <c r="C7" s="259" t="s">
        <v>403</v>
      </c>
      <c r="D7" s="606"/>
      <c r="E7" s="607"/>
      <c r="F7" s="607"/>
      <c r="G7" s="608"/>
      <c r="H7" s="608"/>
      <c r="I7" s="608"/>
      <c r="J7" s="608"/>
      <c r="K7" s="608"/>
      <c r="L7" s="609"/>
      <c r="M7" s="1346">
        <f>SUM(Q7:Y7)</f>
        <v>0</v>
      </c>
      <c r="N7" s="1346">
        <f>SUM(AA7:AI7)</f>
        <v>0</v>
      </c>
      <c r="O7" s="1346">
        <f>SUM(AK7:AS7)</f>
        <v>0</v>
      </c>
      <c r="P7" s="1211"/>
      <c r="Q7" s="1344">
        <f t="shared" si="6"/>
        <v>0</v>
      </c>
      <c r="R7" s="1344">
        <f t="shared" si="6"/>
        <v>0</v>
      </c>
      <c r="S7" s="1344">
        <f t="shared" si="6"/>
        <v>0</v>
      </c>
      <c r="T7" s="1344">
        <f t="shared" si="6"/>
        <v>0</v>
      </c>
      <c r="U7" s="1344">
        <f t="shared" si="6"/>
        <v>0</v>
      </c>
      <c r="V7" s="1344">
        <f t="shared" si="6"/>
        <v>0</v>
      </c>
      <c r="W7" s="1344">
        <f t="shared" si="6"/>
        <v>0</v>
      </c>
      <c r="X7" s="1344">
        <f t="shared" si="6"/>
        <v>0</v>
      </c>
      <c r="Y7" s="1344">
        <f t="shared" si="6"/>
        <v>0</v>
      </c>
      <c r="Z7" s="1211"/>
      <c r="AA7" s="1344">
        <f t="shared" si="7"/>
        <v>0</v>
      </c>
      <c r="AB7" s="1344">
        <f t="shared" si="7"/>
        <v>0</v>
      </c>
      <c r="AC7" s="1344">
        <f t="shared" si="7"/>
        <v>0</v>
      </c>
      <c r="AD7" s="1344">
        <f t="shared" si="7"/>
        <v>0</v>
      </c>
      <c r="AE7" s="1344">
        <f t="shared" si="7"/>
        <v>0</v>
      </c>
      <c r="AF7" s="1344">
        <f t="shared" si="7"/>
        <v>0</v>
      </c>
      <c r="AG7" s="1344">
        <f t="shared" si="7"/>
        <v>0</v>
      </c>
      <c r="AH7" s="1344">
        <f t="shared" si="7"/>
        <v>0</v>
      </c>
      <c r="AI7" s="1344">
        <f t="shared" si="7"/>
        <v>0</v>
      </c>
      <c r="AJ7" s="1211"/>
      <c r="AK7" s="1344">
        <f t="shared" ref="AK7:AS12" si="9">IF(AK$3,ROUND(D7,0),0)</f>
        <v>0</v>
      </c>
      <c r="AL7" s="1344">
        <f t="shared" si="9"/>
        <v>0</v>
      </c>
      <c r="AM7" s="1344">
        <f t="shared" si="9"/>
        <v>0</v>
      </c>
      <c r="AN7" s="1344">
        <f t="shared" si="9"/>
        <v>0</v>
      </c>
      <c r="AO7" s="1344">
        <f t="shared" si="9"/>
        <v>0</v>
      </c>
      <c r="AP7" s="1344">
        <f t="shared" si="9"/>
        <v>0</v>
      </c>
      <c r="AQ7" s="1344">
        <f t="shared" si="9"/>
        <v>0</v>
      </c>
      <c r="AR7" s="1344">
        <f t="shared" si="9"/>
        <v>0</v>
      </c>
      <c r="AS7" s="1344">
        <f t="shared" si="9"/>
        <v>0</v>
      </c>
      <c r="AT7" s="66"/>
    </row>
    <row r="8" spans="1:59" ht="13.5" customHeight="1">
      <c r="A8" s="253"/>
      <c r="B8" s="527">
        <v>4</v>
      </c>
      <c r="C8" s="525" t="s">
        <v>231</v>
      </c>
      <c r="D8" s="606"/>
      <c r="E8" s="607"/>
      <c r="F8" s="607"/>
      <c r="G8" s="608"/>
      <c r="H8" s="608"/>
      <c r="I8" s="608"/>
      <c r="J8" s="608"/>
      <c r="K8" s="608"/>
      <c r="L8" s="609"/>
      <c r="M8" s="1346">
        <f>SUM(Q8:Y8)</f>
        <v>0</v>
      </c>
      <c r="N8" s="1346">
        <f>SUM(AA8:AI8)</f>
        <v>0</v>
      </c>
      <c r="O8" s="1346">
        <f>SUM(AK8:AS8)</f>
        <v>0</v>
      </c>
      <c r="P8" s="1211"/>
      <c r="Q8" s="1344">
        <f t="shared" si="6"/>
        <v>0</v>
      </c>
      <c r="R8" s="1344">
        <f t="shared" si="6"/>
        <v>0</v>
      </c>
      <c r="S8" s="1344">
        <f t="shared" si="6"/>
        <v>0</v>
      </c>
      <c r="T8" s="1344">
        <f t="shared" si="6"/>
        <v>0</v>
      </c>
      <c r="U8" s="1344">
        <f t="shared" si="6"/>
        <v>0</v>
      </c>
      <c r="V8" s="1344">
        <f t="shared" si="6"/>
        <v>0</v>
      </c>
      <c r="W8" s="1344">
        <f t="shared" si="6"/>
        <v>0</v>
      </c>
      <c r="X8" s="1344">
        <f t="shared" si="6"/>
        <v>0</v>
      </c>
      <c r="Y8" s="1344">
        <f t="shared" si="6"/>
        <v>0</v>
      </c>
      <c r="Z8" s="1211"/>
      <c r="AA8" s="1344">
        <f t="shared" si="7"/>
        <v>0</v>
      </c>
      <c r="AB8" s="1344">
        <f t="shared" si="7"/>
        <v>0</v>
      </c>
      <c r="AC8" s="1344">
        <f t="shared" si="7"/>
        <v>0</v>
      </c>
      <c r="AD8" s="1344">
        <f t="shared" si="7"/>
        <v>0</v>
      </c>
      <c r="AE8" s="1344">
        <f t="shared" si="7"/>
        <v>0</v>
      </c>
      <c r="AF8" s="1344">
        <f t="shared" si="7"/>
        <v>0</v>
      </c>
      <c r="AG8" s="1344">
        <f t="shared" si="7"/>
        <v>0</v>
      </c>
      <c r="AH8" s="1344">
        <f t="shared" si="7"/>
        <v>0</v>
      </c>
      <c r="AI8" s="1344">
        <f t="shared" si="7"/>
        <v>0</v>
      </c>
      <c r="AJ8" s="1211"/>
      <c r="AK8" s="1344">
        <f t="shared" si="9"/>
        <v>0</v>
      </c>
      <c r="AL8" s="1344">
        <f t="shared" si="9"/>
        <v>0</v>
      </c>
      <c r="AM8" s="1344">
        <f t="shared" si="9"/>
        <v>0</v>
      </c>
      <c r="AN8" s="1344">
        <f t="shared" si="9"/>
        <v>0</v>
      </c>
      <c r="AO8" s="1344">
        <f t="shared" si="9"/>
        <v>0</v>
      </c>
      <c r="AP8" s="1344">
        <f t="shared" si="9"/>
        <v>0</v>
      </c>
      <c r="AQ8" s="1344">
        <f t="shared" si="9"/>
        <v>0</v>
      </c>
      <c r="AR8" s="1344">
        <f t="shared" si="9"/>
        <v>0</v>
      </c>
      <c r="AS8" s="1344">
        <f t="shared" si="9"/>
        <v>0</v>
      </c>
      <c r="AT8" s="66"/>
    </row>
    <row r="9" spans="1:59" ht="27" customHeight="1">
      <c r="A9" s="253"/>
      <c r="B9" s="260">
        <v>5</v>
      </c>
      <c r="C9" s="261" t="s">
        <v>404</v>
      </c>
      <c r="D9" s="606"/>
      <c r="E9" s="607"/>
      <c r="F9" s="607"/>
      <c r="G9" s="607"/>
      <c r="H9" s="607"/>
      <c r="I9" s="607"/>
      <c r="J9" s="607"/>
      <c r="K9" s="607"/>
      <c r="L9" s="609"/>
      <c r="M9" s="1346">
        <f>SUM(Q9:Y9)</f>
        <v>0</v>
      </c>
      <c r="N9" s="1346">
        <f>SUM(AA9:AI9)</f>
        <v>0</v>
      </c>
      <c r="O9" s="1346">
        <f>SUM(AK9:AS9)</f>
        <v>0</v>
      </c>
      <c r="P9" s="60"/>
      <c r="Q9" s="1344">
        <f t="shared" si="6"/>
        <v>0</v>
      </c>
      <c r="R9" s="1344">
        <f t="shared" si="6"/>
        <v>0</v>
      </c>
      <c r="S9" s="1344">
        <f t="shared" si="6"/>
        <v>0</v>
      </c>
      <c r="T9" s="1344">
        <f t="shared" si="6"/>
        <v>0</v>
      </c>
      <c r="U9" s="1344">
        <f t="shared" si="6"/>
        <v>0</v>
      </c>
      <c r="V9" s="1344">
        <f t="shared" si="6"/>
        <v>0</v>
      </c>
      <c r="W9" s="1344">
        <f t="shared" si="6"/>
        <v>0</v>
      </c>
      <c r="X9" s="1344">
        <f t="shared" si="6"/>
        <v>0</v>
      </c>
      <c r="Y9" s="1344">
        <f t="shared" si="6"/>
        <v>0</v>
      </c>
      <c r="Z9" s="60"/>
      <c r="AA9" s="1344">
        <f t="shared" si="7"/>
        <v>0</v>
      </c>
      <c r="AB9" s="1344">
        <f t="shared" si="7"/>
        <v>0</v>
      </c>
      <c r="AC9" s="1344">
        <f t="shared" si="7"/>
        <v>0</v>
      </c>
      <c r="AD9" s="1344">
        <f t="shared" si="7"/>
        <v>0</v>
      </c>
      <c r="AE9" s="1344">
        <f t="shared" si="7"/>
        <v>0</v>
      </c>
      <c r="AF9" s="1344">
        <f t="shared" si="7"/>
        <v>0</v>
      </c>
      <c r="AG9" s="1344">
        <f t="shared" si="7"/>
        <v>0</v>
      </c>
      <c r="AH9" s="1344">
        <f t="shared" si="7"/>
        <v>0</v>
      </c>
      <c r="AI9" s="1344">
        <f t="shared" si="7"/>
        <v>0</v>
      </c>
      <c r="AJ9" s="60"/>
      <c r="AK9" s="1344">
        <f t="shared" si="9"/>
        <v>0</v>
      </c>
      <c r="AL9" s="1344">
        <f t="shared" si="9"/>
        <v>0</v>
      </c>
      <c r="AM9" s="1344">
        <f t="shared" si="9"/>
        <v>0</v>
      </c>
      <c r="AN9" s="1344">
        <f t="shared" si="9"/>
        <v>0</v>
      </c>
      <c r="AO9" s="1344">
        <f t="shared" si="9"/>
        <v>0</v>
      </c>
      <c r="AP9" s="1344">
        <f t="shared" si="9"/>
        <v>0</v>
      </c>
      <c r="AQ9" s="1344">
        <f t="shared" si="9"/>
        <v>0</v>
      </c>
      <c r="AR9" s="1344">
        <f t="shared" si="9"/>
        <v>0</v>
      </c>
      <c r="AS9" s="1344">
        <f t="shared" si="9"/>
        <v>0</v>
      </c>
      <c r="AT9" s="66"/>
    </row>
    <row r="10" spans="1:59">
      <c r="A10" s="253"/>
      <c r="B10" s="258">
        <v>6</v>
      </c>
      <c r="C10" s="259" t="s">
        <v>405</v>
      </c>
      <c r="D10" s="606"/>
      <c r="E10" s="607"/>
      <c r="F10" s="607"/>
      <c r="G10" s="608"/>
      <c r="H10" s="608"/>
      <c r="I10" s="608"/>
      <c r="J10" s="608"/>
      <c r="K10" s="608"/>
      <c r="L10" s="609"/>
      <c r="M10" s="1346">
        <f>SUM(Q10:Y10)</f>
        <v>0</v>
      </c>
      <c r="N10" s="1346">
        <f>SUM(AA10:AI10)</f>
        <v>0</v>
      </c>
      <c r="O10" s="1346">
        <f>SUM(AK10:AS10)</f>
        <v>0</v>
      </c>
      <c r="P10" s="60"/>
      <c r="Q10" s="1344">
        <f t="shared" si="6"/>
        <v>0</v>
      </c>
      <c r="R10" s="1344">
        <f t="shared" si="6"/>
        <v>0</v>
      </c>
      <c r="S10" s="1344">
        <f t="shared" si="6"/>
        <v>0</v>
      </c>
      <c r="T10" s="1344">
        <f t="shared" si="6"/>
        <v>0</v>
      </c>
      <c r="U10" s="1344">
        <f t="shared" si="6"/>
        <v>0</v>
      </c>
      <c r="V10" s="1344">
        <f t="shared" si="6"/>
        <v>0</v>
      </c>
      <c r="W10" s="1344">
        <f t="shared" si="6"/>
        <v>0</v>
      </c>
      <c r="X10" s="1344">
        <f t="shared" si="6"/>
        <v>0</v>
      </c>
      <c r="Y10" s="1344">
        <f t="shared" si="6"/>
        <v>0</v>
      </c>
      <c r="Z10" s="60"/>
      <c r="AA10" s="1344">
        <f t="shared" si="7"/>
        <v>0</v>
      </c>
      <c r="AB10" s="1344">
        <f t="shared" si="7"/>
        <v>0</v>
      </c>
      <c r="AC10" s="1344">
        <f t="shared" si="7"/>
        <v>0</v>
      </c>
      <c r="AD10" s="1344">
        <f t="shared" si="7"/>
        <v>0</v>
      </c>
      <c r="AE10" s="1344">
        <f t="shared" si="7"/>
        <v>0</v>
      </c>
      <c r="AF10" s="1344">
        <f t="shared" si="7"/>
        <v>0</v>
      </c>
      <c r="AG10" s="1344">
        <f t="shared" si="7"/>
        <v>0</v>
      </c>
      <c r="AH10" s="1344">
        <f t="shared" si="7"/>
        <v>0</v>
      </c>
      <c r="AI10" s="1344">
        <f t="shared" si="7"/>
        <v>0</v>
      </c>
      <c r="AJ10" s="60"/>
      <c r="AK10" s="1344">
        <f t="shared" si="9"/>
        <v>0</v>
      </c>
      <c r="AL10" s="1344">
        <f t="shared" si="9"/>
        <v>0</v>
      </c>
      <c r="AM10" s="1344">
        <f t="shared" si="9"/>
        <v>0</v>
      </c>
      <c r="AN10" s="1344">
        <f t="shared" si="9"/>
        <v>0</v>
      </c>
      <c r="AO10" s="1344">
        <f t="shared" si="9"/>
        <v>0</v>
      </c>
      <c r="AP10" s="1344">
        <f t="shared" si="9"/>
        <v>0</v>
      </c>
      <c r="AQ10" s="1344">
        <f t="shared" si="9"/>
        <v>0</v>
      </c>
      <c r="AR10" s="1344">
        <f t="shared" si="9"/>
        <v>0</v>
      </c>
      <c r="AS10" s="1344">
        <f t="shared" si="9"/>
        <v>0</v>
      </c>
      <c r="AT10" s="66"/>
    </row>
    <row r="11" spans="1:59">
      <c r="A11" s="253"/>
      <c r="B11" s="258">
        <v>7</v>
      </c>
      <c r="C11" s="259" t="s">
        <v>406</v>
      </c>
      <c r="D11" s="741"/>
      <c r="E11" s="742"/>
      <c r="F11" s="742"/>
      <c r="G11" s="743"/>
      <c r="H11" s="743"/>
      <c r="I11" s="743"/>
      <c r="J11" s="743"/>
      <c r="K11" s="743"/>
      <c r="L11" s="744"/>
      <c r="M11" s="620" t="str">
        <f>" - - - -"</f>
        <v xml:space="preserve"> - - - -</v>
      </c>
      <c r="N11" s="620" t="str">
        <f>" - - - -"</f>
        <v xml:space="preserve"> - - - -</v>
      </c>
      <c r="O11" s="620" t="str">
        <f>" - - - -"</f>
        <v xml:space="preserve"> - - - -</v>
      </c>
      <c r="P11" s="60"/>
      <c r="Q11" s="1344"/>
      <c r="R11" s="1344"/>
      <c r="S11" s="1344"/>
      <c r="T11" s="1344"/>
      <c r="U11" s="1344"/>
      <c r="V11" s="1344"/>
      <c r="W11" s="1344"/>
      <c r="X11" s="1344"/>
      <c r="Y11" s="1344"/>
      <c r="Z11" s="60"/>
      <c r="AA11" s="1344"/>
      <c r="AB11" s="1344"/>
      <c r="AC11" s="1344"/>
      <c r="AD11" s="1344"/>
      <c r="AE11" s="1344"/>
      <c r="AF11" s="1344"/>
      <c r="AG11" s="1344"/>
      <c r="AH11" s="1344"/>
      <c r="AI11" s="1344"/>
      <c r="AJ11" s="60"/>
      <c r="AK11" s="1344">
        <f t="shared" si="9"/>
        <v>0</v>
      </c>
      <c r="AL11" s="1344">
        <f t="shared" si="9"/>
        <v>0</v>
      </c>
      <c r="AM11" s="1344">
        <f t="shared" si="9"/>
        <v>0</v>
      </c>
      <c r="AN11" s="1344">
        <f t="shared" si="9"/>
        <v>0</v>
      </c>
      <c r="AO11" s="1344">
        <f t="shared" si="9"/>
        <v>0</v>
      </c>
      <c r="AP11" s="1344">
        <f t="shared" si="9"/>
        <v>0</v>
      </c>
      <c r="AQ11" s="1344">
        <f t="shared" si="9"/>
        <v>0</v>
      </c>
      <c r="AR11" s="1344">
        <f t="shared" si="9"/>
        <v>0</v>
      </c>
      <c r="AS11" s="1344">
        <f t="shared" si="9"/>
        <v>0</v>
      </c>
      <c r="AT11" s="66"/>
    </row>
    <row r="12" spans="1:59">
      <c r="A12" s="253"/>
      <c r="B12" s="258">
        <v>8</v>
      </c>
      <c r="C12" s="259" t="s">
        <v>254</v>
      </c>
      <c r="D12" s="606"/>
      <c r="E12" s="607"/>
      <c r="F12" s="607"/>
      <c r="G12" s="608"/>
      <c r="H12" s="608"/>
      <c r="I12" s="608"/>
      <c r="J12" s="608"/>
      <c r="K12" s="608"/>
      <c r="L12" s="609"/>
      <c r="M12" s="1346">
        <f>SUM(Q12:Y12)</f>
        <v>0</v>
      </c>
      <c r="N12" s="1346">
        <f t="shared" ref="N12:N19" si="10">SUM(AA12:AI12)</f>
        <v>0</v>
      </c>
      <c r="O12" s="1346">
        <f t="shared" ref="O12:O19" si="11">SUM(AK12:AS12)</f>
        <v>0</v>
      </c>
      <c r="P12" s="60"/>
      <c r="Q12" s="1344">
        <f t="shared" si="6"/>
        <v>0</v>
      </c>
      <c r="R12" s="1344">
        <f t="shared" si="6"/>
        <v>0</v>
      </c>
      <c r="S12" s="1344">
        <f t="shared" si="6"/>
        <v>0</v>
      </c>
      <c r="T12" s="1344">
        <f t="shared" si="6"/>
        <v>0</v>
      </c>
      <c r="U12" s="1344">
        <f t="shared" si="6"/>
        <v>0</v>
      </c>
      <c r="V12" s="1344">
        <f t="shared" si="6"/>
        <v>0</v>
      </c>
      <c r="W12" s="1344">
        <f t="shared" si="6"/>
        <v>0</v>
      </c>
      <c r="X12" s="1344">
        <f t="shared" si="6"/>
        <v>0</v>
      </c>
      <c r="Y12" s="1344">
        <f t="shared" si="6"/>
        <v>0</v>
      </c>
      <c r="Z12" s="60"/>
      <c r="AA12" s="1344">
        <f t="shared" si="7"/>
        <v>0</v>
      </c>
      <c r="AB12" s="1344">
        <f t="shared" si="7"/>
        <v>0</v>
      </c>
      <c r="AC12" s="1344">
        <f t="shared" si="7"/>
        <v>0</v>
      </c>
      <c r="AD12" s="1344">
        <f t="shared" si="7"/>
        <v>0</v>
      </c>
      <c r="AE12" s="1344">
        <f t="shared" si="7"/>
        <v>0</v>
      </c>
      <c r="AF12" s="1344">
        <f t="shared" si="7"/>
        <v>0</v>
      </c>
      <c r="AG12" s="1344">
        <f t="shared" si="7"/>
        <v>0</v>
      </c>
      <c r="AH12" s="1344">
        <f t="shared" si="7"/>
        <v>0</v>
      </c>
      <c r="AI12" s="1344">
        <f t="shared" si="7"/>
        <v>0</v>
      </c>
      <c r="AJ12" s="60"/>
      <c r="AK12" s="1344">
        <f t="shared" si="9"/>
        <v>0</v>
      </c>
      <c r="AL12" s="1344">
        <f t="shared" si="9"/>
        <v>0</v>
      </c>
      <c r="AM12" s="1344">
        <f t="shared" si="9"/>
        <v>0</v>
      </c>
      <c r="AN12" s="1344">
        <f t="shared" si="9"/>
        <v>0</v>
      </c>
      <c r="AO12" s="1344">
        <f t="shared" si="9"/>
        <v>0</v>
      </c>
      <c r="AP12" s="1344">
        <f t="shared" si="9"/>
        <v>0</v>
      </c>
      <c r="AQ12" s="1344">
        <f t="shared" si="9"/>
        <v>0</v>
      </c>
      <c r="AR12" s="1344">
        <f t="shared" si="9"/>
        <v>0</v>
      </c>
      <c r="AS12" s="1344">
        <f t="shared" si="9"/>
        <v>0</v>
      </c>
      <c r="AT12" s="66"/>
      <c r="AV12" s="664"/>
    </row>
    <row r="13" spans="1:59">
      <c r="A13" s="253"/>
      <c r="B13" s="258" t="s">
        <v>407</v>
      </c>
      <c r="C13" s="259" t="s">
        <v>408</v>
      </c>
      <c r="D13" s="612"/>
      <c r="E13" s="613"/>
      <c r="F13" s="613"/>
      <c r="G13" s="614"/>
      <c r="H13" s="614"/>
      <c r="I13" s="614"/>
      <c r="J13" s="614"/>
      <c r="K13" s="614"/>
      <c r="L13" s="615"/>
      <c r="M13" s="621">
        <f>SUM(Q13:Y13)</f>
        <v>0</v>
      </c>
      <c r="N13" s="621">
        <f t="shared" si="10"/>
        <v>0</v>
      </c>
      <c r="O13" s="621">
        <f t="shared" si="11"/>
        <v>0</v>
      </c>
      <c r="P13" s="60"/>
      <c r="Q13" s="1345">
        <f t="shared" ref="Q13:Y13" si="12">IF(Q3,D13,0)</f>
        <v>0</v>
      </c>
      <c r="R13" s="1345">
        <f t="shared" si="12"/>
        <v>0</v>
      </c>
      <c r="S13" s="1345">
        <f t="shared" si="12"/>
        <v>0</v>
      </c>
      <c r="T13" s="1345">
        <f t="shared" si="12"/>
        <v>0</v>
      </c>
      <c r="U13" s="1345">
        <f t="shared" si="12"/>
        <v>0</v>
      </c>
      <c r="V13" s="1345">
        <f t="shared" si="12"/>
        <v>0</v>
      </c>
      <c r="W13" s="1345">
        <f t="shared" si="12"/>
        <v>0</v>
      </c>
      <c r="X13" s="1345">
        <f t="shared" si="12"/>
        <v>0</v>
      </c>
      <c r="Y13" s="1345">
        <f t="shared" si="12"/>
        <v>0</v>
      </c>
      <c r="Z13" s="60"/>
      <c r="AA13" s="1345">
        <f t="shared" ref="AA13:AI13" si="13">IF(AA3,D13,0)</f>
        <v>0</v>
      </c>
      <c r="AB13" s="1345">
        <f t="shared" si="13"/>
        <v>0</v>
      </c>
      <c r="AC13" s="1345">
        <f t="shared" si="13"/>
        <v>0</v>
      </c>
      <c r="AD13" s="1345">
        <f t="shared" si="13"/>
        <v>0</v>
      </c>
      <c r="AE13" s="1345">
        <f t="shared" si="13"/>
        <v>0</v>
      </c>
      <c r="AF13" s="1345">
        <f t="shared" si="13"/>
        <v>0</v>
      </c>
      <c r="AG13" s="1345">
        <f t="shared" si="13"/>
        <v>0</v>
      </c>
      <c r="AH13" s="1345">
        <f t="shared" si="13"/>
        <v>0</v>
      </c>
      <c r="AI13" s="1345">
        <f t="shared" si="13"/>
        <v>0</v>
      </c>
      <c r="AJ13" s="60"/>
      <c r="AK13" s="1345">
        <f t="shared" ref="AK13:AS13" si="14">IF(AK3,D13,0)</f>
        <v>0</v>
      </c>
      <c r="AL13" s="1345">
        <f t="shared" si="14"/>
        <v>0</v>
      </c>
      <c r="AM13" s="1345">
        <f t="shared" si="14"/>
        <v>0</v>
      </c>
      <c r="AN13" s="1345">
        <f t="shared" si="14"/>
        <v>0</v>
      </c>
      <c r="AO13" s="1345">
        <f t="shared" si="14"/>
        <v>0</v>
      </c>
      <c r="AP13" s="1345">
        <f t="shared" si="14"/>
        <v>0</v>
      </c>
      <c r="AQ13" s="1345">
        <f t="shared" si="14"/>
        <v>0</v>
      </c>
      <c r="AR13" s="1345">
        <f t="shared" si="14"/>
        <v>0</v>
      </c>
      <c r="AS13" s="1345">
        <f t="shared" si="14"/>
        <v>0</v>
      </c>
      <c r="AT13" s="1399"/>
    </row>
    <row r="14" spans="1:59">
      <c r="A14" s="253"/>
      <c r="B14" s="258" t="s">
        <v>409</v>
      </c>
      <c r="C14" s="259" t="s">
        <v>410</v>
      </c>
      <c r="D14" s="606"/>
      <c r="E14" s="607"/>
      <c r="F14" s="607"/>
      <c r="G14" s="608"/>
      <c r="H14" s="608"/>
      <c r="I14" s="608"/>
      <c r="J14" s="608"/>
      <c r="K14" s="608"/>
      <c r="L14" s="609"/>
      <c r="M14" s="1346">
        <f t="shared" ref="M14:M19" si="15">SUM(Q14:Y14)</f>
        <v>0</v>
      </c>
      <c r="N14" s="1346">
        <f t="shared" si="10"/>
        <v>0</v>
      </c>
      <c r="O14" s="1346">
        <f t="shared" si="11"/>
        <v>0</v>
      </c>
      <c r="P14" s="60"/>
      <c r="Q14" s="1344">
        <f t="shared" si="6"/>
        <v>0</v>
      </c>
      <c r="R14" s="1344">
        <f t="shared" si="6"/>
        <v>0</v>
      </c>
      <c r="S14" s="1344">
        <f t="shared" si="6"/>
        <v>0</v>
      </c>
      <c r="T14" s="1344">
        <f t="shared" si="6"/>
        <v>0</v>
      </c>
      <c r="U14" s="1344">
        <f t="shared" si="6"/>
        <v>0</v>
      </c>
      <c r="V14" s="1344">
        <f t="shared" si="6"/>
        <v>0</v>
      </c>
      <c r="W14" s="1344">
        <f t="shared" si="6"/>
        <v>0</v>
      </c>
      <c r="X14" s="1344">
        <f t="shared" si="6"/>
        <v>0</v>
      </c>
      <c r="Y14" s="1344">
        <f t="shared" si="6"/>
        <v>0</v>
      </c>
      <c r="Z14" s="60"/>
      <c r="AA14" s="1344">
        <f t="shared" si="7"/>
        <v>0</v>
      </c>
      <c r="AB14" s="1344">
        <f t="shared" si="7"/>
        <v>0</v>
      </c>
      <c r="AC14" s="1344">
        <f t="shared" si="7"/>
        <v>0</v>
      </c>
      <c r="AD14" s="1344">
        <f t="shared" si="7"/>
        <v>0</v>
      </c>
      <c r="AE14" s="1344">
        <f t="shared" si="7"/>
        <v>0</v>
      </c>
      <c r="AF14" s="1344">
        <f t="shared" si="7"/>
        <v>0</v>
      </c>
      <c r="AG14" s="1344">
        <f t="shared" si="7"/>
        <v>0</v>
      </c>
      <c r="AH14" s="1344">
        <f t="shared" si="7"/>
        <v>0</v>
      </c>
      <c r="AI14" s="1344">
        <f t="shared" si="7"/>
        <v>0</v>
      </c>
      <c r="AJ14" s="60"/>
      <c r="AK14" s="1344">
        <f t="shared" ref="AK14:AS24" si="16">IF(AK$3,ROUND(D14,0),0)</f>
        <v>0</v>
      </c>
      <c r="AL14" s="1344">
        <f t="shared" si="16"/>
        <v>0</v>
      </c>
      <c r="AM14" s="1344">
        <f t="shared" si="16"/>
        <v>0</v>
      </c>
      <c r="AN14" s="1344">
        <f t="shared" si="16"/>
        <v>0</v>
      </c>
      <c r="AO14" s="1344">
        <f t="shared" si="16"/>
        <v>0</v>
      </c>
      <c r="AP14" s="1344">
        <f t="shared" si="16"/>
        <v>0</v>
      </c>
      <c r="AQ14" s="1344">
        <f t="shared" si="16"/>
        <v>0</v>
      </c>
      <c r="AR14" s="1344">
        <f t="shared" si="16"/>
        <v>0</v>
      </c>
      <c r="AS14" s="1344">
        <f t="shared" si="16"/>
        <v>0</v>
      </c>
      <c r="AT14" s="66"/>
      <c r="AV14" s="664"/>
    </row>
    <row r="15" spans="1:59">
      <c r="A15" s="253"/>
      <c r="B15" s="258">
        <v>10</v>
      </c>
      <c r="C15" s="259" t="s">
        <v>411</v>
      </c>
      <c r="D15" s="606"/>
      <c r="E15" s="607"/>
      <c r="F15" s="607"/>
      <c r="G15" s="608"/>
      <c r="H15" s="608"/>
      <c r="I15" s="608"/>
      <c r="J15" s="608"/>
      <c r="K15" s="608"/>
      <c r="L15" s="609"/>
      <c r="M15" s="1346">
        <f t="shared" si="15"/>
        <v>0</v>
      </c>
      <c r="N15" s="1346">
        <f t="shared" si="10"/>
        <v>0</v>
      </c>
      <c r="O15" s="1346">
        <f t="shared" si="11"/>
        <v>0</v>
      </c>
      <c r="P15" s="60"/>
      <c r="Q15" s="1344">
        <f t="shared" si="6"/>
        <v>0</v>
      </c>
      <c r="R15" s="1344">
        <f t="shared" si="6"/>
        <v>0</v>
      </c>
      <c r="S15" s="1344">
        <f t="shared" si="6"/>
        <v>0</v>
      </c>
      <c r="T15" s="1344">
        <f t="shared" si="6"/>
        <v>0</v>
      </c>
      <c r="U15" s="1344">
        <f t="shared" si="6"/>
        <v>0</v>
      </c>
      <c r="V15" s="1344">
        <f t="shared" si="6"/>
        <v>0</v>
      </c>
      <c r="W15" s="1344">
        <f t="shared" si="6"/>
        <v>0</v>
      </c>
      <c r="X15" s="1344">
        <f t="shared" si="6"/>
        <v>0</v>
      </c>
      <c r="Y15" s="1344">
        <f t="shared" si="6"/>
        <v>0</v>
      </c>
      <c r="Z15" s="60"/>
      <c r="AA15" s="1344">
        <f t="shared" si="7"/>
        <v>0</v>
      </c>
      <c r="AB15" s="1344">
        <f t="shared" si="7"/>
        <v>0</v>
      </c>
      <c r="AC15" s="1344">
        <f t="shared" si="7"/>
        <v>0</v>
      </c>
      <c r="AD15" s="1344">
        <f t="shared" si="7"/>
        <v>0</v>
      </c>
      <c r="AE15" s="1344">
        <f t="shared" si="7"/>
        <v>0</v>
      </c>
      <c r="AF15" s="1344">
        <f t="shared" si="7"/>
        <v>0</v>
      </c>
      <c r="AG15" s="1344">
        <f t="shared" si="7"/>
        <v>0</v>
      </c>
      <c r="AH15" s="1344">
        <f t="shared" si="7"/>
        <v>0</v>
      </c>
      <c r="AI15" s="1344">
        <f t="shared" si="7"/>
        <v>0</v>
      </c>
      <c r="AJ15" s="60"/>
      <c r="AK15" s="1344">
        <f t="shared" si="16"/>
        <v>0</v>
      </c>
      <c r="AL15" s="1344">
        <f t="shared" si="16"/>
        <v>0</v>
      </c>
      <c r="AM15" s="1344">
        <f t="shared" si="16"/>
        <v>0</v>
      </c>
      <c r="AN15" s="1344">
        <f t="shared" si="16"/>
        <v>0</v>
      </c>
      <c r="AO15" s="1344">
        <f t="shared" si="16"/>
        <v>0</v>
      </c>
      <c r="AP15" s="1344">
        <f t="shared" si="16"/>
        <v>0</v>
      </c>
      <c r="AQ15" s="1344">
        <f t="shared" si="16"/>
        <v>0</v>
      </c>
      <c r="AR15" s="1344">
        <f t="shared" si="16"/>
        <v>0</v>
      </c>
      <c r="AS15" s="1344">
        <f t="shared" si="16"/>
        <v>0</v>
      </c>
      <c r="AT15" s="66"/>
    </row>
    <row r="16" spans="1:59">
      <c r="A16" s="253"/>
      <c r="B16" s="258">
        <v>11</v>
      </c>
      <c r="C16" s="259" t="s">
        <v>412</v>
      </c>
      <c r="D16" s="606"/>
      <c r="E16" s="607"/>
      <c r="F16" s="607"/>
      <c r="G16" s="608"/>
      <c r="H16" s="608"/>
      <c r="I16" s="608"/>
      <c r="J16" s="608"/>
      <c r="K16" s="608"/>
      <c r="L16" s="609"/>
      <c r="M16" s="1346">
        <f t="shared" si="15"/>
        <v>0</v>
      </c>
      <c r="N16" s="1346">
        <f t="shared" si="10"/>
        <v>0</v>
      </c>
      <c r="O16" s="1346">
        <f t="shared" si="11"/>
        <v>0</v>
      </c>
      <c r="P16" s="60"/>
      <c r="Q16" s="1344">
        <f t="shared" si="6"/>
        <v>0</v>
      </c>
      <c r="R16" s="1344">
        <f t="shared" si="6"/>
        <v>0</v>
      </c>
      <c r="S16" s="1344">
        <f t="shared" si="6"/>
        <v>0</v>
      </c>
      <c r="T16" s="1344">
        <f t="shared" si="6"/>
        <v>0</v>
      </c>
      <c r="U16" s="1344">
        <f t="shared" si="6"/>
        <v>0</v>
      </c>
      <c r="V16" s="1344">
        <f t="shared" si="6"/>
        <v>0</v>
      </c>
      <c r="W16" s="1344">
        <f t="shared" si="6"/>
        <v>0</v>
      </c>
      <c r="X16" s="1344">
        <f t="shared" si="6"/>
        <v>0</v>
      </c>
      <c r="Y16" s="1344">
        <f t="shared" si="6"/>
        <v>0</v>
      </c>
      <c r="Z16" s="60"/>
      <c r="AA16" s="1344">
        <f t="shared" si="7"/>
        <v>0</v>
      </c>
      <c r="AB16" s="1344">
        <f t="shared" si="7"/>
        <v>0</v>
      </c>
      <c r="AC16" s="1344">
        <f t="shared" si="7"/>
        <v>0</v>
      </c>
      <c r="AD16" s="1344">
        <f t="shared" si="7"/>
        <v>0</v>
      </c>
      <c r="AE16" s="1344">
        <f t="shared" si="7"/>
        <v>0</v>
      </c>
      <c r="AF16" s="1344">
        <f t="shared" si="7"/>
        <v>0</v>
      </c>
      <c r="AG16" s="1344">
        <f t="shared" si="7"/>
        <v>0</v>
      </c>
      <c r="AH16" s="1344">
        <f t="shared" si="7"/>
        <v>0</v>
      </c>
      <c r="AI16" s="1344">
        <f t="shared" si="7"/>
        <v>0</v>
      </c>
      <c r="AJ16" s="60"/>
      <c r="AK16" s="1344">
        <f t="shared" si="16"/>
        <v>0</v>
      </c>
      <c r="AL16" s="1344">
        <f t="shared" si="16"/>
        <v>0</v>
      </c>
      <c r="AM16" s="1344">
        <f t="shared" si="16"/>
        <v>0</v>
      </c>
      <c r="AN16" s="1344">
        <f t="shared" si="16"/>
        <v>0</v>
      </c>
      <c r="AO16" s="1344">
        <f t="shared" si="16"/>
        <v>0</v>
      </c>
      <c r="AP16" s="1344">
        <f t="shared" si="16"/>
        <v>0</v>
      </c>
      <c r="AQ16" s="1344">
        <f t="shared" si="16"/>
        <v>0</v>
      </c>
      <c r="AR16" s="1344">
        <f t="shared" si="16"/>
        <v>0</v>
      </c>
      <c r="AS16" s="1344">
        <f t="shared" si="16"/>
        <v>0</v>
      </c>
      <c r="AT16" s="66"/>
    </row>
    <row r="17" spans="1:46">
      <c r="A17" s="253"/>
      <c r="B17" s="258">
        <v>12</v>
      </c>
      <c r="C17" s="259" t="s">
        <v>349</v>
      </c>
      <c r="D17" s="606"/>
      <c r="E17" s="607"/>
      <c r="F17" s="607"/>
      <c r="G17" s="608"/>
      <c r="H17" s="608"/>
      <c r="I17" s="608"/>
      <c r="J17" s="608"/>
      <c r="K17" s="608"/>
      <c r="L17" s="609"/>
      <c r="M17" s="620" t="str">
        <f t="shared" ref="M17:O18" si="17">" - - - -"</f>
        <v xml:space="preserve"> - - - -</v>
      </c>
      <c r="N17" s="620" t="str">
        <f t="shared" si="17"/>
        <v xml:space="preserve"> - - - -</v>
      </c>
      <c r="O17" s="620" t="str">
        <f t="shared" si="17"/>
        <v xml:space="preserve"> - - - -</v>
      </c>
      <c r="P17" s="60"/>
      <c r="Q17" s="1344">
        <f t="shared" si="6"/>
        <v>0</v>
      </c>
      <c r="R17" s="1344">
        <f t="shared" si="6"/>
        <v>0</v>
      </c>
      <c r="S17" s="1344">
        <f t="shared" si="6"/>
        <v>0</v>
      </c>
      <c r="T17" s="1344">
        <f t="shared" si="6"/>
        <v>0</v>
      </c>
      <c r="U17" s="1344">
        <f t="shared" si="6"/>
        <v>0</v>
      </c>
      <c r="V17" s="1344">
        <f t="shared" si="6"/>
        <v>0</v>
      </c>
      <c r="W17" s="1344">
        <f t="shared" si="6"/>
        <v>0</v>
      </c>
      <c r="X17" s="1344">
        <f t="shared" si="6"/>
        <v>0</v>
      </c>
      <c r="Y17" s="1344">
        <f t="shared" si="6"/>
        <v>0</v>
      </c>
      <c r="Z17" s="60"/>
      <c r="AA17" s="1344">
        <f t="shared" si="7"/>
        <v>0</v>
      </c>
      <c r="AB17" s="1344">
        <f t="shared" si="7"/>
        <v>0</v>
      </c>
      <c r="AC17" s="1344">
        <f t="shared" si="7"/>
        <v>0</v>
      </c>
      <c r="AD17" s="1344">
        <f t="shared" si="7"/>
        <v>0</v>
      </c>
      <c r="AE17" s="1344">
        <f t="shared" si="7"/>
        <v>0</v>
      </c>
      <c r="AF17" s="1344">
        <f t="shared" si="7"/>
        <v>0</v>
      </c>
      <c r="AG17" s="1344">
        <f t="shared" si="7"/>
        <v>0</v>
      </c>
      <c r="AH17" s="1344">
        <f t="shared" si="7"/>
        <v>0</v>
      </c>
      <c r="AI17" s="1344">
        <f t="shared" si="7"/>
        <v>0</v>
      </c>
      <c r="AJ17" s="60"/>
      <c r="AK17" s="1344">
        <f t="shared" si="16"/>
        <v>0</v>
      </c>
      <c r="AL17" s="1344">
        <f t="shared" si="16"/>
        <v>0</v>
      </c>
      <c r="AM17" s="1344">
        <f t="shared" si="16"/>
        <v>0</v>
      </c>
      <c r="AN17" s="1344">
        <f t="shared" si="16"/>
        <v>0</v>
      </c>
      <c r="AO17" s="1344">
        <f t="shared" si="16"/>
        <v>0</v>
      </c>
      <c r="AP17" s="1344">
        <f t="shared" si="16"/>
        <v>0</v>
      </c>
      <c r="AQ17" s="1344">
        <f t="shared" si="16"/>
        <v>0</v>
      </c>
      <c r="AR17" s="1344">
        <f t="shared" si="16"/>
        <v>0</v>
      </c>
      <c r="AS17" s="1344">
        <f t="shared" si="16"/>
        <v>0</v>
      </c>
      <c r="AT17" s="66"/>
    </row>
    <row r="18" spans="1:46">
      <c r="A18" s="253"/>
      <c r="B18" s="258">
        <v>13</v>
      </c>
      <c r="C18" s="259" t="s">
        <v>413</v>
      </c>
      <c r="D18" s="606"/>
      <c r="E18" s="607"/>
      <c r="F18" s="607"/>
      <c r="G18" s="608"/>
      <c r="H18" s="608"/>
      <c r="I18" s="608"/>
      <c r="J18" s="608"/>
      <c r="K18" s="608"/>
      <c r="L18" s="609"/>
      <c r="M18" s="620" t="str">
        <f t="shared" si="17"/>
        <v xml:space="preserve"> - - - -</v>
      </c>
      <c r="N18" s="620" t="str">
        <f t="shared" si="17"/>
        <v xml:space="preserve"> - - - -</v>
      </c>
      <c r="O18" s="620" t="str">
        <f t="shared" si="17"/>
        <v xml:space="preserve"> - - - -</v>
      </c>
      <c r="P18" s="60"/>
      <c r="Q18" s="1344">
        <f t="shared" si="6"/>
        <v>0</v>
      </c>
      <c r="R18" s="1344">
        <f t="shared" si="6"/>
        <v>0</v>
      </c>
      <c r="S18" s="1344">
        <f t="shared" si="6"/>
        <v>0</v>
      </c>
      <c r="T18" s="1344">
        <f t="shared" si="6"/>
        <v>0</v>
      </c>
      <c r="U18" s="1344">
        <f t="shared" si="6"/>
        <v>0</v>
      </c>
      <c r="V18" s="1344">
        <f t="shared" si="6"/>
        <v>0</v>
      </c>
      <c r="W18" s="1344">
        <f t="shared" si="6"/>
        <v>0</v>
      </c>
      <c r="X18" s="1344">
        <f t="shared" si="6"/>
        <v>0</v>
      </c>
      <c r="Y18" s="1344">
        <f t="shared" si="6"/>
        <v>0</v>
      </c>
      <c r="Z18" s="60"/>
      <c r="AA18" s="1344">
        <f t="shared" si="7"/>
        <v>0</v>
      </c>
      <c r="AB18" s="1344">
        <f t="shared" si="7"/>
        <v>0</v>
      </c>
      <c r="AC18" s="1344">
        <f t="shared" si="7"/>
        <v>0</v>
      </c>
      <c r="AD18" s="1344">
        <f t="shared" si="7"/>
        <v>0</v>
      </c>
      <c r="AE18" s="1344">
        <f t="shared" si="7"/>
        <v>0</v>
      </c>
      <c r="AF18" s="1344">
        <f t="shared" si="7"/>
        <v>0</v>
      </c>
      <c r="AG18" s="1344">
        <f t="shared" si="7"/>
        <v>0</v>
      </c>
      <c r="AH18" s="1344">
        <f t="shared" si="7"/>
        <v>0</v>
      </c>
      <c r="AI18" s="1344">
        <f t="shared" si="7"/>
        <v>0</v>
      </c>
      <c r="AJ18" s="60"/>
      <c r="AK18" s="1344">
        <f t="shared" si="16"/>
        <v>0</v>
      </c>
      <c r="AL18" s="1344">
        <f t="shared" si="16"/>
        <v>0</v>
      </c>
      <c r="AM18" s="1344">
        <f t="shared" si="16"/>
        <v>0</v>
      </c>
      <c r="AN18" s="1344">
        <f t="shared" si="16"/>
        <v>0</v>
      </c>
      <c r="AO18" s="1344">
        <f t="shared" si="16"/>
        <v>0</v>
      </c>
      <c r="AP18" s="1344">
        <f t="shared" si="16"/>
        <v>0</v>
      </c>
      <c r="AQ18" s="1344">
        <f t="shared" si="16"/>
        <v>0</v>
      </c>
      <c r="AR18" s="1344">
        <f t="shared" si="16"/>
        <v>0</v>
      </c>
      <c r="AS18" s="1344">
        <f t="shared" si="16"/>
        <v>0</v>
      </c>
      <c r="AT18" s="66"/>
    </row>
    <row r="19" spans="1:46">
      <c r="A19" s="253"/>
      <c r="B19" s="527">
        <v>14</v>
      </c>
      <c r="C19" s="525" t="s">
        <v>311</v>
      </c>
      <c r="D19" s="606"/>
      <c r="E19" s="607"/>
      <c r="F19" s="607"/>
      <c r="G19" s="608"/>
      <c r="H19" s="608"/>
      <c r="I19" s="608"/>
      <c r="J19" s="608"/>
      <c r="K19" s="608"/>
      <c r="L19" s="609"/>
      <c r="M19" s="1346">
        <f t="shared" si="15"/>
        <v>0</v>
      </c>
      <c r="N19" s="1346">
        <f t="shared" si="10"/>
        <v>0</v>
      </c>
      <c r="O19" s="1346">
        <f t="shared" si="11"/>
        <v>0</v>
      </c>
      <c r="P19" s="60"/>
      <c r="Q19" s="1344">
        <f t="shared" si="6"/>
        <v>0</v>
      </c>
      <c r="R19" s="1344">
        <f t="shared" si="6"/>
        <v>0</v>
      </c>
      <c r="S19" s="1344">
        <f t="shared" si="6"/>
        <v>0</v>
      </c>
      <c r="T19" s="1344">
        <f t="shared" si="6"/>
        <v>0</v>
      </c>
      <c r="U19" s="1344">
        <f t="shared" si="6"/>
        <v>0</v>
      </c>
      <c r="V19" s="1344">
        <f t="shared" si="6"/>
        <v>0</v>
      </c>
      <c r="W19" s="1344">
        <f t="shared" si="6"/>
        <v>0</v>
      </c>
      <c r="X19" s="1344">
        <f t="shared" si="6"/>
        <v>0</v>
      </c>
      <c r="Y19" s="1344">
        <f t="shared" si="6"/>
        <v>0</v>
      </c>
      <c r="Z19" s="60"/>
      <c r="AA19" s="1344">
        <f t="shared" si="7"/>
        <v>0</v>
      </c>
      <c r="AB19" s="1344">
        <f t="shared" si="7"/>
        <v>0</v>
      </c>
      <c r="AC19" s="1344">
        <f t="shared" si="7"/>
        <v>0</v>
      </c>
      <c r="AD19" s="1344">
        <f t="shared" si="7"/>
        <v>0</v>
      </c>
      <c r="AE19" s="1344">
        <f t="shared" si="7"/>
        <v>0</v>
      </c>
      <c r="AF19" s="1344">
        <f t="shared" si="7"/>
        <v>0</v>
      </c>
      <c r="AG19" s="1344">
        <f t="shared" si="7"/>
        <v>0</v>
      </c>
      <c r="AH19" s="1344">
        <f t="shared" si="7"/>
        <v>0</v>
      </c>
      <c r="AI19" s="1344">
        <f t="shared" si="7"/>
        <v>0</v>
      </c>
      <c r="AJ19" s="60"/>
      <c r="AK19" s="1344">
        <f t="shared" si="16"/>
        <v>0</v>
      </c>
      <c r="AL19" s="1344">
        <f t="shared" si="16"/>
        <v>0</v>
      </c>
      <c r="AM19" s="1344">
        <f t="shared" si="16"/>
        <v>0</v>
      </c>
      <c r="AN19" s="1344">
        <f t="shared" si="16"/>
        <v>0</v>
      </c>
      <c r="AO19" s="1344">
        <f t="shared" si="16"/>
        <v>0</v>
      </c>
      <c r="AP19" s="1344">
        <f t="shared" si="16"/>
        <v>0</v>
      </c>
      <c r="AQ19" s="1344">
        <f t="shared" si="16"/>
        <v>0</v>
      </c>
      <c r="AR19" s="1344">
        <f t="shared" si="16"/>
        <v>0</v>
      </c>
      <c r="AS19" s="1344">
        <f t="shared" si="16"/>
        <v>0</v>
      </c>
      <c r="AT19" s="66"/>
    </row>
    <row r="20" spans="1:46">
      <c r="A20" s="253"/>
      <c r="B20" s="258">
        <v>15</v>
      </c>
      <c r="C20" s="259" t="s">
        <v>414</v>
      </c>
      <c r="D20" s="597"/>
      <c r="E20" s="598"/>
      <c r="F20" s="598"/>
      <c r="G20" s="599"/>
      <c r="H20" s="599"/>
      <c r="I20" s="599"/>
      <c r="J20" s="599"/>
      <c r="K20" s="599"/>
      <c r="L20" s="600"/>
      <c r="M20" s="620" t="str">
        <f>" - - - -"</f>
        <v xml:space="preserve"> - - - -</v>
      </c>
      <c r="N20" s="620" t="str">
        <f>" - - - -"</f>
        <v xml:space="preserve"> - - - -</v>
      </c>
      <c r="O20" s="620" t="str">
        <f>" - - - -"</f>
        <v xml:space="preserve"> - - - -</v>
      </c>
      <c r="P20" s="60"/>
      <c r="Q20" s="1344"/>
      <c r="R20" s="1344"/>
      <c r="S20" s="1344"/>
      <c r="T20" s="1344"/>
      <c r="U20" s="1344"/>
      <c r="V20" s="1344"/>
      <c r="W20" s="1344"/>
      <c r="X20" s="1344"/>
      <c r="Y20" s="1344"/>
      <c r="Z20" s="60"/>
      <c r="AA20" s="1344"/>
      <c r="AB20" s="1344"/>
      <c r="AC20" s="1344"/>
      <c r="AD20" s="1344"/>
      <c r="AE20" s="1344"/>
      <c r="AF20" s="1344"/>
      <c r="AG20" s="1344"/>
      <c r="AH20" s="1344"/>
      <c r="AI20" s="1344"/>
      <c r="AJ20" s="60"/>
      <c r="AK20" s="1344"/>
      <c r="AL20" s="1344"/>
      <c r="AM20" s="1344"/>
      <c r="AN20" s="1344"/>
      <c r="AO20" s="1344"/>
      <c r="AP20" s="1344"/>
      <c r="AQ20" s="1344"/>
      <c r="AR20" s="1344"/>
      <c r="AS20" s="1344"/>
      <c r="AT20" s="66"/>
    </row>
    <row r="21" spans="1:46">
      <c r="A21" s="253"/>
      <c r="B21" s="258">
        <v>16</v>
      </c>
      <c r="C21" s="259" t="s">
        <v>415</v>
      </c>
      <c r="D21" s="606"/>
      <c r="E21" s="607"/>
      <c r="F21" s="607"/>
      <c r="G21" s="608"/>
      <c r="H21" s="608"/>
      <c r="I21" s="608"/>
      <c r="J21" s="608"/>
      <c r="K21" s="608"/>
      <c r="L21" s="609"/>
      <c r="M21" s="1346">
        <f>SUM(Q21:Y21)</f>
        <v>0</v>
      </c>
      <c r="N21" s="1346">
        <f>SUM(AA21:AI21)</f>
        <v>0</v>
      </c>
      <c r="O21" s="1346">
        <f>SUM(AK21:AS21)</f>
        <v>0</v>
      </c>
      <c r="P21" s="60"/>
      <c r="Q21" s="1344">
        <f t="shared" si="6"/>
        <v>0</v>
      </c>
      <c r="R21" s="1344">
        <f t="shared" si="6"/>
        <v>0</v>
      </c>
      <c r="S21" s="1344">
        <f t="shared" si="6"/>
        <v>0</v>
      </c>
      <c r="T21" s="1344">
        <f t="shared" si="6"/>
        <v>0</v>
      </c>
      <c r="U21" s="1344">
        <f t="shared" si="6"/>
        <v>0</v>
      </c>
      <c r="V21" s="1344">
        <f t="shared" si="6"/>
        <v>0</v>
      </c>
      <c r="W21" s="1344">
        <f t="shared" si="6"/>
        <v>0</v>
      </c>
      <c r="X21" s="1344">
        <f t="shared" si="6"/>
        <v>0</v>
      </c>
      <c r="Y21" s="1344">
        <f t="shared" si="6"/>
        <v>0</v>
      </c>
      <c r="Z21" s="60"/>
      <c r="AA21" s="1344">
        <f t="shared" si="7"/>
        <v>0</v>
      </c>
      <c r="AB21" s="1344">
        <f t="shared" si="7"/>
        <v>0</v>
      </c>
      <c r="AC21" s="1344">
        <f t="shared" si="7"/>
        <v>0</v>
      </c>
      <c r="AD21" s="1344">
        <f t="shared" si="7"/>
        <v>0</v>
      </c>
      <c r="AE21" s="1344">
        <f t="shared" si="7"/>
        <v>0</v>
      </c>
      <c r="AF21" s="1344">
        <f t="shared" si="7"/>
        <v>0</v>
      </c>
      <c r="AG21" s="1344">
        <f t="shared" si="7"/>
        <v>0</v>
      </c>
      <c r="AH21" s="1344">
        <f t="shared" si="7"/>
        <v>0</v>
      </c>
      <c r="AI21" s="1344">
        <f t="shared" si="7"/>
        <v>0</v>
      </c>
      <c r="AJ21" s="60"/>
      <c r="AK21" s="1344">
        <f t="shared" si="16"/>
        <v>0</v>
      </c>
      <c r="AL21" s="1344">
        <f t="shared" si="16"/>
        <v>0</v>
      </c>
      <c r="AM21" s="1344">
        <f t="shared" si="16"/>
        <v>0</v>
      </c>
      <c r="AN21" s="1344">
        <f t="shared" si="16"/>
        <v>0</v>
      </c>
      <c r="AO21" s="1344">
        <f t="shared" si="16"/>
        <v>0</v>
      </c>
      <c r="AP21" s="1344">
        <f t="shared" si="16"/>
        <v>0</v>
      </c>
      <c r="AQ21" s="1344">
        <f t="shared" si="16"/>
        <v>0</v>
      </c>
      <c r="AR21" s="1344">
        <f t="shared" si="16"/>
        <v>0</v>
      </c>
      <c r="AS21" s="1344">
        <f t="shared" si="16"/>
        <v>0</v>
      </c>
      <c r="AT21" s="66"/>
    </row>
    <row r="22" spans="1:46">
      <c r="A22" s="253"/>
      <c r="B22" s="527">
        <v>17</v>
      </c>
      <c r="C22" s="525" t="s">
        <v>416</v>
      </c>
      <c r="D22" s="606"/>
      <c r="E22" s="607"/>
      <c r="F22" s="607"/>
      <c r="G22" s="608"/>
      <c r="H22" s="608"/>
      <c r="I22" s="608"/>
      <c r="J22" s="608"/>
      <c r="K22" s="608"/>
      <c r="L22" s="609"/>
      <c r="M22" s="1346">
        <f>SUM(Q22:Y22)</f>
        <v>0</v>
      </c>
      <c r="N22" s="1346">
        <f>SUM(AA22:AI22)</f>
        <v>0</v>
      </c>
      <c r="O22" s="1346">
        <f>SUM(AK22:AS22)</f>
        <v>0</v>
      </c>
      <c r="P22" s="60"/>
      <c r="Q22" s="1344">
        <f t="shared" si="6"/>
        <v>0</v>
      </c>
      <c r="R22" s="1344">
        <f t="shared" si="6"/>
        <v>0</v>
      </c>
      <c r="S22" s="1344">
        <f t="shared" si="6"/>
        <v>0</v>
      </c>
      <c r="T22" s="1344">
        <f t="shared" si="6"/>
        <v>0</v>
      </c>
      <c r="U22" s="1344">
        <f t="shared" si="6"/>
        <v>0</v>
      </c>
      <c r="V22" s="1344">
        <f t="shared" si="6"/>
        <v>0</v>
      </c>
      <c r="W22" s="1344">
        <f t="shared" si="6"/>
        <v>0</v>
      </c>
      <c r="X22" s="1344">
        <f t="shared" si="6"/>
        <v>0</v>
      </c>
      <c r="Y22" s="1344">
        <f t="shared" si="6"/>
        <v>0</v>
      </c>
      <c r="Z22" s="60"/>
      <c r="AA22" s="1344">
        <f t="shared" si="7"/>
        <v>0</v>
      </c>
      <c r="AB22" s="1344">
        <f t="shared" si="7"/>
        <v>0</v>
      </c>
      <c r="AC22" s="1344">
        <f t="shared" si="7"/>
        <v>0</v>
      </c>
      <c r="AD22" s="1344">
        <f t="shared" si="7"/>
        <v>0</v>
      </c>
      <c r="AE22" s="1344">
        <f t="shared" si="7"/>
        <v>0</v>
      </c>
      <c r="AF22" s="1344">
        <f t="shared" si="7"/>
        <v>0</v>
      </c>
      <c r="AG22" s="1344">
        <f t="shared" si="7"/>
        <v>0</v>
      </c>
      <c r="AH22" s="1344">
        <f t="shared" si="7"/>
        <v>0</v>
      </c>
      <c r="AI22" s="1344">
        <f t="shared" si="7"/>
        <v>0</v>
      </c>
      <c r="AJ22" s="60"/>
      <c r="AK22" s="1344">
        <f t="shared" si="16"/>
        <v>0</v>
      </c>
      <c r="AL22" s="1344">
        <f t="shared" si="16"/>
        <v>0</v>
      </c>
      <c r="AM22" s="1344">
        <f t="shared" si="16"/>
        <v>0</v>
      </c>
      <c r="AN22" s="1344">
        <f t="shared" si="16"/>
        <v>0</v>
      </c>
      <c r="AO22" s="1344">
        <f t="shared" si="16"/>
        <v>0</v>
      </c>
      <c r="AP22" s="1344">
        <f t="shared" si="16"/>
        <v>0</v>
      </c>
      <c r="AQ22" s="1344">
        <f t="shared" si="16"/>
        <v>0</v>
      </c>
      <c r="AR22" s="1344">
        <f t="shared" si="16"/>
        <v>0</v>
      </c>
      <c r="AS22" s="1344">
        <f t="shared" si="16"/>
        <v>0</v>
      </c>
      <c r="AT22" s="66"/>
    </row>
    <row r="23" spans="1:46">
      <c r="A23" s="253"/>
      <c r="B23" s="258">
        <v>18</v>
      </c>
      <c r="C23" s="259" t="s">
        <v>417</v>
      </c>
      <c r="D23" s="1335" t="b">
        <f>OR(D3="CONV",D3="conv")</f>
        <v>0</v>
      </c>
      <c r="E23" s="1336" t="b">
        <f>OR(E3="CONV",E3="conv")</f>
        <v>0</v>
      </c>
      <c r="F23" s="1336" t="b">
        <f t="shared" ref="F23:L23" si="18">OR(F3="CONV",F3="conv")</f>
        <v>0</v>
      </c>
      <c r="G23" s="1336" t="b">
        <f t="shared" si="18"/>
        <v>0</v>
      </c>
      <c r="H23" s="1336" t="b">
        <f t="shared" si="18"/>
        <v>0</v>
      </c>
      <c r="I23" s="1336" t="b">
        <f t="shared" si="18"/>
        <v>0</v>
      </c>
      <c r="J23" s="1336" t="b">
        <f t="shared" si="18"/>
        <v>0</v>
      </c>
      <c r="K23" s="1336" t="b">
        <f t="shared" si="18"/>
        <v>0</v>
      </c>
      <c r="L23" s="1336" t="b">
        <f t="shared" si="18"/>
        <v>0</v>
      </c>
      <c r="M23" s="620" t="str">
        <f>" - - - -"</f>
        <v xml:space="preserve"> - - - -</v>
      </c>
      <c r="N23" s="620" t="str">
        <f>" - - - -"</f>
        <v xml:space="preserve"> - - - -</v>
      </c>
      <c r="O23" s="620" t="str">
        <f>" - - - -"</f>
        <v xml:space="preserve"> - - - -</v>
      </c>
      <c r="P23" s="60"/>
      <c r="Q23" s="1344"/>
      <c r="R23" s="1344"/>
      <c r="S23" s="1344"/>
      <c r="T23" s="1344"/>
      <c r="U23" s="1344"/>
      <c r="V23" s="1344"/>
      <c r="W23" s="1344"/>
      <c r="X23" s="1344"/>
      <c r="Y23" s="1344"/>
      <c r="Z23" s="60"/>
      <c r="AA23" s="1344"/>
      <c r="AB23" s="1344"/>
      <c r="AC23" s="1344"/>
      <c r="AD23" s="1344"/>
      <c r="AE23" s="1344"/>
      <c r="AF23" s="1344"/>
      <c r="AG23" s="1344"/>
      <c r="AH23" s="1344"/>
      <c r="AI23" s="1344"/>
      <c r="AJ23" s="60"/>
      <c r="AK23" s="1344"/>
      <c r="AL23" s="1344"/>
      <c r="AM23" s="1344"/>
      <c r="AN23" s="1344"/>
      <c r="AO23" s="1344"/>
      <c r="AP23" s="1344"/>
      <c r="AQ23" s="1344"/>
      <c r="AR23" s="1344"/>
      <c r="AS23" s="1344"/>
      <c r="AT23" s="66"/>
    </row>
    <row r="24" spans="1:46" ht="13.5" thickBot="1">
      <c r="A24" s="253"/>
      <c r="B24" s="263">
        <v>19</v>
      </c>
      <c r="C24" s="649" t="s">
        <v>418</v>
      </c>
      <c r="D24" s="616"/>
      <c r="E24" s="617"/>
      <c r="F24" s="617"/>
      <c r="G24" s="618"/>
      <c r="H24" s="618"/>
      <c r="I24" s="618"/>
      <c r="J24" s="618"/>
      <c r="K24" s="618"/>
      <c r="L24" s="619"/>
      <c r="M24" s="1347">
        <f>SUM(Q24:Y24)</f>
        <v>0</v>
      </c>
      <c r="N24" s="1347">
        <f>SUM(AA24:AI24)</f>
        <v>0</v>
      </c>
      <c r="O24" s="1347">
        <f>SUM(AK24:AS24)</f>
        <v>0</v>
      </c>
      <c r="P24" s="60"/>
      <c r="Q24" s="1344">
        <f t="shared" si="6"/>
        <v>0</v>
      </c>
      <c r="R24" s="1344">
        <f t="shared" si="6"/>
        <v>0</v>
      </c>
      <c r="S24" s="1344">
        <f t="shared" si="6"/>
        <v>0</v>
      </c>
      <c r="T24" s="1344">
        <f t="shared" si="6"/>
        <v>0</v>
      </c>
      <c r="U24" s="1344">
        <f t="shared" si="6"/>
        <v>0</v>
      </c>
      <c r="V24" s="1344">
        <f t="shared" si="6"/>
        <v>0</v>
      </c>
      <c r="W24" s="1344">
        <f t="shared" si="6"/>
        <v>0</v>
      </c>
      <c r="X24" s="1344">
        <f t="shared" si="6"/>
        <v>0</v>
      </c>
      <c r="Y24" s="1344">
        <f t="shared" si="6"/>
        <v>0</v>
      </c>
      <c r="Z24" s="60"/>
      <c r="AA24" s="1344">
        <f t="shared" si="7"/>
        <v>0</v>
      </c>
      <c r="AB24" s="1344">
        <f t="shared" si="7"/>
        <v>0</v>
      </c>
      <c r="AC24" s="1344">
        <f t="shared" si="7"/>
        <v>0</v>
      </c>
      <c r="AD24" s="1344">
        <f t="shared" si="7"/>
        <v>0</v>
      </c>
      <c r="AE24" s="1344">
        <f t="shared" si="7"/>
        <v>0</v>
      </c>
      <c r="AF24" s="1344">
        <f t="shared" si="7"/>
        <v>0</v>
      </c>
      <c r="AG24" s="1344">
        <f t="shared" si="7"/>
        <v>0</v>
      </c>
      <c r="AH24" s="1344">
        <f t="shared" si="7"/>
        <v>0</v>
      </c>
      <c r="AI24" s="1344">
        <f t="shared" si="7"/>
        <v>0</v>
      </c>
      <c r="AJ24" s="60"/>
      <c r="AK24" s="1344">
        <f t="shared" si="16"/>
        <v>0</v>
      </c>
      <c r="AL24" s="1344">
        <f t="shared" si="16"/>
        <v>0</v>
      </c>
      <c r="AM24" s="1344">
        <f t="shared" si="16"/>
        <v>0</v>
      </c>
      <c r="AN24" s="1344">
        <f t="shared" si="16"/>
        <v>0</v>
      </c>
      <c r="AO24" s="1344">
        <f t="shared" si="16"/>
        <v>0</v>
      </c>
      <c r="AP24" s="1344">
        <f t="shared" si="16"/>
        <v>0</v>
      </c>
      <c r="AQ24" s="1344">
        <f t="shared" si="16"/>
        <v>0</v>
      </c>
      <c r="AR24" s="1344">
        <f t="shared" si="16"/>
        <v>0</v>
      </c>
      <c r="AS24" s="1344">
        <f t="shared" si="16"/>
        <v>0</v>
      </c>
      <c r="AT24" s="66"/>
    </row>
    <row r="25" spans="1:46" ht="17.25" customHeight="1" thickBot="1">
      <c r="A25" s="253"/>
      <c r="B25" s="745" t="s">
        <v>241</v>
      </c>
      <c r="C25" s="746"/>
      <c r="D25" s="1337" t="b">
        <f>OR(D23:L23)</f>
        <v>0</v>
      </c>
      <c r="E25" s="253"/>
      <c r="F25" s="253"/>
      <c r="G25" s="253"/>
      <c r="H25" s="1334" t="str">
        <f>IF(D25,"For IRA conversions, leave line 2a blank and complete "&amp;CHAR(10)&amp;"Form 8606.","")</f>
        <v/>
      </c>
      <c r="I25" s="253"/>
      <c r="J25" s="253"/>
      <c r="K25" s="253"/>
      <c r="L25" s="253"/>
      <c r="M25" s="253"/>
      <c r="N25" s="253"/>
      <c r="O25" s="253"/>
      <c r="P25" s="268"/>
      <c r="Q25" s="66"/>
      <c r="R25" s="66"/>
      <c r="S25" s="66"/>
      <c r="T25" s="66"/>
      <c r="U25" s="66"/>
      <c r="V25" s="66"/>
      <c r="W25" s="66"/>
      <c r="X25" s="66"/>
      <c r="Y25" s="66"/>
      <c r="Z25" s="268"/>
      <c r="AA25" s="66"/>
      <c r="AB25" s="66"/>
      <c r="AC25" s="66"/>
      <c r="AD25" s="66"/>
      <c r="AE25" s="66"/>
      <c r="AF25" s="66"/>
      <c r="AG25" s="66"/>
      <c r="AH25" s="66"/>
      <c r="AI25" s="66"/>
      <c r="AJ25" s="268"/>
      <c r="AK25" s="66"/>
      <c r="AL25" s="66"/>
      <c r="AM25" s="66"/>
      <c r="AN25" s="66"/>
      <c r="AO25" s="66"/>
      <c r="AP25" s="66"/>
      <c r="AQ25" s="66"/>
      <c r="AR25" s="66"/>
      <c r="AS25" s="66"/>
      <c r="AT25" s="66"/>
    </row>
    <row r="26" spans="1:46" ht="17.25" hidden="1" customHeight="1">
      <c r="A26" s="253"/>
      <c r="B26" s="745"/>
      <c r="C26" s="746"/>
      <c r="D26" s="740" t="str">
        <f t="shared" ref="D26:L26" si="19">IF(OR(LEFT(D11,1)="D",LEFT(D11,1)="d"),D5,"")</f>
        <v/>
      </c>
      <c r="E26" s="740" t="str">
        <f t="shared" si="19"/>
        <v/>
      </c>
      <c r="F26" s="740" t="str">
        <f t="shared" si="19"/>
        <v/>
      </c>
      <c r="G26" s="740" t="str">
        <f t="shared" si="19"/>
        <v/>
      </c>
      <c r="H26" s="740" t="str">
        <f t="shared" si="19"/>
        <v/>
      </c>
      <c r="I26" s="740" t="str">
        <f t="shared" si="19"/>
        <v/>
      </c>
      <c r="J26" s="740" t="str">
        <f t="shared" si="19"/>
        <v/>
      </c>
      <c r="K26" s="740" t="str">
        <f t="shared" si="19"/>
        <v/>
      </c>
      <c r="L26" s="740" t="str">
        <f t="shared" si="19"/>
        <v/>
      </c>
      <c r="M26" s="253"/>
      <c r="N26" s="740">
        <f>SUM(D26:L26)</f>
        <v>0</v>
      </c>
      <c r="O26" s="740">
        <f>SUM(E26:M26)</f>
        <v>0</v>
      </c>
      <c r="P26" s="268"/>
      <c r="Q26" s="66"/>
      <c r="R26" s="66"/>
      <c r="S26" s="66"/>
      <c r="T26" s="66"/>
      <c r="U26" s="66"/>
      <c r="V26" s="66"/>
      <c r="W26" s="66"/>
      <c r="X26" s="66"/>
      <c r="Y26" s="66"/>
      <c r="Z26" s="268"/>
      <c r="AA26" s="66"/>
      <c r="AB26" s="66"/>
      <c r="AC26" s="66"/>
      <c r="AD26" s="66"/>
      <c r="AE26" s="66"/>
      <c r="AF26" s="66"/>
      <c r="AG26" s="66"/>
      <c r="AH26" s="66"/>
      <c r="AI26" s="66"/>
      <c r="AJ26" s="268"/>
      <c r="AK26" s="66"/>
      <c r="AL26" s="66"/>
      <c r="AM26" s="66"/>
      <c r="AN26" s="66"/>
      <c r="AO26" s="66"/>
      <c r="AP26" s="66"/>
      <c r="AQ26" s="66"/>
      <c r="AR26" s="66"/>
      <c r="AS26" s="66"/>
      <c r="AT26" s="66"/>
    </row>
    <row r="27" spans="1:46" ht="17.25" hidden="1" customHeight="1" thickBot="1">
      <c r="A27" s="253"/>
      <c r="B27" s="745"/>
      <c r="C27" s="746"/>
      <c r="D27" s="740" t="str">
        <f>IF(OR(LEFT(D11,1)="D",LEFT(D11,1)="d"),SUM(D19,D22),"")</f>
        <v/>
      </c>
      <c r="E27" s="740" t="str">
        <f t="shared" ref="E27:L27" si="20">IF(OR(LEFT(E11,1)="D",LEFT(E11,1)="d"),SUM(E19,E22),"")</f>
        <v/>
      </c>
      <c r="F27" s="740" t="str">
        <f t="shared" si="20"/>
        <v/>
      </c>
      <c r="G27" s="740" t="str">
        <f t="shared" si="20"/>
        <v/>
      </c>
      <c r="H27" s="740" t="str">
        <f t="shared" si="20"/>
        <v/>
      </c>
      <c r="I27" s="740" t="str">
        <f t="shared" si="20"/>
        <v/>
      </c>
      <c r="J27" s="740" t="str">
        <f t="shared" si="20"/>
        <v/>
      </c>
      <c r="K27" s="740" t="str">
        <f t="shared" si="20"/>
        <v/>
      </c>
      <c r="L27" s="740" t="str">
        <f t="shared" si="20"/>
        <v/>
      </c>
      <c r="M27" s="253"/>
      <c r="N27" s="740">
        <f>SUM(D27:L27)</f>
        <v>0</v>
      </c>
      <c r="O27" s="740">
        <f>SUM(E27:M27)</f>
        <v>0</v>
      </c>
      <c r="P27" s="268"/>
      <c r="Q27" s="66"/>
      <c r="R27" s="66"/>
      <c r="S27" s="66"/>
      <c r="T27" s="66"/>
      <c r="U27" s="66"/>
      <c r="V27" s="66"/>
      <c r="W27" s="66"/>
      <c r="X27" s="66"/>
      <c r="Y27" s="66"/>
      <c r="Z27" s="268"/>
      <c r="AA27" s="66"/>
      <c r="AB27" s="66"/>
      <c r="AC27" s="66"/>
      <c r="AD27" s="66"/>
      <c r="AE27" s="66"/>
      <c r="AF27" s="66"/>
      <c r="AG27" s="66"/>
      <c r="AH27" s="66"/>
      <c r="AI27" s="66"/>
      <c r="AJ27" s="268"/>
      <c r="AK27" s="66"/>
      <c r="AL27" s="66"/>
      <c r="AM27" s="66"/>
      <c r="AN27" s="66"/>
      <c r="AO27" s="66"/>
      <c r="AP27" s="66"/>
      <c r="AQ27" s="66"/>
      <c r="AR27" s="66"/>
      <c r="AS27" s="66"/>
      <c r="AT27" s="66"/>
    </row>
    <row r="28" spans="1:46" ht="42" customHeight="1" thickTop="1">
      <c r="A28" s="583"/>
      <c r="B28" s="593" t="s">
        <v>391</v>
      </c>
      <c r="C28" s="1535"/>
      <c r="D28" s="1536"/>
      <c r="E28" s="584"/>
      <c r="F28" s="1536"/>
      <c r="G28" s="1536"/>
      <c r="H28" s="1536"/>
      <c r="I28" s="585"/>
      <c r="J28" s="585"/>
      <c r="K28" s="586"/>
      <c r="L28" s="586"/>
      <c r="M28" s="586"/>
      <c r="N28" s="586"/>
      <c r="O28" s="586"/>
    </row>
    <row r="29" spans="1:46" ht="48" customHeight="1" thickBot="1">
      <c r="A29" s="253"/>
      <c r="B29" s="1533"/>
      <c r="C29" s="594" t="str">
        <f>IF(Name_1st_Sp="","Enter your spouse's name on the"&amp;CHAR(10)&amp;"sheet labeled '1040'",NameSpouse)</f>
        <v>Enter your spouse's name on the
sheet labeled '1040'</v>
      </c>
      <c r="D29" s="458" t="s">
        <v>284</v>
      </c>
      <c r="E29" s="458" t="s">
        <v>285</v>
      </c>
      <c r="F29" s="458" t="s">
        <v>286</v>
      </c>
      <c r="G29" s="458" t="s">
        <v>287</v>
      </c>
      <c r="H29" s="458" t="s">
        <v>288</v>
      </c>
      <c r="I29" s="458" t="s">
        <v>313</v>
      </c>
      <c r="J29" s="458" t="s">
        <v>314</v>
      </c>
      <c r="K29" s="458" t="s">
        <v>315</v>
      </c>
      <c r="L29" s="458" t="s">
        <v>316</v>
      </c>
      <c r="M29" s="758" t="s">
        <v>393</v>
      </c>
      <c r="N29" s="638" t="s">
        <v>394</v>
      </c>
      <c r="O29" s="638" t="s">
        <v>419</v>
      </c>
      <c r="P29" s="39"/>
      <c r="Q29" s="104"/>
      <c r="R29" s="104"/>
      <c r="S29" s="104"/>
      <c r="T29" s="104"/>
      <c r="U29" s="104"/>
      <c r="V29" s="104"/>
      <c r="W29" s="104"/>
      <c r="X29" s="104"/>
      <c r="Y29" s="104"/>
      <c r="Z29" s="39"/>
      <c r="AA29" s="104"/>
      <c r="AB29" s="104"/>
      <c r="AC29" s="104"/>
      <c r="AD29" s="104"/>
      <c r="AE29" s="104"/>
      <c r="AF29" s="104"/>
      <c r="AG29" s="104"/>
      <c r="AH29" s="104"/>
      <c r="AI29" s="104"/>
      <c r="AJ29" s="39"/>
      <c r="AK29" s="104"/>
      <c r="AL29" s="104"/>
      <c r="AM29" s="104"/>
      <c r="AN29" s="104"/>
      <c r="AO29" s="104"/>
      <c r="AP29" s="104"/>
      <c r="AQ29" s="104"/>
      <c r="AR29" s="104"/>
      <c r="AS29" s="104"/>
      <c r="AT29" s="104"/>
    </row>
    <row r="30" spans="1:46" ht="13.5" thickBot="1">
      <c r="A30" s="253"/>
      <c r="B30" s="254"/>
      <c r="C30" s="255" t="s">
        <v>399</v>
      </c>
      <c r="D30" s="459"/>
      <c r="E30" s="515"/>
      <c r="F30" s="515"/>
      <c r="G30" s="1231"/>
      <c r="H30" s="1231"/>
      <c r="I30" s="1231"/>
      <c r="J30" s="1231"/>
      <c r="K30" s="1231"/>
      <c r="L30" s="1231"/>
      <c r="M30" s="1537" t="s">
        <v>396</v>
      </c>
      <c r="N30" s="1230" t="s">
        <v>397</v>
      </c>
      <c r="O30" s="1230" t="s">
        <v>398</v>
      </c>
      <c r="P30" s="18"/>
      <c r="Q30" s="26" t="b">
        <f t="shared" ref="Q30:Y30" si="21">NOT(AND(ISERROR(FIND("IRA",D30,1)),ISERROR(FIND("ira",D30,1))))</f>
        <v>0</v>
      </c>
      <c r="R30" s="26" t="b">
        <f t="shared" si="21"/>
        <v>0</v>
      </c>
      <c r="S30" s="26" t="b">
        <f t="shared" si="21"/>
        <v>0</v>
      </c>
      <c r="T30" s="26" t="b">
        <f t="shared" si="21"/>
        <v>0</v>
      </c>
      <c r="U30" s="26" t="b">
        <f t="shared" si="21"/>
        <v>0</v>
      </c>
      <c r="V30" s="26" t="b">
        <f t="shared" si="21"/>
        <v>0</v>
      </c>
      <c r="W30" s="26" t="b">
        <f t="shared" si="21"/>
        <v>0</v>
      </c>
      <c r="X30" s="26" t="b">
        <f t="shared" si="21"/>
        <v>0</v>
      </c>
      <c r="Y30" s="26" t="b">
        <f t="shared" si="21"/>
        <v>0</v>
      </c>
      <c r="Z30" s="18"/>
      <c r="AA30" s="26" t="b">
        <f t="shared" ref="AA30:AI30" si="22">NOT(AND(ISERROR(FIND("P/A",D30,1)),ISERROR(FIND("p/a",D30,1))))</f>
        <v>0</v>
      </c>
      <c r="AB30" s="26" t="b">
        <f t="shared" si="22"/>
        <v>0</v>
      </c>
      <c r="AC30" s="26" t="b">
        <f t="shared" si="22"/>
        <v>0</v>
      </c>
      <c r="AD30" s="26" t="b">
        <f t="shared" si="22"/>
        <v>0</v>
      </c>
      <c r="AE30" s="26" t="b">
        <f t="shared" si="22"/>
        <v>0</v>
      </c>
      <c r="AF30" s="26" t="b">
        <f t="shared" si="22"/>
        <v>0</v>
      </c>
      <c r="AG30" s="26" t="b">
        <f t="shared" si="22"/>
        <v>0</v>
      </c>
      <c r="AH30" s="26" t="b">
        <f t="shared" si="22"/>
        <v>0</v>
      </c>
      <c r="AI30" s="26" t="b">
        <f t="shared" si="22"/>
        <v>0</v>
      </c>
      <c r="AJ30" s="18"/>
      <c r="AK30" s="26" t="b">
        <f t="shared" ref="AK30:AS30" si="23">NOT(AND(ISERROR(FIND("CONV",D30,1)),ISERROR(FIND("conv",D30,1))))</f>
        <v>0</v>
      </c>
      <c r="AL30" s="26" t="b">
        <f t="shared" si="23"/>
        <v>0</v>
      </c>
      <c r="AM30" s="26" t="b">
        <f t="shared" si="23"/>
        <v>0</v>
      </c>
      <c r="AN30" s="26" t="b">
        <f t="shared" si="23"/>
        <v>0</v>
      </c>
      <c r="AO30" s="26" t="b">
        <f t="shared" si="23"/>
        <v>0</v>
      </c>
      <c r="AP30" s="26" t="b">
        <f t="shared" si="23"/>
        <v>0</v>
      </c>
      <c r="AQ30" s="26" t="b">
        <f t="shared" si="23"/>
        <v>0</v>
      </c>
      <c r="AR30" s="26" t="b">
        <f t="shared" si="23"/>
        <v>0</v>
      </c>
      <c r="AS30" s="26" t="b">
        <f t="shared" si="23"/>
        <v>0</v>
      </c>
      <c r="AT30" s="26"/>
    </row>
    <row r="31" spans="1:46" ht="13.5" customHeight="1">
      <c r="A31" s="253"/>
      <c r="B31" s="526">
        <v>1</v>
      </c>
      <c r="C31" s="524" t="s">
        <v>400</v>
      </c>
      <c r="D31" s="604"/>
      <c r="E31" s="605"/>
      <c r="F31" s="605"/>
      <c r="G31" s="605"/>
      <c r="H31" s="605"/>
      <c r="I31" s="605"/>
      <c r="J31" s="605"/>
      <c r="K31" s="605"/>
      <c r="L31" s="605"/>
      <c r="M31" s="1349">
        <f>SUM(Q31:Y31)</f>
        <v>0</v>
      </c>
      <c r="N31" s="1349">
        <f>SUM(AA31:AI31)</f>
        <v>0</v>
      </c>
      <c r="O31" s="1349">
        <f>SUM(AK31:AS31)</f>
        <v>0</v>
      </c>
      <c r="P31" s="19"/>
      <c r="Q31" s="1344">
        <f>IF(Q$30,ROUND(D31,0),0)</f>
        <v>0</v>
      </c>
      <c r="R31" s="1344">
        <f t="shared" ref="R31:Y32" si="24">IF(R$30,ROUND(E31,0),0)</f>
        <v>0</v>
      </c>
      <c r="S31" s="1344">
        <f t="shared" si="24"/>
        <v>0</v>
      </c>
      <c r="T31" s="1344">
        <f t="shared" si="24"/>
        <v>0</v>
      </c>
      <c r="U31" s="1344">
        <f t="shared" si="24"/>
        <v>0</v>
      </c>
      <c r="V31" s="1344">
        <f t="shared" si="24"/>
        <v>0</v>
      </c>
      <c r="W31" s="1344">
        <f t="shared" si="24"/>
        <v>0</v>
      </c>
      <c r="X31" s="1344">
        <f t="shared" si="24"/>
        <v>0</v>
      </c>
      <c r="Y31" s="1344">
        <f t="shared" si="24"/>
        <v>0</v>
      </c>
      <c r="Z31" s="1211"/>
      <c r="AA31" s="1344">
        <f>IF(AA$30,ROUND(D31,0),0)</f>
        <v>0</v>
      </c>
      <c r="AB31" s="1344">
        <f t="shared" ref="AB31:AI32" si="25">IF(AB$30,ROUND(E31,0),0)</f>
        <v>0</v>
      </c>
      <c r="AC31" s="1344">
        <f t="shared" si="25"/>
        <v>0</v>
      </c>
      <c r="AD31" s="1344">
        <f t="shared" si="25"/>
        <v>0</v>
      </c>
      <c r="AE31" s="1344">
        <f t="shared" si="25"/>
        <v>0</v>
      </c>
      <c r="AF31" s="1344">
        <f t="shared" si="25"/>
        <v>0</v>
      </c>
      <c r="AG31" s="1344">
        <f t="shared" si="25"/>
        <v>0</v>
      </c>
      <c r="AH31" s="1344">
        <f t="shared" si="25"/>
        <v>0</v>
      </c>
      <c r="AI31" s="1344">
        <f t="shared" si="25"/>
        <v>0</v>
      </c>
      <c r="AJ31" s="1211"/>
      <c r="AK31" s="1344">
        <f>IF(AK$30,ROUND(D31,0),0)</f>
        <v>0</v>
      </c>
      <c r="AL31" s="1344">
        <f t="shared" ref="AL31:AS31" si="26">IF(AL$30,ROUND(E31,0),0)</f>
        <v>0</v>
      </c>
      <c r="AM31" s="1344">
        <f t="shared" si="26"/>
        <v>0</v>
      </c>
      <c r="AN31" s="1344">
        <f t="shared" si="26"/>
        <v>0</v>
      </c>
      <c r="AO31" s="1344">
        <f t="shared" si="26"/>
        <v>0</v>
      </c>
      <c r="AP31" s="1344">
        <f t="shared" si="26"/>
        <v>0</v>
      </c>
      <c r="AQ31" s="1344">
        <f t="shared" si="26"/>
        <v>0</v>
      </c>
      <c r="AR31" s="1344">
        <f t="shared" si="26"/>
        <v>0</v>
      </c>
      <c r="AS31" s="1344">
        <f t="shared" si="26"/>
        <v>0</v>
      </c>
      <c r="AT31" s="66"/>
    </row>
    <row r="32" spans="1:46" ht="13.5" customHeight="1">
      <c r="A32" s="253"/>
      <c r="B32" s="527" t="s">
        <v>337</v>
      </c>
      <c r="C32" s="525" t="s">
        <v>401</v>
      </c>
      <c r="D32" s="606"/>
      <c r="E32" s="607"/>
      <c r="F32" s="607"/>
      <c r="G32" s="607"/>
      <c r="H32" s="607"/>
      <c r="I32" s="607"/>
      <c r="J32" s="607"/>
      <c r="K32" s="607"/>
      <c r="L32" s="609"/>
      <c r="M32" s="1346">
        <f>SUM(Q32:Y32)</f>
        <v>0</v>
      </c>
      <c r="N32" s="1346">
        <f>SUM(AA32:AI32)</f>
        <v>0</v>
      </c>
      <c r="O32" s="262" t="str">
        <f>IF(SUM(D32:L32)&gt;0,"See note.","- - - -")</f>
        <v>- - - -</v>
      </c>
      <c r="P32" s="19"/>
      <c r="Q32" s="1344">
        <f t="shared" ref="Q32:Y39" si="27">IF(Q$30,ROUND(D32,0),0)</f>
        <v>0</v>
      </c>
      <c r="R32" s="1344">
        <f t="shared" si="24"/>
        <v>0</v>
      </c>
      <c r="S32" s="1344">
        <f t="shared" si="24"/>
        <v>0</v>
      </c>
      <c r="T32" s="1344">
        <f t="shared" si="24"/>
        <v>0</v>
      </c>
      <c r="U32" s="1344">
        <f t="shared" si="24"/>
        <v>0</v>
      </c>
      <c r="V32" s="1344">
        <f t="shared" si="24"/>
        <v>0</v>
      </c>
      <c r="W32" s="1344">
        <f t="shared" si="24"/>
        <v>0</v>
      </c>
      <c r="X32" s="1344">
        <f t="shared" si="24"/>
        <v>0</v>
      </c>
      <c r="Y32" s="1344">
        <f t="shared" si="24"/>
        <v>0</v>
      </c>
      <c r="Z32" s="1211"/>
      <c r="AA32" s="1344">
        <f t="shared" ref="AA32:AI39" si="28">IF(AA$30,ROUND(D32,0),0)</f>
        <v>0</v>
      </c>
      <c r="AB32" s="1344">
        <f t="shared" si="25"/>
        <v>0</v>
      </c>
      <c r="AC32" s="1344">
        <f t="shared" si="25"/>
        <v>0</v>
      </c>
      <c r="AD32" s="1344">
        <f t="shared" si="25"/>
        <v>0</v>
      </c>
      <c r="AE32" s="1344">
        <f t="shared" si="25"/>
        <v>0</v>
      </c>
      <c r="AF32" s="1344">
        <f t="shared" si="25"/>
        <v>0</v>
      </c>
      <c r="AG32" s="1344">
        <f t="shared" si="25"/>
        <v>0</v>
      </c>
      <c r="AH32" s="1344">
        <f t="shared" si="25"/>
        <v>0</v>
      </c>
      <c r="AI32" s="1344">
        <f t="shared" si="25"/>
        <v>0</v>
      </c>
      <c r="AJ32" s="1211"/>
      <c r="AK32" s="1344" t="str">
        <f>"---"</f>
        <v>---</v>
      </c>
      <c r="AL32" s="1344" t="str">
        <f t="shared" ref="AL32:AS32" si="29">"---"</f>
        <v>---</v>
      </c>
      <c r="AM32" s="1344" t="str">
        <f t="shared" si="29"/>
        <v>---</v>
      </c>
      <c r="AN32" s="1344" t="str">
        <f t="shared" si="29"/>
        <v>---</v>
      </c>
      <c r="AO32" s="1344" t="str">
        <f t="shared" si="29"/>
        <v>---</v>
      </c>
      <c r="AP32" s="1344" t="str">
        <f t="shared" si="29"/>
        <v>---</v>
      </c>
      <c r="AQ32" s="1344" t="str">
        <f t="shared" si="29"/>
        <v>---</v>
      </c>
      <c r="AR32" s="1344" t="str">
        <f t="shared" si="29"/>
        <v>---</v>
      </c>
      <c r="AS32" s="1344" t="str">
        <f t="shared" si="29"/>
        <v>---</v>
      </c>
      <c r="AT32" s="66"/>
    </row>
    <row r="33" spans="1:46" ht="13.5" customHeight="1">
      <c r="A33" s="253"/>
      <c r="B33" s="258" t="s">
        <v>339</v>
      </c>
      <c r="C33" s="259" t="s">
        <v>402</v>
      </c>
      <c r="D33" s="606"/>
      <c r="E33" s="607"/>
      <c r="F33" s="607"/>
      <c r="G33" s="608"/>
      <c r="H33" s="608"/>
      <c r="I33" s="608"/>
      <c r="J33" s="608"/>
      <c r="K33" s="608"/>
      <c r="L33" s="609"/>
      <c r="M33" s="262" t="str">
        <f>" - - - -"</f>
        <v xml:space="preserve"> - - - -</v>
      </c>
      <c r="N33" s="262" t="str">
        <f>" - - - -"</f>
        <v xml:space="preserve"> - - - -</v>
      </c>
      <c r="O33" s="262" t="str">
        <f>" - - - -"</f>
        <v xml:space="preserve"> - - - -</v>
      </c>
      <c r="P33" s="1211"/>
      <c r="Q33" s="1344"/>
      <c r="R33" s="1344"/>
      <c r="S33" s="1344"/>
      <c r="T33" s="1344"/>
      <c r="U33" s="1344"/>
      <c r="V33" s="1344"/>
      <c r="W33" s="1344"/>
      <c r="X33" s="1344"/>
      <c r="Y33" s="1344"/>
      <c r="Z33" s="1211"/>
      <c r="AA33" s="1344"/>
      <c r="AB33" s="1344"/>
      <c r="AC33" s="1344"/>
      <c r="AD33" s="1344"/>
      <c r="AE33" s="1344"/>
      <c r="AF33" s="1344"/>
      <c r="AG33" s="1344"/>
      <c r="AH33" s="1344"/>
      <c r="AI33" s="1344"/>
      <c r="AJ33" s="1211"/>
      <c r="AK33" s="1344"/>
      <c r="AL33" s="1344"/>
      <c r="AM33" s="1344"/>
      <c r="AN33" s="1344"/>
      <c r="AO33" s="1344"/>
      <c r="AP33" s="1344"/>
      <c r="AQ33" s="1344"/>
      <c r="AR33" s="1344"/>
      <c r="AS33" s="1344"/>
      <c r="AT33" s="66"/>
    </row>
    <row r="34" spans="1:46" ht="13.5" customHeight="1">
      <c r="A34" s="253"/>
      <c r="B34" s="258">
        <v>3</v>
      </c>
      <c r="C34" s="259" t="s">
        <v>420</v>
      </c>
      <c r="D34" s="606"/>
      <c r="E34" s="607"/>
      <c r="F34" s="607"/>
      <c r="G34" s="608"/>
      <c r="H34" s="608"/>
      <c r="I34" s="608"/>
      <c r="J34" s="608"/>
      <c r="K34" s="608"/>
      <c r="L34" s="609"/>
      <c r="M34" s="1346">
        <f>SUM(Q34:Y34)</f>
        <v>0</v>
      </c>
      <c r="N34" s="1346">
        <f>SUM(AA34:AI34)</f>
        <v>0</v>
      </c>
      <c r="O34" s="1346">
        <f>SUM(AK34:AS34)</f>
        <v>0</v>
      </c>
      <c r="P34" s="19"/>
      <c r="Q34" s="1344">
        <f t="shared" si="27"/>
        <v>0</v>
      </c>
      <c r="R34" s="1344">
        <f t="shared" si="27"/>
        <v>0</v>
      </c>
      <c r="S34" s="1344">
        <f t="shared" si="27"/>
        <v>0</v>
      </c>
      <c r="T34" s="1344">
        <f t="shared" si="27"/>
        <v>0</v>
      </c>
      <c r="U34" s="1344">
        <f t="shared" si="27"/>
        <v>0</v>
      </c>
      <c r="V34" s="1344">
        <f t="shared" si="27"/>
        <v>0</v>
      </c>
      <c r="W34" s="1344">
        <f t="shared" si="27"/>
        <v>0</v>
      </c>
      <c r="X34" s="1344">
        <f t="shared" si="27"/>
        <v>0</v>
      </c>
      <c r="Y34" s="1344">
        <f t="shared" si="27"/>
        <v>0</v>
      </c>
      <c r="Z34" s="1211"/>
      <c r="AA34" s="1344">
        <f t="shared" si="28"/>
        <v>0</v>
      </c>
      <c r="AB34" s="1344">
        <f t="shared" si="28"/>
        <v>0</v>
      </c>
      <c r="AC34" s="1344">
        <f t="shared" si="28"/>
        <v>0</v>
      </c>
      <c r="AD34" s="1344">
        <f t="shared" si="28"/>
        <v>0</v>
      </c>
      <c r="AE34" s="1344">
        <f t="shared" si="28"/>
        <v>0</v>
      </c>
      <c r="AF34" s="1344">
        <f t="shared" si="28"/>
        <v>0</v>
      </c>
      <c r="AG34" s="1344">
        <f t="shared" si="28"/>
        <v>0</v>
      </c>
      <c r="AH34" s="1344">
        <f t="shared" si="28"/>
        <v>0</v>
      </c>
      <c r="AI34" s="1344">
        <f t="shared" si="28"/>
        <v>0</v>
      </c>
      <c r="AJ34" s="1211"/>
      <c r="AK34" s="1344">
        <f t="shared" ref="AK34:AS39" si="30">IF(AK$30,ROUND(D34,0),0)</f>
        <v>0</v>
      </c>
      <c r="AL34" s="1344">
        <f t="shared" si="30"/>
        <v>0</v>
      </c>
      <c r="AM34" s="1344">
        <f t="shared" si="30"/>
        <v>0</v>
      </c>
      <c r="AN34" s="1344">
        <f t="shared" si="30"/>
        <v>0</v>
      </c>
      <c r="AO34" s="1344">
        <f t="shared" si="30"/>
        <v>0</v>
      </c>
      <c r="AP34" s="1344">
        <f t="shared" si="30"/>
        <v>0</v>
      </c>
      <c r="AQ34" s="1344">
        <f t="shared" si="30"/>
        <v>0</v>
      </c>
      <c r="AR34" s="1344">
        <f t="shared" si="30"/>
        <v>0</v>
      </c>
      <c r="AS34" s="1344">
        <f t="shared" si="30"/>
        <v>0</v>
      </c>
      <c r="AT34" s="66"/>
    </row>
    <row r="35" spans="1:46" ht="13.5" customHeight="1">
      <c r="A35" s="253"/>
      <c r="B35" s="527">
        <v>4</v>
      </c>
      <c r="C35" s="525" t="s">
        <v>231</v>
      </c>
      <c r="D35" s="606"/>
      <c r="E35" s="607"/>
      <c r="F35" s="607"/>
      <c r="G35" s="608"/>
      <c r="H35" s="608"/>
      <c r="I35" s="608"/>
      <c r="J35" s="608"/>
      <c r="K35" s="608"/>
      <c r="L35" s="609"/>
      <c r="M35" s="1346">
        <f>SUM(Q35:Y35)</f>
        <v>0</v>
      </c>
      <c r="N35" s="1346">
        <f>SUM(AA35:AI35)</f>
        <v>0</v>
      </c>
      <c r="O35" s="1346">
        <f>SUM(AK35:AS35)</f>
        <v>0</v>
      </c>
      <c r="P35" s="19"/>
      <c r="Q35" s="1344">
        <f t="shared" si="27"/>
        <v>0</v>
      </c>
      <c r="R35" s="1344">
        <f t="shared" si="27"/>
        <v>0</v>
      </c>
      <c r="S35" s="1344">
        <f t="shared" si="27"/>
        <v>0</v>
      </c>
      <c r="T35" s="1344">
        <f t="shared" si="27"/>
        <v>0</v>
      </c>
      <c r="U35" s="1344">
        <f t="shared" si="27"/>
        <v>0</v>
      </c>
      <c r="V35" s="1344">
        <f t="shared" si="27"/>
        <v>0</v>
      </c>
      <c r="W35" s="1344">
        <f t="shared" si="27"/>
        <v>0</v>
      </c>
      <c r="X35" s="1344">
        <f t="shared" si="27"/>
        <v>0</v>
      </c>
      <c r="Y35" s="1344">
        <f t="shared" si="27"/>
        <v>0</v>
      </c>
      <c r="Z35" s="1211"/>
      <c r="AA35" s="1344">
        <f t="shared" si="28"/>
        <v>0</v>
      </c>
      <c r="AB35" s="1344">
        <f t="shared" si="28"/>
        <v>0</v>
      </c>
      <c r="AC35" s="1344">
        <f t="shared" si="28"/>
        <v>0</v>
      </c>
      <c r="AD35" s="1344">
        <f t="shared" si="28"/>
        <v>0</v>
      </c>
      <c r="AE35" s="1344">
        <f t="shared" si="28"/>
        <v>0</v>
      </c>
      <c r="AF35" s="1344">
        <f t="shared" si="28"/>
        <v>0</v>
      </c>
      <c r="AG35" s="1344">
        <f t="shared" si="28"/>
        <v>0</v>
      </c>
      <c r="AH35" s="1344">
        <f t="shared" si="28"/>
        <v>0</v>
      </c>
      <c r="AI35" s="1344">
        <f t="shared" si="28"/>
        <v>0</v>
      </c>
      <c r="AJ35" s="1211"/>
      <c r="AK35" s="1344">
        <f t="shared" si="30"/>
        <v>0</v>
      </c>
      <c r="AL35" s="1344">
        <f t="shared" si="30"/>
        <v>0</v>
      </c>
      <c r="AM35" s="1344">
        <f t="shared" si="30"/>
        <v>0</v>
      </c>
      <c r="AN35" s="1344">
        <f t="shared" si="30"/>
        <v>0</v>
      </c>
      <c r="AO35" s="1344">
        <f t="shared" si="30"/>
        <v>0</v>
      </c>
      <c r="AP35" s="1344">
        <f t="shared" si="30"/>
        <v>0</v>
      </c>
      <c r="AQ35" s="1344">
        <f t="shared" si="30"/>
        <v>0</v>
      </c>
      <c r="AR35" s="1344">
        <f t="shared" si="30"/>
        <v>0</v>
      </c>
      <c r="AS35" s="1344">
        <f t="shared" si="30"/>
        <v>0</v>
      </c>
      <c r="AT35" s="66"/>
    </row>
    <row r="36" spans="1:46" ht="26.25" customHeight="1">
      <c r="A36" s="253"/>
      <c r="B36" s="260">
        <v>5</v>
      </c>
      <c r="C36" s="261" t="s">
        <v>404</v>
      </c>
      <c r="D36" s="606"/>
      <c r="E36" s="607"/>
      <c r="F36" s="607"/>
      <c r="G36" s="607"/>
      <c r="H36" s="607"/>
      <c r="I36" s="607"/>
      <c r="J36" s="607"/>
      <c r="K36" s="607"/>
      <c r="L36" s="609"/>
      <c r="M36" s="1346">
        <f>SUM(Q36:Y36)</f>
        <v>0</v>
      </c>
      <c r="N36" s="1346">
        <f>SUM(AA36:AI36)</f>
        <v>0</v>
      </c>
      <c r="O36" s="1346">
        <f>SUM(AK36:AS36)</f>
        <v>0</v>
      </c>
      <c r="P36" s="18"/>
      <c r="Q36" s="1344">
        <f t="shared" si="27"/>
        <v>0</v>
      </c>
      <c r="R36" s="1344">
        <f t="shared" si="27"/>
        <v>0</v>
      </c>
      <c r="S36" s="1344">
        <f t="shared" si="27"/>
        <v>0</v>
      </c>
      <c r="T36" s="1344">
        <f t="shared" si="27"/>
        <v>0</v>
      </c>
      <c r="U36" s="1344">
        <f t="shared" si="27"/>
        <v>0</v>
      </c>
      <c r="V36" s="1344">
        <f t="shared" si="27"/>
        <v>0</v>
      </c>
      <c r="W36" s="1344">
        <f t="shared" si="27"/>
        <v>0</v>
      </c>
      <c r="X36" s="1344">
        <f t="shared" si="27"/>
        <v>0</v>
      </c>
      <c r="Y36" s="1344">
        <f t="shared" si="27"/>
        <v>0</v>
      </c>
      <c r="Z36" s="60"/>
      <c r="AA36" s="1344">
        <f t="shared" si="28"/>
        <v>0</v>
      </c>
      <c r="AB36" s="1344">
        <f t="shared" si="28"/>
        <v>0</v>
      </c>
      <c r="AC36" s="1344">
        <f t="shared" si="28"/>
        <v>0</v>
      </c>
      <c r="AD36" s="1344">
        <f t="shared" si="28"/>
        <v>0</v>
      </c>
      <c r="AE36" s="1344">
        <f t="shared" si="28"/>
        <v>0</v>
      </c>
      <c r="AF36" s="1344">
        <f t="shared" si="28"/>
        <v>0</v>
      </c>
      <c r="AG36" s="1344">
        <f t="shared" si="28"/>
        <v>0</v>
      </c>
      <c r="AH36" s="1344">
        <f t="shared" si="28"/>
        <v>0</v>
      </c>
      <c r="AI36" s="1344">
        <f t="shared" si="28"/>
        <v>0</v>
      </c>
      <c r="AJ36" s="60"/>
      <c r="AK36" s="1344">
        <f t="shared" si="30"/>
        <v>0</v>
      </c>
      <c r="AL36" s="1344">
        <f t="shared" si="30"/>
        <v>0</v>
      </c>
      <c r="AM36" s="1344">
        <f t="shared" si="30"/>
        <v>0</v>
      </c>
      <c r="AN36" s="1344">
        <f t="shared" si="30"/>
        <v>0</v>
      </c>
      <c r="AO36" s="1344">
        <f t="shared" si="30"/>
        <v>0</v>
      </c>
      <c r="AP36" s="1344">
        <f t="shared" si="30"/>
        <v>0</v>
      </c>
      <c r="AQ36" s="1344">
        <f t="shared" si="30"/>
        <v>0</v>
      </c>
      <c r="AR36" s="1344">
        <f t="shared" si="30"/>
        <v>0</v>
      </c>
      <c r="AS36" s="1344">
        <f t="shared" si="30"/>
        <v>0</v>
      </c>
      <c r="AT36" s="66"/>
    </row>
    <row r="37" spans="1:46">
      <c r="A37" s="253"/>
      <c r="B37" s="258">
        <v>6</v>
      </c>
      <c r="C37" s="259" t="s">
        <v>405</v>
      </c>
      <c r="D37" s="606"/>
      <c r="E37" s="607"/>
      <c r="F37" s="607"/>
      <c r="G37" s="608"/>
      <c r="H37" s="608"/>
      <c r="I37" s="608"/>
      <c r="J37" s="608"/>
      <c r="K37" s="608"/>
      <c r="L37" s="609"/>
      <c r="M37" s="1346">
        <f>SUM(Q37:Y37)</f>
        <v>0</v>
      </c>
      <c r="N37" s="1346">
        <f>SUM(AA37:AI37)</f>
        <v>0</v>
      </c>
      <c r="O37" s="1346">
        <f>SUM(AK37:AS37)</f>
        <v>0</v>
      </c>
      <c r="P37" s="18"/>
      <c r="Q37" s="1344">
        <f t="shared" si="27"/>
        <v>0</v>
      </c>
      <c r="R37" s="1344">
        <f t="shared" si="27"/>
        <v>0</v>
      </c>
      <c r="S37" s="1344">
        <f t="shared" si="27"/>
        <v>0</v>
      </c>
      <c r="T37" s="1344">
        <f t="shared" si="27"/>
        <v>0</v>
      </c>
      <c r="U37" s="1344">
        <f t="shared" si="27"/>
        <v>0</v>
      </c>
      <c r="V37" s="1344">
        <f t="shared" si="27"/>
        <v>0</v>
      </c>
      <c r="W37" s="1344">
        <f t="shared" si="27"/>
        <v>0</v>
      </c>
      <c r="X37" s="1344">
        <f t="shared" si="27"/>
        <v>0</v>
      </c>
      <c r="Y37" s="1344">
        <f t="shared" si="27"/>
        <v>0</v>
      </c>
      <c r="Z37" s="60"/>
      <c r="AA37" s="1344">
        <f t="shared" si="28"/>
        <v>0</v>
      </c>
      <c r="AB37" s="1344">
        <f t="shared" si="28"/>
        <v>0</v>
      </c>
      <c r="AC37" s="1344">
        <f t="shared" si="28"/>
        <v>0</v>
      </c>
      <c r="AD37" s="1344">
        <f t="shared" si="28"/>
        <v>0</v>
      </c>
      <c r="AE37" s="1344">
        <f t="shared" si="28"/>
        <v>0</v>
      </c>
      <c r="AF37" s="1344">
        <f t="shared" si="28"/>
        <v>0</v>
      </c>
      <c r="AG37" s="1344">
        <f t="shared" si="28"/>
        <v>0</v>
      </c>
      <c r="AH37" s="1344">
        <f t="shared" si="28"/>
        <v>0</v>
      </c>
      <c r="AI37" s="1344">
        <f t="shared" si="28"/>
        <v>0</v>
      </c>
      <c r="AJ37" s="60"/>
      <c r="AK37" s="1344">
        <f t="shared" si="30"/>
        <v>0</v>
      </c>
      <c r="AL37" s="1344">
        <f t="shared" si="30"/>
        <v>0</v>
      </c>
      <c r="AM37" s="1344">
        <f t="shared" si="30"/>
        <v>0</v>
      </c>
      <c r="AN37" s="1344">
        <f t="shared" si="30"/>
        <v>0</v>
      </c>
      <c r="AO37" s="1344">
        <f t="shared" si="30"/>
        <v>0</v>
      </c>
      <c r="AP37" s="1344">
        <f t="shared" si="30"/>
        <v>0</v>
      </c>
      <c r="AQ37" s="1344">
        <f t="shared" si="30"/>
        <v>0</v>
      </c>
      <c r="AR37" s="1344">
        <f t="shared" si="30"/>
        <v>0</v>
      </c>
      <c r="AS37" s="1344">
        <f t="shared" si="30"/>
        <v>0</v>
      </c>
      <c r="AT37" s="66"/>
    </row>
    <row r="38" spans="1:46">
      <c r="A38" s="253"/>
      <c r="B38" s="258">
        <v>7</v>
      </c>
      <c r="C38" s="259" t="s">
        <v>406</v>
      </c>
      <c r="D38" s="741"/>
      <c r="E38" s="742"/>
      <c r="F38" s="742"/>
      <c r="G38" s="743"/>
      <c r="H38" s="743"/>
      <c r="I38" s="743"/>
      <c r="J38" s="743"/>
      <c r="K38" s="743"/>
      <c r="L38" s="744"/>
      <c r="M38" s="620" t="str">
        <f>" - - - -"</f>
        <v xml:space="preserve"> - - - -</v>
      </c>
      <c r="N38" s="620" t="str">
        <f>" - - - -"</f>
        <v xml:space="preserve"> - - - -</v>
      </c>
      <c r="O38" s="620" t="str">
        <f>" - - - -"</f>
        <v xml:space="preserve"> - - - -</v>
      </c>
      <c r="P38" s="60"/>
      <c r="Q38" s="1344"/>
      <c r="R38" s="1344"/>
      <c r="S38" s="1344"/>
      <c r="T38" s="1344"/>
      <c r="U38" s="1344"/>
      <c r="V38" s="1344"/>
      <c r="W38" s="1344"/>
      <c r="X38" s="1344"/>
      <c r="Y38" s="1344"/>
      <c r="Z38" s="60"/>
      <c r="AA38" s="1344"/>
      <c r="AB38" s="1344"/>
      <c r="AC38" s="1344"/>
      <c r="AD38" s="1344"/>
      <c r="AE38" s="1344"/>
      <c r="AF38" s="1344"/>
      <c r="AG38" s="1344"/>
      <c r="AH38" s="1344"/>
      <c r="AI38" s="1344"/>
      <c r="AJ38" s="60"/>
      <c r="AK38" s="1344"/>
      <c r="AL38" s="1344"/>
      <c r="AM38" s="1344"/>
      <c r="AN38" s="1344"/>
      <c r="AO38" s="1344"/>
      <c r="AP38" s="1344"/>
      <c r="AQ38" s="1344"/>
      <c r="AR38" s="1344"/>
      <c r="AS38" s="1344"/>
      <c r="AT38" s="66"/>
    </row>
    <row r="39" spans="1:46">
      <c r="A39" s="253"/>
      <c r="B39" s="258">
        <v>8</v>
      </c>
      <c r="C39" s="259" t="s">
        <v>254</v>
      </c>
      <c r="D39" s="606"/>
      <c r="E39" s="607"/>
      <c r="F39" s="607"/>
      <c r="G39" s="608"/>
      <c r="H39" s="608"/>
      <c r="I39" s="608"/>
      <c r="J39" s="608"/>
      <c r="K39" s="608"/>
      <c r="L39" s="609"/>
      <c r="M39" s="1346">
        <f>SUM(Q39:Y39)</f>
        <v>0</v>
      </c>
      <c r="N39" s="1346">
        <f t="shared" ref="N39:N46" si="31">SUM(AA39:AI39)</f>
        <v>0</v>
      </c>
      <c r="O39" s="1346">
        <f t="shared" ref="O39:O46" si="32">SUM(AK39:AS39)</f>
        <v>0</v>
      </c>
      <c r="P39" s="18"/>
      <c r="Q39" s="1344">
        <f t="shared" si="27"/>
        <v>0</v>
      </c>
      <c r="R39" s="1344">
        <f t="shared" si="27"/>
        <v>0</v>
      </c>
      <c r="S39" s="1344">
        <f t="shared" si="27"/>
        <v>0</v>
      </c>
      <c r="T39" s="1344">
        <f t="shared" si="27"/>
        <v>0</v>
      </c>
      <c r="U39" s="1344">
        <f t="shared" si="27"/>
        <v>0</v>
      </c>
      <c r="V39" s="1344">
        <f t="shared" si="27"/>
        <v>0</v>
      </c>
      <c r="W39" s="1344">
        <f t="shared" si="27"/>
        <v>0</v>
      </c>
      <c r="X39" s="1344">
        <f t="shared" si="27"/>
        <v>0</v>
      </c>
      <c r="Y39" s="1344">
        <f t="shared" si="27"/>
        <v>0</v>
      </c>
      <c r="Z39" s="60"/>
      <c r="AA39" s="1344">
        <f t="shared" si="28"/>
        <v>0</v>
      </c>
      <c r="AB39" s="1344">
        <f t="shared" si="28"/>
        <v>0</v>
      </c>
      <c r="AC39" s="1344">
        <f t="shared" si="28"/>
        <v>0</v>
      </c>
      <c r="AD39" s="1344">
        <f t="shared" si="28"/>
        <v>0</v>
      </c>
      <c r="AE39" s="1344">
        <f t="shared" si="28"/>
        <v>0</v>
      </c>
      <c r="AF39" s="1344">
        <f t="shared" si="28"/>
        <v>0</v>
      </c>
      <c r="AG39" s="1344">
        <f t="shared" si="28"/>
        <v>0</v>
      </c>
      <c r="AH39" s="1344">
        <f t="shared" si="28"/>
        <v>0</v>
      </c>
      <c r="AI39" s="1344">
        <f t="shared" si="28"/>
        <v>0</v>
      </c>
      <c r="AJ39" s="60"/>
      <c r="AK39" s="1344">
        <f t="shared" si="30"/>
        <v>0</v>
      </c>
      <c r="AL39" s="1344">
        <f t="shared" si="30"/>
        <v>0</v>
      </c>
      <c r="AM39" s="1344">
        <f t="shared" si="30"/>
        <v>0</v>
      </c>
      <c r="AN39" s="1344">
        <f t="shared" si="30"/>
        <v>0</v>
      </c>
      <c r="AO39" s="1344">
        <f t="shared" si="30"/>
        <v>0</v>
      </c>
      <c r="AP39" s="1344">
        <f t="shared" si="30"/>
        <v>0</v>
      </c>
      <c r="AQ39" s="1344">
        <f t="shared" si="30"/>
        <v>0</v>
      </c>
      <c r="AR39" s="1344">
        <f t="shared" si="30"/>
        <v>0</v>
      </c>
      <c r="AS39" s="1344">
        <f t="shared" si="30"/>
        <v>0</v>
      </c>
      <c r="AT39" s="66"/>
    </row>
    <row r="40" spans="1:46">
      <c r="A40" s="253"/>
      <c r="B40" s="258" t="s">
        <v>407</v>
      </c>
      <c r="C40" s="259" t="s">
        <v>408</v>
      </c>
      <c r="D40" s="612"/>
      <c r="E40" s="613"/>
      <c r="F40" s="613"/>
      <c r="G40" s="614"/>
      <c r="H40" s="614"/>
      <c r="I40" s="614"/>
      <c r="J40" s="614"/>
      <c r="K40" s="614"/>
      <c r="L40" s="615"/>
      <c r="M40" s="621">
        <f>SUM(Q40:Y40)</f>
        <v>0</v>
      </c>
      <c r="N40" s="621">
        <f t="shared" si="31"/>
        <v>0</v>
      </c>
      <c r="O40" s="621">
        <f t="shared" si="32"/>
        <v>0</v>
      </c>
      <c r="P40" s="18"/>
      <c r="Q40" s="1345">
        <f t="shared" ref="Q40:Y40" si="33">IF(Q30,D40,0)</f>
        <v>0</v>
      </c>
      <c r="R40" s="1345">
        <f t="shared" si="33"/>
        <v>0</v>
      </c>
      <c r="S40" s="1345">
        <f t="shared" si="33"/>
        <v>0</v>
      </c>
      <c r="T40" s="1345">
        <f t="shared" si="33"/>
        <v>0</v>
      </c>
      <c r="U40" s="1345">
        <f t="shared" si="33"/>
        <v>0</v>
      </c>
      <c r="V40" s="1345">
        <f t="shared" si="33"/>
        <v>0</v>
      </c>
      <c r="W40" s="1345">
        <f t="shared" si="33"/>
        <v>0</v>
      </c>
      <c r="X40" s="1345">
        <f t="shared" si="33"/>
        <v>0</v>
      </c>
      <c r="Y40" s="1345">
        <f t="shared" si="33"/>
        <v>0</v>
      </c>
      <c r="Z40" s="60"/>
      <c r="AA40" s="1345">
        <f t="shared" ref="AA40:AI40" si="34">IF(AA30,D40,0)</f>
        <v>0</v>
      </c>
      <c r="AB40" s="1345">
        <f t="shared" si="34"/>
        <v>0</v>
      </c>
      <c r="AC40" s="1345">
        <f t="shared" si="34"/>
        <v>0</v>
      </c>
      <c r="AD40" s="1345">
        <f t="shared" si="34"/>
        <v>0</v>
      </c>
      <c r="AE40" s="1345">
        <f t="shared" si="34"/>
        <v>0</v>
      </c>
      <c r="AF40" s="1345">
        <f t="shared" si="34"/>
        <v>0</v>
      </c>
      <c r="AG40" s="1345">
        <f t="shared" si="34"/>
        <v>0</v>
      </c>
      <c r="AH40" s="1345">
        <f t="shared" si="34"/>
        <v>0</v>
      </c>
      <c r="AI40" s="1345">
        <f t="shared" si="34"/>
        <v>0</v>
      </c>
      <c r="AJ40" s="60"/>
      <c r="AK40" s="1345">
        <f t="shared" ref="AK40:AS40" si="35">IF(AK30,D40,0)</f>
        <v>0</v>
      </c>
      <c r="AL40" s="1345">
        <f t="shared" si="35"/>
        <v>0</v>
      </c>
      <c r="AM40" s="1345">
        <f t="shared" si="35"/>
        <v>0</v>
      </c>
      <c r="AN40" s="1345">
        <f t="shared" si="35"/>
        <v>0</v>
      </c>
      <c r="AO40" s="1345">
        <f t="shared" si="35"/>
        <v>0</v>
      </c>
      <c r="AP40" s="1345">
        <f t="shared" si="35"/>
        <v>0</v>
      </c>
      <c r="AQ40" s="1345">
        <f t="shared" si="35"/>
        <v>0</v>
      </c>
      <c r="AR40" s="1345">
        <f t="shared" si="35"/>
        <v>0</v>
      </c>
      <c r="AS40" s="1345">
        <f t="shared" si="35"/>
        <v>0</v>
      </c>
      <c r="AT40" s="1399"/>
    </row>
    <row r="41" spans="1:46">
      <c r="A41" s="253"/>
      <c r="B41" s="258" t="s">
        <v>409</v>
      </c>
      <c r="C41" s="259" t="s">
        <v>410</v>
      </c>
      <c r="D41" s="606"/>
      <c r="E41" s="607"/>
      <c r="F41" s="607"/>
      <c r="G41" s="608"/>
      <c r="H41" s="608"/>
      <c r="I41" s="608"/>
      <c r="J41" s="608"/>
      <c r="K41" s="608"/>
      <c r="L41" s="609"/>
      <c r="M41" s="1346">
        <f t="shared" ref="M41:M46" si="36">SUM(Q41:Y41)</f>
        <v>0</v>
      </c>
      <c r="N41" s="1346">
        <f t="shared" si="31"/>
        <v>0</v>
      </c>
      <c r="O41" s="1346">
        <f t="shared" si="32"/>
        <v>0</v>
      </c>
      <c r="P41" s="18"/>
      <c r="Q41" s="1344">
        <f t="shared" ref="Q41:Y51" si="37">IF(Q$30,ROUND(D41,0),0)</f>
        <v>0</v>
      </c>
      <c r="R41" s="1344">
        <f t="shared" si="37"/>
        <v>0</v>
      </c>
      <c r="S41" s="1344">
        <f t="shared" si="37"/>
        <v>0</v>
      </c>
      <c r="T41" s="1344">
        <f t="shared" si="37"/>
        <v>0</v>
      </c>
      <c r="U41" s="1344">
        <f t="shared" si="37"/>
        <v>0</v>
      </c>
      <c r="V41" s="1344">
        <f t="shared" si="37"/>
        <v>0</v>
      </c>
      <c r="W41" s="1344">
        <f t="shared" si="37"/>
        <v>0</v>
      </c>
      <c r="X41" s="1344">
        <f t="shared" si="37"/>
        <v>0</v>
      </c>
      <c r="Y41" s="1344">
        <f t="shared" si="37"/>
        <v>0</v>
      </c>
      <c r="Z41" s="60"/>
      <c r="AA41" s="1344">
        <f t="shared" ref="AA41:AI51" si="38">IF(AA$30,ROUND(D41,0),0)</f>
        <v>0</v>
      </c>
      <c r="AB41" s="1344">
        <f t="shared" si="38"/>
        <v>0</v>
      </c>
      <c r="AC41" s="1344">
        <f t="shared" si="38"/>
        <v>0</v>
      </c>
      <c r="AD41" s="1344">
        <f t="shared" si="38"/>
        <v>0</v>
      </c>
      <c r="AE41" s="1344">
        <f t="shared" si="38"/>
        <v>0</v>
      </c>
      <c r="AF41" s="1344">
        <f t="shared" si="38"/>
        <v>0</v>
      </c>
      <c r="AG41" s="1344">
        <f t="shared" si="38"/>
        <v>0</v>
      </c>
      <c r="AH41" s="1344">
        <f t="shared" si="38"/>
        <v>0</v>
      </c>
      <c r="AI41" s="1344">
        <f t="shared" si="38"/>
        <v>0</v>
      </c>
      <c r="AJ41" s="60"/>
      <c r="AK41" s="1344">
        <f t="shared" ref="AK41:AS51" si="39">IF(AK$30,ROUND(D41,0),0)</f>
        <v>0</v>
      </c>
      <c r="AL41" s="1344">
        <f t="shared" si="39"/>
        <v>0</v>
      </c>
      <c r="AM41" s="1344">
        <f t="shared" si="39"/>
        <v>0</v>
      </c>
      <c r="AN41" s="1344">
        <f t="shared" si="39"/>
        <v>0</v>
      </c>
      <c r="AO41" s="1344">
        <f t="shared" si="39"/>
        <v>0</v>
      </c>
      <c r="AP41" s="1344">
        <f t="shared" si="39"/>
        <v>0</v>
      </c>
      <c r="AQ41" s="1344">
        <f t="shared" si="39"/>
        <v>0</v>
      </c>
      <c r="AR41" s="1344">
        <f t="shared" si="39"/>
        <v>0</v>
      </c>
      <c r="AS41" s="1344">
        <f t="shared" si="39"/>
        <v>0</v>
      </c>
      <c r="AT41" s="66"/>
    </row>
    <row r="42" spans="1:46">
      <c r="A42" s="253"/>
      <c r="B42" s="258">
        <v>10</v>
      </c>
      <c r="C42" s="259" t="s">
        <v>411</v>
      </c>
      <c r="D42" s="606"/>
      <c r="E42" s="607"/>
      <c r="F42" s="607"/>
      <c r="G42" s="608"/>
      <c r="H42" s="608"/>
      <c r="I42" s="608"/>
      <c r="J42" s="608"/>
      <c r="K42" s="608"/>
      <c r="L42" s="609"/>
      <c r="M42" s="1346">
        <f t="shared" si="36"/>
        <v>0</v>
      </c>
      <c r="N42" s="1346">
        <f t="shared" si="31"/>
        <v>0</v>
      </c>
      <c r="O42" s="1346">
        <f t="shared" si="32"/>
        <v>0</v>
      </c>
      <c r="P42" s="60"/>
      <c r="Q42" s="1344">
        <f t="shared" si="37"/>
        <v>0</v>
      </c>
      <c r="R42" s="1344">
        <f t="shared" si="37"/>
        <v>0</v>
      </c>
      <c r="S42" s="1344">
        <f t="shared" si="37"/>
        <v>0</v>
      </c>
      <c r="T42" s="1344">
        <f t="shared" si="37"/>
        <v>0</v>
      </c>
      <c r="U42" s="1344">
        <f t="shared" si="37"/>
        <v>0</v>
      </c>
      <c r="V42" s="1344">
        <f t="shared" si="37"/>
        <v>0</v>
      </c>
      <c r="W42" s="1344">
        <f t="shared" si="37"/>
        <v>0</v>
      </c>
      <c r="X42" s="1344">
        <f t="shared" si="37"/>
        <v>0</v>
      </c>
      <c r="Y42" s="1344">
        <f t="shared" si="37"/>
        <v>0</v>
      </c>
      <c r="Z42" s="60"/>
      <c r="AA42" s="1344">
        <f t="shared" si="38"/>
        <v>0</v>
      </c>
      <c r="AB42" s="1344">
        <f t="shared" si="38"/>
        <v>0</v>
      </c>
      <c r="AC42" s="1344">
        <f t="shared" si="38"/>
        <v>0</v>
      </c>
      <c r="AD42" s="1344">
        <f t="shared" si="38"/>
        <v>0</v>
      </c>
      <c r="AE42" s="1344">
        <f t="shared" si="38"/>
        <v>0</v>
      </c>
      <c r="AF42" s="1344">
        <f t="shared" si="38"/>
        <v>0</v>
      </c>
      <c r="AG42" s="1344">
        <f t="shared" si="38"/>
        <v>0</v>
      </c>
      <c r="AH42" s="1344">
        <f t="shared" si="38"/>
        <v>0</v>
      </c>
      <c r="AI42" s="1344">
        <f t="shared" si="38"/>
        <v>0</v>
      </c>
      <c r="AJ42" s="60"/>
      <c r="AK42" s="1344">
        <f t="shared" si="39"/>
        <v>0</v>
      </c>
      <c r="AL42" s="1344">
        <f t="shared" si="39"/>
        <v>0</v>
      </c>
      <c r="AM42" s="1344">
        <f t="shared" si="39"/>
        <v>0</v>
      </c>
      <c r="AN42" s="1344">
        <f t="shared" si="39"/>
        <v>0</v>
      </c>
      <c r="AO42" s="1344">
        <f t="shared" si="39"/>
        <v>0</v>
      </c>
      <c r="AP42" s="1344">
        <f t="shared" si="39"/>
        <v>0</v>
      </c>
      <c r="AQ42" s="1344">
        <f t="shared" si="39"/>
        <v>0</v>
      </c>
      <c r="AR42" s="1344">
        <f t="shared" si="39"/>
        <v>0</v>
      </c>
      <c r="AS42" s="1344">
        <f t="shared" si="39"/>
        <v>0</v>
      </c>
      <c r="AT42" s="66"/>
    </row>
    <row r="43" spans="1:46">
      <c r="A43" s="253"/>
      <c r="B43" s="258">
        <v>11</v>
      </c>
      <c r="C43" s="259" t="s">
        <v>412</v>
      </c>
      <c r="D43" s="606"/>
      <c r="E43" s="607"/>
      <c r="F43" s="607"/>
      <c r="G43" s="608"/>
      <c r="H43" s="608"/>
      <c r="I43" s="608"/>
      <c r="J43" s="608"/>
      <c r="K43" s="608"/>
      <c r="L43" s="609"/>
      <c r="M43" s="1346">
        <f t="shared" si="36"/>
        <v>0</v>
      </c>
      <c r="N43" s="1346">
        <f t="shared" si="31"/>
        <v>0</v>
      </c>
      <c r="O43" s="1346">
        <f t="shared" si="32"/>
        <v>0</v>
      </c>
      <c r="P43" s="60"/>
      <c r="Q43" s="1344">
        <f t="shared" si="37"/>
        <v>0</v>
      </c>
      <c r="R43" s="1344">
        <f t="shared" si="37"/>
        <v>0</v>
      </c>
      <c r="S43" s="1344">
        <f t="shared" si="37"/>
        <v>0</v>
      </c>
      <c r="T43" s="1344">
        <f t="shared" si="37"/>
        <v>0</v>
      </c>
      <c r="U43" s="1344">
        <f t="shared" si="37"/>
        <v>0</v>
      </c>
      <c r="V43" s="1344">
        <f t="shared" si="37"/>
        <v>0</v>
      </c>
      <c r="W43" s="1344">
        <f t="shared" si="37"/>
        <v>0</v>
      </c>
      <c r="X43" s="1344">
        <f t="shared" si="37"/>
        <v>0</v>
      </c>
      <c r="Y43" s="1344">
        <f t="shared" si="37"/>
        <v>0</v>
      </c>
      <c r="Z43" s="60"/>
      <c r="AA43" s="1344">
        <f t="shared" si="38"/>
        <v>0</v>
      </c>
      <c r="AB43" s="1344">
        <f t="shared" si="38"/>
        <v>0</v>
      </c>
      <c r="AC43" s="1344">
        <f t="shared" si="38"/>
        <v>0</v>
      </c>
      <c r="AD43" s="1344">
        <f t="shared" si="38"/>
        <v>0</v>
      </c>
      <c r="AE43" s="1344">
        <f t="shared" si="38"/>
        <v>0</v>
      </c>
      <c r="AF43" s="1344">
        <f t="shared" si="38"/>
        <v>0</v>
      </c>
      <c r="AG43" s="1344">
        <f t="shared" si="38"/>
        <v>0</v>
      </c>
      <c r="AH43" s="1344">
        <f t="shared" si="38"/>
        <v>0</v>
      </c>
      <c r="AI43" s="1344">
        <f t="shared" si="38"/>
        <v>0</v>
      </c>
      <c r="AJ43" s="60"/>
      <c r="AK43" s="1344">
        <f t="shared" si="39"/>
        <v>0</v>
      </c>
      <c r="AL43" s="1344">
        <f t="shared" si="39"/>
        <v>0</v>
      </c>
      <c r="AM43" s="1344">
        <f t="shared" si="39"/>
        <v>0</v>
      </c>
      <c r="AN43" s="1344">
        <f t="shared" si="39"/>
        <v>0</v>
      </c>
      <c r="AO43" s="1344">
        <f t="shared" si="39"/>
        <v>0</v>
      </c>
      <c r="AP43" s="1344">
        <f t="shared" si="39"/>
        <v>0</v>
      </c>
      <c r="AQ43" s="1344">
        <f t="shared" si="39"/>
        <v>0</v>
      </c>
      <c r="AR43" s="1344">
        <f t="shared" si="39"/>
        <v>0</v>
      </c>
      <c r="AS43" s="1344">
        <f t="shared" si="39"/>
        <v>0</v>
      </c>
      <c r="AT43" s="66"/>
    </row>
    <row r="44" spans="1:46">
      <c r="A44" s="253"/>
      <c r="B44" s="258">
        <v>12</v>
      </c>
      <c r="C44" s="259" t="s">
        <v>349</v>
      </c>
      <c r="D44" s="606"/>
      <c r="E44" s="607"/>
      <c r="F44" s="607"/>
      <c r="G44" s="608"/>
      <c r="H44" s="608"/>
      <c r="I44" s="608"/>
      <c r="J44" s="608"/>
      <c r="K44" s="608"/>
      <c r="L44" s="609"/>
      <c r="M44" s="620" t="str">
        <f t="shared" ref="M44:O45" si="40">" - - - -"</f>
        <v xml:space="preserve"> - - - -</v>
      </c>
      <c r="N44" s="620" t="str">
        <f t="shared" si="40"/>
        <v xml:space="preserve"> - - - -</v>
      </c>
      <c r="O44" s="620" t="str">
        <f t="shared" si="40"/>
        <v xml:space="preserve"> - - - -</v>
      </c>
      <c r="P44" s="60"/>
      <c r="Q44" s="1344">
        <f t="shared" si="37"/>
        <v>0</v>
      </c>
      <c r="R44" s="1344">
        <f t="shared" si="37"/>
        <v>0</v>
      </c>
      <c r="S44" s="1344">
        <f t="shared" si="37"/>
        <v>0</v>
      </c>
      <c r="T44" s="1344">
        <f t="shared" si="37"/>
        <v>0</v>
      </c>
      <c r="U44" s="1344">
        <f t="shared" si="37"/>
        <v>0</v>
      </c>
      <c r="V44" s="1344">
        <f t="shared" si="37"/>
        <v>0</v>
      </c>
      <c r="W44" s="1344">
        <f t="shared" si="37"/>
        <v>0</v>
      </c>
      <c r="X44" s="1344">
        <f t="shared" si="37"/>
        <v>0</v>
      </c>
      <c r="Y44" s="1344">
        <f t="shared" si="37"/>
        <v>0</v>
      </c>
      <c r="Z44" s="60"/>
      <c r="AA44" s="1344">
        <f t="shared" si="38"/>
        <v>0</v>
      </c>
      <c r="AB44" s="1344">
        <f t="shared" si="38"/>
        <v>0</v>
      </c>
      <c r="AC44" s="1344">
        <f t="shared" si="38"/>
        <v>0</v>
      </c>
      <c r="AD44" s="1344">
        <f t="shared" si="38"/>
        <v>0</v>
      </c>
      <c r="AE44" s="1344">
        <f t="shared" si="38"/>
        <v>0</v>
      </c>
      <c r="AF44" s="1344">
        <f t="shared" si="38"/>
        <v>0</v>
      </c>
      <c r="AG44" s="1344">
        <f t="shared" si="38"/>
        <v>0</v>
      </c>
      <c r="AH44" s="1344">
        <f t="shared" si="38"/>
        <v>0</v>
      </c>
      <c r="AI44" s="1344">
        <f t="shared" si="38"/>
        <v>0</v>
      </c>
      <c r="AJ44" s="60"/>
      <c r="AK44" s="1344">
        <f t="shared" si="39"/>
        <v>0</v>
      </c>
      <c r="AL44" s="1344">
        <f t="shared" si="39"/>
        <v>0</v>
      </c>
      <c r="AM44" s="1344">
        <f t="shared" si="39"/>
        <v>0</v>
      </c>
      <c r="AN44" s="1344">
        <f t="shared" si="39"/>
        <v>0</v>
      </c>
      <c r="AO44" s="1344">
        <f t="shared" si="39"/>
        <v>0</v>
      </c>
      <c r="AP44" s="1344">
        <f t="shared" si="39"/>
        <v>0</v>
      </c>
      <c r="AQ44" s="1344">
        <f t="shared" si="39"/>
        <v>0</v>
      </c>
      <c r="AR44" s="1344">
        <f t="shared" si="39"/>
        <v>0</v>
      </c>
      <c r="AS44" s="1344">
        <f t="shared" si="39"/>
        <v>0</v>
      </c>
      <c r="AT44" s="66"/>
    </row>
    <row r="45" spans="1:46">
      <c r="A45" s="253"/>
      <c r="B45" s="258">
        <v>13</v>
      </c>
      <c r="C45" s="259" t="s">
        <v>413</v>
      </c>
      <c r="D45" s="606"/>
      <c r="E45" s="607"/>
      <c r="F45" s="607"/>
      <c r="G45" s="608"/>
      <c r="H45" s="608"/>
      <c r="I45" s="608"/>
      <c r="J45" s="608"/>
      <c r="K45" s="608"/>
      <c r="L45" s="609"/>
      <c r="M45" s="620" t="str">
        <f t="shared" si="40"/>
        <v xml:space="preserve"> - - - -</v>
      </c>
      <c r="N45" s="620" t="str">
        <f t="shared" si="40"/>
        <v xml:space="preserve"> - - - -</v>
      </c>
      <c r="O45" s="620" t="str">
        <f t="shared" si="40"/>
        <v xml:space="preserve"> - - - -</v>
      </c>
      <c r="P45" s="60"/>
      <c r="Q45" s="1344">
        <f t="shared" si="37"/>
        <v>0</v>
      </c>
      <c r="R45" s="1344">
        <f t="shared" si="37"/>
        <v>0</v>
      </c>
      <c r="S45" s="1344">
        <f t="shared" si="37"/>
        <v>0</v>
      </c>
      <c r="T45" s="1344">
        <f t="shared" si="37"/>
        <v>0</v>
      </c>
      <c r="U45" s="1344">
        <f t="shared" si="37"/>
        <v>0</v>
      </c>
      <c r="V45" s="1344">
        <f t="shared" si="37"/>
        <v>0</v>
      </c>
      <c r="W45" s="1344">
        <f t="shared" si="37"/>
        <v>0</v>
      </c>
      <c r="X45" s="1344">
        <f t="shared" si="37"/>
        <v>0</v>
      </c>
      <c r="Y45" s="1344">
        <f t="shared" si="37"/>
        <v>0</v>
      </c>
      <c r="Z45" s="60"/>
      <c r="AA45" s="1344">
        <f t="shared" si="38"/>
        <v>0</v>
      </c>
      <c r="AB45" s="1344">
        <f t="shared" si="38"/>
        <v>0</v>
      </c>
      <c r="AC45" s="1344">
        <f t="shared" si="38"/>
        <v>0</v>
      </c>
      <c r="AD45" s="1344">
        <f t="shared" si="38"/>
        <v>0</v>
      </c>
      <c r="AE45" s="1344">
        <f t="shared" si="38"/>
        <v>0</v>
      </c>
      <c r="AF45" s="1344">
        <f t="shared" si="38"/>
        <v>0</v>
      </c>
      <c r="AG45" s="1344">
        <f t="shared" si="38"/>
        <v>0</v>
      </c>
      <c r="AH45" s="1344">
        <f t="shared" si="38"/>
        <v>0</v>
      </c>
      <c r="AI45" s="1344">
        <f t="shared" si="38"/>
        <v>0</v>
      </c>
      <c r="AJ45" s="60"/>
      <c r="AK45" s="1344">
        <f t="shared" si="39"/>
        <v>0</v>
      </c>
      <c r="AL45" s="1344">
        <f t="shared" si="39"/>
        <v>0</v>
      </c>
      <c r="AM45" s="1344">
        <f t="shared" si="39"/>
        <v>0</v>
      </c>
      <c r="AN45" s="1344">
        <f t="shared" si="39"/>
        <v>0</v>
      </c>
      <c r="AO45" s="1344">
        <f t="shared" si="39"/>
        <v>0</v>
      </c>
      <c r="AP45" s="1344">
        <f t="shared" si="39"/>
        <v>0</v>
      </c>
      <c r="AQ45" s="1344">
        <f t="shared" si="39"/>
        <v>0</v>
      </c>
      <c r="AR45" s="1344">
        <f t="shared" si="39"/>
        <v>0</v>
      </c>
      <c r="AS45" s="1344">
        <f t="shared" si="39"/>
        <v>0</v>
      </c>
      <c r="AT45" s="66"/>
    </row>
    <row r="46" spans="1:46">
      <c r="A46" s="253"/>
      <c r="B46" s="527">
        <v>14</v>
      </c>
      <c r="C46" s="525" t="s">
        <v>311</v>
      </c>
      <c r="D46" s="606"/>
      <c r="E46" s="607"/>
      <c r="F46" s="607"/>
      <c r="G46" s="608"/>
      <c r="H46" s="608"/>
      <c r="I46" s="608"/>
      <c r="J46" s="608"/>
      <c r="K46" s="608"/>
      <c r="L46" s="609"/>
      <c r="M46" s="1346">
        <f t="shared" si="36"/>
        <v>0</v>
      </c>
      <c r="N46" s="1346">
        <f t="shared" si="31"/>
        <v>0</v>
      </c>
      <c r="O46" s="1346">
        <f t="shared" si="32"/>
        <v>0</v>
      </c>
      <c r="P46" s="18"/>
      <c r="Q46" s="1344">
        <f t="shared" si="37"/>
        <v>0</v>
      </c>
      <c r="R46" s="1344">
        <f t="shared" si="37"/>
        <v>0</v>
      </c>
      <c r="S46" s="1344">
        <f t="shared" si="37"/>
        <v>0</v>
      </c>
      <c r="T46" s="1344">
        <f t="shared" si="37"/>
        <v>0</v>
      </c>
      <c r="U46" s="1344">
        <f t="shared" si="37"/>
        <v>0</v>
      </c>
      <c r="V46" s="1344">
        <f t="shared" si="37"/>
        <v>0</v>
      </c>
      <c r="W46" s="1344">
        <f t="shared" si="37"/>
        <v>0</v>
      </c>
      <c r="X46" s="1344">
        <f t="shared" si="37"/>
        <v>0</v>
      </c>
      <c r="Y46" s="1344">
        <f t="shared" si="37"/>
        <v>0</v>
      </c>
      <c r="Z46" s="60"/>
      <c r="AA46" s="1344">
        <f t="shared" si="38"/>
        <v>0</v>
      </c>
      <c r="AB46" s="1344">
        <f t="shared" si="38"/>
        <v>0</v>
      </c>
      <c r="AC46" s="1344">
        <f t="shared" si="38"/>
        <v>0</v>
      </c>
      <c r="AD46" s="1344">
        <f t="shared" si="38"/>
        <v>0</v>
      </c>
      <c r="AE46" s="1344">
        <f t="shared" si="38"/>
        <v>0</v>
      </c>
      <c r="AF46" s="1344">
        <f t="shared" si="38"/>
        <v>0</v>
      </c>
      <c r="AG46" s="1344">
        <f t="shared" si="38"/>
        <v>0</v>
      </c>
      <c r="AH46" s="1344">
        <f t="shared" si="38"/>
        <v>0</v>
      </c>
      <c r="AI46" s="1344">
        <f t="shared" si="38"/>
        <v>0</v>
      </c>
      <c r="AJ46" s="60"/>
      <c r="AK46" s="1344">
        <f t="shared" si="39"/>
        <v>0</v>
      </c>
      <c r="AL46" s="1344">
        <f t="shared" si="39"/>
        <v>0</v>
      </c>
      <c r="AM46" s="1344">
        <f t="shared" si="39"/>
        <v>0</v>
      </c>
      <c r="AN46" s="1344">
        <f t="shared" si="39"/>
        <v>0</v>
      </c>
      <c r="AO46" s="1344">
        <f t="shared" si="39"/>
        <v>0</v>
      </c>
      <c r="AP46" s="1344">
        <f t="shared" si="39"/>
        <v>0</v>
      </c>
      <c r="AQ46" s="1344">
        <f t="shared" si="39"/>
        <v>0</v>
      </c>
      <c r="AR46" s="1344">
        <f t="shared" si="39"/>
        <v>0</v>
      </c>
      <c r="AS46" s="1344">
        <f t="shared" si="39"/>
        <v>0</v>
      </c>
      <c r="AT46" s="66"/>
    </row>
    <row r="47" spans="1:46">
      <c r="A47" s="253"/>
      <c r="B47" s="258">
        <v>15</v>
      </c>
      <c r="C47" s="259" t="s">
        <v>414</v>
      </c>
      <c r="D47" s="597"/>
      <c r="E47" s="598"/>
      <c r="F47" s="598"/>
      <c r="G47" s="599"/>
      <c r="H47" s="599"/>
      <c r="I47" s="599"/>
      <c r="J47" s="599"/>
      <c r="K47" s="599"/>
      <c r="L47" s="600"/>
      <c r="M47" s="620" t="str">
        <f>" - - - -"</f>
        <v xml:space="preserve"> - - - -</v>
      </c>
      <c r="N47" s="620" t="str">
        <f>" - - - -"</f>
        <v xml:space="preserve"> - - - -</v>
      </c>
      <c r="O47" s="620" t="str">
        <f>" - - - -"</f>
        <v xml:space="preserve"> - - - -</v>
      </c>
      <c r="P47" s="18"/>
      <c r="Q47" s="1344"/>
      <c r="R47" s="1344"/>
      <c r="S47" s="1344"/>
      <c r="T47" s="1344"/>
      <c r="U47" s="1344"/>
      <c r="V47" s="1344"/>
      <c r="W47" s="1344"/>
      <c r="X47" s="1344"/>
      <c r="Y47" s="1344"/>
      <c r="Z47" s="60"/>
      <c r="AA47" s="1344"/>
      <c r="AB47" s="1344"/>
      <c r="AC47" s="1344"/>
      <c r="AD47" s="1344"/>
      <c r="AE47" s="1344"/>
      <c r="AF47" s="1344"/>
      <c r="AG47" s="1344"/>
      <c r="AH47" s="1344"/>
      <c r="AI47" s="1344"/>
      <c r="AJ47" s="60"/>
      <c r="AK47" s="1344"/>
      <c r="AL47" s="1344"/>
      <c r="AM47" s="1344"/>
      <c r="AN47" s="1344"/>
      <c r="AO47" s="1344"/>
      <c r="AP47" s="1344"/>
      <c r="AQ47" s="1344"/>
      <c r="AR47" s="1344"/>
      <c r="AS47" s="1344"/>
      <c r="AT47" s="66"/>
    </row>
    <row r="48" spans="1:46">
      <c r="A48" s="253"/>
      <c r="B48" s="258">
        <v>16</v>
      </c>
      <c r="C48" s="259" t="s">
        <v>415</v>
      </c>
      <c r="D48" s="606"/>
      <c r="E48" s="607"/>
      <c r="F48" s="607"/>
      <c r="G48" s="608"/>
      <c r="H48" s="608"/>
      <c r="I48" s="608"/>
      <c r="J48" s="608"/>
      <c r="K48" s="608"/>
      <c r="L48" s="609"/>
      <c r="M48" s="1346">
        <f>SUM(Q48:Y48)</f>
        <v>0</v>
      </c>
      <c r="N48" s="1346">
        <f>SUM(AA48:AI48)</f>
        <v>0</v>
      </c>
      <c r="O48" s="1346">
        <f>SUM(AK48:AS48)</f>
        <v>0</v>
      </c>
      <c r="P48" s="18"/>
      <c r="Q48" s="1344">
        <f t="shared" si="37"/>
        <v>0</v>
      </c>
      <c r="R48" s="1344">
        <f t="shared" si="37"/>
        <v>0</v>
      </c>
      <c r="S48" s="1344">
        <f t="shared" si="37"/>
        <v>0</v>
      </c>
      <c r="T48" s="1344">
        <f t="shared" si="37"/>
        <v>0</v>
      </c>
      <c r="U48" s="1344">
        <f t="shared" si="37"/>
        <v>0</v>
      </c>
      <c r="V48" s="1344">
        <f t="shared" si="37"/>
        <v>0</v>
      </c>
      <c r="W48" s="1344">
        <f t="shared" si="37"/>
        <v>0</v>
      </c>
      <c r="X48" s="1344">
        <f t="shared" si="37"/>
        <v>0</v>
      </c>
      <c r="Y48" s="1344">
        <f t="shared" si="37"/>
        <v>0</v>
      </c>
      <c r="Z48" s="60"/>
      <c r="AA48" s="1344">
        <f t="shared" si="38"/>
        <v>0</v>
      </c>
      <c r="AB48" s="1344">
        <f t="shared" si="38"/>
        <v>0</v>
      </c>
      <c r="AC48" s="1344">
        <f t="shared" si="38"/>
        <v>0</v>
      </c>
      <c r="AD48" s="1344">
        <f t="shared" si="38"/>
        <v>0</v>
      </c>
      <c r="AE48" s="1344">
        <f t="shared" si="38"/>
        <v>0</v>
      </c>
      <c r="AF48" s="1344">
        <f t="shared" si="38"/>
        <v>0</v>
      </c>
      <c r="AG48" s="1344">
        <f t="shared" si="38"/>
        <v>0</v>
      </c>
      <c r="AH48" s="1344">
        <f t="shared" si="38"/>
        <v>0</v>
      </c>
      <c r="AI48" s="1344">
        <f t="shared" si="38"/>
        <v>0</v>
      </c>
      <c r="AJ48" s="60"/>
      <c r="AK48" s="1344">
        <f t="shared" si="39"/>
        <v>0</v>
      </c>
      <c r="AL48" s="1344">
        <f t="shared" si="39"/>
        <v>0</v>
      </c>
      <c r="AM48" s="1344">
        <f t="shared" si="39"/>
        <v>0</v>
      </c>
      <c r="AN48" s="1344">
        <f t="shared" si="39"/>
        <v>0</v>
      </c>
      <c r="AO48" s="1344">
        <f t="shared" si="39"/>
        <v>0</v>
      </c>
      <c r="AP48" s="1344">
        <f t="shared" si="39"/>
        <v>0</v>
      </c>
      <c r="AQ48" s="1344">
        <f t="shared" si="39"/>
        <v>0</v>
      </c>
      <c r="AR48" s="1344">
        <f t="shared" si="39"/>
        <v>0</v>
      </c>
      <c r="AS48" s="1344">
        <f t="shared" si="39"/>
        <v>0</v>
      </c>
      <c r="AT48" s="66"/>
    </row>
    <row r="49" spans="1:59">
      <c r="A49" s="253"/>
      <c r="B49" s="527">
        <v>17</v>
      </c>
      <c r="C49" s="525" t="s">
        <v>416</v>
      </c>
      <c r="D49" s="606"/>
      <c r="E49" s="607"/>
      <c r="F49" s="607"/>
      <c r="G49" s="608"/>
      <c r="H49" s="608"/>
      <c r="I49" s="608"/>
      <c r="J49" s="608"/>
      <c r="K49" s="608"/>
      <c r="L49" s="609"/>
      <c r="M49" s="1346">
        <f>SUM(Q49:Y49)</f>
        <v>0</v>
      </c>
      <c r="N49" s="1346">
        <f>SUM(AA49:AI49)</f>
        <v>0</v>
      </c>
      <c r="O49" s="1346">
        <f>SUM(AK49:AS49)</f>
        <v>0</v>
      </c>
      <c r="P49" s="18"/>
      <c r="Q49" s="1344">
        <f t="shared" si="37"/>
        <v>0</v>
      </c>
      <c r="R49" s="1344">
        <f t="shared" si="37"/>
        <v>0</v>
      </c>
      <c r="S49" s="1344">
        <f t="shared" si="37"/>
        <v>0</v>
      </c>
      <c r="T49" s="1344">
        <f t="shared" si="37"/>
        <v>0</v>
      </c>
      <c r="U49" s="1344">
        <f t="shared" si="37"/>
        <v>0</v>
      </c>
      <c r="V49" s="1344">
        <f t="shared" si="37"/>
        <v>0</v>
      </c>
      <c r="W49" s="1344">
        <f t="shared" si="37"/>
        <v>0</v>
      </c>
      <c r="X49" s="1344">
        <f t="shared" si="37"/>
        <v>0</v>
      </c>
      <c r="Y49" s="1344">
        <f t="shared" si="37"/>
        <v>0</v>
      </c>
      <c r="Z49" s="60"/>
      <c r="AA49" s="1344">
        <f t="shared" si="38"/>
        <v>0</v>
      </c>
      <c r="AB49" s="1344">
        <f t="shared" si="38"/>
        <v>0</v>
      </c>
      <c r="AC49" s="1344">
        <f t="shared" si="38"/>
        <v>0</v>
      </c>
      <c r="AD49" s="1344">
        <f t="shared" si="38"/>
        <v>0</v>
      </c>
      <c r="AE49" s="1344">
        <f t="shared" si="38"/>
        <v>0</v>
      </c>
      <c r="AF49" s="1344">
        <f t="shared" si="38"/>
        <v>0</v>
      </c>
      <c r="AG49" s="1344">
        <f t="shared" si="38"/>
        <v>0</v>
      </c>
      <c r="AH49" s="1344">
        <f t="shared" si="38"/>
        <v>0</v>
      </c>
      <c r="AI49" s="1344">
        <f t="shared" si="38"/>
        <v>0</v>
      </c>
      <c r="AJ49" s="60"/>
      <c r="AK49" s="1344">
        <f t="shared" si="39"/>
        <v>0</v>
      </c>
      <c r="AL49" s="1344">
        <f t="shared" si="39"/>
        <v>0</v>
      </c>
      <c r="AM49" s="1344">
        <f t="shared" si="39"/>
        <v>0</v>
      </c>
      <c r="AN49" s="1344">
        <f t="shared" si="39"/>
        <v>0</v>
      </c>
      <c r="AO49" s="1344">
        <f t="shared" si="39"/>
        <v>0</v>
      </c>
      <c r="AP49" s="1344">
        <f t="shared" si="39"/>
        <v>0</v>
      </c>
      <c r="AQ49" s="1344">
        <f t="shared" si="39"/>
        <v>0</v>
      </c>
      <c r="AR49" s="1344">
        <f t="shared" si="39"/>
        <v>0</v>
      </c>
      <c r="AS49" s="1344">
        <f t="shared" si="39"/>
        <v>0</v>
      </c>
      <c r="AT49" s="66"/>
    </row>
    <row r="50" spans="1:59">
      <c r="A50" s="253"/>
      <c r="B50" s="258">
        <v>18</v>
      </c>
      <c r="C50" s="259" t="s">
        <v>417</v>
      </c>
      <c r="D50" s="1335" t="b">
        <f>OR(D30="CONV",D30="conv")</f>
        <v>0</v>
      </c>
      <c r="E50" s="1336" t="b">
        <f>OR(E30="CONV",E30="conv")</f>
        <v>0</v>
      </c>
      <c r="F50" s="1336" t="b">
        <f t="shared" ref="F50:L50" si="41">OR(F30="CONV",F30="conv")</f>
        <v>0</v>
      </c>
      <c r="G50" s="1336" t="b">
        <f t="shared" si="41"/>
        <v>0</v>
      </c>
      <c r="H50" s="1336" t="b">
        <f t="shared" si="41"/>
        <v>0</v>
      </c>
      <c r="I50" s="1336" t="b">
        <f t="shared" si="41"/>
        <v>0</v>
      </c>
      <c r="J50" s="1336" t="b">
        <f t="shared" si="41"/>
        <v>0</v>
      </c>
      <c r="K50" s="1336" t="b">
        <f t="shared" si="41"/>
        <v>0</v>
      </c>
      <c r="L50" s="1336" t="b">
        <f t="shared" si="41"/>
        <v>0</v>
      </c>
      <c r="M50" s="620" t="str">
        <f>" - - - -"</f>
        <v xml:space="preserve"> - - - -</v>
      </c>
      <c r="N50" s="620" t="str">
        <f>" - - - -"</f>
        <v xml:space="preserve"> - - - -</v>
      </c>
      <c r="O50" s="620" t="str">
        <f>" - - - -"</f>
        <v xml:space="preserve"> - - - -</v>
      </c>
      <c r="P50" s="18"/>
      <c r="Q50" s="1344">
        <f t="shared" si="37"/>
        <v>0</v>
      </c>
      <c r="R50" s="1344">
        <f t="shared" si="37"/>
        <v>0</v>
      </c>
      <c r="S50" s="1344">
        <f t="shared" si="37"/>
        <v>0</v>
      </c>
      <c r="T50" s="1344">
        <f t="shared" si="37"/>
        <v>0</v>
      </c>
      <c r="U50" s="1344">
        <f t="shared" si="37"/>
        <v>0</v>
      </c>
      <c r="V50" s="1344">
        <f t="shared" si="37"/>
        <v>0</v>
      </c>
      <c r="W50" s="1344">
        <f t="shared" si="37"/>
        <v>0</v>
      </c>
      <c r="X50" s="1344">
        <f t="shared" si="37"/>
        <v>0</v>
      </c>
      <c r="Y50" s="1344">
        <f t="shared" si="37"/>
        <v>0</v>
      </c>
      <c r="Z50" s="60"/>
      <c r="AA50" s="1344"/>
      <c r="AB50" s="1344"/>
      <c r="AC50" s="1344"/>
      <c r="AD50" s="1344"/>
      <c r="AE50" s="1344"/>
      <c r="AF50" s="1344"/>
      <c r="AG50" s="1344"/>
      <c r="AH50" s="1344"/>
      <c r="AI50" s="1344"/>
      <c r="AJ50" s="60"/>
      <c r="AK50" s="1344"/>
      <c r="AL50" s="1344"/>
      <c r="AM50" s="1344"/>
      <c r="AN50" s="1344"/>
      <c r="AO50" s="1344"/>
      <c r="AP50" s="1344"/>
      <c r="AQ50" s="1344"/>
      <c r="AR50" s="1344"/>
      <c r="AS50" s="1344"/>
      <c r="AT50" s="66"/>
    </row>
    <row r="51" spans="1:59" ht="13.5" thickBot="1">
      <c r="A51" s="253"/>
      <c r="B51" s="263">
        <v>19</v>
      </c>
      <c r="C51" s="649" t="s">
        <v>418</v>
      </c>
      <c r="D51" s="616"/>
      <c r="E51" s="617"/>
      <c r="F51" s="617"/>
      <c r="G51" s="618"/>
      <c r="H51" s="618"/>
      <c r="I51" s="618"/>
      <c r="J51" s="618"/>
      <c r="K51" s="618"/>
      <c r="L51" s="619"/>
      <c r="M51" s="1347">
        <f>SUM(Q51:Y51)</f>
        <v>0</v>
      </c>
      <c r="N51" s="1347">
        <f>SUM(AA51:AI51)</f>
        <v>0</v>
      </c>
      <c r="O51" s="1347">
        <f>SUM(AK51:AS51)</f>
        <v>0</v>
      </c>
      <c r="P51" s="18"/>
      <c r="Q51" s="1344">
        <f t="shared" si="37"/>
        <v>0</v>
      </c>
      <c r="R51" s="1344">
        <f t="shared" si="37"/>
        <v>0</v>
      </c>
      <c r="S51" s="1344">
        <f t="shared" si="37"/>
        <v>0</v>
      </c>
      <c r="T51" s="1344">
        <f t="shared" si="37"/>
        <v>0</v>
      </c>
      <c r="U51" s="1344">
        <f t="shared" si="37"/>
        <v>0</v>
      </c>
      <c r="V51" s="1344">
        <f t="shared" si="37"/>
        <v>0</v>
      </c>
      <c r="W51" s="1344">
        <f t="shared" si="37"/>
        <v>0</v>
      </c>
      <c r="X51" s="1344">
        <f t="shared" si="37"/>
        <v>0</v>
      </c>
      <c r="Y51" s="1344">
        <f t="shared" si="37"/>
        <v>0</v>
      </c>
      <c r="Z51" s="60"/>
      <c r="AA51" s="1344">
        <f t="shared" si="38"/>
        <v>0</v>
      </c>
      <c r="AB51" s="1344">
        <f t="shared" si="38"/>
        <v>0</v>
      </c>
      <c r="AC51" s="1344">
        <f t="shared" si="38"/>
        <v>0</v>
      </c>
      <c r="AD51" s="1344">
        <f t="shared" si="38"/>
        <v>0</v>
      </c>
      <c r="AE51" s="1344">
        <f t="shared" si="38"/>
        <v>0</v>
      </c>
      <c r="AF51" s="1344">
        <f t="shared" si="38"/>
        <v>0</v>
      </c>
      <c r="AG51" s="1344">
        <f t="shared" si="38"/>
        <v>0</v>
      </c>
      <c r="AH51" s="1344">
        <f t="shared" si="38"/>
        <v>0</v>
      </c>
      <c r="AI51" s="1344">
        <f t="shared" si="38"/>
        <v>0</v>
      </c>
      <c r="AJ51" s="60"/>
      <c r="AK51" s="1344">
        <f t="shared" si="39"/>
        <v>0</v>
      </c>
      <c r="AL51" s="1344">
        <f t="shared" si="39"/>
        <v>0</v>
      </c>
      <c r="AM51" s="1344">
        <f t="shared" si="39"/>
        <v>0</v>
      </c>
      <c r="AN51" s="1344">
        <f t="shared" si="39"/>
        <v>0</v>
      </c>
      <c r="AO51" s="1344">
        <f t="shared" si="39"/>
        <v>0</v>
      </c>
      <c r="AP51" s="1344">
        <f t="shared" si="39"/>
        <v>0</v>
      </c>
      <c r="AQ51" s="1344">
        <f t="shared" si="39"/>
        <v>0</v>
      </c>
      <c r="AR51" s="1344">
        <f t="shared" si="39"/>
        <v>0</v>
      </c>
      <c r="AS51" s="1344">
        <f t="shared" si="39"/>
        <v>0</v>
      </c>
      <c r="AT51" s="66"/>
    </row>
    <row r="52" spans="1:59" s="138" customFormat="1" ht="17.25" customHeight="1" thickBot="1">
      <c r="A52" s="571"/>
      <c r="B52" s="581" t="s">
        <v>241</v>
      </c>
      <c r="C52" s="582"/>
      <c r="D52" s="1337" t="b">
        <f>OR(D50:L50)</f>
        <v>0</v>
      </c>
      <c r="E52" s="1538"/>
      <c r="F52" s="1538"/>
      <c r="G52" s="1538"/>
      <c r="H52" s="1334" t="str">
        <f>IF(D52,"For IRA conversions, leave line 2a blank and complete "&amp;CHAR(10)&amp;"Form 8606.","")</f>
        <v/>
      </c>
      <c r="I52" s="1538"/>
      <c r="J52" s="1538"/>
      <c r="K52" s="1538"/>
      <c r="L52" s="1538"/>
      <c r="M52" s="1538"/>
      <c r="N52" s="1539"/>
      <c r="O52" s="1539"/>
      <c r="P52" s="51"/>
      <c r="Q52" s="1540"/>
      <c r="R52" s="1540"/>
      <c r="S52" s="1540"/>
      <c r="T52" s="1540"/>
      <c r="U52" s="1540"/>
      <c r="V52" s="1540"/>
      <c r="W52" s="1540"/>
      <c r="X52" s="1540"/>
      <c r="Y52" s="1540"/>
      <c r="Z52" s="51"/>
      <c r="AA52" s="1540"/>
      <c r="AB52" s="1540"/>
      <c r="AC52" s="1540"/>
      <c r="AD52" s="1540"/>
      <c r="AE52" s="1540"/>
      <c r="AF52" s="1540"/>
      <c r="AG52" s="1540"/>
      <c r="AH52" s="1540"/>
      <c r="AI52" s="1540"/>
      <c r="AJ52" s="51"/>
      <c r="AK52" s="1540"/>
      <c r="AL52" s="1540"/>
      <c r="AM52" s="1540"/>
      <c r="AN52" s="1540"/>
      <c r="AO52" s="1540"/>
      <c r="AP52" s="1540"/>
      <c r="AQ52" s="1540"/>
      <c r="AR52" s="1540"/>
      <c r="AS52" s="1540"/>
      <c r="AT52" s="1540"/>
      <c r="AU52" s="658"/>
      <c r="AV52" s="658"/>
      <c r="AW52" s="658"/>
      <c r="AX52" s="658"/>
      <c r="AY52" s="658"/>
      <c r="AZ52" s="658"/>
      <c r="BA52" s="662"/>
      <c r="BB52" s="662"/>
      <c r="BC52" s="662"/>
      <c r="BD52" s="662"/>
      <c r="BE52" s="662"/>
      <c r="BF52" s="662"/>
      <c r="BG52" s="662"/>
    </row>
    <row r="53" spans="1:59" ht="17.25" hidden="1" customHeight="1">
      <c r="A53" s="253"/>
      <c r="B53" s="745"/>
      <c r="C53" s="746"/>
      <c r="D53" s="740" t="str">
        <f>IF(OR(LEFT(D38,1)="D",LEFT(D38,1)="d"),D32,"")</f>
        <v/>
      </c>
      <c r="E53" s="740" t="str">
        <f t="shared" ref="E53:L53" si="42">IF(OR(LEFT(E38,1)="D",LEFT(E38,1)="d"),E32,"")</f>
        <v/>
      </c>
      <c r="F53" s="740" t="str">
        <f t="shared" si="42"/>
        <v/>
      </c>
      <c r="G53" s="740" t="str">
        <f t="shared" si="42"/>
        <v/>
      </c>
      <c r="H53" s="740" t="str">
        <f t="shared" si="42"/>
        <v/>
      </c>
      <c r="I53" s="740" t="str">
        <f t="shared" si="42"/>
        <v/>
      </c>
      <c r="J53" s="740" t="str">
        <f t="shared" si="42"/>
        <v/>
      </c>
      <c r="K53" s="740" t="str">
        <f t="shared" si="42"/>
        <v/>
      </c>
      <c r="L53" s="740" t="str">
        <f t="shared" si="42"/>
        <v/>
      </c>
      <c r="M53" s="253"/>
      <c r="N53" s="740">
        <f>SUM(D53:L53)</f>
        <v>0</v>
      </c>
      <c r="O53" s="740">
        <f>SUM(E53:M53)</f>
        <v>0</v>
      </c>
      <c r="P53" s="268"/>
      <c r="Q53" s="66"/>
      <c r="R53" s="66"/>
      <c r="S53" s="66"/>
      <c r="T53" s="66"/>
      <c r="U53" s="66"/>
      <c r="V53" s="66"/>
      <c r="W53" s="66"/>
      <c r="X53" s="66"/>
      <c r="Y53" s="66"/>
      <c r="Z53" s="268"/>
      <c r="AA53" s="66"/>
      <c r="AB53" s="66"/>
      <c r="AC53" s="66"/>
      <c r="AD53" s="66"/>
      <c r="AE53" s="66"/>
      <c r="AF53" s="66"/>
      <c r="AG53" s="66"/>
      <c r="AH53" s="66"/>
      <c r="AI53" s="66"/>
      <c r="AJ53" s="268"/>
      <c r="AK53" s="66"/>
      <c r="AL53" s="66"/>
      <c r="AM53" s="66"/>
      <c r="AN53" s="66"/>
      <c r="AO53" s="66"/>
      <c r="AP53" s="66"/>
      <c r="AQ53" s="66"/>
      <c r="AR53" s="66"/>
      <c r="AS53" s="66"/>
      <c r="AT53" s="66"/>
    </row>
    <row r="54" spans="1:59" ht="17.25" hidden="1" customHeight="1" thickBot="1">
      <c r="A54" s="253"/>
      <c r="B54" s="745"/>
      <c r="C54" s="746"/>
      <c r="D54" s="740" t="str">
        <f>IF(OR(LEFT(D38,1)="D",LEFT(D38,1)="d"),SUM(D46,D49),"")</f>
        <v/>
      </c>
      <c r="E54" s="740" t="str">
        <f t="shared" ref="E54:L54" si="43">IF(OR(LEFT(E38,1)="D",LEFT(E38,1)="d"),SUM(E46,E49),"")</f>
        <v/>
      </c>
      <c r="F54" s="740" t="str">
        <f t="shared" si="43"/>
        <v/>
      </c>
      <c r="G54" s="740" t="str">
        <f t="shared" si="43"/>
        <v/>
      </c>
      <c r="H54" s="740" t="str">
        <f t="shared" si="43"/>
        <v/>
      </c>
      <c r="I54" s="740" t="str">
        <f t="shared" si="43"/>
        <v/>
      </c>
      <c r="J54" s="740" t="str">
        <f t="shared" si="43"/>
        <v/>
      </c>
      <c r="K54" s="740" t="str">
        <f t="shared" si="43"/>
        <v/>
      </c>
      <c r="L54" s="740" t="str">
        <f t="shared" si="43"/>
        <v/>
      </c>
      <c r="M54" s="747"/>
      <c r="N54" s="740">
        <f>SUM(D54:L54)</f>
        <v>0</v>
      </c>
      <c r="O54" s="740">
        <f>SUM(E54:M54)</f>
        <v>0</v>
      </c>
      <c r="P54" s="268"/>
      <c r="Q54" s="66"/>
      <c r="R54" s="66"/>
      <c r="S54" s="66"/>
      <c r="T54" s="66"/>
      <c r="U54" s="66"/>
      <c r="V54" s="66"/>
      <c r="W54" s="66"/>
      <c r="X54" s="66"/>
      <c r="Y54" s="66"/>
      <c r="Z54" s="268"/>
      <c r="AA54" s="66"/>
      <c r="AB54" s="66"/>
      <c r="AC54" s="66"/>
      <c r="AD54" s="66"/>
      <c r="AE54" s="66"/>
      <c r="AF54" s="66"/>
      <c r="AG54" s="66"/>
      <c r="AH54" s="66"/>
      <c r="AI54" s="66"/>
      <c r="AJ54" s="268"/>
      <c r="AK54" s="66"/>
      <c r="AL54" s="66"/>
      <c r="AM54" s="66"/>
      <c r="AN54" s="66"/>
      <c r="AO54" s="66"/>
      <c r="AP54" s="66"/>
      <c r="AQ54" s="66"/>
      <c r="AR54" s="66"/>
      <c r="AS54" s="66"/>
      <c r="AT54" s="66"/>
    </row>
    <row r="55" spans="1:59" ht="42" customHeight="1" thickTop="1" thickBot="1">
      <c r="A55" s="583"/>
      <c r="B55" s="593" t="s">
        <v>391</v>
      </c>
      <c r="C55" s="1535"/>
      <c r="D55" s="1536"/>
      <c r="E55" s="584"/>
      <c r="F55" s="1536"/>
      <c r="G55" s="1536"/>
      <c r="H55" s="1536"/>
      <c r="I55" s="585"/>
      <c r="J55" s="585"/>
      <c r="K55" s="586"/>
      <c r="L55" s="586"/>
      <c r="M55" s="586"/>
      <c r="N55" s="586"/>
      <c r="O55" s="586"/>
    </row>
    <row r="56" spans="1:59" ht="49.5" customHeight="1" thickTop="1" thickBot="1">
      <c r="A56" s="253"/>
      <c r="B56" s="1541"/>
      <c r="C56" s="1541" t="s">
        <v>421</v>
      </c>
      <c r="D56" s="1542" t="s">
        <v>422</v>
      </c>
      <c r="E56" s="638" t="s">
        <v>423</v>
      </c>
      <c r="F56" s="638" t="s">
        <v>419</v>
      </c>
      <c r="G56" s="638"/>
      <c r="H56" s="638"/>
      <c r="I56" s="638"/>
      <c r="J56" s="638"/>
      <c r="K56" s="638"/>
      <c r="L56" s="638"/>
      <c r="M56" s="638"/>
      <c r="N56" s="638"/>
      <c r="O56" s="638"/>
      <c r="P56" s="638"/>
      <c r="Q56" s="39"/>
      <c r="R56" s="104"/>
      <c r="S56" s="104"/>
      <c r="T56" s="104"/>
      <c r="U56" s="104"/>
      <c r="V56" s="104"/>
      <c r="W56" s="104"/>
      <c r="X56" s="104"/>
      <c r="Y56" s="104"/>
      <c r="Z56" s="638"/>
      <c r="AA56" s="39"/>
      <c r="AB56" s="104"/>
      <c r="AC56" s="104"/>
      <c r="AD56" s="104"/>
      <c r="AE56" s="104"/>
      <c r="AF56" s="104"/>
      <c r="AG56" s="104"/>
      <c r="AH56" s="104"/>
      <c r="AI56" s="104"/>
      <c r="AJ56" s="638"/>
      <c r="AK56" s="39"/>
      <c r="AL56" s="104"/>
      <c r="AM56" s="104"/>
      <c r="AN56" s="104"/>
      <c r="AO56" s="104"/>
      <c r="AP56" s="104"/>
      <c r="AQ56" s="104"/>
      <c r="AR56" s="104"/>
      <c r="AS56" s="104"/>
      <c r="AT56" s="104"/>
    </row>
    <row r="57" spans="1:59" ht="13.5" thickBot="1">
      <c r="A57" s="253"/>
      <c r="B57" s="254"/>
      <c r="C57" s="256"/>
      <c r="D57" s="1543" t="s">
        <v>396</v>
      </c>
      <c r="E57" s="1544" t="s">
        <v>397</v>
      </c>
      <c r="F57" s="1232" t="s">
        <v>398</v>
      </c>
      <c r="G57" s="627" t="s">
        <v>226</v>
      </c>
      <c r="H57" s="60"/>
      <c r="I57" s="638"/>
      <c r="J57" s="847" t="s">
        <v>424</v>
      </c>
      <c r="K57" s="115"/>
      <c r="L57" s="60"/>
      <c r="M57" s="18"/>
      <c r="N57" s="120"/>
      <c r="O57" s="120"/>
      <c r="P57" s="18"/>
      <c r="Q57" s="18"/>
      <c r="R57" s="26"/>
      <c r="S57" s="26"/>
      <c r="T57" s="26"/>
      <c r="U57" s="26"/>
      <c r="V57" s="26"/>
      <c r="W57" s="26"/>
      <c r="X57" s="26"/>
      <c r="Y57" s="26"/>
      <c r="Z57" s="18"/>
      <c r="AA57" s="18"/>
      <c r="AB57" s="26"/>
      <c r="AC57" s="26"/>
      <c r="AD57" s="26"/>
      <c r="AE57" s="26"/>
      <c r="AF57" s="26"/>
      <c r="AG57" s="26"/>
      <c r="AH57" s="26"/>
      <c r="AI57" s="26"/>
      <c r="AJ57" s="18"/>
      <c r="AK57" s="18"/>
      <c r="AL57" s="26"/>
      <c r="AM57" s="26"/>
      <c r="AN57" s="26"/>
      <c r="AO57" s="26"/>
      <c r="AP57" s="26"/>
      <c r="AQ57" s="26"/>
      <c r="AR57" s="26"/>
      <c r="AS57" s="26"/>
      <c r="AT57" s="26"/>
    </row>
    <row r="58" spans="1:59" ht="13.5" customHeight="1">
      <c r="A58" s="253"/>
      <c r="B58" s="526">
        <v>1</v>
      </c>
      <c r="C58" s="524" t="s">
        <v>400</v>
      </c>
      <c r="D58" s="1545">
        <f>SUM(M4,M31)</f>
        <v>0</v>
      </c>
      <c r="E58" s="1545">
        <f>SUM(N4,N31)</f>
        <v>0</v>
      </c>
      <c r="F58" s="1545">
        <f>SUM(O4,O31)</f>
        <v>0</v>
      </c>
      <c r="G58" s="650" t="s">
        <v>425</v>
      </c>
      <c r="H58" s="1211"/>
      <c r="I58" s="326">
        <f>IF(E58=0,0,ROUND(E58,0))</f>
        <v>0</v>
      </c>
      <c r="J58" s="847" t="s">
        <v>426</v>
      </c>
      <c r="K58" s="115"/>
      <c r="L58" s="1211"/>
      <c r="M58" s="1211"/>
      <c r="N58" s="1546"/>
      <c r="O58" s="1546"/>
      <c r="P58" s="19"/>
      <c r="Q58" s="19"/>
      <c r="R58" s="66"/>
      <c r="S58" s="66"/>
      <c r="T58" s="66"/>
      <c r="U58" s="66"/>
      <c r="V58" s="66"/>
      <c r="W58" s="66"/>
      <c r="X58" s="66"/>
      <c r="Y58" s="66"/>
      <c r="Z58" s="19"/>
      <c r="AA58" s="19"/>
      <c r="AB58" s="66"/>
      <c r="AC58" s="66"/>
      <c r="AD58" s="66"/>
      <c r="AE58" s="66"/>
      <c r="AF58" s="66"/>
      <c r="AG58" s="66"/>
      <c r="AH58" s="66"/>
      <c r="AI58" s="66"/>
      <c r="AJ58" s="19"/>
      <c r="AK58" s="19"/>
      <c r="AL58" s="66"/>
      <c r="AM58" s="66"/>
      <c r="AN58" s="66"/>
      <c r="AO58" s="66"/>
      <c r="AP58" s="66"/>
      <c r="AQ58" s="66"/>
      <c r="AR58" s="66"/>
      <c r="AS58" s="66"/>
      <c r="AT58" s="66"/>
    </row>
    <row r="59" spans="1:59" ht="13.5" customHeight="1">
      <c r="A59" s="253"/>
      <c r="B59" s="527" t="s">
        <v>337</v>
      </c>
      <c r="C59" s="525" t="s">
        <v>401</v>
      </c>
      <c r="D59" s="1547">
        <f>SUM(IRA_Taxable_You,IRA_Taxable_Spouse)</f>
        <v>0</v>
      </c>
      <c r="E59" s="1547">
        <f>SUM(PA_Taxable_You,PA_Taxable_Spouse)</f>
        <v>0</v>
      </c>
      <c r="F59" s="262" t="str">
        <f>" - - - -"</f>
        <v xml:space="preserve"> - - - -</v>
      </c>
      <c r="G59" s="650" t="s">
        <v>427</v>
      </c>
      <c r="H59" s="1211"/>
      <c r="I59" s="25"/>
      <c r="J59" s="847" t="s">
        <v>428</v>
      </c>
      <c r="K59" s="115"/>
      <c r="L59" s="1211"/>
      <c r="M59" s="1211"/>
      <c r="N59" s="1546"/>
      <c r="O59" s="1546"/>
      <c r="P59" s="19"/>
      <c r="Q59" s="19"/>
      <c r="R59" s="66"/>
      <c r="S59" s="66"/>
      <c r="T59" s="66"/>
      <c r="U59" s="66"/>
      <c r="V59" s="66"/>
      <c r="W59" s="66"/>
      <c r="X59" s="66"/>
      <c r="Y59" s="66"/>
      <c r="Z59" s="19"/>
      <c r="AA59" s="19"/>
      <c r="AB59" s="66"/>
      <c r="AC59" s="66"/>
      <c r="AD59" s="66"/>
      <c r="AE59" s="66"/>
      <c r="AF59" s="66"/>
      <c r="AG59" s="66"/>
      <c r="AH59" s="66"/>
      <c r="AI59" s="66"/>
      <c r="AJ59" s="19"/>
      <c r="AK59" s="19"/>
      <c r="AL59" s="66"/>
      <c r="AM59" s="66"/>
      <c r="AN59" s="66"/>
      <c r="AO59" s="66"/>
      <c r="AP59" s="66"/>
      <c r="AQ59" s="66"/>
      <c r="AR59" s="66"/>
      <c r="AS59" s="66"/>
      <c r="AT59" s="66"/>
    </row>
    <row r="60" spans="1:59" ht="13.5" customHeight="1">
      <c r="A60" s="253"/>
      <c r="B60" s="258" t="s">
        <v>339</v>
      </c>
      <c r="C60" s="259" t="s">
        <v>402</v>
      </c>
      <c r="D60" s="262" t="str">
        <f>" - - - -"</f>
        <v xml:space="preserve"> - - - -</v>
      </c>
      <c r="E60" s="262" t="str">
        <f>" - - - -"</f>
        <v xml:space="preserve"> - - - -</v>
      </c>
      <c r="F60" s="262" t="str">
        <f>" - - - -"</f>
        <v xml:space="preserve"> - - - -</v>
      </c>
      <c r="G60" s="1211"/>
      <c r="H60" s="1211"/>
      <c r="I60" s="1211"/>
      <c r="J60" s="847" t="s">
        <v>429</v>
      </c>
      <c r="K60" s="1211"/>
      <c r="L60" s="1211"/>
      <c r="M60" s="1211"/>
      <c r="N60" s="1211"/>
      <c r="O60" s="1211"/>
      <c r="P60" s="1211"/>
      <c r="Q60" s="19"/>
      <c r="R60" s="66"/>
      <c r="S60" s="66"/>
      <c r="T60" s="66"/>
      <c r="U60" s="66"/>
      <c r="V60" s="66"/>
      <c r="W60" s="66"/>
      <c r="X60" s="66"/>
      <c r="Y60" s="66"/>
      <c r="Z60" s="1211"/>
      <c r="AA60" s="19"/>
      <c r="AB60" s="66"/>
      <c r="AC60" s="66"/>
      <c r="AD60" s="66"/>
      <c r="AE60" s="66"/>
      <c r="AF60" s="66"/>
      <c r="AG60" s="66"/>
      <c r="AH60" s="66"/>
      <c r="AI60" s="66"/>
      <c r="AJ60" s="1211"/>
      <c r="AK60" s="19"/>
      <c r="AL60" s="66"/>
      <c r="AM60" s="66"/>
      <c r="AN60" s="66"/>
      <c r="AO60" s="66"/>
      <c r="AP60" s="66"/>
      <c r="AQ60" s="66"/>
      <c r="AR60" s="66"/>
      <c r="AS60" s="66"/>
      <c r="AT60" s="66"/>
    </row>
    <row r="61" spans="1:59" ht="13.5" customHeight="1">
      <c r="A61" s="253"/>
      <c r="B61" s="258">
        <v>3</v>
      </c>
      <c r="C61" s="259" t="s">
        <v>420</v>
      </c>
      <c r="D61" s="1350">
        <f t="shared" ref="D61:F64" si="44">SUM(M7,M34)</f>
        <v>0</v>
      </c>
      <c r="E61" s="1350">
        <f t="shared" si="44"/>
        <v>0</v>
      </c>
      <c r="F61" s="1350">
        <f t="shared" si="44"/>
        <v>0</v>
      </c>
      <c r="G61" s="651"/>
      <c r="H61" s="1211"/>
      <c r="I61" s="25"/>
      <c r="J61" s="847" t="s">
        <v>430</v>
      </c>
      <c r="K61" s="628"/>
      <c r="L61" s="1211"/>
      <c r="M61" s="1211"/>
      <c r="N61" s="1546"/>
      <c r="O61" s="1546"/>
      <c r="P61" s="19"/>
      <c r="Q61" s="19"/>
      <c r="R61" s="66"/>
      <c r="S61" s="66"/>
      <c r="T61" s="66"/>
      <c r="U61" s="66"/>
      <c r="V61" s="66"/>
      <c r="W61" s="66"/>
      <c r="X61" s="66"/>
      <c r="Y61" s="66"/>
      <c r="Z61" s="19"/>
      <c r="AA61" s="19"/>
      <c r="AB61" s="66"/>
      <c r="AC61" s="66"/>
      <c r="AD61" s="66"/>
      <c r="AE61" s="66"/>
      <c r="AF61" s="66"/>
      <c r="AG61" s="66"/>
      <c r="AH61" s="66"/>
      <c r="AI61" s="66"/>
      <c r="AJ61" s="19"/>
      <c r="AK61" s="19"/>
      <c r="AL61" s="66"/>
      <c r="AM61" s="66"/>
      <c r="AN61" s="66"/>
      <c r="AO61" s="66"/>
      <c r="AP61" s="66"/>
      <c r="AQ61" s="66"/>
      <c r="AR61" s="66"/>
      <c r="AS61" s="66"/>
      <c r="AT61" s="66"/>
    </row>
    <row r="62" spans="1:59" ht="13.5" customHeight="1">
      <c r="A62" s="253"/>
      <c r="B62" s="527">
        <v>4</v>
      </c>
      <c r="C62" s="525" t="s">
        <v>231</v>
      </c>
      <c r="D62" s="1547">
        <f t="shared" si="44"/>
        <v>0</v>
      </c>
      <c r="E62" s="1547">
        <f t="shared" si="44"/>
        <v>0</v>
      </c>
      <c r="F62" s="1547">
        <f t="shared" si="44"/>
        <v>0</v>
      </c>
      <c r="G62" s="650" t="s">
        <v>358</v>
      </c>
      <c r="H62" s="1211"/>
      <c r="I62" s="25"/>
      <c r="J62" s="847" t="s">
        <v>431</v>
      </c>
      <c r="K62" s="1211"/>
      <c r="L62" s="1211"/>
      <c r="M62" s="1211"/>
      <c r="N62" s="1546"/>
      <c r="O62" s="1546"/>
      <c r="P62" s="19"/>
      <c r="Q62" s="19"/>
      <c r="R62" s="66"/>
      <c r="S62" s="66"/>
      <c r="T62" s="66"/>
      <c r="U62" s="66"/>
      <c r="V62" s="66"/>
      <c r="W62" s="66"/>
      <c r="X62" s="66"/>
      <c r="Y62" s="66"/>
      <c r="Z62" s="19"/>
      <c r="AA62" s="19"/>
      <c r="AB62" s="66"/>
      <c r="AC62" s="66"/>
      <c r="AD62" s="66"/>
      <c r="AE62" s="66"/>
      <c r="AF62" s="66"/>
      <c r="AG62" s="66"/>
      <c r="AH62" s="66"/>
      <c r="AI62" s="66"/>
      <c r="AJ62" s="19"/>
      <c r="AK62" s="19"/>
      <c r="AL62" s="66"/>
      <c r="AM62" s="66"/>
      <c r="AN62" s="66"/>
      <c r="AO62" s="66"/>
      <c r="AP62" s="66"/>
      <c r="AQ62" s="66"/>
      <c r="AR62" s="66"/>
      <c r="AS62" s="66"/>
      <c r="AT62" s="66"/>
    </row>
    <row r="63" spans="1:59" ht="26.25" customHeight="1">
      <c r="A63" s="253"/>
      <c r="B63" s="260">
        <v>5</v>
      </c>
      <c r="C63" s="261" t="s">
        <v>404</v>
      </c>
      <c r="D63" s="1350">
        <f t="shared" si="44"/>
        <v>0</v>
      </c>
      <c r="E63" s="1350">
        <f t="shared" si="44"/>
        <v>0</v>
      </c>
      <c r="F63" s="1350">
        <f t="shared" si="44"/>
        <v>0</v>
      </c>
      <c r="G63" s="651"/>
      <c r="H63" s="60"/>
      <c r="I63" s="25"/>
      <c r="J63" s="578"/>
      <c r="K63" s="60"/>
      <c r="L63" s="60"/>
      <c r="M63" s="1211"/>
      <c r="N63" s="120"/>
      <c r="O63" s="120"/>
      <c r="P63" s="18"/>
      <c r="Q63" s="18"/>
      <c r="R63" s="26"/>
      <c r="S63" s="26"/>
      <c r="T63" s="26"/>
      <c r="U63" s="26"/>
      <c r="V63" s="26"/>
      <c r="W63" s="26"/>
      <c r="X63" s="26"/>
      <c r="Y63" s="26"/>
      <c r="Z63" s="18"/>
      <c r="AA63" s="18"/>
      <c r="AB63" s="26"/>
      <c r="AC63" s="26"/>
      <c r="AD63" s="26"/>
      <c r="AE63" s="26"/>
      <c r="AF63" s="26"/>
      <c r="AG63" s="26"/>
      <c r="AH63" s="26"/>
      <c r="AI63" s="26"/>
      <c r="AJ63" s="18"/>
      <c r="AK63" s="18"/>
      <c r="AL63" s="26"/>
      <c r="AM63" s="26"/>
      <c r="AN63" s="26"/>
      <c r="AO63" s="26"/>
      <c r="AP63" s="26"/>
      <c r="AQ63" s="26"/>
      <c r="AR63" s="26"/>
      <c r="AS63" s="26"/>
      <c r="AT63" s="26"/>
    </row>
    <row r="64" spans="1:59">
      <c r="A64" s="253"/>
      <c r="B64" s="258">
        <v>6</v>
      </c>
      <c r="C64" s="259" t="s">
        <v>405</v>
      </c>
      <c r="D64" s="1350">
        <f t="shared" si="44"/>
        <v>0</v>
      </c>
      <c r="E64" s="1350">
        <f t="shared" si="44"/>
        <v>0</v>
      </c>
      <c r="F64" s="1350">
        <f t="shared" si="44"/>
        <v>0</v>
      </c>
      <c r="G64" s="652"/>
      <c r="H64" s="60"/>
      <c r="I64" s="25"/>
      <c r="J64" s="847" t="s">
        <v>432</v>
      </c>
      <c r="K64" s="60"/>
      <c r="L64" s="60"/>
      <c r="M64" s="1211"/>
      <c r="N64" s="653"/>
      <c r="O64" s="653"/>
      <c r="P64" s="11"/>
      <c r="Q64" s="18"/>
      <c r="R64" s="26"/>
      <c r="S64" s="26"/>
      <c r="T64" s="26"/>
      <c r="U64" s="26"/>
      <c r="V64" s="26"/>
      <c r="W64" s="26"/>
      <c r="X64" s="26"/>
      <c r="Y64" s="26"/>
      <c r="Z64" s="11"/>
      <c r="AA64" s="18"/>
      <c r="AB64" s="26"/>
      <c r="AC64" s="26"/>
      <c r="AD64" s="26"/>
      <c r="AE64" s="26"/>
      <c r="AF64" s="26"/>
      <c r="AG64" s="26"/>
      <c r="AH64" s="26"/>
      <c r="AI64" s="26"/>
      <c r="AJ64" s="11"/>
      <c r="AK64" s="18"/>
      <c r="AL64" s="26"/>
      <c r="AM64" s="26"/>
      <c r="AN64" s="26"/>
      <c r="AO64" s="26"/>
      <c r="AP64" s="26"/>
      <c r="AQ64" s="26"/>
      <c r="AR64" s="26"/>
      <c r="AS64" s="26"/>
      <c r="AT64" s="26"/>
    </row>
    <row r="65" spans="1:46">
      <c r="A65" s="253"/>
      <c r="B65" s="258">
        <v>7</v>
      </c>
      <c r="C65" s="259" t="s">
        <v>433</v>
      </c>
      <c r="D65" s="262" t="str">
        <f>" - - - -"</f>
        <v xml:space="preserve"> - - - -</v>
      </c>
      <c r="E65" s="1547">
        <f>SUM(N26,N53)</f>
        <v>0</v>
      </c>
      <c r="F65" s="262" t="str">
        <f>" - - - -"</f>
        <v xml:space="preserve"> - - - -</v>
      </c>
      <c r="G65" s="748" t="s">
        <v>434</v>
      </c>
      <c r="H65" s="60"/>
      <c r="I65" s="25"/>
      <c r="J65" s="847" t="s">
        <v>435</v>
      </c>
      <c r="K65" s="60"/>
      <c r="L65" s="60"/>
      <c r="M65" s="1211"/>
      <c r="N65" s="120"/>
      <c r="O65" s="120"/>
      <c r="P65" s="18"/>
      <c r="Q65" s="18"/>
      <c r="R65" s="26"/>
      <c r="S65" s="26"/>
      <c r="T65" s="26"/>
      <c r="U65" s="26"/>
      <c r="V65" s="26"/>
      <c r="W65" s="26"/>
      <c r="X65" s="26"/>
      <c r="Y65" s="26"/>
      <c r="Z65" s="18"/>
      <c r="AA65" s="18"/>
      <c r="AB65" s="26"/>
      <c r="AC65" s="26"/>
      <c r="AD65" s="26"/>
      <c r="AE65" s="26"/>
      <c r="AF65" s="26"/>
      <c r="AG65" s="26"/>
      <c r="AH65" s="26"/>
      <c r="AI65" s="26"/>
      <c r="AJ65" s="18"/>
      <c r="AK65" s="18"/>
      <c r="AL65" s="26"/>
      <c r="AM65" s="26"/>
      <c r="AN65" s="26"/>
      <c r="AO65" s="26"/>
      <c r="AP65" s="26"/>
      <c r="AQ65" s="26"/>
      <c r="AR65" s="26"/>
      <c r="AS65" s="26"/>
      <c r="AT65" s="26"/>
    </row>
    <row r="66" spans="1:46">
      <c r="A66" s="253"/>
      <c r="B66" s="258">
        <v>8</v>
      </c>
      <c r="C66" s="259" t="s">
        <v>254</v>
      </c>
      <c r="D66" s="262" t="str">
        <f>" - - - -"</f>
        <v xml:space="preserve"> - - - -</v>
      </c>
      <c r="E66" s="262" t="str">
        <f>" - - - -"</f>
        <v xml:space="preserve"> - - - -</v>
      </c>
      <c r="F66" s="262" t="str">
        <f>" - - - -"</f>
        <v xml:space="preserve"> - - - -</v>
      </c>
      <c r="G66" s="748"/>
      <c r="H66" s="60"/>
      <c r="I66" s="25"/>
      <c r="J66" s="847" t="s">
        <v>436</v>
      </c>
      <c r="K66" s="60"/>
      <c r="L66" s="60"/>
      <c r="M66" s="1211"/>
      <c r="N66" s="120"/>
      <c r="O66" s="120"/>
      <c r="P66" s="18"/>
      <c r="Q66" s="18"/>
      <c r="R66" s="26"/>
      <c r="S66" s="26"/>
      <c r="T66" s="26"/>
      <c r="U66" s="26"/>
      <c r="V66" s="26"/>
      <c r="W66" s="26"/>
      <c r="X66" s="26"/>
      <c r="Y66" s="26"/>
      <c r="Z66" s="18"/>
      <c r="AA66" s="18"/>
      <c r="AB66" s="26"/>
      <c r="AC66" s="26"/>
      <c r="AD66" s="26"/>
      <c r="AE66" s="26"/>
      <c r="AF66" s="26"/>
      <c r="AG66" s="26"/>
      <c r="AH66" s="26"/>
      <c r="AI66" s="26"/>
      <c r="AJ66" s="18"/>
      <c r="AK66" s="18"/>
      <c r="AL66" s="26"/>
      <c r="AM66" s="26"/>
      <c r="AN66" s="26"/>
      <c r="AO66" s="26"/>
      <c r="AP66" s="26"/>
      <c r="AQ66" s="26"/>
      <c r="AR66" s="26"/>
      <c r="AS66" s="26"/>
      <c r="AT66" s="26"/>
    </row>
    <row r="67" spans="1:46">
      <c r="A67" s="253"/>
      <c r="B67" s="258" t="s">
        <v>407</v>
      </c>
      <c r="C67" s="259" t="s">
        <v>437</v>
      </c>
      <c r="D67" s="654">
        <f t="shared" ref="D67:F70" si="45">SUM(M13,M40)</f>
        <v>0</v>
      </c>
      <c r="E67" s="654">
        <f t="shared" si="45"/>
        <v>0</v>
      </c>
      <c r="F67" s="654">
        <f t="shared" si="45"/>
        <v>0</v>
      </c>
      <c r="G67" s="648"/>
      <c r="H67" s="60"/>
      <c r="I67" s="25"/>
      <c r="J67" s="847" t="s">
        <v>438</v>
      </c>
      <c r="K67" s="60"/>
      <c r="L67" s="60"/>
      <c r="M67" s="1211"/>
      <c r="N67" s="120"/>
      <c r="O67" s="120"/>
      <c r="P67" s="18"/>
      <c r="Q67" s="18"/>
      <c r="R67" s="26"/>
      <c r="S67" s="26"/>
      <c r="T67" s="26"/>
      <c r="U67" s="26"/>
      <c r="V67" s="26"/>
      <c r="W67" s="26"/>
      <c r="X67" s="26"/>
      <c r="Y67" s="26"/>
      <c r="Z67" s="18"/>
      <c r="AA67" s="18"/>
      <c r="AB67" s="26"/>
      <c r="AC67" s="26"/>
      <c r="AD67" s="26"/>
      <c r="AE67" s="26"/>
      <c r="AF67" s="26"/>
      <c r="AG67" s="26"/>
      <c r="AH67" s="26"/>
      <c r="AI67" s="26"/>
      <c r="AJ67" s="18"/>
      <c r="AK67" s="18"/>
      <c r="AL67" s="26"/>
      <c r="AM67" s="26"/>
      <c r="AN67" s="26"/>
      <c r="AO67" s="26"/>
      <c r="AP67" s="26"/>
      <c r="AQ67" s="26"/>
      <c r="AR67" s="26"/>
      <c r="AS67" s="26"/>
      <c r="AT67" s="26"/>
    </row>
    <row r="68" spans="1:46">
      <c r="A68" s="253"/>
      <c r="B68" s="258" t="s">
        <v>409</v>
      </c>
      <c r="C68" s="259" t="s">
        <v>410</v>
      </c>
      <c r="D68" s="1350">
        <f t="shared" si="45"/>
        <v>0</v>
      </c>
      <c r="E68" s="1350">
        <f t="shared" si="45"/>
        <v>0</v>
      </c>
      <c r="F68" s="1350">
        <f t="shared" si="45"/>
        <v>0</v>
      </c>
      <c r="G68" s="648"/>
      <c r="H68" s="60"/>
      <c r="I68" s="25"/>
      <c r="J68" s="847" t="s">
        <v>439</v>
      </c>
      <c r="K68" s="60"/>
      <c r="L68" s="60"/>
      <c r="M68" s="1211"/>
      <c r="N68" s="120"/>
      <c r="O68" s="120"/>
      <c r="P68" s="18"/>
      <c r="Q68" s="18"/>
      <c r="R68" s="26"/>
      <c r="S68" s="26"/>
      <c r="T68" s="26"/>
      <c r="U68" s="26"/>
      <c r="V68" s="26"/>
      <c r="W68" s="26"/>
      <c r="X68" s="26"/>
      <c r="Y68" s="26"/>
      <c r="Z68" s="18"/>
      <c r="AA68" s="18"/>
      <c r="AB68" s="26"/>
      <c r="AC68" s="26"/>
      <c r="AD68" s="26"/>
      <c r="AE68" s="26"/>
      <c r="AF68" s="26"/>
      <c r="AG68" s="26"/>
      <c r="AH68" s="26"/>
      <c r="AI68" s="26"/>
      <c r="AJ68" s="18"/>
      <c r="AK68" s="18"/>
      <c r="AL68" s="26"/>
      <c r="AM68" s="26"/>
      <c r="AN68" s="26"/>
      <c r="AO68" s="26"/>
      <c r="AP68" s="26"/>
      <c r="AQ68" s="26"/>
      <c r="AR68" s="26"/>
      <c r="AS68" s="26"/>
      <c r="AT68" s="26"/>
    </row>
    <row r="69" spans="1:46">
      <c r="A69" s="253"/>
      <c r="B69" s="258">
        <v>10</v>
      </c>
      <c r="C69" s="259" t="s">
        <v>411</v>
      </c>
      <c r="D69" s="1350">
        <f t="shared" si="45"/>
        <v>0</v>
      </c>
      <c r="E69" s="1350">
        <f t="shared" si="45"/>
        <v>0</v>
      </c>
      <c r="F69" s="1350">
        <f t="shared" si="45"/>
        <v>0</v>
      </c>
      <c r="G69" s="60"/>
      <c r="H69" s="1211"/>
      <c r="I69" s="25"/>
      <c r="J69" s="847" t="s">
        <v>440</v>
      </c>
      <c r="K69" s="1211"/>
      <c r="L69" s="1211"/>
      <c r="M69" s="1211"/>
      <c r="N69" s="1546"/>
      <c r="O69" s="1546"/>
      <c r="P69" s="19"/>
      <c r="Z69" s="19"/>
      <c r="AJ69" s="19"/>
    </row>
    <row r="70" spans="1:46">
      <c r="A70" s="253"/>
      <c r="B70" s="258">
        <v>11</v>
      </c>
      <c r="C70" s="259" t="s">
        <v>412</v>
      </c>
      <c r="D70" s="1350">
        <f t="shared" si="45"/>
        <v>0</v>
      </c>
      <c r="E70" s="1350">
        <f t="shared" si="45"/>
        <v>0</v>
      </c>
      <c r="F70" s="1350">
        <f t="shared" si="45"/>
        <v>0</v>
      </c>
      <c r="G70" s="60"/>
      <c r="H70" s="1211"/>
      <c r="I70" s="25"/>
      <c r="J70" s="578"/>
      <c r="K70" s="1211"/>
      <c r="L70" s="1211"/>
      <c r="M70" s="1211"/>
      <c r="N70" s="1546"/>
      <c r="O70" s="1546"/>
      <c r="P70" s="19"/>
      <c r="Z70" s="19"/>
      <c r="AJ70" s="19"/>
    </row>
    <row r="71" spans="1:46">
      <c r="A71" s="253"/>
      <c r="B71" s="258">
        <v>12</v>
      </c>
      <c r="C71" s="259" t="s">
        <v>349</v>
      </c>
      <c r="D71" s="262" t="str">
        <f t="shared" ref="D71:F72" si="46">" - - - -"</f>
        <v xml:space="preserve"> - - - -</v>
      </c>
      <c r="E71" s="262" t="str">
        <f t="shared" si="46"/>
        <v xml:space="preserve"> - - - -</v>
      </c>
      <c r="F71" s="262" t="str">
        <f t="shared" si="46"/>
        <v xml:space="preserve"> - - - -</v>
      </c>
      <c r="G71" s="60"/>
      <c r="H71" s="1211"/>
      <c r="I71" s="25"/>
      <c r="J71" s="578"/>
      <c r="K71" s="1211"/>
      <c r="L71" s="1211"/>
      <c r="M71" s="1211"/>
      <c r="N71" s="1546"/>
      <c r="O71" s="1546"/>
      <c r="P71" s="19"/>
      <c r="Z71" s="19"/>
      <c r="AJ71" s="19"/>
    </row>
    <row r="72" spans="1:46">
      <c r="A72" s="253"/>
      <c r="B72" s="258">
        <v>13</v>
      </c>
      <c r="C72" s="259" t="s">
        <v>413</v>
      </c>
      <c r="D72" s="262" t="str">
        <f t="shared" si="46"/>
        <v xml:space="preserve"> - - - -</v>
      </c>
      <c r="E72" s="262" t="str">
        <f t="shared" si="46"/>
        <v xml:space="preserve"> - - - -</v>
      </c>
      <c r="F72" s="262" t="str">
        <f t="shared" si="46"/>
        <v xml:space="preserve"> - - - -</v>
      </c>
      <c r="G72" s="60"/>
      <c r="H72" s="1211"/>
      <c r="I72" s="25"/>
      <c r="J72" s="578"/>
      <c r="K72" s="1211"/>
      <c r="L72" s="1211"/>
      <c r="M72" s="1211"/>
      <c r="N72" s="1546"/>
      <c r="O72" s="1546"/>
      <c r="P72" s="19"/>
      <c r="Z72" s="19"/>
      <c r="AJ72" s="19"/>
    </row>
    <row r="73" spans="1:46">
      <c r="A73" s="253"/>
      <c r="B73" s="527">
        <v>14</v>
      </c>
      <c r="C73" s="525" t="s">
        <v>311</v>
      </c>
      <c r="D73" s="1547">
        <f>SUM(M19,M46)</f>
        <v>0</v>
      </c>
      <c r="E73" s="1547">
        <f>SUM(N19,N46)</f>
        <v>0</v>
      </c>
      <c r="F73" s="1547">
        <f>SUM(O19,O46)</f>
        <v>0</v>
      </c>
      <c r="G73" s="650" t="s">
        <v>386</v>
      </c>
      <c r="H73" s="60"/>
      <c r="I73" s="25"/>
      <c r="J73" s="847" t="s">
        <v>441</v>
      </c>
      <c r="K73" s="60"/>
      <c r="L73" s="60"/>
      <c r="M73" s="1211"/>
      <c r="N73" s="120"/>
      <c r="O73" s="120"/>
      <c r="P73" s="18"/>
      <c r="Q73" s="18"/>
      <c r="R73" s="26"/>
      <c r="S73" s="26"/>
      <c r="T73" s="26"/>
      <c r="U73" s="26"/>
      <c r="V73" s="26"/>
      <c r="W73" s="26"/>
      <c r="X73" s="26"/>
      <c r="Y73" s="26"/>
      <c r="Z73" s="18"/>
      <c r="AA73" s="18"/>
      <c r="AB73" s="26"/>
      <c r="AC73" s="26"/>
      <c r="AD73" s="26"/>
      <c r="AE73" s="26"/>
      <c r="AF73" s="26"/>
      <c r="AG73" s="26"/>
      <c r="AH73" s="26"/>
      <c r="AI73" s="26"/>
      <c r="AJ73" s="18"/>
      <c r="AK73" s="18"/>
      <c r="AL73" s="26"/>
      <c r="AM73" s="26"/>
      <c r="AN73" s="26"/>
      <c r="AO73" s="26"/>
      <c r="AP73" s="26"/>
      <c r="AQ73" s="26"/>
      <c r="AR73" s="26"/>
      <c r="AS73" s="26"/>
      <c r="AT73" s="26"/>
    </row>
    <row r="74" spans="1:46">
      <c r="A74" s="253"/>
      <c r="B74" s="258">
        <v>15</v>
      </c>
      <c r="C74" s="259" t="s">
        <v>414</v>
      </c>
      <c r="D74" s="262" t="str">
        <f>" - - - -"</f>
        <v xml:space="preserve"> - - - -</v>
      </c>
      <c r="E74" s="262" t="str">
        <f>" - - - -"</f>
        <v xml:space="preserve"> - - - -</v>
      </c>
      <c r="F74" s="262" t="str">
        <f>" - - - -"</f>
        <v xml:space="preserve"> - - - -</v>
      </c>
      <c r="G74" s="648"/>
      <c r="H74" s="60"/>
      <c r="I74" s="25"/>
      <c r="J74" s="847" t="s">
        <v>442</v>
      </c>
      <c r="K74" s="60"/>
      <c r="L74" s="60"/>
      <c r="M74" s="1211"/>
      <c r="N74" s="120"/>
      <c r="O74" s="120"/>
      <c r="P74" s="18"/>
      <c r="Q74" s="18"/>
      <c r="R74" s="26"/>
      <c r="S74" s="26"/>
      <c r="T74" s="26"/>
      <c r="U74" s="26"/>
      <c r="V74" s="26"/>
      <c r="W74" s="26"/>
      <c r="X74" s="26"/>
      <c r="Y74" s="26"/>
      <c r="Z74" s="18"/>
      <c r="AA74" s="18"/>
      <c r="AB74" s="26"/>
      <c r="AC74" s="26"/>
      <c r="AD74" s="26"/>
      <c r="AE74" s="26"/>
      <c r="AF74" s="26"/>
      <c r="AG74" s="26"/>
      <c r="AH74" s="26"/>
      <c r="AI74" s="26"/>
      <c r="AJ74" s="18"/>
      <c r="AK74" s="18"/>
      <c r="AL74" s="26"/>
      <c r="AM74" s="26"/>
      <c r="AN74" s="26"/>
      <c r="AO74" s="26"/>
      <c r="AP74" s="26"/>
      <c r="AQ74" s="26"/>
      <c r="AR74" s="26"/>
      <c r="AS74" s="26"/>
      <c r="AT74" s="26"/>
    </row>
    <row r="75" spans="1:46">
      <c r="A75" s="253"/>
      <c r="B75" s="258">
        <v>16</v>
      </c>
      <c r="C75" s="259" t="s">
        <v>415</v>
      </c>
      <c r="D75" s="1350">
        <f t="shared" ref="D75:F76" si="47">SUM(M21,M48)</f>
        <v>0</v>
      </c>
      <c r="E75" s="1350">
        <f t="shared" si="47"/>
        <v>0</v>
      </c>
      <c r="F75" s="1350">
        <f t="shared" si="47"/>
        <v>0</v>
      </c>
      <c r="G75" s="648"/>
      <c r="H75" s="60"/>
      <c r="I75" s="25"/>
      <c r="J75" s="1528"/>
      <c r="K75" s="60"/>
      <c r="L75" s="60"/>
      <c r="M75" s="18"/>
      <c r="N75" s="120"/>
      <c r="O75" s="120"/>
      <c r="P75" s="18"/>
      <c r="Q75" s="18"/>
      <c r="R75" s="26"/>
      <c r="S75" s="26"/>
      <c r="T75" s="26"/>
      <c r="U75" s="26"/>
      <c r="V75" s="26"/>
      <c r="W75" s="26"/>
      <c r="X75" s="26"/>
      <c r="Y75" s="26"/>
      <c r="Z75" s="18"/>
      <c r="AA75" s="18"/>
      <c r="AB75" s="26"/>
      <c r="AC75" s="26"/>
      <c r="AD75" s="26"/>
      <c r="AE75" s="26"/>
      <c r="AF75" s="26"/>
      <c r="AG75" s="26"/>
      <c r="AH75" s="26"/>
      <c r="AI75" s="26"/>
      <c r="AJ75" s="18"/>
      <c r="AK75" s="18"/>
      <c r="AL75" s="26"/>
      <c r="AM75" s="26"/>
      <c r="AN75" s="26"/>
      <c r="AO75" s="26"/>
      <c r="AP75" s="26"/>
      <c r="AQ75" s="26"/>
      <c r="AR75" s="26"/>
      <c r="AS75" s="26"/>
      <c r="AT75" s="26"/>
    </row>
    <row r="76" spans="1:46">
      <c r="A76" s="253"/>
      <c r="B76" s="527">
        <v>17</v>
      </c>
      <c r="C76" s="525" t="s">
        <v>416</v>
      </c>
      <c r="D76" s="1547">
        <f t="shared" si="47"/>
        <v>0</v>
      </c>
      <c r="E76" s="1547">
        <f t="shared" si="47"/>
        <v>0</v>
      </c>
      <c r="F76" s="1547">
        <f t="shared" si="47"/>
        <v>0</v>
      </c>
      <c r="G76" s="650" t="s">
        <v>386</v>
      </c>
      <c r="H76" s="60"/>
      <c r="I76" s="25"/>
      <c r="J76" s="1528"/>
      <c r="K76" s="60"/>
      <c r="L76" s="60"/>
      <c r="M76" s="18"/>
      <c r="N76" s="120"/>
      <c r="O76" s="120"/>
      <c r="P76" s="18"/>
      <c r="Q76" s="18"/>
      <c r="R76" s="26"/>
      <c r="S76" s="26"/>
      <c r="T76" s="26"/>
      <c r="U76" s="26"/>
      <c r="V76" s="26"/>
      <c r="W76" s="26"/>
      <c r="X76" s="26"/>
      <c r="Y76" s="26"/>
      <c r="Z76" s="18"/>
      <c r="AA76" s="18"/>
      <c r="AB76" s="26"/>
      <c r="AC76" s="26"/>
      <c r="AD76" s="26"/>
      <c r="AE76" s="26"/>
      <c r="AF76" s="26"/>
      <c r="AG76" s="26"/>
      <c r="AH76" s="26"/>
      <c r="AI76" s="26"/>
      <c r="AJ76" s="18"/>
      <c r="AK76" s="18"/>
      <c r="AL76" s="26"/>
      <c r="AM76" s="26"/>
      <c r="AN76" s="26"/>
      <c r="AO76" s="26"/>
      <c r="AP76" s="26"/>
      <c r="AQ76" s="26"/>
      <c r="AR76" s="26"/>
      <c r="AS76" s="26"/>
      <c r="AT76" s="26"/>
    </row>
    <row r="77" spans="1:46">
      <c r="A77" s="253"/>
      <c r="B77" s="258">
        <v>18</v>
      </c>
      <c r="C77" s="1146" t="s">
        <v>443</v>
      </c>
      <c r="D77" s="1351" t="str">
        <f>" - - - -"</f>
        <v xml:space="preserve"> - - - -</v>
      </c>
      <c r="E77" s="1352">
        <f>ROUND(SUM(N27,N54),0)</f>
        <v>0</v>
      </c>
      <c r="F77" s="1352">
        <f>ROUND(SUM(O27,O54),0)</f>
        <v>0</v>
      </c>
      <c r="G77" s="748"/>
      <c r="H77" s="60"/>
      <c r="I77" s="25"/>
      <c r="J77" s="1528"/>
      <c r="K77" s="60"/>
      <c r="L77" s="60"/>
      <c r="M77" s="18"/>
      <c r="N77" s="120"/>
      <c r="O77" s="120"/>
      <c r="P77" s="18"/>
      <c r="Q77" s="18"/>
      <c r="R77" s="26"/>
      <c r="S77" s="26"/>
      <c r="T77" s="26"/>
      <c r="U77" s="26"/>
      <c r="V77" s="26"/>
      <c r="W77" s="26"/>
      <c r="X77" s="26"/>
      <c r="Y77" s="26"/>
      <c r="Z77" s="18"/>
      <c r="AA77" s="18"/>
      <c r="AB77" s="26"/>
      <c r="AC77" s="26"/>
      <c r="AD77" s="26"/>
      <c r="AE77" s="26"/>
      <c r="AF77" s="26"/>
      <c r="AG77" s="26"/>
      <c r="AH77" s="26"/>
      <c r="AI77" s="26"/>
      <c r="AJ77" s="18"/>
      <c r="AK77" s="18"/>
      <c r="AL77" s="26"/>
      <c r="AM77" s="26"/>
      <c r="AN77" s="26"/>
      <c r="AO77" s="26"/>
      <c r="AP77" s="26"/>
      <c r="AQ77" s="26"/>
      <c r="AR77" s="26"/>
      <c r="AS77" s="26"/>
      <c r="AT77" s="26"/>
    </row>
    <row r="78" spans="1:46" ht="13.5" thickBot="1">
      <c r="A78" s="253"/>
      <c r="B78" s="263">
        <v>19</v>
      </c>
      <c r="C78" s="649" t="s">
        <v>418</v>
      </c>
      <c r="D78" s="1353">
        <f>SUM(M24,M51)</f>
        <v>0</v>
      </c>
      <c r="E78" s="1353">
        <f>SUM(N24,N51)</f>
        <v>0</v>
      </c>
      <c r="F78" s="1353">
        <f>SUM(O24,O51)</f>
        <v>0</v>
      </c>
      <c r="G78" s="648"/>
      <c r="H78" s="60"/>
      <c r="I78" s="25"/>
      <c r="J78" s="1211"/>
      <c r="K78" s="60"/>
      <c r="L78" s="60"/>
      <c r="M78" s="18"/>
      <c r="N78" s="120"/>
      <c r="O78" s="120"/>
      <c r="P78" s="18"/>
      <c r="Q78" s="18"/>
      <c r="R78" s="26"/>
      <c r="S78" s="26"/>
      <c r="T78" s="26"/>
      <c r="U78" s="26"/>
      <c r="V78" s="26"/>
      <c r="W78" s="26"/>
      <c r="X78" s="26"/>
      <c r="Y78" s="26"/>
      <c r="Z78" s="18"/>
      <c r="AA78" s="18"/>
      <c r="AB78" s="26"/>
      <c r="AC78" s="26"/>
      <c r="AD78" s="26"/>
      <c r="AE78" s="26"/>
      <c r="AF78" s="26"/>
      <c r="AG78" s="26"/>
      <c r="AH78" s="26"/>
      <c r="AI78" s="26"/>
      <c r="AJ78" s="18"/>
      <c r="AK78" s="18"/>
      <c r="AL78" s="26"/>
      <c r="AM78" s="26"/>
      <c r="AN78" s="26"/>
      <c r="AO78" s="26"/>
      <c r="AP78" s="26"/>
      <c r="AQ78" s="26"/>
      <c r="AR78" s="26"/>
      <c r="AS78" s="26"/>
      <c r="AT78" s="26"/>
    </row>
    <row r="79" spans="1:46">
      <c r="A79" s="253"/>
      <c r="B79" s="746" t="s">
        <v>241</v>
      </c>
      <c r="C79" s="253"/>
      <c r="D79" s="253"/>
      <c r="E79" s="253"/>
      <c r="F79" s="253"/>
      <c r="G79" s="253"/>
      <c r="H79" s="253"/>
      <c r="I79" s="253"/>
      <c r="J79" s="253"/>
      <c r="K79" s="253"/>
      <c r="L79" s="253"/>
      <c r="M79" s="253"/>
      <c r="N79" s="253"/>
      <c r="O79" s="253"/>
      <c r="P79" s="253"/>
      <c r="Z79" s="253"/>
      <c r="AJ79" s="253"/>
    </row>
    <row r="82" spans="3:8">
      <c r="H82" s="622"/>
    </row>
    <row r="84" spans="3:8" ht="13.5" thickBot="1"/>
    <row r="85" spans="3:8">
      <c r="C85" s="1006"/>
    </row>
    <row r="86" spans="3:8">
      <c r="C86" s="1005" t="s">
        <v>42</v>
      </c>
    </row>
    <row r="87" spans="3:8" ht="13.5" thickBot="1">
      <c r="C87" s="1007"/>
    </row>
  </sheetData>
  <sheetProtection algorithmName="SHA-512" hashValue="d/hXfzzdWOZYVe9c4aX5f5wvvvfyB2rWTHNw7c1Ax+LO5OZV50a85Jy9/Y1weBtiKSCvjLdp+k2X55wL2KU17w==" saltValue="rnGMnrbUKFYDoxI3ZEVkAw==" spinCount="100000" sheet="1" formatColumns="0"/>
  <phoneticPr fontId="37" type="noConversion"/>
  <conditionalFormatting sqref="D2:L24">
    <cfRule type="expression" dxfId="3951" priority="8">
      <formula>IF(NoColor,1,0)</formula>
    </cfRule>
  </conditionalFormatting>
  <conditionalFormatting sqref="D29:L51">
    <cfRule type="expression" dxfId="3950" priority="1">
      <formula>IF(NoColor,1,0)</formula>
    </cfRule>
  </conditionalFormatting>
  <hyperlinks>
    <hyperlink ref="C86" location="'Table of Contents'!A1" display="Table of Contents" xr:uid="{00000000-0004-0000-0900-000000000000}"/>
  </hyperlinks>
  <pageMargins left="0.75" right="0.25" top="0.36" bottom="0.28999999999999998" header="0.36" footer="0.21"/>
  <pageSetup scale="60" fitToHeight="0" orientation="landscape" r:id="rId1"/>
  <rowBreaks count="1" manualBreakCount="1">
    <brk id="54" max="14"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Z95"/>
  <sheetViews>
    <sheetView zoomScaleNormal="100" workbookViewId="0"/>
  </sheetViews>
  <sheetFormatPr defaultColWidth="9.140625" defaultRowHeight="14.25"/>
  <cols>
    <col min="1" max="1" width="8.7109375" style="1514" customWidth="1"/>
    <col min="2" max="2" width="5" style="1515" customWidth="1"/>
    <col min="3" max="3" width="5.42578125" style="1476" customWidth="1"/>
    <col min="4" max="4" width="3.28515625" style="1476" customWidth="1"/>
    <col min="5" max="5" width="3.85546875" style="1476" customWidth="1"/>
    <col min="6" max="6" width="4" style="1476" customWidth="1"/>
    <col min="7" max="7" width="13.7109375" style="1476" customWidth="1"/>
    <col min="8" max="11" width="9.140625" style="1476"/>
    <col min="12" max="12" width="4.7109375" style="1476" customWidth="1"/>
    <col min="13" max="14" width="9.140625" style="1476"/>
    <col min="15" max="15" width="6.28515625" style="1476" customWidth="1"/>
    <col min="16" max="16" width="5" style="1476" customWidth="1"/>
    <col min="17" max="19" width="9.140625" style="1476"/>
    <col min="20" max="20" width="15.140625" style="1476" customWidth="1"/>
    <col min="21" max="16384" width="9.140625" style="1476"/>
  </cols>
  <sheetData>
    <row r="1" spans="1:26">
      <c r="A1" s="1473"/>
      <c r="B1" s="1474"/>
      <c r="C1" s="1475"/>
      <c r="D1" s="1475"/>
      <c r="E1" s="1475"/>
      <c r="F1" s="1475"/>
      <c r="G1" s="1475"/>
      <c r="H1" s="1475"/>
      <c r="I1" s="1475"/>
      <c r="J1" s="1475"/>
      <c r="K1" s="1475"/>
      <c r="L1" s="1475"/>
      <c r="M1" s="1475"/>
      <c r="N1" s="1475"/>
      <c r="O1" s="1475"/>
      <c r="P1" s="1475"/>
      <c r="Q1" s="1475"/>
      <c r="R1" s="1475"/>
      <c r="S1" s="1475"/>
      <c r="T1" s="1475"/>
      <c r="U1" s="1475"/>
      <c r="V1" s="1475"/>
      <c r="W1" s="1475"/>
      <c r="X1" s="1475"/>
      <c r="Y1" s="1475"/>
      <c r="Z1" s="1475"/>
    </row>
    <row r="2" spans="1:26" ht="20.25">
      <c r="A2" s="1477"/>
      <c r="B2" s="1478"/>
      <c r="C2" s="1479"/>
      <c r="D2" s="1480"/>
      <c r="E2" s="1480"/>
      <c r="F2" s="1480"/>
      <c r="G2" s="1480"/>
      <c r="H2" s="1480"/>
      <c r="I2" s="1480"/>
      <c r="J2" s="1480"/>
      <c r="K2" s="1480"/>
      <c r="L2" s="1480"/>
      <c r="M2" s="1480"/>
      <c r="N2" s="1480"/>
      <c r="O2" s="1480"/>
      <c r="P2" s="1480"/>
      <c r="Q2" s="1480"/>
      <c r="R2" s="1480"/>
      <c r="S2" s="1480"/>
      <c r="T2" s="1480"/>
      <c r="U2" s="1480"/>
      <c r="V2" s="1480"/>
      <c r="W2" s="1480"/>
      <c r="X2" s="1481"/>
      <c r="Y2" s="1475"/>
      <c r="Z2" s="1475"/>
    </row>
    <row r="3" spans="1:26" ht="23.25">
      <c r="A3" s="1477"/>
      <c r="B3" s="1482"/>
      <c r="C3" s="1483" t="s">
        <v>444</v>
      </c>
      <c r="D3" s="1484"/>
      <c r="E3" s="1484"/>
      <c r="F3" s="1484"/>
      <c r="G3" s="1484"/>
      <c r="H3" s="1484"/>
      <c r="I3" s="1484"/>
      <c r="J3" s="1485" t="s">
        <v>445</v>
      </c>
      <c r="K3" s="1486"/>
      <c r="L3" s="1484"/>
      <c r="M3" s="1484"/>
      <c r="N3" s="1484"/>
      <c r="O3" s="1484"/>
      <c r="P3" s="1484"/>
      <c r="Q3" s="1484"/>
      <c r="R3" s="1484"/>
      <c r="S3" s="1484"/>
      <c r="T3" s="1484"/>
      <c r="U3" s="1484"/>
      <c r="V3" s="1484"/>
      <c r="W3" s="1484"/>
      <c r="X3" s="1487"/>
      <c r="Y3" s="1475"/>
      <c r="Z3" s="1475"/>
    </row>
    <row r="4" spans="1:26" ht="20.25">
      <c r="A4" s="1477"/>
      <c r="B4" s="1482"/>
      <c r="C4" s="1483" t="s">
        <v>446</v>
      </c>
      <c r="D4" s="1484"/>
      <c r="E4" s="1484"/>
      <c r="F4" s="1484"/>
      <c r="G4" s="1484"/>
      <c r="H4" s="1484"/>
      <c r="I4" s="1484"/>
      <c r="J4" s="1488"/>
      <c r="K4" s="1486"/>
      <c r="L4" s="1484"/>
      <c r="M4" s="1484"/>
      <c r="N4" s="1484"/>
      <c r="O4" s="1484"/>
      <c r="P4" s="1484"/>
      <c r="Q4" s="1484"/>
      <c r="R4" s="1484"/>
      <c r="S4" s="1484"/>
      <c r="T4" s="1484"/>
      <c r="U4" s="1484"/>
      <c r="V4" s="1484"/>
      <c r="W4" s="1484"/>
      <c r="X4" s="1487"/>
      <c r="Y4" s="1475"/>
      <c r="Z4" s="1475"/>
    </row>
    <row r="5" spans="1:26" ht="15">
      <c r="A5" s="1477"/>
      <c r="B5" s="1482"/>
      <c r="C5" s="1484"/>
      <c r="D5" s="1484"/>
      <c r="E5" s="1484"/>
      <c r="F5" s="1484"/>
      <c r="G5" s="1489"/>
      <c r="H5" s="1484"/>
      <c r="I5" s="1484"/>
      <c r="J5" s="1484"/>
      <c r="K5" s="1484"/>
      <c r="L5" s="1484"/>
      <c r="M5" s="1484"/>
      <c r="N5" s="1484"/>
      <c r="O5" s="1484"/>
      <c r="P5" s="1484"/>
      <c r="Q5" s="1484"/>
      <c r="R5" s="1484"/>
      <c r="S5" s="1484"/>
      <c r="T5" s="1484"/>
      <c r="U5" s="1484"/>
      <c r="V5" s="1484"/>
      <c r="W5" s="1484"/>
      <c r="X5" s="1487"/>
      <c r="Y5" s="1475"/>
      <c r="Z5" s="1475"/>
    </row>
    <row r="6" spans="1:26" ht="15">
      <c r="A6" s="1477"/>
      <c r="B6" s="1482"/>
      <c r="C6" s="1489" t="s">
        <v>447</v>
      </c>
      <c r="D6" s="1484"/>
      <c r="E6" s="1484"/>
      <c r="F6" s="1484"/>
      <c r="G6" s="1489"/>
      <c r="H6" s="1484"/>
      <c r="I6" s="1484"/>
      <c r="J6" s="1484"/>
      <c r="K6" s="1484"/>
      <c r="L6" s="1484"/>
      <c r="M6" s="1484"/>
      <c r="N6" s="1484"/>
      <c r="O6" s="1484"/>
      <c r="P6" s="1484"/>
      <c r="Q6" s="1484"/>
      <c r="R6" s="1484"/>
      <c r="S6" s="1484"/>
      <c r="T6" s="1484"/>
      <c r="U6" s="1484"/>
      <c r="V6" s="1484"/>
      <c r="W6" s="1484"/>
      <c r="X6" s="1487"/>
      <c r="Y6" s="1475"/>
      <c r="Z6" s="1475"/>
    </row>
    <row r="7" spans="1:26" ht="15">
      <c r="A7" s="1477"/>
      <c r="B7" s="1482"/>
      <c r="C7" s="1489" t="s">
        <v>448</v>
      </c>
      <c r="D7" s="1484"/>
      <c r="E7" s="1484"/>
      <c r="F7" s="1484"/>
      <c r="G7" s="1489"/>
      <c r="H7" s="1484"/>
      <c r="I7" s="1484"/>
      <c r="J7" s="1484"/>
      <c r="K7" s="1484"/>
      <c r="L7" s="1484"/>
      <c r="M7" s="1484"/>
      <c r="N7" s="1484"/>
      <c r="O7" s="1484"/>
      <c r="P7" s="1484"/>
      <c r="Q7" s="1484"/>
      <c r="R7" s="1484"/>
      <c r="S7" s="1484"/>
      <c r="T7" s="1484"/>
      <c r="U7" s="1484"/>
      <c r="V7" s="1484"/>
      <c r="W7" s="1484"/>
      <c r="X7" s="1487"/>
      <c r="Y7" s="1475"/>
      <c r="Z7" s="1475"/>
    </row>
    <row r="8" spans="1:26" ht="15">
      <c r="A8" s="1477"/>
      <c r="B8" s="1482"/>
      <c r="C8" s="1484"/>
      <c r="D8" s="1484"/>
      <c r="E8" s="1484"/>
      <c r="F8" s="1484"/>
      <c r="G8" s="1489"/>
      <c r="H8" s="1484"/>
      <c r="I8" s="1484"/>
      <c r="J8" s="1484"/>
      <c r="K8" s="1484"/>
      <c r="L8" s="1484"/>
      <c r="M8" s="1484"/>
      <c r="N8" s="1484"/>
      <c r="O8" s="1484"/>
      <c r="P8" s="1484"/>
      <c r="Q8" s="1484"/>
      <c r="R8" s="1484"/>
      <c r="S8" s="1484"/>
      <c r="T8" s="1484"/>
      <c r="U8" s="1484"/>
      <c r="V8" s="1484"/>
      <c r="W8" s="1484"/>
      <c r="X8" s="1487"/>
      <c r="Y8" s="1475"/>
      <c r="Z8" s="1475"/>
    </row>
    <row r="9" spans="1:26" s="1493" customFormat="1" ht="31.5" customHeight="1">
      <c r="A9" s="1473" t="b">
        <f>OR(A13,A27,A46,A64)</f>
        <v>0</v>
      </c>
      <c r="B9" s="1490"/>
      <c r="C9" s="7025" t="str">
        <f>IF(OR(A34,A35),K27&amp;"   AND   "&amp;Q32,IF(A27,K27&amp;"   AND   "&amp;Q27,IF(AND(A49,NOT(A27)),P46&amp;" AND "&amp;L49&amp;"   AND   "&amp;H50,IF(A48,P46&amp;" AND "&amp;L48&amp;"   AND   "&amp;H50,IF(A18,H13&amp;"   AND   "&amp;K18&amp;" "&amp;G20,IF(AND(A19,NOT(A27)),H13&amp;"   AND   "&amp;K19&amp;".  "&amp;G20,IF(A66,S64&amp;"   AND   "&amp;Q66&amp;"   AND   "&amp;H69,IF(A9,"See below.","Except as provided next, leave line 4a blank  AND  enter the total distribution (from Form 1099-R, box 1) on line 4b."))))))))</f>
        <v>Except as provided next, leave line 4a blank  AND  enter the total distribution (from Form 1099-R, box 1) on line 4b.</v>
      </c>
      <c r="D9" s="7026"/>
      <c r="E9" s="7026"/>
      <c r="F9" s="7026"/>
      <c r="G9" s="7026"/>
      <c r="H9" s="7026"/>
      <c r="I9" s="7026"/>
      <c r="J9" s="7026"/>
      <c r="K9" s="7026"/>
      <c r="L9" s="7026"/>
      <c r="M9" s="7026"/>
      <c r="N9" s="7026"/>
      <c r="O9" s="7026"/>
      <c r="P9" s="7026"/>
      <c r="Q9" s="7026"/>
      <c r="R9" s="7026"/>
      <c r="S9" s="7026"/>
      <c r="T9" s="7026"/>
      <c r="U9" s="7026"/>
      <c r="V9" s="7026"/>
      <c r="W9" s="7027"/>
      <c r="X9" s="1491"/>
      <c r="Y9" s="1492"/>
      <c r="Z9" s="1492"/>
    </row>
    <row r="10" spans="1:26" ht="15">
      <c r="A10" s="1473"/>
      <c r="B10" s="1482"/>
      <c r="C10" s="1484"/>
      <c r="D10" s="1484"/>
      <c r="E10" s="1484"/>
      <c r="F10" s="1484"/>
      <c r="G10" s="1489"/>
      <c r="H10" s="1484"/>
      <c r="I10" s="1484"/>
      <c r="J10" s="1484"/>
      <c r="K10" s="1484"/>
      <c r="L10" s="1484"/>
      <c r="M10" s="1484"/>
      <c r="N10" s="1484"/>
      <c r="O10" s="1484"/>
      <c r="P10" s="1484"/>
      <c r="Q10" s="1484"/>
      <c r="R10" s="1484"/>
      <c r="S10" s="1484"/>
      <c r="T10" s="1484"/>
      <c r="U10" s="1484"/>
      <c r="V10" s="1484"/>
      <c r="W10" s="1484"/>
      <c r="X10" s="1487"/>
      <c r="Y10" s="1492"/>
      <c r="Z10" s="1492"/>
    </row>
    <row r="11" spans="1:26" ht="18.75">
      <c r="A11" s="1473"/>
      <c r="B11" s="1482"/>
      <c r="C11" s="1673" t="s">
        <v>1601</v>
      </c>
      <c r="D11" s="1674" t="s">
        <v>5073</v>
      </c>
      <c r="E11" s="1484"/>
      <c r="F11" s="1484"/>
      <c r="G11" s="1489"/>
      <c r="H11" s="1484"/>
      <c r="I11" s="1484"/>
      <c r="J11" s="1484"/>
      <c r="K11" s="1484"/>
      <c r="L11" s="1484"/>
      <c r="M11" s="1484"/>
      <c r="N11" s="1484"/>
      <c r="O11" s="1484"/>
      <c r="P11" s="1484"/>
      <c r="Q11" s="1484"/>
      <c r="R11" s="1484"/>
      <c r="S11" s="1484"/>
      <c r="T11" s="1484"/>
      <c r="U11" s="1484"/>
      <c r="V11" s="1484"/>
      <c r="W11" s="1484"/>
      <c r="X11" s="1487"/>
      <c r="Y11" s="1492"/>
      <c r="Z11" s="1492"/>
    </row>
    <row r="12" spans="1:26" ht="15">
      <c r="A12" s="1473"/>
      <c r="B12" s="1482"/>
      <c r="C12" s="1484"/>
      <c r="D12" s="1484"/>
      <c r="E12" s="1484"/>
      <c r="F12" s="1484"/>
      <c r="G12" s="1489"/>
      <c r="H12" s="1484"/>
      <c r="I12" s="1484"/>
      <c r="J12" s="1484"/>
      <c r="K12" s="1484"/>
      <c r="L12" s="1484"/>
      <c r="M12" s="1484"/>
      <c r="N12" s="1484"/>
      <c r="O12" s="1484"/>
      <c r="P12" s="1484"/>
      <c r="Q12" s="1484"/>
      <c r="R12" s="1484"/>
      <c r="S12" s="1484"/>
      <c r="T12" s="1484"/>
      <c r="U12" s="1484"/>
      <c r="V12" s="1484"/>
      <c r="W12" s="1484"/>
      <c r="X12" s="1487"/>
      <c r="Y12" s="1475"/>
      <c r="Z12" s="1475"/>
    </row>
    <row r="13" spans="1:26" ht="15.75">
      <c r="A13" s="1473" t="b">
        <f>OR(A18,AND((A19),NOT(A27)))</f>
        <v>0</v>
      </c>
      <c r="B13" s="1482"/>
      <c r="C13" s="1484"/>
      <c r="D13" s="1494" t="str">
        <f>IF(A13,"X","")</f>
        <v/>
      </c>
      <c r="E13" s="1484"/>
      <c r="F13" s="1484"/>
      <c r="G13" s="1495" t="s">
        <v>449</v>
      </c>
      <c r="H13" s="1496" t="s">
        <v>450</v>
      </c>
      <c r="I13" s="1484"/>
      <c r="J13" s="1484"/>
      <c r="K13" s="1484"/>
      <c r="L13" s="1489" t="s">
        <v>451</v>
      </c>
      <c r="M13" s="1484"/>
      <c r="N13" s="1484"/>
      <c r="O13" s="1484"/>
      <c r="P13" s="1484"/>
      <c r="Q13" s="1484"/>
      <c r="R13" s="1484"/>
      <c r="S13" s="1484"/>
      <c r="T13" s="1484"/>
      <c r="U13" s="1484"/>
      <c r="V13" s="1484"/>
      <c r="W13" s="1484"/>
      <c r="X13" s="1487"/>
      <c r="Y13" s="1475"/>
      <c r="Z13" s="1475"/>
    </row>
    <row r="14" spans="1:26" ht="15.75">
      <c r="A14" s="1473"/>
      <c r="B14" s="1497"/>
      <c r="C14" s="1498"/>
      <c r="D14" s="1484"/>
      <c r="E14" s="1484"/>
      <c r="F14" s="1484"/>
      <c r="G14" s="1489" t="s">
        <v>452</v>
      </c>
      <c r="H14" s="1484"/>
      <c r="I14" s="1484"/>
      <c r="J14" s="1484"/>
      <c r="K14" s="1484"/>
      <c r="L14" s="1484"/>
      <c r="M14" s="1484"/>
      <c r="N14" s="1484"/>
      <c r="O14" s="1484"/>
      <c r="P14" s="1484"/>
      <c r="Q14" s="1484"/>
      <c r="R14" s="1484"/>
      <c r="S14" s="1484"/>
      <c r="T14" s="1484"/>
      <c r="U14" s="1484"/>
      <c r="V14" s="1484"/>
      <c r="W14" s="1484"/>
      <c r="X14" s="1487"/>
      <c r="Y14" s="1475"/>
      <c r="Z14" s="1475"/>
    </row>
    <row r="15" spans="1:26" ht="15.75">
      <c r="A15" s="1473"/>
      <c r="B15" s="1497"/>
      <c r="C15" s="1498"/>
      <c r="D15" s="1484"/>
      <c r="E15" s="1484"/>
      <c r="F15" s="1484"/>
      <c r="G15" s="1499"/>
      <c r="H15" s="1500" t="s">
        <v>453</v>
      </c>
      <c r="I15" s="1484"/>
      <c r="J15" s="1484"/>
      <c r="K15" s="1484"/>
      <c r="L15" s="1484"/>
      <c r="M15" s="1484"/>
      <c r="N15" s="1484"/>
      <c r="O15" s="1484"/>
      <c r="P15" s="1484"/>
      <c r="Q15" s="1484"/>
      <c r="R15" s="1484"/>
      <c r="S15" s="1484"/>
      <c r="T15" s="1484"/>
      <c r="U15" s="1484"/>
      <c r="V15" s="1484"/>
      <c r="W15" s="1484"/>
      <c r="X15" s="1487"/>
      <c r="Y15" s="1475"/>
      <c r="Z15" s="1475"/>
    </row>
    <row r="16" spans="1:26" ht="15.75">
      <c r="A16" s="1473"/>
      <c r="B16" s="1497"/>
      <c r="C16" s="1498"/>
      <c r="D16" s="1484"/>
      <c r="E16" s="1484"/>
      <c r="F16" s="1484"/>
      <c r="G16" s="1500"/>
      <c r="H16" s="1500" t="s">
        <v>454</v>
      </c>
      <c r="I16" s="1484"/>
      <c r="J16" s="1484"/>
      <c r="K16" s="1484"/>
      <c r="L16" s="1484"/>
      <c r="M16" s="1484"/>
      <c r="N16" s="1484"/>
      <c r="O16" s="1484"/>
      <c r="P16" s="1484"/>
      <c r="Q16" s="1484"/>
      <c r="R16" s="1484"/>
      <c r="S16" s="1484"/>
      <c r="T16" s="1484"/>
      <c r="U16" s="1484"/>
      <c r="V16" s="1484"/>
      <c r="W16" s="1484"/>
      <c r="X16" s="1487"/>
      <c r="Y16" s="1475"/>
      <c r="Z16" s="1475"/>
    </row>
    <row r="17" spans="1:26" ht="15">
      <c r="A17" s="1473"/>
      <c r="B17" s="1482"/>
      <c r="C17" s="1484"/>
      <c r="D17" s="1484"/>
      <c r="E17" s="1484"/>
      <c r="F17" s="1484"/>
      <c r="G17" s="1489"/>
      <c r="H17" s="1484"/>
      <c r="I17" s="1484"/>
      <c r="J17" s="1484"/>
      <c r="K17" s="1484"/>
      <c r="L17" s="1484"/>
      <c r="M17" s="1484"/>
      <c r="N17" s="1484"/>
      <c r="O17" s="1484"/>
      <c r="P17" s="1484"/>
      <c r="Q17" s="1484"/>
      <c r="R17" s="1484"/>
      <c r="S17" s="1484"/>
      <c r="T17" s="1484"/>
      <c r="U17" s="1484"/>
      <c r="V17" s="1484"/>
      <c r="W17" s="1484"/>
      <c r="X17" s="1487"/>
      <c r="Y17" s="1475"/>
      <c r="Z17" s="1475"/>
    </row>
    <row r="18" spans="1:26" ht="15.75">
      <c r="A18" s="1473" t="b">
        <f>F18&lt;&gt;""</f>
        <v>0</v>
      </c>
      <c r="B18" s="1497"/>
      <c r="C18" s="1498"/>
      <c r="D18" s="1484"/>
      <c r="E18" s="1484"/>
      <c r="F18" s="1501"/>
      <c r="G18" s="1502" t="s">
        <v>455</v>
      </c>
      <c r="H18" s="1496"/>
      <c r="I18" s="1496"/>
      <c r="J18" s="1496"/>
      <c r="K18" s="1496" t="s">
        <v>456</v>
      </c>
      <c r="L18" s="1484"/>
      <c r="M18" s="1484"/>
      <c r="N18" s="1484"/>
      <c r="O18" s="1484"/>
      <c r="P18" s="1484"/>
      <c r="Q18" s="1484"/>
      <c r="R18" s="1484"/>
      <c r="S18" s="1484"/>
      <c r="T18" s="1484"/>
      <c r="U18" s="1484"/>
      <c r="V18" s="1484"/>
      <c r="W18" s="1484"/>
      <c r="X18" s="1487"/>
      <c r="Y18" s="1475"/>
      <c r="Z18" s="1475"/>
    </row>
    <row r="19" spans="1:26" ht="15.75">
      <c r="A19" s="1473" t="b">
        <f>F19&lt;&gt;""</f>
        <v>0</v>
      </c>
      <c r="B19" s="1497"/>
      <c r="C19" s="1498"/>
      <c r="D19" s="1484"/>
      <c r="E19" s="1484"/>
      <c r="F19" s="1501"/>
      <c r="G19" s="1502" t="s">
        <v>457</v>
      </c>
      <c r="H19" s="1496"/>
      <c r="I19" s="1496"/>
      <c r="J19" s="1496"/>
      <c r="K19" s="1496" t="s">
        <v>458</v>
      </c>
      <c r="L19" s="1484"/>
      <c r="M19" s="1484"/>
      <c r="N19" s="1484"/>
      <c r="O19" s="1484"/>
      <c r="P19" s="1489" t="s">
        <v>5075</v>
      </c>
      <c r="Q19" s="1484"/>
      <c r="R19" s="1484"/>
      <c r="S19" s="1484"/>
      <c r="T19" s="1484"/>
      <c r="U19" s="1484"/>
      <c r="V19" s="1484"/>
      <c r="W19" s="1484"/>
      <c r="X19" s="1487"/>
      <c r="Y19" s="1475"/>
      <c r="Z19" s="1475"/>
    </row>
    <row r="20" spans="1:26" ht="20.25" customHeight="1">
      <c r="A20" s="1473"/>
      <c r="B20" s="1482"/>
      <c r="C20" s="1484"/>
      <c r="D20" s="1484"/>
      <c r="E20" s="1484"/>
      <c r="F20" s="1484"/>
      <c r="G20" s="1502" t="s">
        <v>459</v>
      </c>
      <c r="H20" s="1496"/>
      <c r="I20" s="1496"/>
      <c r="J20" s="1496"/>
      <c r="K20" s="1496"/>
      <c r="L20" s="1484"/>
      <c r="M20" s="1484"/>
      <c r="N20" s="1484"/>
      <c r="O20" s="1484"/>
      <c r="P20" s="1484"/>
      <c r="Q20" s="1484"/>
      <c r="R20" s="1484"/>
      <c r="S20" s="1484"/>
      <c r="T20" s="1484"/>
      <c r="U20" s="1484"/>
      <c r="V20" s="1484"/>
      <c r="W20" s="1484"/>
      <c r="X20" s="1487"/>
      <c r="Y20" s="1475"/>
      <c r="Z20" s="1475"/>
    </row>
    <row r="21" spans="1:26" ht="27.75" customHeight="1">
      <c r="A21" s="1473"/>
      <c r="B21" s="1482"/>
      <c r="C21" s="1484"/>
      <c r="D21" s="1484"/>
      <c r="E21" s="1484"/>
      <c r="F21" s="1484"/>
      <c r="G21" s="1502"/>
      <c r="H21" s="1496"/>
      <c r="I21" s="1496"/>
      <c r="J21" s="1496"/>
      <c r="K21" s="1496"/>
      <c r="L21" s="1484"/>
      <c r="M21" s="1484"/>
      <c r="N21" s="1484"/>
      <c r="O21" s="1484"/>
      <c r="P21" s="1484"/>
      <c r="Q21" s="1484"/>
      <c r="R21" s="1484"/>
      <c r="S21" s="1484"/>
      <c r="T21" s="1484"/>
      <c r="U21" s="1484"/>
      <c r="V21" s="1484"/>
      <c r="W21" s="1484"/>
      <c r="X21" s="1487"/>
      <c r="Y21" s="1475"/>
      <c r="Z21" s="1475"/>
    </row>
    <row r="22" spans="1:26" ht="15">
      <c r="A22" s="1473"/>
      <c r="B22" s="1482"/>
      <c r="C22" s="1484"/>
      <c r="D22" s="1484"/>
      <c r="E22" s="1484"/>
      <c r="F22" s="1484"/>
      <c r="G22" s="1489" t="s">
        <v>460</v>
      </c>
      <c r="H22" s="1496"/>
      <c r="I22" s="1496"/>
      <c r="J22" s="1496"/>
      <c r="K22" s="1496"/>
      <c r="L22" s="1484"/>
      <c r="M22" s="1484"/>
      <c r="N22" s="1484"/>
      <c r="O22" s="1484"/>
      <c r="P22" s="1484"/>
      <c r="Q22" s="1484"/>
      <c r="R22" s="1484"/>
      <c r="S22" s="1484"/>
      <c r="T22" s="1484"/>
      <c r="U22" s="1484"/>
      <c r="V22" s="1484"/>
      <c r="W22" s="1484"/>
      <c r="X22" s="1487"/>
      <c r="Y22" s="1475"/>
      <c r="Z22" s="1475"/>
    </row>
    <row r="23" spans="1:26" ht="15">
      <c r="A23" s="1473"/>
      <c r="B23" s="1482"/>
      <c r="C23" s="1484"/>
      <c r="D23" s="1484"/>
      <c r="E23" s="1484"/>
      <c r="F23" s="1484"/>
      <c r="G23" s="1489"/>
      <c r="H23" s="1496"/>
      <c r="I23" s="1496"/>
      <c r="J23" s="1496"/>
      <c r="K23" s="1496"/>
      <c r="L23" s="1484"/>
      <c r="M23" s="1484"/>
      <c r="N23" s="1484"/>
      <c r="O23" s="1484"/>
      <c r="P23" s="1484"/>
      <c r="Q23" s="1484"/>
      <c r="R23" s="1484"/>
      <c r="S23" s="1484"/>
      <c r="T23" s="1484"/>
      <c r="U23" s="1484"/>
      <c r="V23" s="1484"/>
      <c r="W23" s="1484"/>
      <c r="X23" s="1487"/>
      <c r="Y23" s="1475"/>
      <c r="Z23" s="1475"/>
    </row>
    <row r="24" spans="1:26" ht="15">
      <c r="A24" s="1473"/>
      <c r="B24" s="1482"/>
      <c r="C24" s="1484"/>
      <c r="D24" s="1484"/>
      <c r="E24" s="1484"/>
      <c r="F24" s="1484"/>
      <c r="G24" s="1489" t="str">
        <f>"If you rolled over the distribution into a qualified plan or you made the rollover in "&amp;TaxYear+1&amp;", include a statement explaining what you did. "</f>
        <v xml:space="preserve">If you rolled over the distribution into a qualified plan or you made the rollover in 2026, include a statement explaining what you did. </v>
      </c>
      <c r="H24" s="1496"/>
      <c r="I24" s="1496"/>
      <c r="J24" s="1496"/>
      <c r="K24" s="1496"/>
      <c r="L24" s="1484"/>
      <c r="M24" s="1484"/>
      <c r="N24" s="1484"/>
      <c r="O24" s="1484"/>
      <c r="P24" s="1484"/>
      <c r="Q24" s="1484"/>
      <c r="R24" s="1484"/>
      <c r="S24" s="1484"/>
      <c r="T24" s="1484"/>
      <c r="U24" s="1484"/>
      <c r="V24" s="1484"/>
      <c r="W24" s="1484"/>
      <c r="X24" s="1487"/>
      <c r="Y24" s="1475"/>
      <c r="Z24" s="1475"/>
    </row>
    <row r="25" spans="1:26" ht="15">
      <c r="A25" s="1473"/>
      <c r="B25" s="1482"/>
      <c r="C25" s="1484"/>
      <c r="D25" s="1484"/>
      <c r="E25" s="1484"/>
      <c r="F25" s="1484"/>
      <c r="G25" s="1489"/>
      <c r="H25" s="1496"/>
      <c r="I25" s="1496"/>
      <c r="J25" s="1496"/>
      <c r="K25" s="1496"/>
      <c r="L25" s="1484"/>
      <c r="M25" s="1484"/>
      <c r="N25" s="1484"/>
      <c r="O25" s="1484"/>
      <c r="P25" s="1484"/>
      <c r="Q25" s="1484"/>
      <c r="R25" s="1484"/>
      <c r="S25" s="1484"/>
      <c r="T25" s="1484"/>
      <c r="U25" s="1484"/>
      <c r="V25" s="1484"/>
      <c r="W25" s="1484"/>
      <c r="X25" s="1487"/>
      <c r="Y25" s="1475"/>
      <c r="Z25" s="1475"/>
    </row>
    <row r="26" spans="1:26" ht="15">
      <c r="A26" s="1473"/>
      <c r="B26" s="1482"/>
      <c r="C26" s="1484"/>
      <c r="D26" s="1484"/>
      <c r="E26" s="1484"/>
      <c r="F26" s="1484"/>
      <c r="G26" s="1489"/>
      <c r="H26" s="1496"/>
      <c r="I26" s="1496"/>
      <c r="J26" s="1496"/>
      <c r="K26" s="1496"/>
      <c r="L26" s="1484"/>
      <c r="M26" s="1484"/>
      <c r="N26" s="1484"/>
      <c r="O26" s="1484"/>
      <c r="P26" s="1484"/>
      <c r="Q26" s="1484"/>
      <c r="R26" s="1484"/>
      <c r="S26" s="1484"/>
      <c r="T26" s="1484"/>
      <c r="U26" s="1484"/>
      <c r="V26" s="1484"/>
      <c r="W26" s="1484"/>
      <c r="X26" s="1487"/>
      <c r="Y26" s="1475"/>
      <c r="Z26" s="1475"/>
    </row>
    <row r="27" spans="1:26" ht="15.75">
      <c r="A27" s="1473" t="b">
        <f>OR(A29,A32,A34,A35,A37,A39,A41,A43)</f>
        <v>0</v>
      </c>
      <c r="B27" s="1497"/>
      <c r="C27" s="1498"/>
      <c r="D27" s="1494" t="str">
        <f>IF(A27,"X","")</f>
        <v/>
      </c>
      <c r="E27" s="1484"/>
      <c r="F27" s="1484"/>
      <c r="G27" s="1495" t="s">
        <v>461</v>
      </c>
      <c r="H27" s="1503" t="s">
        <v>462</v>
      </c>
      <c r="I27" s="1496"/>
      <c r="J27" s="1496"/>
      <c r="K27" s="1496" t="str">
        <f>IF(A27,"Enter the total distribution on line 4a","enter the total distribution on line 4a")</f>
        <v>enter the total distribution on line 4a</v>
      </c>
      <c r="L27" s="1484"/>
      <c r="M27" s="1484"/>
      <c r="N27" s="1484"/>
      <c r="O27" s="1504"/>
      <c r="P27" s="1496" t="s">
        <v>463</v>
      </c>
      <c r="Q27" s="1503" t="s">
        <v>464</v>
      </c>
      <c r="R27" s="1484"/>
      <c r="S27" s="1484"/>
      <c r="T27" s="1484"/>
      <c r="U27" s="1484"/>
      <c r="V27" s="1484"/>
      <c r="W27" s="1484"/>
      <c r="X27" s="1487"/>
      <c r="Y27" s="1475"/>
      <c r="Z27" s="1475"/>
    </row>
    <row r="28" spans="1:26" ht="15.75">
      <c r="A28" s="1473" t="b">
        <f>AND(OR(A29,A32,A37,A39,A41,A43),NOT(A34),NOT(A35))</f>
        <v>0</v>
      </c>
      <c r="B28" s="1482"/>
      <c r="C28" s="1484"/>
      <c r="D28" s="1484"/>
      <c r="E28" s="1484"/>
      <c r="F28" s="1484"/>
      <c r="G28" s="1505"/>
      <c r="H28" s="1496"/>
      <c r="I28" s="1496"/>
      <c r="J28" s="1496"/>
      <c r="K28" s="1496"/>
      <c r="L28" s="1484"/>
      <c r="M28" s="1484"/>
      <c r="N28" s="1484"/>
      <c r="O28" s="1484"/>
      <c r="P28" s="1484"/>
      <c r="Q28" s="1484"/>
      <c r="R28" s="1484"/>
      <c r="S28" s="1484"/>
      <c r="T28" s="1484"/>
      <c r="U28" s="1484"/>
      <c r="V28" s="1484"/>
      <c r="W28" s="1484"/>
      <c r="X28" s="1487"/>
      <c r="Y28" s="1475"/>
      <c r="Z28" s="1475"/>
    </row>
    <row r="29" spans="1:26" ht="15.75">
      <c r="A29" s="1473" t="b">
        <f>E29&lt;&gt;""</f>
        <v>0</v>
      </c>
      <c r="B29" s="1497"/>
      <c r="C29" s="1498"/>
      <c r="D29" s="1484"/>
      <c r="E29" s="1501"/>
      <c r="F29" s="1484"/>
      <c r="G29" s="1506" t="s">
        <v>157</v>
      </c>
      <c r="H29" s="1507" t="str">
        <f>"You received a distribution from an IRA (other than a Roth IRA) and you made nondeductible contributions to any of your traditional or SEP IRAs for "&amp;TaxYear&amp;" or an earlier year. "</f>
        <v xml:space="preserve">You received a distribution from an IRA (other than a Roth IRA) and you made nondeductible contributions to any of your traditional or SEP IRAs for 2025 or an earlier year. </v>
      </c>
      <c r="I29" s="1496"/>
      <c r="J29" s="1496"/>
      <c r="K29" s="1496"/>
      <c r="L29" s="1484"/>
      <c r="M29" s="1484"/>
      <c r="N29" s="1484"/>
      <c r="O29" s="1484"/>
      <c r="P29" s="1484"/>
      <c r="Q29" s="1484"/>
      <c r="R29" s="1484"/>
      <c r="S29" s="1484"/>
      <c r="T29" s="1484"/>
      <c r="U29" s="1484"/>
      <c r="V29" s="1484"/>
      <c r="W29" s="1484"/>
      <c r="X29" s="1487"/>
      <c r="Y29" s="1475"/>
      <c r="Z29" s="1475"/>
    </row>
    <row r="30" spans="1:26" ht="15">
      <c r="A30" s="1473"/>
      <c r="B30" s="1482"/>
      <c r="C30" s="1484"/>
      <c r="D30" s="1484"/>
      <c r="E30" s="1484"/>
      <c r="F30" s="1484"/>
      <c r="G30" s="1502"/>
      <c r="H30" s="1496" t="str">
        <f>"If you made nondeductible contributions to these IRAs for "&amp;TaxYear&amp;", also see Pub. 590-A and Pub. 590-B."</f>
        <v>If you made nondeductible contributions to these IRAs for 2025, also see Pub. 590-A and Pub. 590-B.</v>
      </c>
      <c r="I30" s="1496"/>
      <c r="J30" s="1496"/>
      <c r="K30" s="1496"/>
      <c r="L30" s="1484"/>
      <c r="M30" s="1484"/>
      <c r="N30" s="1484"/>
      <c r="O30" s="1484"/>
      <c r="P30" s="1484"/>
      <c r="Q30" s="1484"/>
      <c r="R30" s="1484"/>
      <c r="S30" s="1484"/>
      <c r="T30" s="1484"/>
      <c r="U30" s="1484"/>
      <c r="V30" s="1484"/>
      <c r="W30" s="1484"/>
      <c r="X30" s="1487"/>
      <c r="Y30" s="1475"/>
      <c r="Z30" s="1475"/>
    </row>
    <row r="31" spans="1:26" ht="15">
      <c r="A31" s="1473"/>
      <c r="B31" s="1482"/>
      <c r="C31" s="1484"/>
      <c r="D31" s="1484"/>
      <c r="E31" s="1484"/>
      <c r="F31" s="1484"/>
      <c r="G31" s="1502"/>
      <c r="H31" s="1496"/>
      <c r="I31" s="1496"/>
      <c r="J31" s="1496"/>
      <c r="K31" s="1496"/>
      <c r="L31" s="1484"/>
      <c r="M31" s="1484"/>
      <c r="N31" s="1484"/>
      <c r="O31" s="1484"/>
      <c r="P31" s="1484"/>
      <c r="Q31" s="1484"/>
      <c r="R31" s="1484"/>
      <c r="S31" s="1484"/>
      <c r="T31" s="1484"/>
      <c r="U31" s="1484"/>
      <c r="V31" s="1484"/>
      <c r="W31" s="1484"/>
      <c r="X31" s="1487"/>
      <c r="Y31" s="1475"/>
      <c r="Z31" s="1475"/>
    </row>
    <row r="32" spans="1:26" ht="15.75">
      <c r="A32" s="1473" t="b">
        <f>E32&lt;&gt;""</f>
        <v>0</v>
      </c>
      <c r="B32" s="1497"/>
      <c r="C32" s="1498"/>
      <c r="D32" s="1484"/>
      <c r="E32" s="1501"/>
      <c r="F32" s="1484"/>
      <c r="G32" s="1506" t="s">
        <v>161</v>
      </c>
      <c r="H32" s="1507" t="s">
        <v>465</v>
      </c>
      <c r="I32" s="1496"/>
      <c r="J32" s="1484"/>
      <c r="K32" s="1484"/>
      <c r="L32" s="1484"/>
      <c r="M32" s="1484"/>
      <c r="N32" s="1484"/>
      <c r="O32" s="1484"/>
      <c r="P32" s="1484"/>
      <c r="Q32" s="1489" t="s">
        <v>466</v>
      </c>
      <c r="R32" s="1489"/>
      <c r="S32" s="1484"/>
      <c r="T32" s="1484"/>
      <c r="U32" s="1484"/>
      <c r="V32" s="1484"/>
      <c r="W32" s="1484"/>
      <c r="X32" s="1487"/>
      <c r="Y32" s="1475"/>
      <c r="Z32" s="1475"/>
    </row>
    <row r="33" spans="1:26" ht="15">
      <c r="A33" s="1473"/>
      <c r="B33" s="1482"/>
      <c r="C33" s="1484"/>
      <c r="D33" s="1484"/>
      <c r="E33" s="1484"/>
      <c r="F33" s="1484"/>
      <c r="G33" s="1502"/>
      <c r="H33" s="1496"/>
      <c r="I33" s="1496"/>
      <c r="J33" s="1496"/>
      <c r="K33" s="1496"/>
      <c r="L33" s="1484"/>
      <c r="M33" s="1484"/>
      <c r="N33" s="1484"/>
      <c r="O33" s="1484"/>
      <c r="P33" s="1484"/>
      <c r="Q33" s="1484"/>
      <c r="R33" s="1484"/>
      <c r="S33" s="1484"/>
      <c r="T33" s="1484"/>
      <c r="U33" s="1484"/>
      <c r="V33" s="1484"/>
      <c r="W33" s="1484"/>
      <c r="X33" s="1487"/>
      <c r="Y33" s="1475"/>
      <c r="Z33" s="1475"/>
    </row>
    <row r="34" spans="1:26" ht="15.75">
      <c r="A34" s="1473" t="b">
        <f>F34&lt;&gt;""</f>
        <v>0</v>
      </c>
      <c r="B34" s="1497"/>
      <c r="C34" s="1498"/>
      <c r="D34" s="1484"/>
      <c r="E34" s="1484"/>
      <c r="F34" s="1501"/>
      <c r="G34" s="1508"/>
      <c r="H34" s="1507" t="s">
        <v>467</v>
      </c>
      <c r="I34" s="1496"/>
      <c r="J34" s="1496"/>
      <c r="K34" s="1496"/>
      <c r="L34" s="1484"/>
      <c r="M34" s="1484"/>
      <c r="N34" s="1484"/>
      <c r="O34" s="1484"/>
      <c r="P34" s="1484"/>
      <c r="Q34" s="1484"/>
      <c r="R34" s="1484"/>
      <c r="S34" s="1484"/>
      <c r="T34" s="1484"/>
      <c r="U34" s="1484"/>
      <c r="V34" s="1484"/>
      <c r="W34" s="1484"/>
      <c r="X34" s="1487"/>
      <c r="Y34" s="1475"/>
      <c r="Z34" s="1475"/>
    </row>
    <row r="35" spans="1:26" ht="15.75">
      <c r="A35" s="1473" t="b">
        <f>F35&lt;&gt;""</f>
        <v>0</v>
      </c>
      <c r="B35" s="1497"/>
      <c r="C35" s="1498"/>
      <c r="D35" s="1484"/>
      <c r="E35" s="1484"/>
      <c r="F35" s="1501"/>
      <c r="G35" s="1484"/>
      <c r="H35" s="1507" t="s">
        <v>468</v>
      </c>
      <c r="I35" s="1496"/>
      <c r="J35" s="1496"/>
      <c r="K35" s="1496"/>
      <c r="L35" s="1496"/>
      <c r="M35" s="1484"/>
      <c r="N35" s="1484"/>
      <c r="O35" s="1484"/>
      <c r="P35" s="1484"/>
      <c r="Q35" s="1484"/>
      <c r="R35" s="1484"/>
      <c r="S35" s="1484"/>
      <c r="T35" s="1484"/>
      <c r="U35" s="1484"/>
      <c r="V35" s="1484"/>
      <c r="W35" s="1484"/>
      <c r="X35" s="1487"/>
      <c r="Y35" s="1475"/>
      <c r="Z35" s="1475"/>
    </row>
    <row r="36" spans="1:26" ht="15">
      <c r="A36" s="1473"/>
      <c r="B36" s="1482"/>
      <c r="C36" s="1484"/>
      <c r="D36" s="1484"/>
      <c r="E36" s="1484"/>
      <c r="F36" s="1484"/>
      <c r="G36" s="1502"/>
      <c r="H36" s="1496"/>
      <c r="I36" s="1496"/>
      <c r="J36" s="1496"/>
      <c r="K36" s="1496"/>
      <c r="L36" s="1484"/>
      <c r="M36" s="1484"/>
      <c r="N36" s="1484"/>
      <c r="O36" s="1484"/>
      <c r="P36" s="1484"/>
      <c r="Q36" s="1484"/>
      <c r="R36" s="1484"/>
      <c r="S36" s="1484"/>
      <c r="T36" s="1484"/>
      <c r="U36" s="1484"/>
      <c r="V36" s="1484"/>
      <c r="W36" s="1484"/>
      <c r="X36" s="1487"/>
      <c r="Y36" s="1475"/>
      <c r="Z36" s="1475"/>
    </row>
    <row r="37" spans="1:26" ht="15.75">
      <c r="A37" s="1473" t="b">
        <f>E37&lt;&gt;""</f>
        <v>0</v>
      </c>
      <c r="B37" s="1497"/>
      <c r="C37" s="1498"/>
      <c r="D37" s="1484"/>
      <c r="E37" s="1501"/>
      <c r="F37" s="1484"/>
      <c r="G37" s="1506" t="s">
        <v>167</v>
      </c>
      <c r="H37" s="1502" t="str">
        <f>"You converted part or all of a traditional, SEP, or SIMPLE IRA to a Roth IRA in "&amp;TaxYear&amp;"."</f>
        <v>You converted part or all of a traditional, SEP, or SIMPLE IRA to a Roth IRA in 2025.</v>
      </c>
      <c r="I37" s="1496"/>
      <c r="J37" s="1496"/>
      <c r="K37" s="1496"/>
      <c r="L37" s="1484"/>
      <c r="M37" s="1484"/>
      <c r="N37" s="1484"/>
      <c r="O37" s="1484"/>
      <c r="P37" s="1484"/>
      <c r="Q37" s="1484"/>
      <c r="R37" s="1484"/>
      <c r="S37" s="1484"/>
      <c r="T37" s="1484"/>
      <c r="U37" s="1484"/>
      <c r="V37" s="1484"/>
      <c r="W37" s="1484"/>
      <c r="X37" s="1487"/>
      <c r="Y37" s="1475"/>
      <c r="Z37" s="1475"/>
    </row>
    <row r="38" spans="1:26" ht="15">
      <c r="A38" s="1473"/>
      <c r="B38" s="1482"/>
      <c r="C38" s="1484"/>
      <c r="D38" s="1484"/>
      <c r="E38" s="1484"/>
      <c r="F38" s="1484"/>
      <c r="G38" s="1502"/>
      <c r="H38" s="1496"/>
      <c r="I38" s="1496"/>
      <c r="J38" s="1496"/>
      <c r="K38" s="1496"/>
      <c r="L38" s="1484"/>
      <c r="M38" s="1484"/>
      <c r="N38" s="1484"/>
      <c r="O38" s="1484"/>
      <c r="P38" s="1484"/>
      <c r="Q38" s="1484"/>
      <c r="R38" s="1484"/>
      <c r="S38" s="1484"/>
      <c r="T38" s="1484"/>
      <c r="U38" s="1484"/>
      <c r="V38" s="1484"/>
      <c r="W38" s="1484"/>
      <c r="X38" s="1487"/>
      <c r="Y38" s="1475"/>
      <c r="Z38" s="1475"/>
    </row>
    <row r="39" spans="1:26" ht="15.75">
      <c r="A39" s="1473" t="b">
        <f>E39&lt;&gt;""</f>
        <v>0</v>
      </c>
      <c r="B39" s="1497"/>
      <c r="C39" s="1498"/>
      <c r="D39" s="1484"/>
      <c r="E39" s="1501"/>
      <c r="F39" s="1484"/>
      <c r="G39" s="1506" t="s">
        <v>171</v>
      </c>
      <c r="H39" s="1502" t="str">
        <f>"You had a "&amp;TaxYear-1&amp;" or "&amp;TaxYear&amp;" IRA contribution returned to you, with the related earnings or less any loss, by the due date (including extensions) of your tax return for that year."</f>
        <v>You had a 2024 or 2025 IRA contribution returned to you, with the related earnings or less any loss, by the due date (including extensions) of your tax return for that year.</v>
      </c>
      <c r="I39" s="1502"/>
      <c r="J39" s="1496"/>
      <c r="K39" s="1496"/>
      <c r="L39" s="1484"/>
      <c r="M39" s="1484"/>
      <c r="N39" s="1484"/>
      <c r="O39" s="1484"/>
      <c r="P39" s="1484"/>
      <c r="Q39" s="1484"/>
      <c r="R39" s="1484"/>
      <c r="S39" s="1484"/>
      <c r="T39" s="1484"/>
      <c r="U39" s="1484"/>
      <c r="V39" s="1484"/>
      <c r="W39" s="1484"/>
      <c r="X39" s="1487"/>
      <c r="Y39" s="1475"/>
      <c r="Z39" s="1475"/>
    </row>
    <row r="40" spans="1:26" ht="15">
      <c r="A40" s="1473"/>
      <c r="B40" s="1482"/>
      <c r="C40" s="1484"/>
      <c r="D40" s="1484"/>
      <c r="E40" s="1484"/>
      <c r="F40" s="1484"/>
      <c r="G40" s="1506"/>
      <c r="H40" s="1502"/>
      <c r="I40" s="1502"/>
      <c r="J40" s="1496"/>
      <c r="K40" s="1496"/>
      <c r="L40" s="1484"/>
      <c r="M40" s="1484"/>
      <c r="N40" s="1484"/>
      <c r="O40" s="1484"/>
      <c r="P40" s="1484"/>
      <c r="Q40" s="1484"/>
      <c r="R40" s="1484"/>
      <c r="S40" s="1484"/>
      <c r="T40" s="1484"/>
      <c r="U40" s="1484"/>
      <c r="V40" s="1484"/>
      <c r="W40" s="1484"/>
      <c r="X40" s="1487"/>
      <c r="Y40" s="1475"/>
      <c r="Z40" s="1475"/>
    </row>
    <row r="41" spans="1:26" ht="15.75">
      <c r="A41" s="1473" t="b">
        <f>E41&lt;&gt;""</f>
        <v>0</v>
      </c>
      <c r="B41" s="1497"/>
      <c r="C41" s="1498"/>
      <c r="D41" s="1484"/>
      <c r="E41" s="1501"/>
      <c r="F41" s="1484"/>
      <c r="G41" s="1506" t="s">
        <v>184</v>
      </c>
      <c r="H41" s="1502" t="str">
        <f>"You made excess contributions to your IRA for an earlier year and had them returned to you in "&amp;TaxYear&amp;"."</f>
        <v>You made excess contributions to your IRA for an earlier year and had them returned to you in 2025.</v>
      </c>
      <c r="I41" s="1502"/>
      <c r="J41" s="1496"/>
      <c r="K41" s="1496"/>
      <c r="L41" s="1484"/>
      <c r="M41" s="1484"/>
      <c r="N41" s="1484"/>
      <c r="O41" s="1484"/>
      <c r="P41" s="1484"/>
      <c r="Q41" s="1484"/>
      <c r="R41" s="1484"/>
      <c r="S41" s="1484"/>
      <c r="T41" s="1484"/>
      <c r="U41" s="1484"/>
      <c r="V41" s="1484"/>
      <c r="W41" s="1484"/>
      <c r="X41" s="1487"/>
      <c r="Y41" s="1475"/>
      <c r="Z41" s="1475"/>
    </row>
    <row r="42" spans="1:26" ht="15">
      <c r="A42" s="1473"/>
      <c r="B42" s="1482"/>
      <c r="C42" s="1484"/>
      <c r="D42" s="1484"/>
      <c r="E42" s="1484"/>
      <c r="F42" s="1484"/>
      <c r="G42" s="1506"/>
      <c r="H42" s="1502"/>
      <c r="I42" s="1502"/>
      <c r="J42" s="1496"/>
      <c r="K42" s="1496"/>
      <c r="L42" s="1484"/>
      <c r="M42" s="1484"/>
      <c r="N42" s="1484"/>
      <c r="O42" s="1484"/>
      <c r="P42" s="1484"/>
      <c r="Q42" s="1484"/>
      <c r="R42" s="1484"/>
      <c r="S42" s="1484"/>
      <c r="T42" s="1484"/>
      <c r="U42" s="1484"/>
      <c r="V42" s="1484"/>
      <c r="W42" s="1484"/>
      <c r="X42" s="1487"/>
      <c r="Y42" s="1475"/>
      <c r="Z42" s="1475"/>
    </row>
    <row r="43" spans="1:26" ht="15.75">
      <c r="A43" s="1473" t="b">
        <f>E43&lt;&gt;""</f>
        <v>0</v>
      </c>
      <c r="B43" s="1497"/>
      <c r="C43" s="1498"/>
      <c r="D43" s="1484"/>
      <c r="E43" s="1501"/>
      <c r="F43" s="1484"/>
      <c r="G43" s="1506" t="s">
        <v>188</v>
      </c>
      <c r="H43" s="1502" t="s">
        <v>469</v>
      </c>
      <c r="I43" s="1502"/>
      <c r="J43" s="1496"/>
      <c r="K43" s="1496"/>
      <c r="L43" s="1484"/>
      <c r="M43" s="1484"/>
      <c r="N43" s="1484"/>
      <c r="O43" s="1484"/>
      <c r="P43" s="1484"/>
      <c r="Q43" s="1484"/>
      <c r="R43" s="1484"/>
      <c r="S43" s="1484"/>
      <c r="T43" s="1484"/>
      <c r="U43" s="1484"/>
      <c r="V43" s="1484"/>
      <c r="W43" s="1484"/>
      <c r="X43" s="1487"/>
      <c r="Y43" s="1475"/>
      <c r="Z43" s="1475"/>
    </row>
    <row r="44" spans="1:26" ht="15">
      <c r="A44" s="1473"/>
      <c r="B44" s="1482"/>
      <c r="C44" s="1484"/>
      <c r="D44" s="1484"/>
      <c r="E44" s="1484"/>
      <c r="F44" s="1484"/>
      <c r="G44" s="1506"/>
      <c r="H44" s="1502"/>
      <c r="I44" s="1502"/>
      <c r="J44" s="1496"/>
      <c r="K44" s="1496"/>
      <c r="L44" s="1484"/>
      <c r="M44" s="1484"/>
      <c r="N44" s="1484"/>
      <c r="O44" s="1484"/>
      <c r="P44" s="1484"/>
      <c r="Q44" s="1484"/>
      <c r="R44" s="1484"/>
      <c r="S44" s="1484"/>
      <c r="T44" s="1484"/>
      <c r="U44" s="1484"/>
      <c r="V44" s="1484"/>
      <c r="W44" s="1484"/>
      <c r="X44" s="1487"/>
      <c r="Y44" s="1475"/>
      <c r="Z44" s="1475"/>
    </row>
    <row r="45" spans="1:26" ht="15">
      <c r="A45" s="1473"/>
      <c r="B45" s="1482"/>
      <c r="C45" s="1484"/>
      <c r="D45" s="1484"/>
      <c r="E45" s="1484"/>
      <c r="F45" s="1484"/>
      <c r="G45" s="1506"/>
      <c r="H45" s="1502"/>
      <c r="I45" s="1502"/>
      <c r="J45" s="1496"/>
      <c r="K45" s="1496"/>
      <c r="L45" s="1484"/>
      <c r="M45" s="1484"/>
      <c r="N45" s="1484"/>
      <c r="O45" s="1484"/>
      <c r="P45" s="1484"/>
      <c r="Q45" s="1484"/>
      <c r="R45" s="1484"/>
      <c r="S45" s="1484"/>
      <c r="T45" s="1484"/>
      <c r="U45" s="1484"/>
      <c r="V45" s="1484"/>
      <c r="W45" s="1484"/>
      <c r="X45" s="1487"/>
      <c r="Y45" s="1475"/>
      <c r="Z45" s="1475"/>
    </row>
    <row r="46" spans="1:26" ht="15.75">
      <c r="A46" s="1473" t="b">
        <f>OR(A48,AND(A49,NOT(A27)))</f>
        <v>0</v>
      </c>
      <c r="B46" s="1482"/>
      <c r="C46" s="1484"/>
      <c r="D46" s="1494" t="str">
        <f>IF(A46,"X","")</f>
        <v/>
      </c>
      <c r="E46" s="1484"/>
      <c r="F46" s="1484"/>
      <c r="G46" s="1495" t="s">
        <v>470</v>
      </c>
      <c r="H46" s="1502" t="s">
        <v>471</v>
      </c>
      <c r="I46" s="1502"/>
      <c r="J46" s="1484"/>
      <c r="K46" s="1484"/>
      <c r="L46" s="1484"/>
      <c r="M46" s="1484"/>
      <c r="N46" s="1484"/>
      <c r="O46" s="1484"/>
      <c r="P46" s="1507" t="str">
        <f>IF(IRA_QCD," Enter the total distribution on line 4a","enter the total distribution on line 4a.")</f>
        <v>enter the total distribution on line 4a.</v>
      </c>
      <c r="Q46" s="1484"/>
      <c r="R46" s="1484"/>
      <c r="S46" s="1484"/>
      <c r="T46" s="1484"/>
      <c r="U46" s="1484"/>
      <c r="V46" s="1484"/>
      <c r="W46" s="1484"/>
      <c r="X46" s="1487"/>
      <c r="Y46" s="1475"/>
      <c r="Z46" s="1475"/>
    </row>
    <row r="47" spans="1:26" ht="15">
      <c r="A47" s="1473"/>
      <c r="B47" s="1482"/>
      <c r="C47" s="1484"/>
      <c r="D47" s="1484"/>
      <c r="E47" s="1484"/>
      <c r="F47" s="1484"/>
      <c r="G47" s="1496"/>
      <c r="H47" s="1484"/>
      <c r="I47" s="1484"/>
      <c r="J47" s="1484"/>
      <c r="K47" s="1484"/>
      <c r="L47" s="1484"/>
      <c r="M47" s="1484"/>
      <c r="N47" s="1484"/>
      <c r="O47" s="1484"/>
      <c r="P47" s="1484"/>
      <c r="Q47" s="1484"/>
      <c r="R47" s="1484"/>
      <c r="S47" s="1484"/>
      <c r="T47" s="1484"/>
      <c r="U47" s="1484"/>
      <c r="V47" s="1484"/>
      <c r="W47" s="1484"/>
      <c r="X47" s="1487"/>
      <c r="Y47" s="1475"/>
      <c r="Z47" s="1475"/>
    </row>
    <row r="48" spans="1:26" ht="15.75">
      <c r="A48" s="1473" t="b">
        <f>F48&lt;&gt;""</f>
        <v>0</v>
      </c>
      <c r="B48" s="1497"/>
      <c r="C48" s="1498"/>
      <c r="D48" s="1484"/>
      <c r="E48" s="1484"/>
      <c r="F48" s="1501"/>
      <c r="G48" s="1506" t="s">
        <v>157</v>
      </c>
      <c r="H48" s="1507" t="s">
        <v>472</v>
      </c>
      <c r="I48" s="1484"/>
      <c r="J48" s="1484"/>
      <c r="K48" s="1484"/>
      <c r="L48" s="1509" t="str">
        <f>IF(A48,"enter -0- on line 4b","enter -0- on line 4b.")</f>
        <v>enter -0- on line 4b.</v>
      </c>
      <c r="M48" s="1484"/>
      <c r="N48" s="1484"/>
      <c r="O48" s="1484"/>
      <c r="P48" s="1484"/>
      <c r="Q48" s="1484"/>
      <c r="R48" s="1484"/>
      <c r="S48" s="1484"/>
      <c r="T48" s="1484"/>
      <c r="U48" s="1484"/>
      <c r="V48" s="1484"/>
      <c r="W48" s="1484"/>
      <c r="X48" s="1487"/>
      <c r="Y48" s="1475"/>
      <c r="Z48" s="1475"/>
    </row>
    <row r="49" spans="1:26" ht="15.75">
      <c r="A49" s="1473" t="b">
        <f>F49&lt;&gt;""</f>
        <v>0</v>
      </c>
      <c r="B49" s="1497"/>
      <c r="C49" s="1498"/>
      <c r="D49" s="1484"/>
      <c r="E49" s="1484"/>
      <c r="F49" s="1501"/>
      <c r="G49" s="1506" t="s">
        <v>161</v>
      </c>
      <c r="H49" s="1507" t="s">
        <v>473</v>
      </c>
      <c r="I49" s="1484"/>
      <c r="J49" s="1484"/>
      <c r="K49" s="1484"/>
      <c r="L49" s="1507" t="s">
        <v>474</v>
      </c>
      <c r="M49" s="1484"/>
      <c r="N49" s="1484"/>
      <c r="O49" s="1484"/>
      <c r="P49" s="1484"/>
      <c r="Q49" s="1484"/>
      <c r="R49" s="1489" t="s">
        <v>5074</v>
      </c>
      <c r="S49" s="1484"/>
      <c r="T49" s="1484"/>
      <c r="U49" s="1484"/>
      <c r="V49" s="1484"/>
      <c r="W49" s="1484"/>
      <c r="X49" s="1487"/>
      <c r="Y49" s="1475"/>
      <c r="Z49" s="1475"/>
    </row>
    <row r="50" spans="1:26" ht="15">
      <c r="A50" s="1473"/>
      <c r="B50" s="1482"/>
      <c r="C50" s="1484"/>
      <c r="D50" s="1484"/>
      <c r="E50" s="1484"/>
      <c r="F50" s="1484"/>
      <c r="G50" s="1506"/>
      <c r="H50" s="1507" t="str">
        <f>IF(AND(IRA_QCD,NOT(A27)),"enter “QCD” next to line 4b.","Enter “QCD” next to line 4b.")</f>
        <v>Enter “QCD” next to line 4b.</v>
      </c>
      <c r="I50" s="1484"/>
      <c r="J50" s="1484"/>
      <c r="K50" s="1484"/>
      <c r="L50" s="1484"/>
      <c r="M50" s="1484"/>
      <c r="N50" s="1484"/>
      <c r="O50" s="1484"/>
      <c r="P50" s="1484"/>
      <c r="Q50" s="1484"/>
      <c r="R50" s="1484"/>
      <c r="S50" s="1484"/>
      <c r="T50" s="1484"/>
      <c r="U50" s="1484"/>
      <c r="V50" s="1484"/>
      <c r="W50" s="1484"/>
      <c r="X50" s="1487"/>
      <c r="Y50" s="1475"/>
      <c r="Z50" s="1475"/>
    </row>
    <row r="51" spans="1:26" ht="15">
      <c r="A51" s="1473"/>
      <c r="B51" s="1482"/>
      <c r="C51" s="1484"/>
      <c r="D51" s="1484"/>
      <c r="E51" s="1484"/>
      <c r="F51" s="1484"/>
      <c r="G51" s="1484"/>
      <c r="H51" s="1496"/>
      <c r="I51" s="1484"/>
      <c r="J51" s="1484"/>
      <c r="K51" s="1484"/>
      <c r="L51" s="1484"/>
      <c r="M51" s="1484"/>
      <c r="N51" s="1484"/>
      <c r="O51" s="1484"/>
      <c r="P51" s="1484"/>
      <c r="Q51" s="1484"/>
      <c r="R51" s="1484"/>
      <c r="S51" s="1484"/>
      <c r="T51" s="1484"/>
      <c r="U51" s="1484"/>
      <c r="V51" s="1484"/>
      <c r="W51" s="1484"/>
      <c r="X51" s="1487"/>
      <c r="Y51" s="1475"/>
      <c r="Z51" s="1475"/>
    </row>
    <row r="52" spans="1:26" ht="15">
      <c r="A52" s="1473"/>
      <c r="B52" s="1482"/>
      <c r="C52" s="1484"/>
      <c r="D52" s="1484"/>
      <c r="E52" s="1484"/>
      <c r="F52" s="1484"/>
      <c r="G52" s="1484"/>
      <c r="H52" s="1507" t="s">
        <v>475</v>
      </c>
      <c r="I52" s="1484"/>
      <c r="J52" s="1484"/>
      <c r="K52" s="1484"/>
      <c r="L52" s="1484"/>
      <c r="M52" s="1484"/>
      <c r="N52" s="1484"/>
      <c r="O52" s="1484"/>
      <c r="P52" s="1484"/>
      <c r="Q52" s="1484"/>
      <c r="R52" s="1484"/>
      <c r="S52" s="1484"/>
      <c r="T52" s="1484"/>
      <c r="U52" s="1484"/>
      <c r="V52" s="1484"/>
      <c r="W52" s="1484"/>
      <c r="X52" s="1487"/>
      <c r="Y52" s="1475"/>
      <c r="Z52" s="1475"/>
    </row>
    <row r="53" spans="1:26" ht="15">
      <c r="A53" s="1473"/>
      <c r="B53" s="1482"/>
      <c r="C53" s="1484"/>
      <c r="D53" s="1484"/>
      <c r="E53" s="1484"/>
      <c r="F53" s="1484"/>
      <c r="G53" s="1484"/>
      <c r="H53" s="1507" t="s">
        <v>476</v>
      </c>
      <c r="I53" s="1484"/>
      <c r="J53" s="1484"/>
      <c r="K53" s="1484"/>
      <c r="L53" s="1484"/>
      <c r="M53" s="1484"/>
      <c r="N53" s="1484"/>
      <c r="O53" s="1484"/>
      <c r="P53" s="1484"/>
      <c r="Q53" s="1484"/>
      <c r="R53" s="1484"/>
      <c r="S53" s="1484"/>
      <c r="T53" s="1484"/>
      <c r="U53" s="1484"/>
      <c r="V53" s="1484"/>
      <c r="W53" s="1484"/>
      <c r="X53" s="1487"/>
      <c r="Y53" s="1475"/>
      <c r="Z53" s="1475"/>
    </row>
    <row r="54" spans="1:26" ht="15">
      <c r="A54" s="1473"/>
      <c r="B54" s="1482"/>
      <c r="C54" s="1484"/>
      <c r="D54" s="1484"/>
      <c r="E54" s="1484"/>
      <c r="F54" s="1484"/>
      <c r="G54" s="1484"/>
      <c r="H54" s="1507"/>
      <c r="I54" s="1484"/>
      <c r="J54" s="1484"/>
      <c r="K54" s="1484"/>
      <c r="L54" s="1484"/>
      <c r="M54" s="1484"/>
      <c r="N54" s="1484"/>
      <c r="O54" s="1484"/>
      <c r="P54" s="1484"/>
      <c r="Q54" s="1484"/>
      <c r="R54" s="1484"/>
      <c r="S54" s="1484"/>
      <c r="T54" s="1484"/>
      <c r="U54" s="1484"/>
      <c r="V54" s="1484"/>
      <c r="W54" s="1484"/>
      <c r="X54" s="1487"/>
      <c r="Y54" s="1475"/>
      <c r="Z54" s="1475"/>
    </row>
    <row r="55" spans="1:26" ht="15">
      <c r="A55" s="1473"/>
      <c r="B55" s="1482"/>
      <c r="C55" s="1484"/>
      <c r="D55" s="1484"/>
      <c r="E55" s="1484"/>
      <c r="F55" s="1484"/>
      <c r="G55" s="1484"/>
      <c r="H55" s="1496" t="s">
        <v>5076</v>
      </c>
      <c r="I55" s="1484"/>
      <c r="J55" s="1484"/>
      <c r="K55" s="1484"/>
      <c r="L55" s="1484"/>
      <c r="M55" s="1484"/>
      <c r="N55" s="1484"/>
      <c r="O55" s="1484"/>
      <c r="P55" s="1484"/>
      <c r="Q55" s="1484"/>
      <c r="R55" s="1484"/>
      <c r="S55" s="1484"/>
      <c r="T55" s="1484"/>
      <c r="U55" s="1484"/>
      <c r="V55" s="1484"/>
      <c r="W55" s="1484"/>
      <c r="X55" s="1487"/>
      <c r="Y55" s="1475"/>
      <c r="Z55" s="1475"/>
    </row>
    <row r="56" spans="1:26" ht="15">
      <c r="A56" s="1473"/>
      <c r="B56" s="1482"/>
      <c r="C56" s="1484"/>
      <c r="D56" s="1484"/>
      <c r="E56" s="1484"/>
      <c r="F56" s="1484"/>
      <c r="G56" s="1484"/>
      <c r="H56" s="1496" t="s">
        <v>5077</v>
      </c>
      <c r="I56" s="1484"/>
      <c r="J56" s="1484"/>
      <c r="K56" s="1484"/>
      <c r="L56" s="1484"/>
      <c r="M56" s="1484"/>
      <c r="N56" s="1484"/>
      <c r="O56" s="1484"/>
      <c r="P56" s="1484"/>
      <c r="Q56" s="1484"/>
      <c r="R56" s="1484"/>
      <c r="S56" s="1484"/>
      <c r="T56" s="1484"/>
      <c r="U56" s="1484"/>
      <c r="V56" s="1484"/>
      <c r="W56" s="1484"/>
      <c r="X56" s="1487"/>
      <c r="Y56" s="1475"/>
      <c r="Z56" s="1475"/>
    </row>
    <row r="57" spans="1:26" ht="15">
      <c r="A57" s="1473"/>
      <c r="B57" s="1482"/>
      <c r="C57" s="1484"/>
      <c r="D57" s="1484"/>
      <c r="E57" s="1484"/>
      <c r="F57" s="1484"/>
      <c r="G57" s="1484"/>
      <c r="H57" s="1496"/>
      <c r="I57" s="1484"/>
      <c r="J57" s="1484"/>
      <c r="K57" s="1484"/>
      <c r="L57" s="1484"/>
      <c r="M57" s="1484"/>
      <c r="N57" s="1484"/>
      <c r="O57" s="1484"/>
      <c r="P57" s="1484"/>
      <c r="Q57" s="1484"/>
      <c r="R57" s="1484"/>
      <c r="S57" s="1484"/>
      <c r="T57" s="1484"/>
      <c r="U57" s="1484"/>
      <c r="V57" s="1484"/>
      <c r="W57" s="1484"/>
      <c r="X57" s="1487"/>
      <c r="Y57" s="1475"/>
      <c r="Z57" s="1475"/>
    </row>
    <row r="58" spans="1:26" ht="15">
      <c r="A58" s="1473"/>
      <c r="B58" s="1482"/>
      <c r="C58" s="1484"/>
      <c r="D58" s="1484"/>
      <c r="E58" s="1484"/>
      <c r="F58" s="1484"/>
      <c r="G58" s="1484"/>
      <c r="H58" s="1496" t="s">
        <v>477</v>
      </c>
      <c r="I58" s="1484"/>
      <c r="J58" s="1484"/>
      <c r="K58" s="1484"/>
      <c r="L58" s="1484"/>
      <c r="M58" s="1484"/>
      <c r="N58" s="1484"/>
      <c r="O58" s="1484"/>
      <c r="P58" s="1484"/>
      <c r="Q58" s="1484"/>
      <c r="R58" s="1484"/>
      <c r="S58" s="1484"/>
      <c r="T58" s="1484"/>
      <c r="U58" s="1484"/>
      <c r="V58" s="1484"/>
      <c r="W58" s="1484"/>
      <c r="X58" s="1487"/>
      <c r="Y58" s="1475"/>
      <c r="Z58" s="1475"/>
    </row>
    <row r="59" spans="1:26" ht="15">
      <c r="A59" s="1473"/>
      <c r="B59" s="1482"/>
      <c r="C59" s="1484"/>
      <c r="D59" s="1484"/>
      <c r="E59" s="1484"/>
      <c r="F59" s="1484"/>
      <c r="G59" s="1484"/>
      <c r="H59" s="1496"/>
      <c r="I59" s="1484"/>
      <c r="J59" s="1484"/>
      <c r="K59" s="1484"/>
      <c r="L59" s="1484"/>
      <c r="M59" s="1484"/>
      <c r="N59" s="1484"/>
      <c r="O59" s="1484"/>
      <c r="P59" s="1484"/>
      <c r="Q59" s="1484"/>
      <c r="R59" s="1484"/>
      <c r="S59" s="1484"/>
      <c r="T59" s="1484"/>
      <c r="U59" s="1484"/>
      <c r="V59" s="1484"/>
      <c r="W59" s="1484"/>
      <c r="X59" s="1487"/>
      <c r="Y59" s="1475"/>
      <c r="Z59" s="1475"/>
    </row>
    <row r="60" spans="1:26" ht="15">
      <c r="A60" s="1473"/>
      <c r="B60" s="1482"/>
      <c r="C60" s="1484"/>
      <c r="D60" s="1484"/>
      <c r="E60" s="1484"/>
      <c r="F60" s="1484"/>
      <c r="G60" s="1484"/>
      <c r="H60" s="1496" t="s">
        <v>478</v>
      </c>
      <c r="I60" s="1484"/>
      <c r="J60" s="1484"/>
      <c r="K60" s="1484"/>
      <c r="L60" s="1484"/>
      <c r="M60" s="1484"/>
      <c r="N60" s="1484"/>
      <c r="O60" s="1484"/>
      <c r="P60" s="1484"/>
      <c r="Q60" s="1484"/>
      <c r="R60" s="1484"/>
      <c r="S60" s="1484"/>
      <c r="T60" s="1484"/>
      <c r="U60" s="1484"/>
      <c r="V60" s="1484"/>
      <c r="W60" s="1484"/>
      <c r="X60" s="1487"/>
      <c r="Y60" s="1475"/>
      <c r="Z60" s="1475"/>
    </row>
    <row r="61" spans="1:26" ht="15.75">
      <c r="A61" s="1473"/>
      <c r="B61" s="1482"/>
      <c r="C61" s="1484"/>
      <c r="D61" s="1484"/>
      <c r="E61" s="1484"/>
      <c r="F61" s="1484"/>
      <c r="G61" s="1676" t="s">
        <v>5079</v>
      </c>
      <c r="H61" s="1675" t="s">
        <v>479</v>
      </c>
      <c r="I61" s="1484"/>
      <c r="J61" s="1484"/>
      <c r="K61" s="1484"/>
      <c r="L61" s="1484"/>
      <c r="M61" s="1484"/>
      <c r="N61" s="1484"/>
      <c r="O61" s="1484"/>
      <c r="P61" s="1484"/>
      <c r="Q61" s="1484"/>
      <c r="R61" s="1484"/>
      <c r="S61" s="1484"/>
      <c r="T61" s="1484"/>
      <c r="U61" s="1484"/>
      <c r="V61" s="1484"/>
      <c r="W61" s="1484"/>
      <c r="X61" s="1487"/>
      <c r="Y61" s="1475"/>
      <c r="Z61" s="1475"/>
    </row>
    <row r="62" spans="1:26" ht="15">
      <c r="A62" s="1473"/>
      <c r="B62" s="1482"/>
      <c r="C62" s="1484"/>
      <c r="D62" s="1484"/>
      <c r="E62" s="1484"/>
      <c r="F62" s="1484"/>
      <c r="G62" s="1496"/>
      <c r="H62" s="1484"/>
      <c r="I62" s="1484"/>
      <c r="J62" s="1484"/>
      <c r="K62" s="1484"/>
      <c r="L62" s="1484"/>
      <c r="M62" s="1484"/>
      <c r="N62" s="1484"/>
      <c r="O62" s="1484"/>
      <c r="P62" s="1484"/>
      <c r="Q62" s="1484"/>
      <c r="R62" s="1484"/>
      <c r="S62" s="1484"/>
      <c r="T62" s="1484"/>
      <c r="U62" s="1484"/>
      <c r="V62" s="1484"/>
      <c r="W62" s="1484"/>
      <c r="X62" s="1487"/>
      <c r="Y62" s="1475"/>
      <c r="Z62" s="1475"/>
    </row>
    <row r="63" spans="1:26" ht="15">
      <c r="A63" s="1473"/>
      <c r="B63" s="1482"/>
      <c r="C63" s="1484"/>
      <c r="D63" s="1484"/>
      <c r="E63" s="1484"/>
      <c r="F63" s="1484"/>
      <c r="G63" s="1496"/>
      <c r="H63" s="1484"/>
      <c r="I63" s="1484"/>
      <c r="J63" s="1484"/>
      <c r="K63" s="1484"/>
      <c r="L63" s="1484"/>
      <c r="M63" s="1484"/>
      <c r="N63" s="1484"/>
      <c r="O63" s="1484"/>
      <c r="P63" s="1484"/>
      <c r="Q63" s="1484"/>
      <c r="R63" s="1484"/>
      <c r="S63" s="1484"/>
      <c r="T63" s="1484"/>
      <c r="U63" s="1484"/>
      <c r="V63" s="1484"/>
      <c r="W63" s="1484"/>
      <c r="X63" s="1487"/>
      <c r="Y63" s="1475"/>
      <c r="Z63" s="1475"/>
    </row>
    <row r="64" spans="1:26" ht="15.75">
      <c r="A64" s="1473" t="b">
        <f>OR(A66,AND(A67,NOT(A27)))</f>
        <v>0</v>
      </c>
      <c r="B64" s="1482"/>
      <c r="C64" s="1484"/>
      <c r="D64" s="1494" t="str">
        <f>IF(A64,"X","")</f>
        <v/>
      </c>
      <c r="E64" s="1484"/>
      <c r="F64" s="1484"/>
      <c r="G64" s="1495" t="s">
        <v>480</v>
      </c>
      <c r="H64" s="1496" t="s">
        <v>481</v>
      </c>
      <c r="I64" s="1484"/>
      <c r="J64" s="1484"/>
      <c r="K64" s="1484"/>
      <c r="L64" s="1484"/>
      <c r="M64" s="1484"/>
      <c r="N64" s="1484"/>
      <c r="O64" s="1484"/>
      <c r="P64" s="1484"/>
      <c r="Q64" s="1484"/>
      <c r="R64" s="1496"/>
      <c r="S64" s="1496" t="str">
        <f>IF(AND(IRA_HFD,NOT(A27)),"Enter the total distribution on line 4a","enter the total distribution on line 4a.")</f>
        <v>enter the total distribution on line 4a.</v>
      </c>
      <c r="T64" s="1484"/>
      <c r="U64" s="1484"/>
      <c r="V64" s="1484"/>
      <c r="W64" s="1484"/>
      <c r="X64" s="1487"/>
      <c r="Y64" s="1475"/>
      <c r="Z64" s="1475"/>
    </row>
    <row r="65" spans="1:26" ht="15.75">
      <c r="A65" s="1473"/>
      <c r="B65" s="1482"/>
      <c r="C65" s="1484"/>
      <c r="D65" s="1484"/>
      <c r="E65" s="1484"/>
      <c r="F65" s="1484"/>
      <c r="G65" s="1495"/>
      <c r="H65" s="1496"/>
      <c r="I65" s="1484"/>
      <c r="J65" s="1484"/>
      <c r="K65" s="1484"/>
      <c r="L65" s="1484"/>
      <c r="M65" s="1484"/>
      <c r="N65" s="1484"/>
      <c r="O65" s="1484"/>
      <c r="P65" s="1484"/>
      <c r="Q65" s="1484"/>
      <c r="R65" s="1484"/>
      <c r="S65" s="1484"/>
      <c r="T65" s="1484"/>
      <c r="U65" s="1484"/>
      <c r="V65" s="1484"/>
      <c r="W65" s="1484"/>
      <c r="X65" s="1487"/>
      <c r="Y65" s="1475"/>
      <c r="Z65" s="1475"/>
    </row>
    <row r="66" spans="1:26" ht="15.75">
      <c r="A66" s="1473" t="b">
        <f>F66&lt;&gt;""</f>
        <v>0</v>
      </c>
      <c r="B66" s="1497"/>
      <c r="C66" s="1498"/>
      <c r="D66" s="1484"/>
      <c r="E66" s="1484"/>
      <c r="F66" s="1501"/>
      <c r="G66" s="1506" t="s">
        <v>157</v>
      </c>
      <c r="H66" s="1496" t="s">
        <v>482</v>
      </c>
      <c r="I66" s="1484"/>
      <c r="J66" s="1484"/>
      <c r="K66" s="1484"/>
      <c r="L66" s="1484"/>
      <c r="M66" s="1484"/>
      <c r="N66" s="1484"/>
      <c r="O66" s="1484"/>
      <c r="P66" s="1496"/>
      <c r="Q66" s="1496" t="str">
        <f>IF(AND(IRA_HFD,NOT(A27)),"enter -0- on line 4b","enter -0- on line 4b.")</f>
        <v>enter -0- on line 4b.</v>
      </c>
      <c r="R66" s="1484"/>
      <c r="S66" s="1484"/>
      <c r="T66" s="1484"/>
      <c r="U66" s="1484"/>
      <c r="V66" s="1484"/>
      <c r="W66" s="1484"/>
      <c r="X66" s="1487"/>
      <c r="Y66" s="1475"/>
      <c r="Z66" s="1475"/>
    </row>
    <row r="67" spans="1:26" ht="15.75">
      <c r="A67" s="1473" t="b">
        <f>F67&lt;&gt;""</f>
        <v>0</v>
      </c>
      <c r="B67" s="1497"/>
      <c r="C67" s="1498"/>
      <c r="D67" s="1484"/>
      <c r="E67" s="1484"/>
      <c r="F67" s="1501"/>
      <c r="G67" s="1506" t="s">
        <v>161</v>
      </c>
      <c r="H67" s="1496" t="s">
        <v>483</v>
      </c>
      <c r="I67" s="1484"/>
      <c r="J67" s="1484"/>
      <c r="K67" s="1484"/>
      <c r="L67" s="1484"/>
      <c r="M67" s="1484"/>
      <c r="N67" s="1484"/>
      <c r="O67" s="1484"/>
      <c r="P67" s="1484"/>
      <c r="Q67" s="1496"/>
      <c r="R67" s="1484"/>
      <c r="S67" s="1484"/>
      <c r="T67" s="1484"/>
      <c r="U67" s="1484"/>
      <c r="V67" s="1484"/>
      <c r="W67" s="1484"/>
      <c r="X67" s="1487"/>
      <c r="Y67" s="1475"/>
      <c r="Z67" s="1475"/>
    </row>
    <row r="68" spans="1:26" ht="15">
      <c r="A68" s="1477"/>
      <c r="B68" s="1482"/>
      <c r="C68" s="1484"/>
      <c r="D68" s="1484"/>
      <c r="E68" s="1484"/>
      <c r="F68" s="1484"/>
      <c r="G68" s="1506"/>
      <c r="H68" s="1496" t="s">
        <v>484</v>
      </c>
      <c r="I68" s="1484"/>
      <c r="J68" s="1484"/>
      <c r="K68" s="1484"/>
      <c r="L68" s="1484"/>
      <c r="M68" s="1496" t="s">
        <v>5078</v>
      </c>
      <c r="N68" s="1484"/>
      <c r="O68" s="1484"/>
      <c r="P68" s="1484"/>
      <c r="Q68" s="1496"/>
      <c r="R68" s="1484"/>
      <c r="S68" s="1484"/>
      <c r="T68" s="1484"/>
      <c r="U68" s="1484"/>
      <c r="V68" s="1484"/>
      <c r="W68" s="1484"/>
      <c r="X68" s="1487"/>
      <c r="Y68" s="1475"/>
      <c r="Z68" s="1475"/>
    </row>
    <row r="69" spans="1:26" ht="15">
      <c r="A69" s="1477"/>
      <c r="B69" s="1482"/>
      <c r="C69" s="1484"/>
      <c r="D69" s="1484"/>
      <c r="E69" s="1484"/>
      <c r="F69" s="1484"/>
      <c r="G69" s="1506"/>
      <c r="H69" s="1496" t="str">
        <f>IF(AND(IRA_HFD,NOT(A27)),"enter “HFD” next to line 4b.","Enter “HFD” next to line 4b.")</f>
        <v>Enter “HFD” next to line 4b.</v>
      </c>
      <c r="I69" s="1484"/>
      <c r="J69" s="1484"/>
      <c r="K69" s="1484"/>
      <c r="L69" s="1484"/>
      <c r="M69" s="1484"/>
      <c r="N69" s="1484"/>
      <c r="O69" s="1484"/>
      <c r="P69" s="1484"/>
      <c r="Q69" s="1484"/>
      <c r="R69" s="1484"/>
      <c r="S69" s="1484"/>
      <c r="T69" s="1484"/>
      <c r="U69" s="1484"/>
      <c r="V69" s="1484"/>
      <c r="W69" s="1484"/>
      <c r="X69" s="1487"/>
      <c r="Y69" s="1475"/>
      <c r="Z69" s="1475"/>
    </row>
    <row r="70" spans="1:26" ht="15">
      <c r="A70" s="1477"/>
      <c r="B70" s="1482"/>
      <c r="C70" s="1484"/>
      <c r="D70" s="1484"/>
      <c r="E70" s="1484"/>
      <c r="F70" s="1484"/>
      <c r="G70" s="1506"/>
      <c r="H70" s="1496"/>
      <c r="I70" s="1484"/>
      <c r="J70" s="1484"/>
      <c r="K70" s="1484"/>
      <c r="L70" s="1484"/>
      <c r="M70" s="1484"/>
      <c r="N70" s="1484"/>
      <c r="O70" s="1484"/>
      <c r="P70" s="1484"/>
      <c r="Q70" s="1484"/>
      <c r="R70" s="1484"/>
      <c r="S70" s="1484"/>
      <c r="T70" s="1484"/>
      <c r="U70" s="1484"/>
      <c r="V70" s="1484"/>
      <c r="W70" s="1484"/>
      <c r="X70" s="1487"/>
      <c r="Y70" s="1475"/>
      <c r="Z70" s="1475"/>
    </row>
    <row r="71" spans="1:26" ht="15">
      <c r="A71" s="1477"/>
      <c r="B71" s="1482"/>
      <c r="C71" s="1484"/>
      <c r="D71" s="1484"/>
      <c r="E71" s="1484"/>
      <c r="F71" s="1484"/>
      <c r="G71" s="1496"/>
      <c r="H71" s="1496" t="s">
        <v>485</v>
      </c>
      <c r="I71" s="1484"/>
      <c r="J71" s="1484"/>
      <c r="K71" s="1484"/>
      <c r="L71" s="1484"/>
      <c r="M71" s="1484"/>
      <c r="N71" s="1484"/>
      <c r="O71" s="1484"/>
      <c r="P71" s="1484"/>
      <c r="Q71" s="1484"/>
      <c r="R71" s="1484"/>
      <c r="S71" s="1484"/>
      <c r="T71" s="1484"/>
      <c r="U71" s="1484"/>
      <c r="V71" s="1484"/>
      <c r="W71" s="1484"/>
      <c r="X71" s="1487"/>
      <c r="Y71" s="1475"/>
      <c r="Z71" s="1475"/>
    </row>
    <row r="72" spans="1:26" ht="15">
      <c r="A72" s="1477"/>
      <c r="B72" s="1482"/>
      <c r="C72" s="1484"/>
      <c r="D72" s="1484"/>
      <c r="E72" s="1484"/>
      <c r="F72" s="1484"/>
      <c r="G72" s="1496"/>
      <c r="H72" s="1496" t="s">
        <v>486</v>
      </c>
      <c r="I72" s="1484"/>
      <c r="J72" s="1484"/>
      <c r="K72" s="1484"/>
      <c r="L72" s="1484"/>
      <c r="M72" s="1484"/>
      <c r="N72" s="1484"/>
      <c r="O72" s="1484"/>
      <c r="P72" s="1484"/>
      <c r="Q72" s="1484"/>
      <c r="R72" s="1484"/>
      <c r="S72" s="1484"/>
      <c r="T72" s="1484"/>
      <c r="U72" s="1484"/>
      <c r="V72" s="1484"/>
      <c r="W72" s="1484"/>
      <c r="X72" s="1487"/>
      <c r="Y72" s="1475"/>
      <c r="Z72" s="1475"/>
    </row>
    <row r="73" spans="1:26" ht="15">
      <c r="A73" s="1477"/>
      <c r="B73" s="1482"/>
      <c r="C73" s="1484"/>
      <c r="D73" s="1484"/>
      <c r="E73" s="1484"/>
      <c r="F73" s="1484"/>
      <c r="G73" s="1496"/>
      <c r="H73" s="1496" t="s">
        <v>487</v>
      </c>
      <c r="I73" s="1484"/>
      <c r="J73" s="1484"/>
      <c r="K73" s="1484"/>
      <c r="L73" s="1484"/>
      <c r="M73" s="1484"/>
      <c r="N73" s="1484"/>
      <c r="O73" s="1484"/>
      <c r="P73" s="1484"/>
      <c r="Q73" s="1484"/>
      <c r="R73" s="1484"/>
      <c r="S73" s="1484"/>
      <c r="T73" s="1484"/>
      <c r="U73" s="1484"/>
      <c r="V73" s="1484"/>
      <c r="W73" s="1484"/>
      <c r="X73" s="1487"/>
      <c r="Y73" s="1475"/>
      <c r="Z73" s="1475"/>
    </row>
    <row r="74" spans="1:26" ht="15">
      <c r="A74" s="1477"/>
      <c r="B74" s="1482"/>
      <c r="C74" s="1484"/>
      <c r="D74" s="1484"/>
      <c r="E74" s="1484"/>
      <c r="F74" s="1484"/>
      <c r="G74" s="1496"/>
      <c r="H74" s="1496" t="s">
        <v>488</v>
      </c>
      <c r="I74" s="1484"/>
      <c r="J74" s="1484"/>
      <c r="K74" s="1484"/>
      <c r="L74" s="1484"/>
      <c r="M74" s="1484"/>
      <c r="N74" s="1484"/>
      <c r="O74" s="1484"/>
      <c r="P74" s="1484"/>
      <c r="Q74" s="1484"/>
      <c r="R74" s="1484"/>
      <c r="S74" s="1484"/>
      <c r="T74" s="1484"/>
      <c r="U74" s="1484"/>
      <c r="V74" s="1484"/>
      <c r="W74" s="1484"/>
      <c r="X74" s="1487"/>
      <c r="Y74" s="1475"/>
      <c r="Z74" s="1475"/>
    </row>
    <row r="75" spans="1:26" ht="15">
      <c r="A75" s="1477"/>
      <c r="B75" s="1482"/>
      <c r="C75" s="1484"/>
      <c r="D75" s="1484"/>
      <c r="E75" s="1484"/>
      <c r="F75" s="1484"/>
      <c r="G75" s="1496"/>
      <c r="H75" s="1496"/>
      <c r="I75" s="1484"/>
      <c r="J75" s="1484"/>
      <c r="K75" s="1484"/>
      <c r="L75" s="1484"/>
      <c r="M75" s="1484"/>
      <c r="N75" s="1484"/>
      <c r="O75" s="1484"/>
      <c r="P75" s="1484"/>
      <c r="Q75" s="1484"/>
      <c r="R75" s="1484"/>
      <c r="S75" s="1484"/>
      <c r="T75" s="1484"/>
      <c r="U75" s="1484"/>
      <c r="V75" s="1484"/>
      <c r="W75" s="1484"/>
      <c r="X75" s="1487"/>
      <c r="Y75" s="1475"/>
      <c r="Z75" s="1475"/>
    </row>
    <row r="76" spans="1:26" ht="15">
      <c r="A76" s="1473"/>
      <c r="B76" s="1482"/>
      <c r="C76" s="1484"/>
      <c r="D76" s="1484"/>
      <c r="E76" s="1484"/>
      <c r="F76" s="1484"/>
      <c r="G76" s="1676" t="s">
        <v>489</v>
      </c>
      <c r="H76" s="1510" t="s">
        <v>490</v>
      </c>
      <c r="I76" s="1484"/>
      <c r="J76" s="1484"/>
      <c r="K76" s="1484"/>
      <c r="L76" s="1484"/>
      <c r="M76" s="1484"/>
      <c r="N76" s="1484"/>
      <c r="O76" s="1484"/>
      <c r="P76" s="1484"/>
      <c r="Q76" s="1484"/>
      <c r="R76" s="1484"/>
      <c r="S76" s="1484"/>
      <c r="T76" s="1484"/>
      <c r="U76" s="1484"/>
      <c r="V76" s="1484"/>
      <c r="W76" s="1484"/>
      <c r="X76" s="1487"/>
      <c r="Y76" s="1475"/>
      <c r="Z76" s="1475"/>
    </row>
    <row r="77" spans="1:26" ht="15">
      <c r="A77" s="1473"/>
      <c r="B77" s="1482"/>
      <c r="C77" s="1484"/>
      <c r="D77" s="1484"/>
      <c r="E77" s="1484"/>
      <c r="F77" s="1484"/>
      <c r="G77" s="1484"/>
      <c r="H77" s="1510" t="s">
        <v>491</v>
      </c>
      <c r="I77" s="1484"/>
      <c r="J77" s="1484"/>
      <c r="K77" s="1484"/>
      <c r="L77" s="1484"/>
      <c r="M77" s="1484"/>
      <c r="N77" s="1484"/>
      <c r="O77" s="1484"/>
      <c r="P77" s="1484"/>
      <c r="Q77" s="1484"/>
      <c r="R77" s="1484"/>
      <c r="S77" s="1484"/>
      <c r="T77" s="1484"/>
      <c r="U77" s="1484"/>
      <c r="V77" s="1484"/>
      <c r="W77" s="1484"/>
      <c r="X77" s="1487"/>
      <c r="Y77" s="1475"/>
      <c r="Z77" s="1475"/>
    </row>
    <row r="78" spans="1:26" ht="15">
      <c r="A78" s="1473"/>
      <c r="B78" s="1482"/>
      <c r="C78" s="1484"/>
      <c r="D78" s="1484"/>
      <c r="E78" s="1484"/>
      <c r="F78" s="1484"/>
      <c r="G78" s="1484"/>
      <c r="H78" s="1510" t="s">
        <v>492</v>
      </c>
      <c r="I78" s="1484"/>
      <c r="J78" s="1484"/>
      <c r="K78" s="1484"/>
      <c r="L78" s="1484"/>
      <c r="M78" s="1484"/>
      <c r="N78" s="1484"/>
      <c r="O78" s="1484"/>
      <c r="P78" s="1484"/>
      <c r="Q78" s="1484"/>
      <c r="R78" s="1484"/>
      <c r="S78" s="1484"/>
      <c r="T78" s="1484"/>
      <c r="U78" s="1484"/>
      <c r="V78" s="1484"/>
      <c r="W78" s="1484"/>
      <c r="X78" s="1487"/>
      <c r="Y78" s="1475"/>
      <c r="Z78" s="1475"/>
    </row>
    <row r="79" spans="1:26" ht="15">
      <c r="A79" s="1473"/>
      <c r="B79" s="1482"/>
      <c r="C79" s="1484"/>
      <c r="D79" s="1484"/>
      <c r="E79" s="1484"/>
      <c r="F79" s="1484"/>
      <c r="G79" s="1496"/>
      <c r="H79" s="1496"/>
      <c r="I79" s="1484"/>
      <c r="J79" s="1484"/>
      <c r="K79" s="1484"/>
      <c r="L79" s="1484"/>
      <c r="M79" s="1484"/>
      <c r="N79" s="1484"/>
      <c r="O79" s="1484"/>
      <c r="P79" s="1484"/>
      <c r="Q79" s="1484"/>
      <c r="R79" s="1484"/>
      <c r="S79" s="1484"/>
      <c r="T79" s="1484"/>
      <c r="U79" s="1484"/>
      <c r="V79" s="1484"/>
      <c r="W79" s="1484"/>
      <c r="X79" s="1487"/>
      <c r="Y79" s="1475"/>
      <c r="Z79" s="1475"/>
    </row>
    <row r="80" spans="1:26" ht="15">
      <c r="A80" s="1473"/>
      <c r="B80" s="1482"/>
      <c r="C80" s="1484"/>
      <c r="D80" s="1484"/>
      <c r="E80" s="1484"/>
      <c r="F80" s="1484"/>
      <c r="G80" s="1496" t="s">
        <v>493</v>
      </c>
      <c r="H80" s="1496"/>
      <c r="I80" s="1496"/>
      <c r="J80" s="1496"/>
      <c r="K80" s="1496"/>
      <c r="L80" s="1496"/>
      <c r="M80" s="1496"/>
      <c r="N80" s="1496"/>
      <c r="O80" s="1496"/>
      <c r="P80" s="1496"/>
      <c r="Q80" s="1496"/>
      <c r="R80" s="1496"/>
      <c r="S80" s="1496"/>
      <c r="T80" s="1496"/>
      <c r="U80" s="1496"/>
      <c r="V80" s="1496"/>
      <c r="W80" s="1496"/>
      <c r="X80" s="1487"/>
      <c r="Y80" s="1475"/>
      <c r="Z80" s="1475"/>
    </row>
    <row r="81" spans="1:26" ht="15">
      <c r="A81" s="1473"/>
      <c r="B81" s="1482"/>
      <c r="C81" s="1484"/>
      <c r="D81" s="1484"/>
      <c r="E81" s="1484"/>
      <c r="F81" s="1484"/>
      <c r="G81" s="1496" t="s">
        <v>5080</v>
      </c>
      <c r="H81" s="1496"/>
      <c r="I81" s="1496"/>
      <c r="J81" s="1496"/>
      <c r="K81" s="1496"/>
      <c r="L81" s="1496"/>
      <c r="M81" s="1496"/>
      <c r="N81" s="1496"/>
      <c r="O81" s="1496"/>
      <c r="P81" s="1496"/>
      <c r="Q81" s="1496"/>
      <c r="R81" s="1496"/>
      <c r="S81" s="1496"/>
      <c r="T81" s="1496"/>
      <c r="U81" s="1496"/>
      <c r="V81" s="1496"/>
      <c r="W81" s="1496"/>
      <c r="X81" s="1487"/>
      <c r="Y81" s="1475"/>
      <c r="Z81" s="1475"/>
    </row>
    <row r="82" spans="1:26" ht="15">
      <c r="A82" s="1473"/>
      <c r="B82" s="1482"/>
      <c r="C82" s="1484"/>
      <c r="D82" s="1484"/>
      <c r="E82" s="1484"/>
      <c r="F82" s="1484"/>
      <c r="G82" s="1496"/>
      <c r="H82" s="1496"/>
      <c r="I82" s="1496"/>
      <c r="J82" s="1496"/>
      <c r="K82" s="1496"/>
      <c r="L82" s="1496"/>
      <c r="M82" s="1496"/>
      <c r="N82" s="1496"/>
      <c r="O82" s="1496"/>
      <c r="P82" s="1496"/>
      <c r="Q82" s="1496"/>
      <c r="R82" s="1496"/>
      <c r="S82" s="1496"/>
      <c r="T82" s="1496"/>
      <c r="U82" s="1496"/>
      <c r="V82" s="1496"/>
      <c r="W82" s="1496"/>
      <c r="X82" s="1487"/>
      <c r="Y82" s="1475"/>
      <c r="Z82" s="1475"/>
    </row>
    <row r="83" spans="1:26" ht="15">
      <c r="A83" s="1473"/>
      <c r="B83" s="1482"/>
      <c r="C83" s="1484"/>
      <c r="D83" s="1484"/>
      <c r="E83" s="1484"/>
      <c r="F83" s="1484"/>
      <c r="G83" s="1496" t="s">
        <v>494</v>
      </c>
      <c r="H83" s="1496"/>
      <c r="I83" s="1484"/>
      <c r="J83" s="1484"/>
      <c r="K83" s="1484"/>
      <c r="L83" s="1484"/>
      <c r="M83" s="1484"/>
      <c r="N83" s="1484"/>
      <c r="O83" s="1484"/>
      <c r="P83" s="1484"/>
      <c r="Q83" s="1484"/>
      <c r="R83" s="1484"/>
      <c r="S83" s="1484"/>
      <c r="T83" s="1484"/>
      <c r="U83" s="1484"/>
      <c r="V83" s="1484"/>
      <c r="W83" s="1484"/>
      <c r="X83" s="1487"/>
      <c r="Y83" s="1475"/>
      <c r="Z83" s="1475"/>
    </row>
    <row r="84" spans="1:26" ht="15">
      <c r="A84" s="1473"/>
      <c r="B84" s="1482"/>
      <c r="C84" s="1484"/>
      <c r="D84" s="1484"/>
      <c r="E84" s="1484"/>
      <c r="F84" s="1484"/>
      <c r="G84" s="1496" t="s">
        <v>495</v>
      </c>
      <c r="H84" s="1496"/>
      <c r="I84" s="1484"/>
      <c r="J84" s="1484"/>
      <c r="K84" s="1484"/>
      <c r="L84" s="1484"/>
      <c r="M84" s="1484"/>
      <c r="N84" s="1484"/>
      <c r="O84" s="1484"/>
      <c r="P84" s="1484"/>
      <c r="Q84" s="1484"/>
      <c r="R84" s="1484"/>
      <c r="S84" s="1484"/>
      <c r="T84" s="1484"/>
      <c r="U84" s="1484"/>
      <c r="V84" s="1484"/>
      <c r="W84" s="1484"/>
      <c r="X84" s="1487"/>
      <c r="Y84" s="1475"/>
      <c r="Z84" s="1475"/>
    </row>
    <row r="85" spans="1:26" ht="15">
      <c r="A85" s="1473"/>
      <c r="B85" s="1482"/>
      <c r="C85" s="1484"/>
      <c r="D85" s="1484"/>
      <c r="E85" s="1484"/>
      <c r="F85" s="1484"/>
      <c r="G85" s="1496"/>
      <c r="H85" s="1484"/>
      <c r="I85" s="1484"/>
      <c r="J85" s="1484"/>
      <c r="K85" s="1484"/>
      <c r="L85" s="1484"/>
      <c r="M85" s="1484"/>
      <c r="N85" s="1484"/>
      <c r="O85" s="1484"/>
      <c r="P85" s="1484"/>
      <c r="Q85" s="1484"/>
      <c r="R85" s="1484"/>
      <c r="S85" s="1484"/>
      <c r="T85" s="1484"/>
      <c r="U85" s="1484"/>
      <c r="V85" s="1484"/>
      <c r="W85" s="1484"/>
      <c r="X85" s="1487"/>
      <c r="Y85" s="1475"/>
      <c r="Z85" s="1475"/>
    </row>
    <row r="86" spans="1:26" ht="18">
      <c r="A86" s="1473"/>
      <c r="B86" s="1482"/>
      <c r="C86" s="1673" t="s">
        <v>1601</v>
      </c>
      <c r="D86" s="1510" t="str">
        <f>"You must start receiving at least a minimum amount from your traditional IRA by April 1 of the year following the year you reach age 72 (age 73 if you reach age 72 in "&amp;TaxYear&amp;")."</f>
        <v>You must start receiving at least a minimum amount from your traditional IRA by April 1 of the year following the year you reach age 72 (age 73 if you reach age 72 in 2025).</v>
      </c>
      <c r="E86" s="1484"/>
      <c r="F86" s="1484"/>
      <c r="G86" s="1489"/>
      <c r="H86" s="1484"/>
      <c r="I86" s="1484"/>
      <c r="J86" s="1484"/>
      <c r="K86" s="1484"/>
      <c r="L86" s="1484"/>
      <c r="M86" s="1484"/>
      <c r="N86" s="1484"/>
      <c r="O86" s="1484"/>
      <c r="P86" s="1484"/>
      <c r="Q86" s="1484"/>
      <c r="R86" s="1484"/>
      <c r="S86" s="1484"/>
      <c r="T86" s="1484"/>
      <c r="U86" s="1484"/>
      <c r="V86" s="1484"/>
      <c r="W86" s="1484"/>
      <c r="X86" s="1487"/>
      <c r="Y86" s="1492"/>
      <c r="Z86" s="1492"/>
    </row>
    <row r="87" spans="1:26" ht="15">
      <c r="A87" s="1473"/>
      <c r="B87" s="1482"/>
      <c r="C87" s="1484"/>
      <c r="D87" s="1510" t="s">
        <v>5081</v>
      </c>
      <c r="E87" s="1484"/>
      <c r="F87" s="1484"/>
      <c r="G87" s="1489"/>
      <c r="H87" s="1484"/>
      <c r="I87" s="1484"/>
      <c r="J87" s="1484"/>
      <c r="K87" s="1484"/>
      <c r="L87" s="1484"/>
      <c r="M87" s="1484"/>
      <c r="N87" s="1484"/>
      <c r="O87" s="1484"/>
      <c r="P87" s="1484"/>
      <c r="Q87" s="1484"/>
      <c r="R87" s="1484"/>
      <c r="S87" s="1484"/>
      <c r="T87" s="1484"/>
      <c r="U87" s="1484"/>
      <c r="V87" s="1484"/>
      <c r="W87" s="1484"/>
      <c r="X87" s="1487"/>
      <c r="Y87" s="1475"/>
      <c r="Z87" s="1475"/>
    </row>
    <row r="88" spans="1:26" ht="15">
      <c r="A88" s="1473"/>
      <c r="B88" s="1482"/>
      <c r="C88" s="1484"/>
      <c r="D88" s="1510" t="s">
        <v>5082</v>
      </c>
      <c r="E88" s="1484"/>
      <c r="F88" s="1484"/>
      <c r="G88" s="1489"/>
      <c r="H88" s="1484"/>
      <c r="I88" s="1484"/>
      <c r="J88" s="1484"/>
      <c r="K88" s="1484"/>
      <c r="L88" s="1484"/>
      <c r="M88" s="1484"/>
      <c r="N88" s="1484"/>
      <c r="O88" s="1484"/>
      <c r="P88" s="1484"/>
      <c r="Q88" s="1484"/>
      <c r="R88" s="1484"/>
      <c r="S88" s="1484"/>
      <c r="T88" s="1484"/>
      <c r="U88" s="1484"/>
      <c r="V88" s="1484"/>
      <c r="W88" s="1484"/>
      <c r="X88" s="1487"/>
      <c r="Y88" s="1475"/>
      <c r="Z88" s="1475"/>
    </row>
    <row r="89" spans="1:26" ht="15">
      <c r="A89" s="1473"/>
      <c r="B89" s="1482"/>
      <c r="C89" s="1484"/>
      <c r="D89" s="1484"/>
      <c r="E89" s="1484"/>
      <c r="F89" s="1484"/>
      <c r="G89" s="1489"/>
      <c r="H89" s="1484"/>
      <c r="I89" s="1484"/>
      <c r="J89" s="1484"/>
      <c r="K89" s="1484"/>
      <c r="L89" s="1484"/>
      <c r="M89" s="1484"/>
      <c r="N89" s="1484"/>
      <c r="O89" s="1484"/>
      <c r="P89" s="1484"/>
      <c r="Q89" s="1484"/>
      <c r="R89" s="1484"/>
      <c r="S89" s="1484"/>
      <c r="T89" s="1484"/>
      <c r="U89" s="1484"/>
      <c r="V89" s="1484"/>
      <c r="W89" s="1484"/>
      <c r="X89" s="1487"/>
      <c r="Y89" s="1475"/>
      <c r="Z89" s="1475"/>
    </row>
    <row r="90" spans="1:26" ht="15.75">
      <c r="A90" s="1473"/>
      <c r="B90" s="1482"/>
      <c r="C90" s="1676"/>
      <c r="D90" s="1677" t="s">
        <v>489</v>
      </c>
      <c r="E90" s="1510" t="s">
        <v>496</v>
      </c>
      <c r="F90" s="1676"/>
      <c r="G90" s="1510"/>
      <c r="H90" s="1496"/>
      <c r="I90" s="1484"/>
      <c r="J90" s="1484"/>
      <c r="K90" s="1484"/>
      <c r="L90" s="1484"/>
      <c r="M90" s="1484"/>
      <c r="N90" s="1484"/>
      <c r="O90" s="1484"/>
      <c r="P90" s="1484"/>
      <c r="Q90" s="1484"/>
      <c r="R90" s="1484"/>
      <c r="S90" s="1484"/>
      <c r="T90" s="1484"/>
      <c r="U90" s="1484"/>
      <c r="V90" s="1484"/>
      <c r="W90" s="1484"/>
      <c r="X90" s="1487"/>
      <c r="Y90" s="1475"/>
      <c r="Z90" s="1475"/>
    </row>
    <row r="91" spans="1:26">
      <c r="A91" s="1473"/>
      <c r="B91" s="1482"/>
      <c r="C91" s="1484"/>
      <c r="D91" s="1484"/>
      <c r="E91" s="1484"/>
      <c r="F91" s="1484"/>
      <c r="G91" s="1484"/>
      <c r="H91" s="1484"/>
      <c r="I91" s="1484"/>
      <c r="J91" s="1484"/>
      <c r="K91" s="1484"/>
      <c r="L91" s="1484"/>
      <c r="M91" s="1484"/>
      <c r="N91" s="1484"/>
      <c r="O91" s="1484"/>
      <c r="P91" s="1484"/>
      <c r="Q91" s="1484"/>
      <c r="R91" s="1484"/>
      <c r="S91" s="1484"/>
      <c r="T91" s="1484"/>
      <c r="U91" s="1484"/>
      <c r="V91" s="1484"/>
      <c r="W91" s="1484"/>
      <c r="X91" s="1487"/>
      <c r="Y91" s="1475"/>
      <c r="Z91" s="1475"/>
    </row>
    <row r="92" spans="1:26" ht="15">
      <c r="A92" s="1473"/>
      <c r="B92" s="1482"/>
      <c r="C92" s="1484"/>
      <c r="D92" s="1484"/>
      <c r="E92" s="1484"/>
      <c r="F92" s="1484"/>
      <c r="G92" s="1496" t="s">
        <v>497</v>
      </c>
      <c r="H92" s="1484"/>
      <c r="I92" s="1484"/>
      <c r="J92" s="1484"/>
      <c r="K92" s="1484"/>
      <c r="L92" s="1484"/>
      <c r="M92" s="1484"/>
      <c r="N92" s="1484"/>
      <c r="O92" s="1484"/>
      <c r="P92" s="1484"/>
      <c r="Q92" s="1484"/>
      <c r="R92" s="1484"/>
      <c r="S92" s="1484"/>
      <c r="T92" s="1484"/>
      <c r="U92" s="1484"/>
      <c r="V92" s="1484"/>
      <c r="W92" s="1484"/>
      <c r="X92" s="1487"/>
      <c r="Y92" s="1475"/>
      <c r="Z92" s="1475"/>
    </row>
    <row r="93" spans="1:26">
      <c r="A93" s="1473"/>
      <c r="B93" s="1511"/>
      <c r="C93" s="1512"/>
      <c r="D93" s="1512"/>
      <c r="E93" s="1512"/>
      <c r="F93" s="1512"/>
      <c r="G93" s="1512"/>
      <c r="H93" s="1512"/>
      <c r="I93" s="1512"/>
      <c r="J93" s="1512"/>
      <c r="K93" s="1512"/>
      <c r="L93" s="1512"/>
      <c r="M93" s="1512"/>
      <c r="N93" s="1512"/>
      <c r="O93" s="1512"/>
      <c r="P93" s="1512"/>
      <c r="Q93" s="1512"/>
      <c r="R93" s="1512"/>
      <c r="S93" s="1512"/>
      <c r="T93" s="1512"/>
      <c r="U93" s="1512"/>
      <c r="V93" s="1512"/>
      <c r="W93" s="1512"/>
      <c r="X93" s="1513"/>
      <c r="Y93" s="1475"/>
      <c r="Z93" s="1475"/>
    </row>
    <row r="94" spans="1:26">
      <c r="A94" s="1473"/>
      <c r="B94" s="1474"/>
      <c r="C94" s="1475"/>
      <c r="D94" s="1475"/>
      <c r="E94" s="1475"/>
      <c r="F94" s="1475"/>
      <c r="G94" s="1475"/>
      <c r="H94" s="1475"/>
      <c r="I94" s="1475"/>
      <c r="J94" s="1475"/>
      <c r="K94" s="1475"/>
      <c r="L94" s="1475"/>
      <c r="M94" s="1475"/>
      <c r="N94" s="1475"/>
      <c r="O94" s="1475"/>
      <c r="P94" s="1475"/>
      <c r="Q94" s="1475"/>
      <c r="R94" s="1475"/>
      <c r="S94" s="1475"/>
      <c r="T94" s="1475"/>
      <c r="U94" s="1475"/>
      <c r="V94" s="1475"/>
      <c r="W94" s="1475"/>
      <c r="X94" s="1475"/>
      <c r="Y94" s="1475"/>
      <c r="Z94" s="1475"/>
    </row>
    <row r="95" spans="1:26">
      <c r="Y95" s="1475"/>
      <c r="Z95" s="1475"/>
    </row>
  </sheetData>
  <sheetProtection algorithmName="SHA-512" hashValue="d9G1FrHSdRhCSnvCrBwDfouebhJDBUIAB5IFtYL3DrB59RnMwoDx+5bYG/BfypEYyHbP6DRYdAGfHWO/UDavPg==" saltValue="WQ05pTGFCzn3H3ZLTf7FeA==" spinCount="100000" sheet="1" objects="1" scenarios="1" formatCells="0" formatColumns="0" formatRows="0"/>
  <mergeCells count="1">
    <mergeCell ref="C9:W9"/>
  </mergeCells>
  <conditionalFormatting sqref="B2:X93">
    <cfRule type="expression" dxfId="3949" priority="1">
      <formula>NoColor</formula>
    </cfRule>
  </conditionalFormatting>
  <conditionalFormatting sqref="C9">
    <cfRule type="expression" dxfId="3948" priority="22">
      <formula>NOT($A$9)</formula>
    </cfRule>
  </conditionalFormatting>
  <conditionalFormatting sqref="G20">
    <cfRule type="expression" dxfId="3947" priority="12">
      <formula>$A$13</formula>
    </cfRule>
  </conditionalFormatting>
  <conditionalFormatting sqref="H13">
    <cfRule type="expression" dxfId="3946" priority="11">
      <formula>$A$13</formula>
    </cfRule>
  </conditionalFormatting>
  <conditionalFormatting sqref="H50">
    <cfRule type="expression" dxfId="3945" priority="19">
      <formula>AND($A$46,NOT($A$27))</formula>
    </cfRule>
  </conditionalFormatting>
  <conditionalFormatting sqref="H68">
    <cfRule type="expression" dxfId="3944" priority="8">
      <formula>AND($A$67,NOT($A$27))</formula>
    </cfRule>
  </conditionalFormatting>
  <conditionalFormatting sqref="H69">
    <cfRule type="expression" dxfId="3943" priority="15">
      <formula>$A$64</formula>
    </cfRule>
  </conditionalFormatting>
  <conditionalFormatting sqref="K18">
    <cfRule type="expression" dxfId="3942" priority="6">
      <formula>$A$18</formula>
    </cfRule>
  </conditionalFormatting>
  <conditionalFormatting sqref="K19">
    <cfRule type="expression" dxfId="3941" priority="7">
      <formula>AND($A$19,NOT($A$27))</formula>
    </cfRule>
  </conditionalFormatting>
  <conditionalFormatting sqref="K27">
    <cfRule type="expression" dxfId="3940" priority="13">
      <formula>$A$27</formula>
    </cfRule>
  </conditionalFormatting>
  <conditionalFormatting sqref="L48">
    <cfRule type="expression" dxfId="3939" priority="20">
      <formula>AND($A$48,NOT($A$27))</formula>
    </cfRule>
  </conditionalFormatting>
  <conditionalFormatting sqref="L49">
    <cfRule type="expression" dxfId="3938" priority="18">
      <formula>AND($A$49,NOT($A$27))</formula>
    </cfRule>
  </conditionalFormatting>
  <conditionalFormatting sqref="M32">
    <cfRule type="expression" dxfId="3937" priority="23">
      <formula>OR($A$34,$A$35)</formula>
    </cfRule>
  </conditionalFormatting>
  <conditionalFormatting sqref="M68">
    <cfRule type="expression" dxfId="3936" priority="2">
      <formula>AND($A$67,$A$27)</formula>
    </cfRule>
  </conditionalFormatting>
  <conditionalFormatting sqref="P19">
    <cfRule type="expression" dxfId="3935" priority="5">
      <formula>AND($A$19,$A$27)</formula>
    </cfRule>
  </conditionalFormatting>
  <conditionalFormatting sqref="P46">
    <cfRule type="expression" dxfId="3934" priority="21">
      <formula>AND($A$46,NOT($A$27))</formula>
    </cfRule>
  </conditionalFormatting>
  <conditionalFormatting sqref="P66:Q66">
    <cfRule type="expression" dxfId="3933" priority="16">
      <formula>$A$66</formula>
    </cfRule>
  </conditionalFormatting>
  <conditionalFormatting sqref="Q27">
    <cfRule type="expression" dxfId="3932" priority="10">
      <formula>$A$28</formula>
    </cfRule>
  </conditionalFormatting>
  <conditionalFormatting sqref="Q32">
    <cfRule type="expression" dxfId="3931" priority="3">
      <formula>OR($A$34,$A$35)</formula>
    </cfRule>
  </conditionalFormatting>
  <conditionalFormatting sqref="Q67">
    <cfRule type="expression" dxfId="3930" priority="14">
      <formula>$A$67</formula>
    </cfRule>
  </conditionalFormatting>
  <conditionalFormatting sqref="R49">
    <cfRule type="expression" dxfId="3929" priority="4">
      <formula>AND($A$49,$A$27)</formula>
    </cfRule>
  </conditionalFormatting>
  <conditionalFormatting sqref="R64:S64">
    <cfRule type="expression" dxfId="3928" priority="17">
      <formula>$A$64</formula>
    </cfRule>
  </conditionalFormatting>
  <pageMargins left="0.75" right="0.25" top="0.36" bottom="0.28999999999999998" header="0.36" footer="0.21"/>
  <pageSetup scale="52" fitToHeight="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pageSetUpPr fitToPage="1"/>
  </sheetPr>
  <dimension ref="A1:X44"/>
  <sheetViews>
    <sheetView zoomScaleNormal="100" zoomScaleSheetLayoutView="100" workbookViewId="0">
      <pane ySplit="1" topLeftCell="A2" activePane="bottomLeft" state="frozen"/>
      <selection pane="bottomLeft"/>
    </sheetView>
  </sheetViews>
  <sheetFormatPr defaultColWidth="9.140625" defaultRowHeight="12.75"/>
  <cols>
    <col min="1" max="1" width="2.5703125" style="88" customWidth="1"/>
    <col min="2" max="2" width="4.42578125" style="6065" customWidth="1"/>
    <col min="3" max="3" width="37.5703125" style="88" customWidth="1"/>
    <col min="4" max="4" width="15.42578125" style="88" customWidth="1"/>
    <col min="5" max="5" width="33.42578125" style="88" customWidth="1"/>
    <col min="6" max="6" width="3.85546875" style="88" customWidth="1"/>
    <col min="7" max="7" width="12.7109375" style="88" customWidth="1"/>
    <col min="8" max="8" width="3.7109375" style="88" customWidth="1"/>
    <col min="9" max="9" width="12.7109375" style="88" customWidth="1"/>
    <col min="10" max="10" width="2" style="88" customWidth="1"/>
    <col min="11" max="11" width="2.42578125" style="88" customWidth="1"/>
    <col min="12" max="12" width="13.42578125" style="88" customWidth="1"/>
    <col min="13" max="13" width="33.28515625" style="88" customWidth="1"/>
    <col min="14" max="24" width="9.140625" style="658"/>
  </cols>
  <sheetData>
    <row r="1" spans="2:24" s="6026" customFormat="1" ht="22.5" customHeight="1" thickBot="1">
      <c r="B1" s="6027" t="s">
        <v>498</v>
      </c>
      <c r="N1" s="660" t="s">
        <v>223</v>
      </c>
      <c r="O1" s="661"/>
      <c r="P1" s="661"/>
      <c r="Q1" s="661"/>
      <c r="R1" s="661"/>
      <c r="S1" s="661"/>
      <c r="T1" s="661"/>
      <c r="U1" s="661"/>
      <c r="V1" s="661"/>
      <c r="W1" s="661"/>
      <c r="X1" s="661"/>
    </row>
    <row r="2" spans="2:24" s="4660" customFormat="1" ht="15" customHeight="1">
      <c r="B2" s="6067"/>
      <c r="C2" s="6068"/>
      <c r="D2" s="6068"/>
      <c r="N2" s="686"/>
      <c r="O2" s="6066"/>
      <c r="P2" s="6066"/>
      <c r="Q2" s="6066"/>
      <c r="R2" s="6066"/>
      <c r="S2" s="6066"/>
      <c r="T2" s="6066"/>
      <c r="U2" s="6066"/>
      <c r="V2" s="6066"/>
      <c r="W2" s="6066"/>
      <c r="X2" s="6066"/>
    </row>
    <row r="3" spans="2:24" ht="41.25" customHeight="1" thickBot="1">
      <c r="B3" s="6028">
        <v>1</v>
      </c>
      <c r="C3" s="6029" t="str">
        <f>IF(Name_1st_Yours="","Enter your name on sheet labeled '1040'",NameYours)</f>
        <v>Enter your name on sheet labeled '1040'</v>
      </c>
      <c r="D3" s="6030"/>
      <c r="E3" s="1291"/>
    </row>
    <row r="4" spans="2:24" ht="13.5" customHeight="1">
      <c r="B4" s="4672">
        <v>3</v>
      </c>
      <c r="C4" s="6031" t="str">
        <f>"Benefits Paid in "&amp;TaxYear</f>
        <v>Benefits Paid in 2025</v>
      </c>
      <c r="D4" s="500"/>
      <c r="E4" s="1291"/>
    </row>
    <row r="5" spans="2:24" ht="13.5" customHeight="1">
      <c r="B5" s="4675">
        <v>4</v>
      </c>
      <c r="C5" s="6032" t="str">
        <f>"Benefits Repaid in "&amp;TaxYear</f>
        <v>Benefits Repaid in 2025</v>
      </c>
      <c r="D5" s="1548"/>
      <c r="E5" s="1291"/>
    </row>
    <row r="6" spans="2:24" ht="13.5" customHeight="1">
      <c r="B6" s="4675">
        <v>5</v>
      </c>
      <c r="C6" s="6032" t="str">
        <f>"Net Benefits for "&amp;TaxYear&amp;" (Box 3 minus Box 4)"</f>
        <v>Net Benefits for 2025 (Box 3 minus Box 4)</v>
      </c>
      <c r="D6" s="6033">
        <f>SUM(D4,-D5)</f>
        <v>0</v>
      </c>
      <c r="E6" s="6034" t="s">
        <v>499</v>
      </c>
    </row>
    <row r="7" spans="2:24" ht="15.75" thickBot="1">
      <c r="B7" s="4682">
        <v>6</v>
      </c>
      <c r="C7" s="6035" t="s">
        <v>500</v>
      </c>
      <c r="D7" s="1549"/>
      <c r="E7" s="6034" t="s">
        <v>501</v>
      </c>
      <c r="G7" s="2713">
        <f>ROUND(D7,0)</f>
        <v>0</v>
      </c>
    </row>
    <row r="8" spans="2:24" ht="48" customHeight="1" thickBot="1">
      <c r="B8" s="6036">
        <v>1</v>
      </c>
      <c r="C8" s="4664" t="str">
        <f>IF(Name_1st_Sp="","Enter your spouse's name on the sheet labeled '1040'",NameSpouse)</f>
        <v>Enter your spouse's name on the sheet labeled '1040'</v>
      </c>
      <c r="D8" s="4362"/>
      <c r="E8" s="1291"/>
    </row>
    <row r="9" spans="2:24" ht="13.5" customHeight="1">
      <c r="B9" s="4672">
        <v>3</v>
      </c>
      <c r="C9" s="6031" t="str">
        <f>"Benefits Paid in "&amp;TaxYear</f>
        <v>Benefits Paid in 2025</v>
      </c>
      <c r="D9" s="500"/>
      <c r="E9" s="1291"/>
    </row>
    <row r="10" spans="2:24" ht="13.5" customHeight="1">
      <c r="B10" s="4675">
        <v>4</v>
      </c>
      <c r="C10" s="6032" t="str">
        <f>"Benefits Repaid in "&amp;TaxYear</f>
        <v>Benefits Repaid in 2025</v>
      </c>
      <c r="D10" s="1548"/>
      <c r="E10" s="1291"/>
    </row>
    <row r="11" spans="2:24" ht="13.5" customHeight="1">
      <c r="B11" s="4675">
        <v>5</v>
      </c>
      <c r="C11" s="6032" t="str">
        <f>"Net Benefits for "&amp;TaxYear&amp;" (Box 3 minus Box 4)"</f>
        <v>Net Benefits for 2025 (Box 3 minus Box 4)</v>
      </c>
      <c r="D11" s="6033">
        <f>SUM(D9,-D10)</f>
        <v>0</v>
      </c>
      <c r="E11" s="6034" t="s">
        <v>499</v>
      </c>
    </row>
    <row r="12" spans="2:24" ht="15.75" thickBot="1">
      <c r="B12" s="4682">
        <v>6</v>
      </c>
      <c r="C12" s="6035" t="s">
        <v>500</v>
      </c>
      <c r="D12" s="1549"/>
      <c r="E12" s="6034" t="s">
        <v>501</v>
      </c>
      <c r="G12" s="2713">
        <f>ROUND(D12,0)</f>
        <v>0</v>
      </c>
    </row>
    <row r="13" spans="2:24" ht="13.5" thickBot="1">
      <c r="B13" s="2715"/>
    </row>
    <row r="14" spans="2:24" ht="22.5" customHeight="1">
      <c r="B14" s="4672"/>
      <c r="C14" s="6037" t="s">
        <v>502</v>
      </c>
      <c r="D14" s="6038"/>
      <c r="E14" s="6038"/>
      <c r="F14" s="89"/>
      <c r="G14" s="2346"/>
      <c r="H14" s="89"/>
      <c r="I14" s="2346" t="s">
        <v>503</v>
      </c>
      <c r="J14" s="3428"/>
    </row>
    <row r="15" spans="2:24" ht="16.5" thickBot="1">
      <c r="B15" s="4675"/>
      <c r="C15" s="2583" t="s">
        <v>504</v>
      </c>
      <c r="D15" s="2520"/>
      <c r="E15" s="2520"/>
      <c r="F15" s="91"/>
      <c r="G15" s="6039"/>
      <c r="H15" s="91"/>
      <c r="I15" s="6039" t="s">
        <v>505</v>
      </c>
      <c r="J15" s="90"/>
    </row>
    <row r="16" spans="2:24" ht="24" customHeight="1">
      <c r="B16" s="4675"/>
      <c r="C16" s="6040" t="s">
        <v>506</v>
      </c>
      <c r="J16" s="90"/>
    </row>
    <row r="17" spans="1:24" ht="8.25" customHeight="1">
      <c r="B17" s="4675"/>
      <c r="J17" s="90"/>
    </row>
    <row r="18" spans="1:24" s="138" customFormat="1" ht="134.44999999999999" customHeight="1">
      <c r="A18" s="5422"/>
      <c r="B18" s="6041"/>
      <c r="C18" s="6042" t="str">
        <f>"If your social security and/or SSI
(supplemental security income)
benefits were your only source of
income for "&amp;TaxYear&amp;", you probably will
not have to file a federal income tax
return. See IRS Pub. 501,
Exemptions, Standard Deduction,
and Filing Information, or your tax
return instructions to find out if you
have to file a return."</f>
        <v>If your social security and/or SSI
(supplemental security income)
benefits were your only source of
income for 2025, you probably will
not have to file a federal income tax
return. See IRS Pub. 501,
Exemptions, Standard Deduction,
and Filing Information, or your tax
return instructions to find out if you
have to file a return.</v>
      </c>
      <c r="D18" s="7032" t="str">
        <f>"We developed this worksheet for you to see if your benefits may be taxable for "&amp;TaxYear&amp;". Fill in lines A through E."&amp;CHAR(10)&amp;CHAR(10)&amp;"Do not use the worksheet below if any of the following apply to you; instead, go directly to IRS Pub. 915, Social Security and Equivalent Railroad Retirement Benefits."&amp;CHAR(10)&amp;CHAR(10)&amp;"o  You received Form RRB-1099, Form SSA-1042S, or Form RRB-1042S."</f>
        <v>We developed this worksheet for you to see if your benefits may be taxable for 2025. Fill in lines A through E.
Do not use the worksheet below if any of the following apply to you; instead, go directly to IRS Pub. 915, Social Security and Equivalent Railroad Retirement Benefits.
o  You received Form RRB-1099, Form SSA-1042S, or Form RRB-1042S.</v>
      </c>
      <c r="E18" s="7032"/>
      <c r="F18" s="4399"/>
      <c r="G18" s="7033" t="s">
        <v>507</v>
      </c>
      <c r="H18" s="7033"/>
      <c r="I18" s="7033"/>
      <c r="J18" s="6043"/>
      <c r="K18" s="5422"/>
      <c r="L18" s="5863" t="s">
        <v>508</v>
      </c>
      <c r="M18" s="5422"/>
      <c r="N18" s="662"/>
      <c r="O18" s="662"/>
      <c r="P18" s="662"/>
      <c r="Q18" s="662"/>
      <c r="R18" s="662"/>
      <c r="S18" s="662"/>
      <c r="T18" s="662"/>
      <c r="U18" s="662"/>
      <c r="V18" s="662"/>
      <c r="W18" s="662"/>
      <c r="X18" s="662"/>
    </row>
    <row r="19" spans="1:24" s="141" customFormat="1" ht="20.100000000000001" customHeight="1">
      <c r="A19" s="182"/>
      <c r="B19" s="6044"/>
      <c r="C19" s="1672" t="s">
        <v>509</v>
      </c>
      <c r="D19" s="1672"/>
      <c r="E19" s="1672"/>
      <c r="F19" s="182"/>
      <c r="G19" s="182"/>
      <c r="H19" s="182"/>
      <c r="I19" s="182"/>
      <c r="J19" s="6045"/>
      <c r="K19" s="182"/>
      <c r="L19" s="4064"/>
      <c r="M19" s="182"/>
      <c r="N19" s="665"/>
      <c r="O19" s="665"/>
      <c r="P19" s="665"/>
      <c r="Q19" s="665"/>
      <c r="R19" s="665"/>
      <c r="S19" s="665"/>
      <c r="T19" s="665"/>
      <c r="U19" s="665"/>
      <c r="V19" s="665"/>
      <c r="W19" s="665"/>
      <c r="X19" s="665"/>
    </row>
    <row r="20" spans="1:24">
      <c r="B20" s="4675" t="s">
        <v>510</v>
      </c>
      <c r="C20" s="344" t="s">
        <v>511</v>
      </c>
      <c r="D20" s="253"/>
      <c r="E20" s="253"/>
      <c r="J20" s="90"/>
      <c r="L20" s="2875"/>
    </row>
    <row r="21" spans="1:24">
      <c r="B21" s="4675"/>
      <c r="C21" s="344" t="str">
        <f>"full amount of any lump-sum benefit payments received in "&amp;TaxYear&amp;", for "&amp;TaxYear&amp;" and"</f>
        <v>full amount of any lump-sum benefit payments received in 2025, for 2025 and</v>
      </c>
      <c r="D21" s="253"/>
      <c r="E21" s="253"/>
      <c r="J21" s="90"/>
      <c r="L21" s="2875"/>
      <c r="M21" s="226" t="s">
        <v>512</v>
      </c>
    </row>
    <row r="22" spans="1:24">
      <c r="B22" s="4675"/>
      <c r="C22" s="344" t="s">
        <v>513</v>
      </c>
      <c r="D22" s="1401" t="s">
        <v>514</v>
      </c>
      <c r="E22" s="1401" t="s">
        <v>514</v>
      </c>
      <c r="F22" s="228" t="s">
        <v>510</v>
      </c>
      <c r="G22" s="6046">
        <f>IF(L22&lt;&gt;"",ROUND(L22,0),ROUND(SUM(D6,D11),0))</f>
        <v>0</v>
      </c>
      <c r="I22" s="441">
        <v>0.5</v>
      </c>
      <c r="J22" s="90"/>
      <c r="L22" s="209"/>
      <c r="M22" s="226" t="s">
        <v>515</v>
      </c>
    </row>
    <row r="23" spans="1:24" ht="12.75" customHeight="1">
      <c r="B23" s="4675" t="s">
        <v>516</v>
      </c>
      <c r="C23" s="1560" t="str">
        <f>"Multiply  line  A  by  "&amp;TEXT(I22,"0%")&amp;" ("&amp;TEXT(I22,"0.00")&amp;")"</f>
        <v>Multiply  line  A  by  50% (0.50)</v>
      </c>
      <c r="G23" s="2715" t="s">
        <v>517</v>
      </c>
      <c r="H23" s="228" t="s">
        <v>516</v>
      </c>
      <c r="I23" s="6046">
        <f>ROUND(G22*I22,0)</f>
        <v>0</v>
      </c>
      <c r="J23" s="90"/>
      <c r="L23" s="6047"/>
    </row>
    <row r="24" spans="1:24" s="356" customFormat="1" ht="37.5" customHeight="1">
      <c r="A24" s="6048"/>
      <c r="B24" s="6041" t="s">
        <v>518</v>
      </c>
      <c r="C24" s="7028" t="s">
        <v>519</v>
      </c>
      <c r="D24" s="7029"/>
      <c r="E24" s="7029"/>
      <c r="F24" s="7029"/>
      <c r="G24" s="7029"/>
      <c r="H24" s="228"/>
      <c r="I24" s="6049"/>
      <c r="J24" s="6050"/>
      <c r="K24" s="6048"/>
      <c r="L24" s="1108"/>
      <c r="M24" s="6051"/>
      <c r="N24" s="662"/>
      <c r="O24" s="662"/>
      <c r="P24" s="662"/>
      <c r="Q24" s="662"/>
      <c r="R24" s="662"/>
      <c r="S24" s="662"/>
      <c r="T24" s="662"/>
      <c r="U24" s="662"/>
      <c r="V24" s="662"/>
      <c r="W24" s="662"/>
      <c r="X24" s="662"/>
    </row>
    <row r="25" spans="1:24" s="356" customFormat="1">
      <c r="A25" s="6048"/>
      <c r="B25" s="6041"/>
      <c r="C25" s="7028" t="s">
        <v>520</v>
      </c>
      <c r="D25" s="7029"/>
      <c r="E25" s="7029"/>
      <c r="F25" s="7029"/>
      <c r="G25" s="7029"/>
      <c r="H25" s="228" t="s">
        <v>518</v>
      </c>
      <c r="I25" s="6052">
        <f>IF(L25&lt;&gt;"",ROUND(L25,0),M25)</f>
        <v>0</v>
      </c>
      <c r="J25" s="6050"/>
      <c r="K25" s="6048"/>
      <c r="L25" s="209"/>
      <c r="M25" s="6051">
        <f>SUM(Wages,TaxableInterest,OrdinaryDividends,IRA_Taxable,PA_Taxable,CapitalGains,Additional_Income)</f>
        <v>0</v>
      </c>
      <c r="N25" s="1151"/>
      <c r="O25" s="662"/>
      <c r="P25" s="662"/>
      <c r="Q25" s="662"/>
      <c r="R25" s="662"/>
      <c r="S25" s="662"/>
      <c r="T25" s="662"/>
      <c r="U25" s="662"/>
      <c r="V25" s="662"/>
      <c r="W25" s="662"/>
      <c r="X25" s="662"/>
    </row>
    <row r="26" spans="1:24">
      <c r="B26" s="6041" t="s">
        <v>521</v>
      </c>
      <c r="C26" s="88" t="s">
        <v>522</v>
      </c>
      <c r="G26" s="2715" t="s">
        <v>523</v>
      </c>
      <c r="H26" s="228" t="s">
        <v>521</v>
      </c>
      <c r="I26" s="6053">
        <f>IF(L26&lt;&gt;"",ROUND(L26,0),TaxExemptInt)</f>
        <v>0</v>
      </c>
      <c r="J26" s="90"/>
      <c r="L26" s="209"/>
    </row>
    <row r="27" spans="1:24">
      <c r="B27" s="4675" t="s">
        <v>524</v>
      </c>
      <c r="C27" s="1560" t="s">
        <v>525</v>
      </c>
      <c r="G27" s="2715" t="s">
        <v>526</v>
      </c>
      <c r="H27" s="228" t="s">
        <v>524</v>
      </c>
      <c r="I27" s="6054">
        <f>SUM(I23,I25,I26)</f>
        <v>0</v>
      </c>
      <c r="J27" s="90"/>
      <c r="L27" s="2875"/>
      <c r="M27" s="2468">
        <v>32000</v>
      </c>
    </row>
    <row r="28" spans="1:24">
      <c r="B28" s="4675"/>
      <c r="C28" s="2432"/>
      <c r="D28" s="2432"/>
      <c r="E28" s="2432"/>
      <c r="F28" s="2432"/>
      <c r="G28" s="2432"/>
      <c r="H28" s="2432"/>
      <c r="I28" s="2432"/>
      <c r="J28" s="90"/>
      <c r="L28" s="2875"/>
      <c r="M28" s="2468">
        <v>25000</v>
      </c>
    </row>
    <row r="29" spans="1:24">
      <c r="B29" s="4675"/>
      <c r="C29" s="2441" t="s">
        <v>527</v>
      </c>
      <c r="I29" s="202" t="b">
        <f>AND(M29&lt;&gt;0,I27&gt;M29)</f>
        <v>0</v>
      </c>
      <c r="J29" s="90"/>
      <c r="L29" s="2875"/>
      <c r="M29" s="2468">
        <f>IF(OR(File_Single&lt;&gt;"",File_Head&lt;&gt;""),M28,IF(File_Marr_Joint&lt;&gt;"",M27,IF(AND(File_Marr_Sep&lt;&gt;"",LivedApart),M28,0)))</f>
        <v>0</v>
      </c>
    </row>
    <row r="30" spans="1:24" ht="54" customHeight="1">
      <c r="B30" s="4675"/>
      <c r="C30" s="404" t="str">
        <f>"Part of your social security
benefits may be taxable if, for "&amp;TaxYear&amp;", 
item 1, 2, or 3 below applies to you:"</f>
        <v>Part of your social security
benefits may be taxable if, for 2025, 
item 1, 2, or 3 below applies to you:</v>
      </c>
      <c r="D30" s="7034" t="s">
        <v>528</v>
      </c>
      <c r="E30" s="7035"/>
      <c r="F30" s="253"/>
      <c r="G30" s="7034" t="s">
        <v>529</v>
      </c>
      <c r="H30" s="7034"/>
      <c r="I30" s="7034"/>
      <c r="J30" s="90"/>
      <c r="L30" s="2875"/>
    </row>
    <row r="31" spans="1:24" ht="50.25" customHeight="1">
      <c r="B31" s="4675"/>
      <c r="C31" s="404" t="str">
        <f>"1. You were single, a head of
household, or a qualifying widow(er)
and line E above is more than
"&amp;TEXT(M28,"$0,000")&amp;"."</f>
        <v>1. You were single, a head of
household, or a qualifying widow(er)
and line E above is more than
$25,000.</v>
      </c>
      <c r="D31" s="7034" t="s">
        <v>530</v>
      </c>
      <c r="E31" s="7034"/>
      <c r="F31" s="253"/>
      <c r="G31" s="7037" t="s">
        <v>531</v>
      </c>
      <c r="H31" s="7037"/>
      <c r="I31" s="7037"/>
      <c r="J31" s="90"/>
      <c r="L31" s="2875"/>
    </row>
    <row r="32" spans="1:24" s="138" customFormat="1" ht="109.5" customHeight="1">
      <c r="A32" s="5422"/>
      <c r="B32" s="6041"/>
      <c r="C32" s="404" t="str">
        <f>CHAR(10)&amp;"2. You were married, would file jointly, and line E above is more than "&amp;TEXT(M27,"$0,000")&amp;"."&amp;CHAR(10)&amp;CHAR(10)&amp;"3. You were married, would file separately, and line E above is more than zero (more than "&amp;TEXT(M28,"$0,000")&amp;" if you lived apart from your spouse for all of "&amp;TaxYear&amp;")."</f>
        <v xml:space="preserve">
2. You were married, would file jointly, and line E above is more than $32,000.
3. You were married, would file separately, and line E above is more than zero (more than $25,000 if you lived apart from your spouse for all of 2025).</v>
      </c>
      <c r="D32" s="7034" t="str">
        <f>CHAR(10)&amp;"o  If you were married, file separately, and lived apart from your spouse for all of "&amp;TaxYear&amp;", enter “D” to the right of the word “benefits” on Form 1040, line 6a."</f>
        <v xml:space="preserve">
o  If you were married, file separately, and lived apart from your spouse for all of 2025, enter “D” to the right of the word “benefits” on Form 1040, line 6a.</v>
      </c>
      <c r="E32" s="7034"/>
      <c r="F32" s="253"/>
      <c r="G32" s="7034" t="str">
        <f>"If you still have questions about whether your social security benefits are taxable, see IRS "&amp;CHAR(10)&amp;"Pub. 915 or your "&amp;TaxYear&amp;" federal income tax return instructions, or visit IRS.gov and enter 'social security income' in the search box. 
Go to www.irs.gov/Forms to view, download, or print all of the forms and publications you may need."</f>
        <v>If you still have questions about whether your social security benefits are taxable, see IRS 
Pub. 915 or your 2025 federal income tax return instructions, or visit IRS.gov and enter 'social security income' in the search box. 
Go to www.irs.gov/Forms to view, download, or print all of the forms and publications you may need.</v>
      </c>
      <c r="H32" s="7034"/>
      <c r="I32" s="7034"/>
      <c r="J32" s="6043"/>
      <c r="K32" s="5422"/>
      <c r="L32" s="2875"/>
      <c r="M32" s="5422"/>
      <c r="N32" s="662"/>
      <c r="O32" s="662"/>
      <c r="P32" s="662"/>
      <c r="Q32" s="662"/>
      <c r="R32" s="662"/>
      <c r="S32" s="662"/>
      <c r="T32" s="662"/>
      <c r="U32" s="662"/>
      <c r="V32" s="662"/>
      <c r="W32" s="662"/>
      <c r="X32" s="662"/>
    </row>
    <row r="33" spans="1:24" s="138" customFormat="1" ht="74.25" customHeight="1">
      <c r="A33" s="5422"/>
      <c r="B33" s="6055"/>
      <c r="C33" s="4984" t="str">
        <f>"If your figures show that part of"&amp;CHAR(10)&amp;"your benefits may be taxable, see"&amp;CHAR(10)&amp;"IRS Pub. 915, and Social Security"&amp;CHAR(10)&amp;"Benefits in your "&amp;TaxYear&amp;" federal"&amp;CHAR(10)&amp;"income tax return instructions."</f>
        <v>If your figures show that part of
your benefits may be taxable, see
IRS Pub. 915, and Social Security
Benefits in your 2025 federal
income tax return instructions.</v>
      </c>
      <c r="D33" s="7034" t="str">
        <f>"Note. If your figures show that part of your benefits may be taxable and you received benefits in "&amp;TaxYear&amp;" that were for a prior year, see IRS Pub. 915, Social Security and Equivalent"</f>
        <v>Note. If your figures show that part of your benefits may be taxable and you received benefits in 2025 that were for a prior year, see IRS Pub. 915, Social Security and Equivalent</v>
      </c>
      <c r="E33" s="7034"/>
      <c r="F33" s="404"/>
      <c r="G33" s="7036"/>
      <c r="H33" s="7036"/>
      <c r="I33" s="7036"/>
      <c r="J33" s="6043"/>
      <c r="K33" s="5422"/>
      <c r="L33" s="2875"/>
      <c r="M33" s="5422"/>
      <c r="N33" s="662"/>
      <c r="O33" s="662"/>
      <c r="P33" s="662"/>
      <c r="Q33" s="662"/>
      <c r="R33" s="662"/>
      <c r="S33" s="662"/>
      <c r="T33" s="662"/>
      <c r="U33" s="662"/>
      <c r="V33" s="662"/>
      <c r="W33" s="662"/>
      <c r="X33" s="662"/>
    </row>
    <row r="34" spans="1:24" s="138" customFormat="1" ht="16.5" customHeight="1" thickBot="1">
      <c r="A34" s="5422"/>
      <c r="B34" s="6055"/>
      <c r="C34" s="6056"/>
      <c r="D34" s="6057" t="s">
        <v>532</v>
      </c>
      <c r="E34" s="6058"/>
      <c r="F34" s="6059"/>
      <c r="G34" s="6056"/>
      <c r="H34" s="6056"/>
      <c r="I34" s="6056"/>
      <c r="J34" s="6043"/>
      <c r="K34" s="5422"/>
      <c r="L34" s="2875"/>
      <c r="M34" s="5422"/>
      <c r="N34" s="662"/>
      <c r="O34" s="662"/>
      <c r="P34" s="662"/>
      <c r="Q34" s="662"/>
      <c r="R34" s="662"/>
      <c r="S34" s="662"/>
      <c r="T34" s="662"/>
      <c r="U34" s="662"/>
      <c r="V34" s="662"/>
      <c r="W34" s="662"/>
      <c r="X34" s="662"/>
    </row>
    <row r="35" spans="1:24" s="138" customFormat="1" ht="24" customHeight="1" thickBot="1">
      <c r="A35" s="5422"/>
      <c r="B35" s="6060"/>
      <c r="C35" s="6061" t="s">
        <v>533</v>
      </c>
      <c r="D35" s="7030"/>
      <c r="E35" s="7030"/>
      <c r="F35" s="7031"/>
      <c r="G35" s="7031"/>
      <c r="H35" s="6062"/>
      <c r="I35" s="6063" t="s">
        <v>534</v>
      </c>
      <c r="J35" s="6064"/>
      <c r="K35" s="5422"/>
      <c r="L35" s="2875"/>
      <c r="M35" s="5422"/>
      <c r="N35" s="662"/>
      <c r="O35" s="662"/>
      <c r="P35" s="662"/>
      <c r="Q35" s="662"/>
      <c r="R35" s="662"/>
      <c r="S35" s="662"/>
      <c r="T35" s="662"/>
      <c r="U35" s="662"/>
      <c r="V35" s="662"/>
      <c r="W35" s="662"/>
      <c r="X35" s="662"/>
    </row>
    <row r="38" spans="1:24" ht="13.5" thickBot="1">
      <c r="B38" s="2715"/>
    </row>
    <row r="39" spans="1:24">
      <c r="B39" s="2715"/>
      <c r="C39" s="4701"/>
    </row>
    <row r="40" spans="1:24">
      <c r="B40" s="2715"/>
      <c r="C40" s="4636" t="s">
        <v>42</v>
      </c>
    </row>
    <row r="41" spans="1:24" ht="13.5" thickBot="1">
      <c r="B41" s="2715"/>
      <c r="C41" s="4702"/>
    </row>
    <row r="44" spans="1:24">
      <c r="B44" s="2715"/>
      <c r="C44" s="6048"/>
    </row>
  </sheetData>
  <sheetProtection algorithmName="SHA-512" hashValue="6OqBT7MJJ5KDDsyIiglZbT/+vqEUu/1g8QIx/U3gRg6ZalH4T09imLWKDDzMzL+S8qHYgH2Vuc3RRQ0pUqwNyg==" saltValue="52H0Vhur/RnH13TWsvE1CQ==" spinCount="100000" sheet="1" objects="1" scenarios="1" formatCells="0" formatColumns="0" formatRows="0"/>
  <mergeCells count="12">
    <mergeCell ref="C25:G25"/>
    <mergeCell ref="D35:G35"/>
    <mergeCell ref="D18:E18"/>
    <mergeCell ref="G18:I18"/>
    <mergeCell ref="D30:E30"/>
    <mergeCell ref="D31:E31"/>
    <mergeCell ref="D32:E32"/>
    <mergeCell ref="D33:E33"/>
    <mergeCell ref="G30:I30"/>
    <mergeCell ref="C24:G24"/>
    <mergeCell ref="G32:I33"/>
    <mergeCell ref="G31:I31"/>
  </mergeCells>
  <phoneticPr fontId="0" type="noConversion"/>
  <conditionalFormatting sqref="C29">
    <cfRule type="expression" dxfId="3927" priority="14" stopIfTrue="1">
      <formula>I29</formula>
    </cfRule>
  </conditionalFormatting>
  <conditionalFormatting sqref="D4:D5">
    <cfRule type="expression" dxfId="3926" priority="13">
      <formula>IF(NoColor,1,0)</formula>
    </cfRule>
  </conditionalFormatting>
  <conditionalFormatting sqref="D4:D7">
    <cfRule type="expression" dxfId="3925" priority="4">
      <formula>NoColor</formula>
    </cfRule>
  </conditionalFormatting>
  <conditionalFormatting sqref="D7">
    <cfRule type="expression" dxfId="3924" priority="10">
      <formula>IF(NoColor,1,0)</formula>
    </cfRule>
  </conditionalFormatting>
  <conditionalFormatting sqref="D9:D10">
    <cfRule type="expression" dxfId="3923" priority="3">
      <formula>IF(NoColor,1,0)</formula>
    </cfRule>
  </conditionalFormatting>
  <conditionalFormatting sqref="D9:D12">
    <cfRule type="expression" dxfId="3922" priority="1">
      <formula>NoColor</formula>
    </cfRule>
  </conditionalFormatting>
  <conditionalFormatting sqref="D12">
    <cfRule type="expression" dxfId="3921" priority="2">
      <formula>IF(NoColor,1,0)</formula>
    </cfRule>
  </conditionalFormatting>
  <hyperlinks>
    <hyperlink ref="C40" location="'Table of Contents'!A1" display="Table of Contents" xr:uid="{00000000-0004-0000-0B00-000000000000}"/>
  </hyperlinks>
  <pageMargins left="0.75" right="0.25" top="0.36" bottom="0.28999999999999998" header="0.36" footer="0.21"/>
  <pageSetup scale="74" fitToHeight="0"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4">
    <tabColor rgb="FF008000"/>
    <pageSetUpPr fitToPage="1"/>
  </sheetPr>
  <dimension ref="A1:CF195"/>
  <sheetViews>
    <sheetView zoomScaleNormal="100" zoomScaleSheetLayoutView="100" workbookViewId="0"/>
  </sheetViews>
  <sheetFormatPr defaultRowHeight="12.75"/>
  <cols>
    <col min="1" max="1" width="3" customWidth="1"/>
    <col min="2" max="2" width="2.5703125" customWidth="1"/>
    <col min="3" max="3" width="12.140625" customWidth="1"/>
    <col min="4" max="4" width="2.5703125" customWidth="1"/>
    <col min="5" max="5" width="1.140625" customWidth="1"/>
    <col min="6" max="6" width="3.5703125" customWidth="1"/>
    <col min="7" max="7" width="2.85546875" customWidth="1"/>
    <col min="8" max="8" width="2.5703125" customWidth="1"/>
    <col min="9" max="10" width="3.85546875" customWidth="1"/>
    <col min="11" max="11" width="3.140625" customWidth="1"/>
    <col min="12" max="12" width="1.42578125" customWidth="1"/>
    <col min="13" max="13" width="3.140625" customWidth="1"/>
    <col min="14" max="14" width="5" customWidth="1"/>
    <col min="15" max="15" width="3.140625" customWidth="1"/>
    <col min="16" max="16" width="1.42578125" customWidth="1"/>
    <col min="17" max="17" width="3.140625" customWidth="1"/>
    <col min="18" max="18" width="2.7109375" customWidth="1"/>
    <col min="19" max="19" width="3.5703125" customWidth="1"/>
    <col min="20" max="20" width="3.85546875" customWidth="1"/>
    <col min="21" max="21" width="1.42578125" customWidth="1"/>
    <col min="22" max="22" width="3" customWidth="1"/>
    <col min="23" max="23" width="4.5703125" customWidth="1"/>
    <col min="24" max="24" width="3.28515625" customWidth="1"/>
    <col min="25" max="25" width="1.42578125" customWidth="1"/>
    <col min="26" max="26" width="3.140625" customWidth="1"/>
    <col min="27" max="27" width="3.5703125" customWidth="1"/>
    <col min="28" max="28" width="3.7109375" customWidth="1"/>
    <col min="29" max="29" width="3.42578125" customWidth="1"/>
    <col min="30" max="30" width="2.42578125" customWidth="1"/>
    <col min="31" max="31" width="3.85546875" customWidth="1"/>
    <col min="32" max="32" width="3.140625" customWidth="1"/>
    <col min="33" max="33" width="5.5703125" customWidth="1"/>
    <col min="34" max="34" width="1.42578125" customWidth="1"/>
    <col min="35" max="35" width="3" customWidth="1"/>
    <col min="36" max="36" width="4.28515625" customWidth="1"/>
    <col min="37" max="37" width="6" customWidth="1"/>
    <col min="38" max="38" width="1.42578125" customWidth="1"/>
    <col min="39" max="39" width="3.28515625" customWidth="1"/>
    <col min="40" max="40" width="4" customWidth="1"/>
    <col min="41" max="41" width="3.5703125" customWidth="1"/>
    <col min="42" max="42" width="1.42578125" customWidth="1"/>
    <col min="43" max="43" width="3.5703125" customWidth="1"/>
    <col min="44" max="44" width="5.85546875" customWidth="1"/>
    <col min="45" max="45" width="4" customWidth="1"/>
    <col min="46" max="46" width="2.85546875" customWidth="1"/>
    <col min="47" max="47" width="13" customWidth="1"/>
    <col min="48" max="48" width="2.85546875" customWidth="1"/>
    <col min="49" max="49" width="10.85546875" customWidth="1"/>
    <col min="50" max="51" width="15.85546875" customWidth="1"/>
    <col min="52" max="52" width="18.85546875" customWidth="1"/>
    <col min="53" max="56" width="11.28515625" customWidth="1"/>
    <col min="57" max="57" width="3.28515625" customWidth="1"/>
    <col min="58" max="60" width="9.28515625" hidden="1" customWidth="1"/>
    <col min="61" max="61" width="11.5703125" hidden="1" customWidth="1"/>
    <col min="62" max="62" width="13.85546875" hidden="1" customWidth="1"/>
    <col min="63" max="63" width="17.7109375" hidden="1" customWidth="1"/>
    <col min="64" max="70" width="11.5703125" hidden="1" customWidth="1"/>
    <col min="71" max="71" width="4.28515625" customWidth="1"/>
    <col min="72" max="72" width="13.140625" style="816" customWidth="1"/>
    <col min="73" max="84" width="9.140625" style="815"/>
  </cols>
  <sheetData>
    <row r="1" spans="1:84" ht="15" customHeight="1">
      <c r="A1" s="962"/>
      <c r="B1" s="139"/>
      <c r="C1" s="3932">
        <f>RevDateTime</f>
        <v>46111.392361111109</v>
      </c>
      <c r="D1" s="3932"/>
      <c r="E1" s="3932"/>
      <c r="F1" s="3435"/>
      <c r="G1" s="139"/>
      <c r="H1" s="3933" t="s">
        <v>535</v>
      </c>
      <c r="I1" s="3934"/>
      <c r="J1" s="3934"/>
      <c r="K1" s="3934"/>
      <c r="L1" s="3934"/>
      <c r="M1" s="3934"/>
      <c r="N1" s="3934"/>
      <c r="O1" s="3934"/>
      <c r="P1" s="3934"/>
      <c r="Q1" s="3934"/>
      <c r="R1" s="3934"/>
      <c r="S1" s="3934"/>
      <c r="T1" s="3934"/>
      <c r="U1" s="3934"/>
      <c r="V1" s="3935"/>
      <c r="W1" s="3935"/>
      <c r="X1" s="3935"/>
      <c r="Y1" s="3935"/>
      <c r="Z1" s="3935"/>
      <c r="AA1" s="3935"/>
      <c r="AB1" s="3936"/>
      <c r="AC1" s="3936"/>
      <c r="AD1" s="3936"/>
      <c r="AE1" s="3936"/>
      <c r="AF1" s="3936"/>
      <c r="AG1" s="3936"/>
      <c r="AH1" s="7038" t="str">
        <f>IF('Table of Contents'!A19="D","DRAFT FORM","")</f>
        <v/>
      </c>
      <c r="AI1" s="7038"/>
      <c r="AJ1" s="7038"/>
      <c r="AK1" s="7038"/>
      <c r="AL1" s="7038"/>
      <c r="AM1" s="7038"/>
      <c r="AN1" s="7038"/>
      <c r="AO1" s="7038"/>
      <c r="AP1" s="7038"/>
      <c r="AQ1" s="7038"/>
      <c r="AR1" s="7038"/>
      <c r="AS1" s="7038"/>
      <c r="AT1" s="7038"/>
      <c r="AU1" s="3937">
        <f>IF(File_Single&lt;&gt;"",1,0)</f>
        <v>0</v>
      </c>
      <c r="AV1" s="253"/>
      <c r="AW1" s="253"/>
      <c r="AX1" s="253"/>
      <c r="AY1" s="253"/>
      <c r="AZ1" s="253"/>
      <c r="BA1" s="253"/>
      <c r="BB1" s="253"/>
      <c r="BC1" s="253"/>
      <c r="BD1" s="253"/>
      <c r="BE1" s="253"/>
      <c r="BF1" s="253"/>
      <c r="BG1" s="253"/>
      <c r="BH1" s="253"/>
      <c r="BI1" s="730"/>
      <c r="BJ1" s="730"/>
      <c r="BK1" s="730"/>
      <c r="BL1" s="253"/>
      <c r="BM1" s="253"/>
      <c r="BN1" s="253"/>
      <c r="BO1" s="253"/>
      <c r="BP1" s="253"/>
      <c r="BQ1" s="253"/>
      <c r="BR1" s="253"/>
      <c r="BS1" s="253"/>
      <c r="BT1" s="825" t="s">
        <v>223</v>
      </c>
      <c r="BU1" s="658"/>
      <c r="BV1" s="658"/>
      <c r="BW1" s="658"/>
      <c r="BX1" s="658"/>
      <c r="BY1" s="658"/>
      <c r="BZ1" s="658"/>
      <c r="CA1" s="658"/>
      <c r="CB1" s="658"/>
      <c r="CC1" s="658"/>
      <c r="CD1" s="658"/>
      <c r="CE1" s="658"/>
      <c r="CF1" s="658"/>
    </row>
    <row r="2" spans="1:84" ht="15.75" customHeight="1" thickBot="1">
      <c r="A2" s="139"/>
      <c r="B2" s="139"/>
      <c r="C2" s="3938">
        <f>RevDateTime</f>
        <v>46111.392361111109</v>
      </c>
      <c r="D2" s="3938"/>
      <c r="E2" s="3938"/>
      <c r="F2" s="3435"/>
      <c r="G2" s="139"/>
      <c r="H2" s="7090" t="s">
        <v>536</v>
      </c>
      <c r="I2" s="7091"/>
      <c r="J2" s="7091"/>
      <c r="K2" s="7091"/>
      <c r="L2" s="7091"/>
      <c r="M2" s="7091"/>
      <c r="N2" s="7091"/>
      <c r="O2" s="7091"/>
      <c r="P2" s="7091"/>
      <c r="Q2" s="7091"/>
      <c r="R2" s="7091"/>
      <c r="S2" s="7091"/>
      <c r="T2" s="7091"/>
      <c r="U2" s="7091"/>
      <c r="V2" s="3935"/>
      <c r="W2" s="3935"/>
      <c r="X2" s="3935"/>
      <c r="Y2" s="3935"/>
      <c r="Z2" s="3935"/>
      <c r="AA2" s="3939"/>
      <c r="AB2" s="3940"/>
      <c r="AC2" s="3940"/>
      <c r="AD2" s="3940"/>
      <c r="AE2" s="3940"/>
      <c r="AF2" s="3940"/>
      <c r="AG2" s="3941"/>
      <c r="AH2" s="7075" t="str">
        <f>"© Glenn Reeves, "&amp;TaxYear+1</f>
        <v>© Glenn Reeves, 2026</v>
      </c>
      <c r="AI2" s="7075"/>
      <c r="AJ2" s="7075"/>
      <c r="AK2" s="7075"/>
      <c r="AL2" s="7075"/>
      <c r="AM2" s="7075"/>
      <c r="AN2" s="7075"/>
      <c r="AO2" s="7075"/>
      <c r="AP2" s="7075"/>
      <c r="AQ2" s="7075"/>
      <c r="AR2" s="7075"/>
      <c r="AS2" s="7075"/>
      <c r="AT2" s="3942"/>
      <c r="AU2" s="3937">
        <f>IF(File_Marr_Joint&lt;&gt;"",1,0)</f>
        <v>0</v>
      </c>
      <c r="AV2" s="798"/>
      <c r="AW2" s="3943" t="s">
        <v>537</v>
      </c>
      <c r="AX2" s="799"/>
      <c r="AY2" s="799"/>
      <c r="AZ2" s="799"/>
      <c r="BA2" s="3235" t="b">
        <f>(AV2&lt;&gt;"")</f>
        <v>0</v>
      </c>
      <c r="BB2" s="799"/>
      <c r="BC2" s="799"/>
      <c r="BD2" s="799"/>
      <c r="BE2" s="799"/>
      <c r="BF2" s="799"/>
      <c r="BG2" s="799"/>
      <c r="BH2" s="799"/>
      <c r="BI2" s="3944">
        <f>DATEVALUE("1-JAN-"&amp;TaxYear)</f>
        <v>45658</v>
      </c>
      <c r="BJ2" s="344" t="b">
        <f>IF(BL2&gt;365,TRUE,FALSE)</f>
        <v>0</v>
      </c>
      <c r="BK2" s="3944">
        <f>DATEVALUE("1-JAN-"&amp;TaxYear+1)-1</f>
        <v>46022</v>
      </c>
      <c r="BL2" s="344">
        <f>EndOfTaxYear+1-BeginningOfTaxYear</f>
        <v>365</v>
      </c>
      <c r="BM2" s="253"/>
      <c r="BN2" s="730" t="s">
        <v>538</v>
      </c>
      <c r="BO2" s="730" t="s">
        <v>539</v>
      </c>
      <c r="BP2" s="730" t="s">
        <v>540</v>
      </c>
      <c r="BQ2" s="730" t="s">
        <v>541</v>
      </c>
      <c r="BR2" s="730" t="s">
        <v>542</v>
      </c>
      <c r="BS2" s="253"/>
      <c r="BT2" s="826" t="s">
        <v>227</v>
      </c>
      <c r="BU2" s="658"/>
      <c r="BV2" s="658"/>
      <c r="BW2" s="658"/>
      <c r="BX2" s="658"/>
      <c r="BY2" s="658"/>
      <c r="BZ2" s="658"/>
      <c r="CA2" s="658"/>
      <c r="CB2" s="658"/>
      <c r="CC2" s="658"/>
      <c r="CD2" s="658"/>
      <c r="CE2" s="658"/>
      <c r="CF2" s="658"/>
    </row>
    <row r="3" spans="1:84" ht="16.5" customHeight="1">
      <c r="A3" s="139"/>
      <c r="B3" s="7132" t="s">
        <v>46</v>
      </c>
      <c r="C3" s="7092" t="s">
        <v>73</v>
      </c>
      <c r="D3" s="7092"/>
      <c r="E3" s="3803"/>
      <c r="F3" s="1829"/>
      <c r="G3" s="1829" t="str">
        <f>IF(FilingStatusError,"Please check only ONE filing status box.","Department of the Treasury––Internal Revenue Service")</f>
        <v>Department of the Treasury––Internal Revenue Service</v>
      </c>
      <c r="H3" s="1829"/>
      <c r="I3" s="1830"/>
      <c r="J3" s="1830"/>
      <c r="K3" s="1830"/>
      <c r="L3" s="1830"/>
      <c r="M3" s="1830"/>
      <c r="N3" s="1830"/>
      <c r="O3" s="1830"/>
      <c r="P3" s="1830"/>
      <c r="Q3" s="1830"/>
      <c r="R3" s="1830"/>
      <c r="S3" s="1830"/>
      <c r="T3" s="1830"/>
      <c r="U3" s="1831"/>
      <c r="V3" s="1831"/>
      <c r="W3" s="1831"/>
      <c r="X3" s="7101">
        <v>2025</v>
      </c>
      <c r="Y3" s="7102"/>
      <c r="Z3" s="7102"/>
      <c r="AA3" s="7102"/>
      <c r="AB3" s="7103"/>
      <c r="AC3" s="7115"/>
      <c r="AD3" s="7116"/>
      <c r="AE3" s="7116"/>
      <c r="AF3" s="7116"/>
      <c r="AG3" s="7117"/>
      <c r="AH3" s="7094" t="str">
        <f>IF(AND(AT3="",'Table of Contents'!A19="D"),"DRAFT FORM","")</f>
        <v/>
      </c>
      <c r="AI3" s="7095"/>
      <c r="AJ3" s="7095"/>
      <c r="AK3" s="7095"/>
      <c r="AL3" s="7095"/>
      <c r="AM3" s="7095"/>
      <c r="AN3" s="7095"/>
      <c r="AO3" s="7095"/>
      <c r="AP3" s="7095"/>
      <c r="AQ3" s="7095"/>
      <c r="AR3" s="7095"/>
      <c r="AS3" s="7095"/>
      <c r="AT3" s="1798"/>
      <c r="AU3" s="3937">
        <f>IF(File_Marr_Sep&lt;&gt;"",1,0)</f>
        <v>0</v>
      </c>
      <c r="AV3" s="798"/>
      <c r="AW3" s="3943" t="s">
        <v>4884</v>
      </c>
      <c r="AX3" s="512"/>
      <c r="AY3" s="512"/>
      <c r="AZ3" s="3944"/>
      <c r="BA3" s="3235" t="b">
        <f>(AV3&lt;&gt;"")</f>
        <v>0</v>
      </c>
      <c r="BB3" s="253"/>
      <c r="BC3" s="253"/>
      <c r="BD3" s="253"/>
      <c r="BE3" s="253"/>
      <c r="BF3" s="253">
        <f>TaxYear-1</f>
        <v>2024</v>
      </c>
      <c r="BG3" s="253"/>
      <c r="BH3" s="253"/>
      <c r="BI3" s="253"/>
      <c r="BJ3" s="253"/>
      <c r="BK3" s="253"/>
      <c r="BL3" s="253"/>
      <c r="BM3" s="253"/>
      <c r="BN3" s="3945" t="b">
        <f>IF(ISERROR(FIND("ALASKA",State)),FALSE,TRUE)</f>
        <v>0</v>
      </c>
      <c r="BO3" s="3946" t="b">
        <f>IF(ISERROR(FIND("HAWAII",State)),FALSE,TRUE)</f>
        <v>0</v>
      </c>
      <c r="BP3" s="3946" t="b">
        <f>IF(ISERROR(FIND("MAINE",State)),FALSE,TRUE)</f>
        <v>0</v>
      </c>
      <c r="BQ3" s="3946" t="b">
        <f>IF(ISERROR(FIND("MASSACHUSETTS",State)),FALSE,TRUE)</f>
        <v>0</v>
      </c>
      <c r="BR3" s="3946" t="b">
        <f>IF(ISERROR(FIND("DISTRICT",State)),FALSE,TRUE)</f>
        <v>0</v>
      </c>
      <c r="BS3" s="253"/>
      <c r="BT3" s="827"/>
      <c r="BU3" s="658"/>
      <c r="BV3" s="658"/>
      <c r="BW3" s="658"/>
      <c r="BX3" s="658"/>
      <c r="BY3" s="658"/>
      <c r="BZ3" s="658"/>
      <c r="CA3" s="658"/>
      <c r="CB3" s="658"/>
      <c r="CC3" s="658"/>
      <c r="CD3" s="658"/>
      <c r="CE3" s="658"/>
      <c r="CF3" s="658"/>
    </row>
    <row r="4" spans="1:84" ht="21" customHeight="1" thickBot="1">
      <c r="A4" s="139"/>
      <c r="B4" s="7133"/>
      <c r="C4" s="7093"/>
      <c r="D4" s="7093"/>
      <c r="E4" s="3804"/>
      <c r="F4" s="7121" t="str">
        <f>IF(NumFileStatusBoxes=0,"Check one FILING STATUS box.","U.S. Individual Income Tax Return")</f>
        <v>Check one FILING STATUS box.</v>
      </c>
      <c r="G4" s="7122"/>
      <c r="H4" s="7122"/>
      <c r="I4" s="7122"/>
      <c r="J4" s="7122"/>
      <c r="K4" s="7122"/>
      <c r="L4" s="7122"/>
      <c r="M4" s="7122"/>
      <c r="N4" s="7122"/>
      <c r="O4" s="7122"/>
      <c r="P4" s="7122"/>
      <c r="Q4" s="7122"/>
      <c r="R4" s="7122"/>
      <c r="S4" s="7122"/>
      <c r="T4" s="7122"/>
      <c r="U4" s="7122"/>
      <c r="V4" s="7122"/>
      <c r="W4" s="7123"/>
      <c r="X4" s="7104"/>
      <c r="Y4" s="7105"/>
      <c r="Z4" s="7105"/>
      <c r="AA4" s="7105"/>
      <c r="AB4" s="7106"/>
      <c r="AC4" s="7098" t="s">
        <v>543</v>
      </c>
      <c r="AD4" s="7099"/>
      <c r="AE4" s="7099"/>
      <c r="AF4" s="7099"/>
      <c r="AG4" s="7100"/>
      <c r="AH4" s="7096" t="str">
        <f>IF(FilingStatusError,"Check only ONE filing status block","IRS Use Only—Do not write or staple in this space.")</f>
        <v>IRS Use Only—Do not write or staple in this space.</v>
      </c>
      <c r="AI4" s="7097"/>
      <c r="AJ4" s="7097"/>
      <c r="AK4" s="7097"/>
      <c r="AL4" s="7097"/>
      <c r="AM4" s="7097"/>
      <c r="AN4" s="7097"/>
      <c r="AO4" s="7097"/>
      <c r="AP4" s="7097"/>
      <c r="AQ4" s="7097"/>
      <c r="AR4" s="7097"/>
      <c r="AS4" s="7097"/>
      <c r="AT4" s="3947"/>
      <c r="AU4" s="3937">
        <f>IF(File_Head&lt;&gt;"",1,0)</f>
        <v>0</v>
      </c>
      <c r="AV4" s="3948" t="s">
        <v>544</v>
      </c>
      <c r="AW4" s="3949"/>
      <c r="AX4" s="3950" t="str">
        <f>IF(NumFileStatusBoxes=0,"Filing status not indicated.",IF(FilingStatusError,"Check only ONE filing status box.",IF(File_Single&lt;&gt;"","Single",IF(File_Marr_Joint&lt;&gt;"","Married - Filing Jointly",IF(File_Marr_Sep&lt;&gt;"","Married - Filing Separately",IF(File_Head&lt;&gt;"","Head of Household",IF(File_Qual_Widow&lt;&gt;"","Qualifying Widow(er)","")))))))</f>
        <v>Filing status not indicated.</v>
      </c>
      <c r="AY4" s="3951"/>
      <c r="AZ4" s="253"/>
      <c r="BA4" s="253"/>
      <c r="BB4" s="253"/>
      <c r="BC4" s="253"/>
      <c r="BD4" s="253"/>
      <c r="BE4" s="253"/>
      <c r="BF4" s="253">
        <f>TaxYear+1</f>
        <v>2026</v>
      </c>
      <c r="BG4" s="253"/>
      <c r="BH4" s="253"/>
      <c r="BI4" s="253"/>
      <c r="BJ4" s="253"/>
      <c r="BK4" s="253"/>
      <c r="BL4" s="253"/>
      <c r="BM4" s="253"/>
      <c r="BN4" s="3952" t="b">
        <f>IF(ISERROR(FIND("AK",State)),FALSE,TRUE)</f>
        <v>0</v>
      </c>
      <c r="BO4" s="3953" t="b">
        <f>IF(ISERROR(FIND("HI",State)),FALSE,TRUE)</f>
        <v>0</v>
      </c>
      <c r="BP4" s="3953" t="b">
        <f>IF(ISERROR(FIND("ME",State)),FALSE,TRUE)</f>
        <v>0</v>
      </c>
      <c r="BQ4" s="3953" t="b">
        <f>IF(ISERROR(FIND("MA",State)),FALSE,TRUE)</f>
        <v>0</v>
      </c>
      <c r="BR4" s="3953" t="b">
        <f>IF(ISERROR(FIND("DC",State)),FALSE,TRUE)</f>
        <v>0</v>
      </c>
      <c r="BS4" s="253"/>
      <c r="BT4" s="827"/>
      <c r="BU4" s="658"/>
      <c r="BV4" s="658"/>
      <c r="BW4" s="658"/>
      <c r="BX4" s="658"/>
      <c r="BY4" s="658"/>
      <c r="BZ4" s="658"/>
      <c r="CA4" s="658"/>
      <c r="CB4" s="658"/>
      <c r="CC4" s="658"/>
      <c r="CD4" s="658"/>
      <c r="CE4" s="658"/>
      <c r="CF4" s="658"/>
    </row>
    <row r="5" spans="1:84" ht="18.75" customHeight="1" thickTop="1">
      <c r="A5" s="139"/>
      <c r="B5" s="1832" t="str">
        <f>"For the year Jan. 1–Dec. 31, "&amp;TaxYear&amp;", or other tax year beginning"</f>
        <v>For the year Jan. 1–Dec. 31, 2025, or other tax year beginning</v>
      </c>
      <c r="C5" s="1833"/>
      <c r="D5" s="1834"/>
      <c r="E5" s="1834"/>
      <c r="F5" s="1646"/>
      <c r="G5" s="1835"/>
      <c r="H5" s="1834"/>
      <c r="I5" s="1833"/>
      <c r="J5" s="1833"/>
      <c r="K5" s="1833"/>
      <c r="L5" s="1833"/>
      <c r="M5" s="1833"/>
      <c r="N5" s="1833"/>
      <c r="O5" s="1834"/>
      <c r="P5" s="1833"/>
      <c r="Q5" s="1833"/>
      <c r="R5" s="7124"/>
      <c r="S5" s="7124"/>
      <c r="T5" s="7124"/>
      <c r="U5" s="7124"/>
      <c r="V5" s="7124"/>
      <c r="W5" s="7124"/>
      <c r="X5" s="7124"/>
      <c r="Y5" s="7074" t="s">
        <v>5203</v>
      </c>
      <c r="Z5" s="7074"/>
      <c r="AA5" s="7074"/>
      <c r="AB5" s="7074"/>
      <c r="AC5" s="7124"/>
      <c r="AD5" s="7124"/>
      <c r="AE5" s="7124"/>
      <c r="AF5" s="7124"/>
      <c r="AG5" s="7124"/>
      <c r="AH5" s="7137" t="s">
        <v>3883</v>
      </c>
      <c r="AI5" s="7138"/>
      <c r="AJ5" s="7138"/>
      <c r="AK5" s="7139"/>
      <c r="AL5" s="7139"/>
      <c r="AM5" s="7139"/>
      <c r="AN5" s="7139"/>
      <c r="AO5" s="7139"/>
      <c r="AP5" s="7139"/>
      <c r="AQ5" s="7139"/>
      <c r="AR5" s="7139"/>
      <c r="AS5" s="7139"/>
      <c r="AT5" s="139"/>
      <c r="AU5" s="3937"/>
      <c r="AV5" s="3937"/>
      <c r="AW5" s="3937"/>
      <c r="AX5" s="3937"/>
      <c r="AY5" s="3937"/>
      <c r="AZ5" s="3937"/>
      <c r="BA5" s="253"/>
      <c r="BB5" s="253"/>
      <c r="BC5" s="253"/>
      <c r="BD5" s="253"/>
      <c r="BE5" s="253"/>
      <c r="BF5" s="253"/>
      <c r="BG5" s="253"/>
      <c r="BH5" s="253"/>
      <c r="BI5" s="253"/>
      <c r="BJ5" s="253"/>
      <c r="BK5" s="253"/>
      <c r="BL5" s="253"/>
      <c r="BM5" s="253"/>
      <c r="BN5" s="3952"/>
      <c r="BO5" s="3953"/>
      <c r="BP5" s="3953"/>
      <c r="BQ5" s="3953"/>
      <c r="BR5" s="3953"/>
      <c r="BS5" s="253"/>
      <c r="BT5" s="827"/>
      <c r="BU5" s="658"/>
      <c r="BV5" s="658"/>
      <c r="BW5" s="658"/>
      <c r="BX5" s="658"/>
      <c r="BY5" s="658"/>
      <c r="BZ5" s="658"/>
      <c r="CA5" s="658"/>
      <c r="CB5" s="658"/>
      <c r="CC5" s="658"/>
      <c r="CD5" s="658"/>
      <c r="CE5" s="658"/>
      <c r="CF5" s="658"/>
    </row>
    <row r="6" spans="1:84" ht="14.25" customHeight="1">
      <c r="A6" s="139"/>
      <c r="B6" s="278"/>
      <c r="C6" s="5783" t="s">
        <v>5690</v>
      </c>
      <c r="D6" s="1940"/>
      <c r="E6" s="1940"/>
      <c r="F6" s="5784"/>
      <c r="G6" s="5661"/>
      <c r="H6" s="1940"/>
      <c r="I6" s="5785"/>
      <c r="J6" s="5785"/>
      <c r="K6" s="5785"/>
      <c r="L6" s="7134"/>
      <c r="M6" s="7135"/>
      <c r="N6" s="5785" t="s">
        <v>5691</v>
      </c>
      <c r="O6" s="5785"/>
      <c r="P6" s="5785"/>
      <c r="Q6" s="5785"/>
      <c r="R6" s="7430"/>
      <c r="S6" s="7430"/>
      <c r="T6" s="7430"/>
      <c r="U6" s="7430"/>
      <c r="V6" s="7430"/>
      <c r="W6" s="7430"/>
      <c r="X6" s="7430"/>
      <c r="Y6" s="7430"/>
      <c r="Z6" s="7430"/>
      <c r="AA6" s="5785"/>
      <c r="AB6" s="278"/>
      <c r="AC6" s="7432" t="s">
        <v>5692</v>
      </c>
      <c r="AD6" s="7433"/>
      <c r="AE6" s="7433"/>
      <c r="AF6" s="7433"/>
      <c r="AG6" s="7136"/>
      <c r="AH6" s="7136"/>
      <c r="AI6" s="7136"/>
      <c r="AJ6" s="7136"/>
      <c r="AK6" s="7431" t="s">
        <v>567</v>
      </c>
      <c r="AL6" s="7431"/>
      <c r="AM6" s="7431"/>
      <c r="AN6" s="7136"/>
      <c r="AO6" s="7136"/>
      <c r="AP6" s="7136"/>
      <c r="AQ6" s="7136"/>
      <c r="AR6" s="7136"/>
      <c r="AS6" s="5786"/>
      <c r="AT6" s="139"/>
      <c r="AU6" s="3937"/>
      <c r="AV6" s="3937"/>
      <c r="AW6" s="3937"/>
      <c r="AX6" s="3937"/>
      <c r="AY6" s="3937"/>
      <c r="AZ6" s="3937"/>
      <c r="BA6" s="253"/>
      <c r="BB6" s="253"/>
      <c r="BC6" s="253"/>
      <c r="BD6" s="253"/>
      <c r="BE6" s="253"/>
      <c r="BF6" s="253"/>
      <c r="BG6" s="253"/>
      <c r="BH6" s="253"/>
      <c r="BI6" s="253"/>
      <c r="BJ6" s="253"/>
      <c r="BK6" s="253"/>
      <c r="BL6" s="253"/>
      <c r="BM6" s="253"/>
      <c r="BN6" s="3952"/>
      <c r="BO6" s="3953"/>
      <c r="BP6" s="3953"/>
      <c r="BQ6" s="3953"/>
      <c r="BR6" s="3953"/>
      <c r="BS6" s="253"/>
      <c r="BT6" s="827"/>
      <c r="BU6" s="658"/>
      <c r="BV6" s="658"/>
      <c r="BW6" s="658"/>
      <c r="BX6" s="658"/>
      <c r="BY6" s="658"/>
      <c r="BZ6" s="658"/>
      <c r="CA6" s="658"/>
      <c r="CB6" s="658"/>
      <c r="CC6" s="658"/>
      <c r="CD6" s="658"/>
      <c r="CE6" s="658"/>
      <c r="CF6" s="658"/>
    </row>
    <row r="7" spans="1:84" ht="14.25" customHeight="1" thickBot="1">
      <c r="A7" s="139"/>
      <c r="B7" s="5780"/>
      <c r="C7" s="2584" t="s">
        <v>254</v>
      </c>
      <c r="D7" s="2583"/>
      <c r="E7" s="2583"/>
      <c r="F7" s="5781"/>
      <c r="G7" s="91"/>
      <c r="H7" s="2583"/>
      <c r="I7" s="2584"/>
      <c r="J7" s="2584"/>
      <c r="K7" s="2584"/>
      <c r="L7" s="2584"/>
      <c r="M7" s="2584"/>
      <c r="N7" s="2584"/>
      <c r="O7" s="2584"/>
      <c r="P7" s="2584"/>
      <c r="Q7" s="2584"/>
      <c r="R7" s="2584"/>
      <c r="S7" s="2584"/>
      <c r="T7" s="2584"/>
      <c r="U7" s="2584"/>
      <c r="V7" s="2584"/>
      <c r="W7" s="2584"/>
      <c r="X7" s="2584"/>
      <c r="Y7" s="2584"/>
      <c r="Z7" s="2584"/>
      <c r="AA7" s="2584"/>
      <c r="AB7" s="2584"/>
      <c r="AC7" s="2584"/>
      <c r="AD7" s="2584"/>
      <c r="AE7" s="2584"/>
      <c r="AF7" s="2584"/>
      <c r="AG7" s="2584"/>
      <c r="AH7" s="2584"/>
      <c r="AI7" s="2584"/>
      <c r="AJ7" s="2584"/>
      <c r="AK7" s="2584"/>
      <c r="AL7" s="2584"/>
      <c r="AM7" s="2584"/>
      <c r="AN7" s="2584"/>
      <c r="AO7" s="5782"/>
      <c r="AP7" s="5782"/>
      <c r="AQ7" s="5782"/>
      <c r="AR7" s="5782"/>
      <c r="AS7" s="5782"/>
      <c r="AT7" s="139"/>
      <c r="AU7" s="3937"/>
      <c r="AV7" s="797"/>
      <c r="AW7" s="6072" t="str">
        <f>IF(File_Marr_Sep&lt;&gt;""," Yes.","")</f>
        <v/>
      </c>
      <c r="AX7" s="6072" t="str">
        <f>IF(File_Marr_Sep&lt;&gt;"","Did you live apart from your spouse for all of "&amp;TEXT(TaxYear,"0")&amp;"?","")</f>
        <v/>
      </c>
      <c r="AY7" s="253"/>
      <c r="AZ7" s="253"/>
      <c r="BA7" s="512"/>
      <c r="BB7" s="512" t="b">
        <f>AND(File_Marr_Sep&lt;&gt;"",OR(AV7&lt;&gt;"",AV8&lt;&gt;""))</f>
        <v>0</v>
      </c>
      <c r="BC7" s="253"/>
      <c r="BD7" s="253"/>
      <c r="BE7" s="253"/>
      <c r="BF7" s="253"/>
      <c r="BG7" s="253"/>
      <c r="BH7" s="253"/>
      <c r="BI7" s="253"/>
      <c r="BJ7" s="253"/>
      <c r="BK7" s="253"/>
      <c r="BL7" s="253"/>
      <c r="BM7" s="253"/>
      <c r="BN7" s="3952"/>
      <c r="BO7" s="3953"/>
      <c r="BP7" s="3953"/>
      <c r="BQ7" s="3953"/>
      <c r="BR7" s="3953"/>
      <c r="BS7" s="253"/>
      <c r="BT7" s="827"/>
      <c r="BU7" s="658"/>
      <c r="BV7" s="658"/>
      <c r="BW7" s="658"/>
      <c r="BX7" s="658"/>
      <c r="BY7" s="658"/>
      <c r="BZ7" s="658"/>
      <c r="CA7" s="658"/>
      <c r="CB7" s="658"/>
      <c r="CC7" s="658"/>
      <c r="CD7" s="658"/>
      <c r="CE7" s="658"/>
      <c r="CF7" s="658"/>
    </row>
    <row r="8" spans="1:84" ht="18.75" customHeight="1">
      <c r="A8" s="139"/>
      <c r="B8" s="88"/>
      <c r="C8" s="247" t="s">
        <v>548</v>
      </c>
      <c r="D8" s="229"/>
      <c r="E8" s="229"/>
      <c r="F8" s="1550"/>
      <c r="G8" s="88"/>
      <c r="H8" s="229"/>
      <c r="I8" s="247"/>
      <c r="J8" s="247"/>
      <c r="K8" s="247"/>
      <c r="L8" s="247"/>
      <c r="M8" s="247"/>
      <c r="N8" s="247"/>
      <c r="O8" s="229"/>
      <c r="P8" s="247"/>
      <c r="Q8" s="247"/>
      <c r="R8" s="7118" t="str">
        <f>IF(AND(File_Marr_Sep&lt;&gt;"",OR(NOT(LivedApartAnswered),N25="")),"Please answer questions at right regarding your spouse.","   Last name")</f>
        <v xml:space="preserve">   Last name</v>
      </c>
      <c r="S8" s="7119"/>
      <c r="T8" s="7119"/>
      <c r="U8" s="7119"/>
      <c r="V8" s="7119"/>
      <c r="W8" s="7119"/>
      <c r="X8" s="7119"/>
      <c r="Y8" s="7119"/>
      <c r="Z8" s="7119"/>
      <c r="AA8" s="7119"/>
      <c r="AB8" s="7119"/>
      <c r="AC8" s="7119"/>
      <c r="AD8" s="7119"/>
      <c r="AE8" s="7119"/>
      <c r="AF8" s="7119"/>
      <c r="AG8" s="7120"/>
      <c r="AH8" s="7125" t="s">
        <v>549</v>
      </c>
      <c r="AI8" s="7126"/>
      <c r="AJ8" s="7126"/>
      <c r="AK8" s="7127"/>
      <c r="AL8" s="7127"/>
      <c r="AM8" s="7127"/>
      <c r="AN8" s="7127"/>
      <c r="AO8" s="7127"/>
      <c r="AP8" s="7127"/>
      <c r="AQ8" s="7127"/>
      <c r="AR8" s="7127"/>
      <c r="AS8" s="7127"/>
      <c r="AT8" s="139"/>
      <c r="AU8" s="3937"/>
      <c r="AV8" s="797"/>
      <c r="AW8" s="6072" t="str">
        <f>IF(OR(AND(AV7&lt;&gt;"",AV8&lt;&gt;""),AND(File_Marr_Sep&lt;&gt;"",AV7="",AV8=""))," No.",IF(File_Marr_Sep&lt;&gt;""," No.",""))</f>
        <v/>
      </c>
      <c r="AX8" s="6072" t="str">
        <f>IF(OR(AND(AV7&lt;&gt;"",AV8&lt;&gt;""),AND(File_Marr_Sep&lt;&gt;"",AV7="",AV8="")),"Please check ONE box.","")</f>
        <v/>
      </c>
      <c r="AY8" s="253"/>
      <c r="AZ8" s="253"/>
      <c r="BA8" s="512"/>
      <c r="BB8" s="512" t="b">
        <f>AND(File_Marr_Sep&lt;&gt;"",AV7&lt;&gt;"")</f>
        <v>0</v>
      </c>
      <c r="BC8" s="253"/>
      <c r="BD8" s="253"/>
      <c r="BE8" s="253"/>
      <c r="BF8" s="253"/>
      <c r="BG8" s="253"/>
      <c r="BH8" s="253"/>
      <c r="BI8" s="253"/>
      <c r="BJ8" s="253"/>
      <c r="BK8" s="253"/>
      <c r="BL8" s="253"/>
      <c r="BM8" s="253"/>
      <c r="BN8" s="3952"/>
      <c r="BO8" s="3953"/>
      <c r="BP8" s="3953"/>
      <c r="BQ8" s="3953"/>
      <c r="BR8" s="3953"/>
      <c r="BS8" s="253"/>
      <c r="BT8" s="827"/>
      <c r="BU8" s="658"/>
      <c r="BV8" s="658"/>
      <c r="BW8" s="658"/>
      <c r="BX8" s="658"/>
      <c r="BY8" s="658"/>
      <c r="BZ8" s="658"/>
      <c r="CA8" s="658"/>
      <c r="CB8" s="658"/>
      <c r="CC8" s="658"/>
      <c r="CD8" s="658"/>
      <c r="CE8" s="658"/>
      <c r="CF8" s="658"/>
    </row>
    <row r="9" spans="1:84" ht="22.5" customHeight="1">
      <c r="A9" s="139"/>
      <c r="B9" s="7144"/>
      <c r="C9" s="7144"/>
      <c r="D9" s="7144"/>
      <c r="E9" s="7144"/>
      <c r="F9" s="7144"/>
      <c r="G9" s="7144"/>
      <c r="H9" s="7144"/>
      <c r="I9" s="7144"/>
      <c r="J9" s="7144"/>
      <c r="K9" s="7144"/>
      <c r="L9" s="7144"/>
      <c r="M9" s="7144"/>
      <c r="N9" s="7144"/>
      <c r="O9" s="7144"/>
      <c r="P9" s="7144"/>
      <c r="Q9" s="7145"/>
      <c r="R9" s="7107"/>
      <c r="S9" s="7108"/>
      <c r="T9" s="7108"/>
      <c r="U9" s="7108"/>
      <c r="V9" s="7108"/>
      <c r="W9" s="7108"/>
      <c r="X9" s="7108"/>
      <c r="Y9" s="7108"/>
      <c r="Z9" s="7108"/>
      <c r="AA9" s="7108"/>
      <c r="AB9" s="7108"/>
      <c r="AC9" s="7108"/>
      <c r="AD9" s="7108"/>
      <c r="AE9" s="7108"/>
      <c r="AF9" s="7108"/>
      <c r="AG9" s="7109"/>
      <c r="AH9" s="7110">
        <v>1010001</v>
      </c>
      <c r="AI9" s="7111"/>
      <c r="AJ9" s="7112"/>
      <c r="AK9" s="7112"/>
      <c r="AL9" s="7112"/>
      <c r="AM9" s="7112"/>
      <c r="AN9" s="7112"/>
      <c r="AO9" s="7112"/>
      <c r="AP9" s="7112"/>
      <c r="AQ9" s="7112"/>
      <c r="AR9" s="7112"/>
      <c r="AS9" s="7112"/>
      <c r="AT9" s="3335"/>
      <c r="AU9" s="3937">
        <f>IF(File_Qual_Widow&lt;&gt;"",1,0)</f>
        <v>0</v>
      </c>
      <c r="AV9" s="797"/>
      <c r="AW9" s="7398" t="str">
        <f>IF(File_Marr_Sep&lt;&gt;"","Check here if your spouse had no income and is NOT filing a tax return.","")</f>
        <v/>
      </c>
      <c r="AX9" s="7398"/>
      <c r="AY9" s="7398"/>
      <c r="AZ9" s="7398"/>
      <c r="BA9" s="7398"/>
      <c r="BB9" s="3235"/>
      <c r="BC9" s="512"/>
      <c r="BD9" s="512"/>
      <c r="BE9" s="512"/>
      <c r="BF9" s="253"/>
      <c r="BG9" s="253"/>
      <c r="BH9" s="253"/>
      <c r="BI9" s="253"/>
      <c r="BJ9" s="253"/>
      <c r="BK9" s="253"/>
      <c r="BL9" s="253"/>
      <c r="BM9" s="253"/>
      <c r="BN9" s="3954" t="b">
        <f>IF(ISERROR(FIND("Alaska",State)),FALSE,TRUE)</f>
        <v>0</v>
      </c>
      <c r="BO9" s="3955" t="b">
        <f>IF(ISERROR(FIND("Hawaii",State)),FALSE,TRUE)</f>
        <v>0</v>
      </c>
      <c r="BP9" s="3955" t="b">
        <f>IF(ISERROR(FIND("Maine",State)),FALSE,TRUE)</f>
        <v>0</v>
      </c>
      <c r="BQ9" s="3955" t="b">
        <f>IF(ISERROR(FIND("Massachusetts",State)),FALSE,TRUE)</f>
        <v>0</v>
      </c>
      <c r="BR9" s="3955" t="b">
        <f>IF(ISERROR(FIND("D.C.",State)),FALSE,TRUE)</f>
        <v>0</v>
      </c>
      <c r="BS9" s="253"/>
      <c r="BT9" s="827"/>
      <c r="BU9" s="658"/>
      <c r="BV9" s="658"/>
      <c r="BW9" s="658"/>
      <c r="BX9" s="658"/>
      <c r="BY9" s="658"/>
      <c r="BZ9" s="658"/>
      <c r="CA9" s="658"/>
      <c r="CB9" s="658"/>
      <c r="CC9" s="658"/>
      <c r="CD9" s="658"/>
      <c r="CE9" s="658"/>
      <c r="CF9" s="658"/>
    </row>
    <row r="10" spans="1:84" ht="14.25" customHeight="1" thickBot="1">
      <c r="A10" s="139"/>
      <c r="B10" s="1837"/>
      <c r="C10" s="1841" t="s">
        <v>552</v>
      </c>
      <c r="D10" s="1838"/>
      <c r="E10" s="1838"/>
      <c r="F10" s="1551"/>
      <c r="G10" s="1839"/>
      <c r="H10" s="1838"/>
      <c r="I10" s="1838"/>
      <c r="J10" s="1838"/>
      <c r="K10" s="1838"/>
      <c r="L10" s="1838"/>
      <c r="M10" s="1838"/>
      <c r="N10" s="1838"/>
      <c r="O10" s="1838"/>
      <c r="P10" s="1838"/>
      <c r="Q10" s="1840"/>
      <c r="R10" s="3956" t="s">
        <v>553</v>
      </c>
      <c r="S10" s="1838"/>
      <c r="T10" s="1838"/>
      <c r="U10" s="1838"/>
      <c r="V10" s="1838"/>
      <c r="W10" s="1838"/>
      <c r="X10" s="1838"/>
      <c r="Y10" s="1838"/>
      <c r="Z10" s="1838"/>
      <c r="AA10" s="1838"/>
      <c r="AB10" s="1838"/>
      <c r="AC10" s="1838"/>
      <c r="AD10" s="1838"/>
      <c r="AE10" s="1838"/>
      <c r="AF10" s="1838"/>
      <c r="AG10" s="1840"/>
      <c r="AH10" s="7140" t="str">
        <f>IF(AND(File_Marr_Sep&lt;&gt;"",SS_Spouse=""),"Enter spouse's Soc. Sec. number","Spouse's social security number")</f>
        <v>Spouse's social security number</v>
      </c>
      <c r="AI10" s="7141"/>
      <c r="AJ10" s="7141"/>
      <c r="AK10" s="7142"/>
      <c r="AL10" s="7142"/>
      <c r="AM10" s="7142"/>
      <c r="AN10" s="7142"/>
      <c r="AO10" s="7142"/>
      <c r="AP10" s="7142"/>
      <c r="AQ10" s="7142"/>
      <c r="AR10" s="7142"/>
      <c r="AS10" s="7142"/>
      <c r="AT10" s="3335"/>
      <c r="AU10" s="3937">
        <f>SUM(AU1:AU9)</f>
        <v>0</v>
      </c>
      <c r="AV10" s="3937"/>
      <c r="AW10" s="3937"/>
      <c r="AX10" s="3937"/>
      <c r="AY10" s="3937"/>
      <c r="AZ10" s="3937"/>
      <c r="BA10" s="512"/>
      <c r="BB10" s="512"/>
      <c r="BC10" s="3235" t="b">
        <f>AND(DependentYOU="",OR(File_Single&lt;&gt;"",File_Marr_Joint&lt;&gt;"",File_Marr_Sep&lt;&gt;"",File_Head&lt;&gt;"",File_Qual_Widow&lt;&gt;""))</f>
        <v>0</v>
      </c>
      <c r="BD10" s="512"/>
      <c r="BE10" s="512"/>
      <c r="BF10" s="253"/>
      <c r="BG10" s="253"/>
      <c r="BH10" s="253"/>
      <c r="BI10" s="253"/>
      <c r="BJ10" s="253"/>
      <c r="BK10" s="253"/>
      <c r="BL10" s="253"/>
      <c r="BM10" s="253"/>
      <c r="BN10" s="3957" t="b">
        <f>OR(BN3,BN4,BN9)</f>
        <v>0</v>
      </c>
      <c r="BO10" s="3958" t="b">
        <f>OR(BO3,BO4,BO9)</f>
        <v>0</v>
      </c>
      <c r="BP10" s="3958" t="b">
        <f>OR(BP3,BP4,BP9)</f>
        <v>0</v>
      </c>
      <c r="BQ10" s="3958" t="b">
        <f>OR(BQ3,BQ4,BQ9)</f>
        <v>0</v>
      </c>
      <c r="BR10" s="3958" t="b">
        <f>OR(BR3,BR4,BR9)</f>
        <v>0</v>
      </c>
      <c r="BS10" s="253"/>
      <c r="BT10" s="827"/>
      <c r="BU10" s="658"/>
      <c r="BV10" s="658"/>
      <c r="BW10" s="658"/>
      <c r="BX10" s="658"/>
      <c r="BY10" s="658"/>
      <c r="BZ10" s="658"/>
      <c r="CA10" s="658"/>
      <c r="CB10" s="658"/>
      <c r="CC10" s="658"/>
      <c r="CD10" s="658"/>
      <c r="CE10" s="658"/>
      <c r="CF10" s="658"/>
    </row>
    <row r="11" spans="1:84" ht="22.5" customHeight="1">
      <c r="A11" s="139"/>
      <c r="B11" s="7146"/>
      <c r="C11" s="7146"/>
      <c r="D11" s="7146"/>
      <c r="E11" s="7146"/>
      <c r="F11" s="7146"/>
      <c r="G11" s="7146"/>
      <c r="H11" s="7146"/>
      <c r="I11" s="7146"/>
      <c r="J11" s="7146"/>
      <c r="K11" s="7146"/>
      <c r="L11" s="7146"/>
      <c r="M11" s="7146"/>
      <c r="N11" s="7146"/>
      <c r="O11" s="7146"/>
      <c r="P11" s="7146"/>
      <c r="Q11" s="7147"/>
      <c r="R11" s="7107"/>
      <c r="S11" s="7108"/>
      <c r="T11" s="7108"/>
      <c r="U11" s="7108"/>
      <c r="V11" s="7108"/>
      <c r="W11" s="7108"/>
      <c r="X11" s="7108"/>
      <c r="Y11" s="7108"/>
      <c r="Z11" s="7108"/>
      <c r="AA11" s="7108"/>
      <c r="AB11" s="7108"/>
      <c r="AC11" s="7108"/>
      <c r="AD11" s="7108"/>
      <c r="AE11" s="7108"/>
      <c r="AF11" s="7108"/>
      <c r="AG11" s="7109"/>
      <c r="AH11" s="7110" t="str">
        <f>IF(NumFileStatusBoxes=0,"Filing status?",1010002)</f>
        <v>Filing status?</v>
      </c>
      <c r="AI11" s="7111"/>
      <c r="AJ11" s="7112"/>
      <c r="AK11" s="7112"/>
      <c r="AL11" s="7112"/>
      <c r="AM11" s="7112"/>
      <c r="AN11" s="7112"/>
      <c r="AO11" s="7112"/>
      <c r="AP11" s="7112"/>
      <c r="AQ11" s="7112"/>
      <c r="AR11" s="7112"/>
      <c r="AS11" s="7112"/>
      <c r="AT11" s="3959"/>
      <c r="AU11" s="1318" t="b">
        <f>NumFileStatusBoxes&gt;1</f>
        <v>0</v>
      </c>
      <c r="AV11" s="3937"/>
      <c r="AW11" s="3937"/>
      <c r="AX11" s="3937"/>
      <c r="AY11" s="3937"/>
      <c r="AZ11" s="3937"/>
      <c r="BA11" s="512"/>
      <c r="BB11" s="253"/>
      <c r="BC11" s="512"/>
      <c r="BD11" s="512"/>
      <c r="BE11" s="512"/>
      <c r="BF11" s="253"/>
      <c r="BG11" s="344" t="str">
        <f>IF(AND(Name_1st_Yours&lt;&gt;"",Name_1st_Sp&lt;&gt;""),Name_1st_Yours&amp;" "&amp;Name_Last_Yours&amp;" &amp; "&amp;Name_1st_Sp&amp;" "&amp;Name_Last_Sp,IF(Name_Last_Yours&lt;&gt;"",Name_1st_Yours&amp;" "&amp;Name_Last_Yours,""))</f>
        <v/>
      </c>
      <c r="BH11" s="253"/>
      <c r="BI11" s="512"/>
      <c r="BJ11" s="512"/>
      <c r="BK11" s="253"/>
      <c r="BL11" s="253"/>
      <c r="BM11" s="253"/>
      <c r="BN11" s="253"/>
      <c r="BO11" s="253"/>
      <c r="BP11" s="253"/>
      <c r="BQ11" s="253" t="b">
        <f>OR(BP10,BQ10,BR10)</f>
        <v>0</v>
      </c>
      <c r="BR11" s="253"/>
      <c r="BS11" s="253"/>
      <c r="BT11" s="827"/>
      <c r="BU11" s="658"/>
      <c r="BV11" s="658"/>
      <c r="BW11" s="658"/>
      <c r="BX11" s="658"/>
      <c r="BY11" s="658"/>
      <c r="BZ11" s="658"/>
      <c r="CA11" s="658"/>
      <c r="CB11" s="658"/>
      <c r="CC11" s="658"/>
      <c r="CD11" s="658"/>
      <c r="CE11" s="658"/>
      <c r="CF11" s="658"/>
    </row>
    <row r="12" spans="1:84" ht="13.5" thickBot="1">
      <c r="A12" s="139"/>
      <c r="B12" s="1841"/>
      <c r="C12" s="247" t="s">
        <v>554</v>
      </c>
      <c r="D12" s="229"/>
      <c r="E12" s="229"/>
      <c r="F12" s="1842"/>
      <c r="G12" s="88"/>
      <c r="H12" s="229"/>
      <c r="I12" s="229"/>
      <c r="J12" s="229"/>
      <c r="K12" s="229"/>
      <c r="L12" s="229"/>
      <c r="M12" s="229"/>
      <c r="N12" s="229"/>
      <c r="O12" s="1838"/>
      <c r="P12" s="1838"/>
      <c r="Q12" s="1838"/>
      <c r="R12" s="1838"/>
      <c r="S12" s="1838"/>
      <c r="T12" s="1838"/>
      <c r="U12" s="1838"/>
      <c r="V12" s="1838"/>
      <c r="W12" s="1838"/>
      <c r="X12" s="1838"/>
      <c r="Y12" s="1838"/>
      <c r="Z12" s="1838"/>
      <c r="AA12" s="1838"/>
      <c r="AB12" s="1838"/>
      <c r="AC12" s="1838"/>
      <c r="AD12" s="3956" t="s">
        <v>555</v>
      </c>
      <c r="AE12" s="1841"/>
      <c r="AF12" s="1838"/>
      <c r="AG12" s="1840"/>
      <c r="AH12" s="7128" t="s">
        <v>5934</v>
      </c>
      <c r="AI12" s="7129"/>
      <c r="AJ12" s="7129"/>
      <c r="AK12" s="7129"/>
      <c r="AL12" s="7129"/>
      <c r="AM12" s="7129"/>
      <c r="AN12" s="7129"/>
      <c r="AO12" s="7129"/>
      <c r="AP12" s="7129"/>
      <c r="AQ12" s="7129"/>
      <c r="AR12" s="7129"/>
      <c r="AS12" s="7129"/>
      <c r="AT12" s="3335"/>
      <c r="AU12" s="3235" t="b">
        <f>(NumFileStatusBoxes&gt;1)</f>
        <v>0</v>
      </c>
      <c r="AV12" s="3960"/>
      <c r="AW12" s="841"/>
      <c r="AX12" s="3960"/>
      <c r="AY12" s="3960"/>
      <c r="AZ12" s="3960"/>
      <c r="BA12" s="3960"/>
      <c r="BB12" s="253"/>
      <c r="BC12" s="512"/>
      <c r="BD12" s="512"/>
      <c r="BE12" s="512"/>
      <c r="BF12" s="1992" t="b">
        <f>AND(OR(File_Single&lt;&gt;"",File_Head&lt;&gt;""),OR(sp_over_64&lt;&gt;"",sp_blind&lt;&gt;"",DependentSPOUSE&lt;&gt;"",Dual_Status_Alien&lt;&gt;""))</f>
        <v>0</v>
      </c>
      <c r="BG12" s="580"/>
      <c r="BH12" s="253"/>
      <c r="BI12" s="253"/>
      <c r="BJ12" s="512"/>
      <c r="BK12" s="512"/>
      <c r="BL12" s="253"/>
      <c r="BM12" s="253"/>
      <c r="BN12" s="253"/>
      <c r="BO12" s="253"/>
      <c r="BP12" s="253"/>
      <c r="BQ12" s="350" t="s">
        <v>550</v>
      </c>
      <c r="BR12" s="253"/>
      <c r="BS12" s="253"/>
      <c r="BT12" s="827"/>
      <c r="BU12" s="658"/>
      <c r="BV12" s="658"/>
      <c r="BW12" s="658"/>
      <c r="BX12" s="658"/>
      <c r="BY12" s="658"/>
      <c r="BZ12" s="658"/>
      <c r="CA12" s="658"/>
      <c r="CB12" s="658"/>
      <c r="CC12" s="658"/>
      <c r="CD12" s="658"/>
      <c r="CE12" s="658"/>
      <c r="CF12" s="658"/>
    </row>
    <row r="13" spans="1:84" ht="22.5" customHeight="1">
      <c r="A13" s="139"/>
      <c r="B13" s="7130"/>
      <c r="C13" s="7130"/>
      <c r="D13" s="7130"/>
      <c r="E13" s="7130"/>
      <c r="F13" s="7130"/>
      <c r="G13" s="7130"/>
      <c r="H13" s="7130"/>
      <c r="I13" s="7130"/>
      <c r="J13" s="7130"/>
      <c r="K13" s="7130"/>
      <c r="L13" s="7130"/>
      <c r="M13" s="7130"/>
      <c r="N13" s="7130"/>
      <c r="O13" s="7130"/>
      <c r="P13" s="7130"/>
      <c r="Q13" s="7130"/>
      <c r="R13" s="7130"/>
      <c r="S13" s="7130"/>
      <c r="T13" s="7130"/>
      <c r="U13" s="7130"/>
      <c r="V13" s="7130"/>
      <c r="W13" s="7130"/>
      <c r="X13" s="7130"/>
      <c r="Y13" s="7130"/>
      <c r="Z13" s="7130"/>
      <c r="AA13" s="7130"/>
      <c r="AB13" s="7130"/>
      <c r="AC13" s="7131"/>
      <c r="AD13" s="7113"/>
      <c r="AE13" s="7114"/>
      <c r="AF13" s="7114"/>
      <c r="AG13" s="7047"/>
      <c r="AH13" s="7437" t="str">
        <f>"if filing a joint return, was in the U.S. for more than half of "&amp;TaxYear&amp;"."</f>
        <v>if filing a joint return, was in the U.S. for more than half of 2025.</v>
      </c>
      <c r="AI13" s="7088"/>
      <c r="AJ13" s="7088"/>
      <c r="AK13" s="7088"/>
      <c r="AL13" s="7088"/>
      <c r="AM13" s="7088"/>
      <c r="AN13" s="7088"/>
      <c r="AO13" s="7088"/>
      <c r="AP13" s="7088"/>
      <c r="AQ13" s="7088"/>
      <c r="AR13" s="7089"/>
      <c r="AS13" s="1809" t="s">
        <v>2119</v>
      </c>
      <c r="AT13" s="3335"/>
      <c r="AU13" s="3961" t="b">
        <f>IF(AND(OR(File_Single&lt;&gt;"",File_Head&lt;&gt;""),OR(sp_over_64&lt;&gt;"",sp_blind&lt;&gt;"")),TRUE,FALSE)</f>
        <v>0</v>
      </c>
      <c r="AV13" s="3962"/>
      <c r="AW13" s="3963" t="str">
        <f>IF(AND($BF$13,BI15,BI17),"Birthdates",IF($BF$13,"Enter your birthdate and your spouse's birthdate.",IF(BI15,"Birthdate","Enter your birthdate.")))</f>
        <v>Enter your birthdate.</v>
      </c>
      <c r="AX13" s="377"/>
      <c r="AY13" s="377"/>
      <c r="AZ13" s="377"/>
      <c r="BA13" s="378"/>
      <c r="BB13" s="512"/>
      <c r="BC13" s="512"/>
      <c r="BD13" s="512"/>
      <c r="BE13" s="512"/>
      <c r="BF13" s="3964" t="b">
        <f>OR(File_Marr_Joint&lt;&gt;"",File_Marr_Sep&lt;&gt;"",File_Qual_Widow&lt;&gt;"")</f>
        <v>0</v>
      </c>
      <c r="BG13" s="344" t="str">
        <f>Name_1st_Yours&amp;" "&amp;Name_Last_Yours</f>
        <v xml:space="preserve"> </v>
      </c>
      <c r="BH13" s="344"/>
      <c r="BI13" s="344" t="str">
        <f>Name_1st_Sp&amp;" "&amp;Name_Last_Sp</f>
        <v xml:space="preserve"> </v>
      </c>
      <c r="BJ13" s="344"/>
      <c r="BK13" s="512"/>
      <c r="BL13" s="253"/>
      <c r="BM13" s="253"/>
      <c r="BN13" s="253"/>
      <c r="BO13" s="253"/>
      <c r="BP13" s="253"/>
      <c r="BQ13" s="344" t="s">
        <v>551</v>
      </c>
      <c r="BR13" s="253"/>
      <c r="BT13" s="827"/>
      <c r="BU13" s="658"/>
      <c r="BV13" s="658"/>
      <c r="BW13" s="658"/>
      <c r="BX13" s="658"/>
      <c r="BY13" s="658"/>
      <c r="BZ13" s="658"/>
      <c r="CA13" s="658"/>
      <c r="CB13" s="658"/>
      <c r="CC13" s="658"/>
      <c r="CD13" s="658"/>
      <c r="CE13" s="658"/>
      <c r="CF13" s="658"/>
    </row>
    <row r="14" spans="1:84" ht="16.5" customHeight="1" thickBot="1">
      <c r="A14" s="139"/>
      <c r="B14" s="1838"/>
      <c r="C14" s="1841" t="s">
        <v>560</v>
      </c>
      <c r="D14" s="1838"/>
      <c r="E14" s="1838"/>
      <c r="F14" s="223"/>
      <c r="G14" s="1839"/>
      <c r="H14" s="1838"/>
      <c r="I14" s="1838"/>
      <c r="J14" s="1838"/>
      <c r="K14" s="1838"/>
      <c r="L14" s="1838"/>
      <c r="M14" s="1838"/>
      <c r="N14" s="1838"/>
      <c r="O14" s="1838"/>
      <c r="P14" s="1838"/>
      <c r="Q14" s="1838"/>
      <c r="R14" s="1838"/>
      <c r="S14" s="1838"/>
      <c r="T14" s="1838"/>
      <c r="U14" s="1838"/>
      <c r="V14" s="1838"/>
      <c r="W14" s="1838"/>
      <c r="X14" s="7156" t="s">
        <v>309</v>
      </c>
      <c r="Y14" s="7157"/>
      <c r="Z14" s="7157"/>
      <c r="AA14" s="7157"/>
      <c r="AB14" s="7158"/>
      <c r="AC14" s="7156" t="s">
        <v>561</v>
      </c>
      <c r="AD14" s="7157"/>
      <c r="AE14" s="7157"/>
      <c r="AF14" s="7157"/>
      <c r="AG14" s="7158"/>
      <c r="AH14" s="7435" t="s">
        <v>556</v>
      </c>
      <c r="AI14" s="7436"/>
      <c r="AJ14" s="7436"/>
      <c r="AK14" s="7436"/>
      <c r="AL14" s="7436"/>
      <c r="AM14" s="7436"/>
      <c r="AN14" s="7436"/>
      <c r="AO14" s="7436"/>
      <c r="AP14" s="7436"/>
      <c r="AQ14" s="7436"/>
      <c r="AR14" s="7436"/>
      <c r="AS14" s="7436"/>
      <c r="AT14" s="3335"/>
      <c r="AU14" s="3961"/>
      <c r="AV14" s="3965"/>
      <c r="AW14" s="730"/>
      <c r="AX14" s="730" t="s">
        <v>557</v>
      </c>
      <c r="AY14" s="730" t="s">
        <v>558</v>
      </c>
      <c r="AZ14" s="730" t="s">
        <v>559</v>
      </c>
      <c r="BA14" s="2707"/>
      <c r="BB14" s="512"/>
      <c r="BC14" s="512"/>
      <c r="BD14" s="512"/>
      <c r="BE14" s="512"/>
      <c r="BF14" s="689">
        <f>IF(you_over_64&lt;&gt;"",1,0)</f>
        <v>0</v>
      </c>
      <c r="BG14" s="759" t="s">
        <v>5831</v>
      </c>
      <c r="BH14" s="253"/>
      <c r="BI14" s="512"/>
      <c r="BJ14" s="512"/>
      <c r="BK14" s="253"/>
      <c r="BL14" s="253"/>
      <c r="BM14" s="253"/>
      <c r="BN14" s="253"/>
      <c r="BO14" s="253"/>
      <c r="BP14" s="253"/>
      <c r="BQ14" s="253"/>
      <c r="BR14" s="253"/>
      <c r="BS14" s="253"/>
      <c r="BT14" s="827"/>
      <c r="BU14" s="658"/>
      <c r="BV14" s="658"/>
      <c r="BW14" s="658"/>
      <c r="BX14" s="658"/>
      <c r="BY14" s="658"/>
      <c r="BZ14" s="658"/>
      <c r="CA14" s="658"/>
      <c r="CB14" s="658"/>
      <c r="CC14" s="658"/>
      <c r="CD14" s="658"/>
      <c r="CE14" s="658"/>
      <c r="CF14" s="658"/>
    </row>
    <row r="15" spans="1:84" ht="20.25" customHeight="1" thickBot="1">
      <c r="A15" s="139"/>
      <c r="B15" s="7159"/>
      <c r="C15" s="7160"/>
      <c r="D15" s="7160"/>
      <c r="E15" s="7160"/>
      <c r="F15" s="7160"/>
      <c r="G15" s="7160"/>
      <c r="H15" s="7160"/>
      <c r="I15" s="7160"/>
      <c r="J15" s="7160"/>
      <c r="K15" s="7160"/>
      <c r="L15" s="7160"/>
      <c r="M15" s="7160"/>
      <c r="N15" s="7160"/>
      <c r="O15" s="7160"/>
      <c r="P15" s="7160"/>
      <c r="Q15" s="7160"/>
      <c r="R15" s="7160"/>
      <c r="S15" s="7160"/>
      <c r="T15" s="7160"/>
      <c r="U15" s="7160"/>
      <c r="V15" s="7160"/>
      <c r="W15" s="7161"/>
      <c r="X15" s="7167"/>
      <c r="Y15" s="7168"/>
      <c r="Z15" s="7168"/>
      <c r="AA15" s="7168"/>
      <c r="AB15" s="7169"/>
      <c r="AC15" s="7167"/>
      <c r="AD15" s="7168"/>
      <c r="AE15" s="7168"/>
      <c r="AF15" s="7168"/>
      <c r="AG15" s="7169"/>
      <c r="AH15" s="7434" t="s">
        <v>5933</v>
      </c>
      <c r="AI15" s="7086"/>
      <c r="AJ15" s="7086"/>
      <c r="AK15" s="7086"/>
      <c r="AL15" s="7086"/>
      <c r="AM15" s="7086"/>
      <c r="AN15" s="7086"/>
      <c r="AO15" s="7086"/>
      <c r="AP15" s="7086"/>
      <c r="AQ15" s="7086"/>
      <c r="AR15" s="7086"/>
      <c r="AS15" s="7086"/>
      <c r="AT15" s="3335"/>
      <c r="AU15" s="3961"/>
      <c r="AV15" s="341"/>
      <c r="AW15" s="1061" t="s">
        <v>562</v>
      </c>
      <c r="AX15" s="472"/>
      <c r="AY15" s="472"/>
      <c r="AZ15" s="472"/>
      <c r="BA15" s="3966"/>
      <c r="BB15" s="512"/>
      <c r="BC15" s="512"/>
      <c r="BD15" s="512"/>
      <c r="BE15" s="512"/>
      <c r="BF15" s="689">
        <f>IF(you_blind&lt;&gt;"",1,0)</f>
        <v>0</v>
      </c>
      <c r="BG15" s="759" t="s">
        <v>5832</v>
      </c>
      <c r="BH15" s="730"/>
      <c r="BI15" s="344" t="b">
        <f>AND(YourBirthMonth&lt;&gt;"",YourBirthDay&lt;&gt;"",YourBirthYear&lt;&gt;"")</f>
        <v>0</v>
      </c>
      <c r="BJ15" s="344" t="str">
        <f>IF(OR(YourBirthMonth="",YourBirthDay="",YourBirthYear=""),"Enter your birthdate",IF(BL123,"Your birthdate appears to be in error.",IF(BI16,"For IRS purposes, you were "&amp;YourAge&amp;" years old on December 31, "&amp;TaxYear&amp;".","You were "&amp;YourAge&amp;" years old on December 31, "&amp;TaxYear&amp;".")))</f>
        <v>Enter your birthdate</v>
      </c>
      <c r="BK15" s="253"/>
      <c r="BL15" s="253"/>
      <c r="BM15" s="253"/>
      <c r="BN15" s="253"/>
      <c r="BO15" s="253"/>
      <c r="BP15" s="253"/>
      <c r="BQ15" s="253"/>
      <c r="BR15" s="253"/>
      <c r="BS15" s="253"/>
      <c r="BT15" s="827"/>
      <c r="BU15" s="658"/>
      <c r="BV15" s="658"/>
      <c r="BW15" s="658"/>
      <c r="BX15" s="658"/>
      <c r="BY15" s="658"/>
      <c r="BZ15" s="658"/>
      <c r="CA15" s="658"/>
      <c r="CB15" s="658"/>
      <c r="CC15" s="658"/>
      <c r="CD15" s="658"/>
      <c r="CE15" s="658"/>
      <c r="CF15" s="658"/>
    </row>
    <row r="16" spans="1:84" ht="16.5" customHeight="1" thickBot="1">
      <c r="A16" s="139"/>
      <c r="B16" s="1838"/>
      <c r="C16" s="247" t="s">
        <v>563</v>
      </c>
      <c r="D16" s="1838"/>
      <c r="E16" s="1838"/>
      <c r="F16" s="223"/>
      <c r="G16" s="1839"/>
      <c r="H16" s="1838"/>
      <c r="I16" s="1838"/>
      <c r="J16" s="1838"/>
      <c r="K16" s="1838"/>
      <c r="L16" s="1838"/>
      <c r="M16" s="1838"/>
      <c r="N16" s="1838"/>
      <c r="O16" s="1838"/>
      <c r="P16" s="1838"/>
      <c r="Q16" s="1838"/>
      <c r="R16" s="1838"/>
      <c r="S16" s="3956" t="s">
        <v>564</v>
      </c>
      <c r="T16" s="1838"/>
      <c r="U16" s="1838"/>
      <c r="V16" s="1838"/>
      <c r="W16" s="1838"/>
      <c r="X16" s="1838"/>
      <c r="Y16" s="1838"/>
      <c r="Z16" s="1838"/>
      <c r="AA16" s="1838"/>
      <c r="AB16" s="1838"/>
      <c r="AC16" s="3956" t="s">
        <v>565</v>
      </c>
      <c r="AD16" s="1838"/>
      <c r="AE16" s="1838"/>
      <c r="AF16" s="1838"/>
      <c r="AG16" s="1840"/>
      <c r="AH16" s="7434"/>
      <c r="AI16" s="7086"/>
      <c r="AJ16" s="7086"/>
      <c r="AK16" s="7086"/>
      <c r="AL16" s="7086"/>
      <c r="AM16" s="7086"/>
      <c r="AN16" s="7086"/>
      <c r="AO16" s="7086"/>
      <c r="AP16" s="7086"/>
      <c r="AQ16" s="7086"/>
      <c r="AR16" s="7086"/>
      <c r="AS16" s="7086"/>
      <c r="AT16" s="3335"/>
      <c r="AU16" s="1318"/>
      <c r="AV16" s="2846"/>
      <c r="AW16" s="730"/>
      <c r="AX16" s="7407" t="str">
        <f>BJ15</f>
        <v>Enter your birthdate</v>
      </c>
      <c r="AY16" s="7407"/>
      <c r="AZ16" s="7407"/>
      <c r="BA16" s="7408"/>
      <c r="BB16" s="512"/>
      <c r="BC16" s="512"/>
      <c r="BD16" s="512"/>
      <c r="BE16" s="512"/>
      <c r="BF16" s="689">
        <f>IF(AND(OR(File_Marr_Joint&lt;&gt;"",SpouseSep_NoIncome),sp_over_64&lt;&gt;""),1,0)</f>
        <v>0</v>
      </c>
      <c r="BG16" s="759" t="s">
        <v>5833</v>
      </c>
      <c r="BH16" s="3967"/>
      <c r="BI16" s="344" t="b">
        <f>AND(YourBirthMonth=1,YourBirthDay=1)</f>
        <v>0</v>
      </c>
      <c r="BJ16" s="512"/>
      <c r="BK16" s="253"/>
      <c r="BL16" s="253"/>
      <c r="BM16" s="253"/>
      <c r="BN16" s="253"/>
      <c r="BO16" s="253"/>
      <c r="BP16" s="253"/>
      <c r="BQ16" s="253"/>
      <c r="BR16" s="253"/>
      <c r="BS16" s="253"/>
      <c r="BT16" s="827"/>
      <c r="BU16" s="658"/>
      <c r="BV16" s="658"/>
      <c r="BW16" s="658"/>
      <c r="BX16" s="658"/>
      <c r="BY16" s="658"/>
      <c r="BZ16" s="658"/>
      <c r="CA16" s="658"/>
      <c r="CB16" s="658"/>
      <c r="CC16" s="658"/>
      <c r="CD16" s="658"/>
      <c r="CE16" s="658"/>
      <c r="CF16" s="658"/>
    </row>
    <row r="17" spans="1:84" ht="16.5" customHeight="1" thickBot="1">
      <c r="A17" s="139"/>
      <c r="B17" s="7154"/>
      <c r="C17" s="7154"/>
      <c r="D17" s="7154"/>
      <c r="E17" s="7154"/>
      <c r="F17" s="7154"/>
      <c r="G17" s="7154"/>
      <c r="H17" s="7154"/>
      <c r="I17" s="7154"/>
      <c r="J17" s="7154"/>
      <c r="K17" s="7154"/>
      <c r="L17" s="7154"/>
      <c r="M17" s="7154"/>
      <c r="N17" s="7154"/>
      <c r="O17" s="7154"/>
      <c r="P17" s="7154"/>
      <c r="Q17" s="7154"/>
      <c r="R17" s="7155"/>
      <c r="S17" s="7042"/>
      <c r="T17" s="7043"/>
      <c r="U17" s="7043"/>
      <c r="V17" s="7043"/>
      <c r="W17" s="7043"/>
      <c r="X17" s="7043"/>
      <c r="Y17" s="7043"/>
      <c r="Z17" s="7043"/>
      <c r="AA17" s="7043"/>
      <c r="AB17" s="7044"/>
      <c r="AC17" s="7042"/>
      <c r="AD17" s="7043"/>
      <c r="AE17" s="7043"/>
      <c r="AF17" s="7043"/>
      <c r="AG17" s="7044"/>
      <c r="AH17" s="1844"/>
      <c r="AI17" s="1868"/>
      <c r="AJ17" s="276"/>
      <c r="AK17" s="1847" t="s">
        <v>566</v>
      </c>
      <c r="AL17" s="1847"/>
      <c r="AM17" s="5816"/>
      <c r="AN17" s="276"/>
      <c r="AO17" s="1847" t="s">
        <v>567</v>
      </c>
      <c r="AP17" s="1847"/>
      <c r="AQ17" s="1847"/>
      <c r="AR17" s="1847"/>
      <c r="AS17" s="1827"/>
      <c r="AT17" s="3335"/>
      <c r="AU17" s="3968"/>
      <c r="AV17" s="824"/>
      <c r="AW17" s="1061" t="str">
        <f>IF($BF$13,"Spouse ","")</f>
        <v/>
      </c>
      <c r="AX17" s="472"/>
      <c r="AY17" s="472"/>
      <c r="AZ17" s="472"/>
      <c r="BA17" s="3966"/>
      <c r="BB17" s="1039"/>
      <c r="BC17" s="512"/>
      <c r="BD17" s="1039"/>
      <c r="BE17" s="1039"/>
      <c r="BF17" s="689">
        <f>IF(AND(OR(File_Marr_Joint&lt;&gt;"",SpouseSep_NoIncome),sp_blind&lt;&gt;""),1,0)</f>
        <v>0</v>
      </c>
      <c r="BG17" s="759" t="s">
        <v>5834</v>
      </c>
      <c r="BH17" s="343"/>
      <c r="BI17" s="344" t="b">
        <f>AND(OR(File_Marr_Sep&lt;&gt;"",File_Marr_Joint&lt;&gt;""),SpouseBirthMonth&lt;&gt;"",SpouseBirthDay&lt;&gt;"",SpouseBirthYear&lt;&gt;"")</f>
        <v>0</v>
      </c>
      <c r="BJ17" s="344" t="str">
        <f>IF(AND(File_Marr_Sep="",File_Marr_Joint=""),"",IF(AND(OR(File_Marr_Sep&lt;&gt;"",File_Marr_Joint&lt;&gt;""),OR(SpouseBirthMonth="",SpouseBirthDay="",SpouseBirthYear="")),"Enter spouse's birthdate.",IF(BL144,"Spouse's birthdate appears to be in error.",IF(BI22,"For IRS purposes, you were "&amp;SpouseAge&amp;" years old on December 31, "&amp;TaxYear&amp;".","Your spouse was "&amp;SpouseAge&amp;" years old on December 31, "&amp;TaxYear&amp;"."))))</f>
        <v/>
      </c>
      <c r="BK17" s="253"/>
      <c r="BL17" s="253"/>
      <c r="BM17" s="253"/>
      <c r="BN17" s="253"/>
      <c r="BO17" s="253"/>
      <c r="BP17" s="253"/>
      <c r="BQ17" s="253"/>
      <c r="BR17" s="253"/>
      <c r="BS17" s="253"/>
      <c r="BT17" s="827"/>
      <c r="BU17" s="658"/>
      <c r="BV17" s="658"/>
      <c r="BW17" s="658"/>
      <c r="BX17" s="658"/>
      <c r="BY17" s="658"/>
      <c r="BZ17" s="658"/>
      <c r="CA17" s="658"/>
      <c r="CB17" s="658"/>
      <c r="CC17" s="658"/>
      <c r="CD17" s="658"/>
      <c r="CE17" s="658"/>
      <c r="CF17" s="658"/>
    </row>
    <row r="18" spans="1:84" ht="7.5" customHeight="1">
      <c r="A18" s="139"/>
      <c r="B18" s="7130"/>
      <c r="C18" s="7130"/>
      <c r="D18" s="7130"/>
      <c r="E18" s="7130"/>
      <c r="F18" s="7130"/>
      <c r="G18" s="7130"/>
      <c r="H18" s="7130"/>
      <c r="I18" s="7130"/>
      <c r="J18" s="7130"/>
      <c r="K18" s="7130"/>
      <c r="L18" s="7130"/>
      <c r="M18" s="7130"/>
      <c r="N18" s="7130"/>
      <c r="O18" s="7130"/>
      <c r="P18" s="7130"/>
      <c r="Q18" s="7130"/>
      <c r="R18" s="7131"/>
      <c r="S18" s="7045"/>
      <c r="T18" s="7046"/>
      <c r="U18" s="7046"/>
      <c r="V18" s="7046"/>
      <c r="W18" s="7046"/>
      <c r="X18" s="7046"/>
      <c r="Y18" s="7046"/>
      <c r="Z18" s="7046"/>
      <c r="AA18" s="7046"/>
      <c r="AB18" s="7047"/>
      <c r="AC18" s="7045"/>
      <c r="AD18" s="7046"/>
      <c r="AE18" s="7046"/>
      <c r="AF18" s="7046"/>
      <c r="AG18" s="7047"/>
      <c r="AH18" s="1848"/>
      <c r="AI18" s="1849"/>
      <c r="AJ18" s="1849"/>
      <c r="AK18" s="1849"/>
      <c r="AL18" s="1849"/>
      <c r="AM18" s="1849"/>
      <c r="AN18" s="1849"/>
      <c r="AO18" s="1849"/>
      <c r="AP18" s="5817"/>
      <c r="AQ18" s="5817"/>
      <c r="AR18" s="1849"/>
      <c r="AS18" s="1850"/>
      <c r="AT18" s="3335"/>
      <c r="AU18" s="3968"/>
      <c r="AV18" s="3969" t="str">
        <f>IF(File_Marr_Joint&lt;&gt;"","Check "&amp;CHAR(10)&amp;"if deceased","")</f>
        <v/>
      </c>
      <c r="AW18" s="3970"/>
      <c r="AX18" s="7409" t="str">
        <f>BJ17</f>
        <v/>
      </c>
      <c r="AY18" s="7409"/>
      <c r="AZ18" s="7409"/>
      <c r="BA18" s="7410"/>
      <c r="BB18" s="5873"/>
      <c r="BC18" s="512"/>
      <c r="BD18" s="5873"/>
      <c r="BE18" s="5873"/>
      <c r="BF18" s="253"/>
      <c r="BG18" s="253"/>
      <c r="BH18" s="253"/>
      <c r="BI18" s="253"/>
      <c r="BJ18" s="253"/>
      <c r="BK18" s="253"/>
      <c r="BL18" s="253"/>
      <c r="BM18" s="253"/>
      <c r="BN18" s="253"/>
      <c r="BO18" s="253"/>
      <c r="BP18" s="253"/>
      <c r="BQ18" s="253"/>
      <c r="BR18" s="253"/>
      <c r="BS18" s="253"/>
      <c r="BT18" s="827"/>
      <c r="BU18" s="658"/>
      <c r="BV18" s="658"/>
      <c r="BW18" s="658"/>
      <c r="BX18" s="658"/>
      <c r="BY18" s="658"/>
      <c r="BZ18" s="658"/>
      <c r="CA18" s="658"/>
      <c r="CB18" s="658"/>
      <c r="CC18" s="658"/>
      <c r="CD18" s="658"/>
      <c r="CE18" s="658"/>
      <c r="CF18" s="658"/>
    </row>
    <row r="19" spans="1:84" ht="5.25" customHeight="1">
      <c r="A19" s="139"/>
      <c r="B19" s="1171"/>
      <c r="C19" s="1851"/>
      <c r="D19" s="1851"/>
      <c r="E19" s="1851"/>
      <c r="F19" s="1852"/>
      <c r="G19" s="1852"/>
      <c r="H19" s="1853"/>
      <c r="I19" s="1853"/>
      <c r="J19" s="1853"/>
      <c r="K19" s="1853"/>
      <c r="L19" s="1853"/>
      <c r="M19" s="1853"/>
      <c r="N19" s="1853"/>
      <c r="O19" s="1853"/>
      <c r="P19" s="1853"/>
      <c r="Q19" s="1853"/>
      <c r="R19" s="1853"/>
      <c r="S19" s="1853"/>
      <c r="T19" s="1853"/>
      <c r="U19" s="1853"/>
      <c r="V19" s="1853"/>
      <c r="W19" s="1853"/>
      <c r="X19" s="1853"/>
      <c r="Y19" s="1853"/>
      <c r="Z19" s="1853"/>
      <c r="AA19" s="1853"/>
      <c r="AB19" s="1853"/>
      <c r="AC19" s="1831"/>
      <c r="AD19" s="1853"/>
      <c r="AE19" s="1853"/>
      <c r="AF19" s="1853"/>
      <c r="AG19" s="1853"/>
      <c r="AH19" s="1854"/>
      <c r="AI19" s="1854"/>
      <c r="AJ19" s="1854"/>
      <c r="AK19" s="1854"/>
      <c r="AL19" s="5787"/>
      <c r="AM19" s="5787"/>
      <c r="AN19" s="5787"/>
      <c r="AO19" s="5787"/>
      <c r="AP19" s="5787"/>
      <c r="AQ19" s="5787"/>
      <c r="AR19" s="5787"/>
      <c r="AS19" s="5787"/>
      <c r="AT19" s="3947"/>
      <c r="AU19" s="3971"/>
      <c r="AV19" s="3972"/>
      <c r="AW19" s="3973"/>
      <c r="AX19" s="7409"/>
      <c r="AY19" s="7409"/>
      <c r="AZ19" s="7409"/>
      <c r="BA19" s="7410"/>
      <c r="BB19" s="3235"/>
      <c r="BC19" s="512"/>
      <c r="BD19" s="3235"/>
      <c r="BE19" s="3235"/>
      <c r="BF19" s="253"/>
      <c r="BG19" s="253"/>
      <c r="BH19" s="253"/>
      <c r="BI19" s="253"/>
      <c r="BJ19" s="253"/>
      <c r="BK19" s="253"/>
      <c r="BL19" s="253"/>
      <c r="BM19" s="253"/>
      <c r="BN19" s="253"/>
      <c r="BO19" s="253"/>
      <c r="BP19" s="253"/>
      <c r="BQ19" s="253"/>
      <c r="BR19" s="253"/>
      <c r="BS19" s="253"/>
      <c r="BT19" s="827"/>
      <c r="BU19" s="658"/>
      <c r="BV19" s="658"/>
      <c r="BW19" s="658"/>
      <c r="BX19" s="658"/>
      <c r="BY19" s="658"/>
      <c r="BZ19" s="658"/>
      <c r="CA19" s="658"/>
      <c r="CB19" s="658"/>
      <c r="CC19" s="658"/>
      <c r="CD19" s="658"/>
      <c r="CE19" s="658"/>
      <c r="CF19" s="658"/>
    </row>
    <row r="20" spans="1:84" ht="16.5" customHeight="1">
      <c r="A20" s="139"/>
      <c r="B20" s="7143" t="s">
        <v>5011</v>
      </c>
      <c r="C20" s="7143"/>
      <c r="D20" s="7143"/>
      <c r="E20" s="7143"/>
      <c r="F20" s="276"/>
      <c r="G20" s="1857" t="s">
        <v>546</v>
      </c>
      <c r="H20" s="1829"/>
      <c r="I20" s="1829"/>
      <c r="J20" s="1829"/>
      <c r="K20" s="1829"/>
      <c r="L20" s="1829"/>
      <c r="M20" s="1829"/>
      <c r="N20" s="1647"/>
      <c r="O20" s="1829"/>
      <c r="P20" s="1829"/>
      <c r="Q20" s="1829"/>
      <c r="R20" s="1829"/>
      <c r="S20" s="1829"/>
      <c r="T20" s="1260"/>
      <c r="U20" s="1261"/>
      <c r="V20" s="1261"/>
      <c r="W20" s="1829"/>
      <c r="X20" s="1829"/>
      <c r="Y20" s="1829"/>
      <c r="Z20" s="1829"/>
      <c r="AA20" s="3975"/>
      <c r="AB20" s="276"/>
      <c r="AC20" s="1857" t="s">
        <v>5199</v>
      </c>
      <c r="AD20" s="1982"/>
      <c r="AE20" s="1982"/>
      <c r="AF20" s="1982"/>
      <c r="AG20" s="1982"/>
      <c r="AH20" s="1982"/>
      <c r="AI20" s="1982"/>
      <c r="AJ20" s="1982"/>
      <c r="AK20" s="1982"/>
      <c r="AL20" s="1982"/>
      <c r="AM20" s="1982"/>
      <c r="AN20" s="1982"/>
      <c r="AO20" s="1982"/>
      <c r="AP20" s="1982"/>
      <c r="AQ20" s="1982"/>
      <c r="AR20" s="1982"/>
      <c r="AS20" s="1982"/>
      <c r="AT20" s="3947"/>
      <c r="AU20" s="3976"/>
      <c r="AV20" s="3977"/>
      <c r="AW20" s="3978"/>
      <c r="AX20" s="3979"/>
      <c r="AY20" s="724"/>
      <c r="AZ20" s="724"/>
      <c r="BA20" s="3980"/>
      <c r="BB20" s="5873"/>
      <c r="BC20" s="512"/>
      <c r="BD20" s="5873"/>
      <c r="BE20" s="5873"/>
      <c r="BF20" s="689">
        <f>IF(OR(AND(OR(File_Single&lt;&gt;"",File_Head&lt;&gt;""),OR(sp_over_64&lt;&gt;"",sp_blind&lt;&gt;"")),NumFileStatusBoxes=0),0,SUM(BF14:BF17))</f>
        <v>0</v>
      </c>
      <c r="BG20" s="759" t="s">
        <v>224</v>
      </c>
      <c r="BH20" s="3967"/>
      <c r="BI20" s="253" t="b">
        <f>AND(File_Marr_Sep&lt;&gt;"",MFS_Spouse_NotFiling&lt;&gt;"",DependentSPOUSE="")</f>
        <v>0</v>
      </c>
      <c r="BJ20" s="253"/>
      <c r="BK20" s="253"/>
      <c r="BL20" s="253"/>
      <c r="BM20" s="253"/>
      <c r="BN20" s="253"/>
      <c r="BO20" s="253"/>
      <c r="BP20" s="253"/>
      <c r="BQ20" s="253"/>
      <c r="BR20" s="253"/>
      <c r="BS20" s="253"/>
      <c r="BT20" s="827"/>
      <c r="BU20" s="658"/>
      <c r="BV20" s="658"/>
      <c r="BW20" s="658"/>
      <c r="BX20" s="658"/>
      <c r="BY20" s="658"/>
      <c r="BZ20" s="658"/>
      <c r="CA20" s="658"/>
      <c r="CB20" s="658"/>
      <c r="CC20" s="658"/>
      <c r="CD20" s="658"/>
      <c r="CE20" s="658"/>
      <c r="CF20" s="658"/>
    </row>
    <row r="21" spans="1:84" ht="9" customHeight="1" thickBot="1">
      <c r="A21" s="139"/>
      <c r="B21" s="7143"/>
      <c r="C21" s="7143"/>
      <c r="D21" s="7143"/>
      <c r="E21" s="7143"/>
      <c r="F21" s="1858"/>
      <c r="G21" s="1829"/>
      <c r="H21" s="1829"/>
      <c r="I21" s="1829"/>
      <c r="J21" s="1829"/>
      <c r="K21" s="1829"/>
      <c r="L21" s="1829"/>
      <c r="M21" s="1829"/>
      <c r="N21" s="1829"/>
      <c r="O21" s="1829"/>
      <c r="P21" s="1829"/>
      <c r="Q21" s="1829"/>
      <c r="R21" s="1829"/>
      <c r="S21" s="1829"/>
      <c r="T21" s="1260"/>
      <c r="U21" s="1260"/>
      <c r="V21" s="1260"/>
      <c r="W21" s="1858"/>
      <c r="X21" s="1858"/>
      <c r="Y21" s="1829"/>
      <c r="Z21" s="1829"/>
      <c r="AA21" s="1829"/>
      <c r="AB21" s="1829"/>
      <c r="AC21" s="1829"/>
      <c r="AD21" s="1829"/>
      <c r="AE21" s="1829"/>
      <c r="AF21" s="1829"/>
      <c r="AG21" s="1829"/>
      <c r="AH21" s="1829"/>
      <c r="AI21" s="1829"/>
      <c r="AJ21" s="1829"/>
      <c r="AK21" s="1829"/>
      <c r="AL21" s="1829"/>
      <c r="AM21" s="1829"/>
      <c r="AN21" s="1829"/>
      <c r="AO21" s="1829"/>
      <c r="AP21" s="1829"/>
      <c r="AQ21" s="1829"/>
      <c r="AR21" s="1829"/>
      <c r="AS21" s="1859"/>
      <c r="AT21" s="3947"/>
      <c r="AU21" s="689"/>
      <c r="AV21" s="3972"/>
      <c r="AW21" s="3981"/>
      <c r="AX21" s="3982"/>
      <c r="AY21" s="3983"/>
      <c r="AZ21" s="3983"/>
      <c r="BA21" s="3974"/>
      <c r="BB21" s="5874"/>
      <c r="BC21" s="512"/>
      <c r="BD21" s="5874"/>
      <c r="BE21" s="5874"/>
      <c r="BF21" s="3984"/>
      <c r="BG21" s="3984"/>
      <c r="BH21" s="3984"/>
      <c r="BI21" s="253"/>
      <c r="BJ21" s="253"/>
      <c r="BK21" s="253"/>
      <c r="BL21" s="253"/>
      <c r="BM21" s="253"/>
      <c r="BN21" s="253"/>
      <c r="BO21" s="563"/>
      <c r="BP21" s="563"/>
      <c r="BQ21" s="563"/>
      <c r="BR21" s="253"/>
      <c r="BS21" s="253"/>
      <c r="BT21" s="827"/>
      <c r="BU21" s="658"/>
      <c r="BV21" s="658"/>
      <c r="BW21" s="658"/>
      <c r="BX21" s="658"/>
      <c r="BY21" s="658"/>
      <c r="BZ21" s="658"/>
      <c r="CA21" s="658"/>
      <c r="CB21" s="658"/>
      <c r="CC21" s="658"/>
      <c r="CD21" s="658"/>
      <c r="CE21" s="658"/>
      <c r="CF21" s="658"/>
    </row>
    <row r="22" spans="1:84" ht="16.5" customHeight="1" thickBot="1">
      <c r="A22" s="139"/>
      <c r="B22" s="7034" t="s">
        <v>5012</v>
      </c>
      <c r="C22" s="7034"/>
      <c r="D22" s="7034"/>
      <c r="E22" s="1665"/>
      <c r="F22" s="276"/>
      <c r="G22" s="1857" t="s">
        <v>5935</v>
      </c>
      <c r="H22" s="1829"/>
      <c r="I22" s="1829"/>
      <c r="J22" s="1829"/>
      <c r="K22" s="1829"/>
      <c r="L22" s="1829"/>
      <c r="M22" s="1829"/>
      <c r="N22" s="1647"/>
      <c r="O22" s="1829"/>
      <c r="P22" s="1829"/>
      <c r="Q22" s="1829"/>
      <c r="R22" s="1829"/>
      <c r="S22" s="1829"/>
      <c r="T22" s="1260"/>
      <c r="U22" s="1261"/>
      <c r="V22" s="1261"/>
      <c r="W22" s="1829"/>
      <c r="X22" s="1829"/>
      <c r="Y22" s="1829"/>
      <c r="Z22" s="1829"/>
      <c r="AA22" s="3975"/>
      <c r="AB22" s="276"/>
      <c r="AC22" s="1857" t="s">
        <v>5198</v>
      </c>
      <c r="AD22" s="1982"/>
      <c r="AE22" s="1982"/>
      <c r="AF22" s="1982"/>
      <c r="AG22" s="1982"/>
      <c r="AH22" s="1982"/>
      <c r="AI22" s="1982"/>
      <c r="AJ22" s="1982"/>
      <c r="AK22" s="1982"/>
      <c r="AL22" s="1982"/>
      <c r="AM22" s="1982"/>
      <c r="AN22" s="1982"/>
      <c r="AO22" s="1982"/>
      <c r="AP22" s="1982"/>
      <c r="AQ22" s="1982"/>
      <c r="AR22" s="1982"/>
      <c r="AS22" s="1982"/>
      <c r="AT22" s="3947"/>
      <c r="AU22" s="689"/>
      <c r="AV22" s="3972"/>
      <c r="AW22" s="3985" t="str">
        <f>IF(AW24,"Date of death ","")</f>
        <v/>
      </c>
      <c r="AX22" s="300"/>
      <c r="AY22" s="300"/>
      <c r="AZ22" s="300"/>
      <c r="BA22" s="3974"/>
      <c r="BB22" s="5874"/>
      <c r="BC22" s="512"/>
      <c r="BD22" s="5874"/>
      <c r="BE22" s="5874"/>
      <c r="BF22" s="3984"/>
      <c r="BG22" s="3984"/>
      <c r="BH22" s="3984"/>
      <c r="BI22" s="344" t="b">
        <f>AND(SpouseBirthMonth=1,SpouseBirthDay=1)</f>
        <v>0</v>
      </c>
      <c r="BJ22" s="512"/>
      <c r="BK22" s="253"/>
      <c r="BL22" s="253"/>
      <c r="BM22" s="253"/>
      <c r="BN22" s="253"/>
      <c r="BO22" s="563"/>
      <c r="BP22" s="563"/>
      <c r="BQ22" s="563"/>
      <c r="BR22" s="253"/>
      <c r="BS22" s="253"/>
      <c r="BT22" s="827"/>
      <c r="BU22" s="658"/>
      <c r="BV22" s="658"/>
      <c r="BW22" s="658"/>
      <c r="BX22" s="658"/>
      <c r="BY22" s="658"/>
      <c r="BZ22" s="658"/>
      <c r="CA22" s="658"/>
      <c r="CB22" s="658"/>
      <c r="CC22" s="658"/>
      <c r="CD22" s="658"/>
      <c r="CE22" s="658"/>
      <c r="CF22" s="658"/>
    </row>
    <row r="23" spans="1:84" ht="9" customHeight="1" thickBot="1">
      <c r="A23" s="139"/>
      <c r="B23" s="7034"/>
      <c r="C23" s="7034"/>
      <c r="D23" s="7034"/>
      <c r="E23" s="1665"/>
      <c r="F23" s="1858"/>
      <c r="G23" s="1829"/>
      <c r="H23" s="1829"/>
      <c r="I23" s="1829"/>
      <c r="J23" s="1829"/>
      <c r="K23" s="1829"/>
      <c r="L23" s="1829"/>
      <c r="M23" s="1829"/>
      <c r="N23" s="1829"/>
      <c r="O23" s="1829"/>
      <c r="P23" s="1829"/>
      <c r="Q23" s="1829"/>
      <c r="R23" s="1829"/>
      <c r="S23" s="1829"/>
      <c r="T23" s="1260"/>
      <c r="U23" s="1260"/>
      <c r="V23" s="1260"/>
      <c r="W23" s="1858"/>
      <c r="X23" s="1858"/>
      <c r="Y23" s="1829"/>
      <c r="Z23" s="1829"/>
      <c r="AA23" s="1829"/>
      <c r="AB23" s="7179" t="s">
        <v>5821</v>
      </c>
      <c r="AC23" s="7179"/>
      <c r="AD23" s="7179"/>
      <c r="AE23" s="7179"/>
      <c r="AF23" s="7179"/>
      <c r="AG23" s="7179"/>
      <c r="AH23" s="7179"/>
      <c r="AI23" s="7179"/>
      <c r="AJ23" s="7179"/>
      <c r="AK23" s="7179"/>
      <c r="AL23" s="7179"/>
      <c r="AM23" s="7179"/>
      <c r="AN23" s="7179"/>
      <c r="AO23" s="7179"/>
      <c r="AP23" s="7179"/>
      <c r="AQ23" s="7179"/>
      <c r="AR23" s="7179"/>
      <c r="AS23" s="7179"/>
      <c r="AT23" s="3947"/>
      <c r="AU23" s="689"/>
      <c r="AV23" s="3972"/>
      <c r="AW23" s="3981"/>
      <c r="AX23" s="7411" t="str">
        <f>IF(AND(SpouseDeceased&lt;&gt;"",OR(SpouseDeathMonth="",SpouseDeathDay="",SpouseDeathYear="")),"Enter date of spouse's death.",IF(AW25,"Spouse must have lived during "&amp;TaxYear&amp;" tax year.",IF(BadDeathDate,"The date of death appears to be in error.","")))</f>
        <v/>
      </c>
      <c r="AY23" s="7411"/>
      <c r="AZ23" s="7411"/>
      <c r="BA23" s="3974"/>
      <c r="BB23" s="5874"/>
      <c r="BC23" s="512"/>
      <c r="BD23" s="5874"/>
      <c r="BE23" s="5874"/>
      <c r="BF23" s="3984"/>
      <c r="BG23" s="3984"/>
      <c r="BH23" s="3984"/>
      <c r="BI23" s="253"/>
      <c r="BJ23" s="344"/>
      <c r="BK23" s="253"/>
      <c r="BL23" s="253"/>
      <c r="BM23" s="253"/>
      <c r="BN23" s="253"/>
      <c r="BO23" s="563"/>
      <c r="BP23" s="563"/>
      <c r="BQ23" s="563"/>
      <c r="BR23" s="253"/>
      <c r="BS23" s="253"/>
      <c r="BT23" s="827"/>
      <c r="BU23" s="658"/>
      <c r="BV23" s="658"/>
      <c r="BW23" s="658"/>
      <c r="BX23" s="658"/>
      <c r="BY23" s="658"/>
      <c r="BZ23" s="658"/>
      <c r="CA23" s="658"/>
      <c r="CB23" s="658"/>
      <c r="CC23" s="658"/>
      <c r="CD23" s="658"/>
      <c r="CE23" s="658"/>
      <c r="CF23" s="658"/>
    </row>
    <row r="24" spans="1:84" ht="16.5" customHeight="1" thickBot="1">
      <c r="A24" s="139"/>
      <c r="B24" s="7034"/>
      <c r="C24" s="7034"/>
      <c r="D24" s="7034"/>
      <c r="E24" s="1665"/>
      <c r="F24" s="276"/>
      <c r="G24" s="1857" t="s">
        <v>5695</v>
      </c>
      <c r="H24" s="1829"/>
      <c r="I24" s="1829"/>
      <c r="J24" s="1829"/>
      <c r="K24" s="1829"/>
      <c r="L24" s="1829"/>
      <c r="M24" s="1829"/>
      <c r="N24" s="1829"/>
      <c r="O24" s="1829"/>
      <c r="P24" s="1829"/>
      <c r="Q24" s="1829"/>
      <c r="R24" s="1829"/>
      <c r="S24" s="1829"/>
      <c r="T24" s="1260"/>
      <c r="U24" s="1260"/>
      <c r="V24" s="1260"/>
      <c r="W24" s="1260"/>
      <c r="X24" s="1260"/>
      <c r="Y24" s="1260"/>
      <c r="Z24" s="1260"/>
      <c r="AA24" s="1260"/>
      <c r="AB24" s="7179"/>
      <c r="AC24" s="7179"/>
      <c r="AD24" s="7179"/>
      <c r="AE24" s="7179"/>
      <c r="AF24" s="7179"/>
      <c r="AG24" s="7179"/>
      <c r="AH24" s="7179"/>
      <c r="AI24" s="7179"/>
      <c r="AJ24" s="7179"/>
      <c r="AK24" s="7179"/>
      <c r="AL24" s="7179"/>
      <c r="AM24" s="7179"/>
      <c r="AN24" s="7179"/>
      <c r="AO24" s="7179"/>
      <c r="AP24" s="7179"/>
      <c r="AQ24" s="7179"/>
      <c r="AR24" s="7179"/>
      <c r="AS24" s="7179"/>
      <c r="AT24" s="3947"/>
      <c r="AU24" s="689"/>
      <c r="AV24" s="3972"/>
      <c r="AW24" s="3986" t="b">
        <f>AND($AV$17&lt;&gt;"",$BF$13)</f>
        <v>0</v>
      </c>
      <c r="AX24" s="7412"/>
      <c r="AY24" s="7412"/>
      <c r="AZ24" s="7412"/>
      <c r="BA24" s="3974"/>
      <c r="BB24" s="5874"/>
      <c r="BC24" s="512"/>
      <c r="BD24" s="5874"/>
      <c r="BE24" s="5874"/>
      <c r="BF24" s="3984"/>
      <c r="BG24" s="3984"/>
      <c r="BH24" s="3984"/>
      <c r="BI24" s="338" t="b">
        <f>AND($AW$24,SpouseAge&gt;65)</f>
        <v>0</v>
      </c>
      <c r="BJ24" s="339" t="s">
        <v>6071</v>
      </c>
      <c r="BK24" s="377"/>
      <c r="BL24" s="377"/>
      <c r="BM24" s="378"/>
      <c r="BN24" s="253"/>
      <c r="BO24" s="563"/>
      <c r="BP24" s="563"/>
      <c r="BQ24" s="563"/>
      <c r="BR24" s="253"/>
      <c r="BS24" s="253"/>
      <c r="BT24" s="827"/>
      <c r="BU24" s="658"/>
      <c r="BV24" s="658"/>
      <c r="BW24" s="658"/>
      <c r="BX24" s="658"/>
      <c r="BY24" s="658"/>
      <c r="BZ24" s="658"/>
      <c r="CA24" s="658"/>
      <c r="CB24" s="658"/>
      <c r="CC24" s="658"/>
      <c r="CD24" s="658"/>
      <c r="CE24" s="658"/>
      <c r="CF24" s="658"/>
    </row>
    <row r="25" spans="1:84" ht="15.75" customHeight="1">
      <c r="A25" s="139"/>
      <c r="B25" s="1665"/>
      <c r="C25" s="2855"/>
      <c r="D25" s="1665"/>
      <c r="E25" s="1665"/>
      <c r="F25" s="1858"/>
      <c r="G25" s="1860" t="s">
        <v>5696</v>
      </c>
      <c r="H25" s="1829"/>
      <c r="I25" s="1829"/>
      <c r="J25" s="1829"/>
      <c r="K25" s="1829"/>
      <c r="L25" s="1829"/>
      <c r="M25" s="1829"/>
      <c r="N25" s="7079"/>
      <c r="O25" s="7079"/>
      <c r="P25" s="7079"/>
      <c r="Q25" s="7079"/>
      <c r="R25" s="7079"/>
      <c r="S25" s="7079"/>
      <c r="T25" s="7079"/>
      <c r="U25" s="7079"/>
      <c r="V25" s="7079"/>
      <c r="W25" s="7079"/>
      <c r="X25" s="7079"/>
      <c r="Y25" s="7079"/>
      <c r="Z25" s="1260"/>
      <c r="AA25" s="1260"/>
      <c r="AB25" s="7079"/>
      <c r="AC25" s="7079"/>
      <c r="AD25" s="7079"/>
      <c r="AE25" s="7079"/>
      <c r="AF25" s="7079"/>
      <c r="AG25" s="7079"/>
      <c r="AH25" s="7079"/>
      <c r="AI25" s="7079"/>
      <c r="AJ25" s="7079"/>
      <c r="AK25" s="7079"/>
      <c r="AL25" s="7079"/>
      <c r="AM25" s="7079"/>
      <c r="AN25" s="7079"/>
      <c r="AO25" s="7079"/>
      <c r="AP25" s="7079"/>
      <c r="AQ25" s="7079"/>
      <c r="AR25" s="7079"/>
      <c r="AS25" s="7079"/>
      <c r="AT25" s="3947"/>
      <c r="AU25" s="689"/>
      <c r="AV25" s="3988"/>
      <c r="AW25" s="3988" t="b">
        <f>AND(SpouseDeceased&lt;&gt;"",SpouseDeathYear&lt;&gt;"",SpouseDeathYear&lt;&gt;TaxYear)</f>
        <v>0</v>
      </c>
      <c r="AX25" s="3988"/>
      <c r="AY25" s="3988"/>
      <c r="AZ25" s="3988"/>
      <c r="BA25" s="3988"/>
      <c r="BB25" s="5874"/>
      <c r="BC25" s="512"/>
      <c r="BD25" s="5874"/>
      <c r="BE25" s="5874"/>
      <c r="BF25" s="3984"/>
      <c r="BG25" s="3984"/>
      <c r="BH25" s="3984"/>
      <c r="BI25" s="341" t="b">
        <f>AND($AW$24,SpouseAge=65)</f>
        <v>0</v>
      </c>
      <c r="BJ25" s="344" t="s">
        <v>6072</v>
      </c>
      <c r="BK25" s="253"/>
      <c r="BL25" s="253"/>
      <c r="BM25" s="379"/>
      <c r="BN25" s="253"/>
      <c r="BO25" s="563"/>
      <c r="BP25" s="563"/>
      <c r="BQ25" s="563"/>
      <c r="BR25" s="253"/>
      <c r="BS25" s="253"/>
      <c r="BT25" s="827"/>
      <c r="BU25" s="658"/>
      <c r="BV25" s="658"/>
      <c r="BW25" s="658"/>
      <c r="BX25" s="658"/>
      <c r="BY25" s="658"/>
      <c r="BZ25" s="658"/>
      <c r="CA25" s="658"/>
      <c r="CB25" s="658"/>
      <c r="CC25" s="658"/>
      <c r="CD25" s="658"/>
      <c r="CE25" s="658"/>
      <c r="CF25" s="658"/>
    </row>
    <row r="26" spans="1:84" ht="8.25" customHeight="1">
      <c r="A26" s="139"/>
      <c r="B26" s="1665"/>
      <c r="C26" s="2855"/>
      <c r="D26" s="1665"/>
      <c r="E26" s="1665"/>
      <c r="F26" s="1858"/>
      <c r="G26" s="1860"/>
      <c r="H26" s="1829"/>
      <c r="I26" s="1829"/>
      <c r="J26" s="1829"/>
      <c r="K26" s="1829"/>
      <c r="L26" s="1829"/>
      <c r="M26" s="1829"/>
      <c r="N26" s="1829"/>
      <c r="O26" s="1829"/>
      <c r="P26" s="1829"/>
      <c r="Q26" s="1829"/>
      <c r="R26" s="1829"/>
      <c r="S26" s="1829"/>
      <c r="T26" s="1829"/>
      <c r="U26" s="1829"/>
      <c r="V26" s="1829"/>
      <c r="W26" s="1829"/>
      <c r="X26" s="1829"/>
      <c r="Y26" s="1829"/>
      <c r="Z26" s="1829"/>
      <c r="AA26" s="1829"/>
      <c r="AB26" s="1829"/>
      <c r="AC26" s="1829"/>
      <c r="AD26" s="1829"/>
      <c r="AE26" s="1829"/>
      <c r="AF26" s="1829"/>
      <c r="AG26" s="1829"/>
      <c r="AH26" s="1829"/>
      <c r="AI26" s="1829"/>
      <c r="AJ26" s="1829"/>
      <c r="AK26" s="1829"/>
      <c r="AL26" s="1829"/>
      <c r="AM26" s="1829"/>
      <c r="AN26" s="1829"/>
      <c r="AO26" s="1829"/>
      <c r="AP26" s="1829"/>
      <c r="AQ26" s="1829"/>
      <c r="AR26" s="1829"/>
      <c r="AS26" s="1829"/>
      <c r="AT26" s="3947"/>
      <c r="AU26" s="689"/>
      <c r="AV26" s="512"/>
      <c r="AW26" s="512"/>
      <c r="AX26" s="512"/>
      <c r="AY26" s="512"/>
      <c r="AZ26" s="512"/>
      <c r="BA26" s="512"/>
      <c r="BB26" s="5874"/>
      <c r="BC26" s="512"/>
      <c r="BD26" s="5874"/>
      <c r="BE26" s="5874"/>
      <c r="BF26" s="3984"/>
      <c r="BG26" s="3984"/>
      <c r="BH26" s="3984"/>
      <c r="BI26" s="341"/>
      <c r="BJ26" s="344"/>
      <c r="BK26" s="253"/>
      <c r="BL26" s="253"/>
      <c r="BM26" s="379"/>
      <c r="BN26" s="253"/>
      <c r="BO26" s="563"/>
      <c r="BP26" s="563"/>
      <c r="BQ26" s="563"/>
      <c r="BR26" s="253"/>
      <c r="BS26" s="253"/>
      <c r="BT26" s="827"/>
      <c r="BU26" s="658"/>
      <c r="BV26" s="658"/>
      <c r="BW26" s="658"/>
      <c r="BX26" s="658"/>
      <c r="BY26" s="658"/>
      <c r="BZ26" s="658"/>
      <c r="CA26" s="658"/>
      <c r="CB26" s="658"/>
      <c r="CC26" s="658"/>
      <c r="CD26" s="658"/>
      <c r="CE26" s="658"/>
      <c r="CF26" s="658"/>
    </row>
    <row r="27" spans="1:84" ht="14.25" customHeight="1">
      <c r="A27" s="139"/>
      <c r="B27" s="1665"/>
      <c r="C27" s="319"/>
      <c r="D27" s="1861"/>
      <c r="E27" s="1861"/>
      <c r="F27" s="276"/>
      <c r="G27" s="3989" t="s">
        <v>5693</v>
      </c>
      <c r="H27" s="1829"/>
      <c r="I27" s="1829"/>
      <c r="J27" s="1829"/>
      <c r="K27" s="1829"/>
      <c r="L27" s="1829"/>
      <c r="M27" s="1829"/>
      <c r="N27" s="1829"/>
      <c r="O27" s="1829"/>
      <c r="P27" s="1829"/>
      <c r="Q27" s="1829"/>
      <c r="R27" s="1829"/>
      <c r="S27" s="1829"/>
      <c r="T27" s="1260"/>
      <c r="U27" s="1260"/>
      <c r="V27" s="1260"/>
      <c r="W27" s="1858"/>
      <c r="X27" s="1858"/>
      <c r="Y27" s="1858"/>
      <c r="Z27" s="1858"/>
      <c r="AA27" s="1858"/>
      <c r="AB27" s="1858"/>
      <c r="AC27" s="1858"/>
      <c r="AD27" s="1858"/>
      <c r="AE27" s="1858"/>
      <c r="AF27" s="1858"/>
      <c r="AG27" s="1858"/>
      <c r="AH27" s="1858"/>
      <c r="AI27" s="1858"/>
      <c r="AJ27" s="1858"/>
      <c r="AK27" s="1858"/>
      <c r="AL27" s="1829"/>
      <c r="AM27" s="1829"/>
      <c r="AN27" s="1829"/>
      <c r="AO27" s="1829"/>
      <c r="AP27" s="1829"/>
      <c r="AQ27" s="1829"/>
      <c r="AR27" s="1829"/>
      <c r="AS27" s="1859"/>
      <c r="AT27" s="3947"/>
      <c r="AU27" s="689"/>
      <c r="AV27" s="512"/>
      <c r="AW27" s="512"/>
      <c r="AX27" s="512"/>
      <c r="AY27" s="512"/>
      <c r="AZ27" s="512"/>
      <c r="BA27" s="512"/>
      <c r="BB27" s="5874"/>
      <c r="BC27" s="512"/>
      <c r="BD27" s="5874"/>
      <c r="BE27" s="5874"/>
      <c r="BF27" s="253"/>
      <c r="BG27" s="253"/>
      <c r="BH27" s="253"/>
      <c r="BI27" s="341" t="b">
        <f>AND($AW$24,OR(SpouseDeathMonth&lt;SpouseBirthMonth,AND(SpouseDeathMonth=SpouseBirthMonth,SpouseDeathDay&lt;SpouseBirthDay)))</f>
        <v>0</v>
      </c>
      <c r="BJ27" s="344" t="s">
        <v>6073</v>
      </c>
      <c r="BK27" s="253"/>
      <c r="BL27" s="253"/>
      <c r="BM27" s="379"/>
      <c r="BN27" s="253"/>
      <c r="BO27" s="563"/>
      <c r="BP27" s="563"/>
      <c r="BQ27" s="563"/>
      <c r="BR27" s="253"/>
      <c r="BS27" s="253"/>
      <c r="BT27" s="827"/>
      <c r="BU27" s="658"/>
      <c r="BV27" s="658"/>
      <c r="BW27" s="658"/>
      <c r="BX27" s="658"/>
      <c r="BY27" s="658"/>
      <c r="BZ27" s="658"/>
      <c r="CA27" s="658"/>
      <c r="CB27" s="658"/>
      <c r="CC27" s="658"/>
      <c r="CD27" s="658"/>
      <c r="CE27" s="658"/>
      <c r="CF27" s="658"/>
    </row>
    <row r="28" spans="1:84" ht="14.25" customHeight="1" thickBot="1">
      <c r="A28" s="139"/>
      <c r="B28" s="1665"/>
      <c r="C28" s="319"/>
      <c r="D28" s="1861"/>
      <c r="E28" s="1861"/>
      <c r="F28" s="1862"/>
      <c r="G28" s="3989" t="s">
        <v>5694</v>
      </c>
      <c r="H28" s="1829"/>
      <c r="I28" s="1829"/>
      <c r="J28" s="1829"/>
      <c r="K28" s="1829"/>
      <c r="L28" s="1829"/>
      <c r="M28" s="1829"/>
      <c r="N28" s="1829"/>
      <c r="O28" s="1829"/>
      <c r="P28" s="1829"/>
      <c r="Q28" s="1829"/>
      <c r="R28" s="1829"/>
      <c r="S28" s="1829"/>
      <c r="T28" s="1829"/>
      <c r="U28" s="1829"/>
      <c r="V28" s="1829"/>
      <c r="W28" s="1829"/>
      <c r="X28" s="1829"/>
      <c r="Y28" s="1829"/>
      <c r="Z28" s="1829"/>
      <c r="AA28" s="7166"/>
      <c r="AB28" s="7166"/>
      <c r="AC28" s="7166"/>
      <c r="AD28" s="7166"/>
      <c r="AE28" s="7166"/>
      <c r="AF28" s="7166"/>
      <c r="AG28" s="7166"/>
      <c r="AH28" s="7166"/>
      <c r="AI28" s="7166"/>
      <c r="AJ28" s="7166"/>
      <c r="AK28" s="7166"/>
      <c r="AL28" s="7166"/>
      <c r="AM28" s="7166"/>
      <c r="AN28" s="7166"/>
      <c r="AO28" s="7166"/>
      <c r="AP28" s="7166"/>
      <c r="AQ28" s="7166"/>
      <c r="AR28" s="7166"/>
      <c r="AS28" s="7166"/>
      <c r="AT28" s="3947"/>
      <c r="AU28" s="689"/>
      <c r="AV28" s="512"/>
      <c r="AW28" s="512"/>
      <c r="AX28" s="512"/>
      <c r="AY28" s="512"/>
      <c r="AZ28" s="512"/>
      <c r="BA28" s="512"/>
      <c r="BB28" s="5874"/>
      <c r="BC28" s="512"/>
      <c r="BD28" s="5874"/>
      <c r="BE28" s="5874"/>
      <c r="BF28" s="253"/>
      <c r="BG28" s="253"/>
      <c r="BH28" s="253"/>
      <c r="BI28" s="347" t="b">
        <f>OR(BI24,AND(BI25,NOT(BI27)))</f>
        <v>0</v>
      </c>
      <c r="BJ28" s="498" t="s">
        <v>6074</v>
      </c>
      <c r="BK28" s="380"/>
      <c r="BL28" s="380"/>
      <c r="BM28" s="381"/>
      <c r="BN28" s="253"/>
      <c r="BO28" s="563"/>
      <c r="BP28" s="563"/>
      <c r="BQ28" s="563"/>
      <c r="BR28" s="253"/>
      <c r="BS28" s="253"/>
      <c r="BT28" s="827"/>
      <c r="BU28" s="658"/>
      <c r="BV28" s="658"/>
      <c r="BW28" s="658"/>
      <c r="BX28" s="658"/>
      <c r="BY28" s="658"/>
      <c r="BZ28" s="658"/>
      <c r="CA28" s="658"/>
      <c r="CB28" s="658"/>
      <c r="CC28" s="658"/>
      <c r="CD28" s="658"/>
      <c r="CE28" s="658"/>
      <c r="CF28" s="658"/>
    </row>
    <row r="29" spans="1:84" ht="4.5" customHeight="1">
      <c r="A29" s="139"/>
      <c r="B29" s="1863"/>
      <c r="C29" s="1864"/>
      <c r="D29" s="1865"/>
      <c r="E29" s="1865"/>
      <c r="F29" s="1866"/>
      <c r="G29" s="1867"/>
      <c r="H29" s="1867"/>
      <c r="I29" s="1867"/>
      <c r="J29" s="1867"/>
      <c r="K29" s="1867"/>
      <c r="L29" s="1867"/>
      <c r="M29" s="1867"/>
      <c r="N29" s="1867"/>
      <c r="O29" s="1867"/>
      <c r="P29" s="1867"/>
      <c r="Q29" s="1867"/>
      <c r="R29" s="1867"/>
      <c r="S29" s="1867"/>
      <c r="T29" s="1867"/>
      <c r="U29" s="1867"/>
      <c r="V29" s="1867"/>
      <c r="W29" s="1867"/>
      <c r="X29" s="1867"/>
      <c r="Y29" s="1867"/>
      <c r="Z29" s="1867"/>
      <c r="AA29" s="1867"/>
      <c r="AB29" s="1867"/>
      <c r="AC29" s="1867"/>
      <c r="AD29" s="1867"/>
      <c r="AE29" s="1867"/>
      <c r="AF29" s="1867"/>
      <c r="AG29" s="1867"/>
      <c r="AH29" s="1867"/>
      <c r="AI29" s="1867"/>
      <c r="AJ29" s="1867"/>
      <c r="AK29" s="1867"/>
      <c r="AL29" s="1867"/>
      <c r="AM29" s="1867"/>
      <c r="AN29" s="1867"/>
      <c r="AO29" s="1867"/>
      <c r="AP29" s="1867"/>
      <c r="AQ29" s="1867"/>
      <c r="AR29" s="1867"/>
      <c r="AS29" s="1867"/>
      <c r="AT29" s="3947"/>
      <c r="AU29" s="689"/>
      <c r="AV29" s="512"/>
      <c r="AW29" s="512"/>
      <c r="AX29" s="512"/>
      <c r="AY29" s="512"/>
      <c r="AZ29" s="512"/>
      <c r="BA29" s="512"/>
      <c r="BB29" s="5874"/>
      <c r="BC29" s="512"/>
      <c r="BD29" s="5874"/>
      <c r="BE29" s="5874"/>
      <c r="BF29" s="253"/>
      <c r="BG29" s="253"/>
      <c r="BH29" s="253"/>
      <c r="BI29" s="253"/>
      <c r="BJ29" s="344"/>
      <c r="BK29" s="253"/>
      <c r="BL29" s="253"/>
      <c r="BM29" s="253"/>
      <c r="BN29" s="253"/>
      <c r="BO29" s="563"/>
      <c r="BP29" s="563"/>
      <c r="BQ29" s="563"/>
      <c r="BR29" s="253"/>
      <c r="BS29" s="253"/>
      <c r="BT29" s="827"/>
      <c r="BU29" s="658"/>
      <c r="BV29" s="658"/>
      <c r="BW29" s="658"/>
      <c r="BX29" s="658"/>
      <c r="BY29" s="658"/>
      <c r="BZ29" s="658"/>
      <c r="CA29" s="658"/>
      <c r="CB29" s="658"/>
      <c r="CC29" s="658"/>
      <c r="CD29" s="658"/>
      <c r="CE29" s="658"/>
      <c r="CF29" s="658"/>
    </row>
    <row r="30" spans="1:84" ht="5.25" customHeight="1">
      <c r="A30" s="139"/>
      <c r="B30" s="7162" t="s">
        <v>6075</v>
      </c>
      <c r="C30" s="7163"/>
      <c r="D30" s="7163"/>
      <c r="E30" s="3990"/>
      <c r="F30" s="7439" t="str">
        <f>"At any time during "&amp;TaxYear&amp;", did you (a) receive (as a reward, award, or payment for property or service); or (b) sell, "&amp;CHAR(10)&amp;"exchange, gift, or otherwise dispose of a digital asset (or a financial interest in a digital asset)? (See instructions.)"</f>
        <v>At any time during 2025, did you (a) receive (as a reward, award, or payment for property or service); or (b) sell, 
exchange, gift, or otherwise dispose of a digital asset (or a financial interest in a digital asset)? (See instructions.)</v>
      </c>
      <c r="G30" s="7439"/>
      <c r="H30" s="7439"/>
      <c r="I30" s="7439"/>
      <c r="J30" s="7439"/>
      <c r="K30" s="7439"/>
      <c r="L30" s="7439"/>
      <c r="M30" s="7439"/>
      <c r="N30" s="7439"/>
      <c r="O30" s="7439"/>
      <c r="P30" s="7439"/>
      <c r="Q30" s="7439"/>
      <c r="R30" s="7439"/>
      <c r="S30" s="7439"/>
      <c r="T30" s="7439"/>
      <c r="U30" s="7439"/>
      <c r="V30" s="7439"/>
      <c r="W30" s="7439"/>
      <c r="X30" s="7439"/>
      <c r="Y30" s="7439"/>
      <c r="Z30" s="7439"/>
      <c r="AA30" s="7439"/>
      <c r="AB30" s="7439"/>
      <c r="AC30" s="7439"/>
      <c r="AD30" s="7439"/>
      <c r="AE30" s="7439"/>
      <c r="AF30" s="7439"/>
      <c r="AG30" s="7439"/>
      <c r="AH30" s="7439"/>
      <c r="AI30" s="7439"/>
      <c r="AJ30" s="7439"/>
      <c r="AK30" s="7439"/>
      <c r="AL30" s="1868"/>
      <c r="AM30" s="1868"/>
      <c r="AN30" s="1868"/>
      <c r="AO30" s="1868"/>
      <c r="AP30" s="1868"/>
      <c r="AQ30" s="1868"/>
      <c r="AR30" s="1868"/>
      <c r="AS30" s="1827"/>
      <c r="AT30" s="3335"/>
      <c r="AU30" s="689"/>
      <c r="AV30" s="512"/>
      <c r="AW30" s="512"/>
      <c r="AX30" s="512"/>
      <c r="AY30" s="512"/>
      <c r="AZ30" s="512"/>
      <c r="BA30" s="512"/>
      <c r="BB30" s="5874"/>
      <c r="BC30" s="512"/>
      <c r="BD30" s="5874"/>
      <c r="BE30" s="5874"/>
      <c r="BF30" s="253"/>
      <c r="BG30" s="253"/>
      <c r="BH30" s="253"/>
      <c r="BI30" s="253"/>
      <c r="BJ30" s="344"/>
      <c r="BK30" s="253"/>
      <c r="BL30" s="253"/>
      <c r="BM30" s="253"/>
      <c r="BN30" s="253"/>
      <c r="BO30" s="563"/>
      <c r="BP30" s="563"/>
      <c r="BQ30" s="563"/>
      <c r="BR30" s="253"/>
      <c r="BS30" s="253"/>
      <c r="BT30" s="827"/>
      <c r="BU30" s="658"/>
      <c r="BV30" s="658"/>
      <c r="BW30" s="658"/>
      <c r="BX30" s="658"/>
      <c r="BY30" s="658"/>
      <c r="BZ30" s="658"/>
      <c r="CA30" s="658"/>
      <c r="CB30" s="658"/>
      <c r="CC30" s="658"/>
      <c r="CD30" s="658"/>
      <c r="CE30" s="658"/>
      <c r="CF30" s="658"/>
    </row>
    <row r="31" spans="1:84" ht="15.75">
      <c r="A31" s="139"/>
      <c r="B31" s="7164"/>
      <c r="C31" s="7164"/>
      <c r="D31" s="7164"/>
      <c r="E31" s="3991"/>
      <c r="F31" s="7440"/>
      <c r="G31" s="7440"/>
      <c r="H31" s="7440"/>
      <c r="I31" s="7440"/>
      <c r="J31" s="7440"/>
      <c r="K31" s="7440"/>
      <c r="L31" s="7440"/>
      <c r="M31" s="7440"/>
      <c r="N31" s="7440"/>
      <c r="O31" s="7440"/>
      <c r="P31" s="7440"/>
      <c r="Q31" s="7440"/>
      <c r="R31" s="7440"/>
      <c r="S31" s="7440"/>
      <c r="T31" s="7440"/>
      <c r="U31" s="7440"/>
      <c r="V31" s="7440"/>
      <c r="W31" s="7440"/>
      <c r="X31" s="7440"/>
      <c r="Y31" s="7440"/>
      <c r="Z31" s="7440"/>
      <c r="AA31" s="7440"/>
      <c r="AB31" s="7440"/>
      <c r="AC31" s="7440"/>
      <c r="AD31" s="7440"/>
      <c r="AE31" s="7440"/>
      <c r="AF31" s="7440"/>
      <c r="AG31" s="7440"/>
      <c r="AH31" s="7440"/>
      <c r="AI31" s="7440"/>
      <c r="AJ31" s="7440"/>
      <c r="AK31" s="7440"/>
      <c r="AL31" s="1868"/>
      <c r="AM31" s="276"/>
      <c r="AN31" s="1847" t="s">
        <v>568</v>
      </c>
      <c r="AO31" s="1868"/>
      <c r="AP31" s="1868"/>
      <c r="AQ31" s="276"/>
      <c r="AR31" s="1847" t="s">
        <v>569</v>
      </c>
      <c r="AS31" s="1827"/>
      <c r="AT31" s="3335"/>
      <c r="AU31" s="4776" t="str">
        <f>IF(AND(DigitalAsset_Yes="",DigitalAsset_No=""),"&lt;&lt; Check one.","")</f>
        <v>&lt;&lt; Check one.</v>
      </c>
      <c r="AV31" s="512"/>
      <c r="AW31" s="512"/>
      <c r="AX31" s="512"/>
      <c r="AY31" s="512"/>
      <c r="AZ31" s="3983"/>
      <c r="BA31" s="3992"/>
      <c r="BB31" s="5874"/>
      <c r="BC31" s="512"/>
      <c r="BD31" s="5874"/>
      <c r="BE31" s="5874"/>
      <c r="BF31" s="253"/>
      <c r="BG31" s="253"/>
      <c r="BH31" s="253"/>
      <c r="BI31" s="253"/>
      <c r="BJ31" s="253"/>
      <c r="BK31" s="253"/>
      <c r="BL31" s="253"/>
      <c r="BM31" s="253"/>
      <c r="BN31" s="253"/>
      <c r="BO31" s="563"/>
      <c r="BP31" s="563"/>
      <c r="BQ31" s="563"/>
      <c r="BR31" s="253"/>
      <c r="BS31" s="253"/>
      <c r="BT31" s="827"/>
      <c r="BU31" s="658"/>
      <c r="BV31" s="658"/>
      <c r="BW31" s="658"/>
      <c r="BX31" s="658"/>
      <c r="BY31" s="658"/>
      <c r="BZ31" s="658"/>
      <c r="CA31" s="658"/>
      <c r="CB31" s="658"/>
      <c r="CC31" s="658"/>
      <c r="CD31" s="658"/>
      <c r="CE31" s="658"/>
      <c r="CF31" s="658"/>
    </row>
    <row r="32" spans="1:84" ht="9.75" customHeight="1">
      <c r="A32" s="139"/>
      <c r="B32" s="7165"/>
      <c r="C32" s="7165"/>
      <c r="D32" s="7165"/>
      <c r="E32" s="3993"/>
      <c r="F32" s="7441"/>
      <c r="G32" s="7441"/>
      <c r="H32" s="7441"/>
      <c r="I32" s="7441"/>
      <c r="J32" s="7441"/>
      <c r="K32" s="7441"/>
      <c r="L32" s="7441"/>
      <c r="M32" s="7441"/>
      <c r="N32" s="7441"/>
      <c r="O32" s="7441"/>
      <c r="P32" s="7441"/>
      <c r="Q32" s="7441"/>
      <c r="R32" s="7441"/>
      <c r="S32" s="7441"/>
      <c r="T32" s="7441"/>
      <c r="U32" s="7441"/>
      <c r="V32" s="7441"/>
      <c r="W32" s="7441"/>
      <c r="X32" s="7441"/>
      <c r="Y32" s="7441"/>
      <c r="Z32" s="7441"/>
      <c r="AA32" s="7441"/>
      <c r="AB32" s="7441"/>
      <c r="AC32" s="7441"/>
      <c r="AD32" s="7441"/>
      <c r="AE32" s="7441"/>
      <c r="AF32" s="7441"/>
      <c r="AG32" s="7441"/>
      <c r="AH32" s="7441"/>
      <c r="AI32" s="7441"/>
      <c r="AJ32" s="7441"/>
      <c r="AK32" s="7441"/>
      <c r="AL32" s="1869"/>
      <c r="AM32" s="1869"/>
      <c r="AN32" s="1869"/>
      <c r="AO32" s="1870"/>
      <c r="AP32" s="1870"/>
      <c r="AQ32" s="1870"/>
      <c r="AR32" s="1870"/>
      <c r="AS32" s="1870"/>
      <c r="AT32" s="3335"/>
      <c r="AU32" s="689"/>
      <c r="AV32" s="3994"/>
      <c r="AW32" s="3981"/>
      <c r="AX32" s="3982"/>
      <c r="AY32" s="3983"/>
      <c r="AZ32" s="3983"/>
      <c r="BA32" s="3992"/>
      <c r="BB32" s="5874"/>
      <c r="BC32" s="512"/>
      <c r="BD32" s="5874"/>
      <c r="BE32" s="5874"/>
      <c r="BF32" s="253"/>
      <c r="BG32" s="253"/>
      <c r="BH32" s="253"/>
      <c r="BI32" s="253"/>
      <c r="BJ32" s="253"/>
      <c r="BK32" s="253"/>
      <c r="BL32" s="253"/>
      <c r="BM32" s="253"/>
      <c r="BN32" s="253"/>
      <c r="BO32" s="563"/>
      <c r="BP32" s="563"/>
      <c r="BQ32" s="563"/>
      <c r="BR32" s="253"/>
      <c r="BS32" s="253"/>
      <c r="BT32" s="827"/>
      <c r="BU32" s="658"/>
      <c r="BV32" s="658"/>
      <c r="BW32" s="658"/>
      <c r="BX32" s="658"/>
      <c r="BY32" s="658"/>
      <c r="BZ32" s="658"/>
      <c r="CA32" s="658"/>
      <c r="CB32" s="658"/>
      <c r="CC32" s="658"/>
      <c r="CD32" s="658"/>
      <c r="CE32" s="658"/>
      <c r="CF32" s="658"/>
    </row>
    <row r="33" spans="1:84" ht="16.5" customHeight="1">
      <c r="A33" s="139"/>
      <c r="B33" s="4472" t="s">
        <v>575</v>
      </c>
      <c r="C33" s="5789"/>
      <c r="D33" s="5789"/>
      <c r="E33" s="5789"/>
      <c r="F33" s="5839"/>
      <c r="G33" s="5839"/>
      <c r="H33" s="5839"/>
      <c r="I33" s="5839"/>
      <c r="J33" s="5839"/>
      <c r="K33" s="5839"/>
      <c r="L33" s="7207" t="s">
        <v>5697</v>
      </c>
      <c r="M33" s="7208"/>
      <c r="N33" s="7208"/>
      <c r="O33" s="7208"/>
      <c r="P33" s="7208"/>
      <c r="Q33" s="7208"/>
      <c r="R33" s="7208"/>
      <c r="S33" s="7208"/>
      <c r="T33" s="7209"/>
      <c r="U33" s="7207" t="s">
        <v>5698</v>
      </c>
      <c r="V33" s="7208"/>
      <c r="W33" s="7208"/>
      <c r="X33" s="7208"/>
      <c r="Y33" s="7208"/>
      <c r="Z33" s="7208"/>
      <c r="AA33" s="7208"/>
      <c r="AB33" s="7208"/>
      <c r="AC33" s="7209"/>
      <c r="AD33" s="7207" t="s">
        <v>5699</v>
      </c>
      <c r="AE33" s="7208"/>
      <c r="AF33" s="7208"/>
      <c r="AG33" s="7208"/>
      <c r="AH33" s="7208"/>
      <c r="AI33" s="7208"/>
      <c r="AJ33" s="7208"/>
      <c r="AK33" s="7209"/>
      <c r="AL33" s="7207" t="s">
        <v>5700</v>
      </c>
      <c r="AM33" s="7208"/>
      <c r="AN33" s="7208"/>
      <c r="AO33" s="7208"/>
      <c r="AP33" s="7208"/>
      <c r="AQ33" s="7208"/>
      <c r="AR33" s="7208"/>
      <c r="AS33" s="7208"/>
      <c r="AT33" s="3997"/>
      <c r="AU33" s="7048" t="s">
        <v>580</v>
      </c>
      <c r="AV33" s="512"/>
      <c r="AW33" s="3961"/>
      <c r="AX33" s="512"/>
      <c r="AY33" s="512"/>
      <c r="AZ33" s="253"/>
      <c r="BA33" s="253"/>
      <c r="BB33" s="512"/>
      <c r="BC33" s="1318"/>
      <c r="BD33" s="512"/>
      <c r="BE33" s="512"/>
      <c r="BF33" s="253"/>
      <c r="BG33" s="253"/>
      <c r="BH33" s="253"/>
      <c r="BI33" s="253"/>
      <c r="BJ33" s="740"/>
      <c r="BK33" s="740"/>
      <c r="BL33" s="740"/>
      <c r="BM33" s="253"/>
      <c r="BN33" s="253"/>
      <c r="BO33" s="563"/>
      <c r="BP33" s="563"/>
      <c r="BQ33" s="253"/>
      <c r="BR33" s="253"/>
      <c r="BS33" s="253"/>
      <c r="BT33" s="827"/>
      <c r="BU33" s="658"/>
      <c r="BV33" s="658"/>
      <c r="BW33" s="658"/>
      <c r="BX33" s="658"/>
      <c r="BY33" s="658"/>
      <c r="BZ33" s="658"/>
      <c r="CA33" s="658"/>
      <c r="CB33" s="658"/>
      <c r="CC33" s="658"/>
      <c r="CD33" s="658"/>
      <c r="CE33" s="658"/>
      <c r="CF33" s="658"/>
    </row>
    <row r="34" spans="1:84" ht="15" customHeight="1">
      <c r="A34" s="139"/>
      <c r="B34" s="4505" t="s">
        <v>2018</v>
      </c>
      <c r="C34" s="1171"/>
      <c r="D34" s="5789"/>
      <c r="E34" s="5789"/>
      <c r="F34" s="6074" t="s">
        <v>5939</v>
      </c>
      <c r="G34" s="6074"/>
      <c r="H34" s="6074"/>
      <c r="I34" s="6074"/>
      <c r="J34" s="5944"/>
      <c r="K34" s="5944"/>
      <c r="L34" s="7053" t="str">
        <f>IF(Dependents!E7="","",Dependents!E7)</f>
        <v/>
      </c>
      <c r="M34" s="7053"/>
      <c r="N34" s="7053"/>
      <c r="O34" s="7053"/>
      <c r="P34" s="7053"/>
      <c r="Q34" s="7053"/>
      <c r="R34" s="7053"/>
      <c r="S34" s="7053"/>
      <c r="T34" s="7053"/>
      <c r="U34" s="7053" t="str">
        <f>IF(Dependents!E8="","",Dependents!E8)</f>
        <v/>
      </c>
      <c r="V34" s="7053"/>
      <c r="W34" s="7053"/>
      <c r="X34" s="7053"/>
      <c r="Y34" s="7053"/>
      <c r="Z34" s="7053"/>
      <c r="AA34" s="7053"/>
      <c r="AB34" s="7053"/>
      <c r="AC34" s="7053"/>
      <c r="AD34" s="7053" t="str">
        <f>IF(Dependents!E9="","",Dependents!E9)</f>
        <v/>
      </c>
      <c r="AE34" s="7053"/>
      <c r="AF34" s="7053"/>
      <c r="AG34" s="7053"/>
      <c r="AH34" s="7053"/>
      <c r="AI34" s="7053"/>
      <c r="AJ34" s="7053"/>
      <c r="AK34" s="7053"/>
      <c r="AL34" s="7053" t="str">
        <f>IF(Dependents!E10="","",Dependents!E10)</f>
        <v/>
      </c>
      <c r="AM34" s="7053"/>
      <c r="AN34" s="7053"/>
      <c r="AO34" s="7053"/>
      <c r="AP34" s="7053"/>
      <c r="AQ34" s="7053"/>
      <c r="AR34" s="7053"/>
      <c r="AS34" s="7380"/>
      <c r="AT34" s="3997"/>
      <c r="AU34" s="7048"/>
      <c r="AV34" s="512"/>
      <c r="AW34" s="3961"/>
      <c r="AX34" s="512"/>
      <c r="AY34" s="512"/>
      <c r="AZ34" s="253"/>
      <c r="BA34" s="253"/>
      <c r="BB34" s="3787">
        <f>IF(M47&lt;&gt;"",1,0)</f>
        <v>0</v>
      </c>
      <c r="BC34" s="1318" t="b">
        <f>(AND(L34&lt;&gt;"",L35&lt;&gt;"",M47="",Q47=""))</f>
        <v>0</v>
      </c>
      <c r="BD34" s="5875"/>
      <c r="BE34" s="5876">
        <f>IF(M47&lt;&gt;"",1,0)</f>
        <v>0</v>
      </c>
      <c r="BF34" s="253"/>
      <c r="BG34" s="253"/>
      <c r="BH34" s="253"/>
      <c r="BI34" s="253"/>
      <c r="BJ34" s="740"/>
      <c r="BK34" s="740"/>
      <c r="BL34" s="740"/>
      <c r="BM34" s="253"/>
      <c r="BN34" s="253"/>
      <c r="BO34" s="563"/>
      <c r="BP34" s="563"/>
      <c r="BQ34" s="253"/>
      <c r="BR34" s="253"/>
      <c r="BS34" s="253"/>
      <c r="BT34" s="827"/>
      <c r="BU34" s="658"/>
      <c r="BV34" s="658"/>
      <c r="BW34" s="658"/>
      <c r="BX34" s="658"/>
      <c r="BY34" s="658"/>
      <c r="BZ34" s="658"/>
      <c r="CA34" s="658"/>
      <c r="CB34" s="658"/>
      <c r="CC34" s="658"/>
      <c r="CD34" s="658"/>
      <c r="CE34" s="658"/>
      <c r="CF34" s="658"/>
    </row>
    <row r="35" spans="1:84" ht="15" customHeight="1">
      <c r="A35" s="139"/>
      <c r="B35" s="5789"/>
      <c r="C35" s="5789"/>
      <c r="D35" s="5789"/>
      <c r="E35" s="5789"/>
      <c r="F35" s="6074" t="s">
        <v>5940</v>
      </c>
      <c r="G35" s="6074"/>
      <c r="H35" s="6074"/>
      <c r="I35" s="6074"/>
      <c r="J35" s="5944"/>
      <c r="K35" s="5944"/>
      <c r="L35" s="7053" t="str">
        <f>IF(Dependents!I7="","",Dependents!I7)</f>
        <v/>
      </c>
      <c r="M35" s="7053"/>
      <c r="N35" s="7053"/>
      <c r="O35" s="7053"/>
      <c r="P35" s="7053"/>
      <c r="Q35" s="7053"/>
      <c r="R35" s="7053"/>
      <c r="S35" s="7053"/>
      <c r="T35" s="7053"/>
      <c r="U35" s="7053" t="str">
        <f>IF(Dependents!I8="","",Dependents!I8)</f>
        <v/>
      </c>
      <c r="V35" s="7053"/>
      <c r="W35" s="7053"/>
      <c r="X35" s="7053"/>
      <c r="Y35" s="7053"/>
      <c r="Z35" s="7053"/>
      <c r="AA35" s="7053"/>
      <c r="AB35" s="7053"/>
      <c r="AC35" s="7053"/>
      <c r="AD35" s="7381" t="str">
        <f>IF(Dependents!I9="","",Dependents!I9)</f>
        <v/>
      </c>
      <c r="AE35" s="7382"/>
      <c r="AF35" s="7382"/>
      <c r="AG35" s="7382"/>
      <c r="AH35" s="7382"/>
      <c r="AI35" s="7382"/>
      <c r="AJ35" s="7382"/>
      <c r="AK35" s="7383"/>
      <c r="AL35" s="7381" t="str">
        <f>IF(Dependents!I10="","",Dependents!I10)</f>
        <v/>
      </c>
      <c r="AM35" s="7382"/>
      <c r="AN35" s="7382"/>
      <c r="AO35" s="7382"/>
      <c r="AP35" s="7382"/>
      <c r="AQ35" s="7382"/>
      <c r="AR35" s="7382"/>
      <c r="AS35" s="7382"/>
      <c r="AT35" s="3997"/>
      <c r="AU35" s="7048"/>
      <c r="AV35" s="512"/>
      <c r="AW35" s="3961"/>
      <c r="AX35" s="512"/>
      <c r="AY35" s="512"/>
      <c r="AZ35" s="253"/>
      <c r="BA35" s="253"/>
      <c r="BB35" s="3787">
        <f>IF(V47&lt;&gt;"",1,0)</f>
        <v>0</v>
      </c>
      <c r="BC35" s="1318" t="b">
        <f>(AND(U34&lt;&gt;"",U35&lt;&gt;"",V47="",Z47=""))</f>
        <v>0</v>
      </c>
      <c r="BD35" s="5877" t="b">
        <f>OR(BC34,BC35,BC36,BC37)</f>
        <v>0</v>
      </c>
      <c r="BE35" s="5876">
        <f>IF(V47&lt;&gt;"",1,0)</f>
        <v>0</v>
      </c>
      <c r="BF35" s="253"/>
      <c r="BG35" s="253"/>
      <c r="BH35" s="253"/>
      <c r="BI35" s="253"/>
      <c r="BJ35" s="740"/>
      <c r="BK35" s="740"/>
      <c r="BL35" s="740"/>
      <c r="BM35" s="253"/>
      <c r="BN35" s="253"/>
      <c r="BO35" s="563"/>
      <c r="BP35" s="563"/>
      <c r="BQ35" s="253"/>
      <c r="BR35" s="253"/>
      <c r="BS35" s="253"/>
      <c r="BT35" s="827"/>
      <c r="BU35" s="658"/>
      <c r="BV35" s="658"/>
      <c r="BW35" s="658"/>
      <c r="BX35" s="658"/>
      <c r="BY35" s="658"/>
      <c r="BZ35" s="658"/>
      <c r="CA35" s="658"/>
      <c r="CB35" s="658"/>
      <c r="CC35" s="658"/>
      <c r="CD35" s="658"/>
      <c r="CE35" s="658"/>
      <c r="CF35" s="658"/>
    </row>
    <row r="36" spans="1:84" ht="15" customHeight="1">
      <c r="A36" s="139"/>
      <c r="B36" s="7062" t="s">
        <v>5936</v>
      </c>
      <c r="C36" s="7062"/>
      <c r="D36" s="5789"/>
      <c r="E36" s="5789"/>
      <c r="F36" s="7210" t="s">
        <v>5941</v>
      </c>
      <c r="G36" s="7210"/>
      <c r="H36" s="7210"/>
      <c r="I36" s="7210"/>
      <c r="J36" s="7210"/>
      <c r="K36" s="7211"/>
      <c r="L36" s="7070" t="str">
        <f>IF(Dependents!M7="","",Dependents!M7)</f>
        <v/>
      </c>
      <c r="M36" s="7070"/>
      <c r="N36" s="7070"/>
      <c r="O36" s="7070"/>
      <c r="P36" s="7070"/>
      <c r="Q36" s="7070"/>
      <c r="R36" s="7070"/>
      <c r="S36" s="7070"/>
      <c r="T36" s="7070"/>
      <c r="U36" s="7070" t="str">
        <f>IF(Dependents!M8="","",Dependents!M8)</f>
        <v/>
      </c>
      <c r="V36" s="7070"/>
      <c r="W36" s="7070"/>
      <c r="X36" s="7070"/>
      <c r="Y36" s="7070"/>
      <c r="Z36" s="7070"/>
      <c r="AA36" s="7070"/>
      <c r="AB36" s="7070"/>
      <c r="AC36" s="7070"/>
      <c r="AD36" s="7070" t="str">
        <f>IF(Dependents!M9="","",Dependents!M9)</f>
        <v/>
      </c>
      <c r="AE36" s="7070"/>
      <c r="AF36" s="7070"/>
      <c r="AG36" s="7070"/>
      <c r="AH36" s="7070"/>
      <c r="AI36" s="7070"/>
      <c r="AJ36" s="7070"/>
      <c r="AK36" s="7070"/>
      <c r="AL36" s="7070" t="str">
        <f>IF(Dependents!M10="","",Dependents!M10)</f>
        <v/>
      </c>
      <c r="AM36" s="7070"/>
      <c r="AN36" s="7070"/>
      <c r="AO36" s="7070"/>
      <c r="AP36" s="7070"/>
      <c r="AQ36" s="7070"/>
      <c r="AR36" s="7070"/>
      <c r="AS36" s="7071"/>
      <c r="AT36" s="3997"/>
      <c r="AU36" s="7048"/>
      <c r="AV36" s="512"/>
      <c r="AW36" s="3961"/>
      <c r="AX36" s="512"/>
      <c r="AY36" s="512"/>
      <c r="AZ36" s="253"/>
      <c r="BA36" s="253"/>
      <c r="BB36" s="3787">
        <f>IF(AE47&lt;&gt;"",1,0)</f>
        <v>0</v>
      </c>
      <c r="BC36" s="1318" t="b">
        <f>(AND(AD34&lt;&gt;"",AD35&lt;&gt;"",AE47="",AI47=""))</f>
        <v>0</v>
      </c>
      <c r="BD36" s="5878">
        <f>IF(DependentYOU="",1,0)</f>
        <v>1</v>
      </c>
      <c r="BE36" s="5876">
        <f>IF(AE47&lt;&gt;"",1,0)</f>
        <v>0</v>
      </c>
      <c r="BF36" s="253"/>
      <c r="BG36" s="253"/>
      <c r="BH36" s="253"/>
      <c r="BI36" s="253"/>
      <c r="BJ36" s="740"/>
      <c r="BK36" s="740"/>
      <c r="BL36" s="740"/>
      <c r="BM36" s="253"/>
      <c r="BN36" s="253"/>
      <c r="BO36" s="563"/>
      <c r="BP36" s="563"/>
      <c r="BQ36" s="253"/>
      <c r="BR36" s="253"/>
      <c r="BS36" s="253"/>
      <c r="BT36" s="827"/>
      <c r="BU36" s="658"/>
      <c r="BV36" s="658"/>
      <c r="BW36" s="658"/>
      <c r="BX36" s="658"/>
      <c r="BY36" s="658"/>
      <c r="BZ36" s="658"/>
      <c r="CA36" s="658"/>
      <c r="CB36" s="658"/>
      <c r="CC36" s="658"/>
      <c r="CD36" s="658"/>
      <c r="CE36" s="658"/>
      <c r="CF36" s="658"/>
    </row>
    <row r="37" spans="1:84" ht="15" customHeight="1">
      <c r="A37" s="139"/>
      <c r="B37" s="7062"/>
      <c r="C37" s="7062"/>
      <c r="D37" s="5789"/>
      <c r="E37" s="5789"/>
      <c r="F37" s="7210" t="s">
        <v>5942</v>
      </c>
      <c r="G37" s="7210"/>
      <c r="H37" s="7210"/>
      <c r="I37" s="7210"/>
      <c r="J37" s="7210"/>
      <c r="K37" s="7211"/>
      <c r="L37" s="7053" t="str">
        <f>IF(Dependents!S7="","",Dependents!S7)</f>
        <v/>
      </c>
      <c r="M37" s="7053"/>
      <c r="N37" s="7053"/>
      <c r="O37" s="7053"/>
      <c r="P37" s="7053"/>
      <c r="Q37" s="7053"/>
      <c r="R37" s="7053"/>
      <c r="S37" s="7053"/>
      <c r="T37" s="7053"/>
      <c r="U37" s="7053" t="str">
        <f>IF(Dependents!S8="","",Dependents!S8)</f>
        <v/>
      </c>
      <c r="V37" s="7053"/>
      <c r="W37" s="7053"/>
      <c r="X37" s="7053"/>
      <c r="Y37" s="7053"/>
      <c r="Z37" s="7053"/>
      <c r="AA37" s="7053"/>
      <c r="AB37" s="7053"/>
      <c r="AC37" s="7053"/>
      <c r="AD37" s="7380" t="str">
        <f>IF(Dependents!S9="","",Dependents!S9)</f>
        <v/>
      </c>
      <c r="AE37" s="7397"/>
      <c r="AF37" s="7397"/>
      <c r="AG37" s="7397"/>
      <c r="AH37" s="7397"/>
      <c r="AI37" s="7397"/>
      <c r="AJ37" s="7397"/>
      <c r="AK37" s="7449"/>
      <c r="AL37" s="7380" t="str">
        <f>IF(Dependents!S10="","",Dependents!S10)</f>
        <v/>
      </c>
      <c r="AM37" s="7397"/>
      <c r="AN37" s="7397"/>
      <c r="AO37" s="7397"/>
      <c r="AP37" s="7397"/>
      <c r="AQ37" s="7397"/>
      <c r="AR37" s="7397"/>
      <c r="AS37" s="7397"/>
      <c r="AT37" s="3997"/>
      <c r="AU37" s="7048"/>
      <c r="AV37" s="512"/>
      <c r="AW37" s="3961"/>
      <c r="AX37" s="512"/>
      <c r="AY37" s="512"/>
      <c r="AZ37" s="253"/>
      <c r="BA37" s="253"/>
      <c r="BB37" s="3787">
        <f>IF(AM47&lt;&gt;"",1,0)</f>
        <v>0</v>
      </c>
      <c r="BC37" s="1318" t="b">
        <f>(AND(AL34&lt;&gt;"",AL35&lt;&gt;"",AM47="",AQ47=""))</f>
        <v>0</v>
      </c>
      <c r="BD37" s="5878">
        <f>IF(AND(File_Marr_Joint&lt;&gt;"",DependentSPOUSE=""),1,0)</f>
        <v>0</v>
      </c>
      <c r="BE37" s="5876">
        <f>IF(AM47&lt;&gt;"",1,0)</f>
        <v>0</v>
      </c>
      <c r="BF37" s="253"/>
      <c r="BG37" s="253"/>
      <c r="BH37" s="253"/>
      <c r="BI37" s="253"/>
      <c r="BJ37" s="740"/>
      <c r="BK37" s="740"/>
      <c r="BL37" s="740"/>
      <c r="BM37" s="253"/>
      <c r="BN37" s="253"/>
      <c r="BO37" s="563"/>
      <c r="BP37" s="563"/>
      <c r="BQ37" s="253"/>
      <c r="BR37" s="253"/>
      <c r="BS37" s="253"/>
      <c r="BT37" s="827"/>
      <c r="BU37" s="658"/>
      <c r="BV37" s="658"/>
      <c r="BW37" s="658"/>
      <c r="BX37" s="658"/>
      <c r="BY37" s="658"/>
      <c r="BZ37" s="658"/>
      <c r="CA37" s="658"/>
      <c r="CB37" s="658"/>
      <c r="CC37" s="658"/>
      <c r="CD37" s="658"/>
      <c r="CE37" s="658"/>
      <c r="CF37" s="658"/>
    </row>
    <row r="38" spans="1:84" ht="6.75" customHeight="1">
      <c r="A38" s="139"/>
      <c r="B38" s="7062"/>
      <c r="C38" s="7062"/>
      <c r="D38" s="5789"/>
      <c r="E38" s="5789"/>
      <c r="F38" s="7212" t="s">
        <v>6076</v>
      </c>
      <c r="G38" s="7212"/>
      <c r="H38" s="7212"/>
      <c r="I38" s="7212"/>
      <c r="J38" s="7212"/>
      <c r="K38" s="7213"/>
      <c r="L38" s="5799"/>
      <c r="M38" s="5794"/>
      <c r="N38" s="5794"/>
      <c r="O38" s="5794"/>
      <c r="P38" s="5794"/>
      <c r="Q38" s="5794"/>
      <c r="R38" s="5794"/>
      <c r="S38" s="5794"/>
      <c r="T38" s="5795"/>
      <c r="U38" s="5799"/>
      <c r="V38" s="5794"/>
      <c r="W38" s="5794"/>
      <c r="X38" s="5794"/>
      <c r="Y38" s="5794"/>
      <c r="Z38" s="5794"/>
      <c r="AA38" s="5794"/>
      <c r="AB38" s="5794"/>
      <c r="AC38" s="5795"/>
      <c r="AD38" s="7080"/>
      <c r="AE38" s="7081"/>
      <c r="AF38" s="7082"/>
      <c r="AG38" s="7081"/>
      <c r="AH38" s="7081"/>
      <c r="AI38" s="7081"/>
      <c r="AJ38" s="7081"/>
      <c r="AK38" s="7083"/>
      <c r="AL38" s="5799"/>
      <c r="AM38" s="5794"/>
      <c r="AN38" s="5790"/>
      <c r="AO38" s="5794"/>
      <c r="AP38" s="5794"/>
      <c r="AQ38" s="5794"/>
      <c r="AR38" s="5794"/>
      <c r="AS38" s="5794"/>
      <c r="AT38" s="3997"/>
      <c r="AU38" s="3998"/>
      <c r="AV38" s="512"/>
      <c r="AW38" s="3961"/>
      <c r="AX38" s="512"/>
      <c r="AY38" s="512"/>
      <c r="AZ38" s="253"/>
      <c r="BA38" s="253"/>
      <c r="BB38" s="253"/>
      <c r="BC38" s="689"/>
      <c r="BD38" s="253"/>
      <c r="BE38" s="253"/>
      <c r="BF38" s="253"/>
      <c r="BG38" s="253"/>
      <c r="BH38" s="253"/>
      <c r="BI38" s="253"/>
      <c r="BJ38" s="740"/>
      <c r="BK38" s="740"/>
      <c r="BL38" s="740"/>
      <c r="BM38" s="253"/>
      <c r="BN38" s="253"/>
      <c r="BO38" s="563"/>
      <c r="BP38" s="563"/>
      <c r="BQ38" s="253"/>
      <c r="BR38" s="253"/>
      <c r="BS38" s="253"/>
      <c r="BT38" s="827"/>
      <c r="BU38" s="658"/>
      <c r="BV38" s="658"/>
      <c r="BW38" s="658"/>
      <c r="BX38" s="658"/>
      <c r="BY38" s="658"/>
      <c r="BZ38" s="658"/>
      <c r="CA38" s="658"/>
      <c r="CB38" s="658"/>
      <c r="CC38" s="658"/>
      <c r="CD38" s="658"/>
      <c r="CE38" s="658"/>
      <c r="CF38" s="658"/>
    </row>
    <row r="39" spans="1:84" ht="16.5" customHeight="1">
      <c r="A39" s="139"/>
      <c r="B39" s="7062"/>
      <c r="C39" s="7062"/>
      <c r="D39" s="5789"/>
      <c r="E39" s="5789"/>
      <c r="F39" s="7214"/>
      <c r="G39" s="7214"/>
      <c r="H39" s="7214"/>
      <c r="I39" s="7214"/>
      <c r="J39" s="7214"/>
      <c r="K39" s="7215"/>
      <c r="L39" s="5813"/>
      <c r="M39" s="5815"/>
      <c r="N39" s="5803" t="s">
        <v>2198</v>
      </c>
      <c r="O39" s="1846" t="str">
        <f>IF(Dependents!Z7="","","X")</f>
        <v/>
      </c>
      <c r="P39" s="6075" t="s">
        <v>568</v>
      </c>
      <c r="Q39" s="1261"/>
      <c r="R39" s="5797"/>
      <c r="S39" s="5797"/>
      <c r="T39" s="5798"/>
      <c r="U39" s="5813"/>
      <c r="V39" s="5815"/>
      <c r="W39" s="5803" t="s">
        <v>5704</v>
      </c>
      <c r="X39" s="1846" t="str">
        <f>IF(Dependents!Z8="","","X")</f>
        <v/>
      </c>
      <c r="Y39" s="6076" t="s">
        <v>568</v>
      </c>
      <c r="Z39" s="4047"/>
      <c r="AA39" s="4047"/>
      <c r="AB39" s="5788"/>
      <c r="AC39" s="5804"/>
      <c r="AD39" s="5811"/>
      <c r="AE39" s="5803" t="s">
        <v>2198</v>
      </c>
      <c r="AF39" s="1846" t="str">
        <f>IF(Dependents!Z9="","","X")</f>
        <v/>
      </c>
      <c r="AG39" s="6077" t="s">
        <v>568</v>
      </c>
      <c r="AH39" s="5801"/>
      <c r="AI39" s="5801"/>
      <c r="AJ39" s="5801"/>
      <c r="AK39" s="5802"/>
      <c r="AL39" s="5811"/>
      <c r="AM39" s="5803" t="s">
        <v>2198</v>
      </c>
      <c r="AN39" s="1846" t="str">
        <f>IF(Dependents!Z10="","","X")</f>
        <v/>
      </c>
      <c r="AO39" s="6075" t="s">
        <v>568</v>
      </c>
      <c r="AP39" s="5797"/>
      <c r="AQ39" s="5797"/>
      <c r="AR39" s="5797"/>
      <c r="AS39" s="5797"/>
      <c r="AT39" s="3997"/>
      <c r="AU39" s="3998"/>
      <c r="AV39" s="512"/>
      <c r="AW39" s="3961"/>
      <c r="AX39" s="512"/>
      <c r="AY39" s="512"/>
      <c r="AZ39" s="253"/>
      <c r="BA39" s="253"/>
      <c r="BB39" s="253"/>
      <c r="BC39" s="689"/>
      <c r="BD39" s="253"/>
      <c r="BE39" s="253"/>
      <c r="BF39" s="253"/>
      <c r="BG39" s="253"/>
      <c r="BH39" s="253"/>
      <c r="BI39" s="253"/>
      <c r="BJ39" s="740"/>
      <c r="BK39" s="740"/>
      <c r="BL39" s="740"/>
      <c r="BM39" s="253"/>
      <c r="BN39" s="253"/>
      <c r="BO39" s="563"/>
      <c r="BP39" s="563"/>
      <c r="BQ39" s="253"/>
      <c r="BR39" s="253"/>
      <c r="BS39" s="253"/>
      <c r="BT39" s="827"/>
      <c r="BU39" s="658"/>
      <c r="BV39" s="658"/>
      <c r="BW39" s="658"/>
      <c r="BX39" s="658"/>
      <c r="BY39" s="658"/>
      <c r="BZ39" s="658"/>
      <c r="CA39" s="658"/>
      <c r="CB39" s="658"/>
      <c r="CC39" s="658"/>
      <c r="CD39" s="658"/>
      <c r="CE39" s="658"/>
      <c r="CF39" s="658"/>
    </row>
    <row r="40" spans="1:84" ht="8.25" customHeight="1" thickBot="1">
      <c r="A40" s="139"/>
      <c r="B40" s="7062"/>
      <c r="C40" s="7062"/>
      <c r="D40" s="5789"/>
      <c r="E40" s="5789"/>
      <c r="F40" s="7214"/>
      <c r="G40" s="7214"/>
      <c r="H40" s="7214"/>
      <c r="I40" s="7214"/>
      <c r="J40" s="7214"/>
      <c r="K40" s="7215"/>
      <c r="L40" s="5813"/>
      <c r="M40" s="5815"/>
      <c r="N40" s="5797"/>
      <c r="O40" s="5797"/>
      <c r="P40" s="5797"/>
      <c r="Q40" s="5797"/>
      <c r="R40" s="5797"/>
      <c r="S40" s="5797"/>
      <c r="T40" s="5798"/>
      <c r="U40" s="5813"/>
      <c r="V40" s="5815"/>
      <c r="W40" s="5797"/>
      <c r="X40" s="5797"/>
      <c r="Y40" s="5797"/>
      <c r="Z40" s="5797"/>
      <c r="AA40" s="5797"/>
      <c r="AB40" s="5797"/>
      <c r="AC40" s="5798"/>
      <c r="AD40" s="5796"/>
      <c r="AE40" s="5797"/>
      <c r="AF40" s="5797"/>
      <c r="AG40" s="5797"/>
      <c r="AH40" s="5797"/>
      <c r="AI40" s="5797"/>
      <c r="AJ40" s="5797"/>
      <c r="AK40" s="5797"/>
      <c r="AL40" s="5796"/>
      <c r="AM40" s="5797"/>
      <c r="AN40" s="5797"/>
      <c r="AO40" s="5797"/>
      <c r="AP40" s="5797"/>
      <c r="AQ40" s="5797"/>
      <c r="AR40" s="5797"/>
      <c r="AS40" s="5797"/>
      <c r="AT40" s="3997"/>
      <c r="AU40" s="3998"/>
      <c r="AV40" s="512"/>
      <c r="AW40" s="3961"/>
      <c r="AX40" s="512"/>
      <c r="AY40" s="512"/>
      <c r="AZ40" s="253"/>
      <c r="BA40" s="253"/>
      <c r="BB40" s="253"/>
      <c r="BC40" s="689"/>
      <c r="BD40" s="253"/>
      <c r="BE40" s="253"/>
      <c r="BF40" s="253"/>
      <c r="BG40" s="253"/>
      <c r="BH40" s="253"/>
      <c r="BI40" s="253"/>
      <c r="BJ40" s="740"/>
      <c r="BK40" s="740"/>
      <c r="BL40" s="740"/>
      <c r="BM40" s="253"/>
      <c r="BN40" s="253"/>
      <c r="BO40" s="563"/>
      <c r="BP40" s="563"/>
      <c r="BQ40" s="253"/>
      <c r="BR40" s="253"/>
      <c r="BS40" s="253"/>
      <c r="BT40" s="827"/>
      <c r="BU40" s="658"/>
      <c r="BV40" s="658"/>
      <c r="BW40" s="658"/>
      <c r="BX40" s="658"/>
      <c r="BY40" s="658"/>
      <c r="BZ40" s="658"/>
      <c r="CA40" s="658"/>
      <c r="CB40" s="658"/>
      <c r="CC40" s="658"/>
      <c r="CD40" s="658"/>
      <c r="CE40" s="658"/>
      <c r="CF40" s="658"/>
    </row>
    <row r="41" spans="1:84" ht="16.5" customHeight="1" thickBot="1">
      <c r="A41" s="139"/>
      <c r="B41" s="7062"/>
      <c r="C41" s="7062"/>
      <c r="D41" s="1846" t="str">
        <f>IF(DependentsGT4,"X","")</f>
        <v/>
      </c>
      <c r="E41" s="5789"/>
      <c r="F41" s="7216" t="str">
        <f>"than half of "&amp;TaxYear</f>
        <v>than half of 2025</v>
      </c>
      <c r="G41" s="7216"/>
      <c r="H41" s="7216"/>
      <c r="I41" s="7216"/>
      <c r="J41" s="7216"/>
      <c r="K41" s="7217"/>
      <c r="L41" s="5813"/>
      <c r="M41" s="5815"/>
      <c r="N41" s="5803" t="s">
        <v>2199</v>
      </c>
      <c r="O41" s="1846" t="str">
        <f>IF(Dependents!AC7="","","X")</f>
        <v/>
      </c>
      <c r="P41" s="6075" t="s">
        <v>5701</v>
      </c>
      <c r="Q41" s="1261"/>
      <c r="R41" s="1964"/>
      <c r="S41" s="1964"/>
      <c r="T41" s="5800"/>
      <c r="U41" s="5813"/>
      <c r="V41" s="5815"/>
      <c r="W41" s="5803" t="s">
        <v>5705</v>
      </c>
      <c r="X41" s="1846" t="str">
        <f>IF(Dependents!AC8="","","X")</f>
        <v/>
      </c>
      <c r="Y41" s="6075" t="s">
        <v>5701</v>
      </c>
      <c r="Z41" s="1261"/>
      <c r="AA41" s="1964"/>
      <c r="AB41" s="1964"/>
      <c r="AC41" s="5800"/>
      <c r="AD41" s="5811"/>
      <c r="AE41" s="5803" t="s">
        <v>2199</v>
      </c>
      <c r="AF41" s="1846" t="str">
        <f>IF(Dependents!AC9="","","X")</f>
        <v/>
      </c>
      <c r="AG41" s="6075" t="s">
        <v>5701</v>
      </c>
      <c r="AH41" s="5797"/>
      <c r="AI41" s="5797"/>
      <c r="AJ41" s="5797"/>
      <c r="AK41" s="5798"/>
      <c r="AL41" s="5811"/>
      <c r="AM41" s="5803" t="s">
        <v>2199</v>
      </c>
      <c r="AN41" s="1846" t="str">
        <f>IF(Dependents!AC10="","","X")</f>
        <v/>
      </c>
      <c r="AO41" s="6075" t="s">
        <v>5701</v>
      </c>
      <c r="AP41" s="5797"/>
      <c r="AQ41" s="5797"/>
      <c r="AR41" s="5797"/>
      <c r="AS41" s="5797"/>
      <c r="AT41" s="3997"/>
      <c r="AU41" s="3998"/>
      <c r="AV41" s="512"/>
      <c r="AW41" s="3961"/>
      <c r="AX41" s="512"/>
      <c r="AY41" s="512"/>
      <c r="AZ41" s="821">
        <f>IF(OR(NumFileStatusBoxes=0,NumFileStatusBoxes&gt;1),0,SUM(BD36,BD37,AW47,AW48))</f>
        <v>0</v>
      </c>
      <c r="BA41" s="4003" t="s">
        <v>583</v>
      </c>
      <c r="BB41" s="380"/>
      <c r="BC41" s="380"/>
      <c r="BD41" s="380"/>
      <c r="BE41" s="253"/>
      <c r="BF41" s="253"/>
      <c r="BG41" s="253"/>
      <c r="BH41" s="253"/>
      <c r="BI41" s="253"/>
      <c r="BJ41" s="740"/>
      <c r="BK41" s="740"/>
      <c r="BL41" s="740"/>
      <c r="BM41" s="253"/>
      <c r="BN41" s="253"/>
      <c r="BO41" s="563"/>
      <c r="BP41" s="563"/>
      <c r="BQ41" s="253"/>
      <c r="BR41" s="253"/>
      <c r="BS41" s="253"/>
      <c r="BT41" s="827"/>
      <c r="BU41" s="658"/>
      <c r="BV41" s="658"/>
      <c r="BW41" s="658"/>
      <c r="BX41" s="658"/>
      <c r="BY41" s="658"/>
      <c r="BZ41" s="658"/>
      <c r="CA41" s="658"/>
      <c r="CB41" s="658"/>
      <c r="CC41" s="658"/>
      <c r="CD41" s="658"/>
      <c r="CE41" s="658"/>
      <c r="CF41" s="658"/>
    </row>
    <row r="42" spans="1:84" ht="6" customHeight="1">
      <c r="A42" s="139"/>
      <c r="B42" s="5789"/>
      <c r="C42" s="5789"/>
      <c r="D42" s="5789"/>
      <c r="E42" s="5789"/>
      <c r="F42" s="5838"/>
      <c r="G42" s="5838"/>
      <c r="H42" s="5838"/>
      <c r="I42" s="5838"/>
      <c r="J42" s="5838"/>
      <c r="K42" s="5838"/>
      <c r="L42" s="5791"/>
      <c r="M42" s="5792"/>
      <c r="N42" s="5792"/>
      <c r="O42" s="5792"/>
      <c r="P42" s="5792"/>
      <c r="Q42" s="5792"/>
      <c r="R42" s="5792"/>
      <c r="S42" s="5792"/>
      <c r="T42" s="5793"/>
      <c r="U42" s="5805"/>
      <c r="V42" s="5806"/>
      <c r="W42" s="5806"/>
      <c r="X42" s="5792"/>
      <c r="Y42" s="5792"/>
      <c r="Z42" s="5792"/>
      <c r="AA42" s="5792"/>
      <c r="AB42" s="5792"/>
      <c r="AC42" s="5793"/>
      <c r="AD42" s="5791"/>
      <c r="AE42" s="5792"/>
      <c r="AF42" s="5790"/>
      <c r="AG42" s="5792"/>
      <c r="AH42" s="5792"/>
      <c r="AI42" s="5792"/>
      <c r="AJ42" s="5792"/>
      <c r="AK42" s="5793"/>
      <c r="AL42" s="7420"/>
      <c r="AM42" s="7421"/>
      <c r="AN42" s="7082"/>
      <c r="AO42" s="7421"/>
      <c r="AP42" s="7421"/>
      <c r="AQ42" s="7421"/>
      <c r="AR42" s="7421"/>
      <c r="AS42" s="7421"/>
      <c r="AT42" s="3997"/>
      <c r="AU42" s="3998"/>
      <c r="AV42" s="512"/>
      <c r="AW42" s="3961"/>
      <c r="AX42" s="512"/>
      <c r="AY42" s="512"/>
      <c r="AZ42" s="7058" t="s">
        <v>586</v>
      </c>
      <c r="BA42" s="7059"/>
      <c r="BB42" s="7059"/>
      <c r="BC42" s="7059"/>
      <c r="BD42" s="7060"/>
      <c r="BE42" s="253"/>
      <c r="BF42" s="253"/>
      <c r="BG42" s="253"/>
      <c r="BH42" s="253"/>
      <c r="BI42" s="253"/>
      <c r="BJ42" s="740"/>
      <c r="BK42" s="740"/>
      <c r="BL42" s="740"/>
      <c r="BM42" s="253"/>
      <c r="BN42" s="253"/>
      <c r="BO42" s="563"/>
      <c r="BP42" s="563"/>
      <c r="BQ42" s="253"/>
      <c r="BR42" s="253"/>
      <c r="BS42" s="253"/>
      <c r="BT42" s="827"/>
      <c r="BU42" s="658"/>
      <c r="BV42" s="658"/>
      <c r="BW42" s="658"/>
      <c r="BX42" s="658"/>
      <c r="BY42" s="658"/>
      <c r="BZ42" s="658"/>
      <c r="CA42" s="658"/>
      <c r="CB42" s="658"/>
      <c r="CC42" s="658"/>
      <c r="CD42" s="658"/>
      <c r="CE42" s="658"/>
      <c r="CF42" s="658"/>
    </row>
    <row r="43" spans="1:84" ht="9" customHeight="1">
      <c r="A43" s="139"/>
      <c r="B43" s="5789"/>
      <c r="C43" s="5789"/>
      <c r="D43" s="5789"/>
      <c r="E43" s="5789"/>
      <c r="F43" s="7201" t="s">
        <v>5937</v>
      </c>
      <c r="G43" s="7201"/>
      <c r="H43" s="7201"/>
      <c r="I43" s="7201"/>
      <c r="J43" s="7201"/>
      <c r="K43" s="7202"/>
      <c r="L43" s="5799"/>
      <c r="M43" s="5794"/>
      <c r="N43" s="5794"/>
      <c r="O43" s="5794"/>
      <c r="P43" s="5799"/>
      <c r="Q43" s="5794"/>
      <c r="R43" s="5794"/>
      <c r="S43" s="5794"/>
      <c r="T43" s="5795"/>
      <c r="U43" s="5799"/>
      <c r="V43" s="5794"/>
      <c r="W43" s="5794"/>
      <c r="X43" s="5794"/>
      <c r="Y43" s="5799"/>
      <c r="Z43" s="5794"/>
      <c r="AA43" s="5794"/>
      <c r="AB43" s="5794"/>
      <c r="AC43" s="5795"/>
      <c r="AD43" s="5799"/>
      <c r="AE43" s="5794"/>
      <c r="AF43" s="5794"/>
      <c r="AG43" s="5794"/>
      <c r="AH43" s="5799"/>
      <c r="AI43" s="5794"/>
      <c r="AJ43" s="5794"/>
      <c r="AK43" s="5795"/>
      <c r="AL43" s="5799"/>
      <c r="AM43" s="5794"/>
      <c r="AN43" s="7084" t="s">
        <v>5702</v>
      </c>
      <c r="AO43" s="7085"/>
      <c r="AP43" s="5799"/>
      <c r="AQ43" s="5794"/>
      <c r="AR43" s="5794"/>
      <c r="AS43" s="5794"/>
      <c r="AT43" s="3997"/>
      <c r="AU43" s="3998"/>
      <c r="AV43" s="512"/>
      <c r="AW43" s="3961"/>
      <c r="AX43" s="512"/>
      <c r="AY43" s="512"/>
      <c r="AZ43" s="7061"/>
      <c r="BA43" s="7062"/>
      <c r="BB43" s="7062"/>
      <c r="BC43" s="7062"/>
      <c r="BD43" s="7063"/>
      <c r="BE43" s="253"/>
      <c r="BF43" s="253"/>
      <c r="BG43" s="253"/>
      <c r="BH43" s="253"/>
      <c r="BI43" s="253"/>
      <c r="BJ43" s="740"/>
      <c r="BK43" s="740"/>
      <c r="BL43" s="740"/>
      <c r="BM43" s="253"/>
      <c r="BN43" s="253"/>
      <c r="BO43" s="563"/>
      <c r="BP43" s="563"/>
      <c r="BQ43" s="253"/>
      <c r="BR43" s="253"/>
      <c r="BS43" s="253"/>
      <c r="BT43" s="827"/>
      <c r="BU43" s="658"/>
      <c r="BV43" s="658"/>
      <c r="BW43" s="658"/>
      <c r="BX43" s="658"/>
      <c r="BY43" s="658"/>
      <c r="BZ43" s="658"/>
      <c r="CA43" s="658"/>
      <c r="CB43" s="658"/>
      <c r="CC43" s="658"/>
      <c r="CD43" s="658"/>
      <c r="CE43" s="658"/>
      <c r="CF43" s="658"/>
    </row>
    <row r="44" spans="1:84" ht="16.5" customHeight="1">
      <c r="A44" s="139"/>
      <c r="B44" s="5789"/>
      <c r="C44" s="5789"/>
      <c r="D44" s="5789"/>
      <c r="E44" s="5789"/>
      <c r="F44" s="7203"/>
      <c r="G44" s="7203"/>
      <c r="H44" s="7203"/>
      <c r="I44" s="7203"/>
      <c r="J44" s="7203"/>
      <c r="K44" s="7204"/>
      <c r="L44" s="5814"/>
      <c r="M44" s="1846" t="str">
        <f>IF(Dependents!AF7="","","X")</f>
        <v/>
      </c>
      <c r="N44" s="7051" t="s">
        <v>5702</v>
      </c>
      <c r="O44" s="7051"/>
      <c r="P44" s="5814"/>
      <c r="Q44" s="1846" t="str">
        <f>IF(Dependents!AI7="","","X")</f>
        <v/>
      </c>
      <c r="R44" s="7054" t="s">
        <v>5703</v>
      </c>
      <c r="S44" s="7054"/>
      <c r="T44" s="7055"/>
      <c r="U44" s="5814"/>
      <c r="V44" s="1846" t="str">
        <f>IF(Dependents!AF8="","","X")</f>
        <v/>
      </c>
      <c r="W44" s="7051" t="s">
        <v>5702</v>
      </c>
      <c r="X44" s="7051"/>
      <c r="Y44" s="5814"/>
      <c r="Z44" s="1846" t="str">
        <f>IF(Dependents!AI8="","","X")</f>
        <v/>
      </c>
      <c r="AA44" s="7054" t="s">
        <v>5703</v>
      </c>
      <c r="AB44" s="7054"/>
      <c r="AC44" s="7055"/>
      <c r="AD44" s="5814"/>
      <c r="AE44" s="1846" t="str">
        <f>IF(Dependents!AF9="","","X")</f>
        <v/>
      </c>
      <c r="AF44" s="7051" t="s">
        <v>5702</v>
      </c>
      <c r="AG44" s="7418"/>
      <c r="AH44" s="5814"/>
      <c r="AI44" s="1846" t="str">
        <f>IF(Dependents!AI9="","","X")</f>
        <v/>
      </c>
      <c r="AJ44" s="7054" t="s">
        <v>5703</v>
      </c>
      <c r="AK44" s="7054"/>
      <c r="AL44" s="5814"/>
      <c r="AM44" s="1846" t="str">
        <f>IF(Dependents!AF10="","","X")</f>
        <v/>
      </c>
      <c r="AN44" s="7086"/>
      <c r="AO44" s="7087"/>
      <c r="AP44" s="5814"/>
      <c r="AQ44" s="1846" t="str">
        <f>IF(Dependents!AI10="","","X")</f>
        <v/>
      </c>
      <c r="AR44" s="7054" t="s">
        <v>5703</v>
      </c>
      <c r="AS44" s="7054"/>
      <c r="AT44" s="3997"/>
      <c r="AU44" s="3998"/>
      <c r="AV44" s="512"/>
      <c r="AW44" s="3961"/>
      <c r="AX44" s="512"/>
      <c r="AY44" s="512"/>
      <c r="AZ44" s="7061"/>
      <c r="BA44" s="7062"/>
      <c r="BB44" s="7062"/>
      <c r="BC44" s="7062"/>
      <c r="BD44" s="7063"/>
      <c r="BE44" s="253"/>
      <c r="BF44" s="253"/>
      <c r="BG44" s="253"/>
      <c r="BH44" s="253"/>
      <c r="BI44" s="253"/>
      <c r="BJ44" s="740"/>
      <c r="BK44" s="740"/>
      <c r="BL44" s="740"/>
      <c r="BM44" s="253"/>
      <c r="BN44" s="253"/>
      <c r="BO44" s="563"/>
      <c r="BP44" s="563"/>
      <c r="BQ44" s="253"/>
      <c r="BR44" s="253"/>
      <c r="BS44" s="253"/>
      <c r="BT44" s="827"/>
      <c r="BU44" s="658"/>
      <c r="BV44" s="658"/>
      <c r="BW44" s="658"/>
      <c r="BX44" s="658"/>
      <c r="BY44" s="658"/>
      <c r="BZ44" s="658"/>
      <c r="CA44" s="658"/>
      <c r="CB44" s="658"/>
      <c r="CC44" s="658"/>
      <c r="CD44" s="658"/>
      <c r="CE44" s="658"/>
      <c r="CF44" s="658"/>
    </row>
    <row r="45" spans="1:84" ht="18.75" customHeight="1">
      <c r="A45" s="139"/>
      <c r="B45" s="5789"/>
      <c r="C45" s="5789"/>
      <c r="D45" s="5789"/>
      <c r="E45" s="5789"/>
      <c r="F45" s="7205"/>
      <c r="G45" s="7205"/>
      <c r="H45" s="7205"/>
      <c r="I45" s="7205"/>
      <c r="J45" s="7205"/>
      <c r="K45" s="7206"/>
      <c r="L45" s="5791"/>
      <c r="M45" s="5792"/>
      <c r="N45" s="7052"/>
      <c r="O45" s="7052"/>
      <c r="P45" s="5791"/>
      <c r="Q45" s="5792"/>
      <c r="R45" s="7056"/>
      <c r="S45" s="7056"/>
      <c r="T45" s="7057"/>
      <c r="U45" s="5791"/>
      <c r="V45" s="5792"/>
      <c r="W45" s="7052"/>
      <c r="X45" s="7052"/>
      <c r="Y45" s="5791"/>
      <c r="Z45" s="5792"/>
      <c r="AA45" s="7056"/>
      <c r="AB45" s="7056"/>
      <c r="AC45" s="7057"/>
      <c r="AD45" s="5791"/>
      <c r="AE45" s="5792"/>
      <c r="AF45" s="7052"/>
      <c r="AG45" s="7419"/>
      <c r="AH45" s="5791"/>
      <c r="AI45" s="5792"/>
      <c r="AJ45" s="7056"/>
      <c r="AK45" s="7056"/>
      <c r="AL45" s="5791"/>
      <c r="AM45" s="5792"/>
      <c r="AN45" s="7088"/>
      <c r="AO45" s="7089"/>
      <c r="AP45" s="5791"/>
      <c r="AQ45" s="5792"/>
      <c r="AR45" s="7056"/>
      <c r="AS45" s="7056"/>
      <c r="AT45" s="3997"/>
      <c r="AU45" s="3998"/>
      <c r="AV45" s="512"/>
      <c r="AW45" s="3961"/>
      <c r="AX45" s="512"/>
      <c r="AY45" s="512"/>
      <c r="AZ45" s="7061"/>
      <c r="BA45" s="7062"/>
      <c r="BB45" s="7062"/>
      <c r="BC45" s="7062"/>
      <c r="BD45" s="7063"/>
      <c r="BE45" s="253"/>
      <c r="BF45" s="253"/>
      <c r="BG45" s="253"/>
      <c r="BH45" s="253"/>
      <c r="BI45" s="253"/>
      <c r="BJ45" s="740"/>
      <c r="BK45" s="740"/>
      <c r="BL45" s="740"/>
      <c r="BM45" s="253"/>
      <c r="BN45" s="253"/>
      <c r="BO45" s="563"/>
      <c r="BP45" s="563"/>
      <c r="BQ45" s="253"/>
      <c r="BR45" s="253"/>
      <c r="BS45" s="253"/>
      <c r="BT45" s="827"/>
      <c r="BU45" s="658"/>
      <c r="BV45" s="658"/>
      <c r="BW45" s="658"/>
      <c r="BX45" s="658"/>
      <c r="BY45" s="658"/>
      <c r="BZ45" s="658"/>
      <c r="CA45" s="658"/>
      <c r="CB45" s="658"/>
      <c r="CC45" s="658"/>
      <c r="CD45" s="658"/>
      <c r="CE45" s="658"/>
      <c r="CF45" s="658"/>
    </row>
    <row r="46" spans="1:84" ht="9" customHeight="1" thickBot="1">
      <c r="A46" s="139"/>
      <c r="B46" s="5789"/>
      <c r="C46" s="5789"/>
      <c r="D46" s="5789"/>
      <c r="E46" s="5789"/>
      <c r="F46" s="7201" t="s">
        <v>5938</v>
      </c>
      <c r="G46" s="7201"/>
      <c r="H46" s="7201"/>
      <c r="I46" s="7201"/>
      <c r="J46" s="7201"/>
      <c r="K46" s="7202"/>
      <c r="L46" s="5799"/>
      <c r="M46" s="5794"/>
      <c r="N46" s="5794"/>
      <c r="O46" s="5794"/>
      <c r="P46" s="5799"/>
      <c r="Q46" s="5794"/>
      <c r="R46" s="5794"/>
      <c r="S46" s="5794"/>
      <c r="T46" s="5795"/>
      <c r="U46" s="5799"/>
      <c r="V46" s="5794"/>
      <c r="W46" s="5794"/>
      <c r="X46" s="5794"/>
      <c r="Y46" s="5799"/>
      <c r="Z46" s="5794"/>
      <c r="AA46" s="5794"/>
      <c r="AB46" s="5794"/>
      <c r="AC46" s="5795"/>
      <c r="AD46" s="5799"/>
      <c r="AE46" s="5794"/>
      <c r="AF46" s="5794"/>
      <c r="AG46" s="5794"/>
      <c r="AH46" s="5799"/>
      <c r="AI46" s="5794"/>
      <c r="AJ46" s="5794"/>
      <c r="AK46" s="5795"/>
      <c r="AL46" s="5799"/>
      <c r="AM46" s="5794"/>
      <c r="AN46" s="7084" t="s">
        <v>578</v>
      </c>
      <c r="AO46" s="7085"/>
      <c r="AP46" s="5799"/>
      <c r="AQ46" s="5794"/>
      <c r="AR46" s="5794"/>
      <c r="AS46" s="5794"/>
      <c r="AT46" s="3997"/>
      <c r="AU46" s="3998"/>
      <c r="AV46" s="512"/>
      <c r="AW46" s="3961"/>
      <c r="AX46" s="512"/>
      <c r="AY46" s="512"/>
      <c r="AZ46" s="7061"/>
      <c r="BA46" s="7062"/>
      <c r="BB46" s="7062"/>
      <c r="BC46" s="7062"/>
      <c r="BD46" s="7063"/>
      <c r="BE46" s="253"/>
      <c r="BF46" s="253"/>
      <c r="BG46" s="253"/>
      <c r="BH46" s="253"/>
      <c r="BI46" s="253"/>
      <c r="BJ46" s="740"/>
      <c r="BK46" s="740"/>
      <c r="BL46" s="740"/>
      <c r="BM46" s="253"/>
      <c r="BN46" s="253"/>
      <c r="BO46" s="563"/>
      <c r="BP46" s="563"/>
      <c r="BQ46" s="253"/>
      <c r="BR46" s="253"/>
      <c r="BS46" s="253"/>
      <c r="BT46" s="827"/>
      <c r="BU46" s="658"/>
      <c r="BV46" s="658"/>
      <c r="BW46" s="658"/>
      <c r="BX46" s="658"/>
      <c r="BY46" s="658"/>
      <c r="BZ46" s="658"/>
      <c r="CA46" s="658"/>
      <c r="CB46" s="658"/>
      <c r="CC46" s="658"/>
      <c r="CD46" s="658"/>
      <c r="CE46" s="658"/>
      <c r="CF46" s="658"/>
    </row>
    <row r="47" spans="1:84" ht="16.5" customHeight="1" thickBot="1">
      <c r="A47" s="139"/>
      <c r="B47" s="5789"/>
      <c r="C47" s="5789"/>
      <c r="D47" s="5789"/>
      <c r="E47" s="5789"/>
      <c r="F47" s="7203"/>
      <c r="G47" s="7203"/>
      <c r="H47" s="7203"/>
      <c r="I47" s="7203"/>
      <c r="J47" s="7203"/>
      <c r="K47" s="7204"/>
      <c r="L47" s="5814"/>
      <c r="M47" s="1846" t="str">
        <f>IF(Dependents!BB7="","","X")</f>
        <v/>
      </c>
      <c r="N47" s="7051" t="s">
        <v>578</v>
      </c>
      <c r="O47" s="7051"/>
      <c r="P47" s="5814"/>
      <c r="Q47" s="1846" t="str">
        <f>IF(Dependents!BK7="","","X")</f>
        <v/>
      </c>
      <c r="R47" s="7054" t="s">
        <v>579</v>
      </c>
      <c r="S47" s="7054"/>
      <c r="T47" s="7055"/>
      <c r="U47" s="5814"/>
      <c r="V47" s="1846" t="str">
        <f>IF(Dependents!BB8="","","X")</f>
        <v/>
      </c>
      <c r="W47" s="7051" t="s">
        <v>578</v>
      </c>
      <c r="X47" s="7051"/>
      <c r="Y47" s="5814"/>
      <c r="Z47" s="1846" t="str">
        <f>IF(Dependents!BK8="","","X")</f>
        <v/>
      </c>
      <c r="AA47" s="7054" t="s">
        <v>579</v>
      </c>
      <c r="AB47" s="7054"/>
      <c r="AC47" s="7055"/>
      <c r="AD47" s="5814"/>
      <c r="AE47" s="1846" t="str">
        <f>IF(Dependents!BB9="","","X")</f>
        <v/>
      </c>
      <c r="AF47" s="7051" t="s">
        <v>578</v>
      </c>
      <c r="AG47" s="7051"/>
      <c r="AH47" s="5814"/>
      <c r="AI47" s="1846" t="str">
        <f>IF(Dependents!BK9="","","X")</f>
        <v/>
      </c>
      <c r="AJ47" s="7054" t="s">
        <v>579</v>
      </c>
      <c r="AK47" s="7054"/>
      <c r="AL47" s="5814"/>
      <c r="AM47" s="1846" t="str">
        <f>IF(Dependents!BB10="","","X")</f>
        <v/>
      </c>
      <c r="AN47" s="7086"/>
      <c r="AO47" s="7087"/>
      <c r="AP47" s="5814"/>
      <c r="AQ47" s="1846" t="str">
        <f>IF(Dependents!BK10="","","X")</f>
        <v/>
      </c>
      <c r="AR47" s="7054" t="s">
        <v>579</v>
      </c>
      <c r="AS47" s="7054"/>
      <c r="AT47" s="3997"/>
      <c r="AU47" s="5807"/>
      <c r="AV47" s="3999"/>
      <c r="AW47" s="4000">
        <f>Qual_Child_Count</f>
        <v>0</v>
      </c>
      <c r="AX47" s="4001" t="s">
        <v>581</v>
      </c>
      <c r="AY47" s="3951"/>
      <c r="AZ47" s="7061"/>
      <c r="BA47" s="7062"/>
      <c r="BB47" s="7062"/>
      <c r="BC47" s="7062"/>
      <c r="BD47" s="7063"/>
      <c r="BE47" s="253"/>
      <c r="BF47" s="253"/>
      <c r="BG47" s="253"/>
      <c r="BH47" s="253"/>
      <c r="BI47" s="253"/>
      <c r="BJ47" s="740"/>
      <c r="BK47" s="740"/>
      <c r="BL47" s="740"/>
      <c r="BM47" s="253"/>
      <c r="BN47" s="253"/>
      <c r="BO47" s="563"/>
      <c r="BP47" s="563"/>
      <c r="BQ47" s="253"/>
      <c r="BR47" s="253"/>
      <c r="BS47" s="253"/>
      <c r="BT47" s="827"/>
      <c r="BU47" s="658"/>
      <c r="BV47" s="658"/>
      <c r="BW47" s="658"/>
      <c r="BX47" s="658"/>
      <c r="BY47" s="658"/>
      <c r="BZ47" s="658"/>
      <c r="CA47" s="658"/>
      <c r="CB47" s="658"/>
      <c r="CC47" s="658"/>
      <c r="CD47" s="658"/>
      <c r="CE47" s="658"/>
      <c r="CF47" s="658"/>
    </row>
    <row r="48" spans="1:84" ht="16.5" customHeight="1" thickBot="1">
      <c r="A48" s="139"/>
      <c r="B48" s="5789"/>
      <c r="C48" s="5789"/>
      <c r="D48" s="5789"/>
      <c r="E48" s="5789"/>
      <c r="F48" s="7205"/>
      <c r="G48" s="7205"/>
      <c r="H48" s="7205"/>
      <c r="I48" s="7205"/>
      <c r="J48" s="7205"/>
      <c r="K48" s="7206"/>
      <c r="L48" s="5791"/>
      <c r="M48" s="5792"/>
      <c r="N48" s="7052"/>
      <c r="O48" s="7052"/>
      <c r="P48" s="5791"/>
      <c r="Q48" s="5792"/>
      <c r="R48" s="7056"/>
      <c r="S48" s="7056"/>
      <c r="T48" s="7057"/>
      <c r="U48" s="5791"/>
      <c r="V48" s="5792"/>
      <c r="W48" s="7052"/>
      <c r="X48" s="7052"/>
      <c r="Y48" s="5791"/>
      <c r="Z48" s="5792"/>
      <c r="AA48" s="7056"/>
      <c r="AB48" s="7056"/>
      <c r="AC48" s="7057"/>
      <c r="AD48" s="5791"/>
      <c r="AE48" s="5792"/>
      <c r="AF48" s="7052"/>
      <c r="AG48" s="7052"/>
      <c r="AH48" s="5791"/>
      <c r="AI48" s="5792"/>
      <c r="AJ48" s="7056"/>
      <c r="AK48" s="7056"/>
      <c r="AL48" s="5791"/>
      <c r="AM48" s="5792"/>
      <c r="AN48" s="7088"/>
      <c r="AO48" s="7089"/>
      <c r="AP48" s="5791"/>
      <c r="AQ48" s="5792"/>
      <c r="AR48" s="7056"/>
      <c r="AS48" s="7056"/>
      <c r="AT48" s="3997"/>
      <c r="AU48" s="5807"/>
      <c r="AV48" s="3999"/>
      <c r="AW48" s="4000">
        <f>DependentCount</f>
        <v>0</v>
      </c>
      <c r="AX48" s="4002" t="s">
        <v>582</v>
      </c>
      <c r="AY48" s="3951"/>
      <c r="AZ48" s="7061"/>
      <c r="BA48" s="7062"/>
      <c r="BB48" s="7062"/>
      <c r="BC48" s="7062"/>
      <c r="BD48" s="7063"/>
      <c r="BE48" s="253"/>
      <c r="BF48" s="253"/>
      <c r="BG48" s="253"/>
      <c r="BH48" s="253"/>
      <c r="BI48" s="253"/>
      <c r="BJ48" s="740"/>
      <c r="BK48" s="740"/>
      <c r="BL48" s="740"/>
      <c r="BM48" s="253"/>
      <c r="BN48" s="253"/>
      <c r="BO48" s="563"/>
      <c r="BP48" s="563"/>
      <c r="BQ48" s="253"/>
      <c r="BR48" s="253"/>
      <c r="BS48" s="253"/>
      <c r="BT48" s="827"/>
      <c r="BU48" s="658"/>
      <c r="BV48" s="658"/>
      <c r="BW48" s="658"/>
      <c r="BX48" s="658"/>
      <c r="BY48" s="658"/>
      <c r="BZ48" s="658"/>
      <c r="CA48" s="658"/>
      <c r="CB48" s="658"/>
      <c r="CC48" s="658"/>
      <c r="CD48" s="658"/>
      <c r="CE48" s="658"/>
      <c r="CF48" s="658"/>
    </row>
    <row r="49" spans="1:84" ht="16.5" customHeight="1" thickBot="1">
      <c r="A49" s="139"/>
      <c r="B49" s="5789"/>
      <c r="C49" s="5789"/>
      <c r="D49" s="5789"/>
      <c r="E49" s="5789"/>
      <c r="F49" s="276"/>
      <c r="G49" s="7076" t="str">
        <f>"Check if your filing status is MFS or HOH and you lived apart from your spouse for the last 6 months of "&amp;TaxYear&amp;", or you are legally"&amp;CHAR(10)&amp;"separated according to your state law under a written separation agreement or a decree of separate maintenance and you did not"&amp;CHAR(10)&amp;"live in the same household as your spouse at the end of "&amp;TaxYear&amp;"."</f>
        <v>Check if your filing status is MFS or HOH and you lived apart from your spouse for the last 6 months of 2025, or you are legally
separated according to your state law under a written separation agreement or a decree of separate maintenance and you did not
live in the same household as your spouse at the end of 2025.</v>
      </c>
      <c r="H49" s="7077"/>
      <c r="I49" s="7077"/>
      <c r="J49" s="7077"/>
      <c r="K49" s="7077"/>
      <c r="L49" s="7077"/>
      <c r="M49" s="7077"/>
      <c r="N49" s="7077"/>
      <c r="O49" s="7077"/>
      <c r="P49" s="7077"/>
      <c r="Q49" s="7077"/>
      <c r="R49" s="7077"/>
      <c r="S49" s="7077"/>
      <c r="T49" s="7077"/>
      <c r="U49" s="7077"/>
      <c r="V49" s="7077"/>
      <c r="W49" s="7077"/>
      <c r="X49" s="7077"/>
      <c r="Y49" s="7077"/>
      <c r="Z49" s="7077"/>
      <c r="AA49" s="7077"/>
      <c r="AB49" s="7077"/>
      <c r="AC49" s="7077"/>
      <c r="AD49" s="7077"/>
      <c r="AE49" s="7077"/>
      <c r="AF49" s="7077"/>
      <c r="AG49" s="7077"/>
      <c r="AH49" s="7077"/>
      <c r="AI49" s="7077"/>
      <c r="AJ49" s="7077"/>
      <c r="AK49" s="7077"/>
      <c r="AL49" s="7077"/>
      <c r="AM49" s="7077"/>
      <c r="AN49" s="7077"/>
      <c r="AO49" s="7077"/>
      <c r="AP49" s="7077"/>
      <c r="AQ49" s="7077"/>
      <c r="AR49" s="7077"/>
      <c r="AS49" s="7077"/>
      <c r="AT49" s="3997"/>
      <c r="AU49" s="3998"/>
      <c r="AV49" s="512"/>
      <c r="AW49" s="3961"/>
      <c r="AX49" s="5819"/>
      <c r="AY49" s="512"/>
      <c r="AZ49" s="7064"/>
      <c r="BA49" s="7065"/>
      <c r="BB49" s="7065"/>
      <c r="BC49" s="7065"/>
      <c r="BD49" s="7066"/>
      <c r="BE49" s="253"/>
      <c r="BF49" s="253"/>
      <c r="BG49" s="253"/>
      <c r="BH49" s="253"/>
      <c r="BI49" s="253"/>
      <c r="BJ49" s="740"/>
      <c r="BK49" s="740"/>
      <c r="BL49" s="740"/>
      <c r="BM49" s="253"/>
      <c r="BN49" s="253"/>
      <c r="BO49" s="563"/>
      <c r="BP49" s="563"/>
      <c r="BQ49" s="253"/>
      <c r="BR49" s="253"/>
      <c r="BS49" s="253"/>
      <c r="BT49" s="827"/>
      <c r="BU49" s="658"/>
      <c r="BV49" s="658"/>
      <c r="BW49" s="658"/>
      <c r="BX49" s="658"/>
      <c r="BY49" s="658"/>
      <c r="BZ49" s="658"/>
      <c r="CA49" s="658"/>
      <c r="CB49" s="658"/>
      <c r="CC49" s="658"/>
      <c r="CD49" s="658"/>
      <c r="CE49" s="658"/>
      <c r="CF49" s="658"/>
    </row>
    <row r="50" spans="1:84" ht="28.5" customHeight="1" thickBot="1">
      <c r="A50" s="139"/>
      <c r="B50" s="5821"/>
      <c r="C50" s="5821"/>
      <c r="D50" s="5821"/>
      <c r="E50" s="5821"/>
      <c r="F50" s="5822"/>
      <c r="G50" s="7078"/>
      <c r="H50" s="7078"/>
      <c r="I50" s="7078"/>
      <c r="J50" s="7078"/>
      <c r="K50" s="7078"/>
      <c r="L50" s="7078"/>
      <c r="M50" s="7078"/>
      <c r="N50" s="7078"/>
      <c r="O50" s="7078"/>
      <c r="P50" s="7078"/>
      <c r="Q50" s="7078"/>
      <c r="R50" s="7078"/>
      <c r="S50" s="7078"/>
      <c r="T50" s="7078"/>
      <c r="U50" s="7078"/>
      <c r="V50" s="7078"/>
      <c r="W50" s="7078"/>
      <c r="X50" s="7078"/>
      <c r="Y50" s="7078"/>
      <c r="Z50" s="7078"/>
      <c r="AA50" s="7078"/>
      <c r="AB50" s="7078"/>
      <c r="AC50" s="7078"/>
      <c r="AD50" s="7078"/>
      <c r="AE50" s="7078"/>
      <c r="AF50" s="7078"/>
      <c r="AG50" s="7078"/>
      <c r="AH50" s="7078"/>
      <c r="AI50" s="7078"/>
      <c r="AJ50" s="7078"/>
      <c r="AK50" s="7078"/>
      <c r="AL50" s="7078"/>
      <c r="AM50" s="7078"/>
      <c r="AN50" s="7078"/>
      <c r="AO50" s="7078"/>
      <c r="AP50" s="7078"/>
      <c r="AQ50" s="7078"/>
      <c r="AR50" s="7078"/>
      <c r="AS50" s="7078"/>
      <c r="AT50" s="3997"/>
      <c r="AU50" s="3998"/>
      <c r="AV50" s="512"/>
      <c r="AW50" s="3961"/>
      <c r="AX50" s="5819" t="s">
        <v>585</v>
      </c>
      <c r="AY50" s="512"/>
      <c r="AZ50" s="253"/>
      <c r="BA50" s="253"/>
      <c r="BB50" s="253"/>
      <c r="BC50" s="689"/>
      <c r="BD50" s="253"/>
      <c r="BE50" s="253"/>
      <c r="BF50" s="253"/>
      <c r="BG50" s="253"/>
      <c r="BH50" s="253"/>
      <c r="BI50" s="253"/>
      <c r="BJ50" s="740"/>
      <c r="BK50" s="740"/>
      <c r="BL50" s="740"/>
      <c r="BM50" s="253"/>
      <c r="BN50" s="253"/>
      <c r="BO50" s="563"/>
      <c r="BP50" s="563"/>
      <c r="BQ50" s="253"/>
      <c r="BR50" s="253"/>
      <c r="BS50" s="253"/>
      <c r="BT50" s="827"/>
      <c r="BU50" s="658"/>
      <c r="BV50" s="658"/>
      <c r="BW50" s="658"/>
      <c r="BX50" s="658"/>
      <c r="BY50" s="658"/>
      <c r="BZ50" s="658"/>
      <c r="CA50" s="658"/>
      <c r="CB50" s="658"/>
      <c r="CC50" s="658"/>
      <c r="CD50" s="658"/>
      <c r="CE50" s="658"/>
      <c r="CF50" s="658"/>
    </row>
    <row r="51" spans="1:84" ht="15" customHeight="1" thickTop="1">
      <c r="A51" s="139"/>
      <c r="B51" s="7172" t="s">
        <v>587</v>
      </c>
      <c r="C51" s="7172"/>
      <c r="D51" s="7172"/>
      <c r="E51" s="1875"/>
      <c r="F51" s="1888">
        <v>1</v>
      </c>
      <c r="G51" s="1417" t="s">
        <v>588</v>
      </c>
      <c r="H51" s="1889" t="s">
        <v>589</v>
      </c>
      <c r="I51" s="1876"/>
      <c r="J51" s="1876"/>
      <c r="K51" s="1876"/>
      <c r="L51" s="1876"/>
      <c r="M51" s="1876"/>
      <c r="N51" s="1876"/>
      <c r="O51" s="1876"/>
      <c r="P51" s="1876"/>
      <c r="Q51" s="1876"/>
      <c r="R51" s="1876"/>
      <c r="S51" s="1876"/>
      <c r="T51" s="1876"/>
      <c r="U51" s="1876"/>
      <c r="V51" s="1876"/>
      <c r="W51" s="1876"/>
      <c r="X51" s="1876"/>
      <c r="Y51" s="1527"/>
      <c r="Z51" s="1527"/>
      <c r="AA51" s="1417"/>
      <c r="AB51" s="1417"/>
      <c r="AC51" s="1417"/>
      <c r="AD51" s="1417"/>
      <c r="AE51" s="1417"/>
      <c r="AF51" s="1417"/>
      <c r="AG51" s="1417"/>
      <c r="AH51" s="1417"/>
      <c r="AI51" s="1417"/>
      <c r="AJ51" s="1258" t="s">
        <v>590</v>
      </c>
      <c r="AK51" s="1877" t="s">
        <v>333</v>
      </c>
      <c r="AL51" s="7072">
        <f>IF(AX51&lt;&gt;"",ROUND(AX51,0),W2_Wages)</f>
        <v>0</v>
      </c>
      <c r="AM51" s="7073"/>
      <c r="AN51" s="7073"/>
      <c r="AO51" s="7073"/>
      <c r="AP51" s="7073"/>
      <c r="AQ51" s="7073"/>
      <c r="AR51" s="7073"/>
      <c r="AS51" s="1878"/>
      <c r="AT51" s="4004"/>
      <c r="AU51" s="1318"/>
      <c r="AV51" s="4005" t="s">
        <v>591</v>
      </c>
      <c r="AW51" s="4006" t="b">
        <f>AND(CONV2ROTH=0,ROUND(IRA_Gross,0)=IRA_Taxable)</f>
        <v>1</v>
      </c>
      <c r="AX51" s="732"/>
      <c r="AY51" s="5820" t="b">
        <f>OR(AX51&lt;&gt;"",AX61&lt;&gt;"",AY61&lt;&gt;"",AX62&lt;&gt;"",AY62&lt;&gt;"",AX65&lt;&gt;"",AY65&lt;&gt;"",AX68&lt;&gt;"",AY68&lt;&gt;"",AX71&lt;&gt;"",AY71&lt;&gt;"")</f>
        <v>0</v>
      </c>
      <c r="AZ51" s="253"/>
      <c r="BA51" s="253"/>
      <c r="BB51" s="253"/>
      <c r="BC51" s="689"/>
      <c r="BD51" s="253"/>
      <c r="BE51" s="253"/>
      <c r="BF51" s="253"/>
      <c r="BG51" s="253"/>
      <c r="BH51" s="253"/>
      <c r="BI51" s="253"/>
      <c r="BJ51" s="253"/>
      <c r="BK51" s="253"/>
      <c r="BL51" s="253"/>
      <c r="BM51" s="253"/>
      <c r="BN51" s="253"/>
      <c r="BO51" s="253"/>
      <c r="BP51" s="253"/>
      <c r="BQ51" s="253"/>
      <c r="BR51" s="253"/>
      <c r="BS51" s="253"/>
      <c r="BT51" s="827"/>
      <c r="BU51" s="658"/>
      <c r="BV51" s="658"/>
      <c r="BW51" s="658"/>
      <c r="BX51" s="658"/>
      <c r="BY51" s="658"/>
      <c r="BZ51" s="658"/>
      <c r="CA51" s="658"/>
      <c r="CB51" s="658"/>
      <c r="CC51" s="658"/>
      <c r="CD51" s="658"/>
      <c r="CE51" s="658"/>
      <c r="CF51" s="658"/>
    </row>
    <row r="52" spans="1:84" ht="15" customHeight="1">
      <c r="A52" s="139"/>
      <c r="B52" s="7172"/>
      <c r="C52" s="7172"/>
      <c r="D52" s="7172"/>
      <c r="E52" s="1875"/>
      <c r="F52" s="1888"/>
      <c r="G52" s="1417" t="s">
        <v>592</v>
      </c>
      <c r="H52" s="1889" t="s">
        <v>593</v>
      </c>
      <c r="I52" s="1876"/>
      <c r="J52" s="1876"/>
      <c r="K52" s="1876"/>
      <c r="L52" s="1876"/>
      <c r="M52" s="1876"/>
      <c r="N52" s="1876"/>
      <c r="O52" s="1876"/>
      <c r="P52" s="1876"/>
      <c r="Q52" s="1876"/>
      <c r="R52" s="1876"/>
      <c r="S52" s="1876"/>
      <c r="T52" s="1876"/>
      <c r="U52" s="1876"/>
      <c r="V52" s="1876"/>
      <c r="W52" s="1876"/>
      <c r="X52" s="1876"/>
      <c r="Y52" s="1416"/>
      <c r="Z52" s="1416"/>
      <c r="AA52" s="1417"/>
      <c r="AB52" s="1417"/>
      <c r="AC52" s="1417"/>
      <c r="AD52" s="1417"/>
      <c r="AE52" s="1417"/>
      <c r="AF52" s="1417"/>
      <c r="AG52" s="1417"/>
      <c r="AH52" s="1417"/>
      <c r="AI52" s="1417"/>
      <c r="AJ52" s="1258" t="s">
        <v>594</v>
      </c>
      <c r="AK52" s="1877" t="s">
        <v>335</v>
      </c>
      <c r="AL52" s="7039"/>
      <c r="AM52" s="7040"/>
      <c r="AN52" s="7041"/>
      <c r="AO52" s="7041"/>
      <c r="AP52" s="7041"/>
      <c r="AQ52" s="7041"/>
      <c r="AR52" s="7041"/>
      <c r="AS52" s="1878"/>
      <c r="AT52" s="4004"/>
      <c r="AU52" s="1318"/>
      <c r="AV52" s="4005"/>
      <c r="AW52" s="4006"/>
      <c r="AX52" s="4007"/>
      <c r="AY52" s="4009"/>
      <c r="AZ52" s="253"/>
      <c r="BA52" s="253"/>
      <c r="BB52" s="253"/>
      <c r="BC52" s="689"/>
      <c r="BD52" s="253"/>
      <c r="BE52" s="253"/>
      <c r="BF52" s="253"/>
      <c r="BG52" s="253"/>
      <c r="BH52" s="253"/>
      <c r="BI52" s="253"/>
      <c r="BJ52" s="253"/>
      <c r="BK52" s="253"/>
      <c r="BL52" s="253"/>
      <c r="BM52" s="253"/>
      <c r="BN52" s="253"/>
      <c r="BO52" s="253"/>
      <c r="BP52" s="253"/>
      <c r="BQ52" s="253"/>
      <c r="BR52" s="253"/>
      <c r="BS52" s="253"/>
      <c r="BT52" s="827"/>
      <c r="BU52" s="658"/>
      <c r="BV52" s="658"/>
      <c r="BW52" s="658"/>
      <c r="BX52" s="658"/>
      <c r="BY52" s="658"/>
      <c r="BZ52" s="658"/>
      <c r="CA52" s="658"/>
      <c r="CB52" s="658"/>
      <c r="CC52" s="658"/>
      <c r="CD52" s="658"/>
      <c r="CE52" s="658"/>
      <c r="CF52" s="658"/>
    </row>
    <row r="53" spans="1:84" ht="15" customHeight="1">
      <c r="A53" s="139"/>
      <c r="B53" s="7218" t="s">
        <v>6077</v>
      </c>
      <c r="C53" s="7218"/>
      <c r="D53" s="7218"/>
      <c r="E53" s="1879"/>
      <c r="F53" s="1888"/>
      <c r="G53" s="1417" t="s">
        <v>595</v>
      </c>
      <c r="H53" s="1889" t="s">
        <v>596</v>
      </c>
      <c r="I53" s="1876"/>
      <c r="J53" s="1876"/>
      <c r="K53" s="1876"/>
      <c r="L53" s="1876"/>
      <c r="M53" s="1876"/>
      <c r="N53" s="1876"/>
      <c r="O53" s="1876"/>
      <c r="P53" s="1876"/>
      <c r="Q53" s="1876"/>
      <c r="R53" s="1876"/>
      <c r="S53" s="1876"/>
      <c r="T53" s="1876"/>
      <c r="U53" s="1876"/>
      <c r="V53" s="1876"/>
      <c r="W53" s="1876"/>
      <c r="X53" s="1876"/>
      <c r="Y53" s="1416"/>
      <c r="Z53" s="1416"/>
      <c r="AA53" s="1417"/>
      <c r="AB53" s="1417"/>
      <c r="AC53" s="1417"/>
      <c r="AD53" s="1417"/>
      <c r="AE53" s="1417"/>
      <c r="AF53" s="1417"/>
      <c r="AG53" s="1417"/>
      <c r="AH53" s="1417"/>
      <c r="AI53" s="1417"/>
      <c r="AJ53" s="1258" t="s">
        <v>597</v>
      </c>
      <c r="AK53" s="1877" t="s">
        <v>598</v>
      </c>
      <c r="AL53" s="7039"/>
      <c r="AM53" s="7040"/>
      <c r="AN53" s="7041"/>
      <c r="AO53" s="7041"/>
      <c r="AP53" s="7041"/>
      <c r="AQ53" s="7041"/>
      <c r="AR53" s="7041"/>
      <c r="AS53" s="1878"/>
      <c r="AT53" s="4004"/>
      <c r="AU53" s="1318"/>
      <c r="AV53" s="4005"/>
      <c r="AW53" s="4006"/>
      <c r="AX53" s="4008"/>
      <c r="AY53" s="4009"/>
      <c r="AZ53" s="253"/>
      <c r="BA53" s="253"/>
      <c r="BB53" s="253"/>
      <c r="BC53" s="689"/>
      <c r="BD53" s="253"/>
      <c r="BE53" s="253"/>
      <c r="BF53" s="253"/>
      <c r="BG53" s="253"/>
      <c r="BH53" s="253"/>
      <c r="BI53" s="253"/>
      <c r="BJ53" s="253"/>
      <c r="BK53" s="253"/>
      <c r="BL53" s="253"/>
      <c r="BM53" s="253"/>
      <c r="BN53" s="253"/>
      <c r="BO53" s="253"/>
      <c r="BP53" s="253"/>
      <c r="BQ53" s="253"/>
      <c r="BR53" s="253"/>
      <c r="BS53" s="253"/>
      <c r="BT53" s="827"/>
      <c r="BU53" s="658"/>
      <c r="BV53" s="658"/>
      <c r="BW53" s="658"/>
      <c r="BX53" s="658"/>
      <c r="BY53" s="658"/>
      <c r="BZ53" s="658"/>
      <c r="CA53" s="658"/>
      <c r="CB53" s="658"/>
      <c r="CC53" s="658"/>
      <c r="CD53" s="658"/>
      <c r="CE53" s="658"/>
      <c r="CF53" s="658"/>
    </row>
    <row r="54" spans="1:84" ht="15" customHeight="1">
      <c r="A54" s="139"/>
      <c r="B54" s="7218"/>
      <c r="C54" s="7218"/>
      <c r="D54" s="7218"/>
      <c r="E54" s="1879"/>
      <c r="F54" s="1888"/>
      <c r="G54" s="1417" t="s">
        <v>599</v>
      </c>
      <c r="H54" s="1889" t="s">
        <v>600</v>
      </c>
      <c r="I54" s="1876"/>
      <c r="J54" s="1876"/>
      <c r="K54" s="1876"/>
      <c r="L54" s="1876"/>
      <c r="M54" s="1876"/>
      <c r="N54" s="1876"/>
      <c r="O54" s="1876"/>
      <c r="P54" s="1876"/>
      <c r="Q54" s="1876"/>
      <c r="R54" s="1876"/>
      <c r="S54" s="1876"/>
      <c r="T54" s="1876"/>
      <c r="U54" s="1876"/>
      <c r="V54" s="1876"/>
      <c r="W54" s="1876"/>
      <c r="X54" s="1876"/>
      <c r="Y54" s="1416"/>
      <c r="Z54" s="1416"/>
      <c r="AA54" s="1417"/>
      <c r="AB54" s="1417"/>
      <c r="AC54" s="1417"/>
      <c r="AD54" s="1417"/>
      <c r="AE54" s="1417"/>
      <c r="AF54" s="1417"/>
      <c r="AG54" s="1417"/>
      <c r="AH54" s="1417"/>
      <c r="AI54" s="1417"/>
      <c r="AJ54" s="1258" t="s">
        <v>601</v>
      </c>
      <c r="AK54" s="1877" t="s">
        <v>602</v>
      </c>
      <c r="AL54" s="7039"/>
      <c r="AM54" s="7040"/>
      <c r="AN54" s="7041"/>
      <c r="AO54" s="7041"/>
      <c r="AP54" s="7041"/>
      <c r="AQ54" s="7041"/>
      <c r="AR54" s="7041"/>
      <c r="AS54" s="1878"/>
      <c r="AT54" s="4004"/>
      <c r="AU54" s="1318"/>
      <c r="AV54" s="4005"/>
      <c r="AW54" s="4006"/>
      <c r="AX54" s="4008"/>
      <c r="AY54" s="4009"/>
      <c r="AZ54" s="253"/>
      <c r="BA54" s="253"/>
      <c r="BB54" s="253"/>
      <c r="BC54" s="689"/>
      <c r="BD54" s="253"/>
      <c r="BE54" s="253"/>
      <c r="BF54" s="253"/>
      <c r="BG54" s="253"/>
      <c r="BH54" s="253"/>
      <c r="BI54" s="253"/>
      <c r="BJ54" s="253"/>
      <c r="BK54" s="253"/>
      <c r="BL54" s="253"/>
      <c r="BM54" s="253"/>
      <c r="BN54" s="253"/>
      <c r="BO54" s="253"/>
      <c r="BP54" s="253"/>
      <c r="BQ54" s="253"/>
      <c r="BR54" s="253"/>
      <c r="BS54" s="253"/>
      <c r="BT54" s="827"/>
      <c r="BU54" s="658"/>
      <c r="BV54" s="658"/>
      <c r="BW54" s="658"/>
      <c r="BX54" s="658"/>
      <c r="BY54" s="658"/>
      <c r="BZ54" s="658"/>
      <c r="CA54" s="658"/>
      <c r="CB54" s="658"/>
      <c r="CC54" s="658"/>
      <c r="CD54" s="658"/>
      <c r="CE54" s="658"/>
      <c r="CF54" s="658"/>
    </row>
    <row r="55" spans="1:84" ht="15" customHeight="1">
      <c r="A55" s="139"/>
      <c r="B55" s="7218"/>
      <c r="C55" s="7218"/>
      <c r="D55" s="7218"/>
      <c r="E55" s="1879"/>
      <c r="F55" s="1888"/>
      <c r="G55" s="1417" t="s">
        <v>603</v>
      </c>
      <c r="H55" s="1889" t="s">
        <v>604</v>
      </c>
      <c r="I55" s="1876"/>
      <c r="J55" s="1876"/>
      <c r="K55" s="1876"/>
      <c r="L55" s="1876"/>
      <c r="M55" s="1876"/>
      <c r="N55" s="1876"/>
      <c r="O55" s="1876"/>
      <c r="P55" s="1876"/>
      <c r="Q55" s="1876"/>
      <c r="R55" s="1876"/>
      <c r="S55" s="1876"/>
      <c r="T55" s="1876"/>
      <c r="U55" s="1876"/>
      <c r="V55" s="1876"/>
      <c r="W55" s="1876"/>
      <c r="X55" s="1876"/>
      <c r="Y55" s="1416"/>
      <c r="Z55" s="1416"/>
      <c r="AA55" s="1417"/>
      <c r="AB55" s="1417"/>
      <c r="AC55" s="1417"/>
      <c r="AD55" s="1417"/>
      <c r="AE55" s="1417"/>
      <c r="AF55" s="1417"/>
      <c r="AG55" s="1417"/>
      <c r="AH55" s="1417"/>
      <c r="AI55" s="1417"/>
      <c r="AJ55" s="1258" t="s">
        <v>594</v>
      </c>
      <c r="AK55" s="1877" t="s">
        <v>605</v>
      </c>
      <c r="AL55" s="7281" t="str">
        <f>IF(AX55&lt;&gt;"",ROUND(AX55,0),Dependent_Care)</f>
        <v/>
      </c>
      <c r="AM55" s="7282"/>
      <c r="AN55" s="7438"/>
      <c r="AO55" s="7438"/>
      <c r="AP55" s="7438"/>
      <c r="AQ55" s="7438"/>
      <c r="AR55" s="7438"/>
      <c r="AS55" s="1878"/>
      <c r="AT55" s="4004"/>
      <c r="AU55" s="1318"/>
      <c r="AV55" s="4005"/>
      <c r="AW55" s="4006"/>
      <c r="AX55" s="732"/>
      <c r="AY55" s="4009"/>
      <c r="AZ55" s="253"/>
      <c r="BA55" s="253"/>
      <c r="BB55" s="253"/>
      <c r="BC55" s="689"/>
      <c r="BD55" s="253"/>
      <c r="BE55" s="253"/>
      <c r="BF55" s="253"/>
      <c r="BG55" s="253"/>
      <c r="BH55" s="253"/>
      <c r="BI55" s="253"/>
      <c r="BJ55" s="253"/>
      <c r="BK55" s="253"/>
      <c r="BL55" s="253"/>
      <c r="BM55" s="253"/>
      <c r="BN55" s="253"/>
      <c r="BO55" s="253"/>
      <c r="BP55" s="253"/>
      <c r="BQ55" s="253"/>
      <c r="BR55" s="253"/>
      <c r="BS55" s="253"/>
      <c r="BT55" s="827"/>
      <c r="BU55" s="658"/>
      <c r="BV55" s="658"/>
      <c r="BW55" s="658"/>
      <c r="BX55" s="658"/>
      <c r="BY55" s="658"/>
      <c r="BZ55" s="658"/>
      <c r="CA55" s="658"/>
      <c r="CB55" s="658"/>
      <c r="CC55" s="658"/>
      <c r="CD55" s="658"/>
      <c r="CE55" s="658"/>
      <c r="CF55" s="658"/>
    </row>
    <row r="56" spans="1:84" ht="15" customHeight="1">
      <c r="A56" s="139"/>
      <c r="B56" s="7218"/>
      <c r="C56" s="7218"/>
      <c r="D56" s="7218"/>
      <c r="E56" s="1879"/>
      <c r="F56" s="1888"/>
      <c r="G56" s="1417" t="s">
        <v>606</v>
      </c>
      <c r="H56" s="1889" t="s">
        <v>607</v>
      </c>
      <c r="I56" s="1876"/>
      <c r="J56" s="1876"/>
      <c r="K56" s="1876"/>
      <c r="L56" s="1876"/>
      <c r="M56" s="1876"/>
      <c r="N56" s="1876"/>
      <c r="O56" s="1876"/>
      <c r="P56" s="1876"/>
      <c r="Q56" s="1876"/>
      <c r="R56" s="1876"/>
      <c r="S56" s="1876"/>
      <c r="T56" s="1876"/>
      <c r="U56" s="1876"/>
      <c r="V56" s="1876"/>
      <c r="W56" s="1876"/>
      <c r="X56" s="1876"/>
      <c r="Y56" s="1416"/>
      <c r="Z56" s="1416"/>
      <c r="AA56" s="1417"/>
      <c r="AB56" s="1417"/>
      <c r="AC56" s="1417"/>
      <c r="AD56" s="1417"/>
      <c r="AE56" s="1417"/>
      <c r="AF56" s="1417"/>
      <c r="AG56" s="1417"/>
      <c r="AH56" s="1417"/>
      <c r="AI56" s="1417"/>
      <c r="AJ56" s="1258" t="s">
        <v>608</v>
      </c>
      <c r="AK56" s="1877" t="s">
        <v>609</v>
      </c>
      <c r="AL56" s="7039"/>
      <c r="AM56" s="7040"/>
      <c r="AN56" s="7041"/>
      <c r="AO56" s="7041"/>
      <c r="AP56" s="7041"/>
      <c r="AQ56" s="7041"/>
      <c r="AR56" s="7041"/>
      <c r="AS56" s="1878"/>
      <c r="AT56" s="4004"/>
      <c r="AU56" s="1318"/>
      <c r="AV56" s="4005"/>
      <c r="AW56" s="4006"/>
      <c r="AX56" s="4008"/>
      <c r="AY56" s="4009"/>
      <c r="AZ56" s="404"/>
      <c r="BA56" s="404"/>
      <c r="BB56" s="404"/>
      <c r="BC56" s="404"/>
      <c r="BD56" s="404"/>
      <c r="BE56" s="253"/>
      <c r="BF56" s="253"/>
      <c r="BG56" s="253"/>
      <c r="BH56" s="253"/>
      <c r="BI56" s="253"/>
      <c r="BJ56" s="253"/>
      <c r="BK56" s="253"/>
      <c r="BL56" s="253"/>
      <c r="BM56" s="253"/>
      <c r="BN56" s="253"/>
      <c r="BO56" s="253"/>
      <c r="BP56" s="253"/>
      <c r="BQ56" s="253"/>
      <c r="BR56" s="253"/>
      <c r="BS56" s="253"/>
      <c r="BT56" s="827"/>
      <c r="BU56" s="658"/>
      <c r="BV56" s="658"/>
      <c r="BW56" s="658"/>
      <c r="BX56" s="658"/>
      <c r="BY56" s="658"/>
      <c r="BZ56" s="658"/>
      <c r="CA56" s="658"/>
      <c r="CB56" s="658"/>
      <c r="CC56" s="658"/>
      <c r="CD56" s="658"/>
      <c r="CE56" s="658"/>
      <c r="CF56" s="658"/>
    </row>
    <row r="57" spans="1:84" ht="15" customHeight="1">
      <c r="A57" s="139"/>
      <c r="B57" s="7218"/>
      <c r="C57" s="7218"/>
      <c r="D57" s="7218"/>
      <c r="E57" s="1879"/>
      <c r="F57" s="1888"/>
      <c r="G57" s="1417" t="s">
        <v>610</v>
      </c>
      <c r="H57" s="1889" t="s">
        <v>611</v>
      </c>
      <c r="I57" s="1876"/>
      <c r="J57" s="1876"/>
      <c r="K57" s="1876"/>
      <c r="L57" s="1876"/>
      <c r="M57" s="1876"/>
      <c r="N57" s="1876"/>
      <c r="O57" s="1876"/>
      <c r="P57" s="1876"/>
      <c r="Q57" s="1876"/>
      <c r="R57" s="1876"/>
      <c r="S57" s="1876"/>
      <c r="T57" s="1876"/>
      <c r="U57" s="1876"/>
      <c r="V57" s="1876"/>
      <c r="W57" s="1876"/>
      <c r="X57" s="1876"/>
      <c r="Y57" s="1416"/>
      <c r="Z57" s="1416"/>
      <c r="AA57" s="1417"/>
      <c r="AB57" s="1417"/>
      <c r="AC57" s="1417"/>
      <c r="AD57" s="1417"/>
      <c r="AE57" s="1417"/>
      <c r="AF57" s="1417"/>
      <c r="AG57" s="1417"/>
      <c r="AH57" s="1417"/>
      <c r="AI57" s="1417"/>
      <c r="AJ57" s="1258" t="s">
        <v>612</v>
      </c>
      <c r="AK57" s="1877" t="s">
        <v>613</v>
      </c>
      <c r="AL57" s="7281" t="str">
        <f>IF(AX57&lt;&gt;"",ROUND(AX57,0),IF(F8919_Line6_Both=0,"",F8919_Line6_Both))</f>
        <v/>
      </c>
      <c r="AM57" s="7282"/>
      <c r="AN57" s="7438"/>
      <c r="AO57" s="7438"/>
      <c r="AP57" s="7438"/>
      <c r="AQ57" s="7438"/>
      <c r="AR57" s="7438"/>
      <c r="AS57" s="1878"/>
      <c r="AT57" s="4004"/>
      <c r="AU57" s="1318">
        <f>IF(AL57="",0,AL57)</f>
        <v>0</v>
      </c>
      <c r="AV57" s="4005"/>
      <c r="AW57" s="4006"/>
      <c r="AX57" s="732"/>
      <c r="AY57" s="4009"/>
      <c r="AZ57" s="404"/>
      <c r="BA57" s="404"/>
      <c r="BB57" s="404"/>
      <c r="BC57" s="404"/>
      <c r="BD57" s="404"/>
      <c r="BE57" s="253"/>
      <c r="BF57" s="253"/>
      <c r="BG57" s="253"/>
      <c r="BH57" s="253"/>
      <c r="BI57" s="253"/>
      <c r="BJ57" s="253"/>
      <c r="BK57" s="253"/>
      <c r="BL57" s="253"/>
      <c r="BM57" s="253"/>
      <c r="BN57" s="253"/>
      <c r="BO57" s="253"/>
      <c r="BP57" s="253"/>
      <c r="BQ57" s="253"/>
      <c r="BR57" s="253"/>
      <c r="BS57" s="253"/>
      <c r="BT57" s="827"/>
      <c r="BU57" s="658"/>
      <c r="BV57" s="658"/>
      <c r="BW57" s="658"/>
      <c r="BX57" s="658"/>
      <c r="BY57" s="658"/>
      <c r="BZ57" s="658"/>
      <c r="CA57" s="658"/>
      <c r="CB57" s="658"/>
      <c r="CC57" s="658"/>
      <c r="CD57" s="658"/>
      <c r="CE57" s="658"/>
      <c r="CF57" s="658"/>
    </row>
    <row r="58" spans="1:84" ht="15" customHeight="1" thickBot="1">
      <c r="A58" s="139"/>
      <c r="B58" s="7170" t="s">
        <v>614</v>
      </c>
      <c r="C58" s="7170"/>
      <c r="D58" s="7170"/>
      <c r="E58" s="1880"/>
      <c r="F58" s="1888"/>
      <c r="G58" s="1417" t="s">
        <v>615</v>
      </c>
      <c r="H58" s="1889" t="s">
        <v>616</v>
      </c>
      <c r="I58" s="1876"/>
      <c r="J58" s="1876"/>
      <c r="K58" s="1876"/>
      <c r="L58" s="1876"/>
      <c r="M58" s="1876"/>
      <c r="N58" s="1876"/>
      <c r="O58" s="1876"/>
      <c r="P58" s="1876"/>
      <c r="Q58" s="1876"/>
      <c r="R58" s="1876"/>
      <c r="S58" s="1876"/>
      <c r="T58" s="1876"/>
      <c r="U58" s="1876"/>
      <c r="V58" s="1876"/>
      <c r="W58" s="1876"/>
      <c r="X58" s="1876"/>
      <c r="Y58" s="1416"/>
      <c r="Z58" s="1416"/>
      <c r="AA58" s="1417"/>
      <c r="AB58" s="1417"/>
      <c r="AC58" s="1417"/>
      <c r="AD58" s="1417"/>
      <c r="AE58" s="1417"/>
      <c r="AF58" s="1417"/>
      <c r="AG58" s="1417"/>
      <c r="AH58" s="1417"/>
      <c r="AI58" s="1417"/>
      <c r="AJ58" s="1258" t="s">
        <v>617</v>
      </c>
      <c r="AK58" s="1881" t="s">
        <v>618</v>
      </c>
      <c r="AL58" s="7413"/>
      <c r="AM58" s="7414"/>
      <c r="AN58" s="7415"/>
      <c r="AO58" s="7415"/>
      <c r="AP58" s="7415"/>
      <c r="AQ58" s="7415"/>
      <c r="AR58" s="7415"/>
      <c r="AS58" s="1878"/>
      <c r="AT58" s="4004"/>
      <c r="AU58" s="1318"/>
      <c r="AV58" s="4005"/>
      <c r="AW58" s="4006"/>
      <c r="AX58" s="4010"/>
      <c r="AY58" s="4009"/>
      <c r="AZ58" s="404"/>
      <c r="BA58" s="404"/>
      <c r="BB58" s="404"/>
      <c r="BC58" s="404"/>
      <c r="BD58" s="404"/>
      <c r="BE58" s="253"/>
      <c r="BF58" s="253"/>
      <c r="BG58" s="253"/>
      <c r="BH58" s="253"/>
      <c r="BI58" s="253"/>
      <c r="BJ58" s="253"/>
      <c r="BK58" s="253"/>
      <c r="BL58" s="253"/>
      <c r="BM58" s="253"/>
      <c r="BN58" s="253"/>
      <c r="BO58" s="253"/>
      <c r="BP58" s="253"/>
      <c r="BQ58" s="253"/>
      <c r="BR58" s="253"/>
      <c r="BS58" s="253"/>
      <c r="BT58" s="827"/>
      <c r="BU58" s="658"/>
      <c r="BV58" s="658"/>
      <c r="BW58" s="658"/>
      <c r="BX58" s="658"/>
      <c r="BY58" s="658"/>
      <c r="BZ58" s="658"/>
      <c r="CA58" s="658"/>
      <c r="CB58" s="658"/>
      <c r="CC58" s="658"/>
      <c r="CD58" s="658"/>
      <c r="CE58" s="658"/>
      <c r="CF58" s="658"/>
    </row>
    <row r="59" spans="1:84" ht="15" customHeight="1">
      <c r="A59" s="139"/>
      <c r="B59" s="7170"/>
      <c r="C59" s="7170"/>
      <c r="D59" s="7170"/>
      <c r="E59" s="1880"/>
      <c r="F59" s="1888"/>
      <c r="G59" s="1417" t="s">
        <v>619</v>
      </c>
      <c r="H59" s="1889" t="s">
        <v>620</v>
      </c>
      <c r="I59" s="1876"/>
      <c r="J59" s="1876"/>
      <c r="K59" s="1876"/>
      <c r="L59" s="1876"/>
      <c r="M59" s="1876"/>
      <c r="N59" s="1876"/>
      <c r="O59" s="1876"/>
      <c r="P59" s="1876"/>
      <c r="Q59" s="1876"/>
      <c r="R59" s="1876"/>
      <c r="S59" s="1876"/>
      <c r="T59" s="1876"/>
      <c r="U59" s="1876"/>
      <c r="V59" s="1876"/>
      <c r="W59" s="1876"/>
      <c r="X59" s="1876"/>
      <c r="Y59" s="1416"/>
      <c r="Z59" s="1416"/>
      <c r="AA59" s="1417"/>
      <c r="AB59" s="1417"/>
      <c r="AC59" s="1417"/>
      <c r="AD59" s="1258" t="s">
        <v>624</v>
      </c>
      <c r="AE59" s="1258"/>
      <c r="AF59" s="4011" t="s">
        <v>621</v>
      </c>
      <c r="AG59" s="7067">
        <f>IF(AX59&lt;&gt;"",ROUND(AX59,0),'W-2s'!C93)</f>
        <v>0</v>
      </c>
      <c r="AH59" s="7238"/>
      <c r="AI59" s="7238"/>
      <c r="AJ59" s="7442"/>
      <c r="AK59" s="1882"/>
      <c r="AL59" s="1883"/>
      <c r="AM59" s="1884"/>
      <c r="AN59" s="1884"/>
      <c r="AO59" s="1884"/>
      <c r="AP59" s="1884"/>
      <c r="AQ59" s="1884"/>
      <c r="AR59" s="1884"/>
      <c r="AS59" s="1878"/>
      <c r="AT59" s="4004"/>
      <c r="AU59" s="2855" t="s">
        <v>6655</v>
      </c>
      <c r="AV59" s="4012"/>
      <c r="AW59" s="4013"/>
      <c r="AX59" s="732"/>
      <c r="AY59" s="4009"/>
      <c r="AZ59" s="512"/>
      <c r="BA59" s="512"/>
      <c r="BB59" s="512"/>
      <c r="BC59" s="512"/>
      <c r="BD59" s="580"/>
      <c r="BE59" s="580"/>
      <c r="BF59" s="253"/>
      <c r="BG59" s="253"/>
      <c r="BH59" s="253"/>
      <c r="BI59" s="253"/>
      <c r="BJ59" s="253"/>
      <c r="BK59" s="253"/>
      <c r="BL59" s="253"/>
      <c r="BM59" s="253"/>
      <c r="BN59" s="253"/>
      <c r="BO59" s="253"/>
      <c r="BP59" s="253"/>
      <c r="BQ59" s="253"/>
      <c r="BR59" s="253"/>
      <c r="BS59" s="253"/>
      <c r="BT59" s="827"/>
      <c r="BU59" s="658"/>
      <c r="BV59" s="658"/>
      <c r="BW59" s="658"/>
      <c r="BX59" s="658"/>
      <c r="BY59" s="658"/>
      <c r="BZ59" s="658"/>
      <c r="CA59" s="658"/>
      <c r="CB59" s="658"/>
      <c r="CC59" s="658"/>
      <c r="CD59" s="658"/>
      <c r="CE59" s="658"/>
      <c r="CF59" s="658"/>
    </row>
    <row r="60" spans="1:84" ht="15" customHeight="1">
      <c r="A60" s="139"/>
      <c r="B60" s="7171"/>
      <c r="C60" s="7171"/>
      <c r="D60" s="7171"/>
      <c r="E60" s="1885"/>
      <c r="F60" s="4014"/>
      <c r="G60" s="1417" t="s">
        <v>622</v>
      </c>
      <c r="H60" s="1889" t="s">
        <v>623</v>
      </c>
      <c r="I60" s="1876"/>
      <c r="J60" s="1876"/>
      <c r="K60" s="1876"/>
      <c r="L60" s="1876"/>
      <c r="M60" s="1876"/>
      <c r="N60" s="1876"/>
      <c r="O60" s="1876"/>
      <c r="P60" s="1876"/>
      <c r="Q60" s="1876"/>
      <c r="R60" s="1876"/>
      <c r="S60" s="1876"/>
      <c r="T60" s="1876"/>
      <c r="U60" s="1876"/>
      <c r="V60" s="1876"/>
      <c r="W60" s="1876"/>
      <c r="X60" s="1876"/>
      <c r="Y60" s="1416"/>
      <c r="Z60" s="1416"/>
      <c r="AA60" s="1417"/>
      <c r="AB60" s="1417"/>
      <c r="AC60" s="1417"/>
      <c r="AD60" s="1417"/>
      <c r="AE60" s="1417"/>
      <c r="AF60" s="1417"/>
      <c r="AG60" s="1417"/>
      <c r="AH60" s="1417"/>
      <c r="AI60" s="1417"/>
      <c r="AJ60" s="1258" t="s">
        <v>612</v>
      </c>
      <c r="AK60" s="1877" t="s">
        <v>625</v>
      </c>
      <c r="AL60" s="7072">
        <f>IF(AX60&lt;&gt;"",ROUND(AX60,0),SUM(AL51, ROUND(AL52,0),ROUND(AL53,0),ROUND(AL54,0),AL55,ROUND(AL56,0),AU57,ROUND(AL58,0)))</f>
        <v>0</v>
      </c>
      <c r="AM60" s="7073"/>
      <c r="AN60" s="7068"/>
      <c r="AO60" s="7068"/>
      <c r="AP60" s="7068"/>
      <c r="AQ60" s="7068"/>
      <c r="AR60" s="7068"/>
      <c r="AS60" s="1878"/>
      <c r="AT60" s="4004"/>
      <c r="AU60" s="1318"/>
      <c r="AV60" s="4005"/>
      <c r="AW60" s="4006" t="b">
        <f>IRA_Gross=IRA_Taxable</f>
        <v>1</v>
      </c>
      <c r="AX60" s="732"/>
      <c r="AY60" s="4015" t="s">
        <v>585</v>
      </c>
      <c r="AZ60" s="404"/>
      <c r="BA60" s="404"/>
      <c r="BB60" s="404"/>
      <c r="BC60" s="404"/>
      <c r="BD60" s="404"/>
      <c r="BE60" s="253"/>
      <c r="BF60" s="253"/>
      <c r="BG60" s="253"/>
      <c r="BH60" s="253"/>
      <c r="BI60" s="253"/>
      <c r="BJ60" s="253"/>
      <c r="BK60" s="253"/>
      <c r="BL60" s="253"/>
      <c r="BM60" s="253"/>
      <c r="BN60" s="253"/>
      <c r="BO60" s="253"/>
      <c r="BP60" s="253"/>
      <c r="BQ60" s="253"/>
      <c r="BR60" s="253"/>
      <c r="BS60" s="253"/>
      <c r="BT60" s="827"/>
      <c r="BU60" s="658"/>
      <c r="BV60" s="658"/>
      <c r="BW60" s="658"/>
      <c r="BX60" s="658"/>
      <c r="BY60" s="658"/>
      <c r="BZ60" s="658"/>
      <c r="CA60" s="658"/>
      <c r="CB60" s="658"/>
      <c r="CC60" s="658"/>
      <c r="CD60" s="658"/>
      <c r="CE60" s="658"/>
      <c r="CF60" s="658"/>
    </row>
    <row r="61" spans="1:84" ht="15" customHeight="1">
      <c r="A61" s="139"/>
      <c r="B61" s="7173" t="s">
        <v>626</v>
      </c>
      <c r="C61" s="7174"/>
      <c r="D61" s="7174"/>
      <c r="E61" s="1886"/>
      <c r="F61" s="4016">
        <v>2</v>
      </c>
      <c r="G61" s="4017" t="s">
        <v>588</v>
      </c>
      <c r="H61" s="1889" t="s">
        <v>302</v>
      </c>
      <c r="I61" s="1887"/>
      <c r="J61" s="1887"/>
      <c r="K61" s="1887"/>
      <c r="L61" s="1887"/>
      <c r="M61" s="1887"/>
      <c r="N61" s="1887"/>
      <c r="O61" s="1258"/>
      <c r="P61" s="1258" t="s">
        <v>627</v>
      </c>
      <c r="Q61" s="7443" t="str">
        <f>F61&amp;"a"</f>
        <v>2a</v>
      </c>
      <c r="R61" s="7444"/>
      <c r="S61" s="7067">
        <f>IF(AX61&lt;&gt;"",ROUND(AX61,0),SUM(TaxExemptInterest,Exempt_Interest_DIV))</f>
        <v>0</v>
      </c>
      <c r="T61" s="7068"/>
      <c r="U61" s="7068"/>
      <c r="V61" s="7068"/>
      <c r="W61" s="7068"/>
      <c r="X61" s="7069"/>
      <c r="Y61" s="1888"/>
      <c r="Z61" s="1888" t="s">
        <v>592</v>
      </c>
      <c r="AA61" s="1858" t="s">
        <v>628</v>
      </c>
      <c r="AB61" s="1889"/>
      <c r="AC61" s="1890"/>
      <c r="AD61" s="1890"/>
      <c r="AE61" s="1890"/>
      <c r="AF61" s="1887"/>
      <c r="AG61" s="1890"/>
      <c r="AH61" s="1890"/>
      <c r="AI61" s="1890"/>
      <c r="AJ61" s="1258" t="s">
        <v>643</v>
      </c>
      <c r="AK61" s="1891" t="str">
        <f>F61&amp;"b"</f>
        <v>2b</v>
      </c>
      <c r="AL61" s="7177">
        <f>IF(AY61&lt;&gt;"",ROUND(AY61,0),Interest_Inc)</f>
        <v>0</v>
      </c>
      <c r="AM61" s="7178"/>
      <c r="AN61" s="7178"/>
      <c r="AO61" s="7178"/>
      <c r="AP61" s="7178"/>
      <c r="AQ61" s="7178"/>
      <c r="AR61" s="7178"/>
      <c r="AS61" s="1892"/>
      <c r="AT61" s="4018"/>
      <c r="AU61" s="1318"/>
      <c r="AV61" s="4005" t="s">
        <v>629</v>
      </c>
      <c r="AW61" s="4006" t="b">
        <f>ROUND(PA_Gross,0)=PA_Taxable</f>
        <v>1</v>
      </c>
      <c r="AX61" s="1063"/>
      <c r="AY61" s="1418"/>
      <c r="AZ61" s="7049"/>
      <c r="BA61" s="7050"/>
      <c r="BB61" s="404"/>
      <c r="BC61" s="404"/>
      <c r="BD61" s="404"/>
      <c r="BE61" s="253"/>
      <c r="BF61" s="253"/>
      <c r="BG61" s="253"/>
      <c r="BH61" s="253"/>
      <c r="BI61" s="253"/>
      <c r="BJ61" s="253"/>
      <c r="BK61" s="253"/>
      <c r="BL61" s="253"/>
      <c r="BM61" s="253"/>
      <c r="BN61" s="253"/>
      <c r="BO61" s="253"/>
      <c r="BP61" s="253"/>
      <c r="BQ61" s="253"/>
      <c r="BR61" s="253"/>
      <c r="BS61" s="253"/>
      <c r="BT61" s="827"/>
      <c r="BU61" s="658"/>
      <c r="BV61" s="658"/>
      <c r="BW61" s="658"/>
      <c r="BX61" s="658"/>
      <c r="BY61" s="658"/>
      <c r="BZ61" s="658"/>
      <c r="CA61" s="658"/>
      <c r="CB61" s="658"/>
      <c r="CC61" s="658"/>
      <c r="CD61" s="658"/>
      <c r="CE61" s="658"/>
      <c r="CF61" s="658"/>
    </row>
    <row r="62" spans="1:84" ht="13.5" customHeight="1">
      <c r="A62" s="139"/>
      <c r="B62" s="7175"/>
      <c r="C62" s="7176"/>
      <c r="D62" s="7176"/>
      <c r="E62" s="1893"/>
      <c r="F62" s="1292">
        <v>3</v>
      </c>
      <c r="G62" s="4019" t="s">
        <v>588</v>
      </c>
      <c r="H62" s="1889" t="s">
        <v>336</v>
      </c>
      <c r="I62" s="1887"/>
      <c r="J62" s="1887"/>
      <c r="K62" s="1887"/>
      <c r="L62" s="1887"/>
      <c r="M62" s="1887"/>
      <c r="N62" s="1887"/>
      <c r="O62" s="1258"/>
      <c r="P62" s="1258" t="s">
        <v>627</v>
      </c>
      <c r="Q62" s="7445" t="str">
        <f>F62&amp;"a"</f>
        <v>3a</v>
      </c>
      <c r="R62" s="7446"/>
      <c r="S62" s="7067">
        <f>IF(AX62&lt;&gt;"",ROUND(AX62,0),ROUND(QualDiv_1099DIV,0))</f>
        <v>0</v>
      </c>
      <c r="T62" s="7068"/>
      <c r="U62" s="7068"/>
      <c r="V62" s="7068"/>
      <c r="W62" s="7068"/>
      <c r="X62" s="7069"/>
      <c r="Y62" s="1888"/>
      <c r="Z62" s="1888" t="s">
        <v>592</v>
      </c>
      <c r="AA62" s="1858" t="s">
        <v>630</v>
      </c>
      <c r="AB62" s="1889"/>
      <c r="AC62" s="1890"/>
      <c r="AD62" s="1890"/>
      <c r="AE62" s="1890"/>
      <c r="AF62" s="1887"/>
      <c r="AG62" s="1890"/>
      <c r="AH62" s="1890"/>
      <c r="AI62" s="1890"/>
      <c r="AJ62" s="1258" t="s">
        <v>5159</v>
      </c>
      <c r="AK62" s="4057" t="str">
        <f>F62&amp;"b"</f>
        <v>3b</v>
      </c>
      <c r="AL62" s="7416">
        <f>IF(AY62&lt;&gt;"",ROUND(AY62,0),Dividend_Inc)</f>
        <v>0</v>
      </c>
      <c r="AM62" s="7417"/>
      <c r="AN62" s="7417"/>
      <c r="AO62" s="7417"/>
      <c r="AP62" s="7417"/>
      <c r="AQ62" s="7417"/>
      <c r="AR62" s="7417"/>
      <c r="AS62" s="1892"/>
      <c r="AT62" s="4018"/>
      <c r="AU62" s="1318"/>
      <c r="AV62" s="253"/>
      <c r="AW62" s="512" t="b">
        <f>AU64&lt;&gt;""</f>
        <v>0</v>
      </c>
      <c r="AX62" s="1063"/>
      <c r="AY62" s="1418"/>
      <c r="AZ62" s="5840"/>
      <c r="BA62" s="404"/>
      <c r="BB62" s="404"/>
      <c r="BC62" s="404"/>
      <c r="BD62" s="404"/>
      <c r="BE62" s="730"/>
      <c r="BF62" s="253"/>
      <c r="BG62" s="253"/>
      <c r="BH62" s="253"/>
      <c r="BI62" s="4020" t="s">
        <v>634</v>
      </c>
      <c r="BJ62" s="4021"/>
      <c r="BK62" s="413"/>
      <c r="BL62" s="253"/>
      <c r="BM62" s="253"/>
      <c r="BN62" s="253"/>
      <c r="BO62" s="253"/>
      <c r="BP62" s="253"/>
      <c r="BQ62" s="253"/>
      <c r="BR62" s="253"/>
      <c r="BS62" s="253"/>
      <c r="BT62" s="827"/>
      <c r="BU62" s="658"/>
      <c r="BV62" s="658"/>
      <c r="BW62" s="658"/>
      <c r="BX62" s="658"/>
      <c r="BY62" s="658"/>
      <c r="BZ62" s="658"/>
      <c r="CA62" s="658"/>
      <c r="CB62" s="658"/>
      <c r="CC62" s="658"/>
      <c r="CD62" s="658"/>
      <c r="CE62" s="658"/>
      <c r="CF62" s="658"/>
    </row>
    <row r="63" spans="1:84" ht="5.25" customHeight="1">
      <c r="A63" s="139"/>
      <c r="B63" s="5941"/>
      <c r="C63" s="1893"/>
      <c r="D63" s="5945"/>
      <c r="E63" s="5823"/>
      <c r="F63" s="1888"/>
      <c r="G63" s="1417"/>
      <c r="H63" s="1889"/>
      <c r="I63" s="1887"/>
      <c r="J63" s="1887"/>
      <c r="K63" s="1887"/>
      <c r="L63" s="1887"/>
      <c r="M63" s="1887"/>
      <c r="N63" s="1887"/>
      <c r="O63" s="1887"/>
      <c r="P63" s="1887"/>
      <c r="Q63" s="1954"/>
      <c r="R63" s="1887"/>
      <c r="S63" s="1887"/>
      <c r="T63" s="1887"/>
      <c r="U63" s="1887"/>
      <c r="V63" s="1887"/>
      <c r="W63" s="1887"/>
      <c r="X63" s="1887"/>
      <c r="Y63" s="1887"/>
      <c r="Z63" s="1887"/>
      <c r="AA63" s="1887"/>
      <c r="AB63" s="1887"/>
      <c r="AC63" s="1887"/>
      <c r="AD63" s="1887"/>
      <c r="AE63" s="1887"/>
      <c r="AF63" s="1887"/>
      <c r="AG63" s="1890"/>
      <c r="AH63" s="1890"/>
      <c r="AI63" s="1890"/>
      <c r="AJ63" s="1258"/>
      <c r="AK63" s="7152"/>
      <c r="AL63" s="7148"/>
      <c r="AM63" s="7149"/>
      <c r="AN63" s="7149"/>
      <c r="AO63" s="7149"/>
      <c r="AP63" s="7149"/>
      <c r="AQ63" s="7149"/>
      <c r="AR63" s="7149"/>
      <c r="AS63" s="1892"/>
      <c r="AT63" s="4018"/>
      <c r="AU63" s="1318"/>
      <c r="AV63" s="253"/>
      <c r="AW63" s="512"/>
      <c r="AX63" s="6599"/>
      <c r="AY63" s="6600"/>
      <c r="AZ63" s="5840"/>
      <c r="BA63" s="404"/>
      <c r="BB63" s="404"/>
      <c r="BC63" s="404"/>
      <c r="BD63" s="404"/>
      <c r="BE63" s="730"/>
      <c r="BF63" s="253"/>
      <c r="BG63" s="253"/>
      <c r="BH63" s="253"/>
      <c r="BI63" s="408"/>
      <c r="BJ63" s="253"/>
      <c r="BK63" s="409"/>
      <c r="BL63" s="253"/>
      <c r="BM63" s="253"/>
      <c r="BN63" s="253"/>
      <c r="BO63" s="253"/>
      <c r="BP63" s="253"/>
      <c r="BQ63" s="253"/>
      <c r="BR63" s="253"/>
      <c r="BS63" s="253"/>
      <c r="BT63" s="827"/>
      <c r="BU63" s="658"/>
      <c r="BV63" s="658"/>
      <c r="BW63" s="658"/>
      <c r="BX63" s="658"/>
      <c r="BY63" s="658"/>
      <c r="BZ63" s="658"/>
      <c r="CA63" s="658"/>
      <c r="CB63" s="658"/>
      <c r="CC63" s="658"/>
      <c r="CD63" s="658"/>
      <c r="CE63" s="658"/>
      <c r="CF63" s="658"/>
    </row>
    <row r="64" spans="1:84" ht="13.5" customHeight="1">
      <c r="A64" s="139"/>
      <c r="B64" s="5823"/>
      <c r="C64" s="5823"/>
      <c r="D64" s="5823"/>
      <c r="E64" s="5823"/>
      <c r="F64" s="1888"/>
      <c r="G64" s="1417" t="s">
        <v>595</v>
      </c>
      <c r="H64" s="1889" t="s">
        <v>5711</v>
      </c>
      <c r="I64" s="1887"/>
      <c r="J64" s="1887"/>
      <c r="K64" s="1887"/>
      <c r="L64" s="1887"/>
      <c r="M64" s="1887"/>
      <c r="N64" s="1887"/>
      <c r="O64" s="1258"/>
      <c r="P64" s="1258"/>
      <c r="Q64" s="5827"/>
      <c r="R64" s="1888"/>
      <c r="S64" s="1888"/>
      <c r="T64" s="1888"/>
      <c r="U64" s="1920" t="s">
        <v>5713</v>
      </c>
      <c r="V64" s="276"/>
      <c r="W64" s="1858" t="s">
        <v>5712</v>
      </c>
      <c r="X64" s="1888"/>
      <c r="Y64" s="1888"/>
      <c r="Z64" s="1888"/>
      <c r="AA64" s="1920" t="s">
        <v>5714</v>
      </c>
      <c r="AB64" s="276"/>
      <c r="AC64" s="1858" t="s">
        <v>5715</v>
      </c>
      <c r="AD64" s="1858"/>
      <c r="AE64" s="1890"/>
      <c r="AF64" s="1887"/>
      <c r="AG64" s="1890"/>
      <c r="AH64" s="1890"/>
      <c r="AI64" s="1890"/>
      <c r="AJ64" s="1258"/>
      <c r="AK64" s="7153"/>
      <c r="AL64" s="7150"/>
      <c r="AM64" s="7151"/>
      <c r="AN64" s="7151"/>
      <c r="AO64" s="7151"/>
      <c r="AP64" s="7151"/>
      <c r="AQ64" s="7151"/>
      <c r="AR64" s="7151"/>
      <c r="AS64" s="1892"/>
      <c r="AT64" s="4018"/>
      <c r="AU64" s="7290" t="str">
        <f>IF(OrdinaryDividends&lt;Qualified_Dividends,"Error: Qualified dividends "&amp;CHAR(10)&amp;"(line 3a)"&amp;CHAR(10)&amp;"must be included in"&amp;CHAR(10)&amp;"ordinary dividends "&amp;CHAR(10)&amp;"(line 3b).",IF(AND(OrdinaryDividends&lt;&gt;0,Qualified_Dividends&lt;&gt;"",OrdinaryDividends&lt;&gt;Qualified_Dividends),"Caution: Be sure to include all of line 3a, Qualified Dividends, in line 3b, Ordinary Dividend, amount.",IF(AND(IRA_Taxable&lt;&gt;0,AW60,PA_Taxable&lt;&gt;0,AW61),"Linse 4a and 5a are blank"&amp;CHAR(10)&amp;"per IRS instructions.",IF(AND(IRA_Taxable&lt;&gt;0,AW60),"Line 4a is blank per"&amp;CHAR(10)&amp;"IRS instructions.",IF(AND(PA_Taxable&lt;&gt;0,AW61),"Line 5a is blank per"&amp;CHAR(10)&amp;"IRS instructions.",IF(AY51,"Use Sheets W-2, "&amp;CHAR(10)&amp;"1099-INT, 1099-DIV, 1099-R, and "&amp;CHAR(10)&amp;"SSA-1099 for accurate results.",""))))))</f>
        <v/>
      </c>
      <c r="AV64" s="7290"/>
      <c r="AW64" s="7291"/>
      <c r="AX64" s="6601"/>
      <c r="AY64" s="6602"/>
      <c r="AZ64" s="5840"/>
      <c r="BA64" s="404"/>
      <c r="BB64" s="404"/>
      <c r="BC64" s="404"/>
      <c r="BD64" s="404"/>
      <c r="BE64" s="730"/>
      <c r="BF64" s="253"/>
      <c r="BG64" s="253"/>
      <c r="BH64" s="253"/>
      <c r="BI64" s="408"/>
      <c r="BJ64" s="253"/>
      <c r="BK64" s="409"/>
      <c r="BL64" s="253"/>
      <c r="BM64" s="253"/>
      <c r="BN64" s="253"/>
      <c r="BO64" s="253"/>
      <c r="BP64" s="253"/>
      <c r="BQ64" s="253"/>
      <c r="BR64" s="253"/>
      <c r="BS64" s="253"/>
      <c r="BT64" s="827"/>
      <c r="BU64" s="658"/>
      <c r="BV64" s="658"/>
      <c r="BW64" s="658"/>
      <c r="BX64" s="658"/>
      <c r="BY64" s="658"/>
      <c r="BZ64" s="658"/>
      <c r="CA64" s="658"/>
      <c r="CB64" s="658"/>
      <c r="CC64" s="658"/>
      <c r="CD64" s="658"/>
      <c r="CE64" s="658"/>
      <c r="CF64" s="658"/>
    </row>
    <row r="65" spans="1:84" ht="14.25" customHeight="1">
      <c r="A65" s="139"/>
      <c r="B65" s="5823"/>
      <c r="C65" s="5823"/>
      <c r="D65" s="5823"/>
      <c r="E65" s="5823"/>
      <c r="F65" s="1888">
        <f>F62+1</f>
        <v>4</v>
      </c>
      <c r="G65" s="1417" t="s">
        <v>588</v>
      </c>
      <c r="H65" s="1889" t="s">
        <v>633</v>
      </c>
      <c r="I65" s="1887"/>
      <c r="J65" s="1887"/>
      <c r="K65" s="1887"/>
      <c r="L65" s="1887"/>
      <c r="M65" s="1887"/>
      <c r="N65" s="1552"/>
      <c r="O65" s="1258"/>
      <c r="P65" s="1258" t="s">
        <v>627</v>
      </c>
      <c r="Q65" s="7445" t="str">
        <f>F65&amp;"a"</f>
        <v>4a</v>
      </c>
      <c r="R65" s="7446"/>
      <c r="S65" s="7067" t="str">
        <f>IF(AX65&lt;&gt;"",ROUND(AX65,0),IF(AW60,"",SUM(ROUND(IRA_Gross,0),ROUND(CONV2ROTH,0))))</f>
        <v/>
      </c>
      <c r="T65" s="7068"/>
      <c r="U65" s="7068"/>
      <c r="V65" s="7068"/>
      <c r="W65" s="7068"/>
      <c r="X65" s="7069"/>
      <c r="Y65" s="1888"/>
      <c r="Z65" s="1888" t="s">
        <v>592</v>
      </c>
      <c r="AA65" s="1858" t="s">
        <v>401</v>
      </c>
      <c r="AB65" s="1889"/>
      <c r="AC65" s="1890"/>
      <c r="AD65" s="1890"/>
      <c r="AE65" s="1890"/>
      <c r="AF65" s="1887"/>
      <c r="AG65" s="1890"/>
      <c r="AH65" s="1890"/>
      <c r="AI65" s="1890"/>
      <c r="AJ65" s="1258" t="s">
        <v>5159</v>
      </c>
      <c r="AK65" s="1891" t="str">
        <f>F65&amp;"b"</f>
        <v>4b</v>
      </c>
      <c r="AL65" s="7072">
        <f>IF(AY65&lt;&gt;"",ROUND(AY65,0),ROUND(SUM(IRA_Taxable_1099R,IRAContrib_Taxable1,IRAContrib_Taxable2,IRAConvert_Taxable1,IRAConvert_Taxable2,RothIRADist_Taxable1,RothIRADist_Taxable2),0))</f>
        <v>0</v>
      </c>
      <c r="AM65" s="7073"/>
      <c r="AN65" s="7073"/>
      <c r="AO65" s="7073"/>
      <c r="AP65" s="7073"/>
      <c r="AQ65" s="7073"/>
      <c r="AR65" s="7073"/>
      <c r="AS65" s="1892"/>
      <c r="AT65" s="4018"/>
      <c r="AU65" s="7290"/>
      <c r="AV65" s="7290"/>
      <c r="AW65" s="7291"/>
      <c r="AX65" s="1063"/>
      <c r="AY65" s="1063"/>
      <c r="AZ65" s="5840"/>
      <c r="BA65" s="404"/>
      <c r="BB65" s="404"/>
      <c r="BC65" s="404"/>
      <c r="BD65" s="404"/>
      <c r="BE65" s="730"/>
      <c r="BF65" s="253"/>
      <c r="BG65" s="253"/>
      <c r="BH65" s="253"/>
      <c r="BI65" s="566">
        <f>IF(File_Single&lt;&gt;"",SD_Adj_Single,IF(OR(File_Marr_Joint&lt;&gt;"",File_Qual_Widow&lt;&gt;""),SD_Adj_MFJW,IF(File_Marr_Sep&lt;&gt;"",SD_Adj_MFS,IF(File_Head&lt;&gt;"",SD_Adj_HOH,0))))</f>
        <v>0</v>
      </c>
      <c r="BJ65" s="344" t="b">
        <f>SchA_Filed</f>
        <v>0</v>
      </c>
      <c r="BK65" s="409" t="b">
        <f>NOT(ItemizedDeduct)</f>
        <v>1</v>
      </c>
      <c r="BL65" s="253"/>
      <c r="BM65" s="253"/>
      <c r="BN65" s="253"/>
      <c r="BO65" s="253"/>
      <c r="BP65" s="253"/>
      <c r="BQ65" s="253"/>
      <c r="BR65" s="253"/>
      <c r="BS65" s="253"/>
      <c r="BT65" s="827"/>
      <c r="BU65" s="658"/>
      <c r="BV65" s="658"/>
      <c r="BW65" s="658"/>
      <c r="BX65" s="658"/>
      <c r="BY65" s="658"/>
      <c r="BZ65" s="658"/>
      <c r="CA65" s="658"/>
      <c r="CB65" s="658"/>
      <c r="CC65" s="658"/>
      <c r="CD65" s="658"/>
      <c r="CE65" s="658"/>
      <c r="CF65" s="658"/>
    </row>
    <row r="66" spans="1:84" ht="5.25" customHeight="1">
      <c r="A66" s="139"/>
      <c r="B66" s="5823"/>
      <c r="C66" s="5823"/>
      <c r="D66" s="5823"/>
      <c r="E66" s="5823"/>
      <c r="F66" s="1888"/>
      <c r="G66" s="1417"/>
      <c r="H66" s="1889"/>
      <c r="I66" s="1887"/>
      <c r="J66" s="1887"/>
      <c r="K66" s="1887"/>
      <c r="L66" s="1887"/>
      <c r="M66" s="1887"/>
      <c r="N66" s="1887"/>
      <c r="O66" s="1887"/>
      <c r="P66" s="1887"/>
      <c r="Q66" s="1954"/>
      <c r="R66" s="1887"/>
      <c r="S66" s="1887"/>
      <c r="T66" s="1887"/>
      <c r="U66" s="1887"/>
      <c r="V66" s="1887"/>
      <c r="W66" s="1887"/>
      <c r="X66" s="1887"/>
      <c r="Y66" s="1887"/>
      <c r="Z66" s="1887"/>
      <c r="AA66" s="1887"/>
      <c r="AB66" s="1887"/>
      <c r="AC66" s="1887"/>
      <c r="AD66" s="1887"/>
      <c r="AE66" s="1887"/>
      <c r="AF66" s="1887"/>
      <c r="AG66" s="1890"/>
      <c r="AH66" s="1890"/>
      <c r="AI66" s="1890"/>
      <c r="AJ66" s="1258"/>
      <c r="AK66" s="1898"/>
      <c r="AL66" s="4849"/>
      <c r="AM66" s="2904"/>
      <c r="AN66" s="2904"/>
      <c r="AO66" s="2904"/>
      <c r="AP66" s="2904"/>
      <c r="AQ66" s="2904"/>
      <c r="AR66" s="2904"/>
      <c r="AS66" s="1892"/>
      <c r="AT66" s="4018"/>
      <c r="AU66" s="7290"/>
      <c r="AV66" s="7290"/>
      <c r="AW66" s="7291"/>
      <c r="AX66" s="6599"/>
      <c r="AY66" s="6600"/>
      <c r="AZ66" s="5840"/>
      <c r="BA66" s="404"/>
      <c r="BB66" s="404"/>
      <c r="BC66" s="404"/>
      <c r="BD66" s="404"/>
      <c r="BE66" s="730"/>
      <c r="BF66" s="253"/>
      <c r="BG66" s="253"/>
      <c r="BH66" s="253"/>
      <c r="BI66" s="5837"/>
      <c r="BJ66" s="580"/>
      <c r="BK66" s="5870"/>
      <c r="BL66" s="253"/>
      <c r="BM66" s="253"/>
      <c r="BN66" s="253"/>
      <c r="BO66" s="253"/>
      <c r="BP66" s="253"/>
      <c r="BQ66" s="253"/>
      <c r="BR66" s="253"/>
      <c r="BS66" s="253"/>
      <c r="BT66" s="827"/>
      <c r="BU66" s="658"/>
      <c r="BV66" s="658"/>
      <c r="BW66" s="658"/>
      <c r="BX66" s="658"/>
      <c r="BY66" s="658"/>
      <c r="BZ66" s="658"/>
      <c r="CA66" s="658"/>
      <c r="CB66" s="658"/>
      <c r="CC66" s="658"/>
      <c r="CD66" s="658"/>
      <c r="CE66" s="658"/>
      <c r="CF66" s="658"/>
    </row>
    <row r="67" spans="1:84" ht="13.5" customHeight="1">
      <c r="A67" s="139"/>
      <c r="B67" s="5823"/>
      <c r="C67" s="5823"/>
      <c r="D67" s="5823"/>
      <c r="E67" s="5823"/>
      <c r="F67" s="1417"/>
      <c r="G67" s="1888" t="s">
        <v>595</v>
      </c>
      <c r="H67" s="1889" t="s">
        <v>5716</v>
      </c>
      <c r="I67" s="1887"/>
      <c r="J67" s="1887"/>
      <c r="K67" s="1887"/>
      <c r="L67" s="1887"/>
      <c r="M67" s="1887"/>
      <c r="N67" s="1887"/>
      <c r="O67" s="1258"/>
      <c r="P67" s="1258"/>
      <c r="Q67" s="5841"/>
      <c r="R67" s="1888"/>
      <c r="S67" s="1888"/>
      <c r="T67" s="1888"/>
      <c r="U67" s="1920" t="s">
        <v>5713</v>
      </c>
      <c r="V67" s="276"/>
      <c r="W67" s="1858" t="s">
        <v>639</v>
      </c>
      <c r="X67" s="1888"/>
      <c r="Y67" s="1888"/>
      <c r="Z67" s="1888"/>
      <c r="AA67" s="1920" t="s">
        <v>5714</v>
      </c>
      <c r="AB67" s="276"/>
      <c r="AC67" s="1858" t="s">
        <v>5717</v>
      </c>
      <c r="AD67" s="1890"/>
      <c r="AE67" s="1920" t="s">
        <v>232</v>
      </c>
      <c r="AF67" s="276"/>
      <c r="AG67" s="7402"/>
      <c r="AH67" s="7403"/>
      <c r="AI67" s="7403"/>
      <c r="AJ67" s="1258"/>
      <c r="AK67" s="1941"/>
      <c r="AL67" s="1899"/>
      <c r="AM67" s="1900"/>
      <c r="AN67" s="1900"/>
      <c r="AO67" s="1900"/>
      <c r="AP67" s="1900"/>
      <c r="AQ67" s="1900"/>
      <c r="AR67" s="1900"/>
      <c r="AS67" s="1892"/>
      <c r="AT67" s="4018"/>
      <c r="AU67" s="7290"/>
      <c r="AV67" s="7290"/>
      <c r="AW67" s="7291"/>
      <c r="AX67" s="6601"/>
      <c r="AY67" s="6602"/>
      <c r="AZ67" s="5840"/>
      <c r="BA67" s="404"/>
      <c r="BB67" s="404"/>
      <c r="BC67" s="404"/>
      <c r="BD67" s="404"/>
      <c r="BE67" s="730"/>
      <c r="BF67" s="253"/>
      <c r="BG67" s="253"/>
      <c r="BH67" s="253"/>
      <c r="BI67" s="4027" t="s">
        <v>632</v>
      </c>
      <c r="BJ67" s="4028" t="s">
        <v>644</v>
      </c>
      <c r="BK67" s="409"/>
      <c r="BL67" s="253"/>
      <c r="BM67" s="253"/>
      <c r="BN67" s="253"/>
      <c r="BO67" s="253"/>
      <c r="BP67" s="253"/>
      <c r="BQ67" s="253"/>
      <c r="BR67" s="253"/>
      <c r="BS67" s="253"/>
      <c r="BT67" s="827"/>
      <c r="BU67" s="658"/>
      <c r="BV67" s="658"/>
      <c r="BW67" s="658"/>
      <c r="BX67" s="658"/>
      <c r="BY67" s="658"/>
      <c r="BZ67" s="658"/>
      <c r="CA67" s="658"/>
      <c r="CB67" s="658"/>
      <c r="CC67" s="658"/>
      <c r="CD67" s="658"/>
      <c r="CE67" s="658"/>
      <c r="CF67" s="658"/>
    </row>
    <row r="68" spans="1:84" ht="14.25" customHeight="1">
      <c r="A68" s="139"/>
      <c r="B68" s="5823"/>
      <c r="C68" s="5823"/>
      <c r="D68" s="5823"/>
      <c r="E68" s="5823"/>
      <c r="F68" s="1888">
        <v>5</v>
      </c>
      <c r="G68" s="1417" t="s">
        <v>588</v>
      </c>
      <c r="H68" s="1889" t="s">
        <v>635</v>
      </c>
      <c r="I68" s="1887"/>
      <c r="J68" s="1887"/>
      <c r="K68" s="1887"/>
      <c r="L68" s="1887"/>
      <c r="M68" s="1887"/>
      <c r="N68" s="1887"/>
      <c r="O68" s="1258"/>
      <c r="P68" s="1258" t="s">
        <v>2390</v>
      </c>
      <c r="Q68" s="7445" t="s">
        <v>629</v>
      </c>
      <c r="R68" s="7446"/>
      <c r="S68" s="7067" t="str">
        <f>IF(AX68&lt;&gt;"",ROUND(AX68,0),IF(AW61,"",ROUND(PA_Gross,0)))</f>
        <v/>
      </c>
      <c r="T68" s="7068"/>
      <c r="U68" s="7068"/>
      <c r="V68" s="7068"/>
      <c r="W68" s="7068"/>
      <c r="X68" s="7069"/>
      <c r="Y68" s="1888"/>
      <c r="Z68" s="1888" t="s">
        <v>592</v>
      </c>
      <c r="AA68" s="1858" t="s">
        <v>401</v>
      </c>
      <c r="AB68" s="1889"/>
      <c r="AC68" s="1890"/>
      <c r="AD68" s="1890"/>
      <c r="AE68" s="1890"/>
      <c r="AF68" s="1887"/>
      <c r="AG68" s="1890"/>
      <c r="AH68" s="1890"/>
      <c r="AI68" s="1890"/>
      <c r="AJ68" s="1258" t="s">
        <v>5159</v>
      </c>
      <c r="AK68" s="1891" t="str">
        <f>F68&amp;"b"</f>
        <v>5b</v>
      </c>
      <c r="AL68" s="7072">
        <f>IF(AY68&lt;&gt;"",ROUND(AY68,0),ROUND(PA_Taxable_1099R,0))</f>
        <v>0</v>
      </c>
      <c r="AM68" s="7073"/>
      <c r="AN68" s="7073"/>
      <c r="AO68" s="7073"/>
      <c r="AP68" s="7073"/>
      <c r="AQ68" s="7073"/>
      <c r="AR68" s="7073"/>
      <c r="AS68" s="1892"/>
      <c r="AT68" s="4018"/>
      <c r="AU68" s="7290"/>
      <c r="AV68" s="7290"/>
      <c r="AW68" s="7291"/>
      <c r="AX68" s="1063"/>
      <c r="AY68" s="1063"/>
      <c r="AZ68" s="5840"/>
      <c r="BA68" s="404"/>
      <c r="BB68" s="5599"/>
      <c r="BC68" s="404"/>
      <c r="BD68" s="404"/>
      <c r="BE68" s="730"/>
      <c r="BF68" s="253"/>
      <c r="BG68" s="253"/>
      <c r="BH68" s="740"/>
      <c r="BI68" s="4027"/>
      <c r="BJ68" s="4028"/>
      <c r="BK68" s="409"/>
      <c r="BL68" s="253"/>
      <c r="BM68" s="253"/>
      <c r="BN68" s="253"/>
      <c r="BO68" s="253"/>
      <c r="BP68" s="253"/>
      <c r="BQ68" s="253"/>
      <c r="BR68" s="253"/>
      <c r="BS68" s="253"/>
      <c r="BT68" s="827"/>
      <c r="BU68" s="658"/>
      <c r="BV68" s="658"/>
      <c r="BW68" s="658"/>
      <c r="BX68" s="658"/>
      <c r="BY68" s="658"/>
      <c r="BZ68" s="658"/>
      <c r="CA68" s="658"/>
      <c r="CB68" s="658"/>
      <c r="CC68" s="658"/>
      <c r="CD68" s="658"/>
      <c r="CE68" s="658"/>
      <c r="CF68" s="658"/>
    </row>
    <row r="69" spans="1:84" ht="5.25" customHeight="1">
      <c r="A69" s="139"/>
      <c r="B69" s="5823"/>
      <c r="C69" s="5823"/>
      <c r="D69" s="5823"/>
      <c r="E69" s="5823"/>
      <c r="F69" s="1888"/>
      <c r="G69" s="1417"/>
      <c r="H69" s="1889"/>
      <c r="I69" s="1887"/>
      <c r="J69" s="1887"/>
      <c r="K69" s="1887"/>
      <c r="L69" s="1887"/>
      <c r="M69" s="1887"/>
      <c r="N69" s="1887"/>
      <c r="O69" s="1887"/>
      <c r="P69" s="1887"/>
      <c r="Q69" s="1954"/>
      <c r="R69" s="1887"/>
      <c r="S69" s="1887"/>
      <c r="T69" s="1887"/>
      <c r="U69" s="1887"/>
      <c r="V69" s="1887"/>
      <c r="W69" s="1887"/>
      <c r="X69" s="1887"/>
      <c r="Y69" s="1887"/>
      <c r="Z69" s="1887"/>
      <c r="AA69" s="1887"/>
      <c r="AB69" s="1887"/>
      <c r="AC69" s="1887"/>
      <c r="AD69" s="1887"/>
      <c r="AE69" s="1887"/>
      <c r="AF69" s="1887"/>
      <c r="AG69" s="1890"/>
      <c r="AH69" s="1890"/>
      <c r="AI69" s="1890"/>
      <c r="AJ69" s="1258"/>
      <c r="AK69" s="5868"/>
      <c r="AL69" s="4849"/>
      <c r="AM69" s="2904"/>
      <c r="AN69" s="2904"/>
      <c r="AO69" s="2904"/>
      <c r="AP69" s="2904"/>
      <c r="AQ69" s="2904"/>
      <c r="AR69" s="2904"/>
      <c r="AS69" s="1892"/>
      <c r="AT69" s="4018"/>
      <c r="AU69" s="7290"/>
      <c r="AV69" s="7290"/>
      <c r="AW69" s="7291"/>
      <c r="AX69" s="6599"/>
      <c r="AY69" s="6600"/>
      <c r="AZ69" s="253"/>
      <c r="BA69" s="253"/>
      <c r="BB69" s="253"/>
      <c r="BC69" s="253"/>
      <c r="BD69" s="253"/>
      <c r="BE69" s="253"/>
      <c r="BF69" s="253"/>
      <c r="BG69" s="253"/>
      <c r="BH69" s="253"/>
      <c r="BI69" s="5871"/>
      <c r="BJ69" s="740"/>
      <c r="BK69" s="5872"/>
      <c r="BL69" s="253"/>
      <c r="BM69" s="253"/>
      <c r="BN69" s="253"/>
      <c r="BO69" s="253"/>
      <c r="BP69" s="253"/>
      <c r="BQ69" s="253"/>
      <c r="BR69" s="253"/>
      <c r="BS69" s="253"/>
      <c r="BT69" s="827"/>
      <c r="BU69" s="658"/>
      <c r="BV69" s="658"/>
      <c r="BW69" s="658"/>
      <c r="BX69" s="658"/>
      <c r="BY69" s="658"/>
      <c r="BZ69" s="658"/>
      <c r="CA69" s="658"/>
      <c r="CB69" s="658"/>
      <c r="CC69" s="658"/>
      <c r="CD69" s="658"/>
      <c r="CE69" s="658"/>
      <c r="CF69" s="658"/>
    </row>
    <row r="70" spans="1:84" ht="13.5" customHeight="1">
      <c r="A70" s="139"/>
      <c r="B70" s="5823"/>
      <c r="C70" s="5823"/>
      <c r="D70" s="5823"/>
      <c r="E70" s="5823"/>
      <c r="F70" s="1417"/>
      <c r="G70" s="1888" t="s">
        <v>595</v>
      </c>
      <c r="H70" s="1889" t="s">
        <v>5716</v>
      </c>
      <c r="I70" s="1887"/>
      <c r="J70" s="1887"/>
      <c r="K70" s="1887"/>
      <c r="L70" s="1887"/>
      <c r="M70" s="1887"/>
      <c r="N70" s="1887"/>
      <c r="O70" s="1258"/>
      <c r="P70" s="1258"/>
      <c r="Q70" s="5841"/>
      <c r="R70" s="1888"/>
      <c r="S70" s="1888"/>
      <c r="T70" s="1888"/>
      <c r="U70" s="1920" t="s">
        <v>5713</v>
      </c>
      <c r="V70" s="276"/>
      <c r="W70" s="1858" t="s">
        <v>639</v>
      </c>
      <c r="X70" s="1888"/>
      <c r="Y70" s="1888"/>
      <c r="Z70" s="1888"/>
      <c r="AA70" s="1920" t="s">
        <v>5714</v>
      </c>
      <c r="AB70" s="276"/>
      <c r="AC70" s="1858" t="s">
        <v>5718</v>
      </c>
      <c r="AD70" s="1890"/>
      <c r="AE70" s="1920" t="s">
        <v>232</v>
      </c>
      <c r="AF70" s="276"/>
      <c r="AG70" s="7402"/>
      <c r="AH70" s="7403"/>
      <c r="AI70" s="7403"/>
      <c r="AJ70" s="1258"/>
      <c r="AK70" s="5869"/>
      <c r="AL70" s="1899"/>
      <c r="AM70" s="1900"/>
      <c r="AN70" s="1900"/>
      <c r="AO70" s="1900"/>
      <c r="AP70" s="1900"/>
      <c r="AQ70" s="1900"/>
      <c r="AR70" s="1900"/>
      <c r="AS70" s="1892"/>
      <c r="AT70" s="4018"/>
      <c r="AU70" s="7290"/>
      <c r="AV70" s="7290"/>
      <c r="AW70" s="7291"/>
      <c r="AX70" s="6601"/>
      <c r="AY70" s="6602"/>
      <c r="AZ70" s="253"/>
      <c r="BA70" s="724"/>
      <c r="BB70" s="724"/>
      <c r="BC70" s="253"/>
      <c r="BD70" s="253"/>
      <c r="BE70" s="253"/>
      <c r="BF70" s="253"/>
      <c r="BG70" s="253"/>
      <c r="BH70" s="253"/>
      <c r="BI70" s="566">
        <f>IF(OR(Dual_Status_Alien&lt;&gt;"",ISERROR(Over_65_or_Blind)),0, IF('Line 12e (SD Depnts)'!L4,Std_Ded_Wrks_For_Dep, IF(Over_65_or_Blind&gt;0,BI65,BI73)))</f>
        <v>0</v>
      </c>
      <c r="BJ70" s="344">
        <f>Tot_Item_Deduct</f>
        <v>0</v>
      </c>
      <c r="BK70" s="409"/>
      <c r="BL70" s="253"/>
      <c r="BM70" s="253"/>
      <c r="BN70" s="253"/>
      <c r="BO70" s="253"/>
      <c r="BP70" s="253"/>
      <c r="BQ70" s="253"/>
      <c r="BR70" s="253"/>
      <c r="BS70" s="253"/>
      <c r="BT70" s="827"/>
      <c r="BU70" s="658"/>
      <c r="BV70" s="658"/>
      <c r="BW70" s="658"/>
      <c r="BX70" s="658"/>
      <c r="BY70" s="658"/>
      <c r="BZ70" s="658"/>
      <c r="CA70" s="658"/>
      <c r="CB70" s="658"/>
      <c r="CC70" s="658"/>
      <c r="CD70" s="658"/>
      <c r="CE70" s="658"/>
      <c r="CF70" s="658"/>
    </row>
    <row r="71" spans="1:84" ht="14.25" customHeight="1">
      <c r="A71" s="139"/>
      <c r="B71" s="5823"/>
      <c r="C71" s="5823"/>
      <c r="D71" s="5823"/>
      <c r="E71" s="5823"/>
      <c r="F71" s="1888">
        <v>6</v>
      </c>
      <c r="G71" s="1417" t="s">
        <v>588</v>
      </c>
      <c r="H71" s="1889" t="s">
        <v>638</v>
      </c>
      <c r="I71" s="1887"/>
      <c r="J71" s="1887"/>
      <c r="K71" s="1887"/>
      <c r="L71" s="1887"/>
      <c r="M71" s="1887"/>
      <c r="N71" s="1887"/>
      <c r="O71" s="1874"/>
      <c r="P71" s="1258" t="s">
        <v>2390</v>
      </c>
      <c r="Q71" s="7445" t="str">
        <f>F71&amp;"a"</f>
        <v>6a</v>
      </c>
      <c r="R71" s="7446"/>
      <c r="S71" s="7067">
        <f>IF(AX71&lt;&gt;"",ROUND(AX71,0),ROUND('Line 6ab (SS Bene)'!I13,0))</f>
        <v>0</v>
      </c>
      <c r="T71" s="7068"/>
      <c r="U71" s="7068"/>
      <c r="V71" s="7068"/>
      <c r="W71" s="7068"/>
      <c r="X71" s="7069"/>
      <c r="Y71" s="1888"/>
      <c r="Z71" s="1888" t="s">
        <v>592</v>
      </c>
      <c r="AA71" s="1858" t="s">
        <v>401</v>
      </c>
      <c r="AB71" s="1889"/>
      <c r="AC71" s="1890"/>
      <c r="AD71" s="1890"/>
      <c r="AE71" s="1890"/>
      <c r="AF71" s="1887"/>
      <c r="AG71" s="1890"/>
      <c r="AH71" s="1890"/>
      <c r="AI71" s="1890"/>
      <c r="AJ71" s="1258" t="s">
        <v>631</v>
      </c>
      <c r="AK71" s="1891" t="str">
        <f>F71&amp;"b"</f>
        <v>6b</v>
      </c>
      <c r="AL71" s="7072">
        <f>IF(AY71&lt;&gt;"",ROUND(AY71,0),IF(ISERROR(ROUND(Tax_SS_Benefits,0)),"See 'Line 6ab' sheet.",ROUND(Tax_SS_Benefits,0)))</f>
        <v>0</v>
      </c>
      <c r="AM71" s="7073"/>
      <c r="AN71" s="7073"/>
      <c r="AO71" s="7073"/>
      <c r="AP71" s="7073"/>
      <c r="AQ71" s="7073"/>
      <c r="AR71" s="7073"/>
      <c r="AS71" s="1892"/>
      <c r="AT71" s="7429"/>
      <c r="AU71" s="7290"/>
      <c r="AV71" s="7290"/>
      <c r="AW71" s="7291"/>
      <c r="AX71" s="1063"/>
      <c r="AY71" s="1063"/>
      <c r="AZ71" s="253"/>
      <c r="BA71" s="253"/>
      <c r="BB71" s="253"/>
      <c r="BC71" s="253"/>
      <c r="BD71" s="253"/>
      <c r="BE71" s="253"/>
      <c r="BF71" s="4025"/>
      <c r="BG71" s="4025"/>
      <c r="BH71" s="4025"/>
      <c r="BI71" s="566"/>
      <c r="BJ71" s="344"/>
      <c r="BK71" s="409"/>
      <c r="BL71" s="253"/>
      <c r="BM71" s="253"/>
      <c r="BN71" s="253"/>
      <c r="BO71" s="253"/>
      <c r="BP71" s="253"/>
      <c r="BQ71" s="253"/>
      <c r="BR71" s="253"/>
      <c r="BS71" s="253"/>
      <c r="BT71" s="827"/>
      <c r="BU71" s="658"/>
      <c r="BV71" s="658"/>
      <c r="BW71" s="658"/>
      <c r="BX71" s="658"/>
      <c r="BY71" s="658"/>
      <c r="BZ71" s="658"/>
      <c r="CA71" s="658"/>
      <c r="CB71" s="658"/>
      <c r="CC71" s="658"/>
      <c r="CD71" s="658"/>
      <c r="CE71" s="658"/>
      <c r="CF71" s="658"/>
    </row>
    <row r="72" spans="1:84" ht="14.25" customHeight="1">
      <c r="A72" s="139"/>
      <c r="B72" s="5823"/>
      <c r="C72" s="5823"/>
      <c r="D72" s="5823"/>
      <c r="E72" s="5823"/>
      <c r="F72" s="1888"/>
      <c r="G72" s="1417" t="s">
        <v>595</v>
      </c>
      <c r="H72" s="1889" t="s">
        <v>640</v>
      </c>
      <c r="I72" s="1876"/>
      <c r="J72" s="1876"/>
      <c r="K72" s="1876"/>
      <c r="L72" s="1876"/>
      <c r="M72" s="1876"/>
      <c r="N72" s="1876"/>
      <c r="O72" s="1876"/>
      <c r="P72" s="1876"/>
      <c r="Q72" s="1876"/>
      <c r="R72" s="1876"/>
      <c r="S72" s="1876"/>
      <c r="T72" s="1876"/>
      <c r="U72" s="1876"/>
      <c r="V72" s="1876"/>
      <c r="W72" s="1876"/>
      <c r="X72" s="1876"/>
      <c r="Y72" s="1876"/>
      <c r="Z72" s="1876"/>
      <c r="AA72" s="1876"/>
      <c r="AB72" s="1890"/>
      <c r="AC72" s="1890"/>
      <c r="AD72" s="1890"/>
      <c r="AE72" s="1890"/>
      <c r="AF72" s="1890"/>
      <c r="AG72" s="1258"/>
      <c r="AH72" s="1258" t="s">
        <v>717</v>
      </c>
      <c r="AI72" s="276"/>
      <c r="AJ72" s="1258" t="s">
        <v>641</v>
      </c>
      <c r="AK72" s="1898"/>
      <c r="AL72" s="7148"/>
      <c r="AM72" s="7149"/>
      <c r="AN72" s="7149"/>
      <c r="AO72" s="7149"/>
      <c r="AP72" s="7149"/>
      <c r="AQ72" s="7149"/>
      <c r="AR72" s="7149"/>
      <c r="AS72" s="1878"/>
      <c r="AT72" s="7429"/>
      <c r="AU72" s="4022"/>
      <c r="AV72" s="4022"/>
      <c r="AW72" s="4023"/>
      <c r="AX72" s="4007"/>
      <c r="AY72" s="4026"/>
      <c r="AZ72" s="253"/>
      <c r="BA72" s="253"/>
      <c r="BB72" s="253"/>
      <c r="BC72" s="253"/>
      <c r="BD72" s="253"/>
      <c r="BE72" s="253"/>
      <c r="BF72" s="253"/>
      <c r="BG72" s="253"/>
      <c r="BH72" s="253"/>
      <c r="BI72" s="566"/>
      <c r="BJ72" s="344"/>
      <c r="BK72" s="409"/>
      <c r="BL72" s="253"/>
      <c r="BM72" s="253"/>
      <c r="BN72" s="253"/>
      <c r="BO72" s="253"/>
      <c r="BP72" s="253"/>
      <c r="BQ72" s="253"/>
      <c r="BR72" s="253"/>
      <c r="BS72" s="4029"/>
      <c r="BT72" s="827"/>
      <c r="BU72" s="658"/>
      <c r="BV72" s="658"/>
      <c r="BW72" s="658"/>
      <c r="BX72" s="658"/>
      <c r="BY72" s="658"/>
      <c r="BZ72" s="658"/>
      <c r="CA72" s="658"/>
      <c r="CB72" s="658"/>
      <c r="CC72" s="658"/>
      <c r="CD72" s="658"/>
      <c r="CE72" s="658"/>
      <c r="CF72" s="658"/>
    </row>
    <row r="73" spans="1:84" ht="14.25" customHeight="1">
      <c r="A73" s="139"/>
      <c r="B73" s="5823"/>
      <c r="C73" s="5823"/>
      <c r="D73" s="5823"/>
      <c r="E73" s="5823"/>
      <c r="F73" s="1888"/>
      <c r="G73" s="1417" t="s">
        <v>599</v>
      </c>
      <c r="H73" s="1897" t="s">
        <v>5719</v>
      </c>
      <c r="I73" s="1876"/>
      <c r="J73" s="1876"/>
      <c r="K73" s="1876"/>
      <c r="L73" s="1876"/>
      <c r="M73" s="1876"/>
      <c r="N73" s="1876"/>
      <c r="O73" s="1876"/>
      <c r="P73" s="1876"/>
      <c r="Q73" s="1876"/>
      <c r="R73" s="1876"/>
      <c r="S73" s="1876"/>
      <c r="T73" s="1876"/>
      <c r="U73" s="1876"/>
      <c r="V73" s="1876"/>
      <c r="W73" s="1876"/>
      <c r="X73" s="1876"/>
      <c r="Y73" s="1876"/>
      <c r="Z73" s="1876"/>
      <c r="AA73" s="1876"/>
      <c r="AB73" s="1890"/>
      <c r="AC73" s="1890"/>
      <c r="AD73" s="1890"/>
      <c r="AE73" s="1890"/>
      <c r="AF73" s="1890"/>
      <c r="AG73" s="1258"/>
      <c r="AH73" s="1258"/>
      <c r="AI73" s="1846" t="str">
        <f>IF(AND(SocSecBenefits&lt;&gt;"",SocSecBenefits&gt;0,LivedApart),"X","")</f>
        <v/>
      </c>
      <c r="AJ73" s="1258" t="s">
        <v>641</v>
      </c>
      <c r="AK73" s="1941"/>
      <c r="AL73" s="7150"/>
      <c r="AM73" s="7151"/>
      <c r="AN73" s="7151"/>
      <c r="AO73" s="7151"/>
      <c r="AP73" s="7151"/>
      <c r="AQ73" s="7151"/>
      <c r="AR73" s="7151"/>
      <c r="AS73" s="1878"/>
      <c r="AT73" s="7429"/>
      <c r="AU73" s="4022"/>
      <c r="AV73" s="5954"/>
      <c r="AW73" s="5954"/>
      <c r="AX73" s="4010"/>
      <c r="AY73" s="5954"/>
      <c r="AZ73" s="5954"/>
      <c r="BA73" s="5954"/>
      <c r="BB73" s="253"/>
      <c r="BC73" s="253"/>
      <c r="BD73" s="253"/>
      <c r="BE73" s="253"/>
      <c r="BF73" s="253"/>
      <c r="BG73" s="253"/>
      <c r="BH73" s="253"/>
      <c r="BI73" s="566">
        <f>IF(File_Single&lt;&gt;"",SD_Single,IF(OR(File_Marr_Joint&lt;&gt;"",File_Qual_Widow&lt;&gt;""),SD_MFJW,IF(File_Head&lt;&gt;"",SD_Head,IF(File_Marr_Sep&lt;&gt;"",SD_Single,0))))</f>
        <v>0</v>
      </c>
      <c r="BJ73" s="344"/>
      <c r="BK73" s="409"/>
      <c r="BL73" s="253"/>
      <c r="BM73" s="253"/>
      <c r="BN73" s="253"/>
      <c r="BO73" s="253"/>
      <c r="BP73" s="253"/>
      <c r="BQ73" s="253"/>
      <c r="BR73" s="253"/>
      <c r="BS73" s="4029"/>
      <c r="BT73" s="827"/>
      <c r="BU73" s="658"/>
      <c r="BV73" s="658"/>
      <c r="BW73" s="658"/>
      <c r="BX73" s="658"/>
      <c r="BY73" s="658"/>
      <c r="BZ73" s="658"/>
      <c r="CA73" s="658"/>
      <c r="CB73" s="658"/>
      <c r="CC73" s="658"/>
      <c r="CD73" s="658"/>
      <c r="CE73" s="658"/>
      <c r="CF73" s="658"/>
    </row>
    <row r="74" spans="1:84" ht="15.75" customHeight="1">
      <c r="A74" s="139"/>
      <c r="B74" s="5823"/>
      <c r="C74" s="5823"/>
      <c r="D74" s="5823"/>
      <c r="E74" s="5823"/>
      <c r="F74" s="1888">
        <v>7</v>
      </c>
      <c r="G74" s="1417" t="s">
        <v>588</v>
      </c>
      <c r="H74" s="1889" t="s">
        <v>5720</v>
      </c>
      <c r="I74" s="1876"/>
      <c r="J74" s="1876"/>
      <c r="K74" s="1876"/>
      <c r="L74" s="1876"/>
      <c r="M74" s="1876"/>
      <c r="N74" s="1876"/>
      <c r="O74" s="1876"/>
      <c r="P74" s="1876"/>
      <c r="Q74" s="1876"/>
      <c r="R74" s="1876"/>
      <c r="S74" s="1876"/>
      <c r="T74" s="1876"/>
      <c r="U74" s="1876"/>
      <c r="V74" s="1876"/>
      <c r="W74" s="1876"/>
      <c r="X74" s="1876"/>
      <c r="Y74" s="1876"/>
      <c r="Z74" s="1876"/>
      <c r="AA74" s="1876"/>
      <c r="AB74" s="1890"/>
      <c r="AC74" s="1890"/>
      <c r="AD74" s="1890"/>
      <c r="AE74" s="1890"/>
      <c r="AF74" s="1890"/>
      <c r="AG74" s="1258"/>
      <c r="AH74" s="1258" t="s">
        <v>624</v>
      </c>
      <c r="AI74" s="1258"/>
      <c r="AJ74" s="1258" t="s">
        <v>641</v>
      </c>
      <c r="AK74" s="4011" t="s">
        <v>372</v>
      </c>
      <c r="AL74" s="7399" t="str">
        <f>IF(AX74&lt;&gt;"",ROUND(AX74,0),IF(SchD_NotReqd,'1099-DIV'!H95,IF('Sch. D'!A59,'Sch. D'!O57,IF('Sch. D'!A63,0,'Sch. D'!P87))))</f>
        <v/>
      </c>
      <c r="AM74" s="7400"/>
      <c r="AN74" s="7400"/>
      <c r="AO74" s="7400"/>
      <c r="AP74" s="7400"/>
      <c r="AQ74" s="7400"/>
      <c r="AR74" s="7400"/>
      <c r="AS74" s="1878"/>
      <c r="AT74" s="7429"/>
      <c r="AU74" s="4022"/>
      <c r="AV74" s="4022"/>
      <c r="AW74" s="4023"/>
      <c r="AX74" s="732"/>
      <c r="AY74" s="4031"/>
      <c r="AZ74" s="724"/>
      <c r="BA74" s="253"/>
      <c r="BB74" s="253"/>
      <c r="BC74" s="253"/>
      <c r="BD74" s="253"/>
      <c r="BE74" s="253"/>
      <c r="BF74" s="4025"/>
      <c r="BG74" s="4025"/>
      <c r="BH74" s="4025"/>
      <c r="BI74" s="320" t="s">
        <v>651</v>
      </c>
      <c r="BJ74" s="344"/>
      <c r="BK74" s="409"/>
      <c r="BL74" s="253"/>
      <c r="BM74" s="253"/>
      <c r="BN74" s="253"/>
      <c r="BO74" s="253"/>
      <c r="BP74" s="253"/>
      <c r="BQ74" s="253"/>
      <c r="BR74" s="253"/>
      <c r="BS74" s="4029"/>
      <c r="BT74" s="827"/>
      <c r="BU74" s="658"/>
      <c r="BV74" s="658"/>
      <c r="BW74" s="658"/>
      <c r="BX74" s="658"/>
      <c r="BY74" s="658"/>
      <c r="BZ74" s="658"/>
      <c r="CA74" s="658"/>
      <c r="CB74" s="658"/>
      <c r="CC74" s="658"/>
      <c r="CD74" s="658"/>
      <c r="CE74" s="658"/>
      <c r="CF74" s="658"/>
    </row>
    <row r="75" spans="1:84" ht="15.75" customHeight="1">
      <c r="A75" s="139"/>
      <c r="B75" s="5823"/>
      <c r="C75" s="5823"/>
      <c r="D75" s="5823"/>
      <c r="E75" s="5823"/>
      <c r="F75" s="1888"/>
      <c r="G75" s="1417" t="s">
        <v>592</v>
      </c>
      <c r="H75" s="1889" t="s">
        <v>755</v>
      </c>
      <c r="I75" s="1876"/>
      <c r="J75" s="1876"/>
      <c r="K75" s="276"/>
      <c r="L75" s="1897" t="s">
        <v>5721</v>
      </c>
      <c r="M75" s="1897"/>
      <c r="N75" s="1876"/>
      <c r="O75" s="1876"/>
      <c r="P75" s="1876"/>
      <c r="Q75" s="1876"/>
      <c r="R75" s="1876"/>
      <c r="S75" s="276"/>
      <c r="T75" s="1897" t="s">
        <v>5722</v>
      </c>
      <c r="U75" s="1897"/>
      <c r="V75" s="1876"/>
      <c r="W75" s="1876"/>
      <c r="X75" s="1876"/>
      <c r="Y75" s="1876"/>
      <c r="Z75" s="1876"/>
      <c r="AA75" s="1876"/>
      <c r="AB75" s="1890"/>
      <c r="AC75" s="1890"/>
      <c r="AD75" s="7401"/>
      <c r="AE75" s="7401"/>
      <c r="AF75" s="7401"/>
      <c r="AG75" s="7401"/>
      <c r="AH75" s="7401"/>
      <c r="AI75" s="7401"/>
      <c r="AJ75" s="1258"/>
      <c r="AK75" s="1941"/>
      <c r="AL75" s="6250"/>
      <c r="AM75" s="6251"/>
      <c r="AN75" s="6251"/>
      <c r="AO75" s="6251"/>
      <c r="AP75" s="6251"/>
      <c r="AQ75" s="6251"/>
      <c r="AR75" s="6251"/>
      <c r="AS75" s="1878"/>
      <c r="AT75" s="5826"/>
      <c r="AU75" s="4022"/>
      <c r="AV75" s="4022"/>
      <c r="AW75" s="4023"/>
      <c r="AX75" s="731"/>
      <c r="AY75" s="3877" t="b">
        <f>$K$75&lt;&gt;""</f>
        <v>0</v>
      </c>
      <c r="AZ75" s="724"/>
      <c r="BA75" s="253"/>
      <c r="BB75" s="253"/>
      <c r="BC75" s="253"/>
      <c r="BD75" s="253"/>
      <c r="BE75" s="253"/>
      <c r="BF75" s="4025"/>
      <c r="BG75" s="4025"/>
      <c r="BH75" s="4025"/>
      <c r="BI75" s="568">
        <f>IF(AND(StdDeduct,NQDisasterLoss&lt;&gt;"",NQDisasterLoss&gt;0),SUM(Standard,NQDisasterLoss),Standard)</f>
        <v>0</v>
      </c>
      <c r="BJ75" s="569"/>
      <c r="BK75" s="570"/>
      <c r="BL75" s="253"/>
      <c r="BM75" s="253"/>
      <c r="BN75" s="253"/>
      <c r="BO75" s="253"/>
      <c r="BP75" s="253"/>
      <c r="BQ75" s="253"/>
      <c r="BR75" s="253"/>
      <c r="BS75" s="4029"/>
      <c r="BT75" s="827"/>
      <c r="BU75" s="658"/>
      <c r="BV75" s="658"/>
      <c r="BW75" s="658"/>
      <c r="BX75" s="658"/>
      <c r="BY75" s="658"/>
      <c r="BZ75" s="658"/>
      <c r="CA75" s="658"/>
      <c r="CB75" s="658"/>
      <c r="CC75" s="658"/>
      <c r="CD75" s="658"/>
      <c r="CE75" s="658"/>
      <c r="CF75" s="658"/>
    </row>
    <row r="76" spans="1:84" ht="14.25" customHeight="1">
      <c r="A76" s="139"/>
      <c r="B76" s="5823"/>
      <c r="C76" s="5823"/>
      <c r="D76" s="5823"/>
      <c r="E76" s="5823"/>
      <c r="F76" s="1888">
        <f>F74+1</f>
        <v>8</v>
      </c>
      <c r="G76" s="1417"/>
      <c r="H76" s="1889" t="s">
        <v>646</v>
      </c>
      <c r="I76" s="1876"/>
      <c r="J76" s="1876"/>
      <c r="K76" s="1876"/>
      <c r="L76" s="1876"/>
      <c r="M76" s="1876"/>
      <c r="N76" s="1876"/>
      <c r="O76" s="1876"/>
      <c r="P76" s="1876"/>
      <c r="Q76" s="1876"/>
      <c r="R76" s="1876"/>
      <c r="S76" s="1876"/>
      <c r="T76" s="1876"/>
      <c r="U76" s="1876"/>
      <c r="V76" s="1876"/>
      <c r="W76" s="1876"/>
      <c r="X76" s="1876"/>
      <c r="Y76" s="1876"/>
      <c r="Z76" s="1876"/>
      <c r="AA76" s="1876"/>
      <c r="AB76" s="1890"/>
      <c r="AC76" s="1890"/>
      <c r="AD76" s="1890"/>
      <c r="AE76" s="1890"/>
      <c r="AF76" s="1890"/>
      <c r="AG76" s="1890"/>
      <c r="AH76" s="1890"/>
      <c r="AI76" s="1890"/>
      <c r="AJ76" s="1258" t="s">
        <v>647</v>
      </c>
      <c r="AK76" s="4032">
        <v>8</v>
      </c>
      <c r="AL76" s="7177">
        <f>IF(AX76&lt;&gt;"",ROUND(AX76,0),Additional_Income)</f>
        <v>0</v>
      </c>
      <c r="AM76" s="7178"/>
      <c r="AN76" s="7178"/>
      <c r="AO76" s="7178"/>
      <c r="AP76" s="7178"/>
      <c r="AQ76" s="7178"/>
      <c r="AR76" s="7178"/>
      <c r="AS76" s="1878"/>
      <c r="AT76" s="5810"/>
      <c r="AU76" s="4022"/>
      <c r="AV76" s="4022"/>
      <c r="AW76" s="4023"/>
      <c r="AX76" s="731"/>
      <c r="AY76" s="4031"/>
      <c r="AZ76" s="724"/>
      <c r="BA76" s="253"/>
      <c r="BB76" s="253"/>
      <c r="BC76" s="253"/>
      <c r="BD76" s="253"/>
      <c r="BE76" s="253"/>
      <c r="BF76" s="4025"/>
      <c r="BG76" s="4025"/>
      <c r="BH76" s="4025"/>
      <c r="BI76" s="344"/>
      <c r="BJ76" s="344"/>
      <c r="BK76" s="344"/>
      <c r="BL76" s="253"/>
      <c r="BM76" s="253"/>
      <c r="BN76" s="253"/>
      <c r="BO76" s="253"/>
      <c r="BP76" s="253"/>
      <c r="BQ76" s="253"/>
      <c r="BR76" s="253"/>
      <c r="BS76" s="4029"/>
      <c r="BT76" s="827"/>
      <c r="BU76" s="658"/>
      <c r="BV76" s="658"/>
      <c r="BW76" s="658"/>
      <c r="BX76" s="658"/>
      <c r="BY76" s="658"/>
      <c r="BZ76" s="658"/>
      <c r="CA76" s="658"/>
      <c r="CB76" s="658"/>
      <c r="CC76" s="658"/>
      <c r="CD76" s="658"/>
      <c r="CE76" s="658"/>
      <c r="CF76" s="658"/>
    </row>
    <row r="77" spans="1:84" ht="14.25" customHeight="1">
      <c r="A77" s="139"/>
      <c r="B77" s="5823"/>
      <c r="C77" s="5823"/>
      <c r="D77" s="5823"/>
      <c r="E77" s="5823"/>
      <c r="F77" s="1888">
        <v>9</v>
      </c>
      <c r="G77" s="1417"/>
      <c r="H77" s="1889" t="s">
        <v>6332</v>
      </c>
      <c r="I77" s="1876"/>
      <c r="J77" s="1876"/>
      <c r="K77" s="1876"/>
      <c r="L77" s="1876"/>
      <c r="M77" s="1876"/>
      <c r="N77" s="1911"/>
      <c r="O77" s="1876"/>
      <c r="P77" s="1876"/>
      <c r="Q77" s="1876"/>
      <c r="R77" s="1876"/>
      <c r="S77" s="1876"/>
      <c r="T77" s="1876"/>
      <c r="U77" s="1876"/>
      <c r="V77" s="1876"/>
      <c r="W77" s="1876"/>
      <c r="X77" s="1876"/>
      <c r="Y77" s="1876"/>
      <c r="Z77" s="1876"/>
      <c r="AA77" s="1876"/>
      <c r="AB77" s="1890"/>
      <c r="AC77" s="1888"/>
      <c r="AD77" s="1888"/>
      <c r="AE77" s="1888"/>
      <c r="AF77" s="1888"/>
      <c r="AG77" s="1888"/>
      <c r="AH77" s="1888"/>
      <c r="AI77" s="1888"/>
      <c r="AJ77" s="1258" t="s">
        <v>702</v>
      </c>
      <c r="AK77" s="4032">
        <v>9</v>
      </c>
      <c r="AL77" s="7072">
        <f>IF(AX77&lt;&gt;"",ROUND(AX77,0),SUM(AL60,TaxableInterest,OrdinaryDividends,IRA_Taxable,PA_Taxable,SocSecBenefits_Taxable,CapitalGains,AL76))</f>
        <v>0</v>
      </c>
      <c r="AM77" s="7073"/>
      <c r="AN77" s="7073"/>
      <c r="AO77" s="7073"/>
      <c r="AP77" s="7073"/>
      <c r="AQ77" s="7073"/>
      <c r="AR77" s="7073"/>
      <c r="AS77" s="1878"/>
      <c r="AT77" s="4034"/>
      <c r="AU77" s="4022"/>
      <c r="AV77" s="4022"/>
      <c r="AW77" s="4023"/>
      <c r="AX77" s="732"/>
      <c r="AY77" s="4031"/>
      <c r="AZ77" s="5988"/>
      <c r="BA77" s="253"/>
      <c r="BB77" s="253"/>
      <c r="BC77" s="253"/>
      <c r="BD77" s="253"/>
      <c r="BE77" s="253"/>
      <c r="BF77" s="253"/>
      <c r="BG77" s="253"/>
      <c r="BH77" s="253"/>
      <c r="BI77" s="580"/>
      <c r="BJ77" s="580"/>
      <c r="BK77" s="580"/>
      <c r="BL77" s="253"/>
      <c r="BM77" s="253"/>
      <c r="BN77" s="253"/>
      <c r="BO77" s="253"/>
      <c r="BP77" s="253"/>
      <c r="BQ77" s="253"/>
      <c r="BR77" s="253"/>
      <c r="BS77" s="4029"/>
      <c r="BT77" s="827"/>
      <c r="BU77" s="658"/>
      <c r="BV77" s="658"/>
      <c r="BW77" s="658"/>
      <c r="BX77" s="658"/>
      <c r="BY77" s="658"/>
      <c r="BZ77" s="658"/>
      <c r="CA77" s="658"/>
      <c r="CB77" s="658"/>
      <c r="CC77" s="658"/>
      <c r="CD77" s="658"/>
      <c r="CE77" s="658"/>
      <c r="CF77" s="658"/>
    </row>
    <row r="78" spans="1:84" ht="14.25" customHeight="1">
      <c r="A78" s="139"/>
      <c r="B78" s="5823"/>
      <c r="C78" s="5823"/>
      <c r="D78" s="5823"/>
      <c r="E78" s="5823"/>
      <c r="F78" s="1888">
        <v>10</v>
      </c>
      <c r="G78" s="1417"/>
      <c r="H78" s="1889" t="s">
        <v>649</v>
      </c>
      <c r="I78" s="1876"/>
      <c r="J78" s="1876"/>
      <c r="K78" s="1876"/>
      <c r="L78" s="1876"/>
      <c r="M78" s="1876"/>
      <c r="N78" s="1911"/>
      <c r="O78" s="1876"/>
      <c r="P78" s="1876"/>
      <c r="Q78" s="1876"/>
      <c r="R78" s="1876"/>
      <c r="S78" s="1876"/>
      <c r="T78" s="1876"/>
      <c r="U78" s="1876"/>
      <c r="V78" s="1876"/>
      <c r="W78" s="1876"/>
      <c r="X78" s="1876"/>
      <c r="Y78" s="1876"/>
      <c r="Z78" s="1876"/>
      <c r="AA78" s="1876"/>
      <c r="AB78" s="1890"/>
      <c r="AC78" s="1888"/>
      <c r="AD78" s="1888"/>
      <c r="AE78" s="1888"/>
      <c r="AF78" s="1888"/>
      <c r="AG78" s="1888"/>
      <c r="AH78" s="1888"/>
      <c r="AI78" s="1888"/>
      <c r="AJ78" s="1258" t="s">
        <v>2186</v>
      </c>
      <c r="AK78" s="4032">
        <v>10</v>
      </c>
      <c r="AL78" s="7177">
        <f>IF(AX78&lt;&gt;"",ROUND(AX78,0),SUM(AdjustToIncome))</f>
        <v>0</v>
      </c>
      <c r="AM78" s="7178"/>
      <c r="AN78" s="7178"/>
      <c r="AO78" s="7178"/>
      <c r="AP78" s="7178"/>
      <c r="AQ78" s="7178"/>
      <c r="AR78" s="7178"/>
      <c r="AS78" s="1878"/>
      <c r="AT78" s="4034"/>
      <c r="AU78" s="4035"/>
      <c r="AV78" s="4035"/>
      <c r="AW78" s="4035"/>
      <c r="AX78" s="731"/>
      <c r="AY78" s="4031"/>
      <c r="AZ78" s="724"/>
      <c r="BA78" s="253"/>
      <c r="BB78" s="253"/>
      <c r="BC78" s="253"/>
      <c r="BD78" s="253"/>
      <c r="BE78" s="253"/>
      <c r="BF78" s="253"/>
      <c r="BG78" s="253"/>
      <c r="BH78" s="253"/>
      <c r="BI78" s="2338">
        <f>IF(File_Single&lt;&gt;"",SD_Adj_Single,IF(OR(File_Marr_Joint&lt;&gt;"",File_Qual_Widow&lt;&gt;""),SD_Adj_MFJW,IF(File_Marr_Sep&lt;&gt;"",SD_Adj_MFS,IF(File_Head&lt;&gt;"",SD_Adj_HOH,0))))</f>
        <v>0</v>
      </c>
      <c r="BJ78" s="5825"/>
      <c r="BK78" s="253"/>
      <c r="BL78" s="253"/>
      <c r="BM78" s="253"/>
      <c r="BN78" s="253"/>
      <c r="BO78" s="253"/>
      <c r="BP78" s="253"/>
      <c r="BQ78" s="253"/>
      <c r="BR78" s="253"/>
      <c r="BS78" s="4029"/>
      <c r="BT78" s="827"/>
      <c r="BU78" s="658"/>
      <c r="BV78" s="658"/>
      <c r="BW78" s="658"/>
      <c r="BX78" s="658"/>
      <c r="BY78" s="658"/>
      <c r="BZ78" s="658"/>
      <c r="CA78" s="658"/>
      <c r="CB78" s="658"/>
      <c r="CC78" s="658"/>
      <c r="CD78" s="658"/>
      <c r="CE78" s="658"/>
      <c r="CF78" s="658"/>
    </row>
    <row r="79" spans="1:84" ht="14.25" customHeight="1" thickBot="1">
      <c r="A79" s="139"/>
      <c r="B79" s="5946"/>
      <c r="C79" s="5946"/>
      <c r="D79" s="5946"/>
      <c r="E79" s="5946"/>
      <c r="F79" s="1905">
        <v>11</v>
      </c>
      <c r="G79" s="1958" t="s">
        <v>588</v>
      </c>
      <c r="H79" s="6465" t="s">
        <v>6333</v>
      </c>
      <c r="I79" s="1904"/>
      <c r="J79" s="1904"/>
      <c r="K79" s="1904"/>
      <c r="L79" s="1904"/>
      <c r="M79" s="1904"/>
      <c r="N79" s="1904"/>
      <c r="O79" s="1904"/>
      <c r="P79" s="1904"/>
      <c r="Q79" s="1904"/>
      <c r="R79" s="1904"/>
      <c r="S79" s="1904"/>
      <c r="T79" s="1904"/>
      <c r="U79" s="1904"/>
      <c r="V79" s="1904"/>
      <c r="W79" s="1904"/>
      <c r="X79" s="1904"/>
      <c r="Y79" s="1904"/>
      <c r="Z79" s="1904"/>
      <c r="AA79" s="1904"/>
      <c r="AB79" s="1906"/>
      <c r="AC79" s="1906"/>
      <c r="AD79" s="5947"/>
      <c r="AE79" s="5947"/>
      <c r="AF79" s="1905"/>
      <c r="AG79" s="1905"/>
      <c r="AH79" s="1905"/>
      <c r="AI79" s="1905"/>
      <c r="AJ79" s="5947" t="s">
        <v>676</v>
      </c>
      <c r="AK79" s="5948" t="s">
        <v>5723</v>
      </c>
      <c r="AL79" s="7384">
        <f>IF(AX79&lt;&gt;"",ROUND(AX79,0),SUM(Total_Income,-AL78))</f>
        <v>0</v>
      </c>
      <c r="AM79" s="7385"/>
      <c r="AN79" s="7385"/>
      <c r="AO79" s="7385"/>
      <c r="AP79" s="7385"/>
      <c r="AQ79" s="7385"/>
      <c r="AR79" s="7385"/>
      <c r="AS79" s="1878"/>
      <c r="AT79" s="4034"/>
      <c r="AU79" s="4037"/>
      <c r="AV79" s="4037"/>
      <c r="AW79" s="4037"/>
      <c r="AX79" s="731"/>
      <c r="AY79" s="4031"/>
      <c r="AZ79" s="724"/>
      <c r="BA79" s="253"/>
      <c r="BB79" s="253"/>
      <c r="BC79" s="253"/>
      <c r="BD79" s="253"/>
      <c r="BE79" s="253"/>
      <c r="BF79" s="4025"/>
      <c r="BG79" s="4025"/>
      <c r="BH79" s="5913" t="s">
        <v>5806</v>
      </c>
      <c r="BI79" s="2338" t="str">
        <f>SD_Adj_Single</f>
        <v/>
      </c>
      <c r="BJ79" s="5825"/>
      <c r="BK79" s="253"/>
      <c r="BL79" s="253"/>
      <c r="BM79" s="253"/>
      <c r="BN79" s="253"/>
      <c r="BO79" s="253"/>
      <c r="BP79" s="253"/>
      <c r="BQ79" s="253"/>
      <c r="BR79" s="253"/>
      <c r="BS79" s="4029"/>
      <c r="BT79" s="827"/>
      <c r="BU79" s="658"/>
      <c r="BV79" s="658"/>
      <c r="BW79" s="658"/>
      <c r="BX79" s="658"/>
      <c r="BY79" s="658"/>
      <c r="BZ79" s="658"/>
      <c r="CA79" s="658"/>
      <c r="CB79" s="658"/>
      <c r="CC79" s="658"/>
      <c r="CD79" s="658"/>
      <c r="CE79" s="658"/>
      <c r="CF79" s="658"/>
    </row>
    <row r="80" spans="1:84" ht="15.75" customHeight="1">
      <c r="A80" s="139"/>
      <c r="B80" s="1847" t="s">
        <v>657</v>
      </c>
      <c r="C80" s="4045"/>
      <c r="D80" s="4045"/>
      <c r="E80" s="4045"/>
      <c r="F80" s="1874"/>
      <c r="G80" s="4046"/>
      <c r="H80" s="4047"/>
      <c r="I80" s="4047"/>
      <c r="J80" s="4047"/>
      <c r="K80" s="4047"/>
      <c r="L80" s="4047"/>
      <c r="M80" s="4047"/>
      <c r="N80" s="4047"/>
      <c r="O80" s="4047"/>
      <c r="P80" s="4047"/>
      <c r="Q80" s="4047"/>
      <c r="R80" s="4047"/>
      <c r="S80" s="4047"/>
      <c r="T80" s="4047"/>
      <c r="U80" s="4047"/>
      <c r="V80" s="4047"/>
      <c r="W80" s="4047"/>
      <c r="X80" s="4047"/>
      <c r="Y80" s="4047"/>
      <c r="Z80" s="4047"/>
      <c r="AA80" s="4047"/>
      <c r="AB80" s="4047"/>
      <c r="AC80" s="4047"/>
      <c r="AD80" s="4048"/>
      <c r="AE80" s="4048"/>
      <c r="AF80" s="4048"/>
      <c r="AG80" s="1826" t="s">
        <v>658</v>
      </c>
      <c r="AH80" s="4047"/>
      <c r="AI80" s="4047"/>
      <c r="AJ80" s="4047"/>
      <c r="AK80" s="1874"/>
      <c r="AL80" s="4049"/>
      <c r="AM80" s="4049"/>
      <c r="AN80" s="4049"/>
      <c r="AO80" s="4049"/>
      <c r="AP80" s="4050" t="s">
        <v>659</v>
      </c>
      <c r="AQ80" s="4050"/>
      <c r="AR80" s="4049"/>
      <c r="AS80" s="4051" t="str">
        <f>"("&amp;TaxYear&amp;")"</f>
        <v>(2025)</v>
      </c>
      <c r="AT80" s="4044"/>
      <c r="AU80" s="4037"/>
      <c r="AV80" s="4037"/>
      <c r="AW80" s="4037"/>
      <c r="AX80" s="4008"/>
      <c r="AY80" s="4031"/>
      <c r="AZ80" s="724"/>
      <c r="BA80" s="253"/>
      <c r="BB80" s="253"/>
      <c r="BC80" s="253"/>
      <c r="BD80" s="253"/>
      <c r="BE80" s="253"/>
      <c r="BF80" s="580"/>
      <c r="BG80" s="580"/>
      <c r="BH80" s="5913" t="s">
        <v>5807</v>
      </c>
      <c r="BI80" s="2338">
        <f>SD_Adj_MFJW</f>
        <v>31500</v>
      </c>
      <c r="BJ80" s="5825"/>
      <c r="BK80" s="253"/>
      <c r="BL80" s="253"/>
      <c r="BM80" s="253"/>
      <c r="BN80" s="253"/>
      <c r="BO80" s="253"/>
      <c r="BP80" s="253"/>
      <c r="BQ80" s="253"/>
      <c r="BR80" s="253"/>
      <c r="BS80" s="580"/>
      <c r="BT80" s="827"/>
      <c r="BU80" s="658"/>
      <c r="BV80" s="658"/>
      <c r="BW80" s="658"/>
      <c r="BX80" s="658"/>
      <c r="BY80" s="658"/>
      <c r="BZ80" s="658"/>
      <c r="CA80" s="658"/>
      <c r="CB80" s="658"/>
      <c r="CC80" s="658"/>
      <c r="CD80" s="658"/>
      <c r="CE80" s="658"/>
      <c r="CF80" s="658"/>
    </row>
    <row r="81" spans="1:84" ht="16.5" customHeight="1" thickBot="1">
      <c r="A81" s="139"/>
      <c r="B81" s="1903" t="str">
        <f>"Form 1040  ("&amp;TaxYear&amp;")"</f>
        <v>Form 1040  (2025)</v>
      </c>
      <c r="C81" s="1904"/>
      <c r="D81" s="1904"/>
      <c r="E81" s="1904"/>
      <c r="F81" s="1905"/>
      <c r="G81" s="1906"/>
      <c r="H81" s="1904"/>
      <c r="I81" s="1904"/>
      <c r="J81" s="1904"/>
      <c r="K81" s="1904"/>
      <c r="L81" s="1904"/>
      <c r="M81" s="1904"/>
      <c r="N81" s="1904"/>
      <c r="O81" s="1904"/>
      <c r="P81" s="1904"/>
      <c r="Q81" s="1904"/>
      <c r="R81" s="1904"/>
      <c r="S81" s="1904"/>
      <c r="T81" s="1904"/>
      <c r="U81" s="1907"/>
      <c r="V81" s="1907"/>
      <c r="W81" s="1907"/>
      <c r="X81" s="1907"/>
      <c r="Y81" s="1907"/>
      <c r="Z81" s="1907"/>
      <c r="AA81" s="1904"/>
      <c r="AB81" s="1904"/>
      <c r="AC81" s="1904"/>
      <c r="AD81" s="1904"/>
      <c r="AE81" s="1904"/>
      <c r="AF81" s="1904"/>
      <c r="AG81" s="1904"/>
      <c r="AH81" s="1904"/>
      <c r="AI81" s="1904"/>
      <c r="AJ81" s="1904"/>
      <c r="AK81" s="1905"/>
      <c r="AL81" s="1908"/>
      <c r="AM81" s="1908"/>
      <c r="AN81" s="1908"/>
      <c r="AO81" s="1908"/>
      <c r="AP81" s="1909" t="str">
        <f>IF(AND(Birthday_Needed,BF13,OR(BI122,BI143)),"Enter your birthdate and your spouse's birthdates above.",IF(AND(Birthday_Needed,BI122),"Enter your birthdate above.",""))</f>
        <v/>
      </c>
      <c r="AQ81" s="1909"/>
      <c r="AR81" s="1908"/>
      <c r="AS81" s="1910" t="s">
        <v>660</v>
      </c>
      <c r="AT81" s="4052"/>
      <c r="AU81" s="3374"/>
      <c r="AV81" s="3374"/>
      <c r="AW81" s="3374"/>
      <c r="AX81" s="4008"/>
      <c r="AY81" s="4058"/>
      <c r="AZ81" s="724"/>
      <c r="BA81" s="253"/>
      <c r="BB81" s="253"/>
      <c r="BC81" s="253"/>
      <c r="BD81" s="253"/>
      <c r="BE81" s="253"/>
      <c r="BF81" s="580"/>
      <c r="BG81" s="580"/>
      <c r="BH81" s="5913" t="s">
        <v>5808</v>
      </c>
      <c r="BI81" s="2338">
        <f>SD_Adj_MFS</f>
        <v>15750</v>
      </c>
      <c r="BJ81" s="5825"/>
      <c r="BK81" s="253"/>
      <c r="BL81" s="580"/>
      <c r="BM81" s="580"/>
      <c r="BN81" s="580"/>
      <c r="BO81" s="580"/>
      <c r="BP81" s="580"/>
      <c r="BQ81" s="580"/>
      <c r="BR81" s="580"/>
      <c r="BS81" s="580"/>
      <c r="BT81" s="827"/>
      <c r="BU81" s="658"/>
      <c r="BV81" s="658"/>
      <c r="BW81" s="658"/>
      <c r="BX81" s="658"/>
      <c r="BY81" s="658"/>
      <c r="BZ81" s="658"/>
      <c r="CA81" s="658"/>
      <c r="CB81" s="658"/>
      <c r="CC81" s="658"/>
      <c r="CD81" s="658"/>
      <c r="CE81" s="658"/>
      <c r="CF81" s="658"/>
    </row>
    <row r="82" spans="1:84" ht="13.5" customHeight="1">
      <c r="A82" s="139"/>
      <c r="B82" s="7395" t="s">
        <v>5736</v>
      </c>
      <c r="C82" s="7395"/>
      <c r="D82" s="7395"/>
      <c r="E82" s="7395"/>
      <c r="F82" s="1888">
        <v>11</v>
      </c>
      <c r="G82" s="1417" t="s">
        <v>592</v>
      </c>
      <c r="H82" s="1889" t="s">
        <v>5724</v>
      </c>
      <c r="I82" s="1876"/>
      <c r="J82" s="1876"/>
      <c r="K82" s="1876"/>
      <c r="L82" s="1876"/>
      <c r="M82" s="1876"/>
      <c r="N82" s="1876"/>
      <c r="O82" s="1876"/>
      <c r="P82" s="1876"/>
      <c r="Q82" s="1876"/>
      <c r="R82" s="1876"/>
      <c r="S82" s="1876"/>
      <c r="T82" s="1876"/>
      <c r="U82" s="1876"/>
      <c r="V82" s="1876"/>
      <c r="W82" s="1876"/>
      <c r="X82" s="1876"/>
      <c r="Y82" s="1876"/>
      <c r="Z82" s="1876"/>
      <c r="AA82" s="1876"/>
      <c r="AB82" s="1890"/>
      <c r="AC82" s="1890"/>
      <c r="AD82" s="1258"/>
      <c r="AE82" s="1258"/>
      <c r="AF82" s="1888"/>
      <c r="AG82" s="1888"/>
      <c r="AH82" s="1888"/>
      <c r="AI82" s="1888"/>
      <c r="AJ82" s="1258" t="s">
        <v>648</v>
      </c>
      <c r="AK82" s="4032" t="s">
        <v>5739</v>
      </c>
      <c r="AL82" s="7072">
        <f>Adj_Gross_Inc</f>
        <v>0</v>
      </c>
      <c r="AM82" s="7073"/>
      <c r="AN82" s="7073"/>
      <c r="AO82" s="7073"/>
      <c r="AP82" s="7073"/>
      <c r="AQ82" s="7073"/>
      <c r="AR82" s="7073"/>
      <c r="AS82" s="1985"/>
      <c r="AT82" s="4052"/>
      <c r="AU82" s="3374"/>
      <c r="AV82" s="3374"/>
      <c r="AW82" s="3374"/>
      <c r="AX82" s="4008"/>
      <c r="AY82" s="4058"/>
      <c r="AZ82" s="7428" t="str">
        <f>IF(AND(DependentSPOUSE="",MFS_Spouse_NotFiling&lt;&gt;""),BH94&amp;BH95,"")</f>
        <v/>
      </c>
      <c r="BA82" s="7428"/>
      <c r="BB82" s="7428"/>
      <c r="BC82" s="7428"/>
      <c r="BD82" s="7428"/>
      <c r="BE82" s="7428"/>
      <c r="BF82" s="580"/>
      <c r="BG82" s="580"/>
      <c r="BH82" s="5913" t="s">
        <v>5809</v>
      </c>
      <c r="BI82" s="2338">
        <f>SD_Adj_HOH</f>
        <v>23625</v>
      </c>
      <c r="BJ82" s="5825"/>
      <c r="BK82" s="253"/>
      <c r="BL82" s="580"/>
      <c r="BM82" s="580"/>
      <c r="BN82" s="580"/>
      <c r="BO82" s="580"/>
      <c r="BP82" s="580"/>
      <c r="BQ82" s="580"/>
      <c r="BR82" s="580"/>
      <c r="BS82" s="580"/>
      <c r="BT82" s="827"/>
      <c r="BU82" s="658"/>
      <c r="BV82" s="658"/>
      <c r="BW82" s="658"/>
      <c r="BX82" s="658"/>
      <c r="BY82" s="658"/>
      <c r="BZ82" s="658"/>
      <c r="CA82" s="658"/>
      <c r="CB82" s="658"/>
      <c r="CC82" s="658"/>
      <c r="CD82" s="658"/>
      <c r="CE82" s="658"/>
      <c r="CF82" s="658"/>
    </row>
    <row r="83" spans="1:84" ht="3" customHeight="1">
      <c r="A83" s="139"/>
      <c r="B83" s="7396"/>
      <c r="C83" s="7396"/>
      <c r="D83" s="7396"/>
      <c r="E83" s="7396"/>
      <c r="F83" s="1872"/>
      <c r="G83" s="1872"/>
      <c r="H83" s="1872"/>
      <c r="I83" s="1872"/>
      <c r="J83" s="1872"/>
      <c r="K83" s="1872"/>
      <c r="L83" s="1872"/>
      <c r="M83" s="1872"/>
      <c r="N83" s="1872"/>
      <c r="O83" s="1872"/>
      <c r="P83" s="1872"/>
      <c r="Q83" s="1872"/>
      <c r="R83" s="1872"/>
      <c r="S83" s="1872"/>
      <c r="T83" s="1872"/>
      <c r="U83" s="1872"/>
      <c r="V83" s="1872"/>
      <c r="W83" s="1872"/>
      <c r="X83" s="1872"/>
      <c r="Y83" s="1872"/>
      <c r="Z83" s="1872"/>
      <c r="AA83" s="1872"/>
      <c r="AB83" s="1872"/>
      <c r="AC83" s="1872"/>
      <c r="AD83" s="1872"/>
      <c r="AE83" s="1872"/>
      <c r="AF83" s="1872"/>
      <c r="AG83" s="1872"/>
      <c r="AH83" s="1872"/>
      <c r="AI83" s="1872"/>
      <c r="AJ83" s="1872"/>
      <c r="AK83" s="1872"/>
      <c r="AL83" s="1872"/>
      <c r="AM83" s="1872"/>
      <c r="AN83" s="1872"/>
      <c r="AO83" s="1845"/>
      <c r="AP83" s="1845"/>
      <c r="AQ83" s="1845"/>
      <c r="AR83" s="1845"/>
      <c r="AS83" s="1845"/>
      <c r="AT83" s="3335"/>
      <c r="AU83" s="689"/>
      <c r="AV83" s="3994"/>
      <c r="AW83" s="3981"/>
      <c r="AX83" s="4008"/>
      <c r="AY83" s="4058"/>
      <c r="AZ83" s="7428"/>
      <c r="BA83" s="7428"/>
      <c r="BB83" s="7428"/>
      <c r="BC83" s="7428"/>
      <c r="BD83" s="7428"/>
      <c r="BE83" s="7428"/>
      <c r="BF83" s="253"/>
      <c r="BG83" s="253"/>
      <c r="BH83" s="5913"/>
      <c r="BI83" s="2338"/>
      <c r="BJ83" s="5825"/>
      <c r="BK83" s="253"/>
      <c r="BL83" s="563"/>
      <c r="BM83" s="563"/>
      <c r="BN83" s="563"/>
      <c r="BO83" s="563"/>
      <c r="BP83" s="563"/>
      <c r="BQ83" s="563"/>
      <c r="BR83" s="253"/>
      <c r="BS83" s="253"/>
      <c r="BT83" s="827"/>
      <c r="BU83" s="658"/>
      <c r="BV83" s="658"/>
      <c r="BW83" s="658"/>
      <c r="BX83" s="658"/>
      <c r="BY83" s="658"/>
      <c r="BZ83" s="658"/>
      <c r="CA83" s="658"/>
      <c r="CB83" s="658"/>
      <c r="CC83" s="658"/>
      <c r="CD83" s="658"/>
      <c r="CE83" s="658"/>
      <c r="CF83" s="658"/>
    </row>
    <row r="84" spans="1:84" ht="13.5" customHeight="1">
      <c r="A84" s="139"/>
      <c r="B84" s="7396"/>
      <c r="C84" s="7396"/>
      <c r="D84" s="7396"/>
      <c r="E84" s="7396"/>
      <c r="F84" s="5842">
        <v>12</v>
      </c>
      <c r="G84" s="1417" t="s">
        <v>588</v>
      </c>
      <c r="H84" s="1919" t="s">
        <v>570</v>
      </c>
      <c r="I84" s="1261"/>
      <c r="J84" s="1261"/>
      <c r="K84" s="1261"/>
      <c r="L84" s="1981"/>
      <c r="M84" s="1262"/>
      <c r="N84" s="1262"/>
      <c r="O84" s="276"/>
      <c r="P84" s="1862" t="s">
        <v>571</v>
      </c>
      <c r="Q84" s="1262"/>
      <c r="R84" s="1262"/>
      <c r="S84" s="1262"/>
      <c r="T84" s="1262"/>
      <c r="U84" s="1262"/>
      <c r="V84" s="1262"/>
      <c r="W84" s="1262"/>
      <c r="X84" s="276"/>
      <c r="Y84" s="3995"/>
      <c r="Z84" s="1862" t="s">
        <v>5740</v>
      </c>
      <c r="AA84" s="1262"/>
      <c r="AB84" s="1262"/>
      <c r="AC84" s="1262"/>
      <c r="AD84" s="1262"/>
      <c r="AE84" s="1262"/>
      <c r="AF84" s="1262"/>
      <c r="AG84" s="1262"/>
      <c r="AH84" s="1262"/>
      <c r="AI84" s="1262"/>
      <c r="AJ84" s="1262"/>
      <c r="AK84" s="1262"/>
      <c r="AL84" s="1872"/>
      <c r="AM84" s="1872"/>
      <c r="AN84" s="1872"/>
      <c r="AO84" s="1845"/>
      <c r="AP84" s="1845"/>
      <c r="AQ84" s="1845"/>
      <c r="AR84" s="1845"/>
      <c r="AS84" s="1845"/>
      <c r="AT84" s="3335"/>
      <c r="AU84" s="5878" t="b">
        <f>AND(DependentSPOUSE="",File_Marr_Joint&lt;&gt;"")</f>
        <v>0</v>
      </c>
      <c r="AV84" s="3996"/>
      <c r="AW84" s="3978"/>
      <c r="AX84" s="4008"/>
      <c r="AY84" s="3983"/>
      <c r="AZ84" s="7428"/>
      <c r="BA84" s="7428"/>
      <c r="BB84" s="7428"/>
      <c r="BC84" s="7428"/>
      <c r="BD84" s="7428"/>
      <c r="BE84" s="7428"/>
      <c r="BF84" s="253"/>
      <c r="BG84" s="253"/>
      <c r="BH84" s="5913"/>
      <c r="BI84" s="253"/>
      <c r="BJ84" s="740"/>
      <c r="BK84" s="740"/>
      <c r="BL84" s="740"/>
      <c r="BM84" s="253"/>
      <c r="BN84" s="253"/>
      <c r="BO84" s="563"/>
      <c r="BP84" s="563"/>
      <c r="BQ84" s="253"/>
      <c r="BR84" s="253"/>
      <c r="BS84" s="253"/>
      <c r="BT84" s="827"/>
      <c r="BU84" s="658"/>
      <c r="BV84" s="658"/>
      <c r="BW84" s="658"/>
      <c r="BX84" s="658"/>
      <c r="BY84" s="658"/>
      <c r="BZ84" s="658"/>
      <c r="CA84" s="658"/>
      <c r="CB84" s="658"/>
      <c r="CC84" s="658"/>
      <c r="CD84" s="658"/>
      <c r="CE84" s="658"/>
      <c r="CF84" s="658"/>
    </row>
    <row r="85" spans="1:84" ht="4.5" customHeight="1">
      <c r="A85" s="139"/>
      <c r="B85" s="1871"/>
      <c r="C85" s="1871"/>
      <c r="D85" s="1871"/>
      <c r="E85" s="1871"/>
      <c r="F85" s="1872"/>
      <c r="G85" s="1872"/>
      <c r="H85" s="1872"/>
      <c r="I85" s="1872"/>
      <c r="J85" s="1872"/>
      <c r="K85" s="1872"/>
      <c r="L85" s="1872"/>
      <c r="M85" s="1872"/>
      <c r="N85" s="1872"/>
      <c r="O85" s="1872"/>
      <c r="P85" s="1872"/>
      <c r="Q85" s="1872"/>
      <c r="R85" s="1872"/>
      <c r="S85" s="1872"/>
      <c r="T85" s="1872"/>
      <c r="U85" s="1872"/>
      <c r="V85" s="1872"/>
      <c r="W85" s="1872"/>
      <c r="X85" s="1872"/>
      <c r="Y85" s="1872"/>
      <c r="Z85" s="1872"/>
      <c r="AA85" s="1872"/>
      <c r="AB85" s="1872"/>
      <c r="AC85" s="1872"/>
      <c r="AD85" s="1872"/>
      <c r="AE85" s="1872"/>
      <c r="AF85" s="1872"/>
      <c r="AG85" s="1872"/>
      <c r="AH85" s="1872"/>
      <c r="AI85" s="1872"/>
      <c r="AJ85" s="1872"/>
      <c r="AK85" s="1872"/>
      <c r="AL85" s="1872"/>
      <c r="AM85" s="1872"/>
      <c r="AN85" s="1872"/>
      <c r="AO85" s="1845"/>
      <c r="AP85" s="1845"/>
      <c r="AQ85" s="1845"/>
      <c r="AR85" s="1845"/>
      <c r="AS85" s="1845"/>
      <c r="AT85" s="3335"/>
      <c r="AU85" s="689"/>
      <c r="AV85" s="3994"/>
      <c r="AW85" s="3981"/>
      <c r="AX85" s="4008"/>
      <c r="AY85" s="724"/>
      <c r="AZ85" s="7428"/>
      <c r="BA85" s="7428"/>
      <c r="BB85" s="7428"/>
      <c r="BC85" s="7428"/>
      <c r="BD85" s="7428"/>
      <c r="BE85" s="7428"/>
      <c r="BF85" s="253"/>
      <c r="BG85" s="253"/>
      <c r="BH85" s="253"/>
      <c r="BI85" s="740"/>
      <c r="BJ85" s="740"/>
      <c r="BK85" s="740"/>
      <c r="BL85" s="563"/>
      <c r="BM85" s="563"/>
      <c r="BN85" s="563"/>
      <c r="BO85" s="563"/>
      <c r="BP85" s="563"/>
      <c r="BQ85" s="563"/>
      <c r="BR85" s="253"/>
      <c r="BS85" s="253"/>
      <c r="BT85" s="827"/>
      <c r="BU85" s="658"/>
      <c r="BV85" s="658"/>
      <c r="BW85" s="658"/>
      <c r="BX85" s="658"/>
      <c r="BY85" s="658"/>
      <c r="BZ85" s="658"/>
      <c r="CA85" s="658"/>
      <c r="CB85" s="658"/>
      <c r="CC85" s="658"/>
      <c r="CD85" s="658"/>
      <c r="CE85" s="658"/>
      <c r="CF85" s="658"/>
    </row>
    <row r="86" spans="1:84" ht="13.5" customHeight="1">
      <c r="A86" s="139"/>
      <c r="B86" s="7389" t="s">
        <v>5734</v>
      </c>
      <c r="C86" s="7390"/>
      <c r="D86" s="7391"/>
      <c r="E86" s="1896"/>
      <c r="F86" s="5842"/>
      <c r="G86" s="1417" t="s">
        <v>592</v>
      </c>
      <c r="H86" s="276"/>
      <c r="I86" s="1919" t="s">
        <v>5726</v>
      </c>
      <c r="J86" s="1261"/>
      <c r="K86" s="1261"/>
      <c r="L86" s="1262"/>
      <c r="M86" s="1262"/>
      <c r="N86" s="1262"/>
      <c r="O86" s="1262"/>
      <c r="P86" s="1262"/>
      <c r="Q86" s="1262"/>
      <c r="R86" s="1262"/>
      <c r="S86" s="1262"/>
      <c r="T86" s="1262"/>
      <c r="U86" s="1262"/>
      <c r="V86" s="1262"/>
      <c r="W86" s="1888" t="s">
        <v>2086</v>
      </c>
      <c r="X86" s="276"/>
      <c r="Y86" s="1647"/>
      <c r="Z86" s="1919" t="s">
        <v>5741</v>
      </c>
      <c r="AA86" s="1262"/>
      <c r="AB86" s="1262"/>
      <c r="AC86" s="1262"/>
      <c r="AD86" s="1262"/>
      <c r="AE86" s="1262"/>
      <c r="AF86" s="1262"/>
      <c r="AG86" s="1262"/>
      <c r="AH86" s="1262"/>
      <c r="AI86" s="1262"/>
      <c r="AJ86" s="1262"/>
      <c r="AK86" s="1262"/>
      <c r="AL86" s="1262"/>
      <c r="AM86" s="1262"/>
      <c r="AN86" s="1872"/>
      <c r="AO86" s="1845"/>
      <c r="AP86" s="1845"/>
      <c r="AQ86" s="1845"/>
      <c r="AR86" s="1845"/>
      <c r="AS86" s="1845"/>
      <c r="AT86" s="3335"/>
      <c r="AU86" s="3968"/>
      <c r="AV86" s="3996"/>
      <c r="AW86" s="3978"/>
      <c r="AX86" s="4008"/>
      <c r="AY86" s="3983"/>
      <c r="AZ86" s="7428"/>
      <c r="BA86" s="7428"/>
      <c r="BB86" s="7428"/>
      <c r="BC86" s="7428"/>
      <c r="BD86" s="7428"/>
      <c r="BE86" s="7428"/>
      <c r="BF86" s="253"/>
      <c r="BG86" s="253"/>
      <c r="BH86" s="253"/>
      <c r="BI86" s="253"/>
      <c r="BJ86" s="740"/>
      <c r="BK86" s="740"/>
      <c r="BL86" s="740"/>
      <c r="BM86" s="253"/>
      <c r="BN86" s="253"/>
      <c r="BO86" s="563"/>
      <c r="BP86" s="563"/>
      <c r="BQ86" s="253"/>
      <c r="BR86" s="253"/>
      <c r="BS86" s="253"/>
      <c r="BT86" s="827"/>
      <c r="BU86" s="658"/>
      <c r="BV86" s="658"/>
      <c r="BW86" s="658"/>
      <c r="BX86" s="658"/>
      <c r="BY86" s="658"/>
      <c r="BZ86" s="658"/>
      <c r="CA86" s="658"/>
      <c r="CB86" s="658"/>
      <c r="CC86" s="658"/>
      <c r="CD86" s="658"/>
      <c r="CE86" s="658"/>
      <c r="CF86" s="658"/>
    </row>
    <row r="87" spans="1:84" ht="4.5" customHeight="1">
      <c r="A87" s="139"/>
      <c r="B87" s="7392"/>
      <c r="C87" s="7393"/>
      <c r="D87" s="7394"/>
      <c r="E87" s="1896"/>
      <c r="F87" s="1872"/>
      <c r="G87" s="1872"/>
      <c r="H87" s="1872"/>
      <c r="I87" s="1872"/>
      <c r="J87" s="1872"/>
      <c r="K87" s="1872"/>
      <c r="L87" s="1872"/>
      <c r="M87" s="1872"/>
      <c r="N87" s="1872"/>
      <c r="O87" s="1872"/>
      <c r="P87" s="1872"/>
      <c r="Q87" s="1872"/>
      <c r="R87" s="1872"/>
      <c r="S87" s="1872"/>
      <c r="T87" s="1872"/>
      <c r="U87" s="1872"/>
      <c r="V87" s="1872"/>
      <c r="W87" s="1872"/>
      <c r="X87" s="1872"/>
      <c r="Y87" s="1872"/>
      <c r="Z87" s="1872"/>
      <c r="AA87" s="1872"/>
      <c r="AB87" s="1872"/>
      <c r="AC87" s="1872"/>
      <c r="AD87" s="1872"/>
      <c r="AE87" s="1872"/>
      <c r="AF87" s="1872"/>
      <c r="AG87" s="1872"/>
      <c r="AH87" s="1872"/>
      <c r="AI87" s="1872"/>
      <c r="AJ87" s="1872"/>
      <c r="AK87" s="1872"/>
      <c r="AL87" s="1872"/>
      <c r="AM87" s="1872"/>
      <c r="AN87" s="1872"/>
      <c r="AO87" s="1845"/>
      <c r="AP87" s="1845"/>
      <c r="AQ87" s="1845"/>
      <c r="AR87" s="1845"/>
      <c r="AS87" s="1845"/>
      <c r="AT87" s="3335"/>
      <c r="AU87" s="689"/>
      <c r="AV87" s="3994"/>
      <c r="AW87" s="3981"/>
      <c r="AX87" s="4008"/>
      <c r="AY87" s="724"/>
      <c r="AZ87" s="7428"/>
      <c r="BA87" s="7428"/>
      <c r="BB87" s="7428"/>
      <c r="BC87" s="7428"/>
      <c r="BD87" s="7428"/>
      <c r="BE87" s="7428"/>
      <c r="BF87" s="253"/>
      <c r="BG87" s="253"/>
      <c r="BH87" s="253"/>
      <c r="BI87" s="740"/>
      <c r="BJ87" s="740"/>
      <c r="BK87" s="740"/>
      <c r="BL87" s="563"/>
      <c r="BM87" s="563"/>
      <c r="BN87" s="563"/>
      <c r="BO87" s="563"/>
      <c r="BP87" s="563"/>
      <c r="BQ87" s="563"/>
      <c r="BR87" s="253"/>
      <c r="BS87" s="253"/>
      <c r="BT87" s="827"/>
      <c r="BU87" s="658"/>
      <c r="BV87" s="658"/>
      <c r="BW87" s="658"/>
      <c r="BX87" s="658"/>
      <c r="BY87" s="658"/>
      <c r="BZ87" s="658"/>
      <c r="CA87" s="658"/>
      <c r="CB87" s="658"/>
      <c r="CC87" s="658"/>
      <c r="CD87" s="658"/>
      <c r="CE87" s="658"/>
      <c r="CF87" s="658"/>
    </row>
    <row r="88" spans="1:84" ht="13.5" customHeight="1">
      <c r="A88" s="139"/>
      <c r="B88" s="7392"/>
      <c r="C88" s="7393"/>
      <c r="D88" s="7393"/>
      <c r="E88" s="5861"/>
      <c r="F88" s="1417"/>
      <c r="G88" s="1417" t="s">
        <v>599</v>
      </c>
      <c r="H88" s="7447" t="s">
        <v>572</v>
      </c>
      <c r="I88" s="7448"/>
      <c r="J88" s="1981"/>
      <c r="K88" s="1846" t="str">
        <f>IF(BadBirthdate_Yours,"",IF(YourBirthDate&lt;$BJ$133,"X",""))</f>
        <v/>
      </c>
      <c r="L88" s="7386" t="str">
        <f>IF(AND(Name_1st_Yours&lt;&gt;"",NOT($BI$15))," Enter your birthdate in box at right."," Were born before January 2, "&amp;TaxYear-64)</f>
        <v xml:space="preserve"> Were born before January 2, 1961</v>
      </c>
      <c r="M88" s="7387"/>
      <c r="N88" s="7387"/>
      <c r="O88" s="7387"/>
      <c r="P88" s="7387"/>
      <c r="Q88" s="7387"/>
      <c r="R88" s="7387"/>
      <c r="S88" s="7387"/>
      <c r="T88" s="7387"/>
      <c r="U88" s="7387"/>
      <c r="V88" s="7387"/>
      <c r="W88" s="7387"/>
      <c r="X88" s="1262"/>
      <c r="Y88" s="1262"/>
      <c r="Z88" s="1262"/>
      <c r="AA88" s="276"/>
      <c r="AB88" s="5949" t="s">
        <v>573</v>
      </c>
      <c r="AC88" s="5843"/>
      <c r="AD88" s="1261"/>
      <c r="AE88" s="1261"/>
      <c r="AF88" s="1262"/>
      <c r="AG88" s="1262"/>
      <c r="AH88" s="1262"/>
      <c r="AI88" s="1262"/>
      <c r="AJ88" s="1262"/>
      <c r="AK88" s="1262"/>
      <c r="AL88" s="1262"/>
      <c r="AM88" s="1262"/>
      <c r="AN88" s="1262"/>
      <c r="AO88" s="1262"/>
      <c r="AP88" s="1262"/>
      <c r="AQ88" s="1262"/>
      <c r="AR88" s="1262"/>
      <c r="AS88" s="1262"/>
      <c r="AT88" s="3997"/>
      <c r="AU88" s="5818"/>
      <c r="AV88" s="512"/>
      <c r="AW88" s="3961"/>
      <c r="AX88" s="4008"/>
      <c r="AY88" s="3983"/>
      <c r="AZ88" s="7428"/>
      <c r="BA88" s="7428"/>
      <c r="BB88" s="7428"/>
      <c r="BC88" s="7428"/>
      <c r="BD88" s="7428"/>
      <c r="BE88" s="7428"/>
      <c r="BF88" s="253"/>
      <c r="BG88" s="253"/>
      <c r="BH88" s="253"/>
      <c r="BI88" s="253"/>
      <c r="BJ88" s="740"/>
      <c r="BK88" s="740"/>
      <c r="BL88" s="740"/>
      <c r="BM88" s="253"/>
      <c r="BN88" s="253"/>
      <c r="BO88" s="563"/>
      <c r="BP88" s="563"/>
      <c r="BQ88" s="253"/>
      <c r="BR88" s="253"/>
      <c r="BS88" s="253"/>
      <c r="BT88" s="827"/>
      <c r="BU88" s="658"/>
      <c r="BV88" s="658"/>
      <c r="BW88" s="658"/>
      <c r="BX88" s="658"/>
      <c r="BY88" s="658"/>
      <c r="BZ88" s="658"/>
      <c r="CA88" s="658"/>
      <c r="CB88" s="658"/>
      <c r="CC88" s="658"/>
      <c r="CD88" s="658"/>
      <c r="CE88" s="658"/>
      <c r="CF88" s="658"/>
    </row>
    <row r="89" spans="1:84" ht="5.25" customHeight="1">
      <c r="A89" s="139"/>
      <c r="B89" s="7310" t="s">
        <v>637</v>
      </c>
      <c r="C89" s="7388" t="s">
        <v>5824</v>
      </c>
      <c r="D89" s="1856"/>
      <c r="E89" s="5861"/>
      <c r="F89" s="1888"/>
      <c r="G89" s="1417"/>
      <c r="H89" s="1872"/>
      <c r="I89" s="1897"/>
      <c r="J89" s="1887"/>
      <c r="K89" s="1897"/>
      <c r="L89" s="1887"/>
      <c r="M89" s="1887"/>
      <c r="N89" s="1887"/>
      <c r="O89" s="1887"/>
      <c r="P89" s="1887"/>
      <c r="Q89" s="1887"/>
      <c r="R89" s="1887"/>
      <c r="S89" s="1887"/>
      <c r="T89" s="1887"/>
      <c r="U89" s="1887"/>
      <c r="V89" s="1887"/>
      <c r="W89" s="1887"/>
      <c r="X89" s="1887"/>
      <c r="Y89" s="1887"/>
      <c r="Z89" s="1887"/>
      <c r="AA89" s="1887"/>
      <c r="AB89" s="1887"/>
      <c r="AC89" s="1887"/>
      <c r="AD89" s="1887"/>
      <c r="AE89" s="1887"/>
      <c r="AF89" s="1887"/>
      <c r="AG89" s="1887"/>
      <c r="AH89" s="1890"/>
      <c r="AI89" s="1890"/>
      <c r="AJ89" s="1890"/>
      <c r="AK89" s="1872"/>
      <c r="AL89" s="1872"/>
      <c r="AM89" s="1872"/>
      <c r="AN89" s="1872"/>
      <c r="AO89" s="1845"/>
      <c r="AP89" s="1845"/>
      <c r="AQ89" s="1845"/>
      <c r="AR89" s="1845"/>
      <c r="AS89" s="1845"/>
      <c r="AT89" s="4018"/>
      <c r="AU89" s="1318"/>
      <c r="AV89" s="253"/>
      <c r="AW89" s="512"/>
      <c r="AX89" s="4008"/>
      <c r="AY89" s="3790"/>
      <c r="AZ89" s="253"/>
      <c r="BA89" s="253"/>
      <c r="BB89" s="253"/>
      <c r="BC89" s="253"/>
      <c r="BD89" s="253"/>
      <c r="BE89" s="253"/>
      <c r="BF89" s="253"/>
      <c r="BG89" s="253"/>
      <c r="BH89" s="253"/>
      <c r="BI89" s="5824"/>
      <c r="BJ89" s="5825"/>
      <c r="BK89" s="253"/>
      <c r="BL89" s="253"/>
      <c r="BM89" s="253"/>
      <c r="BN89" s="253"/>
      <c r="BO89" s="253"/>
      <c r="BP89" s="253"/>
      <c r="BQ89" s="253"/>
      <c r="BR89" s="253"/>
      <c r="BS89" s="253"/>
      <c r="BT89" s="827"/>
      <c r="BU89" s="658"/>
      <c r="BV89" s="658"/>
      <c r="BW89" s="658"/>
      <c r="BX89" s="658"/>
      <c r="BY89" s="658"/>
      <c r="BZ89" s="658"/>
      <c r="CA89" s="658"/>
      <c r="CB89" s="658"/>
      <c r="CC89" s="658"/>
      <c r="CD89" s="658"/>
      <c r="CE89" s="658"/>
      <c r="CF89" s="658"/>
    </row>
    <row r="90" spans="1:84" ht="13.5" customHeight="1" thickBot="1">
      <c r="A90" s="139"/>
      <c r="B90" s="7310"/>
      <c r="C90" s="7388"/>
      <c r="D90" s="229"/>
      <c r="E90" s="5862"/>
      <c r="F90" s="4040"/>
      <c r="G90" s="4040"/>
      <c r="H90" s="5849" t="s">
        <v>5725</v>
      </c>
      <c r="I90" s="5848"/>
      <c r="J90" s="1262"/>
      <c r="K90" s="1846" t="str">
        <f>IF(OR(File_Single&lt;&gt;"",File_Head&lt;&gt;"",AND(File_Marr_Sep&lt;&gt;"",MFS_Spouse_NotFiling=""),BadBirthdate_Spouse,AND(SpouseDeceased&lt;&gt;"",BadDeathDate)),"",IF(AND(SpouseDeceased&lt;&gt;"",BI28),"X",IF(AND(SpouseDeceased="",SpouseBirthDate&lt;$BJ$133),"X","")))</f>
        <v/>
      </c>
      <c r="L90" s="7386" t="str">
        <f>IF(AND(Name_1st_Yours&lt;&gt;"",NOT($BI$15))," Enter your birthdate in box at right."," Were born before January 2, "&amp;TaxYear-64)</f>
        <v xml:space="preserve"> Were born before January 2, 1961</v>
      </c>
      <c r="M90" s="7387"/>
      <c r="N90" s="7387"/>
      <c r="O90" s="7387"/>
      <c r="P90" s="7387"/>
      <c r="Q90" s="7387"/>
      <c r="R90" s="7387"/>
      <c r="S90" s="7387"/>
      <c r="T90" s="7387"/>
      <c r="U90" s="7387"/>
      <c r="V90" s="7387"/>
      <c r="W90" s="7387"/>
      <c r="X90" s="1262"/>
      <c r="Y90" s="1262"/>
      <c r="Z90" s="1262"/>
      <c r="AA90" s="276"/>
      <c r="AB90" s="5949" t="s">
        <v>574</v>
      </c>
      <c r="AC90" s="5843"/>
      <c r="AD90" s="1261"/>
      <c r="AE90" s="1261"/>
      <c r="AF90" s="1262"/>
      <c r="AG90" s="1262"/>
      <c r="AH90" s="1262"/>
      <c r="AI90" s="1262"/>
      <c r="AJ90" s="1262"/>
      <c r="AK90" s="1262"/>
      <c r="AL90" s="1262"/>
      <c r="AM90" s="1262"/>
      <c r="AN90" s="1262"/>
      <c r="AO90" s="1262"/>
      <c r="AP90" s="1262"/>
      <c r="AQ90" s="1262"/>
      <c r="AR90" s="1262"/>
      <c r="AS90" s="1262"/>
      <c r="AT90" s="3997"/>
      <c r="AU90" s="5818"/>
      <c r="AV90" s="512"/>
      <c r="AW90" s="3961"/>
      <c r="AX90" s="4008"/>
      <c r="AY90" s="404"/>
      <c r="AZ90" s="253"/>
      <c r="BA90" s="512">
        <v>2000</v>
      </c>
      <c r="BB90" s="512">
        <v>1600</v>
      </c>
      <c r="BC90" s="512">
        <v>1600</v>
      </c>
      <c r="BD90" s="512">
        <v>2000</v>
      </c>
      <c r="BE90" s="253"/>
      <c r="BF90" s="253"/>
      <c r="BG90" s="253"/>
      <c r="BH90" s="253"/>
      <c r="BI90" s="253"/>
      <c r="BJ90" s="740"/>
      <c r="BK90" s="740"/>
      <c r="BL90" s="740"/>
      <c r="BM90" s="253"/>
      <c r="BN90" s="253"/>
      <c r="BO90" s="563"/>
      <c r="BP90" s="563"/>
      <c r="BQ90" s="253"/>
      <c r="BR90" s="253"/>
      <c r="BS90" s="253"/>
      <c r="BT90" s="827"/>
      <c r="BU90" s="658"/>
      <c r="BV90" s="658"/>
      <c r="BW90" s="658"/>
      <c r="BX90" s="658"/>
      <c r="BY90" s="658"/>
      <c r="BZ90" s="658"/>
      <c r="CA90" s="658"/>
      <c r="CB90" s="658"/>
      <c r="CC90" s="658"/>
      <c r="CD90" s="658"/>
      <c r="CE90" s="658"/>
      <c r="CF90" s="658"/>
    </row>
    <row r="91" spans="1:84" ht="14.25" customHeight="1">
      <c r="A91" s="139"/>
      <c r="B91" s="2666"/>
      <c r="C91" s="7388"/>
      <c r="D91" s="5863"/>
      <c r="E91" s="5858"/>
      <c r="F91" s="5858"/>
      <c r="G91" s="5859" t="s">
        <v>603</v>
      </c>
      <c r="H91" s="1889" t="s">
        <v>5825</v>
      </c>
      <c r="I91" s="1876"/>
      <c r="J91" s="1876"/>
      <c r="K91" s="1876"/>
      <c r="L91" s="1876"/>
      <c r="M91" s="1876"/>
      <c r="N91" s="1911"/>
      <c r="O91" s="1876"/>
      <c r="P91" s="1876"/>
      <c r="Q91" s="1876"/>
      <c r="R91" s="1876"/>
      <c r="S91" s="1876"/>
      <c r="T91" s="1876"/>
      <c r="U91" s="1876"/>
      <c r="V91" s="1876"/>
      <c r="W91" s="1876"/>
      <c r="X91" s="1876"/>
      <c r="Y91" s="1876"/>
      <c r="Z91" s="1876"/>
      <c r="AA91" s="1876"/>
      <c r="AB91" s="1890"/>
      <c r="AC91" s="1890"/>
      <c r="AD91" s="1890"/>
      <c r="AE91" s="1890"/>
      <c r="AF91" s="1888"/>
      <c r="AG91" s="1888"/>
      <c r="AH91" s="1888"/>
      <c r="AI91" s="1888"/>
      <c r="AJ91" s="1258" t="s">
        <v>608</v>
      </c>
      <c r="AK91" s="1891" t="s">
        <v>5932</v>
      </c>
      <c r="AL91" s="7072">
        <f>IF(AX91&lt;&gt;"",ROUND(AX91,0),IF(OR(AND(Total_Income=0,Adj_Gross_Inc=0),NumFileStatusBoxes=0,NumFileStatusBoxes&gt;1,Birthday_Needed,$BF$12),0, IF(AND(NQDisasterLoss&gt;0,StdDeduct),SD_AND_NQDL,IF(ItemizedDeduct,Tot_Item_Deduct,Standard ))))</f>
        <v>0</v>
      </c>
      <c r="AM91" s="7073"/>
      <c r="AN91" s="7073"/>
      <c r="AO91" s="7073"/>
      <c r="AP91" s="7073"/>
      <c r="AQ91" s="7073"/>
      <c r="AR91" s="7073"/>
      <c r="AS91" s="1878"/>
      <c r="AT91" s="4034"/>
      <c r="AU91" s="7286" t="str">
        <f>IF(AX78&lt;&gt;"","Manual Override",IF(FilingStatusError,"Filing status error.",IF(Birthday_Needed,"Birthdate(s) needed.",IF($BF$12,"Filing status error or invalid spouse input.",IF(NumFileStatusBoxes=0,"Filing status not indicated.", IF(Dual_Status_Alien&lt;&gt;"","Deduction is $0 due to spouse itemizing or dual-status alien.", IF(OR(DependentYOU&lt;&gt;"",DependentSPOUSE&lt;&gt;""),"Line 12a - Standard Deduction for Dependents",IF(AND(NQDisasterLoss&gt;0,StdDeduct),"Standard deduction plus net qualified disaster losses"&amp;CHAR(10)&amp;"on Sch. A, Line 16.",IF(ItemizedDeduct,"Schedule A",IF(Over_65_or_Blind&gt;0,"See Standard "&amp;CHAR(10)&amp;" Deduction Calculation"&amp;CHAR(10)&amp;" at right  →","Standard Deduction"))))))))))</f>
        <v>Filing status not indicated.</v>
      </c>
      <c r="AV91" s="7287"/>
      <c r="AW91" s="7288"/>
      <c r="AX91" s="1341"/>
      <c r="AY91" s="3790"/>
      <c r="AZ91" s="5914"/>
      <c r="BA91" s="5915"/>
      <c r="BB91" s="5916"/>
      <c r="BC91" s="7426" t="str">
        <f>IF(NumFileStatusBoxes=0,"Filing status not indicated.",IF(AND($BF$13,$BI$15,$BI$17),"",IF($BF$13,"Enter your birthdate and your spouse's birthdate above.",IF(NOT($BI$15),"Enter your birthdate above.",""))))</f>
        <v>Filing status not indicated.</v>
      </c>
      <c r="BD91" s="7426"/>
      <c r="BE91" s="5931"/>
      <c r="BF91" s="4025"/>
      <c r="BG91" s="4025"/>
      <c r="BH91" s="253"/>
      <c r="BI91" s="3824"/>
      <c r="BJ91" s="1061"/>
      <c r="BK91" s="1061"/>
      <c r="BL91" s="1061"/>
      <c r="BM91" s="3824"/>
      <c r="BN91" s="253"/>
      <c r="BO91" s="253"/>
      <c r="BP91" s="253"/>
      <c r="BQ91" s="253"/>
      <c r="BR91" s="253"/>
      <c r="BS91" s="253"/>
      <c r="BT91" s="827"/>
      <c r="BU91" s="658"/>
      <c r="BV91" s="658"/>
      <c r="BW91" s="658"/>
      <c r="BX91" s="658"/>
      <c r="BY91" s="658"/>
      <c r="BZ91" s="658"/>
      <c r="CA91" s="658"/>
      <c r="CB91" s="658"/>
      <c r="CC91" s="658"/>
      <c r="CD91" s="658"/>
      <c r="CE91" s="658"/>
      <c r="CF91" s="658"/>
    </row>
    <row r="92" spans="1:84" ht="14.25" customHeight="1">
      <c r="A92" s="139"/>
      <c r="B92" s="5853"/>
      <c r="C92" s="4030">
        <v>15750</v>
      </c>
      <c r="D92" s="5855"/>
      <c r="E92" s="5823"/>
      <c r="F92" s="1888" t="s">
        <v>1164</v>
      </c>
      <c r="G92" s="4040"/>
      <c r="H92" s="1889" t="s">
        <v>652</v>
      </c>
      <c r="I92" s="1876"/>
      <c r="J92" s="1876"/>
      <c r="K92" s="1876"/>
      <c r="L92" s="1876"/>
      <c r="M92" s="1876"/>
      <c r="N92" s="1876"/>
      <c r="O92" s="1876"/>
      <c r="P92" s="1876"/>
      <c r="Q92" s="1876"/>
      <c r="R92" s="1876"/>
      <c r="S92" s="1876"/>
      <c r="T92" s="1876"/>
      <c r="U92" s="1876"/>
      <c r="V92" s="1876"/>
      <c r="W92" s="1876"/>
      <c r="X92" s="1876"/>
      <c r="Y92" s="1876"/>
      <c r="Z92" s="1876"/>
      <c r="AA92" s="1876"/>
      <c r="AB92" s="1876"/>
      <c r="AC92" s="1876"/>
      <c r="AD92" s="1258"/>
      <c r="AE92" s="1258"/>
      <c r="AF92" s="1888"/>
      <c r="AG92" s="1888"/>
      <c r="AH92" s="1888"/>
      <c r="AI92" s="1888"/>
      <c r="AJ92" s="1258" t="str">
        <f>IF(AND(AT92="",QBID_1040&lt;&gt;"",QBID_1040&lt;&gt;0,QBID_Income2High),"Error: See Form 8995.",".   .   .   .   .   .   .   .   .   .   .   .   .   . ")</f>
        <v xml:space="preserve">.   .   .   .   .   .   .   .   .   .   .   .   .   . </v>
      </c>
      <c r="AK92" s="4032" t="s">
        <v>1164</v>
      </c>
      <c r="AL92" s="7177">
        <f>IF(AX92&lt;&gt;"",ROUND(AX92,0),IF(QBID="",0,QBID))</f>
        <v>0</v>
      </c>
      <c r="AM92" s="7178"/>
      <c r="AN92" s="7276"/>
      <c r="AO92" s="7276"/>
      <c r="AP92" s="7276"/>
      <c r="AQ92" s="7276"/>
      <c r="AR92" s="7276"/>
      <c r="AS92" s="1878"/>
      <c r="AT92" s="1244"/>
      <c r="AU92" s="7289"/>
      <c r="AV92" s="7290"/>
      <c r="AW92" s="7291"/>
      <c r="AX92" s="732"/>
      <c r="AY92" s="7307" t="str">
        <f>IF(AY98,"Enter total taxes from "&amp;CHAR(10)&amp;"line 16 (1), (2), &amp; (3) ↓   ↓   ↓","")</f>
        <v/>
      </c>
      <c r="AZ92" s="5917" t="s">
        <v>5810</v>
      </c>
      <c r="BA92" s="5918"/>
      <c r="BB92" s="366"/>
      <c r="BC92" s="7427"/>
      <c r="BD92" s="7427"/>
      <c r="BE92" s="5932"/>
      <c r="BF92" s="253"/>
      <c r="BG92" s="253"/>
      <c r="BH92" s="253"/>
      <c r="BI92" s="344" t="s">
        <v>5754</v>
      </c>
      <c r="BJ92" s="253"/>
      <c r="BK92" s="253"/>
      <c r="BL92" s="253"/>
      <c r="BM92" s="253"/>
      <c r="BN92" s="253"/>
      <c r="BO92" s="253"/>
      <c r="BP92" s="253"/>
      <c r="BQ92" s="253"/>
      <c r="BR92" s="253"/>
      <c r="BS92" s="253"/>
      <c r="BT92" s="827"/>
      <c r="BU92" s="658"/>
      <c r="BV92" s="658"/>
      <c r="BW92" s="658"/>
      <c r="BX92" s="658"/>
      <c r="BY92" s="658"/>
      <c r="BZ92" s="658"/>
      <c r="CA92" s="658"/>
      <c r="CB92" s="658"/>
      <c r="CC92" s="658"/>
      <c r="CD92" s="658"/>
      <c r="CE92" s="658"/>
      <c r="CF92" s="658"/>
    </row>
    <row r="93" spans="1:84" ht="14.25" customHeight="1">
      <c r="A93" s="139"/>
      <c r="B93" s="5850" t="s">
        <v>637</v>
      </c>
      <c r="C93" s="247" t="s">
        <v>645</v>
      </c>
      <c r="D93" s="229"/>
      <c r="E93" s="2666"/>
      <c r="F93" s="1888" t="s">
        <v>1165</v>
      </c>
      <c r="G93" s="1417"/>
      <c r="H93" s="1889" t="s">
        <v>5738</v>
      </c>
      <c r="I93" s="1876"/>
      <c r="J93" s="1876"/>
      <c r="K93" s="1876"/>
      <c r="L93" s="1876"/>
      <c r="M93" s="1876"/>
      <c r="N93" s="1876"/>
      <c r="O93" s="1876"/>
      <c r="P93" s="1876"/>
      <c r="Q93" s="1876"/>
      <c r="R93" s="1876"/>
      <c r="S93" s="1876"/>
      <c r="T93" s="1876"/>
      <c r="U93" s="1876"/>
      <c r="V93" s="1876"/>
      <c r="W93" s="1897"/>
      <c r="X93" s="1876"/>
      <c r="Y93" s="1876"/>
      <c r="Z93" s="1876"/>
      <c r="AA93" s="1876"/>
      <c r="AB93" s="1914"/>
      <c r="AC93" s="1914"/>
      <c r="AD93" s="1890"/>
      <c r="AE93" s="1890"/>
      <c r="AF93" s="1890"/>
      <c r="AG93" s="1890"/>
      <c r="AH93" s="1890"/>
      <c r="AI93" s="1890"/>
      <c r="AJ93" s="1258" t="s">
        <v>650</v>
      </c>
      <c r="AK93" s="4032" t="s">
        <v>1165</v>
      </c>
      <c r="AL93" s="7281" t="str">
        <f>IF(AX93&lt;&gt;"",ROUND(AX93,0),'Sch. 1-A'!AD105)</f>
        <v/>
      </c>
      <c r="AM93" s="7282"/>
      <c r="AN93" s="7283"/>
      <c r="AO93" s="7283"/>
      <c r="AP93" s="7283"/>
      <c r="AQ93" s="7283"/>
      <c r="AR93" s="7283"/>
      <c r="AS93" s="1878"/>
      <c r="AT93" s="4034"/>
      <c r="AU93" s="7289"/>
      <c r="AV93" s="7290"/>
      <c r="AW93" s="7291"/>
      <c r="AX93" s="731"/>
      <c r="AY93" s="7307"/>
      <c r="AZ93" s="5919"/>
      <c r="BA93" s="5920"/>
      <c r="BB93" s="5920"/>
      <c r="BC93" s="6073"/>
      <c r="BD93" s="6073"/>
      <c r="BE93" s="5932"/>
      <c r="BF93" s="512">
        <f>IF(BD122="",0,BD122)</f>
        <v>0</v>
      </c>
      <c r="BG93" s="253"/>
      <c r="BH93" s="253"/>
      <c r="BI93" s="3824"/>
      <c r="BJ93" s="1061"/>
      <c r="BK93" s="1061"/>
      <c r="BL93" s="1061"/>
      <c r="BM93" s="3824"/>
      <c r="BN93" s="253"/>
      <c r="BO93" s="253"/>
      <c r="BP93" s="253"/>
      <c r="BQ93" s="253"/>
      <c r="BR93" s="253"/>
      <c r="BS93" s="253"/>
      <c r="BT93" s="827"/>
      <c r="BU93" s="658"/>
      <c r="BV93" s="658"/>
      <c r="BW93" s="658"/>
      <c r="BX93" s="658"/>
      <c r="BY93" s="658"/>
      <c r="BZ93" s="658"/>
      <c r="CA93" s="658"/>
      <c r="CB93" s="658"/>
      <c r="CC93" s="658"/>
      <c r="CD93" s="658"/>
      <c r="CE93" s="658"/>
      <c r="CF93" s="658"/>
    </row>
    <row r="94" spans="1:84" ht="13.5" customHeight="1" thickBot="1">
      <c r="A94" s="139"/>
      <c r="B94" s="4024"/>
      <c r="C94" s="247" t="s">
        <v>5727</v>
      </c>
      <c r="D94" s="1856"/>
      <c r="E94" s="2666"/>
      <c r="F94" s="1888">
        <v>14</v>
      </c>
      <c r="G94" s="1417"/>
      <c r="H94" s="1889" t="s">
        <v>5735</v>
      </c>
      <c r="I94" s="1876"/>
      <c r="J94" s="1876"/>
      <c r="K94" s="1876"/>
      <c r="L94" s="1876"/>
      <c r="M94" s="1876"/>
      <c r="N94" s="1915"/>
      <c r="O94" s="1876"/>
      <c r="P94" s="1897"/>
      <c r="Q94" s="1897"/>
      <c r="R94" s="1876"/>
      <c r="S94" s="1876"/>
      <c r="T94" s="1876"/>
      <c r="U94" s="1876"/>
      <c r="V94" s="1876"/>
      <c r="W94" s="1897"/>
      <c r="X94" s="1897"/>
      <c r="Y94" s="1876"/>
      <c r="Z94" s="1876"/>
      <c r="AA94" s="1876"/>
      <c r="AB94" s="1914"/>
      <c r="AC94" s="1914"/>
      <c r="AD94" s="1890"/>
      <c r="AE94" s="1890"/>
      <c r="AF94" s="1890"/>
      <c r="AG94" s="1890"/>
      <c r="AH94" s="1890"/>
      <c r="AI94" s="1890"/>
      <c r="AJ94" s="1258" t="s">
        <v>1877</v>
      </c>
      <c r="AK94" s="4032">
        <v>14</v>
      </c>
      <c r="AL94" s="7278">
        <f>IF(AX94&lt;&gt;"",ROUND(AX94,0),SUM(AL91,QBID_1040,AL93))</f>
        <v>0</v>
      </c>
      <c r="AM94" s="7279"/>
      <c r="AN94" s="7280"/>
      <c r="AO94" s="7280"/>
      <c r="AP94" s="7280"/>
      <c r="AQ94" s="7280"/>
      <c r="AR94" s="7280"/>
      <c r="AS94" s="1878"/>
      <c r="AT94" s="4044"/>
      <c r="AU94" s="7292"/>
      <c r="AV94" s="7293"/>
      <c r="AW94" s="7294"/>
      <c r="AX94" s="732"/>
      <c r="AY94" s="7307"/>
      <c r="AZ94" s="5919"/>
      <c r="BA94" s="5860" t="s">
        <v>13</v>
      </c>
      <c r="BB94" s="5860" t="s">
        <v>5419</v>
      </c>
      <c r="BC94" s="5860" t="s">
        <v>21</v>
      </c>
      <c r="BD94" s="5860" t="s">
        <v>5811</v>
      </c>
      <c r="BE94" s="5921"/>
      <c r="BF94" s="253"/>
      <c r="BG94" s="253"/>
      <c r="BH94" s="5955" t="s">
        <v>5836</v>
      </c>
      <c r="BI94" s="3824"/>
      <c r="BJ94" s="1061"/>
      <c r="BK94" s="1061"/>
      <c r="BL94" s="1061"/>
      <c r="BM94" s="3824"/>
      <c r="BN94" s="253"/>
      <c r="BO94" s="253"/>
      <c r="BP94" s="253"/>
      <c r="BQ94" s="253"/>
      <c r="BR94" s="253"/>
      <c r="BS94" s="253"/>
      <c r="BT94" s="827"/>
      <c r="BU94" s="658"/>
      <c r="BV94" s="658"/>
      <c r="BW94" s="658"/>
      <c r="BX94" s="658"/>
      <c r="BY94" s="658"/>
      <c r="BZ94" s="658"/>
      <c r="CA94" s="658"/>
      <c r="CB94" s="658"/>
      <c r="CC94" s="658"/>
      <c r="CD94" s="658"/>
      <c r="CE94" s="658"/>
      <c r="CF94" s="658"/>
    </row>
    <row r="95" spans="1:84" ht="13.5" customHeight="1">
      <c r="A95" s="139"/>
      <c r="B95" s="4024"/>
      <c r="C95" s="247" t="s">
        <v>5728</v>
      </c>
      <c r="D95" s="5856"/>
      <c r="E95" s="1896"/>
      <c r="F95" s="1874">
        <v>15</v>
      </c>
      <c r="G95" s="4046"/>
      <c r="H95" s="5950" t="s">
        <v>654</v>
      </c>
      <c r="I95" s="4047"/>
      <c r="J95" s="4047"/>
      <c r="K95" s="4047"/>
      <c r="L95" s="4047"/>
      <c r="M95" s="4047"/>
      <c r="N95" s="4047"/>
      <c r="O95" s="4047"/>
      <c r="P95" s="5950" t="s">
        <v>655</v>
      </c>
      <c r="Q95" s="1915"/>
      <c r="R95" s="4047"/>
      <c r="S95" s="4047"/>
      <c r="T95" s="4047"/>
      <c r="U95" s="4047"/>
      <c r="V95" s="4047"/>
      <c r="W95" s="4047"/>
      <c r="X95" s="5950" t="s">
        <v>5826</v>
      </c>
      <c r="Y95" s="4047"/>
      <c r="Z95" s="4047"/>
      <c r="AA95" s="4047"/>
      <c r="AB95" s="4047"/>
      <c r="AC95" s="4047"/>
      <c r="AD95" s="4048"/>
      <c r="AE95" s="4048"/>
      <c r="AF95" s="4048"/>
      <c r="AG95" s="1827"/>
      <c r="AH95" s="4047"/>
      <c r="AI95" s="4047"/>
      <c r="AJ95" s="1874" t="s">
        <v>643</v>
      </c>
      <c r="AK95" s="4032">
        <v>15</v>
      </c>
      <c r="AL95" s="7177">
        <f>IF(AX95&lt;&gt;"",ROUND(AX95,0),MAX(0,SUM(Adj_Gross_Inc,-TotalDeductions)))</f>
        <v>0</v>
      </c>
      <c r="AM95" s="7178"/>
      <c r="AN95" s="7276"/>
      <c r="AO95" s="7276"/>
      <c r="AP95" s="7276"/>
      <c r="AQ95" s="7276"/>
      <c r="AR95" s="7276"/>
      <c r="AS95" s="1878"/>
      <c r="AT95" s="4044"/>
      <c r="AU95" s="4037"/>
      <c r="AV95" s="4037"/>
      <c r="AW95" s="4037"/>
      <c r="AX95" s="732"/>
      <c r="AY95" s="7307"/>
      <c r="AZ95" s="5922" t="s">
        <v>5812</v>
      </c>
      <c r="BA95" s="5629">
        <f>SD_Single</f>
        <v>15750</v>
      </c>
      <c r="BB95" s="5629">
        <f>SD_MFJW</f>
        <v>31500</v>
      </c>
      <c r="BC95" s="5629">
        <f>SD_Single</f>
        <v>15750</v>
      </c>
      <c r="BD95" s="5629">
        <f>SD_Head</f>
        <v>23625</v>
      </c>
      <c r="BE95" s="5923"/>
      <c r="BF95" s="253"/>
      <c r="BG95" s="253"/>
      <c r="BH95" s="5955" t="s">
        <v>5835</v>
      </c>
      <c r="BI95" s="344"/>
      <c r="BJ95" s="344"/>
      <c r="BK95" s="344"/>
      <c r="BL95" s="253"/>
      <c r="BM95" s="253"/>
      <c r="BN95" s="253"/>
      <c r="BO95" s="253"/>
      <c r="BP95" s="253"/>
      <c r="BQ95" s="253"/>
      <c r="BR95" s="253"/>
      <c r="BS95" s="253"/>
      <c r="BT95" s="827"/>
      <c r="BU95" s="658"/>
      <c r="BV95" s="658"/>
      <c r="BW95" s="658"/>
      <c r="BX95" s="658"/>
      <c r="BY95" s="658"/>
      <c r="BZ95" s="658"/>
      <c r="CA95" s="658"/>
      <c r="CB95" s="658"/>
      <c r="CC95" s="658"/>
      <c r="CD95" s="658"/>
      <c r="CE95" s="658"/>
      <c r="CF95" s="658"/>
    </row>
    <row r="96" spans="1:84" ht="14.25" customHeight="1" thickBot="1">
      <c r="A96" s="139"/>
      <c r="B96" s="5854"/>
      <c r="C96" s="247" t="s">
        <v>5822</v>
      </c>
      <c r="D96" s="5856"/>
      <c r="E96" s="1896"/>
      <c r="F96" s="1888">
        <v>16</v>
      </c>
      <c r="G96" s="1417"/>
      <c r="H96" s="1982" t="s">
        <v>5827</v>
      </c>
      <c r="I96" s="1888"/>
      <c r="J96" s="1888"/>
      <c r="K96" s="1888"/>
      <c r="L96" s="1261"/>
      <c r="M96" s="1261"/>
      <c r="N96" s="1261"/>
      <c r="O96" s="1647"/>
      <c r="P96" s="1888"/>
      <c r="Q96" s="1888"/>
      <c r="R96" s="1888"/>
      <c r="S96" s="1920"/>
      <c r="T96" s="1920"/>
      <c r="U96" s="1921"/>
      <c r="V96" s="1920" t="s">
        <v>228</v>
      </c>
      <c r="W96" s="276"/>
      <c r="X96" s="1922" t="s">
        <v>5706</v>
      </c>
      <c r="Y96" s="1922"/>
      <c r="Z96" s="1923"/>
      <c r="AA96" s="1923" t="s">
        <v>230</v>
      </c>
      <c r="AB96" s="276"/>
      <c r="AC96" s="7405">
        <v>4972</v>
      </c>
      <c r="AD96" s="7406"/>
      <c r="AE96" s="1923" t="s">
        <v>5737</v>
      </c>
      <c r="AF96" s="276"/>
      <c r="AG96" s="7422"/>
      <c r="AH96" s="7423"/>
      <c r="AI96" s="7423"/>
      <c r="AJ96" s="1258" t="s">
        <v>2390</v>
      </c>
      <c r="AK96" s="1891">
        <v>16</v>
      </c>
      <c r="AL96" s="7177">
        <f>IF(AX96&lt;&gt;"",ROUND(AX96,0),IF(OR(Birthday_Needed,FilingStatusError),"",IF(FEI_Tax_Worksheet,Tax_FEI_TW,IF(CGTW,SUM(CGTW_Tax,AO77),IF(SchDTW_Used,SUM(SchDTW_Tax,AO77),SUM(AY97,BM100))))))</f>
        <v>0</v>
      </c>
      <c r="AM96" s="7178"/>
      <c r="AN96" s="7276"/>
      <c r="AO96" s="7276"/>
      <c r="AP96" s="7276"/>
      <c r="AQ96" s="7276"/>
      <c r="AR96" s="7276"/>
      <c r="AS96" s="1918"/>
      <c r="AT96" s="4053"/>
      <c r="AU96" s="4054" t="s">
        <v>661</v>
      </c>
      <c r="AV96" s="4055"/>
      <c r="AW96" s="4056"/>
      <c r="AX96" s="1065"/>
      <c r="AY96" s="6740"/>
      <c r="AZ96" s="5924" t="s">
        <v>5813</v>
      </c>
      <c r="BA96" s="5925" t="str">
        <f>IF(OR(YouR65,you_blind),BA90,"")</f>
        <v/>
      </c>
      <c r="BB96" s="5926" t="str">
        <f>IF(AND(YouR65,sp_over_64&lt;&gt;""),2*BB90,IF(OR(YouR65,sp_over_64&lt;&gt;""),BB90,""))</f>
        <v/>
      </c>
      <c r="BC96" s="5930">
        <f>SUM(BF14,BF16)*BC90</f>
        <v>0</v>
      </c>
      <c r="BD96" s="5926" t="str">
        <f>IF(YouR65,BD90,"")</f>
        <v/>
      </c>
      <c r="BE96" s="5927"/>
      <c r="BF96" s="580"/>
      <c r="BG96" s="580"/>
      <c r="BH96" s="580"/>
      <c r="BI96" s="344" t="s">
        <v>662</v>
      </c>
      <c r="BJ96" s="730" t="s">
        <v>13</v>
      </c>
      <c r="BK96" s="730" t="s">
        <v>663</v>
      </c>
      <c r="BL96" s="730" t="s">
        <v>21</v>
      </c>
      <c r="BM96" s="730" t="s">
        <v>24</v>
      </c>
      <c r="BN96" s="580"/>
      <c r="BO96" s="580"/>
      <c r="BP96" s="580"/>
      <c r="BQ96" s="580"/>
      <c r="BR96" s="580"/>
      <c r="BS96" s="580"/>
      <c r="BT96" s="827"/>
      <c r="BU96" s="658"/>
      <c r="BV96" s="658"/>
      <c r="BW96" s="658"/>
      <c r="BX96" s="658"/>
      <c r="BY96" s="658"/>
      <c r="BZ96" s="658"/>
      <c r="CA96" s="658"/>
      <c r="CB96" s="658"/>
      <c r="CC96" s="658"/>
      <c r="CD96" s="658"/>
      <c r="CE96" s="658"/>
      <c r="CF96" s="658"/>
    </row>
    <row r="97" spans="1:84" ht="14.25" customHeight="1" thickTop="1" thickBot="1">
      <c r="A97" s="139"/>
      <c r="B97" s="4024"/>
      <c r="C97" s="4036">
        <v>31500</v>
      </c>
      <c r="D97" s="229"/>
      <c r="E97" s="2666"/>
      <c r="F97" s="1888">
        <v>17</v>
      </c>
      <c r="G97" s="1417"/>
      <c r="H97" s="1858" t="s">
        <v>664</v>
      </c>
      <c r="I97" s="1888"/>
      <c r="J97" s="1888"/>
      <c r="K97" s="1888"/>
      <c r="L97" s="1261"/>
      <c r="M97" s="1261"/>
      <c r="N97" s="1261"/>
      <c r="O97" s="1261"/>
      <c r="P97" s="1888"/>
      <c r="Q97" s="1888"/>
      <c r="R97" s="1888"/>
      <c r="S97" s="1920"/>
      <c r="T97" s="1920"/>
      <c r="U97" s="1920"/>
      <c r="V97" s="1920"/>
      <c r="W97" s="1920"/>
      <c r="X97" s="1924"/>
      <c r="Y97" s="1923"/>
      <c r="Z97" s="1923"/>
      <c r="AA97" s="1923"/>
      <c r="AB97" s="1261"/>
      <c r="AC97" s="1925"/>
      <c r="AD97" s="1925"/>
      <c r="AE97" s="1925"/>
      <c r="AF97" s="1925"/>
      <c r="AG97" s="1925"/>
      <c r="AH97" s="1920"/>
      <c r="AI97" s="1920"/>
      <c r="AJ97" s="1258" t="s">
        <v>668</v>
      </c>
      <c r="AK97" s="1926">
        <v>17</v>
      </c>
      <c r="AL97" s="7072" t="str">
        <f>IF(AX97&lt;&gt;"",ROUND(AX97,0),Schedule2_Tax)</f>
        <v/>
      </c>
      <c r="AM97" s="7073"/>
      <c r="AN97" s="7277"/>
      <c r="AO97" s="7277"/>
      <c r="AP97" s="7277"/>
      <c r="AQ97" s="7277"/>
      <c r="AR97" s="7277"/>
      <c r="AS97" s="1918"/>
      <c r="AT97" s="4053"/>
      <c r="AU97" s="4054" t="s">
        <v>666</v>
      </c>
      <c r="AV97" s="4055"/>
      <c r="AW97" s="4056"/>
      <c r="AX97" s="732"/>
      <c r="AY97" s="5933">
        <f>ROUND(AY96,0)</f>
        <v>0</v>
      </c>
      <c r="AZ97" s="5928" t="s">
        <v>5814</v>
      </c>
      <c r="BA97" s="5929" t="str">
        <f>IF(you_blind="","",BA90)</f>
        <v/>
      </c>
      <c r="BB97" s="5930" t="str">
        <f>IF(AND(you_blind&lt;&gt;"",sp_blind&lt;&gt;""),2*BB90,IF(OR(you_blind&lt;&gt;"",sp_blind&lt;&gt;""),BB90,""))</f>
        <v/>
      </c>
      <c r="BC97" s="5930">
        <f>SUM(BF15,BF17)*BC90</f>
        <v>0</v>
      </c>
      <c r="BD97" s="5930" t="str">
        <f>IF(you_blind="","",BD90)</f>
        <v/>
      </c>
      <c r="BE97" s="5927"/>
      <c r="BF97" s="580"/>
      <c r="BG97" s="580"/>
      <c r="BH97" s="580"/>
      <c r="BI97" s="4641">
        <f>Taxable_Inc</f>
        <v>0</v>
      </c>
      <c r="BJ97" s="2572">
        <f>LOOKUP(BI97,'Tax Table'!$B$2:$B$2063,'Tax Table'!$D$2:$D$2063)</f>
        <v>0</v>
      </c>
      <c r="BK97" s="2572">
        <f>LOOKUP(BI97,'Tax Table'!$B$2:$B$2063,'Tax Table'!$E$2:$E$2063)</f>
        <v>0</v>
      </c>
      <c r="BL97" s="2572">
        <f>LOOKUP(BI97,'Tax Table'!$B$2:$B$2063,'Tax Table'!$F$2:$F$2063)</f>
        <v>0</v>
      </c>
      <c r="BM97" s="2573">
        <f>LOOKUP(BI97,'Tax Table'!$B$2:$B$2063,'Tax Table'!$G$2:$G$2063)</f>
        <v>0</v>
      </c>
      <c r="BN97" s="580"/>
      <c r="BO97" s="580"/>
      <c r="BP97" s="580"/>
      <c r="BQ97" s="580"/>
      <c r="BR97" s="580"/>
      <c r="BS97" s="580"/>
      <c r="BT97" s="827"/>
      <c r="BU97" s="658"/>
      <c r="BV97" s="658"/>
      <c r="BW97" s="658"/>
      <c r="BX97" s="658"/>
      <c r="BY97" s="658"/>
      <c r="BZ97" s="658"/>
      <c r="CA97" s="658"/>
      <c r="CB97" s="658"/>
      <c r="CC97" s="658"/>
      <c r="CD97" s="658"/>
      <c r="CE97" s="658"/>
      <c r="CF97" s="658"/>
    </row>
    <row r="98" spans="1:84" ht="12.75" customHeight="1" thickBot="1">
      <c r="A98" s="139"/>
      <c r="B98" s="4024" t="s">
        <v>637</v>
      </c>
      <c r="C98" s="247" t="s">
        <v>5729</v>
      </c>
      <c r="D98" s="229"/>
      <c r="E98" s="2666"/>
      <c r="F98" s="1888">
        <v>18</v>
      </c>
      <c r="G98" s="1417"/>
      <c r="H98" s="1858" t="s">
        <v>667</v>
      </c>
      <c r="I98" s="1888"/>
      <c r="J98" s="1888"/>
      <c r="K98" s="1888"/>
      <c r="L98" s="1888"/>
      <c r="M98" s="1888"/>
      <c r="N98" s="1888"/>
      <c r="O98" s="1888"/>
      <c r="P98" s="1888"/>
      <c r="Q98" s="1888"/>
      <c r="R98" s="1888"/>
      <c r="S98" s="1888"/>
      <c r="T98" s="1888"/>
      <c r="U98" s="1888"/>
      <c r="V98" s="1888"/>
      <c r="W98" s="1888"/>
      <c r="X98" s="1888"/>
      <c r="Y98" s="1888"/>
      <c r="Z98" s="1888"/>
      <c r="AA98" s="1888"/>
      <c r="AB98" s="1888"/>
      <c r="AC98" s="1888"/>
      <c r="AD98" s="1888"/>
      <c r="AE98" s="1888"/>
      <c r="AF98" s="1888"/>
      <c r="AG98" s="1888"/>
      <c r="AH98" s="1259"/>
      <c r="AI98" s="1259"/>
      <c r="AJ98" s="1258" t="s">
        <v>3758</v>
      </c>
      <c r="AK98" s="4057">
        <v>18</v>
      </c>
      <c r="AL98" s="7072">
        <f>IF(AX98&lt;&gt;"",ROUND(AX98,0),SUM(Tax_SubTotal,AL97))</f>
        <v>0</v>
      </c>
      <c r="AM98" s="7073"/>
      <c r="AN98" s="7277"/>
      <c r="AO98" s="7277"/>
      <c r="AP98" s="7277"/>
      <c r="AQ98" s="7277"/>
      <c r="AR98" s="7277"/>
      <c r="AS98" s="1918"/>
      <c r="AT98" s="4053"/>
      <c r="AU98" s="7295" t="str">
        <f>IF(AX96&lt;&gt;"","Manual override",IF(FilingStatusError,"Filing status information needed or needs corrected.",IF(Birthday_Needed,"Birthdate information needed.",IF(OR(Total_Income=0,Taxable_Inc=""),"",IF(FEI_Tax_Worksheet,"FEI Tax Worksheet on "&amp;CHAR(10)&amp;"'Line 16 (QDCG Tax)'"&amp;CHAR(10)&amp;AY102,IF(CGTW,"QD &amp; CG Tax WS"&amp;CHAR(10)&amp;"'Line 16 (QDCG Tax)'"&amp;CHAR(10)&amp;AY102,IF(SchDTW_Used,"Sch. D Tax Worksheet"&amp;CHAR(10)&amp;AY102,IF(Taxable_Inc&lt;100000,"Tax Table"&amp;CHAR(10)&amp;AY102,"Tax Formula"&amp;CHAR(10)&amp;AY102))))))))</f>
        <v/>
      </c>
      <c r="AV98" s="7296"/>
      <c r="AW98" s="7297"/>
      <c r="AX98" s="732"/>
      <c r="AY98" s="3235" t="b">
        <f>OR(W96&lt;&gt;"",AB96&lt;&gt;"",AF96&lt;&gt;"")</f>
        <v>0</v>
      </c>
      <c r="AZ98" s="5935" t="s">
        <v>5815</v>
      </c>
      <c r="BA98" s="5936" t="str">
        <f>IF(File_Single="","",SUM(BA95,BA96,BA97))</f>
        <v/>
      </c>
      <c r="BB98" s="5936">
        <f>SUM(BB95,BB96,BB97)</f>
        <v>31500</v>
      </c>
      <c r="BC98" s="5936">
        <f>SUM(BC95,BC96,BC97)</f>
        <v>15750</v>
      </c>
      <c r="BD98" s="5937">
        <f>SUM(BD95,BD96,BD97)</f>
        <v>23625</v>
      </c>
      <c r="BE98" s="5927"/>
      <c r="BF98" s="580"/>
      <c r="BG98" s="580"/>
      <c r="BH98" s="580"/>
      <c r="BI98" s="4640"/>
      <c r="BJ98" s="2574" t="str">
        <f>IF(BI97&lt;SectA_a2,"---",IF(BI97&lt;=SectA_a3,ROUND(BI97*(SectA_b3/100),0)-SectA_d3,IF(BI97&lt;=SectA_a4,ROUND(BI97*(SectA_b4/100),0)-SectA_d4,IF(BI97&lt;=SectA_a5,ROUND(BI97*(SectA_b5/100),0)-SectA_d5,IF(BI97&lt;=SectA_a6,ROUND(BI97*(SectA_b6/100),0)-SectA_d6,ROUND(BI97*(SectA_b7/100),0)-SectA_d7)))))</f>
        <v>---</v>
      </c>
      <c r="BK98" s="2574" t="str">
        <f>IF(BI97&lt;SectB_a2,"---",IF(BI97&lt;=SectB_a3,ROUND(BI97*(SectB_b3/100),0)-SectB_d3,IF(BI97&lt;=SectB_a4,ROUND(BI97*(SectB_b4/100),0)-SectB_d4,IF(BI97&lt;=SectB_a5,ROUND(BI97*(SectB_b5/100),0)-SectB_d5,IF(BI97&lt;=SectB_a6,ROUND(BI97*(SectB_b6/100),0)-SectB_d6,ROUND(BI97*(SectB_b7/100),0)-SectB_d7)))))</f>
        <v>---</v>
      </c>
      <c r="BL98" s="2574" t="str">
        <f>IF(BI97&lt;SectC_a1,"---",IF(BI97&lt;=SectC_a2,ROUND(BI97*(SectC_b2/100),0)-SectC_d2,IF(BI97&lt;=SectC_a3,ROUND(BI97*(SectC_b3/100),0)-SectC_d3,IF(BI97&lt;=SectC_a4,ROUND(BI97*(SectC_b4/100),0)-SectC_d4,IF(BI97&lt;=SectC_a5,ROUND(BI97*(SectC_b5/100),0)-SectC_d5,ROUND(BI97*(SectC_b6/100),0)-SectC_d6)))))</f>
        <v>---</v>
      </c>
      <c r="BM98" s="2575" t="str">
        <f>IF(BI97&lt;SectD_a2,"---",IF(BI97&lt;=SectD_a3,ROUND(BI97*(SectD_b3/100),0)-SectD_d3,IF(BI97&lt;=SectD_a4,ROUND(BI97*(SectD_b4/100),0)-SectD_d4,IF(BI97&lt;=SectD_a5,ROUND(BI97*(SectD_b5/100),0)-SectD_d5,IF(BI97&lt;=SectD_a6,ROUND(BI97*(SectD_b6/100),0)-SectD_d6,ROUND(BI97*(SectD_b7/100),0)-SectD_d7)))))</f>
        <v>---</v>
      </c>
      <c r="BN98" s="580"/>
      <c r="BO98" s="580"/>
      <c r="BP98" s="580"/>
      <c r="BQ98" s="580"/>
      <c r="BR98" s="580"/>
      <c r="BS98" s="580"/>
      <c r="BT98" s="827"/>
      <c r="BU98" s="658"/>
      <c r="BV98" s="658"/>
      <c r="BW98" s="658"/>
      <c r="BX98" s="658"/>
      <c r="BY98" s="658"/>
      <c r="BZ98" s="658"/>
      <c r="CA98" s="658"/>
      <c r="CB98" s="658"/>
      <c r="CC98" s="658"/>
      <c r="CD98" s="658"/>
      <c r="CE98" s="658"/>
      <c r="CF98" s="658"/>
    </row>
    <row r="99" spans="1:84" ht="12.75" customHeight="1" thickBot="1">
      <c r="A99" s="139"/>
      <c r="B99" s="4024"/>
      <c r="C99" s="247" t="s">
        <v>5823</v>
      </c>
      <c r="D99" s="1896"/>
      <c r="E99" s="2666"/>
      <c r="F99" s="1888">
        <v>19</v>
      </c>
      <c r="G99" s="1417"/>
      <c r="H99" s="1889" t="s">
        <v>669</v>
      </c>
      <c r="I99" s="1876"/>
      <c r="J99" s="1876"/>
      <c r="K99" s="1876"/>
      <c r="L99" s="1876"/>
      <c r="M99" s="1876"/>
      <c r="N99" s="1876"/>
      <c r="O99" s="1876"/>
      <c r="P99" s="1876"/>
      <c r="Q99" s="1876"/>
      <c r="R99" s="1927"/>
      <c r="S99" s="1928"/>
      <c r="T99" s="1928"/>
      <c r="U99" s="1928"/>
      <c r="V99" s="1928"/>
      <c r="W99" s="1928"/>
      <c r="X99" s="1928"/>
      <c r="Y99" s="1928"/>
      <c r="Z99" s="1928"/>
      <c r="AA99" s="1888"/>
      <c r="AB99" s="1928"/>
      <c r="AC99" s="1928"/>
      <c r="AD99" s="1258"/>
      <c r="AE99" s="1258"/>
      <c r="AF99" s="1888"/>
      <c r="AG99" s="1888"/>
      <c r="AH99" s="1259"/>
      <c r="AI99" s="1259"/>
      <c r="AJ99" s="1258" t="s">
        <v>608</v>
      </c>
      <c r="AK99" s="1926">
        <v>19</v>
      </c>
      <c r="AL99" s="7072" t="str">
        <f>IF(AX99&lt;&gt;"",ROUND(AX99,0),CTCorCOD)</f>
        <v/>
      </c>
      <c r="AM99" s="7073"/>
      <c r="AN99" s="7277"/>
      <c r="AO99" s="7277"/>
      <c r="AP99" s="7277"/>
      <c r="AQ99" s="7277"/>
      <c r="AR99" s="7277"/>
      <c r="AS99" s="1878"/>
      <c r="AT99" s="4044"/>
      <c r="AU99" s="7298"/>
      <c r="AV99" s="7299"/>
      <c r="AW99" s="7300"/>
      <c r="AX99" s="732"/>
      <c r="AY99" s="5597" t="str">
        <f>IF(W96&lt;&gt;"","&amp; Form 8814 "&amp;"","")</f>
        <v/>
      </c>
      <c r="AZ99" s="5939"/>
      <c r="BA99" s="5938"/>
      <c r="BB99" s="5938"/>
      <c r="BC99" s="5938"/>
      <c r="BD99" s="5938"/>
      <c r="BE99" s="381"/>
      <c r="BF99" s="580"/>
      <c r="BG99" s="580"/>
      <c r="BH99" s="580"/>
      <c r="BI99" s="2576" t="str">
        <f>IF(File_Single&lt;&gt;"",BJ97,IF(File_Marr_Joint&lt;&gt;"",BK97,IF(File_Marr_Sep&lt;&gt;"", BL97,IF(File_Head&lt;&gt;"",BM97,IF(File_Qual_Widow&lt;&gt;"",BK97,"Filing status?")))))</f>
        <v>Filing status?</v>
      </c>
      <c r="BJ99" s="1061" t="str">
        <f>"&lt;100k"</f>
        <v>&lt;100k</v>
      </c>
      <c r="BK99" s="1061"/>
      <c r="BL99" s="1061"/>
      <c r="BM99" s="2577"/>
      <c r="BN99" s="580"/>
      <c r="BO99" s="580"/>
      <c r="BP99" s="580"/>
      <c r="BQ99" s="580"/>
      <c r="BR99" s="580"/>
      <c r="BS99" s="580"/>
      <c r="BT99" s="827"/>
      <c r="BU99" s="658"/>
      <c r="BV99" s="658"/>
      <c r="BW99" s="658"/>
      <c r="BX99" s="658"/>
      <c r="BY99" s="658"/>
      <c r="BZ99" s="658"/>
      <c r="CA99" s="658"/>
      <c r="CB99" s="658"/>
      <c r="CC99" s="658"/>
      <c r="CD99" s="658"/>
      <c r="CE99" s="658"/>
      <c r="CF99" s="658"/>
    </row>
    <row r="100" spans="1:84" ht="14.25" customHeight="1" thickBot="1">
      <c r="A100" s="139"/>
      <c r="B100" s="4024"/>
      <c r="C100" s="4036">
        <v>23625</v>
      </c>
      <c r="D100" s="229"/>
      <c r="E100" s="2666"/>
      <c r="F100" s="1888">
        <v>20</v>
      </c>
      <c r="G100" s="1417"/>
      <c r="H100" s="1889" t="s">
        <v>671</v>
      </c>
      <c r="I100" s="1876"/>
      <c r="J100" s="1876"/>
      <c r="K100" s="1876"/>
      <c r="L100" s="1876"/>
      <c r="M100" s="1876"/>
      <c r="N100" s="1876"/>
      <c r="O100" s="1876"/>
      <c r="P100" s="1876"/>
      <c r="Q100" s="1876"/>
      <c r="R100" s="1876"/>
      <c r="S100" s="1876"/>
      <c r="T100" s="1876"/>
      <c r="U100" s="1928"/>
      <c r="V100" s="1928"/>
      <c r="W100" s="1928"/>
      <c r="X100" s="1928"/>
      <c r="Y100" s="1928"/>
      <c r="Z100" s="1928"/>
      <c r="AA100" s="1888"/>
      <c r="AB100" s="1928"/>
      <c r="AC100" s="1928"/>
      <c r="AD100" s="1928"/>
      <c r="AE100" s="1928"/>
      <c r="AF100" s="1928"/>
      <c r="AG100" s="1928"/>
      <c r="AH100" s="1928"/>
      <c r="AI100" s="1928"/>
      <c r="AJ100" s="1258" t="s">
        <v>653</v>
      </c>
      <c r="AK100" s="1926">
        <v>20</v>
      </c>
      <c r="AL100" s="7072" t="str">
        <f>IF(AX100&lt;&gt;"",ROUND(AX100,0),Sch3_NonRefundCredits)</f>
        <v/>
      </c>
      <c r="AM100" s="7073"/>
      <c r="AN100" s="7073"/>
      <c r="AO100" s="7073"/>
      <c r="AP100" s="7073"/>
      <c r="AQ100" s="7073"/>
      <c r="AR100" s="7073"/>
      <c r="AS100" s="1878"/>
      <c r="AT100" s="4044"/>
      <c r="AU100" s="7301"/>
      <c r="AV100" s="7302"/>
      <c r="AW100" s="7303"/>
      <c r="AX100" s="732"/>
      <c r="AY100" s="5597" t="str">
        <f>IF(AB96&lt;&gt;"","&amp; Form 4972 "&amp;"","")</f>
        <v/>
      </c>
      <c r="AZ100" s="2730"/>
      <c r="BA100" s="2730"/>
      <c r="BB100" s="2730"/>
      <c r="BC100" s="2730"/>
      <c r="BD100" s="2730"/>
      <c r="BE100" s="2730"/>
      <c r="BF100" s="580"/>
      <c r="BG100" s="580"/>
      <c r="BH100" s="580"/>
      <c r="BI100" s="2579" t="str">
        <f>IF(File_Single&lt;&gt;"",BJ98,IF(OR(File_Marr_Joint&lt;&gt;"",File_Qual_Widow&lt;&gt;""),BK98,IF(File_Marr_Sep&lt;&gt;"", BL98,IF(File_Head&lt;&gt;"",BM98,"Filing status?"))))</f>
        <v>Filing status?</v>
      </c>
      <c r="BJ100" s="2580" t="str">
        <f>"&gt;=100k"</f>
        <v>&gt;=100k</v>
      </c>
      <c r="BK100" s="2580"/>
      <c r="BL100" s="2580" t="s">
        <v>672</v>
      </c>
      <c r="BM100" s="2581" t="str">
        <f>IF(NumFileStatusBoxes=0,"FilingStatus?",IF(BI97&gt;100000,ROUND(BI100,0),ROUND(BI99,0)))</f>
        <v>FilingStatus?</v>
      </c>
      <c r="BN100" s="580"/>
      <c r="BO100" s="580"/>
      <c r="BP100" s="580"/>
      <c r="BQ100" s="580"/>
      <c r="BR100" s="580"/>
      <c r="BS100" s="580"/>
      <c r="BT100" s="827"/>
      <c r="BU100" s="658"/>
      <c r="BV100" s="658"/>
      <c r="BW100" s="658"/>
      <c r="BX100" s="658"/>
      <c r="BY100" s="658"/>
      <c r="BZ100" s="658"/>
      <c r="CA100" s="658"/>
      <c r="CB100" s="658"/>
      <c r="CC100" s="658"/>
      <c r="CD100" s="658"/>
      <c r="CE100" s="658"/>
      <c r="CF100" s="658"/>
    </row>
    <row r="101" spans="1:84" ht="14.25" customHeight="1" thickTop="1">
      <c r="A101" s="139"/>
      <c r="B101" s="4024" t="s">
        <v>637</v>
      </c>
      <c r="C101" s="247" t="s">
        <v>5730</v>
      </c>
      <c r="D101" s="4041"/>
      <c r="E101" s="4042"/>
      <c r="F101" s="1888">
        <v>21</v>
      </c>
      <c r="G101" s="1417"/>
      <c r="H101" s="1889" t="s">
        <v>673</v>
      </c>
      <c r="I101" s="1876"/>
      <c r="J101" s="1876"/>
      <c r="K101" s="1876"/>
      <c r="L101" s="1876"/>
      <c r="M101" s="1876"/>
      <c r="N101" s="1876"/>
      <c r="O101" s="1876"/>
      <c r="P101" s="1876"/>
      <c r="Q101" s="1876"/>
      <c r="R101" s="1876"/>
      <c r="S101" s="1876"/>
      <c r="T101" s="1876"/>
      <c r="U101" s="1928"/>
      <c r="V101" s="1928"/>
      <c r="W101" s="1928"/>
      <c r="X101" s="1928"/>
      <c r="Y101" s="1928"/>
      <c r="Z101" s="1928"/>
      <c r="AA101" s="1888"/>
      <c r="AB101" s="1928"/>
      <c r="AC101" s="1928"/>
      <c r="AD101" s="1928"/>
      <c r="AE101" s="1928"/>
      <c r="AF101" s="1928"/>
      <c r="AG101" s="1928"/>
      <c r="AH101" s="1928"/>
      <c r="AI101" s="1928"/>
      <c r="AJ101" s="1258" t="s">
        <v>3758</v>
      </c>
      <c r="AK101" s="1926">
        <v>21</v>
      </c>
      <c r="AL101" s="7274">
        <f>IF(AX101&lt;&gt;"",ROUND(AX101,0),SUM(AL99,AL100))</f>
        <v>0</v>
      </c>
      <c r="AM101" s="7275"/>
      <c r="AN101" s="7275"/>
      <c r="AO101" s="7275"/>
      <c r="AP101" s="7275"/>
      <c r="AQ101" s="7275"/>
      <c r="AR101" s="7275"/>
      <c r="AS101" s="1878"/>
      <c r="AT101" s="778"/>
      <c r="AU101" s="5835" t="str">
        <f>IF(AND(AT101="",F8960_Applicable)," Check Form 8960.",IF(F8960_Applicable,"Form 8960 checked.",""))</f>
        <v/>
      </c>
      <c r="AV101" s="5835"/>
      <c r="AW101" s="5836"/>
      <c r="AX101" s="732"/>
      <c r="AY101" s="5597" t="str">
        <f>IF(AF96&lt;&gt;"","&amp; Form "&amp;AG96&amp;" ","")</f>
        <v/>
      </c>
      <c r="AZ101" s="4984"/>
      <c r="BA101" s="4984"/>
      <c r="BB101" s="4984"/>
      <c r="BC101" s="4984"/>
      <c r="BD101" s="4984"/>
      <c r="BE101" s="4984"/>
      <c r="BF101" s="580"/>
      <c r="BG101" s="580"/>
      <c r="BH101" s="580"/>
      <c r="BI101" s="4059"/>
      <c r="BJ101" s="4060"/>
      <c r="BK101" s="4060"/>
      <c r="BL101" s="4060"/>
      <c r="BM101" s="4059"/>
      <c r="BN101" s="580"/>
      <c r="BO101" s="580"/>
      <c r="BP101" s="580"/>
      <c r="BQ101" s="580"/>
      <c r="BR101" s="580"/>
      <c r="BS101" s="580"/>
      <c r="BT101" s="827"/>
      <c r="BU101" s="658"/>
      <c r="BV101" s="658"/>
      <c r="BW101" s="658"/>
      <c r="BX101" s="658"/>
      <c r="BY101" s="658"/>
      <c r="BZ101" s="658"/>
      <c r="CA101" s="658"/>
      <c r="CB101" s="658"/>
      <c r="CC101" s="658"/>
      <c r="CD101" s="658"/>
      <c r="CE101" s="658"/>
      <c r="CF101" s="658"/>
    </row>
    <row r="102" spans="1:84" ht="14.25" customHeight="1">
      <c r="A102" s="139"/>
      <c r="B102" s="5846"/>
      <c r="C102" s="4036" t="s">
        <v>5731</v>
      </c>
      <c r="D102" s="5834"/>
      <c r="E102" s="4043"/>
      <c r="F102" s="1888">
        <v>22</v>
      </c>
      <c r="G102" s="1890"/>
      <c r="H102" s="1889" t="s">
        <v>674</v>
      </c>
      <c r="I102" s="1876"/>
      <c r="J102" s="1876"/>
      <c r="K102" s="1876"/>
      <c r="L102" s="1876"/>
      <c r="M102" s="1876"/>
      <c r="N102" s="1876"/>
      <c r="O102" s="1876"/>
      <c r="P102" s="1876"/>
      <c r="Q102" s="1876"/>
      <c r="R102" s="1876"/>
      <c r="S102" s="1876"/>
      <c r="T102" s="1876"/>
      <c r="U102" s="1929"/>
      <c r="V102" s="1929"/>
      <c r="W102" s="1929"/>
      <c r="X102" s="1929"/>
      <c r="Y102" s="1929"/>
      <c r="Z102" s="1929"/>
      <c r="AA102" s="1930"/>
      <c r="AB102" s="1928"/>
      <c r="AC102" s="1930"/>
      <c r="AD102" s="1928"/>
      <c r="AE102" s="1928"/>
      <c r="AF102" s="1928"/>
      <c r="AG102" s="1928"/>
      <c r="AH102" s="1928"/>
      <c r="AI102" s="1928"/>
      <c r="AJ102" s="1258" t="s">
        <v>2186</v>
      </c>
      <c r="AK102" s="1926">
        <f>F102</f>
        <v>22</v>
      </c>
      <c r="AL102" s="7177">
        <f>IF(AX102&lt;&gt;"",ROUND(AX102,0),MAX(0,SUM(Tax,-AL101)))</f>
        <v>0</v>
      </c>
      <c r="AM102" s="7178"/>
      <c r="AN102" s="7276"/>
      <c r="AO102" s="7276"/>
      <c r="AP102" s="7276"/>
      <c r="AQ102" s="7276"/>
      <c r="AR102" s="7276"/>
      <c r="AS102" s="1878"/>
      <c r="AT102" s="4053"/>
      <c r="AU102" s="4061"/>
      <c r="AV102" s="1059"/>
      <c r="AW102" s="343"/>
      <c r="AX102" s="732"/>
      <c r="AY102" s="5598" t="str">
        <f>AY99&amp;AY100&amp;AY101</f>
        <v/>
      </c>
      <c r="AZ102" s="4984"/>
      <c r="BA102" s="4984"/>
      <c r="BB102" s="4984"/>
      <c r="BC102" s="4984"/>
      <c r="BD102" s="4984"/>
      <c r="BE102" s="4984"/>
      <c r="BF102" s="253"/>
      <c r="BG102" s="253"/>
      <c r="BH102" s="4025"/>
      <c r="BI102" s="740"/>
      <c r="BJ102" s="740"/>
      <c r="BK102" s="740"/>
      <c r="BL102" s="740"/>
      <c r="BM102" s="253"/>
      <c r="BN102" s="253"/>
      <c r="BO102" s="253"/>
      <c r="BP102" s="253"/>
      <c r="BQ102" s="253"/>
      <c r="BR102" s="253"/>
      <c r="BS102" s="253"/>
      <c r="BT102" s="827"/>
      <c r="BU102" s="658"/>
      <c r="BV102" s="658"/>
      <c r="BW102" s="658"/>
      <c r="BX102" s="658"/>
      <c r="BY102" s="658"/>
      <c r="BZ102" s="658"/>
      <c r="CA102" s="658"/>
      <c r="CB102" s="658"/>
      <c r="CC102" s="658"/>
      <c r="CD102" s="658"/>
      <c r="CE102" s="658"/>
      <c r="CF102" s="658"/>
    </row>
    <row r="103" spans="1:84" ht="14.25" customHeight="1">
      <c r="A103" s="139"/>
      <c r="B103" s="5847"/>
      <c r="C103" s="4036" t="s">
        <v>5732</v>
      </c>
      <c r="D103" s="5845"/>
      <c r="E103" s="5844"/>
      <c r="F103" s="1888">
        <v>23</v>
      </c>
      <c r="G103" s="1417"/>
      <c r="H103" s="1889" t="s">
        <v>675</v>
      </c>
      <c r="I103" s="1876"/>
      <c r="J103" s="1876"/>
      <c r="K103" s="1876"/>
      <c r="L103" s="1876"/>
      <c r="M103" s="1876"/>
      <c r="N103" s="1876"/>
      <c r="O103" s="1876"/>
      <c r="P103" s="1876"/>
      <c r="Q103" s="1876"/>
      <c r="R103" s="1876"/>
      <c r="S103" s="1876"/>
      <c r="T103" s="1876"/>
      <c r="U103" s="1876"/>
      <c r="V103" s="1876"/>
      <c r="W103" s="1876"/>
      <c r="X103" s="1876"/>
      <c r="Y103" s="1876"/>
      <c r="Z103" s="1876"/>
      <c r="AA103" s="1876"/>
      <c r="AB103" s="1876"/>
      <c r="AC103" s="1876"/>
      <c r="AD103" s="1876"/>
      <c r="AE103" s="1876"/>
      <c r="AF103" s="1876"/>
      <c r="AG103" s="1876"/>
      <c r="AH103" s="1876"/>
      <c r="AI103" s="1876"/>
      <c r="AJ103" s="1258" t="s">
        <v>648</v>
      </c>
      <c r="AK103" s="1926">
        <f>F103</f>
        <v>23</v>
      </c>
      <c r="AL103" s="7274">
        <f>IF(AX103&lt;&gt;"",ROUND(AX103,0),TotalOtherTaxes)</f>
        <v>0</v>
      </c>
      <c r="AM103" s="7275"/>
      <c r="AN103" s="7275"/>
      <c r="AO103" s="7275"/>
      <c r="AP103" s="7275"/>
      <c r="AQ103" s="7275"/>
      <c r="AR103" s="7275"/>
      <c r="AS103" s="1918"/>
      <c r="AT103" s="805"/>
      <c r="AU103" s="4062"/>
      <c r="AV103" s="4062"/>
      <c r="AW103" s="4063"/>
      <c r="AX103" s="731"/>
      <c r="AY103" s="4058"/>
      <c r="AZ103" s="4984"/>
      <c r="BA103" s="4984"/>
      <c r="BB103" s="4984"/>
      <c r="BC103" s="4984"/>
      <c r="BD103" s="4984"/>
      <c r="BE103" s="4984"/>
      <c r="BF103" s="4025"/>
      <c r="BG103" s="4025"/>
      <c r="BH103" s="253"/>
      <c r="BI103" s="253"/>
      <c r="BJ103" s="253"/>
      <c r="BK103" s="253"/>
      <c r="BL103" s="253"/>
      <c r="BM103" s="253"/>
      <c r="BN103" s="253"/>
      <c r="BO103" s="253"/>
      <c r="BP103" s="253"/>
      <c r="BQ103" s="253"/>
      <c r="BR103" s="253"/>
      <c r="BS103" s="253"/>
      <c r="BT103" s="827"/>
      <c r="BU103" s="658"/>
      <c r="BV103" s="658"/>
      <c r="BW103" s="658"/>
      <c r="BX103" s="658"/>
      <c r="BY103" s="658"/>
      <c r="BZ103" s="658"/>
      <c r="CA103" s="658"/>
      <c r="CB103" s="658"/>
      <c r="CC103" s="658"/>
      <c r="CD103" s="658"/>
      <c r="CE103" s="658"/>
      <c r="CF103" s="658"/>
    </row>
    <row r="104" spans="1:84" ht="14.25" customHeight="1">
      <c r="A104" s="139"/>
      <c r="B104" s="5852"/>
      <c r="C104" s="5857" t="s">
        <v>5733</v>
      </c>
      <c r="D104" s="5851"/>
      <c r="E104" s="1896"/>
      <c r="F104" s="4014">
        <v>24</v>
      </c>
      <c r="G104" s="1932"/>
      <c r="H104" s="5865" t="s">
        <v>5743</v>
      </c>
      <c r="I104" s="1933"/>
      <c r="J104" s="1933"/>
      <c r="K104" s="1933"/>
      <c r="L104" s="1933"/>
      <c r="M104" s="1933"/>
      <c r="N104" s="1933"/>
      <c r="O104" s="1933"/>
      <c r="P104" s="1933"/>
      <c r="Q104" s="1933"/>
      <c r="R104" s="1933"/>
      <c r="S104" s="1933"/>
      <c r="T104" s="1933"/>
      <c r="U104" s="1933"/>
      <c r="V104" s="1933"/>
      <c r="W104" s="1933"/>
      <c r="X104" s="1933"/>
      <c r="Y104" s="1933"/>
      <c r="Z104" s="1933"/>
      <c r="AA104" s="1933"/>
      <c r="AB104" s="1933"/>
      <c r="AC104" s="1933"/>
      <c r="AD104" s="1933"/>
      <c r="AE104" s="1933"/>
      <c r="AF104" s="1933"/>
      <c r="AG104" s="1933"/>
      <c r="AH104" s="1933"/>
      <c r="AI104" s="1933"/>
      <c r="AJ104" s="1419" t="s">
        <v>647</v>
      </c>
      <c r="AK104" s="1926">
        <f>F104</f>
        <v>24</v>
      </c>
      <c r="AL104" s="7274">
        <f>SUM(AL102,AL103)</f>
        <v>0</v>
      </c>
      <c r="AM104" s="7275"/>
      <c r="AN104" s="7275"/>
      <c r="AO104" s="7275"/>
      <c r="AP104" s="7275"/>
      <c r="AQ104" s="7275"/>
      <c r="AR104" s="7275"/>
      <c r="AS104" s="1918"/>
      <c r="AT104" s="805"/>
      <c r="AU104" s="4061"/>
      <c r="AV104" s="1059"/>
      <c r="AW104" s="343"/>
      <c r="AX104" s="4007"/>
      <c r="AY104" s="4058"/>
      <c r="AZ104" s="253"/>
      <c r="BA104" s="253"/>
      <c r="BB104" s="253"/>
      <c r="BC104" s="253"/>
      <c r="BD104" s="253"/>
      <c r="BE104" s="253"/>
      <c r="BF104" s="253"/>
      <c r="BG104" s="253"/>
      <c r="BH104" s="253"/>
      <c r="BI104" s="253"/>
      <c r="BJ104" s="253"/>
      <c r="BK104" s="253"/>
      <c r="BL104" s="253"/>
      <c r="BM104" s="253"/>
      <c r="BN104" s="253"/>
      <c r="BO104" s="253"/>
      <c r="BP104" s="253"/>
      <c r="BQ104" s="253"/>
      <c r="BR104" s="253"/>
      <c r="BS104" s="253"/>
      <c r="BT104" s="827"/>
      <c r="BU104" s="658"/>
      <c r="BV104" s="658"/>
      <c r="BW104" s="658"/>
      <c r="BX104" s="658"/>
      <c r="BY104" s="658"/>
      <c r="BZ104" s="658"/>
      <c r="CA104" s="658"/>
      <c r="CB104" s="658"/>
      <c r="CC104" s="658"/>
      <c r="CD104" s="658"/>
      <c r="CE104" s="658"/>
      <c r="CF104" s="658"/>
    </row>
    <row r="105" spans="1:84" ht="14.25" customHeight="1">
      <c r="A105" s="139"/>
      <c r="B105" s="7270" t="s">
        <v>5742</v>
      </c>
      <c r="C105" s="7270"/>
      <c r="D105" s="7270"/>
      <c r="E105" s="229"/>
      <c r="F105" s="1888">
        <v>25</v>
      </c>
      <c r="G105" s="1417"/>
      <c r="H105" s="1889" t="s">
        <v>678</v>
      </c>
      <c r="I105" s="1876"/>
      <c r="J105" s="1876"/>
      <c r="K105" s="1876"/>
      <c r="L105" s="1876"/>
      <c r="M105" s="1876"/>
      <c r="N105" s="1876"/>
      <c r="O105" s="1876"/>
      <c r="P105" s="1876"/>
      <c r="Q105" s="1876"/>
      <c r="R105" s="1876"/>
      <c r="S105" s="1876"/>
      <c r="T105" s="1876"/>
      <c r="U105" s="1876"/>
      <c r="V105" s="1876"/>
      <c r="W105" s="1876"/>
      <c r="X105" s="1876"/>
      <c r="Y105" s="1876"/>
      <c r="Z105" s="1876"/>
      <c r="AA105" s="1876"/>
      <c r="AB105" s="1876"/>
      <c r="AC105" s="1876"/>
      <c r="AD105" s="1876"/>
      <c r="AE105" s="1876"/>
      <c r="AF105" s="1876"/>
      <c r="AG105" s="1876"/>
      <c r="AH105" s="1876"/>
      <c r="AI105" s="1876"/>
      <c r="AJ105" s="1258"/>
      <c r="AK105" s="1941"/>
      <c r="AL105" s="1934"/>
      <c r="AM105" s="1935"/>
      <c r="AN105" s="1935"/>
      <c r="AO105" s="1935"/>
      <c r="AP105" s="1935"/>
      <c r="AQ105" s="1935"/>
      <c r="AR105" s="1935"/>
      <c r="AS105" s="1918"/>
      <c r="AT105" s="805"/>
      <c r="AU105" s="4061"/>
      <c r="AV105" s="1059"/>
      <c r="AW105" s="343"/>
      <c r="AX105" s="4010"/>
      <c r="AY105" s="4065"/>
      <c r="AZ105" s="253"/>
      <c r="BA105" s="253"/>
      <c r="BB105" s="253"/>
      <c r="BC105" s="253"/>
      <c r="BD105" s="253"/>
      <c r="BE105" s="253"/>
      <c r="BF105" s="253"/>
      <c r="BG105" s="253"/>
      <c r="BH105" s="253"/>
      <c r="BI105" s="253"/>
      <c r="BJ105" s="253"/>
      <c r="BK105" s="253"/>
      <c r="BL105" s="253"/>
      <c r="BM105" s="253"/>
      <c r="BN105" s="253"/>
      <c r="BO105" s="253"/>
      <c r="BP105" s="253"/>
      <c r="BQ105" s="253"/>
      <c r="BR105" s="253"/>
      <c r="BS105" s="253"/>
      <c r="BT105" s="827"/>
      <c r="BU105" s="658"/>
      <c r="BV105" s="658"/>
      <c r="BW105" s="658"/>
      <c r="BX105" s="658"/>
      <c r="BY105" s="658"/>
      <c r="BZ105" s="658"/>
      <c r="CA105" s="658"/>
      <c r="CB105" s="658"/>
      <c r="CC105" s="658"/>
      <c r="CD105" s="658"/>
      <c r="CE105" s="658"/>
      <c r="CF105" s="658"/>
    </row>
    <row r="106" spans="1:84" ht="14.25" customHeight="1">
      <c r="A106" s="139"/>
      <c r="B106" s="7271"/>
      <c r="C106" s="7271"/>
      <c r="D106" s="7271"/>
      <c r="E106" s="1873"/>
      <c r="F106" s="1888"/>
      <c r="G106" s="1930" t="s">
        <v>588</v>
      </c>
      <c r="H106" s="1889" t="s">
        <v>679</v>
      </c>
      <c r="I106" s="1876"/>
      <c r="J106" s="1876"/>
      <c r="K106" s="1876"/>
      <c r="L106" s="1876"/>
      <c r="M106" s="1876"/>
      <c r="N106" s="1876"/>
      <c r="O106" s="1876"/>
      <c r="P106" s="1876"/>
      <c r="Q106" s="1876"/>
      <c r="R106" s="1876"/>
      <c r="S106" s="1876"/>
      <c r="T106" s="1876"/>
      <c r="U106" s="1876"/>
      <c r="V106" s="1876"/>
      <c r="W106" s="1876"/>
      <c r="X106" s="1876"/>
      <c r="Y106" s="1876"/>
      <c r="Z106" s="1876"/>
      <c r="AA106" s="1876"/>
      <c r="AB106" s="1876"/>
      <c r="AC106" s="1876"/>
      <c r="AD106" s="1258" t="s">
        <v>612</v>
      </c>
      <c r="AE106" s="4066" t="s">
        <v>680</v>
      </c>
      <c r="AF106" s="7377">
        <f>IF(AX106&lt;&gt;"",ROUND(AX106,0),W2_Tax_Withheld)</f>
        <v>0</v>
      </c>
      <c r="AG106" s="7378"/>
      <c r="AH106" s="7378"/>
      <c r="AI106" s="7378"/>
      <c r="AJ106" s="7379"/>
      <c r="AK106" s="1941"/>
      <c r="AL106" s="1937"/>
      <c r="AM106" s="1938"/>
      <c r="AN106" s="1938"/>
      <c r="AO106" s="1938"/>
      <c r="AP106" s="1938"/>
      <c r="AQ106" s="1938"/>
      <c r="AR106" s="1938"/>
      <c r="AS106" s="1918"/>
      <c r="AT106" s="805"/>
      <c r="AU106" s="4067"/>
      <c r="AV106" s="4067"/>
      <c r="AW106" s="4068"/>
      <c r="AX106" s="732"/>
      <c r="AY106" s="1064"/>
      <c r="AZ106" s="253"/>
      <c r="BA106" s="253"/>
      <c r="BB106" s="253"/>
      <c r="BC106" s="253"/>
      <c r="BD106" s="253"/>
      <c r="BE106" s="253"/>
      <c r="BF106" s="253"/>
      <c r="BG106" s="253"/>
      <c r="BH106" s="253"/>
      <c r="BI106" s="253"/>
      <c r="BJ106" s="253"/>
      <c r="BK106" s="253"/>
      <c r="BL106" s="253"/>
      <c r="BM106" s="253"/>
      <c r="BN106" s="253"/>
      <c r="BO106" s="253"/>
      <c r="BP106" s="253"/>
      <c r="BQ106" s="253"/>
      <c r="BR106" s="253"/>
      <c r="BS106" s="253"/>
      <c r="BT106" s="827"/>
      <c r="BU106" s="658"/>
      <c r="BV106" s="658"/>
      <c r="BW106" s="658"/>
      <c r="BX106" s="658"/>
      <c r="BY106" s="658"/>
      <c r="BZ106" s="658"/>
      <c r="CA106" s="658"/>
      <c r="CB106" s="658"/>
      <c r="CC106" s="658"/>
      <c r="CD106" s="658"/>
      <c r="CE106" s="658"/>
      <c r="CF106" s="658"/>
    </row>
    <row r="107" spans="1:84" ht="14.25" customHeight="1">
      <c r="A107" s="139"/>
      <c r="B107" s="7271"/>
      <c r="C107" s="7271"/>
      <c r="D107" s="7271"/>
      <c r="E107" s="229"/>
      <c r="F107" s="1888"/>
      <c r="G107" s="1930" t="s">
        <v>592</v>
      </c>
      <c r="H107" s="1889" t="s">
        <v>681</v>
      </c>
      <c r="I107" s="1876"/>
      <c r="J107" s="1876"/>
      <c r="K107" s="1876"/>
      <c r="L107" s="1876"/>
      <c r="M107" s="1876"/>
      <c r="N107" s="1876"/>
      <c r="O107" s="1876"/>
      <c r="P107" s="1876"/>
      <c r="Q107" s="1876"/>
      <c r="R107" s="1876"/>
      <c r="S107" s="1876"/>
      <c r="T107" s="1876"/>
      <c r="U107" s="1876"/>
      <c r="V107" s="1876"/>
      <c r="W107" s="1876"/>
      <c r="X107" s="1876"/>
      <c r="Y107" s="1876"/>
      <c r="Z107" s="1876"/>
      <c r="AA107" s="1876"/>
      <c r="AB107" s="1876"/>
      <c r="AC107" s="1876"/>
      <c r="AD107" s="1258" t="s">
        <v>612</v>
      </c>
      <c r="AE107" s="4075" t="s">
        <v>682</v>
      </c>
      <c r="AF107" s="7341">
        <f>IF(AX107&lt;&gt;"",ROUND(AX107,0),SUM(F1099INT_FedTaxWH,F1099DIV_FedTaxWH,F1099G_FedTaxWH,F1099NEC_FedTaxWH,IRA_FedTaxWH,PA_FedTaxWH,CONV_FedTaxWH,SS_FedTaxWH_You,SS_FedTaxWH_Spouse,ROUND(AU107,0)))</f>
        <v>0</v>
      </c>
      <c r="AG107" s="7342"/>
      <c r="AH107" s="7342"/>
      <c r="AI107" s="7342"/>
      <c r="AJ107" s="7373"/>
      <c r="AK107" s="1941"/>
      <c r="AL107" s="1937"/>
      <c r="AM107" s="1938"/>
      <c r="AN107" s="1938"/>
      <c r="AO107" s="1938"/>
      <c r="AP107" s="1938"/>
      <c r="AQ107" s="1938"/>
      <c r="AR107" s="1938"/>
      <c r="AS107" s="1918"/>
      <c r="AT107" s="727"/>
      <c r="AU107" s="1639"/>
      <c r="AV107" s="1664"/>
      <c r="AW107" s="4076" t="s">
        <v>683</v>
      </c>
      <c r="AX107" s="731"/>
      <c r="AY107" s="851"/>
      <c r="AZ107" s="253"/>
      <c r="BA107" s="253"/>
      <c r="BB107" s="253"/>
      <c r="BC107" s="253"/>
      <c r="BD107" s="253"/>
      <c r="BE107" s="253"/>
      <c r="BF107" s="253"/>
      <c r="BG107" s="253"/>
      <c r="BH107" s="253"/>
      <c r="BI107" s="253"/>
      <c r="BJ107" s="253"/>
      <c r="BK107" s="253"/>
      <c r="BL107" s="253"/>
      <c r="BM107" s="253"/>
      <c r="BN107" s="253"/>
      <c r="BO107" s="253"/>
      <c r="BP107" s="253"/>
      <c r="BQ107" s="253"/>
      <c r="BR107" s="253"/>
      <c r="BS107" s="253"/>
      <c r="BT107" s="827"/>
      <c r="BU107" s="658"/>
      <c r="BV107" s="658"/>
      <c r="BW107" s="658"/>
      <c r="BX107" s="658"/>
      <c r="BY107" s="658"/>
      <c r="BZ107" s="658"/>
      <c r="CA107" s="658"/>
      <c r="CB107" s="658"/>
      <c r="CC107" s="658"/>
      <c r="CD107" s="658"/>
      <c r="CE107" s="658"/>
      <c r="CF107" s="658"/>
    </row>
    <row r="108" spans="1:84" ht="14.25" customHeight="1">
      <c r="A108" s="139"/>
      <c r="B108" s="7271"/>
      <c r="C108" s="7271"/>
      <c r="D108" s="7271"/>
      <c r="E108" s="5823"/>
      <c r="F108" s="1888"/>
      <c r="G108" s="1930" t="s">
        <v>595</v>
      </c>
      <c r="H108" s="1889" t="s">
        <v>686</v>
      </c>
      <c r="I108" s="1876"/>
      <c r="J108" s="1876"/>
      <c r="K108" s="1876"/>
      <c r="L108" s="1876"/>
      <c r="M108" s="1876"/>
      <c r="N108" s="1876"/>
      <c r="O108" s="1876"/>
      <c r="P108" s="1876"/>
      <c r="Q108" s="1876"/>
      <c r="R108" s="1876"/>
      <c r="S108" s="1876"/>
      <c r="T108" s="1876"/>
      <c r="U108" s="1876"/>
      <c r="V108" s="1876"/>
      <c r="W108" s="1876"/>
      <c r="X108" s="1876"/>
      <c r="Y108" s="1876"/>
      <c r="Z108" s="1876"/>
      <c r="AA108" s="1876"/>
      <c r="AB108" s="1876"/>
      <c r="AC108" s="1876"/>
      <c r="AD108" s="1258" t="s">
        <v>1876</v>
      </c>
      <c r="AE108" s="4075" t="s">
        <v>687</v>
      </c>
      <c r="AF108" s="7341">
        <f>IF(AX108&lt;&gt;"",ROUND(AX108,0),SUM(F8959_WH,ROUND(AU108,0)))</f>
        <v>0</v>
      </c>
      <c r="AG108" s="7342"/>
      <c r="AH108" s="7342"/>
      <c r="AI108" s="7342"/>
      <c r="AJ108" s="7373"/>
      <c r="AK108" s="1941"/>
      <c r="AL108" s="1937"/>
      <c r="AM108" s="1938"/>
      <c r="AN108" s="1938"/>
      <c r="AO108" s="1938"/>
      <c r="AP108" s="1938"/>
      <c r="AQ108" s="1938"/>
      <c r="AR108" s="1938"/>
      <c r="AS108" s="1918"/>
      <c r="AT108" s="727"/>
      <c r="AU108" s="1639"/>
      <c r="AV108" s="1664"/>
      <c r="AW108" s="4076" t="s">
        <v>688</v>
      </c>
      <c r="AX108" s="731"/>
      <c r="AY108" s="851"/>
      <c r="AZ108" s="253"/>
      <c r="BA108" s="253"/>
      <c r="BB108" s="253"/>
      <c r="BC108" s="253"/>
      <c r="BD108" s="253"/>
      <c r="BE108" s="253"/>
      <c r="BF108" s="253"/>
      <c r="BG108" s="253"/>
      <c r="BH108" s="253"/>
      <c r="BI108" s="253"/>
      <c r="BJ108" s="253"/>
      <c r="BK108" s="253"/>
      <c r="BL108" s="253"/>
      <c r="BM108" s="253"/>
      <c r="BN108" s="253"/>
      <c r="BO108" s="253"/>
      <c r="BP108" s="253"/>
      <c r="BQ108" s="253"/>
      <c r="BR108" s="253"/>
      <c r="BS108" s="253"/>
      <c r="BT108" s="827"/>
      <c r="BU108" s="658"/>
      <c r="BV108" s="658"/>
      <c r="BW108" s="658"/>
      <c r="BX108" s="658"/>
      <c r="BY108" s="658"/>
      <c r="BZ108" s="658"/>
      <c r="CA108" s="658"/>
      <c r="CB108" s="658"/>
      <c r="CC108" s="658"/>
      <c r="CD108" s="658"/>
      <c r="CE108" s="658"/>
      <c r="CF108" s="658"/>
    </row>
    <row r="109" spans="1:84" ht="14.25" customHeight="1">
      <c r="A109" s="139"/>
      <c r="B109" s="7271"/>
      <c r="C109" s="7271"/>
      <c r="D109" s="7271"/>
      <c r="E109" s="5823"/>
      <c r="F109" s="1888"/>
      <c r="G109" s="1930" t="s">
        <v>599</v>
      </c>
      <c r="H109" s="1889" t="s">
        <v>690</v>
      </c>
      <c r="I109" s="1876"/>
      <c r="J109" s="1876"/>
      <c r="K109" s="1876"/>
      <c r="L109" s="1876"/>
      <c r="M109" s="1876"/>
      <c r="N109" s="1876"/>
      <c r="O109" s="1876"/>
      <c r="P109" s="1876"/>
      <c r="Q109" s="1876"/>
      <c r="R109" s="1876"/>
      <c r="S109" s="1876"/>
      <c r="T109" s="1876"/>
      <c r="U109" s="1876"/>
      <c r="V109" s="1876"/>
      <c r="W109" s="1876"/>
      <c r="X109" s="1876"/>
      <c r="Y109" s="1876"/>
      <c r="Z109" s="1876"/>
      <c r="AA109" s="1876"/>
      <c r="AB109" s="1876"/>
      <c r="AC109" s="1876"/>
      <c r="AD109" s="1876"/>
      <c r="AE109" s="1876"/>
      <c r="AF109" s="1876"/>
      <c r="AG109" s="1876"/>
      <c r="AH109" s="1876"/>
      <c r="AI109" s="1876"/>
      <c r="AJ109" s="1258" t="s">
        <v>1877</v>
      </c>
      <c r="AK109" s="1877" t="s">
        <v>692</v>
      </c>
      <c r="AL109" s="7274">
        <f>SUM(W2_FedTaxWH,F1099_FedTaxWH,ROUND(AF108,0))</f>
        <v>0</v>
      </c>
      <c r="AM109" s="7275"/>
      <c r="AN109" s="7275"/>
      <c r="AO109" s="7275"/>
      <c r="AP109" s="7275"/>
      <c r="AQ109" s="7275"/>
      <c r="AR109" s="7275"/>
      <c r="AS109" s="1918"/>
      <c r="AT109" s="805"/>
      <c r="AU109" s="4081" t="str">
        <f>IF($AU$113&gt;0,"Form 8959, Line 24,","")</f>
        <v/>
      </c>
      <c r="AV109" s="4081"/>
      <c r="AW109" s="4081"/>
      <c r="AX109" s="4007"/>
      <c r="AY109" s="851"/>
      <c r="AZ109" s="253"/>
      <c r="BA109" s="253"/>
      <c r="BB109" s="253"/>
      <c r="BC109" s="253"/>
      <c r="BD109" s="253"/>
      <c r="BE109" s="253"/>
      <c r="BF109" s="253"/>
      <c r="BG109" s="253"/>
      <c r="BH109" s="4025"/>
      <c r="BI109" s="253"/>
      <c r="BJ109" s="253"/>
      <c r="BK109" s="253"/>
      <c r="BL109" s="253"/>
      <c r="BM109" s="253"/>
      <c r="BN109" s="253"/>
      <c r="BO109" s="253"/>
      <c r="BP109" s="253"/>
      <c r="BQ109" s="253"/>
      <c r="BR109" s="253"/>
      <c r="BS109" s="253"/>
      <c r="BT109" s="827"/>
      <c r="BU109" s="658"/>
      <c r="BV109" s="658"/>
      <c r="BW109" s="658"/>
      <c r="BX109" s="658"/>
      <c r="BY109" s="658"/>
      <c r="BZ109" s="658"/>
      <c r="CA109" s="658"/>
      <c r="CB109" s="658"/>
      <c r="CC109" s="658"/>
      <c r="CD109" s="658"/>
      <c r="CE109" s="658"/>
      <c r="CF109" s="658"/>
    </row>
    <row r="110" spans="1:84" ht="14.25" customHeight="1">
      <c r="A110" s="139"/>
      <c r="B110" s="229"/>
      <c r="C110" s="5823"/>
      <c r="D110" s="5823"/>
      <c r="E110" s="1896"/>
      <c r="F110" s="1888">
        <v>26</v>
      </c>
      <c r="G110" s="1417"/>
      <c r="H110" s="1889" t="str">
        <f>TaxYear&amp;" estimated tax payments and amount applied from "&amp;TaxYear-1&amp;" return"</f>
        <v>2025 estimated tax payments and amount applied from 2024 return</v>
      </c>
      <c r="I110" s="1876"/>
      <c r="J110" s="1876"/>
      <c r="K110" s="1876"/>
      <c r="L110" s="1417"/>
      <c r="M110" s="1417"/>
      <c r="N110" s="1417"/>
      <c r="O110" s="1417"/>
      <c r="P110" s="1417"/>
      <c r="Q110" s="1417"/>
      <c r="R110" s="1417"/>
      <c r="S110" s="1417"/>
      <c r="T110" s="1417"/>
      <c r="U110" s="1417"/>
      <c r="V110" s="1417"/>
      <c r="W110" s="1417"/>
      <c r="X110" s="1876"/>
      <c r="Y110" s="1876"/>
      <c r="Z110" s="1876"/>
      <c r="AA110" s="1876"/>
      <c r="AB110" s="1876"/>
      <c r="AC110" s="1876"/>
      <c r="AD110" s="1876"/>
      <c r="AE110" s="1876"/>
      <c r="AF110" s="1876"/>
      <c r="AG110" s="1876"/>
      <c r="AH110" s="1876"/>
      <c r="AI110" s="1876"/>
      <c r="AJ110" s="1258" t="s">
        <v>590</v>
      </c>
      <c r="AK110" s="1877">
        <v>26</v>
      </c>
      <c r="AL110" s="7424"/>
      <c r="AM110" s="7425"/>
      <c r="AN110" s="7425"/>
      <c r="AO110" s="7425"/>
      <c r="AP110" s="7425"/>
      <c r="AQ110" s="7425"/>
      <c r="AR110" s="7425"/>
      <c r="AS110" s="1878"/>
      <c r="AT110" s="4044"/>
      <c r="AU110" s="4081" t="str">
        <f>IF($AU$113&gt;0,"&lt;&lt;&lt;     added "&amp;TEXT($AU$113,"$0")&amp;" to Line 25c.","")</f>
        <v/>
      </c>
      <c r="AV110" s="4083"/>
      <c r="AW110" s="4083"/>
      <c r="AX110" s="4008"/>
      <c r="AY110" s="851"/>
      <c r="AZ110" s="253"/>
      <c r="BA110" s="253"/>
      <c r="BB110" s="253"/>
      <c r="BC110" s="253"/>
      <c r="BD110" s="253"/>
      <c r="BE110" s="253"/>
      <c r="BF110" s="4025"/>
      <c r="BG110" s="4025"/>
      <c r="BH110" s="4025"/>
      <c r="BI110" s="253"/>
      <c r="BJ110" s="253"/>
      <c r="BK110" s="253"/>
      <c r="BL110" s="253"/>
      <c r="BM110" s="253"/>
      <c r="BN110" s="253"/>
      <c r="BO110" s="253"/>
      <c r="BP110" s="253"/>
      <c r="BQ110" s="253"/>
      <c r="BR110" s="253"/>
      <c r="BS110" s="253"/>
      <c r="BT110" s="827"/>
      <c r="BU110" s="658"/>
      <c r="BV110" s="658"/>
      <c r="BW110" s="658"/>
      <c r="BX110" s="658"/>
      <c r="BY110" s="658"/>
      <c r="BZ110" s="658"/>
      <c r="CA110" s="658"/>
      <c r="CB110" s="658"/>
      <c r="CC110" s="658"/>
      <c r="CD110" s="658"/>
      <c r="CE110" s="658"/>
      <c r="CF110" s="658"/>
    </row>
    <row r="111" spans="1:84" ht="14.25" customHeight="1">
      <c r="A111" s="139"/>
      <c r="B111" s="229"/>
      <c r="C111" s="5823"/>
      <c r="D111" s="5823"/>
      <c r="E111" s="229"/>
      <c r="F111" s="1888"/>
      <c r="G111" s="1417"/>
      <c r="H111" s="1889" t="str">
        <f>"If you made estimated tax payments with your former spouse in "&amp;TaxYear&amp;","</f>
        <v>If you made estimated tax payments with your former spouse in 2025,</v>
      </c>
      <c r="I111" s="1876"/>
      <c r="J111" s="1876"/>
      <c r="K111" s="1876"/>
      <c r="L111" s="1417"/>
      <c r="M111" s="1417"/>
      <c r="N111" s="1417"/>
      <c r="O111" s="1417"/>
      <c r="P111" s="1417"/>
      <c r="Q111" s="1417"/>
      <c r="R111" s="1417"/>
      <c r="S111" s="1417"/>
      <c r="T111" s="1417"/>
      <c r="U111" s="1417"/>
      <c r="V111" s="1417"/>
      <c r="W111" s="1417"/>
      <c r="X111" s="1876"/>
      <c r="Y111" s="1876"/>
      <c r="Z111" s="1876"/>
      <c r="AA111" s="1876"/>
      <c r="AB111" s="1876"/>
      <c r="AC111" s="1876"/>
      <c r="AD111" s="1876"/>
      <c r="AE111" s="1876"/>
      <c r="AF111" s="1876"/>
      <c r="AG111" s="1876"/>
      <c r="AH111" s="1876"/>
      <c r="AI111" s="1876"/>
      <c r="AJ111" s="1258"/>
      <c r="AK111" s="1941"/>
      <c r="AL111" s="1899"/>
      <c r="AM111" s="1900"/>
      <c r="AN111" s="1900"/>
      <c r="AO111" s="1900"/>
      <c r="AP111" s="1900"/>
      <c r="AQ111" s="1900"/>
      <c r="AR111" s="1900"/>
      <c r="AS111" s="1878"/>
      <c r="AT111" s="4044"/>
      <c r="AU111" s="4081"/>
      <c r="AV111" s="4083"/>
      <c r="AW111" s="4083"/>
      <c r="AX111" s="4008"/>
      <c r="AY111" s="851"/>
      <c r="AZ111" s="253"/>
      <c r="BA111" s="253"/>
      <c r="BB111" s="253"/>
      <c r="BC111" s="253"/>
      <c r="BD111" s="253"/>
      <c r="BE111" s="253"/>
      <c r="BF111" s="4025"/>
      <c r="BG111" s="4025"/>
      <c r="BH111" s="4025"/>
      <c r="BI111" s="5824"/>
      <c r="BJ111" s="5825"/>
      <c r="BK111" s="253"/>
      <c r="BL111" s="253"/>
      <c r="BM111" s="253"/>
      <c r="BN111" s="253"/>
      <c r="BO111" s="253"/>
      <c r="BP111" s="253"/>
      <c r="BQ111" s="253"/>
      <c r="BR111" s="253"/>
      <c r="BS111" s="253"/>
      <c r="BT111" s="827"/>
      <c r="BU111" s="658"/>
      <c r="BV111" s="658"/>
      <c r="BW111" s="658"/>
      <c r="BX111" s="658"/>
      <c r="BY111" s="658"/>
      <c r="BZ111" s="658"/>
      <c r="CA111" s="658"/>
      <c r="CB111" s="658"/>
      <c r="CC111" s="658"/>
      <c r="CD111" s="658"/>
      <c r="CE111" s="658"/>
      <c r="CF111" s="658"/>
    </row>
    <row r="112" spans="1:84" ht="14.25" customHeight="1">
      <c r="A112" s="139"/>
      <c r="B112" s="7366" t="s">
        <v>5755</v>
      </c>
      <c r="C112" s="7367"/>
      <c r="D112" s="1931"/>
      <c r="E112" s="229"/>
      <c r="F112" s="1888"/>
      <c r="G112" s="1417"/>
      <c r="H112" s="1889" t="s">
        <v>5747</v>
      </c>
      <c r="I112" s="1876"/>
      <c r="J112" s="1876"/>
      <c r="K112" s="1876"/>
      <c r="L112" s="1417"/>
      <c r="M112" s="1417"/>
      <c r="N112" s="1417"/>
      <c r="O112" s="1876"/>
      <c r="P112" s="1417"/>
      <c r="Q112" s="1417"/>
      <c r="R112" s="7364"/>
      <c r="S112" s="7364"/>
      <c r="T112" s="7364"/>
      <c r="U112" s="7364"/>
      <c r="V112" s="7364"/>
      <c r="W112" s="7364"/>
      <c r="X112" s="1417"/>
      <c r="Y112" s="1876"/>
      <c r="Z112" s="1876"/>
      <c r="AA112" s="1876"/>
      <c r="AB112" s="1876"/>
      <c r="AC112" s="1876"/>
      <c r="AD112" s="1876"/>
      <c r="AE112" s="1876"/>
      <c r="AF112" s="1876"/>
      <c r="AG112" s="1876"/>
      <c r="AH112" s="1876"/>
      <c r="AI112" s="1876"/>
      <c r="AJ112" s="1258"/>
      <c r="AK112" s="1941"/>
      <c r="AL112" s="1899"/>
      <c r="AM112" s="1900"/>
      <c r="AN112" s="1900"/>
      <c r="AO112" s="1900"/>
      <c r="AP112" s="1900"/>
      <c r="AQ112" s="1900"/>
      <c r="AR112" s="1900"/>
      <c r="AS112" s="1878"/>
      <c r="AT112" s="4044"/>
      <c r="AU112" s="4081"/>
      <c r="AV112" s="4083"/>
      <c r="AW112" s="4083"/>
      <c r="AX112" s="4010"/>
      <c r="AY112" s="851"/>
      <c r="AZ112" s="253"/>
      <c r="BA112" s="253"/>
      <c r="BB112" s="253"/>
      <c r="BC112" s="253"/>
      <c r="BD112" s="253"/>
      <c r="BE112" s="253"/>
      <c r="BF112" s="4025"/>
      <c r="BG112" s="4025"/>
      <c r="BH112" s="4025"/>
      <c r="BI112" s="580"/>
      <c r="BJ112" s="580"/>
      <c r="BK112" s="580"/>
      <c r="BL112" s="253"/>
      <c r="BM112" s="253"/>
      <c r="BN112" s="253"/>
      <c r="BO112" s="253"/>
      <c r="BP112" s="253"/>
      <c r="BQ112" s="253"/>
      <c r="BR112" s="253"/>
      <c r="BS112" s="253"/>
      <c r="BT112" s="827"/>
      <c r="BU112" s="658"/>
      <c r="BV112" s="658"/>
      <c r="BW112" s="658"/>
      <c r="BX112" s="658"/>
      <c r="BY112" s="658"/>
      <c r="BZ112" s="658"/>
      <c r="CA112" s="658"/>
      <c r="CB112" s="658"/>
      <c r="CC112" s="658"/>
      <c r="CD112" s="658"/>
      <c r="CE112" s="658"/>
      <c r="CF112" s="658"/>
    </row>
    <row r="113" spans="1:84" ht="14.25" customHeight="1">
      <c r="A113" s="139"/>
      <c r="B113" s="7368"/>
      <c r="C113" s="7369"/>
      <c r="D113" s="1940"/>
      <c r="E113" s="1940"/>
      <c r="F113" s="4038">
        <v>27</v>
      </c>
      <c r="G113" s="4039" t="s">
        <v>588</v>
      </c>
      <c r="H113" s="1889" t="s">
        <v>695</v>
      </c>
      <c r="I113" s="1876"/>
      <c r="J113" s="1876"/>
      <c r="K113" s="1876"/>
      <c r="L113" s="1417"/>
      <c r="M113" s="1417"/>
      <c r="N113" s="1417"/>
      <c r="O113" s="1417"/>
      <c r="P113" s="1417"/>
      <c r="Q113" s="1417"/>
      <c r="R113" s="1417"/>
      <c r="S113" s="1417"/>
      <c r="T113" s="1417"/>
      <c r="U113" s="1417"/>
      <c r="V113" s="1417"/>
      <c r="W113" s="1417"/>
      <c r="X113" s="1876"/>
      <c r="Y113" s="1876"/>
      <c r="Z113" s="1876"/>
      <c r="AA113" s="1876"/>
      <c r="AB113" s="1876"/>
      <c r="AC113" s="1876"/>
      <c r="AD113" s="1258" t="s">
        <v>793</v>
      </c>
      <c r="AE113" s="4066" t="s">
        <v>2032</v>
      </c>
      <c r="AF113" s="7377">
        <f>IF(AX113&lt;&gt;"",ROUND(AX113,0),IF(AI117&lt;&gt;"",0,EarnedIncomeCredit))</f>
        <v>0</v>
      </c>
      <c r="AG113" s="7378"/>
      <c r="AH113" s="7378"/>
      <c r="AI113" s="7378"/>
      <c r="AJ113" s="7379"/>
      <c r="AK113" s="1941"/>
      <c r="AL113" s="1899"/>
      <c r="AM113" s="1900"/>
      <c r="AN113" s="1900"/>
      <c r="AO113" s="1900"/>
      <c r="AP113" s="1900"/>
      <c r="AQ113" s="1900"/>
      <c r="AR113" s="1900"/>
      <c r="AS113" s="1878"/>
      <c r="AT113" s="805"/>
      <c r="AU113" s="4086">
        <f>IF(ISERROR(F8959_WH),0,F8959_WH)</f>
        <v>0</v>
      </c>
      <c r="AV113" s="3922"/>
      <c r="AW113" s="3922"/>
      <c r="AX113" s="732"/>
      <c r="AY113" s="5866"/>
      <c r="AZ113" s="253"/>
      <c r="BA113" s="253"/>
      <c r="BB113" s="253"/>
      <c r="BC113" s="253"/>
      <c r="BD113" s="253"/>
      <c r="BE113" s="253"/>
      <c r="BF113" s="817"/>
      <c r="BG113" s="817"/>
      <c r="BH113" s="253"/>
      <c r="BI113" s="580"/>
      <c r="BJ113" s="580"/>
      <c r="BK113" s="580"/>
      <c r="BL113" s="253"/>
      <c r="BM113" s="253"/>
      <c r="BN113" s="253"/>
      <c r="BO113" s="253"/>
      <c r="BP113" s="253"/>
      <c r="BQ113" s="253"/>
      <c r="BR113" s="253"/>
      <c r="BS113" s="253"/>
      <c r="BT113" s="827"/>
      <c r="BU113" s="658"/>
      <c r="BV113" s="658"/>
      <c r="BW113" s="658"/>
      <c r="BX113" s="658"/>
      <c r="BY113" s="658"/>
      <c r="BZ113" s="658"/>
      <c r="CA113" s="658"/>
      <c r="CB113" s="658"/>
      <c r="CC113" s="658"/>
      <c r="CD113" s="658"/>
      <c r="CE113" s="658"/>
      <c r="CF113" s="658"/>
    </row>
    <row r="114" spans="1:84" ht="5.25" customHeight="1">
      <c r="A114" s="139"/>
      <c r="B114" s="7368"/>
      <c r="C114" s="7370"/>
      <c r="D114" s="1838"/>
      <c r="E114" s="229"/>
      <c r="F114" s="1888"/>
      <c r="G114" s="1417"/>
      <c r="H114" s="1889"/>
      <c r="I114" s="1887"/>
      <c r="J114" s="1887"/>
      <c r="K114" s="1887"/>
      <c r="L114" s="1887"/>
      <c r="M114" s="1887"/>
      <c r="N114" s="1887"/>
      <c r="O114" s="1887"/>
      <c r="P114" s="1887"/>
      <c r="Q114" s="1887"/>
      <c r="R114" s="1887"/>
      <c r="S114" s="1887"/>
      <c r="T114" s="1887"/>
      <c r="U114" s="1887"/>
      <c r="V114" s="1887"/>
      <c r="W114" s="1887"/>
      <c r="X114" s="1887"/>
      <c r="Y114" s="1887"/>
      <c r="Z114" s="1887"/>
      <c r="AA114" s="1887"/>
      <c r="AB114" s="1887"/>
      <c r="AC114" s="1887"/>
      <c r="AD114" s="1887"/>
      <c r="AE114" s="1887"/>
      <c r="AF114" s="1887"/>
      <c r="AG114" s="1890"/>
      <c r="AH114" s="1890"/>
      <c r="AI114" s="1890"/>
      <c r="AJ114" s="1258"/>
      <c r="AK114" s="1941"/>
      <c r="AL114" s="1899"/>
      <c r="AM114" s="1900"/>
      <c r="AN114" s="1900"/>
      <c r="AO114" s="1900"/>
      <c r="AP114" s="1900"/>
      <c r="AQ114" s="1900"/>
      <c r="AR114" s="1900"/>
      <c r="AS114" s="1892"/>
      <c r="AT114" s="4018"/>
      <c r="AU114" s="1318"/>
      <c r="AV114" s="253"/>
      <c r="AW114" s="512"/>
      <c r="AX114" s="4007"/>
      <c r="AY114" s="404"/>
      <c r="AZ114" s="253"/>
      <c r="BA114" s="253"/>
      <c r="BB114" s="253"/>
      <c r="BC114" s="253"/>
      <c r="BD114" s="253"/>
      <c r="BE114" s="253"/>
      <c r="BF114" s="253"/>
      <c r="BG114" s="253"/>
      <c r="BH114" s="253"/>
      <c r="BI114" s="3824"/>
      <c r="BJ114" s="1061"/>
      <c r="BK114" s="1061"/>
      <c r="BL114" s="1061"/>
      <c r="BM114" s="3824"/>
      <c r="BN114" s="253"/>
      <c r="BO114" s="253"/>
      <c r="BP114" s="253"/>
      <c r="BQ114" s="253"/>
      <c r="BR114" s="253"/>
      <c r="BS114" s="253"/>
      <c r="BT114" s="827"/>
      <c r="BU114" s="658"/>
      <c r="BV114" s="658"/>
      <c r="BW114" s="658"/>
      <c r="BX114" s="658"/>
      <c r="BY114" s="658"/>
      <c r="BZ114" s="658"/>
      <c r="CA114" s="658"/>
      <c r="CB114" s="658"/>
      <c r="CC114" s="658"/>
      <c r="CD114" s="658"/>
      <c r="CE114" s="658"/>
      <c r="CF114" s="658"/>
    </row>
    <row r="115" spans="1:84">
      <c r="A115" s="139"/>
      <c r="B115" s="7368"/>
      <c r="C115" s="7370"/>
      <c r="D115" s="229"/>
      <c r="E115" s="229"/>
      <c r="F115" s="1888"/>
      <c r="G115" s="4040" t="s">
        <v>592</v>
      </c>
      <c r="H115" s="7365" t="s">
        <v>5748</v>
      </c>
      <c r="I115" s="7365"/>
      <c r="J115" s="7365"/>
      <c r="K115" s="7365"/>
      <c r="L115" s="7365"/>
      <c r="M115" s="7365"/>
      <c r="N115" s="7365"/>
      <c r="O115" s="7365"/>
      <c r="P115" s="7365"/>
      <c r="Q115" s="7365"/>
      <c r="R115" s="7365"/>
      <c r="S115" s="7365"/>
      <c r="T115" s="1876"/>
      <c r="U115" s="1876"/>
      <c r="V115" s="1876"/>
      <c r="W115" s="1876"/>
      <c r="X115" s="1876"/>
      <c r="Y115" s="1876"/>
      <c r="Z115" s="1876"/>
      <c r="AA115" s="1876"/>
      <c r="AB115" s="1890"/>
      <c r="AC115" s="1890"/>
      <c r="AD115" s="1890"/>
      <c r="AE115" s="1890"/>
      <c r="AF115" s="1890"/>
      <c r="AG115" s="1258"/>
      <c r="AH115" s="1258" t="s">
        <v>650</v>
      </c>
      <c r="AI115" s="276"/>
      <c r="AJ115" s="1258"/>
      <c r="AK115" s="1941"/>
      <c r="AL115" s="1899"/>
      <c r="AM115" s="1900"/>
      <c r="AN115" s="1900"/>
      <c r="AO115" s="1900"/>
      <c r="AP115" s="1900"/>
      <c r="AQ115" s="1900"/>
      <c r="AR115" s="1900"/>
      <c r="AS115" s="1878"/>
      <c r="AT115" s="805"/>
      <c r="AU115" s="4022"/>
      <c r="AV115" s="4022"/>
      <c r="AW115" s="4023"/>
      <c r="AX115" s="4008"/>
      <c r="AY115" s="4031"/>
      <c r="AZ115" s="253"/>
      <c r="BA115" s="253"/>
      <c r="BB115" s="253"/>
      <c r="BC115" s="253"/>
      <c r="BD115" s="253"/>
      <c r="BE115" s="253"/>
      <c r="BF115" s="253"/>
      <c r="BG115" s="253"/>
      <c r="BH115" s="253"/>
      <c r="BI115" s="3824"/>
      <c r="BJ115" s="1061"/>
      <c r="BK115" s="1061"/>
      <c r="BL115" s="1061"/>
      <c r="BM115" s="3824"/>
      <c r="BN115" s="253"/>
      <c r="BO115" s="253"/>
      <c r="BP115" s="253"/>
      <c r="BQ115" s="253"/>
      <c r="BR115" s="253"/>
      <c r="BS115" s="4029"/>
      <c r="BT115" s="827"/>
      <c r="BU115" s="658"/>
      <c r="BV115" s="658"/>
      <c r="BW115" s="658"/>
      <c r="BX115" s="658"/>
      <c r="BY115" s="658"/>
      <c r="BZ115" s="658"/>
      <c r="CA115" s="658"/>
      <c r="CB115" s="658"/>
      <c r="CC115" s="658"/>
      <c r="CD115" s="658"/>
      <c r="CE115" s="658"/>
      <c r="CF115" s="658"/>
    </row>
    <row r="116" spans="1:84" ht="5.25" customHeight="1">
      <c r="A116" s="139"/>
      <c r="B116" s="7371"/>
      <c r="C116" s="7372"/>
      <c r="D116" s="5823"/>
      <c r="E116" s="5823"/>
      <c r="F116" s="1888"/>
      <c r="G116" s="1417"/>
      <c r="H116" s="7365"/>
      <c r="I116" s="7365"/>
      <c r="J116" s="7365"/>
      <c r="K116" s="7365"/>
      <c r="L116" s="7365"/>
      <c r="M116" s="7365"/>
      <c r="N116" s="7365"/>
      <c r="O116" s="7365"/>
      <c r="P116" s="7365"/>
      <c r="Q116" s="7365"/>
      <c r="R116" s="7365"/>
      <c r="S116" s="7365"/>
      <c r="T116" s="1887"/>
      <c r="U116" s="1887"/>
      <c r="V116" s="1887"/>
      <c r="W116" s="1887"/>
      <c r="X116" s="1887"/>
      <c r="Y116" s="1887"/>
      <c r="Z116" s="1887"/>
      <c r="AA116" s="1887"/>
      <c r="AB116" s="1887"/>
      <c r="AC116" s="1887"/>
      <c r="AD116" s="1887"/>
      <c r="AE116" s="1887"/>
      <c r="AF116" s="1887"/>
      <c r="AG116" s="1890"/>
      <c r="AH116" s="1890"/>
      <c r="AI116" s="1890"/>
      <c r="AJ116" s="1258"/>
      <c r="AK116" s="1941"/>
      <c r="AL116" s="1899"/>
      <c r="AM116" s="1900"/>
      <c r="AN116" s="1900"/>
      <c r="AO116" s="1900"/>
      <c r="AP116" s="1900"/>
      <c r="AQ116" s="1900"/>
      <c r="AR116" s="1900"/>
      <c r="AS116" s="1892"/>
      <c r="AT116" s="4018"/>
      <c r="AU116" s="1318"/>
      <c r="AV116" s="253"/>
      <c r="AW116" s="512"/>
      <c r="AX116" s="4008"/>
      <c r="AY116" s="404"/>
      <c r="AZ116" s="253"/>
      <c r="BA116" s="253"/>
      <c r="BB116" s="253"/>
      <c r="BC116" s="253"/>
      <c r="BD116" s="253"/>
      <c r="BE116" s="253"/>
      <c r="BF116" s="253"/>
      <c r="BG116" s="253"/>
      <c r="BH116" s="253"/>
      <c r="BI116" s="3824"/>
      <c r="BJ116" s="1061"/>
      <c r="BK116" s="1061"/>
      <c r="BL116" s="1061"/>
      <c r="BM116" s="3824"/>
      <c r="BN116" s="253"/>
      <c r="BO116" s="253"/>
      <c r="BP116" s="253"/>
      <c r="BQ116" s="253"/>
      <c r="BR116" s="253"/>
      <c r="BS116" s="253"/>
      <c r="BT116" s="827"/>
      <c r="BU116" s="658"/>
      <c r="BV116" s="658"/>
      <c r="BW116" s="658"/>
      <c r="BX116" s="658"/>
      <c r="BY116" s="658"/>
      <c r="BZ116" s="658"/>
      <c r="CA116" s="658"/>
      <c r="CB116" s="658"/>
      <c r="CC116" s="658"/>
      <c r="CD116" s="658"/>
      <c r="CE116" s="658"/>
      <c r="CF116" s="658"/>
    </row>
    <row r="117" spans="1:84" ht="13.5" thickBot="1">
      <c r="A117" s="139"/>
      <c r="B117" s="229"/>
      <c r="C117" s="5823"/>
      <c r="D117" s="5823"/>
      <c r="E117" s="5823"/>
      <c r="F117" s="1888"/>
      <c r="G117" s="1417" t="s">
        <v>595</v>
      </c>
      <c r="H117" s="1889" t="s">
        <v>5749</v>
      </c>
      <c r="I117" s="1876"/>
      <c r="J117" s="1876"/>
      <c r="K117" s="1876"/>
      <c r="L117" s="1876"/>
      <c r="M117" s="1876"/>
      <c r="N117" s="1876"/>
      <c r="O117" s="1876"/>
      <c r="P117" s="1876"/>
      <c r="Q117" s="1876"/>
      <c r="R117" s="1876"/>
      <c r="S117" s="1876"/>
      <c r="T117" s="1876"/>
      <c r="U117" s="1876"/>
      <c r="V117" s="1876"/>
      <c r="W117" s="1876"/>
      <c r="X117" s="1876"/>
      <c r="Y117" s="1876"/>
      <c r="Z117" s="1876"/>
      <c r="AA117" s="1876"/>
      <c r="AB117" s="1890"/>
      <c r="AC117" s="1890"/>
      <c r="AD117" s="1890"/>
      <c r="AE117" s="1890"/>
      <c r="AF117" s="1890"/>
      <c r="AG117" s="1258"/>
      <c r="AH117" s="1258" t="s">
        <v>597</v>
      </c>
      <c r="AI117" s="276" t="str">
        <f>IF(EIC_No_Box,"X","")</f>
        <v>X</v>
      </c>
      <c r="AJ117" s="1258"/>
      <c r="AK117" s="1941"/>
      <c r="AL117" s="1899"/>
      <c r="AM117" s="1900"/>
      <c r="AN117" s="1900"/>
      <c r="AO117" s="1900"/>
      <c r="AP117" s="1900"/>
      <c r="AQ117" s="1900"/>
      <c r="AR117" s="1900"/>
      <c r="AS117" s="1878"/>
      <c r="AT117" s="805"/>
      <c r="AU117" s="4022"/>
      <c r="AV117" s="4022"/>
      <c r="AW117" s="4023"/>
      <c r="AX117" s="4008"/>
      <c r="AY117" s="4031"/>
      <c r="AZ117" s="253"/>
      <c r="BA117" s="253"/>
      <c r="BB117" s="253"/>
      <c r="BC117" s="253"/>
      <c r="BD117" s="253"/>
      <c r="BE117" s="253"/>
      <c r="BF117" s="253"/>
      <c r="BG117" s="253"/>
      <c r="BH117" s="253"/>
      <c r="BI117" s="344"/>
      <c r="BJ117" s="344"/>
      <c r="BK117" s="344"/>
      <c r="BL117" s="344"/>
      <c r="BM117" s="344"/>
      <c r="BN117" s="344"/>
      <c r="BO117" s="344"/>
      <c r="BP117" s="344"/>
      <c r="BQ117" s="344"/>
      <c r="BR117" s="344"/>
      <c r="BS117" s="4029"/>
      <c r="BT117" s="827"/>
      <c r="BU117" s="658"/>
      <c r="BV117" s="658"/>
      <c r="BW117" s="658"/>
      <c r="BX117" s="658"/>
      <c r="BY117" s="658"/>
      <c r="BZ117" s="658"/>
      <c r="CA117" s="658"/>
      <c r="CB117" s="658"/>
      <c r="CC117" s="658"/>
      <c r="CD117" s="658"/>
      <c r="CE117" s="658"/>
      <c r="CF117" s="658"/>
    </row>
    <row r="118" spans="1:84" ht="14.25" customHeight="1">
      <c r="A118" s="139"/>
      <c r="B118" s="229"/>
      <c r="C118" s="5823"/>
      <c r="D118" s="5823"/>
      <c r="E118" s="5823"/>
      <c r="F118" s="1888">
        <v>28</v>
      </c>
      <c r="G118" s="1417"/>
      <c r="H118" s="1889" t="s">
        <v>5750</v>
      </c>
      <c r="I118" s="1876"/>
      <c r="J118" s="1876"/>
      <c r="K118" s="1876"/>
      <c r="L118" s="1876"/>
      <c r="M118" s="1876"/>
      <c r="N118" s="1876"/>
      <c r="O118" s="1876"/>
      <c r="P118" s="1876"/>
      <c r="Q118" s="1876"/>
      <c r="R118" s="1876"/>
      <c r="S118" s="1876"/>
      <c r="T118" s="1876"/>
      <c r="U118" s="1876"/>
      <c r="V118" s="1876"/>
      <c r="W118" s="1876"/>
      <c r="X118" s="1876"/>
      <c r="Y118" s="1876"/>
      <c r="Z118" s="1876"/>
      <c r="AA118" s="1876"/>
      <c r="AB118" s="1890"/>
      <c r="AC118" s="1890"/>
      <c r="AD118" s="1890"/>
      <c r="AE118" s="1890"/>
      <c r="AF118" s="1890"/>
      <c r="AG118" s="1890"/>
      <c r="AH118" s="1890"/>
      <c r="AI118" s="1890"/>
      <c r="AJ118" s="1890"/>
      <c r="AK118" s="1941"/>
      <c r="AL118" s="1899"/>
      <c r="AM118" s="1900"/>
      <c r="AN118" s="1900"/>
      <c r="AO118" s="1900"/>
      <c r="AP118" s="1900"/>
      <c r="AQ118" s="1900"/>
      <c r="AR118" s="1900"/>
      <c r="AS118" s="1878"/>
      <c r="AT118" s="805"/>
      <c r="AU118" s="4022"/>
      <c r="AV118" s="4022"/>
      <c r="AW118" s="4023"/>
      <c r="AX118" s="4008"/>
      <c r="AY118" s="4031"/>
      <c r="AZ118" s="253"/>
      <c r="BA118" s="253"/>
      <c r="BB118" s="253"/>
      <c r="BC118" s="253"/>
      <c r="BD118" s="253"/>
      <c r="BE118" s="253"/>
      <c r="BF118" s="253"/>
      <c r="BG118" s="253"/>
      <c r="BH118" s="253"/>
      <c r="BI118" s="4069"/>
      <c r="BJ118" s="4070"/>
      <c r="BK118" s="4070"/>
      <c r="BL118" s="4071" t="s">
        <v>684</v>
      </c>
      <c r="BM118" s="4070"/>
      <c r="BN118" s="4070"/>
      <c r="BO118" s="4072"/>
      <c r="BP118" s="4070"/>
      <c r="BQ118" s="4073">
        <v>1</v>
      </c>
      <c r="BR118" s="4074" t="s">
        <v>685</v>
      </c>
      <c r="BS118" s="4029"/>
      <c r="BT118" s="827"/>
      <c r="BU118" s="658"/>
      <c r="BV118" s="658"/>
      <c r="BW118" s="658"/>
      <c r="BX118" s="658"/>
      <c r="BY118" s="658"/>
      <c r="BZ118" s="658"/>
      <c r="CA118" s="658"/>
      <c r="CB118" s="658"/>
      <c r="CC118" s="658"/>
      <c r="CD118" s="658"/>
      <c r="CE118" s="658"/>
      <c r="CF118" s="658"/>
    </row>
    <row r="119" spans="1:84">
      <c r="A119" s="139"/>
      <c r="B119" s="229"/>
      <c r="C119" s="1939"/>
      <c r="D119" s="229"/>
      <c r="E119" s="229"/>
      <c r="F119" s="1888"/>
      <c r="G119" s="1417"/>
      <c r="H119" s="1889" t="s">
        <v>5751</v>
      </c>
      <c r="I119" s="1876"/>
      <c r="J119" s="1876"/>
      <c r="K119" s="1876"/>
      <c r="L119" s="1417"/>
      <c r="M119" s="1417"/>
      <c r="N119" s="1417"/>
      <c r="O119" s="1417"/>
      <c r="P119" s="1417"/>
      <c r="Q119" s="1417"/>
      <c r="R119" s="1417"/>
      <c r="S119" s="1417"/>
      <c r="T119" s="1417"/>
      <c r="U119" s="1417"/>
      <c r="V119" s="1417"/>
      <c r="W119" s="1417"/>
      <c r="X119" s="1876"/>
      <c r="Y119" s="1876"/>
      <c r="Z119" s="1876"/>
      <c r="AA119" s="1876"/>
      <c r="AB119" s="1258" t="s">
        <v>894</v>
      </c>
      <c r="AC119" s="276"/>
      <c r="AD119" s="1258"/>
      <c r="AE119" s="4075">
        <v>28</v>
      </c>
      <c r="AF119" s="7341">
        <f>IF(AX119&lt;&gt;"",ROUND(AX119,0),IF(AC119&lt;&gt;"",0,AdditionalCTC))</f>
        <v>0</v>
      </c>
      <c r="AG119" s="7342"/>
      <c r="AH119" s="7342"/>
      <c r="AI119" s="7342"/>
      <c r="AJ119" s="7373"/>
      <c r="AK119" s="1941"/>
      <c r="AL119" s="7284" t="str">
        <f>IF(AND($AT$113="",$AW$121),"'Line 27 (EIC)'","")</f>
        <v/>
      </c>
      <c r="AM119" s="7285"/>
      <c r="AN119" s="7285"/>
      <c r="AO119" s="7285"/>
      <c r="AP119" s="7285"/>
      <c r="AQ119" s="7285"/>
      <c r="AR119" s="7285"/>
      <c r="AS119" s="1878"/>
      <c r="AT119" s="4044"/>
      <c r="AU119" s="227"/>
      <c r="AV119" s="4068"/>
      <c r="AW119" s="4068"/>
      <c r="AX119" s="732"/>
      <c r="AY119" s="851"/>
      <c r="AZ119" s="253"/>
      <c r="BA119" s="253"/>
      <c r="BB119" s="253"/>
      <c r="BC119" s="253"/>
      <c r="BD119" s="253"/>
      <c r="BE119" s="253"/>
      <c r="BF119" s="253"/>
      <c r="BG119" s="253"/>
      <c r="BH119" s="4025"/>
      <c r="BI119" s="4077"/>
      <c r="BJ119" s="4078"/>
      <c r="BK119" s="4078"/>
      <c r="BL119" s="4078"/>
      <c r="BM119" s="4078"/>
      <c r="BN119" s="4078"/>
      <c r="BO119" s="4079"/>
      <c r="BP119" s="4078"/>
      <c r="BQ119" s="4079">
        <v>2</v>
      </c>
      <c r="BR119" s="4080" t="s">
        <v>689</v>
      </c>
      <c r="BS119" s="253"/>
      <c r="BT119" s="827"/>
      <c r="BU119" s="658"/>
      <c r="BV119" s="658"/>
      <c r="BW119" s="658"/>
      <c r="BX119" s="658"/>
      <c r="BY119" s="658"/>
      <c r="BZ119" s="658"/>
      <c r="CA119" s="658"/>
      <c r="CB119" s="658"/>
      <c r="CC119" s="658"/>
      <c r="CD119" s="658"/>
      <c r="CE119" s="658"/>
      <c r="CF119" s="658"/>
    </row>
    <row r="120" spans="1:84" ht="14.25" customHeight="1">
      <c r="A120" s="139"/>
      <c r="B120" s="229"/>
      <c r="C120" s="1939"/>
      <c r="D120" s="229"/>
      <c r="E120" s="229"/>
      <c r="F120" s="1888">
        <v>29</v>
      </c>
      <c r="G120" s="1417"/>
      <c r="H120" s="1889" t="s">
        <v>701</v>
      </c>
      <c r="I120" s="1876"/>
      <c r="J120" s="1876"/>
      <c r="K120" s="1876"/>
      <c r="L120" s="1417"/>
      <c r="M120" s="1417"/>
      <c r="N120" s="1417"/>
      <c r="O120" s="1417"/>
      <c r="P120" s="1417"/>
      <c r="Q120" s="1417"/>
      <c r="R120" s="1417"/>
      <c r="S120" s="1417"/>
      <c r="T120" s="1417"/>
      <c r="U120" s="1417"/>
      <c r="V120" s="1417"/>
      <c r="W120" s="1417"/>
      <c r="X120" s="1876"/>
      <c r="Y120" s="1876"/>
      <c r="Z120" s="1876"/>
      <c r="AA120" s="1876"/>
      <c r="AB120" s="1876"/>
      <c r="AC120" s="1876"/>
      <c r="AD120" s="1258" t="s">
        <v>702</v>
      </c>
      <c r="AE120" s="4075">
        <v>29</v>
      </c>
      <c r="AF120" s="7341" t="str">
        <f>IF(AX120&lt;&gt;"",ROUND(AX120,0),AO_Credit)</f>
        <v/>
      </c>
      <c r="AG120" s="7342"/>
      <c r="AH120" s="7342"/>
      <c r="AI120" s="7342"/>
      <c r="AJ120" s="7373"/>
      <c r="AK120" s="1941"/>
      <c r="AL120" s="7284" t="str">
        <f>IF(AND($AT$113="",$AW$121),"for possible earned","")</f>
        <v/>
      </c>
      <c r="AM120" s="7285"/>
      <c r="AN120" s="7285"/>
      <c r="AO120" s="7285"/>
      <c r="AP120" s="7285"/>
      <c r="AQ120" s="7285"/>
      <c r="AR120" s="7285"/>
      <c r="AS120" s="1878"/>
      <c r="AT120" s="4044"/>
      <c r="AU120" s="227"/>
      <c r="AV120" s="3374"/>
      <c r="AW120" s="3374"/>
      <c r="AX120" s="732"/>
      <c r="AY120" s="851"/>
      <c r="AZ120" s="253"/>
      <c r="BA120" s="253"/>
      <c r="BB120" s="253"/>
      <c r="BC120" s="253"/>
      <c r="BD120" s="253"/>
      <c r="BE120" s="253"/>
      <c r="BF120" s="253"/>
      <c r="BG120" s="253"/>
      <c r="BH120" s="253"/>
      <c r="BI120" s="4077"/>
      <c r="BJ120" s="4078"/>
      <c r="BK120" s="4078"/>
      <c r="BL120" s="4078"/>
      <c r="BM120" s="4078"/>
      <c r="BN120" s="4078"/>
      <c r="BO120" s="4079"/>
      <c r="BP120" s="4078"/>
      <c r="BQ120" s="4079">
        <v>3</v>
      </c>
      <c r="BR120" s="4080" t="s">
        <v>693</v>
      </c>
      <c r="BS120" s="253"/>
      <c r="BT120" s="827"/>
      <c r="BU120" s="658"/>
      <c r="BV120" s="658"/>
      <c r="BW120" s="658"/>
      <c r="BX120" s="658"/>
      <c r="BY120" s="658"/>
      <c r="BZ120" s="658"/>
      <c r="CA120" s="658"/>
      <c r="CB120" s="658"/>
      <c r="CC120" s="658"/>
      <c r="CD120" s="658"/>
      <c r="CE120" s="658"/>
      <c r="CF120" s="658"/>
    </row>
    <row r="121" spans="1:84" ht="14.25" customHeight="1">
      <c r="A121" s="139"/>
      <c r="B121" s="5864"/>
      <c r="C121" s="5864"/>
      <c r="D121" s="5864"/>
      <c r="E121" s="1896"/>
      <c r="F121" s="1888">
        <v>30</v>
      </c>
      <c r="G121" s="1417"/>
      <c r="H121" s="1889" t="s">
        <v>5752</v>
      </c>
      <c r="I121" s="1876"/>
      <c r="J121" s="1876"/>
      <c r="K121" s="1876"/>
      <c r="L121" s="1417"/>
      <c r="M121" s="1417"/>
      <c r="N121" s="1417"/>
      <c r="O121" s="1417"/>
      <c r="P121" s="1417"/>
      <c r="Q121" s="1417"/>
      <c r="R121" s="1417"/>
      <c r="S121" s="1417"/>
      <c r="T121" s="1417"/>
      <c r="U121" s="1417"/>
      <c r="V121" s="1417"/>
      <c r="W121" s="1417"/>
      <c r="X121" s="1876"/>
      <c r="Y121" s="1876"/>
      <c r="Z121" s="1876"/>
      <c r="AA121" s="1876"/>
      <c r="AB121" s="1876"/>
      <c r="AC121" s="1876"/>
      <c r="AD121" s="1258" t="s">
        <v>702</v>
      </c>
      <c r="AE121" s="4075">
        <v>30</v>
      </c>
      <c r="AF121" s="7374"/>
      <c r="AG121" s="7375"/>
      <c r="AH121" s="7375"/>
      <c r="AI121" s="7375"/>
      <c r="AJ121" s="7376"/>
      <c r="AK121" s="1941"/>
      <c r="AL121" s="7284" t="str">
        <f>IF(AND($AT$113="",$AW$121),"income tax credit.","")</f>
        <v/>
      </c>
      <c r="AM121" s="7285"/>
      <c r="AN121" s="7285"/>
      <c r="AO121" s="7285"/>
      <c r="AP121" s="7285"/>
      <c r="AQ121" s="7285"/>
      <c r="AR121" s="7285"/>
      <c r="AS121" s="1878"/>
      <c r="AT121" s="4044"/>
      <c r="AU121" s="5940">
        <f>IF(AF121&lt;&gt;"",ROUND(AF121,0),0)</f>
        <v>0</v>
      </c>
      <c r="AV121" s="3809"/>
      <c r="AW121" s="4091" t="b">
        <f>AND(EIC_trigger,NOT(EIC_Started),NumFileStatusBoxes=1)</f>
        <v>0</v>
      </c>
      <c r="AX121" s="4008"/>
      <c r="AY121" s="851"/>
      <c r="AZ121" s="253"/>
      <c r="BA121" s="253"/>
      <c r="BB121" s="253"/>
      <c r="BC121" s="253"/>
      <c r="BD121" s="253"/>
      <c r="BE121" s="253"/>
      <c r="BF121" s="4025"/>
      <c r="BG121" s="4025"/>
      <c r="BH121" s="4025"/>
      <c r="BI121" s="4077"/>
      <c r="BJ121" s="4078" t="e">
        <f>DATEVALUE(BJ123)</f>
        <v>#N/A</v>
      </c>
      <c r="BK121" s="4078"/>
      <c r="BL121" s="4078"/>
      <c r="BM121" s="4078"/>
      <c r="BN121" s="4078"/>
      <c r="BO121" s="4079"/>
      <c r="BP121" s="4078"/>
      <c r="BQ121" s="4079">
        <v>4</v>
      </c>
      <c r="BR121" s="4080" t="s">
        <v>694</v>
      </c>
      <c r="BS121" s="253"/>
      <c r="BT121" s="827"/>
      <c r="BU121" s="658"/>
      <c r="BV121" s="658"/>
      <c r="BW121" s="658"/>
      <c r="BX121" s="658"/>
      <c r="BY121" s="658"/>
      <c r="BZ121" s="658"/>
      <c r="CA121" s="658"/>
      <c r="CB121" s="658"/>
      <c r="CC121" s="658"/>
      <c r="CD121" s="658"/>
      <c r="CE121" s="658"/>
      <c r="CF121" s="658"/>
    </row>
    <row r="122" spans="1:84" ht="14.25" customHeight="1">
      <c r="A122" s="139"/>
      <c r="B122" s="229"/>
      <c r="C122" s="1939"/>
      <c r="D122" s="229"/>
      <c r="E122" s="229"/>
      <c r="F122" s="1888">
        <v>31</v>
      </c>
      <c r="G122" s="1417"/>
      <c r="H122" s="5950" t="s">
        <v>706</v>
      </c>
      <c r="I122" s="1876"/>
      <c r="J122" s="1876"/>
      <c r="K122" s="1876"/>
      <c r="L122" s="1417"/>
      <c r="M122" s="1417"/>
      <c r="N122" s="1417"/>
      <c r="O122" s="1417"/>
      <c r="P122" s="1417"/>
      <c r="Q122" s="1417"/>
      <c r="R122" s="1417"/>
      <c r="S122" s="1417"/>
      <c r="T122" s="1417"/>
      <c r="U122" s="1417"/>
      <c r="V122" s="1417"/>
      <c r="W122" s="1417"/>
      <c r="X122" s="1876"/>
      <c r="Y122" s="1876"/>
      <c r="Z122" s="1876"/>
      <c r="AA122" s="1876"/>
      <c r="AB122" s="1876"/>
      <c r="AC122" s="1876"/>
      <c r="AD122" s="1258" t="s">
        <v>597</v>
      </c>
      <c r="AE122" s="4075">
        <v>31</v>
      </c>
      <c r="AF122" s="7341" t="str">
        <f>IF(AX122&lt;&gt;"",ROUND(AX122,0),OPRC)</f>
        <v/>
      </c>
      <c r="AG122" s="7342"/>
      <c r="AH122" s="7342"/>
      <c r="AI122" s="7342"/>
      <c r="AJ122" s="7373"/>
      <c r="AK122" s="1941"/>
      <c r="AL122" s="7284"/>
      <c r="AM122" s="7285"/>
      <c r="AN122" s="7404"/>
      <c r="AO122" s="7404"/>
      <c r="AP122" s="7404"/>
      <c r="AQ122" s="7404"/>
      <c r="AR122" s="7404"/>
      <c r="AS122" s="1878"/>
      <c r="AT122" s="4044"/>
      <c r="AU122" s="4094"/>
      <c r="AV122" s="253"/>
      <c r="AW122" s="253"/>
      <c r="AX122" s="732"/>
      <c r="AY122" s="851"/>
      <c r="AZ122" s="253"/>
      <c r="BA122" s="253"/>
      <c r="BB122" s="253"/>
      <c r="BC122" s="253"/>
      <c r="BD122" s="253"/>
      <c r="BE122" s="253"/>
      <c r="BF122" s="4025"/>
      <c r="BG122" s="4025"/>
      <c r="BH122" s="3830"/>
      <c r="BI122" s="4077" t="b">
        <f>IF(OR(YourBirthMonth="",YourBirthDay="",YourBirthYear=""),TRUE,FALSE)</f>
        <v>1</v>
      </c>
      <c r="BJ122" s="4084" t="e">
        <f>DATEVALUE(BJ123)</f>
        <v>#N/A</v>
      </c>
      <c r="BK122" s="4078" t="s">
        <v>697</v>
      </c>
      <c r="BL122" s="4078"/>
      <c r="BM122" s="4085"/>
      <c r="BN122" s="4085" t="s">
        <v>698</v>
      </c>
      <c r="BO122" s="4079" t="e">
        <f>IF(AND(YourBirthMonth=2,YourBirthDay=29),YourBirthDay-1&amp;"-"&amp;LOOKUP(YourBirthMonth,$BQ$118:$BQ$130,$BR$118:$BR$130)&amp;"-"&amp;(YourBirthYear+70),YourBirthDay&amp;"-"&amp;LOOKUP(YourBirthMonth,$BQ$118:$BQ$130,$BR$118:$BR$130)&amp;"-"&amp;(YourBirthYear+70))</f>
        <v>#N/A</v>
      </c>
      <c r="BP122" s="4078"/>
      <c r="BQ122" s="4079">
        <v>5</v>
      </c>
      <c r="BR122" s="4080" t="s">
        <v>699</v>
      </c>
      <c r="BS122" s="253"/>
      <c r="BT122" s="827"/>
      <c r="BU122" s="658"/>
      <c r="BV122" s="658"/>
      <c r="BW122" s="658"/>
      <c r="BX122" s="658"/>
      <c r="BY122" s="658"/>
      <c r="BZ122" s="658"/>
      <c r="CA122" s="658"/>
      <c r="CB122" s="658"/>
      <c r="CC122" s="658"/>
      <c r="CD122" s="658"/>
      <c r="CE122" s="658"/>
      <c r="CF122" s="658"/>
    </row>
    <row r="123" spans="1:84" ht="14.25" customHeight="1" thickBot="1">
      <c r="A123" s="139"/>
      <c r="B123" s="1942"/>
      <c r="C123" s="1942"/>
      <c r="D123" s="229"/>
      <c r="E123" s="229"/>
      <c r="F123" s="1888">
        <v>32</v>
      </c>
      <c r="G123" s="1417"/>
      <c r="H123" s="1889" t="s">
        <v>5753</v>
      </c>
      <c r="I123" s="1876"/>
      <c r="J123" s="1876"/>
      <c r="K123" s="1876"/>
      <c r="L123" s="1417"/>
      <c r="M123" s="1417"/>
      <c r="N123" s="1417"/>
      <c r="O123" s="1417"/>
      <c r="P123" s="1417"/>
      <c r="Q123" s="1417"/>
      <c r="R123" s="1417"/>
      <c r="S123" s="1417"/>
      <c r="T123" s="1417"/>
      <c r="U123" s="1417"/>
      <c r="V123" s="1417"/>
      <c r="W123" s="1417"/>
      <c r="X123" s="1876"/>
      <c r="Y123" s="1876"/>
      <c r="Z123" s="1876"/>
      <c r="AA123" s="1876"/>
      <c r="AB123" s="1876"/>
      <c r="AC123" s="1876"/>
      <c r="AD123" s="1876"/>
      <c r="AE123" s="1876"/>
      <c r="AF123" s="1876"/>
      <c r="AG123" s="1876"/>
      <c r="AH123" s="1876"/>
      <c r="AI123" s="1876"/>
      <c r="AJ123" s="1258" t="s">
        <v>627</v>
      </c>
      <c r="AK123" s="1877">
        <v>32</v>
      </c>
      <c r="AL123" s="7072">
        <f>SUM(EIC,AF119,AF120,AU121,AF122)</f>
        <v>0</v>
      </c>
      <c r="AM123" s="7073"/>
      <c r="AN123" s="7273"/>
      <c r="AO123" s="7273"/>
      <c r="AP123" s="7273"/>
      <c r="AQ123" s="7273"/>
      <c r="AR123" s="7273"/>
      <c r="AS123" s="1878"/>
      <c r="AT123" s="4044"/>
      <c r="AU123" s="4096" t="s">
        <v>709</v>
      </c>
      <c r="AV123" s="1800"/>
      <c r="AW123" s="4097"/>
      <c r="AX123" s="4008"/>
      <c r="AY123" s="5427">
        <v>150000</v>
      </c>
      <c r="AZ123" s="253"/>
      <c r="BA123" s="253"/>
      <c r="BB123" s="253"/>
      <c r="BC123" s="253"/>
      <c r="BD123" s="253"/>
      <c r="BE123" s="253"/>
      <c r="BF123" s="3830"/>
      <c r="BG123" s="3830"/>
      <c r="BH123" s="253"/>
      <c r="BI123" s="4087" t="e">
        <f>LOOKUP(YourBirthMonth,$BQ$118:$BQ$130,$BR$118:$BR$130)</f>
        <v>#N/A</v>
      </c>
      <c r="BJ123" s="4079" t="e">
        <f>YourBirthDay&amp;"-"&amp;BI123&amp;"-"&amp;YourBirthYear</f>
        <v>#N/A</v>
      </c>
      <c r="BK123" s="4088" t="b">
        <f>IF(OR(YourBirthMonth="",YourBirthDay="",YourBirthYear=""),TRUE,IF(OR(YourBirthYear&gt;TaxYear,ISERROR(BJ122)),TRUE,FALSE))</f>
        <v>1</v>
      </c>
      <c r="BL123" s="4078" t="b">
        <f>IF(AND(YourBirthMonth="",YourBirthDay="",YourBirthYear=""),FALSE,IF(OR(BadBirthdate_Yours,AND(YourAge&gt;120,YourBirthMonth&lt;&gt;"",YourBirthDay&lt;&gt;"",YourBirthYear&lt;&gt;"")),TRUE,FALSE))</f>
        <v>0</v>
      </c>
      <c r="BM123" s="4078"/>
      <c r="BN123" s="4089"/>
      <c r="BO123" s="4079"/>
      <c r="BP123" s="4078">
        <f>YourBirthMonth+6</f>
        <v>6</v>
      </c>
      <c r="BQ123" s="4079">
        <v>6</v>
      </c>
      <c r="BR123" s="4080" t="s">
        <v>700</v>
      </c>
      <c r="BS123" s="253"/>
      <c r="BT123" s="827"/>
      <c r="BU123" s="658"/>
      <c r="BV123" s="658"/>
      <c r="BW123" s="658"/>
      <c r="BX123" s="658"/>
      <c r="BY123" s="658"/>
      <c r="BZ123" s="658"/>
      <c r="CA123" s="658"/>
      <c r="CB123" s="658"/>
      <c r="CC123" s="658"/>
      <c r="CD123" s="658"/>
      <c r="CE123" s="658"/>
      <c r="CF123" s="658"/>
    </row>
    <row r="124" spans="1:84" ht="14.25" customHeight="1" thickBot="1">
      <c r="A124" s="139"/>
      <c r="B124" s="1931"/>
      <c r="C124" s="1931"/>
      <c r="D124" s="1931"/>
      <c r="E124" s="1931"/>
      <c r="F124" s="4014">
        <v>33</v>
      </c>
      <c r="G124" s="1932"/>
      <c r="H124" s="5865" t="s">
        <v>5744</v>
      </c>
      <c r="I124" s="1933"/>
      <c r="J124" s="1933"/>
      <c r="K124" s="1933"/>
      <c r="L124" s="1933"/>
      <c r="M124" s="1933"/>
      <c r="N124" s="1933"/>
      <c r="O124" s="1933"/>
      <c r="P124" s="1933"/>
      <c r="Q124" s="1933"/>
      <c r="R124" s="1933"/>
      <c r="S124" s="1933"/>
      <c r="T124" s="1933"/>
      <c r="U124" s="1933"/>
      <c r="V124" s="1933"/>
      <c r="W124" s="1933"/>
      <c r="X124" s="1933"/>
      <c r="Y124" s="1933"/>
      <c r="Z124" s="1933"/>
      <c r="AA124" s="1933"/>
      <c r="AB124" s="1933"/>
      <c r="AC124" s="1933"/>
      <c r="AD124" s="1933"/>
      <c r="AE124" s="1933"/>
      <c r="AF124" s="1933"/>
      <c r="AG124" s="1933"/>
      <c r="AH124" s="1933"/>
      <c r="AI124" s="1933"/>
      <c r="AJ124" s="1267" t="s">
        <v>590</v>
      </c>
      <c r="AK124" s="1926">
        <v>33</v>
      </c>
      <c r="AL124" s="7274">
        <f>IF(AX124&lt;&gt;"",ROUND(AX124,0),SUM(AL109,AL110,AL123))</f>
        <v>0</v>
      </c>
      <c r="AM124" s="7275"/>
      <c r="AN124" s="7275"/>
      <c r="AO124" s="7275"/>
      <c r="AP124" s="7275"/>
      <c r="AQ124" s="7275"/>
      <c r="AR124" s="7275"/>
      <c r="AS124" s="1878"/>
      <c r="AT124" s="4044"/>
      <c r="AU124" s="4096"/>
      <c r="AV124" s="1800"/>
      <c r="AW124" s="1800"/>
      <c r="AX124" s="732"/>
      <c r="AY124" s="5427">
        <v>300000</v>
      </c>
      <c r="AZ124" s="253"/>
      <c r="BA124" s="253"/>
      <c r="BB124" s="253"/>
      <c r="BC124" s="253"/>
      <c r="BD124" s="253"/>
      <c r="BE124" s="253"/>
      <c r="BF124" s="253"/>
      <c r="BG124" s="253"/>
      <c r="BH124" s="817"/>
      <c r="BI124" s="4077"/>
      <c r="BJ124" s="4078" t="e">
        <f>IF(BL123,"",DATEVALUE(BJ123))</f>
        <v>#N/A</v>
      </c>
      <c r="BK124" s="4078"/>
      <c r="BL124" s="4078"/>
      <c r="BM124" s="4085" t="str">
        <f>"YOU are 70.5 on "&amp;TEXT(EndOfTaxYear,"dd-mmm-yyyy")&amp;" -&gt;"</f>
        <v>YOU are 70.5 on 31-Dec-2025 -&gt;</v>
      </c>
      <c r="BN124" s="4090" t="b">
        <f>IF(BadBirthdate_Yours,FALSE,IF(DATEVALUE(BO122)&lt;=DATEVALUE(BN128),TRUE,FALSE))</f>
        <v>0</v>
      </c>
      <c r="BO124" s="4079"/>
      <c r="BP124" s="4078">
        <f>IF(BP123&lt;=12,YourBirthYear+70,YourBirthYear+71)</f>
        <v>70</v>
      </c>
      <c r="BQ124" s="4079">
        <v>7</v>
      </c>
      <c r="BR124" s="4080" t="s">
        <v>703</v>
      </c>
      <c r="BS124" s="253"/>
      <c r="BT124" s="827"/>
      <c r="BU124" s="658"/>
      <c r="BV124" s="658"/>
      <c r="BW124" s="658"/>
      <c r="BX124" s="658"/>
      <c r="BY124" s="658"/>
      <c r="BZ124" s="658"/>
      <c r="CA124" s="658"/>
      <c r="CB124" s="658"/>
      <c r="CC124" s="658"/>
      <c r="CD124" s="658"/>
      <c r="CE124" s="658"/>
      <c r="CF124" s="658"/>
    </row>
    <row r="125" spans="1:84" ht="14.25" customHeight="1" thickBot="1">
      <c r="A125" s="139"/>
      <c r="B125" s="229"/>
      <c r="C125" s="229"/>
      <c r="D125" s="229"/>
      <c r="E125" s="229"/>
      <c r="F125" s="1888">
        <v>34</v>
      </c>
      <c r="G125" s="1417"/>
      <c r="H125" s="1889" t="s">
        <v>5745</v>
      </c>
      <c r="I125" s="1876"/>
      <c r="J125" s="1876"/>
      <c r="K125" s="1876"/>
      <c r="L125" s="1876"/>
      <c r="M125" s="1876"/>
      <c r="N125" s="1876"/>
      <c r="O125" s="1876"/>
      <c r="P125" s="1876"/>
      <c r="Q125" s="1876"/>
      <c r="R125" s="1876"/>
      <c r="S125" s="1876"/>
      <c r="T125" s="1876"/>
      <c r="U125" s="1876"/>
      <c r="V125" s="1876"/>
      <c r="W125" s="1876"/>
      <c r="X125" s="1876"/>
      <c r="Y125" s="1876"/>
      <c r="Z125" s="1876"/>
      <c r="AA125" s="1876"/>
      <c r="AB125" s="1876"/>
      <c r="AC125" s="1876"/>
      <c r="AD125" s="1876"/>
      <c r="AE125" s="1876"/>
      <c r="AF125" s="1876"/>
      <c r="AG125" s="1876"/>
      <c r="AH125" s="1876"/>
      <c r="AI125" s="1876"/>
      <c r="AJ125" s="1258" t="s">
        <v>708</v>
      </c>
      <c r="AK125" s="1926">
        <f>F125</f>
        <v>34</v>
      </c>
      <c r="AL125" s="7274">
        <f>IF(AX125&lt;&gt;"",ROUND(AX125,0),IF(AL124&gt;Tot_Tax,SUM(AL124,-Tot_Tax),0))</f>
        <v>0</v>
      </c>
      <c r="AM125" s="7275"/>
      <c r="AN125" s="7275"/>
      <c r="AO125" s="7275"/>
      <c r="AP125" s="7275"/>
      <c r="AQ125" s="7275"/>
      <c r="AR125" s="7275"/>
      <c r="AS125" s="1878"/>
      <c r="AT125" s="4044"/>
      <c r="AU125" s="4101"/>
      <c r="AV125" s="4102"/>
      <c r="AW125" s="4102"/>
      <c r="AX125" s="732"/>
      <c r="AY125" s="5427">
        <f>IF(File_Marr_Joint&lt;&gt;"",AY124,AY123)</f>
        <v>150000</v>
      </c>
      <c r="AZ125" s="253"/>
      <c r="BA125" s="253"/>
      <c r="BB125" s="253"/>
      <c r="BC125" s="253"/>
      <c r="BD125" s="253"/>
      <c r="BE125" s="253"/>
      <c r="BF125" s="817"/>
      <c r="BG125" s="817"/>
      <c r="BH125" s="4025"/>
      <c r="BI125" s="4077"/>
      <c r="BJ125" s="4078"/>
      <c r="BK125" s="4079" t="s">
        <v>725</v>
      </c>
      <c r="BL125" s="4078" t="e">
        <f>AND(Spouse_GT24,Spouse_LT65)</f>
        <v>#N/A</v>
      </c>
      <c r="BM125" s="4085"/>
      <c r="BN125" s="4078"/>
      <c r="BO125" s="4119"/>
      <c r="BP125" s="4078"/>
      <c r="BQ125" s="4079">
        <v>8</v>
      </c>
      <c r="BR125" s="4080" t="s">
        <v>705</v>
      </c>
      <c r="BS125" s="253"/>
      <c r="BT125" s="827"/>
      <c r="BU125" s="658"/>
      <c r="BV125" s="658"/>
      <c r="BW125" s="658"/>
      <c r="BX125" s="658"/>
      <c r="BY125" s="658"/>
      <c r="BZ125" s="658"/>
      <c r="CA125" s="658"/>
      <c r="CB125" s="658"/>
      <c r="CC125" s="658"/>
      <c r="CD125" s="658"/>
      <c r="CE125" s="658"/>
      <c r="CF125" s="658"/>
    </row>
    <row r="126" spans="1:84" ht="14.25" customHeight="1" thickBot="1">
      <c r="A126" s="139"/>
      <c r="B126" s="1936" t="s">
        <v>716</v>
      </c>
      <c r="C126" s="229"/>
      <c r="D126" s="229"/>
      <c r="E126" s="229"/>
      <c r="F126" s="1888">
        <v>35</v>
      </c>
      <c r="G126" s="1417" t="s">
        <v>588</v>
      </c>
      <c r="H126" s="1889" t="s">
        <v>5746</v>
      </c>
      <c r="I126" s="1876"/>
      <c r="J126" s="1876"/>
      <c r="K126" s="1876"/>
      <c r="L126" s="1876"/>
      <c r="M126" s="1876"/>
      <c r="N126" s="1876"/>
      <c r="O126" s="1876"/>
      <c r="P126" s="1876"/>
      <c r="Q126" s="1876"/>
      <c r="R126" s="1876"/>
      <c r="S126" s="1876"/>
      <c r="T126" s="1876"/>
      <c r="U126" s="1876"/>
      <c r="V126" s="1876"/>
      <c r="W126" s="1876"/>
      <c r="X126" s="1876"/>
      <c r="Y126" s="1876"/>
      <c r="Z126" s="1876"/>
      <c r="AA126" s="1876"/>
      <c r="AB126" s="1876"/>
      <c r="AC126" s="1876"/>
      <c r="AD126" s="1876"/>
      <c r="AE126" s="1876"/>
      <c r="AF126" s="1876"/>
      <c r="AG126" s="1258" t="s">
        <v>717</v>
      </c>
      <c r="AH126" s="7311"/>
      <c r="AI126" s="7312"/>
      <c r="AJ126" s="1943"/>
      <c r="AK126" s="1926" t="str">
        <f>F126&amp;"a"</f>
        <v>35a</v>
      </c>
      <c r="AL126" s="7341">
        <f>IF(AX126&lt;&gt;"",ROUND(AX126,0),Overpaid)</f>
        <v>0</v>
      </c>
      <c r="AM126" s="7342"/>
      <c r="AN126" s="7342"/>
      <c r="AO126" s="7342"/>
      <c r="AP126" s="7342"/>
      <c r="AQ126" s="7342"/>
      <c r="AR126" s="7342"/>
      <c r="AS126" s="1878"/>
      <c r="AT126" s="4044"/>
      <c r="AU126" s="7308" t="str">
        <f>IF(AND(AL126&lt;&gt;"",AL126&gt;0,ROUND(AX126,0)&gt;Overpaid),"Really??",IF(AND(AL126&lt;&gt;"",AL126&gt;0),"If not all, enter amount here. &gt;&gt;",""))</f>
        <v/>
      </c>
      <c r="AV126" s="7308"/>
      <c r="AW126" s="7309"/>
      <c r="AX126" s="732"/>
      <c r="AY126" s="851"/>
      <c r="AZ126" s="253"/>
      <c r="BA126" s="253"/>
      <c r="BB126" s="253"/>
      <c r="BC126" s="253"/>
      <c r="BD126" s="253"/>
      <c r="BE126" s="253"/>
      <c r="BF126" s="4025"/>
      <c r="BG126" s="4025"/>
      <c r="BH126" s="4025"/>
      <c r="BI126" s="4077"/>
      <c r="BJ126" s="4078" t="e">
        <f>ROUNDDOWN((EndOfTaxYear-BJ124)/365.25,1)</f>
        <v>#N/A</v>
      </c>
      <c r="BK126" s="4078"/>
      <c r="BL126" s="4078"/>
      <c r="BM126" s="4085" t="str">
        <f>"YOU are 65 on "&amp;TEXT(EndOfTaxYear,"dd-mmm-yyyy")&amp;" -&gt;"</f>
        <v>YOU are 65 on 31-Dec-2025 -&gt;</v>
      </c>
      <c r="BN126" s="4090" t="b">
        <f>IF(BadBirthdate_Yours,FALSE,YourAge&gt;=65)</f>
        <v>0</v>
      </c>
      <c r="BO126" s="4079"/>
      <c r="BP126" s="4078"/>
      <c r="BQ126" s="4079">
        <v>9</v>
      </c>
      <c r="BR126" s="4080" t="s">
        <v>707</v>
      </c>
      <c r="BS126" s="253"/>
      <c r="BT126" s="827"/>
      <c r="BU126" s="658"/>
      <c r="BV126" s="658"/>
      <c r="BW126" s="658"/>
      <c r="BX126" s="658"/>
      <c r="BY126" s="658"/>
      <c r="BZ126" s="658"/>
      <c r="CA126" s="658"/>
      <c r="CB126" s="658"/>
      <c r="CC126" s="658"/>
      <c r="CD126" s="658"/>
      <c r="CE126" s="658"/>
      <c r="CF126" s="658"/>
    </row>
    <row r="127" spans="1:84" ht="14.25" customHeight="1" thickBot="1">
      <c r="A127" s="139"/>
      <c r="B127" s="2498" t="s">
        <v>720</v>
      </c>
      <c r="C127" s="2498"/>
      <c r="D127" s="2498"/>
      <c r="E127" s="2498"/>
      <c r="F127" s="1888"/>
      <c r="G127" s="1417" t="s">
        <v>592</v>
      </c>
      <c r="H127" s="1889" t="s">
        <v>721</v>
      </c>
      <c r="I127" s="1876"/>
      <c r="J127" s="1876"/>
      <c r="K127" s="1876"/>
      <c r="L127" s="1876"/>
      <c r="M127" s="1876"/>
      <c r="N127" s="7334"/>
      <c r="O127" s="7335"/>
      <c r="P127" s="7335"/>
      <c r="Q127" s="7335"/>
      <c r="R127" s="7335"/>
      <c r="S127" s="7335"/>
      <c r="T127" s="7335"/>
      <c r="U127" s="7335"/>
      <c r="V127" s="7335"/>
      <c r="W127" s="7336"/>
      <c r="X127" s="1876"/>
      <c r="Y127" s="1876"/>
      <c r="Z127" s="1876"/>
      <c r="AA127" s="4104" t="s">
        <v>722</v>
      </c>
      <c r="AB127" s="279"/>
      <c r="AC127" s="1944" t="s">
        <v>723</v>
      </c>
      <c r="AD127" s="1944"/>
      <c r="AE127" s="1944"/>
      <c r="AF127" s="1944"/>
      <c r="AG127" s="771"/>
      <c r="AH127" s="1984" t="s">
        <v>724</v>
      </c>
      <c r="AI127" s="1984"/>
      <c r="AJ127" s="1945"/>
      <c r="AK127" s="1946"/>
      <c r="AL127" s="7338" t="str">
        <f>IF(AND($AT$131="",$AU$136),"Sum of amounts on","")</f>
        <v/>
      </c>
      <c r="AM127" s="7339"/>
      <c r="AN127" s="7340"/>
      <c r="AO127" s="7340"/>
      <c r="AP127" s="7340"/>
      <c r="AQ127" s="7340"/>
      <c r="AR127" s="7340"/>
      <c r="AS127" s="1878"/>
      <c r="AT127" s="4044"/>
      <c r="AU127" s="4105" t="b">
        <f>PenaltyOwedFlag</f>
        <v>0</v>
      </c>
      <c r="AV127" s="4106"/>
      <c r="AW127" s="4107" t="b">
        <f>AND(AU127,AT131="")</f>
        <v>0</v>
      </c>
      <c r="AX127" s="4008"/>
      <c r="AY127" s="851"/>
      <c r="AZ127" s="253"/>
      <c r="BA127" s="253"/>
      <c r="BB127" s="253"/>
      <c r="BC127" s="253"/>
      <c r="BD127" s="253"/>
      <c r="BE127" s="253"/>
      <c r="BF127" s="4025"/>
      <c r="BG127" s="4025"/>
      <c r="BH127" s="4025"/>
      <c r="BI127" s="4077"/>
      <c r="BJ127" s="4078" t="str">
        <f>IF(YourBirthYear="","?",IF(AND(YourBirthMonth=1,YourBirthDay=1),TaxYear-YourBirthYear+1,TaxYear-YourBirthYear))</f>
        <v>?</v>
      </c>
      <c r="BK127" s="4078"/>
      <c r="BL127" s="4078"/>
      <c r="BM127" s="4085" t="str">
        <f>"YOU are born before "&amp;TEXT(BP127,"dd-mmm-yyyy")&amp;" -&gt;"</f>
        <v>YOU are born before 02-Jan-1960 -&gt;</v>
      </c>
      <c r="BN127" s="4090" t="e">
        <f>BJ122&lt;$BP$127</f>
        <v>#N/A</v>
      </c>
      <c r="BO127" s="4092" t="e">
        <f>(YEAR($BP$127)-YEAR(BJ123))</f>
        <v>#N/A</v>
      </c>
      <c r="BP127" s="4093">
        <f>DATEVALUE("2-JAN-"&amp;TaxYear-65)</f>
        <v>21917</v>
      </c>
      <c r="BQ127" s="4079">
        <v>10</v>
      </c>
      <c r="BR127" s="4080" t="s">
        <v>711</v>
      </c>
      <c r="BS127" s="253"/>
      <c r="BT127" s="827"/>
      <c r="BU127" s="658"/>
      <c r="BV127" s="658"/>
      <c r="BW127" s="658"/>
      <c r="BX127" s="658"/>
      <c r="BY127" s="658"/>
      <c r="BZ127" s="658"/>
      <c r="CA127" s="658"/>
      <c r="CB127" s="658"/>
      <c r="CC127" s="658"/>
      <c r="CD127" s="658"/>
      <c r="CE127" s="658"/>
      <c r="CF127" s="658"/>
    </row>
    <row r="128" spans="1:84" ht="14.25" customHeight="1">
      <c r="A128" s="139"/>
      <c r="B128" s="5828" t="s">
        <v>746</v>
      </c>
      <c r="C128" s="5828"/>
      <c r="D128" s="5828"/>
      <c r="E128" s="5828"/>
      <c r="F128" s="1888"/>
      <c r="G128" s="1417" t="s">
        <v>599</v>
      </c>
      <c r="H128" s="1889" t="s">
        <v>292</v>
      </c>
      <c r="I128" s="1876"/>
      <c r="J128" s="1876"/>
      <c r="K128" s="1876"/>
      <c r="L128" s="1876"/>
      <c r="M128" s="1876"/>
      <c r="N128" s="7334"/>
      <c r="O128" s="7335"/>
      <c r="P128" s="7335"/>
      <c r="Q128" s="7335"/>
      <c r="R128" s="7335"/>
      <c r="S128" s="7335"/>
      <c r="T128" s="7335"/>
      <c r="U128" s="7335"/>
      <c r="V128" s="7335"/>
      <c r="W128" s="7335"/>
      <c r="X128" s="7335"/>
      <c r="Y128" s="7336"/>
      <c r="Z128" s="1887"/>
      <c r="AA128" s="1887"/>
      <c r="AB128" s="1826"/>
      <c r="AC128" s="1268"/>
      <c r="AD128" s="1268"/>
      <c r="AE128" s="1268"/>
      <c r="AF128" s="1268"/>
      <c r="AG128" s="1268"/>
      <c r="AH128" s="1268"/>
      <c r="AI128" s="1268"/>
      <c r="AJ128" s="1258" t="s">
        <v>670</v>
      </c>
      <c r="AK128" s="1947"/>
      <c r="AL128" s="7304" t="str">
        <f>IF(AND($AT$131="",$AU$136),"Lines 35a &amp; 36","")</f>
        <v/>
      </c>
      <c r="AM128" s="7305"/>
      <c r="AN128" s="7306"/>
      <c r="AO128" s="7306"/>
      <c r="AP128" s="7306"/>
      <c r="AQ128" s="7306"/>
      <c r="AR128" s="7306"/>
      <c r="AS128" s="1878"/>
      <c r="AT128" s="4044"/>
      <c r="AU128" s="5829" t="str">
        <f>IF($AW$127,"Check Form 2210 to","")</f>
        <v/>
      </c>
      <c r="AV128" s="5829"/>
      <c r="AW128" s="5830"/>
      <c r="AX128" s="4008"/>
      <c r="AY128" s="851"/>
      <c r="AZ128" s="253"/>
      <c r="BA128" s="253"/>
      <c r="BB128" s="253"/>
      <c r="BC128" s="253"/>
      <c r="BD128" s="253"/>
      <c r="BE128" s="253"/>
      <c r="BF128" s="4025"/>
      <c r="BG128" s="4025"/>
      <c r="BH128" s="253"/>
      <c r="BI128" s="4095"/>
      <c r="BJ128" s="4078"/>
      <c r="BK128" s="4078"/>
      <c r="BL128" s="4078"/>
      <c r="BM128" s="4085" t="s">
        <v>710</v>
      </c>
      <c r="BN128" s="4078" t="str">
        <f>"30-Jun-"&amp;TaxYear</f>
        <v>30-Jun-2025</v>
      </c>
      <c r="BO128" s="4079"/>
      <c r="BP128" s="4078"/>
      <c r="BQ128" s="4079">
        <v>11</v>
      </c>
      <c r="BR128" s="4080" t="s">
        <v>713</v>
      </c>
      <c r="BS128" s="253"/>
      <c r="BT128" s="827"/>
      <c r="BU128" s="658"/>
      <c r="BV128" s="658"/>
      <c r="BW128" s="658"/>
      <c r="BX128" s="658"/>
      <c r="BY128" s="658"/>
      <c r="BZ128" s="658"/>
      <c r="CA128" s="658"/>
      <c r="CB128" s="658"/>
      <c r="CC128" s="658"/>
      <c r="CD128" s="658"/>
      <c r="CE128" s="658"/>
      <c r="CF128" s="658"/>
    </row>
    <row r="129" spans="1:84" ht="14.25" customHeight="1">
      <c r="A129" s="139"/>
      <c r="B129" s="229"/>
      <c r="C129" s="229"/>
      <c r="D129" s="229"/>
      <c r="E129" s="229"/>
      <c r="F129" s="1888">
        <v>36</v>
      </c>
      <c r="G129" s="1417"/>
      <c r="H129" s="1889" t="str">
        <f>"Amount   of   line 34  you  want"</f>
        <v>Amount   of   line 34  you  want</v>
      </c>
      <c r="I129" s="1876"/>
      <c r="J129" s="1876"/>
      <c r="K129" s="1876"/>
      <c r="L129" s="1876"/>
      <c r="M129" s="1876"/>
      <c r="N129" s="1876"/>
      <c r="O129" s="1876"/>
      <c r="P129" s="1417" t="str">
        <f>"applied to your "&amp;TaxYear+1&amp;" estimated tax"</f>
        <v>applied to your 2026 estimated tax</v>
      </c>
      <c r="Q129" s="1417"/>
      <c r="R129" s="1876"/>
      <c r="S129" s="1876"/>
      <c r="T129" s="1876"/>
      <c r="U129" s="1876"/>
      <c r="V129" s="1876"/>
      <c r="W129" s="1876"/>
      <c r="X129" s="1876"/>
      <c r="Y129" s="1876"/>
      <c r="Z129" s="1876"/>
      <c r="AA129" s="4109"/>
      <c r="AB129" s="1891">
        <f>F129</f>
        <v>36</v>
      </c>
      <c r="AC129" s="1948"/>
      <c r="AD129" s="7238">
        <f>IF(AX129&lt;&gt;"",ROUND(AX129,0),SUM(Overpaid,-AL126))</f>
        <v>0</v>
      </c>
      <c r="AE129" s="7238"/>
      <c r="AF129" s="7238"/>
      <c r="AG129" s="7238"/>
      <c r="AH129" s="7238"/>
      <c r="AI129" s="5808"/>
      <c r="AJ129" s="1949"/>
      <c r="AK129" s="1947"/>
      <c r="AL129" s="7229" t="str">
        <f>IF(AND($AT$131="",$AU$136),"must equal Line 34.","")</f>
        <v/>
      </c>
      <c r="AM129" s="7230"/>
      <c r="AN129" s="7231"/>
      <c r="AO129" s="7231"/>
      <c r="AP129" s="7231"/>
      <c r="AQ129" s="7231"/>
      <c r="AR129" s="7231"/>
      <c r="AS129" s="1878"/>
      <c r="AT129" s="4044"/>
      <c r="AU129" s="5829" t="str">
        <f>IF($AW$127,"figure any tax penalty","")</f>
        <v/>
      </c>
      <c r="AV129" s="5829"/>
      <c r="AW129" s="5830"/>
      <c r="AX129" s="732"/>
      <c r="AY129" s="851"/>
      <c r="AZ129" s="253"/>
      <c r="BA129" s="253"/>
      <c r="BB129" s="253"/>
      <c r="BC129" s="253"/>
      <c r="BD129" s="253"/>
      <c r="BE129" s="253"/>
      <c r="BF129" s="253"/>
      <c r="BG129" s="253"/>
      <c r="BH129" s="253"/>
      <c r="BI129" s="4098" t="s">
        <v>712</v>
      </c>
      <c r="BJ129" s="4078"/>
      <c r="BK129" s="4093">
        <f>DATEVALUE("2-JAN-"&amp;(TaxYear-23))</f>
        <v>37258</v>
      </c>
      <c r="BL129" s="4078" t="e">
        <f>$BJ$122&lt;BK129</f>
        <v>#N/A</v>
      </c>
      <c r="BM129" s="4078"/>
      <c r="BN129" s="4078"/>
      <c r="BO129" s="4079"/>
      <c r="BP129" s="4078"/>
      <c r="BQ129" s="4099">
        <v>12</v>
      </c>
      <c r="BR129" s="4100" t="s">
        <v>715</v>
      </c>
      <c r="BS129" s="253"/>
      <c r="BT129" s="827"/>
      <c r="BU129" s="658"/>
      <c r="BV129" s="658"/>
      <c r="BW129" s="658"/>
      <c r="BX129" s="658"/>
      <c r="BY129" s="658"/>
      <c r="BZ129" s="658"/>
      <c r="CA129" s="658"/>
      <c r="CB129" s="658"/>
      <c r="CC129" s="658"/>
      <c r="CD129" s="658"/>
      <c r="CE129" s="658"/>
      <c r="CF129" s="658"/>
    </row>
    <row r="130" spans="1:84" ht="14.25" customHeight="1">
      <c r="A130" s="139"/>
      <c r="B130" s="7270" t="s">
        <v>728</v>
      </c>
      <c r="C130" s="7270"/>
      <c r="D130" s="7270"/>
      <c r="E130" s="1950"/>
      <c r="F130" s="1951">
        <v>37</v>
      </c>
      <c r="G130" s="1952"/>
      <c r="H130" s="5951" t="s">
        <v>5828</v>
      </c>
      <c r="I130" s="1953"/>
      <c r="J130" s="1953"/>
      <c r="K130" s="1953"/>
      <c r="L130" s="1953"/>
      <c r="M130" s="1953"/>
      <c r="N130" s="1953"/>
      <c r="O130" s="1953"/>
      <c r="P130" s="1953"/>
      <c r="Q130" s="1953"/>
      <c r="R130" s="1953"/>
      <c r="S130" s="1953"/>
      <c r="T130" s="1953"/>
      <c r="U130" s="1953"/>
      <c r="V130" s="1953"/>
      <c r="W130" s="1953"/>
      <c r="X130" s="1953"/>
      <c r="Y130" s="1953"/>
      <c r="Z130" s="1953"/>
      <c r="AA130" s="1954"/>
      <c r="AB130" s="1825"/>
      <c r="AC130" s="1269"/>
      <c r="AD130" s="1269"/>
      <c r="AE130" s="1269"/>
      <c r="AF130" s="1269"/>
      <c r="AG130" s="1269"/>
      <c r="AH130" s="1269"/>
      <c r="AI130" s="1269"/>
      <c r="AJ130" s="1271"/>
      <c r="AK130" s="1955"/>
      <c r="AL130" s="7262"/>
      <c r="AM130" s="7263"/>
      <c r="AN130" s="7263"/>
      <c r="AO130" s="7263"/>
      <c r="AP130" s="7263"/>
      <c r="AQ130" s="7263"/>
      <c r="AR130" s="7263"/>
      <c r="AS130" s="1878"/>
      <c r="AT130" s="4044"/>
      <c r="AU130" s="5829" t="str">
        <f>IF($AW$127,"that may apply.","")</f>
        <v/>
      </c>
      <c r="AV130" s="5829"/>
      <c r="AW130" s="5830"/>
      <c r="AX130" s="4008"/>
      <c r="AY130" s="5427">
        <v>150000</v>
      </c>
      <c r="AZ130" s="253"/>
      <c r="BA130" s="253"/>
      <c r="BB130" s="253"/>
      <c r="BC130" s="253"/>
      <c r="BD130" s="253"/>
      <c r="BE130" s="253"/>
      <c r="BF130" s="253"/>
      <c r="BG130" s="253"/>
      <c r="BH130" s="253"/>
      <c r="BI130" s="4098" t="s">
        <v>714</v>
      </c>
      <c r="BJ130" s="4078"/>
      <c r="BK130" s="4093">
        <f>DATEVALUE("2-JAN-"&amp;(TaxYear-24))</f>
        <v>36893</v>
      </c>
      <c r="BL130" s="4078" t="e">
        <f>$BJ$122&lt;BK130</f>
        <v>#N/A</v>
      </c>
      <c r="BM130" s="4078"/>
      <c r="BN130" s="4078"/>
      <c r="BO130" s="4079"/>
      <c r="BP130" s="4078"/>
      <c r="BQ130" s="4079">
        <v>13</v>
      </c>
      <c r="BR130" s="4080" t="s">
        <v>719</v>
      </c>
      <c r="BS130" s="253"/>
      <c r="BT130" s="827"/>
      <c r="BU130" s="658"/>
      <c r="BV130" s="658"/>
      <c r="BW130" s="658"/>
      <c r="BX130" s="658"/>
      <c r="BY130" s="658"/>
      <c r="BZ130" s="658"/>
      <c r="CA130" s="658"/>
      <c r="CB130" s="658"/>
      <c r="CC130" s="658"/>
      <c r="CD130" s="658"/>
      <c r="CE130" s="658"/>
      <c r="CF130" s="658"/>
    </row>
    <row r="131" spans="1:84" ht="17.25" customHeight="1">
      <c r="A131" s="139"/>
      <c r="B131" s="7271"/>
      <c r="C131" s="7271"/>
      <c r="D131" s="7271"/>
      <c r="E131" s="1956"/>
      <c r="F131" s="1888"/>
      <c r="G131" s="1417"/>
      <c r="H131" s="5950" t="s">
        <v>5829</v>
      </c>
      <c r="I131" s="1876"/>
      <c r="J131" s="1876"/>
      <c r="K131" s="1876"/>
      <c r="L131" s="1876"/>
      <c r="M131" s="1876"/>
      <c r="N131" s="1876"/>
      <c r="O131" s="1876"/>
      <c r="P131" s="1876"/>
      <c r="Q131" s="1876"/>
      <c r="R131" s="1876"/>
      <c r="S131" s="1876"/>
      <c r="T131" s="1876"/>
      <c r="U131" s="1876"/>
      <c r="V131" s="1876"/>
      <c r="W131" s="1876"/>
      <c r="X131" s="1876"/>
      <c r="Y131" s="1876"/>
      <c r="Z131" s="1876"/>
      <c r="AA131" s="1887"/>
      <c r="AB131" s="1826"/>
      <c r="AC131" s="1268"/>
      <c r="AD131" s="1268"/>
      <c r="AE131" s="1268"/>
      <c r="AF131" s="1268"/>
      <c r="AG131" s="1268"/>
      <c r="AH131" s="1268"/>
      <c r="AI131" s="1268"/>
      <c r="AJ131" s="1420" t="s">
        <v>670</v>
      </c>
      <c r="AK131" s="1877">
        <v>37</v>
      </c>
      <c r="AL131" s="7264">
        <f>IF(AX131&lt;&gt;"",ROUND(AX131,0),IF(ISERROR(Tot_Tax-Tot_Payments+TaxPenalty),0,IF(Tot_Tax-Tot_Payments+TaxPenalty&lt;0,0,Tot_Tax-Tot_Payments+TaxPenalty)))</f>
        <v>0</v>
      </c>
      <c r="AM131" s="7265"/>
      <c r="AN131" s="7265"/>
      <c r="AO131" s="7265"/>
      <c r="AP131" s="7265"/>
      <c r="AQ131" s="7265"/>
      <c r="AR131" s="7265"/>
      <c r="AS131" s="1878"/>
      <c r="AT131" s="778"/>
      <c r="AU131" s="4103" t="str">
        <f>IF(OR(AU127,AU136),"Hide note.","")</f>
        <v/>
      </c>
      <c r="AV131" s="794"/>
      <c r="AW131" s="794"/>
      <c r="AX131" s="732"/>
      <c r="AY131" s="5427">
        <v>300000</v>
      </c>
      <c r="AZ131" s="253"/>
      <c r="BA131" s="253"/>
      <c r="BB131" s="253"/>
      <c r="BC131" s="253"/>
      <c r="BD131" s="253"/>
      <c r="BE131" s="253"/>
      <c r="BF131" s="253"/>
      <c r="BG131" s="253"/>
      <c r="BH131" s="253"/>
      <c r="BI131" s="4098" t="s">
        <v>718</v>
      </c>
      <c r="BJ131" s="4078"/>
      <c r="BK131" s="4093">
        <f>DATEVALUE("31-DEC-"&amp;(TaxYear-65))</f>
        <v>22281</v>
      </c>
      <c r="BL131" s="4078" t="e">
        <f>$BJ$122&gt;BK131</f>
        <v>#N/A</v>
      </c>
      <c r="BM131" s="4078"/>
      <c r="BN131" s="4078"/>
      <c r="BO131" s="4079"/>
      <c r="BP131" s="4078"/>
      <c r="BQ131" s="4079"/>
      <c r="BR131" s="4080"/>
      <c r="BS131" s="253"/>
      <c r="BT131" s="827"/>
      <c r="BU131" s="658"/>
      <c r="BV131" s="658"/>
      <c r="BW131" s="658"/>
      <c r="BX131" s="658"/>
      <c r="BY131" s="658"/>
      <c r="BZ131" s="658"/>
      <c r="CA131" s="658"/>
      <c r="CB131" s="658"/>
      <c r="CC131" s="658"/>
      <c r="CD131" s="658"/>
      <c r="CE131" s="658"/>
      <c r="CF131" s="658"/>
    </row>
    <row r="132" spans="1:84" ht="14.25" customHeight="1" thickBot="1">
      <c r="A132" s="139"/>
      <c r="B132" s="1957"/>
      <c r="D132" s="1957"/>
      <c r="E132" s="1957"/>
      <c r="F132" s="1905">
        <v>38</v>
      </c>
      <c r="G132" s="1958"/>
      <c r="H132" s="7240" t="str">
        <f>IF(AND(You_Owe&lt;&gt;"",You_Owe&gt;1000,You_Owe&gt;0.1*Tot_Tax,TaxPenalty=""),"Enter Estimated Tax Penalty (or 0 if none applies)","Estimated tax penalty (see instructions)")</f>
        <v>Estimated tax penalty (see instructions)</v>
      </c>
      <c r="I132" s="7240"/>
      <c r="J132" s="7240"/>
      <c r="K132" s="7240"/>
      <c r="L132" s="7240"/>
      <c r="M132" s="7240"/>
      <c r="N132" s="7240"/>
      <c r="O132" s="7240"/>
      <c r="P132" s="7240"/>
      <c r="Q132" s="7240"/>
      <c r="R132" s="7240"/>
      <c r="S132" s="7240"/>
      <c r="T132" s="7240"/>
      <c r="U132" s="7240"/>
      <c r="V132" s="7240"/>
      <c r="W132" s="7240"/>
      <c r="X132" s="1904"/>
      <c r="Y132" s="1904"/>
      <c r="Z132" s="1904"/>
      <c r="AA132" s="1270" t="s">
        <v>601</v>
      </c>
      <c r="AB132" s="1959">
        <f>F132</f>
        <v>38</v>
      </c>
      <c r="AC132" s="1960"/>
      <c r="AD132" s="7261">
        <f>IF(AX132&lt;&gt;"",ROUND(AX132,0),SUM('2210'!U107))</f>
        <v>0</v>
      </c>
      <c r="AE132" s="7261"/>
      <c r="AF132" s="7261"/>
      <c r="AG132" s="7261"/>
      <c r="AH132" s="7261"/>
      <c r="AI132" s="5809"/>
      <c r="AJ132" s="1961"/>
      <c r="AK132" s="1902"/>
      <c r="AL132" s="1962"/>
      <c r="AM132" s="1962"/>
      <c r="AN132" s="818"/>
      <c r="AO132" s="818"/>
      <c r="AP132" s="818"/>
      <c r="AQ132" s="818"/>
      <c r="AR132" s="818"/>
      <c r="AS132" s="1878"/>
      <c r="AT132" s="4044"/>
      <c r="AU132" s="253"/>
      <c r="AV132" s="253"/>
      <c r="AW132" s="253"/>
      <c r="AX132" s="732"/>
      <c r="AY132" s="5427">
        <f>IF(File_Marr_Joint&lt;&gt;"",AY131,AY130)</f>
        <v>150000</v>
      </c>
      <c r="AZ132" s="253"/>
      <c r="BA132" s="253"/>
      <c r="BB132" s="253"/>
      <c r="BC132" s="253"/>
      <c r="BD132" s="253"/>
      <c r="BE132" s="253"/>
      <c r="BF132" s="253"/>
      <c r="BG132" s="253"/>
      <c r="BH132" s="253"/>
      <c r="BI132" s="4077"/>
      <c r="BJ132" s="4078"/>
      <c r="BK132" s="4079" t="s">
        <v>725</v>
      </c>
      <c r="BL132" s="4078" t="e">
        <f>AND(You_GT24,You_LT65)</f>
        <v>#N/A</v>
      </c>
      <c r="BM132" s="4078"/>
      <c r="BN132" s="4078"/>
      <c r="BO132" s="4079"/>
      <c r="BP132" s="4078"/>
      <c r="BQ132" s="4079"/>
      <c r="BR132" s="4080"/>
      <c r="BS132" s="253"/>
      <c r="BT132" s="827"/>
      <c r="BU132" s="658"/>
      <c r="BV132" s="658"/>
      <c r="BW132" s="658"/>
      <c r="BX132" s="658"/>
      <c r="BY132" s="658"/>
      <c r="BZ132" s="658"/>
      <c r="CA132" s="658"/>
      <c r="CB132" s="658"/>
      <c r="CC132" s="658"/>
      <c r="CD132" s="658"/>
      <c r="CE132" s="658"/>
      <c r="CF132" s="658"/>
    </row>
    <row r="133" spans="1:84" ht="5.25" customHeight="1">
      <c r="A133" s="139"/>
      <c r="B133" s="7343" t="s">
        <v>731</v>
      </c>
      <c r="C133" s="7343"/>
      <c r="D133" s="7343"/>
      <c r="E133" s="7343"/>
      <c r="F133" s="1889"/>
      <c r="G133" s="1897"/>
      <c r="H133" s="1897"/>
      <c r="I133" s="1897"/>
      <c r="J133" s="1897"/>
      <c r="K133" s="1897"/>
      <c r="L133" s="1897"/>
      <c r="M133" s="1897"/>
      <c r="N133" s="1897"/>
      <c r="O133" s="1897"/>
      <c r="P133" s="1897"/>
      <c r="Q133" s="1897"/>
      <c r="R133" s="1897"/>
      <c r="S133" s="1897"/>
      <c r="T133" s="1897"/>
      <c r="U133" s="1897"/>
      <c r="V133" s="1897"/>
      <c r="W133" s="1897"/>
      <c r="X133" s="1897"/>
      <c r="Y133" s="1897"/>
      <c r="Z133" s="1897"/>
      <c r="AA133" s="1897"/>
      <c r="AB133" s="1897"/>
      <c r="AC133" s="1897"/>
      <c r="AD133" s="1897"/>
      <c r="AE133" s="1897"/>
      <c r="AF133" s="1897"/>
      <c r="AG133" s="1897"/>
      <c r="AH133" s="1897"/>
      <c r="AI133" s="1897"/>
      <c r="AJ133" s="1897"/>
      <c r="AK133" s="1847"/>
      <c r="AL133" s="1847"/>
      <c r="AM133" s="1847"/>
      <c r="AN133" s="1847"/>
      <c r="AO133" s="1897"/>
      <c r="AP133" s="1897"/>
      <c r="AQ133" s="1897"/>
      <c r="AR133" s="1897"/>
      <c r="AS133" s="1876"/>
      <c r="AT133" s="4044"/>
      <c r="AU133" s="253"/>
      <c r="AV133" s="253"/>
      <c r="AW133" s="253"/>
      <c r="AX133" s="4008"/>
      <c r="AY133" s="851"/>
      <c r="AZ133" s="253"/>
      <c r="BA133" s="253"/>
      <c r="BB133" s="253"/>
      <c r="BC133" s="253"/>
      <c r="BD133" s="253"/>
      <c r="BE133" s="253"/>
      <c r="BF133" s="253"/>
      <c r="BG133" s="253"/>
      <c r="BH133" s="253"/>
      <c r="BI133" s="4077" t="s">
        <v>727</v>
      </c>
      <c r="BJ133" s="5987">
        <f>DATEVALUE("2-Jan-"&amp;TaxYear-64)</f>
        <v>22283</v>
      </c>
      <c r="BK133" s="4108">
        <f>BJ133</f>
        <v>22283</v>
      </c>
      <c r="BL133" s="4078"/>
      <c r="BM133" s="4078"/>
      <c r="BN133" s="4078"/>
      <c r="BO133" s="4079"/>
      <c r="BP133" s="4078"/>
      <c r="BQ133" s="4079"/>
      <c r="BR133" s="4080"/>
      <c r="BS133" s="253"/>
      <c r="BT133" s="658"/>
      <c r="BU133" s="658"/>
      <c r="BV133" s="658"/>
      <c r="BW133" s="658"/>
      <c r="BX133" s="658"/>
      <c r="BY133" s="658"/>
      <c r="BZ133" s="658"/>
      <c r="CA133" s="658"/>
      <c r="CB133" s="658"/>
      <c r="CC133" s="658"/>
      <c r="CD133" s="658"/>
      <c r="CE133" s="658"/>
      <c r="CF133" s="658"/>
    </row>
    <row r="134" spans="1:84" ht="15" customHeight="1">
      <c r="A134" s="139"/>
      <c r="B134" s="7344"/>
      <c r="C134" s="7344"/>
      <c r="D134" s="7344"/>
      <c r="E134" s="7344"/>
      <c r="F134" s="1889" t="s">
        <v>732</v>
      </c>
      <c r="G134" s="1897"/>
      <c r="H134" s="1897"/>
      <c r="I134" s="1897"/>
      <c r="J134" s="1897"/>
      <c r="K134" s="1897"/>
      <c r="L134" s="1897"/>
      <c r="M134" s="1897"/>
      <c r="N134" s="1897"/>
      <c r="O134" s="1897"/>
      <c r="P134" s="1897"/>
      <c r="Q134" s="1897"/>
      <c r="R134" s="1897"/>
      <c r="S134" s="1897"/>
      <c r="T134" s="1897"/>
      <c r="U134" s="1897"/>
      <c r="V134" s="1897"/>
      <c r="W134" s="1830"/>
      <c r="X134" s="1897"/>
      <c r="Y134" s="1897"/>
      <c r="Z134" s="1897"/>
      <c r="AA134" s="1897"/>
      <c r="AB134" s="1258"/>
      <c r="AC134" s="1111"/>
      <c r="AD134" s="1897" t="s">
        <v>733</v>
      </c>
      <c r="AE134" s="1897"/>
      <c r="AF134" s="1897"/>
      <c r="AG134" s="1897"/>
      <c r="AH134" s="1897"/>
      <c r="AI134" s="1897"/>
      <c r="AJ134" s="1897"/>
      <c r="AK134" s="1897"/>
      <c r="AL134" s="7359" t="str">
        <f>IF(AC134="","X","")</f>
        <v>X</v>
      </c>
      <c r="AM134" s="7360"/>
      <c r="AN134" s="1847" t="s">
        <v>734</v>
      </c>
      <c r="AO134" s="1897"/>
      <c r="AP134" s="1897"/>
      <c r="AQ134" s="1897"/>
      <c r="AR134" s="1897"/>
      <c r="AS134" s="1876"/>
      <c r="AT134" s="4044"/>
      <c r="AU134" s="253"/>
      <c r="AV134" s="253"/>
      <c r="AW134" s="253"/>
      <c r="AX134" s="4008"/>
      <c r="AY134" s="253"/>
      <c r="AZ134" s="253"/>
      <c r="BA134" s="253"/>
      <c r="BB134" s="253"/>
      <c r="BC134" s="253"/>
      <c r="BD134" s="253"/>
      <c r="BE134" s="253"/>
      <c r="BF134" s="253"/>
      <c r="BG134" s="253"/>
      <c r="BH134" s="253"/>
      <c r="BI134" s="4077"/>
      <c r="BJ134" s="4078"/>
      <c r="BK134" s="4078"/>
      <c r="BL134" s="4078"/>
      <c r="BM134" s="4078"/>
      <c r="BN134" s="4078"/>
      <c r="BO134" s="4079"/>
      <c r="BP134" s="4078"/>
      <c r="BQ134" s="4079"/>
      <c r="BR134" s="4080"/>
      <c r="BS134" s="253"/>
      <c r="BT134" s="658"/>
      <c r="BU134" s="658"/>
      <c r="BV134" s="658"/>
      <c r="BW134" s="658"/>
      <c r="BX134" s="658"/>
      <c r="BY134" s="658"/>
      <c r="BZ134" s="658"/>
      <c r="CA134" s="658"/>
      <c r="CB134" s="658"/>
      <c r="CC134" s="658"/>
      <c r="CD134" s="658"/>
      <c r="CE134" s="658"/>
      <c r="CF134" s="658"/>
    </row>
    <row r="135" spans="1:84" ht="6" customHeight="1" thickBot="1">
      <c r="A135" s="139"/>
      <c r="B135" s="7344"/>
      <c r="C135" s="7344"/>
      <c r="D135" s="7344"/>
      <c r="E135" s="7344"/>
      <c r="F135" s="7346" t="s">
        <v>735</v>
      </c>
      <c r="G135" s="7346"/>
      <c r="H135" s="7346"/>
      <c r="I135" s="7346"/>
      <c r="J135" s="1897"/>
      <c r="K135" s="1897"/>
      <c r="L135" s="1897"/>
      <c r="M135" s="1897"/>
      <c r="N135" s="1897"/>
      <c r="O135" s="1897"/>
      <c r="P135" s="1897"/>
      <c r="Q135" s="1897"/>
      <c r="R135" s="1897"/>
      <c r="S135" s="1897"/>
      <c r="T135" s="1897"/>
      <c r="U135" s="1897"/>
      <c r="V135" s="1897"/>
      <c r="W135" s="7266" t="s">
        <v>736</v>
      </c>
      <c r="X135" s="7266"/>
      <c r="Y135" s="1897"/>
      <c r="Z135" s="1897"/>
      <c r="AA135" s="1897"/>
      <c r="AB135" s="1897"/>
      <c r="AC135" s="1897"/>
      <c r="AD135" s="1897"/>
      <c r="AE135" s="1897"/>
      <c r="AF135" s="6466"/>
      <c r="AG135" s="7346" t="s">
        <v>737</v>
      </c>
      <c r="AH135" s="7346"/>
      <c r="AI135" s="7346"/>
      <c r="AJ135" s="7346"/>
      <c r="AK135" s="7346"/>
      <c r="AL135" s="1897"/>
      <c r="AM135" s="1897"/>
      <c r="AN135" s="1897"/>
      <c r="AO135" s="1897"/>
      <c r="AP135" s="1897"/>
      <c r="AQ135" s="1897"/>
      <c r="AR135" s="1897"/>
      <c r="AS135" s="1876"/>
      <c r="AT135" s="4044"/>
      <c r="AU135" s="253"/>
      <c r="AV135" s="253"/>
      <c r="AW135" s="253"/>
      <c r="AX135" s="4008"/>
      <c r="AZ135" s="253"/>
      <c r="BA135" s="253"/>
      <c r="BB135" s="253"/>
      <c r="BC135" s="253"/>
      <c r="BD135" s="253"/>
      <c r="BE135" s="253"/>
      <c r="BF135" s="253"/>
      <c r="BG135" s="253"/>
      <c r="BH135" s="253"/>
      <c r="BI135" s="1073"/>
      <c r="BJ135" s="344"/>
      <c r="BK135" s="344"/>
      <c r="BL135" s="344"/>
      <c r="BM135" s="344"/>
      <c r="BN135" s="344"/>
      <c r="BO135" s="344"/>
      <c r="BP135" s="344"/>
      <c r="BQ135" s="344"/>
      <c r="BR135" s="346"/>
      <c r="BS135" s="253"/>
      <c r="BT135" s="658"/>
      <c r="BU135" s="658"/>
      <c r="BV135" s="658"/>
      <c r="BW135" s="658"/>
      <c r="BX135" s="658"/>
      <c r="BY135" s="658"/>
      <c r="BZ135" s="658"/>
      <c r="CA135" s="658"/>
      <c r="CB135" s="658"/>
      <c r="CC135" s="658"/>
      <c r="CD135" s="658"/>
      <c r="CE135" s="658"/>
      <c r="CF135" s="658"/>
    </row>
    <row r="136" spans="1:84" ht="20.25" customHeight="1" thickBot="1">
      <c r="A136" s="139"/>
      <c r="B136" s="7345"/>
      <c r="C136" s="7345"/>
      <c r="D136" s="7345"/>
      <c r="E136" s="7345"/>
      <c r="F136" s="7347"/>
      <c r="G136" s="7347"/>
      <c r="H136" s="7347"/>
      <c r="I136" s="7347"/>
      <c r="J136" s="7348"/>
      <c r="K136" s="7348"/>
      <c r="L136" s="7348"/>
      <c r="M136" s="7348"/>
      <c r="N136" s="7348"/>
      <c r="O136" s="7348"/>
      <c r="P136" s="7348"/>
      <c r="Q136" s="7348"/>
      <c r="R136" s="7348"/>
      <c r="S136" s="7348"/>
      <c r="T136" s="7348"/>
      <c r="U136" s="7348"/>
      <c r="V136" s="7348"/>
      <c r="W136" s="7267"/>
      <c r="X136" s="7267"/>
      <c r="Y136" s="7239"/>
      <c r="Z136" s="7239"/>
      <c r="AA136" s="7239"/>
      <c r="AB136" s="7239"/>
      <c r="AC136" s="7239"/>
      <c r="AD136" s="7239"/>
      <c r="AE136" s="1897"/>
      <c r="AF136" s="1903"/>
      <c r="AG136" s="7347"/>
      <c r="AH136" s="7347"/>
      <c r="AI136" s="7347"/>
      <c r="AJ136" s="7347"/>
      <c r="AK136" s="7347"/>
      <c r="AL136" s="7351"/>
      <c r="AM136" s="7352"/>
      <c r="AN136" s="7352"/>
      <c r="AO136" s="7352"/>
      <c r="AP136" s="7352"/>
      <c r="AQ136" s="7352"/>
      <c r="AR136" s="7353"/>
      <c r="AS136" s="1876"/>
      <c r="AT136" s="4044"/>
      <c r="AU136" s="4116" t="b">
        <f>(SUM(AL126,AD129)&lt;&gt;Overpaid)</f>
        <v>0</v>
      </c>
      <c r="AV136" s="4117"/>
      <c r="AW136" s="4117"/>
      <c r="AX136" s="4008"/>
      <c r="AY136" s="253"/>
      <c r="AZ136" s="253"/>
      <c r="BA136" s="253"/>
      <c r="BB136" s="253"/>
      <c r="BC136" s="253"/>
      <c r="BD136" s="253"/>
      <c r="BE136" s="253"/>
      <c r="BF136" s="253"/>
      <c r="BG136" s="253"/>
      <c r="BH136" s="253"/>
      <c r="BI136" s="4077" t="b">
        <f>IF(NumFileStatusBoxes=0,FALSE,IF(AND(OR(File_Marr_Sep&lt;&gt;"",File_Marr_Joint&lt;&gt;""),OR(BI122,BI143)),TRUE,IF(BI122,TRUE,FALSE)))</f>
        <v>0</v>
      </c>
      <c r="BJ136" s="7272"/>
      <c r="BK136" s="7272"/>
      <c r="BL136" s="4078"/>
      <c r="BM136" s="4078"/>
      <c r="BN136" s="4078"/>
      <c r="BO136" s="4079"/>
      <c r="BP136" s="4078"/>
      <c r="BQ136" s="4079"/>
      <c r="BR136" s="4080">
        <f>TaxYear-65</f>
        <v>1960</v>
      </c>
      <c r="BS136" s="253"/>
      <c r="BT136" s="658"/>
      <c r="BU136" s="658"/>
      <c r="BV136" s="658"/>
      <c r="BW136" s="658"/>
      <c r="BX136" s="658"/>
      <c r="BY136" s="658"/>
      <c r="BZ136" s="658"/>
      <c r="CA136" s="658"/>
      <c r="CB136" s="658"/>
      <c r="CC136" s="658"/>
      <c r="CD136" s="658"/>
      <c r="CE136" s="658"/>
      <c r="CF136" s="658"/>
    </row>
    <row r="137" spans="1:84" ht="14.25" customHeight="1" thickBot="1">
      <c r="A137" s="139"/>
      <c r="B137" s="7349" t="s">
        <v>738</v>
      </c>
      <c r="C137" s="7349"/>
      <c r="D137" s="5833"/>
      <c r="E137" s="1855"/>
      <c r="F137" s="1889" t="s">
        <v>739</v>
      </c>
      <c r="G137" s="1876"/>
      <c r="H137" s="1876"/>
      <c r="I137" s="1876"/>
      <c r="J137" s="1876"/>
      <c r="K137" s="1876"/>
      <c r="L137" s="1876"/>
      <c r="M137" s="1876"/>
      <c r="N137" s="1876"/>
      <c r="O137" s="1876"/>
      <c r="P137" s="1876"/>
      <c r="Q137" s="1876"/>
      <c r="R137" s="1876"/>
      <c r="S137" s="1876"/>
      <c r="T137" s="1876"/>
      <c r="U137" s="1876"/>
      <c r="V137" s="1876"/>
      <c r="W137" s="1876"/>
      <c r="X137" s="1876"/>
      <c r="Y137" s="1876"/>
      <c r="Z137" s="1876"/>
      <c r="AA137" s="1876"/>
      <c r="AB137" s="1876"/>
      <c r="AC137" s="1876"/>
      <c r="AD137" s="1876"/>
      <c r="AE137" s="1917"/>
      <c r="AF137" s="1876"/>
      <c r="AG137" s="1876"/>
      <c r="AH137" s="1876"/>
      <c r="AI137" s="1876"/>
      <c r="AJ137" s="1876"/>
      <c r="AK137" s="1876"/>
      <c r="AL137" s="1876"/>
      <c r="AM137" s="1876"/>
      <c r="AN137" s="1876"/>
      <c r="AO137" s="1876"/>
      <c r="AP137" s="1876"/>
      <c r="AQ137" s="1876"/>
      <c r="AR137" s="1876"/>
      <c r="AS137" s="1876"/>
      <c r="AT137" s="4044"/>
      <c r="AU137" s="4117"/>
      <c r="AV137" s="4117"/>
      <c r="AW137" s="4117"/>
      <c r="AX137" s="4008"/>
      <c r="AY137" s="253"/>
      <c r="AZ137" s="253"/>
      <c r="BA137" s="253"/>
      <c r="BB137" s="253"/>
      <c r="BC137" s="253"/>
      <c r="BD137" s="253"/>
      <c r="BE137" s="253"/>
      <c r="BF137" s="253"/>
      <c r="BG137" s="253"/>
      <c r="BH137" s="253"/>
      <c r="BI137" s="1073"/>
      <c r="BJ137" s="4111"/>
      <c r="BK137" s="4110" t="s">
        <v>729</v>
      </c>
      <c r="BL137" s="344"/>
      <c r="BM137" s="344"/>
      <c r="BN137" s="344"/>
      <c r="BO137" s="344"/>
      <c r="BP137" s="344"/>
      <c r="BQ137" s="344"/>
      <c r="BR137" s="346"/>
      <c r="BS137" s="253"/>
      <c r="BT137" s="827"/>
      <c r="BU137" s="658"/>
      <c r="BV137" s="658"/>
      <c r="BW137" s="658"/>
      <c r="BX137" s="658"/>
      <c r="BY137" s="658"/>
      <c r="BZ137" s="658"/>
      <c r="CA137" s="658"/>
      <c r="CB137" s="658"/>
      <c r="CC137" s="658"/>
      <c r="CD137" s="658"/>
      <c r="CE137" s="658"/>
      <c r="CF137" s="658"/>
    </row>
    <row r="138" spans="1:84" ht="14.25" customHeight="1" thickBot="1">
      <c r="A138" s="139"/>
      <c r="B138" s="7350"/>
      <c r="C138" s="7350"/>
      <c r="D138" s="1855"/>
      <c r="E138" s="1855"/>
      <c r="F138" s="5952" t="s">
        <v>740</v>
      </c>
      <c r="G138" s="1964"/>
      <c r="H138" s="1964"/>
      <c r="I138" s="1964"/>
      <c r="J138" s="1964"/>
      <c r="K138" s="1964"/>
      <c r="L138" s="1964"/>
      <c r="M138" s="1964"/>
      <c r="N138" s="1964"/>
      <c r="O138" s="1964"/>
      <c r="P138" s="1964"/>
      <c r="Q138" s="1964"/>
      <c r="R138" s="1964"/>
      <c r="S138" s="1964"/>
      <c r="T138" s="1964"/>
      <c r="U138" s="1964"/>
      <c r="V138" s="1964"/>
      <c r="W138" s="1964"/>
      <c r="X138" s="1964"/>
      <c r="Y138" s="1964"/>
      <c r="Z138" s="1964"/>
      <c r="AA138" s="1964"/>
      <c r="AB138" s="1964"/>
      <c r="AC138" s="1964"/>
      <c r="AD138" s="1964"/>
      <c r="AE138" s="1964"/>
      <c r="AF138" s="1964"/>
      <c r="AG138" s="1964"/>
      <c r="AH138" s="1964"/>
      <c r="AI138" s="1964"/>
      <c r="AJ138" s="1964"/>
      <c r="AK138" s="1964"/>
      <c r="AL138" s="1964"/>
      <c r="AM138" s="1964"/>
      <c r="AN138" s="1964"/>
      <c r="AO138" s="1964"/>
      <c r="AP138" s="1964"/>
      <c r="AQ138" s="1964"/>
      <c r="AR138" s="1964"/>
      <c r="AS138" s="1964"/>
      <c r="AT138" s="4044"/>
      <c r="AU138" s="4117"/>
      <c r="AV138" s="4117"/>
      <c r="AW138" s="4117"/>
      <c r="AX138" s="4008"/>
      <c r="AY138" s="253"/>
      <c r="AZ138" s="253"/>
      <c r="BA138" s="253"/>
      <c r="BB138" s="253"/>
      <c r="BC138" s="253"/>
      <c r="BD138" s="253"/>
      <c r="BE138" s="253"/>
      <c r="BF138" s="253"/>
      <c r="BG138" s="253"/>
      <c r="BH138" s="253"/>
      <c r="BI138" s="1073"/>
      <c r="BJ138" s="4112" t="str">
        <f>"April 15, "&amp;TaxYear+1</f>
        <v>April 15, 2026</v>
      </c>
      <c r="BK138" s="4113" t="str">
        <f>IF(WEEKDAY(BJ138)=6,BJ138+4,IF(WEEKDAY(BJ138)=7,BJ138+3,IF(WEEKDAY(BJ138)=1,BJ138+1,BJ138)))</f>
        <v>April 15, 2026</v>
      </c>
      <c r="BL138" s="344" t="s">
        <v>730</v>
      </c>
      <c r="BM138" s="344"/>
      <c r="BN138" s="344"/>
      <c r="BO138" s="344"/>
      <c r="BP138" s="344"/>
      <c r="BQ138" s="344"/>
      <c r="BR138" s="346"/>
      <c r="BS138" s="253"/>
      <c r="BT138" s="827"/>
      <c r="BU138" s="658"/>
      <c r="BV138" s="658"/>
      <c r="BW138" s="658"/>
      <c r="BX138" s="658"/>
      <c r="BY138" s="658"/>
      <c r="BZ138" s="658"/>
      <c r="CA138" s="658"/>
      <c r="CB138" s="658"/>
      <c r="CC138" s="658"/>
      <c r="CD138" s="658"/>
      <c r="CE138" s="658"/>
      <c r="CF138" s="658"/>
    </row>
    <row r="139" spans="1:84" ht="15.75" customHeight="1">
      <c r="A139" s="139"/>
      <c r="B139" s="7350"/>
      <c r="C139" s="7350"/>
      <c r="D139" s="1855"/>
      <c r="E139" s="1855"/>
      <c r="F139" s="504" t="s">
        <v>742</v>
      </c>
      <c r="G139" s="253"/>
      <c r="H139" s="343"/>
      <c r="I139" s="343"/>
      <c r="J139" s="343"/>
      <c r="K139" s="343"/>
      <c r="L139" s="343"/>
      <c r="M139" s="343"/>
      <c r="N139" s="343"/>
      <c r="O139" s="343"/>
      <c r="P139" s="343"/>
      <c r="Q139" s="343"/>
      <c r="R139" s="343"/>
      <c r="S139" s="343"/>
      <c r="T139" s="343"/>
      <c r="U139" s="7313" t="s">
        <v>227</v>
      </c>
      <c r="V139" s="7314"/>
      <c r="W139" s="7314"/>
      <c r="X139" s="7314"/>
      <c r="Y139" s="7314"/>
      <c r="Z139" s="7315"/>
      <c r="AA139" s="7313" t="s">
        <v>743</v>
      </c>
      <c r="AB139" s="7314"/>
      <c r="AC139" s="7314"/>
      <c r="AD139" s="7314"/>
      <c r="AE139" s="7314"/>
      <c r="AF139" s="7314"/>
      <c r="AG139" s="7314"/>
      <c r="AH139" s="7314"/>
      <c r="AI139" s="7315"/>
      <c r="AJ139" s="7187" t="s">
        <v>744</v>
      </c>
      <c r="AK139" s="7188"/>
      <c r="AL139" s="7188"/>
      <c r="AM139" s="7188"/>
      <c r="AN139" s="7188"/>
      <c r="AO139" s="7188"/>
      <c r="AP139" s="7188"/>
      <c r="AQ139" s="7188"/>
      <c r="AR139" s="7188"/>
      <c r="AS139" s="7188"/>
      <c r="AT139" s="4044"/>
      <c r="AU139" s="88"/>
      <c r="AV139" s="88"/>
      <c r="AW139" s="88"/>
      <c r="AX139" s="4008"/>
      <c r="AY139" s="5427">
        <v>100000</v>
      </c>
      <c r="AZ139" s="253"/>
      <c r="BA139" s="253"/>
      <c r="BB139" s="253"/>
      <c r="BC139" s="253"/>
      <c r="BD139" s="253"/>
      <c r="BE139" s="253"/>
      <c r="BF139" s="253"/>
      <c r="BG139" s="253"/>
      <c r="BH139" s="253"/>
      <c r="BI139" s="1073"/>
      <c r="BJ139" s="4114" t="str">
        <f>IF(WEEKDAY(BJ138)=1,"Sunday",IF(WEEKDAY(BJ138)=2,"Monday",IF(WEEKDAY(BJ138)=3,"Tuesday",IF(WEEKDAY(BJ138)=4,"Wednesday",IF(WEEKDAY(BJ138)=5,"Thursday",IF(WEEKDAY(BJ138)=6,"Friday",IF(WEEKDAY(BJ138)=7,"Saturday","")))))))</f>
        <v>Wednesday</v>
      </c>
      <c r="BK139" s="4115" t="str">
        <f>IF(WEEKDAY(BK138)=1,"Sunday",IF(WEEKDAY(BK138)=2,"Monday",IF(WEEKDAY(BK138)=3,"Tuesday",IF(WEEKDAY(BK138)=4,"Wednesday",IF(WEEKDAY(BK138)=5,"Thursday",IF(WEEKDAY(BK138)=6,"Friday",IF(WEEKDAY(BK138)=7,"Saturday","")))))))</f>
        <v>Wednesday</v>
      </c>
      <c r="BL139" s="344"/>
      <c r="BM139" s="344"/>
      <c r="BN139" s="344"/>
      <c r="BO139" s="344"/>
      <c r="BP139" s="4078"/>
      <c r="BQ139" s="4079"/>
      <c r="BR139" s="4080"/>
      <c r="BS139" s="253"/>
      <c r="BT139" s="827"/>
      <c r="BU139" s="658"/>
      <c r="BV139" s="658"/>
      <c r="BW139" s="658"/>
      <c r="BX139" s="658"/>
      <c r="BY139" s="658"/>
      <c r="BZ139" s="658"/>
      <c r="CA139" s="658"/>
      <c r="CB139" s="658"/>
      <c r="CC139" s="658"/>
      <c r="CD139" s="658"/>
      <c r="CE139" s="658"/>
      <c r="CF139" s="658"/>
    </row>
    <row r="140" spans="1:84" ht="13.5" thickBot="1">
      <c r="A140" s="139"/>
      <c r="B140" s="343"/>
      <c r="C140" s="504" t="s">
        <v>745</v>
      </c>
      <c r="D140" s="322"/>
      <c r="E140" s="322"/>
      <c r="F140" s="7183"/>
      <c r="G140" s="7183"/>
      <c r="H140" s="7183"/>
      <c r="I140" s="7183"/>
      <c r="J140" s="7183"/>
      <c r="K140" s="7183"/>
      <c r="L140" s="7183"/>
      <c r="M140" s="7183"/>
      <c r="N140" s="7183"/>
      <c r="O140" s="7183"/>
      <c r="P140" s="7183"/>
      <c r="Q140" s="7183"/>
      <c r="R140" s="7183"/>
      <c r="S140" s="7183"/>
      <c r="T140" s="7184"/>
      <c r="U140" s="7316"/>
      <c r="V140" s="7317"/>
      <c r="W140" s="7317"/>
      <c r="X140" s="7317"/>
      <c r="Y140" s="7317"/>
      <c r="Z140" s="7318"/>
      <c r="AA140" s="7322"/>
      <c r="AB140" s="7323"/>
      <c r="AC140" s="7323"/>
      <c r="AD140" s="7323"/>
      <c r="AE140" s="7323"/>
      <c r="AF140" s="7323"/>
      <c r="AG140" s="7323"/>
      <c r="AH140" s="7323"/>
      <c r="AI140" s="7324"/>
      <c r="AJ140" s="7187"/>
      <c r="AK140" s="7188"/>
      <c r="AL140" s="7188"/>
      <c r="AM140" s="7188"/>
      <c r="AN140" s="7188"/>
      <c r="AO140" s="7188"/>
      <c r="AP140" s="7188"/>
      <c r="AQ140" s="7188"/>
      <c r="AR140" s="7188"/>
      <c r="AS140" s="7188"/>
      <c r="AT140" s="4044"/>
      <c r="AU140" s="88"/>
      <c r="AV140" s="88"/>
      <c r="AW140" s="88"/>
      <c r="AX140" s="4008"/>
      <c r="AY140" s="5427">
        <v>200000</v>
      </c>
      <c r="AZ140" s="253"/>
      <c r="BA140" s="253"/>
      <c r="BB140" s="253"/>
      <c r="BC140" s="253"/>
      <c r="BD140" s="253"/>
      <c r="BE140" s="253"/>
      <c r="BF140" s="253"/>
      <c r="BG140" s="253"/>
      <c r="BH140" s="253"/>
      <c r="BI140" s="1073"/>
      <c r="BJ140" s="344"/>
      <c r="BK140" s="344"/>
      <c r="BL140" s="344"/>
      <c r="BM140" s="344"/>
      <c r="BN140" s="344"/>
      <c r="BO140" s="344"/>
      <c r="BP140" s="344"/>
      <c r="BQ140" s="344"/>
      <c r="BR140" s="346"/>
      <c r="BS140" s="253"/>
      <c r="BT140" s="827"/>
      <c r="BU140" s="658"/>
      <c r="BV140" s="658"/>
      <c r="BW140" s="658"/>
      <c r="BX140" s="658"/>
      <c r="BY140" s="658"/>
      <c r="BZ140" s="658"/>
      <c r="CA140" s="658"/>
      <c r="CB140" s="658"/>
      <c r="CC140" s="658"/>
      <c r="CD140" s="658"/>
      <c r="CE140" s="658"/>
      <c r="CF140" s="658"/>
    </row>
    <row r="141" spans="1:84" ht="14.25" customHeight="1" thickTop="1" thickBot="1">
      <c r="A141" s="139"/>
      <c r="B141" s="343"/>
      <c r="C141" s="1680" t="s">
        <v>746</v>
      </c>
      <c r="D141" s="1968"/>
      <c r="E141" s="1968"/>
      <c r="F141" s="7185"/>
      <c r="G141" s="7185"/>
      <c r="H141" s="7185"/>
      <c r="I141" s="7185"/>
      <c r="J141" s="7185"/>
      <c r="K141" s="7185"/>
      <c r="L141" s="7185"/>
      <c r="M141" s="7185"/>
      <c r="N141" s="7185"/>
      <c r="O141" s="7185"/>
      <c r="P141" s="7185"/>
      <c r="Q141" s="7185"/>
      <c r="R141" s="7185"/>
      <c r="S141" s="7185"/>
      <c r="T141" s="7186"/>
      <c r="U141" s="7319"/>
      <c r="V141" s="7320"/>
      <c r="W141" s="7320"/>
      <c r="X141" s="7320"/>
      <c r="Y141" s="7320"/>
      <c r="Z141" s="7321"/>
      <c r="AA141" s="7325"/>
      <c r="AB141" s="7326"/>
      <c r="AC141" s="7326"/>
      <c r="AD141" s="7326"/>
      <c r="AE141" s="7326"/>
      <c r="AF141" s="7326"/>
      <c r="AG141" s="7326"/>
      <c r="AH141" s="7326"/>
      <c r="AI141" s="7327"/>
      <c r="AJ141" s="7236" t="s">
        <v>747</v>
      </c>
      <c r="AK141" s="7237"/>
      <c r="AL141" s="7354"/>
      <c r="AM141" s="7355"/>
      <c r="AN141" s="7355"/>
      <c r="AO141" s="7355"/>
      <c r="AP141" s="7355"/>
      <c r="AQ141" s="7355"/>
      <c r="AR141" s="7355"/>
      <c r="AS141" s="7356"/>
      <c r="AT141" s="4044"/>
      <c r="AU141" s="88"/>
      <c r="AV141" s="88"/>
      <c r="AW141" s="88"/>
      <c r="AX141" s="4008"/>
      <c r="AY141" s="5427">
        <f>IF(File_Marr_Joint&lt;&gt;"",AY140,AY139)</f>
        <v>100000</v>
      </c>
      <c r="AZ141" s="253"/>
      <c r="BA141" s="253"/>
      <c r="BB141" s="253"/>
      <c r="BC141" s="253"/>
      <c r="BD141" s="253"/>
      <c r="BE141" s="253"/>
      <c r="BF141" s="253"/>
      <c r="BG141" s="253"/>
      <c r="BH141" s="253"/>
      <c r="BI141" s="1073"/>
      <c r="BJ141" s="344"/>
      <c r="BK141" s="344"/>
      <c r="BL141" s="344"/>
      <c r="BM141" s="344"/>
      <c r="BN141" s="344"/>
      <c r="BO141" s="344"/>
      <c r="BP141" s="344"/>
      <c r="BQ141" s="344"/>
      <c r="BR141" s="346"/>
      <c r="BS141" s="253"/>
      <c r="BT141" s="827"/>
      <c r="BU141" s="658"/>
      <c r="BV141" s="658"/>
      <c r="BW141" s="658"/>
      <c r="BX141" s="658"/>
      <c r="BY141" s="658"/>
      <c r="BZ141" s="658"/>
      <c r="CA141" s="658"/>
      <c r="CB141" s="658"/>
      <c r="CC141" s="658"/>
      <c r="CD141" s="658"/>
      <c r="CE141" s="658"/>
      <c r="CF141" s="658"/>
    </row>
    <row r="142" spans="1:84" ht="14.25" customHeight="1" thickTop="1">
      <c r="A142" s="139"/>
      <c r="B142" s="343"/>
      <c r="C142" s="7363" t="s">
        <v>5756</v>
      </c>
      <c r="D142" s="322"/>
      <c r="E142" s="322"/>
      <c r="F142" s="504" t="s">
        <v>5830</v>
      </c>
      <c r="G142" s="343"/>
      <c r="H142" s="343"/>
      <c r="I142" s="343"/>
      <c r="J142" s="343"/>
      <c r="K142" s="343"/>
      <c r="L142" s="343"/>
      <c r="M142" s="343"/>
      <c r="N142" s="343"/>
      <c r="O142" s="343"/>
      <c r="P142" s="343"/>
      <c r="Q142" s="343"/>
      <c r="R142" s="343"/>
      <c r="S142" s="343"/>
      <c r="T142" s="343"/>
      <c r="U142" s="7313" t="s">
        <v>227</v>
      </c>
      <c r="V142" s="7314"/>
      <c r="W142" s="7314"/>
      <c r="X142" s="7314"/>
      <c r="Y142" s="7314"/>
      <c r="Z142" s="7315"/>
      <c r="AA142" s="7247" t="s">
        <v>748</v>
      </c>
      <c r="AB142" s="7248"/>
      <c r="AC142" s="7248"/>
      <c r="AD142" s="7248"/>
      <c r="AE142" s="7248"/>
      <c r="AF142" s="7248"/>
      <c r="AG142" s="7248"/>
      <c r="AH142" s="7248"/>
      <c r="AI142" s="253"/>
      <c r="AJ142" s="7187" t="s">
        <v>744</v>
      </c>
      <c r="AK142" s="7188"/>
      <c r="AL142" s="7188"/>
      <c r="AM142" s="7188"/>
      <c r="AN142" s="7188"/>
      <c r="AO142" s="7188"/>
      <c r="AP142" s="7188"/>
      <c r="AQ142" s="7188"/>
      <c r="AR142" s="7188"/>
      <c r="AS142" s="7188"/>
      <c r="AT142" s="4044"/>
      <c r="AU142" s="88"/>
      <c r="AV142" s="88"/>
      <c r="AW142" s="88"/>
      <c r="AX142" s="4008"/>
      <c r="AY142" s="253"/>
      <c r="AZ142" s="253"/>
      <c r="BA142" s="253"/>
      <c r="BB142" s="253"/>
      <c r="BC142" s="253"/>
      <c r="BD142" s="253"/>
      <c r="BE142" s="253"/>
      <c r="BF142" s="253"/>
      <c r="BG142" s="253"/>
      <c r="BH142" s="253"/>
      <c r="BI142" s="4077"/>
      <c r="BJ142" s="5987" t="e">
        <f>DATEVALUE(BJ144)</f>
        <v>#N/A</v>
      </c>
      <c r="BK142" s="4078"/>
      <c r="BL142" s="4078" t="b">
        <f>IF(AND(AND(File_Marr_Joint="",File_Marr_Sep=""),NumFileStatusBoxes=1),TRUE,FALSE)</f>
        <v>0</v>
      </c>
      <c r="BM142" s="4078"/>
      <c r="BN142" s="4078"/>
      <c r="BO142" s="4079"/>
      <c r="BP142" s="4078"/>
      <c r="BQ142" s="4079"/>
      <c r="BR142" s="4080" t="b">
        <f>AND(SpouseDeceased&lt;&gt;"",SpouseDeathYear&lt;&gt;"",OR(SpouseBirthYear&lt;$BR$136,AND(SpouseBirthYear=$BR$136,SpouseDeathMonth&gt;SpouseBirthMonth),AND(SpouseDeathMonth=SpouseBirthMonth,SpouseDeathDay&gt;=SpouseBirthDay-1)))</f>
        <v>0</v>
      </c>
      <c r="BS142" s="253"/>
      <c r="BT142" s="827"/>
      <c r="BU142" s="658"/>
      <c r="BV142" s="658"/>
      <c r="BW142" s="658"/>
      <c r="BX142" s="658"/>
      <c r="BY142" s="658"/>
      <c r="BZ142" s="658"/>
      <c r="CA142" s="658"/>
      <c r="CB142" s="658"/>
      <c r="CC142" s="658"/>
      <c r="CD142" s="658"/>
      <c r="CE142" s="658"/>
      <c r="CF142" s="658"/>
    </row>
    <row r="143" spans="1:84" ht="13.5" customHeight="1" thickBot="1">
      <c r="A143" s="139"/>
      <c r="B143" s="343"/>
      <c r="C143" s="7363"/>
      <c r="D143" s="2011"/>
      <c r="E143" s="322"/>
      <c r="F143" s="7183"/>
      <c r="G143" s="7183"/>
      <c r="H143" s="7183"/>
      <c r="I143" s="7183"/>
      <c r="J143" s="7183"/>
      <c r="K143" s="7183"/>
      <c r="L143" s="7183"/>
      <c r="M143" s="7183"/>
      <c r="N143" s="7183"/>
      <c r="O143" s="7183"/>
      <c r="P143" s="7183"/>
      <c r="Q143" s="7183"/>
      <c r="R143" s="7183"/>
      <c r="S143" s="7183"/>
      <c r="T143" s="7184"/>
      <c r="U143" s="7316"/>
      <c r="V143" s="7317"/>
      <c r="W143" s="7317"/>
      <c r="X143" s="7317"/>
      <c r="Y143" s="7317"/>
      <c r="Z143" s="7318"/>
      <c r="AA143" s="7322"/>
      <c r="AB143" s="7323"/>
      <c r="AC143" s="7323"/>
      <c r="AD143" s="7323"/>
      <c r="AE143" s="7323"/>
      <c r="AF143" s="7323"/>
      <c r="AG143" s="7323"/>
      <c r="AH143" s="7323"/>
      <c r="AI143" s="7324"/>
      <c r="AJ143" s="7187"/>
      <c r="AK143" s="7188"/>
      <c r="AL143" s="7188"/>
      <c r="AM143" s="7188"/>
      <c r="AN143" s="7188"/>
      <c r="AO143" s="7188"/>
      <c r="AP143" s="7188"/>
      <c r="AQ143" s="7188"/>
      <c r="AR143" s="7188"/>
      <c r="AS143" s="7188"/>
      <c r="AT143" s="4044"/>
      <c r="AU143" s="88"/>
      <c r="AV143" s="88"/>
      <c r="AW143" s="88"/>
      <c r="AX143" s="4008"/>
      <c r="AY143" s="253"/>
      <c r="AZ143" s="253"/>
      <c r="BA143" s="253"/>
      <c r="BB143" s="253"/>
      <c r="BC143" s="253"/>
      <c r="BD143" s="253"/>
      <c r="BE143" s="253"/>
      <c r="BF143" s="253"/>
      <c r="BG143" s="253"/>
      <c r="BH143" s="253"/>
      <c r="BI143" s="4077" t="b">
        <f>OR(SpouseBirthMonth="",SpouseBirthDay="",SpouseBirthYear="")</f>
        <v>1</v>
      </c>
      <c r="BJ143" s="4084" t="e">
        <f>DATEVALUE(BJ144)</f>
        <v>#N/A</v>
      </c>
      <c r="BK143" s="4078" t="s">
        <v>741</v>
      </c>
      <c r="BL143" s="4078"/>
      <c r="BM143" s="4078"/>
      <c r="BN143" s="4085" t="s">
        <v>698</v>
      </c>
      <c r="BO143" s="4079" t="e">
        <f>IF(AND(SpouseBirthMonth=2,SpouseBirthDay=29),SpouseBirthDay-1&amp;"-"&amp;LOOKUP(SpouseBirthMonth,$BQ$118:$BQ$130,$BR$118:$BR$130)&amp;"-"&amp;(SpouseBirthYear+70),SpouseBirthDay&amp;"-"&amp;LOOKUP(SpouseBirthMonth,$BQ$118:$BQ$130,$BR$118:$BR$130)&amp;"-"&amp;(SpouseBirthYear+70))</f>
        <v>#N/A</v>
      </c>
      <c r="BP143" s="4078"/>
      <c r="BQ143" s="4079"/>
      <c r="BR143" s="4118" t="e">
        <f>DATEVALUE(BR145)</f>
        <v>#N/A</v>
      </c>
      <c r="BS143" s="253"/>
      <c r="BT143" s="827"/>
      <c r="BU143" s="658"/>
      <c r="BV143" s="658"/>
      <c r="BW143" s="658"/>
      <c r="BX143" s="658"/>
      <c r="BY143" s="658"/>
      <c r="BZ143" s="658"/>
      <c r="CA143" s="658"/>
      <c r="CB143" s="658"/>
      <c r="CC143" s="658"/>
      <c r="CD143" s="658"/>
      <c r="CE143" s="658"/>
      <c r="CF143" s="658"/>
    </row>
    <row r="144" spans="1:84" ht="14.25" customHeight="1" thickTop="1" thickBot="1">
      <c r="A144" s="139"/>
      <c r="B144" s="343"/>
      <c r="C144" s="7363"/>
      <c r="D144" s="1969"/>
      <c r="E144" s="1969"/>
      <c r="F144" s="7185"/>
      <c r="G144" s="7185"/>
      <c r="H144" s="7185"/>
      <c r="I144" s="7185"/>
      <c r="J144" s="7185"/>
      <c r="K144" s="7185"/>
      <c r="L144" s="7185"/>
      <c r="M144" s="7185"/>
      <c r="N144" s="7185"/>
      <c r="O144" s="7185"/>
      <c r="P144" s="7185"/>
      <c r="Q144" s="7185"/>
      <c r="R144" s="7185"/>
      <c r="S144" s="7185"/>
      <c r="T144" s="7186"/>
      <c r="U144" s="7319"/>
      <c r="V144" s="7320"/>
      <c r="W144" s="7320"/>
      <c r="X144" s="7320"/>
      <c r="Y144" s="7320"/>
      <c r="Z144" s="7321"/>
      <c r="AA144" s="7325"/>
      <c r="AB144" s="7326"/>
      <c r="AC144" s="7326"/>
      <c r="AD144" s="7326"/>
      <c r="AE144" s="7326"/>
      <c r="AF144" s="7326"/>
      <c r="AG144" s="7326"/>
      <c r="AH144" s="7326"/>
      <c r="AI144" s="7327"/>
      <c r="AJ144" s="7236" t="s">
        <v>747</v>
      </c>
      <c r="AK144" s="7237"/>
      <c r="AL144" s="7354"/>
      <c r="AM144" s="7355"/>
      <c r="AN144" s="7355"/>
      <c r="AO144" s="7355"/>
      <c r="AP144" s="7355"/>
      <c r="AQ144" s="7355"/>
      <c r="AR144" s="7355"/>
      <c r="AS144" s="7356"/>
      <c r="AT144" s="4044"/>
      <c r="AU144" s="88"/>
      <c r="AV144" s="88"/>
      <c r="AW144" s="88"/>
      <c r="AX144" s="4008"/>
      <c r="AY144" s="253"/>
      <c r="AZ144" s="253"/>
      <c r="BA144" s="253"/>
      <c r="BB144" s="253"/>
      <c r="BC144" s="253"/>
      <c r="BD144" s="253"/>
      <c r="BE144" s="253"/>
      <c r="BF144" s="253"/>
      <c r="BG144" s="253"/>
      <c r="BH144" s="253"/>
      <c r="BI144" s="4087" t="e">
        <f>LOOKUP(SpouseBirthMonth,$BQ$118:$BQ$130,$BR$118:$BR$130)</f>
        <v>#N/A</v>
      </c>
      <c r="BJ144" s="4079" t="e">
        <f>SpouseBirthDay&amp;"-"&amp;BI144&amp;"-"&amp;SpouseBirthYear</f>
        <v>#N/A</v>
      </c>
      <c r="BK144" s="4088" t="b">
        <f>IF(OR(SpouseBirthMonth="",SpouseBirthDay="",SpouseBirthYear=""),TRUE,IF(OR(SpouseBirthYear&gt;TaxYear,ISERROR(BJ143)),TRUE,FALSE))</f>
        <v>1</v>
      </c>
      <c r="BL144" s="4078" t="b">
        <f>IF(OR(AND(SpouseBirthMonth="",SpouseBirthDay="",SpouseBirthYear=""),NOT_MFJ),FALSE,IF(OR(BadBirthdate_Spouse,AND(SpouseAge&gt;120,AND(SpouseBirthMonth&lt;&gt;"",SpouseBirthDay&lt;&gt;"",SpouseBirthYear&lt;&gt;""))),TRUE,FALSE))</f>
        <v>0</v>
      </c>
      <c r="BM144" s="4078"/>
      <c r="BN144" s="4089"/>
      <c r="BO144" s="4079"/>
      <c r="BP144" s="4078"/>
      <c r="BQ144" s="4079"/>
      <c r="BR144" s="4080" t="b">
        <f>AND(SpouseDeathMonth&lt;&gt;"",SpouseDeathDay&lt;&gt;"",SpouseDeathYear&lt;&gt;"",SpouseDeceased&lt;&gt;"",ISERROR(SpouseDeathDate))</f>
        <v>0</v>
      </c>
      <c r="BS144" s="253"/>
      <c r="BT144" s="827"/>
      <c r="BU144" s="658"/>
      <c r="BV144" s="658"/>
      <c r="BW144" s="658"/>
      <c r="BX144" s="658"/>
      <c r="BY144" s="658"/>
      <c r="BZ144" s="658"/>
      <c r="CA144" s="658"/>
      <c r="CB144" s="658"/>
      <c r="CC144" s="658"/>
      <c r="CD144" s="658"/>
      <c r="CE144" s="658"/>
      <c r="CF144" s="658"/>
    </row>
    <row r="145" spans="1:84" ht="16.5" customHeight="1" thickTop="1" thickBot="1">
      <c r="A145" s="139"/>
      <c r="B145" s="348"/>
      <c r="C145" s="1970"/>
      <c r="D145" s="1970"/>
      <c r="E145" s="1970"/>
      <c r="F145" s="2232" t="s">
        <v>736</v>
      </c>
      <c r="G145" s="1971"/>
      <c r="H145" s="1970"/>
      <c r="I145" s="7332"/>
      <c r="J145" s="7332"/>
      <c r="K145" s="7332"/>
      <c r="L145" s="7332"/>
      <c r="M145" s="7332"/>
      <c r="N145" s="7332"/>
      <c r="O145" s="7332"/>
      <c r="P145" s="7332"/>
      <c r="Q145" s="7332"/>
      <c r="R145" s="7332"/>
      <c r="S145" s="7332"/>
      <c r="T145" s="7333"/>
      <c r="U145" s="7244" t="s">
        <v>750</v>
      </c>
      <c r="V145" s="7245"/>
      <c r="W145" s="7246"/>
      <c r="X145" s="7246"/>
      <c r="Y145" s="7246"/>
      <c r="Z145" s="5812"/>
      <c r="AA145" s="7337"/>
      <c r="AB145" s="7337"/>
      <c r="AC145" s="7337"/>
      <c r="AD145" s="7337"/>
      <c r="AE145" s="7337"/>
      <c r="AF145" s="7337"/>
      <c r="AG145" s="7337"/>
      <c r="AH145" s="7337"/>
      <c r="AI145" s="7337"/>
      <c r="AJ145" s="7337"/>
      <c r="AK145" s="7337"/>
      <c r="AL145" s="7337"/>
      <c r="AM145" s="7337"/>
      <c r="AN145" s="7337"/>
      <c r="AO145" s="7337"/>
      <c r="AP145" s="7337"/>
      <c r="AQ145" s="7337"/>
      <c r="AR145" s="7337"/>
      <c r="AS145" s="7337"/>
      <c r="AT145" s="4044"/>
      <c r="AU145" s="88"/>
      <c r="AV145" s="88"/>
      <c r="AW145" s="88"/>
      <c r="AX145" s="4008"/>
      <c r="AY145" s="253"/>
      <c r="AZ145" s="253"/>
      <c r="BA145" s="253"/>
      <c r="BB145" s="253"/>
      <c r="BC145" s="253"/>
      <c r="BD145" s="253"/>
      <c r="BE145" s="253"/>
      <c r="BF145" s="253"/>
      <c r="BG145" s="253"/>
      <c r="BH145" s="253"/>
      <c r="BI145" s="4077"/>
      <c r="BJ145" s="4078" t="e">
        <f>IF(BL144,"",DATEVALUE(BJ144))</f>
        <v>#N/A</v>
      </c>
      <c r="BK145" s="4078"/>
      <c r="BL145" s="4078"/>
      <c r="BM145" s="4085" t="str">
        <f>"SPOUSE is 70.5 on "&amp;TEXT(EndOfTaxYear,"dd-mmm-yyyy")&amp;" -&gt;"</f>
        <v>SPOUSE is 70.5 on 31-Dec-2025 -&gt;</v>
      </c>
      <c r="BN145" s="4090" t="b">
        <f>IF(BadBirthdate_Spouse,FALSE, IF(DATEVALUE(BO143)&lt;=DATEVALUE(BN128),TRUE,FALSE))</f>
        <v>0</v>
      </c>
      <c r="BO145" s="4079"/>
      <c r="BP145" s="4078">
        <f>SpouseBirthMonth+6</f>
        <v>6</v>
      </c>
      <c r="BQ145" s="4079" t="e">
        <f>LOOKUP(SpouseDeathMonth,$BQ$118:$BQ$130,$BR$118:$BR$130)</f>
        <v>#N/A</v>
      </c>
      <c r="BR145" s="4080" t="e">
        <f>SpouseDeathDay&amp;"-"&amp;BQ145&amp;"-"&amp;SpouseDeathYear</f>
        <v>#N/A</v>
      </c>
      <c r="BS145" s="253"/>
      <c r="BT145" s="827"/>
      <c r="BU145" s="658"/>
      <c r="BV145" s="658"/>
      <c r="BW145" s="658"/>
      <c r="BX145" s="658"/>
      <c r="BY145" s="658"/>
      <c r="BZ145" s="658"/>
      <c r="CA145" s="658"/>
      <c r="CB145" s="658"/>
      <c r="CC145" s="658"/>
      <c r="CD145" s="658"/>
      <c r="CE145" s="658"/>
      <c r="CF145" s="658"/>
    </row>
    <row r="146" spans="1:84" ht="16.5" customHeight="1" thickBot="1">
      <c r="A146" s="139"/>
      <c r="B146" s="7357" t="s">
        <v>5757</v>
      </c>
      <c r="C146" s="7357"/>
      <c r="D146" s="1972"/>
      <c r="E146" s="1972"/>
      <c r="F146" s="7249" t="s">
        <v>752</v>
      </c>
      <c r="G146" s="7250"/>
      <c r="H146" s="7250"/>
      <c r="I146" s="7250"/>
      <c r="J146" s="7250"/>
      <c r="K146" s="7250"/>
      <c r="L146" s="7250"/>
      <c r="M146" s="7250"/>
      <c r="N146" s="7250"/>
      <c r="O146" s="7251"/>
      <c r="P146" s="7258" t="s">
        <v>753</v>
      </c>
      <c r="Q146" s="7249"/>
      <c r="R146" s="7250"/>
      <c r="S146" s="7250"/>
      <c r="T146" s="7250"/>
      <c r="U146" s="7250"/>
      <c r="V146" s="7250"/>
      <c r="W146" s="7250"/>
      <c r="X146" s="7250"/>
      <c r="Y146" s="7250"/>
      <c r="Z146" s="3"/>
      <c r="AA146" s="1973"/>
      <c r="AB146" s="1974"/>
      <c r="AC146" s="7252" t="s">
        <v>227</v>
      </c>
      <c r="AD146" s="7253"/>
      <c r="AE146" s="7253"/>
      <c r="AF146" s="7253"/>
      <c r="AG146" s="7254"/>
      <c r="AH146" s="7252" t="s">
        <v>754</v>
      </c>
      <c r="AI146" s="7253"/>
      <c r="AJ146" s="7253"/>
      <c r="AK146" s="7253"/>
      <c r="AL146" s="7253"/>
      <c r="AM146" s="7253"/>
      <c r="AN146" s="7254"/>
      <c r="AO146" s="7232" t="s">
        <v>755</v>
      </c>
      <c r="AP146" s="7233"/>
      <c r="AQ146" s="7233"/>
      <c r="AR146" s="7233"/>
      <c r="AS146" s="7233"/>
      <c r="AT146" s="4044"/>
      <c r="AU146" s="88"/>
      <c r="AV146" s="88"/>
      <c r="AW146" s="88"/>
      <c r="AX146" s="4008"/>
      <c r="AY146" s="253"/>
      <c r="AZ146" s="253"/>
      <c r="BA146" s="253"/>
      <c r="BB146" s="253"/>
      <c r="BC146" s="253"/>
      <c r="BD146" s="253"/>
      <c r="BE146" s="253"/>
      <c r="BF146" s="253"/>
      <c r="BG146" s="253"/>
      <c r="BH146" s="253"/>
      <c r="BI146" s="4077"/>
      <c r="BJ146" s="4078" t="e">
        <f>ROUNDDOWN((EndOfTaxYear-BJ145)/365.25,1)</f>
        <v>#N/A</v>
      </c>
      <c r="BK146" s="4078"/>
      <c r="BL146" s="4078"/>
      <c r="BM146" s="4085" t="str">
        <f>"SPOUSE is 65 on "&amp;TEXT(EndOfTaxYear,"dd-mmm-yyyy")&amp;" -&gt;"</f>
        <v>SPOUSE is 65 on 31-Dec-2025 -&gt;</v>
      </c>
      <c r="BN146" s="4090" t="b">
        <f>IF(BadBirthdate_Spouse,FALSE,SpouseAge&gt;=65)</f>
        <v>0</v>
      </c>
      <c r="BO146" s="4119"/>
      <c r="BP146" s="4078">
        <f>IF(BP145&lt;=12,SpouseBirthYear+70,SpouseBirthYear+71)</f>
        <v>70</v>
      </c>
      <c r="BQ146" s="4079"/>
      <c r="BR146" s="4080"/>
      <c r="BS146" s="253"/>
      <c r="BT146" s="827"/>
      <c r="BU146" s="658"/>
      <c r="BV146" s="658"/>
      <c r="BW146" s="658"/>
      <c r="BX146" s="658"/>
      <c r="BY146" s="658"/>
      <c r="BZ146" s="658"/>
      <c r="CA146" s="658"/>
      <c r="CB146" s="658"/>
      <c r="CC146" s="658"/>
      <c r="CD146" s="658"/>
      <c r="CE146" s="658"/>
      <c r="CF146" s="658"/>
    </row>
    <row r="147" spans="1:84" ht="21" customHeight="1" thickBot="1">
      <c r="A147" s="139"/>
      <c r="B147" s="7358"/>
      <c r="C147" s="7358"/>
      <c r="D147" s="1972"/>
      <c r="E147" s="1972"/>
      <c r="F147" s="7189"/>
      <c r="G147" s="7189"/>
      <c r="H147" s="7189"/>
      <c r="I147" s="7189"/>
      <c r="J147" s="7189"/>
      <c r="K147" s="7189"/>
      <c r="L147" s="7189"/>
      <c r="M147" s="7189"/>
      <c r="N147" s="7190"/>
      <c r="O147" s="7191"/>
      <c r="P147" s="7113"/>
      <c r="Q147" s="7114"/>
      <c r="R147" s="7234"/>
      <c r="S147" s="7234"/>
      <c r="T147" s="7234"/>
      <c r="U147" s="7234"/>
      <c r="V147" s="7234"/>
      <c r="W147" s="7234"/>
      <c r="X147" s="7234"/>
      <c r="Y147" s="7234"/>
      <c r="Z147" s="7234"/>
      <c r="AA147" s="7234"/>
      <c r="AB147" s="7235"/>
      <c r="AC147" s="7192"/>
      <c r="AD147" s="7193"/>
      <c r="AE147" s="7193"/>
      <c r="AF147" s="7193"/>
      <c r="AG147" s="7193"/>
      <c r="AH147" s="7194"/>
      <c r="AI147" s="7195"/>
      <c r="AJ147" s="7195"/>
      <c r="AK147" s="7195"/>
      <c r="AL147" s="7195"/>
      <c r="AM147" s="7195"/>
      <c r="AN147" s="7196"/>
      <c r="AO147" s="276"/>
      <c r="AP147" s="5953" t="s">
        <v>757</v>
      </c>
      <c r="AQ147" s="1665"/>
      <c r="AR147" s="772"/>
      <c r="AS147" s="772"/>
      <c r="AT147" s="4044"/>
      <c r="AU147" s="88"/>
      <c r="AV147" s="88"/>
      <c r="AW147" s="88"/>
      <c r="AX147" s="4008"/>
      <c r="AY147" s="253"/>
      <c r="AZ147" s="253"/>
      <c r="BA147" s="253"/>
      <c r="BB147" s="253"/>
      <c r="BC147" s="253"/>
      <c r="BD147" s="253"/>
      <c r="BE147" s="253"/>
      <c r="BF147" s="253"/>
      <c r="BG147" s="253"/>
      <c r="BH147" s="253"/>
      <c r="BI147" s="4077"/>
      <c r="BJ147" s="4078" t="str">
        <f>IF(SpouseBirthYear="","?",IF(AND(SpouseBirthMonth=1,SpouseBirthDay=1),TaxYear-SpouseBirthYear+1,TaxYear-SpouseBirthYear))</f>
        <v>?</v>
      </c>
      <c r="BK147" s="4078"/>
      <c r="BL147" s="4078"/>
      <c r="BM147" s="4085" t="str">
        <f>"SPOUSE is born before "&amp;TEXT(BP127,"dd-mmm-yyyy")&amp;" -&gt;"</f>
        <v>SPOUSE is born before 02-Jan-1960 -&gt;</v>
      </c>
      <c r="BN147" s="4090" t="e">
        <f>BJ143&lt;$BP$127</f>
        <v>#N/A</v>
      </c>
      <c r="BO147" s="4119"/>
      <c r="BP147" s="4078"/>
      <c r="BQ147" s="4079"/>
      <c r="BR147" s="4080"/>
      <c r="BS147" s="253"/>
      <c r="BT147" s="827"/>
      <c r="BU147" s="658"/>
      <c r="BV147" s="658"/>
      <c r="BW147" s="658"/>
      <c r="BX147" s="658"/>
      <c r="BY147" s="658"/>
      <c r="BZ147" s="658"/>
      <c r="CA147" s="658"/>
      <c r="CB147" s="658"/>
      <c r="CC147" s="658"/>
      <c r="CD147" s="658"/>
      <c r="CE147" s="658"/>
      <c r="CF147" s="658"/>
    </row>
    <row r="148" spans="1:84" ht="15.75" customHeight="1" thickBot="1">
      <c r="A148" s="139"/>
      <c r="B148" s="7358"/>
      <c r="C148" s="7358"/>
      <c r="D148" s="1152"/>
      <c r="E148" s="1152"/>
      <c r="F148" s="7241" t="s">
        <v>758</v>
      </c>
      <c r="G148" s="7242"/>
      <c r="H148" s="7242"/>
      <c r="I148" s="7243"/>
      <c r="J148" s="5832"/>
      <c r="K148" s="7328"/>
      <c r="L148" s="7328"/>
      <c r="M148" s="7328"/>
      <c r="N148" s="7328"/>
      <c r="O148" s="7328"/>
      <c r="P148" s="7328"/>
      <c r="Q148" s="7328"/>
      <c r="R148" s="7328"/>
      <c r="S148" s="7328"/>
      <c r="T148" s="7328"/>
      <c r="U148" s="7328"/>
      <c r="V148" s="7328"/>
      <c r="W148" s="7328"/>
      <c r="X148" s="7328"/>
      <c r="Y148" s="7328"/>
      <c r="Z148" s="7328"/>
      <c r="AA148" s="7328"/>
      <c r="AB148" s="7328"/>
      <c r="AC148" s="7328"/>
      <c r="AD148" s="7328"/>
      <c r="AE148" s="7328"/>
      <c r="AF148" s="7328"/>
      <c r="AG148" s="7328"/>
      <c r="AH148" s="7329" t="s">
        <v>736</v>
      </c>
      <c r="AI148" s="7330"/>
      <c r="AJ148" s="7331"/>
      <c r="AK148" s="7361"/>
      <c r="AL148" s="7362"/>
      <c r="AM148" s="7362"/>
      <c r="AN148" s="7362"/>
      <c r="AO148" s="7362"/>
      <c r="AP148" s="7362"/>
      <c r="AQ148" s="7362"/>
      <c r="AR148" s="7362"/>
      <c r="AS148" s="7362"/>
      <c r="AT148" s="4044"/>
      <c r="AU148" s="88"/>
      <c r="AV148" s="88"/>
      <c r="AW148" s="88"/>
      <c r="AX148" s="4008"/>
      <c r="AY148" s="253"/>
      <c r="AZ148" s="253"/>
      <c r="BA148" s="253"/>
      <c r="BB148" s="253"/>
      <c r="BC148" s="253"/>
      <c r="BD148" s="253"/>
      <c r="BE148" s="253"/>
      <c r="BF148" s="253"/>
      <c r="BG148" s="253"/>
      <c r="BH148" s="253"/>
      <c r="BI148" s="4077"/>
      <c r="BJ148" s="4078"/>
      <c r="BK148" s="4078"/>
      <c r="BL148" s="4078"/>
      <c r="BM148" s="4085" t="str">
        <f>"SPOUSE died after turning 65. -&gt;"</f>
        <v>SPOUSE died after turning 65. -&gt;</v>
      </c>
      <c r="BN148" s="4090" t="b">
        <f>AND(BI28)</f>
        <v>0</v>
      </c>
      <c r="BO148" s="4119"/>
      <c r="BP148" s="4078"/>
      <c r="BQ148" s="4079"/>
      <c r="BR148" s="4080"/>
      <c r="BS148" s="253"/>
      <c r="BT148" s="827"/>
      <c r="BU148" s="658"/>
      <c r="BV148" s="658"/>
      <c r="BW148" s="658"/>
      <c r="BX148" s="658"/>
      <c r="BY148" s="658"/>
      <c r="BZ148" s="658"/>
      <c r="CA148" s="658"/>
      <c r="CB148" s="658"/>
      <c r="CC148" s="658"/>
      <c r="CD148" s="658"/>
      <c r="CE148" s="658"/>
      <c r="CF148" s="658"/>
    </row>
    <row r="149" spans="1:84" ht="18.75" customHeight="1" thickBot="1">
      <c r="A149" s="139"/>
      <c r="B149" s="1972"/>
      <c r="C149" s="1972"/>
      <c r="D149" s="1152"/>
      <c r="E149" s="1152"/>
      <c r="F149" s="7180" t="s">
        <v>759</v>
      </c>
      <c r="G149" s="7181"/>
      <c r="H149" s="7181"/>
      <c r="I149" s="7182"/>
      <c r="J149" s="5831"/>
      <c r="K149" s="5867"/>
      <c r="L149" s="7268"/>
      <c r="M149" s="7268"/>
      <c r="N149" s="7268"/>
      <c r="O149" s="7268"/>
      <c r="P149" s="7268"/>
      <c r="Q149" s="7268"/>
      <c r="R149" s="7268"/>
      <c r="S149" s="7268"/>
      <c r="T149" s="7268"/>
      <c r="U149" s="7268"/>
      <c r="V149" s="7268"/>
      <c r="W149" s="7268"/>
      <c r="X149" s="7268"/>
      <c r="Y149" s="7268"/>
      <c r="Z149" s="7268"/>
      <c r="AA149" s="7268"/>
      <c r="AB149" s="7268"/>
      <c r="AC149" s="7268"/>
      <c r="AD149" s="7268"/>
      <c r="AE149" s="7268"/>
      <c r="AF149" s="7268"/>
      <c r="AG149" s="7269"/>
      <c r="AH149" s="7197" t="s">
        <v>760</v>
      </c>
      <c r="AI149" s="7198"/>
      <c r="AJ149" s="7198"/>
      <c r="AK149" s="7199"/>
      <c r="AL149" s="7200"/>
      <c r="AM149" s="7200"/>
      <c r="AN149" s="7200"/>
      <c r="AO149" s="7200"/>
      <c r="AP149" s="7200"/>
      <c r="AQ149" s="7200"/>
      <c r="AR149" s="7200"/>
      <c r="AS149" s="7200"/>
      <c r="AT149" s="4044"/>
      <c r="AU149" s="88"/>
      <c r="AV149" s="88"/>
      <c r="AW149" s="88"/>
      <c r="AX149" s="4008"/>
      <c r="AY149" s="253"/>
      <c r="AZ149" s="253"/>
      <c r="BA149" s="253"/>
      <c r="BB149" s="253"/>
      <c r="BC149" s="253"/>
      <c r="BD149" s="253"/>
      <c r="BE149" s="253"/>
      <c r="BF149" s="253"/>
      <c r="BG149" s="253"/>
      <c r="BH149" s="253"/>
      <c r="BI149" s="4077" t="s">
        <v>749</v>
      </c>
      <c r="BJ149" s="4078"/>
      <c r="BK149" s="4093">
        <f>DATEVALUE("2-JAN-"&amp;(TaxYear-23))</f>
        <v>37258</v>
      </c>
      <c r="BL149" s="4078" t="e">
        <f>IF(NOT_MFJ,FALSE,$BJ$143&lt;BK149)</f>
        <v>#N/A</v>
      </c>
      <c r="BM149" s="4085"/>
      <c r="BN149" s="4078"/>
      <c r="BO149" s="4119"/>
      <c r="BP149" s="4078"/>
      <c r="BQ149" s="4079"/>
      <c r="BR149" s="4080"/>
      <c r="BS149" s="253"/>
      <c r="BT149" s="827"/>
      <c r="BU149" s="658"/>
      <c r="BV149" s="658"/>
      <c r="BW149" s="658"/>
      <c r="BX149" s="658"/>
      <c r="BY149" s="658"/>
      <c r="BZ149" s="658"/>
      <c r="CA149" s="658"/>
      <c r="CB149" s="658"/>
      <c r="CC149" s="658"/>
      <c r="CD149" s="658"/>
      <c r="CE149" s="658"/>
      <c r="CF149" s="658"/>
    </row>
    <row r="150" spans="1:84" ht="18.75" customHeight="1" thickTop="1">
      <c r="A150" s="139"/>
      <c r="B150" s="6468" t="s">
        <v>6334</v>
      </c>
      <c r="C150" s="1975"/>
      <c r="D150" s="1975"/>
      <c r="E150" s="1975"/>
      <c r="F150" s="1975"/>
      <c r="G150" s="1976"/>
      <c r="H150" s="1977"/>
      <c r="I150" s="1978"/>
      <c r="J150" s="1978"/>
      <c r="K150" s="1978"/>
      <c r="L150" s="1978"/>
      <c r="M150" s="1978"/>
      <c r="N150" s="1978"/>
      <c r="O150" s="1978"/>
      <c r="P150" s="1978"/>
      <c r="Q150" s="1978"/>
      <c r="R150" s="1978"/>
      <c r="S150" s="1978"/>
      <c r="T150" s="1978"/>
      <c r="U150" s="1978"/>
      <c r="V150" s="1978"/>
      <c r="W150" s="1978"/>
      <c r="X150" s="1978"/>
      <c r="Y150" s="1978"/>
      <c r="Z150" s="1978"/>
      <c r="AA150" s="1979"/>
      <c r="AB150" s="1980"/>
      <c r="AC150" s="1666"/>
      <c r="AD150" s="1666"/>
      <c r="AE150" s="1666"/>
      <c r="AF150" s="1666"/>
      <c r="AG150" s="1666"/>
      <c r="AH150" s="1666"/>
      <c r="AI150" s="1666"/>
      <c r="AJ150" s="1667"/>
      <c r="AK150" s="1268"/>
      <c r="AL150" s="1268"/>
      <c r="AM150" s="7259" t="s">
        <v>761</v>
      </c>
      <c r="AN150" s="7259"/>
      <c r="AO150" s="7260"/>
      <c r="AP150" s="7260"/>
      <c r="AQ150" s="7260"/>
      <c r="AR150" s="1667"/>
      <c r="AS150" s="6467" t="str">
        <f>"("&amp;TaxYear&amp;")"</f>
        <v>(2025)</v>
      </c>
      <c r="AT150" s="4044"/>
      <c r="AV150" s="1325"/>
      <c r="AW150" s="193"/>
      <c r="AX150" s="4008"/>
      <c r="AY150" s="253"/>
      <c r="AZ150" s="253"/>
      <c r="BA150" s="253"/>
      <c r="BB150" s="253"/>
      <c r="BC150" s="253"/>
      <c r="BD150" s="253"/>
      <c r="BE150" s="253"/>
      <c r="BF150" s="253"/>
      <c r="BG150" s="253"/>
      <c r="BH150" s="253"/>
      <c r="BI150" s="4098" t="s">
        <v>751</v>
      </c>
      <c r="BJ150" s="4078"/>
      <c r="BK150" s="4093">
        <f>DATEVALUE("2-JAN-"&amp;(TaxYear-24))</f>
        <v>36893</v>
      </c>
      <c r="BL150" s="4078" t="e">
        <f>IF(NOT_MFJ,FALSE,$BJ$143&lt;BK150)</f>
        <v>#N/A</v>
      </c>
      <c r="BM150" s="4085"/>
      <c r="BN150" s="4078"/>
      <c r="BO150" s="4119"/>
      <c r="BP150" s="4078"/>
      <c r="BQ150" s="4079"/>
      <c r="BR150" s="4080"/>
      <c r="BS150" s="253"/>
      <c r="BT150" s="827"/>
      <c r="BU150" s="658"/>
      <c r="BV150" s="658"/>
      <c r="BW150" s="658"/>
      <c r="BX150" s="658"/>
      <c r="BY150" s="658"/>
      <c r="BZ150" s="658"/>
      <c r="CA150" s="658"/>
      <c r="CB150" s="658"/>
      <c r="CC150" s="658"/>
      <c r="CD150" s="658"/>
      <c r="CE150" s="658"/>
      <c r="CF150" s="658"/>
    </row>
    <row r="151" spans="1:84" ht="18.75" customHeight="1">
      <c r="A151" s="4044"/>
      <c r="B151" s="4044"/>
      <c r="C151" s="4044"/>
      <c r="D151" s="4044"/>
      <c r="E151" s="4044"/>
      <c r="F151" s="4044"/>
      <c r="G151" s="4044"/>
      <c r="H151" s="4044"/>
      <c r="I151" s="4044"/>
      <c r="J151" s="4044"/>
      <c r="K151" s="4044"/>
      <c r="L151" s="4044"/>
      <c r="M151" s="4044"/>
      <c r="N151" s="4044"/>
      <c r="O151" s="4044"/>
      <c r="P151" s="4044"/>
      <c r="Q151" s="4044"/>
      <c r="R151" s="4044"/>
      <c r="S151" s="4044"/>
      <c r="T151" s="4044"/>
      <c r="U151" s="4044"/>
      <c r="V151" s="4044"/>
      <c r="W151" s="4044"/>
      <c r="X151" s="4044"/>
      <c r="Y151" s="4044"/>
      <c r="Z151" s="4044"/>
      <c r="AA151" s="4044"/>
      <c r="AB151" s="4044"/>
      <c r="AC151" s="4044"/>
      <c r="AD151" s="4044"/>
      <c r="AE151" s="4044"/>
      <c r="AF151" s="4044"/>
      <c r="AG151" s="4044"/>
      <c r="AH151" s="4044"/>
      <c r="AI151" s="4044"/>
      <c r="AJ151" s="4044"/>
      <c r="AK151" s="4044"/>
      <c r="AL151" s="4044"/>
      <c r="AM151" s="4044"/>
      <c r="AN151" s="4044"/>
      <c r="AO151" s="4044"/>
      <c r="AP151" s="4044"/>
      <c r="AQ151" s="4044"/>
      <c r="AR151" s="4044"/>
      <c r="AS151" s="4044"/>
      <c r="AT151" s="4044"/>
      <c r="AU151" s="4120"/>
      <c r="AV151" s="88"/>
      <c r="AW151" s="88"/>
      <c r="AX151" s="4008"/>
      <c r="AY151" s="253"/>
      <c r="AZ151" s="253"/>
      <c r="BA151" s="253"/>
      <c r="BB151" s="253"/>
      <c r="BC151" s="253"/>
      <c r="BD151" s="253"/>
      <c r="BE151" s="253"/>
      <c r="BF151" s="253"/>
      <c r="BG151" s="253"/>
      <c r="BH151" s="253"/>
      <c r="BI151" s="4098" t="s">
        <v>756</v>
      </c>
      <c r="BJ151" s="4078"/>
      <c r="BK151" s="4093">
        <f>DATEVALUE("31-DEC-"&amp;(TaxYear-65))</f>
        <v>22281</v>
      </c>
      <c r="BL151" s="4078" t="e">
        <f>IF(NOT_MFJ,FALSE,$BJ$143&gt;BK151)</f>
        <v>#N/A</v>
      </c>
      <c r="BM151" s="4085"/>
      <c r="BN151" s="4078"/>
      <c r="BO151" s="4119"/>
      <c r="BP151" s="4078"/>
      <c r="BQ151" s="4079"/>
      <c r="BR151" s="4080"/>
      <c r="BS151" s="253"/>
      <c r="BT151" s="827"/>
      <c r="BU151" s="658"/>
      <c r="BV151" s="658"/>
      <c r="BW151" s="658"/>
      <c r="BX151" s="658"/>
      <c r="BY151" s="658"/>
      <c r="BZ151" s="658"/>
      <c r="CA151" s="658"/>
      <c r="CB151" s="658"/>
      <c r="CC151" s="658"/>
      <c r="CD151" s="658"/>
      <c r="CE151" s="658"/>
      <c r="CF151" s="658"/>
    </row>
    <row r="152" spans="1:84" ht="18.75" customHeight="1" thickBot="1">
      <c r="B152" s="88"/>
      <c r="C152" s="88"/>
      <c r="D152" s="88"/>
      <c r="E152" s="88"/>
      <c r="F152" s="88"/>
      <c r="G152" s="88"/>
      <c r="H152" s="88"/>
      <c r="I152" s="88"/>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4008"/>
      <c r="AY152" s="253"/>
      <c r="AZ152" s="253"/>
      <c r="BA152" s="253"/>
      <c r="BB152" s="253"/>
      <c r="BC152" s="253"/>
      <c r="BD152" s="253"/>
      <c r="BE152" s="253"/>
      <c r="BF152" s="253"/>
      <c r="BG152" s="253"/>
      <c r="BH152" s="253"/>
      <c r="BI152" s="4121"/>
      <c r="BJ152" s="4122"/>
      <c r="BK152" s="4122"/>
      <c r="BL152" s="4122"/>
      <c r="BM152" s="4122"/>
      <c r="BN152" s="4122"/>
      <c r="BO152" s="4123"/>
      <c r="BP152" s="4122"/>
      <c r="BQ152" s="4123"/>
      <c r="BR152" s="4124"/>
      <c r="BT152"/>
      <c r="BU152"/>
      <c r="BV152"/>
      <c r="BW152"/>
      <c r="BX152"/>
      <c r="BY152"/>
      <c r="BZ152"/>
      <c r="CA152"/>
      <c r="CB152"/>
      <c r="CC152"/>
      <c r="CD152"/>
      <c r="CE152"/>
      <c r="CF152"/>
    </row>
    <row r="153" spans="1:84" ht="18.75" customHeight="1" thickTop="1" thickBot="1">
      <c r="F153" s="7255" t="s">
        <v>762</v>
      </c>
      <c r="G153" s="7256"/>
      <c r="H153" s="7256"/>
      <c r="I153" s="7256"/>
      <c r="J153" s="7256"/>
      <c r="K153" s="7256"/>
      <c r="L153" s="7256"/>
      <c r="M153" s="7256"/>
      <c r="N153" s="7256"/>
      <c r="O153" s="7256"/>
      <c r="P153" s="7256"/>
      <c r="Q153" s="7256"/>
      <c r="R153" s="7256"/>
      <c r="S153" s="7256"/>
      <c r="T153" s="7256"/>
      <c r="U153" s="7256"/>
      <c r="V153" s="7256"/>
      <c r="W153" s="7256"/>
      <c r="X153" s="7256"/>
      <c r="Y153" s="7256"/>
      <c r="Z153" s="7256"/>
      <c r="AA153" s="7257"/>
      <c r="AT153" s="5"/>
      <c r="AY153" s="253"/>
      <c r="BI153" s="740"/>
      <c r="BJ153" s="740"/>
      <c r="BK153" s="740"/>
      <c r="BL153" s="740"/>
      <c r="BM153" s="253"/>
      <c r="BN153" s="253"/>
      <c r="BO153" s="253"/>
      <c r="BP153" s="253"/>
      <c r="BQ153" s="253"/>
      <c r="BR153" s="253"/>
      <c r="BT153"/>
      <c r="BU153"/>
      <c r="BV153"/>
      <c r="BW153"/>
      <c r="BX153"/>
      <c r="BY153"/>
      <c r="BZ153"/>
      <c r="CA153"/>
      <c r="CB153"/>
      <c r="CC153"/>
      <c r="CD153"/>
      <c r="CE153"/>
      <c r="CF153"/>
    </row>
    <row r="154" spans="1:84" ht="18.75" customHeight="1" thickTop="1" thickBot="1">
      <c r="AT154" s="5"/>
      <c r="AY154" s="253"/>
      <c r="BT154"/>
      <c r="BU154"/>
      <c r="BV154"/>
      <c r="BW154"/>
      <c r="BX154"/>
      <c r="BY154"/>
      <c r="BZ154"/>
      <c r="CA154"/>
      <c r="CB154"/>
      <c r="CC154"/>
      <c r="CD154"/>
      <c r="CE154"/>
      <c r="CF154"/>
    </row>
    <row r="155" spans="1:84" ht="18.75" customHeight="1" thickTop="1" thickBot="1">
      <c r="F155" s="196" t="s">
        <v>763</v>
      </c>
      <c r="G155" s="197"/>
      <c r="H155" s="197"/>
      <c r="I155" s="197"/>
      <c r="J155" s="197"/>
      <c r="K155" s="197"/>
      <c r="L155" s="197"/>
      <c r="M155" s="197"/>
      <c r="N155" s="197"/>
      <c r="O155" s="197"/>
      <c r="P155" s="197"/>
      <c r="Q155" s="197"/>
      <c r="R155" s="197"/>
      <c r="S155" s="197"/>
      <c r="T155" s="197"/>
      <c r="U155" s="197"/>
      <c r="V155" s="197"/>
      <c r="W155" s="197"/>
      <c r="X155" s="197"/>
      <c r="Y155" s="197"/>
      <c r="Z155" s="197"/>
      <c r="AA155" s="198"/>
      <c r="AT155" s="5"/>
      <c r="BT155"/>
      <c r="BU155"/>
      <c r="BV155"/>
      <c r="BW155"/>
      <c r="BX155"/>
      <c r="BY155"/>
      <c r="BZ155"/>
      <c r="CA155"/>
      <c r="CB155"/>
      <c r="CC155"/>
      <c r="CD155"/>
      <c r="CE155"/>
      <c r="CF155"/>
    </row>
    <row r="156" spans="1:84" ht="18.75" customHeight="1" thickTop="1">
      <c r="AT156" s="5"/>
      <c r="BT156"/>
      <c r="BU156"/>
      <c r="BV156"/>
      <c r="BW156"/>
      <c r="BX156"/>
      <c r="BY156"/>
      <c r="BZ156"/>
      <c r="CA156"/>
      <c r="CB156"/>
      <c r="CC156"/>
      <c r="CD156"/>
      <c r="CE156"/>
      <c r="CF156"/>
    </row>
    <row r="157" spans="1:84" ht="14.25" customHeight="1" thickBot="1">
      <c r="AT157" s="5"/>
      <c r="BT157"/>
      <c r="BU157"/>
      <c r="BV157"/>
      <c r="BW157"/>
      <c r="BX157"/>
      <c r="BY157"/>
      <c r="BZ157"/>
      <c r="CA157"/>
      <c r="CB157"/>
      <c r="CC157"/>
      <c r="CD157"/>
      <c r="CE157"/>
      <c r="CF157"/>
    </row>
    <row r="158" spans="1:84" ht="14.25" customHeight="1">
      <c r="L158" s="7219" t="s">
        <v>42</v>
      </c>
      <c r="M158" s="7220"/>
      <c r="N158" s="7220"/>
      <c r="O158" s="7220"/>
      <c r="P158" s="7220"/>
      <c r="Q158" s="7220"/>
      <c r="R158" s="7221"/>
      <c r="AT158" s="5"/>
      <c r="BT158"/>
      <c r="BU158"/>
      <c r="BV158"/>
      <c r="BW158"/>
      <c r="BX158"/>
      <c r="BY158"/>
      <c r="BZ158"/>
      <c r="CA158"/>
      <c r="CB158"/>
      <c r="CC158"/>
      <c r="CD158"/>
      <c r="CE158"/>
      <c r="CF158"/>
    </row>
    <row r="159" spans="1:84" ht="14.25" customHeight="1">
      <c r="L159" s="7222"/>
      <c r="M159" s="7223"/>
      <c r="N159" s="7224"/>
      <c r="O159" s="7224"/>
      <c r="P159" s="7224"/>
      <c r="Q159" s="7224"/>
      <c r="R159" s="7225"/>
      <c r="BT159"/>
      <c r="BU159"/>
      <c r="BV159"/>
      <c r="BW159"/>
      <c r="BX159"/>
      <c r="BY159"/>
      <c r="BZ159"/>
      <c r="CA159"/>
      <c r="CB159"/>
      <c r="CC159"/>
      <c r="CD159"/>
      <c r="CE159"/>
      <c r="CF159"/>
    </row>
    <row r="160" spans="1:84" ht="14.25" customHeight="1" thickBot="1">
      <c r="L160" s="7226"/>
      <c r="M160" s="7227"/>
      <c r="N160" s="7227"/>
      <c r="O160" s="7227"/>
      <c r="P160" s="7227"/>
      <c r="Q160" s="7227"/>
      <c r="R160" s="7228"/>
      <c r="BT160"/>
      <c r="BU160"/>
      <c r="BV160"/>
      <c r="BW160"/>
      <c r="BX160"/>
      <c r="BY160"/>
      <c r="BZ160"/>
      <c r="CA160"/>
      <c r="CB160"/>
      <c r="CC160"/>
      <c r="CD160"/>
      <c r="CE160"/>
      <c r="CF160"/>
    </row>
    <row r="161" spans="61:84" ht="14.25" customHeight="1">
      <c r="BT161"/>
      <c r="BU161"/>
      <c r="BV161"/>
      <c r="BW161"/>
      <c r="BX161"/>
      <c r="BY161"/>
      <c r="BZ161"/>
      <c r="CA161"/>
      <c r="CB161"/>
      <c r="CC161"/>
      <c r="CD161"/>
      <c r="CE161"/>
      <c r="CF161"/>
    </row>
    <row r="162" spans="61:84" ht="14.25" customHeight="1">
      <c r="BT162"/>
      <c r="BU162"/>
      <c r="BV162"/>
      <c r="BW162"/>
      <c r="BX162"/>
      <c r="BY162"/>
      <c r="BZ162"/>
      <c r="CA162"/>
      <c r="CB162"/>
      <c r="CC162"/>
      <c r="CD162"/>
      <c r="CE162"/>
      <c r="CF162"/>
    </row>
    <row r="163" spans="61:84" ht="14.25" customHeight="1">
      <c r="BT163"/>
      <c r="BU163"/>
      <c r="BV163"/>
      <c r="BW163"/>
      <c r="BX163"/>
      <c r="BY163"/>
      <c r="BZ163"/>
      <c r="CA163"/>
      <c r="CB163"/>
      <c r="CC163"/>
      <c r="CD163"/>
      <c r="CE163"/>
      <c r="CF163"/>
    </row>
    <row r="164" spans="61:84" ht="14.25" customHeight="1">
      <c r="BT164"/>
      <c r="BU164"/>
      <c r="BV164"/>
      <c r="BW164"/>
      <c r="BX164"/>
      <c r="BY164"/>
      <c r="BZ164"/>
      <c r="CA164"/>
      <c r="CB164"/>
      <c r="CC164"/>
      <c r="CD164"/>
      <c r="CE164"/>
      <c r="CF164"/>
    </row>
    <row r="171" spans="61:84">
      <c r="BI171" s="4"/>
      <c r="BJ171" s="4"/>
      <c r="BK171" s="4"/>
      <c r="BL171" s="4"/>
      <c r="BT171"/>
      <c r="BU171"/>
      <c r="BV171"/>
      <c r="BW171"/>
      <c r="BX171"/>
      <c r="BY171"/>
      <c r="BZ171"/>
      <c r="CA171"/>
      <c r="CB171"/>
      <c r="CC171"/>
      <c r="CD171"/>
      <c r="CE171"/>
      <c r="CF171"/>
    </row>
    <row r="172" spans="61:84">
      <c r="BI172" s="4"/>
      <c r="BJ172" s="4"/>
      <c r="BK172" s="4"/>
      <c r="BL172" s="4"/>
      <c r="BT172"/>
      <c r="BU172"/>
      <c r="BV172"/>
      <c r="BW172"/>
      <c r="BX172"/>
      <c r="BY172"/>
      <c r="BZ172"/>
      <c r="CA172"/>
      <c r="CB172"/>
      <c r="CC172"/>
      <c r="CD172"/>
      <c r="CE172"/>
      <c r="CF172"/>
    </row>
    <row r="173" spans="61:84">
      <c r="BI173" s="4"/>
      <c r="BJ173" s="4"/>
      <c r="BK173" s="4"/>
      <c r="BL173" s="4"/>
      <c r="BT173"/>
      <c r="BU173"/>
      <c r="BV173"/>
      <c r="BW173"/>
      <c r="BX173"/>
      <c r="BY173"/>
      <c r="BZ173"/>
      <c r="CA173"/>
      <c r="CB173"/>
      <c r="CC173"/>
      <c r="CD173"/>
      <c r="CE173"/>
      <c r="CF173"/>
    </row>
    <row r="174" spans="61:84">
      <c r="BI174" s="4"/>
      <c r="BJ174" s="4"/>
      <c r="BK174" s="4"/>
      <c r="BL174" s="4"/>
      <c r="BT174"/>
      <c r="BU174"/>
      <c r="BV174"/>
      <c r="BW174"/>
      <c r="BX174"/>
      <c r="BY174"/>
      <c r="BZ174"/>
      <c r="CA174"/>
      <c r="CB174"/>
      <c r="CC174"/>
      <c r="CD174"/>
      <c r="CE174"/>
      <c r="CF174"/>
    </row>
    <row r="175" spans="61:84">
      <c r="BI175" s="4"/>
      <c r="BJ175" s="4"/>
      <c r="BK175" s="4"/>
      <c r="BL175" s="4"/>
      <c r="BT175"/>
      <c r="BU175"/>
      <c r="BV175"/>
      <c r="BW175"/>
      <c r="BX175"/>
      <c r="BY175"/>
      <c r="BZ175"/>
      <c r="CA175"/>
      <c r="CB175"/>
      <c r="CC175"/>
      <c r="CD175"/>
      <c r="CE175"/>
      <c r="CF175"/>
    </row>
    <row r="176" spans="61:84">
      <c r="BI176" s="4"/>
      <c r="BJ176" s="4"/>
      <c r="BK176" s="4"/>
      <c r="BL176" s="4"/>
      <c r="BT176"/>
      <c r="BU176"/>
      <c r="BV176"/>
      <c r="BW176"/>
      <c r="BX176"/>
      <c r="BY176"/>
      <c r="BZ176"/>
      <c r="CA176"/>
      <c r="CB176"/>
      <c r="CC176"/>
      <c r="CD176"/>
      <c r="CE176"/>
      <c r="CF176"/>
    </row>
    <row r="177" spans="61:84">
      <c r="BI177" s="4"/>
      <c r="BJ177" s="4"/>
      <c r="BK177" s="4"/>
      <c r="BL177" s="4"/>
      <c r="BT177"/>
      <c r="BU177"/>
      <c r="BV177"/>
      <c r="BW177"/>
      <c r="BX177"/>
      <c r="BY177"/>
      <c r="BZ177"/>
      <c r="CA177"/>
      <c r="CB177"/>
      <c r="CC177"/>
      <c r="CD177"/>
      <c r="CE177"/>
      <c r="CF177"/>
    </row>
    <row r="178" spans="61:84">
      <c r="BI178" s="4"/>
      <c r="BJ178" s="4"/>
      <c r="BK178" s="4"/>
      <c r="BL178" s="4"/>
      <c r="BT178"/>
      <c r="BU178"/>
      <c r="BV178"/>
      <c r="BW178"/>
      <c r="BX178"/>
      <c r="BY178"/>
      <c r="BZ178"/>
      <c r="CA178"/>
      <c r="CB178"/>
      <c r="CC178"/>
      <c r="CD178"/>
      <c r="CE178"/>
      <c r="CF178"/>
    </row>
    <row r="179" spans="61:84">
      <c r="BI179" s="4"/>
      <c r="BJ179" s="4"/>
      <c r="BK179" s="4"/>
      <c r="BL179" s="4"/>
      <c r="BT179"/>
      <c r="BU179"/>
      <c r="BV179"/>
      <c r="BW179"/>
      <c r="BX179"/>
      <c r="BY179"/>
      <c r="BZ179"/>
      <c r="CA179"/>
      <c r="CB179"/>
      <c r="CC179"/>
      <c r="CD179"/>
      <c r="CE179"/>
      <c r="CF179"/>
    </row>
    <row r="180" spans="61:84">
      <c r="BI180" s="4"/>
      <c r="BJ180" s="4"/>
      <c r="BK180" s="4"/>
      <c r="BL180" s="4"/>
      <c r="BT180"/>
      <c r="BU180"/>
      <c r="BV180"/>
      <c r="BW180"/>
      <c r="BX180"/>
      <c r="BY180"/>
      <c r="BZ180"/>
      <c r="CA180"/>
      <c r="CB180"/>
      <c r="CC180"/>
      <c r="CD180"/>
      <c r="CE180"/>
      <c r="CF180"/>
    </row>
    <row r="181" spans="61:84">
      <c r="BI181" s="4"/>
      <c r="BJ181" s="4"/>
      <c r="BK181" s="4"/>
      <c r="BL181" s="4"/>
      <c r="BT181"/>
      <c r="BU181"/>
      <c r="BV181"/>
      <c r="BW181"/>
      <c r="BX181"/>
      <c r="BY181"/>
      <c r="BZ181"/>
      <c r="CA181"/>
      <c r="CB181"/>
      <c r="CC181"/>
      <c r="CD181"/>
      <c r="CE181"/>
      <c r="CF181"/>
    </row>
    <row r="182" spans="61:84">
      <c r="BI182" s="4"/>
      <c r="BJ182" s="4"/>
      <c r="BK182" s="4"/>
      <c r="BL182" s="4"/>
      <c r="BT182"/>
      <c r="BU182"/>
      <c r="BV182"/>
      <c r="BW182"/>
      <c r="BX182"/>
      <c r="BY182"/>
      <c r="BZ182"/>
      <c r="CA182"/>
      <c r="CB182"/>
      <c r="CC182"/>
      <c r="CD182"/>
      <c r="CE182"/>
      <c r="CF182"/>
    </row>
    <row r="183" spans="61:84">
      <c r="BI183" s="4"/>
      <c r="BJ183" s="4"/>
      <c r="BK183" s="4"/>
      <c r="BL183" s="4"/>
      <c r="BT183"/>
      <c r="BU183"/>
      <c r="BV183"/>
      <c r="BW183"/>
      <c r="BX183"/>
      <c r="BY183"/>
      <c r="BZ183"/>
      <c r="CA183"/>
      <c r="CB183"/>
      <c r="CC183"/>
      <c r="CD183"/>
      <c r="CE183"/>
      <c r="CF183"/>
    </row>
    <row r="184" spans="61:84">
      <c r="BI184" s="4"/>
      <c r="BJ184" s="4"/>
      <c r="BK184" s="4"/>
      <c r="BL184" s="4"/>
      <c r="BT184"/>
      <c r="BU184"/>
      <c r="BV184"/>
      <c r="BW184"/>
      <c r="BX184"/>
      <c r="BY184"/>
      <c r="BZ184"/>
      <c r="CA184"/>
      <c r="CB184"/>
      <c r="CC184"/>
      <c r="CD184"/>
      <c r="CE184"/>
      <c r="CF184"/>
    </row>
    <row r="185" spans="61:84">
      <c r="BI185" s="4"/>
      <c r="BJ185" s="4"/>
      <c r="BK185" s="4"/>
      <c r="BL185" s="4"/>
      <c r="BT185"/>
      <c r="BU185"/>
      <c r="BV185"/>
      <c r="BW185"/>
      <c r="BX185"/>
      <c r="BY185"/>
      <c r="BZ185"/>
      <c r="CA185"/>
      <c r="CB185"/>
      <c r="CC185"/>
      <c r="CD185"/>
      <c r="CE185"/>
      <c r="CF185"/>
    </row>
    <row r="186" spans="61:84">
      <c r="BI186" s="4"/>
      <c r="BJ186" s="4"/>
      <c r="BK186" s="4"/>
      <c r="BL186" s="4"/>
      <c r="BT186"/>
      <c r="BU186"/>
      <c r="BV186"/>
      <c r="BW186"/>
      <c r="BX186"/>
      <c r="BY186"/>
      <c r="BZ186"/>
      <c r="CA186"/>
      <c r="CB186"/>
      <c r="CC186"/>
      <c r="CD186"/>
      <c r="CE186"/>
      <c r="CF186"/>
    </row>
    <row r="187" spans="61:84">
      <c r="BI187" s="4"/>
      <c r="BJ187" s="4"/>
      <c r="BK187" s="4"/>
      <c r="BL187" s="4"/>
      <c r="BT187"/>
      <c r="BU187"/>
      <c r="BV187"/>
      <c r="BW187"/>
      <c r="BX187"/>
      <c r="BY187"/>
      <c r="BZ187"/>
      <c r="CA187"/>
      <c r="CB187"/>
      <c r="CC187"/>
      <c r="CD187"/>
      <c r="CE187"/>
      <c r="CF187"/>
    </row>
    <row r="188" spans="61:84">
      <c r="BI188" s="4"/>
      <c r="BJ188" s="4"/>
      <c r="BK188" s="4"/>
      <c r="BL188" s="4"/>
      <c r="BT188"/>
      <c r="BU188"/>
      <c r="BV188"/>
      <c r="BW188"/>
      <c r="BX188"/>
      <c r="BY188"/>
      <c r="BZ188"/>
      <c r="CA188"/>
      <c r="CB188"/>
      <c r="CC188"/>
      <c r="CD188"/>
      <c r="CE188"/>
      <c r="CF188"/>
    </row>
    <row r="189" spans="61:84">
      <c r="BI189" s="4"/>
      <c r="BJ189" s="4"/>
      <c r="BK189" s="4"/>
      <c r="BL189" s="4"/>
      <c r="BT189"/>
      <c r="BU189"/>
      <c r="BV189"/>
      <c r="BW189"/>
      <c r="BX189"/>
      <c r="BY189"/>
      <c r="BZ189"/>
      <c r="CA189"/>
      <c r="CB189"/>
      <c r="CC189"/>
      <c r="CD189"/>
      <c r="CE189"/>
      <c r="CF189"/>
    </row>
    <row r="190" spans="61:84">
      <c r="BI190" s="4"/>
      <c r="BJ190" s="4"/>
      <c r="BK190" s="4"/>
      <c r="BL190" s="4"/>
      <c r="BT190"/>
      <c r="BU190"/>
      <c r="BV190"/>
      <c r="BW190"/>
      <c r="BX190"/>
      <c r="BY190"/>
      <c r="BZ190"/>
      <c r="CA190"/>
      <c r="CB190"/>
      <c r="CC190"/>
      <c r="CD190"/>
      <c r="CE190"/>
      <c r="CF190"/>
    </row>
    <row r="191" spans="61:84">
      <c r="BI191" s="4"/>
      <c r="BJ191" s="4"/>
      <c r="BK191" s="4"/>
      <c r="BL191" s="4"/>
      <c r="BT191"/>
      <c r="BU191"/>
      <c r="BV191"/>
      <c r="BW191"/>
      <c r="BX191"/>
      <c r="BY191"/>
      <c r="BZ191"/>
      <c r="CA191"/>
      <c r="CB191"/>
      <c r="CC191"/>
      <c r="CD191"/>
      <c r="CE191"/>
      <c r="CF191"/>
    </row>
    <row r="192" spans="61:84">
      <c r="BI192" s="4"/>
      <c r="BJ192" s="4"/>
      <c r="BK192" s="4"/>
      <c r="BL192" s="4"/>
      <c r="BT192"/>
      <c r="BU192"/>
      <c r="BV192"/>
      <c r="BW192"/>
      <c r="BX192"/>
      <c r="BY192"/>
      <c r="BZ192"/>
      <c r="CA192"/>
      <c r="CB192"/>
      <c r="CC192"/>
      <c r="CD192"/>
      <c r="CE192"/>
      <c r="CF192"/>
    </row>
    <row r="193" spans="61:84">
      <c r="BI193" s="4"/>
      <c r="BJ193" s="4"/>
      <c r="BK193" s="4"/>
      <c r="BL193" s="4"/>
      <c r="BT193"/>
      <c r="BU193"/>
      <c r="BV193"/>
      <c r="BW193"/>
      <c r="BX193"/>
      <c r="BY193"/>
      <c r="BZ193"/>
      <c r="CA193"/>
      <c r="CB193"/>
      <c r="CC193"/>
      <c r="CD193"/>
      <c r="CE193"/>
      <c r="CF193"/>
    </row>
    <row r="194" spans="61:84">
      <c r="BI194" s="4"/>
      <c r="BJ194" s="4"/>
      <c r="BK194" s="4"/>
      <c r="BL194" s="4"/>
      <c r="BT194"/>
      <c r="BU194"/>
      <c r="BV194"/>
      <c r="BW194"/>
      <c r="BX194"/>
      <c r="BY194"/>
      <c r="BZ194"/>
      <c r="CA194"/>
      <c r="CB194"/>
      <c r="CC194"/>
      <c r="CD194"/>
      <c r="CE194"/>
      <c r="CF194"/>
    </row>
    <row r="195" spans="61:84">
      <c r="BI195" s="4"/>
      <c r="BJ195" s="4"/>
      <c r="BK195" s="4"/>
      <c r="BL195" s="4"/>
      <c r="BT195"/>
      <c r="BU195"/>
      <c r="BV195"/>
      <c r="BW195"/>
      <c r="BX195"/>
      <c r="BY195"/>
      <c r="BZ195"/>
      <c r="CA195"/>
      <c r="CB195"/>
      <c r="CC195"/>
      <c r="CD195"/>
      <c r="CE195"/>
      <c r="CF195"/>
    </row>
  </sheetData>
  <sheetProtection algorithmName="SHA-512" hashValue="fAOw3wPcx4sfmHZNVM/ksHRpPzhBmj9rLRP4zf+qrUqy9nzxPWBlEw3DyTvtpDXOh4Wt9OrUmE3BvqePLJh/TQ==" saltValue="UDG3dLRRcIXndQmA89oG5Q==" spinCount="100000" sheet="1" formatCells="0" formatColumns="0" formatRows="0"/>
  <mergeCells count="262">
    <mergeCell ref="R6:Z6"/>
    <mergeCell ref="AK6:AM6"/>
    <mergeCell ref="AC6:AF6"/>
    <mergeCell ref="AH15:AS16"/>
    <mergeCell ref="AH14:AS14"/>
    <mergeCell ref="AH13:AR13"/>
    <mergeCell ref="AL92:AR92"/>
    <mergeCell ref="AL55:AR55"/>
    <mergeCell ref="F30:AK32"/>
    <mergeCell ref="AL57:AR57"/>
    <mergeCell ref="AG59:AJ59"/>
    <mergeCell ref="AL60:AR60"/>
    <mergeCell ref="AL54:AR54"/>
    <mergeCell ref="Q61:R61"/>
    <mergeCell ref="Q62:R62"/>
    <mergeCell ref="Q65:R65"/>
    <mergeCell ref="Q68:R68"/>
    <mergeCell ref="H88:I88"/>
    <mergeCell ref="AC15:AG15"/>
    <mergeCell ref="S17:AB18"/>
    <mergeCell ref="S62:X62"/>
    <mergeCell ref="Q71:R71"/>
    <mergeCell ref="S65:X65"/>
    <mergeCell ref="AD37:AK37"/>
    <mergeCell ref="AL125:AR125"/>
    <mergeCell ref="AL120:AR120"/>
    <mergeCell ref="AF106:AJ106"/>
    <mergeCell ref="AG96:AI96"/>
    <mergeCell ref="AL110:AR110"/>
    <mergeCell ref="AG67:AI67"/>
    <mergeCell ref="AL99:AR99"/>
    <mergeCell ref="BC91:BD92"/>
    <mergeCell ref="AZ82:BE88"/>
    <mergeCell ref="AT71:AT74"/>
    <mergeCell ref="AU64:AW71"/>
    <mergeCell ref="AW9:BA9"/>
    <mergeCell ref="AL72:AR73"/>
    <mergeCell ref="AL74:AR74"/>
    <mergeCell ref="AL68:AR68"/>
    <mergeCell ref="AL78:AR78"/>
    <mergeCell ref="AD75:AI75"/>
    <mergeCell ref="AL71:AR71"/>
    <mergeCell ref="AG70:AI70"/>
    <mergeCell ref="AL124:AR124"/>
    <mergeCell ref="AL122:AR122"/>
    <mergeCell ref="AL121:AR121"/>
    <mergeCell ref="AC96:AD96"/>
    <mergeCell ref="AX16:BA16"/>
    <mergeCell ref="AX18:BA19"/>
    <mergeCell ref="AX23:AZ24"/>
    <mergeCell ref="AL58:AR58"/>
    <mergeCell ref="AL62:AR62"/>
    <mergeCell ref="AF44:AG45"/>
    <mergeCell ref="AL96:AR96"/>
    <mergeCell ref="AL82:AR82"/>
    <mergeCell ref="AN43:AO45"/>
    <mergeCell ref="AJ44:AK45"/>
    <mergeCell ref="AL42:AS42"/>
    <mergeCell ref="AB25:AS25"/>
    <mergeCell ref="AL33:AS33"/>
    <mergeCell ref="AD33:AK33"/>
    <mergeCell ref="AD34:AK34"/>
    <mergeCell ref="AL34:AS34"/>
    <mergeCell ref="AD35:AK35"/>
    <mergeCell ref="AL35:AS35"/>
    <mergeCell ref="AL65:AR65"/>
    <mergeCell ref="B105:D109"/>
    <mergeCell ref="AF107:AJ107"/>
    <mergeCell ref="F36:K36"/>
    <mergeCell ref="S71:X71"/>
    <mergeCell ref="AL79:AR79"/>
    <mergeCell ref="S68:X68"/>
    <mergeCell ref="L88:W88"/>
    <mergeCell ref="L90:W90"/>
    <mergeCell ref="C89:C91"/>
    <mergeCell ref="B86:D88"/>
    <mergeCell ref="B82:E84"/>
    <mergeCell ref="U36:AC36"/>
    <mergeCell ref="AD36:AK36"/>
    <mergeCell ref="AL37:AS37"/>
    <mergeCell ref="R112:W112"/>
    <mergeCell ref="H115:S116"/>
    <mergeCell ref="B112:C116"/>
    <mergeCell ref="AF119:AJ119"/>
    <mergeCell ref="AF120:AJ120"/>
    <mergeCell ref="AF122:AJ122"/>
    <mergeCell ref="AF121:AJ121"/>
    <mergeCell ref="AF113:AJ113"/>
    <mergeCell ref="AF108:AJ108"/>
    <mergeCell ref="B133:E136"/>
    <mergeCell ref="AG135:AK136"/>
    <mergeCell ref="J136:V136"/>
    <mergeCell ref="F135:I136"/>
    <mergeCell ref="B137:C139"/>
    <mergeCell ref="AL136:AR136"/>
    <mergeCell ref="AL141:AS141"/>
    <mergeCell ref="AL144:AS144"/>
    <mergeCell ref="B146:C148"/>
    <mergeCell ref="AL134:AM134"/>
    <mergeCell ref="AK148:AS148"/>
    <mergeCell ref="C142:C144"/>
    <mergeCell ref="AH126:AI126"/>
    <mergeCell ref="U139:Z139"/>
    <mergeCell ref="U140:Z141"/>
    <mergeCell ref="U142:Z142"/>
    <mergeCell ref="U143:Z144"/>
    <mergeCell ref="AA140:AI141"/>
    <mergeCell ref="AA143:AI144"/>
    <mergeCell ref="AA139:AI139"/>
    <mergeCell ref="K148:AG148"/>
    <mergeCell ref="AH148:AJ148"/>
    <mergeCell ref="I145:T145"/>
    <mergeCell ref="N128:Y128"/>
    <mergeCell ref="N127:W127"/>
    <mergeCell ref="AA145:AS145"/>
    <mergeCell ref="F143:T144"/>
    <mergeCell ref="AL127:AR127"/>
    <mergeCell ref="AL126:AR126"/>
    <mergeCell ref="B130:D131"/>
    <mergeCell ref="BJ136:BK136"/>
    <mergeCell ref="AL123:AR123"/>
    <mergeCell ref="AL76:AR76"/>
    <mergeCell ref="AL104:AR104"/>
    <mergeCell ref="AL100:AR100"/>
    <mergeCell ref="AL102:AR102"/>
    <mergeCell ref="AL95:AR95"/>
    <mergeCell ref="AL98:AR98"/>
    <mergeCell ref="AL97:AR97"/>
    <mergeCell ref="AL94:AR94"/>
    <mergeCell ref="AL93:AR93"/>
    <mergeCell ref="AL109:AR109"/>
    <mergeCell ref="AL103:AR103"/>
    <mergeCell ref="AL119:AR119"/>
    <mergeCell ref="AL91:AR91"/>
    <mergeCell ref="AU91:AW94"/>
    <mergeCell ref="AU98:AW100"/>
    <mergeCell ref="AL101:AR101"/>
    <mergeCell ref="AL128:AR128"/>
    <mergeCell ref="AL77:AR77"/>
    <mergeCell ref="AY92:AY95"/>
    <mergeCell ref="AU126:AW126"/>
    <mergeCell ref="B89:B90"/>
    <mergeCell ref="L158:R160"/>
    <mergeCell ref="AL129:AR129"/>
    <mergeCell ref="AO146:AS146"/>
    <mergeCell ref="P147:AB147"/>
    <mergeCell ref="AJ144:AK144"/>
    <mergeCell ref="AD129:AH129"/>
    <mergeCell ref="Y136:AD136"/>
    <mergeCell ref="H132:W132"/>
    <mergeCell ref="AJ141:AK141"/>
    <mergeCell ref="F148:I148"/>
    <mergeCell ref="U145:Y145"/>
    <mergeCell ref="AA142:AH142"/>
    <mergeCell ref="F146:O146"/>
    <mergeCell ref="AH146:AN146"/>
    <mergeCell ref="AC146:AG146"/>
    <mergeCell ref="F153:AA153"/>
    <mergeCell ref="AJ142:AS143"/>
    <mergeCell ref="P146:Y146"/>
    <mergeCell ref="AM150:AQ150"/>
    <mergeCell ref="AD132:AH132"/>
    <mergeCell ref="AL130:AR130"/>
    <mergeCell ref="AL131:AR131"/>
    <mergeCell ref="W135:X136"/>
    <mergeCell ref="L149:AG149"/>
    <mergeCell ref="F149:I149"/>
    <mergeCell ref="F140:T141"/>
    <mergeCell ref="AJ139:AS140"/>
    <mergeCell ref="F147:O147"/>
    <mergeCell ref="AC147:AG147"/>
    <mergeCell ref="AH147:AN147"/>
    <mergeCell ref="AH149:AJ149"/>
    <mergeCell ref="AK149:AS149"/>
    <mergeCell ref="B22:D24"/>
    <mergeCell ref="N47:O48"/>
    <mergeCell ref="R47:T48"/>
    <mergeCell ref="W47:X48"/>
    <mergeCell ref="F43:K45"/>
    <mergeCell ref="F46:K48"/>
    <mergeCell ref="L37:T37"/>
    <mergeCell ref="L33:T33"/>
    <mergeCell ref="U33:AC33"/>
    <mergeCell ref="F37:K37"/>
    <mergeCell ref="F38:K40"/>
    <mergeCell ref="F41:K41"/>
    <mergeCell ref="N44:O45"/>
    <mergeCell ref="R44:T45"/>
    <mergeCell ref="B53:D57"/>
    <mergeCell ref="AL56:AR56"/>
    <mergeCell ref="B20:E21"/>
    <mergeCell ref="B9:Q9"/>
    <mergeCell ref="B11:Q11"/>
    <mergeCell ref="AL63:AR64"/>
    <mergeCell ref="AK63:AK64"/>
    <mergeCell ref="B17:R18"/>
    <mergeCell ref="X14:AB14"/>
    <mergeCell ref="B15:W15"/>
    <mergeCell ref="B30:D32"/>
    <mergeCell ref="AA28:AS28"/>
    <mergeCell ref="AC14:AG14"/>
    <mergeCell ref="B36:C41"/>
    <mergeCell ref="X15:AB15"/>
    <mergeCell ref="B58:D60"/>
    <mergeCell ref="B51:D52"/>
    <mergeCell ref="B61:D62"/>
    <mergeCell ref="U35:AC35"/>
    <mergeCell ref="L34:T34"/>
    <mergeCell ref="U34:AC34"/>
    <mergeCell ref="L35:T35"/>
    <mergeCell ref="L36:T36"/>
    <mergeCell ref="AL53:AR53"/>
    <mergeCell ref="AL61:AR61"/>
    <mergeCell ref="AB23:AS24"/>
    <mergeCell ref="C3:D4"/>
    <mergeCell ref="AH3:AS3"/>
    <mergeCell ref="AH4:AS4"/>
    <mergeCell ref="AC4:AG4"/>
    <mergeCell ref="X3:AB4"/>
    <mergeCell ref="R11:AG11"/>
    <mergeCell ref="AH11:AS11"/>
    <mergeCell ref="AD13:AG13"/>
    <mergeCell ref="AC3:AG3"/>
    <mergeCell ref="R8:AG8"/>
    <mergeCell ref="F4:W4"/>
    <mergeCell ref="R5:X5"/>
    <mergeCell ref="AH8:AS8"/>
    <mergeCell ref="AH12:AS12"/>
    <mergeCell ref="B13:AC13"/>
    <mergeCell ref="R9:AG9"/>
    <mergeCell ref="B3:B4"/>
    <mergeCell ref="L6:M6"/>
    <mergeCell ref="AN6:AR6"/>
    <mergeCell ref="AC5:AG5"/>
    <mergeCell ref="AH5:AS5"/>
    <mergeCell ref="AG6:AJ6"/>
    <mergeCell ref="AH9:AS9"/>
    <mergeCell ref="AH10:AS10"/>
    <mergeCell ref="AH1:AT1"/>
    <mergeCell ref="AL52:AR52"/>
    <mergeCell ref="AC17:AG18"/>
    <mergeCell ref="AU33:AU37"/>
    <mergeCell ref="AZ61:BA61"/>
    <mergeCell ref="W44:X45"/>
    <mergeCell ref="U37:AC37"/>
    <mergeCell ref="AA44:AC45"/>
    <mergeCell ref="AZ42:BD49"/>
    <mergeCell ref="S61:X61"/>
    <mergeCell ref="AL36:AS36"/>
    <mergeCell ref="AL51:AR51"/>
    <mergeCell ref="Y5:AB5"/>
    <mergeCell ref="AH2:AS2"/>
    <mergeCell ref="AA47:AC48"/>
    <mergeCell ref="AF47:AG48"/>
    <mergeCell ref="AJ47:AK48"/>
    <mergeCell ref="AR47:AS48"/>
    <mergeCell ref="G49:AS50"/>
    <mergeCell ref="N25:Y25"/>
    <mergeCell ref="AD38:AK38"/>
    <mergeCell ref="AN46:AO48"/>
    <mergeCell ref="H2:U2"/>
    <mergeCell ref="AR44:AS45"/>
  </mergeCells>
  <phoneticPr fontId="13" type="noConversion"/>
  <conditionalFormatting sqref="B9 R9 AH9:AS9 AX15:AZ15 F51:Z60 AK59:AK63 AJ60:AJ65 AJ72:AL72 AJ73:AK73 AJ74:AR75 I89:AJ89 H96:AC96 AE96:AF96 AK97:AR100 AK101:AM101 AK102:AR111 F109:AI109 AJ109:AJ111 H112:R112 X112:AR112 AK113:AR122 AK123:AM123 AK124:AR124 AK125 X127:Z127 I127:M128 F127:F132 B150:F150 I150:AN150 AR150:AS150">
    <cfRule type="expression" dxfId="3920" priority="1477">
      <formula>IF(NoColor,1,0)</formula>
    </cfRule>
  </conditionalFormatting>
  <conditionalFormatting sqref="B22 E22:E24 C25:E29">
    <cfRule type="expression" dxfId="3919" priority="722">
      <formula>FilingStatusError</formula>
    </cfRule>
  </conditionalFormatting>
  <conditionalFormatting sqref="B25:B29">
    <cfRule type="expression" dxfId="3918" priority="1481">
      <formula>NoColor</formula>
    </cfRule>
  </conditionalFormatting>
  <conditionalFormatting sqref="B33 F84 J88:L88 X88:AS88 AK89:AS89 X90:AS90 B96 AU107:AV108 C140:E142 E143:E146 D144 C145:D145 D146">
    <cfRule type="expression" dxfId="3917" priority="265">
      <formula>NoColor</formula>
    </cfRule>
  </conditionalFormatting>
  <conditionalFormatting sqref="B92">
    <cfRule type="expression" dxfId="3916" priority="83">
      <formula>NoColor</formula>
    </cfRule>
  </conditionalFormatting>
  <conditionalFormatting sqref="B140:B145">
    <cfRule type="expression" dxfId="3915" priority="849">
      <formula>IF(NoColor,1,0)</formula>
    </cfRule>
  </conditionalFormatting>
  <conditionalFormatting sqref="B3:C3">
    <cfRule type="expression" dxfId="3914" priority="1127">
      <formula>NoColor</formula>
    </cfRule>
  </conditionalFormatting>
  <conditionalFormatting sqref="B30:D32">
    <cfRule type="expression" dxfId="3913" priority="27">
      <formula>AND(DigitalAsset_Yes="",DigitalAsset_No="",NOT(NoColor))</formula>
    </cfRule>
  </conditionalFormatting>
  <conditionalFormatting sqref="B34:F34">
    <cfRule type="expression" dxfId="3912" priority="695">
      <formula>NoColor</formula>
    </cfRule>
  </conditionalFormatting>
  <conditionalFormatting sqref="B25:N25 B26:AS26">
    <cfRule type="expression" dxfId="3911" priority="266">
      <formula>NoColor</formula>
    </cfRule>
  </conditionalFormatting>
  <conditionalFormatting sqref="B13:AS13">
    <cfRule type="expression" dxfId="3910" priority="7">
      <formula>NoColor</formula>
    </cfRule>
  </conditionalFormatting>
  <conditionalFormatting sqref="D41">
    <cfRule type="expression" dxfId="3909" priority="8">
      <formula>NoColor</formula>
    </cfRule>
  </conditionalFormatting>
  <conditionalFormatting sqref="E23:AA24">
    <cfRule type="expression" dxfId="3908" priority="328">
      <formula>NoColor</formula>
    </cfRule>
  </conditionalFormatting>
  <conditionalFormatting sqref="E28:AS29">
    <cfRule type="expression" dxfId="3907" priority="126">
      <formula>NoColor</formula>
    </cfRule>
  </conditionalFormatting>
  <conditionalFormatting sqref="F4:F8 F10 F12:F18">
    <cfRule type="expression" dxfId="3906" priority="378">
      <formula>NoColor</formula>
    </cfRule>
    <cfRule type="expression" dxfId="3905" priority="380">
      <formula>NumFileStatusBoxes=0</formula>
    </cfRule>
  </conditionalFormatting>
  <conditionalFormatting sqref="F21 F23 F25:F26">
    <cfRule type="expression" dxfId="3904" priority="6232">
      <formula>AND(File_Marr_Sep&lt;&gt;"",$T$25="")</formula>
    </cfRule>
  </conditionalFormatting>
  <conditionalFormatting sqref="F30 AL51:AR51 AL52:AM58 AL59:AR59 AL60:AM60 AL61:AR61 AL62:AL63 B137 B146">
    <cfRule type="expression" dxfId="3903" priority="842">
      <formula>NoColor</formula>
    </cfRule>
  </conditionalFormatting>
  <conditionalFormatting sqref="F49">
    <cfRule type="expression" dxfId="3902" priority="221">
      <formula>NoColor</formula>
    </cfRule>
  </conditionalFormatting>
  <conditionalFormatting sqref="F86">
    <cfRule type="expression" dxfId="3901" priority="82">
      <formula>NoColor</formula>
    </cfRule>
  </conditionalFormatting>
  <conditionalFormatting sqref="F133:F135">
    <cfRule type="expression" dxfId="3900" priority="480">
      <formula>IF(NoColor,1,0)</formula>
    </cfRule>
  </conditionalFormatting>
  <conditionalFormatting sqref="F143">
    <cfRule type="expression" dxfId="3899" priority="350">
      <formula>IF(NoColor,1,0)</formula>
    </cfRule>
  </conditionalFormatting>
  <conditionalFormatting sqref="F3:G3">
    <cfRule type="expression" dxfId="3898" priority="578">
      <formula>FilingStatusError</formula>
    </cfRule>
  </conditionalFormatting>
  <conditionalFormatting sqref="F63:G64">
    <cfRule type="expression" dxfId="3897" priority="112">
      <formula>IF(NoColor,1,0)</formula>
    </cfRule>
  </conditionalFormatting>
  <conditionalFormatting sqref="F66:G67">
    <cfRule type="expression" dxfId="3896" priority="108">
      <formula>IF(NoColor,1,0)</formula>
    </cfRule>
  </conditionalFormatting>
  <conditionalFormatting sqref="F69:G70">
    <cfRule type="expression" dxfId="3895" priority="104">
      <formula>IF(NoColor,1,0)</formula>
    </cfRule>
  </conditionalFormatting>
  <conditionalFormatting sqref="F74:G75">
    <cfRule type="expression" dxfId="3894" priority="119">
      <formula>IF(NoColor,1,0)</formula>
    </cfRule>
  </conditionalFormatting>
  <conditionalFormatting sqref="F88:G89">
    <cfRule type="expression" dxfId="3893" priority="68">
      <formula>IF(NoColor,1,0)</formula>
    </cfRule>
  </conditionalFormatting>
  <conditionalFormatting sqref="F90:G90">
    <cfRule type="expression" dxfId="3892" priority="71">
      <formula>NoColor</formula>
    </cfRule>
  </conditionalFormatting>
  <conditionalFormatting sqref="F96:G101">
    <cfRule type="expression" dxfId="3891" priority="643">
      <formula>IF(NoColor,1,0)</formula>
    </cfRule>
  </conditionalFormatting>
  <conditionalFormatting sqref="F110:G114">
    <cfRule type="expression" dxfId="3890" priority="58">
      <formula>IF(NoColor,1,0)</formula>
    </cfRule>
  </conditionalFormatting>
  <conditionalFormatting sqref="F116:G116">
    <cfRule type="expression" dxfId="3889" priority="56">
      <formula>IF(NoColor,1,0)</formula>
    </cfRule>
  </conditionalFormatting>
  <conditionalFormatting sqref="F115:H115 T115:AH115 F117:AH117">
    <cfRule type="expression" dxfId="3888" priority="60">
      <formula>IF(NoColor,1,0)</formula>
    </cfRule>
  </conditionalFormatting>
  <conditionalFormatting sqref="F145:I145 U145:V145">
    <cfRule type="expression" dxfId="3887" priority="621">
      <formula>NoColor</formula>
    </cfRule>
  </conditionalFormatting>
  <conditionalFormatting sqref="F33:K33 L33:AS48 F34:AS35 F35:F38 F41:F43 G42:K42 F46 F49:AS50">
    <cfRule type="expression" dxfId="3886" priority="122">
      <formula>NoColor</formula>
    </cfRule>
  </conditionalFormatting>
  <conditionalFormatting sqref="F61:Q62 H63:AI63 H64:U64 F65:Q65 F68:Q68 F71:Q71">
    <cfRule type="expression" dxfId="3885" priority="602">
      <formula>IF(NoColor,1,0)</formula>
    </cfRule>
  </conditionalFormatting>
  <conditionalFormatting sqref="F147:Q147 AC147">
    <cfRule type="expression" dxfId="3884" priority="837">
      <formula>NoColor</formula>
    </cfRule>
  </conditionalFormatting>
  <conditionalFormatting sqref="F3:X3">
    <cfRule type="expression" dxfId="3883" priority="579">
      <formula>NoColor</formula>
    </cfRule>
  </conditionalFormatting>
  <conditionalFormatting sqref="F22:AA22">
    <cfRule type="expression" dxfId="3882" priority="131">
      <formula>NoColor</formula>
    </cfRule>
  </conditionalFormatting>
  <conditionalFormatting sqref="F19:AB19">
    <cfRule type="expression" dxfId="3881" priority="444">
      <formula>NoColor</formula>
    </cfRule>
  </conditionalFormatting>
  <conditionalFormatting sqref="F106:AF108">
    <cfRule type="expression" dxfId="3880" priority="466">
      <formula>IF(NoColor,1,0)</formula>
    </cfRule>
  </conditionalFormatting>
  <conditionalFormatting sqref="F72:AH73 H75:J75 L75:R75">
    <cfRule type="expression" dxfId="3879" priority="209">
      <formula>IF(NoColor,1,0)</formula>
    </cfRule>
  </conditionalFormatting>
  <conditionalFormatting sqref="F126:AH126 AJ126:AK126">
    <cfRule type="expression" dxfId="3878" priority="464">
      <formula>IF(NoColor,1,0)</formula>
    </cfRule>
  </conditionalFormatting>
  <conditionalFormatting sqref="F102:AJ105">
    <cfRule type="expression" dxfId="3877" priority="1167">
      <formula>IF(NoColor,1,0)</formula>
    </cfRule>
  </conditionalFormatting>
  <conditionalFormatting sqref="F118:AJ118">
    <cfRule type="expression" dxfId="3876" priority="54">
      <formula>IF(NoColor,1,0)</formula>
    </cfRule>
  </conditionalFormatting>
  <conditionalFormatting sqref="F123:AJ125">
    <cfRule type="expression" dxfId="3875" priority="630">
      <formula>IF(NoColor,1,0)</formula>
    </cfRule>
  </conditionalFormatting>
  <conditionalFormatting sqref="F30:AK32">
    <cfRule type="expression" dxfId="3874" priority="26">
      <formula>AND(DigitalAsset_Yes="",DigitalAsset_No="",NOT(NoColor))</formula>
    </cfRule>
  </conditionalFormatting>
  <conditionalFormatting sqref="F76:AR79">
    <cfRule type="expression" dxfId="3873" priority="113">
      <formula>IF(NoColor,1,0)</formula>
    </cfRule>
  </conditionalFormatting>
  <conditionalFormatting sqref="F82:AR82">
    <cfRule type="expression" dxfId="3872" priority="64">
      <formula>IF(NoColor,1,0)</formula>
    </cfRule>
  </conditionalFormatting>
  <conditionalFormatting sqref="F20:AS21">
    <cfRule type="expression" dxfId="3871" priority="130">
      <formula>NoColor</formula>
    </cfRule>
  </conditionalFormatting>
  <conditionalFormatting sqref="F27:AS27">
    <cfRule type="expression" dxfId="3870" priority="128">
      <formula>NoColor</formula>
    </cfRule>
  </conditionalFormatting>
  <conditionalFormatting sqref="F83:AS83 H84:AS84">
    <cfRule type="expression" dxfId="3869" priority="123">
      <formula>NoColor</formula>
    </cfRule>
  </conditionalFormatting>
  <conditionalFormatting sqref="F85:AS85">
    <cfRule type="expression" dxfId="3868" priority="81">
      <formula>NoColor</formula>
    </cfRule>
  </conditionalFormatting>
  <conditionalFormatting sqref="F87:AS87">
    <cfRule type="expression" dxfId="3867" priority="75">
      <formula>NoColor</formula>
    </cfRule>
  </conditionalFormatting>
  <conditionalFormatting sqref="G49 B96">
    <cfRule type="expression" dxfId="3866" priority="5366">
      <formula>AND($BF$12,B49&lt;&gt;"")</formula>
    </cfRule>
  </conditionalFormatting>
  <conditionalFormatting sqref="G84">
    <cfRule type="expression" dxfId="3865" priority="101">
      <formula>IF(NoColor,1,0)</formula>
    </cfRule>
  </conditionalFormatting>
  <conditionalFormatting sqref="G86">
    <cfRule type="expression" dxfId="3864" priority="80">
      <formula>IF(NoColor,1,0)</formula>
    </cfRule>
  </conditionalFormatting>
  <conditionalFormatting sqref="G134:V134 J135:V135">
    <cfRule type="expression" dxfId="3863" priority="449">
      <formula>IF(NoColor,1,0)</formula>
    </cfRule>
  </conditionalFormatting>
  <conditionalFormatting sqref="G127:AJ128">
    <cfRule type="expression" dxfId="3862" priority="832">
      <formula>NoColor</formula>
    </cfRule>
  </conditionalFormatting>
  <conditionalFormatting sqref="G133:AN133">
    <cfRule type="expression" dxfId="3861" priority="481">
      <formula>IF(NoColor,1,0)</formula>
    </cfRule>
  </conditionalFormatting>
  <conditionalFormatting sqref="H88:H90">
    <cfRule type="expression" dxfId="3860" priority="67">
      <formula>NoColor</formula>
    </cfRule>
  </conditionalFormatting>
  <conditionalFormatting sqref="H137">
    <cfRule type="expression" dxfId="3859" priority="3243" stopIfTrue="1">
      <formula>IF(AND(#REF!&gt;1000,#REF!&gt;0.1*#REF!,#REF!="",#REF!&lt;&gt;""),1,0)</formula>
    </cfRule>
  </conditionalFormatting>
  <conditionalFormatting sqref="H67:U67">
    <cfRule type="expression" dxfId="3858" priority="173">
      <formula>IF(NoColor,1,0)</formula>
    </cfRule>
  </conditionalFormatting>
  <conditionalFormatting sqref="H70:U70">
    <cfRule type="expression" dxfId="3857" priority="155">
      <formula>IF(NoColor,1,0)</formula>
    </cfRule>
  </conditionalFormatting>
  <conditionalFormatting sqref="H86:V86 X86:AS86">
    <cfRule type="expression" dxfId="3856" priority="77">
      <formula>NoColor</formula>
    </cfRule>
  </conditionalFormatting>
  <conditionalFormatting sqref="H113:AF113 F119:AB119 AD119:AF119 F120:AF122">
    <cfRule type="expression" dxfId="3855" priority="427">
      <formula>IF(NoColor,1,0)</formula>
    </cfRule>
  </conditionalFormatting>
  <conditionalFormatting sqref="H74:AI74">
    <cfRule type="expression" dxfId="3854" priority="121">
      <formula>IF(NoColor,1,0)</formula>
    </cfRule>
  </conditionalFormatting>
  <conditionalFormatting sqref="H110:AI111">
    <cfRule type="expression" dxfId="3853" priority="900">
      <formula>IF(NoColor,1,0)</formula>
    </cfRule>
  </conditionalFormatting>
  <conditionalFormatting sqref="H66:AJ66">
    <cfRule type="expression" dxfId="3852" priority="109">
      <formula>IF(NoColor,1,0)</formula>
    </cfRule>
  </conditionalFormatting>
  <conditionalFormatting sqref="H97:AJ101">
    <cfRule type="expression" dxfId="3851" priority="509">
      <formula>IF(NoColor,1,0)</formula>
    </cfRule>
  </conditionalFormatting>
  <conditionalFormatting sqref="H114:AJ114">
    <cfRule type="expression" dxfId="3850" priority="59">
      <formula>IF(NoColor,1,0)</formula>
    </cfRule>
  </conditionalFormatting>
  <conditionalFormatting sqref="H69:AK69">
    <cfRule type="expression" dxfId="3849" priority="105">
      <formula>IF(NoColor,1,0)</formula>
    </cfRule>
  </conditionalFormatting>
  <conditionalFormatting sqref="H91:AR91 F92:AR94">
    <cfRule type="expression" dxfId="3848" priority="371">
      <formula>IF(NoColor,1,0)</formula>
    </cfRule>
  </conditionalFormatting>
  <conditionalFormatting sqref="I90:L90">
    <cfRule type="expression" dxfId="3847" priority="70">
      <formula>NoColor</formula>
    </cfRule>
  </conditionalFormatting>
  <conditionalFormatting sqref="I129:AB129">
    <cfRule type="expression" dxfId="3846" priority="1139">
      <formula>IF(NoColor,1,0)</formula>
    </cfRule>
  </conditionalFormatting>
  <conditionalFormatting sqref="I130:AJ131">
    <cfRule type="expression" dxfId="3845" priority="398">
      <formula>IF(NoColor,1,0)</formula>
    </cfRule>
  </conditionalFormatting>
  <conditionalFormatting sqref="J136">
    <cfRule type="expression" dxfId="3844" priority="599">
      <formula>NoColor</formula>
    </cfRule>
  </conditionalFormatting>
  <conditionalFormatting sqref="K75">
    <cfRule type="expression" dxfId="3843" priority="118">
      <formula>NoColor</formula>
    </cfRule>
  </conditionalFormatting>
  <conditionalFormatting sqref="K148:K149">
    <cfRule type="expression" dxfId="3842" priority="44">
      <formula>NoColor</formula>
    </cfRule>
  </conditionalFormatting>
  <conditionalFormatting sqref="L6">
    <cfRule type="expression" dxfId="3841" priority="271">
      <formula>NoColor</formula>
    </cfRule>
  </conditionalFormatting>
  <conditionalFormatting sqref="L88">
    <cfRule type="expression" dxfId="3840" priority="700">
      <formula>AND(Name_1st_Yours&lt;&gt;"",NOT($BI$15))</formula>
    </cfRule>
  </conditionalFormatting>
  <conditionalFormatting sqref="L90">
    <cfRule type="expression" dxfId="3839" priority="94">
      <formula>AND(Name_1st_Yours&lt;&gt;"",NOT($BI$15))</formula>
    </cfRule>
  </conditionalFormatting>
  <conditionalFormatting sqref="L39:M41">
    <cfRule type="expression" dxfId="3838" priority="144">
      <formula>NoColor</formula>
    </cfRule>
  </conditionalFormatting>
  <conditionalFormatting sqref="L149:AG149">
    <cfRule type="expression" dxfId="3837" priority="32">
      <formula>NoColor</formula>
    </cfRule>
  </conditionalFormatting>
  <conditionalFormatting sqref="M44">
    <cfRule type="expression" dxfId="3836" priority="196">
      <formula>NoColor</formula>
    </cfRule>
  </conditionalFormatting>
  <conditionalFormatting sqref="M47">
    <cfRule type="expression" dxfId="3835" priority="195">
      <formula>NoColor</formula>
    </cfRule>
  </conditionalFormatting>
  <conditionalFormatting sqref="O39">
    <cfRule type="expression" dxfId="3834" priority="239">
      <formula>NoColor</formula>
    </cfRule>
  </conditionalFormatting>
  <conditionalFormatting sqref="O41">
    <cfRule type="expression" dxfId="3833" priority="203">
      <formula>NoColor</formula>
    </cfRule>
  </conditionalFormatting>
  <conditionalFormatting sqref="P94:Q94">
    <cfRule type="expression" dxfId="3832" priority="369">
      <formula>#REF!&lt;0</formula>
    </cfRule>
  </conditionalFormatting>
  <conditionalFormatting sqref="Q44">
    <cfRule type="expression" dxfId="3831" priority="194">
      <formula>NoColor</formula>
    </cfRule>
  </conditionalFormatting>
  <conditionalFormatting sqref="Q47">
    <cfRule type="expression" dxfId="3830" priority="193">
      <formula>NoColor</formula>
    </cfRule>
  </conditionalFormatting>
  <conditionalFormatting sqref="R5:X5">
    <cfRule type="expression" dxfId="3829" priority="348">
      <formula>NoColor</formula>
    </cfRule>
  </conditionalFormatting>
  <conditionalFormatting sqref="R6:Z6">
    <cfRule type="expression" dxfId="3828" priority="4">
      <formula>NoColor</formula>
    </cfRule>
  </conditionalFormatting>
  <conditionalFormatting sqref="R11:AS11">
    <cfRule type="expression" dxfId="3827" priority="742">
      <formula>NoColor</formula>
    </cfRule>
  </conditionalFormatting>
  <conditionalFormatting sqref="S61:S62 S65 S68 S71">
    <cfRule type="expression" dxfId="3826" priority="654">
      <formula>IF(NoColor,1,0)</formula>
    </cfRule>
  </conditionalFormatting>
  <conditionalFormatting sqref="S75">
    <cfRule type="expression" dxfId="3825" priority="116">
      <formula>NoColor</formula>
    </cfRule>
  </conditionalFormatting>
  <conditionalFormatting sqref="T20 T27:AK27">
    <cfRule type="expression" dxfId="3824" priority="312">
      <formula>AND(OR(File_Qual_Widow&lt;&gt;"",File_Head&lt;&gt;""),#REF!="")</formula>
    </cfRule>
  </conditionalFormatting>
  <conditionalFormatting sqref="T22">
    <cfRule type="expression" dxfId="3823" priority="139">
      <formula>AND(OR(File_Qual_Widow&lt;&gt;"",File_Head&lt;&gt;""),#REF!="")</formula>
    </cfRule>
  </conditionalFormatting>
  <conditionalFormatting sqref="T75:AC75">
    <cfRule type="expression" dxfId="3822" priority="115">
      <formula>IF(NoColor,1,0)</formula>
    </cfRule>
  </conditionalFormatting>
  <conditionalFormatting sqref="T116:AJ116">
    <cfRule type="expression" dxfId="3821" priority="57">
      <formula>IF(NoColor,1,0)</formula>
    </cfRule>
  </conditionalFormatting>
  <conditionalFormatting sqref="U140">
    <cfRule type="expression" dxfId="3820" priority="360">
      <formula>NoColor</formula>
    </cfRule>
  </conditionalFormatting>
  <conditionalFormatting sqref="U142">
    <cfRule type="expression" dxfId="3819" priority="53">
      <formula>IF(NoColor,1,0)</formula>
    </cfRule>
  </conditionalFormatting>
  <conditionalFormatting sqref="U143">
    <cfRule type="expression" dxfId="3818" priority="51">
      <formula>NoColor</formula>
    </cfRule>
  </conditionalFormatting>
  <conditionalFormatting sqref="V44">
    <cfRule type="expression" dxfId="3817" priority="192">
      <formula>NoColor</formula>
    </cfRule>
  </conditionalFormatting>
  <conditionalFormatting sqref="V47">
    <cfRule type="expression" dxfId="3816" priority="191">
      <formula>NoColor</formula>
    </cfRule>
  </conditionalFormatting>
  <conditionalFormatting sqref="V64">
    <cfRule type="expression" dxfId="3815" priority="180">
      <formula>NoColor</formula>
    </cfRule>
  </conditionalFormatting>
  <conditionalFormatting sqref="V67">
    <cfRule type="expression" dxfId="3814" priority="172">
      <formula>NoColor</formula>
    </cfRule>
  </conditionalFormatting>
  <conditionalFormatting sqref="V70">
    <cfRule type="expression" dxfId="3813" priority="154">
      <formula>NoColor</formula>
    </cfRule>
  </conditionalFormatting>
  <conditionalFormatting sqref="W86">
    <cfRule type="expression" dxfId="3812" priority="15">
      <formula>IF(NoColor,1,0)</formula>
    </cfRule>
  </conditionalFormatting>
  <conditionalFormatting sqref="W93 W94:X94">
    <cfRule type="expression" dxfId="3811" priority="5034">
      <formula>#REF!&lt;0</formula>
    </cfRule>
  </conditionalFormatting>
  <conditionalFormatting sqref="W134:W135">
    <cfRule type="expression" dxfId="3810" priority="491">
      <formula>IF(NoColor,1,0)</formula>
    </cfRule>
  </conditionalFormatting>
  <conditionalFormatting sqref="W67:AE67 AG67">
    <cfRule type="expression" dxfId="3809" priority="166">
      <formula>IF(NoColor,1,0)</formula>
    </cfRule>
  </conditionalFormatting>
  <conditionalFormatting sqref="W70:AE70 AG70">
    <cfRule type="expression" dxfId="3808" priority="150">
      <formula>IF(NoColor,1,0)</formula>
    </cfRule>
  </conditionalFormatting>
  <conditionalFormatting sqref="W64:AI64">
    <cfRule type="expression" dxfId="3807" priority="179">
      <formula>IF(NoColor,1,0)</formula>
    </cfRule>
  </conditionalFormatting>
  <conditionalFormatting sqref="X15">
    <cfRule type="expression" dxfId="3806" priority="474">
      <formula>NoColor</formula>
    </cfRule>
  </conditionalFormatting>
  <conditionalFormatting sqref="X39">
    <cfRule type="expression" dxfId="3805" priority="202">
      <formula>NoColor</formula>
    </cfRule>
  </conditionalFormatting>
  <conditionalFormatting sqref="X41">
    <cfRule type="expression" dxfId="3804" priority="201">
      <formula>NoColor</formula>
    </cfRule>
  </conditionalFormatting>
  <conditionalFormatting sqref="X134:AA134 Y135:AC135">
    <cfRule type="expression" dxfId="3803" priority="447">
      <formula>IF(NoColor,1,0)</formula>
    </cfRule>
  </conditionalFormatting>
  <conditionalFormatting sqref="X132:AB132">
    <cfRule type="expression" dxfId="3802" priority="899">
      <formula>IF(NoColor,1,0)</formula>
    </cfRule>
  </conditionalFormatting>
  <conditionalFormatting sqref="X27:AK27 T21:X21 AS21 AB23 T23:X24 U24:AA24 AS27 F28:F29">
    <cfRule type="expression" dxfId="3801" priority="6235">
      <formula>AND(OR(File_Qual_Widow&lt;&gt;"",File_Head&lt;&gt;""),$AB$25="")</formula>
    </cfRule>
  </conditionalFormatting>
  <conditionalFormatting sqref="Y136:Z136">
    <cfRule type="expression" dxfId="3800" priority="598">
      <formula>NoColor</formula>
    </cfRule>
  </conditionalFormatting>
  <conditionalFormatting sqref="Y61:AI62 Y65:AI65 Y71:AK71">
    <cfRule type="expression" dxfId="3799" priority="659">
      <formula>IF(NoColor,1,0)</formula>
    </cfRule>
  </conditionalFormatting>
  <conditionalFormatting sqref="Y68:AK68">
    <cfRule type="expression" dxfId="3798" priority="3">
      <formula>IF(NoColor,1,0)</formula>
    </cfRule>
  </conditionalFormatting>
  <conditionalFormatting sqref="Z44">
    <cfRule type="expression" dxfId="3797" priority="190">
      <formula>NoColor</formula>
    </cfRule>
  </conditionalFormatting>
  <conditionalFormatting sqref="Z47">
    <cfRule type="expression" dxfId="3796" priority="189">
      <formula>NoColor</formula>
    </cfRule>
  </conditionalFormatting>
  <conditionalFormatting sqref="Z25:AA25">
    <cfRule type="expression" dxfId="3795" priority="137">
      <formula>AND(OR(File_Qual_Widow&lt;&gt;"",File_Head&lt;&gt;""),$T$25="")</formula>
    </cfRule>
  </conditionalFormatting>
  <conditionalFormatting sqref="Z128:AJ128">
    <cfRule type="expression" dxfId="3794" priority="880">
      <formula>IF(NoColor,1,0)</formula>
    </cfRule>
  </conditionalFormatting>
  <conditionalFormatting sqref="Z25:AS25">
    <cfRule type="expression" dxfId="3793" priority="127">
      <formula>NoColor</formula>
    </cfRule>
  </conditionalFormatting>
  <conditionalFormatting sqref="AA140">
    <cfRule type="expression" dxfId="3792" priority="357">
      <formula>NoColor</formula>
    </cfRule>
  </conditionalFormatting>
  <conditionalFormatting sqref="AA143">
    <cfRule type="expression" dxfId="3791" priority="50">
      <formula>IF(NoColor,1,0)</formula>
    </cfRule>
    <cfRule type="expression" dxfId="3790" priority="49">
      <formula>NoColor</formula>
    </cfRule>
  </conditionalFormatting>
  <conditionalFormatting sqref="AA145">
    <cfRule type="expression" dxfId="3789" priority="620">
      <formula>NoColor</formula>
    </cfRule>
  </conditionalFormatting>
  <conditionalFormatting sqref="AA59:AC59">
    <cfRule type="expression" dxfId="3788" priority="363">
      <formula>NoColor</formula>
    </cfRule>
  </conditionalFormatting>
  <conditionalFormatting sqref="AA51:AI58">
    <cfRule type="expression" dxfId="3787" priority="364">
      <formula>NoColor</formula>
    </cfRule>
  </conditionalFormatting>
  <conditionalFormatting sqref="AA60:AI60">
    <cfRule type="expression" dxfId="3786" priority="362">
      <formula>NoColor</formula>
    </cfRule>
  </conditionalFormatting>
  <conditionalFormatting sqref="AB6">
    <cfRule type="expression" dxfId="3785" priority="270">
      <formula>NoColor</formula>
    </cfRule>
  </conditionalFormatting>
  <conditionalFormatting sqref="AB22:AB23">
    <cfRule type="expression" dxfId="3784" priority="129">
      <formula>NoColor</formula>
    </cfRule>
  </conditionalFormatting>
  <conditionalFormatting sqref="AB134">
    <cfRule type="expression" dxfId="3783" priority="397">
      <formula>IF(NoColor,1,0)</formula>
    </cfRule>
  </conditionalFormatting>
  <conditionalFormatting sqref="AB64:AC64">
    <cfRule type="expression" dxfId="3782" priority="167">
      <formula>NoColor</formula>
    </cfRule>
  </conditionalFormatting>
  <conditionalFormatting sqref="AB67:AC67">
    <cfRule type="expression" dxfId="3781" priority="165">
      <formula>NoColor</formula>
    </cfRule>
  </conditionalFormatting>
  <conditionalFormatting sqref="AB70:AC70">
    <cfRule type="expression" dxfId="3780" priority="149">
      <formula>NoColor</formula>
    </cfRule>
  </conditionalFormatting>
  <conditionalFormatting sqref="AC3:AC5 B4:B20 AC9:AC19 S17 AH17:AS19">
    <cfRule type="expression" dxfId="3779" priority="714">
      <formula>NoColor</formula>
    </cfRule>
  </conditionalFormatting>
  <conditionalFormatting sqref="AC119">
    <cfRule type="expression" dxfId="3778" priority="6">
      <formula>NoColor</formula>
    </cfRule>
  </conditionalFormatting>
  <conditionalFormatting sqref="AC134">
    <cfRule type="expression" dxfId="3777" priority="483">
      <formula>NoColor</formula>
    </cfRule>
  </conditionalFormatting>
  <conditionalFormatting sqref="AC22:AS22">
    <cfRule type="expression" dxfId="3776" priority="140">
      <formula>NoColor</formula>
    </cfRule>
  </conditionalFormatting>
  <conditionalFormatting sqref="AD75">
    <cfRule type="expression" dxfId="3775" priority="114">
      <formula>NoColor</formula>
    </cfRule>
  </conditionalFormatting>
  <conditionalFormatting sqref="AD39:AE41">
    <cfRule type="expression" dxfId="3774" priority="258">
      <formula>NoColor</formula>
    </cfRule>
  </conditionalFormatting>
  <conditionalFormatting sqref="AD134:AF135">
    <cfRule type="expression" dxfId="3773" priority="484">
      <formula>IF(NoColor,1,0)</formula>
    </cfRule>
  </conditionalFormatting>
  <conditionalFormatting sqref="AD19:AG19">
    <cfRule type="expression" dxfId="3772" priority="443">
      <formula>NoColor</formula>
    </cfRule>
  </conditionalFormatting>
  <conditionalFormatting sqref="AD129:AI129">
    <cfRule type="expression" dxfId="3771" priority="831">
      <formula>NoColor</formula>
    </cfRule>
  </conditionalFormatting>
  <conditionalFormatting sqref="AD132:AI132">
    <cfRule type="expression" dxfId="3770" priority="361">
      <formula>NoColor</formula>
    </cfRule>
  </conditionalFormatting>
  <conditionalFormatting sqref="AD59:AJ59">
    <cfRule type="expression" dxfId="3769" priority="314">
      <formula>IF(NoColor,1,0)</formula>
    </cfRule>
  </conditionalFormatting>
  <conditionalFormatting sqref="AE44">
    <cfRule type="expression" dxfId="3768" priority="188">
      <formula>NoColor</formula>
    </cfRule>
  </conditionalFormatting>
  <conditionalFormatting sqref="AE47">
    <cfRule type="expression" dxfId="3767" priority="187">
      <formula>NoColor</formula>
    </cfRule>
  </conditionalFormatting>
  <conditionalFormatting sqref="AE136:AF136">
    <cfRule type="expression" dxfId="3766" priority="33">
      <formula>IF(NoColor,1,0)</formula>
    </cfRule>
  </conditionalFormatting>
  <conditionalFormatting sqref="AF39">
    <cfRule type="expression" dxfId="3765" priority="200">
      <formula>NoColor</formula>
    </cfRule>
  </conditionalFormatting>
  <conditionalFormatting sqref="AF41">
    <cfRule type="expression" dxfId="3764" priority="199">
      <formula>NoColor</formula>
    </cfRule>
  </conditionalFormatting>
  <conditionalFormatting sqref="AF67">
    <cfRule type="expression" dxfId="3763" priority="2">
      <formula>NoColor</formula>
    </cfRule>
  </conditionalFormatting>
  <conditionalFormatting sqref="AF70">
    <cfRule type="expression" dxfId="3762" priority="1">
      <formula>NoColor</formula>
    </cfRule>
  </conditionalFormatting>
  <conditionalFormatting sqref="AG96">
    <cfRule type="expression" dxfId="3761" priority="445">
      <formula>NoColor</formula>
    </cfRule>
  </conditionalFormatting>
  <conditionalFormatting sqref="AG135">
    <cfRule type="expression" dxfId="3760" priority="5">
      <formula>IF(NoColor,1,0)</formula>
    </cfRule>
  </conditionalFormatting>
  <conditionalFormatting sqref="AG6:AJ6">
    <cfRule type="expression" dxfId="3759" priority="125">
      <formula>NoColor</formula>
    </cfRule>
  </conditionalFormatting>
  <conditionalFormatting sqref="AG134:AK134">
    <cfRule type="expression" dxfId="3758" priority="448">
      <formula>IF(NoColor,1,0)</formula>
    </cfRule>
  </conditionalFormatting>
  <conditionalFormatting sqref="AH12 B80:AS81 AS82 F95:AJ95 G129:H132 G150:H150">
    <cfRule type="expression" dxfId="3757" priority="1471">
      <formula>NoColor</formula>
    </cfRule>
  </conditionalFormatting>
  <conditionalFormatting sqref="AH15">
    <cfRule type="expression" dxfId="3756" priority="14">
      <formula>NoColor</formula>
    </cfRule>
    <cfRule type="expression" dxfId="3755" priority="13">
      <formula>NoColor</formula>
    </cfRule>
  </conditionalFormatting>
  <conditionalFormatting sqref="AH147:AH148">
    <cfRule type="expression" dxfId="3754" priority="47">
      <formula>NoColor</formula>
    </cfRule>
  </conditionalFormatting>
  <conditionalFormatting sqref="AH149">
    <cfRule type="expression" dxfId="3753" priority="43">
      <formula>IF($AV$3&lt;&gt;"",1,0)</formula>
    </cfRule>
  </conditionalFormatting>
  <conditionalFormatting sqref="AH4:AI4">
    <cfRule type="expression" dxfId="3752" priority="6245">
      <formula>AU12</formula>
    </cfRule>
  </conditionalFormatting>
  <conditionalFormatting sqref="AH14:AI14">
    <cfRule type="expression" dxfId="3751" priority="12">
      <formula>NoColor</formula>
    </cfRule>
  </conditionalFormatting>
  <conditionalFormatting sqref="AH146:AI146">
    <cfRule type="expression" dxfId="3750" priority="821">
      <formula>NoColor</formula>
    </cfRule>
  </conditionalFormatting>
  <conditionalFormatting sqref="AH3:AS4">
    <cfRule type="expression" dxfId="3749" priority="846">
      <formula>NoColor</formula>
    </cfRule>
  </conditionalFormatting>
  <conditionalFormatting sqref="AH9:AS9">
    <cfRule type="expression" dxfId="3748" priority="743">
      <formula>AND(NoColor,NoSSN)</formula>
    </cfRule>
    <cfRule type="expression" dxfId="3747" priority="744">
      <formula>NoSSN</formula>
    </cfRule>
  </conditionalFormatting>
  <conditionalFormatting sqref="AH10:AS10">
    <cfRule type="expression" dxfId="3746" priority="745">
      <formula>AND(File_Marr_Sep&lt;&gt;"",SS_Spouse="")</formula>
    </cfRule>
  </conditionalFormatting>
  <conditionalFormatting sqref="AH11:AS11">
    <cfRule type="expression" dxfId="3745" priority="307">
      <formula>NumFileStatusBoxes=0</formula>
    </cfRule>
    <cfRule type="expression" dxfId="3744" priority="741">
      <formula>OR(AND(NOT(NoColor),File_Marr_Joint="",File_Marr_Sep=""),NoSSN)</formula>
    </cfRule>
    <cfRule type="expression" dxfId="3743" priority="740">
      <formula>OR(AND(File_Marr_Joint="",File_Marr_Sep="",NoColor),AND(NoColor,NoSSN))</formula>
    </cfRule>
  </conditionalFormatting>
  <conditionalFormatting sqref="AI44">
    <cfRule type="expression" dxfId="3742" priority="186">
      <formula>NoColor</formula>
    </cfRule>
  </conditionalFormatting>
  <conditionalFormatting sqref="AI47">
    <cfRule type="expression" dxfId="3741" priority="185">
      <formula>NoColor</formula>
    </cfRule>
  </conditionalFormatting>
  <conditionalFormatting sqref="AI115 AI117">
    <cfRule type="expression" dxfId="3740" priority="61">
      <formula>NoColor</formula>
    </cfRule>
  </conditionalFormatting>
  <conditionalFormatting sqref="AJ70">
    <cfRule type="expression" dxfId="3739" priority="148">
      <formula>IF(NoColor,1,0)</formula>
    </cfRule>
  </conditionalFormatting>
  <conditionalFormatting sqref="AJ92">
    <cfRule type="expression" dxfId="3738" priority="423">
      <formula>AND(AT92="",QBID_1040&lt;&gt;"",QBID_1040&lt;&gt;0,QBID_Income2High)</formula>
    </cfRule>
  </conditionalFormatting>
  <conditionalFormatting sqref="AJ115 AJ117">
    <cfRule type="expression" dxfId="3737" priority="62">
      <formula>IF(NoColor,1,0)</formula>
    </cfRule>
  </conditionalFormatting>
  <conditionalFormatting sqref="AJ144">
    <cfRule type="expression" dxfId="3736" priority="355">
      <formula>IF(NoColor,1,0)</formula>
    </cfRule>
  </conditionalFormatting>
  <conditionalFormatting sqref="AJ51:AK58">
    <cfRule type="expression" dxfId="3735" priority="425">
      <formula>IF(NoColor,1,0)</formula>
    </cfRule>
  </conditionalFormatting>
  <conditionalFormatting sqref="AJ141:AL141">
    <cfRule type="expression" dxfId="3734" priority="839">
      <formula>NoColor</formula>
    </cfRule>
  </conditionalFormatting>
  <conditionalFormatting sqref="AJ144:AL144">
    <cfRule type="expression" dxfId="3733" priority="46">
      <formula>NoColor</formula>
    </cfRule>
  </conditionalFormatting>
  <conditionalFormatting sqref="AJ4:AM4">
    <cfRule type="expression" dxfId="3732" priority="6255">
      <formula>AV12</formula>
    </cfRule>
  </conditionalFormatting>
  <conditionalFormatting sqref="AJ96:AR96">
    <cfRule type="expression" dxfId="3731" priority="31">
      <formula>IF(NoColor,1,0)</formula>
    </cfRule>
  </conditionalFormatting>
  <conditionalFormatting sqref="AK65:AK66 AJ67:AK67">
    <cfRule type="expression" dxfId="3730" priority="162">
      <formula>IF(NoColor,1,0)</formula>
    </cfRule>
  </conditionalFormatting>
  <conditionalFormatting sqref="AK127:AK131">
    <cfRule type="expression" dxfId="3729" priority="367">
      <formula>IF(NoColor,1,0)</formula>
    </cfRule>
  </conditionalFormatting>
  <conditionalFormatting sqref="AK148:AK149">
    <cfRule type="expression" dxfId="3728" priority="42">
      <formula>NoColor</formula>
    </cfRule>
  </conditionalFormatting>
  <conditionalFormatting sqref="AK95:AR95">
    <cfRule type="expression" dxfId="3727" priority="288">
      <formula>IF(NoColor,1,0)</formula>
    </cfRule>
  </conditionalFormatting>
  <conditionalFormatting sqref="AK132:AR132">
    <cfRule type="expression" dxfId="3726" priority="625">
      <formula>IF(NoColor,1,0)</formula>
    </cfRule>
  </conditionalFormatting>
  <conditionalFormatting sqref="AL62:AL63">
    <cfRule type="expression" dxfId="3725" priority="4458">
      <formula>AND(NOT(NoColor),$S$62&gt;$AL$62,$AT$62="")</formula>
    </cfRule>
  </conditionalFormatting>
  <conditionalFormatting sqref="AL69 AL71:AR71">
    <cfRule type="expression" dxfId="3724" priority="157">
      <formula>NoColor</formula>
    </cfRule>
  </conditionalFormatting>
  <conditionalFormatting sqref="AL69">
    <cfRule type="expression" dxfId="3723" priority="159">
      <formula>AND(NOT(NoColor),$S$62&gt;$AL$62,$AT$62="")</formula>
    </cfRule>
  </conditionalFormatting>
  <conditionalFormatting sqref="AL134">
    <cfRule type="expression" dxfId="3722" priority="451">
      <formula>NoColor</formula>
    </cfRule>
  </conditionalFormatting>
  <conditionalFormatting sqref="AL136">
    <cfRule type="expression" dxfId="3721" priority="489">
      <formula>NoColor</formula>
    </cfRule>
  </conditionalFormatting>
  <conditionalFormatting sqref="AL39:AM41">
    <cfRule type="expression" dxfId="3720" priority="206">
      <formula>NoColor</formula>
    </cfRule>
  </conditionalFormatting>
  <conditionalFormatting sqref="AL127:AM129">
    <cfRule type="expression" dxfId="3719" priority="753">
      <formula>IF(NoColor,1,0)</formula>
    </cfRule>
  </conditionalFormatting>
  <conditionalFormatting sqref="AL135:AO135">
    <cfRule type="expression" dxfId="3718" priority="446">
      <formula>IF(NoColor,1,0)</formula>
    </cfRule>
  </conditionalFormatting>
  <conditionalFormatting sqref="AL65:AR68">
    <cfRule type="expression" dxfId="3717" priority="175">
      <formula>NoColor</formula>
    </cfRule>
  </conditionalFormatting>
  <conditionalFormatting sqref="AL66:AR67">
    <cfRule type="expression" dxfId="3716" priority="177">
      <formula>AND(NOT(NoColor),$S$62&gt;$AL$62,$AT$62="")</formula>
    </cfRule>
  </conditionalFormatting>
  <conditionalFormatting sqref="AL99:AR99">
    <cfRule type="expression" dxfId="3715" priority="617">
      <formula>IF(ISERROR(ROUND(Tax_SS_Benefits,0)),1,0)</formula>
    </cfRule>
  </conditionalFormatting>
  <conditionalFormatting sqref="AL103:AR110 AL119:AR122">
    <cfRule type="expression" dxfId="3714" priority="494">
      <formula>IF(ISERROR(ROUND(Tax_SS_Benefits,0)),1,0)</formula>
    </cfRule>
  </conditionalFormatting>
  <conditionalFormatting sqref="AL124:AR126">
    <cfRule type="expression" dxfId="3713" priority="986">
      <formula>IF(ISERROR(ROUND(Tax_SS_Benefits,0)),1,0)</formula>
    </cfRule>
  </conditionalFormatting>
  <conditionalFormatting sqref="AL125:AR126">
    <cfRule type="expression" dxfId="3712" priority="987">
      <formula>IF(NoColor,1,0)</formula>
    </cfRule>
  </conditionalFormatting>
  <conditionalFormatting sqref="AL130:AR131">
    <cfRule type="expression" dxfId="3711" priority="366">
      <formula>IF(NoColor,1,0)</formula>
    </cfRule>
  </conditionalFormatting>
  <conditionalFormatting sqref="AL130:AR132">
    <cfRule type="expression" dxfId="3710" priority="365">
      <formula>IF(ISERROR(ROUND(Tax_SS_Benefits,0)),1,0)</formula>
    </cfRule>
  </conditionalFormatting>
  <conditionalFormatting sqref="AL30:AS32 U39:V41 AI72:AI73">
    <cfRule type="expression" dxfId="3709" priority="717">
      <formula>NoColor</formula>
    </cfRule>
  </conditionalFormatting>
  <conditionalFormatting sqref="AM44">
    <cfRule type="expression" dxfId="3708" priority="184">
      <formula>NoColor</formula>
    </cfRule>
  </conditionalFormatting>
  <conditionalFormatting sqref="AM47">
    <cfRule type="expression" dxfId="3707" priority="183">
      <formula>NoColor</formula>
    </cfRule>
  </conditionalFormatting>
  <conditionalFormatting sqref="AN39">
    <cfRule type="expression" dxfId="3706" priority="198">
      <formula>NoColor</formula>
    </cfRule>
  </conditionalFormatting>
  <conditionalFormatting sqref="AN41">
    <cfRule type="expression" dxfId="3705" priority="197">
      <formula>NoColor</formula>
    </cfRule>
  </conditionalFormatting>
  <conditionalFormatting sqref="AN134">
    <cfRule type="expression" dxfId="3704" priority="452">
      <formula>IF(NoColor,1,0)</formula>
    </cfRule>
  </conditionalFormatting>
  <conditionalFormatting sqref="AN4:AP4">
    <cfRule type="expression" dxfId="3703" priority="6275">
      <formula>AY12</formula>
    </cfRule>
  </conditionalFormatting>
  <conditionalFormatting sqref="AN6:AR6">
    <cfRule type="expression" dxfId="3702" priority="124">
      <formula>NoColor</formula>
    </cfRule>
  </conditionalFormatting>
  <conditionalFormatting sqref="AO133:AO134 AP133:AR135">
    <cfRule type="expression" dxfId="3701" priority="581">
      <formula>IF(NoColor,1,0)</formula>
    </cfRule>
  </conditionalFormatting>
  <conditionalFormatting sqref="AO147">
    <cfRule type="expression" dxfId="3700" priority="478">
      <formula>NoColor</formula>
    </cfRule>
  </conditionalFormatting>
  <conditionalFormatting sqref="AP147:AS147">
    <cfRule type="expression" dxfId="3699" priority="477">
      <formula>IF($AV$3&lt;&gt;"",1,0)</formula>
    </cfRule>
  </conditionalFormatting>
  <conditionalFormatting sqref="AQ4">
    <cfRule type="expression" dxfId="3698" priority="6693">
      <formula>BB10</formula>
    </cfRule>
  </conditionalFormatting>
  <conditionalFormatting sqref="AQ44">
    <cfRule type="expression" dxfId="3697" priority="182">
      <formula>NoColor</formula>
    </cfRule>
  </conditionalFormatting>
  <conditionalFormatting sqref="AQ47">
    <cfRule type="expression" dxfId="3696" priority="181">
      <formula>NoColor</formula>
    </cfRule>
  </conditionalFormatting>
  <conditionalFormatting sqref="AR4">
    <cfRule type="expression" dxfId="3695" priority="6695">
      <formula>BB10</formula>
    </cfRule>
  </conditionalFormatting>
  <conditionalFormatting sqref="AS4">
    <cfRule type="expression" dxfId="3694" priority="349">
      <formula>BC12</formula>
    </cfRule>
  </conditionalFormatting>
  <conditionalFormatting sqref="AS133:AS136 F137:AS138 F139:U139 AJ139 AA139:AA140 F140 AJ141:AJ142">
    <cfRule type="expression" dxfId="3693" priority="1016">
      <formula>IF(NoColor,1,0)</formula>
    </cfRule>
  </conditionalFormatting>
  <conditionalFormatting sqref="AT92">
    <cfRule type="expression" dxfId="3691" priority="422">
      <formula>AND(QBID_1040&lt;&gt;"",QBID_1040&lt;&gt;0,QBID_Income2High)</formula>
    </cfRule>
  </conditionalFormatting>
  <conditionalFormatting sqref="AT101">
    <cfRule type="expression" dxfId="3690" priority="580">
      <formula>F8960_Applicable</formula>
    </cfRule>
  </conditionalFormatting>
  <conditionalFormatting sqref="AT113">
    <cfRule type="expression" dxfId="3689" priority="492">
      <formula>$AW$121</formula>
    </cfRule>
    <cfRule type="expression" dxfId="3688" priority="610">
      <formula>AND(EIC_trigger,NOT(EIC_Started))</formula>
    </cfRule>
  </conditionalFormatting>
  <conditionalFormatting sqref="AT131">
    <cfRule type="expression" dxfId="3687" priority="5295">
      <formula>OR($AU$127,$AU$136)</formula>
    </cfRule>
  </conditionalFormatting>
  <conditionalFormatting sqref="AU64">
    <cfRule type="expression" dxfId="3686" priority="6301">
      <formula>OR(AY51,AND($S$62&lt;&gt;0,$AL$62&lt;&gt;0))</formula>
    </cfRule>
    <cfRule type="expression" dxfId="3685" priority="6300">
      <formula>SUM(ROUND(IRA_Gross,0),ROUND(PA_Gross,0))=IRA_Pension_Taxable</formula>
    </cfRule>
    <cfRule type="expression" dxfId="3684" priority="6299" stopIfTrue="1">
      <formula>($S$62&gt;$AL$62)</formula>
    </cfRule>
  </conditionalFormatting>
  <conditionalFormatting sqref="AU78">
    <cfRule type="expression" dxfId="3683" priority="6504">
      <formula>AND(AX79&lt;&gt;"",AX79&gt;AY81)</formula>
    </cfRule>
    <cfRule type="expression" dxfId="3682" priority="6503">
      <formula>AND(#REF!&lt;&gt;"",#REF!&gt;0,SchA_Filed)</formula>
    </cfRule>
  </conditionalFormatting>
  <conditionalFormatting sqref="AU78:AU79">
    <cfRule type="expression" dxfId="3681" priority="5075" stopIfTrue="1">
      <formula>NumFileStatusBoxes=0</formula>
    </cfRule>
  </conditionalFormatting>
  <conditionalFormatting sqref="AU79">
    <cfRule type="expression" dxfId="3680" priority="6396">
      <formula>AND(#REF!&lt;&gt;"",#REF!&gt;#REF!)</formula>
    </cfRule>
  </conditionalFormatting>
  <conditionalFormatting sqref="AU79:AU80 AU95">
    <cfRule type="expression" dxfId="3679" priority="5090">
      <formula>OR(NumFileStatusBoxes=0,AND(#REF!&lt;&gt;"",#REF!&gt;0,SchA_Filed))</formula>
    </cfRule>
  </conditionalFormatting>
  <conditionalFormatting sqref="AU80">
    <cfRule type="expression" dxfId="3678" priority="5749" stopIfTrue="1">
      <formula>NumFileStatusBoxes=0</formula>
    </cfRule>
    <cfRule type="expression" dxfId="3677" priority="5748">
      <formula>AND(#REF!&lt;&gt;"",#REF!&gt;AZ96)</formula>
    </cfRule>
  </conditionalFormatting>
  <conditionalFormatting sqref="AU95">
    <cfRule type="expression" dxfId="3676" priority="6398" stopIfTrue="1">
      <formula>NumFileStatusBoxes=0</formula>
    </cfRule>
    <cfRule type="expression" dxfId="3675" priority="6397">
      <formula>AND(#REF!&lt;&gt;"",#REF!&gt;#REF!)</formula>
    </cfRule>
  </conditionalFormatting>
  <conditionalFormatting sqref="AU101">
    <cfRule type="expression" dxfId="3674" priority="4449">
      <formula>$AT$101&lt;&gt;""</formula>
    </cfRule>
  </conditionalFormatting>
  <conditionalFormatting sqref="AU109">
    <cfRule type="expression" dxfId="3673" priority="4452">
      <formula>($AU$113&gt;0)</formula>
    </cfRule>
  </conditionalFormatting>
  <conditionalFormatting sqref="AU80:AW80 AU91 AU95:AW95">
    <cfRule type="expression" dxfId="3672" priority="5374">
      <formula>$BF$12</formula>
    </cfRule>
    <cfRule type="expression" dxfId="3671" priority="5373">
      <formula>NumFileStatusBoxes=0</formula>
    </cfRule>
  </conditionalFormatting>
  <conditionalFormatting sqref="AU110:AW112">
    <cfRule type="expression" dxfId="3670" priority="6362">
      <formula>($AU$113&gt;0)</formula>
    </cfRule>
  </conditionalFormatting>
  <conditionalFormatting sqref="AV4">
    <cfRule type="expression" dxfId="3669" priority="871">
      <formula>(File_Marr_Sep&lt;&gt;"")</formula>
    </cfRule>
  </conditionalFormatting>
  <conditionalFormatting sqref="AV7:AV9">
    <cfRule type="expression" dxfId="3668" priority="22">
      <formula>(File_Marr_Sep&lt;&gt;"")</formula>
    </cfRule>
  </conditionalFormatting>
  <conditionalFormatting sqref="AV17">
    <cfRule type="expression" dxfId="3667" priority="785">
      <formula>(File_Marr_Joint&lt;&gt;"")</formula>
    </cfRule>
  </conditionalFormatting>
  <conditionalFormatting sqref="AW7">
    <cfRule type="expression" dxfId="3666" priority="19">
      <formula>File_Marr_Sep&lt;&gt;""</formula>
    </cfRule>
  </conditionalFormatting>
  <conditionalFormatting sqref="AW13">
    <cfRule type="expression" dxfId="3665" priority="6284">
      <formula>IF(OR(AND(File_Marr_Joint&lt;&gt;"",$BI$15,$BI$17),AND(File_Marr_Joint="",$BI$15)),1,0)</formula>
    </cfRule>
  </conditionalFormatting>
  <conditionalFormatting sqref="AW102">
    <cfRule type="expression" dxfId="3664" priority="383">
      <formula>($AT$65&lt;&gt;"")</formula>
    </cfRule>
  </conditionalFormatting>
  <conditionalFormatting sqref="AW104:AW105">
    <cfRule type="expression" dxfId="3663" priority="748">
      <formula>($AT$65&lt;&gt;"")</formula>
    </cfRule>
  </conditionalFormatting>
  <conditionalFormatting sqref="AW7:AX8">
    <cfRule type="expression" dxfId="3662" priority="16">
      <formula>AND(File_Marr_Sep&lt;&gt;"",LivedApartAnswered)</formula>
    </cfRule>
  </conditionalFormatting>
  <conditionalFormatting sqref="AW4:AY4">
    <cfRule type="expression" dxfId="3661" priority="867">
      <formula>(File_Marr_Sep&lt;&gt;"")</formula>
    </cfRule>
  </conditionalFormatting>
  <conditionalFormatting sqref="AW8:AY8">
    <cfRule type="expression" dxfId="3660" priority="24">
      <formula>(File_Marr_Sep&lt;&gt;"")</formula>
    </cfRule>
  </conditionalFormatting>
  <conditionalFormatting sqref="AW9:BA9">
    <cfRule type="expression" dxfId="3659" priority="21">
      <formula>File_Marr_Sep&lt;&gt;""</formula>
    </cfRule>
  </conditionalFormatting>
  <conditionalFormatting sqref="AX4">
    <cfRule type="expression" dxfId="3658" priority="382">
      <formula>NumFileStatusBoxes=0</formula>
    </cfRule>
  </conditionalFormatting>
  <conditionalFormatting sqref="AX7">
    <cfRule type="expression" dxfId="3657" priority="18">
      <formula>File_Marr_Sep&lt;&gt;""</formula>
    </cfRule>
  </conditionalFormatting>
  <conditionalFormatting sqref="AX16">
    <cfRule type="expression" dxfId="3656" priority="1265">
      <formula>IF($BL$123,1,0)</formula>
    </cfRule>
  </conditionalFormatting>
  <conditionalFormatting sqref="AX18 AX21 AX32">
    <cfRule type="expression" dxfId="3655" priority="6748">
      <formula>AND($AX$17&lt;&gt;"",$AY$17&lt;&gt;"",$AZ$17&lt;&gt;"",$BL$144)</formula>
    </cfRule>
  </conditionalFormatting>
  <conditionalFormatting sqref="AX20 AX23">
    <cfRule type="expression" dxfId="3654" priority="6699">
      <formula>OR($BR$144,$AW$25)</formula>
    </cfRule>
  </conditionalFormatting>
  <conditionalFormatting sqref="AX17:AZ17">
    <cfRule type="expression" dxfId="3653" priority="5376">
      <formula>NoColor</formula>
    </cfRule>
    <cfRule type="expression" dxfId="3652" priority="5375">
      <formula>NOT($BF$13)</formula>
    </cfRule>
  </conditionalFormatting>
  <conditionalFormatting sqref="AX22:AZ22">
    <cfRule type="expression" dxfId="3651" priority="319">
      <formula>IF(NoColor,1,0)</formula>
    </cfRule>
    <cfRule type="expression" dxfId="3650" priority="318">
      <formula>NOT($AW$24)</formula>
    </cfRule>
  </conditionalFormatting>
  <conditionalFormatting sqref="AY4">
    <cfRule type="expression" dxfId="3649" priority="865">
      <formula>(File_Marr_Sep&lt;&gt;"")</formula>
    </cfRule>
  </conditionalFormatting>
  <conditionalFormatting sqref="AY96">
    <cfRule type="expression" dxfId="3648" priority="34">
      <formula>AY98</formula>
    </cfRule>
  </conditionalFormatting>
  <conditionalFormatting sqref="AY7:AZ7">
    <cfRule type="expression" dxfId="3647" priority="23">
      <formula>(File_Marr_Sep&lt;&gt;"")</formula>
    </cfRule>
  </conditionalFormatting>
  <conditionalFormatting sqref="AZ8">
    <cfRule type="expression" dxfId="3646" priority="25">
      <formula>(File_Marr_Sep&lt;&gt;"")</formula>
    </cfRule>
  </conditionalFormatting>
  <conditionalFormatting sqref="AZ95 AZ97">
    <cfRule type="expression" dxfId="3645" priority="41">
      <formula>AND($AP$73,Over_65_or_Blind=0)</formula>
    </cfRule>
  </conditionalFormatting>
  <conditionalFormatting sqref="AZ92:BA92">
    <cfRule type="expression" dxfId="3644" priority="37">
      <formula>$AP$73</formula>
    </cfRule>
  </conditionalFormatting>
  <conditionalFormatting sqref="AZ82:BE88">
    <cfRule type="expression" dxfId="3643" priority="17">
      <formula>AND(DependentSPOUSE="",MFS_Spouse_NotFiling&lt;&gt;"")</formula>
    </cfRule>
  </conditionalFormatting>
  <conditionalFormatting sqref="BA95:BA97">
    <cfRule type="expression" dxfId="3642" priority="40">
      <formula>File_Single=""</formula>
    </cfRule>
  </conditionalFormatting>
  <conditionalFormatting sqref="BB34:BB37">
    <cfRule type="expression" dxfId="3641" priority="857">
      <formula>IF($AV$3&lt;&gt;"",1,0)</formula>
    </cfRule>
  </conditionalFormatting>
  <conditionalFormatting sqref="BB95:BB99">
    <cfRule type="expression" dxfId="3640" priority="36">
      <formula>AND(File_Marr_Joint="",File_Qual_Widow="")</formula>
    </cfRule>
  </conditionalFormatting>
  <conditionalFormatting sqref="BC95:BC99">
    <cfRule type="expression" dxfId="3639" priority="39">
      <formula>File_Marr_Sep=""</formula>
    </cfRule>
  </conditionalFormatting>
  <conditionalFormatting sqref="BD95:BD99">
    <cfRule type="expression" dxfId="3638" priority="38">
      <formula>File_Head=""</formula>
    </cfRule>
  </conditionalFormatting>
  <conditionalFormatting sqref="BD97">
    <cfRule type="expression" dxfId="3637" priority="35">
      <formula>$AT$96=0</formula>
    </cfRule>
  </conditionalFormatting>
  <conditionalFormatting sqref="BI70:BI72">
    <cfRule type="expression" dxfId="3636" priority="992">
      <formula>NOT(ItemizedDeduct)</formula>
    </cfRule>
  </conditionalFormatting>
  <conditionalFormatting sqref="BJ70:BJ72">
    <cfRule type="expression" dxfId="3635" priority="991">
      <formula>(ItemizedDeduct)</formula>
    </cfRule>
  </conditionalFormatting>
  <hyperlinks>
    <hyperlink ref="H2" r:id="rId1" xr:uid="{00000000-0004-0000-0C00-000000000000}"/>
    <hyperlink ref="F153" r:id="rId2" xr:uid="{00000000-0004-0000-0C00-000001000000}"/>
    <hyperlink ref="F155" r:id="rId3" xr:uid="{00000000-0004-0000-0C00-000002000000}"/>
    <hyperlink ref="F155:AA155" r:id="rId4" display="Download Form 1040 from IRS" xr:uid="{00000000-0004-0000-0C00-000003000000}"/>
    <hyperlink ref="F157:AA157" r:id="rId5" display="Download Form 1040 from IRS" xr:uid="{00000000-0004-0000-0C00-000004000000}"/>
    <hyperlink ref="L158:R160" location="'Table of Contents'!A1" display="Table of Contents" xr:uid="{00000000-0004-0000-0C00-000005000000}"/>
  </hyperlinks>
  <pageMargins left="0.75" right="0.25" top="0.36" bottom="0.28999999999999998" header="0.36" footer="0.21"/>
  <pageSetup scale="64" fitToHeight="0" orientation="portrait" r:id="rId6"/>
  <rowBreaks count="1" manualBreakCount="1">
    <brk id="80" min="1" max="32" man="1"/>
  </rowBreaks>
  <drawing r:id="rId7"/>
  <extLst>
    <ext xmlns:x14="http://schemas.microsoft.com/office/spreadsheetml/2009/9/main" uri="{78C0D931-6437-407d-A8EE-F0AAD7539E65}">
      <x14:conditionalFormattings>
        <x14:conditionalFormatting xmlns:xm="http://schemas.microsoft.com/office/excel/2006/main">
          <x14:cfRule type="expression" priority="308" id="{2ED04951-2E1D-4269-B2ED-FBBD5FD65FA9}">
            <xm:f>'Table of Contents'!I19="D"</xm:f>
            <x14:dxf>
              <fill>
                <patternFill>
                  <bgColor theme="0"/>
                </patternFill>
              </fill>
              <border>
                <right style="thin">
                  <color auto="1"/>
                </right>
                <top style="thin">
                  <color auto="1"/>
                </top>
                <bottom style="thin">
                  <color auto="1"/>
                </bottom>
                <vertical/>
                <horizontal/>
              </border>
            </x14:dxf>
          </x14:cfRule>
          <xm:sqref>AT3</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CZ61"/>
  <sheetViews>
    <sheetView zoomScaleNormal="100" workbookViewId="0">
      <selection activeCell="A2" sqref="A2"/>
    </sheetView>
  </sheetViews>
  <sheetFormatPr defaultRowHeight="12.75"/>
  <cols>
    <col min="1" max="1" width="4.85546875" style="84" customWidth="1"/>
    <col min="4" max="4" width="3.5703125" customWidth="1"/>
    <col min="5" max="5" width="7" customWidth="1"/>
    <col min="6" max="8" width="5.5703125" customWidth="1"/>
    <col min="9" max="9" width="6.42578125" customWidth="1"/>
    <col min="10" max="12" width="5.5703125" customWidth="1"/>
    <col min="13" max="18" width="3.5703125" customWidth="1"/>
    <col min="19" max="24" width="3" customWidth="1"/>
    <col min="25" max="25" width="2.7109375" customWidth="1"/>
    <col min="26" max="26" width="3.42578125" customWidth="1"/>
    <col min="27" max="28" width="2.7109375" customWidth="1"/>
    <col min="29" max="29" width="3.42578125" customWidth="1"/>
    <col min="30" max="31" width="2.7109375" customWidth="1"/>
    <col min="32" max="32" width="3.42578125" customWidth="1"/>
    <col min="33" max="33" width="2.7109375" customWidth="1"/>
    <col min="34" max="34" width="3.28515625" customWidth="1"/>
    <col min="35" max="35" width="3.42578125" customWidth="1"/>
    <col min="36" max="36" width="3.28515625" customWidth="1"/>
    <col min="37" max="42" width="3" customWidth="1"/>
    <col min="43" max="43" width="11.28515625" customWidth="1"/>
    <col min="44" max="44" width="4.7109375" customWidth="1"/>
    <col min="45" max="45" width="3.42578125" customWidth="1"/>
    <col min="46" max="46" width="4.7109375" customWidth="1"/>
    <col min="47" max="47" width="3.7109375" customWidth="1"/>
    <col min="48" max="48" width="3.42578125" customWidth="1"/>
    <col min="49" max="49" width="3.7109375" customWidth="1"/>
    <col min="50" max="50" width="4.7109375" customWidth="1"/>
    <col min="51" max="51" width="3.42578125" customWidth="1"/>
    <col min="52" max="53" width="4.7109375" customWidth="1"/>
    <col min="54" max="54" width="3.28515625" customWidth="1"/>
    <col min="55" max="55" width="4.7109375" customWidth="1"/>
    <col min="56" max="56" width="3.7109375" customWidth="1"/>
    <col min="57" max="57" width="3.140625" customWidth="1"/>
    <col min="58" max="59" width="3.7109375" customWidth="1"/>
    <col min="60" max="60" width="3.42578125" customWidth="1"/>
    <col min="61" max="61" width="3.7109375" customWidth="1"/>
    <col min="62" max="62" width="4.7109375" customWidth="1"/>
    <col min="63" max="63" width="3.42578125" customWidth="1"/>
    <col min="64" max="64" width="4.7109375" customWidth="1"/>
    <col min="65" max="65" width="4.5703125" customWidth="1"/>
    <col min="66" max="66" width="56.42578125" customWidth="1"/>
    <col min="67" max="68" width="11.42578125" customWidth="1"/>
    <col min="69" max="69" width="9.140625" hidden="1" customWidth="1"/>
    <col min="70" max="70" width="4.85546875" hidden="1" customWidth="1"/>
    <col min="71" max="71" width="14.7109375" hidden="1" customWidth="1"/>
    <col min="72" max="73" width="9.140625" style="84" hidden="1" customWidth="1"/>
    <col min="74" max="74" width="9.85546875" style="84" hidden="1" customWidth="1"/>
    <col min="75" max="75" width="8.42578125" style="84" hidden="1" customWidth="1"/>
    <col min="76" max="76" width="10.140625" style="84" hidden="1" customWidth="1"/>
    <col min="77" max="77" width="11.7109375" style="84" hidden="1" customWidth="1"/>
    <col min="78" max="91" width="12.28515625" hidden="1" customWidth="1"/>
    <col min="92" max="92" width="3.5703125" hidden="1" customWidth="1"/>
    <col min="93" max="96" width="6.7109375" hidden="1" customWidth="1"/>
    <col min="97" max="98" width="5.85546875" hidden="1" customWidth="1"/>
    <col min="99" max="100" width="12.28515625" hidden="1" customWidth="1"/>
    <col min="101" max="101" width="3.7109375" hidden="1" customWidth="1"/>
    <col min="102" max="102" width="9.140625" hidden="1" customWidth="1"/>
  </cols>
  <sheetData>
    <row r="1" spans="1:104" ht="12.75" customHeight="1">
      <c r="A1" s="2259"/>
      <c r="B1" s="1277"/>
      <c r="C1" s="1277"/>
      <c r="D1" s="1277"/>
      <c r="E1" s="1277"/>
      <c r="F1" s="1277"/>
      <c r="G1" s="1277"/>
      <c r="H1" s="1277"/>
      <c r="I1" s="1277"/>
      <c r="J1" s="1277"/>
      <c r="K1" s="1277"/>
      <c r="L1" s="1277"/>
      <c r="M1" s="7507" t="str">
        <f>IF(BV3,"By entering a first name, last name, or relationship,
'Default' SSNs are automatically generated here."&amp;CHAR(10)&amp;"These may be used in lieu of real SSNs.","")</f>
        <v/>
      </c>
      <c r="N1" s="7507"/>
      <c r="O1" s="7507"/>
      <c r="P1" s="7507"/>
      <c r="Q1" s="7507"/>
      <c r="R1" s="7507"/>
      <c r="S1" s="1277"/>
      <c r="T1" s="1277"/>
      <c r="U1" s="1277"/>
      <c r="V1" s="1277"/>
      <c r="W1" s="1277"/>
      <c r="X1" s="1277"/>
      <c r="Y1" s="7552" t="s">
        <v>6070</v>
      </c>
      <c r="Z1" s="7552"/>
      <c r="AA1" s="7552"/>
      <c r="AB1" s="7552"/>
      <c r="AC1" s="7552"/>
      <c r="AD1" s="7552"/>
      <c r="AE1" s="7552"/>
      <c r="AF1" s="7552"/>
      <c r="AG1" s="7552"/>
      <c r="AH1" s="7552"/>
      <c r="AI1" s="7552"/>
      <c r="AJ1" s="7552"/>
      <c r="AK1" s="7546" t="str">
        <f>IF(BY3,"Enter child/dependent's birthdate to ensure accurate tax credit determination - unless permanently and totally disabled.","")</f>
        <v/>
      </c>
      <c r="AL1" s="7546"/>
      <c r="AM1" s="7546"/>
      <c r="AN1" s="7546"/>
      <c r="AO1" s="7546"/>
      <c r="AP1" s="7546"/>
      <c r="AQ1" s="1277"/>
      <c r="AR1" s="1277"/>
      <c r="AS1" s="1277"/>
      <c r="AT1" s="1277"/>
      <c r="AU1" s="1277"/>
      <c r="AV1" s="1277"/>
      <c r="AW1" s="1277"/>
      <c r="AX1" s="1277"/>
      <c r="AY1" s="1277"/>
      <c r="AZ1" s="1277"/>
      <c r="BA1" s="1277"/>
      <c r="BB1" s="1277"/>
      <c r="BC1" s="1277"/>
      <c r="BD1" s="1277"/>
      <c r="BE1" s="1277"/>
      <c r="BF1" s="1277"/>
      <c r="BG1" s="1277"/>
      <c r="BH1" s="1277"/>
      <c r="BI1" s="1277"/>
      <c r="BJ1" s="1277"/>
      <c r="BK1" s="1277"/>
      <c r="BL1" s="1277"/>
      <c r="BM1" s="1277"/>
      <c r="BT1"/>
      <c r="BU1"/>
      <c r="BV1"/>
      <c r="BW1"/>
      <c r="BX1"/>
      <c r="BY1"/>
      <c r="CY1" s="84"/>
    </row>
    <row r="2" spans="1:104" ht="150" customHeight="1">
      <c r="A2" s="2259"/>
      <c r="B2" s="1277"/>
      <c r="C2" s="7509" t="s">
        <v>6069</v>
      </c>
      <c r="D2" s="7509"/>
      <c r="E2" s="7509"/>
      <c r="F2" s="7509"/>
      <c r="G2" s="7509"/>
      <c r="H2" s="7509"/>
      <c r="I2" s="7509"/>
      <c r="J2" s="7509"/>
      <c r="K2" s="1277"/>
      <c r="L2" s="1277"/>
      <c r="M2" s="7507"/>
      <c r="N2" s="7507"/>
      <c r="O2" s="7507"/>
      <c r="P2" s="7507"/>
      <c r="Q2" s="7507"/>
      <c r="R2" s="7507"/>
      <c r="S2" s="1277"/>
      <c r="T2" s="1277"/>
      <c r="U2" s="1277"/>
      <c r="V2" s="1277"/>
      <c r="W2" s="1277"/>
      <c r="X2" s="1277"/>
      <c r="Y2" s="7552"/>
      <c r="Z2" s="7552"/>
      <c r="AA2" s="7552"/>
      <c r="AB2" s="7552"/>
      <c r="AC2" s="7552"/>
      <c r="AD2" s="7552"/>
      <c r="AE2" s="7552"/>
      <c r="AF2" s="7552"/>
      <c r="AG2" s="7552"/>
      <c r="AH2" s="7552"/>
      <c r="AI2" s="7552"/>
      <c r="AJ2" s="7552"/>
      <c r="AK2" s="7546"/>
      <c r="AL2" s="7546"/>
      <c r="AM2" s="7546"/>
      <c r="AN2" s="7546"/>
      <c r="AO2" s="7546"/>
      <c r="AP2" s="7546"/>
      <c r="AQ2" s="1277"/>
      <c r="AR2" s="6191"/>
      <c r="AS2" s="1277"/>
      <c r="AT2" s="1277"/>
      <c r="AU2" s="1277"/>
      <c r="AV2" s="1277"/>
      <c r="AW2" s="1277"/>
      <c r="AX2" s="1277"/>
      <c r="AY2" s="1277"/>
      <c r="AZ2" s="1277"/>
      <c r="BA2" s="7551" t="s">
        <v>6067</v>
      </c>
      <c r="BB2" s="7551"/>
      <c r="BC2" s="7551"/>
      <c r="BD2" s="7551"/>
      <c r="BE2" s="7551"/>
      <c r="BF2" s="7551"/>
      <c r="BG2" s="7551"/>
      <c r="BH2" s="7551"/>
      <c r="BI2" s="7551"/>
      <c r="BJ2" s="7551"/>
      <c r="BK2" s="7551"/>
      <c r="BL2" s="7551"/>
      <c r="BM2" s="1277"/>
      <c r="BN2" s="6175"/>
      <c r="BQ2" s="7450" t="s">
        <v>764</v>
      </c>
      <c r="BT2"/>
      <c r="BY2" s="5958">
        <f>AK7</f>
        <v>0</v>
      </c>
      <c r="BZ2" s="5958" t="e">
        <f>SpouseBirthDate</f>
        <v>#N/A</v>
      </c>
      <c r="CA2" s="5958" t="e">
        <f>SpouseBirthDate</f>
        <v>#N/A</v>
      </c>
      <c r="CD2" s="5958" t="e">
        <f>YourBirthDate</f>
        <v>#N/A</v>
      </c>
      <c r="CN2" s="5985"/>
      <c r="CO2" s="7450" t="s">
        <v>6038</v>
      </c>
      <c r="CP2" s="7450" t="s">
        <v>6039</v>
      </c>
      <c r="CQ2" s="7450" t="s">
        <v>6040</v>
      </c>
      <c r="CR2" s="7450" t="s">
        <v>6031</v>
      </c>
      <c r="CX2" s="7450" t="s">
        <v>6051</v>
      </c>
    </row>
    <row r="3" spans="1:104" ht="24.75" customHeight="1" thickBot="1">
      <c r="A3" s="2259"/>
      <c r="B3" s="1277"/>
      <c r="C3" s="1277"/>
      <c r="D3" s="1277"/>
      <c r="E3" s="1277"/>
      <c r="F3" s="1277"/>
      <c r="G3" s="1277"/>
      <c r="H3" s="1277"/>
      <c r="I3" s="1277"/>
      <c r="J3" s="1277"/>
      <c r="K3" s="1277"/>
      <c r="L3" s="1277"/>
      <c r="M3" s="7508"/>
      <c r="N3" s="7508"/>
      <c r="O3" s="7508"/>
      <c r="P3" s="7508"/>
      <c r="Q3" s="7508"/>
      <c r="R3" s="7508"/>
      <c r="S3" s="1277"/>
      <c r="T3" s="1277"/>
      <c r="U3" s="1277"/>
      <c r="V3" s="1277"/>
      <c r="W3" s="1277"/>
      <c r="X3" s="1277"/>
      <c r="Y3" s="7553"/>
      <c r="Z3" s="7553"/>
      <c r="AA3" s="7553"/>
      <c r="AB3" s="7553"/>
      <c r="AC3" s="7553"/>
      <c r="AD3" s="7553"/>
      <c r="AE3" s="7553"/>
      <c r="AF3" s="7553"/>
      <c r="AG3" s="7553"/>
      <c r="AH3" s="7553"/>
      <c r="AI3" s="7553"/>
      <c r="AJ3" s="7553"/>
      <c r="AK3" s="7547"/>
      <c r="AL3" s="7547"/>
      <c r="AM3" s="7547"/>
      <c r="AN3" s="7547"/>
      <c r="AO3" s="7547"/>
      <c r="AP3" s="7547"/>
      <c r="AQ3" s="1277"/>
      <c r="AR3" s="6139"/>
      <c r="AS3" s="6139"/>
      <c r="AT3" s="6139"/>
      <c r="AU3" s="6139"/>
      <c r="AV3" s="6139"/>
      <c r="AW3" s="6139"/>
      <c r="AX3" s="6139"/>
      <c r="AY3" s="6139"/>
      <c r="AZ3" s="6139"/>
      <c r="BA3" s="6178"/>
      <c r="BB3" s="6178"/>
      <c r="BC3" s="6178"/>
      <c r="BD3" s="1277"/>
      <c r="BE3" s="1277"/>
      <c r="BF3" s="1277"/>
      <c r="BG3" s="6139"/>
      <c r="BH3" s="6139"/>
      <c r="BI3" s="6139"/>
      <c r="BJ3" s="6152"/>
      <c r="BK3" s="6152"/>
      <c r="BL3" s="6152"/>
      <c r="BM3" s="1277"/>
      <c r="BQ3" s="7450"/>
      <c r="BT3"/>
      <c r="BV3" s="502" t="b">
        <f>OR(BV7:BV10,BV15:BV30)</f>
        <v>0</v>
      </c>
      <c r="BY3" s="502" t="b">
        <f>OR(BY7:BY10,BY15:BY30)</f>
        <v>0</v>
      </c>
      <c r="BZ3" s="314" t="s">
        <v>765</v>
      </c>
      <c r="CA3" s="314" t="s">
        <v>765</v>
      </c>
      <c r="CB3" s="314" t="s">
        <v>765</v>
      </c>
      <c r="CC3" s="314"/>
      <c r="CF3" s="1279"/>
      <c r="CG3" s="6154"/>
      <c r="CH3" s="6154"/>
      <c r="CI3" s="6154"/>
      <c r="CJ3" s="1279"/>
      <c r="CK3" s="1279"/>
      <c r="CL3" s="1279"/>
      <c r="CM3" s="1279" t="b">
        <f>OR(AND(NOT(BX7),BW7),AND(NOT(BX7),BB7&lt;&gt;"",CA7=0))</f>
        <v>0</v>
      </c>
      <c r="CN3" s="5985"/>
      <c r="CO3" s="7450"/>
      <c r="CP3" s="7450"/>
      <c r="CQ3" s="7450"/>
      <c r="CR3" s="7450"/>
      <c r="CU3" s="6154"/>
      <c r="CV3" s="6154"/>
      <c r="CX3" s="7450"/>
    </row>
    <row r="4" spans="1:104" ht="34.5" customHeight="1" thickTop="1" thickBot="1">
      <c r="A4" s="2259"/>
      <c r="B4" s="7163" t="s">
        <v>575</v>
      </c>
      <c r="C4" s="7163"/>
      <c r="D4" s="7163"/>
      <c r="E4" s="7472" t="s">
        <v>6017</v>
      </c>
      <c r="F4" s="7472"/>
      <c r="G4" s="7472"/>
      <c r="H4" s="7473"/>
      <c r="I4" s="1274"/>
      <c r="J4" s="1263"/>
      <c r="K4" s="1263"/>
      <c r="L4" s="1264"/>
      <c r="M4" s="7506" t="s">
        <v>6063</v>
      </c>
      <c r="N4" s="7498"/>
      <c r="O4" s="7498"/>
      <c r="P4" s="7498"/>
      <c r="Q4" s="7498"/>
      <c r="R4" s="7499"/>
      <c r="S4" s="7506" t="s">
        <v>5707</v>
      </c>
      <c r="T4" s="7498"/>
      <c r="U4" s="7498"/>
      <c r="V4" s="7498"/>
      <c r="W4" s="7498"/>
      <c r="X4" s="7499"/>
      <c r="Y4" s="7480" t="s">
        <v>6025</v>
      </c>
      <c r="Z4" s="7481"/>
      <c r="AA4" s="7481"/>
      <c r="AB4" s="7481"/>
      <c r="AC4" s="7481"/>
      <c r="AD4" s="7482"/>
      <c r="AE4" s="7490" t="s">
        <v>6008</v>
      </c>
      <c r="AF4" s="7523"/>
      <c r="AG4" s="7523"/>
      <c r="AH4" s="7523"/>
      <c r="AI4" s="7523"/>
      <c r="AJ4" s="7524"/>
      <c r="AK4" s="7497" t="s">
        <v>766</v>
      </c>
      <c r="AL4" s="7498"/>
      <c r="AM4" s="7498"/>
      <c r="AN4" s="7498"/>
      <c r="AO4" s="7498"/>
      <c r="AP4" s="7499"/>
      <c r="AQ4" s="7497" t="str">
        <f>"Age "&amp;CHAR(10)&amp;"(in "&amp;TaxYear&amp;")"</f>
        <v>Age 
(in 2025)</v>
      </c>
      <c r="AR4" s="7468" t="s">
        <v>6066</v>
      </c>
      <c r="AS4" s="7469"/>
      <c r="AT4" s="7469"/>
      <c r="AU4" s="7469"/>
      <c r="AV4" s="7469"/>
      <c r="AW4" s="7469"/>
      <c r="AX4" s="7469"/>
      <c r="AY4" s="7469"/>
      <c r="AZ4" s="7469"/>
      <c r="BA4" s="7458" t="s">
        <v>6037</v>
      </c>
      <c r="BB4" s="7459"/>
      <c r="BC4" s="7460"/>
      <c r="BD4" s="7469" t="s">
        <v>6026</v>
      </c>
      <c r="BE4" s="7469"/>
      <c r="BF4" s="7469"/>
      <c r="BG4" s="7469"/>
      <c r="BH4" s="7469"/>
      <c r="BI4" s="7469"/>
      <c r="BJ4" s="7458" t="s">
        <v>6036</v>
      </c>
      <c r="BK4" s="7459"/>
      <c r="BL4" s="7460"/>
      <c r="BM4" s="1277"/>
      <c r="BQ4" s="7450"/>
      <c r="BT4"/>
      <c r="BZ4" s="1379">
        <v>17</v>
      </c>
      <c r="CA4" s="1379">
        <v>19</v>
      </c>
      <c r="CB4" s="1379">
        <v>24</v>
      </c>
      <c r="CC4" s="4241"/>
      <c r="CF4" s="1279"/>
      <c r="CG4" s="6154"/>
      <c r="CH4" s="7522" t="s">
        <v>6029</v>
      </c>
      <c r="CI4" s="6154"/>
      <c r="CJ4" s="1279"/>
      <c r="CK4" s="1279"/>
      <c r="CL4" s="1279"/>
      <c r="CM4" s="1279"/>
      <c r="CN4" s="5985"/>
      <c r="CO4" s="7450"/>
      <c r="CP4" s="7450"/>
      <c r="CQ4" s="7450"/>
      <c r="CR4" s="7450"/>
      <c r="CU4" s="6154"/>
      <c r="CV4" s="6154"/>
      <c r="CX4" s="7450"/>
    </row>
    <row r="5" spans="1:104" ht="31.5" customHeight="1" thickBot="1">
      <c r="A5" s="2259"/>
      <c r="B5" s="7164"/>
      <c r="C5" s="7164"/>
      <c r="D5" s="7164"/>
      <c r="E5" s="7474"/>
      <c r="F5" s="7474"/>
      <c r="G5" s="7474"/>
      <c r="H5" s="7475"/>
      <c r="I5" s="1266"/>
      <c r="J5" s="1261"/>
      <c r="K5" s="1261"/>
      <c r="L5" s="1265"/>
      <c r="M5" s="7500"/>
      <c r="N5" s="7501"/>
      <c r="O5" s="7501"/>
      <c r="P5" s="7501"/>
      <c r="Q5" s="7501"/>
      <c r="R5" s="7502"/>
      <c r="S5" s="7500"/>
      <c r="T5" s="7501"/>
      <c r="U5" s="7501"/>
      <c r="V5" s="7501"/>
      <c r="W5" s="7501"/>
      <c r="X5" s="7502"/>
      <c r="Y5" s="7478" t="str">
        <f>"lived with you more than half "&amp;TaxYear</f>
        <v>lived with you more than half 2025</v>
      </c>
      <c r="Z5" s="7471"/>
      <c r="AA5" s="7471"/>
      <c r="AB5" s="7471"/>
      <c r="AC5" s="7471"/>
      <c r="AD5" s="7479"/>
      <c r="AE5" s="7525"/>
      <c r="AF5" s="7526"/>
      <c r="AG5" s="7526"/>
      <c r="AH5" s="7526"/>
      <c r="AI5" s="7526"/>
      <c r="AJ5" s="7527"/>
      <c r="AK5" s="7500"/>
      <c r="AL5" s="7501"/>
      <c r="AM5" s="7501"/>
      <c r="AN5" s="7501"/>
      <c r="AO5" s="7501"/>
      <c r="AP5" s="7502"/>
      <c r="AQ5" s="7544"/>
      <c r="AR5" s="7470"/>
      <c r="AS5" s="7471"/>
      <c r="AT5" s="7471"/>
      <c r="AU5" s="7471"/>
      <c r="AV5" s="7471"/>
      <c r="AW5" s="7471"/>
      <c r="AX5" s="7471"/>
      <c r="AY5" s="7471"/>
      <c r="AZ5" s="7471"/>
      <c r="BA5" s="7461"/>
      <c r="BB5" s="7462"/>
      <c r="BC5" s="7463"/>
      <c r="BD5" s="7471"/>
      <c r="BE5" s="7471"/>
      <c r="BF5" s="7471"/>
      <c r="BG5" s="7471"/>
      <c r="BH5" s="7471"/>
      <c r="BI5" s="7471"/>
      <c r="BJ5" s="7461"/>
      <c r="BK5" s="7462"/>
      <c r="BL5" s="7463"/>
      <c r="BM5" s="1277"/>
      <c r="BQ5" s="7450"/>
      <c r="BT5"/>
      <c r="BU5" s="7522" t="s">
        <v>767</v>
      </c>
      <c r="BV5" s="7522" t="s">
        <v>768</v>
      </c>
      <c r="BW5" s="1279"/>
      <c r="BX5" s="1279"/>
      <c r="BY5" s="6154"/>
      <c r="BZ5" s="7454" t="s">
        <v>1591</v>
      </c>
      <c r="CA5" s="7454"/>
      <c r="CB5" s="7454"/>
      <c r="CC5" s="7454"/>
      <c r="CD5" s="7454"/>
      <c r="CE5" s="7454"/>
      <c r="CF5" s="7454"/>
      <c r="CG5" s="7454"/>
      <c r="CH5" s="7550"/>
      <c r="CI5" s="6163"/>
      <c r="CJ5" s="7454" t="s">
        <v>6005</v>
      </c>
      <c r="CK5" s="7454"/>
      <c r="CL5" s="7454" t="s">
        <v>6028</v>
      </c>
      <c r="CM5" s="7454"/>
      <c r="CN5" s="5985"/>
      <c r="CO5" s="7450"/>
      <c r="CP5" s="7450"/>
      <c r="CQ5" s="7450"/>
      <c r="CR5" s="7450"/>
      <c r="CU5" s="84"/>
      <c r="CV5" s="84"/>
      <c r="CX5" s="7450"/>
    </row>
    <row r="6" spans="1:104" ht="180.75" customHeight="1" thickBot="1">
      <c r="A6" s="2259"/>
      <c r="B6" s="7543" t="s">
        <v>577</v>
      </c>
      <c r="C6" s="7543"/>
      <c r="D6" s="7543"/>
      <c r="E6" s="7441" t="s">
        <v>5709</v>
      </c>
      <c r="F6" s="7441"/>
      <c r="G6" s="7441"/>
      <c r="H6" s="7441"/>
      <c r="I6" s="7541" t="s">
        <v>5708</v>
      </c>
      <c r="J6" s="7441"/>
      <c r="K6" s="7441"/>
      <c r="L6" s="7542"/>
      <c r="M6" s="7503"/>
      <c r="N6" s="7504"/>
      <c r="O6" s="7504"/>
      <c r="P6" s="7504"/>
      <c r="Q6" s="7504"/>
      <c r="R6" s="7505"/>
      <c r="S6" s="7503"/>
      <c r="T6" s="7504"/>
      <c r="U6" s="7504"/>
      <c r="V6" s="7504"/>
      <c r="W6" s="7504"/>
      <c r="X6" s="7505"/>
      <c r="Y6" s="7476" t="s">
        <v>568</v>
      </c>
      <c r="Z6" s="7477"/>
      <c r="AA6" s="7477"/>
      <c r="AB6" s="7476" t="s">
        <v>6065</v>
      </c>
      <c r="AC6" s="7477"/>
      <c r="AD6" s="7477"/>
      <c r="AE6" s="7476" t="s">
        <v>5702</v>
      </c>
      <c r="AF6" s="7477"/>
      <c r="AG6" s="7477"/>
      <c r="AH6" s="7476" t="s">
        <v>5703</v>
      </c>
      <c r="AI6" s="7477"/>
      <c r="AJ6" s="7477"/>
      <c r="AK6" s="7503"/>
      <c r="AL6" s="7504"/>
      <c r="AM6" s="7504"/>
      <c r="AN6" s="7504"/>
      <c r="AO6" s="7504"/>
      <c r="AP6" s="7505"/>
      <c r="AQ6" s="7545"/>
      <c r="AR6" s="7496" t="s">
        <v>6044</v>
      </c>
      <c r="AS6" s="7477"/>
      <c r="AT6" s="7477"/>
      <c r="AU6" s="7476" t="s">
        <v>6018</v>
      </c>
      <c r="AV6" s="7477"/>
      <c r="AW6" s="7477"/>
      <c r="AX6" s="7476" t="s">
        <v>6035</v>
      </c>
      <c r="AY6" s="7477"/>
      <c r="AZ6" s="7477"/>
      <c r="BA6" s="7455" t="s">
        <v>6064</v>
      </c>
      <c r="BB6" s="7456"/>
      <c r="BC6" s="7457"/>
      <c r="BD6" s="7466" t="s">
        <v>6010</v>
      </c>
      <c r="BE6" s="7466"/>
      <c r="BF6" s="7467"/>
      <c r="BG6" s="7476" t="s">
        <v>6012</v>
      </c>
      <c r="BH6" s="7477"/>
      <c r="BI6" s="7477"/>
      <c r="BJ6" s="7455" t="s">
        <v>6064</v>
      </c>
      <c r="BK6" s="7456"/>
      <c r="BL6" s="7457"/>
      <c r="BM6" s="1277"/>
      <c r="BQ6" s="7450"/>
      <c r="BT6"/>
      <c r="BU6" s="7522"/>
      <c r="BV6" s="7522"/>
      <c r="BW6" s="1279" t="s">
        <v>769</v>
      </c>
      <c r="BX6" s="1279" t="s">
        <v>6006</v>
      </c>
      <c r="BY6" s="1279" t="s">
        <v>6007</v>
      </c>
      <c r="BZ6" s="1279" t="str">
        <f>"Under "&amp;BZ$4</f>
        <v>Under 17</v>
      </c>
      <c r="CA6" s="185" t="str">
        <f>"Under "&amp;CA$4</f>
        <v>Under 19</v>
      </c>
      <c r="CB6" s="185" t="str">
        <f>"Under "&amp;CB$4</f>
        <v>Under 24</v>
      </c>
      <c r="CC6" s="1279" t="s">
        <v>5838</v>
      </c>
      <c r="CD6" s="1279" t="s">
        <v>6019</v>
      </c>
      <c r="CE6" s="1279" t="s">
        <v>5837</v>
      </c>
      <c r="CF6" s="358" t="s">
        <v>6018</v>
      </c>
      <c r="CG6" s="358" t="s">
        <v>5857</v>
      </c>
      <c r="CH6" s="358" t="s">
        <v>6014</v>
      </c>
      <c r="CI6" s="358" t="s">
        <v>6034</v>
      </c>
      <c r="CJ6" s="358" t="s">
        <v>6011</v>
      </c>
      <c r="CK6" s="358" t="s">
        <v>6013</v>
      </c>
      <c r="CL6" s="6147" t="s">
        <v>6032</v>
      </c>
      <c r="CM6" s="6148" t="s">
        <v>6033</v>
      </c>
      <c r="CN6" s="5985"/>
      <c r="CO6" s="7450"/>
      <c r="CP6" s="7450"/>
      <c r="CQ6" s="7450"/>
      <c r="CR6" s="7450"/>
      <c r="CU6" s="358" t="s">
        <v>6050</v>
      </c>
      <c r="CV6" s="358" t="s">
        <v>6054</v>
      </c>
      <c r="CX6" s="7450"/>
    </row>
    <row r="7" spans="1:104" ht="18">
      <c r="A7" s="6158" t="s">
        <v>6020</v>
      </c>
      <c r="B7" s="7543"/>
      <c r="C7" s="7543"/>
      <c r="D7" s="7543"/>
      <c r="E7" s="7510"/>
      <c r="F7" s="7510"/>
      <c r="G7" s="7510"/>
      <c r="H7" s="7510"/>
      <c r="I7" s="7511"/>
      <c r="J7" s="7510"/>
      <c r="K7" s="7510"/>
      <c r="L7" s="7512"/>
      <c r="M7" s="7513" t="str">
        <f>IF(OR(E7&lt;&gt;"",I7&lt;&gt;"",S7&lt;&gt;"",AS7&lt;&gt;"",AV7&lt;&gt;"",Z7&lt;&gt;"",AC7&lt;&gt;"",AF7&lt;&gt;"",AI7&lt;&gt;"",AK7&lt;&gt;""),"001-01-00"&amp;A7,"")</f>
        <v/>
      </c>
      <c r="N7" s="7514"/>
      <c r="O7" s="7514"/>
      <c r="P7" s="7514"/>
      <c r="Q7" s="7514"/>
      <c r="R7" s="7515"/>
      <c r="S7" s="7516"/>
      <c r="T7" s="7517"/>
      <c r="U7" s="7517"/>
      <c r="V7" s="7517"/>
      <c r="W7" s="7517"/>
      <c r="X7" s="7518"/>
      <c r="Y7" s="1034"/>
      <c r="Z7" s="276"/>
      <c r="AA7" s="1035"/>
      <c r="AB7" s="1034"/>
      <c r="AC7" s="276"/>
      <c r="AD7" s="1036"/>
      <c r="AE7" s="1034"/>
      <c r="AF7" s="276"/>
      <c r="AG7" s="1035"/>
      <c r="AH7" s="1034"/>
      <c r="AI7" s="276"/>
      <c r="AJ7" s="1036"/>
      <c r="AK7" s="7519"/>
      <c r="AL7" s="7520"/>
      <c r="AM7" s="7520"/>
      <c r="AN7" s="7520"/>
      <c r="AO7" s="7520"/>
      <c r="AP7" s="7521"/>
      <c r="AQ7" s="1275" t="str">
        <f>IF(AK7="","",TaxYear-YEAR(AK7))</f>
        <v/>
      </c>
      <c r="AR7" s="6161"/>
      <c r="AS7" s="276"/>
      <c r="AT7" s="1036"/>
      <c r="AU7" s="1034"/>
      <c r="AV7" s="276"/>
      <c r="AW7" s="1036"/>
      <c r="AX7" s="1034"/>
      <c r="AY7" s="276"/>
      <c r="AZ7" s="1036"/>
      <c r="BA7" s="6179"/>
      <c r="BB7" s="1846" t="str">
        <f>IF(CO7=1,"X","")</f>
        <v/>
      </c>
      <c r="BC7" s="6180"/>
      <c r="BD7" s="6176"/>
      <c r="BE7" s="6149"/>
      <c r="BF7" s="1275"/>
      <c r="BG7" s="1034"/>
      <c r="BH7" s="276"/>
      <c r="BI7" s="1036"/>
      <c r="BJ7" s="6183"/>
      <c r="BK7" s="1846" t="str">
        <f>IF(OR(CP7=1,CQ7=1),"X","")</f>
        <v/>
      </c>
      <c r="BL7" s="6187"/>
      <c r="BM7" s="1277"/>
      <c r="BN7" s="5973" t="str">
        <f>IF(M7="","",IF(BQ7,"Error - two credit boxes checked.",IF(BX7,"Error - You can't claim spouse if filing jointly.",IF(BC7&lt;&gt;"","Override:CTC",IF(BL7&lt;&gt;"","Override CFOD",IF(AND(CC7,CP7=1),"CFOD for full-time student - at least "&amp;$CA$4&amp;" and under "&amp;$CB$4&amp;".",IF(AND(CE7,CP7=1),"CFOD for permanently &amp; totally disabled child.",IF(OR(CP7=1,CQ7=1),"CFOD - Credit for other dependent.",IF(AND(CL7,BZ7),"CTC for dependent child under "&amp;CTC_AgeLimit&amp;".",IF(CL7,"Dependent child.",IF(CM7,"Dependent relative.",IF(CX7,"Qualified child for EIC.","Not qualified as a dependent."))))))))))))</f>
        <v/>
      </c>
      <c r="BO7" s="1"/>
      <c r="BP7" s="1"/>
      <c r="BQ7" s="84" t="b">
        <f>AND(BB7&lt;&gt;"",BK7&lt;&gt;"")</f>
        <v>0</v>
      </c>
      <c r="BR7" s="1"/>
      <c r="BS7" s="84" t="str">
        <f>TEXT(M7,"000-00-0000")</f>
        <v/>
      </c>
      <c r="BT7" s="84" t="str">
        <f>LEFT(BS7,3)</f>
        <v/>
      </c>
      <c r="BU7" s="1281" t="b">
        <f>M7&lt;&gt;"n"</f>
        <v>1</v>
      </c>
      <c r="BV7" s="1281" t="b">
        <f>LEFT(M7,6)="001-01"</f>
        <v>0</v>
      </c>
      <c r="BW7" s="84" t="b">
        <f>AND(M7&lt;&gt;"",BU7)</f>
        <v>0</v>
      </c>
      <c r="BX7" s="3615" t="b">
        <f>AND(File_Marr_Joint&lt;&gt;"",OR(S7="spouse",S7="wife",S7="husband"))</f>
        <v>0</v>
      </c>
      <c r="BY7" s="1281" t="b">
        <f>AND(AK7="",OR(Z7&lt;&gt;"",AC7&lt;&gt;""))</f>
        <v>0</v>
      </c>
      <c r="BZ7" s="5959" t="b">
        <f>AND(NOT(BY7),AQ7&lt;BZ$4)</f>
        <v>0</v>
      </c>
      <c r="CA7" s="5956" t="b">
        <f>AND(CD7,AQ7&lt;CA$4)</f>
        <v>0</v>
      </c>
      <c r="CB7" s="5956" t="b">
        <f>AND(AQ7&lt;&gt;"",AQ7&lt;CB$4)</f>
        <v>0</v>
      </c>
      <c r="CC7" s="5956" t="b">
        <f>AF7&lt;&gt;""</f>
        <v>0</v>
      </c>
      <c r="CD7" s="5956" t="b">
        <f>IF(AK7=0,TRUE,IF(OR(ISERROR(YourBirthDate),ISERROR(AK7)),TRUE,IF(AND(File_Marr_Joint&lt;&gt;"",ISERROR(SpouseBirthDate)),TRUE,IF(File_Marr_Joint&lt;&gt;"",AND(AK7&gt;YourBirthDate,AK7&gt;SpouseBirthDate),AK7&gt;YourBirthDate))))</f>
        <v>1</v>
      </c>
      <c r="CE7" s="5956" t="b">
        <f>AI7&lt;&gt;""</f>
        <v>0</v>
      </c>
      <c r="CF7" s="5956" t="b">
        <f>AV7&lt;&gt;""</f>
        <v>0</v>
      </c>
      <c r="CG7" s="6155" t="b">
        <f>(Z7&lt;&gt;"")</f>
        <v>0</v>
      </c>
      <c r="CH7" s="5959" t="b">
        <f>AS7&lt;&gt;""</f>
        <v>0</v>
      </c>
      <c r="CI7" s="5959" t="b">
        <f>AY7&lt;&gt;""</f>
        <v>0</v>
      </c>
      <c r="CJ7" s="6146" t="b">
        <f>BE7&lt;&gt;""</f>
        <v>0</v>
      </c>
      <c r="CK7" s="5974" t="b">
        <f>BH7&lt;&gt;""</f>
        <v>0</v>
      </c>
      <c r="CL7" s="5982" t="b">
        <f>IF(BA7&lt;&gt;"",FALSE,IF(BC7&lt;&gt;"",TRUE,AND(OR(AND(CA7,CD7),AND(CC7,NOT(CA7),CB7,CD7),CE7),CF7,CG7,CH7)))</f>
        <v>0</v>
      </c>
      <c r="CM7" s="6153" t="b">
        <f>AND(NOT(BX7),NOT(CL7),CJ7,CK7,CH7)</f>
        <v>0</v>
      </c>
      <c r="CN7" s="84"/>
      <c r="CO7" s="84">
        <f>IF(BA7&lt;&gt;"",0,IF(BC7&lt;&gt;"",1,IF(AND(CL7,BU7,CI7,BZ7),1,0)))</f>
        <v>0</v>
      </c>
      <c r="CP7" s="84">
        <f>IF(AND(CL7,BU7,CI7,NOT(BZ7)),1,0)</f>
        <v>0</v>
      </c>
      <c r="CQ7" s="84">
        <f>IF(BJ7&lt;&gt;"",0,IF(BL7&lt;&gt;"",1,IF(AND(CM7,BU7,CI7),1,0)))</f>
        <v>0</v>
      </c>
      <c r="CR7" s="84">
        <f>IF(OR(CL7,CM7),MAX(0,1-SUM(CO7:CQ7)),0)</f>
        <v>0</v>
      </c>
      <c r="CU7" s="1281" t="b">
        <f>AND(Z7&lt;&gt;"",AC7&lt;&gt;"")</f>
        <v>0</v>
      </c>
      <c r="CV7" s="1281" t="b">
        <f>AND(OR(CA7,AND(CB7,CC7),CE7),CD7,CU7)</f>
        <v>0</v>
      </c>
      <c r="CX7" s="84">
        <f>IF(CV7,1,0)</f>
        <v>0</v>
      </c>
    </row>
    <row r="8" spans="1:104" ht="18">
      <c r="A8" s="6158" t="s">
        <v>6021</v>
      </c>
      <c r="B8" s="7543"/>
      <c r="C8" s="7543"/>
      <c r="D8" s="7543"/>
      <c r="E8" s="7510"/>
      <c r="F8" s="7510"/>
      <c r="G8" s="7510"/>
      <c r="H8" s="7510"/>
      <c r="I8" s="7511"/>
      <c r="J8" s="7510"/>
      <c r="K8" s="7510"/>
      <c r="L8" s="7512"/>
      <c r="M8" s="7513" t="str">
        <f>IF(OR(E8&lt;&gt;"",I8&lt;&gt;"",S8&lt;&gt;"",AS8&lt;&gt;"",AV8&lt;&gt;"",Z8&lt;&gt;"",AC8&lt;&gt;"",AF8&lt;&gt;"",AI8&lt;&gt;"",AK8&lt;&gt;""),"001-01-00"&amp;A8,"")</f>
        <v/>
      </c>
      <c r="N8" s="7514"/>
      <c r="O8" s="7514"/>
      <c r="P8" s="7514"/>
      <c r="Q8" s="7514"/>
      <c r="R8" s="7515"/>
      <c r="S8" s="7516"/>
      <c r="T8" s="7517"/>
      <c r="U8" s="7517"/>
      <c r="V8" s="7517"/>
      <c r="W8" s="7517"/>
      <c r="X8" s="7518"/>
      <c r="Y8" s="1034"/>
      <c r="Z8" s="276"/>
      <c r="AA8" s="1035"/>
      <c r="AB8" s="1034"/>
      <c r="AC8" s="276"/>
      <c r="AD8" s="1036"/>
      <c r="AE8" s="1034"/>
      <c r="AF8" s="276"/>
      <c r="AG8" s="1035"/>
      <c r="AH8" s="1034"/>
      <c r="AI8" s="276"/>
      <c r="AJ8" s="1036"/>
      <c r="AK8" s="7519"/>
      <c r="AL8" s="7520"/>
      <c r="AM8" s="7520"/>
      <c r="AN8" s="7520"/>
      <c r="AO8" s="7520"/>
      <c r="AP8" s="7521"/>
      <c r="AQ8" s="1275" t="str">
        <f>IF(AK8="","",TaxYear-YEAR(AK8))</f>
        <v/>
      </c>
      <c r="AR8" s="6161"/>
      <c r="AS8" s="276"/>
      <c r="AT8" s="1036"/>
      <c r="AU8" s="1034"/>
      <c r="AV8" s="276"/>
      <c r="AW8" s="1036"/>
      <c r="AX8" s="1034"/>
      <c r="AY8" s="276"/>
      <c r="AZ8" s="1036"/>
      <c r="BA8" s="6179"/>
      <c r="BB8" s="1846" t="str">
        <f>IF(CO8=1,"X","")</f>
        <v/>
      </c>
      <c r="BC8" s="6180"/>
      <c r="BD8" s="6176"/>
      <c r="BE8" s="6149"/>
      <c r="BF8" s="1275"/>
      <c r="BG8" s="1034"/>
      <c r="BH8" s="276"/>
      <c r="BI8" s="1036"/>
      <c r="BJ8" s="6183"/>
      <c r="BK8" s="1846" t="str">
        <f>IF(OR(CP8=1,CQ8=1),"X","")</f>
        <v/>
      </c>
      <c r="BL8" s="6187"/>
      <c r="BM8" s="1277"/>
      <c r="BN8" s="5973" t="str">
        <f>IF(M8="","",IF(BQ8,"Error - two credit boxes checked.",IF(BX8,"Error - You can't claim spouse if filing jointly.",IF(BC8&lt;&gt;"","Override:CTC",IF(BL8&lt;&gt;"","Override CFOD",IF(AND(CC8,CP8=1),"CFOD for full-time student - at least "&amp;$CA$4&amp;" and under "&amp;$CB$4&amp;".",IF(AND(CE8,CP8=1),"CFOD for permanently &amp; totally disabled child.",IF(OR(CP8=1,CQ8=1),"CFOD - Credit for other dependent.",IF(AND(CL8,BZ8),"CTC for dependent child under "&amp;CTC_AgeLimit&amp;".",IF(CL8,"Dependent child.",IF(CM8,"Dependent relative.",IF(CX8,"Qualified child for EIC.","Not qualified as a dependent."))))))))))))</f>
        <v/>
      </c>
      <c r="BO8" s="1"/>
      <c r="BP8" s="1"/>
      <c r="BQ8" s="84" t="b">
        <f>AND(BB8&lt;&gt;"",BK8&lt;&gt;"")</f>
        <v>0</v>
      </c>
      <c r="BR8" s="1"/>
      <c r="BS8" s="84" t="str">
        <f>TEXT(M8,"000-00-0000")</f>
        <v/>
      </c>
      <c r="BT8" s="84" t="str">
        <f>LEFT(BS8,3)</f>
        <v/>
      </c>
      <c r="BU8" s="1282" t="b">
        <f>M8&lt;&gt;"n"</f>
        <v>1</v>
      </c>
      <c r="BV8" s="1282" t="b">
        <f>LEFT(M8,6)="001-01"</f>
        <v>0</v>
      </c>
      <c r="BW8" s="84" t="b">
        <f>AND(M8&lt;&gt;"",BU8)</f>
        <v>0</v>
      </c>
      <c r="BX8" s="3615" t="b">
        <f>AND(File_Marr_Joint&lt;&gt;"",OR(S8="spouse",S8="wife",S8="husband"))</f>
        <v>0</v>
      </c>
      <c r="BY8" s="1282" t="b">
        <f>AND(AK8="",OR(Z8&lt;&gt;"",AC8&lt;&gt;""))</f>
        <v>0</v>
      </c>
      <c r="BZ8" s="5960" t="b">
        <f>AND(NOT(BY8),AQ8&lt;BZ$4)</f>
        <v>0</v>
      </c>
      <c r="CA8" s="5957" t="b">
        <f>AND(CD8,AQ8&lt;CA$4)</f>
        <v>0</v>
      </c>
      <c r="CB8" s="5957" t="b">
        <f>AND(AQ8&lt;&gt;"",AQ8&lt;CB$4)</f>
        <v>0</v>
      </c>
      <c r="CC8" s="5957" t="b">
        <f>AF8&lt;&gt;""</f>
        <v>0</v>
      </c>
      <c r="CD8" s="5957" t="b">
        <f>IF(AK8=0,TRUE,IF(OR(ISERROR(YourBirthDate),ISERROR(AK8)),TRUE,IF(AND(File_Marr_Joint&lt;&gt;"",ISERROR(SpouseBirthDate)),TRUE,IF(File_Marr_Joint&lt;&gt;"",AND(AK8&gt;YourBirthDate,AK8&gt;SpouseBirthDate),AK8&gt;YourBirthDate))))</f>
        <v>1</v>
      </c>
      <c r="CE8" s="5957" t="b">
        <f>AI8&lt;&gt;""</f>
        <v>0</v>
      </c>
      <c r="CF8" s="5957" t="b">
        <f>AV8&lt;&gt;""</f>
        <v>0</v>
      </c>
      <c r="CG8" s="6156" t="b">
        <f>(Z8&lt;&gt;"")</f>
        <v>0</v>
      </c>
      <c r="CH8" s="5960" t="b">
        <f>AS8&lt;&gt;""</f>
        <v>0</v>
      </c>
      <c r="CI8" s="5960" t="b">
        <f>AY8&lt;&gt;""</f>
        <v>0</v>
      </c>
      <c r="CJ8" s="6141" t="b">
        <f>BE8&lt;&gt;""</f>
        <v>0</v>
      </c>
      <c r="CK8" s="5975" t="b">
        <f>BH8&lt;&gt;""</f>
        <v>0</v>
      </c>
      <c r="CL8" s="5979" t="b">
        <f>AND(OR(AND(CA8,CD8),AND(CC8,NOT(CA8),CB8,CD8),CE8),CF8,CG8,CH8)</f>
        <v>0</v>
      </c>
      <c r="CM8" s="5983" t="b">
        <f>AND(NOT(BX8),NOT(CL8),CJ8,CK8,CH8)</f>
        <v>0</v>
      </c>
      <c r="CN8" s="84"/>
      <c r="CO8" s="84">
        <f>IF(BA8&lt;&gt;"",0,IF(BC8&lt;&gt;"",1,IF(AND(CL8,BU8,CI8,BZ8),1,0)))</f>
        <v>0</v>
      </c>
      <c r="CP8" s="84">
        <f>IF(AND(CL8,BU8,CI8,NOT(BZ8)),1,0)</f>
        <v>0</v>
      </c>
      <c r="CQ8" s="84">
        <f>IF(BJ8&lt;&gt;"",0,IF(BL8&lt;&gt;"",1,IF(AND(CM8,BU8,CI8),1,0)))</f>
        <v>0</v>
      </c>
      <c r="CR8" s="84">
        <f>IF(OR(CL8,CM8),MAX(0,1-SUM(CO8:CQ8)),0)</f>
        <v>0</v>
      </c>
      <c r="CU8" s="1282" t="b">
        <f>AND(Z8&lt;&gt;"",AC8&lt;&gt;"")</f>
        <v>0</v>
      </c>
      <c r="CV8" s="1282" t="b">
        <f>AND(OR(CA8,AND(CB8,CC8),CE8),CD8,CU8)</f>
        <v>0</v>
      </c>
      <c r="CX8" s="84">
        <f>IF(CV8,1,0)</f>
        <v>0</v>
      </c>
    </row>
    <row r="9" spans="1:104" ht="18">
      <c r="A9" s="6158" t="s">
        <v>6022</v>
      </c>
      <c r="B9" s="7543"/>
      <c r="C9" s="7543"/>
      <c r="D9" s="7543"/>
      <c r="E9" s="7510"/>
      <c r="F9" s="7510"/>
      <c r="G9" s="7510"/>
      <c r="H9" s="7510"/>
      <c r="I9" s="7511"/>
      <c r="J9" s="7510"/>
      <c r="K9" s="7510"/>
      <c r="L9" s="7512"/>
      <c r="M9" s="7513" t="str">
        <f>IF(OR(E9&lt;&gt;"",I9&lt;&gt;"",S9&lt;&gt;"",AS9&lt;&gt;"",AV9&lt;&gt;"",Z9&lt;&gt;"",AC9&lt;&gt;"",AF9&lt;&gt;"",AI9&lt;&gt;"",AK9&lt;&gt;""),"001-01-00"&amp;A9,"")</f>
        <v/>
      </c>
      <c r="N9" s="7514"/>
      <c r="O9" s="7514"/>
      <c r="P9" s="7514"/>
      <c r="Q9" s="7514"/>
      <c r="R9" s="7515"/>
      <c r="S9" s="7516"/>
      <c r="T9" s="7517"/>
      <c r="U9" s="7517"/>
      <c r="V9" s="7517"/>
      <c r="W9" s="7517"/>
      <c r="X9" s="7518"/>
      <c r="Y9" s="1034"/>
      <c r="Z9" s="276"/>
      <c r="AA9" s="1035"/>
      <c r="AB9" s="1034"/>
      <c r="AC9" s="276"/>
      <c r="AD9" s="1036"/>
      <c r="AE9" s="1034"/>
      <c r="AF9" s="276"/>
      <c r="AG9" s="1035"/>
      <c r="AH9" s="1034"/>
      <c r="AI9" s="276"/>
      <c r="AJ9" s="1036"/>
      <c r="AK9" s="7519"/>
      <c r="AL9" s="7520"/>
      <c r="AM9" s="7520"/>
      <c r="AN9" s="7520"/>
      <c r="AO9" s="7520"/>
      <c r="AP9" s="7521"/>
      <c r="AQ9" s="1275" t="str">
        <f>IF(AK9="","",TaxYear-YEAR(AK9))</f>
        <v/>
      </c>
      <c r="AR9" s="6161"/>
      <c r="AS9" s="276"/>
      <c r="AT9" s="1036"/>
      <c r="AU9" s="1034"/>
      <c r="AV9" s="276"/>
      <c r="AW9" s="1036"/>
      <c r="AX9" s="1034"/>
      <c r="AY9" s="276"/>
      <c r="AZ9" s="1036"/>
      <c r="BA9" s="6179"/>
      <c r="BB9" s="1846" t="str">
        <f>IF(CO9=1,"X","")</f>
        <v/>
      </c>
      <c r="BC9" s="6180"/>
      <c r="BD9" s="6176"/>
      <c r="BE9" s="6149"/>
      <c r="BF9" s="1275"/>
      <c r="BG9" s="1034"/>
      <c r="BH9" s="276"/>
      <c r="BI9" s="1036"/>
      <c r="BJ9" s="6183"/>
      <c r="BK9" s="1846" t="str">
        <f>IF(OR(CP9=1,CQ9=1),"X","")</f>
        <v/>
      </c>
      <c r="BL9" s="6187"/>
      <c r="BM9" s="1277"/>
      <c r="BN9" s="5973" t="str">
        <f>IF(M9="","",IF(BQ9,"Error - two credit boxes checked.",IF(BX9,"Error - You can't claim spouse if filing jointly.",IF(BC9&lt;&gt;"","Override:CTC",IF(BL9&lt;&gt;"","Override CFOD",IF(AND(CC9,CP9=1),"CFOD for full-time student - at least "&amp;$CA$4&amp;" and under "&amp;$CB$4&amp;".",IF(AND(CE9,CP9=1),"CFOD for permanently &amp; totally disabled child.",IF(OR(CP9=1,CQ9=1),"CFOD - Credit for other dependent.",IF(AND(CL9,BZ9),"CTC for dependent child under "&amp;CTC_AgeLimit&amp;".",IF(CL9,"Dependent child.",IF(CM9,"Dependent relative.",IF(CX9,"Qualified child for EIC.","Not qualified as a dependent."))))))))))))</f>
        <v/>
      </c>
      <c r="BO9" s="1"/>
      <c r="BP9" s="1"/>
      <c r="BQ9" s="84" t="b">
        <f>AND(BB9&lt;&gt;"",BK9&lt;&gt;"")</f>
        <v>0</v>
      </c>
      <c r="BR9" s="1"/>
      <c r="BS9" s="84" t="str">
        <f>TEXT(M9,"000-00-0000")</f>
        <v/>
      </c>
      <c r="BT9" s="84" t="str">
        <f>LEFT(BS9,3)</f>
        <v/>
      </c>
      <c r="BU9" s="1282" t="b">
        <f>M9&lt;&gt;"n"</f>
        <v>1</v>
      </c>
      <c r="BV9" s="1282" t="b">
        <f>LEFT(M9,6)="001-01"</f>
        <v>0</v>
      </c>
      <c r="BW9" s="84" t="b">
        <f>AND(M9&lt;&gt;"",BU9)</f>
        <v>0</v>
      </c>
      <c r="BX9" s="3615" t="b">
        <f>AND(File_Marr_Joint&lt;&gt;"",OR(S9="spouse",S9="wife",S9="husband"))</f>
        <v>0</v>
      </c>
      <c r="BY9" s="1282" t="b">
        <f>AND(AK9="",OR(Z9&lt;&gt;"",AC9&lt;&gt;""))</f>
        <v>0</v>
      </c>
      <c r="BZ9" s="5960" t="b">
        <f>AND(NOT(BY9),AQ9&lt;BZ$4)</f>
        <v>0</v>
      </c>
      <c r="CA9" s="5957" t="b">
        <f>AND(CD9,AQ9&lt;CA$4)</f>
        <v>0</v>
      </c>
      <c r="CB9" s="5957" t="b">
        <f>AND(AQ9&lt;&gt;"",AQ9&lt;CB$4)</f>
        <v>0</v>
      </c>
      <c r="CC9" s="5957" t="b">
        <f>AF9&lt;&gt;""</f>
        <v>0</v>
      </c>
      <c r="CD9" s="5957" t="b">
        <f>IF(AK9=0,TRUE,IF(OR(ISERROR(YourBirthDate),ISERROR(AK9)),TRUE,IF(AND(File_Marr_Joint&lt;&gt;"",ISERROR(SpouseBirthDate)),TRUE,IF(File_Marr_Joint&lt;&gt;"",AND(AK9&gt;YourBirthDate,AK9&gt;SpouseBirthDate),AK9&gt;YourBirthDate))))</f>
        <v>1</v>
      </c>
      <c r="CE9" s="5957" t="b">
        <f>AI9&lt;&gt;""</f>
        <v>0</v>
      </c>
      <c r="CF9" s="5957" t="b">
        <f>AV9&lt;&gt;""</f>
        <v>0</v>
      </c>
      <c r="CG9" s="6156" t="b">
        <f>(Z9&lt;&gt;"")</f>
        <v>0</v>
      </c>
      <c r="CH9" s="5960" t="b">
        <f>AS9&lt;&gt;""</f>
        <v>0</v>
      </c>
      <c r="CI9" s="5960" t="b">
        <f>AY9&lt;&gt;""</f>
        <v>0</v>
      </c>
      <c r="CJ9" s="6141" t="b">
        <f>BE9&lt;&gt;""</f>
        <v>0</v>
      </c>
      <c r="CK9" s="5975" t="b">
        <f>BH9&lt;&gt;""</f>
        <v>0</v>
      </c>
      <c r="CL9" s="5979" t="b">
        <f>AND(OR(AND(CA9,CD9),AND(CC9,NOT(CA9),CB9,CD9),CE9),CF9,CG9,CH9)</f>
        <v>0</v>
      </c>
      <c r="CM9" s="5983" t="b">
        <f>AND(NOT(BX9),NOT(CL9),CJ9,CK9,CH9)</f>
        <v>0</v>
      </c>
      <c r="CN9" s="84"/>
      <c r="CO9" s="84">
        <f>IF(BA9&lt;&gt;"",0,IF(BC9&lt;&gt;"",1,IF(AND(CL9,BU9,CI9,BZ9),1,0)))</f>
        <v>0</v>
      </c>
      <c r="CP9" s="84">
        <f>IF(AND(CL9,BU9,CI9,NOT(BZ9)),1,0)</f>
        <v>0</v>
      </c>
      <c r="CQ9" s="84">
        <f>IF(BJ9&lt;&gt;"",0,IF(BL9&lt;&gt;"",1,IF(AND(CM9,BU9,CI9),1,0)))</f>
        <v>0</v>
      </c>
      <c r="CR9" s="84">
        <f>IF(OR(CL9,CM9),MAX(0,1-SUM(CO9:CQ9)),0)</f>
        <v>0</v>
      </c>
      <c r="CU9" s="1282" t="b">
        <f>AND(Z9&lt;&gt;"",AC9&lt;&gt;"")</f>
        <v>0</v>
      </c>
      <c r="CV9" s="1282" t="b">
        <f>AND(OR(CA9,AND(CB9,CC9),CE9),CD9,CU9)</f>
        <v>0</v>
      </c>
      <c r="CX9" s="84">
        <f>IF(CV9,1,0)</f>
        <v>0</v>
      </c>
    </row>
    <row r="10" spans="1:104" ht="18.75" thickBot="1">
      <c r="A10" s="6158" t="s">
        <v>6023</v>
      </c>
      <c r="B10" s="7528" t="s">
        <v>584</v>
      </c>
      <c r="C10" s="7528"/>
      <c r="D10" s="1285" t="str">
        <f>IF(DependentsGT4,"X","")</f>
        <v/>
      </c>
      <c r="E10" s="7530"/>
      <c r="F10" s="7529"/>
      <c r="G10" s="7529"/>
      <c r="H10" s="7529"/>
      <c r="I10" s="7530"/>
      <c r="J10" s="7529"/>
      <c r="K10" s="7529"/>
      <c r="L10" s="7531"/>
      <c r="M10" s="7532" t="str">
        <f>IF(OR(E10&lt;&gt;"",I10&lt;&gt;"",S10&lt;&gt;"",AS10&lt;&gt;"",AV10&lt;&gt;"",Z10&lt;&gt;"",AC10&lt;&gt;"",AF10&lt;&gt;"",AI10&lt;&gt;"",AK10&lt;&gt;""),"001-01-00"&amp;A10,"")</f>
        <v/>
      </c>
      <c r="N10" s="7533"/>
      <c r="O10" s="7533"/>
      <c r="P10" s="7533"/>
      <c r="Q10" s="7533"/>
      <c r="R10" s="7534"/>
      <c r="S10" s="7535"/>
      <c r="T10" s="7536"/>
      <c r="U10" s="7536"/>
      <c r="V10" s="7536"/>
      <c r="W10" s="7536"/>
      <c r="X10" s="7537"/>
      <c r="Y10" s="1173"/>
      <c r="Z10" s="1172"/>
      <c r="AA10" s="1174"/>
      <c r="AB10" s="1173"/>
      <c r="AC10" s="1172"/>
      <c r="AD10" s="1175"/>
      <c r="AE10" s="1173"/>
      <c r="AF10" s="1172"/>
      <c r="AG10" s="1174"/>
      <c r="AH10" s="1173"/>
      <c r="AI10" s="1172"/>
      <c r="AJ10" s="1175"/>
      <c r="AK10" s="7538"/>
      <c r="AL10" s="7539"/>
      <c r="AM10" s="7539"/>
      <c r="AN10" s="7539"/>
      <c r="AO10" s="7539"/>
      <c r="AP10" s="7540"/>
      <c r="AQ10" s="1276" t="str">
        <f>IF(AK10="","",TaxYear-YEAR(AK10))</f>
        <v/>
      </c>
      <c r="AR10" s="6162"/>
      <c r="AS10" s="1172"/>
      <c r="AT10" s="1175"/>
      <c r="AU10" s="1173"/>
      <c r="AV10" s="1172"/>
      <c r="AW10" s="1175"/>
      <c r="AX10" s="1173"/>
      <c r="AY10" s="1172"/>
      <c r="AZ10" s="1175"/>
      <c r="BA10" s="6181"/>
      <c r="BB10" s="6164" t="str">
        <f>IF(CO10=1,"X","")</f>
        <v/>
      </c>
      <c r="BC10" s="6182"/>
      <c r="BD10" s="6177"/>
      <c r="BE10" s="6150"/>
      <c r="BF10" s="1276"/>
      <c r="BG10" s="1173"/>
      <c r="BH10" s="1172"/>
      <c r="BI10" s="1175"/>
      <c r="BJ10" s="6185"/>
      <c r="BK10" s="6164" t="str">
        <f>IF(OR(CP10=1,CQ10=1),"X","")</f>
        <v/>
      </c>
      <c r="BL10" s="6188"/>
      <c r="BM10" s="1277"/>
      <c r="BN10" s="5973" t="str">
        <f>IF(M10="","",IF(BQ10,"Error - two credit boxes checked.",IF(BX10,"Error - You can't claim spouse if filing jointly.",IF(BC10&lt;&gt;"","Override:CTC",IF(BL10&lt;&gt;"","Override CFOD",IF(AND(CC10,CP10=1),"CFOD for full-time student - at least "&amp;$CA$4&amp;" and under "&amp;$CB$4&amp;".",IF(AND(CE10,CP10=1),"CFOD for permanently &amp; totally disabled child.",IF(OR(CP10=1,CQ10=1),"CFOD - Credit for other dependent.",IF(AND(CL10,BZ10),"CTC for dependent child under "&amp;CTC_AgeLimit&amp;".",IF(CL10,"Dependent child.",IF(CM10,"Dependent relative.",IF(CX10,"Qualified child for EIC.","Not qualified as a dependent."))))))))))))</f>
        <v/>
      </c>
      <c r="BO10" s="1"/>
      <c r="BP10" s="1"/>
      <c r="BQ10" s="84" t="b">
        <f>AND(BB10&lt;&gt;"",BK10&lt;&gt;"")</f>
        <v>0</v>
      </c>
      <c r="BR10" s="1"/>
      <c r="BS10" s="84" t="str">
        <f>TEXT(M10,"000-00-0000")</f>
        <v/>
      </c>
      <c r="BT10" s="84" t="str">
        <f>LEFT(BS10,3)</f>
        <v/>
      </c>
      <c r="BU10" s="1283" t="b">
        <f>M10&lt;&gt;"n"</f>
        <v>1</v>
      </c>
      <c r="BV10" s="1283" t="b">
        <f>LEFT(M10,6)="001-01"</f>
        <v>0</v>
      </c>
      <c r="BW10" s="84" t="b">
        <f>AND(M10&lt;&gt;"",BU10)</f>
        <v>0</v>
      </c>
      <c r="BX10" s="3615" t="b">
        <f>AND(File_Marr_Joint&lt;&gt;"",OR(S10="spouse",S10="wife",S10="husband"))</f>
        <v>0</v>
      </c>
      <c r="BY10" s="1283" t="b">
        <f>AND(AK10="",OR(Z10&lt;&gt;"",AC10&lt;&gt;""))</f>
        <v>0</v>
      </c>
      <c r="BZ10" s="5961" t="b">
        <f>AND(NOT(BY10),AQ10&lt;BZ$4)</f>
        <v>0</v>
      </c>
      <c r="CA10" s="5942" t="b">
        <f>AND(CD10,AQ10&lt;CA$4)</f>
        <v>0</v>
      </c>
      <c r="CB10" s="5942" t="b">
        <f>AND(AQ10&lt;&gt;"",AQ10&lt;CB$4)</f>
        <v>0</v>
      </c>
      <c r="CC10" s="5942" t="b">
        <f>AF10&lt;&gt;""</f>
        <v>0</v>
      </c>
      <c r="CD10" s="5942" t="b">
        <f>IF(AK10=0,TRUE,IF(OR(ISERROR(YourBirthDate),ISERROR(AK10)),TRUE,IF(AND(File_Marr_Joint&lt;&gt;"",ISERROR(SpouseBirthDate)),TRUE,IF(File_Marr_Joint&lt;&gt;"",AND(AK10&gt;YourBirthDate,AK10&gt;SpouseBirthDate),AK10&gt;YourBirthDate))))</f>
        <v>1</v>
      </c>
      <c r="CE10" s="5942" t="b">
        <f>AI10&lt;&gt;""</f>
        <v>0</v>
      </c>
      <c r="CF10" s="5942" t="b">
        <f>AV10&lt;&gt;""</f>
        <v>0</v>
      </c>
      <c r="CG10" s="6157" t="b">
        <f>(Z10&lt;&gt;"")</f>
        <v>0</v>
      </c>
      <c r="CH10" s="5961" t="b">
        <f>AS10&lt;&gt;""</f>
        <v>0</v>
      </c>
      <c r="CI10" s="5961" t="b">
        <f>AY10&lt;&gt;""</f>
        <v>0</v>
      </c>
      <c r="CJ10" s="6140" t="b">
        <f>BE10&lt;&gt;""</f>
        <v>0</v>
      </c>
      <c r="CK10" s="5976" t="b">
        <f>BH10&lt;&gt;""</f>
        <v>0</v>
      </c>
      <c r="CL10" s="5980" t="b">
        <f>AND(OR(AND(CA10,CD10),AND(CC10,NOT(CA10),CB10,CD10),CE10),CF10,CG10,CH10)</f>
        <v>0</v>
      </c>
      <c r="CM10" s="5981" t="b">
        <f>AND(NOT(BX10),NOT(CL10),CJ10,CK10,CH10)</f>
        <v>0</v>
      </c>
      <c r="CN10" s="84"/>
      <c r="CO10" s="84">
        <f>IF(BA10&lt;&gt;"",0,IF(BC10&lt;&gt;"",1,IF(AND(CL10,BU10,CI10,BZ10),1,0)))</f>
        <v>0</v>
      </c>
      <c r="CP10" s="84">
        <f>IF(AND(CL10,BU10,CI10,NOT(BZ10)),1,0)</f>
        <v>0</v>
      </c>
      <c r="CQ10" s="84">
        <f>IF(BJ10&lt;&gt;"",0,IF(BL10&lt;&gt;"",1,IF(AND(CM10,BU10,CI10),1,0)))</f>
        <v>0</v>
      </c>
      <c r="CR10" s="84">
        <f>IF(OR(CL10,CM10),MAX(0,1-SUM(CO10:CQ10)),0)</f>
        <v>0</v>
      </c>
      <c r="CU10" s="1283" t="b">
        <f>AND(Z10&lt;&gt;"",AC10&lt;&gt;"")</f>
        <v>0</v>
      </c>
      <c r="CV10" s="1283" t="b">
        <f>AND(OR(CA10,AND(CB10,CC10),CE10),CD10,CU10)</f>
        <v>0</v>
      </c>
      <c r="CX10" s="84">
        <f>IF(CV10,1,0)</f>
        <v>0</v>
      </c>
    </row>
    <row r="11" spans="1:104" ht="23.25" customHeight="1" thickTop="1" thickBot="1">
      <c r="A11" s="2259"/>
      <c r="B11" s="1277"/>
      <c r="C11" s="1277"/>
      <c r="D11" s="1277"/>
      <c r="E11" s="1277"/>
      <c r="F11" s="1277"/>
      <c r="G11" s="1277"/>
      <c r="H11" s="1277"/>
      <c r="I11" s="1277"/>
      <c r="J11" s="1277"/>
      <c r="K11" s="1277"/>
      <c r="L11" s="1277"/>
      <c r="M11" s="1277"/>
      <c r="N11" s="1277"/>
      <c r="O11" s="1277"/>
      <c r="P11" s="1277"/>
      <c r="Q11" s="1277"/>
      <c r="R11" s="1277"/>
      <c r="S11" s="1277"/>
      <c r="T11" s="1277"/>
      <c r="U11" s="1277"/>
      <c r="V11" s="1277"/>
      <c r="W11" s="1277"/>
      <c r="X11" s="1277"/>
      <c r="Y11" s="7489"/>
      <c r="Z11" s="7489"/>
      <c r="AA11" s="7489"/>
      <c r="AB11" s="7489"/>
      <c r="AC11" s="7489"/>
      <c r="AD11" s="7489"/>
      <c r="AE11" s="7489"/>
      <c r="AF11" s="7489"/>
      <c r="AG11" s="7489"/>
      <c r="AH11" s="7489"/>
      <c r="AI11" s="7489"/>
      <c r="AJ11" s="7489"/>
      <c r="AK11" s="1277"/>
      <c r="AL11" s="1277"/>
      <c r="AM11" s="1277"/>
      <c r="AN11" s="1277"/>
      <c r="AO11" s="1277"/>
      <c r="AP11" s="1277"/>
      <c r="AQ11" s="1277"/>
      <c r="AR11" s="6152"/>
      <c r="AS11" s="6152"/>
      <c r="AT11" s="6152"/>
      <c r="AU11" s="6152"/>
      <c r="AV11" s="6152"/>
      <c r="AW11" s="6152"/>
      <c r="AX11" s="6152"/>
      <c r="AY11" s="6152"/>
      <c r="AZ11" s="6152"/>
      <c r="BA11" s="6152"/>
      <c r="BB11" s="6152"/>
      <c r="BC11" s="6152"/>
      <c r="BD11" s="1277"/>
      <c r="BE11" s="1277"/>
      <c r="BF11" s="1277"/>
      <c r="BG11" s="6152"/>
      <c r="BH11" s="6152"/>
      <c r="BI11" s="6152"/>
      <c r="BJ11" s="6152"/>
      <c r="BK11" s="6152"/>
      <c r="BL11" s="6152"/>
      <c r="BM11" s="1277"/>
      <c r="BQ11" s="1284"/>
      <c r="BT11"/>
      <c r="BX11" s="1279"/>
      <c r="BY11" s="1279"/>
      <c r="CN11" s="1284"/>
      <c r="CO11" s="1284">
        <f>SUM(CO7:CO10)</f>
        <v>0</v>
      </c>
      <c r="CP11" s="1284">
        <f>SUM(CP7:CP10)</f>
        <v>0</v>
      </c>
      <c r="CQ11" s="1284">
        <f>SUM(CQ7:CQ10)</f>
        <v>0</v>
      </c>
      <c r="CR11" s="1284">
        <f>SUM(CR7:CR10)</f>
        <v>0</v>
      </c>
      <c r="CX11" s="1284">
        <f>SUM(CX7:CX10)</f>
        <v>0</v>
      </c>
    </row>
    <row r="12" spans="1:104" ht="21" customHeight="1" thickTop="1">
      <c r="A12" s="2259"/>
      <c r="B12" s="7162" t="s">
        <v>770</v>
      </c>
      <c r="C12" s="7163"/>
      <c r="D12" s="7163"/>
      <c r="E12" s="7472" t="s">
        <v>6017</v>
      </c>
      <c r="F12" s="7472"/>
      <c r="G12" s="7472"/>
      <c r="H12" s="7473"/>
      <c r="I12" s="1274"/>
      <c r="J12" s="1263"/>
      <c r="K12" s="1263"/>
      <c r="L12" s="1264"/>
      <c r="M12" s="7497" t="s">
        <v>6016</v>
      </c>
      <c r="N12" s="7498"/>
      <c r="O12" s="7498"/>
      <c r="P12" s="7498"/>
      <c r="Q12" s="7498"/>
      <c r="R12" s="7499"/>
      <c r="S12" s="7506" t="s">
        <v>5707</v>
      </c>
      <c r="T12" s="7498"/>
      <c r="U12" s="7498"/>
      <c r="V12" s="7498"/>
      <c r="W12" s="7498"/>
      <c r="X12" s="7499"/>
      <c r="Y12" s="7548" t="str">
        <f>"(5) Check if lived with you more than half "&amp;TaxYear</f>
        <v>(5) Check if lived with you more than half 2025</v>
      </c>
      <c r="Z12" s="7469"/>
      <c r="AA12" s="7469"/>
      <c r="AB12" s="7469"/>
      <c r="AC12" s="7469"/>
      <c r="AD12" s="7549"/>
      <c r="AE12" s="7490" t="s">
        <v>5710</v>
      </c>
      <c r="AF12" s="7491"/>
      <c r="AG12" s="7491"/>
      <c r="AH12" s="7491"/>
      <c r="AI12" s="7491"/>
      <c r="AJ12" s="7492"/>
      <c r="AK12" s="7497" t="s">
        <v>766</v>
      </c>
      <c r="AL12" s="7498"/>
      <c r="AM12" s="7498"/>
      <c r="AN12" s="7498"/>
      <c r="AO12" s="7498"/>
      <c r="AP12" s="7499"/>
      <c r="AQ12" s="7497" t="str">
        <f>"Age "&amp;CHAR(10)&amp;"(in "&amp;TaxYear&amp;")"</f>
        <v>Age 
(in 2025)</v>
      </c>
      <c r="AR12" s="7468" t="s">
        <v>6027</v>
      </c>
      <c r="AS12" s="7469"/>
      <c r="AT12" s="7469"/>
      <c r="AU12" s="7469"/>
      <c r="AV12" s="7469"/>
      <c r="AW12" s="7469"/>
      <c r="AX12" s="7469"/>
      <c r="AY12" s="7469"/>
      <c r="AZ12" s="7469"/>
      <c r="BA12" s="7483" t="s">
        <v>6037</v>
      </c>
      <c r="BB12" s="7484"/>
      <c r="BC12" s="7485"/>
      <c r="BD12" s="7464" t="s">
        <v>6009</v>
      </c>
      <c r="BE12" s="7464"/>
      <c r="BF12" s="7464"/>
      <c r="BG12" s="7464"/>
      <c r="BH12" s="7464"/>
      <c r="BI12" s="7464"/>
      <c r="BJ12" s="7458" t="s">
        <v>6036</v>
      </c>
      <c r="BK12" s="7459"/>
      <c r="BL12" s="7460"/>
      <c r="BM12" s="1277"/>
      <c r="BT12"/>
      <c r="BU12"/>
      <c r="BV12"/>
      <c r="BW12"/>
      <c r="BX12"/>
      <c r="BY12"/>
      <c r="CZ12" s="84"/>
    </row>
    <row r="13" spans="1:104" ht="45.75" customHeight="1">
      <c r="A13" s="2259"/>
      <c r="B13" s="7164"/>
      <c r="C13" s="7164"/>
      <c r="D13" s="7164"/>
      <c r="E13" s="7474"/>
      <c r="F13" s="7474"/>
      <c r="G13" s="7474"/>
      <c r="H13" s="7475"/>
      <c r="I13" s="1266"/>
      <c r="J13" s="1261"/>
      <c r="K13" s="1261"/>
      <c r="L13" s="1265"/>
      <c r="M13" s="7500"/>
      <c r="N13" s="7501"/>
      <c r="O13" s="7501"/>
      <c r="P13" s="7501"/>
      <c r="Q13" s="7501"/>
      <c r="R13" s="7502"/>
      <c r="S13" s="7500"/>
      <c r="T13" s="7501"/>
      <c r="U13" s="7501"/>
      <c r="V13" s="7501"/>
      <c r="W13" s="7501"/>
      <c r="X13" s="7502"/>
      <c r="Y13" s="7478"/>
      <c r="Z13" s="7471"/>
      <c r="AA13" s="7471"/>
      <c r="AB13" s="7471"/>
      <c r="AC13" s="7471"/>
      <c r="AD13" s="7479"/>
      <c r="AE13" s="7493"/>
      <c r="AF13" s="7494"/>
      <c r="AG13" s="7494"/>
      <c r="AH13" s="7494"/>
      <c r="AI13" s="7494"/>
      <c r="AJ13" s="7495"/>
      <c r="AK13" s="7500"/>
      <c r="AL13" s="7501"/>
      <c r="AM13" s="7501"/>
      <c r="AN13" s="7501"/>
      <c r="AO13" s="7501"/>
      <c r="AP13" s="7502"/>
      <c r="AQ13" s="7544"/>
      <c r="AR13" s="7470"/>
      <c r="AS13" s="7471"/>
      <c r="AT13" s="7471"/>
      <c r="AU13" s="7471"/>
      <c r="AV13" s="7471"/>
      <c r="AW13" s="7471"/>
      <c r="AX13" s="7471"/>
      <c r="AY13" s="7471"/>
      <c r="AZ13" s="7471"/>
      <c r="BA13" s="7486"/>
      <c r="BB13" s="7487"/>
      <c r="BC13" s="7488"/>
      <c r="BD13" s="7465"/>
      <c r="BE13" s="7465"/>
      <c r="BF13" s="7465"/>
      <c r="BG13" s="7465"/>
      <c r="BH13" s="7465"/>
      <c r="BI13" s="7465"/>
      <c r="BJ13" s="7461"/>
      <c r="BK13" s="7462"/>
      <c r="BL13" s="7463"/>
      <c r="BM13" s="1277"/>
      <c r="BT13"/>
      <c r="BU13"/>
      <c r="BV13"/>
      <c r="BW13"/>
      <c r="BX13"/>
      <c r="BY13"/>
      <c r="CZ13" s="84"/>
    </row>
    <row r="14" spans="1:104" ht="90.75" customHeight="1" thickBot="1">
      <c r="A14" s="2259"/>
      <c r="B14" s="7164"/>
      <c r="C14" s="7164"/>
      <c r="D14" s="7164"/>
      <c r="E14" s="7441" t="s">
        <v>5709</v>
      </c>
      <c r="F14" s="7441"/>
      <c r="G14" s="7441"/>
      <c r="H14" s="7441"/>
      <c r="I14" s="7541" t="s">
        <v>5708</v>
      </c>
      <c r="J14" s="7441"/>
      <c r="K14" s="7441"/>
      <c r="L14" s="7542"/>
      <c r="M14" s="7503"/>
      <c r="N14" s="7504"/>
      <c r="O14" s="7504"/>
      <c r="P14" s="7504"/>
      <c r="Q14" s="7504"/>
      <c r="R14" s="7505"/>
      <c r="S14" s="7503"/>
      <c r="T14" s="7504"/>
      <c r="U14" s="7504"/>
      <c r="V14" s="7504"/>
      <c r="W14" s="7504"/>
      <c r="X14" s="7505"/>
      <c r="Y14" s="7476" t="s">
        <v>568</v>
      </c>
      <c r="Z14" s="7477"/>
      <c r="AA14" s="7477"/>
      <c r="AB14" s="7476" t="s">
        <v>6065</v>
      </c>
      <c r="AC14" s="7477"/>
      <c r="AD14" s="7477"/>
      <c r="AE14" s="7476" t="s">
        <v>5702</v>
      </c>
      <c r="AF14" s="7477"/>
      <c r="AG14" s="7477"/>
      <c r="AH14" s="7476" t="s">
        <v>5703</v>
      </c>
      <c r="AI14" s="7477"/>
      <c r="AJ14" s="7477"/>
      <c r="AK14" s="7503"/>
      <c r="AL14" s="7504"/>
      <c r="AM14" s="7504"/>
      <c r="AN14" s="7504"/>
      <c r="AO14" s="7504"/>
      <c r="AP14" s="7505"/>
      <c r="AQ14" s="7545"/>
      <c r="AR14" s="7496" t="s">
        <v>6045</v>
      </c>
      <c r="AS14" s="7466"/>
      <c r="AT14" s="7467"/>
      <c r="AU14" s="7476" t="s">
        <v>6018</v>
      </c>
      <c r="AV14" s="7477"/>
      <c r="AW14" s="7477"/>
      <c r="AX14" s="7476" t="s">
        <v>6035</v>
      </c>
      <c r="AY14" s="7477"/>
      <c r="AZ14" s="7477"/>
      <c r="BA14" s="7455" t="s">
        <v>6046</v>
      </c>
      <c r="BB14" s="7456"/>
      <c r="BC14" s="7457"/>
      <c r="BD14" s="7466" t="s">
        <v>6015</v>
      </c>
      <c r="BE14" s="7466"/>
      <c r="BF14" s="7467"/>
      <c r="BG14" s="7476" t="s">
        <v>6012</v>
      </c>
      <c r="BH14" s="7477"/>
      <c r="BI14" s="7477"/>
      <c r="BJ14" s="7455" t="s">
        <v>6046</v>
      </c>
      <c r="BK14" s="7456"/>
      <c r="BL14" s="7457"/>
      <c r="BM14" s="1277"/>
      <c r="BT14"/>
      <c r="BU14"/>
      <c r="BV14"/>
      <c r="BW14"/>
      <c r="BX14"/>
      <c r="BY14"/>
      <c r="CZ14" s="84"/>
    </row>
    <row r="15" spans="1:104" ht="18">
      <c r="A15" s="6158" t="s">
        <v>6024</v>
      </c>
      <c r="B15" s="7164"/>
      <c r="C15" s="7164"/>
      <c r="D15" s="7164"/>
      <c r="E15" s="7510"/>
      <c r="F15" s="7510"/>
      <c r="G15" s="7510"/>
      <c r="H15" s="7510"/>
      <c r="I15" s="7511"/>
      <c r="J15" s="7510"/>
      <c r="K15" s="7510"/>
      <c r="L15" s="7512"/>
      <c r="M15" s="7513" t="str">
        <f t="shared" ref="M15:M30" si="0">IF(OR(E15&lt;&gt;"",I15&lt;&gt;"",S15&lt;&gt;"",AS15&lt;&gt;"",AV15&lt;&gt;"",Z15&lt;&gt;"",AC15&lt;&gt;"",AF15&lt;&gt;"",AI15&lt;&gt;"",AK15&lt;&gt;""),"001-01-00"&amp;A15,"")</f>
        <v/>
      </c>
      <c r="N15" s="7514"/>
      <c r="O15" s="7514"/>
      <c r="P15" s="7514"/>
      <c r="Q15" s="7514"/>
      <c r="R15" s="7515"/>
      <c r="S15" s="7516"/>
      <c r="T15" s="7517"/>
      <c r="U15" s="7517"/>
      <c r="V15" s="7517"/>
      <c r="W15" s="7517"/>
      <c r="X15" s="7518"/>
      <c r="Y15" s="1034"/>
      <c r="Z15" s="276"/>
      <c r="AA15" s="1035"/>
      <c r="AB15" s="1034"/>
      <c r="AC15" s="276"/>
      <c r="AD15" s="1036"/>
      <c r="AE15" s="1034"/>
      <c r="AF15" s="276"/>
      <c r="AG15" s="1035"/>
      <c r="AH15" s="1034"/>
      <c r="AI15" s="276"/>
      <c r="AJ15" s="1036"/>
      <c r="AK15" s="7519"/>
      <c r="AL15" s="7520"/>
      <c r="AM15" s="7520"/>
      <c r="AN15" s="7520"/>
      <c r="AO15" s="7520"/>
      <c r="AP15" s="7521"/>
      <c r="AQ15" s="1275" t="str">
        <f t="shared" ref="AQ15:AQ30" si="1">IF(AK15="","",TaxYear-YEAR(AK15))</f>
        <v/>
      </c>
      <c r="AR15" s="6161"/>
      <c r="AS15" s="276"/>
      <c r="AT15" s="1036"/>
      <c r="AU15" s="1034"/>
      <c r="AV15" s="276"/>
      <c r="AW15" s="1036"/>
      <c r="AX15" s="1034"/>
      <c r="AY15" s="276"/>
      <c r="AZ15" s="1036"/>
      <c r="BA15" s="6183"/>
      <c r="BB15" s="1846" t="str">
        <f t="shared" ref="BB15:BB30" si="2">IF(CO15=1,"X","")</f>
        <v/>
      </c>
      <c r="BC15" s="6184"/>
      <c r="BD15" s="6176"/>
      <c r="BE15" s="6149"/>
      <c r="BF15" s="1275"/>
      <c r="BG15" s="1034"/>
      <c r="BH15" s="276"/>
      <c r="BI15" s="1036"/>
      <c r="BJ15" s="6183"/>
      <c r="BK15" s="1846" t="str">
        <f t="shared" ref="BK15:BK30" si="3">IF(OR(CP15=1,CQ15=1),"X","")</f>
        <v/>
      </c>
      <c r="BL15" s="6189"/>
      <c r="BM15" s="1277"/>
      <c r="BN15" s="5973" t="str">
        <f t="shared" ref="BN15:BN30" si="4">IF(M15="","",IF(BQ15,"Error - two credit boxes checked.",IF(BX15,"Error - You can't claim spouse if filing jointly.",IF(BC15&lt;&gt;"","Override:CTC",IF(BL15&lt;&gt;"","Override CFOD",IF(AND(CC15,CP15=1),"CFOD for full-time student - at least "&amp;$CA$4&amp;" and under "&amp;$CB$4&amp;".",IF(AND(CE15,CP15=1),"CFOD for permanently &amp; totally disabled child.",IF(OR(CP15=1,CQ15=1),"CFOD - Credit for other dependent.",IF(AND(CL15,BZ15),"CTC for dependent child under "&amp;CTC_AgeLimit&amp;".",IF(CL15,"Dependent child.",IF(CM15,"Dependent relative.",IF(CX15,"Qualified child for EIC.","Not qualified as a dependent."))))))))))))</f>
        <v/>
      </c>
      <c r="BO15" s="1"/>
      <c r="BP15" s="1"/>
      <c r="BQ15" s="84" t="b">
        <f t="shared" ref="BQ15:BQ30" si="5">AND(BB15&lt;&gt;"",BK15&lt;&gt;"")</f>
        <v>0</v>
      </c>
      <c r="BR15" s="1"/>
      <c r="BS15" s="84" t="str">
        <f t="shared" ref="BS15:BS30" si="6">TEXT(M15,"000-00-0000")</f>
        <v/>
      </c>
      <c r="BT15" s="84" t="str">
        <f>LEFT(BS15,3)</f>
        <v/>
      </c>
      <c r="BU15" s="1281" t="b">
        <f t="shared" ref="BU15:BU30" si="7">M15&lt;&gt;"n"</f>
        <v>1</v>
      </c>
      <c r="BV15" s="1281" t="b">
        <f t="shared" ref="BV15:BV30" si="8">LEFT(M15,6)="001-01"</f>
        <v>0</v>
      </c>
      <c r="BW15" s="84" t="b">
        <f t="shared" ref="BW15:BW30" si="9">AND(M15&lt;&gt;"",BU15)</f>
        <v>0</v>
      </c>
      <c r="BX15" s="3615" t="b">
        <f t="shared" ref="BX15:BX30" si="10">AND(File_Marr_Joint&lt;&gt;"",OR(S15="spouse",S15="wife",S15="husband"))</f>
        <v>0</v>
      </c>
      <c r="BY15" s="1281" t="b">
        <f t="shared" ref="BY15:BY30" si="11">AND(AK15="",OR(Z15&lt;&gt;"",AC15&lt;&gt;""))</f>
        <v>0</v>
      </c>
      <c r="BZ15" s="5959" t="b">
        <f t="shared" ref="BZ15:BZ30" si="12">AND(NOT(BY15),AQ15&lt;BZ$4)</f>
        <v>0</v>
      </c>
      <c r="CA15" s="5956" t="b">
        <f t="shared" ref="CA15:CA30" si="13">AND(CD15,AQ15&lt;CA$4)</f>
        <v>0</v>
      </c>
      <c r="CB15" s="5956" t="b">
        <f t="shared" ref="CB15:CB30" si="14">AND(AQ15&lt;&gt;"",AQ15&lt;CB$4)</f>
        <v>0</v>
      </c>
      <c r="CC15" s="5956" t="b">
        <f t="shared" ref="CC15:CC30" si="15">AF15&lt;&gt;""</f>
        <v>0</v>
      </c>
      <c r="CD15" s="5956" t="b">
        <f t="shared" ref="CD15:CD30" si="16">IF(AK15=0,TRUE,IF(OR(ISERROR(YourBirthDate),ISERROR(AK15)),TRUE,IF(AND(File_Marr_Joint&lt;&gt;"",ISERROR(SpouseBirthDate)),TRUE,IF(File_Marr_Joint&lt;&gt;"",AND(AK15&gt;YourBirthDate,AK15&gt;SpouseBirthDate),AK15&gt;YourBirthDate))))</f>
        <v>1</v>
      </c>
      <c r="CE15" s="5956" t="b">
        <f t="shared" ref="CE15:CE30" si="17">AI15&lt;&gt;""</f>
        <v>0</v>
      </c>
      <c r="CF15" s="5956" t="b">
        <f t="shared" ref="CF15:CF30" si="18">AV15&lt;&gt;""</f>
        <v>0</v>
      </c>
      <c r="CG15" s="6155" t="b">
        <f t="shared" ref="CG15:CG30" si="19">(Z15&lt;&gt;"")</f>
        <v>0</v>
      </c>
      <c r="CH15" s="5959" t="b">
        <f t="shared" ref="CH15:CH30" si="20">AS15&lt;&gt;""</f>
        <v>0</v>
      </c>
      <c r="CI15" s="5959" t="b">
        <f t="shared" ref="CI15:CI30" si="21">AY15&lt;&gt;""</f>
        <v>0</v>
      </c>
      <c r="CJ15" s="6146" t="b">
        <f t="shared" ref="CJ15:CJ30" si="22">BE15&lt;&gt;""</f>
        <v>0</v>
      </c>
      <c r="CK15" s="5978" t="b">
        <f t="shared" ref="CK15:CK30" si="23">BH15&lt;&gt;""</f>
        <v>0</v>
      </c>
      <c r="CL15" s="5977" t="b">
        <f t="shared" ref="CL15:CL30" si="24">AND(OR(AND(CA15,CD15),AND(CC15,NOT(CA15),CB15,CD15),CE15),CF15,CG15,CH15)</f>
        <v>0</v>
      </c>
      <c r="CM15" s="5978" t="b">
        <f t="shared" ref="CM15:CM30" si="25">AND(NOT(BX15),NOT(CL15),CJ15,CK15,CH15)</f>
        <v>0</v>
      </c>
      <c r="CN15" s="84"/>
      <c r="CO15" s="84">
        <f t="shared" ref="CO15:CO30" si="26">IF(BA15&lt;&gt;"",0,IF(BC15&lt;&gt;"",1,IF(AND(CL15,BU15,CI15,BZ15),1,0)))</f>
        <v>0</v>
      </c>
      <c r="CP15" s="84">
        <f t="shared" ref="CP15:CP30" si="27">IF(AND(CL15,BU15,CI15,NOT(BZ15)),1,0)</f>
        <v>0</v>
      </c>
      <c r="CQ15" s="84">
        <f t="shared" ref="CQ15:CQ30" si="28">IF(BJ15&lt;&gt;"",0,IF(BL15&lt;&gt;"",1,IF(AND(CM15,BU15,CI15),1,0)))</f>
        <v>0</v>
      </c>
      <c r="CR15" s="84">
        <f t="shared" ref="CR15:CR30" si="29">IF(OR(CL15,CM15),MAX(0,1-SUM(CO15:CQ15)),0)</f>
        <v>0</v>
      </c>
      <c r="CU15" s="1281" t="b">
        <f t="shared" ref="CU15:CU30" si="30">AND(Z15&lt;&gt;"",AC15&lt;&gt;"")</f>
        <v>0</v>
      </c>
      <c r="CV15" s="1281" t="b">
        <f t="shared" ref="CV15:CV30" si="31">AND(OR(CA15,AND(CB15,CC15),CE15),CD15,CU15)</f>
        <v>0</v>
      </c>
      <c r="CX15" s="84">
        <f t="shared" ref="CX15:CX30" si="32">IF(CV15,1,0)</f>
        <v>0</v>
      </c>
    </row>
    <row r="16" spans="1:104" ht="18">
      <c r="A16" s="6158" t="s">
        <v>5236</v>
      </c>
      <c r="B16" s="1280"/>
      <c r="C16" s="1280"/>
      <c r="D16" s="1280"/>
      <c r="E16" s="7510"/>
      <c r="F16" s="7510"/>
      <c r="G16" s="7510"/>
      <c r="H16" s="7510"/>
      <c r="I16" s="7511"/>
      <c r="J16" s="7510"/>
      <c r="K16" s="7510"/>
      <c r="L16" s="7512"/>
      <c r="M16" s="7513" t="str">
        <f t="shared" si="0"/>
        <v/>
      </c>
      <c r="N16" s="7514"/>
      <c r="O16" s="7514"/>
      <c r="P16" s="7514"/>
      <c r="Q16" s="7514"/>
      <c r="R16" s="7515"/>
      <c r="S16" s="7516"/>
      <c r="T16" s="7517"/>
      <c r="U16" s="7517"/>
      <c r="V16" s="7517"/>
      <c r="W16" s="7517"/>
      <c r="X16" s="7518"/>
      <c r="Y16" s="1034"/>
      <c r="Z16" s="276"/>
      <c r="AA16" s="1035"/>
      <c r="AB16" s="1034"/>
      <c r="AC16" s="276"/>
      <c r="AD16" s="1036"/>
      <c r="AE16" s="1034"/>
      <c r="AF16" s="276"/>
      <c r="AG16" s="1035"/>
      <c r="AH16" s="1034"/>
      <c r="AI16" s="276"/>
      <c r="AJ16" s="1036"/>
      <c r="AK16" s="7519"/>
      <c r="AL16" s="7520"/>
      <c r="AM16" s="7520"/>
      <c r="AN16" s="7520"/>
      <c r="AO16" s="7520"/>
      <c r="AP16" s="7521"/>
      <c r="AQ16" s="1275" t="str">
        <f t="shared" si="1"/>
        <v/>
      </c>
      <c r="AR16" s="6161"/>
      <c r="AS16" s="276"/>
      <c r="AT16" s="1036"/>
      <c r="AU16" s="1034"/>
      <c r="AV16" s="276"/>
      <c r="AW16" s="1036"/>
      <c r="AX16" s="1034"/>
      <c r="AY16" s="276"/>
      <c r="AZ16" s="1036"/>
      <c r="BA16" s="6183"/>
      <c r="BB16" s="1846" t="str">
        <f t="shared" si="2"/>
        <v/>
      </c>
      <c r="BC16" s="6184"/>
      <c r="BD16" s="6176"/>
      <c r="BE16" s="6149"/>
      <c r="BF16" s="1275"/>
      <c r="BG16" s="1034"/>
      <c r="BH16" s="276"/>
      <c r="BI16" s="1036"/>
      <c r="BJ16" s="6183"/>
      <c r="BK16" s="1846" t="str">
        <f t="shared" si="3"/>
        <v/>
      </c>
      <c r="BL16" s="6189"/>
      <c r="BM16" s="1277"/>
      <c r="BN16" s="5973" t="str">
        <f t="shared" si="4"/>
        <v/>
      </c>
      <c r="BO16" s="1"/>
      <c r="BP16" s="1"/>
      <c r="BQ16" s="84" t="b">
        <f t="shared" si="5"/>
        <v>0</v>
      </c>
      <c r="BR16" s="1"/>
      <c r="BS16" s="84" t="str">
        <f t="shared" si="6"/>
        <v/>
      </c>
      <c r="BT16" s="84" t="str">
        <f t="shared" ref="BT16:BT30" si="33">LEFT(BS16,3)</f>
        <v/>
      </c>
      <c r="BU16" s="1282" t="b">
        <f t="shared" si="7"/>
        <v>1</v>
      </c>
      <c r="BV16" s="1282" t="b">
        <f t="shared" si="8"/>
        <v>0</v>
      </c>
      <c r="BW16" s="84" t="b">
        <f t="shared" si="9"/>
        <v>0</v>
      </c>
      <c r="BX16" s="3615" t="b">
        <f t="shared" si="10"/>
        <v>0</v>
      </c>
      <c r="BY16" s="1282" t="b">
        <f t="shared" si="11"/>
        <v>0</v>
      </c>
      <c r="BZ16" s="5960" t="b">
        <f t="shared" si="12"/>
        <v>0</v>
      </c>
      <c r="CA16" s="5957" t="b">
        <f t="shared" si="13"/>
        <v>0</v>
      </c>
      <c r="CB16" s="5957" t="b">
        <f t="shared" si="14"/>
        <v>0</v>
      </c>
      <c r="CC16" s="5957" t="b">
        <f t="shared" si="15"/>
        <v>0</v>
      </c>
      <c r="CD16" s="5957" t="b">
        <f t="shared" si="16"/>
        <v>1</v>
      </c>
      <c r="CE16" s="5957" t="b">
        <f t="shared" si="17"/>
        <v>0</v>
      </c>
      <c r="CF16" s="5957" t="b">
        <f t="shared" si="18"/>
        <v>0</v>
      </c>
      <c r="CG16" s="6156" t="b">
        <f t="shared" si="19"/>
        <v>0</v>
      </c>
      <c r="CH16" s="5960" t="b">
        <f t="shared" si="20"/>
        <v>0</v>
      </c>
      <c r="CI16" s="5960" t="b">
        <f t="shared" si="21"/>
        <v>0</v>
      </c>
      <c r="CJ16" s="6141" t="b">
        <f t="shared" si="22"/>
        <v>0</v>
      </c>
      <c r="CK16" s="6151" t="b">
        <f t="shared" si="23"/>
        <v>0</v>
      </c>
      <c r="CL16" s="5979" t="b">
        <f t="shared" si="24"/>
        <v>0</v>
      </c>
      <c r="CM16" s="5983" t="b">
        <f t="shared" si="25"/>
        <v>0</v>
      </c>
      <c r="CN16" s="84"/>
      <c r="CO16" s="84">
        <f t="shared" si="26"/>
        <v>0</v>
      </c>
      <c r="CP16" s="84">
        <f t="shared" si="27"/>
        <v>0</v>
      </c>
      <c r="CQ16" s="84">
        <f t="shared" si="28"/>
        <v>0</v>
      </c>
      <c r="CR16" s="84">
        <f t="shared" si="29"/>
        <v>0</v>
      </c>
      <c r="CU16" s="1282" t="b">
        <f t="shared" si="30"/>
        <v>0</v>
      </c>
      <c r="CV16" s="1282" t="b">
        <f t="shared" si="31"/>
        <v>0</v>
      </c>
      <c r="CX16" s="84">
        <f t="shared" si="32"/>
        <v>0</v>
      </c>
    </row>
    <row r="17" spans="1:104" ht="18">
      <c r="A17" s="6158" t="s">
        <v>1960</v>
      </c>
      <c r="B17" s="1280"/>
      <c r="C17" s="1280"/>
      <c r="D17" s="1280"/>
      <c r="E17" s="7510"/>
      <c r="F17" s="7510"/>
      <c r="G17" s="7510"/>
      <c r="H17" s="7510"/>
      <c r="I17" s="7511"/>
      <c r="J17" s="7510"/>
      <c r="K17" s="7510"/>
      <c r="L17" s="7512"/>
      <c r="M17" s="7513" t="str">
        <f t="shared" si="0"/>
        <v/>
      </c>
      <c r="N17" s="7514"/>
      <c r="O17" s="7514"/>
      <c r="P17" s="7514"/>
      <c r="Q17" s="7514"/>
      <c r="R17" s="7515"/>
      <c r="S17" s="7516"/>
      <c r="T17" s="7517"/>
      <c r="U17" s="7517"/>
      <c r="V17" s="7517"/>
      <c r="W17" s="7517"/>
      <c r="X17" s="7518"/>
      <c r="Y17" s="1034"/>
      <c r="Z17" s="276"/>
      <c r="AA17" s="1035"/>
      <c r="AB17" s="1034"/>
      <c r="AC17" s="276"/>
      <c r="AD17" s="1036"/>
      <c r="AE17" s="1034"/>
      <c r="AF17" s="276"/>
      <c r="AG17" s="1035"/>
      <c r="AH17" s="1034"/>
      <c r="AI17" s="276"/>
      <c r="AJ17" s="1036"/>
      <c r="AK17" s="7519"/>
      <c r="AL17" s="7520"/>
      <c r="AM17" s="7520"/>
      <c r="AN17" s="7520"/>
      <c r="AO17" s="7520"/>
      <c r="AP17" s="7521"/>
      <c r="AQ17" s="1275" t="str">
        <f t="shared" si="1"/>
        <v/>
      </c>
      <c r="AR17" s="6161"/>
      <c r="AS17" s="276"/>
      <c r="AT17" s="1036"/>
      <c r="AU17" s="1034"/>
      <c r="AV17" s="276"/>
      <c r="AW17" s="1036"/>
      <c r="AX17" s="1034"/>
      <c r="AY17" s="276"/>
      <c r="AZ17" s="1036"/>
      <c r="BA17" s="6183"/>
      <c r="BB17" s="1846" t="str">
        <f t="shared" si="2"/>
        <v/>
      </c>
      <c r="BC17" s="6184"/>
      <c r="BD17" s="6176"/>
      <c r="BE17" s="6149"/>
      <c r="BF17" s="1275"/>
      <c r="BG17" s="1034"/>
      <c r="BH17" s="276"/>
      <c r="BI17" s="1036"/>
      <c r="BJ17" s="6183"/>
      <c r="BK17" s="1846" t="str">
        <f t="shared" si="3"/>
        <v/>
      </c>
      <c r="BL17" s="6189"/>
      <c r="BM17" s="1277"/>
      <c r="BN17" s="5973" t="str">
        <f t="shared" si="4"/>
        <v/>
      </c>
      <c r="BO17" s="1"/>
      <c r="BP17" s="1"/>
      <c r="BQ17" s="84" t="b">
        <f t="shared" si="5"/>
        <v>0</v>
      </c>
      <c r="BR17" s="1"/>
      <c r="BS17" s="84" t="str">
        <f t="shared" si="6"/>
        <v/>
      </c>
      <c r="BT17" s="84" t="str">
        <f t="shared" si="33"/>
        <v/>
      </c>
      <c r="BU17" s="1282" t="b">
        <f t="shared" si="7"/>
        <v>1</v>
      </c>
      <c r="BV17" s="1282" t="b">
        <f t="shared" si="8"/>
        <v>0</v>
      </c>
      <c r="BW17" s="84" t="b">
        <f t="shared" si="9"/>
        <v>0</v>
      </c>
      <c r="BX17" s="3615" t="b">
        <f t="shared" si="10"/>
        <v>0</v>
      </c>
      <c r="BY17" s="1282" t="b">
        <f t="shared" si="11"/>
        <v>0</v>
      </c>
      <c r="BZ17" s="5960" t="b">
        <f t="shared" si="12"/>
        <v>0</v>
      </c>
      <c r="CA17" s="5957" t="b">
        <f t="shared" si="13"/>
        <v>0</v>
      </c>
      <c r="CB17" s="5957" t="b">
        <f t="shared" si="14"/>
        <v>0</v>
      </c>
      <c r="CC17" s="5957" t="b">
        <f t="shared" si="15"/>
        <v>0</v>
      </c>
      <c r="CD17" s="5957" t="b">
        <f t="shared" si="16"/>
        <v>1</v>
      </c>
      <c r="CE17" s="5957" t="b">
        <f t="shared" si="17"/>
        <v>0</v>
      </c>
      <c r="CF17" s="5957" t="b">
        <f t="shared" si="18"/>
        <v>0</v>
      </c>
      <c r="CG17" s="6156" t="b">
        <f t="shared" si="19"/>
        <v>0</v>
      </c>
      <c r="CH17" s="5960" t="b">
        <f t="shared" si="20"/>
        <v>0</v>
      </c>
      <c r="CI17" s="5960" t="b">
        <f t="shared" si="21"/>
        <v>0</v>
      </c>
      <c r="CJ17" s="6141" t="b">
        <f t="shared" si="22"/>
        <v>0</v>
      </c>
      <c r="CK17" s="6151" t="b">
        <f t="shared" si="23"/>
        <v>0</v>
      </c>
      <c r="CL17" s="5979" t="b">
        <f t="shared" si="24"/>
        <v>0</v>
      </c>
      <c r="CM17" s="5983" t="b">
        <f t="shared" si="25"/>
        <v>0</v>
      </c>
      <c r="CN17" s="84"/>
      <c r="CO17" s="84">
        <f t="shared" si="26"/>
        <v>0</v>
      </c>
      <c r="CP17" s="84">
        <f t="shared" si="27"/>
        <v>0</v>
      </c>
      <c r="CQ17" s="84">
        <f t="shared" si="28"/>
        <v>0</v>
      </c>
      <c r="CR17" s="84">
        <f t="shared" si="29"/>
        <v>0</v>
      </c>
      <c r="CU17" s="1282" t="b">
        <f t="shared" si="30"/>
        <v>0</v>
      </c>
      <c r="CV17" s="1282" t="b">
        <f t="shared" si="31"/>
        <v>0</v>
      </c>
      <c r="CX17" s="84">
        <f t="shared" si="32"/>
        <v>0</v>
      </c>
    </row>
    <row r="18" spans="1:104" ht="18">
      <c r="A18" s="6159">
        <v>10</v>
      </c>
      <c r="B18" s="1273"/>
      <c r="C18" s="1273"/>
      <c r="D18" s="1273"/>
      <c r="E18" s="7510"/>
      <c r="F18" s="7510"/>
      <c r="G18" s="7510"/>
      <c r="H18" s="7510"/>
      <c r="I18" s="7511"/>
      <c r="J18" s="7510"/>
      <c r="K18" s="7510"/>
      <c r="L18" s="7512"/>
      <c r="M18" s="7513" t="str">
        <f t="shared" si="0"/>
        <v/>
      </c>
      <c r="N18" s="7514"/>
      <c r="O18" s="7514"/>
      <c r="P18" s="7514"/>
      <c r="Q18" s="7514"/>
      <c r="R18" s="7515"/>
      <c r="S18" s="7516"/>
      <c r="T18" s="7517"/>
      <c r="U18" s="7517"/>
      <c r="V18" s="7517"/>
      <c r="W18" s="7517"/>
      <c r="X18" s="7518"/>
      <c r="Y18" s="1034"/>
      <c r="Z18" s="276"/>
      <c r="AA18" s="1035"/>
      <c r="AB18" s="1034"/>
      <c r="AC18" s="276"/>
      <c r="AD18" s="1036"/>
      <c r="AE18" s="1034"/>
      <c r="AF18" s="276"/>
      <c r="AG18" s="1035"/>
      <c r="AH18" s="1034"/>
      <c r="AI18" s="276"/>
      <c r="AJ18" s="1036"/>
      <c r="AK18" s="7519"/>
      <c r="AL18" s="7520"/>
      <c r="AM18" s="7520"/>
      <c r="AN18" s="7520"/>
      <c r="AO18" s="7520"/>
      <c r="AP18" s="7521"/>
      <c r="AQ18" s="1275" t="str">
        <f t="shared" si="1"/>
        <v/>
      </c>
      <c r="AR18" s="6161"/>
      <c r="AS18" s="276"/>
      <c r="AT18" s="1036"/>
      <c r="AU18" s="1034"/>
      <c r="AV18" s="276"/>
      <c r="AW18" s="1036"/>
      <c r="AX18" s="1034"/>
      <c r="AY18" s="276"/>
      <c r="AZ18" s="1036"/>
      <c r="BA18" s="6183"/>
      <c r="BB18" s="1846" t="str">
        <f t="shared" si="2"/>
        <v/>
      </c>
      <c r="BC18" s="6184"/>
      <c r="BD18" s="6176"/>
      <c r="BE18" s="6149"/>
      <c r="BF18" s="1275"/>
      <c r="BG18" s="1034"/>
      <c r="BH18" s="276"/>
      <c r="BI18" s="1036"/>
      <c r="BJ18" s="6183"/>
      <c r="BK18" s="1846" t="str">
        <f t="shared" si="3"/>
        <v/>
      </c>
      <c r="BL18" s="6189"/>
      <c r="BM18" s="1277"/>
      <c r="BN18" s="5973" t="str">
        <f t="shared" si="4"/>
        <v/>
      </c>
      <c r="BO18" s="1"/>
      <c r="BP18" s="1"/>
      <c r="BQ18" s="84" t="b">
        <f t="shared" si="5"/>
        <v>0</v>
      </c>
      <c r="BR18" s="1"/>
      <c r="BS18" s="84" t="str">
        <f t="shared" si="6"/>
        <v/>
      </c>
      <c r="BT18" s="84" t="str">
        <f t="shared" si="33"/>
        <v/>
      </c>
      <c r="BU18" s="1282" t="b">
        <f t="shared" si="7"/>
        <v>1</v>
      </c>
      <c r="BV18" s="1282" t="b">
        <f t="shared" si="8"/>
        <v>0</v>
      </c>
      <c r="BW18" s="84" t="b">
        <f t="shared" si="9"/>
        <v>0</v>
      </c>
      <c r="BX18" s="3615" t="b">
        <f t="shared" si="10"/>
        <v>0</v>
      </c>
      <c r="BY18" s="1282" t="b">
        <f t="shared" si="11"/>
        <v>0</v>
      </c>
      <c r="BZ18" s="5960" t="b">
        <f t="shared" si="12"/>
        <v>0</v>
      </c>
      <c r="CA18" s="5957" t="b">
        <f t="shared" si="13"/>
        <v>0</v>
      </c>
      <c r="CB18" s="5957" t="b">
        <f t="shared" si="14"/>
        <v>0</v>
      </c>
      <c r="CC18" s="5957" t="b">
        <f t="shared" si="15"/>
        <v>0</v>
      </c>
      <c r="CD18" s="5957" t="b">
        <f t="shared" si="16"/>
        <v>1</v>
      </c>
      <c r="CE18" s="5957" t="b">
        <f t="shared" si="17"/>
        <v>0</v>
      </c>
      <c r="CF18" s="5957" t="b">
        <f t="shared" si="18"/>
        <v>0</v>
      </c>
      <c r="CG18" s="6156" t="b">
        <f t="shared" si="19"/>
        <v>0</v>
      </c>
      <c r="CH18" s="5960" t="b">
        <f t="shared" si="20"/>
        <v>0</v>
      </c>
      <c r="CI18" s="5960" t="b">
        <f t="shared" si="21"/>
        <v>0</v>
      </c>
      <c r="CJ18" s="6141" t="b">
        <f t="shared" si="22"/>
        <v>0</v>
      </c>
      <c r="CK18" s="6151" t="b">
        <f t="shared" si="23"/>
        <v>0</v>
      </c>
      <c r="CL18" s="5979" t="b">
        <f t="shared" si="24"/>
        <v>0</v>
      </c>
      <c r="CM18" s="5983" t="b">
        <f t="shared" si="25"/>
        <v>0</v>
      </c>
      <c r="CN18" s="84"/>
      <c r="CO18" s="84">
        <f t="shared" si="26"/>
        <v>0</v>
      </c>
      <c r="CP18" s="84">
        <f t="shared" si="27"/>
        <v>0</v>
      </c>
      <c r="CQ18" s="84">
        <f t="shared" si="28"/>
        <v>0</v>
      </c>
      <c r="CR18" s="84">
        <f t="shared" si="29"/>
        <v>0</v>
      </c>
      <c r="CU18" s="1282" t="b">
        <f t="shared" si="30"/>
        <v>0</v>
      </c>
      <c r="CV18" s="1282" t="b">
        <f t="shared" si="31"/>
        <v>0</v>
      </c>
      <c r="CX18" s="84">
        <f t="shared" si="32"/>
        <v>0</v>
      </c>
    </row>
    <row r="19" spans="1:104" ht="18">
      <c r="A19" s="6159">
        <v>11</v>
      </c>
      <c r="B19" s="1273"/>
      <c r="C19" s="1273"/>
      <c r="D19" s="1273"/>
      <c r="E19" s="7510"/>
      <c r="F19" s="7510"/>
      <c r="G19" s="7510"/>
      <c r="H19" s="7510"/>
      <c r="I19" s="7511"/>
      <c r="J19" s="7510"/>
      <c r="K19" s="7510"/>
      <c r="L19" s="7512"/>
      <c r="M19" s="7513" t="str">
        <f t="shared" si="0"/>
        <v/>
      </c>
      <c r="N19" s="7514"/>
      <c r="O19" s="7514"/>
      <c r="P19" s="7514"/>
      <c r="Q19" s="7514"/>
      <c r="R19" s="7515"/>
      <c r="S19" s="7516"/>
      <c r="T19" s="7517"/>
      <c r="U19" s="7517"/>
      <c r="V19" s="7517"/>
      <c r="W19" s="7517"/>
      <c r="X19" s="7518"/>
      <c r="Y19" s="1034"/>
      <c r="Z19" s="276"/>
      <c r="AA19" s="1035"/>
      <c r="AB19" s="1034"/>
      <c r="AC19" s="276"/>
      <c r="AD19" s="1036"/>
      <c r="AE19" s="1034"/>
      <c r="AF19" s="276"/>
      <c r="AG19" s="1035"/>
      <c r="AH19" s="1034"/>
      <c r="AI19" s="276"/>
      <c r="AJ19" s="1036"/>
      <c r="AK19" s="7519"/>
      <c r="AL19" s="7520"/>
      <c r="AM19" s="7520"/>
      <c r="AN19" s="7520"/>
      <c r="AO19" s="7520"/>
      <c r="AP19" s="7521"/>
      <c r="AQ19" s="1275" t="str">
        <f t="shared" si="1"/>
        <v/>
      </c>
      <c r="AR19" s="6161"/>
      <c r="AS19" s="276"/>
      <c r="AT19" s="1036"/>
      <c r="AU19" s="1034"/>
      <c r="AV19" s="276"/>
      <c r="AW19" s="1036"/>
      <c r="AX19" s="1034"/>
      <c r="AY19" s="276"/>
      <c r="AZ19" s="1036"/>
      <c r="BA19" s="6183"/>
      <c r="BB19" s="1846" t="str">
        <f t="shared" si="2"/>
        <v/>
      </c>
      <c r="BC19" s="6184"/>
      <c r="BD19" s="6176"/>
      <c r="BE19" s="6149"/>
      <c r="BF19" s="1275"/>
      <c r="BG19" s="1034"/>
      <c r="BH19" s="276"/>
      <c r="BI19" s="1036"/>
      <c r="BJ19" s="6183"/>
      <c r="BK19" s="1846" t="str">
        <f t="shared" si="3"/>
        <v/>
      </c>
      <c r="BL19" s="6189"/>
      <c r="BM19" s="1277"/>
      <c r="BN19" s="5973" t="str">
        <f t="shared" si="4"/>
        <v/>
      </c>
      <c r="BO19" s="1"/>
      <c r="BP19" s="1"/>
      <c r="BQ19" s="84" t="b">
        <f t="shared" si="5"/>
        <v>0</v>
      </c>
      <c r="BR19" s="1"/>
      <c r="BS19" s="84" t="str">
        <f t="shared" si="6"/>
        <v/>
      </c>
      <c r="BT19" s="84" t="str">
        <f t="shared" si="33"/>
        <v/>
      </c>
      <c r="BU19" s="1282" t="b">
        <f t="shared" si="7"/>
        <v>1</v>
      </c>
      <c r="BV19" s="1282" t="b">
        <f t="shared" si="8"/>
        <v>0</v>
      </c>
      <c r="BW19" s="84" t="b">
        <f t="shared" si="9"/>
        <v>0</v>
      </c>
      <c r="BX19" s="3615" t="b">
        <f t="shared" si="10"/>
        <v>0</v>
      </c>
      <c r="BY19" s="1282" t="b">
        <f t="shared" si="11"/>
        <v>0</v>
      </c>
      <c r="BZ19" s="5960" t="b">
        <f t="shared" si="12"/>
        <v>0</v>
      </c>
      <c r="CA19" s="5957" t="b">
        <f t="shared" si="13"/>
        <v>0</v>
      </c>
      <c r="CB19" s="5957" t="b">
        <f t="shared" si="14"/>
        <v>0</v>
      </c>
      <c r="CC19" s="5957" t="b">
        <f t="shared" si="15"/>
        <v>0</v>
      </c>
      <c r="CD19" s="5957" t="b">
        <f t="shared" si="16"/>
        <v>1</v>
      </c>
      <c r="CE19" s="5957" t="b">
        <f t="shared" si="17"/>
        <v>0</v>
      </c>
      <c r="CF19" s="5957" t="b">
        <f t="shared" si="18"/>
        <v>0</v>
      </c>
      <c r="CG19" s="6156" t="b">
        <f t="shared" si="19"/>
        <v>0</v>
      </c>
      <c r="CH19" s="5960" t="b">
        <f t="shared" si="20"/>
        <v>0</v>
      </c>
      <c r="CI19" s="5960" t="b">
        <f t="shared" si="21"/>
        <v>0</v>
      </c>
      <c r="CJ19" s="6141" t="b">
        <f t="shared" si="22"/>
        <v>0</v>
      </c>
      <c r="CK19" s="6151" t="b">
        <f t="shared" si="23"/>
        <v>0</v>
      </c>
      <c r="CL19" s="5979" t="b">
        <f t="shared" si="24"/>
        <v>0</v>
      </c>
      <c r="CM19" s="5983" t="b">
        <f t="shared" si="25"/>
        <v>0</v>
      </c>
      <c r="CN19" s="84"/>
      <c r="CO19" s="84">
        <f t="shared" si="26"/>
        <v>0</v>
      </c>
      <c r="CP19" s="84">
        <f t="shared" si="27"/>
        <v>0</v>
      </c>
      <c r="CQ19" s="84">
        <f t="shared" si="28"/>
        <v>0</v>
      </c>
      <c r="CR19" s="84">
        <f t="shared" si="29"/>
        <v>0</v>
      </c>
      <c r="CU19" s="1282" t="b">
        <f t="shared" si="30"/>
        <v>0</v>
      </c>
      <c r="CV19" s="1282" t="b">
        <f t="shared" si="31"/>
        <v>0</v>
      </c>
      <c r="CX19" s="84">
        <f t="shared" si="32"/>
        <v>0</v>
      </c>
    </row>
    <row r="20" spans="1:104" ht="18">
      <c r="A20" s="6159">
        <v>12</v>
      </c>
      <c r="B20" s="1273"/>
      <c r="C20" s="1273"/>
      <c r="D20" s="1273"/>
      <c r="E20" s="7510"/>
      <c r="F20" s="7510"/>
      <c r="G20" s="7510"/>
      <c r="H20" s="7510"/>
      <c r="I20" s="7511"/>
      <c r="J20" s="7510"/>
      <c r="K20" s="7510"/>
      <c r="L20" s="7512"/>
      <c r="M20" s="7513" t="str">
        <f t="shared" si="0"/>
        <v/>
      </c>
      <c r="N20" s="7514"/>
      <c r="O20" s="7514"/>
      <c r="P20" s="7514"/>
      <c r="Q20" s="7514"/>
      <c r="R20" s="7515"/>
      <c r="S20" s="7516"/>
      <c r="T20" s="7517"/>
      <c r="U20" s="7517"/>
      <c r="V20" s="7517"/>
      <c r="W20" s="7517"/>
      <c r="X20" s="7518"/>
      <c r="Y20" s="1034"/>
      <c r="Z20" s="276"/>
      <c r="AA20" s="1035"/>
      <c r="AB20" s="1034"/>
      <c r="AC20" s="276"/>
      <c r="AD20" s="1036"/>
      <c r="AE20" s="1034"/>
      <c r="AF20" s="276"/>
      <c r="AG20" s="1035"/>
      <c r="AH20" s="1034"/>
      <c r="AI20" s="276"/>
      <c r="AJ20" s="1036"/>
      <c r="AK20" s="7519"/>
      <c r="AL20" s="7520"/>
      <c r="AM20" s="7520"/>
      <c r="AN20" s="7520"/>
      <c r="AO20" s="7520"/>
      <c r="AP20" s="7521"/>
      <c r="AQ20" s="1275" t="str">
        <f t="shared" si="1"/>
        <v/>
      </c>
      <c r="AR20" s="6161"/>
      <c r="AS20" s="276"/>
      <c r="AT20" s="1036"/>
      <c r="AU20" s="1034"/>
      <c r="AV20" s="276"/>
      <c r="AW20" s="1036"/>
      <c r="AX20" s="1034"/>
      <c r="AY20" s="276"/>
      <c r="AZ20" s="1036"/>
      <c r="BA20" s="6183"/>
      <c r="BB20" s="1846" t="str">
        <f t="shared" si="2"/>
        <v/>
      </c>
      <c r="BC20" s="6184"/>
      <c r="BD20" s="6176"/>
      <c r="BE20" s="6149"/>
      <c r="BF20" s="1275"/>
      <c r="BG20" s="1034"/>
      <c r="BH20" s="276"/>
      <c r="BI20" s="1036"/>
      <c r="BJ20" s="6183"/>
      <c r="BK20" s="1846" t="str">
        <f t="shared" si="3"/>
        <v/>
      </c>
      <c r="BL20" s="6189"/>
      <c r="BM20" s="1277"/>
      <c r="BN20" s="5973" t="str">
        <f t="shared" si="4"/>
        <v/>
      </c>
      <c r="BO20" s="1"/>
      <c r="BP20" s="1"/>
      <c r="BQ20" s="84" t="b">
        <f t="shared" si="5"/>
        <v>0</v>
      </c>
      <c r="BR20" s="1"/>
      <c r="BS20" s="84" t="str">
        <f t="shared" si="6"/>
        <v/>
      </c>
      <c r="BT20" s="84" t="str">
        <f t="shared" si="33"/>
        <v/>
      </c>
      <c r="BU20" s="1282" t="b">
        <f t="shared" si="7"/>
        <v>1</v>
      </c>
      <c r="BV20" s="1282" t="b">
        <f t="shared" si="8"/>
        <v>0</v>
      </c>
      <c r="BW20" s="84" t="b">
        <f t="shared" si="9"/>
        <v>0</v>
      </c>
      <c r="BX20" s="3615" t="b">
        <f t="shared" si="10"/>
        <v>0</v>
      </c>
      <c r="BY20" s="1282" t="b">
        <f t="shared" si="11"/>
        <v>0</v>
      </c>
      <c r="BZ20" s="5960" t="b">
        <f t="shared" si="12"/>
        <v>0</v>
      </c>
      <c r="CA20" s="5957" t="b">
        <f t="shared" si="13"/>
        <v>0</v>
      </c>
      <c r="CB20" s="5957" t="b">
        <f t="shared" si="14"/>
        <v>0</v>
      </c>
      <c r="CC20" s="5957" t="b">
        <f t="shared" si="15"/>
        <v>0</v>
      </c>
      <c r="CD20" s="5957" t="b">
        <f t="shared" si="16"/>
        <v>1</v>
      </c>
      <c r="CE20" s="5957" t="b">
        <f t="shared" si="17"/>
        <v>0</v>
      </c>
      <c r="CF20" s="5957" t="b">
        <f t="shared" si="18"/>
        <v>0</v>
      </c>
      <c r="CG20" s="6156" t="b">
        <f t="shared" si="19"/>
        <v>0</v>
      </c>
      <c r="CH20" s="5960" t="b">
        <f t="shared" si="20"/>
        <v>0</v>
      </c>
      <c r="CI20" s="5960" t="b">
        <f t="shared" si="21"/>
        <v>0</v>
      </c>
      <c r="CJ20" s="6141" t="b">
        <f t="shared" si="22"/>
        <v>0</v>
      </c>
      <c r="CK20" s="6151" t="b">
        <f t="shared" si="23"/>
        <v>0</v>
      </c>
      <c r="CL20" s="5979" t="b">
        <f t="shared" si="24"/>
        <v>0</v>
      </c>
      <c r="CM20" s="5983" t="b">
        <f t="shared" si="25"/>
        <v>0</v>
      </c>
      <c r="CN20" s="84"/>
      <c r="CO20" s="84">
        <f t="shared" si="26"/>
        <v>0</v>
      </c>
      <c r="CP20" s="84">
        <f t="shared" si="27"/>
        <v>0</v>
      </c>
      <c r="CQ20" s="84">
        <f t="shared" si="28"/>
        <v>0</v>
      </c>
      <c r="CR20" s="84">
        <f t="shared" si="29"/>
        <v>0</v>
      </c>
      <c r="CU20" s="1282" t="b">
        <f t="shared" si="30"/>
        <v>0</v>
      </c>
      <c r="CV20" s="1282" t="b">
        <f t="shared" si="31"/>
        <v>0</v>
      </c>
      <c r="CX20" s="84">
        <f t="shared" si="32"/>
        <v>0</v>
      </c>
    </row>
    <row r="21" spans="1:104" ht="18">
      <c r="A21" s="6159">
        <v>13</v>
      </c>
      <c r="B21" s="1273"/>
      <c r="C21" s="1273"/>
      <c r="D21" s="1273"/>
      <c r="E21" s="7510"/>
      <c r="F21" s="7510"/>
      <c r="G21" s="7510"/>
      <c r="H21" s="7510"/>
      <c r="I21" s="7511"/>
      <c r="J21" s="7510"/>
      <c r="K21" s="7510"/>
      <c r="L21" s="7512"/>
      <c r="M21" s="7513" t="str">
        <f t="shared" si="0"/>
        <v/>
      </c>
      <c r="N21" s="7514"/>
      <c r="O21" s="7514"/>
      <c r="P21" s="7514"/>
      <c r="Q21" s="7514"/>
      <c r="R21" s="7515"/>
      <c r="S21" s="7516"/>
      <c r="T21" s="7517"/>
      <c r="U21" s="7517"/>
      <c r="V21" s="7517"/>
      <c r="W21" s="7517"/>
      <c r="X21" s="7518"/>
      <c r="Y21" s="1034"/>
      <c r="Z21" s="276"/>
      <c r="AA21" s="1035"/>
      <c r="AB21" s="1034"/>
      <c r="AC21" s="276"/>
      <c r="AD21" s="1036"/>
      <c r="AE21" s="1034"/>
      <c r="AF21" s="276"/>
      <c r="AG21" s="1035"/>
      <c r="AH21" s="1034"/>
      <c r="AI21" s="276"/>
      <c r="AJ21" s="1036"/>
      <c r="AK21" s="7519"/>
      <c r="AL21" s="7520"/>
      <c r="AM21" s="7520"/>
      <c r="AN21" s="7520"/>
      <c r="AO21" s="7520"/>
      <c r="AP21" s="7521"/>
      <c r="AQ21" s="1275" t="str">
        <f t="shared" si="1"/>
        <v/>
      </c>
      <c r="AR21" s="6161"/>
      <c r="AS21" s="276"/>
      <c r="AT21" s="1036"/>
      <c r="AU21" s="1034"/>
      <c r="AV21" s="276"/>
      <c r="AW21" s="1036"/>
      <c r="AX21" s="1034"/>
      <c r="AY21" s="276"/>
      <c r="AZ21" s="1036"/>
      <c r="BA21" s="6183"/>
      <c r="BB21" s="1846" t="str">
        <f t="shared" si="2"/>
        <v/>
      </c>
      <c r="BC21" s="6184"/>
      <c r="BD21" s="6176"/>
      <c r="BE21" s="6149"/>
      <c r="BF21" s="1275"/>
      <c r="BG21" s="1034"/>
      <c r="BH21" s="276"/>
      <c r="BI21" s="1036"/>
      <c r="BJ21" s="6183"/>
      <c r="BK21" s="1846" t="str">
        <f t="shared" si="3"/>
        <v/>
      </c>
      <c r="BL21" s="6189"/>
      <c r="BM21" s="1277"/>
      <c r="BN21" s="5973" t="str">
        <f t="shared" si="4"/>
        <v/>
      </c>
      <c r="BO21" s="1"/>
      <c r="BP21" s="1"/>
      <c r="BQ21" s="84" t="b">
        <f t="shared" si="5"/>
        <v>0</v>
      </c>
      <c r="BR21" s="1"/>
      <c r="BS21" s="84" t="str">
        <f t="shared" si="6"/>
        <v/>
      </c>
      <c r="BT21" s="84" t="str">
        <f t="shared" si="33"/>
        <v/>
      </c>
      <c r="BU21" s="1282" t="b">
        <f t="shared" si="7"/>
        <v>1</v>
      </c>
      <c r="BV21" s="1282" t="b">
        <f t="shared" si="8"/>
        <v>0</v>
      </c>
      <c r="BW21" s="84" t="b">
        <f t="shared" si="9"/>
        <v>0</v>
      </c>
      <c r="BX21" s="3615" t="b">
        <f t="shared" si="10"/>
        <v>0</v>
      </c>
      <c r="BY21" s="1282" t="b">
        <f t="shared" si="11"/>
        <v>0</v>
      </c>
      <c r="BZ21" s="5960" t="b">
        <f t="shared" si="12"/>
        <v>0</v>
      </c>
      <c r="CA21" s="5957" t="b">
        <f t="shared" si="13"/>
        <v>0</v>
      </c>
      <c r="CB21" s="5957" t="b">
        <f t="shared" si="14"/>
        <v>0</v>
      </c>
      <c r="CC21" s="5957" t="b">
        <f t="shared" si="15"/>
        <v>0</v>
      </c>
      <c r="CD21" s="5957" t="b">
        <f t="shared" si="16"/>
        <v>1</v>
      </c>
      <c r="CE21" s="5957" t="b">
        <f t="shared" si="17"/>
        <v>0</v>
      </c>
      <c r="CF21" s="5957" t="b">
        <f t="shared" si="18"/>
        <v>0</v>
      </c>
      <c r="CG21" s="6156" t="b">
        <f t="shared" si="19"/>
        <v>0</v>
      </c>
      <c r="CH21" s="5960" t="b">
        <f t="shared" si="20"/>
        <v>0</v>
      </c>
      <c r="CI21" s="5960" t="b">
        <f t="shared" si="21"/>
        <v>0</v>
      </c>
      <c r="CJ21" s="6141" t="b">
        <f t="shared" si="22"/>
        <v>0</v>
      </c>
      <c r="CK21" s="6151" t="b">
        <f t="shared" si="23"/>
        <v>0</v>
      </c>
      <c r="CL21" s="5979" t="b">
        <f t="shared" si="24"/>
        <v>0</v>
      </c>
      <c r="CM21" s="5983" t="b">
        <f t="shared" si="25"/>
        <v>0</v>
      </c>
      <c r="CN21" s="84"/>
      <c r="CO21" s="84">
        <f t="shared" si="26"/>
        <v>0</v>
      </c>
      <c r="CP21" s="84">
        <f t="shared" si="27"/>
        <v>0</v>
      </c>
      <c r="CQ21" s="84">
        <f t="shared" si="28"/>
        <v>0</v>
      </c>
      <c r="CR21" s="84">
        <f t="shared" si="29"/>
        <v>0</v>
      </c>
      <c r="CU21" s="1282" t="b">
        <f t="shared" si="30"/>
        <v>0</v>
      </c>
      <c r="CV21" s="1282" t="b">
        <f t="shared" si="31"/>
        <v>0</v>
      </c>
      <c r="CX21" s="84">
        <f t="shared" si="32"/>
        <v>0</v>
      </c>
    </row>
    <row r="22" spans="1:104" ht="18">
      <c r="A22" s="6159">
        <v>14</v>
      </c>
      <c r="B22" s="1273"/>
      <c r="C22" s="1273"/>
      <c r="D22" s="1273"/>
      <c r="E22" s="7510"/>
      <c r="F22" s="7510"/>
      <c r="G22" s="7510"/>
      <c r="H22" s="7510"/>
      <c r="I22" s="7511"/>
      <c r="J22" s="7510"/>
      <c r="K22" s="7510"/>
      <c r="L22" s="7512"/>
      <c r="M22" s="7513" t="str">
        <f t="shared" si="0"/>
        <v/>
      </c>
      <c r="N22" s="7514"/>
      <c r="O22" s="7514"/>
      <c r="P22" s="7514"/>
      <c r="Q22" s="7514"/>
      <c r="R22" s="7515"/>
      <c r="S22" s="7516"/>
      <c r="T22" s="7517"/>
      <c r="U22" s="7517"/>
      <c r="V22" s="7517"/>
      <c r="W22" s="7517"/>
      <c r="X22" s="7518"/>
      <c r="Y22" s="1034"/>
      <c r="Z22" s="276"/>
      <c r="AA22" s="1035"/>
      <c r="AB22" s="1034"/>
      <c r="AC22" s="276"/>
      <c r="AD22" s="1036"/>
      <c r="AE22" s="1034"/>
      <c r="AF22" s="276"/>
      <c r="AG22" s="1035"/>
      <c r="AH22" s="1034"/>
      <c r="AI22" s="276"/>
      <c r="AJ22" s="1036"/>
      <c r="AK22" s="7519"/>
      <c r="AL22" s="7520"/>
      <c r="AM22" s="7520"/>
      <c r="AN22" s="7520"/>
      <c r="AO22" s="7520"/>
      <c r="AP22" s="7521"/>
      <c r="AQ22" s="1275" t="str">
        <f t="shared" si="1"/>
        <v/>
      </c>
      <c r="AR22" s="6161"/>
      <c r="AS22" s="276"/>
      <c r="AT22" s="1036"/>
      <c r="AU22" s="1034"/>
      <c r="AV22" s="276"/>
      <c r="AW22" s="1036"/>
      <c r="AX22" s="1034"/>
      <c r="AY22" s="276"/>
      <c r="AZ22" s="1036"/>
      <c r="BA22" s="6183"/>
      <c r="BB22" s="1846" t="str">
        <f t="shared" si="2"/>
        <v/>
      </c>
      <c r="BC22" s="6184"/>
      <c r="BD22" s="6176"/>
      <c r="BE22" s="6149"/>
      <c r="BF22" s="1275"/>
      <c r="BG22" s="1034"/>
      <c r="BH22" s="276"/>
      <c r="BI22" s="1036"/>
      <c r="BJ22" s="6183"/>
      <c r="BK22" s="1846" t="str">
        <f t="shared" si="3"/>
        <v/>
      </c>
      <c r="BL22" s="6189"/>
      <c r="BM22" s="1277"/>
      <c r="BN22" s="5973" t="str">
        <f t="shared" si="4"/>
        <v/>
      </c>
      <c r="BO22" s="1"/>
      <c r="BP22" s="1"/>
      <c r="BQ22" s="84" t="b">
        <f t="shared" si="5"/>
        <v>0</v>
      </c>
      <c r="BR22" s="1"/>
      <c r="BS22" s="84" t="str">
        <f t="shared" si="6"/>
        <v/>
      </c>
      <c r="BT22" s="84" t="str">
        <f t="shared" si="33"/>
        <v/>
      </c>
      <c r="BU22" s="1282" t="b">
        <f t="shared" si="7"/>
        <v>1</v>
      </c>
      <c r="BV22" s="1282" t="b">
        <f t="shared" si="8"/>
        <v>0</v>
      </c>
      <c r="BW22" s="84" t="b">
        <f t="shared" si="9"/>
        <v>0</v>
      </c>
      <c r="BX22" s="3615" t="b">
        <f t="shared" si="10"/>
        <v>0</v>
      </c>
      <c r="BY22" s="1282" t="b">
        <f t="shared" si="11"/>
        <v>0</v>
      </c>
      <c r="BZ22" s="5960" t="b">
        <f t="shared" si="12"/>
        <v>0</v>
      </c>
      <c r="CA22" s="5957" t="b">
        <f t="shared" si="13"/>
        <v>0</v>
      </c>
      <c r="CB22" s="5957" t="b">
        <f t="shared" si="14"/>
        <v>0</v>
      </c>
      <c r="CC22" s="5957" t="b">
        <f t="shared" si="15"/>
        <v>0</v>
      </c>
      <c r="CD22" s="5957" t="b">
        <f t="shared" si="16"/>
        <v>1</v>
      </c>
      <c r="CE22" s="5957" t="b">
        <f t="shared" si="17"/>
        <v>0</v>
      </c>
      <c r="CF22" s="5957" t="b">
        <f t="shared" si="18"/>
        <v>0</v>
      </c>
      <c r="CG22" s="6156" t="b">
        <f t="shared" si="19"/>
        <v>0</v>
      </c>
      <c r="CH22" s="5960" t="b">
        <f t="shared" si="20"/>
        <v>0</v>
      </c>
      <c r="CI22" s="5960" t="b">
        <f t="shared" si="21"/>
        <v>0</v>
      </c>
      <c r="CJ22" s="6141" t="b">
        <f t="shared" si="22"/>
        <v>0</v>
      </c>
      <c r="CK22" s="6151" t="b">
        <f t="shared" si="23"/>
        <v>0</v>
      </c>
      <c r="CL22" s="5979" t="b">
        <f t="shared" si="24"/>
        <v>0</v>
      </c>
      <c r="CM22" s="5983" t="b">
        <f t="shared" si="25"/>
        <v>0</v>
      </c>
      <c r="CN22" s="84"/>
      <c r="CO22" s="84">
        <f t="shared" si="26"/>
        <v>0</v>
      </c>
      <c r="CP22" s="84">
        <f t="shared" si="27"/>
        <v>0</v>
      </c>
      <c r="CQ22" s="84">
        <f t="shared" si="28"/>
        <v>0</v>
      </c>
      <c r="CR22" s="84">
        <f t="shared" si="29"/>
        <v>0</v>
      </c>
      <c r="CU22" s="1282" t="b">
        <f t="shared" si="30"/>
        <v>0</v>
      </c>
      <c r="CV22" s="1282" t="b">
        <f t="shared" si="31"/>
        <v>0</v>
      </c>
      <c r="CX22" s="84">
        <f t="shared" si="32"/>
        <v>0</v>
      </c>
    </row>
    <row r="23" spans="1:104" ht="18">
      <c r="A23" s="6159">
        <v>15</v>
      </c>
      <c r="B23" s="1273"/>
      <c r="C23" s="1273"/>
      <c r="D23" s="1273"/>
      <c r="E23" s="7510"/>
      <c r="F23" s="7510"/>
      <c r="G23" s="7510"/>
      <c r="H23" s="7510"/>
      <c r="I23" s="7511"/>
      <c r="J23" s="7510"/>
      <c r="K23" s="7510"/>
      <c r="L23" s="7512"/>
      <c r="M23" s="7513" t="str">
        <f t="shared" si="0"/>
        <v/>
      </c>
      <c r="N23" s="7514"/>
      <c r="O23" s="7514"/>
      <c r="P23" s="7514"/>
      <c r="Q23" s="7514"/>
      <c r="R23" s="7515"/>
      <c r="S23" s="7516"/>
      <c r="T23" s="7517"/>
      <c r="U23" s="7517"/>
      <c r="V23" s="7517"/>
      <c r="W23" s="7517"/>
      <c r="X23" s="7518"/>
      <c r="Y23" s="1034"/>
      <c r="Z23" s="276"/>
      <c r="AA23" s="1035"/>
      <c r="AB23" s="1034"/>
      <c r="AC23" s="276"/>
      <c r="AD23" s="1036"/>
      <c r="AE23" s="1034"/>
      <c r="AF23" s="276"/>
      <c r="AG23" s="1035"/>
      <c r="AH23" s="1034"/>
      <c r="AI23" s="276"/>
      <c r="AJ23" s="1036"/>
      <c r="AK23" s="7519"/>
      <c r="AL23" s="7520"/>
      <c r="AM23" s="7520"/>
      <c r="AN23" s="7520"/>
      <c r="AO23" s="7520"/>
      <c r="AP23" s="7521"/>
      <c r="AQ23" s="1275" t="str">
        <f t="shared" si="1"/>
        <v/>
      </c>
      <c r="AR23" s="6161"/>
      <c r="AS23" s="276"/>
      <c r="AT23" s="1036"/>
      <c r="AU23" s="1034"/>
      <c r="AV23" s="276"/>
      <c r="AW23" s="1036"/>
      <c r="AX23" s="1034"/>
      <c r="AY23" s="276"/>
      <c r="AZ23" s="1036"/>
      <c r="BA23" s="6183"/>
      <c r="BB23" s="1846" t="str">
        <f t="shared" si="2"/>
        <v/>
      </c>
      <c r="BC23" s="6184"/>
      <c r="BD23" s="6176"/>
      <c r="BE23" s="6149"/>
      <c r="BF23" s="1275"/>
      <c r="BG23" s="1034"/>
      <c r="BH23" s="276"/>
      <c r="BI23" s="1036"/>
      <c r="BJ23" s="6183"/>
      <c r="BK23" s="1846" t="str">
        <f t="shared" si="3"/>
        <v/>
      </c>
      <c r="BL23" s="6189"/>
      <c r="BM23" s="1277"/>
      <c r="BN23" s="5973" t="str">
        <f t="shared" si="4"/>
        <v/>
      </c>
      <c r="BO23" s="1"/>
      <c r="BP23" s="1"/>
      <c r="BQ23" s="84" t="b">
        <f t="shared" si="5"/>
        <v>0</v>
      </c>
      <c r="BR23" s="1"/>
      <c r="BS23" s="84" t="str">
        <f t="shared" si="6"/>
        <v/>
      </c>
      <c r="BT23" s="84" t="str">
        <f t="shared" si="33"/>
        <v/>
      </c>
      <c r="BU23" s="1282" t="b">
        <f t="shared" si="7"/>
        <v>1</v>
      </c>
      <c r="BV23" s="1282" t="b">
        <f t="shared" si="8"/>
        <v>0</v>
      </c>
      <c r="BW23" s="84" t="b">
        <f t="shared" si="9"/>
        <v>0</v>
      </c>
      <c r="BX23" s="3615" t="b">
        <f t="shared" si="10"/>
        <v>0</v>
      </c>
      <c r="BY23" s="1282" t="b">
        <f t="shared" si="11"/>
        <v>0</v>
      </c>
      <c r="BZ23" s="5960" t="b">
        <f t="shared" si="12"/>
        <v>0</v>
      </c>
      <c r="CA23" s="5957" t="b">
        <f t="shared" si="13"/>
        <v>0</v>
      </c>
      <c r="CB23" s="5957" t="b">
        <f t="shared" si="14"/>
        <v>0</v>
      </c>
      <c r="CC23" s="5957" t="b">
        <f t="shared" si="15"/>
        <v>0</v>
      </c>
      <c r="CD23" s="5957" t="b">
        <f t="shared" si="16"/>
        <v>1</v>
      </c>
      <c r="CE23" s="5957" t="b">
        <f t="shared" si="17"/>
        <v>0</v>
      </c>
      <c r="CF23" s="5957" t="b">
        <f t="shared" si="18"/>
        <v>0</v>
      </c>
      <c r="CG23" s="6156" t="b">
        <f t="shared" si="19"/>
        <v>0</v>
      </c>
      <c r="CH23" s="5960" t="b">
        <f t="shared" si="20"/>
        <v>0</v>
      </c>
      <c r="CI23" s="5960" t="b">
        <f t="shared" si="21"/>
        <v>0</v>
      </c>
      <c r="CJ23" s="6141" t="b">
        <f t="shared" si="22"/>
        <v>0</v>
      </c>
      <c r="CK23" s="6151" t="b">
        <f t="shared" si="23"/>
        <v>0</v>
      </c>
      <c r="CL23" s="5979" t="b">
        <f t="shared" si="24"/>
        <v>0</v>
      </c>
      <c r="CM23" s="5983" t="b">
        <f t="shared" si="25"/>
        <v>0</v>
      </c>
      <c r="CN23" s="84"/>
      <c r="CO23" s="84">
        <f t="shared" si="26"/>
        <v>0</v>
      </c>
      <c r="CP23" s="84">
        <f t="shared" si="27"/>
        <v>0</v>
      </c>
      <c r="CQ23" s="84">
        <f t="shared" si="28"/>
        <v>0</v>
      </c>
      <c r="CR23" s="84">
        <f t="shared" si="29"/>
        <v>0</v>
      </c>
      <c r="CU23" s="1282" t="b">
        <f t="shared" si="30"/>
        <v>0</v>
      </c>
      <c r="CV23" s="1282" t="b">
        <f t="shared" si="31"/>
        <v>0</v>
      </c>
      <c r="CX23" s="84">
        <f t="shared" si="32"/>
        <v>0</v>
      </c>
    </row>
    <row r="24" spans="1:104" ht="18">
      <c r="A24" s="6159">
        <v>16</v>
      </c>
      <c r="B24" s="1273"/>
      <c r="C24" s="1273"/>
      <c r="D24" s="1273"/>
      <c r="E24" s="7510"/>
      <c r="F24" s="7510"/>
      <c r="G24" s="7510"/>
      <c r="H24" s="7510"/>
      <c r="I24" s="7511"/>
      <c r="J24" s="7510"/>
      <c r="K24" s="7510"/>
      <c r="L24" s="7512"/>
      <c r="M24" s="7513" t="str">
        <f t="shared" si="0"/>
        <v/>
      </c>
      <c r="N24" s="7514"/>
      <c r="O24" s="7514"/>
      <c r="P24" s="7514"/>
      <c r="Q24" s="7514"/>
      <c r="R24" s="7515"/>
      <c r="S24" s="7516"/>
      <c r="T24" s="7517"/>
      <c r="U24" s="7517"/>
      <c r="V24" s="7517"/>
      <c r="W24" s="7517"/>
      <c r="X24" s="7518"/>
      <c r="Y24" s="1034"/>
      <c r="Z24" s="276"/>
      <c r="AA24" s="1035"/>
      <c r="AB24" s="1034"/>
      <c r="AC24" s="276"/>
      <c r="AD24" s="1036"/>
      <c r="AE24" s="1034"/>
      <c r="AF24" s="276"/>
      <c r="AG24" s="1035"/>
      <c r="AH24" s="1034"/>
      <c r="AI24" s="276"/>
      <c r="AJ24" s="1036"/>
      <c r="AK24" s="7519"/>
      <c r="AL24" s="7520"/>
      <c r="AM24" s="7520"/>
      <c r="AN24" s="7520"/>
      <c r="AO24" s="7520"/>
      <c r="AP24" s="7521"/>
      <c r="AQ24" s="1275" t="str">
        <f t="shared" si="1"/>
        <v/>
      </c>
      <c r="AR24" s="6161"/>
      <c r="AS24" s="276"/>
      <c r="AT24" s="1036"/>
      <c r="AU24" s="1034"/>
      <c r="AV24" s="276"/>
      <c r="AW24" s="1036"/>
      <c r="AX24" s="1034"/>
      <c r="AY24" s="276"/>
      <c r="AZ24" s="1036"/>
      <c r="BA24" s="6183"/>
      <c r="BB24" s="1846" t="str">
        <f t="shared" si="2"/>
        <v/>
      </c>
      <c r="BC24" s="6184"/>
      <c r="BD24" s="6176"/>
      <c r="BE24" s="6149"/>
      <c r="BF24" s="1275"/>
      <c r="BG24" s="1034"/>
      <c r="BH24" s="276"/>
      <c r="BI24" s="1036"/>
      <c r="BJ24" s="6183"/>
      <c r="BK24" s="1846" t="str">
        <f t="shared" si="3"/>
        <v/>
      </c>
      <c r="BL24" s="6189"/>
      <c r="BM24" s="1277"/>
      <c r="BN24" s="5973" t="str">
        <f t="shared" si="4"/>
        <v/>
      </c>
      <c r="BO24" s="1"/>
      <c r="BP24" s="1"/>
      <c r="BQ24" s="84" t="b">
        <f t="shared" si="5"/>
        <v>0</v>
      </c>
      <c r="BR24" s="1"/>
      <c r="BS24" s="84" t="str">
        <f t="shared" si="6"/>
        <v/>
      </c>
      <c r="BT24" s="84" t="str">
        <f t="shared" si="33"/>
        <v/>
      </c>
      <c r="BU24" s="1282" t="b">
        <f t="shared" si="7"/>
        <v>1</v>
      </c>
      <c r="BV24" s="1282" t="b">
        <f t="shared" si="8"/>
        <v>0</v>
      </c>
      <c r="BW24" s="84" t="b">
        <f t="shared" si="9"/>
        <v>0</v>
      </c>
      <c r="BX24" s="3615" t="b">
        <f t="shared" si="10"/>
        <v>0</v>
      </c>
      <c r="BY24" s="1282" t="b">
        <f t="shared" si="11"/>
        <v>0</v>
      </c>
      <c r="BZ24" s="5960" t="b">
        <f t="shared" si="12"/>
        <v>0</v>
      </c>
      <c r="CA24" s="5957" t="b">
        <f t="shared" si="13"/>
        <v>0</v>
      </c>
      <c r="CB24" s="5957" t="b">
        <f t="shared" si="14"/>
        <v>0</v>
      </c>
      <c r="CC24" s="5957" t="b">
        <f t="shared" si="15"/>
        <v>0</v>
      </c>
      <c r="CD24" s="5957" t="b">
        <f t="shared" si="16"/>
        <v>1</v>
      </c>
      <c r="CE24" s="5957" t="b">
        <f t="shared" si="17"/>
        <v>0</v>
      </c>
      <c r="CF24" s="5957" t="b">
        <f t="shared" si="18"/>
        <v>0</v>
      </c>
      <c r="CG24" s="6156" t="b">
        <f t="shared" si="19"/>
        <v>0</v>
      </c>
      <c r="CH24" s="5960" t="b">
        <f t="shared" si="20"/>
        <v>0</v>
      </c>
      <c r="CI24" s="5960" t="b">
        <f t="shared" si="21"/>
        <v>0</v>
      </c>
      <c r="CJ24" s="6141" t="b">
        <f t="shared" si="22"/>
        <v>0</v>
      </c>
      <c r="CK24" s="6151" t="b">
        <f t="shared" si="23"/>
        <v>0</v>
      </c>
      <c r="CL24" s="5979" t="b">
        <f t="shared" si="24"/>
        <v>0</v>
      </c>
      <c r="CM24" s="5983" t="b">
        <f t="shared" si="25"/>
        <v>0</v>
      </c>
      <c r="CN24" s="84"/>
      <c r="CO24" s="84">
        <f t="shared" si="26"/>
        <v>0</v>
      </c>
      <c r="CP24" s="84">
        <f t="shared" si="27"/>
        <v>0</v>
      </c>
      <c r="CQ24" s="84">
        <f t="shared" si="28"/>
        <v>0</v>
      </c>
      <c r="CR24" s="84">
        <f t="shared" si="29"/>
        <v>0</v>
      </c>
      <c r="CU24" s="1282" t="b">
        <f t="shared" si="30"/>
        <v>0</v>
      </c>
      <c r="CV24" s="1282" t="b">
        <f t="shared" si="31"/>
        <v>0</v>
      </c>
      <c r="CX24" s="84">
        <f t="shared" si="32"/>
        <v>0</v>
      </c>
    </row>
    <row r="25" spans="1:104" ht="18">
      <c r="A25" s="6159">
        <v>17</v>
      </c>
      <c r="B25" s="1273"/>
      <c r="C25" s="1273"/>
      <c r="D25" s="1273"/>
      <c r="E25" s="7510"/>
      <c r="F25" s="7510"/>
      <c r="G25" s="7510"/>
      <c r="H25" s="7510"/>
      <c r="I25" s="7511"/>
      <c r="J25" s="7510"/>
      <c r="K25" s="7510"/>
      <c r="L25" s="7512"/>
      <c r="M25" s="7513" t="str">
        <f t="shared" si="0"/>
        <v/>
      </c>
      <c r="N25" s="7514"/>
      <c r="O25" s="7514"/>
      <c r="P25" s="7514"/>
      <c r="Q25" s="7514"/>
      <c r="R25" s="7515"/>
      <c r="S25" s="7516"/>
      <c r="T25" s="7517"/>
      <c r="U25" s="7517"/>
      <c r="V25" s="7517"/>
      <c r="W25" s="7517"/>
      <c r="X25" s="7518"/>
      <c r="Y25" s="1034"/>
      <c r="Z25" s="276"/>
      <c r="AA25" s="1035"/>
      <c r="AB25" s="1034"/>
      <c r="AC25" s="276"/>
      <c r="AD25" s="1036"/>
      <c r="AE25" s="1034"/>
      <c r="AF25" s="276"/>
      <c r="AG25" s="1035"/>
      <c r="AH25" s="1034"/>
      <c r="AI25" s="276"/>
      <c r="AJ25" s="1036"/>
      <c r="AK25" s="7519"/>
      <c r="AL25" s="7520"/>
      <c r="AM25" s="7520"/>
      <c r="AN25" s="7520"/>
      <c r="AO25" s="7520"/>
      <c r="AP25" s="7521"/>
      <c r="AQ25" s="1275" t="str">
        <f t="shared" si="1"/>
        <v/>
      </c>
      <c r="AR25" s="6161"/>
      <c r="AS25" s="276"/>
      <c r="AT25" s="1036"/>
      <c r="AU25" s="1034"/>
      <c r="AV25" s="276"/>
      <c r="AW25" s="1036"/>
      <c r="AX25" s="1034"/>
      <c r="AY25" s="276"/>
      <c r="AZ25" s="1036"/>
      <c r="BA25" s="6183"/>
      <c r="BB25" s="1846" t="str">
        <f t="shared" si="2"/>
        <v/>
      </c>
      <c r="BC25" s="6184"/>
      <c r="BD25" s="6176"/>
      <c r="BE25" s="6149"/>
      <c r="BF25" s="1275"/>
      <c r="BG25" s="1034"/>
      <c r="BH25" s="276"/>
      <c r="BI25" s="1036"/>
      <c r="BJ25" s="6183"/>
      <c r="BK25" s="1846" t="str">
        <f t="shared" si="3"/>
        <v/>
      </c>
      <c r="BL25" s="6189"/>
      <c r="BM25" s="1277"/>
      <c r="BN25" s="5973" t="str">
        <f t="shared" si="4"/>
        <v/>
      </c>
      <c r="BO25" s="1"/>
      <c r="BP25" s="1"/>
      <c r="BQ25" s="84" t="b">
        <f t="shared" si="5"/>
        <v>0</v>
      </c>
      <c r="BR25" s="1"/>
      <c r="BS25" s="84" t="str">
        <f t="shared" si="6"/>
        <v/>
      </c>
      <c r="BT25" s="84" t="str">
        <f t="shared" si="33"/>
        <v/>
      </c>
      <c r="BU25" s="1282" t="b">
        <f t="shared" si="7"/>
        <v>1</v>
      </c>
      <c r="BV25" s="1282" t="b">
        <f t="shared" si="8"/>
        <v>0</v>
      </c>
      <c r="BW25" s="84" t="b">
        <f t="shared" si="9"/>
        <v>0</v>
      </c>
      <c r="BX25" s="3615" t="b">
        <f t="shared" si="10"/>
        <v>0</v>
      </c>
      <c r="BY25" s="1282" t="b">
        <f t="shared" si="11"/>
        <v>0</v>
      </c>
      <c r="BZ25" s="5960" t="b">
        <f t="shared" si="12"/>
        <v>0</v>
      </c>
      <c r="CA25" s="5957" t="b">
        <f t="shared" si="13"/>
        <v>0</v>
      </c>
      <c r="CB25" s="5957" t="b">
        <f t="shared" si="14"/>
        <v>0</v>
      </c>
      <c r="CC25" s="5957" t="b">
        <f t="shared" si="15"/>
        <v>0</v>
      </c>
      <c r="CD25" s="5957" t="b">
        <f t="shared" si="16"/>
        <v>1</v>
      </c>
      <c r="CE25" s="5957" t="b">
        <f t="shared" si="17"/>
        <v>0</v>
      </c>
      <c r="CF25" s="5957" t="b">
        <f t="shared" si="18"/>
        <v>0</v>
      </c>
      <c r="CG25" s="6156" t="b">
        <f t="shared" si="19"/>
        <v>0</v>
      </c>
      <c r="CH25" s="5960" t="b">
        <f t="shared" si="20"/>
        <v>0</v>
      </c>
      <c r="CI25" s="5960" t="b">
        <f t="shared" si="21"/>
        <v>0</v>
      </c>
      <c r="CJ25" s="6141" t="b">
        <f t="shared" si="22"/>
        <v>0</v>
      </c>
      <c r="CK25" s="6151" t="b">
        <f t="shared" si="23"/>
        <v>0</v>
      </c>
      <c r="CL25" s="5979" t="b">
        <f t="shared" si="24"/>
        <v>0</v>
      </c>
      <c r="CM25" s="5983" t="b">
        <f t="shared" si="25"/>
        <v>0</v>
      </c>
      <c r="CN25" s="84"/>
      <c r="CO25" s="84">
        <f t="shared" si="26"/>
        <v>0</v>
      </c>
      <c r="CP25" s="84">
        <f t="shared" si="27"/>
        <v>0</v>
      </c>
      <c r="CQ25" s="84">
        <f t="shared" si="28"/>
        <v>0</v>
      </c>
      <c r="CR25" s="84">
        <f t="shared" si="29"/>
        <v>0</v>
      </c>
      <c r="CU25" s="1282" t="b">
        <f t="shared" si="30"/>
        <v>0</v>
      </c>
      <c r="CV25" s="1282" t="b">
        <f t="shared" si="31"/>
        <v>0</v>
      </c>
      <c r="CX25" s="84">
        <f t="shared" si="32"/>
        <v>0</v>
      </c>
    </row>
    <row r="26" spans="1:104" ht="18">
      <c r="A26" s="6159">
        <v>18</v>
      </c>
      <c r="B26" s="1273"/>
      <c r="C26" s="1273"/>
      <c r="D26" s="1273"/>
      <c r="E26" s="7510"/>
      <c r="F26" s="7510"/>
      <c r="G26" s="7510"/>
      <c r="H26" s="7510"/>
      <c r="I26" s="7511"/>
      <c r="J26" s="7510"/>
      <c r="K26" s="7510"/>
      <c r="L26" s="7512"/>
      <c r="M26" s="7513" t="str">
        <f t="shared" si="0"/>
        <v/>
      </c>
      <c r="N26" s="7514"/>
      <c r="O26" s="7514"/>
      <c r="P26" s="7514"/>
      <c r="Q26" s="7514"/>
      <c r="R26" s="7515"/>
      <c r="S26" s="7516"/>
      <c r="T26" s="7517"/>
      <c r="U26" s="7517"/>
      <c r="V26" s="7517"/>
      <c r="W26" s="7517"/>
      <c r="X26" s="7518"/>
      <c r="Y26" s="1034"/>
      <c r="Z26" s="276"/>
      <c r="AA26" s="1035"/>
      <c r="AB26" s="1034"/>
      <c r="AC26" s="276"/>
      <c r="AD26" s="1036"/>
      <c r="AE26" s="1034"/>
      <c r="AF26" s="276"/>
      <c r="AG26" s="1035"/>
      <c r="AH26" s="1034"/>
      <c r="AI26" s="276"/>
      <c r="AJ26" s="1036"/>
      <c r="AK26" s="7519"/>
      <c r="AL26" s="7520"/>
      <c r="AM26" s="7520"/>
      <c r="AN26" s="7520"/>
      <c r="AO26" s="7520"/>
      <c r="AP26" s="7521"/>
      <c r="AQ26" s="1275" t="str">
        <f t="shared" si="1"/>
        <v/>
      </c>
      <c r="AR26" s="6161"/>
      <c r="AS26" s="276"/>
      <c r="AT26" s="1036"/>
      <c r="AU26" s="1034"/>
      <c r="AV26" s="276"/>
      <c r="AW26" s="1036"/>
      <c r="AX26" s="1034"/>
      <c r="AY26" s="276"/>
      <c r="AZ26" s="1036"/>
      <c r="BA26" s="6183"/>
      <c r="BB26" s="1846" t="str">
        <f t="shared" si="2"/>
        <v/>
      </c>
      <c r="BC26" s="6184"/>
      <c r="BD26" s="6176"/>
      <c r="BE26" s="6149"/>
      <c r="BF26" s="1275"/>
      <c r="BG26" s="1034"/>
      <c r="BH26" s="276"/>
      <c r="BI26" s="1036"/>
      <c r="BJ26" s="6183"/>
      <c r="BK26" s="1846" t="str">
        <f t="shared" si="3"/>
        <v/>
      </c>
      <c r="BL26" s="6189"/>
      <c r="BM26" s="1277"/>
      <c r="BN26" s="5973" t="str">
        <f t="shared" si="4"/>
        <v/>
      </c>
      <c r="BO26" s="1"/>
      <c r="BP26" s="1"/>
      <c r="BQ26" s="84" t="b">
        <f t="shared" si="5"/>
        <v>0</v>
      </c>
      <c r="BR26" s="1"/>
      <c r="BS26" s="84" t="str">
        <f t="shared" si="6"/>
        <v/>
      </c>
      <c r="BT26" s="84" t="str">
        <f t="shared" si="33"/>
        <v/>
      </c>
      <c r="BU26" s="1282" t="b">
        <f t="shared" si="7"/>
        <v>1</v>
      </c>
      <c r="BV26" s="1282" t="b">
        <f t="shared" si="8"/>
        <v>0</v>
      </c>
      <c r="BW26" s="84" t="b">
        <f t="shared" si="9"/>
        <v>0</v>
      </c>
      <c r="BX26" s="3615" t="b">
        <f t="shared" si="10"/>
        <v>0</v>
      </c>
      <c r="BY26" s="1282" t="b">
        <f t="shared" si="11"/>
        <v>0</v>
      </c>
      <c r="BZ26" s="5960" t="b">
        <f t="shared" si="12"/>
        <v>0</v>
      </c>
      <c r="CA26" s="5957" t="b">
        <f t="shared" si="13"/>
        <v>0</v>
      </c>
      <c r="CB26" s="5957" t="b">
        <f t="shared" si="14"/>
        <v>0</v>
      </c>
      <c r="CC26" s="5957" t="b">
        <f t="shared" si="15"/>
        <v>0</v>
      </c>
      <c r="CD26" s="5957" t="b">
        <f t="shared" si="16"/>
        <v>1</v>
      </c>
      <c r="CE26" s="5957" t="b">
        <f t="shared" si="17"/>
        <v>0</v>
      </c>
      <c r="CF26" s="5957" t="b">
        <f t="shared" si="18"/>
        <v>0</v>
      </c>
      <c r="CG26" s="6156" t="b">
        <f t="shared" si="19"/>
        <v>0</v>
      </c>
      <c r="CH26" s="5960" t="b">
        <f t="shared" si="20"/>
        <v>0</v>
      </c>
      <c r="CI26" s="5960" t="b">
        <f t="shared" si="21"/>
        <v>0</v>
      </c>
      <c r="CJ26" s="6141" t="b">
        <f t="shared" si="22"/>
        <v>0</v>
      </c>
      <c r="CK26" s="6151" t="b">
        <f t="shared" si="23"/>
        <v>0</v>
      </c>
      <c r="CL26" s="5979" t="b">
        <f t="shared" si="24"/>
        <v>0</v>
      </c>
      <c r="CM26" s="5983" t="b">
        <f t="shared" si="25"/>
        <v>0</v>
      </c>
      <c r="CN26" s="84"/>
      <c r="CO26" s="84">
        <f t="shared" si="26"/>
        <v>0</v>
      </c>
      <c r="CP26" s="84">
        <f t="shared" si="27"/>
        <v>0</v>
      </c>
      <c r="CQ26" s="84">
        <f t="shared" si="28"/>
        <v>0</v>
      </c>
      <c r="CR26" s="84">
        <f t="shared" si="29"/>
        <v>0</v>
      </c>
      <c r="CU26" s="1282" t="b">
        <f t="shared" si="30"/>
        <v>0</v>
      </c>
      <c r="CV26" s="1282" t="b">
        <f t="shared" si="31"/>
        <v>0</v>
      </c>
      <c r="CX26" s="84">
        <f t="shared" si="32"/>
        <v>0</v>
      </c>
    </row>
    <row r="27" spans="1:104" ht="18">
      <c r="A27" s="6159">
        <v>19</v>
      </c>
      <c r="B27" s="1273"/>
      <c r="C27" s="1273"/>
      <c r="D27" s="1273"/>
      <c r="E27" s="7510"/>
      <c r="F27" s="7510"/>
      <c r="G27" s="7510"/>
      <c r="H27" s="7510"/>
      <c r="I27" s="7511"/>
      <c r="J27" s="7510"/>
      <c r="K27" s="7510"/>
      <c r="L27" s="7512"/>
      <c r="M27" s="7513" t="str">
        <f t="shared" si="0"/>
        <v/>
      </c>
      <c r="N27" s="7514"/>
      <c r="O27" s="7514"/>
      <c r="P27" s="7514"/>
      <c r="Q27" s="7514"/>
      <c r="R27" s="7515"/>
      <c r="S27" s="7516"/>
      <c r="T27" s="7517"/>
      <c r="U27" s="7517"/>
      <c r="V27" s="7517"/>
      <c r="W27" s="7517"/>
      <c r="X27" s="7518"/>
      <c r="Y27" s="1034"/>
      <c r="Z27" s="276"/>
      <c r="AA27" s="1035"/>
      <c r="AB27" s="1034"/>
      <c r="AC27" s="276"/>
      <c r="AD27" s="1036"/>
      <c r="AE27" s="1034"/>
      <c r="AF27" s="276"/>
      <c r="AG27" s="1035"/>
      <c r="AH27" s="1034"/>
      <c r="AI27" s="276"/>
      <c r="AJ27" s="1036"/>
      <c r="AK27" s="7519"/>
      <c r="AL27" s="7520"/>
      <c r="AM27" s="7520"/>
      <c r="AN27" s="7520"/>
      <c r="AO27" s="7520"/>
      <c r="AP27" s="7521"/>
      <c r="AQ27" s="1275" t="str">
        <f t="shared" si="1"/>
        <v/>
      </c>
      <c r="AR27" s="6161"/>
      <c r="AS27" s="276"/>
      <c r="AT27" s="1036"/>
      <c r="AU27" s="1034"/>
      <c r="AV27" s="276"/>
      <c r="AW27" s="1036"/>
      <c r="AX27" s="1034"/>
      <c r="AY27" s="276"/>
      <c r="AZ27" s="1036"/>
      <c r="BA27" s="6183"/>
      <c r="BB27" s="1846" t="str">
        <f t="shared" si="2"/>
        <v/>
      </c>
      <c r="BC27" s="6184"/>
      <c r="BD27" s="6176"/>
      <c r="BE27" s="6149"/>
      <c r="BF27" s="1275"/>
      <c r="BG27" s="1034"/>
      <c r="BH27" s="276"/>
      <c r="BI27" s="1036"/>
      <c r="BJ27" s="6183"/>
      <c r="BK27" s="1846" t="str">
        <f t="shared" si="3"/>
        <v/>
      </c>
      <c r="BL27" s="6189"/>
      <c r="BM27" s="1277"/>
      <c r="BN27" s="5973" t="str">
        <f t="shared" si="4"/>
        <v/>
      </c>
      <c r="BO27" s="1"/>
      <c r="BP27" s="1"/>
      <c r="BQ27" s="84" t="b">
        <f t="shared" si="5"/>
        <v>0</v>
      </c>
      <c r="BR27" s="1"/>
      <c r="BS27" s="84" t="str">
        <f t="shared" si="6"/>
        <v/>
      </c>
      <c r="BT27" s="84" t="str">
        <f t="shared" si="33"/>
        <v/>
      </c>
      <c r="BU27" s="1282" t="b">
        <f t="shared" si="7"/>
        <v>1</v>
      </c>
      <c r="BV27" s="1282" t="b">
        <f t="shared" si="8"/>
        <v>0</v>
      </c>
      <c r="BW27" s="84" t="b">
        <f t="shared" si="9"/>
        <v>0</v>
      </c>
      <c r="BX27" s="3615" t="b">
        <f t="shared" si="10"/>
        <v>0</v>
      </c>
      <c r="BY27" s="1282" t="b">
        <f t="shared" si="11"/>
        <v>0</v>
      </c>
      <c r="BZ27" s="5960" t="b">
        <f t="shared" si="12"/>
        <v>0</v>
      </c>
      <c r="CA27" s="5957" t="b">
        <f t="shared" si="13"/>
        <v>0</v>
      </c>
      <c r="CB27" s="5957" t="b">
        <f t="shared" si="14"/>
        <v>0</v>
      </c>
      <c r="CC27" s="5957" t="b">
        <f t="shared" si="15"/>
        <v>0</v>
      </c>
      <c r="CD27" s="5957" t="b">
        <f t="shared" si="16"/>
        <v>1</v>
      </c>
      <c r="CE27" s="5957" t="b">
        <f t="shared" si="17"/>
        <v>0</v>
      </c>
      <c r="CF27" s="5957" t="b">
        <f t="shared" si="18"/>
        <v>0</v>
      </c>
      <c r="CG27" s="6156" t="b">
        <f t="shared" si="19"/>
        <v>0</v>
      </c>
      <c r="CH27" s="5960" t="b">
        <f t="shared" si="20"/>
        <v>0</v>
      </c>
      <c r="CI27" s="5960" t="b">
        <f t="shared" si="21"/>
        <v>0</v>
      </c>
      <c r="CJ27" s="6141" t="b">
        <f t="shared" si="22"/>
        <v>0</v>
      </c>
      <c r="CK27" s="6151" t="b">
        <f t="shared" si="23"/>
        <v>0</v>
      </c>
      <c r="CL27" s="5979" t="b">
        <f t="shared" si="24"/>
        <v>0</v>
      </c>
      <c r="CM27" s="5983" t="b">
        <f t="shared" si="25"/>
        <v>0</v>
      </c>
      <c r="CN27" s="84"/>
      <c r="CO27" s="84">
        <f t="shared" si="26"/>
        <v>0</v>
      </c>
      <c r="CP27" s="84">
        <f t="shared" si="27"/>
        <v>0</v>
      </c>
      <c r="CQ27" s="84">
        <f t="shared" si="28"/>
        <v>0</v>
      </c>
      <c r="CR27" s="84">
        <f t="shared" si="29"/>
        <v>0</v>
      </c>
      <c r="CU27" s="1282" t="b">
        <f t="shared" si="30"/>
        <v>0</v>
      </c>
      <c r="CV27" s="1282" t="b">
        <f t="shared" si="31"/>
        <v>0</v>
      </c>
      <c r="CX27" s="84">
        <f t="shared" si="32"/>
        <v>0</v>
      </c>
    </row>
    <row r="28" spans="1:104" ht="18">
      <c r="A28" s="6159">
        <v>20</v>
      </c>
      <c r="B28" s="1273"/>
      <c r="C28" s="1273"/>
      <c r="D28" s="1273"/>
      <c r="E28" s="7510"/>
      <c r="F28" s="7510"/>
      <c r="G28" s="7510"/>
      <c r="H28" s="7510"/>
      <c r="I28" s="7511"/>
      <c r="J28" s="7510"/>
      <c r="K28" s="7510"/>
      <c r="L28" s="7512"/>
      <c r="M28" s="7513" t="str">
        <f t="shared" si="0"/>
        <v/>
      </c>
      <c r="N28" s="7514"/>
      <c r="O28" s="7514"/>
      <c r="P28" s="7514"/>
      <c r="Q28" s="7514"/>
      <c r="R28" s="7515"/>
      <c r="S28" s="7516"/>
      <c r="T28" s="7517"/>
      <c r="U28" s="7517"/>
      <c r="V28" s="7517"/>
      <c r="W28" s="7517"/>
      <c r="X28" s="7518"/>
      <c r="Y28" s="1034"/>
      <c r="Z28" s="276"/>
      <c r="AA28" s="1035"/>
      <c r="AB28" s="1034"/>
      <c r="AC28" s="276"/>
      <c r="AD28" s="1036"/>
      <c r="AE28" s="1034"/>
      <c r="AF28" s="276"/>
      <c r="AG28" s="1035"/>
      <c r="AH28" s="1034"/>
      <c r="AI28" s="276"/>
      <c r="AJ28" s="1036"/>
      <c r="AK28" s="7519"/>
      <c r="AL28" s="7520"/>
      <c r="AM28" s="7520"/>
      <c r="AN28" s="7520"/>
      <c r="AO28" s="7520"/>
      <c r="AP28" s="7521"/>
      <c r="AQ28" s="1275" t="str">
        <f t="shared" si="1"/>
        <v/>
      </c>
      <c r="AR28" s="6161"/>
      <c r="AS28" s="276"/>
      <c r="AT28" s="1036"/>
      <c r="AU28" s="1034"/>
      <c r="AV28" s="276"/>
      <c r="AW28" s="1036"/>
      <c r="AX28" s="1034"/>
      <c r="AY28" s="276"/>
      <c r="AZ28" s="1036"/>
      <c r="BA28" s="6183"/>
      <c r="BB28" s="1846" t="str">
        <f t="shared" si="2"/>
        <v/>
      </c>
      <c r="BC28" s="6184"/>
      <c r="BD28" s="6176"/>
      <c r="BE28" s="6149"/>
      <c r="BF28" s="1275"/>
      <c r="BG28" s="1034"/>
      <c r="BH28" s="276"/>
      <c r="BI28" s="1036"/>
      <c r="BJ28" s="6183"/>
      <c r="BK28" s="1846" t="str">
        <f t="shared" si="3"/>
        <v/>
      </c>
      <c r="BL28" s="6189"/>
      <c r="BM28" s="1277"/>
      <c r="BN28" s="5973" t="str">
        <f t="shared" si="4"/>
        <v/>
      </c>
      <c r="BO28" s="1"/>
      <c r="BP28" s="1"/>
      <c r="BQ28" s="84" t="b">
        <f t="shared" si="5"/>
        <v>0</v>
      </c>
      <c r="BR28" s="1"/>
      <c r="BS28" s="84" t="str">
        <f t="shared" si="6"/>
        <v/>
      </c>
      <c r="BT28" s="84" t="str">
        <f t="shared" si="33"/>
        <v/>
      </c>
      <c r="BU28" s="1282" t="b">
        <f t="shared" si="7"/>
        <v>1</v>
      </c>
      <c r="BV28" s="1282" t="b">
        <f t="shared" si="8"/>
        <v>0</v>
      </c>
      <c r="BW28" s="84" t="b">
        <f t="shared" si="9"/>
        <v>0</v>
      </c>
      <c r="BX28" s="3615" t="b">
        <f t="shared" si="10"/>
        <v>0</v>
      </c>
      <c r="BY28" s="1282" t="b">
        <f t="shared" si="11"/>
        <v>0</v>
      </c>
      <c r="BZ28" s="5960" t="b">
        <f t="shared" si="12"/>
        <v>0</v>
      </c>
      <c r="CA28" s="5957" t="b">
        <f t="shared" si="13"/>
        <v>0</v>
      </c>
      <c r="CB28" s="5957" t="b">
        <f t="shared" si="14"/>
        <v>0</v>
      </c>
      <c r="CC28" s="5957" t="b">
        <f t="shared" si="15"/>
        <v>0</v>
      </c>
      <c r="CD28" s="5957" t="b">
        <f t="shared" si="16"/>
        <v>1</v>
      </c>
      <c r="CE28" s="5957" t="b">
        <f t="shared" si="17"/>
        <v>0</v>
      </c>
      <c r="CF28" s="5957" t="b">
        <f t="shared" si="18"/>
        <v>0</v>
      </c>
      <c r="CG28" s="6156" t="b">
        <f t="shared" si="19"/>
        <v>0</v>
      </c>
      <c r="CH28" s="5960" t="b">
        <f t="shared" si="20"/>
        <v>0</v>
      </c>
      <c r="CI28" s="5960" t="b">
        <f t="shared" si="21"/>
        <v>0</v>
      </c>
      <c r="CJ28" s="6141" t="b">
        <f t="shared" si="22"/>
        <v>0</v>
      </c>
      <c r="CK28" s="6151" t="b">
        <f t="shared" si="23"/>
        <v>0</v>
      </c>
      <c r="CL28" s="5979" t="b">
        <f t="shared" si="24"/>
        <v>0</v>
      </c>
      <c r="CM28" s="5983" t="b">
        <f t="shared" si="25"/>
        <v>0</v>
      </c>
      <c r="CN28" s="84"/>
      <c r="CO28" s="84">
        <f t="shared" si="26"/>
        <v>0</v>
      </c>
      <c r="CP28" s="84">
        <f t="shared" si="27"/>
        <v>0</v>
      </c>
      <c r="CQ28" s="84">
        <f t="shared" si="28"/>
        <v>0</v>
      </c>
      <c r="CR28" s="84">
        <f t="shared" si="29"/>
        <v>0</v>
      </c>
      <c r="CU28" s="1282" t="b">
        <f t="shared" si="30"/>
        <v>0</v>
      </c>
      <c r="CV28" s="1282" t="b">
        <f t="shared" si="31"/>
        <v>0</v>
      </c>
      <c r="CX28" s="84">
        <f t="shared" si="32"/>
        <v>0</v>
      </c>
    </row>
    <row r="29" spans="1:104" ht="18">
      <c r="A29" s="6159">
        <v>21</v>
      </c>
      <c r="B29" s="1273"/>
      <c r="C29" s="1273"/>
      <c r="D29" s="1273"/>
      <c r="E29" s="7510"/>
      <c r="F29" s="7510"/>
      <c r="G29" s="7510"/>
      <c r="H29" s="7510"/>
      <c r="I29" s="7511"/>
      <c r="J29" s="7510"/>
      <c r="K29" s="7510"/>
      <c r="L29" s="7512"/>
      <c r="M29" s="7513" t="str">
        <f t="shared" si="0"/>
        <v/>
      </c>
      <c r="N29" s="7514"/>
      <c r="O29" s="7514"/>
      <c r="P29" s="7514"/>
      <c r="Q29" s="7514"/>
      <c r="R29" s="7515"/>
      <c r="S29" s="7516"/>
      <c r="T29" s="7517"/>
      <c r="U29" s="7517"/>
      <c r="V29" s="7517"/>
      <c r="W29" s="7517"/>
      <c r="X29" s="7518"/>
      <c r="Y29" s="1034"/>
      <c r="Z29" s="276"/>
      <c r="AA29" s="1035"/>
      <c r="AB29" s="1034"/>
      <c r="AC29" s="276"/>
      <c r="AD29" s="1036"/>
      <c r="AE29" s="1034"/>
      <c r="AF29" s="276"/>
      <c r="AG29" s="1035"/>
      <c r="AH29" s="1034"/>
      <c r="AI29" s="276"/>
      <c r="AJ29" s="1036"/>
      <c r="AK29" s="7519"/>
      <c r="AL29" s="7520"/>
      <c r="AM29" s="7520"/>
      <c r="AN29" s="7520"/>
      <c r="AO29" s="7520"/>
      <c r="AP29" s="7521"/>
      <c r="AQ29" s="1275" t="str">
        <f t="shared" si="1"/>
        <v/>
      </c>
      <c r="AR29" s="6161"/>
      <c r="AS29" s="276"/>
      <c r="AT29" s="1036"/>
      <c r="AU29" s="1034"/>
      <c r="AV29" s="276"/>
      <c r="AW29" s="1036"/>
      <c r="AX29" s="1034"/>
      <c r="AY29" s="276"/>
      <c r="AZ29" s="1036"/>
      <c r="BA29" s="6183"/>
      <c r="BB29" s="1846" t="str">
        <f t="shared" si="2"/>
        <v/>
      </c>
      <c r="BC29" s="6184"/>
      <c r="BD29" s="6176"/>
      <c r="BE29" s="6149"/>
      <c r="BF29" s="1275"/>
      <c r="BG29" s="1034"/>
      <c r="BH29" s="276"/>
      <c r="BI29" s="1036"/>
      <c r="BJ29" s="6183"/>
      <c r="BK29" s="1846" t="str">
        <f t="shared" si="3"/>
        <v/>
      </c>
      <c r="BL29" s="6189"/>
      <c r="BM29" s="1277"/>
      <c r="BN29" s="5973" t="str">
        <f t="shared" si="4"/>
        <v/>
      </c>
      <c r="BO29" s="1"/>
      <c r="BP29" s="1"/>
      <c r="BQ29" s="84" t="b">
        <f t="shared" si="5"/>
        <v>0</v>
      </c>
      <c r="BR29" s="1"/>
      <c r="BS29" s="84" t="str">
        <f t="shared" si="6"/>
        <v/>
      </c>
      <c r="BT29" s="84" t="str">
        <f t="shared" si="33"/>
        <v/>
      </c>
      <c r="BU29" s="1282" t="b">
        <f t="shared" si="7"/>
        <v>1</v>
      </c>
      <c r="BV29" s="1282" t="b">
        <f t="shared" si="8"/>
        <v>0</v>
      </c>
      <c r="BW29" s="84" t="b">
        <f t="shared" si="9"/>
        <v>0</v>
      </c>
      <c r="BX29" s="3615" t="b">
        <f t="shared" si="10"/>
        <v>0</v>
      </c>
      <c r="BY29" s="1282" t="b">
        <f t="shared" si="11"/>
        <v>0</v>
      </c>
      <c r="BZ29" s="5960" t="b">
        <f t="shared" si="12"/>
        <v>0</v>
      </c>
      <c r="CA29" s="5957" t="b">
        <f t="shared" si="13"/>
        <v>0</v>
      </c>
      <c r="CB29" s="5957" t="b">
        <f t="shared" si="14"/>
        <v>0</v>
      </c>
      <c r="CC29" s="5957" t="b">
        <f t="shared" si="15"/>
        <v>0</v>
      </c>
      <c r="CD29" s="5957" t="b">
        <f t="shared" si="16"/>
        <v>1</v>
      </c>
      <c r="CE29" s="5957" t="b">
        <f t="shared" si="17"/>
        <v>0</v>
      </c>
      <c r="CF29" s="5957" t="b">
        <f t="shared" si="18"/>
        <v>0</v>
      </c>
      <c r="CG29" s="6156" t="b">
        <f t="shared" si="19"/>
        <v>0</v>
      </c>
      <c r="CH29" s="5960" t="b">
        <f t="shared" si="20"/>
        <v>0</v>
      </c>
      <c r="CI29" s="5960" t="b">
        <f t="shared" si="21"/>
        <v>0</v>
      </c>
      <c r="CJ29" s="6141" t="b">
        <f t="shared" si="22"/>
        <v>0</v>
      </c>
      <c r="CK29" s="6151" t="b">
        <f t="shared" si="23"/>
        <v>0</v>
      </c>
      <c r="CL29" s="5979" t="b">
        <f t="shared" si="24"/>
        <v>0</v>
      </c>
      <c r="CM29" s="5983" t="b">
        <f t="shared" si="25"/>
        <v>0</v>
      </c>
      <c r="CN29" s="84"/>
      <c r="CO29" s="84">
        <f t="shared" si="26"/>
        <v>0</v>
      </c>
      <c r="CP29" s="84">
        <f t="shared" si="27"/>
        <v>0</v>
      </c>
      <c r="CQ29" s="84">
        <f t="shared" si="28"/>
        <v>0</v>
      </c>
      <c r="CR29" s="84">
        <f t="shared" si="29"/>
        <v>0</v>
      </c>
      <c r="CU29" s="1282" t="b">
        <f t="shared" si="30"/>
        <v>0</v>
      </c>
      <c r="CV29" s="1282" t="b">
        <f t="shared" si="31"/>
        <v>0</v>
      </c>
      <c r="CX29" s="84">
        <f t="shared" si="32"/>
        <v>0</v>
      </c>
    </row>
    <row r="30" spans="1:104" ht="18.75" thickBot="1">
      <c r="A30" s="6159">
        <v>22</v>
      </c>
      <c r="B30" s="7528"/>
      <c r="C30" s="7528"/>
      <c r="D30" s="1278"/>
      <c r="E30" s="7529"/>
      <c r="F30" s="7529"/>
      <c r="G30" s="7529"/>
      <c r="H30" s="7529"/>
      <c r="I30" s="7530"/>
      <c r="J30" s="7529"/>
      <c r="K30" s="7529"/>
      <c r="L30" s="7531"/>
      <c r="M30" s="7532" t="str">
        <f t="shared" si="0"/>
        <v/>
      </c>
      <c r="N30" s="7533"/>
      <c r="O30" s="7533"/>
      <c r="P30" s="7533"/>
      <c r="Q30" s="7533"/>
      <c r="R30" s="7534"/>
      <c r="S30" s="7535"/>
      <c r="T30" s="7536"/>
      <c r="U30" s="7536"/>
      <c r="V30" s="7536"/>
      <c r="W30" s="7536"/>
      <c r="X30" s="7537"/>
      <c r="Y30" s="1173"/>
      <c r="Z30" s="1172"/>
      <c r="AA30" s="1174"/>
      <c r="AB30" s="1173"/>
      <c r="AC30" s="1172"/>
      <c r="AD30" s="1175"/>
      <c r="AE30" s="1173"/>
      <c r="AF30" s="1172"/>
      <c r="AG30" s="1174"/>
      <c r="AH30" s="1173"/>
      <c r="AI30" s="1172"/>
      <c r="AJ30" s="1175"/>
      <c r="AK30" s="7538"/>
      <c r="AL30" s="7539"/>
      <c r="AM30" s="7539"/>
      <c r="AN30" s="7539"/>
      <c r="AO30" s="7539"/>
      <c r="AP30" s="7540"/>
      <c r="AQ30" s="1276" t="str">
        <f t="shared" si="1"/>
        <v/>
      </c>
      <c r="AR30" s="6162"/>
      <c r="AS30" s="1172"/>
      <c r="AT30" s="1175"/>
      <c r="AU30" s="1173"/>
      <c r="AV30" s="1172"/>
      <c r="AW30" s="1175"/>
      <c r="AX30" s="1173"/>
      <c r="AY30" s="1172"/>
      <c r="AZ30" s="1175"/>
      <c r="BA30" s="6185"/>
      <c r="BB30" s="6164" t="str">
        <f t="shared" si="2"/>
        <v/>
      </c>
      <c r="BC30" s="6186"/>
      <c r="BD30" s="6177"/>
      <c r="BE30" s="6150"/>
      <c r="BF30" s="1276"/>
      <c r="BG30" s="1173"/>
      <c r="BH30" s="1172"/>
      <c r="BI30" s="1175"/>
      <c r="BJ30" s="6185"/>
      <c r="BK30" s="6164" t="str">
        <f t="shared" si="3"/>
        <v/>
      </c>
      <c r="BL30" s="6190"/>
      <c r="BM30" s="1277"/>
      <c r="BN30" s="5973" t="str">
        <f t="shared" si="4"/>
        <v/>
      </c>
      <c r="BO30" s="1"/>
      <c r="BP30" s="1"/>
      <c r="BQ30" s="84" t="b">
        <f t="shared" si="5"/>
        <v>0</v>
      </c>
      <c r="BR30" s="1"/>
      <c r="BS30" s="84" t="str">
        <f t="shared" si="6"/>
        <v/>
      </c>
      <c r="BT30" s="84" t="str">
        <f t="shared" si="33"/>
        <v/>
      </c>
      <c r="BU30" s="1283" t="b">
        <f t="shared" si="7"/>
        <v>1</v>
      </c>
      <c r="BV30" s="1283" t="b">
        <f t="shared" si="8"/>
        <v>0</v>
      </c>
      <c r="BW30" s="84" t="b">
        <f t="shared" si="9"/>
        <v>0</v>
      </c>
      <c r="BX30" s="3615" t="b">
        <f t="shared" si="10"/>
        <v>0</v>
      </c>
      <c r="BY30" s="1283" t="b">
        <f t="shared" si="11"/>
        <v>0</v>
      </c>
      <c r="BZ30" s="5961" t="b">
        <f t="shared" si="12"/>
        <v>0</v>
      </c>
      <c r="CA30" s="5942" t="b">
        <f t="shared" si="13"/>
        <v>0</v>
      </c>
      <c r="CB30" s="5942" t="b">
        <f t="shared" si="14"/>
        <v>0</v>
      </c>
      <c r="CC30" s="5942" t="b">
        <f t="shared" si="15"/>
        <v>0</v>
      </c>
      <c r="CD30" s="5942" t="b">
        <f t="shared" si="16"/>
        <v>1</v>
      </c>
      <c r="CE30" s="5942" t="b">
        <f t="shared" si="17"/>
        <v>0</v>
      </c>
      <c r="CF30" s="5942" t="b">
        <f t="shared" si="18"/>
        <v>0</v>
      </c>
      <c r="CG30" s="6157" t="b">
        <f t="shared" si="19"/>
        <v>0</v>
      </c>
      <c r="CH30" s="5961" t="b">
        <f t="shared" si="20"/>
        <v>0</v>
      </c>
      <c r="CI30" s="5961" t="b">
        <f t="shared" si="21"/>
        <v>0</v>
      </c>
      <c r="CJ30" s="6140" t="b">
        <f t="shared" si="22"/>
        <v>0</v>
      </c>
      <c r="CK30" s="5981" t="b">
        <f t="shared" si="23"/>
        <v>0</v>
      </c>
      <c r="CL30" s="5984" t="b">
        <f t="shared" si="24"/>
        <v>0</v>
      </c>
      <c r="CM30" s="5986" t="b">
        <f t="shared" si="25"/>
        <v>0</v>
      </c>
      <c r="CN30" s="84"/>
      <c r="CO30" s="84">
        <f t="shared" si="26"/>
        <v>0</v>
      </c>
      <c r="CP30" s="84">
        <f t="shared" si="27"/>
        <v>0</v>
      </c>
      <c r="CQ30" s="84">
        <f t="shared" si="28"/>
        <v>0</v>
      </c>
      <c r="CR30" s="84">
        <f t="shared" si="29"/>
        <v>0</v>
      </c>
      <c r="CU30" s="1283" t="b">
        <f t="shared" si="30"/>
        <v>0</v>
      </c>
      <c r="CV30" s="1283" t="b">
        <f t="shared" si="31"/>
        <v>0</v>
      </c>
      <c r="CX30" s="84">
        <f t="shared" si="32"/>
        <v>0</v>
      </c>
    </row>
    <row r="31" spans="1:104" ht="34.5" customHeight="1" thickTop="1">
      <c r="A31" s="6142"/>
      <c r="B31" s="723"/>
      <c r="C31" s="723"/>
      <c r="D31" s="723"/>
      <c r="E31" s="723"/>
      <c r="F31" s="723"/>
      <c r="G31" s="723"/>
      <c r="H31" s="723"/>
      <c r="I31" s="723"/>
      <c r="J31" s="723"/>
      <c r="K31" s="723"/>
      <c r="L31" s="723"/>
      <c r="M31" s="723"/>
      <c r="N31" s="723"/>
      <c r="O31" s="723"/>
      <c r="P31" s="723"/>
      <c r="Q31" s="723"/>
      <c r="R31" s="723"/>
      <c r="S31" s="723"/>
      <c r="T31" s="723"/>
      <c r="U31" s="723"/>
      <c r="V31" s="723"/>
      <c r="W31" s="723"/>
      <c r="X31" s="723"/>
      <c r="Y31" s="723"/>
      <c r="Z31" s="723"/>
      <c r="AA31" s="723"/>
      <c r="AB31" s="723"/>
      <c r="AC31" s="723"/>
      <c r="AD31" s="723"/>
      <c r="AE31" s="723"/>
      <c r="AF31" s="723"/>
      <c r="AG31" s="723"/>
      <c r="AH31" s="723"/>
      <c r="AI31" s="723"/>
      <c r="AJ31" s="723"/>
      <c r="AK31" s="723"/>
      <c r="AL31" s="723"/>
      <c r="AM31" s="723"/>
      <c r="AN31" s="723"/>
      <c r="AO31" s="723"/>
      <c r="AP31" s="723"/>
      <c r="AQ31" s="723"/>
      <c r="AR31" s="723"/>
      <c r="AS31" s="723"/>
      <c r="AT31" s="723"/>
      <c r="AU31" s="723"/>
      <c r="AV31" s="723"/>
      <c r="AW31" s="723"/>
      <c r="AX31" s="723"/>
      <c r="AY31" s="723"/>
      <c r="AZ31" s="723"/>
      <c r="BA31" s="723"/>
      <c r="BB31" s="723"/>
      <c r="BC31" s="723"/>
      <c r="BD31" s="723"/>
      <c r="BE31" s="723"/>
      <c r="BF31" s="723"/>
      <c r="BG31" s="723"/>
      <c r="BH31" s="723"/>
      <c r="BI31" s="723"/>
      <c r="BJ31" s="723"/>
      <c r="BK31" s="723"/>
      <c r="BL31" s="723"/>
      <c r="BM31" s="723"/>
      <c r="BQ31" s="1421"/>
      <c r="BT31"/>
      <c r="BU31"/>
      <c r="BV31"/>
      <c r="BW31"/>
      <c r="BX31"/>
      <c r="BY31"/>
      <c r="CF31" s="6160" t="b">
        <f>OR(CF7:CF10,CF15:CF30)</f>
        <v>0</v>
      </c>
      <c r="CH31" s="6160" t="b">
        <f>OR(CH7:CH10,CH15:CH30)</f>
        <v>0</v>
      </c>
      <c r="CI31" s="6160" t="b">
        <f>OR(CI7:CI10,CI15:CI30)</f>
        <v>0</v>
      </c>
      <c r="CN31" s="1421"/>
      <c r="CO31" s="1421">
        <f>SUM(CO15:CO30)</f>
        <v>0</v>
      </c>
      <c r="CP31" s="1421">
        <f>SUM(CP15:CP30)</f>
        <v>0</v>
      </c>
      <c r="CQ31" s="1421">
        <f>SUM(CQ15:CQ30)</f>
        <v>0</v>
      </c>
      <c r="CR31" s="1421">
        <f>SUM(CR15:CR30)</f>
        <v>0</v>
      </c>
      <c r="CS31" s="84"/>
      <c r="CT31" s="84"/>
      <c r="CW31" s="84"/>
      <c r="CX31" s="1421">
        <f>SUM(CX15:CX30)</f>
        <v>0</v>
      </c>
      <c r="CY31" s="84"/>
      <c r="CZ31" s="1"/>
    </row>
    <row r="32" spans="1:104" ht="21.75" customHeight="1" thickBot="1">
      <c r="A32" s="416"/>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Y32" s="253"/>
      <c r="Z32" s="253"/>
      <c r="AA32" s="253"/>
      <c r="AB32" s="253"/>
      <c r="AC32" s="253"/>
      <c r="AD32" s="253"/>
      <c r="AE32" s="253"/>
      <c r="AF32" s="253"/>
      <c r="AG32" s="253"/>
      <c r="AH32" s="253"/>
      <c r="AI32" s="253"/>
      <c r="AJ32" s="253"/>
      <c r="AK32" s="253"/>
      <c r="AL32" s="253"/>
      <c r="AM32" s="253"/>
      <c r="AN32" s="253"/>
      <c r="AO32" s="253"/>
      <c r="AP32" s="253"/>
      <c r="AQ32" s="253"/>
      <c r="AR32" s="253"/>
      <c r="AS32" s="253"/>
      <c r="AT32" s="253"/>
      <c r="AU32" s="253"/>
      <c r="AV32" s="253"/>
      <c r="AW32" s="253"/>
      <c r="AX32" s="253"/>
      <c r="AY32" s="253"/>
      <c r="AZ32" s="253"/>
      <c r="BA32" s="253"/>
      <c r="BB32" s="253"/>
      <c r="BC32" s="253"/>
      <c r="BD32" s="253"/>
      <c r="BE32" s="253"/>
      <c r="BF32" s="253"/>
      <c r="BG32" s="253"/>
      <c r="BH32" s="253"/>
      <c r="BI32" s="253"/>
      <c r="BJ32" s="253"/>
      <c r="BK32" s="253"/>
      <c r="BL32" s="253"/>
      <c r="BM32" s="253"/>
      <c r="BN32" s="416"/>
      <c r="BO32" s="84"/>
      <c r="BP32" s="84"/>
      <c r="BQ32" s="84"/>
      <c r="BR32" s="84"/>
      <c r="BT32"/>
      <c r="BZ32" s="1279"/>
      <c r="CA32" s="1279"/>
      <c r="CB32" s="1279"/>
      <c r="CC32" s="1279"/>
      <c r="CD32" s="1279"/>
      <c r="CE32" s="1279"/>
      <c r="CF32" s="1279"/>
      <c r="CG32" s="1279"/>
      <c r="CH32" s="1279"/>
      <c r="CI32" s="1279"/>
      <c r="CJ32" s="1279"/>
      <c r="CK32" s="1279"/>
      <c r="CL32" s="1279"/>
      <c r="CM32" s="1279"/>
      <c r="CN32" s="84"/>
      <c r="CO32" s="1422"/>
      <c r="CP32" s="1422"/>
      <c r="CQ32" s="1422"/>
      <c r="CR32" s="1422"/>
      <c r="CS32" s="84"/>
      <c r="CU32" s="1279"/>
      <c r="CV32" s="1279"/>
      <c r="CW32" s="84"/>
    </row>
    <row r="33" spans="1:102" ht="24" thickTop="1">
      <c r="A33" s="416"/>
      <c r="B33" s="338"/>
      <c r="C33" s="5964" t="s">
        <v>5839</v>
      </c>
      <c r="D33" s="377"/>
      <c r="E33" s="377"/>
      <c r="F33" s="377"/>
      <c r="G33" s="377"/>
      <c r="H33" s="377"/>
      <c r="I33" s="377"/>
      <c r="J33" s="377"/>
      <c r="K33" s="377"/>
      <c r="L33" s="377"/>
      <c r="M33" s="377"/>
      <c r="N33" s="377"/>
      <c r="O33" s="377"/>
      <c r="P33" s="377"/>
      <c r="Q33" s="377"/>
      <c r="R33" s="377"/>
      <c r="S33" s="377"/>
      <c r="T33" s="377"/>
      <c r="U33" s="377"/>
      <c r="V33" s="377"/>
      <c r="W33" s="377"/>
      <c r="X33" s="377"/>
      <c r="Y33" s="377"/>
      <c r="Z33" s="377"/>
      <c r="AA33" s="377"/>
      <c r="AB33" s="377"/>
      <c r="AC33" s="377"/>
      <c r="AD33" s="377"/>
      <c r="AE33" s="377"/>
      <c r="AF33" s="377"/>
      <c r="AG33" s="377"/>
      <c r="AH33" s="377"/>
      <c r="AI33" s="377"/>
      <c r="AJ33" s="377"/>
      <c r="AK33" s="377"/>
      <c r="AL33" s="377"/>
      <c r="AM33" s="378"/>
      <c r="AN33" s="253"/>
      <c r="AO33" s="338"/>
      <c r="AP33" s="377"/>
      <c r="AQ33" s="377"/>
      <c r="AR33" s="377"/>
      <c r="AS33" s="377"/>
      <c r="AT33" s="377"/>
      <c r="AU33" s="377"/>
      <c r="AV33" s="7452" t="s">
        <v>6068</v>
      </c>
      <c r="AW33" s="7452"/>
      <c r="AX33" s="7452"/>
      <c r="AY33" s="7452"/>
      <c r="AZ33" s="7452"/>
      <c r="BA33" s="7452"/>
      <c r="BB33" s="7452"/>
      <c r="BC33" s="7452"/>
      <c r="BD33" s="7452"/>
      <c r="BE33" s="7452"/>
      <c r="BF33" s="7452"/>
      <c r="BG33" s="7452"/>
      <c r="BH33" s="7452"/>
      <c r="BI33" s="7452"/>
      <c r="BJ33" s="7452"/>
      <c r="BK33" s="7452"/>
      <c r="BL33" s="7452"/>
      <c r="BM33" s="7452"/>
      <c r="BN33" s="6172"/>
      <c r="BQ33" s="84"/>
      <c r="BT33" s="1252"/>
      <c r="BU33" s="1252"/>
      <c r="BV33" s="1252"/>
      <c r="BW33" s="1252"/>
      <c r="BX33" s="1252"/>
      <c r="BZ33" s="1279"/>
      <c r="CA33" s="1279"/>
      <c r="CB33" s="1279"/>
      <c r="CC33" s="1279"/>
      <c r="CD33" s="1279"/>
      <c r="CE33" s="1279"/>
      <c r="CF33" s="1279"/>
      <c r="CG33" s="1279"/>
      <c r="CH33" s="1279"/>
      <c r="CI33" s="1279"/>
      <c r="CJ33" s="1279"/>
      <c r="CK33" s="1279"/>
      <c r="CL33" s="1279"/>
      <c r="CM33" s="1279"/>
      <c r="CN33" s="84"/>
      <c r="CO33" s="1286">
        <f>SUM(CO11,CO31)</f>
        <v>0</v>
      </c>
      <c r="CP33" s="1286">
        <f>SUM(CP11,CP31)</f>
        <v>0</v>
      </c>
      <c r="CQ33" s="1286">
        <f>SUM(CQ11,CQ31)</f>
        <v>0</v>
      </c>
      <c r="CR33" s="1286">
        <f>SUM(CR11,CR31)</f>
        <v>0</v>
      </c>
      <c r="CS33" s="84"/>
      <c r="CU33" s="1279"/>
      <c r="CV33" s="1279"/>
      <c r="CW33" s="84"/>
      <c r="CX33" s="1286">
        <f>SUM(CX11,CX31)</f>
        <v>0</v>
      </c>
    </row>
    <row r="34" spans="1:102" ht="15">
      <c r="A34" s="416"/>
      <c r="B34" s="341"/>
      <c r="C34" s="5965"/>
      <c r="D34" s="253"/>
      <c r="E34" s="253"/>
      <c r="F34" s="253"/>
      <c r="G34" s="253"/>
      <c r="H34" s="253"/>
      <c r="I34" s="253"/>
      <c r="J34" s="253"/>
      <c r="K34" s="253"/>
      <c r="L34" s="253"/>
      <c r="M34" s="253"/>
      <c r="N34" s="253"/>
      <c r="O34" s="253"/>
      <c r="P34" s="253"/>
      <c r="Q34" s="253"/>
      <c r="R34" s="253"/>
      <c r="S34" s="253"/>
      <c r="T34" s="253"/>
      <c r="U34" s="253"/>
      <c r="V34" s="253"/>
      <c r="W34" s="253"/>
      <c r="X34" s="253"/>
      <c r="Y34" s="253"/>
      <c r="Z34" s="253"/>
      <c r="AA34" s="253"/>
      <c r="AB34" s="253"/>
      <c r="AC34" s="253"/>
      <c r="AD34" s="253"/>
      <c r="AE34" s="253"/>
      <c r="AF34" s="253"/>
      <c r="AG34" s="253"/>
      <c r="AH34" s="253"/>
      <c r="AI34" s="253"/>
      <c r="AJ34" s="253"/>
      <c r="AK34" s="253"/>
      <c r="AL34" s="253"/>
      <c r="AM34" s="379"/>
      <c r="AN34" s="253"/>
      <c r="AO34" s="341"/>
      <c r="AP34" s="253"/>
      <c r="AQ34" s="253"/>
      <c r="AR34" s="253"/>
      <c r="AS34" s="253"/>
      <c r="AT34" s="253"/>
      <c r="AU34" s="253"/>
      <c r="AV34" s="7453"/>
      <c r="AW34" s="7453"/>
      <c r="AX34" s="7453"/>
      <c r="AY34" s="7453"/>
      <c r="AZ34" s="7453"/>
      <c r="BA34" s="7453"/>
      <c r="BB34" s="7453"/>
      <c r="BC34" s="7453"/>
      <c r="BD34" s="7453"/>
      <c r="BE34" s="7453"/>
      <c r="BF34" s="7453"/>
      <c r="BG34" s="7453"/>
      <c r="BH34" s="7453"/>
      <c r="BI34" s="7453"/>
      <c r="BJ34" s="7453"/>
      <c r="BK34" s="7453"/>
      <c r="BL34" s="7453"/>
      <c r="BM34" s="7453"/>
      <c r="BN34" s="379"/>
      <c r="BQ34" s="84"/>
      <c r="BR34" s="84"/>
      <c r="BS34" s="1252"/>
      <c r="BT34" s="1252"/>
      <c r="BU34" s="1252"/>
      <c r="BV34" s="1252"/>
      <c r="BW34" s="1252"/>
      <c r="BZ34" s="1279"/>
      <c r="CA34" s="1279"/>
      <c r="CB34" s="1279"/>
      <c r="CC34" s="1279"/>
      <c r="CD34" s="1279"/>
      <c r="CE34" s="1279"/>
      <c r="CF34" s="1279"/>
      <c r="CG34" s="1279"/>
      <c r="CH34" s="1279"/>
      <c r="CI34" s="1279"/>
      <c r="CJ34" s="1279"/>
      <c r="CK34" s="1279"/>
      <c r="CL34" s="1279"/>
      <c r="CM34" s="1279"/>
      <c r="CN34" s="84"/>
      <c r="CO34" s="84"/>
      <c r="CP34" s="84"/>
      <c r="CQ34" s="84"/>
      <c r="CS34" s="84"/>
      <c r="CU34" s="1279"/>
      <c r="CV34" s="1279"/>
    </row>
    <row r="35" spans="1:102" ht="15.75">
      <c r="A35" s="416"/>
      <c r="B35" s="341"/>
      <c r="C35" s="5965" t="s">
        <v>5840</v>
      </c>
      <c r="D35" s="253"/>
      <c r="E35" s="253"/>
      <c r="F35" s="253"/>
      <c r="G35" s="253"/>
      <c r="H35" s="253"/>
      <c r="I35" s="253"/>
      <c r="J35" s="253"/>
      <c r="K35" s="253"/>
      <c r="L35" s="253"/>
      <c r="M35" s="253"/>
      <c r="N35" s="253"/>
      <c r="O35" s="253"/>
      <c r="P35" s="253"/>
      <c r="Q35" s="253"/>
      <c r="R35" s="253"/>
      <c r="S35" s="253"/>
      <c r="T35" s="253"/>
      <c r="U35" s="253"/>
      <c r="V35" s="253"/>
      <c r="W35" s="253"/>
      <c r="X35" s="253"/>
      <c r="Y35" s="253"/>
      <c r="Z35" s="253"/>
      <c r="AA35" s="253"/>
      <c r="AB35" s="253"/>
      <c r="AC35" s="253"/>
      <c r="AD35" s="253"/>
      <c r="AE35" s="253"/>
      <c r="AF35" s="253"/>
      <c r="AG35" s="253"/>
      <c r="AH35" s="253"/>
      <c r="AI35" s="253"/>
      <c r="AJ35" s="253"/>
      <c r="AK35" s="253"/>
      <c r="AL35" s="253"/>
      <c r="AM35" s="379"/>
      <c r="AN35" s="253"/>
      <c r="AO35" s="341"/>
      <c r="AP35" s="253"/>
      <c r="AQ35" s="253"/>
      <c r="AR35" s="253"/>
      <c r="AS35" s="253"/>
      <c r="AT35" s="253"/>
      <c r="AU35" s="253"/>
      <c r="AV35" s="253"/>
      <c r="AW35" s="253"/>
      <c r="AX35" s="253"/>
      <c r="AY35" s="253"/>
      <c r="AZ35" s="253"/>
      <c r="BA35" s="253"/>
      <c r="BB35" s="253"/>
      <c r="BC35" s="253"/>
      <c r="BD35" s="253"/>
      <c r="BE35" s="253"/>
      <c r="BF35" s="253"/>
      <c r="BG35" s="253"/>
      <c r="BH35" s="253"/>
      <c r="BI35" s="253"/>
      <c r="BJ35" s="253"/>
      <c r="BK35" s="253"/>
      <c r="BL35" s="253"/>
      <c r="BM35" s="253"/>
      <c r="BN35" s="379"/>
      <c r="BO35" s="1040"/>
      <c r="BP35" s="84"/>
      <c r="BQ35" s="1279"/>
      <c r="BR35" s="1279"/>
      <c r="BS35" s="1279"/>
      <c r="BT35" s="1279"/>
      <c r="BU35" s="1279"/>
      <c r="BV35" s="1279"/>
      <c r="BW35" s="1279"/>
      <c r="BX35" s="1279"/>
      <c r="BY35" s="1279"/>
      <c r="BZ35" s="1279"/>
      <c r="CA35" s="1279"/>
      <c r="CB35" s="1279"/>
      <c r="CC35" s="1279"/>
      <c r="CD35" s="1279"/>
      <c r="CE35" s="84"/>
      <c r="CL35" s="1279"/>
    </row>
    <row r="36" spans="1:102" ht="16.5" thickBot="1">
      <c r="A36" s="416"/>
      <c r="B36" s="341"/>
      <c r="C36" s="5966" t="s">
        <v>3145</v>
      </c>
      <c r="D36" s="5962" t="s">
        <v>5841</v>
      </c>
      <c r="E36" s="253"/>
      <c r="F36" s="253"/>
      <c r="G36" s="253"/>
      <c r="H36" s="253"/>
      <c r="I36" s="253"/>
      <c r="J36" s="253"/>
      <c r="K36" s="253"/>
      <c r="L36" s="253"/>
      <c r="M36" s="253"/>
      <c r="N36" s="253"/>
      <c r="O36" s="253"/>
      <c r="P36" s="253"/>
      <c r="Q36" s="253"/>
      <c r="R36" s="253"/>
      <c r="S36" s="253"/>
      <c r="T36" s="253"/>
      <c r="U36" s="253"/>
      <c r="V36" s="253"/>
      <c r="W36" s="253"/>
      <c r="X36" s="253"/>
      <c r="Y36" s="253"/>
      <c r="Z36" s="253"/>
      <c r="AA36" s="253"/>
      <c r="AB36" s="253"/>
      <c r="AC36" s="253"/>
      <c r="AD36" s="253"/>
      <c r="AE36" s="253"/>
      <c r="AF36" s="253"/>
      <c r="AG36" s="253"/>
      <c r="AH36" s="253"/>
      <c r="AI36" s="253"/>
      <c r="AJ36" s="253"/>
      <c r="AK36" s="253"/>
      <c r="AL36" s="253"/>
      <c r="AM36" s="379"/>
      <c r="AN36" s="253"/>
      <c r="AO36" s="341"/>
      <c r="AP36" s="253"/>
      <c r="AQ36" s="253"/>
      <c r="AR36" s="253"/>
      <c r="AS36" s="253"/>
      <c r="AT36" s="253"/>
      <c r="AU36" s="253"/>
      <c r="AV36" s="253"/>
      <c r="AW36" s="253"/>
      <c r="AX36" s="253"/>
      <c r="AY36" s="253"/>
      <c r="AZ36" s="253"/>
      <c r="BA36" s="253"/>
      <c r="BB36" s="253"/>
      <c r="BC36" s="253"/>
      <c r="BD36" s="253"/>
      <c r="BE36" s="6173" t="s">
        <v>1591</v>
      </c>
      <c r="BF36" s="817"/>
      <c r="BG36" s="3789" t="s">
        <v>771</v>
      </c>
      <c r="BH36" s="253"/>
      <c r="BI36" s="416"/>
      <c r="BJ36" s="253"/>
      <c r="BK36" s="253"/>
      <c r="BL36" s="416"/>
      <c r="BM36" s="416"/>
      <c r="BN36" s="417"/>
      <c r="BO36" s="84"/>
      <c r="BP36" s="84"/>
      <c r="BQ36" s="1279"/>
      <c r="BR36" s="1279"/>
      <c r="BS36" s="1279"/>
      <c r="BT36" s="1279"/>
      <c r="BU36" s="1279"/>
      <c r="BV36" s="1279"/>
      <c r="BW36" s="1279"/>
      <c r="BX36" s="1279"/>
      <c r="BY36" s="1279"/>
      <c r="BZ36" s="1279"/>
      <c r="CA36" s="1279"/>
      <c r="CB36" s="1279"/>
      <c r="CC36" s="1279"/>
      <c r="CD36" s="1279"/>
      <c r="CE36" s="84"/>
      <c r="CL36" s="1279"/>
    </row>
    <row r="37" spans="1:102" ht="16.5" thickBot="1">
      <c r="A37" s="416"/>
      <c r="B37" s="341"/>
      <c r="C37" s="5966" t="s">
        <v>3145</v>
      </c>
      <c r="D37" s="5962" t="s">
        <v>5842</v>
      </c>
      <c r="E37" s="253"/>
      <c r="F37" s="253"/>
      <c r="G37" s="253"/>
      <c r="H37" s="253"/>
      <c r="I37" s="253"/>
      <c r="J37" s="253"/>
      <c r="K37" s="253"/>
      <c r="L37" s="253"/>
      <c r="M37" s="253"/>
      <c r="N37" s="253"/>
      <c r="O37" s="253"/>
      <c r="P37" s="253"/>
      <c r="Q37" s="253"/>
      <c r="R37" s="253"/>
      <c r="S37" s="253"/>
      <c r="T37" s="253"/>
      <c r="U37" s="253"/>
      <c r="V37" s="253"/>
      <c r="W37" s="253"/>
      <c r="X37" s="253"/>
      <c r="Y37" s="253"/>
      <c r="Z37" s="253"/>
      <c r="AA37" s="253"/>
      <c r="AB37" s="253"/>
      <c r="AC37" s="253"/>
      <c r="AD37" s="253"/>
      <c r="AE37" s="253"/>
      <c r="AF37" s="253"/>
      <c r="AG37" s="253"/>
      <c r="AH37" s="253"/>
      <c r="AI37" s="253"/>
      <c r="AJ37" s="253"/>
      <c r="AK37" s="253"/>
      <c r="AL37" s="253"/>
      <c r="AM37" s="379"/>
      <c r="AN37" s="253"/>
      <c r="AO37" s="341"/>
      <c r="AP37" s="253"/>
      <c r="AQ37" s="253"/>
      <c r="AR37" s="253"/>
      <c r="AS37" s="253"/>
      <c r="AT37" s="253"/>
      <c r="AU37" s="253"/>
      <c r="AV37" s="253"/>
      <c r="AW37" s="253"/>
      <c r="AX37" s="253"/>
      <c r="AY37" s="253"/>
      <c r="AZ37" s="253"/>
      <c r="BA37" s="253"/>
      <c r="BB37" s="253"/>
      <c r="BC37" s="253"/>
      <c r="BD37" s="253"/>
      <c r="BE37" s="5361" t="s">
        <v>6041</v>
      </c>
      <c r="BF37" s="6165">
        <f>IF(BG37&lt;&gt;"",ROUND(BG37,0),CO33)</f>
        <v>0</v>
      </c>
      <c r="BG37" s="1423"/>
      <c r="BH37" s="253"/>
      <c r="BI37" s="416"/>
      <c r="BJ37" s="253"/>
      <c r="BK37" s="253"/>
      <c r="BL37" s="416"/>
      <c r="BM37" s="416"/>
      <c r="BN37" s="346" t="s">
        <v>6059</v>
      </c>
      <c r="BO37" s="84"/>
      <c r="BP37" s="84"/>
      <c r="BQ37" s="1279"/>
      <c r="BR37" s="1279"/>
      <c r="BS37" s="1279"/>
      <c r="BT37" s="1279"/>
      <c r="BU37" s="1279"/>
      <c r="BV37" s="1279"/>
      <c r="BW37" s="1279"/>
      <c r="BX37" s="1279"/>
      <c r="BY37" s="1279"/>
      <c r="BZ37" s="1279"/>
      <c r="CA37" s="1279"/>
      <c r="CB37" s="1279"/>
      <c r="CC37" s="1279"/>
      <c r="CD37" s="1279"/>
      <c r="CE37" s="84"/>
      <c r="CL37" s="1279"/>
    </row>
    <row r="38" spans="1:102" ht="16.5" thickBot="1">
      <c r="A38" s="416"/>
      <c r="B38" s="341"/>
      <c r="C38" s="5966" t="s">
        <v>3145</v>
      </c>
      <c r="D38" s="5962" t="s">
        <v>5843</v>
      </c>
      <c r="E38" s="253"/>
      <c r="F38" s="253"/>
      <c r="G38" s="253"/>
      <c r="H38" s="253"/>
      <c r="I38" s="253"/>
      <c r="J38" s="253"/>
      <c r="K38" s="253"/>
      <c r="L38" s="253"/>
      <c r="M38" s="253"/>
      <c r="N38" s="253"/>
      <c r="O38" s="253"/>
      <c r="P38" s="253"/>
      <c r="Q38" s="253"/>
      <c r="R38" s="253"/>
      <c r="S38" s="253"/>
      <c r="T38" s="253"/>
      <c r="U38" s="253"/>
      <c r="V38" s="253"/>
      <c r="W38" s="253"/>
      <c r="X38" s="253"/>
      <c r="Y38" s="253"/>
      <c r="Z38" s="253"/>
      <c r="AA38" s="253"/>
      <c r="AB38" s="253"/>
      <c r="AC38" s="253"/>
      <c r="AD38" s="253"/>
      <c r="AE38" s="253"/>
      <c r="AF38" s="253"/>
      <c r="AG38" s="253"/>
      <c r="AH38" s="253"/>
      <c r="AI38" s="253"/>
      <c r="AJ38" s="253"/>
      <c r="AK38" s="253"/>
      <c r="AL38" s="253"/>
      <c r="AM38" s="379"/>
      <c r="AN38" s="253"/>
      <c r="AO38" s="341"/>
      <c r="AP38" s="253"/>
      <c r="AQ38" s="253"/>
      <c r="AR38" s="253"/>
      <c r="AS38" s="253"/>
      <c r="AT38" s="253"/>
      <c r="AU38" s="253"/>
      <c r="AV38" s="253"/>
      <c r="AW38" s="253"/>
      <c r="AX38" s="253"/>
      <c r="AY38" s="253"/>
      <c r="AZ38" s="253"/>
      <c r="BA38" s="253"/>
      <c r="BB38" s="253"/>
      <c r="BC38" s="253"/>
      <c r="BD38" s="253"/>
      <c r="BE38" s="5361" t="s">
        <v>6047</v>
      </c>
      <c r="BF38" s="6165">
        <f>IF(BG38&lt;&gt;"",ROUND(BG38,0),CP33)</f>
        <v>0</v>
      </c>
      <c r="BG38" s="1423"/>
      <c r="BH38" s="6168"/>
      <c r="BI38" s="368"/>
      <c r="BJ38" s="6171"/>
      <c r="BK38" s="380"/>
      <c r="BL38" s="416"/>
      <c r="BM38" s="416"/>
      <c r="BN38" s="346" t="s">
        <v>6058</v>
      </c>
      <c r="BO38" s="84"/>
      <c r="BP38" s="84"/>
      <c r="BQ38" s="84"/>
      <c r="BR38" s="1279"/>
      <c r="BS38" s="1279"/>
      <c r="BT38" s="1279"/>
      <c r="BU38" s="1279"/>
      <c r="BV38" s="1279"/>
      <c r="BW38" s="1279"/>
      <c r="BX38" s="1279"/>
      <c r="BY38" s="1279"/>
      <c r="BZ38" s="1279"/>
      <c r="CA38" s="1279"/>
      <c r="CB38" s="1279"/>
      <c r="CC38" s="1279"/>
      <c r="CD38" s="1279"/>
      <c r="CE38" s="84"/>
      <c r="CL38" s="1279"/>
    </row>
    <row r="39" spans="1:102" ht="16.5" thickBot="1">
      <c r="A39" s="416"/>
      <c r="B39" s="341"/>
      <c r="C39" s="5966" t="s">
        <v>3145</v>
      </c>
      <c r="D39" s="5962" t="s">
        <v>5844</v>
      </c>
      <c r="E39" s="253"/>
      <c r="F39" s="253"/>
      <c r="G39" s="253"/>
      <c r="H39" s="253"/>
      <c r="I39" s="253"/>
      <c r="J39" s="253"/>
      <c r="K39" s="253"/>
      <c r="L39" s="253"/>
      <c r="M39" s="253"/>
      <c r="N39" s="253"/>
      <c r="O39" s="253"/>
      <c r="P39" s="253"/>
      <c r="Q39" s="253"/>
      <c r="R39" s="253"/>
      <c r="S39" s="253"/>
      <c r="T39" s="253"/>
      <c r="U39" s="253"/>
      <c r="V39" s="253"/>
      <c r="W39" s="253"/>
      <c r="X39" s="253"/>
      <c r="Y39" s="253"/>
      <c r="Z39" s="253"/>
      <c r="AA39" s="253"/>
      <c r="AB39" s="253"/>
      <c r="AC39" s="253"/>
      <c r="AD39" s="253"/>
      <c r="AE39" s="253"/>
      <c r="AF39" s="253"/>
      <c r="AG39" s="253"/>
      <c r="AH39" s="253"/>
      <c r="AI39" s="253"/>
      <c r="AJ39" s="253"/>
      <c r="AK39" s="253"/>
      <c r="AL39" s="253"/>
      <c r="AM39" s="379"/>
      <c r="AN39" s="253"/>
      <c r="AO39" s="341"/>
      <c r="AP39" s="253"/>
      <c r="AQ39" s="253"/>
      <c r="AR39" s="253"/>
      <c r="AS39" s="253"/>
      <c r="AT39" s="253"/>
      <c r="AU39" s="253"/>
      <c r="AV39" s="253"/>
      <c r="AW39" s="253"/>
      <c r="AX39" s="253"/>
      <c r="AY39" s="253"/>
      <c r="AZ39" s="253"/>
      <c r="BA39" s="253"/>
      <c r="BB39" s="253"/>
      <c r="BC39" s="253"/>
      <c r="BD39" s="253"/>
      <c r="BE39" s="253"/>
      <c r="BF39" s="253"/>
      <c r="BG39" s="253"/>
      <c r="BH39" s="253"/>
      <c r="BI39" s="253"/>
      <c r="BJ39" s="253"/>
      <c r="BK39" s="6166">
        <f>SUM(BF37:BF38)</f>
        <v>0</v>
      </c>
      <c r="BL39" s="3775" t="s">
        <v>6048</v>
      </c>
      <c r="BM39" s="253"/>
      <c r="BN39" s="417"/>
      <c r="BO39" s="84"/>
      <c r="BP39" s="84"/>
      <c r="BQ39" s="1279"/>
      <c r="BR39" s="1279"/>
      <c r="BS39" s="1279"/>
      <c r="BT39" s="1279"/>
      <c r="BU39" s="1279"/>
      <c r="BV39" s="1279"/>
      <c r="BW39" s="1279"/>
      <c r="BX39" s="1279"/>
      <c r="BY39" s="1279"/>
      <c r="BZ39" s="1279"/>
      <c r="CA39" s="1279"/>
      <c r="CB39" s="1279"/>
      <c r="CC39" s="1279"/>
      <c r="CD39" s="1279"/>
      <c r="CE39" s="84"/>
      <c r="CL39" s="1279"/>
      <c r="CM39" s="84"/>
    </row>
    <row r="40" spans="1:102" ht="15" customHeight="1">
      <c r="A40" s="416"/>
      <c r="B40" s="341"/>
      <c r="C40" s="5966" t="s">
        <v>3145</v>
      </c>
      <c r="D40" s="5969" t="s">
        <v>5856</v>
      </c>
      <c r="E40" s="253"/>
      <c r="F40" s="253"/>
      <c r="G40" s="253"/>
      <c r="H40" s="253"/>
      <c r="I40" s="253"/>
      <c r="J40" s="253"/>
      <c r="K40" s="253"/>
      <c r="L40" s="253"/>
      <c r="M40" s="253"/>
      <c r="N40" s="253"/>
      <c r="O40" s="253"/>
      <c r="P40" s="253"/>
      <c r="Q40" s="253"/>
      <c r="R40" s="253"/>
      <c r="S40" s="253"/>
      <c r="T40" s="253"/>
      <c r="U40" s="253"/>
      <c r="V40" s="253"/>
      <c r="W40" s="253"/>
      <c r="X40" s="253"/>
      <c r="Y40" s="253"/>
      <c r="Z40" s="253"/>
      <c r="AA40" s="253"/>
      <c r="AB40" s="253"/>
      <c r="AC40" s="253"/>
      <c r="AD40" s="253"/>
      <c r="AE40" s="253"/>
      <c r="AF40" s="253"/>
      <c r="AG40" s="253"/>
      <c r="AH40" s="253"/>
      <c r="AI40" s="253"/>
      <c r="AJ40" s="253"/>
      <c r="AK40" s="253"/>
      <c r="AL40" s="253"/>
      <c r="AM40" s="379"/>
      <c r="AN40" s="253"/>
      <c r="AO40" s="341"/>
      <c r="AP40" s="253"/>
      <c r="AQ40" s="253"/>
      <c r="AR40" s="253"/>
      <c r="AS40" s="253"/>
      <c r="AT40" s="253"/>
      <c r="AU40" s="253"/>
      <c r="AV40" s="253"/>
      <c r="AW40" s="253"/>
      <c r="AX40" s="253"/>
      <c r="AY40" s="253"/>
      <c r="AZ40" s="253"/>
      <c r="BA40" s="253"/>
      <c r="BB40" s="253"/>
      <c r="BC40" s="253"/>
      <c r="BD40" s="253"/>
      <c r="BE40" s="253"/>
      <c r="BF40" s="253"/>
      <c r="BG40" s="253"/>
      <c r="BH40" s="253"/>
      <c r="BI40" s="253"/>
      <c r="BJ40" s="253"/>
      <c r="BK40" s="344"/>
      <c r="BL40" s="416"/>
      <c r="BM40" s="416"/>
      <c r="BN40" s="346" t="s">
        <v>6057</v>
      </c>
      <c r="BO40" s="84"/>
      <c r="BP40" s="84"/>
      <c r="BQ40" s="1279"/>
      <c r="BR40" s="1279"/>
      <c r="BS40" s="1279"/>
      <c r="BT40" s="1279"/>
      <c r="BU40" s="1279"/>
      <c r="BV40" s="1279"/>
      <c r="BW40" s="1279"/>
      <c r="BX40" s="1279"/>
      <c r="BY40" s="1279"/>
      <c r="BZ40" s="1279"/>
      <c r="CA40" s="1279"/>
      <c r="CB40" s="1279"/>
      <c r="CC40" s="1279"/>
      <c r="CD40" s="1279"/>
      <c r="CL40" s="1279"/>
      <c r="CM40" s="84"/>
    </row>
    <row r="41" spans="1:102" ht="13.5" customHeight="1">
      <c r="A41" s="416"/>
      <c r="B41" s="341"/>
      <c r="C41" s="5962"/>
      <c r="D41" s="253"/>
      <c r="E41" s="253"/>
      <c r="F41" s="253"/>
      <c r="G41" s="253"/>
      <c r="H41" s="253"/>
      <c r="I41" s="253"/>
      <c r="J41" s="253"/>
      <c r="K41" s="253"/>
      <c r="L41" s="253"/>
      <c r="M41" s="253"/>
      <c r="N41" s="253"/>
      <c r="O41" s="253"/>
      <c r="P41" s="253"/>
      <c r="Q41" s="253"/>
      <c r="R41" s="253"/>
      <c r="S41" s="253"/>
      <c r="T41" s="253"/>
      <c r="U41" s="253"/>
      <c r="V41" s="253"/>
      <c r="W41" s="253"/>
      <c r="X41" s="253"/>
      <c r="Y41" s="253"/>
      <c r="Z41" s="253"/>
      <c r="AA41" s="253"/>
      <c r="AB41" s="253"/>
      <c r="AC41" s="253"/>
      <c r="AD41" s="253"/>
      <c r="AE41" s="253"/>
      <c r="AF41" s="253"/>
      <c r="AG41" s="253"/>
      <c r="AH41" s="253"/>
      <c r="AI41" s="253"/>
      <c r="AJ41" s="253"/>
      <c r="AK41" s="253"/>
      <c r="AL41" s="253"/>
      <c r="AM41" s="379"/>
      <c r="AN41" s="253"/>
      <c r="AO41" s="341"/>
      <c r="AP41" s="253"/>
      <c r="AQ41" s="253"/>
      <c r="AR41" s="253"/>
      <c r="AS41" s="253"/>
      <c r="AT41" s="253"/>
      <c r="AU41" s="253"/>
      <c r="AV41" s="253"/>
      <c r="AW41" s="253"/>
      <c r="AX41" s="253"/>
      <c r="AY41" s="253"/>
      <c r="AZ41" s="253"/>
      <c r="BA41" s="253"/>
      <c r="BB41" s="253"/>
      <c r="BC41" s="253"/>
      <c r="BD41" s="253"/>
      <c r="BE41" s="253"/>
      <c r="BF41" s="253"/>
      <c r="BG41" s="253"/>
      <c r="BH41" s="253"/>
      <c r="BI41" s="253"/>
      <c r="BJ41" s="253"/>
      <c r="BK41" s="253"/>
      <c r="BL41" s="416"/>
      <c r="BM41" s="416"/>
      <c r="BN41" s="417"/>
      <c r="BO41" s="84"/>
      <c r="BP41" s="84"/>
      <c r="BQ41" s="1279"/>
      <c r="BR41" s="1279"/>
      <c r="BS41" s="1279"/>
      <c r="BT41" s="1279"/>
      <c r="BU41" s="1279"/>
      <c r="BV41" s="1279"/>
      <c r="BW41" s="1279"/>
      <c r="BX41" s="1279"/>
      <c r="BY41" s="1279"/>
      <c r="BZ41" s="1279"/>
      <c r="CA41" s="1279"/>
      <c r="CB41" s="1279"/>
      <c r="CC41" s="1279"/>
      <c r="CD41" s="1279"/>
      <c r="CL41" s="1279"/>
      <c r="CM41" s="84"/>
    </row>
    <row r="42" spans="1:102" ht="18.75" thickBot="1">
      <c r="A42" s="416"/>
      <c r="B42" s="341"/>
      <c r="C42" s="5967" t="s">
        <v>5845</v>
      </c>
      <c r="D42" s="253"/>
      <c r="E42" s="253"/>
      <c r="F42" s="253"/>
      <c r="G42" s="253"/>
      <c r="H42" s="253"/>
      <c r="I42" s="253"/>
      <c r="J42" s="253"/>
      <c r="K42" s="253"/>
      <c r="L42" s="253"/>
      <c r="M42" s="253"/>
      <c r="N42" s="253"/>
      <c r="O42" s="253"/>
      <c r="P42" s="253"/>
      <c r="Q42" s="253"/>
      <c r="R42" s="253"/>
      <c r="S42" s="253"/>
      <c r="T42" s="253"/>
      <c r="U42" s="253"/>
      <c r="V42" s="253"/>
      <c r="W42" s="253"/>
      <c r="X42" s="253"/>
      <c r="Y42" s="253"/>
      <c r="Z42" s="253"/>
      <c r="AA42" s="253"/>
      <c r="AB42" s="253"/>
      <c r="AC42" s="253"/>
      <c r="AD42" s="253"/>
      <c r="AE42" s="253"/>
      <c r="AF42" s="253"/>
      <c r="AG42" s="253"/>
      <c r="AH42" s="253"/>
      <c r="AI42" s="253"/>
      <c r="AJ42" s="253"/>
      <c r="AK42" s="253"/>
      <c r="AL42" s="253"/>
      <c r="AM42" s="379"/>
      <c r="AN42" s="253"/>
      <c r="AO42" s="341"/>
      <c r="AP42" s="253"/>
      <c r="AQ42" s="253"/>
      <c r="AR42" s="253"/>
      <c r="AS42" s="253"/>
      <c r="AT42" s="253"/>
      <c r="AU42" s="253"/>
      <c r="AV42" s="253"/>
      <c r="AW42" s="253"/>
      <c r="AX42" s="253"/>
      <c r="AY42" s="253"/>
      <c r="AZ42" s="253"/>
      <c r="BA42" s="253"/>
      <c r="BB42" s="253"/>
      <c r="BC42" s="253"/>
      <c r="BD42" s="253"/>
      <c r="BE42" s="6173" t="s">
        <v>6005</v>
      </c>
      <c r="BF42" s="1401"/>
      <c r="BG42" s="3789" t="s">
        <v>771</v>
      </c>
      <c r="BH42" s="253"/>
      <c r="BI42" s="253"/>
      <c r="BJ42" s="253"/>
      <c r="BK42" s="416"/>
      <c r="BL42" s="416"/>
      <c r="BM42" s="416"/>
      <c r="BN42" s="417"/>
      <c r="BO42" s="84"/>
      <c r="BP42" s="84"/>
      <c r="BQ42" s="1279"/>
      <c r="BR42" s="1279"/>
      <c r="BS42" s="1279"/>
      <c r="BT42" s="1279"/>
      <c r="BU42" s="1279"/>
      <c r="BV42" s="1279"/>
      <c r="BW42" s="1279"/>
      <c r="BX42" s="1279"/>
      <c r="BY42" s="1279"/>
      <c r="BZ42" s="1279"/>
      <c r="CA42" s="1279"/>
      <c r="CB42" s="1279"/>
      <c r="CC42" s="1279"/>
      <c r="CD42" s="1279"/>
      <c r="CL42" s="1279"/>
      <c r="CM42" s="84"/>
    </row>
    <row r="43" spans="1:102" ht="16.5" thickBot="1">
      <c r="A43" s="416"/>
      <c r="B43" s="341"/>
      <c r="C43" s="5965" t="s">
        <v>5846</v>
      </c>
      <c r="D43" s="253"/>
      <c r="E43" s="253"/>
      <c r="F43" s="253"/>
      <c r="G43" s="253"/>
      <c r="H43" s="253"/>
      <c r="I43" s="253"/>
      <c r="J43" s="253"/>
      <c r="K43" s="253"/>
      <c r="L43" s="253"/>
      <c r="M43" s="253"/>
      <c r="N43" s="253"/>
      <c r="O43" s="253"/>
      <c r="P43" s="253"/>
      <c r="Q43" s="253"/>
      <c r="R43" s="253"/>
      <c r="S43" s="253"/>
      <c r="T43" s="253"/>
      <c r="U43" s="253"/>
      <c r="V43" s="253"/>
      <c r="W43" s="253"/>
      <c r="X43" s="253"/>
      <c r="Y43" s="253"/>
      <c r="Z43" s="253"/>
      <c r="AA43" s="253"/>
      <c r="AB43" s="253"/>
      <c r="AC43" s="253"/>
      <c r="AD43" s="253"/>
      <c r="AE43" s="253"/>
      <c r="AF43" s="253"/>
      <c r="AG43" s="253"/>
      <c r="AH43" s="253"/>
      <c r="AI43" s="253"/>
      <c r="AJ43" s="253"/>
      <c r="AK43" s="253"/>
      <c r="AL43" s="253"/>
      <c r="AM43" s="379"/>
      <c r="AN43" s="253"/>
      <c r="AO43" s="341"/>
      <c r="AP43" s="253"/>
      <c r="AQ43" s="253"/>
      <c r="AR43" s="253"/>
      <c r="AS43" s="253"/>
      <c r="AT43" s="253"/>
      <c r="AU43" s="253"/>
      <c r="AV43" s="253"/>
      <c r="AW43" s="253"/>
      <c r="AX43" s="253"/>
      <c r="AY43" s="253"/>
      <c r="AZ43" s="253"/>
      <c r="BA43" s="253"/>
      <c r="BB43" s="253"/>
      <c r="BC43" s="253"/>
      <c r="BD43" s="253"/>
      <c r="BE43" s="6174" t="s">
        <v>6061</v>
      </c>
      <c r="BF43" s="6165">
        <f>IF(BG43&lt;&gt;"",ROUND(BG43,0),CQ33)</f>
        <v>0</v>
      </c>
      <c r="BG43" s="1423"/>
      <c r="BH43" s="253"/>
      <c r="BI43" s="253"/>
      <c r="BJ43" s="253"/>
      <c r="BK43" s="416"/>
      <c r="BL43" s="416"/>
      <c r="BM43" s="416"/>
      <c r="BN43" s="346" t="s">
        <v>6058</v>
      </c>
      <c r="BO43" s="84"/>
      <c r="BP43" s="84"/>
      <c r="BQ43" s="1279"/>
      <c r="BR43" s="1279"/>
      <c r="BS43" s="1279"/>
      <c r="BT43" s="1279"/>
      <c r="BU43" s="1279"/>
      <c r="BV43" s="1279"/>
      <c r="BW43" s="1279"/>
      <c r="BX43" s="1279"/>
      <c r="BY43" s="1279"/>
      <c r="BZ43" s="1279"/>
      <c r="CA43" s="1279"/>
      <c r="CB43" s="1279"/>
      <c r="CC43" s="1279"/>
      <c r="CD43" s="1279"/>
      <c r="CL43" s="1279"/>
      <c r="CM43" s="84"/>
    </row>
    <row r="44" spans="1:102" ht="16.5" thickBot="1">
      <c r="A44" s="416"/>
      <c r="B44" s="341"/>
      <c r="C44" s="5968" t="s">
        <v>3145</v>
      </c>
      <c r="D44" s="1323" t="s">
        <v>6052</v>
      </c>
      <c r="E44" s="253"/>
      <c r="F44" s="253"/>
      <c r="G44" s="253"/>
      <c r="H44" s="253"/>
      <c r="I44" s="253"/>
      <c r="J44" s="253"/>
      <c r="K44" s="253"/>
      <c r="L44" s="253"/>
      <c r="M44" s="253"/>
      <c r="N44" s="253"/>
      <c r="O44" s="253"/>
      <c r="P44" s="253"/>
      <c r="Q44" s="253"/>
      <c r="R44" s="253"/>
      <c r="S44" s="253"/>
      <c r="T44" s="253"/>
      <c r="U44" s="253"/>
      <c r="V44" s="253"/>
      <c r="W44" s="253"/>
      <c r="X44" s="253"/>
      <c r="Y44" s="253"/>
      <c r="Z44" s="253"/>
      <c r="AA44" s="253"/>
      <c r="AB44" s="253"/>
      <c r="AC44" s="253"/>
      <c r="AD44" s="253"/>
      <c r="AE44" s="253"/>
      <c r="AF44" s="253"/>
      <c r="AG44" s="253"/>
      <c r="AH44" s="253"/>
      <c r="AI44" s="253"/>
      <c r="AJ44" s="253"/>
      <c r="AK44" s="253"/>
      <c r="AL44" s="253"/>
      <c r="AM44" s="379"/>
      <c r="AN44" s="253"/>
      <c r="AO44" s="341"/>
      <c r="AP44" s="253"/>
      <c r="AQ44" s="253"/>
      <c r="AR44" s="253"/>
      <c r="AS44" s="253"/>
      <c r="AT44" s="253"/>
      <c r="AU44" s="253"/>
      <c r="AV44" s="253"/>
      <c r="AW44" s="253"/>
      <c r="AX44" s="253"/>
      <c r="AY44" s="253"/>
      <c r="AZ44" s="253"/>
      <c r="BA44" s="253"/>
      <c r="BB44" s="253"/>
      <c r="BC44" s="253"/>
      <c r="BD44" s="253"/>
      <c r="BE44" s="253"/>
      <c r="BF44" s="253"/>
      <c r="BG44" s="253"/>
      <c r="BH44" s="253"/>
      <c r="BI44" s="407"/>
      <c r="BJ44" s="253"/>
      <c r="BK44" s="416"/>
      <c r="BL44" s="416"/>
      <c r="BM44" s="416"/>
      <c r="BN44" s="417"/>
      <c r="BO44" s="84"/>
      <c r="BP44" s="84"/>
      <c r="BQ44" s="1279"/>
      <c r="BR44" s="1279"/>
      <c r="BS44" s="1279"/>
      <c r="BT44" s="1279"/>
      <c r="BU44" s="1279"/>
      <c r="BV44" s="1279"/>
      <c r="BW44" s="1279"/>
      <c r="BX44" s="1279"/>
      <c r="BY44" s="1279"/>
      <c r="BZ44" s="1279"/>
      <c r="CA44" s="1279"/>
      <c r="CB44" s="1279"/>
      <c r="CC44" s="1279"/>
      <c r="CD44" s="1279"/>
      <c r="CL44" s="1279"/>
      <c r="CM44" s="84"/>
    </row>
    <row r="45" spans="1:102" ht="16.5" thickBot="1">
      <c r="A45" s="416"/>
      <c r="B45" s="341"/>
      <c r="C45" s="5968"/>
      <c r="D45" s="1323"/>
      <c r="E45" s="1323" t="s">
        <v>6053</v>
      </c>
      <c r="F45" s="253"/>
      <c r="G45" s="253"/>
      <c r="H45" s="253"/>
      <c r="I45" s="253"/>
      <c r="J45" s="253"/>
      <c r="K45" s="253"/>
      <c r="L45" s="253"/>
      <c r="M45" s="253"/>
      <c r="N45" s="253"/>
      <c r="O45" s="253"/>
      <c r="P45" s="253"/>
      <c r="Q45" s="253"/>
      <c r="R45" s="253"/>
      <c r="S45" s="253"/>
      <c r="T45" s="253"/>
      <c r="U45" s="253"/>
      <c r="V45" s="253"/>
      <c r="W45" s="253"/>
      <c r="X45" s="253"/>
      <c r="Y45" s="253"/>
      <c r="Z45" s="253"/>
      <c r="AA45" s="253"/>
      <c r="AB45" s="253"/>
      <c r="AC45" s="253"/>
      <c r="AD45" s="253"/>
      <c r="AE45" s="253"/>
      <c r="AF45" s="253"/>
      <c r="AG45" s="253"/>
      <c r="AH45" s="253"/>
      <c r="AI45" s="253"/>
      <c r="AJ45" s="253"/>
      <c r="AK45" s="253"/>
      <c r="AL45" s="253"/>
      <c r="AM45" s="379"/>
      <c r="AN45" s="253"/>
      <c r="AO45" s="341"/>
      <c r="AP45" s="253"/>
      <c r="AQ45" s="253"/>
      <c r="AR45" s="253"/>
      <c r="AS45" s="253"/>
      <c r="AT45" s="253"/>
      <c r="AU45" s="253"/>
      <c r="AV45" s="253"/>
      <c r="AW45" s="253"/>
      <c r="AX45" s="253"/>
      <c r="AY45" s="253"/>
      <c r="AZ45" s="253"/>
      <c r="BA45" s="253"/>
      <c r="BB45" s="253"/>
      <c r="BC45" s="253"/>
      <c r="BD45" s="253"/>
      <c r="BE45" s="253"/>
      <c r="BF45" s="253"/>
      <c r="BG45" s="416"/>
      <c r="BH45" s="253"/>
      <c r="BI45" s="409"/>
      <c r="BJ45" s="6167"/>
      <c r="BK45" s="6166">
        <f>SUM(BF43,DependOther)</f>
        <v>0</v>
      </c>
      <c r="BL45" s="3775" t="s">
        <v>6049</v>
      </c>
      <c r="BM45" s="416"/>
      <c r="BN45" s="417"/>
      <c r="BO45" s="84"/>
      <c r="BP45" s="84"/>
      <c r="BQ45" s="1279"/>
      <c r="BR45" s="1279"/>
      <c r="BS45" s="1279"/>
      <c r="BT45" s="1279"/>
      <c r="BU45" s="1279"/>
      <c r="BV45" s="1279"/>
      <c r="BW45" s="1279"/>
      <c r="BX45" s="1279"/>
      <c r="BY45" s="1279"/>
      <c r="BZ45" s="1279"/>
      <c r="CA45" s="1279"/>
      <c r="CB45" s="1279"/>
      <c r="CC45" s="1279"/>
      <c r="CD45" s="1279"/>
      <c r="CL45" s="1279"/>
      <c r="CM45" s="84"/>
    </row>
    <row r="46" spans="1:102" ht="15.75">
      <c r="A46" s="416"/>
      <c r="B46" s="341"/>
      <c r="C46" s="5968" t="s">
        <v>3145</v>
      </c>
      <c r="D46" s="514" t="s">
        <v>5994</v>
      </c>
      <c r="E46" s="253"/>
      <c r="F46" s="1323" t="str">
        <f>"Be under age "&amp;CTC_AgeLimit&amp;" or under "&amp;CB4&amp;" if a full-time student, or any age if permanently and totally disabled"</f>
        <v>Be under age 17 or under 24 if a full-time student, or any age if permanently and totally disabled</v>
      </c>
      <c r="G46" s="253"/>
      <c r="H46" s="253"/>
      <c r="I46" s="253"/>
      <c r="J46" s="253"/>
      <c r="K46" s="253"/>
      <c r="L46" s="253"/>
      <c r="M46" s="253"/>
      <c r="N46" s="253"/>
      <c r="O46" s="253"/>
      <c r="P46" s="253"/>
      <c r="Q46" s="253"/>
      <c r="R46" s="253"/>
      <c r="S46" s="253"/>
      <c r="T46" s="253"/>
      <c r="U46" s="253"/>
      <c r="V46" s="253"/>
      <c r="W46" s="253"/>
      <c r="X46" s="253"/>
      <c r="Y46" s="253"/>
      <c r="Z46" s="253"/>
      <c r="AA46" s="253"/>
      <c r="AB46" s="253"/>
      <c r="AC46" s="253"/>
      <c r="AD46" s="253"/>
      <c r="AE46" s="253"/>
      <c r="AF46" s="253"/>
      <c r="AG46" s="253"/>
      <c r="AH46" s="253"/>
      <c r="AI46" s="253"/>
      <c r="AJ46" s="253"/>
      <c r="AK46" s="253"/>
      <c r="AL46" s="253"/>
      <c r="AM46" s="379"/>
      <c r="AN46" s="253"/>
      <c r="AO46" s="341"/>
      <c r="AP46" s="253"/>
      <c r="AQ46" s="253"/>
      <c r="AR46" s="253"/>
      <c r="AS46" s="253"/>
      <c r="AT46" s="253"/>
      <c r="AU46" s="253"/>
      <c r="AV46" s="253"/>
      <c r="AW46" s="253"/>
      <c r="AX46" s="253"/>
      <c r="AY46" s="253"/>
      <c r="AZ46" s="253"/>
      <c r="BA46" s="253"/>
      <c r="BB46" s="253"/>
      <c r="BC46" s="253"/>
      <c r="BD46" s="253"/>
      <c r="BE46" s="253"/>
      <c r="BF46" s="416"/>
      <c r="BG46" s="416"/>
      <c r="BH46" s="253"/>
      <c r="BI46" s="409"/>
      <c r="BJ46" s="253"/>
      <c r="BK46" s="344"/>
      <c r="BL46" s="416"/>
      <c r="BM46" s="416"/>
      <c r="BN46" s="346" t="s">
        <v>6057</v>
      </c>
      <c r="BO46" s="84"/>
      <c r="BP46" s="84"/>
      <c r="BT46"/>
      <c r="BV46"/>
      <c r="BW46"/>
      <c r="BX46"/>
      <c r="BY46"/>
      <c r="CM46" s="84"/>
    </row>
    <row r="47" spans="1:102" ht="16.5" thickBot="1">
      <c r="A47" s="416"/>
      <c r="B47" s="341"/>
      <c r="C47" s="5968" t="s">
        <v>3145</v>
      </c>
      <c r="D47" s="1323" t="s">
        <v>5850</v>
      </c>
      <c r="E47" s="253"/>
      <c r="F47" s="253"/>
      <c r="G47" s="253"/>
      <c r="H47" s="253"/>
      <c r="I47" s="253"/>
      <c r="J47" s="253"/>
      <c r="K47" s="253"/>
      <c r="L47" s="253"/>
      <c r="M47" s="253"/>
      <c r="N47" s="253"/>
      <c r="O47" s="253"/>
      <c r="P47" s="253"/>
      <c r="Q47" s="253"/>
      <c r="R47" s="253"/>
      <c r="S47" s="253"/>
      <c r="T47" s="253"/>
      <c r="U47" s="253"/>
      <c r="V47" s="253"/>
      <c r="W47" s="253"/>
      <c r="X47" s="253"/>
      <c r="Y47" s="253"/>
      <c r="Z47" s="253"/>
      <c r="AA47" s="253"/>
      <c r="AB47" s="253"/>
      <c r="AC47" s="253"/>
      <c r="AD47" s="253"/>
      <c r="AE47" s="253"/>
      <c r="AF47" s="253"/>
      <c r="AG47" s="253"/>
      <c r="AH47" s="253"/>
      <c r="AI47" s="253"/>
      <c r="AJ47" s="253"/>
      <c r="AK47" s="253"/>
      <c r="AL47" s="253"/>
      <c r="AM47" s="379"/>
      <c r="AN47" s="253"/>
      <c r="AO47" s="341"/>
      <c r="AP47" s="253"/>
      <c r="AQ47" s="253"/>
      <c r="AR47" s="253"/>
      <c r="AS47" s="253"/>
      <c r="AT47" s="253"/>
      <c r="AU47" s="253"/>
      <c r="AV47" s="253"/>
      <c r="AW47" s="253"/>
      <c r="AX47" s="253"/>
      <c r="AY47" s="253"/>
      <c r="AZ47" s="253"/>
      <c r="BA47" s="253"/>
      <c r="BB47" s="253"/>
      <c r="BC47" s="253"/>
      <c r="BD47" s="253"/>
      <c r="BE47" s="6173" t="s">
        <v>6030</v>
      </c>
      <c r="BF47" s="817"/>
      <c r="BG47" s="3789" t="s">
        <v>771</v>
      </c>
      <c r="BH47" s="253"/>
      <c r="BI47" s="414"/>
      <c r="BJ47" s="253"/>
      <c r="BK47" s="253"/>
      <c r="BL47" s="416"/>
      <c r="BM47" s="416"/>
      <c r="BN47" s="417"/>
      <c r="BO47" s="84"/>
      <c r="BP47" s="84"/>
      <c r="BT47"/>
      <c r="BV47"/>
      <c r="BW47"/>
      <c r="BX47"/>
      <c r="BY47"/>
      <c r="CJ47" s="84"/>
      <c r="CM47" s="84"/>
    </row>
    <row r="48" spans="1:102" ht="16.5" thickBot="1">
      <c r="A48" s="416"/>
      <c r="B48" s="341"/>
      <c r="C48" s="5968" t="s">
        <v>3145</v>
      </c>
      <c r="D48" s="1323" t="s">
        <v>5851</v>
      </c>
      <c r="E48" s="253"/>
      <c r="F48" s="253"/>
      <c r="G48" s="253"/>
      <c r="H48" s="253"/>
      <c r="I48" s="253"/>
      <c r="J48" s="253"/>
      <c r="K48" s="253"/>
      <c r="L48" s="253"/>
      <c r="M48" s="253"/>
      <c r="N48" s="253"/>
      <c r="O48" s="253"/>
      <c r="P48" s="253"/>
      <c r="Q48" s="253"/>
      <c r="R48" s="253"/>
      <c r="S48" s="253"/>
      <c r="T48" s="253"/>
      <c r="U48" s="253"/>
      <c r="V48" s="253"/>
      <c r="W48" s="253"/>
      <c r="X48" s="253"/>
      <c r="Y48" s="253"/>
      <c r="Z48" s="253"/>
      <c r="AA48" s="253"/>
      <c r="AB48" s="253"/>
      <c r="AC48" s="253"/>
      <c r="AD48" s="253"/>
      <c r="AE48" s="253"/>
      <c r="AF48" s="253"/>
      <c r="AG48" s="253"/>
      <c r="AH48" s="253"/>
      <c r="AI48" s="253"/>
      <c r="AJ48" s="253"/>
      <c r="AK48" s="253"/>
      <c r="AL48" s="253"/>
      <c r="AM48" s="379"/>
      <c r="AN48" s="253"/>
      <c r="AO48" s="341"/>
      <c r="AP48" s="253"/>
      <c r="AQ48" s="253"/>
      <c r="AR48" s="253"/>
      <c r="AS48" s="253"/>
      <c r="AT48" s="253"/>
      <c r="AU48" s="253"/>
      <c r="AV48" s="253"/>
      <c r="AW48" s="253"/>
      <c r="AX48" s="253"/>
      <c r="AY48" s="253"/>
      <c r="AZ48" s="253"/>
      <c r="BA48" s="253"/>
      <c r="BB48" s="253"/>
      <c r="BC48" s="253"/>
      <c r="BD48" s="253"/>
      <c r="BE48" s="6174" t="s">
        <v>6042</v>
      </c>
      <c r="BF48" s="6165">
        <f>IF(BG48&lt;&gt;"",ROUND(BG48,0),CR33)</f>
        <v>0</v>
      </c>
      <c r="BG48" s="1423"/>
      <c r="BH48" s="253"/>
      <c r="BI48" s="253"/>
      <c r="BJ48" s="253"/>
      <c r="BK48" s="253"/>
      <c r="BL48" s="416"/>
      <c r="BM48" s="416"/>
      <c r="BN48" s="417"/>
      <c r="BO48" s="84"/>
      <c r="BP48" s="84"/>
      <c r="BT48"/>
      <c r="BV48"/>
      <c r="BW48"/>
      <c r="BX48"/>
      <c r="BY48"/>
      <c r="CJ48" s="84"/>
      <c r="CM48" s="84"/>
    </row>
    <row r="49" spans="1:101" ht="15.75">
      <c r="A49" s="416"/>
      <c r="B49" s="341"/>
      <c r="C49" s="5968" t="s">
        <v>3145</v>
      </c>
      <c r="D49" s="1323" t="s">
        <v>5852</v>
      </c>
      <c r="E49" s="253"/>
      <c r="F49" s="253"/>
      <c r="G49" s="253"/>
      <c r="H49" s="253"/>
      <c r="I49" s="253"/>
      <c r="J49" s="253"/>
      <c r="K49" s="253"/>
      <c r="L49" s="253"/>
      <c r="M49" s="253"/>
      <c r="N49" s="253"/>
      <c r="O49" s="253"/>
      <c r="P49" s="253"/>
      <c r="Q49" s="253"/>
      <c r="R49" s="253"/>
      <c r="S49" s="253"/>
      <c r="T49" s="253"/>
      <c r="U49" s="253"/>
      <c r="V49" s="253"/>
      <c r="W49" s="253"/>
      <c r="X49" s="253"/>
      <c r="Y49" s="253"/>
      <c r="Z49" s="253"/>
      <c r="AA49" s="253"/>
      <c r="AB49" s="253"/>
      <c r="AC49" s="253"/>
      <c r="AD49" s="253"/>
      <c r="AE49" s="253"/>
      <c r="AF49" s="253"/>
      <c r="AG49" s="253"/>
      <c r="AH49" s="253"/>
      <c r="AI49" s="253"/>
      <c r="AJ49" s="253"/>
      <c r="AK49" s="253"/>
      <c r="AL49" s="253"/>
      <c r="AM49" s="379"/>
      <c r="AN49" s="253"/>
      <c r="AO49" s="341"/>
      <c r="AP49" s="253"/>
      <c r="AQ49" s="253"/>
      <c r="AR49" s="253"/>
      <c r="AS49" s="253"/>
      <c r="AT49" s="253"/>
      <c r="AU49" s="253"/>
      <c r="AV49" s="253"/>
      <c r="AW49" s="253"/>
      <c r="AX49" s="253"/>
      <c r="AY49" s="253"/>
      <c r="AZ49" s="253"/>
      <c r="BA49" s="253"/>
      <c r="BB49" s="253"/>
      <c r="BC49" s="253"/>
      <c r="BD49" s="253"/>
      <c r="BE49" s="6174"/>
      <c r="BF49" s="253"/>
      <c r="BG49" s="253"/>
      <c r="BH49" s="253"/>
      <c r="BI49" s="253"/>
      <c r="BJ49" s="253"/>
      <c r="BK49" s="253"/>
      <c r="BL49" s="416"/>
      <c r="BM49" s="416"/>
      <c r="BN49" s="417"/>
      <c r="BO49" s="84"/>
      <c r="BP49" s="84"/>
      <c r="BT49"/>
      <c r="BV49"/>
      <c r="BW49"/>
      <c r="BX49"/>
      <c r="BY49"/>
      <c r="CJ49" s="84"/>
      <c r="CM49" s="84"/>
    </row>
    <row r="50" spans="1:101" ht="13.5" thickBot="1">
      <c r="A50" s="416"/>
      <c r="B50" s="341"/>
      <c r="C50" s="253"/>
      <c r="D50" s="253"/>
      <c r="E50" s="253"/>
      <c r="F50" s="253"/>
      <c r="G50" s="253"/>
      <c r="H50" s="253"/>
      <c r="I50" s="253"/>
      <c r="J50" s="253"/>
      <c r="K50" s="253"/>
      <c r="L50" s="253"/>
      <c r="M50" s="253"/>
      <c r="N50" s="253"/>
      <c r="O50" s="253"/>
      <c r="P50" s="253"/>
      <c r="Q50" s="253"/>
      <c r="R50" s="253"/>
      <c r="S50" s="253"/>
      <c r="T50" s="253"/>
      <c r="U50" s="253"/>
      <c r="V50" s="253"/>
      <c r="W50" s="253"/>
      <c r="X50" s="253"/>
      <c r="Y50" s="253"/>
      <c r="Z50" s="253"/>
      <c r="AA50" s="253"/>
      <c r="AB50" s="253"/>
      <c r="AC50" s="253"/>
      <c r="AD50" s="253"/>
      <c r="AE50" s="253"/>
      <c r="AF50" s="253"/>
      <c r="AG50" s="253"/>
      <c r="AH50" s="253"/>
      <c r="AI50" s="253"/>
      <c r="AJ50" s="253"/>
      <c r="AK50" s="253"/>
      <c r="AL50" s="253"/>
      <c r="AM50" s="379"/>
      <c r="AN50" s="253"/>
      <c r="AO50" s="341"/>
      <c r="AP50" s="253"/>
      <c r="AQ50" s="253"/>
      <c r="AR50" s="253"/>
      <c r="AS50" s="253"/>
      <c r="AT50" s="253"/>
      <c r="AU50" s="253"/>
      <c r="AV50" s="253"/>
      <c r="AW50" s="253"/>
      <c r="AX50" s="253"/>
      <c r="AY50" s="253"/>
      <c r="AZ50" s="253"/>
      <c r="BA50" s="253"/>
      <c r="BB50" s="253"/>
      <c r="BC50" s="253"/>
      <c r="BD50" s="253"/>
      <c r="BE50" s="253"/>
      <c r="BF50" s="253"/>
      <c r="BG50" s="3789" t="s">
        <v>771</v>
      </c>
      <c r="BH50" s="253"/>
      <c r="BI50" s="253"/>
      <c r="BJ50" s="253"/>
      <c r="BK50" s="253"/>
      <c r="BL50" s="416"/>
      <c r="BM50" s="416"/>
      <c r="BN50" s="417"/>
      <c r="BO50" s="84"/>
      <c r="BP50" s="84"/>
      <c r="BT50"/>
      <c r="BU50"/>
      <c r="BV50"/>
      <c r="BW50"/>
      <c r="BX50"/>
      <c r="BY50"/>
      <c r="CJ50" s="84"/>
      <c r="CM50" s="84"/>
    </row>
    <row r="51" spans="1:101" ht="18.75" thickBot="1">
      <c r="A51" s="416"/>
      <c r="B51" s="341"/>
      <c r="C51" s="5967" t="s">
        <v>5847</v>
      </c>
      <c r="D51" s="253"/>
      <c r="E51" s="253"/>
      <c r="F51" s="253"/>
      <c r="G51" s="253"/>
      <c r="H51" s="253"/>
      <c r="I51" s="253"/>
      <c r="J51" s="253"/>
      <c r="K51" s="253"/>
      <c r="L51" s="253"/>
      <c r="M51" s="253"/>
      <c r="N51" s="253"/>
      <c r="O51" s="253"/>
      <c r="P51" s="253"/>
      <c r="Q51" s="253"/>
      <c r="R51" s="253"/>
      <c r="S51" s="253"/>
      <c r="T51" s="253"/>
      <c r="U51" s="253"/>
      <c r="V51" s="253"/>
      <c r="W51" s="253"/>
      <c r="X51" s="253"/>
      <c r="Y51" s="253"/>
      <c r="Z51" s="253"/>
      <c r="AA51" s="253"/>
      <c r="AB51" s="253"/>
      <c r="AC51" s="253"/>
      <c r="AD51" s="253"/>
      <c r="AE51" s="253"/>
      <c r="AF51" s="253"/>
      <c r="AG51" s="253"/>
      <c r="AH51" s="253"/>
      <c r="AI51" s="253"/>
      <c r="AJ51" s="253"/>
      <c r="AK51" s="253"/>
      <c r="AL51" s="253"/>
      <c r="AM51" s="379"/>
      <c r="AN51" s="253"/>
      <c r="AO51" s="341"/>
      <c r="AP51" s="253"/>
      <c r="AQ51" s="253"/>
      <c r="AR51" s="253"/>
      <c r="AS51" s="253"/>
      <c r="AT51" s="253"/>
      <c r="AU51" s="253"/>
      <c r="AV51" s="253"/>
      <c r="AW51" s="253"/>
      <c r="AX51" s="253"/>
      <c r="AY51" s="253"/>
      <c r="AZ51" s="253"/>
      <c r="BA51" s="253"/>
      <c r="BB51" s="253"/>
      <c r="BC51" s="253"/>
      <c r="BD51" s="253"/>
      <c r="BE51" s="6174" t="s">
        <v>6043</v>
      </c>
      <c r="BF51" s="6165">
        <f>IF(BG51&lt;&gt;"",ROUND(BG51,0),SUM(Qual_Childen_Under_17,BF38,BF43,BF48))</f>
        <v>0</v>
      </c>
      <c r="BG51" s="1423"/>
      <c r="BH51" s="253"/>
      <c r="BI51" s="253"/>
      <c r="BJ51" s="253"/>
      <c r="BK51" s="416"/>
      <c r="BL51" s="416"/>
      <c r="BM51" s="416"/>
      <c r="BN51" s="346" t="s">
        <v>6062</v>
      </c>
      <c r="BO51" s="84"/>
      <c r="BP51" s="84"/>
      <c r="BT51"/>
      <c r="BU51"/>
      <c r="BV51"/>
      <c r="BW51"/>
      <c r="BX51"/>
      <c r="BY51"/>
    </row>
    <row r="52" spans="1:101" ht="15">
      <c r="A52" s="416"/>
      <c r="B52" s="341"/>
      <c r="C52" s="1323" t="s">
        <v>5848</v>
      </c>
      <c r="D52" s="253"/>
      <c r="E52" s="253"/>
      <c r="F52" s="253"/>
      <c r="G52" s="253"/>
      <c r="H52" s="253"/>
      <c r="I52" s="253"/>
      <c r="J52" s="253"/>
      <c r="K52" s="253"/>
      <c r="L52" s="253"/>
      <c r="M52" s="253"/>
      <c r="N52" s="253"/>
      <c r="O52" s="253"/>
      <c r="P52" s="253"/>
      <c r="Q52" s="253"/>
      <c r="R52" s="253"/>
      <c r="S52" s="253"/>
      <c r="T52" s="253"/>
      <c r="U52" s="253"/>
      <c r="V52" s="253"/>
      <c r="W52" s="253"/>
      <c r="X52" s="253"/>
      <c r="Y52" s="253"/>
      <c r="Z52" s="253"/>
      <c r="AA52" s="253"/>
      <c r="AB52" s="253"/>
      <c r="AC52" s="253"/>
      <c r="AD52" s="253"/>
      <c r="AE52" s="253"/>
      <c r="AF52" s="253"/>
      <c r="AG52" s="253"/>
      <c r="AH52" s="253"/>
      <c r="AI52" s="253"/>
      <c r="AJ52" s="253"/>
      <c r="AK52" s="253"/>
      <c r="AL52" s="253"/>
      <c r="AM52" s="379"/>
      <c r="AN52" s="253"/>
      <c r="AO52" s="341"/>
      <c r="AP52" s="253"/>
      <c r="AQ52" s="253"/>
      <c r="AR52" s="253"/>
      <c r="AS52" s="253"/>
      <c r="AT52" s="253"/>
      <c r="AU52" s="253"/>
      <c r="AV52" s="253"/>
      <c r="AW52" s="253"/>
      <c r="AX52" s="253"/>
      <c r="AY52" s="253"/>
      <c r="AZ52" s="253"/>
      <c r="BA52" s="253"/>
      <c r="BB52" s="253"/>
      <c r="BC52" s="253"/>
      <c r="BD52" s="253"/>
      <c r="BE52" s="253"/>
      <c r="BF52" s="7451" t="b">
        <f>BF51&gt;4</f>
        <v>0</v>
      </c>
      <c r="BG52" s="7451"/>
      <c r="BH52" s="253"/>
      <c r="BI52" s="253"/>
      <c r="BJ52" s="253"/>
      <c r="BK52" s="253"/>
      <c r="BL52" s="253"/>
      <c r="BM52" s="253"/>
      <c r="BN52" s="379"/>
    </row>
    <row r="53" spans="1:101" ht="15.75">
      <c r="A53" s="416"/>
      <c r="B53" s="341"/>
      <c r="C53" s="5968" t="s">
        <v>3145</v>
      </c>
      <c r="D53" s="1323" t="s">
        <v>5853</v>
      </c>
      <c r="E53" s="253"/>
      <c r="F53" s="253"/>
      <c r="G53" s="253"/>
      <c r="H53" s="253"/>
      <c r="I53" s="253"/>
      <c r="J53" s="253"/>
      <c r="K53" s="253"/>
      <c r="L53" s="253"/>
      <c r="M53" s="253"/>
      <c r="N53" s="253"/>
      <c r="O53" s="253"/>
      <c r="P53" s="253"/>
      <c r="Q53" s="253"/>
      <c r="R53" s="253"/>
      <c r="S53" s="253"/>
      <c r="T53" s="253"/>
      <c r="U53" s="253"/>
      <c r="V53" s="253"/>
      <c r="W53" s="253"/>
      <c r="X53" s="253"/>
      <c r="Y53" s="253"/>
      <c r="Z53" s="253"/>
      <c r="AA53" s="253"/>
      <c r="AB53" s="253"/>
      <c r="AC53" s="253"/>
      <c r="AD53" s="253"/>
      <c r="AE53" s="253"/>
      <c r="AF53" s="253"/>
      <c r="AG53" s="253"/>
      <c r="AH53" s="253"/>
      <c r="AI53" s="253"/>
      <c r="AJ53" s="253"/>
      <c r="AK53" s="253"/>
      <c r="AL53" s="253"/>
      <c r="AM53" s="379"/>
      <c r="AN53" s="253"/>
      <c r="AO53" s="341"/>
      <c r="AP53" s="253"/>
      <c r="AQ53" s="253"/>
      <c r="AR53" s="253"/>
      <c r="AS53" s="253"/>
      <c r="AT53" s="253"/>
      <c r="AU53" s="253"/>
      <c r="AV53" s="253"/>
      <c r="AW53" s="253"/>
      <c r="AX53" s="253"/>
      <c r="AY53" s="253"/>
      <c r="AZ53" s="253"/>
      <c r="BA53" s="253"/>
      <c r="BB53" s="253"/>
      <c r="BC53" s="253"/>
      <c r="BD53" s="253"/>
      <c r="BE53" s="253"/>
      <c r="BF53" s="253"/>
      <c r="BG53" s="253"/>
      <c r="BH53" s="253"/>
      <c r="BI53" s="253"/>
      <c r="BJ53" s="253"/>
      <c r="BK53" s="253"/>
      <c r="BL53" s="253"/>
      <c r="BM53" s="253"/>
      <c r="BN53" s="379"/>
      <c r="CD53" s="84"/>
    </row>
    <row r="54" spans="1:101" ht="15.75">
      <c r="A54" s="416"/>
      <c r="B54" s="341"/>
      <c r="C54" s="5968" t="s">
        <v>3145</v>
      </c>
      <c r="D54" s="1323" t="s">
        <v>5854</v>
      </c>
      <c r="E54" s="253"/>
      <c r="F54" s="253"/>
      <c r="G54" s="253"/>
      <c r="H54" s="253"/>
      <c r="I54" s="253"/>
      <c r="J54" s="253"/>
      <c r="K54" s="253"/>
      <c r="L54" s="253"/>
      <c r="M54" s="253"/>
      <c r="N54" s="253"/>
      <c r="O54" s="253"/>
      <c r="P54" s="253"/>
      <c r="Q54" s="253"/>
      <c r="R54" s="253"/>
      <c r="S54" s="253"/>
      <c r="T54" s="253"/>
      <c r="U54" s="253"/>
      <c r="V54" s="253"/>
      <c r="W54" s="253"/>
      <c r="X54" s="253"/>
      <c r="Y54" s="253"/>
      <c r="Z54" s="253"/>
      <c r="AA54" s="253"/>
      <c r="AB54" s="253"/>
      <c r="AC54" s="253"/>
      <c r="AD54" s="253"/>
      <c r="AE54" s="253"/>
      <c r="AF54" s="253"/>
      <c r="AG54" s="253"/>
      <c r="AH54" s="253"/>
      <c r="AI54" s="253"/>
      <c r="AJ54" s="253"/>
      <c r="AK54" s="253"/>
      <c r="AL54" s="253"/>
      <c r="AM54" s="379"/>
      <c r="AN54" s="253"/>
      <c r="AO54" s="341"/>
      <c r="AP54" s="253"/>
      <c r="AQ54" s="253"/>
      <c r="AR54" s="253"/>
      <c r="AS54" s="253"/>
      <c r="AT54" s="253"/>
      <c r="AU54" s="253"/>
      <c r="AV54" s="253"/>
      <c r="AW54" s="253"/>
      <c r="AX54" s="253"/>
      <c r="AY54" s="253"/>
      <c r="AZ54" s="253"/>
      <c r="BA54" s="253"/>
      <c r="BB54" s="253"/>
      <c r="BC54" s="253"/>
      <c r="BD54" s="253"/>
      <c r="BE54" s="253"/>
      <c r="BF54" s="253"/>
      <c r="BG54" s="253"/>
      <c r="BH54" s="253"/>
      <c r="BI54" s="253"/>
      <c r="BJ54" s="253"/>
      <c r="BK54" s="253"/>
      <c r="BL54" s="253"/>
      <c r="BM54" s="253"/>
      <c r="BN54" s="379"/>
      <c r="BT54"/>
      <c r="CD54" s="84"/>
      <c r="CS54" s="84"/>
      <c r="CW54" s="84"/>
    </row>
    <row r="55" spans="1:101" ht="16.5" thickBot="1">
      <c r="A55" s="416"/>
      <c r="B55" s="341"/>
      <c r="C55" s="5968" t="s">
        <v>3145</v>
      </c>
      <c r="D55" s="1323" t="s">
        <v>5995</v>
      </c>
      <c r="E55" s="253"/>
      <c r="F55" s="253"/>
      <c r="G55" s="253"/>
      <c r="H55" s="253"/>
      <c r="I55" s="253"/>
      <c r="J55" s="253"/>
      <c r="K55" s="253"/>
      <c r="L55" s="253"/>
      <c r="M55" s="253"/>
      <c r="N55" s="253"/>
      <c r="O55" s="253"/>
      <c r="P55" s="253"/>
      <c r="Q55" s="253"/>
      <c r="R55" s="253"/>
      <c r="S55" s="253"/>
      <c r="T55" s="253"/>
      <c r="U55" s="253"/>
      <c r="V55" s="253"/>
      <c r="W55" s="253"/>
      <c r="X55" s="253"/>
      <c r="Y55" s="253"/>
      <c r="Z55" s="253"/>
      <c r="AA55" s="253"/>
      <c r="AB55" s="253"/>
      <c r="AC55" s="253"/>
      <c r="AD55" s="253"/>
      <c r="AE55" s="253"/>
      <c r="AF55" s="253"/>
      <c r="AG55" s="253"/>
      <c r="AH55" s="253"/>
      <c r="AI55" s="253"/>
      <c r="AJ55" s="253"/>
      <c r="AK55" s="253"/>
      <c r="AL55" s="253"/>
      <c r="AM55" s="379"/>
      <c r="AN55" s="253"/>
      <c r="AO55" s="341"/>
      <c r="AP55" s="253"/>
      <c r="AQ55" s="253"/>
      <c r="AR55" s="253"/>
      <c r="AS55" s="253"/>
      <c r="AT55" s="253"/>
      <c r="AU55" s="253"/>
      <c r="AV55" s="253"/>
      <c r="AW55" s="253"/>
      <c r="AX55" s="253"/>
      <c r="AY55" s="253"/>
      <c r="AZ55" s="253"/>
      <c r="BA55" s="253"/>
      <c r="BB55" s="253"/>
      <c r="BC55" s="253"/>
      <c r="BD55" s="253"/>
      <c r="BE55" s="253"/>
      <c r="BF55" s="253"/>
      <c r="BG55" s="3789" t="s">
        <v>771</v>
      </c>
      <c r="BH55" s="253"/>
      <c r="BI55" s="253"/>
      <c r="BJ55" s="253"/>
      <c r="BK55" s="253"/>
      <c r="BL55" s="253"/>
      <c r="BM55" s="253"/>
      <c r="BN55" s="379"/>
      <c r="BT55"/>
      <c r="CD55" s="84"/>
      <c r="CS55" s="84"/>
      <c r="CW55" s="84"/>
    </row>
    <row r="56" spans="1:101" ht="16.5" thickBot="1">
      <c r="A56" s="416"/>
      <c r="B56" s="341"/>
      <c r="C56" s="5968" t="s">
        <v>3145</v>
      </c>
      <c r="D56" s="1323" t="s">
        <v>5855</v>
      </c>
      <c r="E56" s="253"/>
      <c r="F56" s="253"/>
      <c r="G56" s="253"/>
      <c r="H56" s="253"/>
      <c r="I56" s="253"/>
      <c r="J56" s="253"/>
      <c r="K56" s="253"/>
      <c r="L56" s="253"/>
      <c r="M56" s="253"/>
      <c r="N56" s="253"/>
      <c r="O56" s="253"/>
      <c r="P56" s="253"/>
      <c r="Q56" s="253"/>
      <c r="R56" s="253"/>
      <c r="S56" s="253"/>
      <c r="T56" s="253"/>
      <c r="U56" s="253"/>
      <c r="V56" s="253"/>
      <c r="W56" s="253"/>
      <c r="X56" s="253"/>
      <c r="Y56" s="253"/>
      <c r="Z56" s="253"/>
      <c r="AA56" s="253"/>
      <c r="AB56" s="253"/>
      <c r="AC56" s="253"/>
      <c r="AD56" s="253"/>
      <c r="AE56" s="253"/>
      <c r="AF56" s="253"/>
      <c r="AG56" s="253"/>
      <c r="AH56" s="253"/>
      <c r="AI56" s="253"/>
      <c r="AJ56" s="253"/>
      <c r="AK56" s="253"/>
      <c r="AL56" s="253"/>
      <c r="AM56" s="379"/>
      <c r="AN56" s="253"/>
      <c r="AO56" s="341"/>
      <c r="AP56" s="253"/>
      <c r="AQ56" s="253"/>
      <c r="AR56" s="253"/>
      <c r="AS56" s="253"/>
      <c r="AT56" s="253"/>
      <c r="AU56" s="253"/>
      <c r="AV56" s="253"/>
      <c r="AW56" s="253"/>
      <c r="AX56" s="253"/>
      <c r="AY56" s="253"/>
      <c r="AZ56" s="253"/>
      <c r="BA56" s="253"/>
      <c r="BB56" s="253"/>
      <c r="BC56" s="253"/>
      <c r="BD56" s="253"/>
      <c r="BE56" s="6174" t="s">
        <v>6055</v>
      </c>
      <c r="BF56" s="6165">
        <f>IF(BG56&lt;&gt;"",ROUND(BG56,0),CX33)</f>
        <v>0</v>
      </c>
      <c r="BG56" s="1423"/>
      <c r="BH56" s="253"/>
      <c r="BI56" s="253"/>
      <c r="BJ56" s="253"/>
      <c r="BK56" s="253"/>
      <c r="BL56" s="253"/>
      <c r="BM56" s="253"/>
      <c r="BN56" s="346" t="s">
        <v>6060</v>
      </c>
      <c r="BT56"/>
      <c r="CD56" s="84"/>
      <c r="CS56" s="84"/>
      <c r="CW56" s="84"/>
    </row>
    <row r="57" spans="1:101">
      <c r="A57" s="416"/>
      <c r="B57" s="341"/>
      <c r="C57" s="253"/>
      <c r="D57" s="253"/>
      <c r="E57" s="253"/>
      <c r="F57" s="253"/>
      <c r="G57" s="253"/>
      <c r="H57" s="253"/>
      <c r="I57" s="253"/>
      <c r="J57" s="253"/>
      <c r="K57" s="253"/>
      <c r="L57" s="253"/>
      <c r="M57" s="253"/>
      <c r="N57" s="253"/>
      <c r="O57" s="253"/>
      <c r="P57" s="253"/>
      <c r="Q57" s="253"/>
      <c r="R57" s="253"/>
      <c r="S57" s="253"/>
      <c r="T57" s="253"/>
      <c r="U57" s="253"/>
      <c r="V57" s="253"/>
      <c r="W57" s="253"/>
      <c r="X57" s="253"/>
      <c r="Y57" s="253"/>
      <c r="Z57" s="253"/>
      <c r="AA57" s="253"/>
      <c r="AB57" s="253"/>
      <c r="AC57" s="253"/>
      <c r="AD57" s="253"/>
      <c r="AE57" s="253"/>
      <c r="AF57" s="253"/>
      <c r="AG57" s="253"/>
      <c r="AH57" s="253"/>
      <c r="AI57" s="253"/>
      <c r="AJ57" s="253"/>
      <c r="AK57" s="253"/>
      <c r="AL57" s="253"/>
      <c r="AM57" s="379"/>
      <c r="AN57" s="253"/>
      <c r="AO57" s="341"/>
      <c r="AP57" s="253"/>
      <c r="AQ57" s="253"/>
      <c r="AR57" s="253"/>
      <c r="AS57" s="253"/>
      <c r="AT57" s="253"/>
      <c r="AU57" s="253"/>
      <c r="AV57" s="253"/>
      <c r="AW57" s="253"/>
      <c r="AX57" s="253"/>
      <c r="AY57" s="253"/>
      <c r="AZ57" s="253"/>
      <c r="BA57" s="253"/>
      <c r="BB57" s="253"/>
      <c r="BC57" s="253"/>
      <c r="BD57" s="253"/>
      <c r="BE57" s="253"/>
      <c r="BF57" s="253"/>
      <c r="BG57" s="253"/>
      <c r="BH57" s="253"/>
      <c r="BI57" s="253"/>
      <c r="BJ57" s="253"/>
      <c r="BK57" s="253"/>
      <c r="BL57" s="253"/>
      <c r="BM57" s="253"/>
      <c r="BN57" s="379"/>
      <c r="BT57"/>
      <c r="CS57" s="84"/>
      <c r="CW57" s="84"/>
    </row>
    <row r="58" spans="1:101">
      <c r="A58" s="416"/>
      <c r="B58" s="341"/>
      <c r="C58" s="344" t="s">
        <v>782</v>
      </c>
      <c r="D58" s="5963" t="s">
        <v>5849</v>
      </c>
      <c r="E58" s="253"/>
      <c r="F58" s="253"/>
      <c r="G58" s="253"/>
      <c r="H58" s="253"/>
      <c r="I58" s="253"/>
      <c r="J58" s="253"/>
      <c r="K58" s="253"/>
      <c r="L58" s="253"/>
      <c r="M58" s="253"/>
      <c r="N58" s="253"/>
      <c r="O58" s="253"/>
      <c r="P58" s="253"/>
      <c r="Q58" s="253"/>
      <c r="R58" s="253"/>
      <c r="S58" s="253"/>
      <c r="T58" s="253"/>
      <c r="U58" s="253"/>
      <c r="V58" s="253"/>
      <c r="W58" s="253"/>
      <c r="X58" s="253"/>
      <c r="Y58" s="253"/>
      <c r="Z58" s="253"/>
      <c r="AA58" s="253"/>
      <c r="AB58" s="253"/>
      <c r="AC58" s="253"/>
      <c r="AD58" s="253"/>
      <c r="AE58" s="253"/>
      <c r="AF58" s="253"/>
      <c r="AG58" s="253"/>
      <c r="AH58" s="253"/>
      <c r="AI58" s="253"/>
      <c r="AJ58" s="253"/>
      <c r="AK58" s="253"/>
      <c r="AL58" s="253"/>
      <c r="AM58" s="379"/>
      <c r="AN58" s="253"/>
      <c r="AO58" s="341"/>
      <c r="AP58" s="253"/>
      <c r="AQ58" s="253"/>
      <c r="AR58" s="253"/>
      <c r="AS58" s="253"/>
      <c r="AT58" s="253"/>
      <c r="AU58" s="253"/>
      <c r="AV58" s="253"/>
      <c r="AW58" s="253"/>
      <c r="AX58" s="253"/>
      <c r="AY58" s="253"/>
      <c r="AZ58" s="253"/>
      <c r="BA58" s="253"/>
      <c r="BB58" s="253"/>
      <c r="BC58" s="253"/>
      <c r="BD58" s="253"/>
      <c r="BE58" s="253"/>
      <c r="BF58" s="253"/>
      <c r="BG58" s="253"/>
      <c r="BH58" s="253"/>
      <c r="BI58" s="253"/>
      <c r="BJ58" s="253"/>
      <c r="BK58" s="253"/>
      <c r="BL58" s="253"/>
      <c r="BM58" s="253"/>
      <c r="BN58" s="379"/>
    </row>
    <row r="59" spans="1:101" ht="13.5" thickBot="1">
      <c r="A59" s="416"/>
      <c r="B59" s="347"/>
      <c r="C59" s="380"/>
      <c r="D59" s="380"/>
      <c r="E59" s="380"/>
      <c r="F59" s="380"/>
      <c r="G59" s="380"/>
      <c r="H59" s="380"/>
      <c r="I59" s="380"/>
      <c r="J59" s="380"/>
      <c r="K59" s="380"/>
      <c r="L59" s="380"/>
      <c r="M59" s="380"/>
      <c r="N59" s="380"/>
      <c r="O59" s="380"/>
      <c r="P59" s="380"/>
      <c r="Q59" s="380"/>
      <c r="R59" s="380"/>
      <c r="S59" s="380"/>
      <c r="T59" s="380"/>
      <c r="U59" s="380"/>
      <c r="V59" s="380"/>
      <c r="W59" s="380"/>
      <c r="X59" s="380"/>
      <c r="Y59" s="380"/>
      <c r="Z59" s="380"/>
      <c r="AA59" s="380"/>
      <c r="AB59" s="380"/>
      <c r="AC59" s="380"/>
      <c r="AD59" s="380"/>
      <c r="AE59" s="380"/>
      <c r="AF59" s="380"/>
      <c r="AG59" s="380"/>
      <c r="AH59" s="380"/>
      <c r="AI59" s="380"/>
      <c r="AJ59" s="380"/>
      <c r="AK59" s="380"/>
      <c r="AL59" s="380"/>
      <c r="AM59" s="381"/>
      <c r="AN59" s="253"/>
      <c r="AO59" s="347"/>
      <c r="AP59" s="380"/>
      <c r="AQ59" s="380"/>
      <c r="AR59" s="380"/>
      <c r="AS59" s="380"/>
      <c r="AT59" s="380"/>
      <c r="AU59" s="380"/>
      <c r="AV59" s="380"/>
      <c r="AW59" s="380"/>
      <c r="AX59" s="380"/>
      <c r="AY59" s="380"/>
      <c r="AZ59" s="380"/>
      <c r="BA59" s="380"/>
      <c r="BB59" s="380"/>
      <c r="BC59" s="380"/>
      <c r="BD59" s="380"/>
      <c r="BE59" s="380"/>
      <c r="BF59" s="380"/>
      <c r="BG59" s="380"/>
      <c r="BH59" s="380"/>
      <c r="BI59" s="380"/>
      <c r="BJ59" s="380"/>
      <c r="BK59" s="380"/>
      <c r="BL59" s="380"/>
      <c r="BM59" s="380"/>
      <c r="BN59" s="381"/>
    </row>
    <row r="60" spans="1:101">
      <c r="A60" s="416"/>
      <c r="B60" s="253"/>
      <c r="C60" s="253"/>
      <c r="D60" s="253"/>
      <c r="E60" s="253"/>
      <c r="F60" s="253"/>
      <c r="G60" s="253"/>
      <c r="H60" s="253"/>
      <c r="I60" s="253"/>
      <c r="J60" s="253"/>
      <c r="K60" s="253"/>
      <c r="L60" s="253"/>
      <c r="M60" s="253"/>
      <c r="N60" s="253"/>
      <c r="O60" s="253"/>
      <c r="P60" s="253"/>
      <c r="Q60" s="253"/>
      <c r="R60" s="253"/>
      <c r="S60" s="253"/>
      <c r="T60" s="253"/>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253"/>
      <c r="AR60" s="253"/>
      <c r="AS60" s="253"/>
      <c r="AT60" s="253"/>
      <c r="AU60" s="253"/>
      <c r="AV60" s="253"/>
      <c r="AW60" s="253"/>
      <c r="AX60" s="253"/>
      <c r="AY60" s="253"/>
      <c r="AZ60" s="253"/>
      <c r="BA60" s="253"/>
      <c r="BB60" s="253"/>
      <c r="BC60" s="253"/>
      <c r="BD60" s="253"/>
      <c r="BE60" s="253"/>
      <c r="BF60" s="253"/>
      <c r="BG60" s="253"/>
      <c r="BH60" s="253"/>
      <c r="BI60" s="253"/>
      <c r="BJ60" s="253"/>
      <c r="BK60" s="253"/>
      <c r="BL60" s="253"/>
      <c r="BM60" s="253"/>
      <c r="BN60" s="253"/>
    </row>
    <row r="61" spans="1:101">
      <c r="A61" s="416"/>
      <c r="B61" s="253"/>
      <c r="C61" s="253"/>
      <c r="D61" s="253"/>
      <c r="E61" s="253"/>
      <c r="F61" s="253"/>
      <c r="G61" s="253"/>
      <c r="H61" s="253"/>
      <c r="I61" s="253"/>
      <c r="J61" s="253"/>
      <c r="K61" s="253"/>
      <c r="L61" s="253"/>
      <c r="M61" s="253"/>
      <c r="N61" s="253"/>
      <c r="O61" s="253"/>
      <c r="P61" s="253"/>
      <c r="Q61" s="253"/>
      <c r="R61" s="253"/>
      <c r="S61" s="253"/>
      <c r="T61" s="253"/>
      <c r="U61" s="253"/>
      <c r="V61" s="253"/>
      <c r="W61" s="253"/>
      <c r="X61" s="253"/>
      <c r="Y61" s="253"/>
      <c r="Z61" s="253"/>
      <c r="AA61" s="253"/>
      <c r="AB61" s="253"/>
      <c r="AC61" s="253"/>
      <c r="AD61" s="253"/>
      <c r="AE61" s="253"/>
      <c r="AF61" s="253"/>
      <c r="AG61" s="253"/>
      <c r="AH61" s="253"/>
      <c r="AI61" s="253"/>
      <c r="AJ61" s="253"/>
      <c r="AK61" s="253"/>
      <c r="AL61" s="253"/>
      <c r="AM61" s="253"/>
      <c r="AN61" s="253"/>
      <c r="AO61" s="253"/>
      <c r="AP61" s="253"/>
      <c r="AQ61" s="253"/>
      <c r="AR61" s="253"/>
      <c r="AS61" s="253"/>
      <c r="AT61" s="253"/>
      <c r="AU61" s="253"/>
      <c r="AV61" s="253"/>
      <c r="AW61" s="253"/>
      <c r="AX61" s="253"/>
      <c r="AY61" s="253"/>
      <c r="AZ61" s="253"/>
      <c r="BA61" s="253"/>
      <c r="BB61" s="253"/>
      <c r="BC61" s="253"/>
      <c r="BD61" s="253"/>
      <c r="BE61" s="253"/>
      <c r="BF61" s="253"/>
      <c r="BG61" s="253"/>
      <c r="BH61" s="253"/>
      <c r="BI61" s="253"/>
      <c r="BJ61" s="253"/>
      <c r="BK61" s="253"/>
      <c r="BL61" s="253"/>
      <c r="BM61" s="253"/>
      <c r="BN61" s="253"/>
    </row>
  </sheetData>
  <sheetProtection algorithmName="SHA-512" hashValue="oLdoC9AUhrVdaSbj7EOp6HoXsFQmWRkIz6KwdsCt415uR0PdZ1pT8orU3ifDweyxr2q7bzWOO/taTCDOY4bl+A==" saltValue="RB3HFllc4wbkbf+rLp8QbA==" spinCount="100000" sheet="1" formatCells="0" formatColumns="0" formatRows="0"/>
  <mergeCells count="175">
    <mergeCell ref="AQ4:AQ6"/>
    <mergeCell ref="AB6:AD6"/>
    <mergeCell ref="AQ12:AQ14"/>
    <mergeCell ref="CO2:CO6"/>
    <mergeCell ref="CR2:CR6"/>
    <mergeCell ref="BQ2:BQ6"/>
    <mergeCell ref="AK9:AP9"/>
    <mergeCell ref="AK10:AP10"/>
    <mergeCell ref="BV5:BV6"/>
    <mergeCell ref="AK1:AP3"/>
    <mergeCell ref="Y11:AD11"/>
    <mergeCell ref="Y12:AD13"/>
    <mergeCell ref="CH4:CH5"/>
    <mergeCell ref="BA2:BL2"/>
    <mergeCell ref="Y1:AJ3"/>
    <mergeCell ref="AR4:AZ5"/>
    <mergeCell ref="B10:C10"/>
    <mergeCell ref="M10:R10"/>
    <mergeCell ref="S10:X10"/>
    <mergeCell ref="E7:H7"/>
    <mergeCell ref="E8:H8"/>
    <mergeCell ref="E9:H9"/>
    <mergeCell ref="E10:H10"/>
    <mergeCell ref="I7:L7"/>
    <mergeCell ref="I8:L8"/>
    <mergeCell ref="M7:R7"/>
    <mergeCell ref="S7:X7"/>
    <mergeCell ref="M8:R8"/>
    <mergeCell ref="S8:X8"/>
    <mergeCell ref="B4:D5"/>
    <mergeCell ref="M4:R6"/>
    <mergeCell ref="AH6:AJ6"/>
    <mergeCell ref="Y6:AA6"/>
    <mergeCell ref="AK12:AP14"/>
    <mergeCell ref="E14:H14"/>
    <mergeCell ref="I14:L14"/>
    <mergeCell ref="Y14:AA14"/>
    <mergeCell ref="AB14:AD14"/>
    <mergeCell ref="S4:X6"/>
    <mergeCell ref="B6:D9"/>
    <mergeCell ref="E6:H6"/>
    <mergeCell ref="I6:L6"/>
    <mergeCell ref="M9:R9"/>
    <mergeCell ref="S9:X9"/>
    <mergeCell ref="I9:L9"/>
    <mergeCell ref="B12:D15"/>
    <mergeCell ref="AK4:AP6"/>
    <mergeCell ref="AK7:AP7"/>
    <mergeCell ref="AK8:AP8"/>
    <mergeCell ref="E15:H15"/>
    <mergeCell ref="I15:L15"/>
    <mergeCell ref="M15:R15"/>
    <mergeCell ref="S15:X15"/>
    <mergeCell ref="AK15:AP15"/>
    <mergeCell ref="AE6:AG6"/>
    <mergeCell ref="E16:H16"/>
    <mergeCell ref="I16:L16"/>
    <mergeCell ref="M16:R16"/>
    <mergeCell ref="S16:X16"/>
    <mergeCell ref="AK16:AP16"/>
    <mergeCell ref="E17:H17"/>
    <mergeCell ref="I17:L17"/>
    <mergeCell ref="M17:R17"/>
    <mergeCell ref="S17:X17"/>
    <mergeCell ref="AK17:AP17"/>
    <mergeCell ref="I10:L10"/>
    <mergeCell ref="B30:C30"/>
    <mergeCell ref="E30:H30"/>
    <mergeCell ref="I30:L30"/>
    <mergeCell ref="M30:R30"/>
    <mergeCell ref="S30:X30"/>
    <mergeCell ref="AK19:AP19"/>
    <mergeCell ref="E20:H20"/>
    <mergeCell ref="I20:L20"/>
    <mergeCell ref="M20:R20"/>
    <mergeCell ref="S20:X20"/>
    <mergeCell ref="AK20:AP20"/>
    <mergeCell ref="AK30:AP30"/>
    <mergeCell ref="E21:H21"/>
    <mergeCell ref="I21:L21"/>
    <mergeCell ref="M21:R21"/>
    <mergeCell ref="S21:X21"/>
    <mergeCell ref="AK21:AP21"/>
    <mergeCell ref="E22:H22"/>
    <mergeCell ref="I22:L22"/>
    <mergeCell ref="M22:R22"/>
    <mergeCell ref="S22:X22"/>
    <mergeCell ref="AK22:AP22"/>
    <mergeCell ref="E26:H26"/>
    <mergeCell ref="I26:L26"/>
    <mergeCell ref="E18:H18"/>
    <mergeCell ref="I18:L18"/>
    <mergeCell ref="M18:R18"/>
    <mergeCell ref="S18:X18"/>
    <mergeCell ref="AK18:AP18"/>
    <mergeCell ref="E19:H19"/>
    <mergeCell ref="I19:L19"/>
    <mergeCell ref="M19:R19"/>
    <mergeCell ref="S19:X19"/>
    <mergeCell ref="M26:R26"/>
    <mergeCell ref="S26:X26"/>
    <mergeCell ref="AK26:AP26"/>
    <mergeCell ref="E23:H23"/>
    <mergeCell ref="I23:L23"/>
    <mergeCell ref="M23:R23"/>
    <mergeCell ref="S23:X23"/>
    <mergeCell ref="AK23:AP23"/>
    <mergeCell ref="E24:H24"/>
    <mergeCell ref="I24:L24"/>
    <mergeCell ref="M24:R24"/>
    <mergeCell ref="S24:X24"/>
    <mergeCell ref="AK24:AP24"/>
    <mergeCell ref="M1:R3"/>
    <mergeCell ref="C2:J2"/>
    <mergeCell ref="E29:H29"/>
    <mergeCell ref="I29:L29"/>
    <mergeCell ref="M29:R29"/>
    <mergeCell ref="S29:X29"/>
    <mergeCell ref="AK29:AP29"/>
    <mergeCell ref="BU5:BU6"/>
    <mergeCell ref="E27:H27"/>
    <mergeCell ref="I27:L27"/>
    <mergeCell ref="M27:R27"/>
    <mergeCell ref="S27:X27"/>
    <mergeCell ref="AK27:AP27"/>
    <mergeCell ref="E28:H28"/>
    <mergeCell ref="I28:L28"/>
    <mergeCell ref="M28:R28"/>
    <mergeCell ref="S28:X28"/>
    <mergeCell ref="AK28:AP28"/>
    <mergeCell ref="E25:H25"/>
    <mergeCell ref="I25:L25"/>
    <mergeCell ref="M25:R25"/>
    <mergeCell ref="AE4:AJ5"/>
    <mergeCell ref="S25:X25"/>
    <mergeCell ref="AK25:AP25"/>
    <mergeCell ref="E4:H5"/>
    <mergeCell ref="E12:H13"/>
    <mergeCell ref="AU6:AW6"/>
    <mergeCell ref="AU14:AW14"/>
    <mergeCell ref="BD4:BI5"/>
    <mergeCell ref="Y5:AD5"/>
    <mergeCell ref="Y4:AD4"/>
    <mergeCell ref="BA4:BC5"/>
    <mergeCell ref="BA6:BC6"/>
    <mergeCell ref="BA12:BC13"/>
    <mergeCell ref="BA14:BC14"/>
    <mergeCell ref="AE11:AJ11"/>
    <mergeCell ref="AE12:AJ13"/>
    <mergeCell ref="AE14:AG14"/>
    <mergeCell ref="AH14:AJ14"/>
    <mergeCell ref="BD6:BF6"/>
    <mergeCell ref="BG6:BI6"/>
    <mergeCell ref="BG14:BI14"/>
    <mergeCell ref="AR6:AT6"/>
    <mergeCell ref="AR14:AT14"/>
    <mergeCell ref="AX6:AZ6"/>
    <mergeCell ref="AX14:AZ14"/>
    <mergeCell ref="M12:R14"/>
    <mergeCell ref="S12:X14"/>
    <mergeCell ref="CX2:CX6"/>
    <mergeCell ref="BF52:BG52"/>
    <mergeCell ref="AV33:BM34"/>
    <mergeCell ref="CQ2:CQ6"/>
    <mergeCell ref="CJ5:CK5"/>
    <mergeCell ref="BJ6:BL6"/>
    <mergeCell ref="BJ12:BL13"/>
    <mergeCell ref="BD12:BI13"/>
    <mergeCell ref="BD14:BF14"/>
    <mergeCell ref="AR12:AZ13"/>
    <mergeCell ref="BJ14:BL14"/>
    <mergeCell ref="BJ4:BL5"/>
    <mergeCell ref="CL5:CM5"/>
    <mergeCell ref="BZ5:CG5"/>
    <mergeCell ref="CP2:CP6"/>
  </mergeCells>
  <phoneticPr fontId="10" type="noConversion"/>
  <conditionalFormatting sqref="B6 I6">
    <cfRule type="expression" dxfId="3634" priority="245">
      <formula>NoColor</formula>
    </cfRule>
  </conditionalFormatting>
  <conditionalFormatting sqref="B12 M12 S12">
    <cfRule type="expression" dxfId="3633" priority="206">
      <formula>NoColor</formula>
    </cfRule>
  </conditionalFormatting>
  <conditionalFormatting sqref="D10">
    <cfRule type="expression" dxfId="3632" priority="228">
      <formula>NoColor</formula>
    </cfRule>
    <cfRule type="expression" dxfId="3631" priority="226">
      <formula>AND(#REF!,D10&lt;&gt;"")</formula>
    </cfRule>
  </conditionalFormatting>
  <conditionalFormatting sqref="D30">
    <cfRule type="expression" dxfId="3630" priority="188">
      <formula>NoColor</formula>
    </cfRule>
    <cfRule type="expression" dxfId="3629" priority="186">
      <formula>AND(#REF!,D30&lt;&gt;"")</formula>
    </cfRule>
  </conditionalFormatting>
  <conditionalFormatting sqref="E6:E10">
    <cfRule type="expression" dxfId="3628" priority="222">
      <formula>NoColor</formula>
    </cfRule>
  </conditionalFormatting>
  <conditionalFormatting sqref="E12">
    <cfRule type="expression" dxfId="3627" priority="29">
      <formula>NoColor</formula>
    </cfRule>
  </conditionalFormatting>
  <conditionalFormatting sqref="E14:E30">
    <cfRule type="expression" dxfId="3626" priority="111">
      <formula>NoColor</formula>
    </cfRule>
  </conditionalFormatting>
  <conditionalFormatting sqref="I14">
    <cfRule type="expression" dxfId="3625" priority="65">
      <formula>NoColor</formula>
    </cfRule>
  </conditionalFormatting>
  <conditionalFormatting sqref="I4:L5">
    <cfRule type="expression" dxfId="3624" priority="229">
      <formula>NoColor</formula>
    </cfRule>
  </conditionalFormatting>
  <conditionalFormatting sqref="I12:L13">
    <cfRule type="expression" dxfId="3623" priority="189">
      <formula>NoColor</formula>
    </cfRule>
  </conditionalFormatting>
  <conditionalFormatting sqref="M4">
    <cfRule type="expression" dxfId="3622" priority="64">
      <formula>NoColor</formula>
    </cfRule>
  </conditionalFormatting>
  <conditionalFormatting sqref="M7:N10">
    <cfRule type="expression" dxfId="3621" priority="73">
      <formula>NoSSN</formula>
    </cfRule>
    <cfRule type="expression" dxfId="3620" priority="72">
      <formula>AND(NoColor,NoSSN)</formula>
    </cfRule>
    <cfRule type="expression" dxfId="3619" priority="71">
      <formula>NOT(BW7)</formula>
    </cfRule>
    <cfRule type="expression" dxfId="3618" priority="37">
      <formula>NOT(BW7)</formula>
    </cfRule>
    <cfRule type="expression" dxfId="3617" priority="38">
      <formula>AND(NoColor,NoSSN)</formula>
    </cfRule>
    <cfRule type="expression" dxfId="3616" priority="39">
      <formula>NoSSN</formula>
    </cfRule>
  </conditionalFormatting>
  <conditionalFormatting sqref="M15:N30">
    <cfRule type="expression" dxfId="3615" priority="41">
      <formula>NOT(BW15)</formula>
    </cfRule>
    <cfRule type="expression" dxfId="3614" priority="42">
      <formula>AND(NoColor,NoSSN)</formula>
    </cfRule>
    <cfRule type="expression" dxfId="3613" priority="43">
      <formula>NoSSN</formula>
    </cfRule>
  </conditionalFormatting>
  <conditionalFormatting sqref="O7:O10 O15:O30">
    <cfRule type="expression" dxfId="3612" priority="4598">
      <formula>CA7&gt;0</formula>
    </cfRule>
  </conditionalFormatting>
  <conditionalFormatting sqref="O7:P10 O15:P30">
    <cfRule type="expression" dxfId="3611" priority="4600">
      <formula>NoSSN</formula>
    </cfRule>
    <cfRule type="expression" dxfId="3610" priority="4599">
      <formula>AND(NoColor,NoSSN)</formula>
    </cfRule>
  </conditionalFormatting>
  <conditionalFormatting sqref="Q7:R10 Q15:R30">
    <cfRule type="expression" dxfId="3609" priority="203">
      <formula>NoSSN</formula>
    </cfRule>
    <cfRule type="expression" dxfId="3608" priority="199">
      <formula>AND(NoColor,NoSSN)</formula>
    </cfRule>
  </conditionalFormatting>
  <conditionalFormatting sqref="Y4">
    <cfRule type="expression" dxfId="3607" priority="248">
      <formula>NoColor</formula>
    </cfRule>
  </conditionalFormatting>
  <conditionalFormatting sqref="Y12">
    <cfRule type="expression" dxfId="3606" priority="45">
      <formula>NoColor</formula>
    </cfRule>
  </conditionalFormatting>
  <conditionalFormatting sqref="Y4:AR4">
    <cfRule type="expression" dxfId="3605" priority="221">
      <formula>NoColor</formula>
    </cfRule>
  </conditionalFormatting>
  <conditionalFormatting sqref="Y12:AR12">
    <cfRule type="expression" dxfId="3604" priority="44">
      <formula>NoColor</formula>
    </cfRule>
  </conditionalFormatting>
  <conditionalFormatting sqref="AB6">
    <cfRule type="expression" dxfId="3603" priority="247">
      <formula>NoColor</formula>
    </cfRule>
  </conditionalFormatting>
  <conditionalFormatting sqref="AB14">
    <cfRule type="expression" dxfId="3602" priority="51">
      <formula>NoColor</formula>
    </cfRule>
  </conditionalFormatting>
  <conditionalFormatting sqref="AE4">
    <cfRule type="expression" dxfId="3601" priority="63">
      <formula>NoColor</formula>
    </cfRule>
  </conditionalFormatting>
  <conditionalFormatting sqref="AE12">
    <cfRule type="expression" dxfId="3600" priority="46">
      <formula>NoColor</formula>
    </cfRule>
  </conditionalFormatting>
  <conditionalFormatting sqref="AH6">
    <cfRule type="expression" dxfId="3599" priority="62">
      <formula>NoColor</formula>
    </cfRule>
  </conditionalFormatting>
  <conditionalFormatting sqref="AH14">
    <cfRule type="expression" dxfId="3598" priority="48">
      <formula>NoColor</formula>
    </cfRule>
  </conditionalFormatting>
  <conditionalFormatting sqref="AR4">
    <cfRule type="expression" dxfId="3597" priority="6719">
      <formula>OR(NOT($CH$31),NOT($CF$31),NOT($CI$31))</formula>
    </cfRule>
  </conditionalFormatting>
  <conditionalFormatting sqref="AR6">
    <cfRule type="expression" dxfId="3596" priority="31">
      <formula>NoColor</formula>
    </cfRule>
  </conditionalFormatting>
  <conditionalFormatting sqref="AR6:AT6">
    <cfRule type="expression" dxfId="3595" priority="25">
      <formula>NOT($CH$31)</formula>
    </cfRule>
  </conditionalFormatting>
  <conditionalFormatting sqref="AR14:AT14">
    <cfRule type="expression" dxfId="3594" priority="2">
      <formula>NOT($CH$31)</formula>
    </cfRule>
  </conditionalFormatting>
  <conditionalFormatting sqref="AU6">
    <cfRule type="expression" dxfId="3593" priority="28">
      <formula>NoColor</formula>
    </cfRule>
  </conditionalFormatting>
  <conditionalFormatting sqref="AU14">
    <cfRule type="expression" dxfId="3592" priority="5">
      <formula>NoColor</formula>
    </cfRule>
  </conditionalFormatting>
  <conditionalFormatting sqref="AU6:AW6">
    <cfRule type="expression" dxfId="3591" priority="6720">
      <formula>NOT($CF$31)</formula>
    </cfRule>
  </conditionalFormatting>
  <conditionalFormatting sqref="AU14:AW14">
    <cfRule type="expression" dxfId="3590" priority="6">
      <formula>NOT($CF$31)</formula>
    </cfRule>
  </conditionalFormatting>
  <conditionalFormatting sqref="AX6">
    <cfRule type="expression" dxfId="3589" priority="22">
      <formula>NoColor</formula>
    </cfRule>
  </conditionalFormatting>
  <conditionalFormatting sqref="AX14">
    <cfRule type="expression" dxfId="3588" priority="4">
      <formula>NoColor</formula>
    </cfRule>
  </conditionalFormatting>
  <conditionalFormatting sqref="AX6:AZ6">
    <cfRule type="expression" dxfId="3587" priority="3">
      <formula>NOT($CI$31)</formula>
    </cfRule>
  </conditionalFormatting>
  <conditionalFormatting sqref="AX14:AZ14">
    <cfRule type="expression" dxfId="3586" priority="1">
      <formula>NOT($CI$31)</formula>
    </cfRule>
  </conditionalFormatting>
  <conditionalFormatting sqref="BA4">
    <cfRule type="expression" dxfId="3585" priority="69">
      <formula>NoColor</formula>
    </cfRule>
  </conditionalFormatting>
  <conditionalFormatting sqref="BA12">
    <cfRule type="expression" dxfId="3584" priority="55">
      <formula>NoColor</formula>
    </cfRule>
    <cfRule type="expression" dxfId="3583" priority="56">
      <formula>NoColor</formula>
    </cfRule>
  </conditionalFormatting>
  <conditionalFormatting sqref="BA7:BL10 I15:BL30 B4 E4 S4 BA4 BD4 BJ4 Y6:AW6 BA6 AX6:AZ10 BG6:BI10 I7:AW10 BD12 BJ12 Y14:AR14 AU14:BA14 BD14:BJ14 BP34 BG37:BG38">
    <cfRule type="expression" dxfId="3582" priority="246">
      <formula>NoColor</formula>
    </cfRule>
  </conditionalFormatting>
  <conditionalFormatting sqref="BB7:BB10">
    <cfRule type="expression" dxfId="3581" priority="15">
      <formula>BB7&lt;&gt;""</formula>
    </cfRule>
  </conditionalFormatting>
  <conditionalFormatting sqref="BB15:BB30">
    <cfRule type="expression" dxfId="3580" priority="9">
      <formula>BB15&lt;&gt;""</formula>
    </cfRule>
  </conditionalFormatting>
  <conditionalFormatting sqref="BD6:BJ6">
    <cfRule type="expression" dxfId="3579" priority="34">
      <formula>NoColor</formula>
    </cfRule>
  </conditionalFormatting>
  <conditionalFormatting sqref="BG6">
    <cfRule type="expression" dxfId="3578" priority="33">
      <formula>NoColor</formula>
    </cfRule>
  </conditionalFormatting>
  <conditionalFormatting sqref="BG14">
    <cfRule type="expression" dxfId="3577" priority="32">
      <formula>NoColor</formula>
    </cfRule>
  </conditionalFormatting>
  <conditionalFormatting sqref="BG43">
    <cfRule type="expression" dxfId="3576" priority="36">
      <formula>NoColor</formula>
    </cfRule>
  </conditionalFormatting>
  <conditionalFormatting sqref="BG48">
    <cfRule type="expression" dxfId="3575" priority="19">
      <formula>NoColor</formula>
    </cfRule>
  </conditionalFormatting>
  <conditionalFormatting sqref="BG51">
    <cfRule type="expression" dxfId="3574" priority="18">
      <formula>NoColor</formula>
    </cfRule>
  </conditionalFormatting>
  <conditionalFormatting sqref="BG56">
    <cfRule type="expression" dxfId="3573" priority="17">
      <formula>NoColor</formula>
    </cfRule>
  </conditionalFormatting>
  <conditionalFormatting sqref="BK7:BK10">
    <cfRule type="expression" dxfId="3572" priority="11">
      <formula>BK7&lt;&gt;""</formula>
    </cfRule>
  </conditionalFormatting>
  <conditionalFormatting sqref="BK15:BK30">
    <cfRule type="expression" dxfId="3571" priority="7">
      <formula>BK15&lt;&gt;""</formula>
    </cfRule>
  </conditionalFormatting>
  <hyperlinks>
    <hyperlink ref="D58" r:id="rId1" xr:uid="{00000000-0004-0000-0D00-000000000000}"/>
  </hyperlinks>
  <pageMargins left="0.75" right="0.25" top="0.36" bottom="0.28999999999999998" header="0.36" footer="0.21"/>
  <pageSetup scale="50" fitToHeight="0" orientation="landscape" r:id="rId2"/>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BC134"/>
  <sheetViews>
    <sheetView zoomScaleNormal="100" zoomScaleSheetLayoutView="130" workbookViewId="0"/>
  </sheetViews>
  <sheetFormatPr defaultColWidth="3.42578125" defaultRowHeight="15"/>
  <cols>
    <col min="2" max="5" width="3.85546875" customWidth="1"/>
    <col min="6" max="8" width="5.7109375" customWidth="1"/>
    <col min="9" max="9" width="4.85546875" customWidth="1"/>
    <col min="10" max="12" width="3.42578125" customWidth="1"/>
    <col min="13" max="14" width="5.7109375" customWidth="1"/>
    <col min="15" max="15" width="5" customWidth="1"/>
    <col min="16" max="17" width="5.7109375" customWidth="1"/>
    <col min="18" max="19" width="3.42578125" customWidth="1"/>
    <col min="20" max="20" width="6" customWidth="1"/>
    <col min="21" max="21" width="1.85546875" customWidth="1"/>
    <col min="22" max="22" width="4.42578125" customWidth="1"/>
    <col min="23" max="23" width="1.85546875" customWidth="1"/>
    <col min="24" max="24" width="4.140625" customWidth="1"/>
    <col min="25" max="25" width="4.42578125" customWidth="1"/>
    <col min="26" max="26" width="3.42578125" customWidth="1"/>
    <col min="27" max="27" width="2.28515625" customWidth="1"/>
    <col min="28" max="28" width="6" customWidth="1"/>
    <col min="29" max="30" width="3" customWidth="1"/>
    <col min="31" max="31" width="5.42578125" customWidth="1"/>
    <col min="32" max="32" width="3.5703125" customWidth="1"/>
    <col min="33" max="33" width="3" customWidth="1"/>
    <col min="35" max="35" width="18.7109375" customWidth="1"/>
    <col min="36" max="36" width="12.42578125" style="6614" hidden="1" customWidth="1"/>
    <col min="37" max="37" width="15" customWidth="1"/>
    <col min="38" max="38" width="4" customWidth="1"/>
    <col min="39" max="39" width="27.85546875" customWidth="1"/>
    <col min="40" max="40" width="16.7109375" customWidth="1"/>
    <col min="41" max="41" width="24.42578125" customWidth="1"/>
    <col min="43" max="43" width="7.42578125" customWidth="1"/>
    <col min="44" max="44" width="10.7109375" style="816" customWidth="1"/>
    <col min="45" max="54" width="10.7109375" style="815" customWidth="1"/>
  </cols>
  <sheetData>
    <row r="1" spans="1:54">
      <c r="A1" s="1277"/>
      <c r="B1" s="1277"/>
      <c r="C1" s="1277"/>
      <c r="D1" s="1277"/>
      <c r="E1" s="1277"/>
      <c r="F1" s="1277"/>
      <c r="G1" s="1277"/>
      <c r="H1" s="1277"/>
      <c r="I1" s="1277"/>
      <c r="J1" s="1277"/>
      <c r="K1" s="1277"/>
      <c r="L1" s="1277"/>
      <c r="M1" s="1277"/>
      <c r="N1" s="1277"/>
      <c r="O1" s="1277"/>
      <c r="P1" s="1277"/>
      <c r="Q1" s="1277"/>
      <c r="R1" s="1277"/>
      <c r="S1" s="1277"/>
      <c r="T1" s="1277"/>
      <c r="U1" s="1277"/>
      <c r="V1" s="1277"/>
      <c r="W1" s="1277"/>
      <c r="X1" s="1277"/>
      <c r="Y1" s="1277"/>
      <c r="Z1" s="1277"/>
      <c r="AA1" s="1277"/>
      <c r="AB1" s="1277"/>
      <c r="AC1" s="1277"/>
      <c r="AD1" s="1277"/>
      <c r="AE1" s="1277"/>
      <c r="AF1" s="1277"/>
      <c r="AG1" s="1277"/>
      <c r="AH1" s="1277"/>
      <c r="AI1" s="253"/>
      <c r="AJ1" s="6610"/>
      <c r="AK1" s="2875"/>
      <c r="AL1" s="253"/>
      <c r="AM1" s="253"/>
      <c r="AN1" s="253"/>
      <c r="AO1" s="253"/>
      <c r="AP1" s="253"/>
      <c r="AQ1" s="253"/>
      <c r="AR1" s="769" t="s">
        <v>223</v>
      </c>
      <c r="AS1" s="769"/>
      <c r="AT1" s="769"/>
      <c r="AU1" s="769"/>
      <c r="AV1" s="769"/>
      <c r="AW1" s="769"/>
      <c r="AX1" s="769"/>
      <c r="AY1" s="769"/>
      <c r="AZ1" s="769"/>
      <c r="BA1" s="769"/>
      <c r="BB1" s="769"/>
    </row>
    <row r="2" spans="1:54" ht="18" customHeight="1">
      <c r="A2" s="7554"/>
      <c r="B2" s="7344" t="s">
        <v>5992</v>
      </c>
      <c r="C2" s="7344"/>
      <c r="D2" s="7344"/>
      <c r="E2" s="7344"/>
      <c r="F2" s="7660"/>
      <c r="G2" s="253"/>
      <c r="H2" s="253"/>
      <c r="I2" s="253"/>
      <c r="J2" s="253"/>
      <c r="K2" s="253"/>
      <c r="L2" s="253"/>
      <c r="M2" s="253"/>
      <c r="N2" s="253"/>
      <c r="O2" s="253"/>
      <c r="P2" s="253"/>
      <c r="Q2" s="253"/>
      <c r="R2" s="253"/>
      <c r="S2" s="253"/>
      <c r="T2" s="253"/>
      <c r="U2" s="253"/>
      <c r="V2" s="253"/>
      <c r="W2" s="253"/>
      <c r="X2" s="253"/>
      <c r="Y2" s="253"/>
      <c r="Z2" s="253"/>
      <c r="AA2" s="253"/>
      <c r="AB2" s="7586" t="str">
        <f>IF(AND(AH2="",'Table of Contents'!A20="D"),"DRAFT","OMB No. 1545-0074")</f>
        <v>OMB No. 1545-0074</v>
      </c>
      <c r="AC2" s="7587"/>
      <c r="AD2" s="7587"/>
      <c r="AE2" s="7587"/>
      <c r="AF2" s="7587"/>
      <c r="AG2" s="7587"/>
      <c r="AH2" s="770"/>
      <c r="AI2" s="253" t="str">
        <f>IF('Table of Contents'!A20="D","Hide 'DRAFT'.","")</f>
        <v/>
      </c>
      <c r="AJ2" s="6610"/>
      <c r="AK2" s="2875"/>
      <c r="AL2" s="253"/>
      <c r="AM2" s="253"/>
      <c r="AN2" s="253"/>
      <c r="AO2" s="253"/>
      <c r="AP2" s="253"/>
      <c r="AQ2" s="253"/>
      <c r="AR2" s="948"/>
      <c r="AS2" s="769"/>
      <c r="AT2" s="769"/>
      <c r="AU2" s="769"/>
      <c r="AV2" s="769"/>
      <c r="AW2" s="769"/>
      <c r="AX2" s="769"/>
      <c r="AY2" s="769"/>
      <c r="AZ2" s="769"/>
      <c r="BA2" s="769"/>
      <c r="BB2" s="769"/>
    </row>
    <row r="3" spans="1:54" ht="16.5" customHeight="1">
      <c r="A3" s="7554"/>
      <c r="B3" s="7344"/>
      <c r="C3" s="7344"/>
      <c r="D3" s="7344"/>
      <c r="E3" s="7344"/>
      <c r="F3" s="7660"/>
      <c r="G3" s="6137" t="s">
        <v>775</v>
      </c>
      <c r="H3" s="766"/>
      <c r="I3" s="766"/>
      <c r="J3" s="766"/>
      <c r="K3" s="766"/>
      <c r="L3" s="766"/>
      <c r="M3" s="766"/>
      <c r="N3" s="766"/>
      <c r="O3" s="766"/>
      <c r="P3" s="766"/>
      <c r="Q3" s="766"/>
      <c r="R3" s="766"/>
      <c r="S3" s="766"/>
      <c r="T3" s="766"/>
      <c r="U3" s="766"/>
      <c r="V3" s="766"/>
      <c r="W3" s="766"/>
      <c r="X3" s="766"/>
      <c r="Y3" s="766"/>
      <c r="Z3" s="766"/>
      <c r="AA3" s="767"/>
      <c r="AB3" s="7591">
        <f>TaxYear</f>
        <v>2025</v>
      </c>
      <c r="AC3" s="7592"/>
      <c r="AD3" s="7592"/>
      <c r="AE3" s="7592"/>
      <c r="AF3" s="7592"/>
      <c r="AG3" s="7592"/>
      <c r="AH3" s="1277"/>
      <c r="AI3" s="253"/>
      <c r="AJ3" s="6610"/>
      <c r="AK3" s="2875"/>
      <c r="AL3" s="253"/>
      <c r="AM3" s="253"/>
      <c r="AN3" s="253"/>
      <c r="AO3" s="253"/>
      <c r="AP3" s="253"/>
      <c r="AQ3" s="253"/>
      <c r="AR3" s="948" t="s">
        <v>289</v>
      </c>
      <c r="AS3" s="769"/>
      <c r="AT3" s="769"/>
      <c r="AU3" s="769"/>
      <c r="AV3" s="769"/>
      <c r="AW3" s="769"/>
      <c r="AX3" s="769"/>
      <c r="AY3" s="769"/>
      <c r="AZ3" s="769"/>
      <c r="BA3" s="769"/>
      <c r="BB3" s="769"/>
    </row>
    <row r="4" spans="1:54" ht="15.75" customHeight="1">
      <c r="A4" s="770"/>
      <c r="B4" s="7344"/>
      <c r="C4" s="7344"/>
      <c r="D4" s="7344"/>
      <c r="E4" s="7344"/>
      <c r="F4" s="7660"/>
      <c r="G4" s="7607" t="s">
        <v>776</v>
      </c>
      <c r="H4" s="7608"/>
      <c r="I4" s="7608"/>
      <c r="J4" s="7608"/>
      <c r="K4" s="7608"/>
      <c r="L4" s="7608"/>
      <c r="M4" s="7608"/>
      <c r="N4" s="7608"/>
      <c r="O4" s="7608"/>
      <c r="P4" s="7608"/>
      <c r="Q4" s="7608"/>
      <c r="R4" s="7608"/>
      <c r="S4" s="7608"/>
      <c r="T4" s="7608"/>
      <c r="U4" s="7608"/>
      <c r="V4" s="7608"/>
      <c r="W4" s="7608"/>
      <c r="X4" s="7608"/>
      <c r="Y4" s="7608"/>
      <c r="Z4" s="7608"/>
      <c r="AA4" s="7609"/>
      <c r="AB4" s="7593"/>
      <c r="AC4" s="7594"/>
      <c r="AD4" s="7594"/>
      <c r="AE4" s="7594"/>
      <c r="AF4" s="7594"/>
      <c r="AG4" s="7594"/>
      <c r="AH4" s="1277"/>
      <c r="AI4" s="253"/>
      <c r="AJ4" s="6610"/>
      <c r="AK4" s="2875"/>
      <c r="AL4" s="253"/>
      <c r="AM4" s="253"/>
      <c r="AN4" s="253"/>
      <c r="AO4" s="253"/>
      <c r="AP4" s="253"/>
      <c r="AQ4" s="253"/>
      <c r="AR4" s="769"/>
      <c r="AS4" s="769"/>
      <c r="AT4" s="769"/>
      <c r="AU4" s="769"/>
      <c r="AV4" s="769"/>
      <c r="AW4" s="769"/>
      <c r="AX4" s="769"/>
      <c r="AY4" s="769"/>
      <c r="AZ4" s="769"/>
      <c r="BA4" s="769"/>
      <c r="BB4" s="769"/>
    </row>
    <row r="5" spans="1:54" ht="18" customHeight="1">
      <c r="A5" s="1277"/>
      <c r="B5" s="7613" t="s">
        <v>2318</v>
      </c>
      <c r="C5" s="7613"/>
      <c r="D5" s="7613"/>
      <c r="E5" s="7613"/>
      <c r="F5" s="7614"/>
      <c r="G5" s="7610" t="s">
        <v>778</v>
      </c>
      <c r="H5" s="7611"/>
      <c r="I5" s="7611"/>
      <c r="J5" s="7611"/>
      <c r="K5" s="7611"/>
      <c r="L5" s="7611"/>
      <c r="M5" s="7611"/>
      <c r="N5" s="7611"/>
      <c r="O5" s="7611"/>
      <c r="P5" s="7611"/>
      <c r="Q5" s="7611"/>
      <c r="R5" s="7611"/>
      <c r="S5" s="7611"/>
      <c r="T5" s="7611"/>
      <c r="U5" s="7611"/>
      <c r="V5" s="7611"/>
      <c r="W5" s="7611"/>
      <c r="X5" s="7611"/>
      <c r="Y5" s="7611"/>
      <c r="Z5" s="7611"/>
      <c r="AA5" s="7612"/>
      <c r="AB5" s="6082"/>
      <c r="AC5" s="7595" t="s">
        <v>777</v>
      </c>
      <c r="AD5" s="7595"/>
      <c r="AE5" s="7595"/>
      <c r="AF5" s="7595"/>
      <c r="AG5" s="7595"/>
      <c r="AH5" s="1277"/>
      <c r="AI5" s="253"/>
      <c r="AJ5" s="6610"/>
      <c r="AK5" s="2875"/>
      <c r="AL5" s="253"/>
      <c r="AM5" s="253"/>
      <c r="AN5" s="253"/>
      <c r="AO5" s="253"/>
      <c r="AP5" s="253"/>
      <c r="AQ5" s="253"/>
      <c r="AR5" s="769"/>
      <c r="AS5" s="769"/>
      <c r="AT5" s="769"/>
      <c r="AU5" s="769"/>
      <c r="AV5" s="769"/>
      <c r="AW5" s="769"/>
      <c r="AX5" s="769"/>
      <c r="AY5" s="769"/>
      <c r="AZ5" s="769"/>
      <c r="BA5" s="769"/>
      <c r="BB5" s="769"/>
    </row>
    <row r="6" spans="1:54" ht="9.75" customHeight="1" thickBot="1">
      <c r="A6" s="1277"/>
      <c r="B6" s="7615"/>
      <c r="C6" s="7615"/>
      <c r="D6" s="7615"/>
      <c r="E6" s="7615"/>
      <c r="F6" s="7616"/>
      <c r="G6" s="2879"/>
      <c r="H6" s="2880"/>
      <c r="I6" s="2879"/>
      <c r="J6" s="2881"/>
      <c r="K6" s="2880"/>
      <c r="L6" s="2880"/>
      <c r="M6" s="2880"/>
      <c r="N6" s="2880"/>
      <c r="O6" s="2880"/>
      <c r="P6" s="2880"/>
      <c r="Q6" s="2880"/>
      <c r="R6" s="2880"/>
      <c r="S6" s="2880"/>
      <c r="T6" s="2880"/>
      <c r="U6" s="2880"/>
      <c r="V6" s="2880"/>
      <c r="W6" s="2880"/>
      <c r="X6" s="2880"/>
      <c r="Y6" s="2880"/>
      <c r="Z6" s="2880"/>
      <c r="AA6" s="2880"/>
      <c r="AB6" s="6083"/>
      <c r="AC6" s="7596"/>
      <c r="AD6" s="7596"/>
      <c r="AE6" s="7596"/>
      <c r="AF6" s="7596"/>
      <c r="AG6" s="7596"/>
      <c r="AH6" s="1277"/>
      <c r="AI6" s="253"/>
      <c r="AJ6" s="6610"/>
      <c r="AK6" s="2875"/>
      <c r="AL6" s="253"/>
      <c r="AM6" s="253"/>
      <c r="AN6" s="253"/>
      <c r="AO6" s="253"/>
      <c r="AP6" s="253"/>
      <c r="AQ6" s="253"/>
      <c r="AR6" s="769"/>
      <c r="AS6" s="769"/>
      <c r="AT6" s="769"/>
      <c r="AU6" s="769"/>
      <c r="AV6" s="769"/>
      <c r="AW6" s="769"/>
      <c r="AX6" s="769"/>
      <c r="AY6" s="769"/>
      <c r="AZ6" s="769"/>
      <c r="BA6" s="769"/>
      <c r="BB6" s="769"/>
    </row>
    <row r="7" spans="1:54">
      <c r="A7" s="1277"/>
      <c r="B7" s="344" t="s">
        <v>779</v>
      </c>
      <c r="C7" s="253"/>
      <c r="D7" s="253"/>
      <c r="E7" s="253"/>
      <c r="F7" s="253"/>
      <c r="G7" s="253"/>
      <c r="H7" s="253"/>
      <c r="I7" s="253"/>
      <c r="J7" s="253"/>
      <c r="K7" s="253"/>
      <c r="L7" s="253"/>
      <c r="M7" s="253"/>
      <c r="N7" s="253"/>
      <c r="O7" s="253"/>
      <c r="P7" s="253"/>
      <c r="Q7" s="253"/>
      <c r="R7" s="253"/>
      <c r="S7" s="253"/>
      <c r="T7" s="253"/>
      <c r="U7" s="253"/>
      <c r="V7" s="253"/>
      <c r="W7" s="253"/>
      <c r="X7" s="253"/>
      <c r="Y7" s="253"/>
      <c r="Z7" s="253"/>
      <c r="AA7" s="253"/>
      <c r="AB7" s="5881" t="s">
        <v>549</v>
      </c>
      <c r="AC7" s="377"/>
      <c r="AD7" s="377"/>
      <c r="AE7" s="377"/>
      <c r="AF7" s="377"/>
      <c r="AG7" s="377"/>
      <c r="AH7" s="1277"/>
      <c r="AI7" s="253"/>
      <c r="AJ7" s="6610"/>
      <c r="AK7" s="7562" t="s">
        <v>585</v>
      </c>
      <c r="AL7" s="253"/>
      <c r="AM7" s="349"/>
      <c r="AN7" s="253"/>
      <c r="AO7" s="253"/>
      <c r="AP7" s="253"/>
      <c r="AQ7" s="253"/>
      <c r="AR7" s="769"/>
      <c r="AS7" s="769"/>
      <c r="AT7" s="769"/>
      <c r="AU7" s="769"/>
      <c r="AV7" s="769"/>
      <c r="AW7" s="769"/>
      <c r="AX7" s="769"/>
      <c r="AY7" s="769"/>
      <c r="AZ7" s="769"/>
      <c r="BA7" s="769"/>
      <c r="BB7" s="769"/>
    </row>
    <row r="8" spans="1:54" ht="9.75" customHeight="1">
      <c r="A8" s="1277"/>
      <c r="B8" s="7600" t="str">
        <f>Names</f>
        <v/>
      </c>
      <c r="C8" s="7601"/>
      <c r="D8" s="7601"/>
      <c r="E8" s="7601"/>
      <c r="F8" s="7601"/>
      <c r="G8" s="7601"/>
      <c r="H8" s="7601"/>
      <c r="I8" s="7601"/>
      <c r="J8" s="7601"/>
      <c r="K8" s="7601"/>
      <c r="L8" s="7601"/>
      <c r="M8" s="7601"/>
      <c r="N8" s="7601"/>
      <c r="O8" s="7601"/>
      <c r="P8" s="7601"/>
      <c r="Q8" s="7601"/>
      <c r="R8" s="7601"/>
      <c r="S8" s="7601"/>
      <c r="T8" s="7601"/>
      <c r="U8" s="7601"/>
      <c r="V8" s="7601"/>
      <c r="W8" s="7601"/>
      <c r="X8" s="7601"/>
      <c r="Y8" s="7601"/>
      <c r="Z8" s="7601"/>
      <c r="AA8" s="7602"/>
      <c r="AB8" s="7588">
        <f>IF(NoSSN,"",SS_Yours)</f>
        <v>1010001</v>
      </c>
      <c r="AC8" s="7589"/>
      <c r="AD8" s="7589"/>
      <c r="AE8" s="7589"/>
      <c r="AF8" s="7589"/>
      <c r="AG8" s="7589"/>
      <c r="AH8" s="1277"/>
      <c r="AI8" s="253"/>
      <c r="AJ8" s="6610"/>
      <c r="AK8" s="7563"/>
      <c r="AL8" s="253"/>
      <c r="AM8" s="253"/>
      <c r="AN8" s="253"/>
      <c r="AO8" s="253"/>
      <c r="AP8" s="253"/>
      <c r="AQ8" s="253"/>
      <c r="AR8" s="769"/>
      <c r="AS8" s="769"/>
      <c r="AT8" s="769"/>
      <c r="AU8" s="769"/>
      <c r="AV8" s="769"/>
      <c r="AW8" s="769"/>
      <c r="AX8" s="769"/>
      <c r="AY8" s="769"/>
      <c r="AZ8" s="769"/>
      <c r="BA8" s="769"/>
      <c r="BB8" s="769"/>
    </row>
    <row r="9" spans="1:54" ht="9.75" customHeight="1">
      <c r="A9" s="1277"/>
      <c r="B9" s="7603"/>
      <c r="C9" s="7603"/>
      <c r="D9" s="7603"/>
      <c r="E9" s="7603"/>
      <c r="F9" s="7603"/>
      <c r="G9" s="7603"/>
      <c r="H9" s="7603"/>
      <c r="I9" s="7603"/>
      <c r="J9" s="7603"/>
      <c r="K9" s="7603"/>
      <c r="L9" s="7603"/>
      <c r="M9" s="7603"/>
      <c r="N9" s="7603"/>
      <c r="O9" s="7603"/>
      <c r="P9" s="7603"/>
      <c r="Q9" s="7603"/>
      <c r="R9" s="7603"/>
      <c r="S9" s="7603"/>
      <c r="T9" s="7603"/>
      <c r="U9" s="7603"/>
      <c r="V9" s="7603"/>
      <c r="W9" s="7603"/>
      <c r="X9" s="7603"/>
      <c r="Y9" s="7603"/>
      <c r="Z9" s="7603"/>
      <c r="AA9" s="7604"/>
      <c r="AB9" s="7590"/>
      <c r="AC9" s="7587"/>
      <c r="AD9" s="7587"/>
      <c r="AE9" s="7587"/>
      <c r="AF9" s="7587"/>
      <c r="AG9" s="7587"/>
      <c r="AH9" s="1277"/>
      <c r="AI9" s="253"/>
      <c r="AJ9" s="6610"/>
      <c r="AK9" s="7564"/>
      <c r="AL9" s="253"/>
      <c r="AM9" s="253"/>
      <c r="AN9" s="253"/>
      <c r="AO9" s="5357">
        <v>43465</v>
      </c>
      <c r="AP9" s="253"/>
      <c r="AQ9" s="253"/>
      <c r="AR9" s="769"/>
      <c r="AS9" s="769"/>
      <c r="AT9" s="769"/>
      <c r="AU9" s="769"/>
      <c r="AV9" s="769"/>
      <c r="AW9" s="769"/>
      <c r="AX9" s="769"/>
      <c r="AY9" s="769"/>
      <c r="AZ9" s="769"/>
      <c r="BA9" s="769"/>
      <c r="BB9" s="769"/>
    </row>
    <row r="10" spans="1:54" ht="14.25" customHeight="1">
      <c r="A10" s="1277"/>
      <c r="B10" s="1323" t="str">
        <f>"For "&amp;TaxYear&amp;", enter the amount reported to you on Form(s) 1099-K that was included in error or for personal"</f>
        <v>For 2025, enter the amount reported to you on Form(s) 1099-K that was included in error or for personal</v>
      </c>
      <c r="C10" s="344"/>
      <c r="D10" s="565"/>
      <c r="E10" s="565"/>
      <c r="F10" s="565"/>
      <c r="G10" s="565"/>
      <c r="H10" s="565"/>
      <c r="I10" s="565"/>
      <c r="J10" s="565"/>
      <c r="K10" s="565"/>
      <c r="L10" s="565"/>
      <c r="M10" s="565"/>
      <c r="N10" s="565"/>
      <c r="O10" s="565"/>
      <c r="P10" s="565"/>
      <c r="Q10" s="565"/>
      <c r="R10" s="565"/>
      <c r="S10" s="565"/>
      <c r="T10" s="565"/>
      <c r="U10" s="565"/>
      <c r="V10" s="565"/>
      <c r="W10" s="565"/>
      <c r="X10" s="565"/>
      <c r="Y10" s="565"/>
      <c r="Z10" s="565"/>
      <c r="AA10" s="565"/>
      <c r="AB10" s="6081"/>
      <c r="AC10" s="6081"/>
      <c r="AD10" s="6081"/>
      <c r="AE10" s="6081"/>
      <c r="AF10" s="6081"/>
      <c r="AG10" s="6081"/>
      <c r="AH10" s="1277"/>
      <c r="AI10" s="253"/>
      <c r="AJ10" s="6610"/>
      <c r="AK10" s="2875"/>
      <c r="AL10" s="253"/>
      <c r="AM10" s="253"/>
      <c r="AN10" s="253"/>
      <c r="AO10" s="5357"/>
      <c r="AP10" s="253"/>
      <c r="AQ10" s="253"/>
      <c r="AR10" s="827"/>
      <c r="AS10" s="769"/>
      <c r="AT10" s="769"/>
      <c r="AU10" s="769"/>
      <c r="AV10" s="769"/>
      <c r="AW10" s="769"/>
      <c r="AX10" s="769"/>
      <c r="AY10" s="769"/>
      <c r="AZ10" s="769"/>
      <c r="BA10" s="769"/>
      <c r="BB10" s="769"/>
    </row>
    <row r="11" spans="1:54" ht="15.75">
      <c r="A11" s="1277"/>
      <c r="B11" s="1323" t="s">
        <v>5515</v>
      </c>
      <c r="C11" s="344"/>
      <c r="D11" s="344"/>
      <c r="E11" s="344"/>
      <c r="F11" s="344"/>
      <c r="G11" s="344"/>
      <c r="H11" s="344"/>
      <c r="I11" s="344"/>
      <c r="J11" s="344"/>
      <c r="K11" s="344"/>
      <c r="L11" s="344"/>
      <c r="M11" s="344"/>
      <c r="N11" s="344"/>
      <c r="O11" s="344"/>
      <c r="P11" s="344"/>
      <c r="Q11" s="344"/>
      <c r="R11" s="344"/>
      <c r="S11" s="344"/>
      <c r="T11" s="344"/>
      <c r="U11" s="344"/>
      <c r="V11" s="344"/>
      <c r="W11" s="344"/>
      <c r="X11" s="344"/>
      <c r="Y11" s="344"/>
      <c r="Z11" s="344"/>
      <c r="AA11" s="344"/>
      <c r="AB11" s="873"/>
      <c r="AC11" s="7617"/>
      <c r="AD11" s="7617"/>
      <c r="AE11" s="7617"/>
      <c r="AF11" s="7617"/>
      <c r="AG11" s="7617"/>
      <c r="AH11" s="1277"/>
      <c r="AI11" s="253"/>
      <c r="AJ11" s="6610"/>
      <c r="AK11" s="2875"/>
      <c r="AL11" s="253"/>
      <c r="AM11" s="253"/>
      <c r="AN11" s="253"/>
      <c r="AO11" s="5357"/>
      <c r="AP11" s="253"/>
      <c r="AQ11" s="253"/>
      <c r="AR11" s="827"/>
      <c r="AS11" s="769"/>
      <c r="AT11" s="769"/>
      <c r="AU11" s="769"/>
      <c r="AV11" s="769"/>
      <c r="AW11" s="769"/>
      <c r="AX11" s="769"/>
      <c r="AY11" s="769"/>
      <c r="AZ11" s="769"/>
      <c r="BA11" s="769"/>
      <c r="BB11" s="769"/>
    </row>
    <row r="12" spans="1:54" ht="20.25" customHeight="1">
      <c r="A12" s="1277"/>
      <c r="B12" s="1323" t="s">
        <v>5968</v>
      </c>
      <c r="C12" s="344"/>
      <c r="D12" s="344"/>
      <c r="E12" s="344"/>
      <c r="F12" s="344"/>
      <c r="G12" s="344"/>
      <c r="H12" s="344"/>
      <c r="I12" s="344"/>
      <c r="J12" s="344"/>
      <c r="K12" s="344"/>
      <c r="L12" s="344"/>
      <c r="M12" s="344"/>
      <c r="N12" s="344"/>
      <c r="O12" s="344"/>
      <c r="P12" s="344"/>
      <c r="Q12" s="344"/>
      <c r="R12" s="344"/>
      <c r="S12" s="344"/>
      <c r="T12" s="344"/>
      <c r="U12" s="344"/>
      <c r="V12" s="344"/>
      <c r="W12" s="344"/>
      <c r="X12" s="344"/>
      <c r="Y12" s="344"/>
      <c r="Z12" s="344"/>
      <c r="AA12" s="344"/>
      <c r="AB12" s="873"/>
      <c r="AC12" s="873"/>
      <c r="AD12" s="873"/>
      <c r="AE12" s="873"/>
      <c r="AF12" s="873"/>
      <c r="AG12" s="873"/>
      <c r="AH12" s="1277"/>
      <c r="AI12" s="253"/>
      <c r="AJ12" s="6610"/>
      <c r="AK12" s="2875"/>
      <c r="AL12" s="253"/>
      <c r="AM12" s="253"/>
      <c r="AN12" s="253"/>
      <c r="AO12" s="5357"/>
      <c r="AP12" s="253"/>
      <c r="AQ12" s="253"/>
      <c r="AR12" s="827"/>
      <c r="AS12" s="769"/>
      <c r="AT12" s="769"/>
      <c r="AU12" s="769"/>
      <c r="AV12" s="769"/>
      <c r="AW12" s="769"/>
      <c r="AX12" s="769"/>
      <c r="AY12" s="769"/>
      <c r="AZ12" s="769"/>
      <c r="BA12" s="769"/>
      <c r="BB12" s="769"/>
    </row>
    <row r="13" spans="1:54" ht="18.75" customHeight="1">
      <c r="A13" s="1277"/>
      <c r="B13" s="2006" t="s">
        <v>5969</v>
      </c>
      <c r="C13" s="344"/>
      <c r="D13" s="569"/>
      <c r="E13" s="569"/>
      <c r="F13" s="569"/>
      <c r="G13" s="569"/>
      <c r="H13" s="569"/>
      <c r="I13" s="569"/>
      <c r="J13" s="569"/>
      <c r="K13" s="569"/>
      <c r="L13" s="569"/>
      <c r="M13" s="569"/>
      <c r="N13" s="569"/>
      <c r="O13" s="569"/>
      <c r="P13" s="569"/>
      <c r="Q13" s="569"/>
      <c r="R13" s="569"/>
      <c r="S13" s="569"/>
      <c r="T13" s="569"/>
      <c r="U13" s="569"/>
      <c r="V13" s="569"/>
      <c r="W13" s="569"/>
      <c r="X13" s="569"/>
      <c r="Y13" s="569"/>
      <c r="Z13" s="569"/>
      <c r="AA13" s="569"/>
      <c r="AB13" s="3810"/>
      <c r="AC13" s="3810"/>
      <c r="AD13" s="3810"/>
      <c r="AE13" s="3810"/>
      <c r="AF13" s="3810"/>
      <c r="AG13" s="3810"/>
      <c r="AH13" s="1277"/>
      <c r="AI13" s="253"/>
      <c r="AJ13" s="6610"/>
      <c r="AK13" s="2875"/>
      <c r="AL13" s="253"/>
      <c r="AM13" s="253"/>
      <c r="AN13" s="253"/>
      <c r="AO13" s="5357"/>
      <c r="AP13" s="253"/>
      <c r="AQ13" s="253"/>
      <c r="AR13" s="827"/>
      <c r="AS13" s="769"/>
      <c r="AT13" s="769"/>
      <c r="AU13" s="769"/>
      <c r="AV13" s="769"/>
      <c r="AW13" s="769"/>
      <c r="AX13" s="769"/>
      <c r="AY13" s="769"/>
      <c r="AZ13" s="769"/>
      <c r="BA13" s="769"/>
      <c r="BB13" s="769"/>
    </row>
    <row r="14" spans="1:54" ht="21" customHeight="1">
      <c r="A14" s="1277"/>
      <c r="B14" s="7605" t="s">
        <v>780</v>
      </c>
      <c r="C14" s="7605"/>
      <c r="D14" s="7606"/>
      <c r="E14" s="4446"/>
      <c r="F14" s="3376" t="s">
        <v>781</v>
      </c>
      <c r="G14" s="4446"/>
      <c r="H14" s="4446"/>
      <c r="I14" s="4446"/>
      <c r="J14" s="4446"/>
      <c r="K14" s="4446"/>
      <c r="L14" s="773"/>
      <c r="M14" s="773"/>
      <c r="N14" s="773"/>
      <c r="O14" s="773"/>
      <c r="P14" s="773"/>
      <c r="Q14" s="773"/>
      <c r="R14" s="773"/>
      <c r="S14" s="773"/>
      <c r="T14" s="773"/>
      <c r="U14" s="773"/>
      <c r="V14" s="773"/>
      <c r="W14" s="773"/>
      <c r="X14" s="773"/>
      <c r="Y14" s="773"/>
      <c r="Z14" s="773"/>
      <c r="AA14" s="773"/>
      <c r="AB14" s="773"/>
      <c r="AC14" s="773"/>
      <c r="AD14" s="773"/>
      <c r="AE14" s="773"/>
      <c r="AF14" s="773"/>
      <c r="AG14" s="773"/>
      <c r="AH14" s="1277"/>
      <c r="AI14" s="253"/>
      <c r="AJ14" s="6610"/>
      <c r="AK14" s="2875"/>
      <c r="AL14" s="253"/>
      <c r="AM14" s="514" t="s">
        <v>782</v>
      </c>
      <c r="AN14" s="253"/>
      <c r="AO14" s="512" t="b">
        <f>AND(AlimonyRcvd&gt;0,OR(V17="",V17&gt;=$AO$9))</f>
        <v>0</v>
      </c>
      <c r="AP14" s="253"/>
      <c r="AQ14" s="253"/>
      <c r="AR14" s="769"/>
      <c r="AS14" s="769"/>
      <c r="AT14" s="769"/>
      <c r="AU14" s="769"/>
      <c r="AV14" s="769"/>
      <c r="AW14" s="769"/>
      <c r="AX14" s="769"/>
      <c r="AY14" s="769"/>
      <c r="AZ14" s="769"/>
      <c r="BA14" s="769"/>
      <c r="BB14" s="769"/>
    </row>
    <row r="15" spans="1:54" ht="18.75" customHeight="1">
      <c r="A15" s="1277"/>
      <c r="B15" s="4467"/>
      <c r="C15" s="4242">
        <v>1</v>
      </c>
      <c r="D15" s="1323" t="s">
        <v>783</v>
      </c>
      <c r="E15" s="344"/>
      <c r="F15" s="253"/>
      <c r="G15" s="253"/>
      <c r="H15" s="253"/>
      <c r="I15" s="253"/>
      <c r="J15" s="253"/>
      <c r="K15" s="253"/>
      <c r="L15" s="253"/>
      <c r="M15" s="253"/>
      <c r="N15" s="253"/>
      <c r="O15" s="4467"/>
      <c r="P15" s="4467"/>
      <c r="Q15" s="4467"/>
      <c r="R15" s="253"/>
      <c r="S15" s="253"/>
      <c r="T15" s="253"/>
      <c r="U15" s="253"/>
      <c r="V15" s="253"/>
      <c r="W15" s="253"/>
      <c r="X15" s="253"/>
      <c r="Y15" s="253"/>
      <c r="Z15" s="253"/>
      <c r="AA15" s="1401" t="s">
        <v>784</v>
      </c>
      <c r="AB15" s="4447">
        <v>1</v>
      </c>
      <c r="AC15" s="7567">
        <f>IF(AK15&lt;&gt;"",ROUND(AK15,0),Taxable_State_Local_Tax_Refund)</f>
        <v>0</v>
      </c>
      <c r="AD15" s="7580"/>
      <c r="AE15" s="7580"/>
      <c r="AF15" s="7580"/>
      <c r="AG15" s="7580"/>
      <c r="AH15" s="1277"/>
      <c r="AI15" s="253"/>
      <c r="AJ15" s="6610"/>
      <c r="AK15" s="6135"/>
      <c r="AL15" s="253"/>
      <c r="AM15" s="344" t="s">
        <v>6682</v>
      </c>
      <c r="AN15" s="253"/>
      <c r="AO15" s="7584" t="s">
        <v>785</v>
      </c>
      <c r="AP15" s="253"/>
      <c r="AQ15" s="253"/>
      <c r="AR15" s="769"/>
      <c r="AS15" s="769"/>
      <c r="AT15" s="769"/>
      <c r="AU15" s="769"/>
      <c r="AV15" s="769"/>
      <c r="AW15" s="769"/>
      <c r="AX15" s="769"/>
      <c r="AY15" s="769"/>
      <c r="AZ15" s="769"/>
      <c r="BA15" s="769"/>
      <c r="BB15" s="769"/>
    </row>
    <row r="16" spans="1:54" ht="18.75" customHeight="1">
      <c r="A16" s="1277"/>
      <c r="B16" s="4467"/>
      <c r="C16" s="5883" t="s">
        <v>337</v>
      </c>
      <c r="D16" s="1323" t="s">
        <v>786</v>
      </c>
      <c r="E16" s="253"/>
      <c r="F16" s="253"/>
      <c r="G16" s="253"/>
      <c r="H16" s="253"/>
      <c r="I16" s="253"/>
      <c r="J16" s="253"/>
      <c r="K16" s="253"/>
      <c r="L16" s="253"/>
      <c r="M16" s="253"/>
      <c r="N16" s="253"/>
      <c r="O16" s="4467"/>
      <c r="P16" s="4467"/>
      <c r="Q16" s="4467"/>
      <c r="R16" s="253"/>
      <c r="S16" s="253"/>
      <c r="T16" s="253"/>
      <c r="U16" s="253"/>
      <c r="V16" s="253"/>
      <c r="W16" s="253"/>
      <c r="X16" s="253"/>
      <c r="Y16" s="253"/>
      <c r="Z16" s="253"/>
      <c r="AA16" s="1401" t="s">
        <v>787</v>
      </c>
      <c r="AB16" s="4449" t="s">
        <v>337</v>
      </c>
      <c r="AC16" s="7597">
        <f>ROUND(AK16,0)</f>
        <v>0</v>
      </c>
      <c r="AD16" s="7598"/>
      <c r="AE16" s="7598"/>
      <c r="AF16" s="7598"/>
      <c r="AG16" s="7599"/>
      <c r="AH16" s="1277"/>
      <c r="AI16" s="6084" t="str">
        <f>IF(AO14,"See TIP. &gt;&gt;","")</f>
        <v/>
      </c>
      <c r="AJ16" s="6611"/>
      <c r="AK16" s="6135"/>
      <c r="AL16" s="350" t="s">
        <v>788</v>
      </c>
      <c r="AM16" s="350"/>
      <c r="AN16" s="253"/>
      <c r="AO16" s="7091"/>
      <c r="AP16" s="253"/>
      <c r="AQ16" s="253"/>
      <c r="AR16" s="769"/>
      <c r="AS16" s="769"/>
      <c r="AT16" s="769"/>
      <c r="AU16" s="769"/>
      <c r="AV16" s="769"/>
      <c r="AW16" s="769"/>
      <c r="AX16" s="769"/>
      <c r="AY16" s="769"/>
      <c r="AZ16" s="769"/>
      <c r="BA16" s="769"/>
      <c r="BB16" s="769"/>
    </row>
    <row r="17" spans="1:54" ht="18.75" customHeight="1">
      <c r="A17" s="1277"/>
      <c r="B17" s="253"/>
      <c r="C17" s="4242" t="s">
        <v>592</v>
      </c>
      <c r="D17" s="1323" t="s">
        <v>5486</v>
      </c>
      <c r="E17" s="253"/>
      <c r="F17" s="253"/>
      <c r="G17" s="253"/>
      <c r="H17" s="253"/>
      <c r="I17" s="580"/>
      <c r="J17" s="253"/>
      <c r="K17" s="253"/>
      <c r="L17" s="253"/>
      <c r="M17" s="253"/>
      <c r="N17" s="253"/>
      <c r="O17" s="1218"/>
      <c r="P17" s="2373"/>
      <c r="Q17" s="253"/>
      <c r="R17" s="253"/>
      <c r="S17" s="253"/>
      <c r="T17" s="253"/>
      <c r="U17" s="253"/>
      <c r="V17" s="7559"/>
      <c r="W17" s="7560"/>
      <c r="X17" s="7560"/>
      <c r="Y17" s="7560"/>
      <c r="Z17" s="7560"/>
      <c r="AA17" s="253"/>
      <c r="AB17" s="5884"/>
      <c r="AC17" s="7578">
        <f>ROUND(AC16,0)</f>
        <v>0</v>
      </c>
      <c r="AD17" s="7579"/>
      <c r="AE17" s="7579"/>
      <c r="AF17" s="7579"/>
      <c r="AG17" s="7579"/>
      <c r="AH17" s="1277"/>
      <c r="AI17" s="4213"/>
      <c r="AJ17" s="6612"/>
      <c r="AK17" s="2875"/>
      <c r="AL17" s="253"/>
      <c r="AM17" s="253"/>
      <c r="AN17" s="253"/>
      <c r="AO17" s="7561" t="s">
        <v>790</v>
      </c>
      <c r="AP17" s="253"/>
      <c r="AQ17" s="253"/>
      <c r="AR17" s="769"/>
      <c r="AS17" s="769"/>
      <c r="AT17" s="769"/>
      <c r="AU17" s="769"/>
      <c r="AV17" s="769"/>
      <c r="AW17" s="769"/>
      <c r="AX17" s="769"/>
      <c r="AY17" s="769"/>
      <c r="AZ17" s="769"/>
      <c r="BA17" s="769"/>
      <c r="BB17" s="769"/>
    </row>
    <row r="18" spans="1:54" ht="18.75" customHeight="1">
      <c r="A18" s="1277"/>
      <c r="B18" s="253"/>
      <c r="C18" s="4467">
        <v>3</v>
      </c>
      <c r="D18" s="1323" t="s">
        <v>791</v>
      </c>
      <c r="E18" s="253"/>
      <c r="F18" s="253"/>
      <c r="G18" s="253"/>
      <c r="H18" s="253"/>
      <c r="I18" s="253"/>
      <c r="J18" s="253"/>
      <c r="K18" s="253"/>
      <c r="L18" s="253"/>
      <c r="M18" s="253"/>
      <c r="N18" s="253"/>
      <c r="O18" s="1218"/>
      <c r="P18" s="2373"/>
      <c r="Q18" s="253"/>
      <c r="R18" s="253"/>
      <c r="S18" s="253"/>
      <c r="T18" s="253"/>
      <c r="U18" s="253"/>
      <c r="V18" s="253"/>
      <c r="W18" s="253"/>
      <c r="X18" s="253"/>
      <c r="Y18" s="253"/>
      <c r="Z18" s="253"/>
      <c r="AA18" s="1401" t="s">
        <v>1859</v>
      </c>
      <c r="AB18" s="4448">
        <v>3</v>
      </c>
      <c r="AC18" s="7567">
        <f>IF(AK18&lt;&gt;"",ROUND(AK18,0),Business_Profit)</f>
        <v>0</v>
      </c>
      <c r="AD18" s="7580"/>
      <c r="AE18" s="7580"/>
      <c r="AF18" s="7580"/>
      <c r="AG18" s="7580"/>
      <c r="AH18" s="1277"/>
      <c r="AI18" s="253"/>
      <c r="AJ18" s="6610"/>
      <c r="AK18" s="6135"/>
      <c r="AL18" s="253"/>
      <c r="AM18" s="344" t="s">
        <v>97</v>
      </c>
      <c r="AN18" s="253"/>
      <c r="AO18" s="7561"/>
      <c r="AP18" s="253"/>
      <c r="AQ18" s="253"/>
      <c r="AR18" s="769"/>
      <c r="AS18" s="769"/>
      <c r="AT18" s="769"/>
      <c r="AU18" s="769"/>
      <c r="AV18" s="769"/>
      <c r="AW18" s="769"/>
      <c r="AX18" s="769"/>
      <c r="AY18" s="769"/>
      <c r="AZ18" s="769"/>
      <c r="BA18" s="769"/>
      <c r="BB18" s="769"/>
    </row>
    <row r="19" spans="1:54" ht="18.75" customHeight="1">
      <c r="A19" s="1277"/>
      <c r="B19" s="253"/>
      <c r="C19" s="4467">
        <v>4</v>
      </c>
      <c r="D19" s="1323" t="s">
        <v>5963</v>
      </c>
      <c r="E19" s="253"/>
      <c r="F19" s="253"/>
      <c r="G19" s="253"/>
      <c r="H19" s="253"/>
      <c r="I19" s="253"/>
      <c r="J19" s="253"/>
      <c r="K19" s="253"/>
      <c r="L19" s="253"/>
      <c r="M19" s="253"/>
      <c r="N19" s="253"/>
      <c r="O19" s="1111"/>
      <c r="P19" s="2341" t="s">
        <v>5964</v>
      </c>
      <c r="Q19" s="253"/>
      <c r="R19" s="1111"/>
      <c r="S19" s="2341" t="s">
        <v>5965</v>
      </c>
      <c r="T19" s="253"/>
      <c r="U19" s="253"/>
      <c r="V19" s="253"/>
      <c r="W19" s="253"/>
      <c r="X19" s="253"/>
      <c r="Y19" s="253"/>
      <c r="Z19" s="253"/>
      <c r="AA19" s="1401" t="s">
        <v>877</v>
      </c>
      <c r="AB19" s="4449">
        <v>4</v>
      </c>
      <c r="AC19" s="7572"/>
      <c r="AD19" s="7573"/>
      <c r="AE19" s="7573"/>
      <c r="AF19" s="7573"/>
      <c r="AG19" s="7574"/>
      <c r="AH19" s="1277"/>
      <c r="AI19" s="253"/>
      <c r="AJ19" s="6610">
        <f>ROUND(AC19,0)</f>
        <v>0</v>
      </c>
      <c r="AK19" s="2875"/>
      <c r="AL19" s="253"/>
      <c r="AM19" s="990"/>
      <c r="AN19" s="253"/>
      <c r="AO19" s="7561"/>
      <c r="AP19" s="253"/>
      <c r="AQ19" s="253"/>
      <c r="AR19" s="769"/>
      <c r="AS19" s="769"/>
      <c r="AT19" s="769"/>
      <c r="AU19" s="769"/>
      <c r="AV19" s="769"/>
      <c r="AW19" s="769"/>
      <c r="AX19" s="769"/>
      <c r="AY19" s="769"/>
      <c r="AZ19" s="769"/>
      <c r="BA19" s="769"/>
      <c r="BB19" s="769"/>
    </row>
    <row r="20" spans="1:54" ht="18.75" customHeight="1">
      <c r="A20" s="1277"/>
      <c r="B20" s="253"/>
      <c r="C20" s="4467">
        <v>5</v>
      </c>
      <c r="D20" s="1323" t="s">
        <v>5970</v>
      </c>
      <c r="E20" s="253"/>
      <c r="F20" s="253"/>
      <c r="G20" s="253"/>
      <c r="H20" s="253"/>
      <c r="I20" s="253"/>
      <c r="J20" s="253"/>
      <c r="K20" s="253"/>
      <c r="L20" s="253"/>
      <c r="M20" s="253"/>
      <c r="N20" s="253"/>
      <c r="O20" s="1218"/>
      <c r="P20" s="2373"/>
      <c r="Q20" s="253"/>
      <c r="R20" s="253"/>
      <c r="S20" s="253"/>
      <c r="T20" s="253"/>
      <c r="U20" s="253"/>
      <c r="V20" s="253"/>
      <c r="W20" s="253"/>
      <c r="X20" s="253"/>
      <c r="Y20" s="253"/>
      <c r="Z20" s="253"/>
      <c r="AA20" s="1401" t="s">
        <v>1088</v>
      </c>
      <c r="AB20" s="4449">
        <v>5</v>
      </c>
      <c r="AC20" s="7557">
        <f>IF(AK20&lt;&gt;"",ROUND(AK20,0),SUM(ScheduleE1,ScheduleE2,ScheduleE3,ScheduleE4))</f>
        <v>0</v>
      </c>
      <c r="AD20" s="7558"/>
      <c r="AE20" s="7558"/>
      <c r="AF20" s="7558"/>
      <c r="AG20" s="7558"/>
      <c r="AH20" s="1277"/>
      <c r="AI20" s="253"/>
      <c r="AJ20" s="6610"/>
      <c r="AK20" s="6135"/>
      <c r="AL20" s="253"/>
      <c r="AM20" s="344" t="s">
        <v>103</v>
      </c>
      <c r="AN20" s="253"/>
      <c r="AO20" s="7561"/>
      <c r="AP20" s="253"/>
      <c r="AQ20" s="253"/>
      <c r="AR20" s="769"/>
      <c r="AS20" s="769"/>
      <c r="AT20" s="769"/>
      <c r="AU20" s="769"/>
      <c r="AV20" s="769"/>
      <c r="AW20" s="769"/>
      <c r="AX20" s="769"/>
      <c r="AY20" s="769"/>
      <c r="AZ20" s="769"/>
      <c r="BA20" s="769"/>
      <c r="BB20" s="769"/>
    </row>
    <row r="21" spans="1:54" ht="18.75" customHeight="1">
      <c r="A21" s="1277"/>
      <c r="B21" s="253"/>
      <c r="C21" s="4467">
        <v>6</v>
      </c>
      <c r="D21" s="1323" t="s">
        <v>794</v>
      </c>
      <c r="E21" s="253"/>
      <c r="F21" s="253"/>
      <c r="G21" s="253"/>
      <c r="H21" s="253"/>
      <c r="I21" s="253"/>
      <c r="J21" s="253"/>
      <c r="K21" s="253"/>
      <c r="L21" s="253"/>
      <c r="M21" s="253"/>
      <c r="N21" s="253"/>
      <c r="O21" s="1218"/>
      <c r="P21" s="2373"/>
      <c r="Q21" s="253"/>
      <c r="R21" s="253"/>
      <c r="S21" s="253"/>
      <c r="T21" s="253"/>
      <c r="U21" s="253"/>
      <c r="V21" s="253"/>
      <c r="W21" s="253"/>
      <c r="X21" s="253"/>
      <c r="Y21" s="253"/>
      <c r="Z21" s="253"/>
      <c r="AA21" s="1401" t="s">
        <v>802</v>
      </c>
      <c r="AB21" s="4449">
        <v>6</v>
      </c>
      <c r="AC21" s="7557">
        <f>IF(AK21&lt;&gt;"",ROUND(AK21,0),FarmProfitNet)</f>
        <v>0</v>
      </c>
      <c r="AD21" s="7575"/>
      <c r="AE21" s="7575"/>
      <c r="AF21" s="7575"/>
      <c r="AG21" s="7575"/>
      <c r="AH21" s="1277"/>
      <c r="AI21" s="253"/>
      <c r="AJ21" s="6610"/>
      <c r="AK21" s="6135"/>
      <c r="AL21" s="253"/>
      <c r="AM21" s="344" t="s">
        <v>106</v>
      </c>
      <c r="AN21" s="253"/>
      <c r="AO21" s="7561"/>
      <c r="AP21" s="253"/>
      <c r="AQ21" s="253"/>
      <c r="AR21" s="769"/>
      <c r="AS21" s="769"/>
      <c r="AT21" s="769"/>
      <c r="AU21" s="769"/>
      <c r="AV21" s="769"/>
      <c r="AW21" s="769"/>
      <c r="AX21" s="769"/>
      <c r="AY21" s="769"/>
      <c r="AZ21" s="769"/>
      <c r="BA21" s="769"/>
      <c r="BB21" s="769"/>
    </row>
    <row r="22" spans="1:54" ht="18.75" customHeight="1">
      <c r="A22" s="1277"/>
      <c r="B22" s="253"/>
      <c r="C22" s="4467">
        <v>7</v>
      </c>
      <c r="D22" s="511" t="str">
        <f>"Unemployment compensation. If you repaid a "&amp;TaxYear&amp;" overpayment (see instructions), check here"</f>
        <v>Unemployment compensation. If you repaid a 2025 overpayment (see instructions), check here</v>
      </c>
      <c r="E22" s="253"/>
      <c r="F22" s="253"/>
      <c r="G22" s="253"/>
      <c r="H22" s="253"/>
      <c r="I22" s="253"/>
      <c r="J22" s="253"/>
      <c r="K22" s="253"/>
      <c r="L22" s="253"/>
      <c r="M22" s="253"/>
      <c r="N22" s="253"/>
      <c r="O22" s="1218"/>
      <c r="P22" s="2373"/>
      <c r="Q22" s="253"/>
      <c r="R22" s="253"/>
      <c r="S22" s="253"/>
      <c r="T22" s="253"/>
      <c r="U22" s="253"/>
      <c r="V22" s="253"/>
      <c r="W22" s="253"/>
      <c r="X22" s="1111"/>
      <c r="Y22" s="1323" t="s">
        <v>5967</v>
      </c>
      <c r="Z22" s="344"/>
      <c r="AA22" s="1401"/>
      <c r="AB22" s="5884"/>
      <c r="AC22" s="7578">
        <f>ROUND(AC21,0)</f>
        <v>0</v>
      </c>
      <c r="AD22" s="7579"/>
      <c r="AE22" s="7579"/>
      <c r="AF22" s="7579"/>
      <c r="AG22" s="7579"/>
      <c r="AH22" s="1277"/>
      <c r="AI22" s="253"/>
      <c r="AJ22" s="6610"/>
      <c r="AK22" s="6135"/>
      <c r="AL22" s="253"/>
      <c r="AM22" s="344"/>
      <c r="AN22" s="253"/>
      <c r="AO22" s="7561"/>
      <c r="AP22" s="253"/>
      <c r="AQ22" s="253"/>
      <c r="AR22" s="769"/>
      <c r="AS22" s="769"/>
      <c r="AT22" s="769"/>
      <c r="AU22" s="769"/>
      <c r="AV22" s="769"/>
      <c r="AW22" s="769"/>
      <c r="AX22" s="769"/>
      <c r="AY22" s="769"/>
      <c r="AZ22" s="769"/>
      <c r="BA22" s="769"/>
      <c r="BB22" s="769"/>
    </row>
    <row r="23" spans="1:54" ht="18.75" customHeight="1">
      <c r="A23" s="1277"/>
      <c r="B23" s="253"/>
      <c r="C23" s="4467"/>
      <c r="D23" s="511" t="s">
        <v>5966</v>
      </c>
      <c r="E23" s="253"/>
      <c r="F23" s="253"/>
      <c r="G23" s="253"/>
      <c r="H23" s="253"/>
      <c r="I23" s="7559"/>
      <c r="J23" s="7560"/>
      <c r="K23" s="7560"/>
      <c r="L23" s="7560"/>
      <c r="M23" s="7560"/>
      <c r="N23" s="253"/>
      <c r="O23" s="1218"/>
      <c r="P23" s="2373"/>
      <c r="Q23" s="253"/>
      <c r="R23" s="253"/>
      <c r="S23" s="253"/>
      <c r="T23" s="253"/>
      <c r="U23" s="253"/>
      <c r="V23" s="253"/>
      <c r="W23" s="253"/>
      <c r="X23" s="253"/>
      <c r="Y23" s="253"/>
      <c r="Z23" s="253"/>
      <c r="AA23" s="1401" t="s">
        <v>793</v>
      </c>
      <c r="AB23" s="4448">
        <v>7</v>
      </c>
      <c r="AC23" s="7567">
        <f>IF(AK23&lt;&gt;"",ROUND(AK23,0),UnemployComp)</f>
        <v>0</v>
      </c>
      <c r="AD23" s="7568"/>
      <c r="AE23" s="7568"/>
      <c r="AF23" s="7568"/>
      <c r="AG23" s="7568"/>
      <c r="AH23" s="1277"/>
      <c r="AI23" s="5427">
        <f>SUM(AC15,AC16,BusinessIncomeLoss,OtherGainsLosses,SchE_IncomeLoss,FarmIncomeLoss,UnEmploymentComp)</f>
        <v>0</v>
      </c>
      <c r="AJ23" s="6610"/>
      <c r="AK23" s="6135"/>
      <c r="AL23" s="253"/>
      <c r="AM23" s="344" t="s">
        <v>795</v>
      </c>
      <c r="AN23" s="253"/>
      <c r="AO23" s="7561"/>
      <c r="AP23" s="253"/>
      <c r="AQ23" s="253"/>
      <c r="AR23" s="769"/>
      <c r="AS23" s="769"/>
      <c r="AT23" s="769"/>
      <c r="AU23" s="769"/>
      <c r="AV23" s="769"/>
      <c r="AW23" s="769"/>
      <c r="AX23" s="769"/>
      <c r="AY23" s="769"/>
      <c r="AZ23" s="769"/>
      <c r="BA23" s="769"/>
      <c r="BB23" s="769"/>
    </row>
    <row r="24" spans="1:54" ht="18.75" customHeight="1">
      <c r="A24" s="1277"/>
      <c r="B24" s="253"/>
      <c r="C24" s="4467">
        <v>8</v>
      </c>
      <c r="D24" s="1323" t="s">
        <v>796</v>
      </c>
      <c r="E24" s="1807"/>
      <c r="F24" s="1248"/>
      <c r="G24" s="1248"/>
      <c r="H24" s="1248"/>
      <c r="I24" s="1248"/>
      <c r="J24" s="1248"/>
      <c r="K24" s="1248"/>
      <c r="L24" s="1248"/>
      <c r="M24" s="1248"/>
      <c r="N24" s="1248"/>
      <c r="O24" s="1248"/>
      <c r="P24" s="1248"/>
      <c r="Q24" s="1248"/>
      <c r="R24" s="1248"/>
      <c r="S24" s="1248"/>
      <c r="T24" s="1248"/>
      <c r="U24" s="1248"/>
      <c r="V24" s="1249"/>
      <c r="W24" s="1248"/>
      <c r="X24" s="1248"/>
      <c r="Y24" s="1248"/>
      <c r="Z24" s="1248"/>
      <c r="AA24" s="253"/>
      <c r="AB24" s="5884"/>
      <c r="AC24" s="5885"/>
      <c r="AD24" s="5886"/>
      <c r="AE24" s="5886"/>
      <c r="AF24" s="5886"/>
      <c r="AG24" s="5886"/>
      <c r="AH24" s="1277"/>
      <c r="AI24" s="253"/>
      <c r="AJ24" s="6610"/>
      <c r="AK24" s="2875"/>
      <c r="AL24" s="712"/>
      <c r="AM24" s="5888" t="str">
        <f>IF(AND(UnEmploymentComp&lt;&gt;"",UnEmploymentComp&gt;0),"Check if UEC was REPAID.","")</f>
        <v/>
      </c>
      <c r="AN24" s="253"/>
      <c r="AO24" s="7561"/>
      <c r="AP24" s="253"/>
      <c r="AQ24" s="253"/>
      <c r="AR24" s="769"/>
      <c r="AS24" s="769"/>
      <c r="AT24" s="769"/>
      <c r="AU24" s="769"/>
      <c r="AV24" s="769"/>
      <c r="AW24" s="769"/>
      <c r="AX24" s="769"/>
      <c r="AY24" s="769"/>
      <c r="AZ24" s="769"/>
      <c r="BA24" s="769"/>
      <c r="BB24" s="769"/>
    </row>
    <row r="25" spans="1:54" ht="18.75" customHeight="1">
      <c r="A25" s="1277"/>
      <c r="B25" s="253"/>
      <c r="C25" s="4242" t="s">
        <v>588</v>
      </c>
      <c r="D25" s="1323" t="s">
        <v>797</v>
      </c>
      <c r="E25" s="1323"/>
      <c r="F25" s="253"/>
      <c r="G25" s="253"/>
      <c r="H25" s="253"/>
      <c r="I25" s="253"/>
      <c r="J25" s="253"/>
      <c r="K25" s="253"/>
      <c r="L25" s="253"/>
      <c r="M25" s="253"/>
      <c r="N25" s="253"/>
      <c r="O25" s="253"/>
      <c r="P25" s="253"/>
      <c r="Q25" s="253"/>
      <c r="R25" s="253"/>
      <c r="S25" s="253"/>
      <c r="T25" s="253"/>
      <c r="U25" s="1401" t="s">
        <v>802</v>
      </c>
      <c r="V25" s="5372" t="s">
        <v>798</v>
      </c>
      <c r="W25" s="6085" t="s">
        <v>799</v>
      </c>
      <c r="X25" s="7585"/>
      <c r="Y25" s="7585"/>
      <c r="Z25" s="7585"/>
      <c r="AA25" s="6086" t="s">
        <v>800</v>
      </c>
      <c r="AB25" s="5884"/>
      <c r="AC25" s="7582">
        <f>-ROUND(X25,0)</f>
        <v>0</v>
      </c>
      <c r="AD25" s="7583"/>
      <c r="AE25" s="7583"/>
      <c r="AF25" s="7583"/>
      <c r="AG25" s="7583"/>
      <c r="AH25" s="1277"/>
      <c r="AI25" s="253"/>
      <c r="AJ25" s="6610"/>
      <c r="AK25" s="2875"/>
      <c r="AL25" s="253"/>
      <c r="AM25" s="5888"/>
      <c r="AN25" s="253"/>
      <c r="AO25" s="7561"/>
      <c r="AP25" s="253"/>
      <c r="AQ25" s="253"/>
      <c r="AR25" s="769"/>
      <c r="AS25" s="769"/>
      <c r="AT25" s="769"/>
      <c r="AU25" s="769"/>
      <c r="AV25" s="769"/>
      <c r="AW25" s="769"/>
      <c r="AX25" s="769"/>
      <c r="AY25" s="769"/>
      <c r="AZ25" s="769"/>
      <c r="BA25" s="769"/>
      <c r="BB25" s="769"/>
    </row>
    <row r="26" spans="1:54" ht="18.75" customHeight="1">
      <c r="A26" s="1277"/>
      <c r="B26" s="253"/>
      <c r="C26" s="4242" t="s">
        <v>592</v>
      </c>
      <c r="D26" s="1323" t="s">
        <v>801</v>
      </c>
      <c r="E26" s="1323"/>
      <c r="F26" s="253"/>
      <c r="G26" s="253"/>
      <c r="H26" s="253"/>
      <c r="I26" s="253"/>
      <c r="J26" s="253"/>
      <c r="K26" s="253"/>
      <c r="L26" s="253"/>
      <c r="M26" s="253"/>
      <c r="N26" s="253"/>
      <c r="O26" s="253"/>
      <c r="P26" s="253"/>
      <c r="Q26" s="253"/>
      <c r="R26" s="253"/>
      <c r="S26" s="253"/>
      <c r="T26" s="253"/>
      <c r="U26" s="1401" t="s">
        <v>802</v>
      </c>
      <c r="V26" s="5372" t="s">
        <v>803</v>
      </c>
      <c r="W26" s="7653"/>
      <c r="X26" s="7653"/>
      <c r="Y26" s="7653"/>
      <c r="Z26" s="7653"/>
      <c r="AA26" s="7654"/>
      <c r="AB26" s="5884"/>
      <c r="AC26" s="7582">
        <f t="shared" ref="AC26:AC34" si="0">ROUND(W26,0)</f>
        <v>0</v>
      </c>
      <c r="AD26" s="7583"/>
      <c r="AE26" s="7583"/>
      <c r="AF26" s="7583"/>
      <c r="AG26" s="7583"/>
      <c r="AH26" s="1277"/>
      <c r="AI26" s="253"/>
      <c r="AJ26" s="6610"/>
      <c r="AK26" s="2875"/>
      <c r="AL26" s="253"/>
      <c r="AM26" s="5888"/>
      <c r="AN26" s="253"/>
      <c r="AO26" s="7561"/>
      <c r="AP26" s="253"/>
      <c r="AQ26" s="253"/>
      <c r="AR26" s="769"/>
      <c r="AS26" s="769"/>
      <c r="AT26" s="769"/>
      <c r="AU26" s="769"/>
      <c r="AV26" s="769"/>
      <c r="AW26" s="769"/>
      <c r="AX26" s="769"/>
      <c r="AY26" s="769"/>
      <c r="AZ26" s="769"/>
      <c r="BA26" s="769"/>
      <c r="BB26" s="769"/>
    </row>
    <row r="27" spans="1:54" ht="18.75" customHeight="1">
      <c r="A27" s="1277"/>
      <c r="B27" s="253"/>
      <c r="C27" s="4242" t="s">
        <v>595</v>
      </c>
      <c r="D27" s="1323" t="s">
        <v>804</v>
      </c>
      <c r="E27" s="1323"/>
      <c r="F27" s="253"/>
      <c r="G27" s="253"/>
      <c r="H27" s="253"/>
      <c r="I27" s="253"/>
      <c r="J27" s="253"/>
      <c r="K27" s="253"/>
      <c r="L27" s="253"/>
      <c r="M27" s="253"/>
      <c r="N27" s="253"/>
      <c r="O27" s="253"/>
      <c r="P27" s="253"/>
      <c r="Q27" s="253"/>
      <c r="R27" s="253"/>
      <c r="S27" s="253"/>
      <c r="T27" s="253"/>
      <c r="U27" s="1401" t="s">
        <v>805</v>
      </c>
      <c r="V27" s="5372" t="s">
        <v>806</v>
      </c>
      <c r="W27" s="7653"/>
      <c r="X27" s="7653"/>
      <c r="Y27" s="7653"/>
      <c r="Z27" s="7653"/>
      <c r="AA27" s="7654"/>
      <c r="AB27" s="5884"/>
      <c r="AC27" s="7582">
        <f t="shared" si="0"/>
        <v>0</v>
      </c>
      <c r="AD27" s="7583"/>
      <c r="AE27" s="7583"/>
      <c r="AF27" s="7583"/>
      <c r="AG27" s="7583"/>
      <c r="AH27" s="1277"/>
      <c r="AI27" s="253"/>
      <c r="AJ27" s="6610"/>
      <c r="AK27" s="2875"/>
      <c r="AL27" s="253"/>
      <c r="AM27" s="5888"/>
      <c r="AN27" s="253"/>
      <c r="AO27" s="7561"/>
      <c r="AP27" s="253"/>
      <c r="AQ27" s="253"/>
      <c r="AR27" s="769"/>
      <c r="AS27" s="769"/>
      <c r="AT27" s="769"/>
      <c r="AU27" s="769"/>
      <c r="AV27" s="769"/>
      <c r="AW27" s="769"/>
      <c r="AX27" s="769"/>
      <c r="AY27" s="769"/>
      <c r="AZ27" s="769"/>
      <c r="BA27" s="769"/>
      <c r="BB27" s="769"/>
    </row>
    <row r="28" spans="1:54" ht="18.75" customHeight="1">
      <c r="A28" s="1277"/>
      <c r="B28" s="253"/>
      <c r="C28" s="4242" t="s">
        <v>599</v>
      </c>
      <c r="D28" s="1323" t="s">
        <v>807</v>
      </c>
      <c r="E28" s="1323"/>
      <c r="F28" s="253"/>
      <c r="G28" s="253"/>
      <c r="H28" s="253"/>
      <c r="I28" s="253"/>
      <c r="J28" s="253"/>
      <c r="K28" s="253"/>
      <c r="L28" s="253"/>
      <c r="M28" s="253"/>
      <c r="N28" s="253"/>
      <c r="O28" s="253"/>
      <c r="P28" s="253"/>
      <c r="Q28" s="253"/>
      <c r="R28" s="253"/>
      <c r="S28" s="253"/>
      <c r="T28" s="253"/>
      <c r="U28" s="1401" t="s">
        <v>808</v>
      </c>
      <c r="V28" s="5372" t="s">
        <v>809</v>
      </c>
      <c r="W28" s="6085" t="s">
        <v>799</v>
      </c>
      <c r="X28" s="7655">
        <f>IF(AND(AK28&lt;&gt;"",AK28&lt;0),-ROUND(AK28,0),IF(AK28&lt;&gt;"",ROUND(AK28,0),F2555_Line45_Total))</f>
        <v>0</v>
      </c>
      <c r="Y28" s="7655"/>
      <c r="Z28" s="7655"/>
      <c r="AA28" s="6086" t="s">
        <v>800</v>
      </c>
      <c r="AB28" s="5884"/>
      <c r="AC28" s="7582">
        <f>-ROUND(X28,0)</f>
        <v>0</v>
      </c>
      <c r="AD28" s="7583"/>
      <c r="AE28" s="7583"/>
      <c r="AF28" s="7583"/>
      <c r="AG28" s="7583"/>
      <c r="AH28" s="1277"/>
      <c r="AI28" s="990" t="b">
        <f>OR(ForeignIncExclusionYou&gt;FEI_Exclusion_Limit,ForeignIncExclusionSpouse&gt;FEI_Exclusion_Limit,AND(File_Marr_Joint&lt;&gt;"",X28&gt;2*FEI_Exclusion_Limit),AND(File_Marr_Joint="",X28&gt;FEI_Exclusion_Limit))</f>
        <v>0</v>
      </c>
      <c r="AJ28" s="6610"/>
      <c r="AK28" s="6135"/>
      <c r="AL28" s="253"/>
      <c r="AM28" s="2338" t="str">
        <f>IF(X28&gt;0,"Note: For "&amp;TaxYear&amp;", the total maximum","")</f>
        <v/>
      </c>
      <c r="AN28" s="253"/>
      <c r="AO28" s="7561"/>
      <c r="AP28" s="253"/>
      <c r="AQ28" s="253"/>
      <c r="AR28" s="769"/>
      <c r="AS28" s="769"/>
      <c r="AT28" s="769"/>
      <c r="AU28" s="769"/>
      <c r="AV28" s="769"/>
      <c r="AW28" s="769"/>
      <c r="AX28" s="769"/>
      <c r="AY28" s="769"/>
      <c r="AZ28" s="769"/>
      <c r="BA28" s="769"/>
      <c r="BB28" s="769"/>
    </row>
    <row r="29" spans="1:54" ht="18.75" customHeight="1">
      <c r="A29" s="1277"/>
      <c r="B29" s="253"/>
      <c r="C29" s="4242" t="s">
        <v>603</v>
      </c>
      <c r="D29" s="1323" t="s">
        <v>810</v>
      </c>
      <c r="E29" s="1323"/>
      <c r="F29" s="253"/>
      <c r="G29" s="253"/>
      <c r="H29" s="253"/>
      <c r="I29" s="253"/>
      <c r="J29" s="253"/>
      <c r="K29" s="253"/>
      <c r="L29" s="253"/>
      <c r="M29" s="253"/>
      <c r="N29" s="253"/>
      <c r="O29" s="253"/>
      <c r="P29" s="253"/>
      <c r="Q29" s="253"/>
      <c r="R29" s="253"/>
      <c r="S29" s="253"/>
      <c r="T29" s="253"/>
      <c r="U29" s="1401" t="s">
        <v>811</v>
      </c>
      <c r="V29" s="5372" t="s">
        <v>812</v>
      </c>
      <c r="W29" s="7653"/>
      <c r="X29" s="7653"/>
      <c r="Y29" s="7653"/>
      <c r="Z29" s="7653"/>
      <c r="AA29" s="7654"/>
      <c r="AB29" s="5884"/>
      <c r="AC29" s="7582">
        <f t="shared" si="0"/>
        <v>0</v>
      </c>
      <c r="AD29" s="7583"/>
      <c r="AE29" s="7583"/>
      <c r="AF29" s="7583"/>
      <c r="AG29" s="7583"/>
      <c r="AH29" s="1277"/>
      <c r="AI29" s="253"/>
      <c r="AJ29" s="6610"/>
      <c r="AK29" s="2875"/>
      <c r="AL29" s="253"/>
      <c r="AM29" s="6087" t="str">
        <f>IF(X28&gt;0,"FEI exclusion is "&amp;TEXT(FEI_Exclusion_Limit,"$0,000")&amp;" per taxpayer.","")</f>
        <v/>
      </c>
      <c r="AN29" s="253"/>
      <c r="AO29" s="7561"/>
      <c r="AP29" s="253"/>
      <c r="AQ29" s="253"/>
      <c r="AR29" s="769"/>
      <c r="AS29" s="769"/>
      <c r="AT29" s="769"/>
      <c r="AU29" s="769"/>
      <c r="AV29" s="769"/>
      <c r="AW29" s="769"/>
      <c r="AX29" s="769"/>
      <c r="AY29" s="769"/>
      <c r="AZ29" s="769"/>
      <c r="BA29" s="769"/>
      <c r="BB29" s="769"/>
    </row>
    <row r="30" spans="1:54" ht="18.75" customHeight="1">
      <c r="A30" s="1277"/>
      <c r="B30" s="253"/>
      <c r="C30" s="4242" t="s">
        <v>606</v>
      </c>
      <c r="D30" s="1323" t="s">
        <v>813</v>
      </c>
      <c r="E30" s="1323"/>
      <c r="F30" s="253"/>
      <c r="G30" s="253"/>
      <c r="H30" s="253"/>
      <c r="I30" s="253"/>
      <c r="J30" s="253"/>
      <c r="K30" s="253"/>
      <c r="L30" s="253"/>
      <c r="M30" s="253"/>
      <c r="N30" s="253"/>
      <c r="O30" s="253"/>
      <c r="P30" s="253"/>
      <c r="Q30" s="253"/>
      <c r="R30" s="253"/>
      <c r="S30" s="253"/>
      <c r="T30" s="253"/>
      <c r="U30" s="1401" t="s">
        <v>811</v>
      </c>
      <c r="V30" s="5372" t="s">
        <v>814</v>
      </c>
      <c r="W30" s="7643">
        <f>IF(AK30&lt;&gt;"",ROUND(AK30,0),SUM(F8889_Line16,F8889_Line20))</f>
        <v>0</v>
      </c>
      <c r="X30" s="7643"/>
      <c r="Y30" s="7643"/>
      <c r="Z30" s="7643"/>
      <c r="AA30" s="7644"/>
      <c r="AB30" s="5884"/>
      <c r="AC30" s="7582">
        <f t="shared" si="0"/>
        <v>0</v>
      </c>
      <c r="AD30" s="7583"/>
      <c r="AE30" s="7583"/>
      <c r="AF30" s="7583"/>
      <c r="AG30" s="7583"/>
      <c r="AH30" s="1277"/>
      <c r="AI30" s="253"/>
      <c r="AJ30" s="6610"/>
      <c r="AK30" s="6135"/>
      <c r="AL30" s="253"/>
      <c r="AM30" s="5888"/>
      <c r="AN30" s="253"/>
      <c r="AO30" s="7561"/>
      <c r="AP30" s="253"/>
      <c r="AQ30" s="253"/>
      <c r="AR30" s="769"/>
      <c r="AS30" s="769"/>
      <c r="AT30" s="769"/>
      <c r="AU30" s="769"/>
      <c r="AV30" s="769"/>
      <c r="AW30" s="769"/>
      <c r="AX30" s="769"/>
      <c r="AY30" s="769"/>
      <c r="AZ30" s="769"/>
      <c r="BA30" s="769"/>
      <c r="BB30" s="769"/>
    </row>
    <row r="31" spans="1:54" ht="18.75" customHeight="1">
      <c r="A31" s="1277"/>
      <c r="B31" s="253"/>
      <c r="C31" s="4242" t="s">
        <v>610</v>
      </c>
      <c r="D31" s="1323" t="s">
        <v>815</v>
      </c>
      <c r="E31" s="1323"/>
      <c r="F31" s="253"/>
      <c r="G31" s="253"/>
      <c r="H31" s="253"/>
      <c r="I31" s="253"/>
      <c r="J31" s="253"/>
      <c r="K31" s="253"/>
      <c r="L31" s="253"/>
      <c r="M31" s="253"/>
      <c r="N31" s="253"/>
      <c r="O31" s="253"/>
      <c r="P31" s="253"/>
      <c r="Q31" s="253"/>
      <c r="R31" s="253"/>
      <c r="S31" s="253"/>
      <c r="T31" s="253"/>
      <c r="U31" s="1401" t="s">
        <v>816</v>
      </c>
      <c r="V31" s="5372" t="s">
        <v>817</v>
      </c>
      <c r="W31" s="7653"/>
      <c r="X31" s="7653"/>
      <c r="Y31" s="7653"/>
      <c r="Z31" s="7653"/>
      <c r="AA31" s="7654"/>
      <c r="AB31" s="5884"/>
      <c r="AC31" s="7582">
        <f t="shared" si="0"/>
        <v>0</v>
      </c>
      <c r="AD31" s="7583"/>
      <c r="AE31" s="7583"/>
      <c r="AF31" s="7583"/>
      <c r="AG31" s="7583"/>
      <c r="AH31" s="1277"/>
      <c r="AI31" s="253"/>
      <c r="AJ31" s="6610"/>
      <c r="AK31" s="2875"/>
      <c r="AL31" s="253"/>
      <c r="AM31" s="5888"/>
      <c r="AN31" s="253"/>
      <c r="AO31" s="7561"/>
      <c r="AP31" s="253"/>
      <c r="AQ31" s="253"/>
      <c r="AR31" s="769"/>
      <c r="AS31" s="769"/>
      <c r="AT31" s="769"/>
      <c r="AU31" s="769"/>
      <c r="AV31" s="769"/>
      <c r="AW31" s="769"/>
      <c r="AX31" s="769"/>
      <c r="AY31" s="769"/>
      <c r="AZ31" s="769"/>
      <c r="BA31" s="769"/>
      <c r="BB31" s="769"/>
    </row>
    <row r="32" spans="1:54" ht="18.75" customHeight="1">
      <c r="A32" s="1277"/>
      <c r="B32" s="253"/>
      <c r="C32" s="4242" t="s">
        <v>615</v>
      </c>
      <c r="D32" s="1323" t="s">
        <v>818</v>
      </c>
      <c r="E32" s="1323"/>
      <c r="F32" s="253"/>
      <c r="G32" s="253"/>
      <c r="H32" s="253"/>
      <c r="I32" s="253"/>
      <c r="J32" s="253"/>
      <c r="K32" s="253"/>
      <c r="L32" s="253"/>
      <c r="M32" s="253"/>
      <c r="N32" s="253"/>
      <c r="O32" s="253"/>
      <c r="P32" s="253"/>
      <c r="Q32" s="253"/>
      <c r="R32" s="253"/>
      <c r="S32" s="253"/>
      <c r="T32" s="253"/>
      <c r="U32" s="1401" t="s">
        <v>793</v>
      </c>
      <c r="V32" s="5372" t="s">
        <v>819</v>
      </c>
      <c r="W32" s="7653"/>
      <c r="X32" s="7653"/>
      <c r="Y32" s="7653"/>
      <c r="Z32" s="7653"/>
      <c r="AA32" s="7654"/>
      <c r="AB32" s="5884"/>
      <c r="AC32" s="7582">
        <f t="shared" si="0"/>
        <v>0</v>
      </c>
      <c r="AD32" s="7583"/>
      <c r="AE32" s="7583"/>
      <c r="AF32" s="7583"/>
      <c r="AG32" s="7583"/>
      <c r="AH32" s="1277"/>
      <c r="AI32" s="253"/>
      <c r="AJ32" s="6610"/>
      <c r="AK32" s="2875"/>
      <c r="AL32" s="253"/>
      <c r="AM32" s="5888"/>
      <c r="AN32" s="253"/>
      <c r="AO32" s="7561"/>
      <c r="AP32" s="253"/>
      <c r="AQ32" s="253"/>
      <c r="AR32" s="769"/>
      <c r="AS32" s="769"/>
      <c r="AT32" s="769"/>
      <c r="AU32" s="769"/>
      <c r="AV32" s="769"/>
      <c r="AW32" s="769"/>
      <c r="AX32" s="769"/>
      <c r="AY32" s="769"/>
      <c r="AZ32" s="769"/>
      <c r="BA32" s="769"/>
      <c r="BB32" s="769"/>
    </row>
    <row r="33" spans="1:54" ht="18.75" customHeight="1">
      <c r="A33" s="1277"/>
      <c r="B33" s="253"/>
      <c r="C33" s="4242" t="s">
        <v>619</v>
      </c>
      <c r="D33" s="1323" t="s">
        <v>820</v>
      </c>
      <c r="E33" s="1323"/>
      <c r="F33" s="253"/>
      <c r="G33" s="253"/>
      <c r="H33" s="253"/>
      <c r="I33" s="253"/>
      <c r="J33" s="253"/>
      <c r="K33" s="253"/>
      <c r="L33" s="253"/>
      <c r="M33" s="253"/>
      <c r="N33" s="253"/>
      <c r="O33" s="253"/>
      <c r="P33" s="253"/>
      <c r="Q33" s="253"/>
      <c r="R33" s="253"/>
      <c r="S33" s="253"/>
      <c r="T33" s="253"/>
      <c r="U33" s="1401" t="s">
        <v>793</v>
      </c>
      <c r="V33" s="5372" t="s">
        <v>821</v>
      </c>
      <c r="W33" s="7653"/>
      <c r="X33" s="7653"/>
      <c r="Y33" s="7653"/>
      <c r="Z33" s="7653"/>
      <c r="AA33" s="7654"/>
      <c r="AB33" s="5884"/>
      <c r="AC33" s="7582">
        <f t="shared" si="0"/>
        <v>0</v>
      </c>
      <c r="AD33" s="7583"/>
      <c r="AE33" s="7583"/>
      <c r="AF33" s="7583"/>
      <c r="AG33" s="7583"/>
      <c r="AH33" s="1277"/>
      <c r="AI33" s="253"/>
      <c r="AJ33" s="6610"/>
      <c r="AK33" s="2875"/>
      <c r="AL33" s="253"/>
      <c r="AM33" s="5888"/>
      <c r="AN33" s="253"/>
      <c r="AO33" s="5887"/>
      <c r="AP33" s="253"/>
      <c r="AQ33" s="253"/>
      <c r="AR33" s="769"/>
      <c r="AS33" s="769"/>
      <c r="AT33" s="769"/>
      <c r="AU33" s="769"/>
      <c r="AV33" s="769"/>
      <c r="AW33" s="769"/>
      <c r="AX33" s="769"/>
      <c r="AY33" s="769"/>
      <c r="AZ33" s="769"/>
      <c r="BA33" s="769"/>
      <c r="BB33" s="769"/>
    </row>
    <row r="34" spans="1:54" ht="18.75" customHeight="1">
      <c r="A34" s="1277"/>
      <c r="B34" s="253"/>
      <c r="C34" s="4242" t="s">
        <v>822</v>
      </c>
      <c r="D34" s="1323" t="s">
        <v>823</v>
      </c>
      <c r="E34" s="1323"/>
      <c r="F34" s="253"/>
      <c r="G34" s="253"/>
      <c r="H34" s="253"/>
      <c r="I34" s="253"/>
      <c r="J34" s="253"/>
      <c r="K34" s="253"/>
      <c r="L34" s="253"/>
      <c r="M34" s="253"/>
      <c r="N34" s="253"/>
      <c r="O34" s="253"/>
      <c r="P34" s="253"/>
      <c r="Q34" s="253"/>
      <c r="R34" s="253"/>
      <c r="S34" s="253"/>
      <c r="T34" s="253"/>
      <c r="U34" s="1401" t="s">
        <v>824</v>
      </c>
      <c r="V34" s="5372" t="s">
        <v>825</v>
      </c>
      <c r="W34" s="7653"/>
      <c r="X34" s="7653"/>
      <c r="Y34" s="7653"/>
      <c r="Z34" s="7653"/>
      <c r="AA34" s="7654"/>
      <c r="AB34" s="5884"/>
      <c r="AC34" s="7582">
        <f t="shared" si="0"/>
        <v>0</v>
      </c>
      <c r="AD34" s="7583"/>
      <c r="AE34" s="7583"/>
      <c r="AF34" s="7583"/>
      <c r="AG34" s="7583"/>
      <c r="AH34" s="1277"/>
      <c r="AI34" s="253"/>
      <c r="AJ34" s="6610"/>
      <c r="AK34" s="2875"/>
      <c r="AL34" s="253"/>
      <c r="AM34" s="5888"/>
      <c r="AN34" s="253"/>
      <c r="AO34" s="5887"/>
      <c r="AP34" s="253"/>
      <c r="AQ34" s="253"/>
      <c r="AR34" s="769"/>
      <c r="AS34" s="769"/>
      <c r="AT34" s="769"/>
      <c r="AU34" s="769"/>
      <c r="AV34" s="769"/>
      <c r="AW34" s="769"/>
      <c r="AX34" s="769"/>
      <c r="AY34" s="769"/>
      <c r="AZ34" s="769"/>
      <c r="BA34" s="769"/>
      <c r="BB34" s="769"/>
    </row>
    <row r="35" spans="1:54" ht="18.75" customHeight="1">
      <c r="A35" s="1277"/>
      <c r="B35" s="253"/>
      <c r="C35" s="4242" t="s">
        <v>826</v>
      </c>
      <c r="D35" s="1323" t="s">
        <v>827</v>
      </c>
      <c r="E35" s="1323"/>
      <c r="F35" s="253"/>
      <c r="G35" s="253"/>
      <c r="H35" s="253"/>
      <c r="I35" s="253"/>
      <c r="J35" s="253"/>
      <c r="K35" s="253"/>
      <c r="L35" s="253"/>
      <c r="M35" s="253"/>
      <c r="N35" s="253"/>
      <c r="O35" s="253"/>
      <c r="P35" s="253"/>
      <c r="Q35" s="253"/>
      <c r="R35" s="253"/>
      <c r="S35" s="253"/>
      <c r="T35" s="253"/>
      <c r="U35" s="1401" t="s">
        <v>828</v>
      </c>
      <c r="V35" s="5372" t="s">
        <v>829</v>
      </c>
      <c r="W35" s="7656"/>
      <c r="X35" s="7653"/>
      <c r="Y35" s="7653"/>
      <c r="Z35" s="7653"/>
      <c r="AA35" s="7654"/>
      <c r="AB35" s="5884"/>
      <c r="AC35" s="7582">
        <f>ROUND(W35,0)</f>
        <v>0</v>
      </c>
      <c r="AD35" s="7583"/>
      <c r="AE35" s="7583"/>
      <c r="AF35" s="7583"/>
      <c r="AG35" s="7583"/>
      <c r="AH35" s="1277"/>
      <c r="AI35" s="253"/>
      <c r="AJ35" s="6610"/>
      <c r="AK35" s="2875"/>
      <c r="AL35" s="253"/>
      <c r="AM35" s="5888"/>
      <c r="AN35" s="253"/>
      <c r="AO35" s="5887"/>
      <c r="AP35" s="253"/>
      <c r="AQ35" s="253"/>
      <c r="AR35" s="769"/>
      <c r="AS35" s="769"/>
      <c r="AT35" s="769"/>
      <c r="AU35" s="769"/>
      <c r="AV35" s="769"/>
      <c r="AW35" s="769"/>
      <c r="AX35" s="769"/>
      <c r="AY35" s="769"/>
      <c r="AZ35" s="769"/>
      <c r="BA35" s="769"/>
      <c r="BB35" s="769"/>
    </row>
    <row r="36" spans="1:54" ht="18.75" customHeight="1">
      <c r="A36" s="1277"/>
      <c r="B36" s="253"/>
      <c r="C36" s="4242" t="s">
        <v>830</v>
      </c>
      <c r="D36" s="1323" t="s">
        <v>5200</v>
      </c>
      <c r="E36" s="1323"/>
      <c r="F36" s="253"/>
      <c r="G36" s="253"/>
      <c r="H36" s="253"/>
      <c r="I36" s="253"/>
      <c r="J36" s="253"/>
      <c r="K36" s="253"/>
      <c r="L36" s="253"/>
      <c r="M36" s="253"/>
      <c r="N36" s="253"/>
      <c r="O36" s="253"/>
      <c r="P36" s="253"/>
      <c r="Q36" s="253"/>
      <c r="R36" s="253"/>
      <c r="S36" s="253"/>
      <c r="T36" s="253"/>
      <c r="U36" s="253"/>
      <c r="V36" s="5890"/>
      <c r="W36" s="7634"/>
      <c r="X36" s="7635"/>
      <c r="Y36" s="7635"/>
      <c r="Z36" s="7635"/>
      <c r="AA36" s="7636"/>
      <c r="AB36" s="5884"/>
      <c r="AC36" s="5404"/>
      <c r="AD36" s="5405"/>
      <c r="AE36" s="5405"/>
      <c r="AF36" s="5405"/>
      <c r="AG36" s="5405"/>
      <c r="AH36" s="1277"/>
      <c r="AI36" s="253"/>
      <c r="AJ36" s="6610"/>
      <c r="AK36" s="2875"/>
      <c r="AL36" s="253"/>
      <c r="AM36" s="5888"/>
      <c r="AN36" s="253"/>
      <c r="AO36" s="5887"/>
      <c r="AP36" s="253"/>
      <c r="AQ36" s="253"/>
      <c r="AR36" s="769"/>
      <c r="AS36" s="769"/>
      <c r="AT36" s="769"/>
      <c r="AU36" s="769"/>
      <c r="AV36" s="769"/>
      <c r="AW36" s="769"/>
      <c r="AX36" s="769"/>
      <c r="AY36" s="769"/>
      <c r="AZ36" s="769"/>
      <c r="BA36" s="769"/>
      <c r="BB36" s="769"/>
    </row>
    <row r="37" spans="1:54" ht="18.75" customHeight="1">
      <c r="A37" s="1277"/>
      <c r="B37" s="253"/>
      <c r="C37" s="4242"/>
      <c r="D37" s="1323" t="s">
        <v>831</v>
      </c>
      <c r="E37" s="1323"/>
      <c r="F37" s="253"/>
      <c r="G37" s="253"/>
      <c r="H37" s="253"/>
      <c r="I37" s="253"/>
      <c r="J37" s="253"/>
      <c r="K37" s="253"/>
      <c r="L37" s="253"/>
      <c r="M37" s="253"/>
      <c r="N37" s="253"/>
      <c r="O37" s="253"/>
      <c r="P37" s="253"/>
      <c r="Q37" s="253"/>
      <c r="R37" s="253"/>
      <c r="S37" s="253"/>
      <c r="T37" s="253"/>
      <c r="U37" s="1401" t="s">
        <v>832</v>
      </c>
      <c r="V37" s="5372" t="s">
        <v>833</v>
      </c>
      <c r="W37" s="7656"/>
      <c r="X37" s="7653"/>
      <c r="Y37" s="7653"/>
      <c r="Z37" s="7653"/>
      <c r="AA37" s="7654"/>
      <c r="AB37" s="5884"/>
      <c r="AC37" s="7582">
        <f t="shared" ref="AC37:AC43" si="1">ROUND(W37,0)</f>
        <v>0</v>
      </c>
      <c r="AD37" s="7583"/>
      <c r="AE37" s="7583"/>
      <c r="AF37" s="7583"/>
      <c r="AG37" s="7583"/>
      <c r="AH37" s="1277"/>
      <c r="AI37" s="253"/>
      <c r="AJ37" s="6610"/>
      <c r="AK37" s="2875"/>
      <c r="AL37" s="253"/>
      <c r="AM37" s="5888"/>
      <c r="AN37" s="253"/>
      <c r="AO37" s="5889"/>
      <c r="AP37" s="253"/>
      <c r="AQ37" s="253"/>
      <c r="AR37" s="769"/>
      <c r="AS37" s="769"/>
      <c r="AT37" s="769"/>
      <c r="AU37" s="769"/>
      <c r="AV37" s="769"/>
      <c r="AW37" s="769"/>
      <c r="AX37" s="769"/>
      <c r="AY37" s="769"/>
      <c r="AZ37" s="769"/>
      <c r="BA37" s="769"/>
      <c r="BB37" s="769"/>
    </row>
    <row r="38" spans="1:54" ht="18.75" customHeight="1">
      <c r="A38" s="1277"/>
      <c r="B38" s="253"/>
      <c r="C38" s="4242" t="s">
        <v>834</v>
      </c>
      <c r="D38" s="1323" t="s">
        <v>6078</v>
      </c>
      <c r="E38" s="1323"/>
      <c r="F38" s="253"/>
      <c r="G38" s="253"/>
      <c r="H38" s="253"/>
      <c r="I38" s="253"/>
      <c r="J38" s="253"/>
      <c r="K38" s="253"/>
      <c r="L38" s="253"/>
      <c r="M38" s="253"/>
      <c r="N38" s="253"/>
      <c r="O38" s="253"/>
      <c r="P38" s="253"/>
      <c r="Q38" s="253"/>
      <c r="R38" s="253"/>
      <c r="S38" s="253"/>
      <c r="T38" s="1401" t="s">
        <v>828</v>
      </c>
      <c r="U38" s="1401"/>
      <c r="V38" s="5372" t="s">
        <v>836</v>
      </c>
      <c r="W38" s="7653"/>
      <c r="X38" s="7653"/>
      <c r="Y38" s="7653"/>
      <c r="Z38" s="7653"/>
      <c r="AA38" s="7654"/>
      <c r="AB38" s="5884"/>
      <c r="AC38" s="7582">
        <f t="shared" si="1"/>
        <v>0</v>
      </c>
      <c r="AD38" s="7583"/>
      <c r="AE38" s="7583"/>
      <c r="AF38" s="7583"/>
      <c r="AG38" s="7583"/>
      <c r="AH38" s="1277"/>
      <c r="AI38" s="253"/>
      <c r="AJ38" s="6610"/>
      <c r="AK38" s="2875"/>
      <c r="AL38" s="253"/>
      <c r="AM38" s="5888"/>
      <c r="AN38" s="253"/>
      <c r="AO38" s="5889"/>
      <c r="AP38" s="253"/>
      <c r="AQ38" s="253"/>
      <c r="AR38" s="769"/>
      <c r="AS38" s="769"/>
      <c r="AT38" s="769"/>
      <c r="AU38" s="769"/>
      <c r="AV38" s="769"/>
      <c r="AW38" s="769"/>
      <c r="AX38" s="769"/>
      <c r="AY38" s="769"/>
      <c r="AZ38" s="769"/>
      <c r="BA38" s="769"/>
      <c r="BB38" s="769"/>
    </row>
    <row r="39" spans="1:54" ht="18.75" customHeight="1">
      <c r="A39" s="1277"/>
      <c r="B39" s="253"/>
      <c r="C39" s="4242" t="s">
        <v>837</v>
      </c>
      <c r="D39" s="1323" t="s">
        <v>838</v>
      </c>
      <c r="E39" s="1323"/>
      <c r="F39" s="253"/>
      <c r="G39" s="253"/>
      <c r="H39" s="253"/>
      <c r="I39" s="253"/>
      <c r="J39" s="253"/>
      <c r="K39" s="253"/>
      <c r="L39" s="253"/>
      <c r="M39" s="253"/>
      <c r="N39" s="253"/>
      <c r="O39" s="253"/>
      <c r="P39" s="253"/>
      <c r="Q39" s="253"/>
      <c r="R39" s="253"/>
      <c r="S39" s="253"/>
      <c r="T39" s="253"/>
      <c r="U39" s="1401" t="s">
        <v>874</v>
      </c>
      <c r="V39" s="5372" t="s">
        <v>839</v>
      </c>
      <c r="W39" s="7653"/>
      <c r="X39" s="7653"/>
      <c r="Y39" s="7653"/>
      <c r="Z39" s="7653"/>
      <c r="AA39" s="7654"/>
      <c r="AB39" s="5884"/>
      <c r="AC39" s="7582">
        <f t="shared" si="1"/>
        <v>0</v>
      </c>
      <c r="AD39" s="7583"/>
      <c r="AE39" s="7583"/>
      <c r="AF39" s="7583"/>
      <c r="AG39" s="7583"/>
      <c r="AH39" s="1277"/>
      <c r="AI39" s="253"/>
      <c r="AJ39" s="6610"/>
      <c r="AK39" s="2875"/>
      <c r="AL39" s="253"/>
      <c r="AM39" s="5888"/>
      <c r="AN39" s="253"/>
      <c r="AO39" s="5887"/>
      <c r="AP39" s="253"/>
      <c r="AQ39" s="253"/>
      <c r="AR39" s="769"/>
      <c r="AS39" s="769"/>
      <c r="AT39" s="769"/>
      <c r="AU39" s="769"/>
      <c r="AV39" s="769"/>
      <c r="AW39" s="769"/>
      <c r="AX39" s="769"/>
      <c r="AY39" s="769"/>
      <c r="AZ39" s="769"/>
      <c r="BA39" s="769"/>
      <c r="BB39" s="769"/>
    </row>
    <row r="40" spans="1:54" ht="18.75" customHeight="1">
      <c r="A40" s="1277"/>
      <c r="B40" s="253"/>
      <c r="C40" s="4242" t="s">
        <v>840</v>
      </c>
      <c r="D40" s="1323" t="s">
        <v>841</v>
      </c>
      <c r="E40" s="1323"/>
      <c r="F40" s="253"/>
      <c r="G40" s="253"/>
      <c r="H40" s="253"/>
      <c r="I40" s="253"/>
      <c r="J40" s="253"/>
      <c r="K40" s="253"/>
      <c r="L40" s="253"/>
      <c r="M40" s="253"/>
      <c r="N40" s="253"/>
      <c r="O40" s="253"/>
      <c r="P40" s="253"/>
      <c r="Q40" s="253"/>
      <c r="R40" s="253"/>
      <c r="S40" s="253"/>
      <c r="T40" s="253"/>
      <c r="U40" s="1401" t="s">
        <v>784</v>
      </c>
      <c r="V40" s="5372" t="s">
        <v>843</v>
      </c>
      <c r="W40" s="7653"/>
      <c r="X40" s="7653"/>
      <c r="Y40" s="7653"/>
      <c r="Z40" s="7653"/>
      <c r="AA40" s="7654"/>
      <c r="AB40" s="5884"/>
      <c r="AC40" s="7582">
        <f t="shared" si="1"/>
        <v>0</v>
      </c>
      <c r="AD40" s="7583"/>
      <c r="AE40" s="7583"/>
      <c r="AF40" s="7583"/>
      <c r="AG40" s="7583"/>
      <c r="AH40" s="1277"/>
      <c r="AI40" s="253"/>
      <c r="AJ40" s="6610"/>
      <c r="AK40" s="2875"/>
      <c r="AL40" s="253"/>
      <c r="AM40" s="5888"/>
      <c r="AN40" s="253"/>
      <c r="AO40" s="5887"/>
      <c r="AP40" s="253"/>
      <c r="AQ40" s="253"/>
      <c r="AR40" s="769"/>
      <c r="AS40" s="769"/>
      <c r="AT40" s="769"/>
      <c r="AU40" s="769"/>
      <c r="AV40" s="769"/>
      <c r="AW40" s="769"/>
      <c r="AX40" s="769"/>
      <c r="AY40" s="769"/>
      <c r="AZ40" s="769"/>
      <c r="BA40" s="769"/>
      <c r="BB40" s="769"/>
    </row>
    <row r="41" spans="1:54" ht="18.75" customHeight="1">
      <c r="A41" s="1277"/>
      <c r="B41" s="253"/>
      <c r="C41" s="4242" t="s">
        <v>844</v>
      </c>
      <c r="D41" s="1323" t="s">
        <v>845</v>
      </c>
      <c r="E41" s="1323"/>
      <c r="F41" s="253"/>
      <c r="G41" s="253"/>
      <c r="H41" s="253"/>
      <c r="I41" s="253"/>
      <c r="J41" s="253"/>
      <c r="K41" s="253"/>
      <c r="L41" s="253"/>
      <c r="M41" s="253"/>
      <c r="N41" s="253"/>
      <c r="O41" s="253"/>
      <c r="P41" s="253"/>
      <c r="Q41" s="253"/>
      <c r="R41" s="253"/>
      <c r="S41" s="253"/>
      <c r="T41" s="253"/>
      <c r="U41" s="1401" t="s">
        <v>842</v>
      </c>
      <c r="V41" s="5372" t="s">
        <v>846</v>
      </c>
      <c r="W41" s="7653"/>
      <c r="X41" s="7653"/>
      <c r="Y41" s="7653"/>
      <c r="Z41" s="7653"/>
      <c r="AA41" s="7654"/>
      <c r="AB41" s="5884"/>
      <c r="AC41" s="7582">
        <f t="shared" si="1"/>
        <v>0</v>
      </c>
      <c r="AD41" s="7583"/>
      <c r="AE41" s="7583"/>
      <c r="AF41" s="7583"/>
      <c r="AG41" s="7583"/>
      <c r="AH41" s="1277"/>
      <c r="AI41" s="253"/>
      <c r="AJ41" s="6610"/>
      <c r="AK41" s="2875"/>
      <c r="AL41" s="253"/>
      <c r="AM41" s="5888"/>
      <c r="AN41" s="253"/>
      <c r="AO41" s="5887"/>
      <c r="AP41" s="253"/>
      <c r="AQ41" s="253"/>
      <c r="AR41" s="769"/>
      <c r="AS41" s="769"/>
      <c r="AT41" s="769"/>
      <c r="AU41" s="769"/>
      <c r="AV41" s="769"/>
      <c r="AW41" s="769"/>
      <c r="AX41" s="769"/>
      <c r="AY41" s="769"/>
      <c r="AZ41" s="769"/>
      <c r="BA41" s="769"/>
      <c r="BB41" s="769"/>
    </row>
    <row r="42" spans="1:54" ht="18.75" customHeight="1">
      <c r="A42" s="1277"/>
      <c r="B42" s="253"/>
      <c r="C42" s="4242" t="s">
        <v>847</v>
      </c>
      <c r="D42" s="1323" t="s">
        <v>848</v>
      </c>
      <c r="E42" s="1323"/>
      <c r="F42" s="253"/>
      <c r="G42" s="253"/>
      <c r="H42" s="253"/>
      <c r="I42" s="253"/>
      <c r="J42" s="253"/>
      <c r="K42" s="253"/>
      <c r="L42" s="253"/>
      <c r="M42" s="253"/>
      <c r="N42" s="253"/>
      <c r="O42" s="253"/>
      <c r="P42" s="253"/>
      <c r="Q42" s="253"/>
      <c r="R42" s="253"/>
      <c r="S42" s="253"/>
      <c r="T42" s="253"/>
      <c r="U42" s="1401" t="s">
        <v>828</v>
      </c>
      <c r="V42" s="5372" t="s">
        <v>849</v>
      </c>
      <c r="W42" s="7653"/>
      <c r="X42" s="7653"/>
      <c r="Y42" s="7653"/>
      <c r="Z42" s="7653"/>
      <c r="AA42" s="7654"/>
      <c r="AB42" s="5884"/>
      <c r="AC42" s="7582">
        <f>ROUND(W42,0)</f>
        <v>0</v>
      </c>
      <c r="AD42" s="7583"/>
      <c r="AE42" s="7583"/>
      <c r="AF42" s="7583"/>
      <c r="AG42" s="7583"/>
      <c r="AH42" s="1277"/>
      <c r="AI42" s="253"/>
      <c r="AJ42" s="6610"/>
      <c r="AK42" s="2875"/>
      <c r="AL42" s="253"/>
      <c r="AM42" s="5888"/>
      <c r="AN42" s="253"/>
      <c r="AO42" s="5887"/>
      <c r="AP42" s="253"/>
      <c r="AQ42" s="253"/>
      <c r="AR42" s="769"/>
      <c r="AS42" s="769"/>
      <c r="AT42" s="769"/>
      <c r="AU42" s="769"/>
      <c r="AV42" s="769"/>
      <c r="AW42" s="769"/>
      <c r="AX42" s="769"/>
      <c r="AY42" s="769"/>
      <c r="AZ42" s="769"/>
      <c r="BA42" s="769"/>
      <c r="BB42" s="769"/>
    </row>
    <row r="43" spans="1:54" ht="18.75" customHeight="1">
      <c r="A43" s="1277"/>
      <c r="B43" s="253"/>
      <c r="C43" s="4242" t="s">
        <v>850</v>
      </c>
      <c r="D43" s="1323" t="s">
        <v>851</v>
      </c>
      <c r="E43" s="1323"/>
      <c r="F43" s="253"/>
      <c r="G43" s="253"/>
      <c r="H43" s="253"/>
      <c r="I43" s="253"/>
      <c r="J43" s="253"/>
      <c r="K43" s="253"/>
      <c r="L43" s="253"/>
      <c r="M43" s="253"/>
      <c r="N43" s="253"/>
      <c r="O43" s="253"/>
      <c r="P43" s="253"/>
      <c r="Q43" s="253"/>
      <c r="R43" s="253"/>
      <c r="S43" s="253"/>
      <c r="T43" s="253"/>
      <c r="U43" s="1401" t="s">
        <v>832</v>
      </c>
      <c r="V43" s="5372" t="s">
        <v>852</v>
      </c>
      <c r="W43" s="7653"/>
      <c r="X43" s="7653"/>
      <c r="Y43" s="7653"/>
      <c r="Z43" s="7653"/>
      <c r="AA43" s="7654"/>
      <c r="AB43" s="5884"/>
      <c r="AC43" s="7582">
        <f t="shared" si="1"/>
        <v>0</v>
      </c>
      <c r="AD43" s="7583"/>
      <c r="AE43" s="7583"/>
      <c r="AF43" s="7583"/>
      <c r="AG43" s="7583"/>
      <c r="AH43" s="1277"/>
      <c r="AI43" s="253"/>
      <c r="AJ43" s="6610"/>
      <c r="AK43" s="2875"/>
      <c r="AL43" s="253"/>
      <c r="AM43" s="5888"/>
      <c r="AN43" s="253"/>
      <c r="AO43" s="5887"/>
      <c r="AP43" s="253"/>
      <c r="AQ43" s="253"/>
      <c r="AR43" s="769"/>
      <c r="AS43" s="769"/>
      <c r="AT43" s="769"/>
      <c r="AU43" s="769"/>
      <c r="AV43" s="769"/>
      <c r="AW43" s="769"/>
      <c r="AX43" s="769"/>
      <c r="AY43" s="769"/>
      <c r="AZ43" s="769"/>
      <c r="BA43" s="769"/>
      <c r="BB43" s="769"/>
    </row>
    <row r="44" spans="1:54" ht="18.75" customHeight="1">
      <c r="A44" s="1277"/>
      <c r="B44" s="253"/>
      <c r="C44" s="4242" t="s">
        <v>853</v>
      </c>
      <c r="D44" s="1323" t="s">
        <v>5971</v>
      </c>
      <c r="E44" s="1323"/>
      <c r="F44" s="253"/>
      <c r="G44" s="253"/>
      <c r="H44" s="253"/>
      <c r="I44" s="253"/>
      <c r="J44" s="253"/>
      <c r="K44" s="253"/>
      <c r="L44" s="253"/>
      <c r="M44" s="253"/>
      <c r="N44" s="253"/>
      <c r="O44" s="253"/>
      <c r="P44" s="253"/>
      <c r="Q44" s="253"/>
      <c r="R44" s="253"/>
      <c r="S44" s="253"/>
      <c r="T44" s="253"/>
      <c r="U44" s="1401"/>
      <c r="V44" s="5890"/>
      <c r="W44" s="7634"/>
      <c r="X44" s="7635"/>
      <c r="Y44" s="7635"/>
      <c r="Z44" s="7635"/>
      <c r="AA44" s="7636"/>
      <c r="AB44" s="5884"/>
      <c r="AC44" s="7582"/>
      <c r="AD44" s="7583"/>
      <c r="AE44" s="7583"/>
      <c r="AF44" s="7583"/>
      <c r="AG44" s="7583"/>
      <c r="AH44" s="1277"/>
      <c r="AI44" s="253"/>
      <c r="AJ44" s="6610"/>
      <c r="AK44" s="2875"/>
      <c r="AL44" s="253"/>
      <c r="AM44" s="5888"/>
      <c r="AN44" s="253"/>
      <c r="AO44" s="5887"/>
      <c r="AP44" s="253"/>
      <c r="AQ44" s="253"/>
      <c r="AR44" s="769"/>
      <c r="AS44" s="769"/>
      <c r="AT44" s="769"/>
      <c r="AU44" s="769"/>
      <c r="AV44" s="769"/>
      <c r="AW44" s="769"/>
      <c r="AX44" s="769"/>
      <c r="AY44" s="769"/>
      <c r="AZ44" s="769"/>
      <c r="BA44" s="769"/>
      <c r="BB44" s="769"/>
    </row>
    <row r="45" spans="1:54" ht="18.75" customHeight="1">
      <c r="A45" s="1277"/>
      <c r="B45" s="253"/>
      <c r="C45" s="4242"/>
      <c r="D45" s="1323" t="s">
        <v>5972</v>
      </c>
      <c r="E45" s="1323"/>
      <c r="F45" s="253"/>
      <c r="G45" s="253"/>
      <c r="H45" s="253"/>
      <c r="I45" s="253"/>
      <c r="J45" s="253"/>
      <c r="K45" s="253"/>
      <c r="L45" s="253"/>
      <c r="M45" s="253"/>
      <c r="N45" s="253"/>
      <c r="O45" s="253"/>
      <c r="P45" s="253"/>
      <c r="Q45" s="253"/>
      <c r="R45" s="253"/>
      <c r="S45" s="253"/>
      <c r="T45" s="253"/>
      <c r="U45" s="1401" t="s">
        <v>793</v>
      </c>
      <c r="V45" s="5372" t="s">
        <v>854</v>
      </c>
      <c r="W45" s="6085" t="s">
        <v>799</v>
      </c>
      <c r="X45" s="7585"/>
      <c r="Y45" s="7585"/>
      <c r="Z45" s="7585"/>
      <c r="AA45" s="6086" t="s">
        <v>800</v>
      </c>
      <c r="AB45" s="5884"/>
      <c r="AC45" s="7582">
        <f>-ROUND(X45,0)</f>
        <v>0</v>
      </c>
      <c r="AD45" s="7583"/>
      <c r="AE45" s="7583"/>
      <c r="AF45" s="7583"/>
      <c r="AG45" s="7583"/>
      <c r="AH45" s="1277"/>
      <c r="AI45" s="253"/>
      <c r="AJ45" s="6610"/>
      <c r="AK45" s="2875"/>
      <c r="AL45" s="2875"/>
      <c r="AM45" s="2875"/>
      <c r="AN45" s="2875"/>
      <c r="AO45" s="2875"/>
      <c r="AP45" s="2875"/>
      <c r="AQ45" s="253"/>
      <c r="AR45" s="769"/>
      <c r="AS45" s="769"/>
      <c r="AT45" s="769"/>
      <c r="AU45" s="769"/>
      <c r="AV45" s="769"/>
      <c r="AW45" s="769"/>
      <c r="AX45" s="769"/>
      <c r="AY45" s="769"/>
      <c r="AZ45" s="769"/>
      <c r="BA45" s="769"/>
      <c r="BB45" s="769"/>
    </row>
    <row r="46" spans="1:54" ht="18.75" customHeight="1" thickBot="1">
      <c r="A46" s="1277"/>
      <c r="B46" s="253"/>
      <c r="C46" s="4242" t="s">
        <v>855</v>
      </c>
      <c r="D46" s="1323" t="s">
        <v>6079</v>
      </c>
      <c r="E46" s="1323"/>
      <c r="F46" s="253"/>
      <c r="G46" s="253"/>
      <c r="H46" s="253"/>
      <c r="I46" s="253"/>
      <c r="J46" s="253"/>
      <c r="K46" s="253"/>
      <c r="L46" s="253"/>
      <c r="M46" s="253"/>
      <c r="N46" s="253"/>
      <c r="O46" s="253"/>
      <c r="P46" s="253"/>
      <c r="Q46" s="253"/>
      <c r="R46" s="253"/>
      <c r="S46" s="253"/>
      <c r="T46" s="253"/>
      <c r="U46" s="1401"/>
      <c r="V46" s="5890"/>
      <c r="W46" s="7634"/>
      <c r="X46" s="7635"/>
      <c r="Y46" s="7635"/>
      <c r="Z46" s="7635"/>
      <c r="AA46" s="7636"/>
      <c r="AB46" s="5884"/>
      <c r="AC46" s="7582"/>
      <c r="AD46" s="7583"/>
      <c r="AE46" s="7583"/>
      <c r="AF46" s="7583"/>
      <c r="AG46" s="7583"/>
      <c r="AH46" s="1277"/>
      <c r="AI46" s="253"/>
      <c r="AJ46" s="6610"/>
      <c r="AK46" s="2875"/>
      <c r="AL46" s="2875"/>
      <c r="AM46" s="2875"/>
      <c r="AN46" s="7652" t="s">
        <v>856</v>
      </c>
      <c r="AO46" s="7652"/>
      <c r="AP46" s="2875"/>
      <c r="AQ46" s="253"/>
      <c r="AR46" s="769"/>
      <c r="AS46" s="769"/>
      <c r="AT46" s="769"/>
      <c r="AU46" s="769"/>
      <c r="AV46" s="769"/>
      <c r="AW46" s="769"/>
      <c r="AX46" s="769"/>
      <c r="AY46" s="769"/>
      <c r="AZ46" s="769"/>
      <c r="BA46" s="769"/>
      <c r="BB46" s="769"/>
    </row>
    <row r="47" spans="1:54" ht="18.75" customHeight="1">
      <c r="A47" s="1277"/>
      <c r="B47" s="253"/>
      <c r="C47" s="4242"/>
      <c r="D47" s="2006" t="s">
        <v>6080</v>
      </c>
      <c r="E47" s="1323"/>
      <c r="F47" s="253"/>
      <c r="G47" s="253"/>
      <c r="H47" s="253"/>
      <c r="I47" s="253"/>
      <c r="J47" s="253"/>
      <c r="K47" s="253"/>
      <c r="L47" s="253"/>
      <c r="M47" s="253"/>
      <c r="N47" s="253"/>
      <c r="O47" s="253"/>
      <c r="P47" s="253"/>
      <c r="Q47" s="253"/>
      <c r="R47" s="253"/>
      <c r="S47" s="253"/>
      <c r="T47" s="253"/>
      <c r="U47" s="1401" t="s">
        <v>792</v>
      </c>
      <c r="V47" s="6088" t="s">
        <v>857</v>
      </c>
      <c r="W47" s="7653"/>
      <c r="X47" s="7653"/>
      <c r="Y47" s="7653"/>
      <c r="Z47" s="7653"/>
      <c r="AA47" s="7654"/>
      <c r="AB47" s="5884"/>
      <c r="AC47" s="7582">
        <f>ROUND(W47,0)</f>
        <v>0</v>
      </c>
      <c r="AD47" s="7583"/>
      <c r="AE47" s="7583"/>
      <c r="AF47" s="7583"/>
      <c r="AG47" s="7583"/>
      <c r="AH47" s="1277"/>
      <c r="AI47" s="253"/>
      <c r="AJ47" s="6610"/>
      <c r="AK47" s="2875"/>
      <c r="AL47" s="2875"/>
      <c r="AM47" s="2875"/>
      <c r="AN47" s="7648" t="s">
        <v>6731</v>
      </c>
      <c r="AO47" s="7650" t="s">
        <v>858</v>
      </c>
      <c r="AP47" s="2875"/>
      <c r="AQ47" s="253"/>
      <c r="AR47" s="769"/>
      <c r="AS47" s="769"/>
      <c r="AT47" s="769"/>
      <c r="AU47" s="769"/>
      <c r="AV47" s="769"/>
      <c r="AW47" s="769"/>
      <c r="AX47" s="769"/>
      <c r="AY47" s="769"/>
      <c r="AZ47" s="769"/>
      <c r="BA47" s="769"/>
      <c r="BB47" s="769"/>
    </row>
    <row r="48" spans="1:54" ht="18.75" customHeight="1" thickBot="1">
      <c r="A48" s="1277"/>
      <c r="B48" s="253"/>
      <c r="C48" s="4242" t="s">
        <v>859</v>
      </c>
      <c r="D48" s="1323" t="s">
        <v>860</v>
      </c>
      <c r="E48" s="1323"/>
      <c r="F48" s="253"/>
      <c r="G48" s="253"/>
      <c r="H48" s="253"/>
      <c r="I48" s="253"/>
      <c r="J48" s="253"/>
      <c r="K48" s="253"/>
      <c r="L48" s="253"/>
      <c r="M48" s="253"/>
      <c r="N48" s="253"/>
      <c r="O48" s="253"/>
      <c r="P48" s="253"/>
      <c r="Q48" s="253"/>
      <c r="R48" s="253"/>
      <c r="S48" s="253"/>
      <c r="T48" s="253"/>
      <c r="U48" s="1401" t="s">
        <v>793</v>
      </c>
      <c r="V48" s="5372" t="s">
        <v>861</v>
      </c>
      <c r="W48" s="7653"/>
      <c r="X48" s="7653"/>
      <c r="Y48" s="7653"/>
      <c r="Z48" s="7653"/>
      <c r="AA48" s="7654"/>
      <c r="AB48" s="5884"/>
      <c r="AC48" s="7582">
        <f>ROUND(W48,0)</f>
        <v>0</v>
      </c>
      <c r="AD48" s="7583"/>
      <c r="AE48" s="7583"/>
      <c r="AF48" s="7583"/>
      <c r="AG48" s="7583"/>
      <c r="AH48" s="1277"/>
      <c r="AI48" s="253"/>
      <c r="AJ48" s="6610"/>
      <c r="AK48" s="2875"/>
      <c r="AL48" s="2875"/>
      <c r="AM48" s="2875"/>
      <c r="AN48" s="7649"/>
      <c r="AO48" s="7651"/>
      <c r="AP48" s="2875"/>
      <c r="AQ48" s="253"/>
      <c r="AR48" s="769"/>
      <c r="AS48" s="769"/>
      <c r="AT48" s="769"/>
      <c r="AU48" s="769"/>
      <c r="AV48" s="769"/>
      <c r="AW48" s="769"/>
      <c r="AX48" s="769"/>
      <c r="AY48" s="769"/>
      <c r="AZ48" s="769"/>
      <c r="BA48" s="769"/>
      <c r="BB48" s="769"/>
    </row>
    <row r="49" spans="1:54" ht="18.75" customHeight="1">
      <c r="A49" s="1277"/>
      <c r="B49" s="253"/>
      <c r="C49" s="4242" t="s">
        <v>4758</v>
      </c>
      <c r="D49" s="1323" t="s">
        <v>5488</v>
      </c>
      <c r="E49" s="1323"/>
      <c r="F49" s="253"/>
      <c r="G49" s="253"/>
      <c r="H49" s="253"/>
      <c r="I49" s="253"/>
      <c r="J49" s="253"/>
      <c r="K49" s="253"/>
      <c r="L49" s="253"/>
      <c r="M49" s="253"/>
      <c r="N49" s="253"/>
      <c r="O49" s="253"/>
      <c r="P49" s="253"/>
      <c r="Q49" s="253"/>
      <c r="R49" s="253"/>
      <c r="S49" s="253"/>
      <c r="T49" s="253"/>
      <c r="U49" s="1401"/>
      <c r="V49" s="5890"/>
      <c r="W49" s="7634"/>
      <c r="X49" s="7635"/>
      <c r="Y49" s="7635"/>
      <c r="Z49" s="7635"/>
      <c r="AA49" s="7636"/>
      <c r="AB49" s="5884"/>
      <c r="AC49" s="5404"/>
      <c r="AD49" s="1337"/>
      <c r="AE49" s="1337"/>
      <c r="AF49" s="1337"/>
      <c r="AG49" s="1337"/>
      <c r="AH49" s="1277"/>
      <c r="AI49" s="253"/>
      <c r="AJ49" s="6610"/>
      <c r="AK49" s="2875"/>
      <c r="AL49" s="2875"/>
      <c r="AM49" s="2875"/>
      <c r="AN49" s="4642"/>
      <c r="AO49" s="4643"/>
      <c r="AP49" s="2875"/>
      <c r="AQ49" s="990">
        <f t="shared" ref="AQ49:AQ55" si="2">IF(AO49="",0,AO49)</f>
        <v>0</v>
      </c>
      <c r="AR49" s="769"/>
      <c r="AS49" s="769"/>
      <c r="AT49" s="769"/>
      <c r="AU49" s="769"/>
      <c r="AV49" s="769"/>
      <c r="AW49" s="769"/>
      <c r="AX49" s="769"/>
      <c r="AY49" s="769"/>
      <c r="AZ49" s="769"/>
      <c r="BA49" s="769"/>
      <c r="BB49" s="769"/>
    </row>
    <row r="50" spans="1:54" ht="18.75" customHeight="1">
      <c r="A50" s="1277"/>
      <c r="B50" s="253"/>
      <c r="C50" s="4242"/>
      <c r="D50" s="1323" t="s">
        <v>726</v>
      </c>
      <c r="E50" s="1323"/>
      <c r="F50" s="253"/>
      <c r="G50" s="253"/>
      <c r="H50" s="253"/>
      <c r="I50" s="253"/>
      <c r="J50" s="253"/>
      <c r="K50" s="253"/>
      <c r="L50" s="253"/>
      <c r="M50" s="253"/>
      <c r="N50" s="253"/>
      <c r="O50" s="253"/>
      <c r="P50" s="253"/>
      <c r="Q50" s="253"/>
      <c r="R50" s="253"/>
      <c r="S50" s="253"/>
      <c r="T50" s="253"/>
      <c r="U50" s="1401" t="s">
        <v>793</v>
      </c>
      <c r="V50" s="6088" t="s">
        <v>5487</v>
      </c>
      <c r="W50" s="7653"/>
      <c r="X50" s="7653"/>
      <c r="Y50" s="7653"/>
      <c r="Z50" s="7653"/>
      <c r="AA50" s="7654"/>
      <c r="AB50" s="5884"/>
      <c r="AC50" s="7582">
        <f>ROUND(W50,0)</f>
        <v>0</v>
      </c>
      <c r="AD50" s="7583"/>
      <c r="AE50" s="7583"/>
      <c r="AF50" s="7583"/>
      <c r="AG50" s="7583"/>
      <c r="AH50" s="1277"/>
      <c r="AI50" s="253"/>
      <c r="AJ50" s="6610"/>
      <c r="AK50" s="2875"/>
      <c r="AL50" s="2875"/>
      <c r="AM50" s="2875"/>
      <c r="AN50" s="4644"/>
      <c r="AO50" s="4645"/>
      <c r="AP50" s="2875"/>
      <c r="AQ50" s="990">
        <f t="shared" si="2"/>
        <v>0</v>
      </c>
      <c r="AR50" s="769"/>
      <c r="AS50" s="769"/>
      <c r="AT50" s="769"/>
      <c r="AU50" s="769"/>
      <c r="AV50" s="769"/>
      <c r="AW50" s="769"/>
      <c r="AX50" s="769"/>
      <c r="AY50" s="769"/>
      <c r="AZ50" s="769"/>
      <c r="BA50" s="769"/>
      <c r="BB50" s="769"/>
    </row>
    <row r="51" spans="1:54" ht="18.75" customHeight="1">
      <c r="A51" s="1277"/>
      <c r="B51" s="253"/>
      <c r="C51" s="4242" t="s">
        <v>622</v>
      </c>
      <c r="D51" s="1323" t="s">
        <v>862</v>
      </c>
      <c r="E51" s="1323"/>
      <c r="F51" s="253"/>
      <c r="G51" s="253"/>
      <c r="H51" s="253"/>
      <c r="I51" s="253"/>
      <c r="J51" s="253"/>
      <c r="K51" s="253"/>
      <c r="L51" s="253"/>
      <c r="M51" s="253"/>
      <c r="N51" s="253"/>
      <c r="O51" s="253"/>
      <c r="P51" s="253"/>
      <c r="Q51" s="253"/>
      <c r="R51" s="253"/>
      <c r="S51" s="253"/>
      <c r="T51" s="253"/>
      <c r="U51" s="253"/>
      <c r="V51" s="5890"/>
      <c r="W51" s="7634"/>
      <c r="X51" s="7635"/>
      <c r="Y51" s="7635"/>
      <c r="Z51" s="7635"/>
      <c r="AA51" s="7636"/>
      <c r="AB51" s="5884"/>
      <c r="AC51" s="5404"/>
      <c r="AD51" s="5405"/>
      <c r="AE51" s="5405"/>
      <c r="AF51" s="5405"/>
      <c r="AG51" s="5405"/>
      <c r="AH51" s="1277"/>
      <c r="AI51" s="7555" t="s">
        <v>6732</v>
      </c>
      <c r="AJ51" s="7555"/>
      <c r="AK51" s="7555"/>
      <c r="AL51" s="2875"/>
      <c r="AM51" s="2875"/>
      <c r="AN51" s="4644"/>
      <c r="AO51" s="4645"/>
      <c r="AP51" s="2875"/>
      <c r="AQ51" s="990">
        <f t="shared" si="2"/>
        <v>0</v>
      </c>
      <c r="AR51" s="769"/>
      <c r="AS51" s="769"/>
      <c r="AT51" s="769"/>
      <c r="AU51" s="769"/>
      <c r="AV51" s="769"/>
      <c r="AW51" s="769"/>
      <c r="AX51" s="769"/>
      <c r="AY51" s="769"/>
      <c r="AZ51" s="769"/>
      <c r="BA51" s="769"/>
      <c r="BB51" s="769"/>
    </row>
    <row r="52" spans="1:54" ht="18.75" customHeight="1">
      <c r="A52" s="1277"/>
      <c r="B52" s="253"/>
      <c r="C52" s="4242"/>
      <c r="D52" s="7661" t="str">
        <f>IF(F8889_Line20&gt;0,"HSA "&amp; TEXT(F8889_Line20,"$0"),"")</f>
        <v/>
      </c>
      <c r="E52" s="7662"/>
      <c r="F52" s="7662"/>
      <c r="G52" s="7662"/>
      <c r="H52" s="7662"/>
      <c r="I52" s="7662"/>
      <c r="J52" s="7662"/>
      <c r="K52" s="7662"/>
      <c r="L52" s="7662"/>
      <c r="M52" s="7662"/>
      <c r="N52" s="7662"/>
      <c r="O52" s="7662"/>
      <c r="P52" s="7662"/>
      <c r="Q52" s="7662"/>
      <c r="R52" s="7662"/>
      <c r="S52" s="7662"/>
      <c r="T52" s="7662"/>
      <c r="U52" s="253"/>
      <c r="V52" s="5890"/>
      <c r="W52" s="7634"/>
      <c r="X52" s="7635"/>
      <c r="Y52" s="7635"/>
      <c r="Z52" s="7635"/>
      <c r="AA52" s="7636"/>
      <c r="AB52" s="5884"/>
      <c r="AC52" s="7582">
        <f>IF(W52="",0,ROUND(W52,0))</f>
        <v>0</v>
      </c>
      <c r="AD52" s="7583"/>
      <c r="AE52" s="7583"/>
      <c r="AF52" s="7583"/>
      <c r="AG52" s="7583"/>
      <c r="AH52" s="1277"/>
      <c r="AI52" s="253"/>
      <c r="AJ52" s="6610"/>
      <c r="AK52" s="2875"/>
      <c r="AL52" s="2875"/>
      <c r="AM52" s="2875"/>
      <c r="AN52" s="4644"/>
      <c r="AO52" s="4645"/>
      <c r="AP52" s="2875"/>
      <c r="AQ52" s="990">
        <f>IF(AO52="",0,AO52)</f>
        <v>0</v>
      </c>
      <c r="AR52" s="769"/>
      <c r="AS52" s="769"/>
      <c r="AT52" s="769"/>
      <c r="AU52" s="769"/>
      <c r="AV52" s="769"/>
      <c r="AW52" s="769"/>
      <c r="AX52" s="769"/>
      <c r="AY52" s="769"/>
      <c r="AZ52" s="769"/>
      <c r="BA52" s="769"/>
      <c r="BB52" s="769"/>
    </row>
    <row r="53" spans="1:54" ht="18.75" customHeight="1">
      <c r="A53" s="1277"/>
      <c r="B53" s="253"/>
      <c r="C53" s="4242"/>
      <c r="D53" s="7641" t="str">
        <f>AN49&amp;" "&amp;AO58&amp;"    "&amp;AN50&amp;" "&amp;AO59&amp;"    "&amp;AN51&amp;" "&amp;AO60&amp;"    "&amp;AN53&amp;" "&amp;AO61&amp;"    "&amp;AN54&amp;" "&amp;AO63&amp;"    "&amp;AN55&amp;" "&amp;AO64</f>
        <v xml:space="preserve">                          </v>
      </c>
      <c r="E53" s="7642"/>
      <c r="F53" s="7642"/>
      <c r="G53" s="7642"/>
      <c r="H53" s="7642"/>
      <c r="I53" s="7642"/>
      <c r="J53" s="7642"/>
      <c r="K53" s="7642"/>
      <c r="L53" s="7642"/>
      <c r="M53" s="7642"/>
      <c r="N53" s="7642"/>
      <c r="O53" s="7642"/>
      <c r="P53" s="7642"/>
      <c r="Q53" s="7642"/>
      <c r="R53" s="7642"/>
      <c r="S53" s="7642"/>
      <c r="T53" s="7642"/>
      <c r="U53" s="253"/>
      <c r="V53" s="5372" t="s">
        <v>863</v>
      </c>
      <c r="W53" s="7643" t="str">
        <f>IF(SUM(AQ49:AQ55)=0,"",SUM(AQ49:AQ55))</f>
        <v/>
      </c>
      <c r="X53" s="7643"/>
      <c r="Y53" s="7643"/>
      <c r="Z53" s="7643"/>
      <c r="AA53" s="7644"/>
      <c r="AB53" s="5884"/>
      <c r="AC53" s="7582">
        <f>IF(W53="",0,ROUND(W53,0))</f>
        <v>0</v>
      </c>
      <c r="AD53" s="7583"/>
      <c r="AE53" s="7583"/>
      <c r="AF53" s="7583"/>
      <c r="AG53" s="7583"/>
      <c r="AH53" s="1277"/>
      <c r="AI53" s="253"/>
      <c r="AJ53" s="6610"/>
      <c r="AK53" s="2875"/>
      <c r="AL53" s="2875"/>
      <c r="AM53" s="2875"/>
      <c r="AN53" s="4644"/>
      <c r="AO53" s="4645"/>
      <c r="AP53" s="2875"/>
      <c r="AQ53" s="990">
        <f t="shared" si="2"/>
        <v>0</v>
      </c>
      <c r="AR53" s="769"/>
      <c r="AS53" s="769"/>
      <c r="AT53" s="769"/>
      <c r="AU53" s="769"/>
      <c r="AV53" s="769"/>
      <c r="AW53" s="769"/>
      <c r="AX53" s="769"/>
      <c r="AY53" s="769"/>
      <c r="AZ53" s="769"/>
      <c r="BA53" s="769"/>
      <c r="BB53" s="769"/>
    </row>
    <row r="54" spans="1:54" ht="18.75" customHeight="1">
      <c r="A54" s="1277"/>
      <c r="B54" s="253"/>
      <c r="C54" s="4467">
        <v>9</v>
      </c>
      <c r="D54" s="1323" t="s">
        <v>864</v>
      </c>
      <c r="E54" s="253"/>
      <c r="F54" s="253"/>
      <c r="G54" s="253"/>
      <c r="H54" s="253"/>
      <c r="I54" s="253"/>
      <c r="J54" s="253"/>
      <c r="K54" s="253"/>
      <c r="L54" s="253"/>
      <c r="M54" s="253"/>
      <c r="N54" s="253"/>
      <c r="O54" s="253"/>
      <c r="P54" s="253"/>
      <c r="Q54" s="253"/>
      <c r="R54" s="253"/>
      <c r="S54" s="253"/>
      <c r="T54" s="253"/>
      <c r="U54" s="253"/>
      <c r="V54" s="253"/>
      <c r="W54" s="253"/>
      <c r="X54" s="253"/>
      <c r="Y54" s="253"/>
      <c r="Z54" s="253"/>
      <c r="AA54" s="1401" t="s">
        <v>805</v>
      </c>
      <c r="AB54" s="4448">
        <v>9</v>
      </c>
      <c r="AC54" s="7630">
        <f>IF(AK54&lt;&gt;"",ROUND(AK54,0),SUM(AC25:AC34,AC35,AC37:AC50,AC53))</f>
        <v>0</v>
      </c>
      <c r="AD54" s="7645"/>
      <c r="AE54" s="7645"/>
      <c r="AF54" s="7645"/>
      <c r="AG54" s="7645"/>
      <c r="AH54" s="1277"/>
      <c r="AI54" s="253"/>
      <c r="AJ54" s="6610"/>
      <c r="AK54" s="6135"/>
      <c r="AL54" s="2875"/>
      <c r="AM54" s="6089" t="s">
        <v>5436</v>
      </c>
      <c r="AN54" s="6090" t="str">
        <f>IF(RTAApayments&gt;0,"RTAA","")</f>
        <v/>
      </c>
      <c r="AO54" s="4125" t="str">
        <f>IF(RTAApayments&gt;0,RTAApayments,"")</f>
        <v/>
      </c>
      <c r="AP54" s="2875"/>
      <c r="AQ54" s="990">
        <f t="shared" si="2"/>
        <v>0</v>
      </c>
      <c r="AR54" s="769"/>
      <c r="AS54" s="769"/>
      <c r="AT54" s="769"/>
      <c r="AU54" s="769"/>
      <c r="AV54" s="769"/>
      <c r="AW54" s="769"/>
      <c r="AX54" s="769"/>
      <c r="AY54" s="769"/>
      <c r="AZ54" s="769"/>
      <c r="BA54" s="769"/>
      <c r="BB54" s="769"/>
    </row>
    <row r="55" spans="1:54" ht="18.75" customHeight="1" thickBot="1">
      <c r="A55" s="1277"/>
      <c r="B55" s="253"/>
      <c r="C55" s="4467">
        <v>10</v>
      </c>
      <c r="D55" s="1323" t="s">
        <v>5973</v>
      </c>
      <c r="E55" s="253"/>
      <c r="F55" s="253"/>
      <c r="G55" s="253"/>
      <c r="H55" s="253"/>
      <c r="I55" s="580"/>
      <c r="J55" s="253"/>
      <c r="K55" s="253"/>
      <c r="L55" s="253"/>
      <c r="M55" s="253"/>
      <c r="N55" s="253"/>
      <c r="O55" s="1218"/>
      <c r="P55" s="2373"/>
      <c r="Q55" s="253"/>
      <c r="R55" s="253"/>
      <c r="S55" s="253"/>
      <c r="T55" s="253"/>
      <c r="U55" s="253"/>
      <c r="V55" s="1668"/>
      <c r="W55" s="1669"/>
      <c r="X55" s="1669"/>
      <c r="Y55" s="1669"/>
      <c r="Z55" s="1669"/>
      <c r="AA55" s="253"/>
      <c r="AB55" s="4454"/>
      <c r="AC55" s="7578">
        <f>ROUND(AC54,0)</f>
        <v>0</v>
      </c>
      <c r="AD55" s="7579"/>
      <c r="AE55" s="7579"/>
      <c r="AF55" s="7579"/>
      <c r="AG55" s="7579"/>
      <c r="AH55" s="1277"/>
      <c r="AI55" s="4213"/>
      <c r="AJ55" s="6612"/>
      <c r="AK55" s="2875"/>
      <c r="AL55" s="2875"/>
      <c r="AM55" s="6089" t="s">
        <v>5437</v>
      </c>
      <c r="AN55" s="6091" t="str">
        <f>IF(F1099G_TaxGrants&gt;0,"TFG","")</f>
        <v/>
      </c>
      <c r="AO55" s="4126" t="str">
        <f>IF(F1099G_TaxGrants&gt;0,F1099G_TaxGrants,"")</f>
        <v/>
      </c>
      <c r="AP55" s="2875"/>
      <c r="AQ55" s="990">
        <f t="shared" si="2"/>
        <v>0</v>
      </c>
      <c r="AR55" s="769"/>
      <c r="AS55" s="769"/>
      <c r="AT55" s="769"/>
      <c r="AU55" s="769"/>
      <c r="AV55" s="769"/>
      <c r="AW55" s="769"/>
      <c r="AX55" s="769"/>
      <c r="AY55" s="769"/>
      <c r="AZ55" s="769"/>
      <c r="BA55" s="769"/>
      <c r="BB55" s="769"/>
    </row>
    <row r="56" spans="1:54" ht="18.75" customHeight="1" thickBot="1">
      <c r="A56" s="1277"/>
      <c r="B56" s="721"/>
      <c r="C56" s="6092"/>
      <c r="D56" s="5710" t="s">
        <v>5974</v>
      </c>
      <c r="E56" s="721"/>
      <c r="F56" s="721"/>
      <c r="G56" s="721"/>
      <c r="H56" s="721"/>
      <c r="I56" s="721"/>
      <c r="J56" s="721"/>
      <c r="K56" s="721"/>
      <c r="L56" s="721"/>
      <c r="M56" s="721"/>
      <c r="N56" s="721"/>
      <c r="O56" s="4460"/>
      <c r="P56" s="4461"/>
      <c r="Q56" s="721"/>
      <c r="R56" s="721"/>
      <c r="S56" s="721"/>
      <c r="T56" s="721"/>
      <c r="U56" s="721"/>
      <c r="V56" s="721"/>
      <c r="W56" s="721"/>
      <c r="X56" s="721"/>
      <c r="Y56" s="721"/>
      <c r="Z56" s="721"/>
      <c r="AA56" s="1401" t="s">
        <v>787</v>
      </c>
      <c r="AB56" s="4463">
        <v>10</v>
      </c>
      <c r="AC56" s="7565">
        <f>IF(AK56&lt;&gt;"",ROUND(AK56,0),SUM(AC15,AC16,BusinessIncomeLoss,ROUND(AC19,0),SchE_IncomeLoss,FarmIncomeLoss,UnEmploymentComp,OtherIncome))</f>
        <v>0</v>
      </c>
      <c r="AD56" s="7566"/>
      <c r="AE56" s="7566"/>
      <c r="AF56" s="7566"/>
      <c r="AG56" s="7566"/>
      <c r="AH56" s="1277"/>
      <c r="AI56" s="253"/>
      <c r="AJ56" s="6610"/>
      <c r="AK56" s="6135"/>
      <c r="AL56" s="2875"/>
      <c r="AM56" s="2875"/>
      <c r="AN56" s="2875"/>
      <c r="AO56" s="2875"/>
      <c r="AP56" s="2875"/>
      <c r="AQ56" s="253"/>
      <c r="AR56" s="769"/>
      <c r="AS56" s="769"/>
      <c r="AT56" s="769"/>
      <c r="AU56" s="769"/>
      <c r="AV56" s="769"/>
      <c r="AW56" s="769"/>
      <c r="AX56" s="769"/>
      <c r="AY56" s="769"/>
      <c r="AZ56" s="769"/>
      <c r="BA56" s="769"/>
      <c r="BB56" s="769"/>
    </row>
    <row r="57" spans="1:54" ht="14.25" customHeight="1" thickTop="1">
      <c r="A57" s="1277"/>
      <c r="B57" s="6093" t="s">
        <v>865</v>
      </c>
      <c r="C57" s="5895"/>
      <c r="D57" s="257"/>
      <c r="E57" s="257"/>
      <c r="F57" s="257"/>
      <c r="G57" s="257"/>
      <c r="H57" s="257"/>
      <c r="I57" s="257"/>
      <c r="J57" s="257"/>
      <c r="K57" s="257"/>
      <c r="L57" s="257"/>
      <c r="M57" s="257"/>
      <c r="N57" s="257"/>
      <c r="O57" s="257"/>
      <c r="P57" s="257"/>
      <c r="Q57" s="257"/>
      <c r="R57" s="257"/>
      <c r="S57" s="257"/>
      <c r="T57" s="5896"/>
      <c r="U57" s="5896" t="s">
        <v>866</v>
      </c>
      <c r="V57" s="257"/>
      <c r="W57" s="2279"/>
      <c r="X57" s="257"/>
      <c r="Y57" s="257"/>
      <c r="Z57" s="257"/>
      <c r="AA57" s="257"/>
      <c r="AB57" s="257"/>
      <c r="AC57" s="257"/>
      <c r="AD57" s="257"/>
      <c r="AE57" s="257"/>
      <c r="AF57" s="257"/>
      <c r="AG57" s="5897" t="str">
        <f>"Schedule 1 (Form 1040) "&amp;TaxYear</f>
        <v>Schedule 1 (Form 1040) 2025</v>
      </c>
      <c r="AH57" s="1277"/>
      <c r="AI57" s="253"/>
      <c r="AJ57" s="6610"/>
      <c r="AK57" s="2875"/>
      <c r="AL57" s="3819">
        <v>300</v>
      </c>
      <c r="AM57" s="3819">
        <v>600</v>
      </c>
      <c r="AN57" s="3819">
        <f>IF(File_Marr_Joint&lt;&gt;"",AM57,AL57)</f>
        <v>300</v>
      </c>
      <c r="AO57" s="6094" t="b">
        <f>EducatorExpenses&gt;AN57</f>
        <v>0</v>
      </c>
      <c r="AP57" s="253"/>
      <c r="AQ57" s="253"/>
      <c r="AR57" s="769"/>
      <c r="AS57" s="769"/>
      <c r="AT57" s="769"/>
      <c r="AU57" s="769"/>
      <c r="AV57" s="769"/>
      <c r="AW57" s="769"/>
      <c r="AX57" s="769"/>
      <c r="AY57" s="769"/>
      <c r="AZ57" s="769"/>
      <c r="BA57" s="769"/>
      <c r="BB57" s="769"/>
    </row>
    <row r="58" spans="1:54" ht="17.25" customHeight="1" thickBot="1">
      <c r="A58" s="1277"/>
      <c r="B58" s="5898" t="str">
        <f>"Schedule 1 (Form 1040)  " &amp; TaxYear</f>
        <v>Schedule 1 (Form 1040)  2025</v>
      </c>
      <c r="C58" s="5386"/>
      <c r="D58" s="380"/>
      <c r="E58" s="380"/>
      <c r="F58" s="380"/>
      <c r="G58" s="380"/>
      <c r="H58" s="380"/>
      <c r="I58" s="380"/>
      <c r="J58" s="380"/>
      <c r="K58" s="380"/>
      <c r="L58" s="380"/>
      <c r="M58" s="380"/>
      <c r="N58" s="380"/>
      <c r="O58" s="380"/>
      <c r="P58" s="380"/>
      <c r="Q58" s="380"/>
      <c r="R58" s="380"/>
      <c r="S58" s="380"/>
      <c r="T58" s="348"/>
      <c r="U58" s="348"/>
      <c r="V58" s="380"/>
      <c r="W58" s="2266"/>
      <c r="X58" s="380"/>
      <c r="Y58" s="380"/>
      <c r="Z58" s="380"/>
      <c r="AA58" s="380"/>
      <c r="AB58" s="380"/>
      <c r="AC58" s="380"/>
      <c r="AD58" s="380"/>
      <c r="AE58" s="380"/>
      <c r="AF58" s="380"/>
      <c r="AG58" s="4188" t="s">
        <v>867</v>
      </c>
      <c r="AH58" s="1277"/>
      <c r="AI58" s="253"/>
      <c r="AJ58" s="6610"/>
      <c r="AK58" s="7556" t="str">
        <f>IF(AO57,"For your filing status, this amount is limited to "&amp;TEXT(AN57,"$0")&amp;".","")</f>
        <v/>
      </c>
      <c r="AL58" s="512"/>
      <c r="AM58" s="2516"/>
      <c r="AN58" s="512"/>
      <c r="AO58" s="5900" t="str">
        <f>IF(AO49="","",IF(AO49&gt;999,TEXT(AO49,"$0,000"),TEXT(AO49,"$0")))</f>
        <v/>
      </c>
      <c r="AP58" s="253"/>
      <c r="AQ58" s="253"/>
      <c r="AR58" s="769"/>
      <c r="AS58" s="769"/>
      <c r="AT58" s="769"/>
      <c r="AU58" s="769"/>
      <c r="AV58" s="769"/>
      <c r="AW58" s="769"/>
      <c r="AX58" s="769"/>
      <c r="AY58" s="769"/>
      <c r="AZ58" s="769"/>
      <c r="BA58" s="769"/>
      <c r="BB58" s="769"/>
    </row>
    <row r="59" spans="1:54" ht="21" customHeight="1">
      <c r="A59" s="1277"/>
      <c r="B59" s="7646" t="s">
        <v>868</v>
      </c>
      <c r="C59" s="7646"/>
      <c r="D59" s="7647"/>
      <c r="E59" s="2009"/>
      <c r="F59" s="5388" t="s">
        <v>869</v>
      </c>
      <c r="G59" s="2009"/>
      <c r="H59" s="2009"/>
      <c r="I59" s="2009"/>
      <c r="J59" s="2009"/>
      <c r="K59" s="2009"/>
      <c r="L59" s="413"/>
      <c r="M59" s="413"/>
      <c r="N59" s="413"/>
      <c r="O59" s="413"/>
      <c r="P59" s="413"/>
      <c r="Q59" s="413"/>
      <c r="R59" s="413"/>
      <c r="S59" s="413"/>
      <c r="T59" s="413"/>
      <c r="U59" s="413"/>
      <c r="V59" s="413"/>
      <c r="W59" s="413"/>
      <c r="X59" s="7581"/>
      <c r="Y59" s="7581"/>
      <c r="Z59" s="7581"/>
      <c r="AA59" s="7581"/>
      <c r="AB59" s="1996"/>
      <c r="AC59" s="7581"/>
      <c r="AD59" s="7581"/>
      <c r="AE59" s="7581"/>
      <c r="AF59" s="7581"/>
      <c r="AG59" s="7581"/>
      <c r="AH59" s="1277"/>
      <c r="AI59" s="253"/>
      <c r="AJ59" s="6610"/>
      <c r="AK59" s="7556"/>
      <c r="AL59" s="512"/>
      <c r="AM59" s="512" t="str">
        <f>IF(OR(F8889_Line16&gt;0,F8889_Line20),"HSA = "&amp;TEXT(SUM(F8889_Line16,F8889_Line20),"$0"),"")</f>
        <v/>
      </c>
      <c r="AN59" s="512"/>
      <c r="AO59" s="5900" t="str">
        <f>IF(AO50="","",IF(AO50&gt;999,TEXT(AO50,"$0,000"),TEXT(AO50,"$0")))</f>
        <v/>
      </c>
      <c r="AP59" s="253"/>
      <c r="AQ59" s="253"/>
      <c r="AR59" s="769"/>
      <c r="AS59" s="769"/>
      <c r="AT59" s="769"/>
      <c r="AU59" s="769"/>
      <c r="AV59" s="769"/>
      <c r="AW59" s="769"/>
      <c r="AX59" s="769"/>
      <c r="AY59" s="769"/>
      <c r="AZ59" s="769"/>
      <c r="BA59" s="769"/>
      <c r="BB59" s="769"/>
    </row>
    <row r="60" spans="1:54" ht="18.75" customHeight="1">
      <c r="A60" s="1277"/>
      <c r="B60" s="511"/>
      <c r="C60" s="4242">
        <v>11</v>
      </c>
      <c r="D60" s="1323" t="s">
        <v>870</v>
      </c>
      <c r="E60" s="253"/>
      <c r="F60" s="253"/>
      <c r="G60" s="253"/>
      <c r="H60" s="253"/>
      <c r="I60" s="253"/>
      <c r="J60" s="253"/>
      <c r="K60" s="253"/>
      <c r="L60" s="253"/>
      <c r="M60" s="253"/>
      <c r="N60" s="253"/>
      <c r="O60" s="253"/>
      <c r="P60" s="253"/>
      <c r="Q60" s="253"/>
      <c r="R60" s="1401"/>
      <c r="S60" s="1218"/>
      <c r="T60" s="2373"/>
      <c r="U60" s="253"/>
      <c r="V60" s="1289"/>
      <c r="W60" s="2903"/>
      <c r="X60" s="2903"/>
      <c r="Y60" s="2903"/>
      <c r="Z60" s="2903"/>
      <c r="AA60" s="1657" t="s">
        <v>4964</v>
      </c>
      <c r="AB60" s="4449">
        <v>11</v>
      </c>
      <c r="AC60" s="7572"/>
      <c r="AD60" s="7573"/>
      <c r="AE60" s="7573"/>
      <c r="AF60" s="7573"/>
      <c r="AG60" s="7574"/>
      <c r="AH60" s="1277"/>
      <c r="AI60" s="253"/>
      <c r="AJ60" s="6610">
        <f>ROUND(AC60,0)</f>
        <v>0</v>
      </c>
      <c r="AK60" s="7556"/>
      <c r="AL60" s="512"/>
      <c r="AM60" s="514" t="s">
        <v>782</v>
      </c>
      <c r="AN60" s="512"/>
      <c r="AO60" s="5900" t="str">
        <f>IF(AO51="","",IF(AO51&gt;999,TEXT(AO51,"$0,000"),TEXT(AO51,"$0")))</f>
        <v/>
      </c>
      <c r="AP60" s="253"/>
      <c r="AQ60" s="253"/>
      <c r="AR60" s="769"/>
      <c r="AS60" s="769"/>
      <c r="AT60" s="769"/>
      <c r="AU60" s="769"/>
      <c r="AV60" s="769"/>
      <c r="AW60" s="769"/>
      <c r="AX60" s="769"/>
      <c r="AY60" s="769"/>
      <c r="AZ60" s="769"/>
      <c r="BA60" s="769"/>
      <c r="BB60" s="769"/>
    </row>
    <row r="61" spans="1:54" ht="18.75" customHeight="1">
      <c r="A61" s="1277"/>
      <c r="B61" s="511"/>
      <c r="C61" s="4242">
        <v>12</v>
      </c>
      <c r="D61" s="1323" t="s">
        <v>5977</v>
      </c>
      <c r="E61" s="253"/>
      <c r="F61" s="253"/>
      <c r="G61" s="253"/>
      <c r="H61" s="253"/>
      <c r="I61" s="253"/>
      <c r="J61" s="253"/>
      <c r="K61" s="253"/>
      <c r="L61" s="253"/>
      <c r="M61" s="253"/>
      <c r="N61" s="253"/>
      <c r="O61" s="253"/>
      <c r="P61" s="253"/>
      <c r="Q61" s="253"/>
      <c r="R61" s="253"/>
      <c r="S61" s="1218"/>
      <c r="T61" s="2373"/>
      <c r="U61" s="253"/>
      <c r="V61" s="817"/>
      <c r="W61" s="253"/>
      <c r="X61" s="253"/>
      <c r="Y61" s="253"/>
      <c r="Z61" s="253"/>
      <c r="AA61" s="1657"/>
      <c r="AB61" s="4452"/>
      <c r="AC61" s="7576"/>
      <c r="AD61" s="7577"/>
      <c r="AE61" s="7577"/>
      <c r="AF61" s="7577"/>
      <c r="AG61" s="7577"/>
      <c r="AH61" s="1277"/>
      <c r="AI61" s="253"/>
      <c r="AJ61" s="6610"/>
      <c r="AK61" s="7556"/>
      <c r="AL61" s="512"/>
      <c r="AM61" s="512"/>
      <c r="AN61" s="512"/>
      <c r="AO61" s="5900" t="str">
        <f>IF(AO53="","",IF(AO53&gt;999,TEXT(AO53,"$0,000"),TEXT(AO53,"$0")))</f>
        <v/>
      </c>
      <c r="AP61" s="253"/>
      <c r="AQ61" s="253"/>
      <c r="AR61" s="769"/>
      <c r="AS61" s="769"/>
      <c r="AT61" s="769"/>
      <c r="AU61" s="769"/>
      <c r="AV61" s="769"/>
      <c r="AW61" s="769"/>
      <c r="AX61" s="769"/>
      <c r="AY61" s="769"/>
      <c r="AZ61" s="769"/>
      <c r="BA61" s="769"/>
      <c r="BB61" s="769"/>
    </row>
    <row r="62" spans="1:54" ht="18.75" customHeight="1">
      <c r="A62" s="1277"/>
      <c r="B62" s="511"/>
      <c r="C62" s="4242"/>
      <c r="D62" s="1323" t="s">
        <v>5978</v>
      </c>
      <c r="E62" s="253"/>
      <c r="F62" s="253"/>
      <c r="G62" s="253"/>
      <c r="H62" s="253"/>
      <c r="I62" s="253"/>
      <c r="J62" s="253"/>
      <c r="K62" s="253"/>
      <c r="L62" s="253"/>
      <c r="M62" s="253"/>
      <c r="N62" s="253"/>
      <c r="O62" s="253"/>
      <c r="P62" s="253"/>
      <c r="Q62" s="253"/>
      <c r="R62" s="1401"/>
      <c r="S62" s="1218"/>
      <c r="T62" s="2373"/>
      <c r="U62" s="253"/>
      <c r="V62" s="817"/>
      <c r="W62" s="1991"/>
      <c r="X62" s="1991"/>
      <c r="Y62" s="1991"/>
      <c r="Z62" s="1991"/>
      <c r="AA62" s="1657" t="s">
        <v>1155</v>
      </c>
      <c r="AB62" s="4448">
        <v>12</v>
      </c>
      <c r="AC62" s="7572"/>
      <c r="AD62" s="7573"/>
      <c r="AE62" s="7573"/>
      <c r="AF62" s="7573"/>
      <c r="AG62" s="7574"/>
      <c r="AH62" s="1277"/>
      <c r="AI62" s="253"/>
      <c r="AJ62" s="6610">
        <f>ROUND(AC62,0)</f>
        <v>0</v>
      </c>
      <c r="AK62" s="2875"/>
      <c r="AL62" s="724"/>
      <c r="AM62" s="344"/>
      <c r="AN62" s="724"/>
      <c r="AO62" s="5904"/>
      <c r="AP62" s="253"/>
      <c r="AQ62" s="253"/>
      <c r="AR62" s="769"/>
      <c r="AS62" s="769"/>
      <c r="AT62" s="769"/>
      <c r="AU62" s="769"/>
      <c r="AV62" s="769"/>
      <c r="AW62" s="769"/>
      <c r="AX62" s="769"/>
      <c r="AY62" s="769"/>
      <c r="AZ62" s="769"/>
      <c r="BA62" s="769"/>
      <c r="BB62" s="769"/>
    </row>
    <row r="63" spans="1:54" ht="18.75" customHeight="1">
      <c r="A63" s="1277"/>
      <c r="B63" s="511"/>
      <c r="C63" s="4242">
        <v>13</v>
      </c>
      <c r="D63" s="1323" t="s">
        <v>873</v>
      </c>
      <c r="E63" s="253"/>
      <c r="F63" s="253"/>
      <c r="G63" s="253"/>
      <c r="H63" s="253"/>
      <c r="I63" s="253"/>
      <c r="J63" s="253"/>
      <c r="K63" s="253"/>
      <c r="L63" s="253"/>
      <c r="M63" s="253"/>
      <c r="N63" s="253"/>
      <c r="O63" s="253"/>
      <c r="P63" s="253"/>
      <c r="Q63" s="253"/>
      <c r="R63" s="1401"/>
      <c r="S63" s="1218"/>
      <c r="T63" s="2373"/>
      <c r="U63" s="253"/>
      <c r="V63" s="817"/>
      <c r="W63" s="1991"/>
      <c r="X63" s="851"/>
      <c r="Y63" s="851"/>
      <c r="Z63" s="851"/>
      <c r="AA63" s="1657" t="s">
        <v>874</v>
      </c>
      <c r="AB63" s="4449">
        <v>13</v>
      </c>
      <c r="AC63" s="7557">
        <f>IF(AK63&lt;&gt;"",ROUND(AK63,0),F8889_Line13)</f>
        <v>0</v>
      </c>
      <c r="AD63" s="7575"/>
      <c r="AE63" s="7575"/>
      <c r="AF63" s="7575"/>
      <c r="AG63" s="7575"/>
      <c r="AH63" s="1277"/>
      <c r="AI63" s="253"/>
      <c r="AJ63" s="6610">
        <f>AC63</f>
        <v>0</v>
      </c>
      <c r="AK63" s="6135"/>
      <c r="AL63" s="253"/>
      <c r="AM63" s="344" t="s">
        <v>883</v>
      </c>
      <c r="AN63" s="253"/>
      <c r="AO63" s="5903" t="str">
        <f>IF(AO54="","",IF(AO54&gt;999,TEXT(AO54,"$0,000"),TEXT(AO54,"$0")))</f>
        <v/>
      </c>
      <c r="AP63" s="253"/>
      <c r="AQ63" s="253"/>
      <c r="AR63" s="769"/>
      <c r="AS63" s="769"/>
      <c r="AT63" s="769"/>
      <c r="AU63" s="769"/>
      <c r="AV63" s="769"/>
      <c r="AW63" s="769"/>
      <c r="AX63" s="769"/>
      <c r="AY63" s="769"/>
      <c r="AZ63" s="769"/>
      <c r="BA63" s="769"/>
      <c r="BB63" s="769"/>
    </row>
    <row r="64" spans="1:54" ht="18.75" customHeight="1">
      <c r="A64" s="1277"/>
      <c r="B64" s="511"/>
      <c r="C64" s="4242">
        <v>14</v>
      </c>
      <c r="D64" s="1323" t="s">
        <v>5979</v>
      </c>
      <c r="E64" s="253"/>
      <c r="F64" s="253"/>
      <c r="G64" s="253"/>
      <c r="H64" s="253"/>
      <c r="I64" s="253"/>
      <c r="J64" s="253"/>
      <c r="K64" s="253"/>
      <c r="L64" s="253"/>
      <c r="M64" s="253"/>
      <c r="N64" s="253"/>
      <c r="O64" s="253"/>
      <c r="P64" s="253"/>
      <c r="Q64" s="253"/>
      <c r="R64" s="1401"/>
      <c r="S64" s="1218"/>
      <c r="T64" s="2373"/>
      <c r="U64" s="253"/>
      <c r="V64" s="817"/>
      <c r="W64" s="253"/>
      <c r="X64" s="253"/>
      <c r="Y64" s="253"/>
      <c r="Z64" s="253"/>
      <c r="AA64" s="1657"/>
      <c r="AB64" s="4452"/>
      <c r="AC64" s="7576"/>
      <c r="AD64" s="7577"/>
      <c r="AE64" s="7577"/>
      <c r="AF64" s="7577"/>
      <c r="AG64" s="7577"/>
      <c r="AH64" s="1277"/>
      <c r="AI64" s="253"/>
      <c r="AJ64" s="6610"/>
      <c r="AK64" s="2875"/>
      <c r="AL64" s="253"/>
      <c r="AM64" s="253"/>
      <c r="AN64" s="253"/>
      <c r="AO64" s="5900" t="str">
        <f>IF(AO55="","",IF(AO55&gt;999,TEXT(AO55,"$0,000"),TEXT(AO55,"$0")))</f>
        <v/>
      </c>
      <c r="AP64" s="253"/>
      <c r="AQ64" s="253"/>
      <c r="AR64" s="769"/>
      <c r="AS64" s="769"/>
      <c r="AT64" s="769"/>
      <c r="AU64" s="769"/>
      <c r="AV64" s="769"/>
      <c r="AW64" s="769"/>
      <c r="AX64" s="769"/>
      <c r="AY64" s="769"/>
      <c r="AZ64" s="769"/>
      <c r="BA64" s="769"/>
      <c r="BB64" s="769"/>
    </row>
    <row r="65" spans="1:54" ht="18.75" customHeight="1">
      <c r="A65" s="1277"/>
      <c r="B65" s="511"/>
      <c r="C65" s="4242"/>
      <c r="D65" s="1323" t="s">
        <v>5976</v>
      </c>
      <c r="E65" s="253"/>
      <c r="F65" s="253"/>
      <c r="G65" s="253"/>
      <c r="H65" s="253"/>
      <c r="I65" s="253"/>
      <c r="J65" s="253"/>
      <c r="K65" s="1111"/>
      <c r="L65" s="253"/>
      <c r="M65" s="253"/>
      <c r="N65" s="253"/>
      <c r="O65" s="253"/>
      <c r="P65" s="253"/>
      <c r="Q65" s="253"/>
      <c r="R65" s="1401"/>
      <c r="S65" s="1218"/>
      <c r="T65" s="2373"/>
      <c r="U65" s="253"/>
      <c r="V65" s="817"/>
      <c r="W65" s="253"/>
      <c r="X65" s="253"/>
      <c r="Y65" s="253"/>
      <c r="Z65" s="253"/>
      <c r="AA65" s="1657" t="s">
        <v>891</v>
      </c>
      <c r="AB65" s="4448">
        <v>14</v>
      </c>
      <c r="AC65" s="7557">
        <f>IF(AK65&lt;&gt;"",ROUND(AK65,0),'W-2s'!C92)</f>
        <v>0</v>
      </c>
      <c r="AD65" s="7575"/>
      <c r="AE65" s="7575"/>
      <c r="AF65" s="7575"/>
      <c r="AG65" s="7575"/>
      <c r="AH65" s="1277"/>
      <c r="AI65" s="253"/>
      <c r="AJ65" s="6610">
        <f>ROUND(AC65,0)</f>
        <v>0</v>
      </c>
      <c r="AK65" s="6135"/>
      <c r="AL65" s="253"/>
      <c r="AM65" s="344" t="s">
        <v>6653</v>
      </c>
      <c r="AN65" s="253"/>
      <c r="AO65" s="5904"/>
      <c r="AP65" s="253"/>
      <c r="AQ65" s="253"/>
      <c r="AR65" s="769"/>
      <c r="AS65" s="769"/>
      <c r="AT65" s="769"/>
      <c r="AU65" s="769"/>
      <c r="AV65" s="769"/>
      <c r="AW65" s="769"/>
      <c r="AX65" s="769"/>
      <c r="AY65" s="769"/>
      <c r="AZ65" s="769"/>
      <c r="BA65" s="769"/>
      <c r="BB65" s="769"/>
    </row>
    <row r="66" spans="1:54" ht="18.75" customHeight="1">
      <c r="A66" s="1277"/>
      <c r="B66" s="511"/>
      <c r="C66" s="4242">
        <v>15</v>
      </c>
      <c r="D66" s="1323" t="s">
        <v>876</v>
      </c>
      <c r="E66" s="253"/>
      <c r="F66" s="253"/>
      <c r="G66" s="253"/>
      <c r="H66" s="253"/>
      <c r="I66" s="253"/>
      <c r="J66" s="253"/>
      <c r="K66" s="253"/>
      <c r="L66" s="253"/>
      <c r="M66" s="253"/>
      <c r="N66" s="253"/>
      <c r="O66" s="253"/>
      <c r="P66" s="253"/>
      <c r="Q66" s="253"/>
      <c r="R66" s="253"/>
      <c r="S66" s="1218"/>
      <c r="T66" s="2373"/>
      <c r="U66" s="253"/>
      <c r="V66" s="817"/>
      <c r="W66" s="1991"/>
      <c r="X66" s="851"/>
      <c r="Y66" s="851"/>
      <c r="Z66" s="851"/>
      <c r="AA66" s="1657" t="s">
        <v>811</v>
      </c>
      <c r="AB66" s="4449">
        <v>15</v>
      </c>
      <c r="AC66" s="7557">
        <f>IF(AK66&lt;&gt;"",ROUND(AK66,0),SchSE_Deduction)</f>
        <v>0</v>
      </c>
      <c r="AD66" s="7575"/>
      <c r="AE66" s="7575"/>
      <c r="AF66" s="7575"/>
      <c r="AG66" s="7575"/>
      <c r="AH66" s="1277"/>
      <c r="AI66" s="253"/>
      <c r="AJ66" s="6610">
        <f>AC66</f>
        <v>0</v>
      </c>
      <c r="AK66" s="6135"/>
      <c r="AL66" s="253"/>
      <c r="AM66" s="344" t="s">
        <v>885</v>
      </c>
      <c r="AN66" s="253"/>
      <c r="AO66" s="512" t="b">
        <f>AND(AlimonyPaid&gt;0,OR(V72="",V72&gt;=$AO$9))</f>
        <v>0</v>
      </c>
      <c r="AP66" s="253"/>
      <c r="AQ66" s="253"/>
      <c r="AR66" s="769"/>
      <c r="AS66" s="769"/>
      <c r="AT66" s="769"/>
      <c r="AU66" s="769"/>
      <c r="AV66" s="769"/>
      <c r="AW66" s="769"/>
      <c r="AX66" s="769"/>
      <c r="AY66" s="769"/>
      <c r="AZ66" s="769"/>
      <c r="BA66" s="769"/>
      <c r="BB66" s="769"/>
    </row>
    <row r="67" spans="1:54" ht="18.75" customHeight="1">
      <c r="A67" s="1277"/>
      <c r="B67" s="511"/>
      <c r="C67" s="4242">
        <v>16</v>
      </c>
      <c r="D67" s="1323" t="s">
        <v>878</v>
      </c>
      <c r="E67" s="253"/>
      <c r="F67" s="253"/>
      <c r="G67" s="253"/>
      <c r="H67" s="253"/>
      <c r="I67" s="253"/>
      <c r="J67" s="253"/>
      <c r="K67" s="253"/>
      <c r="L67" s="253"/>
      <c r="M67" s="253"/>
      <c r="N67" s="253"/>
      <c r="O67" s="253"/>
      <c r="P67" s="253"/>
      <c r="Q67" s="253"/>
      <c r="R67" s="1401"/>
      <c r="S67" s="1218"/>
      <c r="T67" s="2373"/>
      <c r="U67" s="253"/>
      <c r="V67" s="817"/>
      <c r="W67" s="1991"/>
      <c r="X67" s="1991"/>
      <c r="Y67" s="1991"/>
      <c r="Z67" s="1991"/>
      <c r="AA67" s="1657" t="s">
        <v>793</v>
      </c>
      <c r="AB67" s="4449">
        <v>16</v>
      </c>
      <c r="AC67" s="7572"/>
      <c r="AD67" s="7573"/>
      <c r="AE67" s="7573"/>
      <c r="AF67" s="7573"/>
      <c r="AG67" s="7574"/>
      <c r="AH67" s="1277"/>
      <c r="AI67" s="253"/>
      <c r="AJ67" s="6610">
        <f>ROUND(AC67,0)</f>
        <v>0</v>
      </c>
      <c r="AK67" s="2875" t="str">
        <f>IF($AI$68,"Line 17 - Your SE Health Insurance deduction cannot","")</f>
        <v/>
      </c>
      <c r="AL67" s="253"/>
      <c r="AM67" s="344"/>
      <c r="AN67" s="253"/>
      <c r="AO67" s="5882" t="s">
        <v>785</v>
      </c>
      <c r="AP67" s="253"/>
      <c r="AQ67" s="253"/>
      <c r="AR67" s="769"/>
      <c r="AS67" s="769"/>
      <c r="AT67" s="769"/>
      <c r="AU67" s="769"/>
      <c r="AV67" s="769"/>
      <c r="AW67" s="769"/>
      <c r="AX67" s="769"/>
      <c r="AY67" s="769"/>
      <c r="AZ67" s="769"/>
      <c r="BA67" s="769"/>
      <c r="BB67" s="769"/>
    </row>
    <row r="68" spans="1:54" ht="18.75" customHeight="1">
      <c r="A68" s="1277"/>
      <c r="B68" s="511"/>
      <c r="C68" s="4242">
        <v>17</v>
      </c>
      <c r="D68" s="1323" t="s">
        <v>879</v>
      </c>
      <c r="E68" s="253"/>
      <c r="F68" s="253"/>
      <c r="G68" s="253"/>
      <c r="H68" s="253"/>
      <c r="I68" s="253"/>
      <c r="J68" s="253"/>
      <c r="K68" s="253"/>
      <c r="L68" s="253"/>
      <c r="M68" s="253"/>
      <c r="N68" s="253"/>
      <c r="O68" s="253"/>
      <c r="P68" s="253"/>
      <c r="Q68" s="253"/>
      <c r="R68" s="1401"/>
      <c r="S68" s="1218"/>
      <c r="T68" s="2373"/>
      <c r="U68" s="253"/>
      <c r="V68" s="817"/>
      <c r="W68" s="1991"/>
      <c r="X68" s="1991"/>
      <c r="Y68" s="1991"/>
      <c r="Z68" s="1991"/>
      <c r="AA68" s="1657" t="s">
        <v>872</v>
      </c>
      <c r="AB68" s="4449">
        <v>17</v>
      </c>
      <c r="AC68" s="7572"/>
      <c r="AD68" s="7573"/>
      <c r="AE68" s="7573"/>
      <c r="AF68" s="7573"/>
      <c r="AG68" s="7574"/>
      <c r="AH68" s="1277"/>
      <c r="AI68" s="512" t="b">
        <f>SEHealthInsDeduct&gt;SUM(SchSE_Profit1,SchSE_Profit2)</f>
        <v>0</v>
      </c>
      <c r="AJ68" s="6610">
        <f>ROUND(AC68,0)</f>
        <v>0</v>
      </c>
      <c r="AK68" s="6095" t="str">
        <f>IF($AI$68,"be more than your Schedule SE business profit.","")</f>
        <v/>
      </c>
      <c r="AL68" s="253"/>
      <c r="AM68" s="253"/>
      <c r="AN68" s="253"/>
      <c r="AO68" s="7561" t="s">
        <v>888</v>
      </c>
      <c r="AP68" s="253"/>
      <c r="AQ68" s="253"/>
      <c r="AR68" s="769"/>
      <c r="AS68" s="769"/>
      <c r="AT68" s="769"/>
      <c r="AU68" s="769"/>
      <c r="AV68" s="769"/>
      <c r="AW68" s="769"/>
      <c r="AX68" s="769"/>
      <c r="AY68" s="769"/>
      <c r="AZ68" s="769"/>
      <c r="BA68" s="769"/>
      <c r="BB68" s="769"/>
    </row>
    <row r="69" spans="1:54" ht="18.75" customHeight="1">
      <c r="A69" s="1277"/>
      <c r="B69" s="511"/>
      <c r="C69" s="4242">
        <v>18</v>
      </c>
      <c r="D69" s="1323" t="s">
        <v>880</v>
      </c>
      <c r="E69" s="253"/>
      <c r="F69" s="253"/>
      <c r="G69" s="253"/>
      <c r="H69" s="253"/>
      <c r="I69" s="253"/>
      <c r="J69" s="253"/>
      <c r="K69" s="253"/>
      <c r="L69" s="253"/>
      <c r="M69" s="253"/>
      <c r="N69" s="253"/>
      <c r="O69" s="253"/>
      <c r="P69" s="253"/>
      <c r="Q69" s="253"/>
      <c r="R69" s="1401"/>
      <c r="S69" s="1218"/>
      <c r="T69" s="2373"/>
      <c r="U69" s="253"/>
      <c r="V69" s="817"/>
      <c r="W69" s="1991"/>
      <c r="X69" s="851"/>
      <c r="Y69" s="851"/>
      <c r="Z69" s="851"/>
      <c r="AA69" s="1657" t="s">
        <v>3513</v>
      </c>
      <c r="AB69" s="4449">
        <v>18</v>
      </c>
      <c r="AC69" s="7557">
        <f>IF(AK69&lt;&gt;"",ROUND(AK69,0),Penalty4EW)</f>
        <v>0</v>
      </c>
      <c r="AD69" s="7575"/>
      <c r="AE69" s="7575"/>
      <c r="AF69" s="7575"/>
      <c r="AG69" s="7575"/>
      <c r="AH69" s="1277"/>
      <c r="AI69" s="253"/>
      <c r="AJ69" s="6610">
        <f>AC69</f>
        <v>0</v>
      </c>
      <c r="AK69" s="6135"/>
      <c r="AL69" s="253"/>
      <c r="AM69" s="344" t="s">
        <v>889</v>
      </c>
      <c r="AN69" s="253"/>
      <c r="AO69" s="7561"/>
      <c r="AP69" s="253"/>
      <c r="AQ69" s="253"/>
      <c r="AR69" s="769"/>
      <c r="AS69" s="769"/>
      <c r="AT69" s="769"/>
      <c r="AU69" s="769"/>
      <c r="AV69" s="769"/>
      <c r="AW69" s="769"/>
      <c r="AX69" s="769"/>
      <c r="AY69" s="769"/>
      <c r="AZ69" s="769"/>
      <c r="BA69" s="769"/>
      <c r="BB69" s="769"/>
    </row>
    <row r="70" spans="1:54" ht="18.75" customHeight="1">
      <c r="A70" s="1277"/>
      <c r="B70" s="511"/>
      <c r="C70" s="4242" t="s">
        <v>881</v>
      </c>
      <c r="D70" s="1323" t="s">
        <v>882</v>
      </c>
      <c r="E70" s="253"/>
      <c r="F70" s="253"/>
      <c r="G70" s="1401"/>
      <c r="H70" s="344"/>
      <c r="I70" s="253"/>
      <c r="J70" s="253"/>
      <c r="K70" s="253"/>
      <c r="L70" s="253"/>
      <c r="M70" s="2373"/>
      <c r="N70" s="2373"/>
      <c r="O70" s="2373"/>
      <c r="P70" s="2373"/>
      <c r="Q70" s="2373"/>
      <c r="R70" s="253"/>
      <c r="S70" s="1218"/>
      <c r="T70" s="2373"/>
      <c r="U70" s="2373"/>
      <c r="V70" s="2373"/>
      <c r="W70" s="2373"/>
      <c r="X70" s="2373"/>
      <c r="Y70" s="2373"/>
      <c r="Z70" s="2373"/>
      <c r="AA70" s="1657" t="s">
        <v>1991</v>
      </c>
      <c r="AB70" s="4449" t="s">
        <v>881</v>
      </c>
      <c r="AC70" s="7572"/>
      <c r="AD70" s="7573"/>
      <c r="AE70" s="7573"/>
      <c r="AF70" s="7573"/>
      <c r="AG70" s="7574"/>
      <c r="AH70" s="1277"/>
      <c r="AI70" s="6096" t="str">
        <f>IF(AO66,"See TIP. &gt;&gt;","")</f>
        <v/>
      </c>
      <c r="AJ70" s="6610">
        <f>ROUND(AC70,0)</f>
        <v>0</v>
      </c>
      <c r="AK70" s="2875"/>
      <c r="AL70" s="253"/>
      <c r="AM70" s="253"/>
      <c r="AN70" s="253"/>
      <c r="AO70" s="7561"/>
      <c r="AP70" s="253"/>
      <c r="AQ70" s="253"/>
      <c r="AR70" s="769"/>
      <c r="AS70" s="769"/>
      <c r="AT70" s="769"/>
      <c r="AU70" s="769"/>
      <c r="AV70" s="769"/>
      <c r="AW70" s="769"/>
      <c r="AX70" s="769"/>
      <c r="AY70" s="769"/>
      <c r="AZ70" s="769"/>
      <c r="BA70" s="769"/>
      <c r="BB70" s="769"/>
    </row>
    <row r="71" spans="1:54" ht="18.75" customHeight="1">
      <c r="A71" s="1277"/>
      <c r="B71" s="511"/>
      <c r="C71" s="2039" t="s">
        <v>592</v>
      </c>
      <c r="D71" s="1323" t="s">
        <v>884</v>
      </c>
      <c r="E71" s="253"/>
      <c r="F71" s="253"/>
      <c r="G71" s="1401"/>
      <c r="H71" s="344"/>
      <c r="I71" s="253"/>
      <c r="J71" s="253"/>
      <c r="K71" s="253"/>
      <c r="L71" s="253"/>
      <c r="M71" s="253"/>
      <c r="N71" s="253"/>
      <c r="O71" s="253"/>
      <c r="P71" s="253"/>
      <c r="Q71" s="253"/>
      <c r="R71" s="253"/>
      <c r="S71" s="1218"/>
      <c r="T71" s="2373"/>
      <c r="U71" s="1401" t="s">
        <v>3513</v>
      </c>
      <c r="V71" s="7620"/>
      <c r="W71" s="7621"/>
      <c r="X71" s="7621"/>
      <c r="Y71" s="7621"/>
      <c r="Z71" s="7621"/>
      <c r="AA71" s="1657"/>
      <c r="AB71" s="5884"/>
      <c r="AC71" s="2902"/>
      <c r="AD71" s="2903"/>
      <c r="AE71" s="2903"/>
      <c r="AF71" s="2903"/>
      <c r="AG71" s="3633"/>
      <c r="AH71" s="1277"/>
      <c r="AI71" s="6080"/>
      <c r="AJ71" s="6610">
        <f>SUM(AJ60:AJ70)</f>
        <v>0</v>
      </c>
      <c r="AK71" s="2875"/>
      <c r="AL71" s="253"/>
      <c r="AM71" s="253"/>
      <c r="AN71" s="253"/>
      <c r="AO71" s="7561"/>
      <c r="AP71" s="253"/>
      <c r="AQ71" s="253"/>
      <c r="AR71" s="769"/>
      <c r="AS71" s="769"/>
      <c r="AT71" s="769"/>
      <c r="AU71" s="769"/>
      <c r="AV71" s="769"/>
      <c r="AW71" s="769"/>
      <c r="AX71" s="769"/>
      <c r="AY71" s="769"/>
      <c r="AZ71" s="769"/>
      <c r="BA71" s="769"/>
      <c r="BB71" s="769"/>
    </row>
    <row r="72" spans="1:54" ht="18.75" customHeight="1">
      <c r="A72" s="1277"/>
      <c r="B72" s="511"/>
      <c r="C72" s="2039" t="s">
        <v>595</v>
      </c>
      <c r="D72" s="511" t="s">
        <v>789</v>
      </c>
      <c r="E72" s="253"/>
      <c r="F72" s="253"/>
      <c r="G72" s="1401"/>
      <c r="H72" s="344"/>
      <c r="I72" s="253"/>
      <c r="J72" s="253"/>
      <c r="K72" s="253"/>
      <c r="L72" s="253"/>
      <c r="M72" s="253"/>
      <c r="N72" s="253"/>
      <c r="O72" s="253"/>
      <c r="P72" s="253"/>
      <c r="Q72" s="253"/>
      <c r="R72" s="7663"/>
      <c r="S72" s="7663"/>
      <c r="T72" s="7663"/>
      <c r="U72" s="7663"/>
      <c r="V72" s="7663"/>
      <c r="W72" s="7663"/>
      <c r="X72" s="7663"/>
      <c r="Y72" s="7663"/>
      <c r="Z72" s="7663"/>
      <c r="AA72" s="1657"/>
      <c r="AB72" s="5884"/>
      <c r="AC72" s="6078"/>
      <c r="AD72" s="1991"/>
      <c r="AE72" s="1991"/>
      <c r="AF72" s="1991"/>
      <c r="AG72" s="851"/>
      <c r="AH72" s="1277"/>
      <c r="AI72" s="6080"/>
      <c r="AJ72" s="6613"/>
      <c r="AK72" s="2875"/>
      <c r="AL72" s="253"/>
      <c r="AM72" s="253"/>
      <c r="AN72" s="253"/>
      <c r="AO72" s="7561"/>
      <c r="AP72" s="253"/>
      <c r="AQ72" s="253"/>
      <c r="AR72" s="769"/>
      <c r="AS72" s="769"/>
      <c r="AT72" s="769"/>
      <c r="AU72" s="769"/>
      <c r="AV72" s="769"/>
      <c r="AW72" s="769"/>
      <c r="AX72" s="769"/>
      <c r="AY72" s="769"/>
      <c r="AZ72" s="769"/>
      <c r="BA72" s="769"/>
      <c r="BB72" s="769"/>
    </row>
    <row r="73" spans="1:54" ht="18.75" customHeight="1">
      <c r="A73" s="1277"/>
      <c r="B73" s="511"/>
      <c r="C73" s="4242">
        <v>20</v>
      </c>
      <c r="D73" s="1323" t="s">
        <v>5975</v>
      </c>
      <c r="E73" s="253"/>
      <c r="F73" s="253"/>
      <c r="G73" s="1401"/>
      <c r="H73" s="344"/>
      <c r="I73" s="253"/>
      <c r="J73" s="253"/>
      <c r="K73" s="253"/>
      <c r="L73" s="253"/>
      <c r="M73" s="253"/>
      <c r="N73" s="253"/>
      <c r="O73" s="253"/>
      <c r="P73" s="253"/>
      <c r="Q73" s="253"/>
      <c r="R73" s="253"/>
      <c r="S73" s="1218"/>
      <c r="T73" s="1218"/>
      <c r="U73" s="1218"/>
      <c r="V73" s="1218"/>
      <c r="W73" s="1218"/>
      <c r="X73" s="1218"/>
      <c r="Y73" s="1218"/>
      <c r="Z73" s="1218"/>
      <c r="AA73" s="1657"/>
      <c r="AB73" s="5884"/>
      <c r="AC73" s="6078"/>
      <c r="AD73" s="1991"/>
      <c r="AE73" s="1991"/>
      <c r="AF73" s="1991"/>
      <c r="AG73" s="851"/>
      <c r="AH73" s="1277"/>
      <c r="AI73" s="6080"/>
      <c r="AJ73" s="6613"/>
      <c r="AK73" s="2875"/>
      <c r="AL73" s="253"/>
      <c r="AM73" s="253"/>
      <c r="AN73" s="253"/>
      <c r="AO73" s="7561"/>
      <c r="AP73" s="253"/>
      <c r="AQ73" s="253"/>
      <c r="AR73" s="769"/>
      <c r="AS73" s="769"/>
      <c r="AT73" s="769"/>
      <c r="AU73" s="769"/>
      <c r="AV73" s="769"/>
      <c r="AW73" s="769"/>
      <c r="AX73" s="769"/>
      <c r="AY73" s="769"/>
      <c r="AZ73" s="769"/>
      <c r="BA73" s="769"/>
      <c r="BB73" s="769"/>
    </row>
    <row r="74" spans="1:54" ht="18.75" customHeight="1">
      <c r="A74" s="1277"/>
      <c r="B74" s="511"/>
      <c r="C74" s="4242"/>
      <c r="D74" s="1323" t="s">
        <v>5976</v>
      </c>
      <c r="E74" s="253"/>
      <c r="F74" s="253"/>
      <c r="G74" s="253"/>
      <c r="H74" s="253"/>
      <c r="I74" s="253"/>
      <c r="J74" s="253"/>
      <c r="K74" s="1111" t="str">
        <f>IF(AND(IRADeduct&gt;0,IRADeduct&lt;&gt;"",LivedApart),"X","")</f>
        <v/>
      </c>
      <c r="L74" s="253"/>
      <c r="M74" s="253"/>
      <c r="N74" s="253"/>
      <c r="O74" s="253"/>
      <c r="P74" s="253"/>
      <c r="Q74" s="253"/>
      <c r="R74" s="1401"/>
      <c r="S74" s="1218"/>
      <c r="T74" s="2373"/>
      <c r="U74" s="253"/>
      <c r="V74" s="817"/>
      <c r="W74" s="1991"/>
      <c r="X74" s="851"/>
      <c r="Y74" s="851"/>
      <c r="Z74" s="851"/>
      <c r="AA74" s="1657" t="s">
        <v>3513</v>
      </c>
      <c r="AB74" s="4448">
        <v>20</v>
      </c>
      <c r="AC74" s="7567" t="str">
        <f>IF(AK74&lt;&gt;"",ROUND(AK74,0),IRA_Deduction)</f>
        <v/>
      </c>
      <c r="AD74" s="7580"/>
      <c r="AE74" s="7580"/>
      <c r="AF74" s="7580"/>
      <c r="AG74" s="7580"/>
      <c r="AH74" s="1277"/>
      <c r="AI74" s="253"/>
      <c r="AJ74" s="6610"/>
      <c r="AK74" s="6135"/>
      <c r="AL74" s="253"/>
      <c r="AM74" s="344" t="s">
        <v>896</v>
      </c>
      <c r="AN74" s="253"/>
      <c r="AO74" s="7561"/>
      <c r="AP74" s="253"/>
      <c r="AQ74" s="253"/>
      <c r="AR74" s="769"/>
      <c r="AS74" s="769"/>
      <c r="AT74" s="769"/>
      <c r="AU74" s="769"/>
      <c r="AV74" s="769"/>
      <c r="AW74" s="769"/>
      <c r="AX74" s="769"/>
      <c r="AY74" s="769"/>
      <c r="AZ74" s="769"/>
      <c r="BA74" s="769"/>
      <c r="BB74" s="769"/>
    </row>
    <row r="75" spans="1:54" ht="18.75" customHeight="1">
      <c r="A75" s="1277"/>
      <c r="B75" s="511"/>
      <c r="C75" s="4242">
        <v>21</v>
      </c>
      <c r="D75" s="1323" t="s">
        <v>886</v>
      </c>
      <c r="E75" s="253"/>
      <c r="F75" s="253"/>
      <c r="G75" s="253"/>
      <c r="H75" s="253"/>
      <c r="I75" s="253"/>
      <c r="J75" s="253"/>
      <c r="K75" s="253"/>
      <c r="L75" s="253"/>
      <c r="M75" s="253"/>
      <c r="N75" s="253"/>
      <c r="O75" s="253"/>
      <c r="P75" s="253"/>
      <c r="Q75" s="253"/>
      <c r="R75" s="1401"/>
      <c r="S75" s="1218"/>
      <c r="T75" s="2373"/>
      <c r="U75" s="253"/>
      <c r="V75" s="817"/>
      <c r="W75" s="1991"/>
      <c r="X75" s="851"/>
      <c r="Y75" s="851"/>
      <c r="Z75" s="851"/>
      <c r="AA75" s="1657" t="s">
        <v>3513</v>
      </c>
      <c r="AB75" s="4449">
        <v>21</v>
      </c>
      <c r="AC75" s="7557" t="str">
        <f>IF(AK75&lt;&gt;"",ROUND(AK75,0),StuLoanIntDeduct)</f>
        <v/>
      </c>
      <c r="AD75" s="7575"/>
      <c r="AE75" s="7575"/>
      <c r="AF75" s="7575"/>
      <c r="AG75" s="7575"/>
      <c r="AH75" s="1277"/>
      <c r="AI75" s="4213"/>
      <c r="AJ75" s="6612"/>
      <c r="AK75" s="6135"/>
      <c r="AL75" s="253"/>
      <c r="AM75" s="344" t="s">
        <v>5053</v>
      </c>
      <c r="AN75" s="253"/>
      <c r="AO75" s="7561"/>
      <c r="AP75" s="253"/>
      <c r="AQ75" s="253"/>
      <c r="AR75" s="769"/>
      <c r="AS75" s="769"/>
      <c r="AT75" s="769"/>
      <c r="AU75" s="769"/>
      <c r="AV75" s="769"/>
      <c r="AW75" s="769"/>
      <c r="AX75" s="769"/>
      <c r="AY75" s="769"/>
      <c r="AZ75" s="769"/>
      <c r="BA75" s="769"/>
      <c r="BB75" s="769"/>
    </row>
    <row r="76" spans="1:54" ht="18.75" customHeight="1">
      <c r="A76" s="1277"/>
      <c r="B76" s="511"/>
      <c r="C76" s="4242">
        <v>22</v>
      </c>
      <c r="D76" s="1323" t="s">
        <v>704</v>
      </c>
      <c r="E76" s="253"/>
      <c r="F76" s="253"/>
      <c r="G76" s="253"/>
      <c r="H76" s="253"/>
      <c r="I76" s="253"/>
      <c r="J76" s="253"/>
      <c r="K76" s="253"/>
      <c r="L76" s="253"/>
      <c r="M76" s="253"/>
      <c r="N76" s="253"/>
      <c r="O76" s="253"/>
      <c r="P76" s="253"/>
      <c r="Q76" s="253"/>
      <c r="R76" s="1401"/>
      <c r="S76" s="1218"/>
      <c r="T76" s="2373"/>
      <c r="U76" s="253"/>
      <c r="V76" s="817"/>
      <c r="W76" s="253"/>
      <c r="X76" s="253"/>
      <c r="Y76" s="253"/>
      <c r="Z76" s="253"/>
      <c r="AA76" s="1657" t="s">
        <v>2090</v>
      </c>
      <c r="AB76" s="4449">
        <v>22</v>
      </c>
      <c r="AC76" s="7569"/>
      <c r="AD76" s="7570"/>
      <c r="AE76" s="7570"/>
      <c r="AF76" s="7570"/>
      <c r="AG76" s="7571"/>
      <c r="AH76" s="1277"/>
      <c r="AI76" s="253"/>
      <c r="AJ76" s="6610"/>
      <c r="AK76" s="2875"/>
      <c r="AL76" s="253"/>
      <c r="AM76" s="253"/>
      <c r="AN76" s="253"/>
      <c r="AO76" s="7561"/>
      <c r="AP76" s="253"/>
      <c r="AQ76" s="253"/>
      <c r="AR76" s="769"/>
      <c r="AS76" s="769"/>
      <c r="AT76" s="769"/>
      <c r="AU76" s="769"/>
      <c r="AV76" s="769"/>
      <c r="AW76" s="769"/>
      <c r="AX76" s="769"/>
      <c r="AY76" s="769"/>
      <c r="AZ76" s="769"/>
      <c r="BA76" s="769"/>
      <c r="BB76" s="769"/>
    </row>
    <row r="77" spans="1:54" ht="18.75" customHeight="1">
      <c r="A77" s="1277"/>
      <c r="B77" s="511"/>
      <c r="C77" s="4242">
        <v>23</v>
      </c>
      <c r="D77" s="1323" t="s">
        <v>890</v>
      </c>
      <c r="E77" s="253"/>
      <c r="F77" s="253"/>
      <c r="G77" s="253"/>
      <c r="H77" s="253"/>
      <c r="I77" s="253"/>
      <c r="J77" s="253"/>
      <c r="K77" s="253"/>
      <c r="L77" s="253"/>
      <c r="M77" s="253"/>
      <c r="N77" s="253"/>
      <c r="O77" s="253"/>
      <c r="P77" s="253"/>
      <c r="Q77" s="253"/>
      <c r="R77" s="1401"/>
      <c r="S77" s="1218"/>
      <c r="T77" s="2373"/>
      <c r="U77" s="253"/>
      <c r="V77" s="817"/>
      <c r="W77" s="253"/>
      <c r="X77" s="253"/>
      <c r="Y77" s="253"/>
      <c r="Z77" s="253"/>
      <c r="AA77" s="1657" t="s">
        <v>1991</v>
      </c>
      <c r="AB77" s="4449">
        <v>23</v>
      </c>
      <c r="AC77" s="7572"/>
      <c r="AD77" s="7573"/>
      <c r="AE77" s="7573"/>
      <c r="AF77" s="7573"/>
      <c r="AG77" s="7574"/>
      <c r="AH77" s="1277"/>
      <c r="AI77" s="253"/>
      <c r="AJ77" s="6610">
        <f>ROUND(AC77,0)</f>
        <v>0</v>
      </c>
      <c r="AK77" s="2875"/>
      <c r="AL77" s="253"/>
      <c r="AM77" s="253"/>
      <c r="AN77" s="253"/>
      <c r="AO77" s="7561"/>
      <c r="AP77" s="253"/>
      <c r="AQ77" s="253"/>
      <c r="AR77" s="769"/>
      <c r="AS77" s="769"/>
      <c r="AT77" s="769"/>
      <c r="AU77" s="769"/>
      <c r="AV77" s="769"/>
      <c r="AW77" s="769"/>
      <c r="AX77" s="769"/>
      <c r="AY77" s="769"/>
      <c r="AZ77" s="769"/>
      <c r="BA77" s="769"/>
      <c r="BB77" s="769"/>
    </row>
    <row r="78" spans="1:54" ht="18.75" customHeight="1">
      <c r="A78" s="1277"/>
      <c r="B78" s="511"/>
      <c r="C78" s="4242">
        <v>24</v>
      </c>
      <c r="D78" s="1323" t="s">
        <v>892</v>
      </c>
      <c r="E78" s="253"/>
      <c r="F78" s="253"/>
      <c r="G78" s="253"/>
      <c r="H78" s="253"/>
      <c r="I78" s="253"/>
      <c r="J78" s="253"/>
      <c r="K78" s="253"/>
      <c r="L78" s="253"/>
      <c r="M78" s="253"/>
      <c r="N78" s="253"/>
      <c r="O78" s="253"/>
      <c r="P78" s="253"/>
      <c r="Q78" s="253"/>
      <c r="R78" s="1401"/>
      <c r="S78" s="1218"/>
      <c r="T78" s="2373"/>
      <c r="U78" s="253"/>
      <c r="V78" s="5890"/>
      <c r="W78" s="253"/>
      <c r="X78" s="253"/>
      <c r="Y78" s="253"/>
      <c r="Z78" s="253"/>
      <c r="AA78" s="1657"/>
      <c r="AB78" s="5884"/>
      <c r="AC78" s="2902"/>
      <c r="AD78" s="2903"/>
      <c r="AE78" s="2903"/>
      <c r="AF78" s="2903"/>
      <c r="AG78" s="3633"/>
      <c r="AH78" s="1277"/>
      <c r="AI78" s="253"/>
      <c r="AJ78" s="6610"/>
      <c r="AK78" s="2875"/>
      <c r="AL78" s="253"/>
      <c r="AM78" s="253"/>
      <c r="AN78" s="253"/>
      <c r="AO78" s="7561"/>
      <c r="AP78" s="253"/>
      <c r="AQ78" s="253"/>
      <c r="AR78" s="769"/>
      <c r="AS78" s="769"/>
      <c r="AT78" s="769"/>
      <c r="AU78" s="769"/>
      <c r="AV78" s="769"/>
      <c r="AW78" s="769"/>
      <c r="AX78" s="769"/>
      <c r="AY78" s="769"/>
      <c r="AZ78" s="769"/>
      <c r="BA78" s="769"/>
      <c r="BB78" s="769"/>
    </row>
    <row r="79" spans="1:54" ht="18.75" customHeight="1">
      <c r="A79" s="1277"/>
      <c r="B79" s="253"/>
      <c r="C79" s="2039" t="s">
        <v>588</v>
      </c>
      <c r="D79" s="1323" t="s">
        <v>893</v>
      </c>
      <c r="E79" s="253"/>
      <c r="F79" s="253"/>
      <c r="G79" s="253"/>
      <c r="H79" s="253"/>
      <c r="I79" s="253"/>
      <c r="J79" s="253"/>
      <c r="K79" s="253"/>
      <c r="L79" s="253"/>
      <c r="M79" s="253"/>
      <c r="N79" s="253"/>
      <c r="O79" s="253"/>
      <c r="P79" s="253"/>
      <c r="Q79" s="253"/>
      <c r="R79" s="253"/>
      <c r="S79" s="253"/>
      <c r="T79" s="253"/>
      <c r="U79" s="1657" t="s">
        <v>887</v>
      </c>
      <c r="V79" s="5372" t="s">
        <v>895</v>
      </c>
      <c r="W79" s="7628"/>
      <c r="X79" s="7628"/>
      <c r="Y79" s="7628"/>
      <c r="Z79" s="7628"/>
      <c r="AA79" s="7629"/>
      <c r="AB79" s="5884"/>
      <c r="AC79" s="7632">
        <f>ROUND(W79,0)</f>
        <v>0</v>
      </c>
      <c r="AD79" s="7633"/>
      <c r="AE79" s="7633"/>
      <c r="AF79" s="7633"/>
      <c r="AG79" s="7633"/>
      <c r="AH79" s="1277"/>
      <c r="AI79" s="253"/>
      <c r="AJ79" s="6610"/>
      <c r="AK79" s="2875"/>
      <c r="AL79" s="253"/>
      <c r="AM79" s="5888"/>
      <c r="AN79" s="253"/>
      <c r="AO79" s="7561"/>
      <c r="AP79" s="253"/>
      <c r="AQ79" s="253"/>
      <c r="AR79" s="769"/>
      <c r="AS79" s="769"/>
      <c r="AT79" s="769"/>
      <c r="AU79" s="769"/>
      <c r="AV79" s="769"/>
      <c r="AW79" s="769"/>
      <c r="AX79" s="769"/>
      <c r="AY79" s="769"/>
      <c r="AZ79" s="769"/>
      <c r="BA79" s="769"/>
      <c r="BB79" s="769"/>
    </row>
    <row r="80" spans="1:54" ht="18.75" customHeight="1">
      <c r="A80" s="1277"/>
      <c r="B80" s="253"/>
      <c r="C80" s="2039" t="s">
        <v>592</v>
      </c>
      <c r="D80" s="1323" t="s">
        <v>5980</v>
      </c>
      <c r="E80" s="253"/>
      <c r="F80" s="253"/>
      <c r="G80" s="253"/>
      <c r="H80" s="253"/>
      <c r="I80" s="253"/>
      <c r="J80" s="253"/>
      <c r="K80" s="253"/>
      <c r="L80" s="253"/>
      <c r="M80" s="253"/>
      <c r="N80" s="253"/>
      <c r="O80" s="253"/>
      <c r="P80" s="253"/>
      <c r="Q80" s="253"/>
      <c r="R80" s="253"/>
      <c r="S80" s="253"/>
      <c r="T80" s="253"/>
      <c r="U80" s="253"/>
      <c r="V80" s="5890"/>
      <c r="W80" s="7634"/>
      <c r="X80" s="7635"/>
      <c r="Y80" s="7635"/>
      <c r="Z80" s="7635"/>
      <c r="AA80" s="7636"/>
      <c r="AB80" s="5884"/>
      <c r="AC80" s="5404"/>
      <c r="AD80" s="5405"/>
      <c r="AE80" s="5405"/>
      <c r="AF80" s="5405"/>
      <c r="AG80" s="5405"/>
      <c r="AH80" s="1277"/>
      <c r="AI80" s="253"/>
      <c r="AJ80" s="6610"/>
      <c r="AK80" s="2875"/>
      <c r="AL80" s="253"/>
      <c r="AM80" s="5888"/>
      <c r="AN80" s="253"/>
      <c r="AO80" s="7561"/>
      <c r="AP80" s="253"/>
      <c r="AQ80" s="253"/>
      <c r="AR80" s="769"/>
      <c r="AS80" s="769"/>
      <c r="AT80" s="769"/>
      <c r="AU80" s="769"/>
      <c r="AV80" s="769"/>
      <c r="AW80" s="769"/>
      <c r="AX80" s="769"/>
      <c r="AY80" s="769"/>
      <c r="AZ80" s="769"/>
      <c r="BA80" s="769"/>
      <c r="BB80" s="769"/>
    </row>
    <row r="81" spans="1:54" ht="18.75" customHeight="1">
      <c r="A81" s="1277"/>
      <c r="B81" s="253"/>
      <c r="C81" s="2039"/>
      <c r="D81" s="2006" t="s">
        <v>5981</v>
      </c>
      <c r="E81" s="253"/>
      <c r="F81" s="253"/>
      <c r="G81" s="253"/>
      <c r="H81" s="253"/>
      <c r="I81" s="253"/>
      <c r="J81" s="253"/>
      <c r="K81" s="253"/>
      <c r="L81" s="253"/>
      <c r="M81" s="253"/>
      <c r="N81" s="253"/>
      <c r="O81" s="253"/>
      <c r="P81" s="253"/>
      <c r="Q81" s="253"/>
      <c r="R81" s="253"/>
      <c r="S81" s="253"/>
      <c r="T81" s="253"/>
      <c r="U81" s="1657" t="s">
        <v>792</v>
      </c>
      <c r="V81" s="5372" t="s">
        <v>897</v>
      </c>
      <c r="W81" s="7628"/>
      <c r="X81" s="7628"/>
      <c r="Y81" s="7628"/>
      <c r="Z81" s="7628"/>
      <c r="AA81" s="7629"/>
      <c r="AB81" s="5884"/>
      <c r="AC81" s="7632">
        <f>ROUND(W81,0)</f>
        <v>0</v>
      </c>
      <c r="AD81" s="7633"/>
      <c r="AE81" s="7633"/>
      <c r="AF81" s="7633"/>
      <c r="AG81" s="7633"/>
      <c r="AH81" s="1277"/>
      <c r="AI81" s="253"/>
      <c r="AJ81" s="6610"/>
      <c r="AK81" s="2875"/>
      <c r="AL81" s="253"/>
      <c r="AM81" s="5888"/>
      <c r="AN81" s="253"/>
      <c r="AO81" s="7561"/>
      <c r="AP81" s="253"/>
      <c r="AQ81" s="253"/>
      <c r="AR81" s="769"/>
      <c r="AS81" s="769"/>
      <c r="AT81" s="769"/>
      <c r="AU81" s="769"/>
      <c r="AV81" s="769"/>
      <c r="AW81" s="769"/>
      <c r="AX81" s="769"/>
      <c r="AY81" s="769"/>
      <c r="AZ81" s="769"/>
      <c r="BA81" s="769"/>
      <c r="BB81" s="769"/>
    </row>
    <row r="82" spans="1:54" ht="18.75" customHeight="1">
      <c r="A82" s="1277"/>
      <c r="B82" s="253"/>
      <c r="C82" s="2039" t="s">
        <v>595</v>
      </c>
      <c r="D82" s="1323" t="s">
        <v>5982</v>
      </c>
      <c r="E82" s="253"/>
      <c r="F82" s="253"/>
      <c r="G82" s="253"/>
      <c r="H82" s="253"/>
      <c r="I82" s="253"/>
      <c r="J82" s="253"/>
      <c r="K82" s="253"/>
      <c r="L82" s="253"/>
      <c r="M82" s="253"/>
      <c r="N82" s="253"/>
      <c r="O82" s="253"/>
      <c r="P82" s="253"/>
      <c r="Q82" s="253"/>
      <c r="R82" s="253"/>
      <c r="S82" s="253"/>
      <c r="T82" s="253"/>
      <c r="U82" s="253"/>
      <c r="V82" s="5890"/>
      <c r="W82" s="7634"/>
      <c r="X82" s="7635"/>
      <c r="Y82" s="7635"/>
      <c r="Z82" s="7635"/>
      <c r="AA82" s="7636"/>
      <c r="AB82" s="5884"/>
      <c r="AC82" s="5404"/>
      <c r="AD82" s="5405"/>
      <c r="AE82" s="5405"/>
      <c r="AF82" s="5405"/>
      <c r="AG82" s="5405"/>
      <c r="AH82" s="1277"/>
      <c r="AI82" s="253"/>
      <c r="AJ82" s="6610"/>
      <c r="AK82" s="2875"/>
      <c r="AL82" s="253"/>
      <c r="AM82" s="5888"/>
      <c r="AN82" s="253"/>
      <c r="AO82" s="7561"/>
      <c r="AP82" s="253"/>
      <c r="AQ82" s="253"/>
      <c r="AR82" s="769"/>
      <c r="AS82" s="769"/>
      <c r="AT82" s="769"/>
      <c r="AU82" s="769"/>
      <c r="AV82" s="769"/>
      <c r="AW82" s="769"/>
      <c r="AX82" s="769"/>
      <c r="AY82" s="769"/>
      <c r="AZ82" s="769"/>
      <c r="BA82" s="769"/>
      <c r="BB82" s="769"/>
    </row>
    <row r="83" spans="1:54" ht="18.75" customHeight="1">
      <c r="A83" s="1277"/>
      <c r="B83" s="253"/>
      <c r="C83" s="2039"/>
      <c r="D83" s="2006" t="s">
        <v>5983</v>
      </c>
      <c r="E83" s="253"/>
      <c r="F83" s="253"/>
      <c r="G83" s="253"/>
      <c r="H83" s="253"/>
      <c r="I83" s="253"/>
      <c r="J83" s="253"/>
      <c r="K83" s="253"/>
      <c r="L83" s="253"/>
      <c r="M83" s="253"/>
      <c r="N83" s="253"/>
      <c r="O83" s="253"/>
      <c r="P83" s="253"/>
      <c r="Q83" s="253"/>
      <c r="R83" s="253"/>
      <c r="S83" s="253"/>
      <c r="T83" s="253"/>
      <c r="U83" s="1657" t="s">
        <v>792</v>
      </c>
      <c r="V83" s="5372" t="s">
        <v>898</v>
      </c>
      <c r="W83" s="7628"/>
      <c r="X83" s="7628"/>
      <c r="Y83" s="7628"/>
      <c r="Z83" s="7628"/>
      <c r="AA83" s="7629"/>
      <c r="AB83" s="5884"/>
      <c r="AC83" s="7632">
        <f>ROUND(W83,0)</f>
        <v>0</v>
      </c>
      <c r="AD83" s="7633"/>
      <c r="AE83" s="7633"/>
      <c r="AF83" s="7633"/>
      <c r="AG83" s="7633"/>
      <c r="AH83" s="1277"/>
      <c r="AI83" s="253"/>
      <c r="AJ83" s="6610"/>
      <c r="AK83" s="2875"/>
      <c r="AL83" s="253"/>
      <c r="AM83" s="5888"/>
      <c r="AN83" s="253"/>
      <c r="AO83" s="5888"/>
      <c r="AP83" s="253"/>
      <c r="AQ83" s="253"/>
      <c r="AR83" s="769"/>
      <c r="AS83" s="769"/>
      <c r="AT83" s="769"/>
      <c r="AU83" s="769"/>
      <c r="AV83" s="769"/>
      <c r="AW83" s="769"/>
      <c r="AX83" s="769"/>
      <c r="AY83" s="769"/>
      <c r="AZ83" s="769"/>
      <c r="BA83" s="769"/>
      <c r="BB83" s="769"/>
    </row>
    <row r="84" spans="1:54" ht="18.75" customHeight="1">
      <c r="A84" s="1277"/>
      <c r="B84" s="253"/>
      <c r="C84" s="2039" t="s">
        <v>599</v>
      </c>
      <c r="D84" s="1323" t="s">
        <v>899</v>
      </c>
      <c r="E84" s="253"/>
      <c r="F84" s="253"/>
      <c r="G84" s="253"/>
      <c r="H84" s="253"/>
      <c r="I84" s="253"/>
      <c r="J84" s="253"/>
      <c r="K84" s="253"/>
      <c r="L84" s="253"/>
      <c r="M84" s="253"/>
      <c r="N84" s="253"/>
      <c r="O84" s="253"/>
      <c r="P84" s="253"/>
      <c r="Q84" s="253"/>
      <c r="R84" s="253"/>
      <c r="S84" s="253"/>
      <c r="T84" s="253"/>
      <c r="U84" s="1657" t="s">
        <v>894</v>
      </c>
      <c r="V84" s="5372" t="s">
        <v>900</v>
      </c>
      <c r="W84" s="7628"/>
      <c r="X84" s="7628"/>
      <c r="Y84" s="7628"/>
      <c r="Z84" s="7628"/>
      <c r="AA84" s="7629"/>
      <c r="AB84" s="5884"/>
      <c r="AC84" s="7632">
        <f>ROUND(W84,0)</f>
        <v>0</v>
      </c>
      <c r="AD84" s="7633"/>
      <c r="AE84" s="7633"/>
      <c r="AF84" s="7633"/>
      <c r="AG84" s="7633"/>
      <c r="AH84" s="1277"/>
      <c r="AI84" s="253"/>
      <c r="AJ84" s="6610"/>
      <c r="AK84" s="2875"/>
      <c r="AL84" s="253"/>
      <c r="AM84" s="5888"/>
      <c r="AN84" s="253"/>
      <c r="AO84" s="5888"/>
      <c r="AP84" s="253"/>
      <c r="AQ84" s="253"/>
      <c r="AR84" s="769"/>
      <c r="AS84" s="769"/>
      <c r="AT84" s="769"/>
      <c r="AU84" s="769"/>
      <c r="AV84" s="769"/>
      <c r="AW84" s="769"/>
      <c r="AX84" s="769"/>
      <c r="AY84" s="769"/>
      <c r="AZ84" s="769"/>
      <c r="BA84" s="769"/>
      <c r="BB84" s="769"/>
    </row>
    <row r="85" spans="1:54" ht="18.75" customHeight="1">
      <c r="A85" s="1277"/>
      <c r="B85" s="253"/>
      <c r="C85" s="2039" t="s">
        <v>603</v>
      </c>
      <c r="D85" s="1323" t="s">
        <v>5984</v>
      </c>
      <c r="E85" s="253"/>
      <c r="F85" s="253"/>
      <c r="G85" s="253"/>
      <c r="H85" s="253"/>
      <c r="I85" s="253"/>
      <c r="J85" s="253"/>
      <c r="K85" s="253"/>
      <c r="L85" s="253"/>
      <c r="M85" s="253"/>
      <c r="N85" s="253"/>
      <c r="O85" s="253"/>
      <c r="P85" s="253"/>
      <c r="Q85" s="253"/>
      <c r="R85" s="253"/>
      <c r="S85" s="253"/>
      <c r="T85" s="253"/>
      <c r="U85" s="253"/>
      <c r="V85" s="5890"/>
      <c r="W85" s="7634"/>
      <c r="X85" s="7635"/>
      <c r="Y85" s="7635"/>
      <c r="Z85" s="7635"/>
      <c r="AA85" s="7636"/>
      <c r="AB85" s="5884"/>
      <c r="AC85" s="5404"/>
      <c r="AD85" s="5405"/>
      <c r="AE85" s="5405"/>
      <c r="AF85" s="5405"/>
      <c r="AG85" s="5405"/>
      <c r="AH85" s="1277"/>
      <c r="AI85" s="253"/>
      <c r="AJ85" s="6610"/>
      <c r="AK85" s="2875"/>
      <c r="AL85" s="253"/>
      <c r="AM85" s="5888"/>
      <c r="AN85" s="253"/>
      <c r="AO85" s="5888"/>
      <c r="AP85" s="253"/>
      <c r="AQ85" s="253"/>
      <c r="AR85" s="769"/>
      <c r="AS85" s="769"/>
      <c r="AT85" s="769"/>
      <c r="AU85" s="769"/>
      <c r="AV85" s="769"/>
      <c r="AW85" s="769"/>
      <c r="AX85" s="769"/>
      <c r="AY85" s="769"/>
      <c r="AZ85" s="769"/>
      <c r="BA85" s="769"/>
      <c r="BB85" s="769"/>
    </row>
    <row r="86" spans="1:54" ht="18.75" customHeight="1">
      <c r="A86" s="1277"/>
      <c r="B86" s="253"/>
      <c r="C86" s="2039"/>
      <c r="D86" s="6136" t="s">
        <v>5985</v>
      </c>
      <c r="E86" s="253"/>
      <c r="F86" s="253"/>
      <c r="G86" s="253"/>
      <c r="H86" s="253"/>
      <c r="I86" s="253"/>
      <c r="J86" s="253"/>
      <c r="K86" s="253"/>
      <c r="L86" s="253"/>
      <c r="M86" s="253"/>
      <c r="N86" s="253"/>
      <c r="O86" s="253"/>
      <c r="P86" s="253"/>
      <c r="Q86" s="253"/>
      <c r="R86" s="253"/>
      <c r="S86" s="253"/>
      <c r="T86" s="253"/>
      <c r="U86" s="1657" t="s">
        <v>2657</v>
      </c>
      <c r="V86" s="5372" t="s">
        <v>901</v>
      </c>
      <c r="W86" s="7628"/>
      <c r="X86" s="7628"/>
      <c r="Y86" s="7628"/>
      <c r="Z86" s="7628"/>
      <c r="AA86" s="7629"/>
      <c r="AB86" s="5884"/>
      <c r="AC86" s="7632">
        <f>ROUND(W86,0)</f>
        <v>0</v>
      </c>
      <c r="AD86" s="7633"/>
      <c r="AE86" s="7633"/>
      <c r="AF86" s="7633"/>
      <c r="AG86" s="7633"/>
      <c r="AH86" s="1277"/>
      <c r="AI86" s="253"/>
      <c r="AJ86" s="6610"/>
      <c r="AK86" s="2875"/>
      <c r="AL86" s="253"/>
      <c r="AM86" s="5888"/>
      <c r="AN86" s="253"/>
      <c r="AO86" s="5888"/>
      <c r="AP86" s="253"/>
      <c r="AQ86" s="253"/>
      <c r="AR86" s="769"/>
      <c r="AS86" s="769"/>
      <c r="AT86" s="769"/>
      <c r="AU86" s="769"/>
      <c r="AV86" s="769"/>
      <c r="AW86" s="769"/>
      <c r="AX86" s="769"/>
      <c r="AY86" s="769"/>
      <c r="AZ86" s="769"/>
      <c r="BA86" s="769"/>
      <c r="BB86" s="769"/>
    </row>
    <row r="87" spans="1:54" ht="18.75" customHeight="1">
      <c r="A87" s="1277"/>
      <c r="B87" s="253"/>
      <c r="C87" s="2039" t="s">
        <v>606</v>
      </c>
      <c r="D87" s="1323" t="s">
        <v>902</v>
      </c>
      <c r="E87" s="253"/>
      <c r="F87" s="253"/>
      <c r="G87" s="253"/>
      <c r="H87" s="253"/>
      <c r="I87" s="253"/>
      <c r="J87" s="253"/>
      <c r="K87" s="253"/>
      <c r="L87" s="253"/>
      <c r="M87" s="253"/>
      <c r="N87" s="253"/>
      <c r="O87" s="253"/>
      <c r="P87" s="253"/>
      <c r="Q87" s="253"/>
      <c r="R87" s="253"/>
      <c r="S87" s="253"/>
      <c r="T87" s="253"/>
      <c r="U87" s="1657" t="s">
        <v>824</v>
      </c>
      <c r="V87" s="5372" t="s">
        <v>903</v>
      </c>
      <c r="W87" s="7628"/>
      <c r="X87" s="7628"/>
      <c r="Y87" s="7628"/>
      <c r="Z87" s="7628"/>
      <c r="AA87" s="7629"/>
      <c r="AB87" s="5884"/>
      <c r="AC87" s="7632">
        <f>ROUND(W87,0)</f>
        <v>0</v>
      </c>
      <c r="AD87" s="7633"/>
      <c r="AE87" s="7633"/>
      <c r="AF87" s="7633"/>
      <c r="AG87" s="7633"/>
      <c r="AH87" s="1277"/>
      <c r="AI87" s="253"/>
      <c r="AJ87" s="6610"/>
      <c r="AK87" s="2875"/>
      <c r="AL87" s="253"/>
      <c r="AM87" s="5888"/>
      <c r="AN87" s="253"/>
      <c r="AO87" s="5888"/>
      <c r="AP87" s="253"/>
      <c r="AQ87" s="253"/>
      <c r="AR87" s="769"/>
      <c r="AS87" s="769"/>
      <c r="AT87" s="769"/>
      <c r="AU87" s="769"/>
      <c r="AV87" s="769"/>
      <c r="AW87" s="769"/>
      <c r="AX87" s="769"/>
      <c r="AY87" s="769"/>
      <c r="AZ87" s="769"/>
      <c r="BA87" s="769"/>
      <c r="BB87" s="769"/>
    </row>
    <row r="88" spans="1:54" ht="18.75" customHeight="1">
      <c r="A88" s="1277"/>
      <c r="B88" s="253"/>
      <c r="C88" s="2039" t="s">
        <v>610</v>
      </c>
      <c r="D88" s="1323" t="s">
        <v>904</v>
      </c>
      <c r="E88" s="253"/>
      <c r="F88" s="253"/>
      <c r="G88" s="253"/>
      <c r="H88" s="253"/>
      <c r="I88" s="253"/>
      <c r="J88" s="253"/>
      <c r="K88" s="253"/>
      <c r="L88" s="253"/>
      <c r="M88" s="253"/>
      <c r="N88" s="253"/>
      <c r="O88" s="253"/>
      <c r="P88" s="253"/>
      <c r="Q88" s="253"/>
      <c r="R88" s="253"/>
      <c r="S88" s="253"/>
      <c r="T88" s="253"/>
      <c r="U88" s="1657" t="s">
        <v>877</v>
      </c>
      <c r="V88" s="5372" t="s">
        <v>906</v>
      </c>
      <c r="W88" s="7628"/>
      <c r="X88" s="7628"/>
      <c r="Y88" s="7628"/>
      <c r="Z88" s="7628"/>
      <c r="AA88" s="7629"/>
      <c r="AB88" s="5884"/>
      <c r="AC88" s="7632">
        <f>ROUND(W88,0)</f>
        <v>0</v>
      </c>
      <c r="AD88" s="7633"/>
      <c r="AE88" s="7633"/>
      <c r="AF88" s="7633"/>
      <c r="AG88" s="7633"/>
      <c r="AH88" s="1277"/>
      <c r="AI88" s="253"/>
      <c r="AJ88" s="6610"/>
      <c r="AK88" s="2875"/>
      <c r="AL88" s="253"/>
      <c r="AM88" s="5888"/>
      <c r="AN88" s="253"/>
      <c r="AO88" s="5888"/>
      <c r="AP88" s="253"/>
      <c r="AQ88" s="253"/>
      <c r="AR88" s="769"/>
      <c r="AS88" s="769"/>
      <c r="AT88" s="769"/>
      <c r="AU88" s="769"/>
      <c r="AV88" s="769"/>
      <c r="AW88" s="769"/>
      <c r="AX88" s="769"/>
      <c r="AY88" s="769"/>
      <c r="AZ88" s="769"/>
      <c r="BA88" s="769"/>
      <c r="BB88" s="769"/>
    </row>
    <row r="89" spans="1:54" ht="18.75" customHeight="1">
      <c r="A89" s="1277"/>
      <c r="B89" s="253"/>
      <c r="C89" s="2039" t="s">
        <v>615</v>
      </c>
      <c r="D89" s="1323" t="s">
        <v>5986</v>
      </c>
      <c r="E89" s="253"/>
      <c r="F89" s="253"/>
      <c r="G89" s="253"/>
      <c r="H89" s="253"/>
      <c r="I89" s="253"/>
      <c r="J89" s="253"/>
      <c r="K89" s="253"/>
      <c r="L89" s="253"/>
      <c r="M89" s="253"/>
      <c r="N89" s="253"/>
      <c r="O89" s="253"/>
      <c r="P89" s="253"/>
      <c r="Q89" s="253"/>
      <c r="R89" s="253"/>
      <c r="S89" s="253"/>
      <c r="T89" s="253"/>
      <c r="U89" s="253"/>
      <c r="V89" s="5890"/>
      <c r="W89" s="7634"/>
      <c r="X89" s="7635"/>
      <c r="Y89" s="7635"/>
      <c r="Z89" s="7635"/>
      <c r="AA89" s="7636"/>
      <c r="AB89" s="5884"/>
      <c r="AC89" s="5404"/>
      <c r="AD89" s="5405"/>
      <c r="AE89" s="5405"/>
      <c r="AF89" s="5405"/>
      <c r="AG89" s="5405"/>
      <c r="AH89" s="1277"/>
      <c r="AI89" s="253"/>
      <c r="AJ89" s="6610"/>
      <c r="AK89" s="2875"/>
      <c r="AL89" s="253"/>
      <c r="AM89" s="5888"/>
      <c r="AN89" s="253"/>
      <c r="AO89" s="5888"/>
      <c r="AP89" s="253"/>
      <c r="AQ89" s="253"/>
      <c r="AR89" s="769"/>
      <c r="AS89" s="769"/>
      <c r="AT89" s="769"/>
      <c r="AU89" s="769"/>
      <c r="AV89" s="769"/>
      <c r="AW89" s="769"/>
      <c r="AX89" s="769"/>
      <c r="AY89" s="769"/>
      <c r="AZ89" s="769"/>
      <c r="BA89" s="769"/>
      <c r="BB89" s="769"/>
    </row>
    <row r="90" spans="1:54" ht="18.75" customHeight="1">
      <c r="A90" s="1277"/>
      <c r="B90" s="253"/>
      <c r="C90" s="2039"/>
      <c r="D90" s="2006" t="s">
        <v>5987</v>
      </c>
      <c r="E90" s="253"/>
      <c r="F90" s="253"/>
      <c r="G90" s="253"/>
      <c r="H90" s="253"/>
      <c r="I90" s="253"/>
      <c r="J90" s="253"/>
      <c r="K90" s="253"/>
      <c r="L90" s="253"/>
      <c r="M90" s="253"/>
      <c r="N90" s="253"/>
      <c r="O90" s="253"/>
      <c r="P90" s="253"/>
      <c r="Q90" s="253"/>
      <c r="R90" s="253"/>
      <c r="S90" s="253"/>
      <c r="T90" s="253"/>
      <c r="U90" s="1657" t="s">
        <v>811</v>
      </c>
      <c r="V90" s="5372" t="s">
        <v>907</v>
      </c>
      <c r="W90" s="7628"/>
      <c r="X90" s="7628"/>
      <c r="Y90" s="7628"/>
      <c r="Z90" s="7628"/>
      <c r="AA90" s="7629"/>
      <c r="AB90" s="5884"/>
      <c r="AC90" s="7632">
        <f>ROUND(W90,0)</f>
        <v>0</v>
      </c>
      <c r="AD90" s="7633"/>
      <c r="AE90" s="7633"/>
      <c r="AF90" s="7633"/>
      <c r="AG90" s="7633"/>
      <c r="AH90" s="1277"/>
      <c r="AI90" s="253"/>
      <c r="AJ90" s="6610"/>
      <c r="AK90" s="2875"/>
      <c r="AL90" s="253"/>
      <c r="AM90" s="5888"/>
      <c r="AN90" s="253"/>
      <c r="AO90" s="5888"/>
      <c r="AP90" s="253"/>
      <c r="AQ90" s="253"/>
      <c r="AR90" s="769"/>
      <c r="AS90" s="769"/>
      <c r="AT90" s="769"/>
      <c r="AU90" s="769"/>
      <c r="AV90" s="769"/>
      <c r="AW90" s="769"/>
      <c r="AX90" s="769"/>
      <c r="AY90" s="769"/>
      <c r="AZ90" s="769"/>
      <c r="BA90" s="769"/>
      <c r="BB90" s="769"/>
    </row>
    <row r="91" spans="1:54" ht="18.75" customHeight="1">
      <c r="A91" s="1277"/>
      <c r="B91" s="253"/>
      <c r="C91" s="2039" t="s">
        <v>619</v>
      </c>
      <c r="D91" s="1323" t="s">
        <v>5988</v>
      </c>
      <c r="E91" s="253"/>
      <c r="F91" s="253"/>
      <c r="G91" s="253"/>
      <c r="H91" s="253"/>
      <c r="I91" s="253"/>
      <c r="J91" s="253"/>
      <c r="K91" s="253"/>
      <c r="L91" s="253"/>
      <c r="M91" s="253"/>
      <c r="N91" s="253"/>
      <c r="O91" s="253"/>
      <c r="P91" s="253"/>
      <c r="Q91" s="253"/>
      <c r="R91" s="253"/>
      <c r="S91" s="253"/>
      <c r="T91" s="253"/>
      <c r="U91" s="253"/>
      <c r="V91" s="5382"/>
      <c r="W91" s="7657"/>
      <c r="X91" s="7658"/>
      <c r="Y91" s="7658"/>
      <c r="Z91" s="7658"/>
      <c r="AA91" s="7659"/>
      <c r="AB91" s="5884"/>
      <c r="AC91" s="5404"/>
      <c r="AD91" s="5405"/>
      <c r="AE91" s="5405"/>
      <c r="AF91" s="5405"/>
      <c r="AG91" s="5405"/>
      <c r="AH91" s="1277"/>
      <c r="AI91" s="253"/>
      <c r="AJ91" s="6610"/>
      <c r="AK91" s="2875"/>
      <c r="AL91" s="253"/>
      <c r="AM91" s="5888"/>
      <c r="AN91" s="253"/>
      <c r="AO91" s="5888"/>
      <c r="AP91" s="253"/>
      <c r="AQ91" s="253"/>
      <c r="AR91" s="769"/>
      <c r="AS91" s="769"/>
      <c r="AT91" s="769"/>
      <c r="AU91" s="769"/>
      <c r="AV91" s="769"/>
      <c r="AW91" s="769"/>
      <c r="AX91" s="769"/>
      <c r="AY91" s="769"/>
      <c r="AZ91" s="769"/>
      <c r="BA91" s="769"/>
      <c r="BB91" s="769"/>
    </row>
    <row r="92" spans="1:54" ht="18.75" customHeight="1">
      <c r="A92" s="1277"/>
      <c r="B92" s="253"/>
      <c r="C92" s="2039"/>
      <c r="D92" s="1323" t="s">
        <v>5989</v>
      </c>
      <c r="E92" s="253"/>
      <c r="F92" s="253"/>
      <c r="G92" s="253"/>
      <c r="H92" s="253"/>
      <c r="I92" s="253"/>
      <c r="J92" s="253"/>
      <c r="K92" s="253"/>
      <c r="L92" s="253"/>
      <c r="M92" s="253"/>
      <c r="N92" s="253"/>
      <c r="O92" s="253"/>
      <c r="P92" s="253"/>
      <c r="Q92" s="253"/>
      <c r="R92" s="253"/>
      <c r="S92" s="253"/>
      <c r="T92" s="253"/>
      <c r="U92" s="1657" t="s">
        <v>828</v>
      </c>
      <c r="V92" s="5372" t="s">
        <v>909</v>
      </c>
      <c r="W92" s="7628"/>
      <c r="X92" s="7628"/>
      <c r="Y92" s="7628"/>
      <c r="Z92" s="7628"/>
      <c r="AA92" s="7629"/>
      <c r="AB92" s="5884"/>
      <c r="AC92" s="7632">
        <f>ROUND(W92,0)</f>
        <v>0</v>
      </c>
      <c r="AD92" s="7633"/>
      <c r="AE92" s="7633"/>
      <c r="AF92" s="7633"/>
      <c r="AG92" s="7633"/>
      <c r="AH92" s="1277"/>
      <c r="AI92" s="253"/>
      <c r="AJ92" s="6610"/>
      <c r="AK92" s="2875"/>
      <c r="AL92" s="253"/>
      <c r="AM92" s="5888"/>
      <c r="AN92" s="253"/>
      <c r="AO92" s="5888"/>
      <c r="AP92" s="253"/>
      <c r="AQ92" s="253"/>
      <c r="AR92" s="769"/>
      <c r="AS92" s="769"/>
      <c r="AT92" s="769"/>
      <c r="AU92" s="769"/>
      <c r="AV92" s="769"/>
      <c r="AW92" s="769"/>
      <c r="AX92" s="769"/>
      <c r="AY92" s="769"/>
      <c r="AZ92" s="769"/>
      <c r="BA92" s="769"/>
      <c r="BB92" s="769"/>
    </row>
    <row r="93" spans="1:54" ht="18.75" customHeight="1">
      <c r="A93" s="1277"/>
      <c r="B93" s="253"/>
      <c r="C93" s="2039" t="s">
        <v>822</v>
      </c>
      <c r="D93" s="1323" t="s">
        <v>910</v>
      </c>
      <c r="E93" s="253"/>
      <c r="F93" s="253"/>
      <c r="G93" s="253"/>
      <c r="H93" s="253"/>
      <c r="I93" s="253"/>
      <c r="J93" s="253"/>
      <c r="K93" s="253"/>
      <c r="L93" s="253"/>
      <c r="M93" s="253"/>
      <c r="N93" s="253"/>
      <c r="O93" s="253"/>
      <c r="P93" s="253"/>
      <c r="Q93" s="253"/>
      <c r="R93" s="253"/>
      <c r="S93" s="253"/>
      <c r="T93" s="253"/>
      <c r="U93" s="1657" t="s">
        <v>811</v>
      </c>
      <c r="V93" s="5372" t="s">
        <v>912</v>
      </c>
      <c r="W93" s="7639">
        <f>IF(AK93&lt;&gt;"",ROUND(AK93,0),ForeignHousingDeductionTotal)</f>
        <v>0</v>
      </c>
      <c r="X93" s="7639"/>
      <c r="Y93" s="7639"/>
      <c r="Z93" s="7639"/>
      <c r="AA93" s="7640"/>
      <c r="AB93" s="5884"/>
      <c r="AC93" s="7632">
        <f>ROUND(W93,0)</f>
        <v>0</v>
      </c>
      <c r="AD93" s="7633"/>
      <c r="AE93" s="7633"/>
      <c r="AF93" s="7633"/>
      <c r="AG93" s="7633"/>
      <c r="AH93" s="1277"/>
      <c r="AI93" s="253"/>
      <c r="AJ93" s="6610"/>
      <c r="AK93" s="6135"/>
      <c r="AL93" s="253"/>
      <c r="AM93" s="344" t="s">
        <v>913</v>
      </c>
      <c r="AN93" s="253"/>
      <c r="AO93" s="5888"/>
      <c r="AP93" s="253"/>
      <c r="AQ93" s="253"/>
      <c r="AR93" s="769"/>
      <c r="AS93" s="769"/>
      <c r="AT93" s="769"/>
      <c r="AU93" s="769"/>
      <c r="AV93" s="769"/>
      <c r="AW93" s="769"/>
      <c r="AX93" s="769"/>
      <c r="AY93" s="769"/>
      <c r="AZ93" s="769"/>
      <c r="BA93" s="769"/>
      <c r="BB93" s="769"/>
    </row>
    <row r="94" spans="1:54" ht="18.75" customHeight="1">
      <c r="A94" s="1277"/>
      <c r="B94" s="253"/>
      <c r="C94" s="2039" t="s">
        <v>826</v>
      </c>
      <c r="D94" s="1323" t="s">
        <v>5201</v>
      </c>
      <c r="E94" s="253"/>
      <c r="F94" s="253"/>
      <c r="G94" s="253"/>
      <c r="H94" s="253"/>
      <c r="I94" s="253"/>
      <c r="J94" s="253"/>
      <c r="K94" s="253"/>
      <c r="L94" s="253"/>
      <c r="M94" s="253"/>
      <c r="N94" s="253"/>
      <c r="O94" s="253"/>
      <c r="P94" s="253"/>
      <c r="Q94" s="253"/>
      <c r="R94" s="253"/>
      <c r="S94" s="253"/>
      <c r="T94" s="253"/>
      <c r="U94" s="1657"/>
      <c r="V94" s="5372" t="s">
        <v>5509</v>
      </c>
      <c r="W94" s="7628"/>
      <c r="X94" s="7628"/>
      <c r="Y94" s="7628"/>
      <c r="Z94" s="7628"/>
      <c r="AA94" s="7629"/>
      <c r="AB94" s="5884"/>
      <c r="AC94" s="7632">
        <f>ROUND(W94,0)</f>
        <v>0</v>
      </c>
      <c r="AD94" s="7633"/>
      <c r="AE94" s="7633"/>
      <c r="AF94" s="7633"/>
      <c r="AG94" s="7633"/>
      <c r="AH94" s="1277"/>
      <c r="AI94" s="253"/>
      <c r="AJ94" s="6610"/>
      <c r="AK94" s="2875"/>
      <c r="AL94" s="253"/>
      <c r="AM94" s="5888"/>
      <c r="AN94" s="253"/>
      <c r="AO94" s="5888"/>
      <c r="AP94" s="253"/>
      <c r="AQ94" s="253"/>
      <c r="AR94" s="769"/>
      <c r="AS94" s="769"/>
      <c r="AT94" s="769"/>
      <c r="AU94" s="769"/>
      <c r="AV94" s="769"/>
      <c r="AW94" s="769"/>
      <c r="AX94" s="769"/>
      <c r="AY94" s="769"/>
      <c r="AZ94" s="769"/>
      <c r="BA94" s="769"/>
      <c r="BB94" s="769"/>
    </row>
    <row r="95" spans="1:54" ht="18.75" customHeight="1">
      <c r="A95" s="1277"/>
      <c r="B95" s="253"/>
      <c r="C95" s="2039" t="s">
        <v>622</v>
      </c>
      <c r="D95" s="1323" t="s">
        <v>5202</v>
      </c>
      <c r="E95" s="253"/>
      <c r="F95" s="253"/>
      <c r="G95" s="253"/>
      <c r="H95" s="253"/>
      <c r="I95" s="253"/>
      <c r="J95" s="253"/>
      <c r="K95" s="253"/>
      <c r="L95" s="253"/>
      <c r="M95" s="253"/>
      <c r="N95" s="1401"/>
      <c r="O95" s="253"/>
      <c r="P95" s="253"/>
      <c r="Q95" s="253"/>
      <c r="R95" s="253"/>
      <c r="S95" s="253"/>
      <c r="T95" s="253"/>
      <c r="U95" s="253"/>
      <c r="V95" s="5890"/>
      <c r="W95" s="7634"/>
      <c r="X95" s="7635"/>
      <c r="Y95" s="7635"/>
      <c r="Z95" s="7635"/>
      <c r="AA95" s="7636"/>
      <c r="AB95" s="5884"/>
      <c r="AC95" s="5404"/>
      <c r="AD95" s="5405"/>
      <c r="AE95" s="5405"/>
      <c r="AF95" s="5405"/>
      <c r="AG95" s="5405"/>
      <c r="AH95" s="1277"/>
      <c r="AI95" s="253"/>
      <c r="AJ95" s="6610"/>
      <c r="AK95" s="2875"/>
      <c r="AL95" s="253"/>
      <c r="AM95" s="5888"/>
      <c r="AN95" s="253"/>
      <c r="AO95" s="5888"/>
      <c r="AP95" s="253"/>
      <c r="AQ95" s="253"/>
      <c r="AR95" s="769"/>
      <c r="AS95" s="769"/>
      <c r="AT95" s="769"/>
      <c r="AU95" s="769"/>
      <c r="AV95" s="769"/>
      <c r="AW95" s="769"/>
      <c r="AX95" s="769"/>
      <c r="AY95" s="769"/>
      <c r="AZ95" s="769"/>
      <c r="BA95" s="769"/>
      <c r="BB95" s="769"/>
    </row>
    <row r="96" spans="1:54" ht="18.75" customHeight="1">
      <c r="A96" s="1277"/>
      <c r="B96" s="253"/>
      <c r="C96" s="4242"/>
      <c r="D96" s="7637"/>
      <c r="E96" s="7638"/>
      <c r="F96" s="7638"/>
      <c r="G96" s="7638"/>
      <c r="H96" s="7638"/>
      <c r="I96" s="7638"/>
      <c r="J96" s="7638"/>
      <c r="K96" s="7638"/>
      <c r="L96" s="7638"/>
      <c r="M96" s="7638"/>
      <c r="N96" s="7638"/>
      <c r="O96" s="7638"/>
      <c r="P96" s="7638"/>
      <c r="Q96" s="7638"/>
      <c r="R96" s="7638"/>
      <c r="S96" s="7638"/>
      <c r="T96" s="7638"/>
      <c r="U96" s="253"/>
      <c r="V96" s="5890"/>
      <c r="W96" s="7634"/>
      <c r="X96" s="7635"/>
      <c r="Y96" s="7635"/>
      <c r="Z96" s="7635"/>
      <c r="AA96" s="7636"/>
      <c r="AB96" s="5884"/>
      <c r="AC96" s="7632">
        <f>ROUND(W96,0)</f>
        <v>0</v>
      </c>
      <c r="AD96" s="7633"/>
      <c r="AE96" s="7633"/>
      <c r="AF96" s="7633"/>
      <c r="AG96" s="7633"/>
      <c r="AH96" s="1277"/>
      <c r="AI96" s="253"/>
      <c r="AJ96" s="6610"/>
      <c r="AK96" s="2875"/>
      <c r="AL96" s="253"/>
      <c r="AM96" s="5888"/>
      <c r="AN96" s="253"/>
      <c r="AO96" s="5888"/>
      <c r="AP96" s="253"/>
      <c r="AQ96" s="253"/>
      <c r="AR96" s="769"/>
      <c r="AS96" s="769"/>
      <c r="AT96" s="769"/>
      <c r="AU96" s="769"/>
      <c r="AV96" s="769"/>
      <c r="AW96" s="769"/>
      <c r="AX96" s="769"/>
      <c r="AY96" s="769"/>
      <c r="AZ96" s="769"/>
      <c r="BA96" s="769"/>
      <c r="BB96" s="769"/>
    </row>
    <row r="97" spans="1:55" ht="18.75" customHeight="1">
      <c r="A97" s="1277"/>
      <c r="B97" s="253"/>
      <c r="C97" s="4242"/>
      <c r="D97" s="7637"/>
      <c r="E97" s="7638"/>
      <c r="F97" s="7638"/>
      <c r="G97" s="7638"/>
      <c r="H97" s="7638"/>
      <c r="I97" s="7638"/>
      <c r="J97" s="7638"/>
      <c r="K97" s="7638"/>
      <c r="L97" s="7638"/>
      <c r="M97" s="7638"/>
      <c r="N97" s="7638"/>
      <c r="O97" s="7638"/>
      <c r="P97" s="7638"/>
      <c r="Q97" s="7638"/>
      <c r="R97" s="7638"/>
      <c r="S97" s="7638"/>
      <c r="T97" s="7638"/>
      <c r="U97" s="253"/>
      <c r="V97" s="5372" t="s">
        <v>914</v>
      </c>
      <c r="W97" s="7628"/>
      <c r="X97" s="7628"/>
      <c r="Y97" s="7628"/>
      <c r="Z97" s="7628"/>
      <c r="AA97" s="7629"/>
      <c r="AB97" s="5884"/>
      <c r="AC97" s="7632">
        <f>ROUND(W97,0)</f>
        <v>0</v>
      </c>
      <c r="AD97" s="7633"/>
      <c r="AE97" s="7633"/>
      <c r="AF97" s="7633"/>
      <c r="AG97" s="7633"/>
      <c r="AH97" s="1277"/>
      <c r="AI97" s="253"/>
      <c r="AJ97" s="6610"/>
      <c r="AK97" s="2875"/>
      <c r="AL97" s="253"/>
      <c r="AM97" s="5888"/>
      <c r="AN97" s="253"/>
      <c r="AO97" s="5888"/>
      <c r="AP97" s="253"/>
      <c r="AQ97" s="253"/>
      <c r="AR97" s="769"/>
      <c r="AS97" s="769"/>
      <c r="AT97" s="769"/>
      <c r="AU97" s="769"/>
      <c r="AV97" s="769"/>
      <c r="AW97" s="769"/>
      <c r="AX97" s="769"/>
      <c r="AY97" s="769"/>
      <c r="AZ97" s="769"/>
      <c r="BA97" s="769"/>
      <c r="BB97" s="769"/>
    </row>
    <row r="98" spans="1:55" ht="18.75" customHeight="1">
      <c r="A98" s="1277"/>
      <c r="B98" s="253"/>
      <c r="C98" s="4467">
        <v>25</v>
      </c>
      <c r="D98" s="1323" t="s">
        <v>915</v>
      </c>
      <c r="E98" s="253"/>
      <c r="F98" s="253"/>
      <c r="G98" s="253"/>
      <c r="H98" s="253"/>
      <c r="I98" s="253"/>
      <c r="J98" s="253"/>
      <c r="K98" s="253"/>
      <c r="L98" s="253"/>
      <c r="M98" s="253"/>
      <c r="N98" s="253"/>
      <c r="O98" s="253"/>
      <c r="P98" s="253"/>
      <c r="Q98" s="253"/>
      <c r="R98" s="253"/>
      <c r="S98" s="253"/>
      <c r="T98" s="253"/>
      <c r="U98" s="253"/>
      <c r="V98" s="253"/>
      <c r="W98" s="253"/>
      <c r="X98" s="253"/>
      <c r="Y98" s="253"/>
      <c r="Z98" s="253"/>
      <c r="AA98" s="1657" t="s">
        <v>793</v>
      </c>
      <c r="AB98" s="4448">
        <v>25</v>
      </c>
      <c r="AC98" s="7630">
        <f>IF(AK98&lt;&gt;"",ROUND(AK98,0),SUM(AC79,AC81,AC83:AG84,AC86:AG88,AC90,AC92,AC93,AC94,AC97))</f>
        <v>0</v>
      </c>
      <c r="AD98" s="7631"/>
      <c r="AE98" s="7631"/>
      <c r="AF98" s="7631"/>
      <c r="AG98" s="7631"/>
      <c r="AH98" s="1277"/>
      <c r="AI98" s="253"/>
      <c r="AJ98" s="6610"/>
      <c r="AK98" s="6135"/>
      <c r="AL98" s="253"/>
      <c r="AM98" s="6097"/>
      <c r="AN98" s="253"/>
      <c r="AO98" s="6097"/>
      <c r="AP98" s="253"/>
      <c r="AQ98" s="253"/>
      <c r="AR98" s="769"/>
      <c r="AS98" s="769"/>
      <c r="AT98" s="769"/>
      <c r="AU98" s="769"/>
      <c r="AV98" s="769"/>
      <c r="AW98" s="769"/>
      <c r="AX98" s="769"/>
      <c r="AY98" s="769"/>
      <c r="AZ98" s="769"/>
      <c r="BA98" s="769"/>
      <c r="BB98" s="769"/>
    </row>
    <row r="99" spans="1:55" ht="18.75" customHeight="1">
      <c r="A99" s="1277"/>
      <c r="B99" s="511"/>
      <c r="C99" s="4242">
        <v>26</v>
      </c>
      <c r="D99" s="1323" t="s">
        <v>5990</v>
      </c>
      <c r="E99" s="253"/>
      <c r="F99" s="253"/>
      <c r="G99" s="253"/>
      <c r="H99" s="253"/>
      <c r="I99" s="253"/>
      <c r="J99" s="253"/>
      <c r="K99" s="253"/>
      <c r="L99" s="253"/>
      <c r="M99" s="253"/>
      <c r="N99" s="253"/>
      <c r="O99" s="253"/>
      <c r="P99" s="253"/>
      <c r="Q99" s="253"/>
      <c r="R99" s="253"/>
      <c r="S99" s="253"/>
      <c r="T99" s="253"/>
      <c r="U99" s="253"/>
      <c r="V99" s="253"/>
      <c r="W99" s="253"/>
      <c r="X99" s="253"/>
      <c r="Y99" s="253"/>
      <c r="Z99" s="253"/>
      <c r="AA99" s="253"/>
      <c r="AB99" s="4452"/>
      <c r="AC99" s="7578"/>
      <c r="AD99" s="7618"/>
      <c r="AE99" s="7618"/>
      <c r="AF99" s="7618"/>
      <c r="AG99" s="7619"/>
      <c r="AH99" s="1277"/>
      <c r="AI99" s="253"/>
      <c r="AJ99" s="6610"/>
      <c r="AK99" s="2875"/>
      <c r="AL99" s="253"/>
      <c r="AM99" s="253"/>
      <c r="AN99" s="253"/>
      <c r="AO99" s="253"/>
      <c r="AP99" s="253"/>
      <c r="AQ99" s="253"/>
      <c r="AR99" s="769"/>
      <c r="AS99" s="769"/>
      <c r="AT99" s="769"/>
      <c r="AU99" s="769"/>
      <c r="AV99" s="769"/>
      <c r="AW99" s="769"/>
      <c r="AX99" s="769"/>
      <c r="AY99" s="769"/>
      <c r="AZ99" s="769"/>
      <c r="BA99" s="769"/>
      <c r="BB99" s="769"/>
    </row>
    <row r="100" spans="1:55" ht="15" customHeight="1">
      <c r="A100" s="1277"/>
      <c r="B100" s="511"/>
      <c r="C100" s="3377"/>
      <c r="D100" s="1323" t="s">
        <v>5991</v>
      </c>
      <c r="E100" s="253"/>
      <c r="F100" s="253"/>
      <c r="G100" s="253"/>
      <c r="H100" s="253"/>
      <c r="I100" s="253"/>
      <c r="J100" s="253"/>
      <c r="K100" s="253"/>
      <c r="L100" s="253"/>
      <c r="M100" s="253"/>
      <c r="N100" s="253"/>
      <c r="O100" s="6098"/>
      <c r="P100" s="733"/>
      <c r="Q100" s="733"/>
      <c r="R100" s="733"/>
      <c r="S100" s="733"/>
      <c r="T100" s="733"/>
      <c r="U100" s="733"/>
      <c r="V100" s="733"/>
      <c r="W100" s="733"/>
      <c r="X100" s="733"/>
      <c r="Y100" s="733"/>
      <c r="Z100" s="733"/>
      <c r="AA100" s="1657" t="s">
        <v>872</v>
      </c>
      <c r="AB100" s="7622">
        <v>26</v>
      </c>
      <c r="AC100" s="7624">
        <f>IF(AK100&lt;&gt;"",ROUND(AK100,0),SUM(Sch1_Line11_19a,IRADeduct,StudentLoanIntDeduct,ArcherMSADeduct,TotalOtherAdjust))</f>
        <v>0</v>
      </c>
      <c r="AD100" s="7625"/>
      <c r="AE100" s="7625"/>
      <c r="AF100" s="7625"/>
      <c r="AG100" s="7625"/>
      <c r="AH100" s="1277"/>
      <c r="AI100" s="253"/>
      <c r="AJ100" s="6610"/>
      <c r="AK100" s="6135"/>
      <c r="AL100" s="253"/>
      <c r="AM100" s="2741"/>
      <c r="AN100" s="253"/>
      <c r="AO100" s="2741"/>
      <c r="AP100" s="253"/>
      <c r="AQ100" s="253"/>
      <c r="AR100" s="769"/>
      <c r="AS100" s="769"/>
      <c r="AT100" s="769"/>
      <c r="AU100" s="769"/>
      <c r="AV100" s="769"/>
      <c r="AW100" s="769"/>
      <c r="AX100" s="769"/>
      <c r="AY100" s="769"/>
      <c r="AZ100" s="769"/>
      <c r="BA100" s="769"/>
      <c r="BB100" s="769"/>
    </row>
    <row r="101" spans="1:55" ht="5.25" customHeight="1" thickBot="1">
      <c r="A101" s="1277"/>
      <c r="B101" s="511"/>
      <c r="C101" s="3377"/>
      <c r="D101" s="511"/>
      <c r="E101" s="253"/>
      <c r="F101" s="253"/>
      <c r="G101" s="253"/>
      <c r="H101" s="253"/>
      <c r="I101" s="253"/>
      <c r="J101" s="253"/>
      <c r="K101" s="253"/>
      <c r="L101" s="253"/>
      <c r="M101" s="253"/>
      <c r="N101" s="253"/>
      <c r="O101" s="253"/>
      <c r="P101" s="253"/>
      <c r="Q101" s="253"/>
      <c r="R101" s="253"/>
      <c r="S101" s="253"/>
      <c r="T101" s="253"/>
      <c r="U101" s="253"/>
      <c r="V101" s="253"/>
      <c r="W101" s="253"/>
      <c r="X101" s="253"/>
      <c r="Y101" s="253"/>
      <c r="Z101" s="253"/>
      <c r="AA101" s="253"/>
      <c r="AB101" s="7623"/>
      <c r="AC101" s="7626"/>
      <c r="AD101" s="7627"/>
      <c r="AE101" s="7627"/>
      <c r="AF101" s="7627"/>
      <c r="AG101" s="7627"/>
      <c r="AH101" s="1277"/>
      <c r="AI101" s="253"/>
      <c r="AJ101" s="6610"/>
      <c r="AK101" s="6138"/>
      <c r="AL101" s="253"/>
      <c r="AM101" s="2741"/>
      <c r="AN101" s="253"/>
      <c r="AO101" s="2741"/>
      <c r="AP101" s="253"/>
      <c r="AQ101" s="253"/>
      <c r="AR101" s="769"/>
      <c r="AS101" s="769"/>
      <c r="AT101" s="769"/>
      <c r="AU101" s="769"/>
      <c r="AV101" s="769"/>
      <c r="AW101" s="769"/>
      <c r="AX101" s="769"/>
      <c r="AY101" s="769"/>
      <c r="AZ101" s="769"/>
      <c r="BA101" s="769"/>
      <c r="BB101" s="769"/>
    </row>
    <row r="102" spans="1:55" ht="14.25" customHeight="1">
      <c r="A102" s="1277"/>
      <c r="B102" s="2907"/>
      <c r="C102" s="2908"/>
      <c r="D102" s="377"/>
      <c r="E102" s="377"/>
      <c r="F102" s="377"/>
      <c r="G102" s="377"/>
      <c r="H102" s="377"/>
      <c r="I102" s="377"/>
      <c r="J102" s="377"/>
      <c r="K102" s="377"/>
      <c r="L102" s="377"/>
      <c r="M102" s="377"/>
      <c r="N102" s="377"/>
      <c r="O102" s="377"/>
      <c r="P102" s="377"/>
      <c r="Q102" s="377"/>
      <c r="R102" s="377"/>
      <c r="S102" s="377"/>
      <c r="T102" s="1993"/>
      <c r="U102" s="1993"/>
      <c r="V102" s="377"/>
      <c r="W102" s="1994"/>
      <c r="X102" s="377"/>
      <c r="Y102" s="377"/>
      <c r="Z102" s="377"/>
      <c r="AA102" s="377"/>
      <c r="AB102" s="1994" t="str">
        <f>"Schedule 1 (Form 1040)  "&amp;TaxYear</f>
        <v>Schedule 1 (Form 1040)  2025</v>
      </c>
      <c r="AC102" s="377"/>
      <c r="AD102" s="377"/>
      <c r="AE102" s="377"/>
      <c r="AF102" s="377"/>
      <c r="AG102" s="6557" t="s">
        <v>6531</v>
      </c>
      <c r="AH102" s="1277"/>
      <c r="AI102" s="253"/>
      <c r="AJ102" s="6610"/>
      <c r="AK102" s="2875"/>
      <c r="AL102" s="253"/>
      <c r="AM102" s="2741"/>
      <c r="AN102" s="253"/>
      <c r="AO102" s="2741"/>
      <c r="AP102" s="253"/>
      <c r="AQ102" s="253"/>
      <c r="AR102" s="769"/>
      <c r="AS102" s="769"/>
      <c r="AT102" s="769"/>
      <c r="AU102" s="769"/>
      <c r="AV102" s="769"/>
      <c r="AW102" s="769"/>
      <c r="AX102" s="769"/>
      <c r="AY102" s="769"/>
      <c r="AZ102" s="769"/>
      <c r="BA102" s="769"/>
      <c r="BB102" s="769"/>
    </row>
    <row r="103" spans="1:55" ht="14.25" customHeight="1">
      <c r="A103" s="1277"/>
      <c r="B103" s="1277"/>
      <c r="C103" s="1277"/>
      <c r="D103" s="1277"/>
      <c r="E103" s="1277"/>
      <c r="F103" s="1277"/>
      <c r="G103" s="1277"/>
      <c r="H103" s="1277"/>
      <c r="I103" s="1277"/>
      <c r="J103" s="1277"/>
      <c r="K103" s="1277"/>
      <c r="L103" s="1277"/>
      <c r="M103" s="1277"/>
      <c r="N103" s="1277"/>
      <c r="O103" s="1277"/>
      <c r="P103" s="1277"/>
      <c r="Q103" s="1277"/>
      <c r="R103" s="1277"/>
      <c r="S103" s="1277"/>
      <c r="T103" s="1277"/>
      <c r="U103" s="1277"/>
      <c r="V103" s="5908"/>
      <c r="W103" s="1277"/>
      <c r="X103" s="1277"/>
      <c r="Y103" s="1277"/>
      <c r="Z103" s="1277"/>
      <c r="AA103" s="1277"/>
      <c r="AB103" s="1277"/>
      <c r="AC103" s="1277"/>
      <c r="AD103" s="1277"/>
      <c r="AE103" s="1277"/>
      <c r="AF103" s="1277"/>
      <c r="AG103" s="1277"/>
      <c r="AH103" s="1277"/>
      <c r="AI103" s="253"/>
      <c r="AJ103" s="6610"/>
      <c r="AK103" s="2875"/>
      <c r="AL103" s="253"/>
      <c r="AM103" s="253"/>
      <c r="AN103" s="253"/>
      <c r="AO103" s="253"/>
      <c r="AP103" s="253"/>
      <c r="AQ103" s="253"/>
      <c r="AR103" s="769"/>
      <c r="AS103" s="769"/>
      <c r="AT103" s="769"/>
      <c r="AU103" s="769"/>
      <c r="AV103" s="769"/>
      <c r="AW103" s="769"/>
      <c r="AX103" s="769"/>
      <c r="AY103" s="769"/>
      <c r="AZ103" s="769"/>
      <c r="BA103" s="769"/>
      <c r="BB103" s="769"/>
    </row>
    <row r="104" spans="1:55" ht="14.25" customHeight="1">
      <c r="F104" s="1224"/>
      <c r="G104" s="1224"/>
      <c r="H104" s="1224"/>
      <c r="I104" s="1224"/>
      <c r="J104" s="1224"/>
      <c r="K104" s="1224"/>
      <c r="L104" s="1224"/>
      <c r="M104" s="1224"/>
      <c r="N104" s="1224"/>
      <c r="O104" s="1224"/>
      <c r="P104" s="1224"/>
      <c r="Q104" s="1224"/>
      <c r="R104" s="1224"/>
      <c r="S104" s="1224"/>
      <c r="T104" s="1224"/>
      <c r="U104" s="1224"/>
      <c r="V104" s="1224"/>
      <c r="W104" s="1224"/>
      <c r="X104" s="1224"/>
      <c r="Y104" s="1224"/>
      <c r="Z104" s="1224"/>
      <c r="AA104" s="1224"/>
      <c r="AB104" s="1224"/>
      <c r="AC104" s="1224"/>
      <c r="AD104" s="1224"/>
      <c r="AE104" s="1224"/>
      <c r="AF104" s="1224"/>
      <c r="AG104" s="1224"/>
      <c r="AH104" s="1224"/>
      <c r="AI104" s="1224"/>
      <c r="AK104" s="1224"/>
      <c r="AL104" s="1224"/>
      <c r="AM104" s="1224"/>
      <c r="AN104" s="1224"/>
      <c r="AO104" s="1224"/>
      <c r="AP104" s="1224"/>
      <c r="AQ104" s="1224"/>
      <c r="AR104" s="1224"/>
      <c r="AS104" s="1224"/>
      <c r="AT104" s="1224"/>
      <c r="AU104" s="1224"/>
      <c r="AV104" s="1224"/>
      <c r="AW104" s="1224"/>
      <c r="AX104" s="1224"/>
      <c r="AY104" s="1224"/>
      <c r="AZ104" s="1224"/>
      <c r="BA104" s="1224"/>
      <c r="BB104" s="1224"/>
      <c r="BC104" s="1224"/>
    </row>
    <row r="105" spans="1:55" ht="14.25" customHeight="1" thickBot="1">
      <c r="G105" s="1224"/>
      <c r="H105" s="1224"/>
      <c r="I105" s="1224"/>
      <c r="J105" s="1224"/>
      <c r="K105" s="1224"/>
      <c r="L105" s="1224"/>
      <c r="M105" s="1224"/>
      <c r="N105" s="1224"/>
      <c r="O105" s="1224"/>
      <c r="P105" s="1224"/>
      <c r="Q105" s="1224"/>
      <c r="R105" s="1224"/>
      <c r="S105" s="1224"/>
      <c r="T105" s="1224"/>
      <c r="U105" s="1224"/>
      <c r="V105" s="1224"/>
      <c r="W105" s="1224"/>
      <c r="X105" s="1224"/>
      <c r="Y105" s="1224"/>
      <c r="Z105" s="1224"/>
      <c r="AA105" s="1224"/>
      <c r="AB105" s="1224"/>
      <c r="AC105" s="1224"/>
      <c r="AD105" s="1224"/>
      <c r="AE105" s="1224"/>
      <c r="AF105" s="1224"/>
      <c r="AG105" s="1224"/>
      <c r="AH105" s="1224"/>
      <c r="AI105" s="1224"/>
      <c r="AK105" s="1224"/>
      <c r="AL105" s="1224"/>
      <c r="AM105" s="1224"/>
      <c r="AN105" s="1224"/>
      <c r="AO105" s="1224"/>
      <c r="AP105" s="1224"/>
      <c r="AQ105" s="1224"/>
      <c r="AR105" s="1224"/>
      <c r="AS105" s="1224"/>
      <c r="AT105" s="1224"/>
      <c r="AU105" s="1224"/>
      <c r="AV105" s="1224"/>
      <c r="AW105" s="1224"/>
      <c r="AX105" s="1224"/>
      <c r="AY105" s="1224"/>
      <c r="AZ105" s="1224"/>
      <c r="BA105" s="1224"/>
      <c r="BB105" s="1224"/>
      <c r="BC105" s="1224"/>
    </row>
    <row r="106" spans="1:55" ht="14.25" customHeight="1">
      <c r="B106" s="7219" t="s">
        <v>42</v>
      </c>
      <c r="C106" s="7220"/>
      <c r="D106" s="7220"/>
      <c r="E106" s="7221"/>
      <c r="G106" s="1224"/>
      <c r="H106" s="1224"/>
      <c r="I106" s="1224"/>
      <c r="J106" s="1224"/>
      <c r="K106" s="1224"/>
      <c r="L106" s="1224"/>
      <c r="M106" s="1224"/>
      <c r="N106" s="1224"/>
      <c r="O106" s="1224"/>
      <c r="P106" s="1224"/>
      <c r="Q106" s="1224"/>
      <c r="R106" s="1224"/>
      <c r="S106" s="1224"/>
      <c r="T106" s="1224"/>
      <c r="U106" s="1224"/>
      <c r="V106" s="1224"/>
      <c r="W106" s="1224"/>
      <c r="X106" s="1224"/>
      <c r="Y106" s="1224"/>
      <c r="Z106" s="1224"/>
      <c r="AA106" s="1224"/>
      <c r="AB106" s="1224"/>
      <c r="AC106" s="1224"/>
      <c r="AD106" s="1224"/>
      <c r="AE106" s="1224"/>
      <c r="AF106" s="1224"/>
      <c r="AG106" s="1224"/>
      <c r="AH106" s="1224"/>
      <c r="AI106" s="4451" t="str">
        <f>IF(T106&lt;&gt;"",ROUND(T106,0),"")</f>
        <v/>
      </c>
      <c r="AK106" s="4451" t="str">
        <f t="shared" ref="AK106:AP106" si="3">IF(U106&lt;&gt;"",ROUND(U106,0),"")</f>
        <v/>
      </c>
      <c r="AL106" s="4451" t="str">
        <f t="shared" si="3"/>
        <v/>
      </c>
      <c r="AM106" s="4451" t="str">
        <f t="shared" si="3"/>
        <v/>
      </c>
      <c r="AN106" s="4451" t="str">
        <f t="shared" si="3"/>
        <v/>
      </c>
      <c r="AO106" s="4451" t="str">
        <f>IF(Y106&lt;&gt;"",ROUND(Y106,0),"")</f>
        <v/>
      </c>
      <c r="AP106" s="4451" t="str">
        <f t="shared" si="3"/>
        <v/>
      </c>
      <c r="AQ106" s="4451"/>
      <c r="AR106" s="4451" t="str">
        <f t="shared" ref="AR106:AZ106" si="4">IF(AA106&lt;&gt;"",ROUND(AA106,0),"")</f>
        <v/>
      </c>
      <c r="AS106" s="4451" t="str">
        <f t="shared" si="4"/>
        <v/>
      </c>
      <c r="AT106" s="4451" t="str">
        <f t="shared" si="4"/>
        <v/>
      </c>
      <c r="AU106" s="4451" t="str">
        <f t="shared" si="4"/>
        <v/>
      </c>
      <c r="AV106" s="4451" t="str">
        <f t="shared" si="4"/>
        <v/>
      </c>
      <c r="AW106" s="4451" t="str">
        <f t="shared" si="4"/>
        <v/>
      </c>
      <c r="AX106" s="4451" t="str">
        <f t="shared" si="4"/>
        <v/>
      </c>
      <c r="AY106" s="4451" t="str">
        <f t="shared" si="4"/>
        <v/>
      </c>
      <c r="AZ106" s="4451" t="str">
        <f t="shared" si="4"/>
        <v/>
      </c>
      <c r="BA106" s="4451" t="str">
        <f>IF(AK106&lt;&gt;"",ROUND(AK106,0),"")</f>
        <v/>
      </c>
      <c r="BB106" s="4451" t="str">
        <f>IF(AL106&lt;&gt;"",ROUND(AL106,0),"")</f>
        <v/>
      </c>
      <c r="BC106" s="4451" t="str">
        <f>IF(AM106&lt;&gt;"",ROUND(AM106,0),"")</f>
        <v/>
      </c>
    </row>
    <row r="107" spans="1:55" ht="16.5" customHeight="1">
      <c r="B107" s="7222"/>
      <c r="C107" s="7224"/>
      <c r="D107" s="7224"/>
      <c r="E107" s="7225"/>
      <c r="G107" s="1224"/>
      <c r="H107" s="1224"/>
      <c r="I107" s="1224"/>
      <c r="J107" s="1224"/>
      <c r="K107" s="1224"/>
      <c r="L107" s="1224"/>
      <c r="M107" s="1224"/>
      <c r="N107" s="1224"/>
      <c r="O107" s="1224"/>
      <c r="P107" s="1224"/>
      <c r="Q107" s="1224"/>
      <c r="R107" s="1224"/>
      <c r="S107" s="1224"/>
      <c r="T107" s="1224"/>
      <c r="U107" s="1224"/>
      <c r="V107" s="1224"/>
      <c r="W107" s="1224"/>
      <c r="X107" s="1224"/>
      <c r="Y107" s="1224"/>
      <c r="Z107" s="1224"/>
      <c r="AA107" s="1224"/>
      <c r="AB107" s="1224"/>
      <c r="AC107" s="1224"/>
      <c r="AD107" s="1224"/>
      <c r="AE107" s="1224"/>
      <c r="AF107" s="1224"/>
      <c r="AG107" s="1224"/>
      <c r="AH107" s="1224"/>
      <c r="AI107" s="4451" t="str">
        <f>IF(T107&lt;&gt;"",ROUND(T107,0),"")</f>
        <v/>
      </c>
      <c r="AK107" s="5909"/>
      <c r="AL107" s="5909"/>
      <c r="AM107" s="5909"/>
      <c r="AN107" s="5909"/>
      <c r="AO107" s="5909"/>
      <c r="AP107" s="5909"/>
      <c r="AQ107" s="5909"/>
      <c r="AR107" s="5909"/>
      <c r="AS107" s="5909"/>
      <c r="AT107" s="5909"/>
      <c r="AU107" s="5909"/>
      <c r="AV107" s="5909"/>
      <c r="AW107" s="5909"/>
      <c r="AX107" s="5909"/>
      <c r="AY107" s="5909"/>
      <c r="AZ107" s="5909"/>
      <c r="BA107" s="5909"/>
      <c r="BB107" s="5909"/>
      <c r="BC107" s="5909"/>
    </row>
    <row r="108" spans="1:55" ht="15.75" thickBot="1">
      <c r="B108" s="7226"/>
      <c r="C108" s="7227"/>
      <c r="D108" s="7227"/>
      <c r="E108" s="7228"/>
      <c r="G108" s="1224"/>
      <c r="H108" s="1224"/>
      <c r="I108" s="1224"/>
      <c r="J108" s="1224"/>
      <c r="K108" s="1224"/>
      <c r="L108" s="1224"/>
      <c r="M108" s="1224"/>
      <c r="N108" s="1224"/>
      <c r="O108" s="1224"/>
      <c r="P108" s="1224"/>
      <c r="Q108" s="1224"/>
      <c r="R108" s="1224"/>
      <c r="S108" s="1224"/>
      <c r="T108" s="1224"/>
      <c r="U108" s="1224"/>
      <c r="V108" s="1224"/>
      <c r="W108" s="1224"/>
      <c r="X108" s="1224"/>
      <c r="Y108" s="1224"/>
      <c r="Z108" s="1224"/>
      <c r="AA108" s="1224"/>
      <c r="AB108" s="1224"/>
      <c r="AC108" s="1224"/>
      <c r="AD108" s="1224"/>
      <c r="AE108" s="1224"/>
      <c r="AF108" s="1224"/>
      <c r="AG108" s="1224"/>
      <c r="AH108" s="1224"/>
      <c r="AI108" s="4451" t="str">
        <f>IF(T108&lt;&gt;"",ROUND(T108,0),"")</f>
        <v/>
      </c>
      <c r="AK108" s="5909"/>
      <c r="AL108" s="5909"/>
      <c r="AM108" s="5909"/>
      <c r="AN108" s="4700"/>
      <c r="AO108" s="4700"/>
      <c r="AP108" s="4700"/>
      <c r="AQ108" s="4700"/>
      <c r="AR108" s="4700"/>
      <c r="AS108" s="4700"/>
      <c r="AT108" s="4700"/>
      <c r="AU108" s="4700"/>
      <c r="AV108" s="4700"/>
      <c r="AW108" s="4700"/>
      <c r="AX108" s="4700"/>
      <c r="AY108" s="4700"/>
      <c r="AZ108" s="4700"/>
      <c r="BA108" s="4700"/>
      <c r="BB108" s="4700"/>
      <c r="BC108" s="4700"/>
    </row>
    <row r="109" spans="1:55">
      <c r="G109" s="1224"/>
      <c r="H109" s="1224"/>
      <c r="I109" s="1224"/>
      <c r="J109" s="1224"/>
      <c r="K109" s="1224"/>
      <c r="L109" s="1224"/>
      <c r="M109" s="1224"/>
      <c r="N109" s="1224"/>
      <c r="O109" s="1224"/>
      <c r="P109" s="1224"/>
      <c r="Q109" s="1224"/>
      <c r="R109" s="1224"/>
      <c r="S109" s="1224"/>
      <c r="T109" s="1224"/>
      <c r="U109" s="1224"/>
      <c r="V109" s="1224"/>
      <c r="W109" s="1224"/>
      <c r="X109" s="1224"/>
      <c r="Y109" s="1224"/>
      <c r="Z109" s="1224"/>
      <c r="AA109" s="1224"/>
      <c r="AB109" s="1224"/>
      <c r="AC109" s="1224"/>
      <c r="AD109" s="1224"/>
      <c r="AE109" s="1224"/>
      <c r="AF109" s="1224"/>
      <c r="AG109" s="1224"/>
      <c r="AH109" s="1224"/>
      <c r="AI109" s="4451"/>
      <c r="AK109" s="5909"/>
      <c r="AL109" s="5909"/>
      <c r="AM109" s="5909"/>
      <c r="AN109" s="4700"/>
      <c r="AO109" s="4700"/>
      <c r="AP109" s="4700"/>
      <c r="AQ109" s="4700"/>
      <c r="AR109" s="4700"/>
      <c r="AS109" s="4700"/>
      <c r="AT109" s="4700"/>
      <c r="AU109" s="4700"/>
      <c r="AV109" s="4700"/>
      <c r="AW109" s="4700"/>
      <c r="AX109" s="4700"/>
      <c r="AY109" s="4700"/>
      <c r="AZ109" s="4700"/>
      <c r="BA109" s="4700"/>
      <c r="BB109" s="4700"/>
      <c r="BC109" s="4700"/>
    </row>
    <row r="110" spans="1:55">
      <c r="G110" s="1224"/>
      <c r="H110" s="1224"/>
      <c r="I110" s="1224"/>
      <c r="J110" s="1224"/>
      <c r="K110" s="1224"/>
      <c r="L110" s="1224"/>
      <c r="M110" s="1224"/>
      <c r="N110" s="1224"/>
      <c r="O110" s="1224"/>
      <c r="P110" s="1224"/>
      <c r="Q110" s="1224"/>
      <c r="R110" s="1224"/>
      <c r="S110" s="1224"/>
      <c r="T110" s="1224"/>
      <c r="U110" s="1224"/>
      <c r="V110" s="1224"/>
      <c r="W110" s="1224"/>
      <c r="X110" s="1224"/>
      <c r="Y110" s="1224"/>
      <c r="Z110" s="1224"/>
      <c r="AA110" s="1224"/>
      <c r="AB110" s="1224"/>
      <c r="AC110" s="1224"/>
      <c r="AD110" s="1224"/>
      <c r="AE110" s="1224"/>
      <c r="AF110" s="1224"/>
      <c r="AG110" s="1224"/>
      <c r="AH110" s="1224"/>
      <c r="AI110" s="4451" t="str">
        <f>IF(T110&lt;&gt;"",ROUND(T110,0),"")</f>
        <v/>
      </c>
      <c r="AK110" s="5909"/>
      <c r="AL110" s="5909"/>
      <c r="AM110" s="5909"/>
      <c r="AN110" s="4700"/>
      <c r="AO110" s="4700"/>
      <c r="AP110" s="4700"/>
      <c r="AQ110" s="4700"/>
    </row>
    <row r="111" spans="1:55">
      <c r="G111" s="1224"/>
      <c r="H111" s="1224"/>
      <c r="I111" s="1224"/>
      <c r="J111" s="1224"/>
      <c r="K111" s="1224"/>
      <c r="L111" s="1224"/>
      <c r="M111" s="1224"/>
      <c r="N111" s="1224"/>
      <c r="O111" s="1224"/>
      <c r="P111" s="1224"/>
      <c r="Q111" s="1224"/>
      <c r="R111" s="1224"/>
      <c r="S111" s="1224"/>
      <c r="T111" s="1224"/>
      <c r="U111" s="1224"/>
      <c r="V111" s="1224"/>
      <c r="W111" s="1224"/>
      <c r="X111" s="1224"/>
      <c r="Y111" s="1224"/>
      <c r="Z111" s="1224"/>
      <c r="AA111" s="1224"/>
      <c r="AB111" s="1224"/>
      <c r="AC111" s="1224"/>
      <c r="AD111" s="1224"/>
      <c r="AE111" s="1224"/>
      <c r="AF111" s="1224"/>
      <c r="AG111" s="1224"/>
      <c r="AH111" s="1224"/>
      <c r="AI111" s="4451"/>
      <c r="AK111" s="5909"/>
      <c r="AL111" s="5909"/>
      <c r="AM111" s="5909"/>
      <c r="AN111" s="4700"/>
      <c r="AO111" s="4700"/>
      <c r="AP111" s="4700"/>
      <c r="AQ111" s="4700"/>
    </row>
    <row r="112" spans="1:55">
      <c r="G112" s="1224"/>
      <c r="H112" s="1224"/>
      <c r="I112" s="1224"/>
      <c r="J112" s="1224"/>
      <c r="K112" s="1224"/>
      <c r="L112" s="1224"/>
      <c r="M112" s="1224"/>
      <c r="N112" s="1224"/>
      <c r="O112" s="1224"/>
      <c r="P112" s="1224"/>
      <c r="Q112" s="1224"/>
      <c r="R112" s="1224"/>
      <c r="S112" s="1224"/>
      <c r="T112" s="1224"/>
      <c r="U112" s="1224"/>
      <c r="V112" s="1224"/>
      <c r="W112" s="1224"/>
      <c r="X112" s="1224"/>
      <c r="Y112" s="1224"/>
      <c r="Z112" s="1224"/>
      <c r="AA112" s="1224"/>
      <c r="AB112" s="1224"/>
      <c r="AC112" s="1224"/>
      <c r="AD112" s="1224"/>
      <c r="AE112" s="1224"/>
      <c r="AF112" s="1224"/>
      <c r="AG112" s="1224"/>
      <c r="AH112" s="1224"/>
      <c r="AI112" s="4451" t="str">
        <f>IF(T112&lt;&gt;"",ROUND(T112,0),"")</f>
        <v/>
      </c>
      <c r="AK112" s="5909"/>
      <c r="AL112" s="1224"/>
      <c r="AM112" s="1224"/>
      <c r="AO112" s="4700"/>
    </row>
    <row r="113" spans="7:39">
      <c r="G113" s="1224"/>
      <c r="H113" s="1224"/>
      <c r="I113" s="1224"/>
      <c r="J113" s="1224"/>
      <c r="K113" s="1224"/>
      <c r="L113" s="1224"/>
      <c r="M113" s="1224"/>
      <c r="N113" s="1224"/>
      <c r="O113" s="1224"/>
      <c r="P113" s="1224"/>
      <c r="Q113" s="1224"/>
      <c r="R113" s="1224"/>
      <c r="S113" s="1224"/>
      <c r="T113" s="1224"/>
      <c r="U113" s="1224"/>
      <c r="V113" s="1224"/>
      <c r="W113" s="1224"/>
      <c r="X113" s="1224"/>
      <c r="Y113" s="1224"/>
      <c r="Z113" s="1224"/>
      <c r="AA113" s="1224"/>
      <c r="AB113" s="1224"/>
      <c r="AC113" s="1224"/>
      <c r="AD113" s="1224"/>
      <c r="AE113" s="1224"/>
      <c r="AF113" s="1224"/>
      <c r="AG113" s="1224"/>
      <c r="AH113" s="1224"/>
      <c r="AI113" s="4451"/>
      <c r="AK113" s="5909"/>
      <c r="AL113" s="1224"/>
      <c r="AM113" s="1224"/>
    </row>
    <row r="114" spans="7:39">
      <c r="G114" s="1224"/>
      <c r="H114" s="1224"/>
      <c r="I114" s="1224"/>
      <c r="J114" s="1224"/>
      <c r="K114" s="1224"/>
      <c r="L114" s="1224"/>
      <c r="M114" s="1224"/>
      <c r="N114" s="1224"/>
      <c r="O114" s="1224"/>
      <c r="P114" s="1224"/>
      <c r="Q114" s="1224"/>
      <c r="R114" s="1224"/>
      <c r="S114" s="1224"/>
      <c r="T114" s="1224"/>
      <c r="U114" s="1224"/>
      <c r="V114" s="1224"/>
      <c r="W114" s="1224"/>
      <c r="X114" s="1224"/>
      <c r="Y114" s="1224"/>
      <c r="Z114" s="1224"/>
      <c r="AA114" s="1224"/>
      <c r="AB114" s="1224"/>
      <c r="AC114" s="1224"/>
      <c r="AD114" s="1224"/>
      <c r="AE114" s="1224"/>
      <c r="AF114" s="1224"/>
      <c r="AG114" s="1224"/>
      <c r="AH114" s="1224"/>
      <c r="AI114" s="4451"/>
      <c r="AK114" s="5909"/>
      <c r="AL114" s="1224"/>
      <c r="AM114" s="1224"/>
    </row>
    <row r="115" spans="7:39">
      <c r="G115" s="1224"/>
      <c r="H115" s="1224"/>
      <c r="I115" s="1224"/>
      <c r="J115" s="1224"/>
      <c r="K115" s="1224"/>
      <c r="L115" s="1224"/>
      <c r="M115" s="1224"/>
      <c r="N115" s="1224"/>
      <c r="O115" s="1224"/>
      <c r="P115" s="1224"/>
      <c r="Q115" s="1224"/>
      <c r="R115" s="1224"/>
      <c r="S115" s="1224"/>
      <c r="T115" s="1224"/>
      <c r="U115" s="1224"/>
      <c r="V115" s="1224"/>
      <c r="W115" s="1224"/>
      <c r="X115" s="1224"/>
      <c r="Y115" s="1224"/>
      <c r="Z115" s="1224"/>
      <c r="AA115" s="1224"/>
      <c r="AB115" s="1224"/>
      <c r="AC115" s="1224"/>
      <c r="AD115" s="1224"/>
      <c r="AE115" s="1224"/>
      <c r="AF115" s="1224"/>
      <c r="AG115" s="1224"/>
      <c r="AH115" s="1224"/>
      <c r="AI115" s="4451" t="str">
        <f>IF(T115&lt;&gt;"",ROUND(T115,0),"")</f>
        <v/>
      </c>
      <c r="AK115" s="5909"/>
      <c r="AL115" s="1224"/>
      <c r="AM115" s="1224"/>
    </row>
    <row r="116" spans="7:39">
      <c r="G116" s="1224"/>
      <c r="H116" s="1224"/>
      <c r="I116" s="1224"/>
      <c r="J116" s="1224"/>
      <c r="K116" s="1224"/>
      <c r="L116" s="1224"/>
      <c r="M116" s="1224"/>
      <c r="N116" s="1224"/>
      <c r="O116" s="1224"/>
      <c r="P116" s="1224"/>
      <c r="Q116" s="1224"/>
      <c r="R116" s="1224"/>
      <c r="S116" s="1224"/>
      <c r="T116" s="1224"/>
      <c r="U116" s="1224"/>
      <c r="V116" s="1224"/>
      <c r="W116" s="1224"/>
      <c r="X116" s="1224"/>
      <c r="Y116" s="1224"/>
      <c r="Z116" s="1224"/>
      <c r="AA116" s="1224"/>
      <c r="AB116" s="1224"/>
      <c r="AC116" s="1224"/>
      <c r="AD116" s="1224"/>
      <c r="AE116" s="1224"/>
      <c r="AF116" s="1224"/>
      <c r="AG116" s="1224"/>
      <c r="AH116" s="1224"/>
      <c r="AI116" s="4451"/>
      <c r="AK116" s="5909"/>
      <c r="AL116" s="1224"/>
      <c r="AM116" s="1224"/>
    </row>
    <row r="117" spans="7:39">
      <c r="G117" s="1224"/>
      <c r="H117" s="1224"/>
      <c r="I117" s="1224"/>
      <c r="J117" s="1224"/>
      <c r="K117" s="1224"/>
      <c r="L117" s="1224"/>
      <c r="M117" s="1224"/>
      <c r="N117" s="1224"/>
      <c r="O117" s="1224"/>
      <c r="P117" s="1224"/>
      <c r="Q117" s="1224"/>
      <c r="R117" s="1224"/>
      <c r="S117" s="1224"/>
      <c r="T117" s="1224"/>
      <c r="U117" s="1224"/>
      <c r="V117" s="1224"/>
      <c r="W117" s="1224"/>
      <c r="X117" s="1224"/>
      <c r="Y117" s="1224"/>
      <c r="Z117" s="1224"/>
      <c r="AA117" s="1224"/>
      <c r="AB117" s="1224"/>
      <c r="AC117" s="1224"/>
      <c r="AD117" s="1224"/>
      <c r="AE117" s="1224"/>
      <c r="AF117" s="1224"/>
      <c r="AG117" s="1224"/>
      <c r="AH117" s="1224"/>
      <c r="AI117" s="4451" t="str">
        <f>IF(T117&lt;&gt;"",ROUND(T117,0),"")</f>
        <v/>
      </c>
      <c r="AK117" s="5909"/>
      <c r="AL117" s="1224"/>
      <c r="AM117" s="1224"/>
    </row>
    <row r="118" spans="7:39">
      <c r="G118" s="1224"/>
      <c r="H118" s="1224"/>
      <c r="I118" s="1224"/>
      <c r="J118" s="1224"/>
      <c r="K118" s="1224"/>
      <c r="L118" s="1224"/>
      <c r="M118" s="1224"/>
      <c r="N118" s="1224"/>
      <c r="O118" s="1224"/>
      <c r="P118" s="1224"/>
      <c r="Q118" s="1224"/>
      <c r="R118" s="1224"/>
      <c r="S118" s="1224"/>
      <c r="T118" s="1224"/>
      <c r="U118" s="1224"/>
      <c r="V118" s="1224"/>
      <c r="W118" s="1224"/>
      <c r="X118" s="1224"/>
      <c r="Y118" s="1224"/>
      <c r="Z118" s="1224"/>
      <c r="AA118" s="1224"/>
      <c r="AB118" s="1224"/>
      <c r="AC118" s="1224"/>
      <c r="AD118" s="1224"/>
      <c r="AE118" s="1224"/>
      <c r="AF118" s="1224"/>
      <c r="AG118" s="1224"/>
      <c r="AH118" s="1224"/>
      <c r="AI118" s="4451"/>
      <c r="AK118" s="5909"/>
      <c r="AL118" s="1224"/>
      <c r="AM118" s="1224"/>
    </row>
    <row r="119" spans="7:39">
      <c r="G119" s="1224"/>
      <c r="H119" s="1224"/>
      <c r="I119" s="1224"/>
      <c r="J119" s="1224"/>
      <c r="K119" s="1224"/>
      <c r="L119" s="1224"/>
      <c r="M119" s="1224"/>
      <c r="N119" s="1224"/>
      <c r="O119" s="1224"/>
      <c r="P119" s="1224"/>
      <c r="Q119" s="1224"/>
      <c r="R119" s="1224"/>
      <c r="S119" s="1224"/>
      <c r="T119" s="1224"/>
      <c r="U119" s="1224"/>
      <c r="V119" s="1224"/>
      <c r="W119" s="1224"/>
      <c r="X119" s="1224"/>
      <c r="Y119" s="1224"/>
      <c r="Z119" s="1224"/>
      <c r="AA119" s="1224"/>
      <c r="AB119" s="1224"/>
      <c r="AC119" s="1224"/>
      <c r="AD119" s="1224"/>
      <c r="AE119" s="1224"/>
      <c r="AF119" s="1224"/>
      <c r="AG119" s="1224"/>
      <c r="AH119" s="1224"/>
      <c r="AI119" s="4451" t="str">
        <f>IF(T119&lt;&gt;"",ROUND(T119,0),"")</f>
        <v/>
      </c>
      <c r="AK119" s="5909"/>
      <c r="AL119" s="1224"/>
      <c r="AM119" s="1224"/>
    </row>
    <row r="120" spans="7:39">
      <c r="G120" s="1224"/>
      <c r="H120" s="1224"/>
      <c r="I120" s="1224"/>
      <c r="J120" s="1224"/>
      <c r="K120" s="1224"/>
      <c r="L120" s="1224"/>
      <c r="M120" s="1224"/>
      <c r="N120" s="1224"/>
      <c r="O120" s="1224"/>
      <c r="P120" s="1224"/>
      <c r="Q120" s="1224"/>
      <c r="R120" s="1224"/>
      <c r="S120" s="1224"/>
      <c r="T120" s="1224"/>
      <c r="U120" s="1224"/>
      <c r="V120" s="1224"/>
      <c r="W120" s="1224"/>
      <c r="X120" s="1224"/>
      <c r="Y120" s="1224"/>
      <c r="Z120" s="1224"/>
      <c r="AA120" s="1224"/>
      <c r="AB120" s="1224"/>
      <c r="AC120" s="1224"/>
      <c r="AD120" s="1224"/>
      <c r="AE120" s="1224"/>
      <c r="AF120" s="1224"/>
      <c r="AG120" s="1224"/>
      <c r="AH120" s="1224"/>
      <c r="AI120" s="4451"/>
      <c r="AK120" s="5909"/>
      <c r="AL120" s="1224"/>
      <c r="AM120" s="1224"/>
    </row>
    <row r="121" spans="7:39">
      <c r="G121" s="1224"/>
      <c r="H121" s="1224"/>
      <c r="I121" s="1224"/>
      <c r="J121" s="1224"/>
      <c r="K121" s="1224"/>
      <c r="L121" s="1224"/>
      <c r="M121" s="1224"/>
      <c r="N121" s="1224"/>
      <c r="O121" s="1224"/>
      <c r="P121" s="1224"/>
      <c r="Q121" s="1224"/>
      <c r="R121" s="1224"/>
      <c r="S121" s="1224"/>
      <c r="T121" s="1224"/>
      <c r="U121" s="1224"/>
      <c r="V121" s="1224"/>
      <c r="W121" s="1224"/>
      <c r="X121" s="1224"/>
      <c r="Y121" s="1224"/>
      <c r="Z121" s="1224"/>
      <c r="AA121" s="1224"/>
      <c r="AB121" s="1224"/>
      <c r="AC121" s="1224"/>
      <c r="AD121" s="1224"/>
      <c r="AE121" s="1224"/>
      <c r="AF121" s="1224"/>
      <c r="AG121" s="1224"/>
      <c r="AH121" s="1224"/>
      <c r="AI121" s="4451" t="str">
        <f>IF(T121&lt;&gt;"",ROUND(T121,0),"")</f>
        <v/>
      </c>
      <c r="AK121" s="5909"/>
      <c r="AL121" s="1224"/>
      <c r="AM121" s="1224"/>
    </row>
    <row r="122" spans="7:39">
      <c r="G122" s="1224"/>
      <c r="H122" s="1224"/>
      <c r="I122" s="1224"/>
      <c r="J122" s="1224"/>
      <c r="K122" s="1224"/>
      <c r="L122" s="1224"/>
      <c r="M122" s="1224"/>
      <c r="N122" s="1224"/>
      <c r="O122" s="1224"/>
      <c r="P122" s="1224"/>
      <c r="Q122" s="1224"/>
      <c r="R122" s="1224"/>
      <c r="S122" s="1224"/>
      <c r="T122" s="1224"/>
      <c r="U122" s="1224"/>
      <c r="V122" s="1224"/>
      <c r="W122" s="1224"/>
      <c r="X122" s="1224"/>
      <c r="Y122" s="1224"/>
      <c r="Z122" s="1224"/>
      <c r="AA122" s="1224"/>
      <c r="AB122" s="1224"/>
      <c r="AC122" s="1224"/>
      <c r="AD122" s="1224"/>
      <c r="AE122" s="1224"/>
      <c r="AF122" s="1224"/>
      <c r="AG122" s="1224"/>
      <c r="AH122" s="1224"/>
      <c r="AI122" s="4451"/>
      <c r="AK122" s="5909"/>
      <c r="AL122" s="1224"/>
      <c r="AM122" s="1224"/>
    </row>
    <row r="123" spans="7:39">
      <c r="G123" s="1224"/>
      <c r="H123" s="1224"/>
      <c r="I123" s="1224"/>
      <c r="J123" s="1224"/>
      <c r="K123" s="1224"/>
      <c r="L123" s="1224"/>
      <c r="M123" s="1224"/>
      <c r="N123" s="1224"/>
      <c r="O123" s="1224"/>
      <c r="P123" s="1224"/>
      <c r="Q123" s="1224"/>
      <c r="R123" s="1224"/>
      <c r="S123" s="1224"/>
      <c r="T123" s="1224"/>
      <c r="U123" s="1224"/>
      <c r="V123" s="1224"/>
      <c r="W123" s="1224"/>
      <c r="X123" s="1224"/>
      <c r="Y123" s="1224"/>
      <c r="Z123" s="1224"/>
      <c r="AA123" s="1224"/>
      <c r="AB123" s="1224"/>
      <c r="AC123" s="1224"/>
      <c r="AD123" s="1224"/>
      <c r="AE123" s="1224"/>
      <c r="AF123" s="1224"/>
      <c r="AG123" s="1224"/>
      <c r="AH123" s="1224"/>
      <c r="AI123" s="4451"/>
      <c r="AK123" s="5909"/>
      <c r="AL123" s="1224"/>
      <c r="AM123" s="1224"/>
    </row>
    <row r="124" spans="7:39">
      <c r="G124" s="1224"/>
      <c r="H124" s="1224"/>
      <c r="I124" s="1224"/>
      <c r="J124" s="1224"/>
      <c r="K124" s="1224"/>
      <c r="L124" s="1224"/>
      <c r="M124" s="1224"/>
      <c r="N124" s="1224"/>
      <c r="O124" s="1224"/>
      <c r="P124" s="1224"/>
      <c r="Q124" s="1224"/>
      <c r="R124" s="1224"/>
      <c r="S124" s="1224"/>
      <c r="T124" s="1224"/>
      <c r="U124" s="1224"/>
      <c r="V124" s="1224"/>
      <c r="W124" s="1224"/>
      <c r="X124" s="1224"/>
      <c r="Y124" s="1224"/>
      <c r="Z124" s="1224"/>
      <c r="AA124" s="1224"/>
      <c r="AB124" s="1224"/>
      <c r="AC124" s="1224"/>
      <c r="AD124" s="1224"/>
      <c r="AE124" s="1224"/>
      <c r="AF124" s="1224"/>
      <c r="AG124" s="1224"/>
      <c r="AH124" s="1224"/>
      <c r="AI124" s="4451" t="str">
        <f>IF(T124&lt;&gt;"",ROUND(T124,0),"")</f>
        <v/>
      </c>
      <c r="AK124" s="5909"/>
      <c r="AL124" s="1224"/>
      <c r="AM124" s="1224"/>
    </row>
    <row r="125" spans="7:39">
      <c r="G125" s="1224"/>
      <c r="H125" s="1224"/>
      <c r="I125" s="1224"/>
      <c r="J125" s="1224"/>
      <c r="K125" s="1224"/>
      <c r="L125" s="1224"/>
      <c r="M125" s="1224"/>
      <c r="N125" s="1224"/>
      <c r="O125" s="1224"/>
      <c r="P125" s="1224"/>
      <c r="Q125" s="1224"/>
      <c r="R125" s="1224"/>
      <c r="S125" s="1224"/>
      <c r="T125" s="1224"/>
      <c r="U125" s="1224"/>
      <c r="V125" s="1224"/>
      <c r="W125" s="1224"/>
      <c r="X125" s="1224"/>
      <c r="Y125" s="1224"/>
      <c r="Z125" s="1224"/>
      <c r="AA125" s="1224"/>
      <c r="AB125" s="1224"/>
      <c r="AC125" s="1224"/>
      <c r="AD125" s="1224"/>
      <c r="AE125" s="1224"/>
      <c r="AF125" s="1224"/>
      <c r="AG125" s="1224"/>
      <c r="AH125" s="1224"/>
      <c r="AI125" s="4451"/>
      <c r="AK125" s="5909"/>
      <c r="AL125" s="1224"/>
      <c r="AM125" s="1224"/>
    </row>
    <row r="126" spans="7:39">
      <c r="G126" s="1224"/>
      <c r="H126" s="1224"/>
      <c r="I126" s="1224"/>
      <c r="J126" s="1224"/>
      <c r="K126" s="1224"/>
      <c r="L126" s="1224"/>
      <c r="M126" s="1224"/>
      <c r="N126" s="1224"/>
      <c r="O126" s="1224"/>
      <c r="P126" s="1224"/>
      <c r="Q126" s="1224"/>
      <c r="R126" s="1224"/>
      <c r="S126" s="1224"/>
      <c r="T126" s="1224"/>
      <c r="U126" s="1224"/>
      <c r="V126" s="1224"/>
      <c r="W126" s="1224"/>
      <c r="X126" s="1224"/>
      <c r="Y126" s="1224"/>
      <c r="Z126" s="1224"/>
      <c r="AA126" s="1224"/>
      <c r="AB126" s="1224"/>
      <c r="AC126" s="1224"/>
      <c r="AD126" s="1224"/>
      <c r="AE126" s="1224"/>
      <c r="AF126" s="1224"/>
      <c r="AG126" s="1224"/>
      <c r="AH126" s="1224"/>
      <c r="AI126" s="4451" t="str">
        <f>IF(T126&lt;&gt;"",ROUND(T126,0),"")</f>
        <v/>
      </c>
      <c r="AK126" s="5909"/>
      <c r="AL126" s="1224"/>
      <c r="AM126" s="1224"/>
    </row>
    <row r="127" spans="7:39">
      <c r="G127" s="1224"/>
      <c r="H127" s="1224"/>
      <c r="I127" s="1224"/>
      <c r="J127" s="1224"/>
      <c r="K127" s="1224"/>
      <c r="L127" s="1224"/>
      <c r="M127" s="1224"/>
      <c r="N127" s="1224"/>
      <c r="O127" s="1224"/>
      <c r="P127" s="1224"/>
      <c r="Q127" s="1224"/>
      <c r="R127" s="1224"/>
      <c r="S127" s="1224"/>
      <c r="T127" s="1224"/>
      <c r="U127" s="1224"/>
      <c r="V127" s="1224"/>
      <c r="W127" s="1224"/>
      <c r="X127" s="1224"/>
      <c r="Y127" s="1224"/>
      <c r="Z127" s="1224"/>
      <c r="AA127" s="1224"/>
      <c r="AB127" s="1224"/>
      <c r="AC127" s="1224"/>
      <c r="AD127" s="1224"/>
      <c r="AE127" s="1224"/>
      <c r="AF127" s="1224"/>
      <c r="AG127" s="1224"/>
      <c r="AH127" s="1224"/>
      <c r="AI127" s="4451"/>
      <c r="AK127" s="5909"/>
      <c r="AL127" s="1224"/>
      <c r="AM127" s="1224"/>
    </row>
    <row r="128" spans="7:39">
      <c r="G128" s="1224"/>
      <c r="H128" s="1224"/>
      <c r="I128" s="1224"/>
      <c r="J128" s="1224"/>
      <c r="K128" s="1224"/>
      <c r="L128" s="1224"/>
      <c r="M128" s="1224"/>
      <c r="N128" s="1224"/>
      <c r="O128" s="1224"/>
      <c r="P128" s="1224"/>
      <c r="Q128" s="1224"/>
      <c r="R128" s="1224"/>
      <c r="S128" s="1224"/>
      <c r="T128" s="1224"/>
      <c r="U128" s="1224"/>
      <c r="V128" s="1224"/>
      <c r="W128" s="1224"/>
      <c r="X128" s="1224"/>
      <c r="Y128" s="1224"/>
      <c r="Z128" s="1224"/>
      <c r="AA128" s="1224"/>
      <c r="AB128" s="1224"/>
      <c r="AC128" s="1224"/>
      <c r="AD128" s="1224"/>
      <c r="AE128" s="1224"/>
      <c r="AF128" s="1224"/>
      <c r="AG128" s="1224"/>
      <c r="AH128" s="1224"/>
      <c r="AI128" s="4451" t="str">
        <f>IF(T128&lt;&gt;"",ROUND(T128,0),"")</f>
        <v/>
      </c>
      <c r="AK128" s="5909"/>
      <c r="AL128" s="1224"/>
      <c r="AM128" s="1224"/>
    </row>
    <row r="129" spans="7:39">
      <c r="G129" s="1224"/>
      <c r="H129" s="1224"/>
      <c r="I129" s="1224"/>
      <c r="J129" s="1224"/>
      <c r="K129" s="1224"/>
      <c r="L129" s="1224"/>
      <c r="M129" s="1224"/>
      <c r="N129" s="1224"/>
      <c r="O129" s="1224"/>
      <c r="P129" s="1224"/>
      <c r="Q129" s="1224"/>
      <c r="R129" s="1224"/>
      <c r="S129" s="1224"/>
      <c r="T129" s="1224"/>
      <c r="U129" s="1224"/>
      <c r="V129" s="1224"/>
      <c r="W129" s="1224"/>
      <c r="X129" s="1224"/>
      <c r="Y129" s="1224"/>
      <c r="Z129" s="1224"/>
      <c r="AA129" s="1224"/>
      <c r="AB129" s="1224"/>
      <c r="AC129" s="1224"/>
      <c r="AD129" s="1224"/>
      <c r="AE129" s="1224"/>
      <c r="AF129" s="1224"/>
      <c r="AG129" s="1224"/>
      <c r="AH129" s="1224"/>
      <c r="AI129" s="1224"/>
      <c r="AK129" s="5909"/>
      <c r="AL129" s="1224"/>
      <c r="AM129" s="1224"/>
    </row>
    <row r="130" spans="7:39">
      <c r="G130" s="1224"/>
      <c r="H130" s="1224"/>
      <c r="I130" s="1224"/>
      <c r="J130" s="1224"/>
      <c r="K130" s="1224"/>
      <c r="L130" s="1224"/>
      <c r="M130" s="1224"/>
      <c r="N130" s="1224"/>
      <c r="O130" s="1224"/>
      <c r="P130" s="1224"/>
      <c r="Q130" s="1224"/>
      <c r="R130" s="1224"/>
      <c r="S130" s="1224"/>
      <c r="T130" s="1224"/>
      <c r="U130" s="1224"/>
      <c r="V130" s="1224"/>
      <c r="W130" s="1224"/>
      <c r="X130" s="1224"/>
      <c r="Y130" s="1224"/>
      <c r="Z130" s="1224"/>
      <c r="AA130" s="1224"/>
      <c r="AB130" s="1224"/>
      <c r="AC130" s="1224"/>
      <c r="AD130" s="1224"/>
      <c r="AE130" s="1224"/>
      <c r="AF130" s="1224"/>
      <c r="AG130" s="1224"/>
      <c r="AH130" s="1224"/>
      <c r="AI130" s="1224"/>
      <c r="AK130" s="5316"/>
      <c r="AL130" s="1224"/>
      <c r="AM130" s="1224"/>
    </row>
    <row r="131" spans="7:39">
      <c r="G131" s="1224"/>
      <c r="H131" s="1224"/>
      <c r="I131" s="1224"/>
      <c r="J131" s="1224"/>
      <c r="K131" s="1224"/>
      <c r="L131" s="1224"/>
      <c r="M131" s="1224"/>
      <c r="N131" s="1224"/>
      <c r="O131" s="1224"/>
      <c r="P131" s="1224"/>
      <c r="Q131" s="1224"/>
      <c r="R131" s="1224"/>
      <c r="S131" s="1224"/>
      <c r="T131" s="1224"/>
      <c r="U131" s="1224"/>
      <c r="V131" s="1224"/>
      <c r="W131" s="1224"/>
      <c r="X131" s="1224"/>
      <c r="Y131" s="1224"/>
      <c r="Z131" s="1224"/>
      <c r="AA131" s="1224"/>
      <c r="AB131" s="1224"/>
      <c r="AC131" s="1224"/>
      <c r="AD131" s="1224"/>
      <c r="AE131" s="1224"/>
      <c r="AF131" s="1224"/>
      <c r="AG131" s="1224"/>
      <c r="AH131" s="1224"/>
      <c r="AI131" s="1224"/>
      <c r="AK131" s="1224"/>
      <c r="AL131" s="1224"/>
      <c r="AM131" s="1224"/>
    </row>
    <row r="132" spans="7:39">
      <c r="G132" s="1224"/>
      <c r="H132" s="1224"/>
      <c r="I132" s="1224"/>
      <c r="J132" s="1224"/>
      <c r="K132" s="1224"/>
      <c r="L132" s="1224"/>
      <c r="M132" s="1224"/>
      <c r="N132" s="1224"/>
      <c r="O132" s="1224"/>
      <c r="P132" s="1224"/>
      <c r="Q132" s="1224"/>
      <c r="R132" s="1224"/>
      <c r="S132" s="1224"/>
      <c r="T132" s="1224"/>
      <c r="U132" s="1224"/>
      <c r="V132" s="1224"/>
      <c r="W132" s="1224"/>
      <c r="AK132" s="304"/>
    </row>
    <row r="133" spans="7:39">
      <c r="G133" s="1224"/>
      <c r="H133" s="1224"/>
      <c r="I133" s="1224"/>
      <c r="J133" s="1224"/>
      <c r="K133" s="1224"/>
      <c r="L133" s="1224"/>
      <c r="M133" s="1224"/>
      <c r="N133" s="1224"/>
      <c r="O133" s="1224"/>
      <c r="P133" s="1224"/>
      <c r="Q133" s="1224"/>
      <c r="R133" s="1224"/>
      <c r="S133" s="1224"/>
      <c r="T133" s="1224"/>
      <c r="U133" s="1224"/>
      <c r="V133" s="1224"/>
      <c r="W133" s="1224"/>
    </row>
    <row r="134" spans="7:39">
      <c r="G134" s="1224"/>
      <c r="H134" s="1224"/>
      <c r="I134" s="1224"/>
      <c r="J134" s="1224"/>
      <c r="K134" s="1224"/>
      <c r="L134" s="1224"/>
      <c r="M134" s="1224"/>
      <c r="N134" s="1224"/>
      <c r="O134" s="1224"/>
      <c r="P134" s="1224"/>
      <c r="Q134" s="1224"/>
      <c r="R134" s="1224"/>
      <c r="S134" s="1224"/>
      <c r="T134" s="1224"/>
      <c r="U134" s="1224"/>
      <c r="V134" s="1224"/>
      <c r="W134" s="1224"/>
    </row>
  </sheetData>
  <sheetProtection algorithmName="SHA-512" hashValue="4JET9hxA4WnK7NjEb3PX3Os/zKvXGTfs3db8IJ60yCuvK2r7jRVTYOLByPk83h+MreawjnwDfTP4W2CsrkaDUg==" saltValue="9MEk15PFoo1DWiiQ4/EIcA==" spinCount="100000" sheet="1" formatCells="0" formatColumns="0" formatRows="0"/>
  <mergeCells count="151">
    <mergeCell ref="D96:T96"/>
    <mergeCell ref="W96:AA96"/>
    <mergeCell ref="AC96:AG96"/>
    <mergeCell ref="B2:F4"/>
    <mergeCell ref="D52:T52"/>
    <mergeCell ref="W52:AA52"/>
    <mergeCell ref="AC52:AG52"/>
    <mergeCell ref="R72:Z72"/>
    <mergeCell ref="X45:Z45"/>
    <mergeCell ref="AC47:AG47"/>
    <mergeCell ref="W51:AA51"/>
    <mergeCell ref="W46:AA46"/>
    <mergeCell ref="AC46:AG46"/>
    <mergeCell ref="W48:AA48"/>
    <mergeCell ref="AC48:AG48"/>
    <mergeCell ref="W49:AA49"/>
    <mergeCell ref="W50:AA50"/>
    <mergeCell ref="AC50:AG50"/>
    <mergeCell ref="AC65:AG65"/>
    <mergeCell ref="W33:AA33"/>
    <mergeCell ref="W34:AA34"/>
    <mergeCell ref="W35:AA35"/>
    <mergeCell ref="W31:AA31"/>
    <mergeCell ref="W32:AA32"/>
    <mergeCell ref="AC35:AG35"/>
    <mergeCell ref="AC69:AG69"/>
    <mergeCell ref="AC77:AG77"/>
    <mergeCell ref="W90:AA90"/>
    <mergeCell ref="W91:AA91"/>
    <mergeCell ref="W92:AA92"/>
    <mergeCell ref="AC45:AG45"/>
    <mergeCell ref="W47:AA47"/>
    <mergeCell ref="AC68:AG68"/>
    <mergeCell ref="AC37:AG37"/>
    <mergeCell ref="W43:AA43"/>
    <mergeCell ref="AC43:AG43"/>
    <mergeCell ref="AC38:AG38"/>
    <mergeCell ref="AC39:AG39"/>
    <mergeCell ref="AC40:AG40"/>
    <mergeCell ref="AC41:AG41"/>
    <mergeCell ref="AN47:AN48"/>
    <mergeCell ref="AO47:AO48"/>
    <mergeCell ref="W44:AA44"/>
    <mergeCell ref="AC44:AG44"/>
    <mergeCell ref="AN46:AO46"/>
    <mergeCell ref="W27:AA27"/>
    <mergeCell ref="W29:AA29"/>
    <mergeCell ref="W30:AA30"/>
    <mergeCell ref="W26:AA26"/>
    <mergeCell ref="AC29:AG29"/>
    <mergeCell ref="AC30:AG30"/>
    <mergeCell ref="X28:Z28"/>
    <mergeCell ref="W36:AA36"/>
    <mergeCell ref="W37:AA37"/>
    <mergeCell ref="W38:AA38"/>
    <mergeCell ref="W39:AA39"/>
    <mergeCell ref="AC31:AG31"/>
    <mergeCell ref="AC32:AG32"/>
    <mergeCell ref="AC33:AG33"/>
    <mergeCell ref="AC34:AG34"/>
    <mergeCell ref="W40:AA40"/>
    <mergeCell ref="W41:AA41"/>
    <mergeCell ref="W42:AA42"/>
    <mergeCell ref="AC42:AG42"/>
    <mergeCell ref="D97:T97"/>
    <mergeCell ref="W97:AA97"/>
    <mergeCell ref="AC97:AG97"/>
    <mergeCell ref="W86:AA86"/>
    <mergeCell ref="W88:AA88"/>
    <mergeCell ref="W93:AA93"/>
    <mergeCell ref="W89:AA89"/>
    <mergeCell ref="D53:T53"/>
    <mergeCell ref="W80:AA80"/>
    <mergeCell ref="W82:AA82"/>
    <mergeCell ref="W83:AA83"/>
    <mergeCell ref="W85:AA85"/>
    <mergeCell ref="W79:AA79"/>
    <mergeCell ref="AC53:AG53"/>
    <mergeCell ref="W53:AA53"/>
    <mergeCell ref="AC54:AG54"/>
    <mergeCell ref="B59:D59"/>
    <mergeCell ref="AC60:AG60"/>
    <mergeCell ref="AC61:AG61"/>
    <mergeCell ref="X59:AA59"/>
    <mergeCell ref="AC67:AG67"/>
    <mergeCell ref="AC55:AG55"/>
    <mergeCell ref="W94:AA94"/>
    <mergeCell ref="AC79:AG79"/>
    <mergeCell ref="AO17:AO32"/>
    <mergeCell ref="B106:E108"/>
    <mergeCell ref="AC99:AG99"/>
    <mergeCell ref="AC70:AG70"/>
    <mergeCell ref="AC74:AG74"/>
    <mergeCell ref="AC75:AG75"/>
    <mergeCell ref="V71:Z71"/>
    <mergeCell ref="AB100:AB101"/>
    <mergeCell ref="AC100:AG101"/>
    <mergeCell ref="W81:AA81"/>
    <mergeCell ref="W84:AA84"/>
    <mergeCell ref="W87:AA87"/>
    <mergeCell ref="AC98:AG98"/>
    <mergeCell ref="AC81:AG81"/>
    <mergeCell ref="AC83:AG83"/>
    <mergeCell ref="AC84:AG84"/>
    <mergeCell ref="AC86:AG86"/>
    <mergeCell ref="AC87:AG87"/>
    <mergeCell ref="AC88:AG88"/>
    <mergeCell ref="AC90:AG90"/>
    <mergeCell ref="AC92:AG92"/>
    <mergeCell ref="AC93:AG93"/>
    <mergeCell ref="AC94:AG94"/>
    <mergeCell ref="W95:AA95"/>
    <mergeCell ref="X25:Z25"/>
    <mergeCell ref="AB2:AG2"/>
    <mergeCell ref="AB8:AG9"/>
    <mergeCell ref="AB3:AG4"/>
    <mergeCell ref="AC5:AG6"/>
    <mergeCell ref="AC16:AG16"/>
    <mergeCell ref="B8:AA9"/>
    <mergeCell ref="B14:D14"/>
    <mergeCell ref="AC15:AG15"/>
    <mergeCell ref="G4:AA4"/>
    <mergeCell ref="G5:AA5"/>
    <mergeCell ref="B5:F6"/>
    <mergeCell ref="AC11:AG11"/>
    <mergeCell ref="I23:M23"/>
    <mergeCell ref="AC22:AG22"/>
    <mergeCell ref="A2:A3"/>
    <mergeCell ref="AI51:AK51"/>
    <mergeCell ref="AK58:AK61"/>
    <mergeCell ref="AC20:AG20"/>
    <mergeCell ref="V17:Z17"/>
    <mergeCell ref="AO68:AO82"/>
    <mergeCell ref="AK7:AK9"/>
    <mergeCell ref="AC56:AG56"/>
    <mergeCell ref="AC23:AG23"/>
    <mergeCell ref="AC76:AG76"/>
    <mergeCell ref="AC62:AG62"/>
    <mergeCell ref="AC63:AG63"/>
    <mergeCell ref="AC64:AG64"/>
    <mergeCell ref="AC66:AG66"/>
    <mergeCell ref="AC21:AG21"/>
    <mergeCell ref="AC17:AG17"/>
    <mergeCell ref="AC18:AG18"/>
    <mergeCell ref="AC19:AG19"/>
    <mergeCell ref="AC59:AG59"/>
    <mergeCell ref="AC25:AG25"/>
    <mergeCell ref="AC26:AG26"/>
    <mergeCell ref="AC27:AG27"/>
    <mergeCell ref="AC28:AG28"/>
    <mergeCell ref="AO15:AO16"/>
  </mergeCells>
  <conditionalFormatting sqref="B8 AB8">
    <cfRule type="expression" dxfId="3570" priority="246">
      <formula>NoColor</formula>
    </cfRule>
  </conditionalFormatting>
  <conditionalFormatting sqref="D52:T53">
    <cfRule type="expression" dxfId="3569" priority="6">
      <formula>NoColor</formula>
    </cfRule>
  </conditionalFormatting>
  <conditionalFormatting sqref="D96:T97">
    <cfRule type="expression" dxfId="3568" priority="9">
      <formula>NoColor</formula>
    </cfRule>
  </conditionalFormatting>
  <conditionalFormatting sqref="E24:Z24">
    <cfRule type="expression" dxfId="3567" priority="97">
      <formula>NoColor</formula>
    </cfRule>
  </conditionalFormatting>
  <conditionalFormatting sqref="I23">
    <cfRule type="expression" dxfId="3566" priority="14">
      <formula>IF(NoColor,1,0)</formula>
    </cfRule>
  </conditionalFormatting>
  <conditionalFormatting sqref="K65">
    <cfRule type="expression" dxfId="3565" priority="11">
      <formula>NoColor</formula>
    </cfRule>
  </conditionalFormatting>
  <conditionalFormatting sqref="K74">
    <cfRule type="expression" dxfId="3564" priority="12">
      <formula>NoColor</formula>
    </cfRule>
  </conditionalFormatting>
  <conditionalFormatting sqref="O19">
    <cfRule type="expression" dxfId="3563" priority="13">
      <formula>NoColor</formula>
    </cfRule>
  </conditionalFormatting>
  <conditionalFormatting sqref="R19">
    <cfRule type="expression" dxfId="3562" priority="16">
      <formula>NoColor</formula>
    </cfRule>
  </conditionalFormatting>
  <conditionalFormatting sqref="V17">
    <cfRule type="expression" dxfId="3561" priority="51">
      <formula>IF(NoColor,1,0)</formula>
    </cfRule>
  </conditionalFormatting>
  <conditionalFormatting sqref="V55">
    <cfRule type="expression" dxfId="3560" priority="21">
      <formula>IF(NoColor,1,0)</formula>
    </cfRule>
  </conditionalFormatting>
  <conditionalFormatting sqref="V71">
    <cfRule type="expression" dxfId="3559" priority="100">
      <formula>IF(NoColor,1,0)</formula>
    </cfRule>
  </conditionalFormatting>
  <conditionalFormatting sqref="W60:Z60">
    <cfRule type="expression" dxfId="3558" priority="138">
      <formula>IF(NoColor,1,0)</formula>
    </cfRule>
  </conditionalFormatting>
  <conditionalFormatting sqref="W62:Z63">
    <cfRule type="expression" dxfId="3557" priority="139">
      <formula>IF(NoColor,1,0)</formula>
    </cfRule>
  </conditionalFormatting>
  <conditionalFormatting sqref="W66:Z69">
    <cfRule type="expression" dxfId="3556" priority="130">
      <formula>IF(NoColor,1,0)</formula>
    </cfRule>
  </conditionalFormatting>
  <conditionalFormatting sqref="W74:Z75">
    <cfRule type="expression" dxfId="3555" priority="129">
      <formula>IF(NoColor,1,0)</formula>
    </cfRule>
  </conditionalFormatting>
  <conditionalFormatting sqref="W26:AA27">
    <cfRule type="expression" dxfId="3554" priority="44">
      <formula>NoColor</formula>
    </cfRule>
  </conditionalFormatting>
  <conditionalFormatting sqref="W29:AA35">
    <cfRule type="expression" dxfId="3553" priority="41">
      <formula>NoColor</formula>
    </cfRule>
  </conditionalFormatting>
  <conditionalFormatting sqref="W37:AA43">
    <cfRule type="expression" dxfId="3552" priority="40">
      <formula>NoColor</formula>
    </cfRule>
  </conditionalFormatting>
  <conditionalFormatting sqref="W47:AA48 W50:AA50">
    <cfRule type="expression" dxfId="3551" priority="42">
      <formula>NoColor</formula>
    </cfRule>
  </conditionalFormatting>
  <conditionalFormatting sqref="W53:AA53">
    <cfRule type="expression" dxfId="3550" priority="39">
      <formula>NoColor</formula>
    </cfRule>
  </conditionalFormatting>
  <conditionalFormatting sqref="W79:AA79">
    <cfRule type="expression" dxfId="3549" priority="36">
      <formula>NoColor</formula>
    </cfRule>
  </conditionalFormatting>
  <conditionalFormatting sqref="W81:AA81">
    <cfRule type="expression" dxfId="3548" priority="35">
      <formula>NoColor</formula>
    </cfRule>
  </conditionalFormatting>
  <conditionalFormatting sqref="W83:AA84">
    <cfRule type="expression" dxfId="3547" priority="37">
      <formula>NoColor</formula>
    </cfRule>
  </conditionalFormatting>
  <conditionalFormatting sqref="W86:AA88">
    <cfRule type="expression" dxfId="3546" priority="38">
      <formula>NoColor</formula>
    </cfRule>
  </conditionalFormatting>
  <conditionalFormatting sqref="W90:AA90">
    <cfRule type="expression" dxfId="3545" priority="29">
      <formula>NoColor</formula>
    </cfRule>
  </conditionalFormatting>
  <conditionalFormatting sqref="W92:AA94">
    <cfRule type="expression" dxfId="3544" priority="22">
      <formula>NoColor</formula>
    </cfRule>
  </conditionalFormatting>
  <conditionalFormatting sqref="W97:AA97">
    <cfRule type="expression" dxfId="3543" priority="32">
      <formula>NoColor</formula>
    </cfRule>
  </conditionalFormatting>
  <conditionalFormatting sqref="X22">
    <cfRule type="expression" dxfId="3542" priority="15">
      <formula>NoColor</formula>
    </cfRule>
  </conditionalFormatting>
  <conditionalFormatting sqref="X25:Z25">
    <cfRule type="expression" dxfId="3541" priority="23">
      <formula>NoColor</formula>
    </cfRule>
  </conditionalFormatting>
  <conditionalFormatting sqref="X28:Z28">
    <cfRule type="expression" dxfId="3540" priority="45">
      <formula>NoColor</formula>
    </cfRule>
  </conditionalFormatting>
  <conditionalFormatting sqref="X45:Z45">
    <cfRule type="expression" dxfId="3539" priority="24">
      <formula>NoColor</formula>
    </cfRule>
  </conditionalFormatting>
  <conditionalFormatting sqref="AC24 AC54">
    <cfRule type="expression" dxfId="3537" priority="99">
      <formula>IF(NoColor,1,0)</formula>
    </cfRule>
  </conditionalFormatting>
  <conditionalFormatting sqref="AC98">
    <cfRule type="expression" dxfId="3536" priority="61">
      <formula>IF(NoColor,1,0)</formula>
    </cfRule>
  </conditionalFormatting>
  <conditionalFormatting sqref="AC100">
    <cfRule type="expression" dxfId="3535" priority="166">
      <formula>IF(NoColor,1,0)</formula>
    </cfRule>
  </conditionalFormatting>
  <conditionalFormatting sqref="AC60:AD60">
    <cfRule type="expression" dxfId="3534" priority="5100">
      <formula>AND(AO57,NOT(NoColor))</formula>
    </cfRule>
  </conditionalFormatting>
  <conditionalFormatting sqref="AC11:AG11">
    <cfRule type="expression" dxfId="3533" priority="4">
      <formula>NoColor</formula>
    </cfRule>
  </conditionalFormatting>
  <conditionalFormatting sqref="AC15:AG16">
    <cfRule type="expression" dxfId="3532" priority="118">
      <formula>IF(NoColor,1,0)</formula>
    </cfRule>
  </conditionalFormatting>
  <conditionalFormatting sqref="AC18:AG21 AC23:AG23">
    <cfRule type="expression" dxfId="3531" priority="120">
      <formula>IF(NoColor,1,0)</formula>
    </cfRule>
  </conditionalFormatting>
  <conditionalFormatting sqref="AC56:AG56">
    <cfRule type="expression" dxfId="3530" priority="132">
      <formula>IF(NoColor,1,0)</formula>
    </cfRule>
  </conditionalFormatting>
  <conditionalFormatting sqref="AC60:AG60">
    <cfRule type="expression" dxfId="3529" priority="106">
      <formula>IF(NoColor,1,0)</formula>
    </cfRule>
  </conditionalFormatting>
  <conditionalFormatting sqref="AC62:AG62">
    <cfRule type="expression" dxfId="3528" priority="2">
      <formula>NoColor</formula>
    </cfRule>
  </conditionalFormatting>
  <conditionalFormatting sqref="AC63:AG63 AC65:AG78">
    <cfRule type="expression" dxfId="3527" priority="52">
      <formula>IF(NoColor,1,0)</formula>
    </cfRule>
  </conditionalFormatting>
  <conditionalFormatting sqref="AC99:AG99">
    <cfRule type="expression" dxfId="3526" priority="95">
      <formula>IF(NoColor,1,0)</formula>
    </cfRule>
  </conditionalFormatting>
  <conditionalFormatting sqref="AE60:AG60">
    <cfRule type="expression" dxfId="3524" priority="26">
      <formula>AND(AR61,NOT(NoColor))</formula>
    </cfRule>
  </conditionalFormatting>
  <conditionalFormatting sqref="AK58:AK61">
    <cfRule type="expression" dxfId="3522" priority="27">
      <formula>$AO$57</formula>
    </cfRule>
  </conditionalFormatting>
  <conditionalFormatting sqref="AK67:AK68">
    <cfRule type="expression" dxfId="3521" priority="92">
      <formula>$AI$68</formula>
    </cfRule>
  </conditionalFormatting>
  <conditionalFormatting sqref="AL24">
    <cfRule type="expression" dxfId="3520" priority="49">
      <formula>AND($AC$23&lt;&gt;"",$AC$23&gt;0)</formula>
    </cfRule>
  </conditionalFormatting>
  <conditionalFormatting sqref="AM28:AM29">
    <cfRule type="expression" dxfId="3519" priority="28">
      <formula>$AI$28</formula>
    </cfRule>
  </conditionalFormatting>
  <conditionalFormatting sqref="AO15:AO16">
    <cfRule type="expression" dxfId="3518" priority="116">
      <formula>$AO$14</formula>
    </cfRule>
  </conditionalFormatting>
  <conditionalFormatting sqref="AO17:AO32">
    <cfRule type="expression" dxfId="3517" priority="50">
      <formula>$AO$14</formula>
    </cfRule>
  </conditionalFormatting>
  <conditionalFormatting sqref="AO37">
    <cfRule type="expression" dxfId="3516" priority="4814">
      <formula>#REF!</formula>
    </cfRule>
  </conditionalFormatting>
  <conditionalFormatting sqref="AO67">
    <cfRule type="expression" dxfId="3515" priority="126">
      <formula>$AO$66</formula>
    </cfRule>
  </conditionalFormatting>
  <conditionalFormatting sqref="AO68:AO82">
    <cfRule type="expression" dxfId="3514" priority="2939">
      <formula>$AO$66</formula>
    </cfRule>
  </conditionalFormatting>
  <hyperlinks>
    <hyperlink ref="B106:E108" location="'Table of Contents'!A1" display="Table of Contents" xr:uid="{00000000-0004-0000-0E00-000000000000}"/>
  </hyperlinks>
  <pageMargins left="0.75" right="0.25" top="0.36" bottom="0.28999999999999998" header="0.36" footer="0.21"/>
  <pageSetup scale="72" fitToHeight="0" orientation="portrait" r:id="rId1"/>
  <rowBreaks count="1" manualBreakCount="1">
    <brk id="57" min="1" max="32" man="1"/>
  </rowBreaks>
  <drawing r:id="rId2"/>
  <extLst>
    <ext xmlns:x14="http://schemas.microsoft.com/office/spreadsheetml/2009/9/main" uri="{78C0D931-6437-407d-A8EE-F0AAD7539E65}">
      <x14:conditionalFormattings>
        <x14:conditionalFormatting xmlns:xm="http://schemas.microsoft.com/office/excel/2006/main">
          <x14:cfRule type="expression" priority="7" id="{29CBC7A3-232E-4D08-956C-FF1556ADAE96}">
            <xm:f>AND(AH2="",'Table of Contents'!A20="D")</xm:f>
            <x14:dxf>
              <font>
                <b/>
                <i val="0"/>
                <color rgb="FFC00000"/>
              </font>
            </x14:dxf>
          </x14:cfRule>
          <xm:sqref>AB2:AC2</xm:sqref>
        </x14:conditionalFormatting>
        <x14:conditionalFormatting xmlns:xm="http://schemas.microsoft.com/office/excel/2006/main">
          <x14:cfRule type="expression" priority="7221" id="{29CBC7A3-232E-4D08-956C-FF1556ADAE96}">
            <xm:f>AND(AK2="",'Table of Contents'!C20="D")</xm:f>
            <x14:dxf>
              <font>
                <b/>
                <i val="0"/>
                <color rgb="FFC00000"/>
              </font>
            </x14:dxf>
          </x14:cfRule>
          <xm:sqref>AD2:AG2</xm:sqref>
        </x14:conditionalFormatting>
        <x14:conditionalFormatting xmlns:xm="http://schemas.microsoft.com/office/excel/2006/main">
          <x14:cfRule type="expression" priority="8" id="{8AC14DD3-6F21-42D6-916D-F719FAEE56DD}">
            <xm:f>'Table of Contents'!A20="D"</xm:f>
            <x14:dxf>
              <fill>
                <patternFill>
                  <bgColor theme="0"/>
                </patternFill>
              </fill>
              <border>
                <right style="thin">
                  <color auto="1"/>
                </right>
                <top style="thin">
                  <color auto="1"/>
                </top>
                <bottom style="thin">
                  <color auto="1"/>
                </bottom>
                <vertical/>
                <horizontal/>
              </border>
            </x14:dxf>
          </x14:cfRule>
          <xm:sqref>AH2</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BD139"/>
  <sheetViews>
    <sheetView zoomScaleNormal="100" zoomScaleSheetLayoutView="110" workbookViewId="0">
      <selection activeCell="B1" sqref="B1"/>
    </sheetView>
  </sheetViews>
  <sheetFormatPr defaultColWidth="3.42578125" defaultRowHeight="12.75"/>
  <cols>
    <col min="2" max="3" width="3.85546875" customWidth="1"/>
    <col min="4" max="4" width="1.7109375" customWidth="1"/>
    <col min="5" max="5" width="3.85546875" customWidth="1"/>
    <col min="6" max="7" width="5.28515625" customWidth="1"/>
    <col min="8" max="22" width="5.140625" customWidth="1"/>
    <col min="23" max="23" width="5.42578125" customWidth="1"/>
    <col min="24" max="28" width="3.5703125" customWidth="1"/>
    <col min="29" max="29" width="6" customWidth="1"/>
    <col min="30" max="31" width="3" customWidth="1"/>
    <col min="32" max="32" width="5.42578125" customWidth="1"/>
    <col min="33" max="33" width="3.5703125" customWidth="1"/>
    <col min="34" max="34" width="3" customWidth="1"/>
    <col min="36" max="36" width="12.5703125" style="304" customWidth="1"/>
    <col min="37" max="37" width="15" customWidth="1"/>
    <col min="38" max="38" width="4" customWidth="1"/>
    <col min="39" max="41" width="13.28515625" hidden="1" customWidth="1"/>
    <col min="42" max="42" width="3.42578125" hidden="1" customWidth="1"/>
    <col min="43" max="43" width="7.42578125" customWidth="1"/>
    <col min="44" max="44" width="10.7109375" style="816" customWidth="1"/>
    <col min="45" max="46" width="10.7109375" style="815" customWidth="1"/>
    <col min="47" max="47" width="13.5703125" style="815" customWidth="1"/>
    <col min="48" max="48" width="13.85546875" style="815" customWidth="1"/>
    <col min="49" max="51" width="13.5703125" style="815" customWidth="1"/>
    <col min="52" max="52" width="12.85546875" style="815" customWidth="1"/>
    <col min="53" max="55" width="6.140625" style="6459" customWidth="1"/>
  </cols>
  <sheetData>
    <row r="1" spans="1:55" ht="21" customHeight="1">
      <c r="A1" s="1277"/>
      <c r="B1" s="1277"/>
      <c r="C1" s="1277"/>
      <c r="D1" s="1277"/>
      <c r="E1" s="1277"/>
      <c r="F1" s="1277"/>
      <c r="G1" s="1277"/>
      <c r="H1" s="1277"/>
      <c r="I1" s="1277"/>
      <c r="J1" s="1277"/>
      <c r="K1" s="1277"/>
      <c r="L1" s="1277"/>
      <c r="M1" s="1277"/>
      <c r="N1" s="1277"/>
      <c r="O1" s="1277"/>
      <c r="P1" s="1277"/>
      <c r="Q1" s="1277"/>
      <c r="R1" s="1277"/>
      <c r="S1" s="1277"/>
      <c r="T1" s="1277"/>
      <c r="U1" s="5369" t="str">
        <f>IF('Table of Contents'!A21="D","DRAFT FORM","")</f>
        <v/>
      </c>
      <c r="V1" s="1277"/>
      <c r="W1" s="1277"/>
      <c r="X1" s="1277"/>
      <c r="Y1" s="1277"/>
      <c r="Z1" s="1277"/>
      <c r="AA1" s="1277"/>
      <c r="AB1" s="1277"/>
      <c r="AC1" s="1277"/>
      <c r="AD1" s="1277"/>
      <c r="AE1" s="1277"/>
      <c r="AF1" s="1277"/>
      <c r="AG1" s="1277"/>
      <c r="AH1" s="1277"/>
      <c r="AI1" s="1277"/>
      <c r="AJ1" s="512"/>
      <c r="AK1" s="2875"/>
      <c r="AL1" s="253"/>
      <c r="AM1" s="253"/>
      <c r="AN1" s="253"/>
      <c r="AO1" s="253"/>
      <c r="AP1" s="253"/>
      <c r="AQ1" s="253"/>
      <c r="AR1" s="769" t="s">
        <v>223</v>
      </c>
      <c r="AS1" s="769"/>
      <c r="AT1" s="769"/>
      <c r="AU1" s="769"/>
      <c r="AV1" s="769"/>
      <c r="AW1" s="769"/>
      <c r="AX1" s="769"/>
      <c r="AY1" s="769"/>
      <c r="AZ1" s="769"/>
      <c r="BA1" s="6452"/>
      <c r="BB1" s="6452"/>
      <c r="BC1" s="6452"/>
    </row>
    <row r="2" spans="1:55" ht="11.25" customHeight="1">
      <c r="A2" s="7554" t="str">
        <f>IF('Table of Contents'!A20="D","Hide","")</f>
        <v/>
      </c>
      <c r="B2" s="7694" t="s">
        <v>5760</v>
      </c>
      <c r="C2" s="7695"/>
      <c r="D2" s="7695"/>
      <c r="E2" s="7695"/>
      <c r="F2" s="7695"/>
      <c r="G2" s="7696"/>
      <c r="H2" s="253"/>
      <c r="I2" s="253"/>
      <c r="J2" s="253"/>
      <c r="K2" s="253"/>
      <c r="L2" s="253"/>
      <c r="M2" s="253"/>
      <c r="N2" s="253"/>
      <c r="O2" s="253"/>
      <c r="P2" s="253"/>
      <c r="Q2" s="253"/>
      <c r="R2" s="253"/>
      <c r="S2" s="253"/>
      <c r="T2" s="253"/>
      <c r="U2" s="253"/>
      <c r="V2" s="253"/>
      <c r="W2" s="253"/>
      <c r="X2" s="253"/>
      <c r="Y2" s="253"/>
      <c r="Z2" s="253"/>
      <c r="AA2" s="253"/>
      <c r="AB2" s="253"/>
      <c r="AC2" s="7586" t="s">
        <v>543</v>
      </c>
      <c r="AD2" s="7587"/>
      <c r="AE2" s="7587"/>
      <c r="AF2" s="7587"/>
      <c r="AG2" s="7587"/>
      <c r="AH2" s="7587"/>
      <c r="AI2" s="1277"/>
      <c r="AJ2" s="512"/>
      <c r="AK2" s="2875"/>
      <c r="AL2" s="253"/>
      <c r="AM2" s="253"/>
      <c r="AN2" s="253"/>
      <c r="AO2" s="253"/>
      <c r="AP2" s="253"/>
      <c r="AQ2" s="253"/>
      <c r="AR2" s="948"/>
      <c r="AS2" s="769"/>
      <c r="AT2" s="769"/>
      <c r="AU2" s="769"/>
      <c r="AV2" s="769"/>
      <c r="AW2" s="769"/>
      <c r="AX2" s="769"/>
      <c r="AY2" s="769"/>
      <c r="AZ2" s="769"/>
      <c r="BA2" s="6452"/>
      <c r="BB2" s="6452"/>
      <c r="BC2" s="6452"/>
    </row>
    <row r="3" spans="1:55" ht="21.75" customHeight="1">
      <c r="A3" s="7554"/>
      <c r="B3" s="7695"/>
      <c r="C3" s="7695"/>
      <c r="D3" s="7695"/>
      <c r="E3" s="7695"/>
      <c r="F3" s="7695"/>
      <c r="G3" s="7696"/>
      <c r="H3" s="5880" t="s">
        <v>5761</v>
      </c>
      <c r="I3" s="766"/>
      <c r="J3" s="766"/>
      <c r="K3" s="766"/>
      <c r="L3" s="766"/>
      <c r="M3" s="766"/>
      <c r="N3" s="766"/>
      <c r="O3" s="766"/>
      <c r="P3" s="766"/>
      <c r="Q3" s="766"/>
      <c r="R3" s="766"/>
      <c r="S3" s="766"/>
      <c r="T3" s="766"/>
      <c r="U3" s="766"/>
      <c r="V3" s="766"/>
      <c r="W3" s="766"/>
      <c r="X3" s="766"/>
      <c r="Y3" s="766"/>
      <c r="Z3" s="766"/>
      <c r="AA3" s="766"/>
      <c r="AB3" s="767"/>
      <c r="AC3" s="7697">
        <f>TaxYear</f>
        <v>2025</v>
      </c>
      <c r="AD3" s="7698"/>
      <c r="AE3" s="7698"/>
      <c r="AF3" s="7698"/>
      <c r="AG3" s="7698"/>
      <c r="AH3" s="7698"/>
      <c r="AI3" s="1277"/>
      <c r="AJ3" s="512"/>
      <c r="AK3" s="2875"/>
      <c r="AL3" s="253"/>
      <c r="AM3" s="253"/>
      <c r="AN3" s="253"/>
      <c r="AO3" s="253"/>
      <c r="AP3" s="253"/>
      <c r="AQ3" s="253"/>
      <c r="AR3" s="948" t="s">
        <v>289</v>
      </c>
      <c r="AS3" s="769"/>
      <c r="AT3" s="769"/>
      <c r="AU3" s="769"/>
      <c r="AV3" s="769"/>
      <c r="AW3" s="769"/>
      <c r="AX3" s="769"/>
      <c r="AY3" s="769"/>
      <c r="AZ3" s="769"/>
      <c r="BA3" s="6452"/>
      <c r="BB3" s="6452"/>
      <c r="BC3" s="6452"/>
    </row>
    <row r="4" spans="1:55" ht="15.75">
      <c r="A4" s="770"/>
      <c r="B4" s="7701" t="str">
        <f>IF(AND(A4="",'Table of Contents'!A20="D"),"DRAFT FORM","")</f>
        <v/>
      </c>
      <c r="C4" s="7701"/>
      <c r="D4" s="7701"/>
      <c r="E4" s="7701"/>
      <c r="F4" s="7701"/>
      <c r="G4" s="7702"/>
      <c r="H4" s="7607" t="s">
        <v>776</v>
      </c>
      <c r="I4" s="7608"/>
      <c r="J4" s="7608"/>
      <c r="K4" s="7608"/>
      <c r="L4" s="7608"/>
      <c r="M4" s="7608"/>
      <c r="N4" s="7608"/>
      <c r="O4" s="7608"/>
      <c r="P4" s="7608"/>
      <c r="Q4" s="7608"/>
      <c r="R4" s="7608"/>
      <c r="S4" s="7608"/>
      <c r="T4" s="7608"/>
      <c r="U4" s="7608"/>
      <c r="V4" s="7608"/>
      <c r="W4" s="7608"/>
      <c r="X4" s="7608"/>
      <c r="Y4" s="7608"/>
      <c r="Z4" s="7608"/>
      <c r="AA4" s="7608"/>
      <c r="AB4" s="7609"/>
      <c r="AC4" s="7699"/>
      <c r="AD4" s="7700"/>
      <c r="AE4" s="7700"/>
      <c r="AF4" s="7700"/>
      <c r="AG4" s="7700"/>
      <c r="AH4" s="7700"/>
      <c r="AI4" s="1277"/>
      <c r="AJ4" s="512"/>
      <c r="AK4" s="2875"/>
      <c r="AL4" s="253"/>
      <c r="AM4" s="253"/>
      <c r="AN4" s="253"/>
      <c r="AO4" s="253"/>
      <c r="AP4" s="253"/>
      <c r="AQ4" s="253"/>
      <c r="AR4" s="769"/>
      <c r="AS4" s="769"/>
      <c r="AT4" s="769"/>
      <c r="AU4" s="769"/>
      <c r="AV4" s="769"/>
      <c r="AW4" s="769"/>
      <c r="AX4" s="769"/>
      <c r="AY4" s="769"/>
      <c r="AZ4" s="769"/>
      <c r="BA4" s="6452"/>
      <c r="BB4" s="6452"/>
      <c r="BC4" s="6452"/>
    </row>
    <row r="5" spans="1:55" ht="18" customHeight="1">
      <c r="A5" s="1277"/>
      <c r="B5" s="7613" t="s">
        <v>2318</v>
      </c>
      <c r="C5" s="7613"/>
      <c r="D5" s="7613"/>
      <c r="E5" s="7613"/>
      <c r="F5" s="7613"/>
      <c r="G5" s="7614"/>
      <c r="H5" s="7705" t="s">
        <v>5871</v>
      </c>
      <c r="I5" s="7706"/>
      <c r="J5" s="7706"/>
      <c r="K5" s="7706"/>
      <c r="L5" s="7706"/>
      <c r="M5" s="7706"/>
      <c r="N5" s="7706"/>
      <c r="O5" s="7706"/>
      <c r="P5" s="7706"/>
      <c r="Q5" s="7706"/>
      <c r="R5" s="7706"/>
      <c r="S5" s="7706"/>
      <c r="T5" s="7706"/>
      <c r="U5" s="7706"/>
      <c r="V5" s="7706"/>
      <c r="W5" s="7706"/>
      <c r="X5" s="7706"/>
      <c r="Y5" s="7706"/>
      <c r="Z5" s="7706"/>
      <c r="AA5" s="7706"/>
      <c r="AB5" s="7707"/>
      <c r="AC5" s="7708" t="s">
        <v>1959</v>
      </c>
      <c r="AD5" s="7709"/>
      <c r="AE5" s="7709"/>
      <c r="AF5" s="7709"/>
      <c r="AG5" s="7712" t="s">
        <v>5762</v>
      </c>
      <c r="AH5" s="7713"/>
      <c r="AI5" s="1277"/>
      <c r="AJ5" s="512"/>
      <c r="AK5" s="2875"/>
      <c r="AL5" s="253"/>
      <c r="AM5" s="253"/>
      <c r="AN5" s="253"/>
      <c r="AO5" s="253"/>
      <c r="AP5" s="253"/>
      <c r="AQ5" s="253"/>
      <c r="AR5" s="769"/>
      <c r="AS5" s="769"/>
      <c r="AT5" s="769"/>
      <c r="AU5" s="769"/>
      <c r="AV5" s="769"/>
      <c r="AW5" s="769"/>
      <c r="AX5" s="769"/>
      <c r="AY5" s="769"/>
      <c r="AZ5" s="769"/>
      <c r="BA5" s="6452"/>
      <c r="BB5" s="6452"/>
      <c r="BC5" s="6452"/>
    </row>
    <row r="6" spans="1:55" ht="9.75" customHeight="1" thickBot="1">
      <c r="A6" s="1277"/>
      <c r="B6" s="7615"/>
      <c r="C6" s="7615"/>
      <c r="D6" s="7615"/>
      <c r="E6" s="7615"/>
      <c r="F6" s="7615"/>
      <c r="G6" s="7616"/>
      <c r="H6" s="2879"/>
      <c r="I6" s="2880"/>
      <c r="J6" s="2879"/>
      <c r="K6" s="2881"/>
      <c r="L6" s="2880"/>
      <c r="M6" s="2880"/>
      <c r="N6" s="2880"/>
      <c r="O6" s="2880"/>
      <c r="P6" s="2880"/>
      <c r="Q6" s="2880"/>
      <c r="R6" s="2880"/>
      <c r="S6" s="2880"/>
      <c r="T6" s="2880"/>
      <c r="U6" s="2880"/>
      <c r="V6" s="2880"/>
      <c r="W6" s="2880"/>
      <c r="X6" s="2880"/>
      <c r="Y6" s="2880"/>
      <c r="Z6" s="2880"/>
      <c r="AA6" s="2880"/>
      <c r="AB6" s="2880"/>
      <c r="AC6" s="7710"/>
      <c r="AD6" s="7711"/>
      <c r="AE6" s="7711"/>
      <c r="AF6" s="7711"/>
      <c r="AG6" s="7714"/>
      <c r="AH6" s="7714"/>
      <c r="AI6" s="1277"/>
      <c r="AJ6" s="512"/>
      <c r="AK6" s="2875"/>
      <c r="AL6" s="253"/>
      <c r="AM6" s="253"/>
      <c r="AN6" s="253"/>
      <c r="AO6" s="253"/>
      <c r="AP6" s="253"/>
      <c r="AQ6" s="253"/>
      <c r="AR6" s="769"/>
      <c r="AS6" s="769"/>
      <c r="AT6" s="769"/>
      <c r="AU6" s="769"/>
      <c r="AV6" s="769"/>
      <c r="AW6" s="769"/>
      <c r="AX6" s="769"/>
      <c r="AY6" s="769"/>
      <c r="AZ6" s="769"/>
      <c r="BA6" s="6452"/>
      <c r="BB6" s="6452"/>
      <c r="BC6" s="6452"/>
    </row>
    <row r="7" spans="1:55">
      <c r="A7" s="1277"/>
      <c r="B7" s="344" t="s">
        <v>779</v>
      </c>
      <c r="C7" s="253"/>
      <c r="D7" s="253"/>
      <c r="E7" s="253"/>
      <c r="F7" s="253"/>
      <c r="G7" s="253"/>
      <c r="H7" s="253"/>
      <c r="I7" s="253"/>
      <c r="J7" s="253"/>
      <c r="K7" s="253"/>
      <c r="L7" s="253"/>
      <c r="M7" s="253"/>
      <c r="N7" s="253"/>
      <c r="O7" s="253"/>
      <c r="P7" s="253"/>
      <c r="Q7" s="253"/>
      <c r="R7" s="253"/>
      <c r="S7" s="253"/>
      <c r="T7" s="253"/>
      <c r="U7" s="253"/>
      <c r="V7" s="253"/>
      <c r="W7" s="253"/>
      <c r="X7" s="253"/>
      <c r="Y7" s="253"/>
      <c r="Z7" s="253"/>
      <c r="AA7" s="253"/>
      <c r="AB7" s="253"/>
      <c r="AC7" s="5881" t="s">
        <v>549</v>
      </c>
      <c r="AD7" s="377"/>
      <c r="AE7" s="377"/>
      <c r="AF7" s="377"/>
      <c r="AG7" s="377"/>
      <c r="AH7" s="377"/>
      <c r="AI7" s="1277"/>
      <c r="AJ7" s="512"/>
      <c r="AK7" s="7562" t="s">
        <v>585</v>
      </c>
      <c r="AL7" s="253"/>
      <c r="AM7" s="349"/>
      <c r="AN7" s="253"/>
      <c r="AO7" s="253"/>
      <c r="AP7" s="253"/>
      <c r="AQ7" s="253"/>
      <c r="AR7" s="769"/>
      <c r="AS7" s="769"/>
      <c r="AT7" s="769"/>
      <c r="AU7" s="769"/>
      <c r="AV7" s="769"/>
      <c r="AW7" s="769"/>
      <c r="AX7" s="769"/>
      <c r="AY7" s="769"/>
      <c r="AZ7" s="769"/>
      <c r="BA7" s="6452"/>
      <c r="BB7" s="6452"/>
      <c r="BC7" s="6452"/>
    </row>
    <row r="8" spans="1:55" ht="9.75" customHeight="1">
      <c r="A8" s="1277"/>
      <c r="B8" s="7600" t="str">
        <f>Names</f>
        <v/>
      </c>
      <c r="C8" s="7601"/>
      <c r="D8" s="7601"/>
      <c r="E8" s="7601"/>
      <c r="F8" s="7601"/>
      <c r="G8" s="7601"/>
      <c r="H8" s="7601"/>
      <c r="I8" s="7601"/>
      <c r="J8" s="7601"/>
      <c r="K8" s="7601"/>
      <c r="L8" s="7601"/>
      <c r="M8" s="7601"/>
      <c r="N8" s="7601"/>
      <c r="O8" s="7601"/>
      <c r="P8" s="7601"/>
      <c r="Q8" s="7601"/>
      <c r="R8" s="7601"/>
      <c r="S8" s="7601"/>
      <c r="T8" s="7601"/>
      <c r="U8" s="7601"/>
      <c r="V8" s="7601"/>
      <c r="W8" s="7601"/>
      <c r="X8" s="7601"/>
      <c r="Y8" s="7601"/>
      <c r="Z8" s="7601"/>
      <c r="AA8" s="7601"/>
      <c r="AB8" s="7602"/>
      <c r="AC8" s="7588">
        <f>IF(NoSSN,"",SS_Yours)</f>
        <v>1010001</v>
      </c>
      <c r="AD8" s="7589"/>
      <c r="AE8" s="7589"/>
      <c r="AF8" s="7589"/>
      <c r="AG8" s="7589"/>
      <c r="AH8" s="7589"/>
      <c r="AI8" s="1277"/>
      <c r="AJ8" s="512"/>
      <c r="AK8" s="7563"/>
      <c r="AL8" s="253"/>
      <c r="AM8" s="253"/>
      <c r="AN8" s="253"/>
      <c r="AO8" s="253"/>
      <c r="AP8" s="253"/>
      <c r="AQ8" s="253"/>
      <c r="AR8" s="769"/>
      <c r="AS8" s="769"/>
      <c r="AT8" s="769"/>
      <c r="AU8" s="769"/>
      <c r="AV8" s="769"/>
      <c r="AW8" s="769"/>
      <c r="AX8" s="769"/>
      <c r="AY8" s="769"/>
      <c r="AZ8" s="769"/>
      <c r="BA8" s="6452"/>
      <c r="BB8" s="6452"/>
      <c r="BC8" s="6452"/>
    </row>
    <row r="9" spans="1:55" ht="9.75" customHeight="1">
      <c r="A9" s="1277"/>
      <c r="B9" s="7603"/>
      <c r="C9" s="7603"/>
      <c r="D9" s="7603"/>
      <c r="E9" s="7603"/>
      <c r="F9" s="7603"/>
      <c r="G9" s="7603"/>
      <c r="H9" s="7603"/>
      <c r="I9" s="7603"/>
      <c r="J9" s="7603"/>
      <c r="K9" s="7603"/>
      <c r="L9" s="7603"/>
      <c r="M9" s="7603"/>
      <c r="N9" s="7603"/>
      <c r="O9" s="7603"/>
      <c r="P9" s="7603"/>
      <c r="Q9" s="7603"/>
      <c r="R9" s="7603"/>
      <c r="S9" s="7603"/>
      <c r="T9" s="7603"/>
      <c r="U9" s="7603"/>
      <c r="V9" s="7603"/>
      <c r="W9" s="7603"/>
      <c r="X9" s="7603"/>
      <c r="Y9" s="7603"/>
      <c r="Z9" s="7603"/>
      <c r="AA9" s="7603"/>
      <c r="AB9" s="7604"/>
      <c r="AC9" s="7590"/>
      <c r="AD9" s="7587"/>
      <c r="AE9" s="7587"/>
      <c r="AF9" s="7587"/>
      <c r="AG9" s="7587"/>
      <c r="AH9" s="7587"/>
      <c r="AI9" s="1277"/>
      <c r="AJ9" s="512"/>
      <c r="AK9" s="7564"/>
      <c r="AL9" s="253"/>
      <c r="AM9" s="253"/>
      <c r="AN9" s="253"/>
      <c r="AO9" s="5357">
        <v>43465</v>
      </c>
      <c r="AP9" s="253"/>
      <c r="AQ9" s="253"/>
      <c r="AR9" s="769"/>
      <c r="AS9" s="769"/>
      <c r="AT9" s="769"/>
      <c r="AU9" s="769"/>
      <c r="AV9" s="769"/>
      <c r="AW9" s="769"/>
      <c r="AX9" s="769"/>
      <c r="AY9" s="769"/>
      <c r="AZ9" s="769"/>
      <c r="BA9" s="6452"/>
      <c r="BB9" s="6452"/>
      <c r="BC9" s="6452"/>
    </row>
    <row r="10" spans="1:55" ht="21" customHeight="1">
      <c r="A10" s="1277"/>
      <c r="B10" s="7605" t="s">
        <v>780</v>
      </c>
      <c r="C10" s="7605"/>
      <c r="D10" s="7605"/>
      <c r="E10" s="7606"/>
      <c r="F10" s="4446"/>
      <c r="G10" s="3376" t="s">
        <v>5763</v>
      </c>
      <c r="H10" s="4446"/>
      <c r="I10" s="4446"/>
      <c r="J10" s="4446"/>
      <c r="K10" s="4446"/>
      <c r="L10" s="4446"/>
      <c r="M10" s="773"/>
      <c r="N10" s="773"/>
      <c r="O10" s="773"/>
      <c r="P10" s="773"/>
      <c r="Q10" s="773"/>
      <c r="R10" s="773"/>
      <c r="S10" s="773"/>
      <c r="T10" s="773"/>
      <c r="U10" s="773"/>
      <c r="V10" s="773"/>
      <c r="W10" s="773"/>
      <c r="X10" s="773"/>
      <c r="Y10" s="773"/>
      <c r="Z10" s="773"/>
      <c r="AA10" s="773"/>
      <c r="AB10" s="773"/>
      <c r="AC10" s="773"/>
      <c r="AD10" s="773"/>
      <c r="AE10" s="773"/>
      <c r="AF10" s="773"/>
      <c r="AG10" s="773"/>
      <c r="AH10" s="773"/>
      <c r="AI10" s="1277"/>
      <c r="AJ10" s="512" t="b">
        <f>AND(AND(X12="",AK11="",AK13="",AK14="",X15="",AK16="",AK17=""),OR(Adj_Gross_Inc_Pg2=0,Adj_Gross_Inc_Pg2="",AND(AJ30,AJ38,AJ53,AJ79,AJ93)))</f>
        <v>1</v>
      </c>
      <c r="AK10" s="2875"/>
      <c r="AL10" s="253"/>
      <c r="AM10" s="253"/>
      <c r="AN10" s="253"/>
      <c r="AO10" s="512" t="b">
        <f>AND(AlimonyRcvd&gt;0,OR(W13="",W13&gt;=$AO$9))</f>
        <v>0</v>
      </c>
      <c r="AP10" s="253"/>
      <c r="AQ10" s="253"/>
      <c r="AR10" s="769"/>
      <c r="AS10" s="769"/>
      <c r="AT10" s="769"/>
      <c r="AU10" s="769"/>
      <c r="AV10" s="769"/>
      <c r="AW10" s="769"/>
      <c r="AX10" s="769"/>
      <c r="AY10" s="769"/>
      <c r="AZ10" s="769"/>
      <c r="BA10" s="6452"/>
      <c r="BB10" s="6452"/>
      <c r="BC10" s="6452"/>
    </row>
    <row r="11" spans="1:55" ht="18" customHeight="1">
      <c r="A11" s="1277"/>
      <c r="B11" s="4467"/>
      <c r="C11" s="4242">
        <v>1</v>
      </c>
      <c r="D11" s="4242"/>
      <c r="E11" s="5995" t="s">
        <v>5764</v>
      </c>
      <c r="F11" s="344"/>
      <c r="G11" s="253"/>
      <c r="H11" s="253"/>
      <c r="I11" s="253"/>
      <c r="J11" s="253"/>
      <c r="K11" s="253"/>
      <c r="L11" s="253"/>
      <c r="M11" s="253"/>
      <c r="N11" s="253"/>
      <c r="O11" s="253"/>
      <c r="P11" s="4467"/>
      <c r="Q11" s="4467"/>
      <c r="R11" s="4467"/>
      <c r="S11" s="253"/>
      <c r="T11" s="253"/>
      <c r="U11" s="253"/>
      <c r="V11" s="253"/>
      <c r="W11" s="253"/>
      <c r="X11" s="253"/>
      <c r="Y11" s="253"/>
      <c r="Z11" s="253"/>
      <c r="AA11" s="253"/>
      <c r="AB11" s="1401" t="s">
        <v>793</v>
      </c>
      <c r="AC11" s="4449">
        <v>1</v>
      </c>
      <c r="AD11" s="7567" t="str">
        <f>IF(AK11&lt;&gt;"",ROUND(AK11,0),IF($AJ$10,"",Adj_Gross_Inc_Pg2))</f>
        <v/>
      </c>
      <c r="AE11" s="7580"/>
      <c r="AF11" s="7580"/>
      <c r="AG11" s="7580"/>
      <c r="AH11" s="7580"/>
      <c r="AI11" s="1277"/>
      <c r="AJ11" s="512"/>
      <c r="AK11" s="1329"/>
      <c r="AL11" s="253"/>
      <c r="AM11" s="253"/>
      <c r="AN11" s="253"/>
      <c r="AO11" s="7584" t="s">
        <v>785</v>
      </c>
      <c r="AP11" s="253"/>
      <c r="AQ11" s="253"/>
      <c r="AR11" s="769"/>
      <c r="AS11" s="769"/>
      <c r="AT11" s="769"/>
      <c r="AU11" s="769"/>
      <c r="AV11" s="769"/>
      <c r="AW11" s="769"/>
      <c r="AX11" s="769"/>
      <c r="AY11" s="769"/>
      <c r="AZ11" s="769"/>
      <c r="BA11" s="6452"/>
      <c r="BB11" s="6452"/>
      <c r="BC11" s="6452"/>
    </row>
    <row r="12" spans="1:55" ht="18" customHeight="1">
      <c r="A12" s="1277"/>
      <c r="B12" s="4467"/>
      <c r="C12" s="5883" t="s">
        <v>337</v>
      </c>
      <c r="D12" s="5883"/>
      <c r="E12" s="5995" t="s">
        <v>5765</v>
      </c>
      <c r="F12" s="253"/>
      <c r="G12" s="253"/>
      <c r="H12" s="253"/>
      <c r="I12" s="253"/>
      <c r="J12" s="253"/>
      <c r="K12" s="253"/>
      <c r="L12" s="253"/>
      <c r="M12" s="253"/>
      <c r="N12" s="253"/>
      <c r="O12" s="253"/>
      <c r="P12" s="4467"/>
      <c r="Q12" s="4467"/>
      <c r="R12" s="4467"/>
      <c r="S12" s="253"/>
      <c r="T12" s="253"/>
      <c r="U12" s="253"/>
      <c r="V12" s="1401" t="s">
        <v>816</v>
      </c>
      <c r="W12" s="4448" t="s">
        <v>337</v>
      </c>
      <c r="X12" s="7653"/>
      <c r="Y12" s="7653"/>
      <c r="Z12" s="7653"/>
      <c r="AA12" s="7653"/>
      <c r="AB12" s="7654"/>
      <c r="AC12" s="5884"/>
      <c r="AD12" s="5885" t="e">
        <f>ROUND(AD11,0)</f>
        <v>#VALUE!</v>
      </c>
      <c r="AE12" s="5886"/>
      <c r="AF12" s="5886"/>
      <c r="AG12" s="5886"/>
      <c r="AH12" s="5886"/>
      <c r="AI12" s="1277"/>
      <c r="AJ12" s="512"/>
      <c r="AK12" s="2875"/>
      <c r="AL12" s="253"/>
      <c r="AM12" s="851">
        <f>IF(X12&lt;&gt;"",ROUND(X12,0),0)</f>
        <v>0</v>
      </c>
      <c r="AN12" s="253"/>
      <c r="AO12" s="7091"/>
      <c r="AP12" s="253"/>
      <c r="AQ12" s="253"/>
      <c r="AR12" s="769"/>
      <c r="AS12" s="769"/>
      <c r="AT12" s="769"/>
      <c r="AU12" s="769"/>
      <c r="AV12" s="769"/>
      <c r="AW12" s="769"/>
      <c r="AX12" s="769"/>
      <c r="AY12" s="769"/>
      <c r="AZ12" s="769"/>
      <c r="BA12" s="6452"/>
      <c r="BB12" s="6452"/>
      <c r="BC12" s="6452"/>
    </row>
    <row r="13" spans="1:55" ht="18" customHeight="1">
      <c r="A13" s="1277"/>
      <c r="B13" s="1323"/>
      <c r="C13" s="2039" t="s">
        <v>592</v>
      </c>
      <c r="D13" s="2039"/>
      <c r="E13" s="5995" t="s">
        <v>5766</v>
      </c>
      <c r="F13" s="253"/>
      <c r="G13" s="253"/>
      <c r="H13" s="253"/>
      <c r="I13" s="253"/>
      <c r="J13" s="580"/>
      <c r="K13" s="253"/>
      <c r="L13" s="253"/>
      <c r="M13" s="253"/>
      <c r="N13" s="253"/>
      <c r="O13" s="253"/>
      <c r="P13" s="1218"/>
      <c r="Q13" s="2373"/>
      <c r="R13" s="253"/>
      <c r="S13" s="253"/>
      <c r="T13" s="253"/>
      <c r="U13" s="253"/>
      <c r="V13" s="1401" t="s">
        <v>805</v>
      </c>
      <c r="W13" s="4448" t="s">
        <v>339</v>
      </c>
      <c r="X13" s="7643" t="str">
        <f>IF(AK13&lt;&gt;"",ROUND(AK13,0),IF($AJ$10,"",F2555_Line45_Total))</f>
        <v/>
      </c>
      <c r="Y13" s="7643"/>
      <c r="Z13" s="7643"/>
      <c r="AA13" s="7643"/>
      <c r="AB13" s="7644"/>
      <c r="AC13" s="5884"/>
      <c r="AD13" s="5404"/>
      <c r="AE13" s="5405"/>
      <c r="AF13" s="5405"/>
      <c r="AG13" s="5405"/>
      <c r="AH13" s="5405"/>
      <c r="AI13" s="1277"/>
      <c r="AJ13" s="2210"/>
      <c r="AK13" s="1329"/>
      <c r="AL13" s="253"/>
      <c r="AM13" s="253"/>
      <c r="AN13" s="253"/>
      <c r="AO13" s="5887"/>
      <c r="AP13" s="253"/>
      <c r="AQ13" s="253"/>
      <c r="AR13" s="769"/>
      <c r="AS13" s="769"/>
      <c r="AT13" s="769"/>
      <c r="AU13" s="769"/>
      <c r="AV13" s="769"/>
      <c r="AW13" s="769"/>
      <c r="AX13" s="769"/>
      <c r="AY13" s="769"/>
      <c r="AZ13" s="769"/>
      <c r="BA13" s="6452"/>
      <c r="BB13" s="6452"/>
      <c r="BC13" s="6452"/>
    </row>
    <row r="14" spans="1:55" ht="18" customHeight="1">
      <c r="A14" s="1277"/>
      <c r="B14" s="1323"/>
      <c r="C14" s="2039" t="s">
        <v>595</v>
      </c>
      <c r="D14" s="2039"/>
      <c r="E14" s="5995" t="s">
        <v>5767</v>
      </c>
      <c r="F14" s="253"/>
      <c r="G14" s="253"/>
      <c r="H14" s="253"/>
      <c r="I14" s="253"/>
      <c r="J14" s="253"/>
      <c r="K14" s="253"/>
      <c r="L14" s="253"/>
      <c r="M14" s="253"/>
      <c r="N14" s="253"/>
      <c r="O14" s="253"/>
      <c r="P14" s="1218"/>
      <c r="Q14" s="2373"/>
      <c r="R14" s="253"/>
      <c r="S14" s="253"/>
      <c r="T14" s="253"/>
      <c r="U14" s="253"/>
      <c r="V14" s="1401" t="s">
        <v>805</v>
      </c>
      <c r="W14" s="4448" t="s">
        <v>341</v>
      </c>
      <c r="X14" s="7643" t="str">
        <f>IF(AK14&lt;&gt;"",ROUND(AK14,0),IF($AJ$10,"",IF(FEI_HousingDeduction,ForeignHousingDeductionTotal,"")))</f>
        <v/>
      </c>
      <c r="Y14" s="7643"/>
      <c r="Z14" s="7643"/>
      <c r="AA14" s="7643"/>
      <c r="AB14" s="7644"/>
      <c r="AC14" s="5884"/>
      <c r="AD14" s="5404"/>
      <c r="AE14" s="5405"/>
      <c r="AF14" s="5405"/>
      <c r="AG14" s="5405"/>
      <c r="AH14" s="5405"/>
      <c r="AI14" s="1277"/>
      <c r="AJ14" s="512"/>
      <c r="AK14" s="1329"/>
      <c r="AL14" s="253"/>
      <c r="AM14" s="253"/>
      <c r="AN14" s="253"/>
      <c r="AO14" s="5887"/>
      <c r="AP14" s="253"/>
      <c r="AQ14" s="253"/>
      <c r="AR14" s="769"/>
      <c r="AS14" s="769"/>
      <c r="AT14" s="769"/>
      <c r="AU14" s="769"/>
      <c r="AV14" s="769"/>
      <c r="AW14" s="769"/>
      <c r="AX14" s="769"/>
      <c r="AY14" s="769"/>
      <c r="AZ14" s="769"/>
      <c r="BA14" s="6452"/>
      <c r="BB14" s="6452"/>
      <c r="BC14" s="6452"/>
    </row>
    <row r="15" spans="1:55" ht="18" customHeight="1">
      <c r="A15" s="1277"/>
      <c r="B15" s="1323"/>
      <c r="C15" s="2039" t="s">
        <v>599</v>
      </c>
      <c r="D15" s="2039"/>
      <c r="E15" s="5995" t="s">
        <v>5768</v>
      </c>
      <c r="F15" s="253"/>
      <c r="G15" s="253"/>
      <c r="H15" s="253"/>
      <c r="I15" s="253"/>
      <c r="J15" s="253"/>
      <c r="K15" s="253"/>
      <c r="L15" s="253"/>
      <c r="M15" s="253"/>
      <c r="N15" s="253"/>
      <c r="O15" s="253"/>
      <c r="P15" s="1218"/>
      <c r="Q15" s="2373"/>
      <c r="R15" s="253"/>
      <c r="S15" s="253"/>
      <c r="T15" s="253"/>
      <c r="U15" s="253"/>
      <c r="V15" s="1401" t="s">
        <v>805</v>
      </c>
      <c r="W15" s="4448" t="s">
        <v>343</v>
      </c>
      <c r="X15" s="7653"/>
      <c r="Y15" s="7653"/>
      <c r="Z15" s="7653"/>
      <c r="AA15" s="7653"/>
      <c r="AB15" s="7654"/>
      <c r="AC15" s="5884"/>
      <c r="AD15" s="5404"/>
      <c r="AE15" s="5405"/>
      <c r="AF15" s="5405"/>
      <c r="AG15" s="5405"/>
      <c r="AH15" s="5405"/>
      <c r="AI15" s="1277"/>
      <c r="AJ15" s="512"/>
      <c r="AK15" s="2875"/>
      <c r="AL15" s="253"/>
      <c r="AM15" s="851">
        <f>IF(X15&lt;&gt;"",ROUND(X15,0),0)</f>
        <v>0</v>
      </c>
      <c r="AN15" s="253"/>
      <c r="AO15" s="5887"/>
      <c r="AP15" s="253"/>
      <c r="AQ15" s="253"/>
      <c r="AR15" s="7739" t="s">
        <v>6329</v>
      </c>
      <c r="AS15" s="7740"/>
      <c r="AT15" s="7740"/>
      <c r="AU15" s="7740"/>
      <c r="AV15" s="7740"/>
      <c r="AW15" s="7740"/>
      <c r="AX15" s="7740"/>
      <c r="AY15" s="7740"/>
      <c r="AZ15" s="7741"/>
      <c r="BA15" s="6452"/>
      <c r="BB15" s="6452"/>
      <c r="BC15" s="6452"/>
    </row>
    <row r="16" spans="1:55" ht="18" customHeight="1">
      <c r="A16" s="1277"/>
      <c r="B16" s="1323"/>
      <c r="C16" s="2039" t="s">
        <v>603</v>
      </c>
      <c r="D16" s="2039"/>
      <c r="E16" s="5995" t="s">
        <v>5805</v>
      </c>
      <c r="F16" s="253"/>
      <c r="G16" s="253"/>
      <c r="H16" s="253"/>
      <c r="I16" s="253"/>
      <c r="J16" s="253"/>
      <c r="K16" s="253"/>
      <c r="L16" s="253"/>
      <c r="M16" s="253"/>
      <c r="N16" s="253"/>
      <c r="O16" s="253"/>
      <c r="P16" s="1218"/>
      <c r="Q16" s="2373"/>
      <c r="R16" s="253"/>
      <c r="S16" s="253"/>
      <c r="T16" s="253"/>
      <c r="U16" s="253"/>
      <c r="V16" s="253"/>
      <c r="W16" s="253"/>
      <c r="X16" s="253"/>
      <c r="Y16" s="253"/>
      <c r="Z16" s="253"/>
      <c r="AA16" s="253"/>
      <c r="AB16" s="1401" t="s">
        <v>1155</v>
      </c>
      <c r="AC16" s="4448" t="s">
        <v>5658</v>
      </c>
      <c r="AD16" s="7703" t="str">
        <f>IF(AK16&lt;&gt;"",ROUND(AK16,0),IF($AJ$10,"",SUM(AM12,X13,X14,AM15)))</f>
        <v/>
      </c>
      <c r="AE16" s="7643"/>
      <c r="AF16" s="7643"/>
      <c r="AG16" s="7643"/>
      <c r="AH16" s="7704"/>
      <c r="AI16" s="1277"/>
      <c r="AJ16" s="512"/>
      <c r="AK16" s="1329"/>
      <c r="AL16" s="253"/>
      <c r="AM16" s="253"/>
      <c r="AN16" s="253"/>
      <c r="AO16" s="5887"/>
      <c r="AP16" s="253"/>
      <c r="AQ16" s="253"/>
      <c r="AR16" s="7742"/>
      <c r="AS16" s="7743"/>
      <c r="AT16" s="7743"/>
      <c r="AU16" s="7743"/>
      <c r="AV16" s="7743"/>
      <c r="AW16" s="7743"/>
      <c r="AX16" s="7743"/>
      <c r="AY16" s="7743"/>
      <c r="AZ16" s="7744"/>
      <c r="BA16" s="6452"/>
      <c r="BB16" s="6452"/>
      <c r="BC16" s="6452"/>
    </row>
    <row r="17" spans="1:55" ht="18" customHeight="1">
      <c r="A17" s="1277"/>
      <c r="B17" s="1323"/>
      <c r="C17" s="4467">
        <v>3</v>
      </c>
      <c r="D17" s="4467"/>
      <c r="E17" s="5995" t="s">
        <v>5769</v>
      </c>
      <c r="F17" s="253"/>
      <c r="G17" s="253"/>
      <c r="H17" s="253"/>
      <c r="I17" s="253"/>
      <c r="J17" s="253"/>
      <c r="K17" s="253"/>
      <c r="L17" s="253"/>
      <c r="M17" s="253"/>
      <c r="N17" s="253"/>
      <c r="O17" s="253"/>
      <c r="P17" s="1218"/>
      <c r="Q17" s="2373"/>
      <c r="R17" s="253"/>
      <c r="S17" s="253"/>
      <c r="T17" s="253"/>
      <c r="U17" s="253"/>
      <c r="V17" s="253"/>
      <c r="W17" s="253"/>
      <c r="X17" s="253"/>
      <c r="Y17" s="253"/>
      <c r="Z17" s="253"/>
      <c r="AA17" s="253"/>
      <c r="AB17" s="1401" t="s">
        <v>5377</v>
      </c>
      <c r="AC17" s="4449">
        <v>3</v>
      </c>
      <c r="AD17" s="7557" t="str">
        <f>IF(AK17&lt;&gt;"",ROUND(AK17,0),IF($AJ$10,"",SUM(AD11,AD16)))</f>
        <v/>
      </c>
      <c r="AE17" s="7558"/>
      <c r="AF17" s="7558"/>
      <c r="AG17" s="7558"/>
      <c r="AH17" s="7558"/>
      <c r="AI17" s="1277"/>
      <c r="AJ17" s="512"/>
      <c r="AK17" s="1329"/>
      <c r="AL17" s="253"/>
      <c r="AM17" s="253"/>
      <c r="AN17" s="253"/>
      <c r="AO17" s="5887"/>
      <c r="AP17" s="253"/>
      <c r="AQ17" s="253"/>
      <c r="AR17" s="7745"/>
      <c r="AS17" s="7746"/>
      <c r="AT17" s="7746"/>
      <c r="AU17" s="7746"/>
      <c r="AV17" s="7746"/>
      <c r="AW17" s="7746"/>
      <c r="AX17" s="7746"/>
      <c r="AY17" s="7746"/>
      <c r="AZ17" s="7747"/>
      <c r="BA17" s="6452"/>
      <c r="BB17" s="6452"/>
      <c r="BC17" s="6452"/>
    </row>
    <row r="18" spans="1:55" ht="21" customHeight="1">
      <c r="A18" s="1277"/>
      <c r="B18" s="7605" t="s">
        <v>868</v>
      </c>
      <c r="C18" s="7605"/>
      <c r="D18" s="7605"/>
      <c r="E18" s="7606"/>
      <c r="F18" s="4446"/>
      <c r="G18" s="3376" t="s">
        <v>5770</v>
      </c>
      <c r="H18" s="4446"/>
      <c r="I18" s="4446"/>
      <c r="J18" s="4446"/>
      <c r="K18" s="4446"/>
      <c r="L18" s="4446"/>
      <c r="M18" s="773"/>
      <c r="N18" s="773"/>
      <c r="O18" s="773"/>
      <c r="P18" s="773"/>
      <c r="Q18" s="773"/>
      <c r="R18" s="773"/>
      <c r="S18" s="773"/>
      <c r="T18" s="773"/>
      <c r="U18" s="773"/>
      <c r="V18" s="773"/>
      <c r="W18" s="773"/>
      <c r="X18" s="773"/>
      <c r="Y18" s="773"/>
      <c r="Z18" s="773"/>
      <c r="AA18" s="773"/>
      <c r="AB18" s="773"/>
      <c r="AC18" s="773"/>
      <c r="AD18" s="6450"/>
      <c r="AE18" s="6450"/>
      <c r="AF18" s="6450"/>
      <c r="AG18" s="6450"/>
      <c r="AH18" s="6450"/>
      <c r="AI18" s="1277"/>
      <c r="AJ18" s="512"/>
      <c r="AK18" s="2875"/>
      <c r="AL18" s="253"/>
      <c r="AM18" s="253"/>
      <c r="AN18" s="253"/>
      <c r="AO18" s="512" t="b">
        <f>AND(AlimonyRcvd&gt;0,OR(W31="",W31&gt;=$AO$9))</f>
        <v>0</v>
      </c>
      <c r="AP18" s="253"/>
      <c r="AQ18" s="253"/>
      <c r="AR18" s="6216" t="s">
        <v>228</v>
      </c>
      <c r="AS18" s="7749" t="s">
        <v>6114</v>
      </c>
      <c r="AT18" s="7750"/>
      <c r="AU18" s="7755" t="s">
        <v>6115</v>
      </c>
      <c r="AV18" s="7756"/>
      <c r="AW18" s="7761" t="s">
        <v>6116</v>
      </c>
      <c r="AX18" s="7762"/>
      <c r="AY18" s="7761" t="s">
        <v>6117</v>
      </c>
      <c r="AZ18" s="7762"/>
      <c r="BA18" s="6452"/>
      <c r="BB18" s="6452"/>
      <c r="BC18" s="6452"/>
    </row>
    <row r="19" spans="1:55" ht="18.75" customHeight="1">
      <c r="A19" s="1277"/>
      <c r="B19" s="2329" t="s">
        <v>5872</v>
      </c>
      <c r="C19" s="4467"/>
      <c r="D19" s="4467"/>
      <c r="E19" s="4467"/>
      <c r="F19" s="4467"/>
      <c r="G19" s="4467"/>
      <c r="H19" s="4467"/>
      <c r="I19" s="4467"/>
      <c r="J19" s="4467"/>
      <c r="K19" s="4467"/>
      <c r="L19" s="4467"/>
      <c r="M19" s="253"/>
      <c r="N19" s="253"/>
      <c r="O19" s="253"/>
      <c r="P19" s="253"/>
      <c r="Q19" s="253"/>
      <c r="R19" s="253"/>
      <c r="S19" s="253"/>
      <c r="T19" s="253"/>
      <c r="U19" s="253"/>
      <c r="V19" s="253"/>
      <c r="W19" s="253"/>
      <c r="X19" s="253"/>
      <c r="Y19" s="253"/>
      <c r="Z19" s="253"/>
      <c r="AA19" s="253"/>
      <c r="AB19" s="253"/>
      <c r="AC19" s="253"/>
      <c r="AD19" s="406"/>
      <c r="AE19" s="406"/>
      <c r="AF19" s="406"/>
      <c r="AG19" s="406"/>
      <c r="AH19" s="406"/>
      <c r="AI19" s="1277"/>
      <c r="AJ19" s="7748" t="s">
        <v>6127</v>
      </c>
      <c r="AK19" s="7748"/>
      <c r="AL19" s="253"/>
      <c r="AM19" s="253"/>
      <c r="AN19" s="253"/>
      <c r="AO19" s="512"/>
      <c r="AP19" s="253"/>
      <c r="AQ19" s="253"/>
      <c r="AR19" s="6217"/>
      <c r="AS19" s="7751"/>
      <c r="AT19" s="7752"/>
      <c r="AU19" s="7757"/>
      <c r="AV19" s="7758"/>
      <c r="AW19" s="7763"/>
      <c r="AX19" s="7764"/>
      <c r="AY19" s="7763"/>
      <c r="AZ19" s="7764"/>
      <c r="BA19" s="6452"/>
      <c r="BB19" s="6452"/>
      <c r="BC19" s="6452"/>
    </row>
    <row r="20" spans="1:55" ht="18.75" customHeight="1">
      <c r="A20" s="1277"/>
      <c r="B20" s="2325" t="s">
        <v>5887</v>
      </c>
      <c r="C20" s="4467"/>
      <c r="D20" s="4467"/>
      <c r="E20" s="4467"/>
      <c r="F20" s="4467"/>
      <c r="G20" s="4467"/>
      <c r="H20" s="4467"/>
      <c r="I20" s="4467"/>
      <c r="J20" s="4467"/>
      <c r="K20" s="4467"/>
      <c r="L20" s="4467"/>
      <c r="M20" s="253"/>
      <c r="N20" s="253"/>
      <c r="O20" s="253"/>
      <c r="P20" s="253"/>
      <c r="Q20" s="253"/>
      <c r="R20" s="253"/>
      <c r="S20" s="253"/>
      <c r="T20" s="253"/>
      <c r="U20" s="253"/>
      <c r="V20" s="253"/>
      <c r="W20" s="253"/>
      <c r="X20" s="253"/>
      <c r="Y20" s="253"/>
      <c r="Z20" s="253"/>
      <c r="AA20" s="253"/>
      <c r="AB20" s="253"/>
      <c r="AC20" s="253"/>
      <c r="AD20" s="253"/>
      <c r="AE20" s="253"/>
      <c r="AF20" s="253"/>
      <c r="AG20" s="253"/>
      <c r="AH20" s="253"/>
      <c r="AI20" s="1277"/>
      <c r="AJ20" s="7748"/>
      <c r="AK20" s="7748"/>
      <c r="AL20" s="253"/>
      <c r="AM20" s="253"/>
      <c r="AN20" s="253"/>
      <c r="AO20" s="512"/>
      <c r="AP20" s="253"/>
      <c r="AQ20" s="253"/>
      <c r="AR20" s="6217"/>
      <c r="AS20" s="7753"/>
      <c r="AT20" s="7754"/>
      <c r="AU20" s="7759"/>
      <c r="AV20" s="7760"/>
      <c r="AW20" s="7765"/>
      <c r="AX20" s="7766"/>
      <c r="AY20" s="7765"/>
      <c r="AZ20" s="7766"/>
      <c r="BA20" s="6452"/>
      <c r="BB20" s="6452"/>
      <c r="BC20" s="6452"/>
    </row>
    <row r="21" spans="1:55" ht="18.75" customHeight="1">
      <c r="A21" s="1277"/>
      <c r="B21" s="6469" t="s">
        <v>5888</v>
      </c>
      <c r="C21" s="2009"/>
      <c r="D21" s="2009"/>
      <c r="E21" s="2009"/>
      <c r="F21" s="2009"/>
      <c r="G21" s="2009"/>
      <c r="H21" s="2009"/>
      <c r="I21" s="6469" t="s">
        <v>5873</v>
      </c>
      <c r="J21" s="2009"/>
      <c r="K21" s="2009"/>
      <c r="L21" s="2009"/>
      <c r="M21" s="413"/>
      <c r="N21" s="413"/>
      <c r="O21" s="413"/>
      <c r="P21" s="413"/>
      <c r="Q21" s="413"/>
      <c r="R21" s="413"/>
      <c r="S21" s="413"/>
      <c r="T21" s="413"/>
      <c r="U21" s="413"/>
      <c r="V21" s="413"/>
      <c r="W21" s="413"/>
      <c r="X21" s="413"/>
      <c r="Y21" s="413"/>
      <c r="Z21" s="413"/>
      <c r="AA21" s="413"/>
      <c r="AB21" s="413"/>
      <c r="AC21" s="413"/>
      <c r="AD21" s="413"/>
      <c r="AE21" s="413"/>
      <c r="AF21" s="413"/>
      <c r="AG21" s="413"/>
      <c r="AH21" s="413"/>
      <c r="AI21" s="5596"/>
      <c r="AJ21" s="516" t="str">
        <f>IF(File_Marr_Sep&lt;&gt;"","Claim anyway.","")</f>
        <v/>
      </c>
      <c r="AK21" s="2875"/>
      <c r="AL21" s="253"/>
      <c r="AM21" s="253"/>
      <c r="AN21" s="253"/>
      <c r="AO21" s="512"/>
      <c r="AP21" s="253"/>
      <c r="AQ21" s="253"/>
      <c r="AR21" s="6218" t="s">
        <v>510</v>
      </c>
      <c r="AS21" s="7733" t="str">
        <f>IF(AND('W-2s'!C9&lt;&gt;"",'W-2s'!C9&gt;0),'W-2s'!C2,"")</f>
        <v/>
      </c>
      <c r="AT21" s="7734"/>
      <c r="AU21" s="7735" t="str">
        <f>IF(AND('W-2s'!C9&lt;&gt;"",'W-2s'!C9&gt;0),'W-2s'!C9,"")</f>
        <v/>
      </c>
      <c r="AV21" s="7736"/>
      <c r="AW21" s="7737"/>
      <c r="AX21" s="7738"/>
      <c r="AY21" s="7731" t="str">
        <f t="shared" ref="AY21:AY32" si="0">IF(AND(AU21&lt;&gt;"",AW21&lt;&gt;""),MAX(AU21,AW21),IF(AU21&lt;&gt;"",AU21,IF(AW21&lt;&gt;"",AW21,"")))</f>
        <v/>
      </c>
      <c r="AZ21" s="7732"/>
      <c r="BA21" s="6461">
        <f>IF(AND(AU21&lt;&gt;0,AU21&lt;&gt;""),1,0)</f>
        <v>0</v>
      </c>
      <c r="BB21" s="6461">
        <f>IF(AND(AW21&lt;&gt;0,AW21&lt;&gt;""),1,0)</f>
        <v>0</v>
      </c>
      <c r="BC21" s="6461">
        <f>SUM(BA21,BB21)</f>
        <v>0</v>
      </c>
    </row>
    <row r="22" spans="1:55" ht="18" customHeight="1">
      <c r="A22" s="1277"/>
      <c r="B22" s="253"/>
      <c r="C22" s="4467">
        <v>4</v>
      </c>
      <c r="D22" s="4467"/>
      <c r="E22" s="5995" t="s">
        <v>5874</v>
      </c>
      <c r="F22" s="1248"/>
      <c r="G22" s="1248"/>
      <c r="H22" s="1248"/>
      <c r="I22" s="1248"/>
      <c r="J22" s="1248"/>
      <c r="K22" s="1248"/>
      <c r="L22" s="1248"/>
      <c r="M22" s="1248"/>
      <c r="N22" s="1248"/>
      <c r="O22" s="1248"/>
      <c r="P22" s="1248"/>
      <c r="Q22" s="1248"/>
      <c r="R22" s="1248"/>
      <c r="S22" s="1248"/>
      <c r="T22" s="1248"/>
      <c r="U22" s="1248"/>
      <c r="V22" s="1248"/>
      <c r="W22" s="1249"/>
      <c r="X22" s="1248"/>
      <c r="Y22" s="1248"/>
      <c r="Z22" s="1248"/>
      <c r="AA22" s="1248"/>
      <c r="AB22" s="253"/>
      <c r="AC22" s="5884"/>
      <c r="AD22" s="5404"/>
      <c r="AE22" s="5405"/>
      <c r="AF22" s="5405"/>
      <c r="AG22" s="5405"/>
      <c r="AH22" s="5405"/>
      <c r="AI22" s="1277"/>
      <c r="AJ22" s="512" t="b">
        <f>AND(File_Marr_Sep&lt;&gt;"",$AI21="")</f>
        <v>0</v>
      </c>
      <c r="AK22" s="2875"/>
      <c r="AL22" s="253"/>
      <c r="AM22" s="5888" t="str">
        <f>IF(AND(UnEmploymentComp&lt;&gt;"",UnEmploymentComp&gt;0),"Check if UEC was REPAID.","")</f>
        <v/>
      </c>
      <c r="AN22" s="253"/>
      <c r="AO22" s="5887"/>
      <c r="AP22" s="253"/>
      <c r="AQ22" s="253"/>
      <c r="AR22" s="6218" t="s">
        <v>516</v>
      </c>
      <c r="AS22" s="7733" t="str">
        <f>IF(AND('W-2s'!D$9&lt;&gt;"",'W-2s'!D$9&gt;0),'W-2s'!D$2,"")</f>
        <v/>
      </c>
      <c r="AT22" s="7734"/>
      <c r="AU22" s="7735" t="str">
        <f>IF(AND('W-2s'!D$9&lt;&gt;"",'W-2s'!D$9&gt;0),'W-2s'!D$9,"")</f>
        <v/>
      </c>
      <c r="AV22" s="7736"/>
      <c r="AW22" s="7737"/>
      <c r="AX22" s="7738"/>
      <c r="AY22" s="7731" t="str">
        <f t="shared" si="0"/>
        <v/>
      </c>
      <c r="AZ22" s="7732"/>
      <c r="BA22" s="6461">
        <f t="shared" ref="BA22:BA32" si="1">IF(AND(AU22&lt;&gt;0,AU22&lt;&gt;""),1,0)</f>
        <v>0</v>
      </c>
      <c r="BB22" s="6461">
        <f t="shared" ref="BB22:BB32" si="2">IF(AND(AW22&lt;&gt;0,AW22&lt;&gt;""),1,0)</f>
        <v>0</v>
      </c>
      <c r="BC22" s="6461">
        <f t="shared" ref="BC22:BC32" si="3">SUM(BA22,BB22)</f>
        <v>0</v>
      </c>
    </row>
    <row r="23" spans="1:55" ht="18" customHeight="1">
      <c r="A23" s="1277"/>
      <c r="B23" s="253"/>
      <c r="C23" s="4467"/>
      <c r="D23" s="4467"/>
      <c r="E23" s="5995" t="s">
        <v>5875</v>
      </c>
      <c r="F23" s="1248"/>
      <c r="G23" s="1248"/>
      <c r="H23" s="1248"/>
      <c r="I23" s="1248"/>
      <c r="J23" s="1248"/>
      <c r="K23" s="1248"/>
      <c r="L23" s="1248"/>
      <c r="M23" s="1248"/>
      <c r="N23" s="1248"/>
      <c r="O23" s="1248"/>
      <c r="P23" s="1248"/>
      <c r="Q23" s="1248"/>
      <c r="R23" s="1248"/>
      <c r="S23" s="1248"/>
      <c r="T23" s="1248"/>
      <c r="U23" s="1248"/>
      <c r="V23" s="1248"/>
      <c r="W23" s="1249"/>
      <c r="X23" s="1248"/>
      <c r="Y23" s="1248"/>
      <c r="Z23" s="1248"/>
      <c r="AA23" s="1248"/>
      <c r="AB23" s="253"/>
      <c r="AC23" s="5884"/>
      <c r="AD23" s="5404"/>
      <c r="AE23" s="5405"/>
      <c r="AF23" s="5405"/>
      <c r="AG23" s="5405"/>
      <c r="AH23" s="5405"/>
      <c r="AI23" s="1277"/>
      <c r="AJ23" s="724"/>
      <c r="AK23" s="2875"/>
      <c r="AL23" s="253"/>
      <c r="AM23" s="5888"/>
      <c r="AN23" s="253"/>
      <c r="AO23" s="5887"/>
      <c r="AP23" s="253"/>
      <c r="AQ23" s="253"/>
      <c r="AR23" s="6218" t="s">
        <v>518</v>
      </c>
      <c r="AS23" s="7733" t="str">
        <f>IF(AND('W-2s'!E$9&lt;&gt;"",'W-2s'!E$9&gt;0),'W-2s'!E$2,"")</f>
        <v/>
      </c>
      <c r="AT23" s="7734"/>
      <c r="AU23" s="7735" t="str">
        <f>IF(AND('W-2s'!E$9&lt;&gt;"",'W-2s'!E$9&gt;0),'W-2s'!E$9,"")</f>
        <v/>
      </c>
      <c r="AV23" s="7736"/>
      <c r="AW23" s="7737"/>
      <c r="AX23" s="7738"/>
      <c r="AY23" s="7731" t="str">
        <f t="shared" si="0"/>
        <v/>
      </c>
      <c r="AZ23" s="7732"/>
      <c r="BA23" s="6461">
        <f t="shared" si="1"/>
        <v>0</v>
      </c>
      <c r="BB23" s="6461">
        <f t="shared" si="2"/>
        <v>0</v>
      </c>
      <c r="BC23" s="6461">
        <f t="shared" si="3"/>
        <v>0</v>
      </c>
    </row>
    <row r="24" spans="1:55" ht="18" customHeight="1">
      <c r="A24" s="1277"/>
      <c r="B24" s="253"/>
      <c r="C24" s="4467"/>
      <c r="D24" s="4467"/>
      <c r="E24" s="5995" t="s">
        <v>5876</v>
      </c>
      <c r="F24" s="1248"/>
      <c r="G24" s="1248"/>
      <c r="H24" s="1248"/>
      <c r="I24" s="1248"/>
      <c r="J24" s="1248"/>
      <c r="K24" s="1248"/>
      <c r="L24" s="1248"/>
      <c r="M24" s="1248"/>
      <c r="N24" s="1248"/>
      <c r="O24" s="1248"/>
      <c r="P24" s="1248"/>
      <c r="Q24" s="1248"/>
      <c r="R24" s="1248"/>
      <c r="S24" s="1248"/>
      <c r="T24" s="1248"/>
      <c r="U24" s="1248"/>
      <c r="V24" s="1248"/>
      <c r="W24" s="1249"/>
      <c r="X24" s="1248"/>
      <c r="Y24" s="1248"/>
      <c r="Z24" s="1248"/>
      <c r="AA24" s="1248"/>
      <c r="AB24" s="253"/>
      <c r="AC24" s="5884"/>
      <c r="AD24" s="5404"/>
      <c r="AE24" s="5405"/>
      <c r="AF24" s="5405"/>
      <c r="AG24" s="5405"/>
      <c r="AH24" s="5405"/>
      <c r="AI24" s="1277"/>
      <c r="AJ24" s="724"/>
      <c r="AK24" s="2875"/>
      <c r="AL24" s="253"/>
      <c r="AM24" s="5888"/>
      <c r="AN24" s="253"/>
      <c r="AO24" s="5887"/>
      <c r="AP24" s="253"/>
      <c r="AQ24" s="253"/>
      <c r="AR24" s="6218" t="s">
        <v>521</v>
      </c>
      <c r="AS24" s="7733" t="str">
        <f>IF(AND('W-2s'!F$9&lt;&gt;"",'W-2s'!F$9&gt;0),'W-2s'!F$2,"")</f>
        <v/>
      </c>
      <c r="AT24" s="7734"/>
      <c r="AU24" s="7735" t="str">
        <f>IF(AND('W-2s'!F$9&lt;&gt;"",'W-2s'!F$9&gt;0),'W-2s'!F$9,"")</f>
        <v/>
      </c>
      <c r="AV24" s="7736"/>
      <c r="AW24" s="7737"/>
      <c r="AX24" s="7738"/>
      <c r="AY24" s="7731" t="str">
        <f t="shared" si="0"/>
        <v/>
      </c>
      <c r="AZ24" s="7732"/>
      <c r="BA24" s="6461">
        <f t="shared" si="1"/>
        <v>0</v>
      </c>
      <c r="BB24" s="6461">
        <f t="shared" si="2"/>
        <v>0</v>
      </c>
      <c r="BC24" s="6461">
        <f t="shared" si="3"/>
        <v>0</v>
      </c>
    </row>
    <row r="25" spans="1:55" ht="18" customHeight="1">
      <c r="A25" s="1277"/>
      <c r="B25" s="253"/>
      <c r="C25" s="4467"/>
      <c r="D25" s="4467"/>
      <c r="E25" s="5995" t="s">
        <v>5877</v>
      </c>
      <c r="F25" s="1248"/>
      <c r="G25" s="1248"/>
      <c r="H25" s="1248"/>
      <c r="I25" s="1248"/>
      <c r="J25" s="1248"/>
      <c r="K25" s="1248"/>
      <c r="L25" s="1248"/>
      <c r="M25" s="1248"/>
      <c r="N25" s="1248"/>
      <c r="O25" s="1248"/>
      <c r="P25" s="1248"/>
      <c r="Q25" s="1248"/>
      <c r="R25" s="1248"/>
      <c r="S25" s="1248"/>
      <c r="T25" s="1248"/>
      <c r="U25" s="1248"/>
      <c r="V25" s="1248"/>
      <c r="W25" s="1249"/>
      <c r="X25" s="7667" t="str">
        <f>IF(AND(AI25="",BC35),"See Qualified Tips from Employer Worksheet.","")</f>
        <v/>
      </c>
      <c r="Y25" s="7668"/>
      <c r="Z25" s="7668"/>
      <c r="AA25" s="7668"/>
      <c r="AB25" s="7669"/>
      <c r="AC25" s="5884"/>
      <c r="AD25" s="5404"/>
      <c r="AE25" s="5405"/>
      <c r="AF25" s="5405"/>
      <c r="AG25" s="5405"/>
      <c r="AH25" s="5405"/>
      <c r="AI25" s="1821"/>
      <c r="AJ25" s="5888" t="str">
        <f>IF(BC35,"Hide note.","")</f>
        <v/>
      </c>
      <c r="AK25" s="2875"/>
      <c r="AL25" s="253"/>
      <c r="AM25" s="5888"/>
      <c r="AN25" s="253"/>
      <c r="AO25" s="5887"/>
      <c r="AP25" s="253"/>
      <c r="AQ25" s="253"/>
      <c r="AR25" s="6218" t="s">
        <v>524</v>
      </c>
      <c r="AS25" s="7733" t="str">
        <f>IF(AND('W-2s'!G$9&lt;&gt;"",'W-2s'!G$9&gt;0),'W-2s'!G$2,"")</f>
        <v/>
      </c>
      <c r="AT25" s="7734"/>
      <c r="AU25" s="7735" t="str">
        <f>IF(AND('W-2s'!G$9&lt;&gt;"",'W-2s'!G$9&gt;0),'W-2s'!G$9,"")</f>
        <v/>
      </c>
      <c r="AV25" s="7736"/>
      <c r="AW25" s="7737"/>
      <c r="AX25" s="7738"/>
      <c r="AY25" s="7731" t="str">
        <f t="shared" si="0"/>
        <v/>
      </c>
      <c r="AZ25" s="7732"/>
      <c r="BA25" s="6461">
        <f t="shared" si="1"/>
        <v>0</v>
      </c>
      <c r="BB25" s="6461">
        <f t="shared" si="2"/>
        <v>0</v>
      </c>
      <c r="BC25" s="6461">
        <f t="shared" si="3"/>
        <v>0</v>
      </c>
    </row>
    <row r="26" spans="1:55" ht="18" customHeight="1">
      <c r="A26" s="1277"/>
      <c r="B26" s="253"/>
      <c r="C26" s="2039" t="s">
        <v>588</v>
      </c>
      <c r="D26" s="2039"/>
      <c r="E26" s="5995" t="s">
        <v>5878</v>
      </c>
      <c r="F26" s="1248"/>
      <c r="G26" s="1248"/>
      <c r="H26" s="1248"/>
      <c r="I26" s="1248"/>
      <c r="J26" s="1248"/>
      <c r="K26" s="1248"/>
      <c r="L26" s="1248"/>
      <c r="M26" s="1248"/>
      <c r="N26" s="1248"/>
      <c r="O26" s="1248"/>
      <c r="P26" s="1248"/>
      <c r="Q26" s="1248"/>
      <c r="R26" s="1248"/>
      <c r="S26" s="1248"/>
      <c r="T26" s="1248"/>
      <c r="U26" s="1248"/>
      <c r="V26" s="1248"/>
      <c r="W26" s="1249"/>
      <c r="X26" s="7667"/>
      <c r="Y26" s="7668"/>
      <c r="Z26" s="7668"/>
      <c r="AA26" s="7668"/>
      <c r="AB26" s="7669"/>
      <c r="AC26" s="5884"/>
      <c r="AD26" s="5404"/>
      <c r="AE26" s="5405"/>
      <c r="AF26" s="5405"/>
      <c r="AG26" s="5405"/>
      <c r="AH26" s="5405"/>
      <c r="AI26" s="1277"/>
      <c r="AJ26" s="7748" t="s">
        <v>6127</v>
      </c>
      <c r="AK26" s="7748"/>
      <c r="AL26" s="253"/>
      <c r="AM26" s="5888" t="str">
        <f>IF(AND(UnEmploymentComp&lt;&gt;"",UnEmploymentComp&gt;0),"Check if UEC was REPAID.","")</f>
        <v/>
      </c>
      <c r="AN26" s="851"/>
      <c r="AO26" s="5887"/>
      <c r="AP26" s="253"/>
      <c r="AQ26" s="253"/>
      <c r="AR26" s="6218" t="s">
        <v>1974</v>
      </c>
      <c r="AS26" s="7733" t="str">
        <f>IF(AND('W-2s'!H$9&lt;&gt;"",'W-2s'!H$9&gt;0),'W-2s'!H$2,"")</f>
        <v/>
      </c>
      <c r="AT26" s="7734"/>
      <c r="AU26" s="7735" t="str">
        <f>IF(AND('W-2s'!H$9&lt;&gt;"",'W-2s'!H$9&gt;0),'W-2s'!H$9,"")</f>
        <v/>
      </c>
      <c r="AV26" s="7736"/>
      <c r="AW26" s="7737"/>
      <c r="AX26" s="7738"/>
      <c r="AY26" s="7731" t="str">
        <f t="shared" si="0"/>
        <v/>
      </c>
      <c r="AZ26" s="7732"/>
      <c r="BA26" s="6461">
        <f t="shared" si="1"/>
        <v>0</v>
      </c>
      <c r="BB26" s="6461">
        <f t="shared" si="2"/>
        <v>0</v>
      </c>
      <c r="BC26" s="6461">
        <f t="shared" si="3"/>
        <v>0</v>
      </c>
    </row>
    <row r="27" spans="1:55" ht="18" customHeight="1">
      <c r="A27" s="1277"/>
      <c r="B27" s="253"/>
      <c r="C27" s="2039"/>
      <c r="D27" s="2039"/>
      <c r="E27" s="5995" t="str">
        <f>"Form W-2, box 5, is more than "&amp;TEXT(MaxSSTaxEarnings,"$0,000")&amp;" or you received tips that are not"</f>
        <v>Form W-2, box 5, is more than $176,100 or you received tips that are not</v>
      </c>
      <c r="F27" s="1248"/>
      <c r="G27" s="1248"/>
      <c r="H27" s="1248"/>
      <c r="I27" s="1248"/>
      <c r="J27" s="1248"/>
      <c r="K27" s="1248"/>
      <c r="L27" s="1248"/>
      <c r="M27" s="1248"/>
      <c r="N27" s="1248"/>
      <c r="O27" s="1248"/>
      <c r="P27" s="1248"/>
      <c r="Q27" s="1248"/>
      <c r="R27" s="1248"/>
      <c r="S27" s="1248"/>
      <c r="T27" s="1248"/>
      <c r="U27" s="1248"/>
      <c r="V27" s="1248"/>
      <c r="W27" s="1249"/>
      <c r="X27" s="7667"/>
      <c r="Y27" s="7668"/>
      <c r="Z27" s="7668"/>
      <c r="AA27" s="7668"/>
      <c r="AB27" s="7669"/>
      <c r="AC27" s="5884"/>
      <c r="AD27" s="7670" t="b">
        <f>AND(AK28="",AV33=0)</f>
        <v>1</v>
      </c>
      <c r="AE27" s="7671"/>
      <c r="AF27" s="7671"/>
      <c r="AG27" s="7671"/>
      <c r="AH27" s="7671"/>
      <c r="AI27" s="1277"/>
      <c r="AJ27" s="7748"/>
      <c r="AK27" s="7748"/>
      <c r="AL27" s="253"/>
      <c r="AM27" s="5888"/>
      <c r="AN27" s="851"/>
      <c r="AO27" s="5887"/>
      <c r="AP27" s="253"/>
      <c r="AQ27" s="253"/>
      <c r="AR27" s="6218" t="s">
        <v>1979</v>
      </c>
      <c r="AS27" s="7733" t="str">
        <f>IF(AND('W-2s'!C$46&lt;&gt;"",'W-2s'!C$46&gt;0),'W-2s'!C$39,"")</f>
        <v/>
      </c>
      <c r="AT27" s="7734"/>
      <c r="AU27" s="7735" t="str">
        <f>IF(AND('W-2s'!C$46&lt;&gt;"",'W-2s'!C$46&gt;0),'W-2s'!C$46,"")</f>
        <v/>
      </c>
      <c r="AV27" s="7736"/>
      <c r="AW27" s="7737"/>
      <c r="AX27" s="7738"/>
      <c r="AY27" s="7731" t="str">
        <f t="shared" si="0"/>
        <v/>
      </c>
      <c r="AZ27" s="7732"/>
      <c r="BA27" s="6461">
        <f t="shared" si="1"/>
        <v>0</v>
      </c>
      <c r="BB27" s="6461">
        <f t="shared" si="2"/>
        <v>0</v>
      </c>
      <c r="BC27" s="6461">
        <f t="shared" si="3"/>
        <v>0</v>
      </c>
    </row>
    <row r="28" spans="1:55" ht="18" customHeight="1">
      <c r="A28" s="1277"/>
      <c r="B28" s="253"/>
      <c r="C28" s="2039"/>
      <c r="D28" s="2039"/>
      <c r="E28" s="5995" t="s">
        <v>5879</v>
      </c>
      <c r="F28" s="253"/>
      <c r="G28" s="253"/>
      <c r="H28" s="253"/>
      <c r="I28" s="253"/>
      <c r="J28" s="253"/>
      <c r="K28" s="253"/>
      <c r="L28" s="253"/>
      <c r="M28" s="253"/>
      <c r="N28" s="253"/>
      <c r="O28" s="253"/>
      <c r="P28" s="1218"/>
      <c r="Q28" s="2373"/>
      <c r="R28" s="253"/>
      <c r="S28" s="253"/>
      <c r="T28" s="253"/>
      <c r="U28" s="253"/>
      <c r="V28" s="1401" t="s">
        <v>792</v>
      </c>
      <c r="W28" s="4448" t="s">
        <v>591</v>
      </c>
      <c r="X28" s="7643" t="str">
        <f>IF(AK28&lt;&gt;"",ROUND(AK28,0),IF(OR(AJ22,BC35,AND(BA33=0,BB33=0,AK28="")),"",AV33))</f>
        <v/>
      </c>
      <c r="Y28" s="7643"/>
      <c r="Z28" s="7643"/>
      <c r="AA28" s="7643"/>
      <c r="AB28" s="7644"/>
      <c r="AC28" s="5884"/>
      <c r="AD28" s="7665">
        <f>IF(X28="",0,X28)</f>
        <v>0</v>
      </c>
      <c r="AE28" s="7666"/>
      <c r="AF28" s="7666"/>
      <c r="AG28" s="7666"/>
      <c r="AH28" s="7666"/>
      <c r="AI28" s="1277"/>
      <c r="AJ28" s="990" t="b">
        <f>X28=""</f>
        <v>1</v>
      </c>
      <c r="AK28" s="1329"/>
      <c r="AL28" s="253"/>
      <c r="AM28" s="253"/>
      <c r="AN28" s="253"/>
      <c r="AO28" s="5887"/>
      <c r="AP28" s="253"/>
      <c r="AQ28" s="253"/>
      <c r="AR28" s="6218" t="s">
        <v>1980</v>
      </c>
      <c r="AS28" s="7733" t="str">
        <f>IF(AND('W-2s'!D$46&lt;&gt;"",'W-2s'!D$46&gt;0),'W-2s'!D$39,"")</f>
        <v/>
      </c>
      <c r="AT28" s="7734"/>
      <c r="AU28" s="7735" t="str">
        <f>IF(AND('W-2s'!D$46&lt;&gt;"",'W-2s'!D$46&gt;0),'W-2s'!D$46,"")</f>
        <v/>
      </c>
      <c r="AV28" s="7736"/>
      <c r="AW28" s="7737"/>
      <c r="AX28" s="7738"/>
      <c r="AY28" s="7731" t="str">
        <f t="shared" si="0"/>
        <v/>
      </c>
      <c r="AZ28" s="7732"/>
      <c r="BA28" s="6461">
        <f t="shared" si="1"/>
        <v>0</v>
      </c>
      <c r="BB28" s="6461">
        <f t="shared" si="2"/>
        <v>0</v>
      </c>
      <c r="BC28" s="6461">
        <f t="shared" si="3"/>
        <v>0</v>
      </c>
    </row>
    <row r="29" spans="1:55" ht="18" customHeight="1">
      <c r="A29" s="1277"/>
      <c r="B29" s="253"/>
      <c r="C29" s="2039" t="s">
        <v>592</v>
      </c>
      <c r="D29" s="2039"/>
      <c r="E29" s="5995" t="s">
        <v>5880</v>
      </c>
      <c r="F29" s="1248"/>
      <c r="G29" s="1248"/>
      <c r="H29" s="1248"/>
      <c r="I29" s="1248"/>
      <c r="J29" s="1248"/>
      <c r="K29" s="1248"/>
      <c r="L29" s="1248"/>
      <c r="M29" s="1248"/>
      <c r="N29" s="1248"/>
      <c r="O29" s="1248"/>
      <c r="P29" s="1248"/>
      <c r="Q29" s="1248"/>
      <c r="R29" s="1248"/>
      <c r="S29" s="1248"/>
      <c r="T29" s="1248"/>
      <c r="U29" s="1248"/>
      <c r="V29" s="1248"/>
      <c r="W29" s="1249"/>
      <c r="X29" s="1248"/>
      <c r="Y29" s="1248"/>
      <c r="Z29" s="1248"/>
      <c r="AA29" s="1248"/>
      <c r="AB29" s="253"/>
      <c r="AC29" s="5884"/>
      <c r="AD29" s="5404"/>
      <c r="AE29" s="5405"/>
      <c r="AF29" s="5405"/>
      <c r="AG29" s="5405"/>
      <c r="AH29" s="5405"/>
      <c r="AI29" s="1277"/>
      <c r="AJ29" s="724"/>
      <c r="AK29" s="2875"/>
      <c r="AL29" s="253"/>
      <c r="AM29" s="5888"/>
      <c r="AN29" s="851"/>
      <c r="AO29" s="5887"/>
      <c r="AP29" s="253"/>
      <c r="AQ29" s="253"/>
      <c r="AR29" s="6218" t="s">
        <v>1981</v>
      </c>
      <c r="AS29" s="7733" t="str">
        <f>IF(AND('W-2s'!E$46&lt;&gt;"",'W-2s'!E$46&gt;0),'W-2s'!E$39,"")</f>
        <v/>
      </c>
      <c r="AT29" s="7734"/>
      <c r="AU29" s="7735" t="str">
        <f>IF(AND('W-2s'!E$46&lt;&gt;"",'W-2s'!E$46&gt;0),'W-2s'!E$46,"")</f>
        <v/>
      </c>
      <c r="AV29" s="7736"/>
      <c r="AW29" s="7737"/>
      <c r="AX29" s="7738"/>
      <c r="AY29" s="7731" t="str">
        <f t="shared" si="0"/>
        <v/>
      </c>
      <c r="AZ29" s="7732"/>
      <c r="BA29" s="6461">
        <f t="shared" si="1"/>
        <v>0</v>
      </c>
      <c r="BB29" s="6461">
        <f t="shared" si="2"/>
        <v>0</v>
      </c>
      <c r="BC29" s="6461">
        <f t="shared" si="3"/>
        <v>0</v>
      </c>
    </row>
    <row r="30" spans="1:55" ht="18" customHeight="1">
      <c r="A30" s="1277"/>
      <c r="B30" s="253"/>
      <c r="C30" s="2039"/>
      <c r="D30" s="2039"/>
      <c r="E30" s="5995" t="s">
        <v>5881</v>
      </c>
      <c r="F30" s="253"/>
      <c r="G30" s="253"/>
      <c r="H30" s="253"/>
      <c r="I30" s="253"/>
      <c r="J30" s="253"/>
      <c r="K30" s="253"/>
      <c r="L30" s="253"/>
      <c r="M30" s="253"/>
      <c r="N30" s="253"/>
      <c r="O30" s="253"/>
      <c r="P30" s="1218"/>
      <c r="Q30" s="2373"/>
      <c r="R30" s="253"/>
      <c r="S30" s="253"/>
      <c r="T30" s="253"/>
      <c r="U30" s="253"/>
      <c r="V30" s="1401" t="s">
        <v>787</v>
      </c>
      <c r="W30" s="4448" t="s">
        <v>2483</v>
      </c>
      <c r="X30" s="7643" t="str">
        <f>IF(AK30&lt;&gt;"",ROUND(AK30,0),IF(OR(AJ22,BC35,AND(BA33=0,BB33=0,AK28="")),"",AX33))</f>
        <v/>
      </c>
      <c r="Y30" s="7643"/>
      <c r="Z30" s="7643"/>
      <c r="AA30" s="7643"/>
      <c r="AB30" s="7644"/>
      <c r="AC30" s="5884"/>
      <c r="AD30" s="7665">
        <f>IF(X30="",0,X30)</f>
        <v>0</v>
      </c>
      <c r="AE30" s="7666"/>
      <c r="AF30" s="7666"/>
      <c r="AG30" s="7666"/>
      <c r="AH30" s="7666"/>
      <c r="AI30" s="1277"/>
      <c r="AJ30" s="990" t="b">
        <f>X30=""</f>
        <v>1</v>
      </c>
      <c r="AK30" s="1329"/>
      <c r="AL30" s="253"/>
      <c r="AM30" s="851"/>
      <c r="AN30" s="253"/>
      <c r="AO30" s="5887"/>
      <c r="AP30" s="253"/>
      <c r="AQ30" s="253"/>
      <c r="AR30" s="6218" t="s">
        <v>1982</v>
      </c>
      <c r="AS30" s="7733" t="str">
        <f>IF(AND('W-2s'!F$46&lt;&gt;"",'W-2s'!F$46&gt;0),'W-2s'!F$39,"")</f>
        <v/>
      </c>
      <c r="AT30" s="7734"/>
      <c r="AU30" s="7733" t="str">
        <f>IF(AND('W-2s'!F$46&lt;&gt;"",'W-2s'!F$46&gt;0),'W-2s'!F$39,"")</f>
        <v/>
      </c>
      <c r="AV30" s="7734"/>
      <c r="AW30" s="7737"/>
      <c r="AX30" s="7738"/>
      <c r="AY30" s="7731" t="str">
        <f t="shared" si="0"/>
        <v/>
      </c>
      <c r="AZ30" s="7732"/>
      <c r="BA30" s="6461">
        <f t="shared" si="1"/>
        <v>0</v>
      </c>
      <c r="BB30" s="6461">
        <f t="shared" si="2"/>
        <v>0</v>
      </c>
      <c r="BC30" s="6461">
        <f t="shared" si="3"/>
        <v>0</v>
      </c>
    </row>
    <row r="31" spans="1:55" ht="18" customHeight="1">
      <c r="A31" s="1277"/>
      <c r="B31" s="253"/>
      <c r="C31" s="2039" t="s">
        <v>595</v>
      </c>
      <c r="D31" s="2039"/>
      <c r="E31" s="5995" t="s">
        <v>5882</v>
      </c>
      <c r="F31" s="1248"/>
      <c r="G31" s="1248"/>
      <c r="H31" s="1248"/>
      <c r="I31" s="1248"/>
      <c r="J31" s="1248"/>
      <c r="K31" s="1248"/>
      <c r="L31" s="1248"/>
      <c r="M31" s="1248"/>
      <c r="N31" s="1248"/>
      <c r="O31" s="1248"/>
      <c r="P31" s="1248"/>
      <c r="Q31" s="1248"/>
      <c r="R31" s="1248"/>
      <c r="S31" s="1248"/>
      <c r="T31" s="1248"/>
      <c r="U31" s="1248"/>
      <c r="V31" s="1248"/>
      <c r="W31" s="1248"/>
      <c r="X31" s="1248"/>
      <c r="Y31" s="1248"/>
      <c r="Z31" s="1248"/>
      <c r="AA31" s="1248"/>
      <c r="AB31" s="1248"/>
      <c r="AC31" s="5884"/>
      <c r="AD31" s="5404"/>
      <c r="AE31" s="5405"/>
      <c r="AF31" s="5405"/>
      <c r="AG31" s="5405"/>
      <c r="AH31" s="5405"/>
      <c r="AI31" s="1277"/>
      <c r="AJ31" s="5028"/>
      <c r="AK31" s="2875"/>
      <c r="AL31" s="253"/>
      <c r="AM31" s="5888" t="str">
        <f>IF(AND(UnEmploymentComp&lt;&gt;"",UnEmploymentComp&gt;0),"Check if UEC was REPAID.","")</f>
        <v/>
      </c>
      <c r="AN31" s="253"/>
      <c r="AO31" s="5887"/>
      <c r="AP31" s="253"/>
      <c r="AQ31" s="253"/>
      <c r="AR31" s="6218" t="s">
        <v>5913</v>
      </c>
      <c r="AS31" s="7733" t="str">
        <f>IF(AND('W-2s'!G$46&lt;&gt;"",'W-2s'!G$46&gt;0),'W-2s'!G$39,"")</f>
        <v/>
      </c>
      <c r="AT31" s="7734"/>
      <c r="AU31" s="7735" t="str">
        <f>IF(AND('W-2s'!G$46&lt;&gt;"",'W-2s'!G$46&gt;0),'W-2s'!G$46,"")</f>
        <v/>
      </c>
      <c r="AV31" s="7736"/>
      <c r="AW31" s="7737"/>
      <c r="AX31" s="7738"/>
      <c r="AY31" s="7731" t="str">
        <f t="shared" si="0"/>
        <v/>
      </c>
      <c r="AZ31" s="7732"/>
      <c r="BA31" s="6461">
        <f t="shared" si="1"/>
        <v>0</v>
      </c>
      <c r="BB31" s="6461">
        <f t="shared" si="2"/>
        <v>0</v>
      </c>
      <c r="BC31" s="6461">
        <f t="shared" si="3"/>
        <v>0</v>
      </c>
    </row>
    <row r="32" spans="1:55" ht="18" customHeight="1">
      <c r="A32" s="1277"/>
      <c r="B32" s="253"/>
      <c r="C32" s="4242"/>
      <c r="D32" s="4242"/>
      <c r="E32" s="5995" t="s">
        <v>5883</v>
      </c>
      <c r="F32" s="253"/>
      <c r="G32" s="253"/>
      <c r="H32" s="253"/>
      <c r="I32" s="253"/>
      <c r="J32" s="253"/>
      <c r="K32" s="253"/>
      <c r="L32" s="253"/>
      <c r="M32" s="253"/>
      <c r="N32" s="253"/>
      <c r="O32" s="253"/>
      <c r="P32" s="253"/>
      <c r="Q32" s="253"/>
      <c r="R32" s="253"/>
      <c r="S32" s="253"/>
      <c r="T32" s="253"/>
      <c r="U32" s="253"/>
      <c r="V32" s="1401"/>
      <c r="W32" s="253"/>
      <c r="X32" s="253"/>
      <c r="Y32" s="253"/>
      <c r="Z32" s="253"/>
      <c r="AA32" s="253"/>
      <c r="AB32" s="253"/>
      <c r="AC32" s="5884"/>
      <c r="AD32" s="7582">
        <f>ROUND(X32,0)</f>
        <v>0</v>
      </c>
      <c r="AE32" s="7583"/>
      <c r="AF32" s="7583"/>
      <c r="AG32" s="7583"/>
      <c r="AH32" s="7583"/>
      <c r="AI32" s="1277"/>
      <c r="AJ32" s="5028"/>
      <c r="AK32" s="2875"/>
      <c r="AL32" s="253"/>
      <c r="AM32" s="5888"/>
      <c r="AN32" s="253"/>
      <c r="AO32" s="5887"/>
      <c r="AP32" s="253"/>
      <c r="AQ32" s="253"/>
      <c r="AR32" s="6218" t="s">
        <v>5914</v>
      </c>
      <c r="AS32" s="7733" t="str">
        <f>IF(AND('W-2s'!H$46&lt;&gt;"",'W-2s'!H$46&gt;0),'W-2s'!H$39,"")</f>
        <v/>
      </c>
      <c r="AT32" s="7734"/>
      <c r="AU32" s="7735" t="str">
        <f>IF(AND('W-2s'!H$46&lt;&gt;"",'W-2s'!H$46&gt;0),'W-2s'!H$46,"")</f>
        <v/>
      </c>
      <c r="AV32" s="7736"/>
      <c r="AW32" s="7737"/>
      <c r="AX32" s="7738"/>
      <c r="AY32" s="7731" t="str">
        <f t="shared" si="0"/>
        <v/>
      </c>
      <c r="AZ32" s="7732"/>
      <c r="BA32" s="6461">
        <f t="shared" si="1"/>
        <v>0</v>
      </c>
      <c r="BB32" s="6461">
        <f t="shared" si="2"/>
        <v>0</v>
      </c>
      <c r="BC32" s="6461">
        <f t="shared" si="3"/>
        <v>0</v>
      </c>
    </row>
    <row r="33" spans="1:55" ht="18" customHeight="1">
      <c r="A33" s="1277"/>
      <c r="B33" s="253"/>
      <c r="C33" s="4242"/>
      <c r="D33" s="4242"/>
      <c r="E33" s="5995" t="s">
        <v>5884</v>
      </c>
      <c r="F33" s="253"/>
      <c r="G33" s="253"/>
      <c r="H33" s="253"/>
      <c r="I33" s="253"/>
      <c r="J33" s="253"/>
      <c r="K33" s="253"/>
      <c r="L33" s="253"/>
      <c r="M33" s="253"/>
      <c r="N33" s="253"/>
      <c r="O33" s="253"/>
      <c r="P33" s="253"/>
      <c r="Q33" s="253"/>
      <c r="R33" s="253"/>
      <c r="S33" s="253"/>
      <c r="T33" s="253"/>
      <c r="U33" s="253"/>
      <c r="V33" s="253"/>
      <c r="W33" s="253"/>
      <c r="X33" s="253"/>
      <c r="Y33" s="253"/>
      <c r="Z33" s="253"/>
      <c r="AA33" s="253"/>
      <c r="AB33" s="1401" t="s">
        <v>875</v>
      </c>
      <c r="AC33" s="4448" t="s">
        <v>2716</v>
      </c>
      <c r="AD33" s="7630" t="str">
        <f>IF(AK33&lt;&gt;"",ROUND(AK33,0),IF(AND(AJ28,AJ30,AV33=0),"",IF(BC35,AY33,MAX(AD28,AD30))))</f>
        <v/>
      </c>
      <c r="AE33" s="7645"/>
      <c r="AF33" s="7645"/>
      <c r="AG33" s="7645"/>
      <c r="AH33" s="7645"/>
      <c r="AI33" s="1277"/>
      <c r="AJ33" s="5028"/>
      <c r="AK33" s="1329"/>
      <c r="AL33" s="253"/>
      <c r="AM33" s="5888"/>
      <c r="AN33" s="253"/>
      <c r="AO33" s="5887"/>
      <c r="AP33" s="253"/>
      <c r="AQ33" s="253"/>
      <c r="AR33" s="6216" t="s">
        <v>230</v>
      </c>
      <c r="AS33" s="7769" t="s">
        <v>6118</v>
      </c>
      <c r="AT33" s="7769"/>
      <c r="AU33" s="6221"/>
      <c r="AV33" s="6226">
        <f>SUM(AU21:AV32)</f>
        <v>0</v>
      </c>
      <c r="AW33" s="6451"/>
      <c r="AX33" s="6226">
        <f>SUM(AW21:AX32)</f>
        <v>0</v>
      </c>
      <c r="AY33" s="7770" t="str">
        <f>IF(BC35,SUM(AY21:AZ32),"")</f>
        <v/>
      </c>
      <c r="AZ33" s="7770"/>
      <c r="BA33" s="6460">
        <f>SUM(BA21:BA32)</f>
        <v>0</v>
      </c>
      <c r="BB33" s="6460">
        <f>SUM(BB21:BB32)</f>
        <v>0</v>
      </c>
      <c r="BC33" s="6460">
        <f>SUM(BC21:BC32)</f>
        <v>0</v>
      </c>
    </row>
    <row r="34" spans="1:55" ht="18" customHeight="1">
      <c r="A34" s="1277"/>
      <c r="B34" s="253"/>
      <c r="C34" s="4467">
        <v>5</v>
      </c>
      <c r="D34" s="4467"/>
      <c r="E34" s="5995" t="s">
        <v>5771</v>
      </c>
      <c r="F34" s="253"/>
      <c r="G34" s="253"/>
      <c r="H34" s="253"/>
      <c r="I34" s="253"/>
      <c r="J34" s="253"/>
      <c r="K34" s="253"/>
      <c r="L34" s="253"/>
      <c r="M34" s="253"/>
      <c r="N34" s="253"/>
      <c r="O34" s="253"/>
      <c r="P34" s="253"/>
      <c r="Q34" s="253"/>
      <c r="R34" s="253"/>
      <c r="S34" s="253"/>
      <c r="T34" s="253"/>
      <c r="U34" s="253"/>
      <c r="V34" s="1401"/>
      <c r="W34" s="253"/>
      <c r="X34" s="253"/>
      <c r="Y34" s="253"/>
      <c r="Z34" s="253"/>
      <c r="AA34" s="253"/>
      <c r="AB34" s="253"/>
      <c r="AC34" s="5884"/>
      <c r="AD34" s="7582">
        <f>-ROUND(Y34,0)</f>
        <v>0</v>
      </c>
      <c r="AE34" s="7583"/>
      <c r="AF34" s="7583"/>
      <c r="AG34" s="7583"/>
      <c r="AH34" s="7583"/>
      <c r="AI34" s="1277"/>
      <c r="AJ34" s="4984"/>
      <c r="AK34" s="2875"/>
      <c r="AL34" s="253"/>
      <c r="AM34" s="5888"/>
      <c r="AN34" s="253"/>
      <c r="AO34" s="5887"/>
      <c r="AP34" s="253"/>
      <c r="AQ34" s="253"/>
      <c r="AR34" s="6219"/>
      <c r="AS34" s="7769"/>
      <c r="AT34" s="7769"/>
      <c r="AU34" s="6224"/>
      <c r="AV34" s="6225"/>
      <c r="AW34" s="6224"/>
      <c r="AX34" s="6225"/>
      <c r="AY34" s="7770"/>
      <c r="AZ34" s="7770"/>
      <c r="BA34" s="6453" t="b">
        <f>BA33&gt;1</f>
        <v>0</v>
      </c>
      <c r="BB34" s="6453" t="b">
        <f>BB33&gt;1</f>
        <v>0</v>
      </c>
      <c r="BC34" s="6453" t="b">
        <f>AND(MAX(BC21:BC32)&lt;2,BC33&gt;=2)</f>
        <v>0</v>
      </c>
    </row>
    <row r="35" spans="1:55" ht="18" customHeight="1">
      <c r="A35" s="1277"/>
      <c r="B35" s="253"/>
      <c r="C35" s="4242"/>
      <c r="D35" s="4242"/>
      <c r="E35" s="5995" t="s">
        <v>5772</v>
      </c>
      <c r="F35" s="253"/>
      <c r="G35" s="253"/>
      <c r="H35" s="253"/>
      <c r="I35" s="253"/>
      <c r="J35" s="253"/>
      <c r="K35" s="253"/>
      <c r="L35" s="253"/>
      <c r="M35" s="253"/>
      <c r="N35" s="253"/>
      <c r="O35" s="253"/>
      <c r="P35" s="253"/>
      <c r="Q35" s="253"/>
      <c r="R35" s="253"/>
      <c r="S35" s="253"/>
      <c r="T35" s="253"/>
      <c r="U35" s="253"/>
      <c r="V35" s="1401"/>
      <c r="W35" s="253"/>
      <c r="X35" s="253"/>
      <c r="Y35" s="253"/>
      <c r="Z35" s="253"/>
      <c r="AA35" s="253"/>
      <c r="AB35" s="253"/>
      <c r="AC35" s="5884"/>
      <c r="AD35" s="7582">
        <f>ROUND(X35,0)</f>
        <v>0</v>
      </c>
      <c r="AE35" s="7583"/>
      <c r="AF35" s="7583"/>
      <c r="AG35" s="7583"/>
      <c r="AH35" s="7583"/>
      <c r="AI35" s="1277"/>
      <c r="AJ35" s="7748" t="s">
        <v>6127</v>
      </c>
      <c r="AK35" s="7748"/>
      <c r="AL35" s="253"/>
      <c r="AM35" s="5888"/>
      <c r="AN35" s="253"/>
      <c r="AO35" s="5887"/>
      <c r="AP35" s="253"/>
      <c r="AQ35" s="253"/>
      <c r="AR35" s="6220"/>
      <c r="AS35" s="7769"/>
      <c r="AT35" s="7769"/>
      <c r="AU35" s="6222"/>
      <c r="AV35" s="6223"/>
      <c r="AW35" s="6222"/>
      <c r="AX35" s="6223"/>
      <c r="AY35" s="7770"/>
      <c r="AZ35" s="7770"/>
      <c r="BA35" s="6453"/>
      <c r="BB35" s="6453"/>
      <c r="BC35" s="6453" t="b">
        <f>OR(BA34,BB34,BC34)</f>
        <v>0</v>
      </c>
    </row>
    <row r="36" spans="1:55" ht="18" customHeight="1">
      <c r="A36" s="1277"/>
      <c r="B36" s="253"/>
      <c r="C36" s="4242"/>
      <c r="D36" s="4242"/>
      <c r="E36" s="5995" t="s">
        <v>5773</v>
      </c>
      <c r="F36" s="253"/>
      <c r="G36" s="253"/>
      <c r="H36" s="253"/>
      <c r="I36" s="253"/>
      <c r="J36" s="253"/>
      <c r="K36" s="253"/>
      <c r="L36" s="253"/>
      <c r="M36" s="253"/>
      <c r="N36" s="253"/>
      <c r="O36" s="253"/>
      <c r="P36" s="253"/>
      <c r="Q36" s="253"/>
      <c r="R36" s="253"/>
      <c r="S36" s="253"/>
      <c r="T36" s="253"/>
      <c r="U36" s="253"/>
      <c r="V36" s="1401"/>
      <c r="W36" s="253"/>
      <c r="X36" s="253"/>
      <c r="Y36" s="253"/>
      <c r="Z36" s="253"/>
      <c r="AA36" s="253"/>
      <c r="AB36" s="253"/>
      <c r="AC36" s="5884"/>
      <c r="AD36" s="7582">
        <f>-ROUND(Y36,0)</f>
        <v>0</v>
      </c>
      <c r="AE36" s="7583"/>
      <c r="AF36" s="7583"/>
      <c r="AG36" s="7583"/>
      <c r="AH36" s="7583"/>
      <c r="AI36" s="1277"/>
      <c r="AJ36" s="7748"/>
      <c r="AK36" s="7748"/>
      <c r="AL36" s="253"/>
      <c r="AM36" s="2338" t="str">
        <f>IF(Y36&gt;0,"Note: For "&amp;TaxYear&amp;", the total maximum","")</f>
        <v/>
      </c>
      <c r="AN36" s="253"/>
      <c r="AO36" s="5887"/>
      <c r="AP36" s="253"/>
      <c r="AQ36" s="253"/>
      <c r="AR36" s="769"/>
      <c r="AS36" s="769"/>
      <c r="AT36" s="769"/>
      <c r="AU36" s="769"/>
      <c r="AV36" s="769"/>
      <c r="AW36" s="769"/>
      <c r="AX36" s="769"/>
      <c r="AY36" s="769"/>
      <c r="AZ36" s="769"/>
      <c r="BA36" s="6452"/>
      <c r="BB36" s="6452"/>
      <c r="BC36" s="6452"/>
    </row>
    <row r="37" spans="1:55" ht="18" customHeight="1">
      <c r="A37" s="1277"/>
      <c r="B37" s="253"/>
      <c r="C37" s="4242"/>
      <c r="D37" s="4242"/>
      <c r="E37" s="5995" t="s">
        <v>6128</v>
      </c>
      <c r="F37" s="253"/>
      <c r="G37" s="253"/>
      <c r="H37" s="253"/>
      <c r="I37" s="253"/>
      <c r="J37" s="253"/>
      <c r="K37" s="253"/>
      <c r="L37" s="253"/>
      <c r="M37" s="253"/>
      <c r="N37" s="253"/>
      <c r="O37" s="253"/>
      <c r="P37" s="253"/>
      <c r="Q37" s="253"/>
      <c r="R37" s="253"/>
      <c r="S37" s="253"/>
      <c r="T37" s="253"/>
      <c r="U37" s="253"/>
      <c r="V37" s="1401"/>
      <c r="W37" s="253"/>
      <c r="X37" s="253"/>
      <c r="Y37" s="253"/>
      <c r="Z37" s="253"/>
      <c r="AA37" s="253"/>
      <c r="AB37" s="1401" t="s">
        <v>905</v>
      </c>
      <c r="AC37" s="4448">
        <v>5</v>
      </c>
      <c r="AD37" s="7630" t="str">
        <f>IF(AK37&lt;&gt;"",ROUND(AK37,0),IF(AJ37,"",ROUND(AZ51,0)))</f>
        <v/>
      </c>
      <c r="AE37" s="7645"/>
      <c r="AF37" s="7645"/>
      <c r="AG37" s="7645"/>
      <c r="AH37" s="7645"/>
      <c r="AI37" s="1277"/>
      <c r="AJ37" s="512" t="b">
        <f>AND(OR(AZ51="",AZ51=0),OR(AK37="",AK37=0))</f>
        <v>1</v>
      </c>
      <c r="AK37" s="1329"/>
      <c r="AL37" s="253"/>
      <c r="AM37" s="851">
        <f>IF(AD37&lt;&gt;"",ROUND(AD37,0),0)</f>
        <v>0</v>
      </c>
      <c r="AN37" s="253"/>
      <c r="AO37" s="5887"/>
      <c r="AP37" s="253"/>
      <c r="AQ37" s="253"/>
      <c r="AR37" s="769"/>
      <c r="AS37" s="769"/>
      <c r="AT37" s="769"/>
      <c r="AU37" s="769"/>
      <c r="AV37" s="769"/>
      <c r="AW37" s="769"/>
      <c r="AX37" s="769"/>
      <c r="AY37" s="769"/>
      <c r="AZ37" s="769"/>
      <c r="BA37" s="6454"/>
      <c r="BB37" s="6454"/>
      <c r="BC37" s="6454"/>
    </row>
    <row r="38" spans="1:55" ht="18" customHeight="1">
      <c r="A38" s="1277"/>
      <c r="B38" s="253"/>
      <c r="C38" s="4467">
        <v>6</v>
      </c>
      <c r="D38" s="4467"/>
      <c r="E38" s="5995" t="s">
        <v>5774</v>
      </c>
      <c r="F38" s="253"/>
      <c r="G38" s="253"/>
      <c r="H38" s="253"/>
      <c r="I38" s="253"/>
      <c r="J38" s="253"/>
      <c r="K38" s="253"/>
      <c r="L38" s="253"/>
      <c r="M38" s="253"/>
      <c r="N38" s="253"/>
      <c r="O38" s="253"/>
      <c r="P38" s="253"/>
      <c r="Q38" s="253"/>
      <c r="R38" s="253"/>
      <c r="S38" s="253"/>
      <c r="T38" s="253"/>
      <c r="U38" s="253"/>
      <c r="V38" s="1401"/>
      <c r="W38" s="253"/>
      <c r="X38" s="253"/>
      <c r="Y38" s="253"/>
      <c r="Z38" s="253"/>
      <c r="AA38" s="253"/>
      <c r="AB38" s="1401" t="s">
        <v>2667</v>
      </c>
      <c r="AC38" s="4448">
        <v>6</v>
      </c>
      <c r="AD38" s="7630" t="str">
        <f>IF($AJ$38,"",SUM(AD33,AM37))</f>
        <v/>
      </c>
      <c r="AE38" s="7645"/>
      <c r="AF38" s="7645"/>
      <c r="AG38" s="7645"/>
      <c r="AH38" s="7645"/>
      <c r="AI38" s="1277"/>
      <c r="AJ38" s="512" t="b">
        <f>OR(AJ22,AND(AJ28,AJ30,AJ37))</f>
        <v>1</v>
      </c>
      <c r="AK38" s="2875"/>
      <c r="AL38" s="253"/>
      <c r="AM38" s="5888"/>
      <c r="AN38" s="253"/>
      <c r="AO38" s="5887"/>
      <c r="AP38" s="253"/>
      <c r="AQ38" s="253"/>
      <c r="AR38" s="7739" t="s">
        <v>6657</v>
      </c>
      <c r="AS38" s="7740"/>
      <c r="AT38" s="7740"/>
      <c r="AU38" s="7740"/>
      <c r="AV38" s="7740"/>
      <c r="AW38" s="7740"/>
      <c r="AX38" s="7740"/>
      <c r="AY38" s="7740"/>
      <c r="AZ38" s="6228"/>
      <c r="BA38" s="6455"/>
      <c r="BB38" s="6452"/>
      <c r="BC38" s="6452"/>
    </row>
    <row r="39" spans="1:55" ht="18" customHeight="1">
      <c r="A39" s="1277"/>
      <c r="B39" s="253"/>
      <c r="C39" s="4467">
        <v>7</v>
      </c>
      <c r="D39" s="4467"/>
      <c r="E39" s="5995" t="str">
        <f>"Enter the smaller of the amount on line 6 or "&amp;TEXT(AN39,"$0,000")</f>
        <v>Enter the smaller of the amount on line 6 or $25,000</v>
      </c>
      <c r="F39" s="253"/>
      <c r="G39" s="253"/>
      <c r="H39" s="253"/>
      <c r="I39" s="253"/>
      <c r="J39" s="253"/>
      <c r="K39" s="253"/>
      <c r="L39" s="253"/>
      <c r="M39" s="253"/>
      <c r="N39" s="253"/>
      <c r="O39" s="253"/>
      <c r="P39" s="253"/>
      <c r="Q39" s="253"/>
      <c r="R39" s="253"/>
      <c r="S39" s="253"/>
      <c r="T39" s="253"/>
      <c r="U39" s="253"/>
      <c r="V39" s="1401"/>
      <c r="W39" s="253"/>
      <c r="X39" s="253"/>
      <c r="Y39" s="253"/>
      <c r="Z39" s="253"/>
      <c r="AA39" s="253"/>
      <c r="AB39" s="1401" t="s">
        <v>1859</v>
      </c>
      <c r="AC39" s="4448">
        <v>7</v>
      </c>
      <c r="AD39" s="7630" t="str">
        <f>IF(AK39&lt;&gt;"",ROUND(AK39,0),IF($AJ$38,"",MIN(AD38,AN39)))</f>
        <v/>
      </c>
      <c r="AE39" s="7645"/>
      <c r="AF39" s="7645"/>
      <c r="AG39" s="7645"/>
      <c r="AH39" s="7645"/>
      <c r="AI39" s="1277"/>
      <c r="AJ39" s="512"/>
      <c r="AK39" s="1329"/>
      <c r="AL39" s="253"/>
      <c r="AM39" s="5888"/>
      <c r="AN39" s="851">
        <v>25000</v>
      </c>
      <c r="AO39" s="5887"/>
      <c r="AP39" s="253"/>
      <c r="AQ39" s="253"/>
      <c r="AR39" s="7742"/>
      <c r="AS39" s="7743"/>
      <c r="AT39" s="7743"/>
      <c r="AU39" s="7743"/>
      <c r="AV39" s="7743"/>
      <c r="AW39" s="7743"/>
      <c r="AX39" s="7743"/>
      <c r="AY39" s="7743"/>
      <c r="AZ39" s="6229"/>
      <c r="BA39" s="6455"/>
      <c r="BB39" s="6452"/>
      <c r="BC39" s="6452"/>
    </row>
    <row r="40" spans="1:55" ht="18" customHeight="1">
      <c r="A40" s="1277"/>
      <c r="B40" s="253"/>
      <c r="C40" s="4467">
        <v>8</v>
      </c>
      <c r="D40" s="4467"/>
      <c r="E40" s="5995" t="s">
        <v>6113</v>
      </c>
      <c r="F40" s="253"/>
      <c r="G40" s="253"/>
      <c r="H40" s="253"/>
      <c r="I40" s="253"/>
      <c r="J40" s="253"/>
      <c r="K40" s="253"/>
      <c r="L40" s="253"/>
      <c r="M40" s="253"/>
      <c r="N40" s="253"/>
      <c r="O40" s="253"/>
      <c r="P40" s="253"/>
      <c r="Q40" s="253"/>
      <c r="R40" s="253"/>
      <c r="S40" s="253"/>
      <c r="T40" s="253"/>
      <c r="U40" s="253"/>
      <c r="V40" s="1401"/>
      <c r="W40" s="253"/>
      <c r="X40" s="253"/>
      <c r="Y40" s="253"/>
      <c r="Z40" s="253"/>
      <c r="AA40" s="253"/>
      <c r="AB40" s="1401" t="s">
        <v>1121</v>
      </c>
      <c r="AC40" s="4448">
        <v>8</v>
      </c>
      <c r="AD40" s="7630" t="str">
        <f>IF($AJ$38,"",AD17)</f>
        <v/>
      </c>
      <c r="AE40" s="7645"/>
      <c r="AF40" s="7645"/>
      <c r="AG40" s="7645"/>
      <c r="AH40" s="7645"/>
      <c r="AI40" s="1277"/>
      <c r="AJ40" s="512"/>
      <c r="AK40" s="2875"/>
      <c r="AL40" s="253"/>
      <c r="AM40" s="5888"/>
      <c r="AN40" s="851">
        <v>150000</v>
      </c>
      <c r="AO40" s="5887"/>
      <c r="AP40" s="253"/>
      <c r="AQ40" s="253"/>
      <c r="AR40" s="7745"/>
      <c r="AS40" s="7746"/>
      <c r="AT40" s="7746"/>
      <c r="AU40" s="7746"/>
      <c r="AV40" s="7746"/>
      <c r="AW40" s="7746"/>
      <c r="AX40" s="7746"/>
      <c r="AY40" s="7746"/>
      <c r="AZ40" s="6230"/>
      <c r="BA40" s="6455"/>
      <c r="BB40" s="6452"/>
      <c r="BC40" s="6452"/>
    </row>
    <row r="41" spans="1:55" ht="18" customHeight="1">
      <c r="A41" s="1277"/>
      <c r="B41" s="253"/>
      <c r="C41" s="4467">
        <v>9</v>
      </c>
      <c r="D41" s="4467"/>
      <c r="E41" s="5995" t="str">
        <f>"Enter "&amp;TEXT($AN$40,"$0,000")&amp;" ("&amp;TEXT($AN$41,"$0,000")&amp;" if married filing jointly)"</f>
        <v>Enter $150,000 ($300,000 if married filing jointly)</v>
      </c>
      <c r="F41" s="253"/>
      <c r="G41" s="253"/>
      <c r="H41" s="253"/>
      <c r="I41" s="253"/>
      <c r="J41" s="253"/>
      <c r="K41" s="253"/>
      <c r="L41" s="253"/>
      <c r="M41" s="253"/>
      <c r="N41" s="253"/>
      <c r="O41" s="253"/>
      <c r="P41" s="253"/>
      <c r="Q41" s="253"/>
      <c r="R41" s="253"/>
      <c r="S41" s="253"/>
      <c r="T41" s="253"/>
      <c r="U41" s="253"/>
      <c r="V41" s="1401"/>
      <c r="W41" s="253"/>
      <c r="X41" s="253"/>
      <c r="Y41" s="253"/>
      <c r="Z41" s="253"/>
      <c r="AA41" s="253"/>
      <c r="AB41" s="1401" t="s">
        <v>1859</v>
      </c>
      <c r="AC41" s="4448">
        <v>9</v>
      </c>
      <c r="AD41" s="7630" t="str">
        <f>IF(AK41&lt;&gt;"",ROUND(AK41,0),IF($AJ$38,"",AO41))</f>
        <v/>
      </c>
      <c r="AE41" s="7645"/>
      <c r="AF41" s="7645"/>
      <c r="AG41" s="7645"/>
      <c r="AH41" s="7645"/>
      <c r="AI41" s="1277"/>
      <c r="AJ41" s="512"/>
      <c r="AK41" s="1329"/>
      <c r="AL41" s="253"/>
      <c r="AM41" s="5888"/>
      <c r="AN41" s="851">
        <v>300000</v>
      </c>
      <c r="AO41" s="851">
        <f>IF(File_Marr_Joint&lt;&gt;"",AN41,AN40)</f>
        <v>150000</v>
      </c>
      <c r="AP41" s="253"/>
      <c r="AQ41" s="253"/>
      <c r="AR41" s="7771" t="s">
        <v>228</v>
      </c>
      <c r="AS41" s="7755" t="s">
        <v>6119</v>
      </c>
      <c r="AT41" s="7756"/>
      <c r="AU41" s="7773" t="s">
        <v>6125</v>
      </c>
      <c r="AV41" s="7773" t="s">
        <v>6120</v>
      </c>
      <c r="AW41" s="7773" t="s">
        <v>6121</v>
      </c>
      <c r="AX41" s="7773" t="s">
        <v>6122</v>
      </c>
      <c r="AY41" s="7767" t="s">
        <v>6124</v>
      </c>
      <c r="AZ41" s="7767" t="s">
        <v>6123</v>
      </c>
      <c r="BA41" s="6455"/>
      <c r="BB41" s="6452"/>
      <c r="BC41" s="6452"/>
    </row>
    <row r="42" spans="1:55" ht="18" customHeight="1">
      <c r="A42" s="1277"/>
      <c r="B42" s="253"/>
      <c r="C42" s="4467">
        <v>10</v>
      </c>
      <c r="D42" s="4467"/>
      <c r="E42" s="5995" t="s">
        <v>5775</v>
      </c>
      <c r="F42" s="253"/>
      <c r="G42" s="253"/>
      <c r="H42" s="253"/>
      <c r="I42" s="253"/>
      <c r="J42" s="253"/>
      <c r="K42" s="253"/>
      <c r="L42" s="253"/>
      <c r="M42" s="253"/>
      <c r="N42" s="253"/>
      <c r="O42" s="253"/>
      <c r="P42" s="253"/>
      <c r="Q42" s="253"/>
      <c r="R42" s="253"/>
      <c r="S42" s="253"/>
      <c r="T42" s="253"/>
      <c r="U42" s="253"/>
      <c r="V42" s="1401"/>
      <c r="W42" s="253"/>
      <c r="X42" s="253"/>
      <c r="Y42" s="253"/>
      <c r="Z42" s="253"/>
      <c r="AA42" s="253"/>
      <c r="AB42" s="1401" t="s">
        <v>824</v>
      </c>
      <c r="AC42" s="4448">
        <v>10</v>
      </c>
      <c r="AD42" s="7630" t="str">
        <f>IF($AJ$38,"",SUM(AD40,-AD41))</f>
        <v/>
      </c>
      <c r="AE42" s="7645"/>
      <c r="AF42" s="7645"/>
      <c r="AG42" s="7645"/>
      <c r="AH42" s="7645"/>
      <c r="AI42" s="1277"/>
      <c r="AJ42" s="512" t="b">
        <f>AD42&lt;=0</f>
        <v>0</v>
      </c>
      <c r="AK42" s="2875"/>
      <c r="AL42" s="253"/>
      <c r="AM42" s="5888"/>
      <c r="AN42" s="253"/>
      <c r="AO42" s="5887"/>
      <c r="AP42" s="253"/>
      <c r="AQ42" s="253"/>
      <c r="AR42" s="7772"/>
      <c r="AS42" s="7757"/>
      <c r="AT42" s="7758"/>
      <c r="AU42" s="7774"/>
      <c r="AV42" s="7774"/>
      <c r="AW42" s="7774"/>
      <c r="AX42" s="7774"/>
      <c r="AY42" s="7768"/>
      <c r="AZ42" s="7768"/>
      <c r="BA42" s="6455"/>
      <c r="BB42" s="6452"/>
      <c r="BC42" s="6452"/>
    </row>
    <row r="43" spans="1:55" ht="18" customHeight="1">
      <c r="A43" s="1277"/>
      <c r="B43" s="253"/>
      <c r="C43" s="4467">
        <v>11</v>
      </c>
      <c r="D43" s="4467"/>
      <c r="E43" s="5995" t="str">
        <f>"Divide line 10 by "&amp;TEXT($AN$44,"$0,000")&amp;". If the resulting number isn’t a whole number, decrease the result to the next"</f>
        <v>Divide line 10 by $1,000. If the resulting number isn’t a whole number, decrease the result to the next</v>
      </c>
      <c r="F43" s="253"/>
      <c r="G43" s="253"/>
      <c r="H43" s="253"/>
      <c r="I43" s="253"/>
      <c r="J43" s="253"/>
      <c r="K43" s="253"/>
      <c r="L43" s="253"/>
      <c r="M43" s="253"/>
      <c r="N43" s="253"/>
      <c r="O43" s="253"/>
      <c r="P43" s="253"/>
      <c r="Q43" s="253"/>
      <c r="R43" s="253"/>
      <c r="S43" s="253"/>
      <c r="T43" s="253"/>
      <c r="U43" s="253"/>
      <c r="V43" s="1401"/>
      <c r="W43" s="253"/>
      <c r="X43" s="253"/>
      <c r="Y43" s="344"/>
      <c r="Z43" s="253"/>
      <c r="AA43" s="253"/>
      <c r="AB43" s="253"/>
      <c r="AC43" s="5884"/>
      <c r="AD43" s="5404"/>
      <c r="AE43" s="5405"/>
      <c r="AF43" s="5405"/>
      <c r="AG43" s="5405"/>
      <c r="AH43" s="5405"/>
      <c r="AI43" s="1277"/>
      <c r="AJ43" s="512"/>
      <c r="AK43" s="2875"/>
      <c r="AL43" s="253"/>
      <c r="AM43" s="5888"/>
      <c r="AN43" s="253"/>
      <c r="AO43" s="5889"/>
      <c r="AP43" s="253"/>
      <c r="AQ43" s="253"/>
      <c r="AR43" s="7772"/>
      <c r="AS43" s="7757"/>
      <c r="AT43" s="7758"/>
      <c r="AU43" s="7774"/>
      <c r="AV43" s="7774"/>
      <c r="AW43" s="7774"/>
      <c r="AX43" s="7774"/>
      <c r="AY43" s="7768"/>
      <c r="AZ43" s="7768"/>
      <c r="BA43" s="6455"/>
      <c r="BB43" s="6452"/>
      <c r="BC43" s="6452"/>
    </row>
    <row r="44" spans="1:55" ht="18" customHeight="1">
      <c r="A44" s="1277"/>
      <c r="B44" s="253"/>
      <c r="C44" s="4467"/>
      <c r="D44" s="4467"/>
      <c r="E44" s="5995" t="s">
        <v>5776</v>
      </c>
      <c r="F44" s="253"/>
      <c r="G44" s="253"/>
      <c r="H44" s="253"/>
      <c r="I44" s="253"/>
      <c r="J44" s="253"/>
      <c r="K44" s="253"/>
      <c r="L44" s="253"/>
      <c r="M44" s="253"/>
      <c r="N44" s="253"/>
      <c r="O44" s="253"/>
      <c r="P44" s="253"/>
      <c r="Q44" s="253"/>
      <c r="R44" s="253"/>
      <c r="S44" s="253"/>
      <c r="T44" s="253"/>
      <c r="U44" s="253"/>
      <c r="V44" s="253"/>
      <c r="W44" s="253"/>
      <c r="X44" s="253"/>
      <c r="Y44" s="253"/>
      <c r="Z44" s="253"/>
      <c r="AA44" s="253"/>
      <c r="AB44" s="1401" t="s">
        <v>824</v>
      </c>
      <c r="AC44" s="4448">
        <v>11</v>
      </c>
      <c r="AD44" s="7630" t="str">
        <f>IF(OR($AJ$38,$AJ$42),"",ROUNDDOWN(AD42/AN44,0))</f>
        <v/>
      </c>
      <c r="AE44" s="7645"/>
      <c r="AF44" s="7645"/>
      <c r="AG44" s="7645"/>
      <c r="AH44" s="7645"/>
      <c r="AI44" s="1277"/>
      <c r="AJ44" s="512"/>
      <c r="AK44" s="2875"/>
      <c r="AL44" s="253"/>
      <c r="AM44" s="5888"/>
      <c r="AN44" s="851">
        <v>1000</v>
      </c>
      <c r="AO44" s="5889"/>
      <c r="AP44" s="253"/>
      <c r="AQ44" s="253"/>
      <c r="AR44" s="7772"/>
      <c r="AS44" s="7757"/>
      <c r="AT44" s="7758"/>
      <c r="AU44" s="7774"/>
      <c r="AV44" s="7774"/>
      <c r="AW44" s="7774"/>
      <c r="AX44" s="7774"/>
      <c r="AY44" s="7768"/>
      <c r="AZ44" s="7768"/>
      <c r="BA44" s="6455"/>
      <c r="BB44" s="6452"/>
      <c r="BC44" s="6452"/>
    </row>
    <row r="45" spans="1:55" ht="20.25" customHeight="1">
      <c r="A45" s="1277"/>
      <c r="B45" s="253"/>
      <c r="C45" s="4467">
        <v>12</v>
      </c>
      <c r="D45" s="4467"/>
      <c r="E45" s="5995" t="str">
        <f>"Multiply line 11 by "&amp;TEXT($AN$45,"$0")</f>
        <v>Multiply line 11 by $100</v>
      </c>
      <c r="F45" s="253"/>
      <c r="G45" s="253"/>
      <c r="H45" s="253"/>
      <c r="I45" s="253"/>
      <c r="J45" s="253"/>
      <c r="K45" s="253"/>
      <c r="L45" s="253"/>
      <c r="M45" s="253"/>
      <c r="N45" s="253"/>
      <c r="O45" s="253"/>
      <c r="P45" s="253"/>
      <c r="Q45" s="253"/>
      <c r="R45" s="253"/>
      <c r="S45" s="253"/>
      <c r="T45" s="253"/>
      <c r="U45" s="253"/>
      <c r="V45" s="1401"/>
      <c r="W45" s="253"/>
      <c r="X45" s="253"/>
      <c r="Y45" s="253"/>
      <c r="Z45" s="253"/>
      <c r="AA45" s="253"/>
      <c r="AB45" s="1401" t="s">
        <v>1121</v>
      </c>
      <c r="AC45" s="4448">
        <v>12</v>
      </c>
      <c r="AD45" s="7630" t="str">
        <f>IF(OR($AJ$38,$AJ$42),"",ROUND(AD44*AN45,0))</f>
        <v/>
      </c>
      <c r="AE45" s="7645"/>
      <c r="AF45" s="7645"/>
      <c r="AG45" s="7645"/>
      <c r="AH45" s="7645"/>
      <c r="AI45" s="1277"/>
      <c r="AJ45" s="512"/>
      <c r="AK45" s="2875"/>
      <c r="AL45" s="253"/>
      <c r="AM45" s="5888"/>
      <c r="AN45" s="851">
        <v>100</v>
      </c>
      <c r="AO45" s="5889"/>
      <c r="AP45" s="253"/>
      <c r="AQ45" s="253"/>
      <c r="AR45" s="7772"/>
      <c r="AS45" s="7757"/>
      <c r="AT45" s="7758"/>
      <c r="AU45" s="7774"/>
      <c r="AV45" s="7774"/>
      <c r="AW45" s="7774"/>
      <c r="AX45" s="7774"/>
      <c r="AY45" s="7768"/>
      <c r="AZ45" s="7768"/>
      <c r="BA45" s="6455"/>
      <c r="BB45" s="6452"/>
      <c r="BC45" s="6452"/>
    </row>
    <row r="46" spans="1:55" ht="18" customHeight="1">
      <c r="A46" s="1277"/>
      <c r="B46" s="413"/>
      <c r="C46" s="2009">
        <v>13</v>
      </c>
      <c r="D46" s="2009"/>
      <c r="E46" s="5996" t="s">
        <v>5885</v>
      </c>
      <c r="F46" s="413"/>
      <c r="G46" s="413"/>
      <c r="H46" s="413"/>
      <c r="I46" s="413"/>
      <c r="J46" s="413"/>
      <c r="K46" s="413"/>
      <c r="L46" s="413"/>
      <c r="M46" s="413"/>
      <c r="N46" s="413"/>
      <c r="O46" s="413"/>
      <c r="P46" s="413"/>
      <c r="Q46" s="413"/>
      <c r="R46" s="413"/>
      <c r="S46" s="413"/>
      <c r="T46" s="413"/>
      <c r="U46" s="413"/>
      <c r="V46" s="413"/>
      <c r="W46" s="413"/>
      <c r="X46" s="413"/>
      <c r="Y46" s="413"/>
      <c r="Z46" s="5879"/>
      <c r="AA46" s="5879"/>
      <c r="AB46" s="6213" t="s">
        <v>911</v>
      </c>
      <c r="AC46" s="4448">
        <v>13</v>
      </c>
      <c r="AD46" s="7630" t="str">
        <f>IF(AK46&lt;&gt;"",ROUND(AK46,0),IF($AJ$38,"",IF(AJ42,AD39,MAX(0,SUM(AD39,-AD45)))))</f>
        <v/>
      </c>
      <c r="AE46" s="7645"/>
      <c r="AF46" s="7645"/>
      <c r="AG46" s="7645"/>
      <c r="AH46" s="7645"/>
      <c r="AI46" s="1277"/>
      <c r="AJ46" s="512"/>
      <c r="AK46" s="1329"/>
      <c r="AL46" s="253"/>
      <c r="AM46" s="5888"/>
      <c r="AN46" s="253"/>
      <c r="AO46" s="5889"/>
      <c r="AP46" s="253"/>
      <c r="AQ46" s="253"/>
      <c r="AR46" s="6218" t="s">
        <v>510</v>
      </c>
      <c r="AS46" s="7733"/>
      <c r="AT46" s="7734"/>
      <c r="AU46" s="6231"/>
      <c r="AV46" s="6227"/>
      <c r="AW46" s="6227"/>
      <c r="AX46" s="6227"/>
      <c r="AY46" s="6232" t="str">
        <f>IF(AND(AV46="",AW46="",AX46=""),"",SUM(AV46:AX46))</f>
        <v/>
      </c>
      <c r="AZ46" s="6232" t="str">
        <f>IF(AND(AU46="",AY46=""),"",IF(OR(AU46="",AY46=""),0,MIN(AU46,AY46)))</f>
        <v/>
      </c>
      <c r="BA46" s="6455"/>
      <c r="BB46" s="6452"/>
      <c r="BC46" s="6452"/>
    </row>
    <row r="47" spans="1:55" ht="21" customHeight="1">
      <c r="A47" s="1277"/>
      <c r="B47" s="7605" t="s">
        <v>1938</v>
      </c>
      <c r="C47" s="7605"/>
      <c r="D47" s="7605"/>
      <c r="E47" s="7606"/>
      <c r="F47" s="4446"/>
      <c r="G47" s="3376" t="s">
        <v>5777</v>
      </c>
      <c r="H47" s="4446"/>
      <c r="I47" s="4446"/>
      <c r="J47" s="4446"/>
      <c r="K47" s="4446"/>
      <c r="L47" s="4446"/>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1277"/>
      <c r="AJ47" s="512"/>
      <c r="AK47" s="2875"/>
      <c r="AL47" s="253"/>
      <c r="AM47" s="253"/>
      <c r="AN47" s="253"/>
      <c r="AO47" s="512" t="b">
        <f>AND(AlimonyRcvd&gt;0,OR(W55="",W55&gt;=$AO$9))</f>
        <v>0</v>
      </c>
      <c r="AP47" s="253"/>
      <c r="AQ47" s="253"/>
      <c r="AR47" s="6218" t="s">
        <v>516</v>
      </c>
      <c r="AS47" s="7733"/>
      <c r="AT47" s="7734"/>
      <c r="AU47" s="6227"/>
      <c r="AV47" s="6227"/>
      <c r="AW47" s="6227"/>
      <c r="AX47" s="6227"/>
      <c r="AY47" s="6232" t="str">
        <f>IF(AND(AV47="",AW47="",AX47=""),"",SUM(AV47:AX47))</f>
        <v/>
      </c>
      <c r="AZ47" s="6232" t="str">
        <f>IF(AND(AU47="",AY47=""),"",IF(OR(AU47="",AY47=""),0,MIN(AU47,AY47)))</f>
        <v/>
      </c>
      <c r="BA47" s="6455"/>
      <c r="BB47" s="6452"/>
      <c r="BC47" s="6452"/>
    </row>
    <row r="48" spans="1:55" ht="17.25" customHeight="1">
      <c r="A48" s="1277"/>
      <c r="B48" s="5997" t="s">
        <v>5889</v>
      </c>
      <c r="C48" s="4467"/>
      <c r="D48" s="4467"/>
      <c r="E48" s="4467"/>
      <c r="F48" s="4467"/>
      <c r="G48" s="4467"/>
      <c r="H48" s="4467"/>
      <c r="I48" s="4467"/>
      <c r="J48" s="4467"/>
      <c r="K48" s="4467"/>
      <c r="L48" s="4467"/>
      <c r="M48" s="253"/>
      <c r="N48" s="253"/>
      <c r="O48" s="253"/>
      <c r="P48" s="253"/>
      <c r="Q48" s="253"/>
      <c r="R48" s="253"/>
      <c r="S48" s="253"/>
      <c r="T48" s="253"/>
      <c r="U48" s="253"/>
      <c r="V48" s="253"/>
      <c r="W48" s="253"/>
      <c r="X48" s="253"/>
      <c r="Y48" s="253"/>
      <c r="Z48" s="253"/>
      <c r="AA48" s="253"/>
      <c r="AB48" s="253"/>
      <c r="AC48" s="253"/>
      <c r="AD48" s="253"/>
      <c r="AE48" s="253"/>
      <c r="AF48" s="253"/>
      <c r="AG48" s="253"/>
      <c r="AH48" s="253"/>
      <c r="AI48" s="1277"/>
      <c r="AJ48" s="7748" t="s">
        <v>6186</v>
      </c>
      <c r="AK48" s="7748"/>
      <c r="AL48" s="253"/>
      <c r="AM48" s="253"/>
      <c r="AN48" s="253"/>
      <c r="AO48" s="512"/>
      <c r="AP48" s="253"/>
      <c r="AQ48" s="253"/>
      <c r="AR48" s="6218" t="s">
        <v>518</v>
      </c>
      <c r="AS48" s="7733"/>
      <c r="AT48" s="7734"/>
      <c r="AU48" s="6227"/>
      <c r="AV48" s="6227"/>
      <c r="AW48" s="6227"/>
      <c r="AX48" s="6227"/>
      <c r="AY48" s="6232" t="str">
        <f>IF(AND(AV48="",AW48="",AX48=""),"",SUM(AV48:AX48))</f>
        <v/>
      </c>
      <c r="AZ48" s="6232" t="str">
        <f>IF(AND(AU48="",AY48=""),"",IF(OR(AU48="",AY48=""),0,MIN(AU48,AY48)))</f>
        <v/>
      </c>
      <c r="BA48" s="6455"/>
      <c r="BB48" s="6452"/>
      <c r="BC48" s="6452"/>
    </row>
    <row r="49" spans="1:55" ht="17.25" customHeight="1">
      <c r="A49" s="1277"/>
      <c r="B49" s="5998" t="s">
        <v>5781</v>
      </c>
      <c r="C49" s="4467"/>
      <c r="D49" s="4467"/>
      <c r="E49" s="4467"/>
      <c r="F49" s="4467"/>
      <c r="G49" s="4467"/>
      <c r="H49" s="4467"/>
      <c r="I49" s="4467"/>
      <c r="J49" s="4467"/>
      <c r="K49" s="4467"/>
      <c r="L49" s="4467"/>
      <c r="M49" s="253"/>
      <c r="N49" s="253"/>
      <c r="O49" s="253"/>
      <c r="P49" s="253"/>
      <c r="Q49" s="253"/>
      <c r="R49" s="253"/>
      <c r="S49" s="253"/>
      <c r="T49" s="253"/>
      <c r="U49" s="253"/>
      <c r="V49" s="253"/>
      <c r="W49" s="253"/>
      <c r="X49" s="253"/>
      <c r="Y49" s="253"/>
      <c r="Z49" s="253"/>
      <c r="AA49" s="253"/>
      <c r="AB49" s="253"/>
      <c r="AC49" s="253"/>
      <c r="AD49" s="253"/>
      <c r="AE49" s="253"/>
      <c r="AF49" s="253"/>
      <c r="AG49" s="253"/>
      <c r="AH49" s="253"/>
      <c r="AI49" s="1277"/>
      <c r="AJ49" s="7748"/>
      <c r="AK49" s="7748"/>
      <c r="AL49" s="253"/>
      <c r="AM49" s="253"/>
      <c r="AN49" s="253"/>
      <c r="AO49" s="512"/>
      <c r="AP49" s="253"/>
      <c r="AQ49" s="253"/>
      <c r="AR49" s="6218" t="s">
        <v>521</v>
      </c>
      <c r="AS49" s="7733"/>
      <c r="AT49" s="7734"/>
      <c r="AU49" s="6227"/>
      <c r="AV49" s="6227"/>
      <c r="AW49" s="6227"/>
      <c r="AX49" s="6227"/>
      <c r="AY49" s="6232" t="str">
        <f>IF(AND(AV49="",AW49="",AX49=""),"",SUM(AV49:AX49))</f>
        <v/>
      </c>
      <c r="AZ49" s="6232" t="str">
        <f>IF(AND(AU49="",AY49=""),"",IF(OR(AU49="",AY49=""),0,MIN(AU49,AY49)))</f>
        <v/>
      </c>
      <c r="BA49" s="6455"/>
      <c r="BB49" s="6452"/>
      <c r="BC49" s="6452"/>
    </row>
    <row r="50" spans="1:55" ht="17.25" customHeight="1">
      <c r="A50" s="1277"/>
      <c r="B50" s="5999" t="s">
        <v>5782</v>
      </c>
      <c r="C50" s="2009"/>
      <c r="D50" s="2009"/>
      <c r="E50" s="2009"/>
      <c r="F50" s="2009"/>
      <c r="G50" s="2009"/>
      <c r="H50" s="2009"/>
      <c r="I50" s="2009"/>
      <c r="J50" s="2009"/>
      <c r="K50" s="2009"/>
      <c r="L50" s="2009"/>
      <c r="M50" s="413"/>
      <c r="N50" s="413"/>
      <c r="O50" s="413"/>
      <c r="P50" s="413"/>
      <c r="Q50" s="413"/>
      <c r="R50" s="413"/>
      <c r="S50" s="413"/>
      <c r="T50" s="413"/>
      <c r="U50" s="413"/>
      <c r="V50" s="413"/>
      <c r="W50" s="413"/>
      <c r="X50" s="413"/>
      <c r="Y50" s="413"/>
      <c r="Z50" s="413"/>
      <c r="AA50" s="413"/>
      <c r="AB50" s="413"/>
      <c r="AC50" s="413"/>
      <c r="AD50" s="413"/>
      <c r="AE50" s="413"/>
      <c r="AF50" s="413"/>
      <c r="AG50" s="413"/>
      <c r="AH50" s="413"/>
      <c r="AI50" s="1277"/>
      <c r="AJ50" s="512"/>
      <c r="AK50" s="2875"/>
      <c r="AL50" s="253"/>
      <c r="AM50" s="253"/>
      <c r="AN50" s="253"/>
      <c r="AO50" s="512"/>
      <c r="AP50" s="253"/>
      <c r="AQ50" s="253"/>
      <c r="AR50" s="6218" t="s">
        <v>524</v>
      </c>
      <c r="AS50" s="7733"/>
      <c r="AT50" s="7734"/>
      <c r="AU50" s="6227"/>
      <c r="AV50" s="6227"/>
      <c r="AW50" s="6227"/>
      <c r="AX50" s="6227"/>
      <c r="AY50" s="6232" t="str">
        <f>IF(AND(AV50="",AW50="",AX50=""),"",SUM(AV50:AX50))</f>
        <v/>
      </c>
      <c r="AZ50" s="6232" t="str">
        <f>IF(AND(AU50="",AY50=""),"",IF(OR(AU50="",AY50=""),0,MIN(AU50,AY50)))</f>
        <v/>
      </c>
      <c r="BA50" s="6455"/>
      <c r="BB50" s="6452"/>
      <c r="BC50" s="6452"/>
    </row>
    <row r="51" spans="1:55" ht="18" customHeight="1">
      <c r="A51" s="1277"/>
      <c r="B51" s="253"/>
      <c r="C51" s="5883" t="s">
        <v>3030</v>
      </c>
      <c r="D51" s="5883"/>
      <c r="E51" s="5995" t="s">
        <v>5778</v>
      </c>
      <c r="F51" s="253"/>
      <c r="G51" s="253"/>
      <c r="H51" s="253"/>
      <c r="I51" s="253"/>
      <c r="J51" s="253"/>
      <c r="K51" s="253"/>
      <c r="L51" s="253"/>
      <c r="M51" s="253"/>
      <c r="N51" s="253"/>
      <c r="O51" s="253"/>
      <c r="P51" s="253"/>
      <c r="Q51" s="253"/>
      <c r="R51" s="253"/>
      <c r="S51" s="253"/>
      <c r="T51" s="253"/>
      <c r="U51" s="253"/>
      <c r="V51" s="1401"/>
      <c r="W51" s="5890" t="s">
        <v>3030</v>
      </c>
      <c r="X51" s="7725" t="str">
        <f>IF(AK51&lt;&gt;"",ROUND(AK51,0),IF(AW62&lt;&gt;"",AW62,""))</f>
        <v/>
      </c>
      <c r="Y51" s="7726"/>
      <c r="Z51" s="7726"/>
      <c r="AA51" s="7726"/>
      <c r="AB51" s="7727"/>
      <c r="AC51" s="5884"/>
      <c r="AD51" s="7729"/>
      <c r="AE51" s="7730"/>
      <c r="AF51" s="7730"/>
      <c r="AG51" s="7730"/>
      <c r="AH51" s="7730"/>
      <c r="AI51" s="1277"/>
      <c r="AJ51" s="512"/>
      <c r="AK51" s="1329"/>
      <c r="AL51" s="253"/>
      <c r="AM51" s="851"/>
      <c r="AN51" s="253"/>
      <c r="AO51" s="5889"/>
      <c r="AP51" s="253"/>
      <c r="AQ51" s="253"/>
      <c r="AR51" s="6216" t="s">
        <v>230</v>
      </c>
      <c r="AS51" s="7816" t="s">
        <v>6126</v>
      </c>
      <c r="AT51" s="7816"/>
      <c r="AU51" s="6233"/>
      <c r="AV51" s="6233"/>
      <c r="AW51" s="6233"/>
      <c r="AX51" s="6233"/>
      <c r="AY51" s="6233"/>
      <c r="AZ51" s="7817" t="str">
        <f>IF(AND(AZ46="",AZ47="",AZ48="",AZ49="",AZ50=""),"",SUM(AZ46:AZ50))</f>
        <v/>
      </c>
      <c r="BA51" s="6455"/>
      <c r="BB51" s="6452"/>
      <c r="BC51" s="6452"/>
    </row>
    <row r="52" spans="1:55" ht="18" customHeight="1">
      <c r="A52" s="1277"/>
      <c r="B52" s="253"/>
      <c r="C52" s="2039" t="s">
        <v>592</v>
      </c>
      <c r="D52" s="2039"/>
      <c r="E52" s="5995" t="s">
        <v>5779</v>
      </c>
      <c r="F52" s="253"/>
      <c r="G52" s="253"/>
      <c r="H52" s="253"/>
      <c r="I52" s="253"/>
      <c r="J52" s="253"/>
      <c r="K52" s="253"/>
      <c r="L52" s="253"/>
      <c r="M52" s="253"/>
      <c r="N52" s="253"/>
      <c r="O52" s="253"/>
      <c r="P52" s="253"/>
      <c r="Q52" s="253"/>
      <c r="R52" s="253"/>
      <c r="S52" s="253"/>
      <c r="T52" s="253"/>
      <c r="U52" s="253"/>
      <c r="V52" s="1401"/>
      <c r="W52" s="5891"/>
      <c r="X52" s="5892"/>
      <c r="Y52" s="4844"/>
      <c r="Z52" s="4844"/>
      <c r="AA52" s="4844"/>
      <c r="AB52" s="5893"/>
      <c r="AC52" s="5884"/>
      <c r="AD52" s="7582">
        <f>ROUND(X52,0)</f>
        <v>0</v>
      </c>
      <c r="AE52" s="7583"/>
      <c r="AF52" s="7583"/>
      <c r="AG52" s="7583"/>
      <c r="AH52" s="7583"/>
      <c r="AI52" s="1277"/>
      <c r="AJ52" s="512"/>
      <c r="AK52" s="2875"/>
      <c r="AL52" s="253"/>
      <c r="AM52" s="5888"/>
      <c r="AN52" s="253"/>
      <c r="AO52" s="5887"/>
      <c r="AP52" s="253"/>
      <c r="AQ52" s="253"/>
      <c r="AR52" s="6219"/>
      <c r="AS52" s="7816"/>
      <c r="AT52" s="7816"/>
      <c r="AU52" s="6214"/>
      <c r="AV52" s="6214"/>
      <c r="AW52" s="6214"/>
      <c r="AX52" s="6214"/>
      <c r="AY52" s="6214"/>
      <c r="AZ52" s="7818"/>
      <c r="BA52" s="6452"/>
      <c r="BB52" s="6452"/>
      <c r="BC52" s="6452"/>
    </row>
    <row r="53" spans="1:55" ht="18" customHeight="1">
      <c r="A53" s="1277"/>
      <c r="B53" s="253"/>
      <c r="C53" s="4242"/>
      <c r="D53" s="4242"/>
      <c r="E53" s="5995" t="s">
        <v>5780</v>
      </c>
      <c r="F53" s="253"/>
      <c r="G53" s="253"/>
      <c r="H53" s="253"/>
      <c r="I53" s="253"/>
      <c r="J53" s="253"/>
      <c r="K53" s="253"/>
      <c r="L53" s="253"/>
      <c r="M53" s="253"/>
      <c r="N53" s="253"/>
      <c r="O53" s="253"/>
      <c r="P53" s="253"/>
      <c r="Q53" s="253"/>
      <c r="R53" s="253"/>
      <c r="S53" s="253"/>
      <c r="T53" s="253"/>
      <c r="U53" s="253"/>
      <c r="V53" s="1401"/>
      <c r="W53" s="5372" t="s">
        <v>3031</v>
      </c>
      <c r="X53" s="7630" t="str">
        <f>IF(AK53&lt;&gt;"",ROUND(AK53,0),IF(AW73&lt;&gt;"",AW73,""))</f>
        <v/>
      </c>
      <c r="Y53" s="7655"/>
      <c r="Z53" s="7655"/>
      <c r="AA53" s="7655"/>
      <c r="AB53" s="7728"/>
      <c r="AC53" s="5884"/>
      <c r="AD53" s="7729"/>
      <c r="AE53" s="7730"/>
      <c r="AF53" s="7730"/>
      <c r="AG53" s="7730"/>
      <c r="AH53" s="7730"/>
      <c r="AI53" s="1277"/>
      <c r="AJ53" s="512" t="b">
        <f>AND(X51="",X53="")</f>
        <v>1</v>
      </c>
      <c r="AK53" s="1329"/>
      <c r="AL53" s="253"/>
      <c r="AM53" s="851"/>
      <c r="AN53" s="253"/>
      <c r="AO53" s="5887"/>
      <c r="AP53" s="253"/>
      <c r="AQ53" s="253"/>
      <c r="AR53" s="6220"/>
      <c r="AS53" s="7816"/>
      <c r="AT53" s="7816"/>
      <c r="AU53" s="6215"/>
      <c r="AV53" s="6215"/>
      <c r="AW53" s="6215"/>
      <c r="AX53" s="6215"/>
      <c r="AY53" s="6215"/>
      <c r="AZ53" s="7819"/>
      <c r="BA53" s="6452"/>
      <c r="BB53" s="6452"/>
      <c r="BC53" s="6452"/>
    </row>
    <row r="54" spans="1:55" ht="18" customHeight="1">
      <c r="A54" s="1277"/>
      <c r="B54" s="253"/>
      <c r="C54" s="2039" t="s">
        <v>595</v>
      </c>
      <c r="D54" s="4242"/>
      <c r="E54" s="5995" t="s">
        <v>5783</v>
      </c>
      <c r="F54" s="253"/>
      <c r="G54" s="253"/>
      <c r="H54" s="253"/>
      <c r="I54" s="253"/>
      <c r="J54" s="253"/>
      <c r="K54" s="253"/>
      <c r="L54" s="253"/>
      <c r="M54" s="253"/>
      <c r="N54" s="253"/>
      <c r="O54" s="253"/>
      <c r="P54" s="253"/>
      <c r="Q54" s="253"/>
      <c r="R54" s="253"/>
      <c r="S54" s="253"/>
      <c r="T54" s="253"/>
      <c r="U54" s="253"/>
      <c r="V54" s="253"/>
      <c r="W54" s="253"/>
      <c r="X54" s="253"/>
      <c r="Y54" s="253"/>
      <c r="Z54" s="253"/>
      <c r="AA54" s="253"/>
      <c r="AB54" s="253"/>
      <c r="AC54" s="4448" t="s">
        <v>3032</v>
      </c>
      <c r="AD54" s="7630" t="str">
        <f>IF($AJ$53,"",SUM(X51,X53))</f>
        <v/>
      </c>
      <c r="AE54" s="7645"/>
      <c r="AF54" s="7645"/>
      <c r="AG54" s="7645"/>
      <c r="AH54" s="7645"/>
      <c r="AI54" s="1277"/>
      <c r="AJ54" s="512"/>
      <c r="AK54" s="2875"/>
      <c r="AL54" s="253"/>
      <c r="AM54" s="5888"/>
      <c r="AN54" s="851">
        <v>12500</v>
      </c>
      <c r="AO54" s="5887"/>
      <c r="AP54" s="253"/>
      <c r="AQ54" s="253"/>
      <c r="AR54" s="769"/>
      <c r="AS54" s="769"/>
      <c r="AT54" s="769"/>
      <c r="AU54" s="769"/>
      <c r="AV54" s="769"/>
      <c r="AW54" s="769"/>
      <c r="AX54" s="769"/>
      <c r="AY54" s="769"/>
      <c r="AZ54" s="769"/>
      <c r="BA54" s="6452"/>
      <c r="BB54" s="6452"/>
      <c r="BC54" s="6452"/>
    </row>
    <row r="55" spans="1:55" ht="18" customHeight="1">
      <c r="A55" s="1277"/>
      <c r="B55" s="253"/>
      <c r="C55" s="4467">
        <v>15</v>
      </c>
      <c r="D55" s="4242"/>
      <c r="E55" s="5995" t="str">
        <f>"Enter the smaller of the amount on line 14c or "&amp;TEXT(AN54,"$0,000")&amp;" ("&amp;TEXT(AN55,"$0,000")&amp;" if married filing jointly)"</f>
        <v>Enter the smaller of the amount on line 14c or $12,500 ($25,000 if married filing jointly)</v>
      </c>
      <c r="F55" s="253"/>
      <c r="G55" s="253"/>
      <c r="H55" s="253"/>
      <c r="I55" s="253"/>
      <c r="J55" s="253"/>
      <c r="K55" s="253"/>
      <c r="L55" s="253"/>
      <c r="M55" s="253"/>
      <c r="N55" s="253"/>
      <c r="O55" s="253"/>
      <c r="P55" s="253"/>
      <c r="Q55" s="253"/>
      <c r="R55" s="253"/>
      <c r="S55" s="253"/>
      <c r="T55" s="253"/>
      <c r="U55" s="253"/>
      <c r="V55" s="253"/>
      <c r="W55" s="253"/>
      <c r="X55" s="253"/>
      <c r="Y55" s="253"/>
      <c r="Z55" s="253"/>
      <c r="AA55" s="253"/>
      <c r="AB55" s="253"/>
      <c r="AC55" s="4448">
        <v>15</v>
      </c>
      <c r="AD55" s="7630" t="str">
        <f>IF(AK55&lt;&gt;"",ROUND(AK55,0),IF($AJ$53,"",MIN(AD54,AO55)))</f>
        <v/>
      </c>
      <c r="AE55" s="7645"/>
      <c r="AF55" s="7645"/>
      <c r="AG55" s="7645"/>
      <c r="AH55" s="7645"/>
      <c r="AI55" s="1277"/>
      <c r="AJ55" s="512"/>
      <c r="AK55" s="1329"/>
      <c r="AL55" s="253"/>
      <c r="AM55" s="5888"/>
      <c r="AN55" s="851">
        <v>25000</v>
      </c>
      <c r="AO55" s="851">
        <f>IF(File_Marr_Joint&lt;&gt;"",AN55,AN54)</f>
        <v>12500</v>
      </c>
      <c r="AP55" s="253"/>
      <c r="AQ55" s="253"/>
      <c r="AR55" s="6239" t="s">
        <v>6178</v>
      </c>
      <c r="AS55" s="769"/>
      <c r="AT55" s="769"/>
      <c r="AU55" s="769"/>
      <c r="AV55" s="769"/>
      <c r="AW55" s="769"/>
      <c r="AX55" s="769"/>
      <c r="AY55" s="769"/>
      <c r="AZ55" s="769"/>
      <c r="BA55" s="6452"/>
      <c r="BB55" s="6452"/>
      <c r="BC55" s="6452"/>
    </row>
    <row r="56" spans="1:55" ht="18" customHeight="1">
      <c r="A56" s="1277"/>
      <c r="B56" s="253"/>
      <c r="C56" s="4467">
        <v>16</v>
      </c>
      <c r="D56" s="4242"/>
      <c r="E56" s="5995" t="s">
        <v>5784</v>
      </c>
      <c r="F56" s="253"/>
      <c r="G56" s="253"/>
      <c r="H56" s="253"/>
      <c r="I56" s="253"/>
      <c r="J56" s="253"/>
      <c r="K56" s="253"/>
      <c r="L56" s="253"/>
      <c r="M56" s="253"/>
      <c r="N56" s="253"/>
      <c r="O56" s="253"/>
      <c r="P56" s="253"/>
      <c r="Q56" s="253"/>
      <c r="R56" s="253"/>
      <c r="S56" s="253"/>
      <c r="T56" s="253"/>
      <c r="U56" s="253"/>
      <c r="V56" s="253"/>
      <c r="W56" s="253"/>
      <c r="X56" s="253"/>
      <c r="Y56" s="253"/>
      <c r="Z56" s="253"/>
      <c r="AA56" s="253"/>
      <c r="AB56" s="253"/>
      <c r="AC56" s="4448">
        <v>16</v>
      </c>
      <c r="AD56" s="7630" t="str">
        <f>IF(AK56&lt;&gt;"",ROUND(AK56,0),IF($AJ$53,"",$AD$17))</f>
        <v/>
      </c>
      <c r="AE56" s="7645"/>
      <c r="AF56" s="7645"/>
      <c r="AG56" s="7645"/>
      <c r="AH56" s="7645"/>
      <c r="AI56" s="1277"/>
      <c r="AJ56" s="512"/>
      <c r="AK56" s="1329"/>
      <c r="AL56" s="253"/>
      <c r="AM56" s="5888"/>
      <c r="AN56" s="253"/>
      <c r="AO56" s="5887"/>
      <c r="AP56" s="253"/>
      <c r="AQ56" s="253"/>
      <c r="AR56" s="6244" t="s">
        <v>228</v>
      </c>
      <c r="AS56" s="6240" t="s">
        <v>6179</v>
      </c>
      <c r="AT56" s="6242"/>
      <c r="AU56" s="6242"/>
      <c r="AV56" s="6243"/>
      <c r="AW56" s="6240" t="s">
        <v>6180</v>
      </c>
      <c r="AX56" s="6241"/>
      <c r="AY56" s="6242"/>
      <c r="AZ56" s="6243"/>
      <c r="BA56" s="6452"/>
      <c r="BB56" s="6452"/>
      <c r="BC56" s="6452"/>
    </row>
    <row r="57" spans="1:55" ht="18" customHeight="1">
      <c r="A57" s="1277"/>
      <c r="B57" s="253"/>
      <c r="C57" s="4467">
        <v>17</v>
      </c>
      <c r="D57" s="4242"/>
      <c r="E57" s="5995" t="str">
        <f>"Enter "&amp;TEXT($AN$40,"$0,000")&amp;" ("&amp;TEXT($AN$41,"$0,000")&amp;" if married filing jointly)"</f>
        <v>Enter $150,000 ($300,000 if married filing jointly)</v>
      </c>
      <c r="F57" s="253"/>
      <c r="G57" s="253"/>
      <c r="H57" s="253"/>
      <c r="I57" s="253"/>
      <c r="J57" s="253"/>
      <c r="K57" s="253"/>
      <c r="L57" s="253"/>
      <c r="M57" s="253"/>
      <c r="N57" s="253"/>
      <c r="O57" s="253"/>
      <c r="P57" s="253"/>
      <c r="Q57" s="253"/>
      <c r="R57" s="253"/>
      <c r="S57" s="253"/>
      <c r="T57" s="253"/>
      <c r="U57" s="253"/>
      <c r="V57" s="253"/>
      <c r="W57" s="253"/>
      <c r="X57" s="253"/>
      <c r="Y57" s="253"/>
      <c r="Z57" s="253"/>
      <c r="AA57" s="253"/>
      <c r="AB57" s="253"/>
      <c r="AC57" s="4448">
        <v>17</v>
      </c>
      <c r="AD57" s="7630" t="str">
        <f>IF($AJ$53,"",AO41)</f>
        <v/>
      </c>
      <c r="AE57" s="7645"/>
      <c r="AF57" s="7645"/>
      <c r="AG57" s="7645"/>
      <c r="AH57" s="7645"/>
      <c r="AI57" s="1277"/>
      <c r="AJ57" s="512"/>
      <c r="AK57" s="2875"/>
      <c r="AL57" s="253"/>
      <c r="AM57" s="5888"/>
      <c r="AN57" s="253"/>
      <c r="AO57" s="5887"/>
      <c r="AP57" s="253"/>
      <c r="AQ57" s="253"/>
      <c r="AR57" s="6218" t="s">
        <v>510</v>
      </c>
      <c r="AS57" s="7798"/>
      <c r="AT57" s="7799"/>
      <c r="AU57" s="7799"/>
      <c r="AV57" s="7800"/>
      <c r="AW57" s="7801"/>
      <c r="AX57" s="7802"/>
      <c r="AY57" s="7802"/>
      <c r="AZ57" s="7803"/>
      <c r="BA57" s="6452"/>
      <c r="BB57" s="6452"/>
      <c r="BC57" s="6452"/>
    </row>
    <row r="58" spans="1:55" ht="18" customHeight="1">
      <c r="A58" s="1277"/>
      <c r="B58" s="253"/>
      <c r="C58" s="4467">
        <v>18</v>
      </c>
      <c r="D58" s="4242"/>
      <c r="E58" s="5995" t="s">
        <v>5785</v>
      </c>
      <c r="F58" s="253"/>
      <c r="G58" s="253"/>
      <c r="H58" s="253"/>
      <c r="I58" s="253"/>
      <c r="J58" s="253"/>
      <c r="K58" s="253"/>
      <c r="L58" s="253"/>
      <c r="M58" s="253"/>
      <c r="N58" s="253"/>
      <c r="O58" s="253"/>
      <c r="P58" s="253"/>
      <c r="Q58" s="253"/>
      <c r="R58" s="253"/>
      <c r="S58" s="253"/>
      <c r="T58" s="253"/>
      <c r="U58" s="253"/>
      <c r="V58" s="253"/>
      <c r="W58" s="253"/>
      <c r="X58" s="253"/>
      <c r="Y58" s="253"/>
      <c r="Z58" s="253"/>
      <c r="AA58" s="253"/>
      <c r="AB58" s="253"/>
      <c r="AC58" s="4448">
        <v>18</v>
      </c>
      <c r="AD58" s="7630" t="str">
        <f>IF(AK58&lt;&gt;"",ROUND(AK58,0),IF($AJ$53,"",SUM(AD56,-AD57)))</f>
        <v/>
      </c>
      <c r="AE58" s="7645"/>
      <c r="AF58" s="7645"/>
      <c r="AG58" s="7645"/>
      <c r="AH58" s="7645"/>
      <c r="AI58" s="1277"/>
      <c r="AJ58" s="5943" t="b">
        <f>AD58&lt;=0</f>
        <v>0</v>
      </c>
      <c r="AK58" s="1329"/>
      <c r="AL58" s="253"/>
      <c r="AM58" s="5888"/>
      <c r="AN58" s="253"/>
      <c r="AO58" s="5887"/>
      <c r="AP58" s="253"/>
      <c r="AQ58" s="253"/>
      <c r="AR58" s="6218" t="s">
        <v>516</v>
      </c>
      <c r="AS58" s="7798"/>
      <c r="AT58" s="7799"/>
      <c r="AU58" s="7799"/>
      <c r="AV58" s="7800"/>
      <c r="AW58" s="7801"/>
      <c r="AX58" s="7802"/>
      <c r="AY58" s="7802"/>
      <c r="AZ58" s="7803"/>
      <c r="BA58" s="6452"/>
      <c r="BB58" s="6452"/>
      <c r="BC58" s="6452"/>
    </row>
    <row r="59" spans="1:55" ht="18" customHeight="1">
      <c r="A59" s="1277"/>
      <c r="B59" s="253"/>
      <c r="C59" s="4467">
        <v>19</v>
      </c>
      <c r="D59" s="4242"/>
      <c r="E59" s="5995" t="str">
        <f>"Divide line 18 by "&amp;TEXT($AN$44,"$0,000")&amp;". If the resulting number isn’t a whole number, decrease the result to the next"</f>
        <v>Divide line 18 by $1,000. If the resulting number isn’t a whole number, decrease the result to the next</v>
      </c>
      <c r="F59" s="253"/>
      <c r="G59" s="253"/>
      <c r="H59" s="253"/>
      <c r="I59" s="253"/>
      <c r="J59" s="253"/>
      <c r="K59" s="253"/>
      <c r="L59" s="253"/>
      <c r="M59" s="253"/>
      <c r="N59" s="253"/>
      <c r="O59" s="253"/>
      <c r="P59" s="253"/>
      <c r="Q59" s="253"/>
      <c r="R59" s="253"/>
      <c r="S59" s="253"/>
      <c r="T59" s="253"/>
      <c r="U59" s="253"/>
      <c r="V59" s="253"/>
      <c r="W59" s="253"/>
      <c r="X59" s="253"/>
      <c r="Y59" s="253"/>
      <c r="Z59" s="253"/>
      <c r="AA59" s="253"/>
      <c r="AB59" s="253"/>
      <c r="AC59" s="4454"/>
      <c r="AD59" s="7582"/>
      <c r="AE59" s="7583"/>
      <c r="AF59" s="7583"/>
      <c r="AG59" s="7583"/>
      <c r="AH59" s="7583"/>
      <c r="AI59" s="1277"/>
      <c r="AJ59" s="7748" t="s">
        <v>6186</v>
      </c>
      <c r="AK59" s="7748"/>
      <c r="AL59" s="253"/>
      <c r="AM59" s="5888"/>
      <c r="AN59" s="253"/>
      <c r="AO59" s="5887"/>
      <c r="AP59" s="253"/>
      <c r="AQ59" s="253"/>
      <c r="AR59" s="6218" t="s">
        <v>518</v>
      </c>
      <c r="AS59" s="7798"/>
      <c r="AT59" s="7799"/>
      <c r="AU59" s="7799"/>
      <c r="AV59" s="7800"/>
      <c r="AW59" s="7801"/>
      <c r="AX59" s="7802"/>
      <c r="AY59" s="7802"/>
      <c r="AZ59" s="7803"/>
      <c r="BA59" s="6452"/>
      <c r="BB59" s="6452"/>
      <c r="BC59" s="6452"/>
    </row>
    <row r="60" spans="1:55" ht="18" customHeight="1">
      <c r="A60" s="1277"/>
      <c r="B60" s="253"/>
      <c r="C60" s="4242"/>
      <c r="D60" s="4242"/>
      <c r="E60" s="5995" t="s">
        <v>5776</v>
      </c>
      <c r="F60" s="253"/>
      <c r="G60" s="253"/>
      <c r="H60" s="253"/>
      <c r="I60" s="253"/>
      <c r="J60" s="253"/>
      <c r="K60" s="253"/>
      <c r="L60" s="253"/>
      <c r="M60" s="253"/>
      <c r="N60" s="253"/>
      <c r="O60" s="253"/>
      <c r="P60" s="253"/>
      <c r="Q60" s="253"/>
      <c r="R60" s="253"/>
      <c r="S60" s="253"/>
      <c r="T60" s="253"/>
      <c r="U60" s="253"/>
      <c r="V60" s="253"/>
      <c r="W60" s="253"/>
      <c r="X60" s="253"/>
      <c r="Y60" s="253"/>
      <c r="Z60" s="253"/>
      <c r="AA60" s="253"/>
      <c r="AB60" s="253"/>
      <c r="AC60" s="4448">
        <v>19</v>
      </c>
      <c r="AD60" s="7630" t="str">
        <f>IF(OR(AJ53,AJ58),"",ROUNDDOWN(AD58/$AN$44,0))</f>
        <v/>
      </c>
      <c r="AE60" s="7718"/>
      <c r="AF60" s="7718"/>
      <c r="AG60" s="7718"/>
      <c r="AH60" s="7718"/>
      <c r="AI60" s="1277"/>
      <c r="AJ60" s="7748"/>
      <c r="AK60" s="7748"/>
      <c r="AL60" s="253"/>
      <c r="AM60" s="5888"/>
      <c r="AN60" s="253"/>
      <c r="AO60" s="5887"/>
      <c r="AP60" s="253"/>
      <c r="AQ60" s="253"/>
      <c r="AR60" s="6218" t="s">
        <v>521</v>
      </c>
      <c r="AS60" s="7798"/>
      <c r="AT60" s="7799"/>
      <c r="AU60" s="7799"/>
      <c r="AV60" s="7800"/>
      <c r="AW60" s="7801"/>
      <c r="AX60" s="7802"/>
      <c r="AY60" s="7802"/>
      <c r="AZ60" s="7803"/>
      <c r="BA60" s="6452"/>
      <c r="BB60" s="6452"/>
      <c r="BC60" s="6452"/>
    </row>
    <row r="61" spans="1:55" ht="16.5">
      <c r="A61" s="1277"/>
      <c r="B61" s="253"/>
      <c r="C61" s="4467">
        <v>20</v>
      </c>
      <c r="D61" s="4242"/>
      <c r="E61" s="5995" t="str">
        <f>"Multiply line 19 by "&amp;TEXT($AN$45,"$0")</f>
        <v>Multiply line 19 by $100</v>
      </c>
      <c r="F61" s="253"/>
      <c r="G61" s="253"/>
      <c r="H61" s="253"/>
      <c r="I61" s="253"/>
      <c r="J61" s="253"/>
      <c r="K61" s="253"/>
      <c r="L61" s="253"/>
      <c r="M61" s="253"/>
      <c r="N61" s="253"/>
      <c r="O61" s="253"/>
      <c r="P61" s="253"/>
      <c r="Q61" s="253"/>
      <c r="R61" s="253"/>
      <c r="S61" s="253"/>
      <c r="T61" s="253"/>
      <c r="U61" s="253"/>
      <c r="V61" s="253"/>
      <c r="W61" s="253"/>
      <c r="X61" s="253"/>
      <c r="Y61" s="253"/>
      <c r="Z61" s="253"/>
      <c r="AA61" s="253"/>
      <c r="AB61" s="253"/>
      <c r="AC61" s="4448">
        <v>20</v>
      </c>
      <c r="AD61" s="7630" t="str">
        <f>IF(OR(AJ53,AJ58),"",ROUND(AD60*AN45,0))</f>
        <v/>
      </c>
      <c r="AE61" s="7645"/>
      <c r="AF61" s="7645"/>
      <c r="AG61" s="7645"/>
      <c r="AH61" s="7645"/>
      <c r="AI61" s="1277"/>
      <c r="AJ61" s="512"/>
      <c r="AK61" s="1329"/>
      <c r="AL61" s="253"/>
      <c r="AM61" s="5888"/>
      <c r="AN61" s="253"/>
      <c r="AO61" s="5887"/>
      <c r="AP61" s="253"/>
      <c r="AQ61" s="253"/>
      <c r="AR61" s="6218" t="s">
        <v>524</v>
      </c>
      <c r="AS61" s="7798"/>
      <c r="AT61" s="7799"/>
      <c r="AU61" s="7799"/>
      <c r="AV61" s="7800"/>
      <c r="AW61" s="7801"/>
      <c r="AX61" s="7802"/>
      <c r="AY61" s="7802"/>
      <c r="AZ61" s="7803"/>
      <c r="BA61" s="6452"/>
      <c r="BB61" s="6452"/>
      <c r="BC61" s="6452"/>
    </row>
    <row r="62" spans="1:55" ht="17.25" customHeight="1" thickBot="1">
      <c r="A62" s="1277"/>
      <c r="B62" s="413"/>
      <c r="C62" s="2008">
        <v>21</v>
      </c>
      <c r="D62" s="2008"/>
      <c r="E62" s="5996" t="s">
        <v>5886</v>
      </c>
      <c r="F62" s="413"/>
      <c r="G62" s="413"/>
      <c r="H62" s="413"/>
      <c r="I62" s="413"/>
      <c r="J62" s="413"/>
      <c r="K62" s="413"/>
      <c r="L62" s="413"/>
      <c r="M62" s="413"/>
      <c r="N62" s="413"/>
      <c r="O62" s="413"/>
      <c r="P62" s="413"/>
      <c r="Q62" s="413"/>
      <c r="R62" s="413"/>
      <c r="S62" s="413"/>
      <c r="T62" s="413"/>
      <c r="U62" s="413"/>
      <c r="V62" s="413"/>
      <c r="W62" s="413"/>
      <c r="X62" s="413"/>
      <c r="Y62" s="413"/>
      <c r="Z62" s="413"/>
      <c r="AA62" s="413"/>
      <c r="AB62" s="413"/>
      <c r="AC62" s="4448">
        <v>21</v>
      </c>
      <c r="AD62" s="7630" t="str">
        <f>IF(AK62&lt;&gt;"",ROUND(AK62,0),IF($AJ$53,"",IF(AND(NOT(AJ53),AJ58),AD55,MAX(0,SUM(AD55,-AD61)))))</f>
        <v/>
      </c>
      <c r="AE62" s="7645"/>
      <c r="AF62" s="7645"/>
      <c r="AG62" s="7645"/>
      <c r="AH62" s="7645"/>
      <c r="AI62" s="1277"/>
      <c r="AJ62" s="512"/>
      <c r="AK62" s="2875"/>
      <c r="AL62" s="253"/>
      <c r="AM62" s="5888"/>
      <c r="AN62" s="253"/>
      <c r="AO62" s="5887"/>
      <c r="AP62" s="253"/>
      <c r="AQ62" s="253"/>
      <c r="AR62" s="7796" t="s">
        <v>230</v>
      </c>
      <c r="AS62" s="7790" t="s">
        <v>6181</v>
      </c>
      <c r="AT62" s="7791"/>
      <c r="AU62" s="7791"/>
      <c r="AV62" s="7792"/>
      <c r="AW62" s="7781" t="str">
        <f>IF(SUM(AW57:AZ61)&gt;0,ROUND(SUM(AW57:AZ61),0),"")</f>
        <v/>
      </c>
      <c r="AX62" s="7782"/>
      <c r="AY62" s="7782"/>
      <c r="AZ62" s="7782"/>
      <c r="BA62" s="6452"/>
      <c r="BB62" s="6452"/>
      <c r="BC62" s="6452"/>
    </row>
    <row r="63" spans="1:55" ht="14.25" customHeight="1" thickTop="1">
      <c r="A63" s="1277"/>
      <c r="B63" s="5894" t="s">
        <v>865</v>
      </c>
      <c r="C63" s="5895"/>
      <c r="D63" s="5895"/>
      <c r="E63" s="257"/>
      <c r="F63" s="257"/>
      <c r="G63" s="257"/>
      <c r="H63" s="257"/>
      <c r="I63" s="257"/>
      <c r="J63" s="257"/>
      <c r="K63" s="257"/>
      <c r="L63" s="257"/>
      <c r="M63" s="257"/>
      <c r="N63" s="257"/>
      <c r="O63" s="257"/>
      <c r="P63" s="257"/>
      <c r="Q63" s="257"/>
      <c r="R63" s="257"/>
      <c r="S63" s="2279" t="s">
        <v>5786</v>
      </c>
      <c r="T63" s="2279"/>
      <c r="U63" s="5896"/>
      <c r="V63" s="2279"/>
      <c r="W63" s="257"/>
      <c r="X63" s="2279"/>
      <c r="Y63" s="257"/>
      <c r="Z63" s="257"/>
      <c r="AA63" s="257"/>
      <c r="AB63" s="5897"/>
      <c r="AC63" s="257"/>
      <c r="AD63" s="5897" t="str">
        <f>"Schedule 1-A (Form 1040) "&amp;TaxYear</f>
        <v>Schedule 1-A (Form 1040) 2025</v>
      </c>
      <c r="AE63" s="257"/>
      <c r="AF63" s="257"/>
      <c r="AG63" s="257"/>
      <c r="AH63" s="2935" t="s">
        <v>6715</v>
      </c>
      <c r="AI63" s="1277"/>
      <c r="AJ63" s="512"/>
      <c r="AK63" s="2875"/>
      <c r="AL63" s="253"/>
      <c r="AM63" s="5888"/>
      <c r="AN63" s="253"/>
      <c r="AO63" s="5887"/>
      <c r="AP63" s="253"/>
      <c r="AQ63" s="253"/>
      <c r="AR63" s="7797"/>
      <c r="AS63" s="7793"/>
      <c r="AT63" s="7794"/>
      <c r="AU63" s="7794"/>
      <c r="AV63" s="7795"/>
      <c r="AW63" s="7784"/>
      <c r="AX63" s="7785"/>
      <c r="AY63" s="7785"/>
      <c r="AZ63" s="7785"/>
      <c r="BA63" s="6452"/>
      <c r="BB63" s="6452"/>
      <c r="BC63" s="6452"/>
    </row>
    <row r="64" spans="1:55" ht="20.25" customHeight="1" thickBot="1">
      <c r="A64" s="1277"/>
      <c r="B64" s="5898" t="str">
        <f>"Schedule 1-A (Form 1040)  " &amp; TaxYear</f>
        <v>Schedule 1-A (Form 1040)  2025</v>
      </c>
      <c r="C64" s="5386"/>
      <c r="D64" s="5386"/>
      <c r="E64" s="380"/>
      <c r="F64" s="380"/>
      <c r="G64" s="380"/>
      <c r="H64" s="380"/>
      <c r="I64" s="380"/>
      <c r="J64" s="380"/>
      <c r="K64" s="380"/>
      <c r="L64" s="380"/>
      <c r="M64" s="380"/>
      <c r="N64" s="380"/>
      <c r="O64" s="380"/>
      <c r="P64" s="380"/>
      <c r="Q64" s="380"/>
      <c r="R64" s="380"/>
      <c r="S64" s="380"/>
      <c r="T64" s="380"/>
      <c r="U64" s="348"/>
      <c r="V64" s="348"/>
      <c r="W64" s="380"/>
      <c r="X64" s="2266"/>
      <c r="Y64" s="380"/>
      <c r="Z64" s="380"/>
      <c r="AA64" s="380"/>
      <c r="AB64" s="380"/>
      <c r="AC64" s="380"/>
      <c r="AD64" s="380"/>
      <c r="AE64" s="380"/>
      <c r="AF64" s="380"/>
      <c r="AG64" s="380"/>
      <c r="AH64" s="4188" t="s">
        <v>867</v>
      </c>
      <c r="AI64" s="1277"/>
      <c r="AJ64" s="512"/>
      <c r="AK64" s="5899"/>
      <c r="AL64" s="512"/>
      <c r="AM64" s="2516"/>
      <c r="AN64" s="512"/>
      <c r="AO64" s="5900"/>
      <c r="AP64" s="253"/>
      <c r="AQ64" s="253"/>
      <c r="AR64" s="769"/>
      <c r="AS64" s="769"/>
      <c r="AT64" s="769"/>
      <c r="AU64" s="769"/>
      <c r="AV64" s="769"/>
      <c r="AW64" s="769"/>
      <c r="AX64" s="769"/>
      <c r="AY64" s="769"/>
      <c r="AZ64" s="769"/>
      <c r="BA64" s="6452"/>
      <c r="BB64" s="6452"/>
      <c r="BC64" s="6452"/>
    </row>
    <row r="65" spans="1:55" ht="21" customHeight="1">
      <c r="A65" s="1277"/>
      <c r="B65" s="7646" t="s">
        <v>2102</v>
      </c>
      <c r="C65" s="7646"/>
      <c r="D65" s="7646"/>
      <c r="E65" s="7647"/>
      <c r="F65" s="2009"/>
      <c r="G65" s="5388" t="s">
        <v>5787</v>
      </c>
      <c r="H65" s="2009"/>
      <c r="I65" s="2009"/>
      <c r="J65" s="2009"/>
      <c r="K65" s="2009"/>
      <c r="L65" s="2009"/>
      <c r="M65" s="413"/>
      <c r="N65" s="413"/>
      <c r="O65" s="413"/>
      <c r="P65" s="413"/>
      <c r="Q65" s="413"/>
      <c r="R65" s="413"/>
      <c r="S65" s="413"/>
      <c r="T65" s="413"/>
      <c r="U65" s="413"/>
      <c r="V65" s="413"/>
      <c r="W65" s="413"/>
      <c r="X65" s="413"/>
      <c r="Y65" s="7581"/>
      <c r="Z65" s="7581"/>
      <c r="AA65" s="7581"/>
      <c r="AB65" s="7581"/>
      <c r="AC65" s="1996"/>
      <c r="AD65" s="7581"/>
      <c r="AE65" s="7581"/>
      <c r="AF65" s="7581"/>
      <c r="AG65" s="7581"/>
      <c r="AH65" s="7581"/>
      <c r="AI65" s="1277"/>
      <c r="AJ65" s="512"/>
      <c r="AK65" s="5899"/>
      <c r="AL65" s="512"/>
      <c r="AM65" s="512" t="str">
        <f>IF(OR(F8889_Line16&gt;0,F8889_Line20),"HSA = "&amp;TEXT(SUM(F8889_Line16,F8889_Line20),"$0"),"")</f>
        <v/>
      </c>
      <c r="AN65" s="512"/>
      <c r="AO65" s="5900"/>
      <c r="AP65" s="253"/>
      <c r="AQ65" s="253"/>
      <c r="AR65" s="6239" t="s">
        <v>6182</v>
      </c>
      <c r="AS65" s="769"/>
      <c r="AT65" s="769"/>
      <c r="AU65" s="769"/>
      <c r="AV65" s="769"/>
      <c r="AW65" s="769"/>
      <c r="AX65" s="769"/>
      <c r="AY65" s="769"/>
      <c r="AZ65" s="769"/>
      <c r="BA65" s="6452"/>
      <c r="BB65" s="6452"/>
      <c r="BC65" s="6452"/>
    </row>
    <row r="66" spans="1:55" ht="17.25" customHeight="1">
      <c r="A66" s="1277"/>
      <c r="B66" s="5997" t="s">
        <v>5891</v>
      </c>
      <c r="C66" s="4467"/>
      <c r="D66" s="4467"/>
      <c r="E66" s="4467"/>
      <c r="F66" s="4467"/>
      <c r="G66" s="4467"/>
      <c r="H66" s="4467"/>
      <c r="I66" s="4467"/>
      <c r="J66" s="4467"/>
      <c r="K66" s="4467"/>
      <c r="L66" s="4467"/>
      <c r="M66" s="253"/>
      <c r="N66" s="253"/>
      <c r="O66" s="253"/>
      <c r="P66" s="253"/>
      <c r="Q66" s="253"/>
      <c r="R66" s="253"/>
      <c r="S66" s="253"/>
      <c r="T66" s="253"/>
      <c r="U66" s="253"/>
      <c r="V66" s="253"/>
      <c r="W66" s="253"/>
      <c r="X66" s="253"/>
      <c r="Y66" s="253"/>
      <c r="Z66" s="253"/>
      <c r="AA66" s="253"/>
      <c r="AB66" s="253"/>
      <c r="AC66" s="253"/>
      <c r="AD66" s="253"/>
      <c r="AE66" s="253"/>
      <c r="AF66" s="253"/>
      <c r="AG66" s="253"/>
      <c r="AH66" s="253"/>
      <c r="AI66" s="1277"/>
      <c r="AJ66" s="512"/>
      <c r="AK66" s="5899"/>
      <c r="AL66" s="253"/>
      <c r="AM66" s="253"/>
      <c r="AN66" s="253"/>
      <c r="AO66" s="512"/>
      <c r="AP66" s="253"/>
      <c r="AQ66" s="253"/>
      <c r="AR66" s="7771" t="s">
        <v>228</v>
      </c>
      <c r="AS66" s="7761" t="s">
        <v>6184</v>
      </c>
      <c r="AT66" s="7805"/>
      <c r="AU66" s="7805"/>
      <c r="AV66" s="7806"/>
      <c r="AW66" s="7810" t="s">
        <v>6183</v>
      </c>
      <c r="AX66" s="7811"/>
      <c r="AY66" s="7811"/>
      <c r="AZ66" s="7812"/>
      <c r="BA66" s="6452"/>
      <c r="BB66" s="6452"/>
      <c r="BC66" s="6452"/>
    </row>
    <row r="67" spans="1:55" ht="17.25" customHeight="1">
      <c r="A67" s="1277"/>
      <c r="B67" s="5999" t="s">
        <v>5890</v>
      </c>
      <c r="C67" s="2009"/>
      <c r="D67" s="2009"/>
      <c r="E67" s="2009"/>
      <c r="F67" s="2009"/>
      <c r="G67" s="2009"/>
      <c r="H67" s="2009"/>
      <c r="I67" s="2009"/>
      <c r="J67" s="2009"/>
      <c r="K67" s="2009"/>
      <c r="L67" s="2009"/>
      <c r="M67" s="413"/>
      <c r="N67" s="413"/>
      <c r="O67" s="413"/>
      <c r="P67" s="413"/>
      <c r="Q67" s="413"/>
      <c r="R67" s="413"/>
      <c r="S67" s="413"/>
      <c r="T67" s="413"/>
      <c r="U67" s="413"/>
      <c r="V67" s="413"/>
      <c r="W67" s="413"/>
      <c r="X67" s="413"/>
      <c r="Y67" s="413"/>
      <c r="Z67" s="413"/>
      <c r="AA67" s="413"/>
      <c r="AB67" s="413"/>
      <c r="AC67" s="413"/>
      <c r="AD67" s="413"/>
      <c r="AE67" s="413"/>
      <c r="AF67" s="413"/>
      <c r="AG67" s="413"/>
      <c r="AH67" s="413"/>
      <c r="AI67" s="1277"/>
      <c r="AJ67" s="512"/>
      <c r="AK67" s="5899"/>
      <c r="AL67" s="253"/>
      <c r="AM67" s="253"/>
      <c r="AN67" s="253"/>
      <c r="AO67" s="512"/>
      <c r="AP67" s="253"/>
      <c r="AQ67" s="253"/>
      <c r="AR67" s="7804"/>
      <c r="AS67" s="7807"/>
      <c r="AT67" s="7808"/>
      <c r="AU67" s="7808"/>
      <c r="AV67" s="7809"/>
      <c r="AW67" s="7813"/>
      <c r="AX67" s="7814"/>
      <c r="AY67" s="7814"/>
      <c r="AZ67" s="7815"/>
      <c r="BA67" s="6452"/>
      <c r="BB67" s="6452"/>
      <c r="BC67" s="6452"/>
    </row>
    <row r="68" spans="1:55" ht="18" customHeight="1">
      <c r="A68" s="1277"/>
      <c r="B68" s="511"/>
      <c r="C68" s="4242">
        <v>22</v>
      </c>
      <c r="D68" s="4242"/>
      <c r="E68" s="2120" t="s">
        <v>5788</v>
      </c>
      <c r="F68" s="3901"/>
      <c r="G68" s="3901"/>
      <c r="H68" s="773"/>
      <c r="I68" s="773"/>
      <c r="J68" s="773"/>
      <c r="K68" s="773"/>
      <c r="L68" s="773"/>
      <c r="M68" s="773"/>
      <c r="N68" s="773"/>
      <c r="O68" s="773"/>
      <c r="P68" s="773"/>
      <c r="Q68" s="773"/>
      <c r="R68" s="773"/>
      <c r="S68" s="4038"/>
      <c r="T68" s="5901"/>
      <c r="U68" s="5902"/>
      <c r="V68" s="773"/>
      <c r="W68" s="4039"/>
      <c r="X68" s="4039"/>
      <c r="Y68" s="4039"/>
      <c r="Z68" s="4039"/>
      <c r="AA68" s="4039"/>
      <c r="AB68" s="4039"/>
      <c r="AC68" s="4039"/>
      <c r="AD68" s="4039"/>
      <c r="AE68" s="4039"/>
      <c r="AF68" s="4039"/>
      <c r="AG68" s="4039"/>
      <c r="AH68" s="4039"/>
      <c r="AI68" s="1277"/>
      <c r="AJ68" s="512"/>
      <c r="AK68" s="5899"/>
      <c r="AL68" s="512"/>
      <c r="AM68" s="514"/>
      <c r="AN68" s="512"/>
      <c r="AO68" s="5900"/>
      <c r="AP68" s="253"/>
      <c r="AQ68" s="253"/>
      <c r="AR68" s="6218" t="s">
        <v>510</v>
      </c>
      <c r="AS68" s="7798"/>
      <c r="AT68" s="7799"/>
      <c r="AU68" s="7799"/>
      <c r="AV68" s="7800"/>
      <c r="AW68" s="7801"/>
      <c r="AX68" s="7802"/>
      <c r="AY68" s="7802"/>
      <c r="AZ68" s="7803"/>
      <c r="BA68" s="6452"/>
      <c r="BB68" s="6452"/>
      <c r="BC68" s="6452"/>
    </row>
    <row r="69" spans="1:55" ht="18" customHeight="1">
      <c r="A69" s="1277"/>
      <c r="B69" s="511"/>
      <c r="C69" s="4242"/>
      <c r="D69" s="4242"/>
      <c r="E69" s="511"/>
      <c r="F69" s="511"/>
      <c r="G69" s="511"/>
      <c r="H69" s="253"/>
      <c r="I69" s="253"/>
      <c r="J69" s="253"/>
      <c r="K69" s="253"/>
      <c r="L69" s="253"/>
      <c r="M69" s="253"/>
      <c r="N69" s="253"/>
      <c r="O69" s="253"/>
      <c r="P69" s="253"/>
      <c r="Q69" s="253"/>
      <c r="R69" s="253"/>
      <c r="S69" s="253"/>
      <c r="T69" s="1218"/>
      <c r="U69" s="2373"/>
      <c r="V69" s="253"/>
      <c r="W69" s="817"/>
      <c r="X69" s="253"/>
      <c r="Y69" s="7690" t="s">
        <v>5789</v>
      </c>
      <c r="Z69" s="7691"/>
      <c r="AA69" s="7691"/>
      <c r="AB69" s="7691"/>
      <c r="AC69" s="7691"/>
      <c r="AD69" s="7691"/>
      <c r="AE69" s="7691"/>
      <c r="AF69" s="7691"/>
      <c r="AG69" s="7691"/>
      <c r="AH69" s="7691"/>
      <c r="AI69" s="1277"/>
      <c r="AJ69" s="512"/>
      <c r="AK69" s="5899"/>
      <c r="AL69" s="512"/>
      <c r="AM69" s="512"/>
      <c r="AN69" s="512"/>
      <c r="AO69" s="5900"/>
      <c r="AP69" s="253"/>
      <c r="AQ69" s="253"/>
      <c r="AR69" s="6218" t="s">
        <v>516</v>
      </c>
      <c r="AS69" s="7798"/>
      <c r="AT69" s="7799"/>
      <c r="AU69" s="7799"/>
      <c r="AV69" s="7800"/>
      <c r="AW69" s="7801"/>
      <c r="AX69" s="7802"/>
      <c r="AY69" s="7802"/>
      <c r="AZ69" s="7803"/>
      <c r="BA69" s="6452"/>
      <c r="BB69" s="6452"/>
      <c r="BC69" s="6452"/>
    </row>
    <row r="70" spans="1:55" ht="18" customHeight="1">
      <c r="A70" s="1277"/>
      <c r="B70" s="511"/>
      <c r="C70" s="4242"/>
      <c r="D70" s="4242"/>
      <c r="E70" s="511"/>
      <c r="F70" s="511"/>
      <c r="G70" s="511"/>
      <c r="H70" s="253"/>
      <c r="I70" s="253"/>
      <c r="J70" s="253"/>
      <c r="K70" s="253"/>
      <c r="L70" s="253"/>
      <c r="M70" s="253"/>
      <c r="N70" s="253"/>
      <c r="O70" s="253"/>
      <c r="P70" s="253"/>
      <c r="Q70" s="253"/>
      <c r="R70" s="253"/>
      <c r="S70" s="1401"/>
      <c r="T70" s="1218"/>
      <c r="U70" s="2373"/>
      <c r="V70" s="253"/>
      <c r="W70" s="817"/>
      <c r="X70" s="1991"/>
      <c r="Y70" s="7692"/>
      <c r="Z70" s="7693"/>
      <c r="AA70" s="7693"/>
      <c r="AB70" s="7693"/>
      <c r="AC70" s="7693"/>
      <c r="AD70" s="7693"/>
      <c r="AE70" s="7693"/>
      <c r="AF70" s="7693"/>
      <c r="AG70" s="7693"/>
      <c r="AH70" s="7693"/>
      <c r="AI70" s="1277"/>
      <c r="AJ70" s="512"/>
      <c r="AK70" s="5899"/>
      <c r="AL70" s="724"/>
      <c r="AM70" s="724"/>
      <c r="AN70" s="724"/>
      <c r="AO70" s="5903"/>
      <c r="AP70" s="253"/>
      <c r="AQ70" s="253"/>
      <c r="AR70" s="6218" t="s">
        <v>518</v>
      </c>
      <c r="AS70" s="7798"/>
      <c r="AT70" s="7799"/>
      <c r="AU70" s="7799"/>
      <c r="AV70" s="7800"/>
      <c r="AW70" s="7801"/>
      <c r="AX70" s="7802"/>
      <c r="AY70" s="7802"/>
      <c r="AZ70" s="7803"/>
      <c r="BA70" s="6452"/>
      <c r="BB70" s="6452"/>
      <c r="BC70" s="6452"/>
    </row>
    <row r="71" spans="1:55" ht="18" customHeight="1">
      <c r="A71" s="1277"/>
      <c r="B71" s="511"/>
      <c r="C71" s="4242"/>
      <c r="D71" s="4242"/>
      <c r="E71" s="511"/>
      <c r="F71" s="511"/>
      <c r="G71" s="511"/>
      <c r="H71" s="253"/>
      <c r="I71" s="253"/>
      <c r="J71" s="511"/>
      <c r="K71" s="253"/>
      <c r="L71" s="253"/>
      <c r="M71" s="253"/>
      <c r="N71" s="253"/>
      <c r="O71" s="253"/>
      <c r="P71" s="253"/>
      <c r="Q71" s="253"/>
      <c r="R71" s="253"/>
      <c r="S71" s="1401"/>
      <c r="T71" s="1218"/>
      <c r="U71" s="2373"/>
      <c r="V71" s="253"/>
      <c r="W71" s="817"/>
      <c r="X71" s="1991"/>
      <c r="Y71" s="7681" t="s">
        <v>5790</v>
      </c>
      <c r="Z71" s="7682"/>
      <c r="AA71" s="7682"/>
      <c r="AB71" s="7682"/>
      <c r="AC71" s="7683"/>
      <c r="AD71" s="7719" t="s">
        <v>5791</v>
      </c>
      <c r="AE71" s="7720"/>
      <c r="AF71" s="7720"/>
      <c r="AG71" s="7720"/>
      <c r="AH71" s="7720"/>
      <c r="AI71" s="1277"/>
      <c r="AJ71" s="512"/>
      <c r="AK71" s="5899"/>
      <c r="AL71" s="253"/>
      <c r="AM71" s="344"/>
      <c r="AN71" s="253"/>
      <c r="AO71" s="5900"/>
      <c r="AP71" s="253"/>
      <c r="AQ71" s="253"/>
      <c r="AR71" s="6218" t="s">
        <v>521</v>
      </c>
      <c r="AS71" s="7798"/>
      <c r="AT71" s="7799"/>
      <c r="AU71" s="7799"/>
      <c r="AV71" s="7800"/>
      <c r="AW71" s="7801"/>
      <c r="AX71" s="7802"/>
      <c r="AY71" s="7802"/>
      <c r="AZ71" s="7803"/>
      <c r="BA71" s="6452"/>
      <c r="BB71" s="6452"/>
      <c r="BC71" s="6452"/>
    </row>
    <row r="72" spans="1:55" ht="18" customHeight="1">
      <c r="A72" s="1277"/>
      <c r="B72" s="511"/>
      <c r="C72" s="4242"/>
      <c r="D72" s="4242"/>
      <c r="E72" s="511"/>
      <c r="F72" s="511"/>
      <c r="G72" s="511"/>
      <c r="H72" s="253"/>
      <c r="I72" s="253"/>
      <c r="J72" s="1323" t="s">
        <v>5792</v>
      </c>
      <c r="K72" s="253"/>
      <c r="L72" s="253"/>
      <c r="M72" s="253"/>
      <c r="N72" s="253"/>
      <c r="O72" s="253"/>
      <c r="P72" s="253"/>
      <c r="Q72" s="253"/>
      <c r="R72" s="253"/>
      <c r="S72" s="1401"/>
      <c r="T72" s="1218"/>
      <c r="U72" s="2373"/>
      <c r="V72" s="253"/>
      <c r="W72" s="817"/>
      <c r="X72" s="253"/>
      <c r="Y72" s="7684"/>
      <c r="Z72" s="7685"/>
      <c r="AA72" s="7685"/>
      <c r="AB72" s="7685"/>
      <c r="AC72" s="7686"/>
      <c r="AD72" s="7721"/>
      <c r="AE72" s="7722"/>
      <c r="AF72" s="7722"/>
      <c r="AG72" s="7722"/>
      <c r="AH72" s="7722"/>
      <c r="AI72" s="1277"/>
      <c r="AJ72" s="512"/>
      <c r="AK72" s="5899"/>
      <c r="AL72" s="253"/>
      <c r="AM72" s="253"/>
      <c r="AN72" s="253"/>
      <c r="AO72" s="5904"/>
      <c r="AP72" s="253"/>
      <c r="AQ72" s="253"/>
      <c r="AR72" s="6218" t="s">
        <v>524</v>
      </c>
      <c r="AS72" s="7798"/>
      <c r="AT72" s="7799"/>
      <c r="AU72" s="7799"/>
      <c r="AV72" s="7800"/>
      <c r="AW72" s="7801"/>
      <c r="AX72" s="7802"/>
      <c r="AY72" s="7802"/>
      <c r="AZ72" s="7803"/>
      <c r="BA72" s="6452"/>
      <c r="BB72" s="6452"/>
      <c r="BC72" s="6452"/>
    </row>
    <row r="73" spans="1:55" ht="15" customHeight="1">
      <c r="A73" s="1277"/>
      <c r="B73" s="511"/>
      <c r="C73" s="4242"/>
      <c r="D73" s="4242"/>
      <c r="E73" s="511"/>
      <c r="F73" s="511"/>
      <c r="G73" s="511"/>
      <c r="H73" s="253"/>
      <c r="I73" s="253"/>
      <c r="J73" s="1323"/>
      <c r="K73" s="253"/>
      <c r="L73" s="253"/>
      <c r="M73" s="253"/>
      <c r="N73" s="253"/>
      <c r="O73" s="253"/>
      <c r="P73" s="253"/>
      <c r="Q73" s="253"/>
      <c r="R73" s="253"/>
      <c r="S73" s="253"/>
      <c r="T73" s="1218"/>
      <c r="U73" s="2373"/>
      <c r="V73" s="253"/>
      <c r="W73" s="817"/>
      <c r="X73" s="1991"/>
      <c r="Y73" s="7684"/>
      <c r="Z73" s="7685"/>
      <c r="AA73" s="7685"/>
      <c r="AB73" s="7685"/>
      <c r="AC73" s="7686"/>
      <c r="AD73" s="7721"/>
      <c r="AE73" s="7722"/>
      <c r="AF73" s="7722"/>
      <c r="AG73" s="7722"/>
      <c r="AH73" s="7722"/>
      <c r="AI73" s="1277"/>
      <c r="AJ73" s="512"/>
      <c r="AK73" s="5899"/>
      <c r="AL73" s="253"/>
      <c r="AM73" s="344"/>
      <c r="AN73" s="253"/>
      <c r="AO73" s="512"/>
      <c r="AP73" s="253"/>
      <c r="AQ73" s="253"/>
      <c r="AR73" s="7775" t="s">
        <v>230</v>
      </c>
      <c r="AS73" s="7761" t="s">
        <v>6185</v>
      </c>
      <c r="AT73" s="7778"/>
      <c r="AU73" s="7778"/>
      <c r="AV73" s="7762"/>
      <c r="AW73" s="7781" t="str">
        <f>IF(SUM(AW68:AZ72)&gt;0,ROUND(SUM(AW68:AZ72),0),"")</f>
        <v/>
      </c>
      <c r="AX73" s="7782"/>
      <c r="AY73" s="7782"/>
      <c r="AZ73" s="7783"/>
      <c r="BA73" s="6452"/>
      <c r="BB73" s="6452"/>
      <c r="BC73" s="6452"/>
    </row>
    <row r="74" spans="1:55" ht="15" customHeight="1">
      <c r="A74" s="1277"/>
      <c r="B74" s="511"/>
      <c r="C74" s="4242"/>
      <c r="D74" s="4242"/>
      <c r="E74" s="1996"/>
      <c r="F74" s="1996"/>
      <c r="G74" s="1996"/>
      <c r="H74" s="413"/>
      <c r="I74" s="413"/>
      <c r="J74" s="413"/>
      <c r="K74" s="413"/>
      <c r="L74" s="413"/>
      <c r="M74" s="413"/>
      <c r="N74" s="413"/>
      <c r="O74" s="413"/>
      <c r="P74" s="413"/>
      <c r="Q74" s="413"/>
      <c r="R74" s="413"/>
      <c r="S74" s="1292"/>
      <c r="T74" s="5905"/>
      <c r="U74" s="4156"/>
      <c r="V74" s="413"/>
      <c r="W74" s="1293"/>
      <c r="X74" s="5906"/>
      <c r="Y74" s="7687"/>
      <c r="Z74" s="7688"/>
      <c r="AA74" s="7688"/>
      <c r="AB74" s="7688"/>
      <c r="AC74" s="7689"/>
      <c r="AD74" s="7723"/>
      <c r="AE74" s="7724"/>
      <c r="AF74" s="7724"/>
      <c r="AG74" s="7724"/>
      <c r="AH74" s="7724"/>
      <c r="AI74" s="1277"/>
      <c r="AJ74" s="512"/>
      <c r="AK74" s="5899"/>
      <c r="AL74" s="253"/>
      <c r="AM74" s="344"/>
      <c r="AN74" s="253"/>
      <c r="AO74" s="5882"/>
      <c r="AP74" s="253"/>
      <c r="AQ74" s="253"/>
      <c r="AR74" s="7776"/>
      <c r="AS74" s="7763"/>
      <c r="AT74" s="7779"/>
      <c r="AU74" s="7779"/>
      <c r="AV74" s="7764"/>
      <c r="AW74" s="7784"/>
      <c r="AX74" s="7785"/>
      <c r="AY74" s="7785"/>
      <c r="AZ74" s="7786"/>
      <c r="BA74" s="6452"/>
      <c r="BB74" s="6452"/>
      <c r="BC74" s="6452"/>
    </row>
    <row r="75" spans="1:55" ht="6.75" customHeight="1">
      <c r="A75" s="1277"/>
      <c r="B75" s="511"/>
      <c r="C75" s="4242"/>
      <c r="D75" s="4242"/>
      <c r="E75" s="511"/>
      <c r="F75" s="511"/>
      <c r="G75" s="511"/>
      <c r="H75" s="253"/>
      <c r="I75" s="253"/>
      <c r="J75" s="253"/>
      <c r="K75" s="253"/>
      <c r="L75" s="253"/>
      <c r="M75" s="253"/>
      <c r="N75" s="253"/>
      <c r="O75" s="253"/>
      <c r="P75" s="253"/>
      <c r="Q75" s="253"/>
      <c r="R75" s="253"/>
      <c r="S75" s="1401"/>
      <c r="T75" s="1218"/>
      <c r="U75" s="2373"/>
      <c r="V75" s="253"/>
      <c r="W75" s="817"/>
      <c r="X75" s="1991"/>
      <c r="Y75" s="408"/>
      <c r="Z75" s="253"/>
      <c r="AA75" s="253"/>
      <c r="AB75" s="253"/>
      <c r="AC75" s="409"/>
      <c r="AD75" s="408"/>
      <c r="AE75" s="253"/>
      <c r="AF75" s="253"/>
      <c r="AG75" s="253"/>
      <c r="AH75" s="253"/>
      <c r="AI75" s="1277"/>
      <c r="AJ75" s="512"/>
      <c r="AK75" s="5899"/>
      <c r="AL75" s="253"/>
      <c r="AM75" s="253"/>
      <c r="AN75" s="253"/>
      <c r="AO75" s="5887"/>
      <c r="AP75" s="253"/>
      <c r="AQ75" s="253"/>
      <c r="AR75" s="7777"/>
      <c r="AS75" s="7765"/>
      <c r="AT75" s="7780"/>
      <c r="AU75" s="7780"/>
      <c r="AV75" s="7766"/>
      <c r="AW75" s="7787"/>
      <c r="AX75" s="7788"/>
      <c r="AY75" s="7788"/>
      <c r="AZ75" s="7789"/>
      <c r="BA75" s="6452"/>
      <c r="BB75" s="6452"/>
      <c r="BC75" s="6452"/>
    </row>
    <row r="76" spans="1:55" ht="22.5" customHeight="1">
      <c r="A76" s="1277"/>
      <c r="B76" s="511"/>
      <c r="C76" s="2039" t="s">
        <v>588</v>
      </c>
      <c r="D76" s="4242"/>
      <c r="E76" s="511"/>
      <c r="F76" s="5912"/>
      <c r="G76" s="5912"/>
      <c r="H76" s="5912"/>
      <c r="I76" s="5912"/>
      <c r="J76" s="5912"/>
      <c r="K76" s="5912"/>
      <c r="L76" s="5912"/>
      <c r="M76" s="5912"/>
      <c r="N76" s="5912"/>
      <c r="O76" s="5912"/>
      <c r="P76" s="5912"/>
      <c r="Q76" s="5912"/>
      <c r="R76" s="5912"/>
      <c r="S76" s="5912"/>
      <c r="T76" s="5912"/>
      <c r="U76" s="5912"/>
      <c r="V76" s="5912"/>
      <c r="W76" s="817"/>
      <c r="X76" s="1991"/>
      <c r="Y76" s="7715"/>
      <c r="Z76" s="7716"/>
      <c r="AA76" s="7716"/>
      <c r="AB76" s="7716"/>
      <c r="AC76" s="7717"/>
      <c r="AD76" s="7715"/>
      <c r="AE76" s="7716"/>
      <c r="AF76" s="7716"/>
      <c r="AG76" s="7716"/>
      <c r="AH76" s="7716"/>
      <c r="AI76" s="1277"/>
      <c r="AJ76" s="512"/>
      <c r="AK76" s="5899"/>
      <c r="AL76" s="253"/>
      <c r="AM76" s="851">
        <f>IF(Y76&lt;&gt;"",ROUND(Y76,0),0)</f>
        <v>0</v>
      </c>
      <c r="AN76" s="851">
        <f>IF(AD76&lt;&gt;"",ROUND(AD76,0),0)</f>
        <v>0</v>
      </c>
      <c r="AO76" s="5887"/>
      <c r="AP76" s="253"/>
      <c r="AQ76" s="253"/>
      <c r="AR76" s="769"/>
      <c r="AS76" s="6245"/>
      <c r="AT76" s="6245"/>
      <c r="AU76" s="6245"/>
      <c r="AV76" s="6245"/>
      <c r="AW76" s="769"/>
      <c r="AX76" s="769"/>
      <c r="AY76" s="769"/>
      <c r="AZ76" s="769"/>
      <c r="BA76" s="6452"/>
      <c r="BB76" s="6452"/>
      <c r="BC76" s="6452"/>
    </row>
    <row r="77" spans="1:55" ht="6.75" customHeight="1">
      <c r="A77" s="1277"/>
      <c r="B77" s="511"/>
      <c r="C77" s="4242"/>
      <c r="D77" s="4242"/>
      <c r="E77" s="1996"/>
      <c r="F77" s="1996"/>
      <c r="G77" s="1996"/>
      <c r="H77" s="413"/>
      <c r="I77" s="413"/>
      <c r="J77" s="413"/>
      <c r="K77" s="413"/>
      <c r="L77" s="413"/>
      <c r="M77" s="413"/>
      <c r="N77" s="413"/>
      <c r="O77" s="413"/>
      <c r="P77" s="413"/>
      <c r="Q77" s="413"/>
      <c r="R77" s="413"/>
      <c r="S77" s="1292"/>
      <c r="T77" s="5905"/>
      <c r="U77" s="4156"/>
      <c r="V77" s="413"/>
      <c r="W77" s="1293"/>
      <c r="X77" s="5907"/>
      <c r="Y77" s="412"/>
      <c r="Z77" s="413"/>
      <c r="AA77" s="413"/>
      <c r="AB77" s="413"/>
      <c r="AC77" s="414"/>
      <c r="AD77" s="412"/>
      <c r="AE77" s="413"/>
      <c r="AF77" s="413"/>
      <c r="AG77" s="413"/>
      <c r="AH77" s="413"/>
      <c r="AI77" s="1277"/>
      <c r="AJ77" s="512"/>
      <c r="AK77" s="5899"/>
      <c r="AL77" s="253"/>
      <c r="AM77" s="253"/>
      <c r="AN77" s="253"/>
      <c r="AO77" s="5887"/>
      <c r="AP77" s="253"/>
      <c r="AQ77" s="253"/>
      <c r="AR77" s="769"/>
      <c r="AS77" s="769"/>
      <c r="AT77" s="769"/>
      <c r="AU77" s="769"/>
      <c r="AV77" s="769"/>
      <c r="AW77" s="769"/>
      <c r="AX77" s="769"/>
      <c r="AY77" s="769"/>
      <c r="AZ77" s="769"/>
      <c r="BA77" s="6452"/>
      <c r="BB77" s="6452"/>
      <c r="BC77" s="6452"/>
    </row>
    <row r="78" spans="1:55" ht="6.75" customHeight="1">
      <c r="A78" s="1277"/>
      <c r="B78" s="511"/>
      <c r="C78" s="4242"/>
      <c r="D78" s="4242"/>
      <c r="E78" s="511"/>
      <c r="F78" s="511"/>
      <c r="G78" s="511"/>
      <c r="H78" s="253"/>
      <c r="I78" s="253"/>
      <c r="J78" s="253"/>
      <c r="K78" s="253"/>
      <c r="L78" s="253"/>
      <c r="M78" s="253"/>
      <c r="N78" s="253"/>
      <c r="O78" s="253"/>
      <c r="P78" s="253"/>
      <c r="Q78" s="253"/>
      <c r="R78" s="253"/>
      <c r="S78" s="1401"/>
      <c r="T78" s="1218"/>
      <c r="U78" s="2373"/>
      <c r="V78" s="253"/>
      <c r="W78" s="817"/>
      <c r="X78" s="1991"/>
      <c r="Y78" s="408"/>
      <c r="Z78" s="253"/>
      <c r="AA78" s="253"/>
      <c r="AB78" s="253"/>
      <c r="AC78" s="409"/>
      <c r="AD78" s="408"/>
      <c r="AE78" s="253"/>
      <c r="AF78" s="253"/>
      <c r="AG78" s="253"/>
      <c r="AH78" s="253"/>
      <c r="AI78" s="1277"/>
      <c r="AJ78" s="512"/>
      <c r="AK78" s="5899"/>
      <c r="AL78" s="253"/>
      <c r="AM78" s="253"/>
      <c r="AN78" s="253"/>
      <c r="AO78" s="5887"/>
      <c r="AP78" s="253"/>
      <c r="AQ78" s="253"/>
      <c r="AR78" s="769"/>
      <c r="AS78" s="769"/>
      <c r="AT78" s="769"/>
      <c r="AU78" s="769"/>
      <c r="AV78" s="769"/>
      <c r="AW78" s="769"/>
      <c r="AX78" s="769"/>
      <c r="AY78" s="769"/>
      <c r="AZ78" s="769"/>
      <c r="BA78" s="6452"/>
      <c r="BB78" s="6452"/>
      <c r="BC78" s="6452"/>
    </row>
    <row r="79" spans="1:55" ht="21.75" customHeight="1">
      <c r="A79" s="1277"/>
      <c r="B79" s="511"/>
      <c r="C79" s="2039" t="s">
        <v>592</v>
      </c>
      <c r="D79" s="4242"/>
      <c r="E79" s="511"/>
      <c r="F79" s="5912"/>
      <c r="G79" s="5912"/>
      <c r="H79" s="5912"/>
      <c r="I79" s="5912"/>
      <c r="J79" s="5912"/>
      <c r="K79" s="5912"/>
      <c r="L79" s="5912"/>
      <c r="M79" s="5912"/>
      <c r="N79" s="5912"/>
      <c r="O79" s="5912"/>
      <c r="P79" s="5912"/>
      <c r="Q79" s="5912"/>
      <c r="R79" s="5912"/>
      <c r="S79" s="5912"/>
      <c r="T79" s="5912"/>
      <c r="U79" s="5912"/>
      <c r="V79" s="5912"/>
      <c r="W79" s="817"/>
      <c r="X79" s="1991"/>
      <c r="Y79" s="7715"/>
      <c r="Z79" s="7716"/>
      <c r="AA79" s="7716"/>
      <c r="AB79" s="7716"/>
      <c r="AC79" s="7717"/>
      <c r="AD79" s="7715"/>
      <c r="AE79" s="7716"/>
      <c r="AF79" s="7716"/>
      <c r="AG79" s="7716"/>
      <c r="AH79" s="7716"/>
      <c r="AI79" s="1277"/>
      <c r="AJ79" s="512" t="b">
        <f>AND(Y76="",AD76="",Y79="",AD79="")</f>
        <v>1</v>
      </c>
      <c r="AK79" s="5899"/>
      <c r="AL79" s="253"/>
      <c r="AM79" s="851">
        <f>IF(Y79&lt;&gt;"",ROUND(Y79,0),0)</f>
        <v>0</v>
      </c>
      <c r="AN79" s="851">
        <f>IF(AD79&lt;&gt;"",ROUND(AD79,0),0)</f>
        <v>0</v>
      </c>
      <c r="AO79" s="5887"/>
      <c r="AP79" s="253"/>
      <c r="AQ79" s="253"/>
      <c r="AR79" s="769"/>
      <c r="AS79" s="769"/>
      <c r="AT79" s="769"/>
      <c r="AU79" s="769"/>
      <c r="AV79" s="769"/>
      <c r="AW79" s="769"/>
      <c r="AX79" s="769"/>
      <c r="AY79" s="769"/>
      <c r="AZ79" s="769"/>
      <c r="BA79" s="6452"/>
      <c r="BB79" s="6452"/>
      <c r="BC79" s="6452"/>
    </row>
    <row r="80" spans="1:55" ht="6.75" customHeight="1">
      <c r="A80" s="1277"/>
      <c r="B80" s="511"/>
      <c r="C80" s="4242"/>
      <c r="D80" s="4242"/>
      <c r="E80" s="1996"/>
      <c r="F80" s="1996"/>
      <c r="G80" s="1996"/>
      <c r="H80" s="413"/>
      <c r="I80" s="413"/>
      <c r="J80" s="413"/>
      <c r="K80" s="413"/>
      <c r="L80" s="413"/>
      <c r="M80" s="413"/>
      <c r="N80" s="413"/>
      <c r="O80" s="413"/>
      <c r="P80" s="413"/>
      <c r="Q80" s="413"/>
      <c r="R80" s="413"/>
      <c r="S80" s="1292"/>
      <c r="T80" s="5905"/>
      <c r="U80" s="4156"/>
      <c r="V80" s="413"/>
      <c r="W80" s="1293"/>
      <c r="X80" s="5907"/>
      <c r="Y80" s="412"/>
      <c r="Z80" s="413"/>
      <c r="AA80" s="413"/>
      <c r="AB80" s="413"/>
      <c r="AC80" s="414"/>
      <c r="AD80" s="412"/>
      <c r="AE80" s="413"/>
      <c r="AF80" s="413"/>
      <c r="AG80" s="413"/>
      <c r="AH80" s="413"/>
      <c r="AI80" s="1277"/>
      <c r="AJ80" s="512"/>
      <c r="AK80" s="5899"/>
      <c r="AL80" s="253"/>
      <c r="AM80" s="253"/>
      <c r="AN80" s="253"/>
      <c r="AO80" s="5887"/>
      <c r="AP80" s="253"/>
      <c r="AQ80" s="253"/>
      <c r="AR80" s="769"/>
      <c r="AS80" s="769"/>
      <c r="AT80" s="769"/>
      <c r="AU80" s="769"/>
      <c r="AV80" s="769"/>
      <c r="AW80" s="769"/>
      <c r="AX80" s="769"/>
      <c r="AY80" s="769"/>
      <c r="AZ80" s="769"/>
      <c r="BA80" s="6452"/>
      <c r="BB80" s="6452"/>
      <c r="BC80" s="6452"/>
    </row>
    <row r="81" spans="1:55" ht="16.5" customHeight="1">
      <c r="A81" s="1277"/>
      <c r="B81" s="511"/>
      <c r="C81" s="4242">
        <v>23</v>
      </c>
      <c r="D81" s="4242"/>
      <c r="E81" s="5995" t="s">
        <v>5793</v>
      </c>
      <c r="F81" s="511"/>
      <c r="G81" s="511"/>
      <c r="H81" s="253"/>
      <c r="I81" s="253"/>
      <c r="J81" s="253"/>
      <c r="K81" s="253"/>
      <c r="L81" s="253"/>
      <c r="M81" s="253"/>
      <c r="N81" s="253"/>
      <c r="O81" s="253"/>
      <c r="P81" s="253"/>
      <c r="Q81" s="253"/>
      <c r="R81" s="253"/>
      <c r="S81" s="1401"/>
      <c r="T81" s="1218"/>
      <c r="U81" s="2373"/>
      <c r="V81" s="253"/>
      <c r="W81" s="817"/>
      <c r="X81" s="253"/>
      <c r="Y81" s="253"/>
      <c r="Z81" s="253"/>
      <c r="AA81" s="253"/>
      <c r="AB81" s="1657" t="s">
        <v>891</v>
      </c>
      <c r="AC81" s="4449">
        <v>23</v>
      </c>
      <c r="AD81" s="7597" t="str">
        <f>IF(AK81&lt;&gt;"",ROUND(AK81,0),IF($AJ$79,"",SUM(AM76,AN76,AM79,AN79)))</f>
        <v/>
      </c>
      <c r="AE81" s="7598"/>
      <c r="AF81" s="7598"/>
      <c r="AG81" s="7598"/>
      <c r="AH81" s="7599"/>
      <c r="AI81" s="1277"/>
      <c r="AJ81" s="512"/>
      <c r="AK81" s="1329"/>
      <c r="AL81" s="253"/>
      <c r="AM81" s="253"/>
      <c r="AN81" s="253"/>
      <c r="AO81" s="5887"/>
      <c r="AP81" s="253"/>
      <c r="AQ81" s="253"/>
      <c r="AR81" s="769"/>
      <c r="AS81" s="769"/>
      <c r="AT81" s="769"/>
      <c r="AU81" s="769"/>
      <c r="AV81" s="769"/>
      <c r="AW81" s="769"/>
      <c r="AX81" s="769"/>
      <c r="AY81" s="769"/>
      <c r="AZ81" s="769"/>
      <c r="BA81" s="6452"/>
      <c r="BB81" s="6452"/>
      <c r="BC81" s="6452"/>
    </row>
    <row r="82" spans="1:55" ht="16.5" customHeight="1">
      <c r="A82" s="1277"/>
      <c r="B82" s="511"/>
      <c r="C82" s="4242">
        <v>24</v>
      </c>
      <c r="D82" s="4242"/>
      <c r="E82" s="5995" t="str">
        <f>"Enter the smaller of the amount on line 23 or "&amp;TEXT($AN$82,"$0,000")</f>
        <v>Enter the smaller of the amount on line 23 or $10,000</v>
      </c>
      <c r="F82" s="511"/>
      <c r="G82" s="511"/>
      <c r="H82" s="253"/>
      <c r="I82" s="253"/>
      <c r="J82" s="253"/>
      <c r="K82" s="253"/>
      <c r="L82" s="253"/>
      <c r="M82" s="253"/>
      <c r="N82" s="253"/>
      <c r="O82" s="253"/>
      <c r="P82" s="253"/>
      <c r="Q82" s="253"/>
      <c r="R82" s="253"/>
      <c r="S82" s="1401"/>
      <c r="T82" s="1218"/>
      <c r="U82" s="2373"/>
      <c r="V82" s="253"/>
      <c r="W82" s="817"/>
      <c r="X82" s="253"/>
      <c r="Y82" s="253"/>
      <c r="Z82" s="253"/>
      <c r="AA82" s="253"/>
      <c r="AB82" s="1657" t="s">
        <v>887</v>
      </c>
      <c r="AC82" s="4449">
        <v>24</v>
      </c>
      <c r="AD82" s="7597" t="str">
        <f>IF($AJ$79,"",MIN(AD81,AN82))</f>
        <v/>
      </c>
      <c r="AE82" s="7598"/>
      <c r="AF82" s="7598"/>
      <c r="AG82" s="7598"/>
      <c r="AH82" s="7599"/>
      <c r="AI82" s="1277"/>
      <c r="AJ82" s="512"/>
      <c r="AK82" s="2875"/>
      <c r="AL82" s="253"/>
      <c r="AM82" s="253"/>
      <c r="AN82" s="851">
        <v>10000</v>
      </c>
      <c r="AO82" s="5887"/>
      <c r="AP82" s="253"/>
      <c r="AQ82" s="253"/>
      <c r="AR82" s="769"/>
      <c r="AS82" s="769"/>
      <c r="AT82" s="769"/>
      <c r="AU82" s="769"/>
      <c r="AV82" s="769"/>
      <c r="AW82" s="769"/>
      <c r="AX82" s="769"/>
      <c r="AY82" s="769"/>
      <c r="AZ82" s="769"/>
      <c r="BA82" s="6452"/>
      <c r="BB82" s="6452"/>
      <c r="BC82" s="6452"/>
    </row>
    <row r="83" spans="1:55" ht="16.5" customHeight="1">
      <c r="A83" s="1277"/>
      <c r="B83" s="511"/>
      <c r="C83" s="4242">
        <v>25</v>
      </c>
      <c r="D83" s="4242"/>
      <c r="E83" s="5995" t="s">
        <v>5784</v>
      </c>
      <c r="F83" s="511"/>
      <c r="G83" s="511"/>
      <c r="H83" s="253"/>
      <c r="I83" s="253"/>
      <c r="J83" s="253"/>
      <c r="K83" s="253"/>
      <c r="L83" s="253"/>
      <c r="M83" s="253"/>
      <c r="N83" s="253"/>
      <c r="O83" s="253"/>
      <c r="P83" s="253"/>
      <c r="Q83" s="253"/>
      <c r="R83" s="253"/>
      <c r="S83" s="1401"/>
      <c r="T83" s="1218"/>
      <c r="U83" s="2373"/>
      <c r="V83" s="253"/>
      <c r="W83" s="817"/>
      <c r="X83" s="253"/>
      <c r="Y83" s="253"/>
      <c r="Z83" s="253"/>
      <c r="AA83" s="253"/>
      <c r="AB83" s="1657" t="s">
        <v>891</v>
      </c>
      <c r="AC83" s="4449">
        <v>25</v>
      </c>
      <c r="AD83" s="7597" t="str">
        <f>IF($AJ$79,"",$AD$17)</f>
        <v/>
      </c>
      <c r="AE83" s="7598"/>
      <c r="AF83" s="7598"/>
      <c r="AG83" s="7598"/>
      <c r="AH83" s="7599"/>
      <c r="AI83" s="1277"/>
      <c r="AJ83" s="512"/>
      <c r="AK83" s="2875"/>
      <c r="AL83" s="253"/>
      <c r="AM83" s="253"/>
      <c r="AN83" s="851">
        <v>100000</v>
      </c>
      <c r="AO83" s="5887"/>
      <c r="AP83" s="253"/>
      <c r="AQ83" s="253"/>
      <c r="AR83" s="769"/>
      <c r="AS83" s="769"/>
      <c r="AT83" s="769"/>
      <c r="AU83" s="769"/>
      <c r="AV83" s="769"/>
      <c r="AW83" s="769"/>
      <c r="AX83" s="769"/>
      <c r="AY83" s="769"/>
      <c r="AZ83" s="769"/>
      <c r="BA83" s="6452"/>
      <c r="BB83" s="6452"/>
      <c r="BC83" s="6452"/>
    </row>
    <row r="84" spans="1:55" ht="16.5" customHeight="1">
      <c r="A84" s="1277"/>
      <c r="B84" s="511"/>
      <c r="C84" s="4242">
        <v>26</v>
      </c>
      <c r="D84" s="4242"/>
      <c r="E84" s="5995" t="str">
        <f>"Enter "&amp;TEXT(AN83,"$0,000")&amp;" ("&amp;TEXT(AN84,"$0,000")&amp;" if married filing jointly)"</f>
        <v>Enter $100,000 ($200,000 if married filing jointly)</v>
      </c>
      <c r="F84" s="511"/>
      <c r="G84" s="511"/>
      <c r="H84" s="253"/>
      <c r="I84" s="253"/>
      <c r="J84" s="253"/>
      <c r="K84" s="253"/>
      <c r="L84" s="253"/>
      <c r="M84" s="253"/>
      <c r="N84" s="253"/>
      <c r="O84" s="253"/>
      <c r="P84" s="253"/>
      <c r="Q84" s="253"/>
      <c r="R84" s="253"/>
      <c r="S84" s="1401"/>
      <c r="T84" s="1218"/>
      <c r="U84" s="2373"/>
      <c r="V84" s="253"/>
      <c r="W84" s="817"/>
      <c r="X84" s="253"/>
      <c r="Y84" s="253"/>
      <c r="Z84" s="253"/>
      <c r="AA84" s="253"/>
      <c r="AB84" s="1657" t="s">
        <v>1859</v>
      </c>
      <c r="AC84" s="4449">
        <v>26</v>
      </c>
      <c r="AD84" s="7597" t="str">
        <f>IF($AJ$79,"",AO84)</f>
        <v/>
      </c>
      <c r="AE84" s="7598"/>
      <c r="AF84" s="7598"/>
      <c r="AG84" s="7598"/>
      <c r="AH84" s="7599"/>
      <c r="AI84" s="1277"/>
      <c r="AJ84" s="512"/>
      <c r="AK84" s="2875"/>
      <c r="AL84" s="253"/>
      <c r="AM84" s="253"/>
      <c r="AN84" s="851">
        <v>200000</v>
      </c>
      <c r="AO84" s="851">
        <f>IF(File_Marr_Joint&lt;&gt;"",AN84,AN83)</f>
        <v>100000</v>
      </c>
      <c r="AP84" s="253"/>
      <c r="AQ84" s="253"/>
      <c r="AR84" s="769"/>
      <c r="AS84" s="769"/>
      <c r="AT84" s="769"/>
      <c r="AU84" s="769"/>
      <c r="AV84" s="769"/>
      <c r="AW84" s="769"/>
      <c r="AX84" s="769"/>
      <c r="AY84" s="769"/>
      <c r="AZ84" s="769"/>
      <c r="BA84" s="6452"/>
      <c r="BB84" s="6452"/>
      <c r="BC84" s="6452"/>
    </row>
    <row r="85" spans="1:55" ht="16.5" customHeight="1">
      <c r="A85" s="1277"/>
      <c r="B85" s="511"/>
      <c r="C85" s="4242">
        <v>27</v>
      </c>
      <c r="D85" s="4242"/>
      <c r="E85" s="5995" t="s">
        <v>5794</v>
      </c>
      <c r="F85" s="511"/>
      <c r="G85" s="511"/>
      <c r="H85" s="253"/>
      <c r="I85" s="253"/>
      <c r="J85" s="253"/>
      <c r="K85" s="253"/>
      <c r="L85" s="253"/>
      <c r="M85" s="253"/>
      <c r="N85" s="253"/>
      <c r="O85" s="253"/>
      <c r="P85" s="253"/>
      <c r="Q85" s="253"/>
      <c r="R85" s="253"/>
      <c r="S85" s="1401"/>
      <c r="T85" s="1218"/>
      <c r="U85" s="2373"/>
      <c r="V85" s="253"/>
      <c r="W85" s="817"/>
      <c r="X85" s="253"/>
      <c r="Y85" s="253"/>
      <c r="Z85" s="253"/>
      <c r="AA85" s="253"/>
      <c r="AB85" s="1657" t="s">
        <v>5795</v>
      </c>
      <c r="AC85" s="4449">
        <v>27</v>
      </c>
      <c r="AD85" s="7597" t="str">
        <f>IF($AJ$79,"",SUM(AD83,-AD84))</f>
        <v/>
      </c>
      <c r="AE85" s="7598"/>
      <c r="AF85" s="7598"/>
      <c r="AG85" s="7598"/>
      <c r="AH85" s="7599"/>
      <c r="AI85" s="1277"/>
      <c r="AJ85" s="512" t="b">
        <f>AD85&lt;=0</f>
        <v>0</v>
      </c>
      <c r="AK85" s="2875"/>
      <c r="AL85" s="253"/>
      <c r="AM85" s="253"/>
      <c r="AN85" s="253"/>
      <c r="AO85" s="5887"/>
      <c r="AP85" s="253"/>
      <c r="AQ85" s="253"/>
      <c r="AR85" s="769"/>
      <c r="AS85" s="769"/>
      <c r="AT85" s="769"/>
      <c r="AU85" s="769"/>
      <c r="AV85" s="769"/>
      <c r="AW85" s="769"/>
      <c r="AX85" s="769"/>
      <c r="AY85" s="769"/>
      <c r="AZ85" s="769"/>
      <c r="BA85" s="6452"/>
      <c r="BB85" s="6452"/>
      <c r="BC85" s="6452"/>
    </row>
    <row r="86" spans="1:55" ht="15.75" customHeight="1">
      <c r="A86" s="1277"/>
      <c r="B86" s="511"/>
      <c r="C86" s="4242">
        <v>28</v>
      </c>
      <c r="D86" s="4242"/>
      <c r="E86" s="5995" t="str">
        <f>"Divide line 27 by "&amp;TEXT($AN$44,"$0,000")&amp;". If the resulting number isn’t a whole number, increase the result to the next"</f>
        <v>Divide line 27 by $1,000. If the resulting number isn’t a whole number, increase the result to the next</v>
      </c>
      <c r="F86" s="511"/>
      <c r="G86" s="511"/>
      <c r="H86" s="1401"/>
      <c r="I86" s="344"/>
      <c r="J86" s="253"/>
      <c r="K86" s="253"/>
      <c r="L86" s="253"/>
      <c r="M86" s="253"/>
      <c r="N86" s="2373"/>
      <c r="O86" s="2373"/>
      <c r="P86" s="2373"/>
      <c r="Q86" s="2373"/>
      <c r="R86" s="2373"/>
      <c r="S86" s="253"/>
      <c r="T86" s="1218"/>
      <c r="U86" s="2373"/>
      <c r="V86" s="2373"/>
      <c r="W86" s="2373"/>
      <c r="X86" s="2373"/>
      <c r="Y86" s="2373"/>
      <c r="Z86" s="253"/>
      <c r="AA86" s="253"/>
      <c r="AB86" s="253"/>
      <c r="AC86" s="2890"/>
      <c r="AD86" s="253"/>
      <c r="AE86" s="253"/>
      <c r="AF86" s="253"/>
      <c r="AG86" s="253"/>
      <c r="AH86" s="253"/>
      <c r="AI86" s="1277"/>
      <c r="AJ86" s="3875" t="str">
        <f>IF(AO73,"See TIP. &gt;&gt;","")</f>
        <v/>
      </c>
      <c r="AK86" s="5899"/>
      <c r="AL86" s="253"/>
      <c r="AM86" s="253"/>
      <c r="AN86" s="253"/>
      <c r="AO86" s="5887"/>
      <c r="AP86" s="253"/>
      <c r="AQ86" s="253"/>
      <c r="AR86" s="769"/>
      <c r="AS86" s="769"/>
      <c r="AT86" s="769"/>
      <c r="AU86" s="769"/>
      <c r="AV86" s="769"/>
      <c r="AW86" s="769"/>
      <c r="AX86" s="769"/>
      <c r="AY86" s="769"/>
      <c r="AZ86" s="769"/>
      <c r="BA86" s="6452"/>
      <c r="BB86" s="6452"/>
      <c r="BC86" s="6452"/>
    </row>
    <row r="87" spans="1:55" ht="15.75" customHeight="1">
      <c r="A87" s="1277"/>
      <c r="B87" s="511"/>
      <c r="C87" s="2039"/>
      <c r="D87" s="2039"/>
      <c r="E87" s="5995" t="s">
        <v>6716</v>
      </c>
      <c r="F87" s="511"/>
      <c r="G87" s="511"/>
      <c r="H87" s="1401"/>
      <c r="I87" s="344"/>
      <c r="J87" s="253"/>
      <c r="K87" s="253"/>
      <c r="L87" s="253"/>
      <c r="M87" s="253"/>
      <c r="N87" s="253"/>
      <c r="O87" s="253"/>
      <c r="P87" s="253"/>
      <c r="Q87" s="253"/>
      <c r="R87" s="253"/>
      <c r="S87" s="253"/>
      <c r="T87" s="1218"/>
      <c r="U87" s="2373"/>
      <c r="V87" s="1401"/>
      <c r="W87" s="1401"/>
      <c r="X87" s="1401"/>
      <c r="Y87" s="1401"/>
      <c r="Z87" s="253"/>
      <c r="AA87" s="253"/>
      <c r="AB87" s="1657" t="s">
        <v>5795</v>
      </c>
      <c r="AC87" s="4448">
        <v>28</v>
      </c>
      <c r="AD87" s="7567" t="str">
        <f>IF(OR($AJ$79,AJ85),"",ROUNDUP(AD85/AN44,0))</f>
        <v/>
      </c>
      <c r="AE87" s="7580"/>
      <c r="AF87" s="7580"/>
      <c r="AG87" s="7580"/>
      <c r="AH87" s="7580"/>
      <c r="AI87" s="1277"/>
      <c r="AJ87" s="5934"/>
      <c r="AK87" s="2875"/>
      <c r="AL87" s="253"/>
      <c r="AM87" s="253"/>
      <c r="AN87" s="253"/>
      <c r="AO87" s="5887"/>
      <c r="AP87" s="253"/>
      <c r="AQ87" s="253"/>
      <c r="AR87" s="769"/>
      <c r="AS87" s="769"/>
      <c r="AT87" s="769"/>
      <c r="AU87" s="769"/>
      <c r="AV87" s="769"/>
      <c r="AW87" s="769"/>
      <c r="AX87" s="769"/>
      <c r="AY87" s="769"/>
      <c r="AZ87" s="769"/>
      <c r="BA87" s="6452"/>
      <c r="BB87" s="6452"/>
      <c r="BC87" s="6452"/>
    </row>
    <row r="88" spans="1:55" ht="15.75" customHeight="1">
      <c r="A88" s="1277"/>
      <c r="B88" s="511"/>
      <c r="C88" s="4467">
        <v>29</v>
      </c>
      <c r="D88" s="4242"/>
      <c r="E88" s="5995" t="str">
        <f>"Multiply line 28 by "&amp;TEXT(AN88,"$0")</f>
        <v>Multiply line 28 by $200</v>
      </c>
      <c r="F88" s="511"/>
      <c r="G88" s="511"/>
      <c r="H88" s="1401"/>
      <c r="I88" s="344"/>
      <c r="J88" s="253"/>
      <c r="K88" s="253"/>
      <c r="L88" s="253"/>
      <c r="M88" s="253"/>
      <c r="N88" s="253"/>
      <c r="O88" s="253"/>
      <c r="P88" s="253"/>
      <c r="Q88" s="253"/>
      <c r="R88" s="253"/>
      <c r="S88" s="253"/>
      <c r="T88" s="1218"/>
      <c r="U88" s="2373"/>
      <c r="V88" s="253"/>
      <c r="W88" s="817"/>
      <c r="X88" s="1991"/>
      <c r="Y88" s="253"/>
      <c r="Z88" s="253"/>
      <c r="AA88" s="253"/>
      <c r="AB88" s="1657" t="s">
        <v>1121</v>
      </c>
      <c r="AC88" s="4449">
        <v>29</v>
      </c>
      <c r="AD88" s="7567" t="str">
        <f>IF(OR($AJ$79,AJ85),"",ROUND(AD87*AN88,0))</f>
        <v/>
      </c>
      <c r="AE88" s="7580"/>
      <c r="AF88" s="7580"/>
      <c r="AG88" s="7580"/>
      <c r="AH88" s="7580"/>
      <c r="AI88" s="1277"/>
      <c r="AJ88" s="5934"/>
      <c r="AK88" s="2875"/>
      <c r="AL88" s="253"/>
      <c r="AM88" s="253"/>
      <c r="AN88" s="253">
        <v>200</v>
      </c>
      <c r="AO88" s="5887"/>
      <c r="AP88" s="253"/>
      <c r="AQ88" s="253"/>
      <c r="AR88" s="769"/>
      <c r="AS88" s="769"/>
      <c r="AT88" s="769"/>
      <c r="AU88" s="769"/>
      <c r="AV88" s="769"/>
      <c r="AW88" s="769"/>
      <c r="AX88" s="769"/>
      <c r="AY88" s="769"/>
      <c r="AZ88" s="769"/>
      <c r="BA88" s="6452"/>
      <c r="BB88" s="6452"/>
      <c r="BC88" s="6452"/>
    </row>
    <row r="89" spans="1:55" ht="16.5" customHeight="1">
      <c r="A89" s="1277"/>
      <c r="B89" s="1996"/>
      <c r="C89" s="2008">
        <v>30</v>
      </c>
      <c r="D89" s="2008"/>
      <c r="E89" s="5996" t="s">
        <v>5892</v>
      </c>
      <c r="F89" s="1996"/>
      <c r="G89" s="1996"/>
      <c r="H89" s="413"/>
      <c r="I89" s="413"/>
      <c r="J89" s="413"/>
      <c r="K89" s="413"/>
      <c r="L89" s="413"/>
      <c r="M89" s="413"/>
      <c r="N89" s="413"/>
      <c r="O89" s="413"/>
      <c r="P89" s="413"/>
      <c r="Q89" s="413"/>
      <c r="R89" s="413"/>
      <c r="S89" s="1292"/>
      <c r="T89" s="5905"/>
      <c r="U89" s="4156"/>
      <c r="V89" s="413"/>
      <c r="W89" s="1293"/>
      <c r="X89" s="5907"/>
      <c r="Y89" s="5907"/>
      <c r="Z89" s="5907"/>
      <c r="AA89" s="5907"/>
      <c r="AB89" s="3878" t="s">
        <v>808</v>
      </c>
      <c r="AC89" s="4449">
        <v>30</v>
      </c>
      <c r="AD89" s="7567" t="str">
        <f>IF($AJ$79,"",IF(AJ85,AD82,MAX(0,SUM(AD82,-AD88))))</f>
        <v/>
      </c>
      <c r="AE89" s="7580"/>
      <c r="AF89" s="7580"/>
      <c r="AG89" s="7580"/>
      <c r="AH89" s="7580"/>
      <c r="AI89" s="1277"/>
      <c r="AJ89" s="512"/>
      <c r="AK89" s="1329"/>
      <c r="AL89" s="253"/>
      <c r="AM89" s="344"/>
      <c r="AN89" s="253"/>
      <c r="AO89" s="5887"/>
      <c r="AP89" s="253"/>
      <c r="AQ89" s="253"/>
      <c r="AR89" s="769"/>
      <c r="AS89" s="769"/>
      <c r="AT89" s="769"/>
      <c r="AU89" s="769"/>
      <c r="AV89" s="769"/>
      <c r="AW89" s="769"/>
      <c r="AX89" s="769"/>
      <c r="AY89" s="769"/>
      <c r="AZ89" s="769"/>
      <c r="BA89" s="6452"/>
      <c r="BB89" s="6452"/>
      <c r="BC89" s="6452"/>
    </row>
    <row r="90" spans="1:55" ht="21" customHeight="1">
      <c r="A90" s="1277"/>
      <c r="B90" s="7646" t="s">
        <v>2117</v>
      </c>
      <c r="C90" s="7646"/>
      <c r="D90" s="7646"/>
      <c r="E90" s="7647"/>
      <c r="F90" s="2009"/>
      <c r="G90" s="5388" t="s">
        <v>5796</v>
      </c>
      <c r="H90" s="2009"/>
      <c r="I90" s="2009"/>
      <c r="J90" s="2009"/>
      <c r="K90" s="2009"/>
      <c r="L90" s="2009"/>
      <c r="M90" s="413"/>
      <c r="N90" s="413"/>
      <c r="O90" s="413"/>
      <c r="P90" s="413"/>
      <c r="Q90" s="413"/>
      <c r="R90" s="413"/>
      <c r="S90" s="413"/>
      <c r="T90" s="413"/>
      <c r="U90" s="413"/>
      <c r="V90" s="413"/>
      <c r="W90" s="413"/>
      <c r="X90" s="413"/>
      <c r="Y90" s="7581"/>
      <c r="Z90" s="7581"/>
      <c r="AA90" s="7581"/>
      <c r="AB90" s="7581"/>
      <c r="AC90" s="1996"/>
      <c r="AD90" s="7581"/>
      <c r="AE90" s="7581"/>
      <c r="AF90" s="7581"/>
      <c r="AG90" s="7581"/>
      <c r="AH90" s="7581"/>
      <c r="AI90" s="1277"/>
      <c r="AJ90" s="512"/>
      <c r="AK90" s="5899"/>
      <c r="AL90" s="512"/>
      <c r="AM90" s="512" t="str">
        <f>IF(OR(F8889_Line16&gt;0,F8889_Line20),"HSA = "&amp;TEXT(SUM(F8889_Line16,F8889_Line20),"$0"),"")</f>
        <v/>
      </c>
      <c r="AN90" s="512"/>
      <c r="AO90" s="5887"/>
      <c r="AP90" s="253"/>
      <c r="AQ90" s="253"/>
      <c r="AR90" s="769"/>
      <c r="AS90" s="769"/>
      <c r="AT90" s="769"/>
      <c r="AU90" s="769"/>
      <c r="AV90" s="769"/>
      <c r="AW90" s="769"/>
      <c r="AX90" s="769"/>
      <c r="AY90" s="769"/>
      <c r="AZ90" s="769"/>
      <c r="BA90" s="6452"/>
      <c r="BB90" s="6452"/>
      <c r="BC90" s="6452"/>
    </row>
    <row r="91" spans="1:55" ht="17.25" customHeight="1">
      <c r="A91" s="1277"/>
      <c r="B91" s="5997" t="s">
        <v>6516</v>
      </c>
      <c r="C91" s="4467"/>
      <c r="D91" s="4467"/>
      <c r="E91" s="4467"/>
      <c r="F91" s="4467"/>
      <c r="G91" s="4467"/>
      <c r="H91" s="4467"/>
      <c r="I91" s="4467"/>
      <c r="J91" s="4467"/>
      <c r="K91" s="4467"/>
      <c r="L91" s="4467"/>
      <c r="M91" s="253"/>
      <c r="N91" s="253"/>
      <c r="O91" s="253"/>
      <c r="P91" s="253"/>
      <c r="Q91" s="253"/>
      <c r="R91" s="253"/>
      <c r="S91" s="1323" t="s">
        <v>6517</v>
      </c>
      <c r="T91" s="253"/>
      <c r="U91" s="253"/>
      <c r="V91" s="253"/>
      <c r="W91" s="253"/>
      <c r="X91" s="253"/>
      <c r="Y91" s="253"/>
      <c r="Z91" s="253"/>
      <c r="AA91" s="253"/>
      <c r="AB91" s="253"/>
      <c r="AC91" s="253"/>
      <c r="AD91" s="253"/>
      <c r="AE91" s="253"/>
      <c r="AF91" s="253"/>
      <c r="AG91" s="253"/>
      <c r="AH91" s="253"/>
      <c r="AI91" s="6603"/>
      <c r="AJ91" s="512" t="b">
        <f>AND(AI91="",File_Marr_Sep&lt;&gt;"")</f>
        <v>0</v>
      </c>
      <c r="AK91" s="5899"/>
      <c r="AL91" s="253"/>
      <c r="AM91" s="253"/>
      <c r="AN91" s="851"/>
      <c r="AO91" s="5887"/>
      <c r="AP91" s="253"/>
      <c r="AQ91" s="253"/>
      <c r="AR91" s="769"/>
      <c r="AS91" s="769"/>
      <c r="AT91" s="769"/>
      <c r="AU91" s="769"/>
      <c r="AV91" s="769"/>
      <c r="AW91" s="769"/>
      <c r="AX91" s="769"/>
      <c r="AY91" s="769"/>
      <c r="AZ91" s="769"/>
      <c r="BA91" s="6452"/>
      <c r="BB91" s="6452"/>
      <c r="BC91" s="6452"/>
    </row>
    <row r="92" spans="1:55" ht="17.25" customHeight="1">
      <c r="A92" s="1277"/>
      <c r="B92" s="5999" t="s">
        <v>746</v>
      </c>
      <c r="C92" s="2009"/>
      <c r="D92" s="2009"/>
      <c r="E92" s="2009"/>
      <c r="F92" s="2009"/>
      <c r="G92" s="2009"/>
      <c r="H92" s="2009"/>
      <c r="I92" s="2009"/>
      <c r="J92" s="2009"/>
      <c r="K92" s="2009"/>
      <c r="L92" s="2009"/>
      <c r="M92" s="413"/>
      <c r="N92" s="413"/>
      <c r="O92" s="413"/>
      <c r="P92" s="413"/>
      <c r="Q92" s="413"/>
      <c r="R92" s="413"/>
      <c r="S92" s="413"/>
      <c r="T92" s="413"/>
      <c r="U92" s="413"/>
      <c r="V92" s="413"/>
      <c r="W92" s="413"/>
      <c r="X92" s="413"/>
      <c r="Y92" s="413"/>
      <c r="Z92" s="413"/>
      <c r="AA92" s="413"/>
      <c r="AB92" s="413"/>
      <c r="AC92" s="413"/>
      <c r="AD92" s="413"/>
      <c r="AE92" s="413"/>
      <c r="AF92" s="413"/>
      <c r="AG92" s="413"/>
      <c r="AH92" s="413"/>
      <c r="AI92" s="7664" t="str">
        <f>IF(File_Marr_Sep&lt;&gt;"","Hide","")</f>
        <v/>
      </c>
      <c r="AJ92" s="724"/>
      <c r="AK92" s="5899"/>
      <c r="AL92" s="253"/>
      <c r="AM92" s="253"/>
      <c r="AN92" s="851">
        <v>75000</v>
      </c>
      <c r="AO92" s="5887"/>
      <c r="AP92" s="253"/>
      <c r="AQ92" s="253"/>
      <c r="AR92" s="769"/>
      <c r="AS92" s="769"/>
      <c r="AT92" s="769"/>
      <c r="AU92" s="769"/>
      <c r="AV92" s="769"/>
      <c r="AW92" s="769"/>
      <c r="AX92" s="769"/>
      <c r="AY92" s="769"/>
      <c r="AZ92" s="769"/>
      <c r="BA92" s="6452"/>
      <c r="BB92" s="6452"/>
      <c r="BC92" s="6452"/>
    </row>
    <row r="93" spans="1:55" ht="16.5" customHeight="1">
      <c r="A93" s="1277"/>
      <c r="B93" s="511"/>
      <c r="C93" s="4242">
        <v>31</v>
      </c>
      <c r="D93" s="511"/>
      <c r="E93" s="5995" t="s">
        <v>5784</v>
      </c>
      <c r="F93" s="511"/>
      <c r="G93" s="511"/>
      <c r="H93" s="511"/>
      <c r="I93" s="511"/>
      <c r="J93" s="511"/>
      <c r="K93" s="511"/>
      <c r="L93" s="511"/>
      <c r="M93" s="511"/>
      <c r="N93" s="511"/>
      <c r="O93" s="511"/>
      <c r="P93" s="511"/>
      <c r="Q93" s="511"/>
      <c r="R93" s="511"/>
      <c r="S93" s="511"/>
      <c r="T93" s="511"/>
      <c r="U93" s="511"/>
      <c r="V93" s="511"/>
      <c r="W93" s="511"/>
      <c r="X93" s="511"/>
      <c r="Y93" s="511"/>
      <c r="Z93" s="511"/>
      <c r="AA93" s="511"/>
      <c r="AB93" s="511"/>
      <c r="AC93" s="4448">
        <v>31</v>
      </c>
      <c r="AD93" s="7567" t="str">
        <f>IF(AK93&lt;&gt;"",ROUND(AK93,0),IF($AJ$93,"",IF(AD17="",0,AD17)))</f>
        <v/>
      </c>
      <c r="AE93" s="7580"/>
      <c r="AF93" s="7580"/>
      <c r="AG93" s="7580"/>
      <c r="AH93" s="7580"/>
      <c r="AI93" s="7664"/>
      <c r="AJ93" s="512" t="b">
        <f>AND(AK93="",OR(File_Marr_Sep&lt;&gt;"",AND(you_over_64="",sp_over_64="")))</f>
        <v>1</v>
      </c>
      <c r="AK93" s="1329"/>
      <c r="AL93" s="253"/>
      <c r="AM93" s="344"/>
      <c r="AN93" s="851">
        <v>150000</v>
      </c>
      <c r="AO93" s="851">
        <f>IF(File_Marr_Joint&lt;&gt;"",AN93,AN92)</f>
        <v>75000</v>
      </c>
      <c r="AP93" s="253"/>
      <c r="AQ93" s="253"/>
      <c r="AR93" s="769"/>
      <c r="AS93" s="769"/>
      <c r="AT93" s="769"/>
      <c r="AU93" s="769"/>
      <c r="AV93" s="769"/>
      <c r="AW93" s="769"/>
      <c r="AX93" s="769"/>
      <c r="AY93" s="769"/>
      <c r="AZ93" s="769"/>
      <c r="BA93" s="6452"/>
      <c r="BB93" s="6452"/>
      <c r="BC93" s="6452"/>
    </row>
    <row r="94" spans="1:55" ht="16.5" customHeight="1">
      <c r="A94" s="1277"/>
      <c r="B94" s="511"/>
      <c r="C94" s="4242">
        <v>32</v>
      </c>
      <c r="D94" s="4242"/>
      <c r="E94" s="5995" t="str">
        <f>"Enter "&amp;TEXT(AN92,"$0,000")&amp;" ("&amp;TEXT(AN93,"$0,000")&amp;" if married filing jointly)"</f>
        <v>Enter $75,000 ($150,000 if married filing jointly)</v>
      </c>
      <c r="F94" s="511"/>
      <c r="G94" s="511"/>
      <c r="H94" s="253"/>
      <c r="I94" s="253"/>
      <c r="J94" s="253"/>
      <c r="K94" s="253"/>
      <c r="L94" s="253"/>
      <c r="M94" s="253"/>
      <c r="N94" s="253"/>
      <c r="O94" s="253"/>
      <c r="P94" s="253"/>
      <c r="Q94" s="253"/>
      <c r="R94" s="253"/>
      <c r="S94" s="1401"/>
      <c r="T94" s="1218"/>
      <c r="U94" s="2373"/>
      <c r="V94" s="253"/>
      <c r="W94" s="817"/>
      <c r="X94" s="253"/>
      <c r="Y94" s="253"/>
      <c r="Z94" s="253"/>
      <c r="AA94" s="253"/>
      <c r="AB94" s="1657"/>
      <c r="AC94" s="4449">
        <v>32</v>
      </c>
      <c r="AD94" s="7597" t="str">
        <f>IF($AJ$93,"",AO93)</f>
        <v/>
      </c>
      <c r="AE94" s="7598"/>
      <c r="AF94" s="7598"/>
      <c r="AG94" s="7598"/>
      <c r="AH94" s="7599"/>
      <c r="AI94" s="7664"/>
      <c r="AJ94" s="512"/>
      <c r="AK94" s="2875"/>
      <c r="AL94" s="253"/>
      <c r="AM94" s="253"/>
      <c r="AN94" s="851">
        <v>6000</v>
      </c>
      <c r="AO94" s="5887"/>
      <c r="AP94" s="253"/>
      <c r="AQ94" s="253"/>
      <c r="AR94" s="769"/>
      <c r="AS94" s="769"/>
      <c r="AT94" s="769"/>
      <c r="AU94" s="769"/>
      <c r="AV94" s="769"/>
      <c r="AW94" s="769"/>
      <c r="AX94" s="769"/>
      <c r="AY94" s="769"/>
      <c r="AZ94" s="769"/>
      <c r="BA94" s="6452"/>
      <c r="BB94" s="6452"/>
      <c r="BC94" s="6452"/>
    </row>
    <row r="95" spans="1:55" ht="16.5" customHeight="1">
      <c r="A95" s="1277"/>
      <c r="B95" s="511"/>
      <c r="C95" s="4242">
        <v>33</v>
      </c>
      <c r="D95" s="4242"/>
      <c r="E95" s="5995" t="s">
        <v>5797</v>
      </c>
      <c r="F95" s="511"/>
      <c r="G95" s="511"/>
      <c r="H95" s="253"/>
      <c r="I95" s="253"/>
      <c r="J95" s="253"/>
      <c r="K95" s="253"/>
      <c r="L95" s="253"/>
      <c r="M95" s="253"/>
      <c r="N95" s="253"/>
      <c r="O95" s="253"/>
      <c r="P95" s="253"/>
      <c r="Q95" s="253"/>
      <c r="R95" s="253"/>
      <c r="S95" s="1401"/>
      <c r="T95" s="1218"/>
      <c r="U95" s="2373"/>
      <c r="V95" s="253"/>
      <c r="W95" s="817"/>
      <c r="X95" s="253"/>
      <c r="Y95" s="253"/>
      <c r="Z95" s="253"/>
      <c r="AA95" s="253"/>
      <c r="AB95" s="1657"/>
      <c r="AC95" s="4449">
        <v>33</v>
      </c>
      <c r="AD95" s="7597" t="str">
        <f>IF($AJ$93,"",SUM(AD93,-AD94))</f>
        <v/>
      </c>
      <c r="AE95" s="7598"/>
      <c r="AF95" s="7598"/>
      <c r="AG95" s="7598"/>
      <c r="AH95" s="7599"/>
      <c r="AI95" s="6604"/>
      <c r="AJ95" s="512" t="b">
        <f>AD95&lt;=0</f>
        <v>0</v>
      </c>
      <c r="AK95" s="2875"/>
      <c r="AL95" s="253"/>
      <c r="AM95" s="253"/>
      <c r="AN95" s="253">
        <v>0.06</v>
      </c>
      <c r="AO95" s="5887"/>
      <c r="AP95" s="253"/>
      <c r="AQ95" s="253"/>
      <c r="AR95" s="769"/>
      <c r="AS95" s="769"/>
      <c r="AT95" s="769"/>
      <c r="AU95" s="769"/>
      <c r="AV95" s="769"/>
      <c r="AW95" s="769"/>
      <c r="AX95" s="769"/>
      <c r="AY95" s="769"/>
      <c r="AZ95" s="769"/>
      <c r="BA95" s="6452"/>
      <c r="BB95" s="6452"/>
      <c r="BC95" s="6452"/>
    </row>
    <row r="96" spans="1:55" ht="16.5" customHeight="1">
      <c r="A96" s="1277"/>
      <c r="B96" s="511"/>
      <c r="C96" s="4242">
        <v>34</v>
      </c>
      <c r="D96" s="4242"/>
      <c r="E96" s="5995" t="str">
        <f>"Multiply line 33 by "&amp;TEXT(AN95,"0%")&amp;" ("&amp;TEXT(AN95,"0.00")&amp;")"</f>
        <v>Multiply line 33 by 6% (0.06)</v>
      </c>
      <c r="F96" s="511"/>
      <c r="G96" s="511"/>
      <c r="H96" s="253"/>
      <c r="I96" s="253"/>
      <c r="J96" s="253"/>
      <c r="K96" s="253"/>
      <c r="L96" s="253"/>
      <c r="M96" s="253"/>
      <c r="N96" s="253"/>
      <c r="O96" s="253"/>
      <c r="P96" s="253"/>
      <c r="Q96" s="253"/>
      <c r="R96" s="253"/>
      <c r="S96" s="1401"/>
      <c r="T96" s="1218"/>
      <c r="U96" s="2373"/>
      <c r="V96" s="253"/>
      <c r="W96" s="817"/>
      <c r="X96" s="253"/>
      <c r="Y96" s="253"/>
      <c r="Z96" s="253"/>
      <c r="AA96" s="253"/>
      <c r="AB96" s="1657"/>
      <c r="AC96" s="4449">
        <v>34</v>
      </c>
      <c r="AD96" s="7597" t="str">
        <f>IF(OR(AJ93,AJ95),"",ROUND(AD95*AN95,0))</f>
        <v/>
      </c>
      <c r="AE96" s="7598"/>
      <c r="AF96" s="7598"/>
      <c r="AG96" s="7598"/>
      <c r="AH96" s="7599"/>
      <c r="AI96" s="1277"/>
      <c r="AJ96" s="512"/>
      <c r="AK96" s="2875"/>
      <c r="AL96" s="253"/>
      <c r="AM96" s="253"/>
      <c r="AN96" s="253"/>
      <c r="AO96" s="5887"/>
      <c r="AP96" s="253"/>
      <c r="AQ96" s="253"/>
      <c r="AR96" s="769"/>
      <c r="AS96" s="769"/>
      <c r="AT96" s="769"/>
      <c r="AU96" s="769"/>
      <c r="AV96" s="769"/>
      <c r="AW96" s="769"/>
      <c r="AX96" s="769"/>
      <c r="AY96" s="769"/>
      <c r="AZ96" s="769"/>
      <c r="BA96" s="6452"/>
      <c r="BB96" s="6452"/>
      <c r="BC96" s="6452"/>
    </row>
    <row r="97" spans="1:56" ht="18" customHeight="1">
      <c r="A97" s="1277"/>
      <c r="B97" s="253"/>
      <c r="C97" s="4242">
        <v>35</v>
      </c>
      <c r="D97" s="2039"/>
      <c r="E97" s="5995" t="str">
        <f>"Subtract line 34 from "&amp;TEXT(AN94,"$0,000")&amp;". If zero or less, enter -0-"</f>
        <v>Subtract line 34 from $6,000. If zero or less, enter -0-</v>
      </c>
      <c r="F97" s="511"/>
      <c r="G97" s="511"/>
      <c r="H97" s="253"/>
      <c r="I97" s="253"/>
      <c r="J97" s="253"/>
      <c r="K97" s="253"/>
      <c r="L97" s="253"/>
      <c r="M97" s="253"/>
      <c r="N97" s="253"/>
      <c r="O97" s="253"/>
      <c r="P97" s="253"/>
      <c r="Q97" s="253"/>
      <c r="R97" s="253"/>
      <c r="S97" s="253"/>
      <c r="T97" s="253"/>
      <c r="U97" s="253"/>
      <c r="V97" s="1401"/>
      <c r="W97" s="817"/>
      <c r="X97" s="253"/>
      <c r="Y97" s="253"/>
      <c r="Z97" s="253"/>
      <c r="AA97" s="253"/>
      <c r="AB97" s="1657"/>
      <c r="AC97" s="4449">
        <v>35</v>
      </c>
      <c r="AD97" s="7597" t="str">
        <f>IF($AJ$93,"",IF(AJ95,AN94,MAX(0,SUM(AN94,-AD96))))</f>
        <v/>
      </c>
      <c r="AE97" s="7598"/>
      <c r="AF97" s="7598"/>
      <c r="AG97" s="7598"/>
      <c r="AH97" s="7599"/>
      <c r="AI97" s="1277"/>
      <c r="AJ97" s="512"/>
      <c r="AK97" s="2875"/>
      <c r="AL97" s="253"/>
      <c r="AM97" s="5888"/>
      <c r="AN97" s="253"/>
      <c r="AO97" s="5887"/>
      <c r="AP97" s="253"/>
      <c r="AQ97" s="253"/>
      <c r="AR97" s="769"/>
      <c r="AS97" s="769"/>
      <c r="AT97" s="769"/>
      <c r="AU97" s="769"/>
      <c r="AV97" s="769"/>
      <c r="AW97" s="769"/>
      <c r="AX97" s="769"/>
      <c r="AY97" s="769"/>
      <c r="AZ97" s="769"/>
      <c r="BA97" s="6452"/>
      <c r="BB97" s="6452"/>
      <c r="BC97" s="6452"/>
    </row>
    <row r="98" spans="1:56" ht="18" customHeight="1">
      <c r="A98" s="1277"/>
      <c r="B98" s="253"/>
      <c r="C98" s="4242" t="s">
        <v>5800</v>
      </c>
      <c r="D98" s="2039"/>
      <c r="E98" s="5995" t="str">
        <f>"If you have a valid social security number (see instructions) and were born before January 2, "&amp;TaxYear-64&amp;","</f>
        <v>If you have a valid social security number (see instructions) and were born before January 2, 1961,</v>
      </c>
      <c r="F98" s="511"/>
      <c r="G98" s="511"/>
      <c r="H98" s="253"/>
      <c r="I98" s="253"/>
      <c r="J98" s="253"/>
      <c r="K98" s="253"/>
      <c r="L98" s="253"/>
      <c r="M98" s="253"/>
      <c r="N98" s="253"/>
      <c r="O98" s="253"/>
      <c r="P98" s="253"/>
      <c r="Q98" s="253"/>
      <c r="R98" s="253"/>
      <c r="S98" s="253"/>
      <c r="T98" s="253"/>
      <c r="U98" s="253"/>
      <c r="V98" s="253"/>
      <c r="W98" s="817"/>
      <c r="X98" s="253"/>
      <c r="Y98" s="253"/>
      <c r="Z98" s="253"/>
      <c r="AA98" s="253"/>
      <c r="AB98" s="1657"/>
      <c r="AC98" s="5910"/>
      <c r="AD98" s="5885"/>
      <c r="AE98" s="5886"/>
      <c r="AF98" s="5886"/>
      <c r="AG98" s="5886"/>
      <c r="AH98" s="5886"/>
      <c r="AI98" s="1277"/>
      <c r="AJ98" s="512"/>
      <c r="AK98" s="2875"/>
      <c r="AL98" s="253"/>
      <c r="AM98" s="5888"/>
      <c r="AN98" s="253"/>
      <c r="AO98" s="5887"/>
      <c r="AP98" s="253"/>
      <c r="AQ98" s="253"/>
      <c r="AR98" s="769"/>
      <c r="AS98" s="769"/>
      <c r="AT98" s="769"/>
      <c r="AU98" s="769"/>
      <c r="AV98" s="769"/>
      <c r="AW98" s="769"/>
      <c r="AX98" s="769"/>
      <c r="AY98" s="769"/>
      <c r="AZ98" s="769"/>
      <c r="BA98" s="6452"/>
      <c r="BB98" s="6452"/>
      <c r="BC98" s="6452"/>
    </row>
    <row r="99" spans="1:56" ht="18" customHeight="1">
      <c r="A99" s="1277"/>
      <c r="B99" s="253"/>
      <c r="C99" s="2039"/>
      <c r="D99" s="2039"/>
      <c r="E99" s="6000" t="s">
        <v>5798</v>
      </c>
      <c r="F99" s="511"/>
      <c r="G99" s="511"/>
      <c r="H99" s="253"/>
      <c r="I99" s="253"/>
      <c r="J99" s="253"/>
      <c r="K99" s="253"/>
      <c r="L99" s="253"/>
      <c r="M99" s="253"/>
      <c r="N99" s="253"/>
      <c r="O99" s="253"/>
      <c r="P99" s="253"/>
      <c r="Q99" s="253"/>
      <c r="R99" s="253"/>
      <c r="S99" s="253"/>
      <c r="T99" s="253"/>
      <c r="U99" s="253"/>
      <c r="V99" s="1401"/>
      <c r="W99" s="817"/>
      <c r="X99" s="253"/>
      <c r="Y99" s="253"/>
      <c r="Z99" s="253"/>
      <c r="AA99" s="253"/>
      <c r="AB99" s="1657"/>
      <c r="AC99" s="4448" t="s">
        <v>5799</v>
      </c>
      <c r="AD99" s="7703" t="str">
        <f>IF(AK99&lt;&gt;"",ROUND(AK99,0),IF($AJ$93,"",IF(you_over_64&lt;&gt;"",AD97,"")))</f>
        <v/>
      </c>
      <c r="AE99" s="7643"/>
      <c r="AF99" s="7643"/>
      <c r="AG99" s="7643"/>
      <c r="AH99" s="7704"/>
      <c r="AI99" s="1277"/>
      <c r="AJ99" s="512"/>
      <c r="AK99" s="1329"/>
      <c r="AL99" s="253"/>
      <c r="AM99" s="5888"/>
      <c r="AN99" s="253"/>
      <c r="AO99" s="5887"/>
      <c r="AP99" s="253"/>
      <c r="AQ99" s="253"/>
      <c r="AR99" s="769"/>
      <c r="AS99" s="769"/>
      <c r="AT99" s="769"/>
      <c r="AU99" s="769"/>
      <c r="AV99" s="769"/>
      <c r="AW99" s="769"/>
      <c r="AX99" s="769"/>
      <c r="AY99" s="769"/>
      <c r="AZ99" s="769"/>
      <c r="BA99" s="6452"/>
      <c r="BB99" s="6452"/>
      <c r="BC99" s="6452"/>
    </row>
    <row r="100" spans="1:56" ht="12.75" customHeight="1">
      <c r="A100" s="1277"/>
      <c r="B100" s="253"/>
      <c r="C100" s="2039" t="s">
        <v>592</v>
      </c>
      <c r="D100" s="2039"/>
      <c r="E100" s="5995" t="s">
        <v>5801</v>
      </c>
      <c r="F100" s="511"/>
      <c r="G100" s="511"/>
      <c r="H100" s="253"/>
      <c r="I100" s="253"/>
      <c r="J100" s="253"/>
      <c r="K100" s="253"/>
      <c r="L100" s="253"/>
      <c r="M100" s="253"/>
      <c r="N100" s="253"/>
      <c r="O100" s="253"/>
      <c r="P100" s="253"/>
      <c r="Q100" s="253"/>
      <c r="R100" s="253"/>
      <c r="S100" s="253"/>
      <c r="T100" s="253"/>
      <c r="U100" s="253"/>
      <c r="V100" s="253"/>
      <c r="W100" s="817"/>
      <c r="X100" s="253"/>
      <c r="Y100" s="253"/>
      <c r="Z100" s="253"/>
      <c r="AA100" s="253"/>
      <c r="AB100" s="1657"/>
      <c r="AC100" s="5910"/>
      <c r="AD100" s="5885"/>
      <c r="AE100" s="5886"/>
      <c r="AF100" s="5886"/>
      <c r="AG100" s="5886"/>
      <c r="AH100" s="5886"/>
      <c r="AI100" s="1277"/>
      <c r="AJ100" s="512"/>
      <c r="AK100" s="2875"/>
      <c r="AL100" s="253"/>
      <c r="AM100" s="5888"/>
      <c r="AN100" s="253"/>
      <c r="AO100" s="5887"/>
      <c r="AP100" s="253"/>
      <c r="AQ100" s="253"/>
      <c r="AR100" s="769"/>
      <c r="AS100" s="769"/>
      <c r="AT100" s="769"/>
      <c r="AU100" s="769"/>
      <c r="AV100" s="769"/>
      <c r="AW100" s="769"/>
      <c r="AX100" s="769"/>
      <c r="AY100" s="769"/>
      <c r="AZ100" s="769"/>
      <c r="BA100" s="6452"/>
      <c r="BB100" s="6452"/>
      <c r="BC100" s="6452"/>
    </row>
    <row r="101" spans="1:56" ht="16.5">
      <c r="A101" s="1277"/>
      <c r="B101" s="253"/>
      <c r="C101" s="2039"/>
      <c r="D101" s="2039"/>
      <c r="E101" s="6000" t="str">
        <f>"your spouse was born before January 2, "&amp;TaxYear-64&amp;", enter the amount from line 35"</f>
        <v>your spouse was born before January 2, 1961, enter the amount from line 35</v>
      </c>
      <c r="F101" s="511"/>
      <c r="G101" s="511"/>
      <c r="H101" s="253"/>
      <c r="I101" s="253"/>
      <c r="J101" s="253"/>
      <c r="K101" s="253"/>
      <c r="L101" s="253"/>
      <c r="M101" s="253"/>
      <c r="N101" s="253"/>
      <c r="O101" s="253"/>
      <c r="P101" s="253"/>
      <c r="Q101" s="253"/>
      <c r="R101" s="253"/>
      <c r="S101" s="253"/>
      <c r="T101" s="253"/>
      <c r="U101" s="253"/>
      <c r="V101" s="1401"/>
      <c r="W101" s="817"/>
      <c r="X101" s="253"/>
      <c r="Y101" s="253"/>
      <c r="Z101" s="253"/>
      <c r="AA101" s="253"/>
      <c r="AB101" s="1657"/>
      <c r="AC101" s="4448" t="s">
        <v>5802</v>
      </c>
      <c r="AD101" s="7703" t="str">
        <f>IF(AK101&lt;&gt;"",ROUND(AK101,0),IF($AJ$93,"",IF(sp_over_64&lt;&gt;"",AD97,"")))</f>
        <v/>
      </c>
      <c r="AE101" s="7643"/>
      <c r="AF101" s="7643"/>
      <c r="AG101" s="7643"/>
      <c r="AH101" s="7704"/>
      <c r="AI101" s="1277"/>
      <c r="AJ101" s="512"/>
      <c r="AK101" s="1329"/>
      <c r="AL101" s="253"/>
      <c r="AM101" s="5888"/>
      <c r="AN101" s="253"/>
      <c r="AO101" s="5888"/>
      <c r="AP101" s="253"/>
      <c r="AQ101" s="253"/>
      <c r="AR101" s="769"/>
      <c r="AS101" s="769"/>
      <c r="AT101" s="769"/>
      <c r="AU101" s="769"/>
      <c r="AV101" s="769"/>
      <c r="AW101" s="769"/>
      <c r="AX101" s="769"/>
      <c r="AY101" s="769"/>
      <c r="AZ101" s="769"/>
      <c r="BA101" s="6452"/>
      <c r="BB101" s="6452"/>
      <c r="BC101" s="6452"/>
    </row>
    <row r="102" spans="1:56" ht="15.75" customHeight="1">
      <c r="A102" s="1277"/>
      <c r="B102" s="413"/>
      <c r="C102" s="5911">
        <v>37</v>
      </c>
      <c r="D102" s="5911"/>
      <c r="E102" s="5996" t="s">
        <v>5893</v>
      </c>
      <c r="F102" s="1996"/>
      <c r="G102" s="1996"/>
      <c r="H102" s="413"/>
      <c r="I102" s="413"/>
      <c r="J102" s="413"/>
      <c r="K102" s="413"/>
      <c r="L102" s="413"/>
      <c r="M102" s="413"/>
      <c r="N102" s="413"/>
      <c r="O102" s="413"/>
      <c r="P102" s="413"/>
      <c r="Q102" s="413"/>
      <c r="R102" s="413"/>
      <c r="S102" s="413"/>
      <c r="T102" s="413"/>
      <c r="U102" s="413"/>
      <c r="V102" s="1292"/>
      <c r="W102" s="1293"/>
      <c r="X102" s="413"/>
      <c r="Y102" s="413"/>
      <c r="Z102" s="413"/>
      <c r="AA102" s="413"/>
      <c r="AB102" s="3878"/>
      <c r="AC102" s="4449">
        <v>37</v>
      </c>
      <c r="AD102" s="7597" t="str">
        <f>IF(AK102&lt;&gt;"",ROUND(AK102,0),IF($AJ$93,"",SUM(AD99,AD101)))</f>
        <v/>
      </c>
      <c r="AE102" s="7598"/>
      <c r="AF102" s="7598"/>
      <c r="AG102" s="7598"/>
      <c r="AH102" s="7599"/>
      <c r="AI102" s="1277"/>
      <c r="AJ102" s="512"/>
      <c r="AK102" s="1329"/>
      <c r="AL102" s="253"/>
      <c r="AM102" s="5888"/>
      <c r="AN102" s="253"/>
      <c r="AO102" s="5888"/>
      <c r="AP102" s="253"/>
      <c r="AQ102" s="253"/>
      <c r="AR102" s="769"/>
      <c r="AS102" s="769"/>
      <c r="AT102" s="769"/>
      <c r="AU102" s="769"/>
      <c r="AV102" s="769"/>
      <c r="AW102" s="769"/>
      <c r="AX102" s="769"/>
      <c r="AY102" s="769"/>
      <c r="AZ102" s="769"/>
      <c r="BA102" s="6452"/>
      <c r="BB102" s="6452"/>
      <c r="BC102" s="6452"/>
    </row>
    <row r="103" spans="1:56" ht="21" customHeight="1">
      <c r="A103" s="1277"/>
      <c r="B103" s="7646" t="s">
        <v>3383</v>
      </c>
      <c r="C103" s="7646"/>
      <c r="D103" s="7646"/>
      <c r="E103" s="7647"/>
      <c r="F103" s="2009"/>
      <c r="G103" s="5388" t="s">
        <v>5803</v>
      </c>
      <c r="H103" s="2009"/>
      <c r="I103" s="2009"/>
      <c r="J103" s="2009"/>
      <c r="K103" s="2009"/>
      <c r="L103" s="2009"/>
      <c r="M103" s="413"/>
      <c r="N103" s="413"/>
      <c r="O103" s="413"/>
      <c r="P103" s="413"/>
      <c r="Q103" s="413"/>
      <c r="R103" s="413"/>
      <c r="S103" s="413"/>
      <c r="T103" s="413"/>
      <c r="U103" s="413"/>
      <c r="V103" s="413"/>
      <c r="W103" s="413"/>
      <c r="X103" s="413"/>
      <c r="Y103" s="7581"/>
      <c r="Z103" s="7581"/>
      <c r="AA103" s="7581"/>
      <c r="AB103" s="7581"/>
      <c r="AC103" s="1996"/>
      <c r="AD103" s="7581"/>
      <c r="AE103" s="7581"/>
      <c r="AF103" s="7581"/>
      <c r="AG103" s="7581"/>
      <c r="AH103" s="7581"/>
      <c r="AI103" s="1277"/>
      <c r="AJ103" s="512" t="b">
        <f>AND(AJ10,AJ38,AJ53,AJ79,AJ93)</f>
        <v>1</v>
      </c>
      <c r="AK103" s="5899"/>
      <c r="AL103" s="512"/>
      <c r="AM103" s="512" t="str">
        <f>IF(OR(F8889_Line16&gt;0,F8889_Line20),"HSA = "&amp;TEXT(SUM(F8889_Line16,F8889_Line20),"$0"),"")</f>
        <v/>
      </c>
      <c r="AN103" s="512"/>
      <c r="AO103" s="5888"/>
      <c r="AP103" s="253"/>
      <c r="AQ103" s="253"/>
      <c r="AR103" s="769"/>
      <c r="AS103" s="769"/>
      <c r="AT103" s="769"/>
      <c r="AU103" s="769"/>
      <c r="AV103" s="769"/>
      <c r="AW103" s="769"/>
      <c r="AX103" s="769"/>
      <c r="AY103" s="769"/>
      <c r="AZ103" s="769"/>
      <c r="BA103" s="6452"/>
      <c r="BB103" s="6452"/>
      <c r="BC103" s="6452"/>
    </row>
    <row r="104" spans="1:56" ht="15.75" customHeight="1">
      <c r="A104" s="1277"/>
      <c r="B104" s="253"/>
      <c r="C104" s="4242">
        <v>38</v>
      </c>
      <c r="D104" s="2039"/>
      <c r="E104" s="5995" t="s">
        <v>5804</v>
      </c>
      <c r="F104" s="511"/>
      <c r="G104" s="511"/>
      <c r="H104" s="253"/>
      <c r="I104" s="253"/>
      <c r="J104" s="253"/>
      <c r="K104" s="253"/>
      <c r="L104" s="253"/>
      <c r="M104" s="253"/>
      <c r="N104" s="253"/>
      <c r="O104" s="253"/>
      <c r="P104" s="253"/>
      <c r="Q104" s="253"/>
      <c r="R104" s="253"/>
      <c r="S104" s="253"/>
      <c r="T104" s="253"/>
      <c r="U104" s="253"/>
      <c r="V104" s="253"/>
      <c r="W104" s="817"/>
      <c r="X104" s="253"/>
      <c r="Y104" s="253"/>
      <c r="Z104" s="253"/>
      <c r="AA104" s="253"/>
      <c r="AB104" s="1657"/>
      <c r="AC104" s="5910"/>
      <c r="AD104" s="5885"/>
      <c r="AE104" s="5886"/>
      <c r="AF104" s="5886"/>
      <c r="AG104" s="5886"/>
      <c r="AH104" s="5886"/>
      <c r="AI104" s="1277"/>
      <c r="AJ104" s="512"/>
      <c r="AK104" s="2875"/>
      <c r="AL104" s="253"/>
      <c r="AM104" s="5888"/>
      <c r="AN104" s="253"/>
      <c r="AO104" s="5888"/>
      <c r="AP104" s="253"/>
      <c r="AQ104" s="253"/>
      <c r="AR104" s="769"/>
      <c r="AS104" s="769"/>
      <c r="AT104" s="769"/>
      <c r="AU104" s="769"/>
      <c r="AV104" s="769"/>
      <c r="AW104" s="769"/>
      <c r="AX104" s="769"/>
      <c r="AY104" s="769"/>
      <c r="AZ104" s="769"/>
      <c r="BA104" s="6452"/>
      <c r="BB104" s="6452"/>
      <c r="BC104" s="6452"/>
    </row>
    <row r="105" spans="1:56" ht="15.75" customHeight="1" thickBot="1">
      <c r="A105" s="1277"/>
      <c r="B105" s="253"/>
      <c r="C105" s="2039"/>
      <c r="D105" s="2039"/>
      <c r="E105" s="6000" t="s">
        <v>6808</v>
      </c>
      <c r="F105" s="511"/>
      <c r="G105" s="511"/>
      <c r="H105" s="253"/>
      <c r="I105" s="253"/>
      <c r="J105" s="253"/>
      <c r="K105" s="253"/>
      <c r="L105" s="253"/>
      <c r="M105" s="253"/>
      <c r="N105" s="253"/>
      <c r="O105" s="253"/>
      <c r="P105" s="253"/>
      <c r="Q105" s="253"/>
      <c r="R105" s="253"/>
      <c r="S105" s="253"/>
      <c r="T105" s="253"/>
      <c r="U105" s="253"/>
      <c r="V105" s="1401"/>
      <c r="W105" s="817"/>
      <c r="X105" s="253"/>
      <c r="Y105" s="253"/>
      <c r="Z105" s="253"/>
      <c r="AA105" s="253"/>
      <c r="AB105" s="1657"/>
      <c r="AC105" s="4448">
        <v>38</v>
      </c>
      <c r="AD105" s="7597" t="str">
        <f>IF(AK105&lt;&gt;"",ROUND(AK105,0),IF($AJ$103,"",SUM(AD46,AD62,AD89,AD102)))</f>
        <v/>
      </c>
      <c r="AE105" s="7598"/>
      <c r="AF105" s="7598"/>
      <c r="AG105" s="7598"/>
      <c r="AH105" s="7599"/>
      <c r="AI105" s="1277"/>
      <c r="AJ105" s="512"/>
      <c r="AK105" s="1329"/>
      <c r="AL105" s="253"/>
      <c r="AM105" s="5888"/>
      <c r="AN105" s="253"/>
      <c r="AO105" s="5888"/>
      <c r="AP105" s="253"/>
      <c r="AQ105" s="253"/>
      <c r="AR105" s="769"/>
      <c r="AS105" s="769"/>
      <c r="AT105" s="769"/>
      <c r="AU105" s="769"/>
      <c r="AV105" s="769"/>
      <c r="AW105" s="769"/>
      <c r="AX105" s="769"/>
      <c r="AY105" s="769"/>
      <c r="AZ105" s="769"/>
      <c r="BA105" s="6452"/>
      <c r="BB105" s="6452"/>
      <c r="BC105" s="6452"/>
    </row>
    <row r="106" spans="1:56" ht="14.25" customHeight="1">
      <c r="A106" s="1277"/>
      <c r="B106" s="2907"/>
      <c r="C106" s="2908"/>
      <c r="D106" s="2908"/>
      <c r="E106" s="377"/>
      <c r="F106" s="377"/>
      <c r="G106" s="377"/>
      <c r="H106" s="377"/>
      <c r="I106" s="377"/>
      <c r="J106" s="377"/>
      <c r="K106" s="377"/>
      <c r="L106" s="377"/>
      <c r="M106" s="377"/>
      <c r="N106" s="377"/>
      <c r="O106" s="377"/>
      <c r="P106" s="377"/>
      <c r="Q106" s="377"/>
      <c r="R106" s="377"/>
      <c r="S106" s="377"/>
      <c r="T106" s="377"/>
      <c r="U106" s="1993"/>
      <c r="V106" s="1993"/>
      <c r="W106" s="377"/>
      <c r="X106" s="2267"/>
      <c r="Y106" s="377"/>
      <c r="Z106" s="377"/>
      <c r="AA106" s="377"/>
      <c r="AB106" s="377"/>
      <c r="AC106" s="377"/>
      <c r="AD106" s="377"/>
      <c r="AE106" s="377"/>
      <c r="AF106" s="377"/>
      <c r="AG106" s="377"/>
      <c r="AH106" s="1994" t="str">
        <f>"Schedule 1-A (Form 1040) "&amp;TaxYear</f>
        <v>Schedule 1-A (Form 1040) 2025</v>
      </c>
      <c r="AI106" s="1277"/>
      <c r="AJ106" s="512"/>
      <c r="AK106" s="2875"/>
      <c r="AL106" s="253"/>
      <c r="AM106" s="2741"/>
      <c r="AN106" s="253"/>
      <c r="AO106" s="2741"/>
      <c r="AP106" s="253"/>
      <c r="AQ106" s="253"/>
      <c r="AR106" s="769"/>
      <c r="AS106" s="769"/>
      <c r="AT106" s="769"/>
      <c r="AU106" s="769"/>
      <c r="AV106" s="769"/>
      <c r="AW106" s="769"/>
      <c r="AX106" s="769"/>
      <c r="AY106" s="769"/>
      <c r="AZ106" s="769"/>
      <c r="BA106" s="6452"/>
      <c r="BB106" s="6452"/>
      <c r="BC106" s="6452"/>
    </row>
    <row r="107" spans="1:56" ht="14.25" customHeight="1">
      <c r="A107" s="1277"/>
      <c r="B107" s="1277"/>
      <c r="C107" s="1277"/>
      <c r="D107" s="1277"/>
      <c r="E107" s="1277"/>
      <c r="F107" s="1277"/>
      <c r="G107" s="1277"/>
      <c r="H107" s="1277"/>
      <c r="I107" s="1277"/>
      <c r="J107" s="1277"/>
      <c r="K107" s="1277"/>
      <c r="L107" s="1277"/>
      <c r="M107" s="1277"/>
      <c r="N107" s="1277"/>
      <c r="O107" s="1277"/>
      <c r="P107" s="1277"/>
      <c r="Q107" s="1277"/>
      <c r="R107" s="1277"/>
      <c r="S107" s="1277"/>
      <c r="T107" s="1277"/>
      <c r="U107" s="1277"/>
      <c r="V107" s="1277"/>
      <c r="W107" s="5908"/>
      <c r="X107" s="1277"/>
      <c r="Y107" s="1277"/>
      <c r="Z107" s="1277"/>
      <c r="AA107" s="1277"/>
      <c r="AB107" s="1277"/>
      <c r="AC107" s="1277"/>
      <c r="AD107" s="1277"/>
      <c r="AE107" s="1277"/>
      <c r="AF107" s="1277"/>
      <c r="AG107" s="1277"/>
      <c r="AH107" s="1277"/>
      <c r="AI107" s="1277"/>
      <c r="AJ107" s="512"/>
      <c r="AK107" s="2875"/>
      <c r="AL107" s="253"/>
      <c r="AM107" s="253"/>
      <c r="AN107" s="253"/>
      <c r="AO107" s="253"/>
      <c r="AP107" s="253"/>
      <c r="AQ107" s="253"/>
      <c r="AR107" s="769"/>
      <c r="AS107" s="769"/>
      <c r="AT107" s="769"/>
      <c r="AU107" s="769"/>
      <c r="AV107" s="769"/>
      <c r="AW107" s="769"/>
      <c r="AX107" s="769"/>
      <c r="AY107" s="769"/>
      <c r="AZ107" s="769"/>
      <c r="BA107" s="6452"/>
      <c r="BB107" s="6452"/>
      <c r="BC107" s="6452"/>
    </row>
    <row r="108" spans="1:56" ht="14.25" customHeight="1">
      <c r="G108" s="1224"/>
      <c r="H108" s="1224"/>
      <c r="I108" s="1224"/>
      <c r="J108" s="1224"/>
      <c r="K108" s="1224"/>
      <c r="L108" s="1224"/>
      <c r="M108" s="1224"/>
      <c r="N108" s="1224"/>
      <c r="O108" s="1224"/>
      <c r="P108" s="1224"/>
      <c r="Q108" s="1224"/>
      <c r="R108" s="1224"/>
      <c r="S108" s="1224"/>
      <c r="T108" s="1224"/>
      <c r="U108" s="1224"/>
      <c r="V108" s="1224"/>
      <c r="W108" s="1224"/>
      <c r="X108" s="1224"/>
      <c r="Y108" s="1224"/>
      <c r="Z108" s="1224"/>
      <c r="AA108" s="1224"/>
      <c r="AB108" s="1224"/>
      <c r="AC108" s="1224"/>
      <c r="AD108" s="1224"/>
      <c r="AE108" s="1224"/>
      <c r="AF108" s="1224"/>
      <c r="AG108" s="1224"/>
      <c r="AH108" s="1224"/>
      <c r="AI108" s="1224"/>
      <c r="AK108" s="1224"/>
      <c r="AL108" s="1224"/>
      <c r="AM108" s="1224"/>
      <c r="AN108" s="1224"/>
      <c r="AO108" s="1224"/>
      <c r="AP108" s="1224"/>
      <c r="AQ108" s="1224"/>
      <c r="AR108" s="769"/>
      <c r="AS108" s="769"/>
      <c r="AT108" s="769"/>
      <c r="AU108" s="769"/>
      <c r="AV108" s="769"/>
      <c r="AW108" s="769"/>
      <c r="AX108" s="769"/>
      <c r="AY108" s="769"/>
      <c r="AZ108" s="769"/>
      <c r="BA108" s="6452"/>
      <c r="BB108" s="6452"/>
      <c r="BC108" s="6452"/>
      <c r="BD108" s="1224"/>
    </row>
    <row r="109" spans="1:56" ht="14.25" customHeight="1" thickBot="1">
      <c r="H109" s="1224"/>
      <c r="I109" s="1224"/>
      <c r="J109" s="1224"/>
      <c r="K109" s="1224"/>
      <c r="L109" s="1224"/>
      <c r="M109" s="1224"/>
      <c r="N109" s="1224"/>
      <c r="O109" s="1224"/>
      <c r="P109" s="1224"/>
      <c r="Q109" s="1224"/>
      <c r="R109" s="1224"/>
      <c r="S109" s="1224"/>
      <c r="T109" s="1224"/>
      <c r="U109" s="1224"/>
      <c r="V109" s="1224"/>
      <c r="W109" s="1224"/>
      <c r="X109" s="1224"/>
      <c r="Y109" s="1224"/>
      <c r="Z109" s="1224"/>
      <c r="AA109" s="1224"/>
      <c r="AB109" s="1224"/>
      <c r="AC109" s="1224"/>
      <c r="AD109" s="1224"/>
      <c r="AE109" s="1224"/>
      <c r="AF109" s="1224"/>
      <c r="AG109" s="1224"/>
      <c r="AH109" s="1224"/>
      <c r="AI109" s="1224"/>
      <c r="AK109" s="1224"/>
      <c r="AL109" s="1224"/>
      <c r="AM109" s="1224"/>
      <c r="AN109" s="1224"/>
      <c r="AO109" s="1224"/>
      <c r="AP109" s="1224"/>
      <c r="AQ109" s="1224"/>
      <c r="AR109" s="769"/>
      <c r="AS109" s="769"/>
      <c r="AT109" s="769"/>
      <c r="AU109" s="769"/>
      <c r="AV109" s="769"/>
      <c r="AW109" s="769"/>
      <c r="AX109" s="769"/>
      <c r="AY109" s="769"/>
      <c r="AZ109" s="769"/>
      <c r="BA109" s="6452"/>
      <c r="BB109" s="6452"/>
      <c r="BC109" s="6452"/>
      <c r="BD109" s="1224"/>
    </row>
    <row r="110" spans="1:56" ht="14.25" customHeight="1">
      <c r="B110" s="7678" t="s">
        <v>42</v>
      </c>
      <c r="C110" s="7679"/>
      <c r="D110" s="7679"/>
      <c r="E110" s="7679"/>
      <c r="F110" s="7680"/>
      <c r="H110" s="1224"/>
      <c r="I110" s="1224"/>
      <c r="J110" s="1224"/>
      <c r="K110" s="1224"/>
      <c r="L110" s="1224"/>
      <c r="M110" s="1224"/>
      <c r="N110" s="1224"/>
      <c r="O110" s="1224"/>
      <c r="P110" s="1224"/>
      <c r="Q110" s="1224"/>
      <c r="R110" s="1224"/>
      <c r="S110" s="1224"/>
      <c r="T110" s="1224"/>
      <c r="U110" s="1224"/>
      <c r="V110" s="1224"/>
      <c r="W110" s="1224"/>
      <c r="X110" s="1224"/>
      <c r="Y110" s="1224"/>
      <c r="Z110" s="1224"/>
      <c r="AA110" s="1224"/>
      <c r="AB110" s="1224"/>
      <c r="AC110" s="1224"/>
      <c r="AD110" s="1224"/>
      <c r="AE110" s="1224"/>
      <c r="AF110" s="1224"/>
      <c r="AG110" s="1224"/>
      <c r="AH110" s="1224"/>
      <c r="AI110" s="1224"/>
      <c r="AJ110" s="1250" t="str">
        <f>IF(U110&lt;&gt;"",ROUND(U110,0),"")</f>
        <v/>
      </c>
      <c r="AK110" s="4451" t="str">
        <f t="shared" ref="AK110:AP110" si="4">IF(V110&lt;&gt;"",ROUND(V110,0),"")</f>
        <v/>
      </c>
      <c r="AL110" s="4451" t="str">
        <f t="shared" si="4"/>
        <v/>
      </c>
      <c r="AM110" s="4451" t="str">
        <f t="shared" si="4"/>
        <v/>
      </c>
      <c r="AN110" s="4451" t="str">
        <f t="shared" si="4"/>
        <v/>
      </c>
      <c r="AO110" s="4451" t="str">
        <f t="shared" si="4"/>
        <v/>
      </c>
      <c r="AP110" s="4451" t="str">
        <f t="shared" si="4"/>
        <v/>
      </c>
      <c r="AQ110" s="4451"/>
      <c r="AR110" s="769"/>
      <c r="AS110" s="769"/>
      <c r="AT110" s="769"/>
      <c r="AU110" s="769"/>
      <c r="AV110" s="769"/>
      <c r="AW110" s="769"/>
      <c r="AX110" s="769"/>
      <c r="AY110" s="769"/>
      <c r="AZ110" s="769"/>
      <c r="BA110" s="6452"/>
      <c r="BB110" s="6452"/>
      <c r="BC110" s="6452"/>
      <c r="BD110" s="4451" t="str">
        <f>IF(AM110&lt;&gt;"",ROUND(AM110,0),"")</f>
        <v/>
      </c>
    </row>
    <row r="111" spans="1:56" ht="14.25" customHeight="1">
      <c r="B111" s="7672"/>
      <c r="C111" s="7673"/>
      <c r="D111" s="7673"/>
      <c r="E111" s="7673"/>
      <c r="F111" s="7674"/>
      <c r="H111" s="1224"/>
      <c r="I111" s="1224"/>
      <c r="J111" s="1224"/>
      <c r="K111" s="1224"/>
      <c r="L111" s="1224"/>
      <c r="M111" s="1224"/>
      <c r="N111" s="1224"/>
      <c r="O111" s="1224"/>
      <c r="P111" s="1224"/>
      <c r="Q111" s="1224"/>
      <c r="R111" s="1224"/>
      <c r="S111" s="1224"/>
      <c r="T111" s="1224"/>
      <c r="U111" s="1224"/>
      <c r="V111" s="1224"/>
      <c r="W111" s="1224"/>
      <c r="X111" s="1224"/>
      <c r="Y111" s="1224"/>
      <c r="Z111" s="1224"/>
      <c r="AA111" s="1224"/>
      <c r="AB111" s="1224"/>
      <c r="AC111" s="1224"/>
      <c r="AD111" s="1224"/>
      <c r="AE111" s="1224"/>
      <c r="AF111" s="1224"/>
      <c r="AG111" s="1224"/>
      <c r="AH111" s="1224"/>
      <c r="AI111" s="1224"/>
      <c r="AJ111" s="1250"/>
      <c r="AK111" s="4451"/>
      <c r="AL111" s="4451"/>
      <c r="AM111" s="4451"/>
      <c r="AN111" s="4451"/>
      <c r="AO111" s="4451"/>
      <c r="AP111" s="4451"/>
      <c r="AQ111" s="4451"/>
      <c r="AR111" s="769"/>
      <c r="AS111" s="769"/>
      <c r="AT111" s="769"/>
      <c r="AU111" s="769"/>
      <c r="AV111" s="769"/>
      <c r="AW111" s="769"/>
      <c r="AX111" s="769"/>
      <c r="AY111" s="769"/>
      <c r="AZ111" s="769"/>
      <c r="BA111" s="6452"/>
      <c r="BB111" s="6452"/>
      <c r="BC111" s="6452"/>
      <c r="BD111" s="4451"/>
    </row>
    <row r="112" spans="1:56" ht="16.5" customHeight="1">
      <c r="B112" s="7672" t="s">
        <v>2238</v>
      </c>
      <c r="C112" s="7673"/>
      <c r="D112" s="7673"/>
      <c r="E112" s="7673"/>
      <c r="F112" s="7674"/>
      <c r="H112" s="1224"/>
      <c r="I112" s="1224"/>
      <c r="J112" s="1224"/>
      <c r="K112" s="1224"/>
      <c r="L112" s="1224"/>
      <c r="M112" s="1224"/>
      <c r="N112" s="1224"/>
      <c r="O112" s="1224"/>
      <c r="P112" s="1224"/>
      <c r="Q112" s="1224"/>
      <c r="R112" s="1224"/>
      <c r="S112" s="1224"/>
      <c r="T112" s="1224"/>
      <c r="U112" s="1224"/>
      <c r="V112" s="1224"/>
      <c r="W112" s="1224"/>
      <c r="X112" s="1224"/>
      <c r="Y112" s="1224"/>
      <c r="Z112" s="1224"/>
      <c r="AA112" s="1224"/>
      <c r="AB112" s="1224"/>
      <c r="AC112" s="1224"/>
      <c r="AD112" s="1224"/>
      <c r="AE112" s="1224"/>
      <c r="AF112" s="1224"/>
      <c r="AG112" s="1224"/>
      <c r="AH112" s="1224"/>
      <c r="AI112" s="1224"/>
      <c r="AJ112" s="1250" t="str">
        <f>IF(U112&lt;&gt;"",ROUND(U112,0),"")</f>
        <v/>
      </c>
      <c r="AK112" s="5909"/>
      <c r="AL112" s="5909"/>
      <c r="AM112" s="5909"/>
      <c r="AN112" s="5909"/>
      <c r="AO112" s="5909"/>
      <c r="AP112" s="5909"/>
      <c r="AQ112" s="5909"/>
      <c r="AR112" s="769"/>
      <c r="AS112" s="769"/>
      <c r="AT112" s="769"/>
      <c r="AU112" s="769"/>
      <c r="AV112" s="769"/>
      <c r="AW112" s="769"/>
      <c r="AX112" s="769"/>
      <c r="AY112" s="769"/>
      <c r="AZ112" s="769"/>
      <c r="BA112" s="6452"/>
      <c r="BB112" s="6452"/>
      <c r="BC112" s="6452"/>
      <c r="BD112" s="5909"/>
    </row>
    <row r="113" spans="2:56" ht="13.5" thickBot="1">
      <c r="B113" s="7675"/>
      <c r="C113" s="7676"/>
      <c r="D113" s="7676"/>
      <c r="E113" s="7676"/>
      <c r="F113" s="7677"/>
      <c r="H113" s="1224"/>
      <c r="I113" s="1224"/>
      <c r="J113" s="1224"/>
      <c r="K113" s="1224"/>
      <c r="L113" s="1224"/>
      <c r="M113" s="1224"/>
      <c r="N113" s="1224"/>
      <c r="O113" s="1224"/>
      <c r="P113" s="1224"/>
      <c r="Q113" s="1224"/>
      <c r="R113" s="1224"/>
      <c r="S113" s="1224"/>
      <c r="T113" s="1224"/>
      <c r="U113" s="1224"/>
      <c r="V113" s="1224"/>
      <c r="W113" s="1224"/>
      <c r="X113" s="1224"/>
      <c r="Y113" s="1224"/>
      <c r="Z113" s="1224"/>
      <c r="AA113" s="1224"/>
      <c r="AB113" s="1224"/>
      <c r="AC113" s="1224"/>
      <c r="AD113" s="1224"/>
      <c r="AE113" s="1224"/>
      <c r="AF113" s="1224"/>
      <c r="AG113" s="1224"/>
      <c r="AH113" s="1224"/>
      <c r="AI113" s="1224"/>
      <c r="AJ113" s="1250" t="str">
        <f>IF(U113&lt;&gt;"",ROUND(U113,0),"")</f>
        <v/>
      </c>
      <c r="AK113" s="5909"/>
      <c r="AL113" s="5909"/>
      <c r="AM113" s="5909"/>
      <c r="AN113" s="4700"/>
      <c r="AO113" s="4700"/>
      <c r="AP113" s="4700"/>
      <c r="AQ113" s="4700"/>
      <c r="AR113" s="769"/>
      <c r="AS113" s="769"/>
      <c r="AT113" s="769"/>
      <c r="AU113" s="769"/>
      <c r="AV113" s="769"/>
      <c r="AW113" s="769"/>
      <c r="AX113" s="769"/>
      <c r="AY113" s="769"/>
      <c r="AZ113" s="769"/>
      <c r="BA113" s="6452"/>
      <c r="BB113" s="6452"/>
      <c r="BC113" s="6452"/>
      <c r="BD113" s="4700"/>
    </row>
    <row r="114" spans="2:56">
      <c r="H114" s="1224"/>
      <c r="I114" s="1224"/>
      <c r="J114" s="1224"/>
      <c r="K114" s="1224"/>
      <c r="L114" s="1224"/>
      <c r="M114" s="1224"/>
      <c r="N114" s="1224"/>
      <c r="O114" s="1224"/>
      <c r="P114" s="1224"/>
      <c r="Q114" s="1224"/>
      <c r="R114" s="1224"/>
      <c r="S114" s="1224"/>
      <c r="T114" s="1224"/>
      <c r="U114" s="1224"/>
      <c r="V114" s="1224"/>
      <c r="W114" s="1224"/>
      <c r="X114" s="1224"/>
      <c r="Y114" s="1224"/>
      <c r="Z114" s="1224"/>
      <c r="AA114" s="1224"/>
      <c r="AB114" s="1224"/>
      <c r="AC114" s="1224"/>
      <c r="AD114" s="1224"/>
      <c r="AE114" s="1224"/>
      <c r="AF114" s="1224"/>
      <c r="AG114" s="1224"/>
      <c r="AH114" s="1224"/>
      <c r="AI114" s="1224"/>
      <c r="AJ114" s="1250"/>
      <c r="AK114" s="5909"/>
      <c r="AL114" s="5909"/>
      <c r="AM114" s="5909"/>
      <c r="AN114" s="4700"/>
      <c r="AO114" s="4700"/>
      <c r="AP114" s="4700"/>
      <c r="AQ114" s="4700"/>
      <c r="AR114" s="769"/>
      <c r="AS114" s="769"/>
      <c r="AT114" s="769"/>
      <c r="AU114" s="769"/>
      <c r="AV114" s="769"/>
      <c r="AW114" s="769"/>
      <c r="AX114" s="769"/>
      <c r="AY114" s="769"/>
      <c r="AZ114" s="769"/>
      <c r="BA114" s="6452"/>
      <c r="BB114" s="6452"/>
      <c r="BC114" s="6452"/>
      <c r="BD114" s="4700"/>
    </row>
    <row r="115" spans="2:56">
      <c r="H115" s="1224"/>
      <c r="I115" s="1224"/>
      <c r="J115" s="1224"/>
      <c r="K115" s="1224"/>
      <c r="L115" s="1224"/>
      <c r="M115" s="1224"/>
      <c r="N115" s="1224"/>
      <c r="O115" s="1224"/>
      <c r="P115" s="1224"/>
      <c r="Q115" s="1224"/>
      <c r="R115" s="1224"/>
      <c r="S115" s="1224"/>
      <c r="T115" s="1224"/>
      <c r="U115" s="1224"/>
      <c r="V115" s="1224"/>
      <c r="W115" s="1224"/>
      <c r="X115" s="1224"/>
      <c r="Y115" s="1224"/>
      <c r="Z115" s="1224"/>
      <c r="AA115" s="1224"/>
      <c r="AB115" s="1224"/>
      <c r="AC115" s="1224"/>
      <c r="AD115" s="1224"/>
      <c r="AE115" s="1224"/>
      <c r="AF115" s="1224"/>
      <c r="AG115" s="1224"/>
      <c r="AH115" s="1224"/>
      <c r="AI115" s="1224"/>
      <c r="AJ115" s="1250" t="str">
        <f>IF(U115&lt;&gt;"",ROUND(U115,0),"")</f>
        <v/>
      </c>
      <c r="AK115" s="5909"/>
      <c r="AL115" s="5909"/>
      <c r="AM115" s="5909"/>
      <c r="AN115" s="4700"/>
      <c r="AO115" s="4700"/>
      <c r="AP115" s="4700"/>
      <c r="AQ115" s="4700"/>
      <c r="AR115" s="769"/>
      <c r="AS115" s="769"/>
      <c r="AT115" s="769"/>
      <c r="AU115" s="769"/>
      <c r="AV115" s="769"/>
      <c r="AW115" s="769"/>
      <c r="AX115" s="769"/>
      <c r="AY115" s="769"/>
      <c r="AZ115" s="769"/>
      <c r="BA115" s="6452"/>
      <c r="BB115" s="6452"/>
      <c r="BC115" s="6452"/>
    </row>
    <row r="116" spans="2:56">
      <c r="H116" s="1224"/>
      <c r="I116" s="1224"/>
      <c r="J116" s="1224"/>
      <c r="K116" s="1224"/>
      <c r="L116" s="1224"/>
      <c r="M116" s="1224"/>
      <c r="N116" s="1224"/>
      <c r="O116" s="1224"/>
      <c r="P116" s="1224"/>
      <c r="Q116" s="1224"/>
      <c r="R116" s="1224"/>
      <c r="S116" s="1224"/>
      <c r="T116" s="1224"/>
      <c r="U116" s="1224"/>
      <c r="V116" s="1224"/>
      <c r="W116" s="1224"/>
      <c r="X116" s="1224"/>
      <c r="Y116" s="1224"/>
      <c r="Z116" s="1224"/>
      <c r="AA116" s="1224"/>
      <c r="AB116" s="1224"/>
      <c r="AC116" s="1224"/>
      <c r="AD116" s="1224"/>
      <c r="AE116" s="1224"/>
      <c r="AF116" s="1224"/>
      <c r="AG116" s="1224"/>
      <c r="AH116" s="1224"/>
      <c r="AI116" s="1224"/>
      <c r="AJ116" s="1250"/>
      <c r="AK116" s="5909"/>
      <c r="AL116" s="5909"/>
      <c r="AM116" s="5909"/>
      <c r="AN116" s="4700"/>
      <c r="AO116" s="4700"/>
      <c r="AP116" s="4700"/>
      <c r="AQ116" s="4700"/>
      <c r="AR116" s="1224"/>
      <c r="AS116" s="1224"/>
      <c r="AT116" s="1224"/>
      <c r="AU116" s="1224"/>
      <c r="AV116" s="1224"/>
      <c r="AW116" s="1224"/>
      <c r="AX116" s="1224"/>
      <c r="AY116" s="1224"/>
      <c r="AZ116" s="1224"/>
      <c r="BA116" s="5061"/>
      <c r="BB116" s="5061"/>
      <c r="BC116" s="5061"/>
    </row>
    <row r="117" spans="2:56">
      <c r="H117" s="1224"/>
      <c r="I117" s="1224"/>
      <c r="J117" s="1224"/>
      <c r="K117" s="1224"/>
      <c r="L117" s="1224"/>
      <c r="M117" s="1224"/>
      <c r="N117" s="1224"/>
      <c r="O117" s="1224"/>
      <c r="P117" s="1224"/>
      <c r="Q117" s="1224"/>
      <c r="R117" s="1224"/>
      <c r="S117" s="1224"/>
      <c r="T117" s="1224"/>
      <c r="U117" s="1224"/>
      <c r="V117" s="1224"/>
      <c r="W117" s="1224"/>
      <c r="X117" s="1224"/>
      <c r="Y117" s="1224"/>
      <c r="Z117" s="1224"/>
      <c r="AA117" s="1224"/>
      <c r="AB117" s="1224"/>
      <c r="AC117" s="1224"/>
      <c r="AD117" s="1224"/>
      <c r="AE117" s="1224"/>
      <c r="AF117" s="1224"/>
      <c r="AG117" s="1224"/>
      <c r="AH117" s="1224"/>
      <c r="AI117" s="1224"/>
      <c r="AJ117" s="1250" t="str">
        <f>IF(U117&lt;&gt;"",ROUND(U117,0),"")</f>
        <v/>
      </c>
      <c r="AK117" s="5909"/>
      <c r="AL117" s="1224"/>
      <c r="AM117" s="1224"/>
      <c r="AO117" s="4700"/>
      <c r="AR117" s="1224"/>
      <c r="AS117" s="1224"/>
      <c r="AT117" s="1224"/>
      <c r="AU117" s="1224"/>
      <c r="AV117" s="1224"/>
      <c r="AW117" s="1224"/>
      <c r="AX117" s="1224"/>
      <c r="AY117" s="1224"/>
      <c r="AZ117" s="1224"/>
      <c r="BA117" s="5061"/>
      <c r="BB117" s="5061"/>
      <c r="BC117" s="5061"/>
    </row>
    <row r="118" spans="2:56">
      <c r="H118" s="1224"/>
      <c r="I118" s="1224"/>
      <c r="J118" s="1224"/>
      <c r="K118" s="1224"/>
      <c r="L118" s="1224"/>
      <c r="M118" s="1224"/>
      <c r="N118" s="1224"/>
      <c r="O118" s="1224"/>
      <c r="P118" s="1224"/>
      <c r="Q118" s="1224"/>
      <c r="R118" s="1224"/>
      <c r="S118" s="1224"/>
      <c r="T118" s="1224"/>
      <c r="U118" s="1224"/>
      <c r="V118" s="1224"/>
      <c r="W118" s="1224"/>
      <c r="X118" s="1224"/>
      <c r="Y118" s="1224"/>
      <c r="Z118" s="1224"/>
      <c r="AA118" s="1224"/>
      <c r="AB118" s="1224"/>
      <c r="AC118" s="1224"/>
      <c r="AD118" s="1224"/>
      <c r="AE118" s="1224"/>
      <c r="AF118" s="1224"/>
      <c r="AG118" s="1224"/>
      <c r="AH118" s="1224"/>
      <c r="AI118" s="1224"/>
      <c r="AJ118" s="1250"/>
      <c r="AK118" s="5909"/>
      <c r="AL118" s="1224"/>
      <c r="AM118" s="1224"/>
      <c r="AR118" s="4451" t="str">
        <f t="shared" ref="AR118:AZ118" si="5">IF(AB110&lt;&gt;"",ROUND(AB110,0),"")</f>
        <v/>
      </c>
      <c r="AS118" s="4451" t="str">
        <f t="shared" si="5"/>
        <v/>
      </c>
      <c r="AT118" s="4451" t="str">
        <f t="shared" si="5"/>
        <v/>
      </c>
      <c r="AU118" s="4451" t="str">
        <f t="shared" si="5"/>
        <v/>
      </c>
      <c r="AV118" s="4451" t="str">
        <f t="shared" si="5"/>
        <v/>
      </c>
      <c r="AW118" s="4451" t="str">
        <f t="shared" si="5"/>
        <v/>
      </c>
      <c r="AX118" s="4451" t="str">
        <f t="shared" si="5"/>
        <v/>
      </c>
      <c r="AY118" s="4451" t="str">
        <f t="shared" si="5"/>
        <v/>
      </c>
      <c r="AZ118" s="4451" t="str">
        <f t="shared" si="5"/>
        <v/>
      </c>
      <c r="BA118" s="6456" t="str">
        <f>IF(AK110&lt;&gt;"",ROUND(AK110,0),"")</f>
        <v/>
      </c>
      <c r="BB118" s="6456" t="str">
        <f>IF(AL110&lt;&gt;"",ROUND(AL110,0),"")</f>
        <v/>
      </c>
      <c r="BC118" s="6456" t="str">
        <f>IF(AM110&lt;&gt;"",ROUND(AM110,0),"")</f>
        <v/>
      </c>
    </row>
    <row r="119" spans="2:56">
      <c r="H119" s="1224"/>
      <c r="I119" s="1224"/>
      <c r="J119" s="1224"/>
      <c r="K119" s="1224"/>
      <c r="L119" s="1224"/>
      <c r="M119" s="1224"/>
      <c r="N119" s="1224"/>
      <c r="O119" s="1224"/>
      <c r="P119" s="1224"/>
      <c r="Q119" s="1224"/>
      <c r="R119" s="1224"/>
      <c r="S119" s="1224"/>
      <c r="T119" s="1224"/>
      <c r="U119" s="1224"/>
      <c r="V119" s="1224"/>
      <c r="W119" s="1224"/>
      <c r="X119" s="1224"/>
      <c r="Y119" s="1224"/>
      <c r="Z119" s="1224"/>
      <c r="AA119" s="1224"/>
      <c r="AB119" s="1224"/>
      <c r="AC119" s="1224"/>
      <c r="AD119" s="1224"/>
      <c r="AE119" s="1224"/>
      <c r="AF119" s="1224"/>
      <c r="AG119" s="1224"/>
      <c r="AH119" s="1224"/>
      <c r="AI119" s="1224"/>
      <c r="AJ119" s="1250"/>
      <c r="AK119" s="5909"/>
      <c r="AL119" s="1224"/>
      <c r="AM119" s="1224"/>
      <c r="AR119" s="4451"/>
      <c r="AS119" s="4451"/>
      <c r="AT119" s="4451"/>
      <c r="AU119" s="4451"/>
      <c r="AV119" s="4451"/>
      <c r="AW119" s="4451"/>
      <c r="AX119" s="4451"/>
      <c r="AY119" s="4451"/>
      <c r="AZ119" s="4451"/>
      <c r="BA119" s="6456"/>
      <c r="BB119" s="6456"/>
      <c r="BC119" s="6456"/>
    </row>
    <row r="120" spans="2:56">
      <c r="H120" s="1224"/>
      <c r="I120" s="1224"/>
      <c r="J120" s="1224"/>
      <c r="K120" s="1224"/>
      <c r="L120" s="1224"/>
      <c r="M120" s="1224"/>
      <c r="N120" s="1224"/>
      <c r="O120" s="1224"/>
      <c r="P120" s="1224"/>
      <c r="Q120" s="1224"/>
      <c r="R120" s="1224"/>
      <c r="S120" s="1224"/>
      <c r="T120" s="1224"/>
      <c r="U120" s="1224"/>
      <c r="V120" s="1224"/>
      <c r="W120" s="1224"/>
      <c r="X120" s="1224"/>
      <c r="Y120" s="1224"/>
      <c r="Z120" s="1224"/>
      <c r="AA120" s="1224"/>
      <c r="AB120" s="1224"/>
      <c r="AC120" s="1224"/>
      <c r="AD120" s="1224"/>
      <c r="AE120" s="1224"/>
      <c r="AF120" s="1224"/>
      <c r="AG120" s="1224"/>
      <c r="AH120" s="1224"/>
      <c r="AI120" s="1224"/>
      <c r="AJ120" s="1250" t="str">
        <f>IF(U120&lt;&gt;"",ROUND(U120,0),"")</f>
        <v/>
      </c>
      <c r="AK120" s="5909"/>
      <c r="AL120" s="1224"/>
      <c r="AM120" s="1224"/>
      <c r="AR120" s="5909"/>
      <c r="AS120" s="5909"/>
      <c r="AT120" s="5909"/>
      <c r="AU120" s="5909"/>
      <c r="AV120" s="5909"/>
      <c r="AW120" s="5909"/>
      <c r="AX120" s="5909"/>
      <c r="AY120" s="5909"/>
      <c r="AZ120" s="5909"/>
      <c r="BA120" s="6457"/>
      <c r="BB120" s="6457"/>
      <c r="BC120" s="6457"/>
    </row>
    <row r="121" spans="2:56">
      <c r="H121" s="1224"/>
      <c r="I121" s="1224"/>
      <c r="J121" s="1224"/>
      <c r="K121" s="1224"/>
      <c r="L121" s="1224"/>
      <c r="M121" s="1224"/>
      <c r="N121" s="1224"/>
      <c r="O121" s="1224"/>
      <c r="P121" s="1224"/>
      <c r="Q121" s="1224"/>
      <c r="R121" s="1224"/>
      <c r="S121" s="1224"/>
      <c r="T121" s="1224"/>
      <c r="U121" s="1224"/>
      <c r="V121" s="1224"/>
      <c r="W121" s="1224"/>
      <c r="X121" s="1224"/>
      <c r="Y121" s="1224"/>
      <c r="Z121" s="1224"/>
      <c r="AA121" s="1224"/>
      <c r="AB121" s="1224"/>
      <c r="AC121" s="1224"/>
      <c r="AD121" s="1224"/>
      <c r="AE121" s="1224"/>
      <c r="AF121" s="1224"/>
      <c r="AG121" s="1224"/>
      <c r="AH121" s="1224"/>
      <c r="AI121" s="1224"/>
      <c r="AJ121" s="1250"/>
      <c r="AK121" s="5909"/>
      <c r="AL121" s="1224"/>
      <c r="AM121" s="1224"/>
      <c r="AR121" s="4700"/>
      <c r="AS121" s="4700"/>
      <c r="AT121" s="4700"/>
      <c r="AU121" s="4700"/>
      <c r="AV121" s="4700"/>
      <c r="AW121" s="4700"/>
      <c r="AX121" s="4700"/>
      <c r="AY121" s="4700"/>
      <c r="AZ121" s="4700"/>
      <c r="BA121" s="6458"/>
      <c r="BB121" s="6458"/>
      <c r="BC121" s="6458"/>
    </row>
    <row r="122" spans="2:56">
      <c r="H122" s="1224"/>
      <c r="I122" s="1224"/>
      <c r="J122" s="1224"/>
      <c r="K122" s="1224"/>
      <c r="L122" s="1224"/>
      <c r="M122" s="1224"/>
      <c r="N122" s="1224"/>
      <c r="O122" s="1224"/>
      <c r="P122" s="1224"/>
      <c r="Q122" s="1224"/>
      <c r="R122" s="1224"/>
      <c r="S122" s="1224"/>
      <c r="T122" s="1224"/>
      <c r="U122" s="1224"/>
      <c r="V122" s="1224"/>
      <c r="W122" s="1224"/>
      <c r="X122" s="1224"/>
      <c r="Y122" s="1224"/>
      <c r="Z122" s="1224"/>
      <c r="AA122" s="1224"/>
      <c r="AB122" s="1224"/>
      <c r="AC122" s="1224"/>
      <c r="AD122" s="1224"/>
      <c r="AE122" s="1224"/>
      <c r="AF122" s="1224"/>
      <c r="AG122" s="1224"/>
      <c r="AH122" s="1224"/>
      <c r="AI122" s="1224"/>
      <c r="AJ122" s="1250" t="str">
        <f>IF(U122&lt;&gt;"",ROUND(U122,0),"")</f>
        <v/>
      </c>
      <c r="AK122" s="5909"/>
      <c r="AL122" s="1224"/>
      <c r="AM122" s="1224"/>
      <c r="AR122" s="4700"/>
      <c r="AS122" s="4700"/>
      <c r="AT122" s="4700"/>
      <c r="AU122" s="4700"/>
      <c r="AV122" s="4700"/>
      <c r="AW122" s="4700"/>
      <c r="AX122" s="4700"/>
      <c r="AY122" s="4700"/>
      <c r="AZ122" s="4700"/>
      <c r="BA122" s="6458"/>
      <c r="BB122" s="6458"/>
      <c r="BC122" s="6458"/>
    </row>
    <row r="123" spans="2:56">
      <c r="H123" s="1224"/>
      <c r="I123" s="1224"/>
      <c r="J123" s="1224"/>
      <c r="K123" s="1224"/>
      <c r="L123" s="1224"/>
      <c r="M123" s="1224"/>
      <c r="N123" s="1224"/>
      <c r="O123" s="1224"/>
      <c r="P123" s="1224"/>
      <c r="Q123" s="1224"/>
      <c r="R123" s="1224"/>
      <c r="S123" s="1224"/>
      <c r="T123" s="1224"/>
      <c r="U123" s="1224"/>
      <c r="V123" s="1224"/>
      <c r="W123" s="1224"/>
      <c r="X123" s="1224"/>
      <c r="Y123" s="1224"/>
      <c r="Z123" s="1224"/>
      <c r="AA123" s="1224"/>
      <c r="AB123" s="1224"/>
      <c r="AC123" s="1224"/>
      <c r="AD123" s="1224"/>
      <c r="AE123" s="1224"/>
      <c r="AF123" s="1224"/>
      <c r="AG123" s="1224"/>
      <c r="AH123" s="1224"/>
      <c r="AI123" s="1224"/>
      <c r="AJ123" s="1250"/>
      <c r="AK123" s="5909"/>
      <c r="AL123" s="1224"/>
      <c r="AM123" s="1224"/>
    </row>
    <row r="124" spans="2:56">
      <c r="H124" s="1224"/>
      <c r="I124" s="1224"/>
      <c r="J124" s="1224"/>
      <c r="K124" s="1224"/>
      <c r="L124" s="1224"/>
      <c r="M124" s="1224"/>
      <c r="N124" s="1224"/>
      <c r="O124" s="1224"/>
      <c r="P124" s="1224"/>
      <c r="Q124" s="1224"/>
      <c r="R124" s="1224"/>
      <c r="S124" s="1224"/>
      <c r="T124" s="1224"/>
      <c r="U124" s="1224"/>
      <c r="V124" s="1224"/>
      <c r="W124" s="1224"/>
      <c r="X124" s="1224"/>
      <c r="Y124" s="1224"/>
      <c r="Z124" s="1224"/>
      <c r="AA124" s="1224"/>
      <c r="AB124" s="1224"/>
      <c r="AC124" s="1224"/>
      <c r="AD124" s="1224"/>
      <c r="AE124" s="1224"/>
      <c r="AF124" s="1224"/>
      <c r="AG124" s="1224"/>
      <c r="AH124" s="1224"/>
      <c r="AI124" s="1224"/>
      <c r="AJ124" s="1250" t="str">
        <f>IF(U124&lt;&gt;"",ROUND(U124,0),"")</f>
        <v/>
      </c>
      <c r="AK124" s="5909"/>
      <c r="AL124" s="1224"/>
      <c r="AM124" s="1224"/>
    </row>
    <row r="125" spans="2:56">
      <c r="H125" s="1224"/>
      <c r="I125" s="1224"/>
      <c r="J125" s="1224"/>
      <c r="K125" s="1224"/>
      <c r="L125" s="1224"/>
      <c r="M125" s="1224"/>
      <c r="N125" s="1224"/>
      <c r="O125" s="1224"/>
      <c r="P125" s="1224"/>
      <c r="Q125" s="1224"/>
      <c r="R125" s="1224"/>
      <c r="S125" s="1224"/>
      <c r="T125" s="1224"/>
      <c r="U125" s="1224"/>
      <c r="V125" s="1224"/>
      <c r="W125" s="1224"/>
      <c r="X125" s="1224"/>
      <c r="Y125" s="1224"/>
      <c r="Z125" s="1224"/>
      <c r="AA125" s="1224"/>
      <c r="AB125" s="1224"/>
      <c r="AC125" s="1224"/>
      <c r="AD125" s="1224"/>
      <c r="AE125" s="1224"/>
      <c r="AF125" s="1224"/>
      <c r="AG125" s="1224"/>
      <c r="AH125" s="1224"/>
      <c r="AI125" s="1224"/>
      <c r="AJ125" s="1250"/>
      <c r="AK125" s="5909"/>
      <c r="AL125" s="1224"/>
      <c r="AM125" s="1224"/>
    </row>
    <row r="126" spans="2:56">
      <c r="H126" s="1224"/>
      <c r="I126" s="1224"/>
      <c r="J126" s="1224"/>
      <c r="K126" s="1224"/>
      <c r="L126" s="1224"/>
      <c r="M126" s="1224"/>
      <c r="N126" s="1224"/>
      <c r="O126" s="1224"/>
      <c r="P126" s="1224"/>
      <c r="Q126" s="1224"/>
      <c r="R126" s="1224"/>
      <c r="S126" s="1224"/>
      <c r="T126" s="1224"/>
      <c r="U126" s="1224"/>
      <c r="V126" s="1224"/>
      <c r="W126" s="1224"/>
      <c r="X126" s="1224"/>
      <c r="Y126" s="1224"/>
      <c r="Z126" s="1224"/>
      <c r="AA126" s="1224"/>
      <c r="AB126" s="1224"/>
      <c r="AC126" s="1224"/>
      <c r="AD126" s="1224"/>
      <c r="AE126" s="1224"/>
      <c r="AF126" s="1224"/>
      <c r="AG126" s="1224"/>
      <c r="AH126" s="1224"/>
      <c r="AI126" s="1224"/>
      <c r="AJ126" s="1250" t="str">
        <f>IF(U126&lt;&gt;"",ROUND(U126,0),"")</f>
        <v/>
      </c>
      <c r="AK126" s="5909"/>
      <c r="AL126" s="1224"/>
      <c r="AM126" s="1224"/>
    </row>
    <row r="127" spans="2:56">
      <c r="H127" s="1224"/>
      <c r="I127" s="1224"/>
      <c r="J127" s="1224"/>
      <c r="K127" s="1224"/>
      <c r="L127" s="1224"/>
      <c r="M127" s="1224"/>
      <c r="N127" s="1224"/>
      <c r="O127" s="1224"/>
      <c r="P127" s="1224"/>
      <c r="Q127" s="1224"/>
      <c r="R127" s="1224"/>
      <c r="S127" s="1224"/>
      <c r="T127" s="1224"/>
      <c r="U127" s="1224"/>
      <c r="V127" s="1224"/>
      <c r="W127" s="1224"/>
      <c r="X127" s="1224"/>
      <c r="Y127" s="1224"/>
      <c r="Z127" s="1224"/>
      <c r="AA127" s="1224"/>
      <c r="AB127" s="1224"/>
      <c r="AC127" s="1224"/>
      <c r="AD127" s="1224"/>
      <c r="AE127" s="1224"/>
      <c r="AF127" s="1224"/>
      <c r="AG127" s="1224"/>
      <c r="AH127" s="1224"/>
      <c r="AI127" s="1224"/>
      <c r="AJ127" s="1250"/>
      <c r="AK127" s="5909"/>
      <c r="AL127" s="1224"/>
      <c r="AM127" s="1224"/>
    </row>
    <row r="128" spans="2:56">
      <c r="H128" s="1224"/>
      <c r="I128" s="1224"/>
      <c r="J128" s="1224"/>
      <c r="K128" s="1224"/>
      <c r="L128" s="1224"/>
      <c r="M128" s="1224"/>
      <c r="N128" s="1224"/>
      <c r="O128" s="1224"/>
      <c r="P128" s="1224"/>
      <c r="Q128" s="1224"/>
      <c r="R128" s="1224"/>
      <c r="S128" s="1224"/>
      <c r="T128" s="1224"/>
      <c r="U128" s="1224"/>
      <c r="V128" s="1224"/>
      <c r="W128" s="1224"/>
      <c r="X128" s="1224"/>
      <c r="Y128" s="1224"/>
      <c r="Z128" s="1224"/>
      <c r="AA128" s="1224"/>
      <c r="AB128" s="1224"/>
      <c r="AC128" s="1224"/>
      <c r="AD128" s="1224"/>
      <c r="AE128" s="1224"/>
      <c r="AF128" s="1224"/>
      <c r="AG128" s="1224"/>
      <c r="AH128" s="1224"/>
      <c r="AI128" s="1224"/>
      <c r="AJ128" s="1250"/>
      <c r="AK128" s="5909"/>
      <c r="AL128" s="1224"/>
      <c r="AM128" s="1224"/>
    </row>
    <row r="129" spans="8:39">
      <c r="H129" s="1224"/>
      <c r="I129" s="1224"/>
      <c r="J129" s="1224"/>
      <c r="K129" s="1224"/>
      <c r="L129" s="1224"/>
      <c r="M129" s="1224"/>
      <c r="N129" s="1224"/>
      <c r="O129" s="1224"/>
      <c r="P129" s="1224"/>
      <c r="Q129" s="1224"/>
      <c r="R129" s="1224"/>
      <c r="S129" s="1224"/>
      <c r="T129" s="1224"/>
      <c r="U129" s="1224"/>
      <c r="V129" s="1224"/>
      <c r="W129" s="1224"/>
      <c r="X129" s="1224"/>
      <c r="Y129" s="1224"/>
      <c r="Z129" s="1224"/>
      <c r="AA129" s="1224"/>
      <c r="AB129" s="1224"/>
      <c r="AC129" s="1224"/>
      <c r="AD129" s="1224"/>
      <c r="AE129" s="1224"/>
      <c r="AF129" s="1224"/>
      <c r="AG129" s="1224"/>
      <c r="AH129" s="1224"/>
      <c r="AI129" s="1224"/>
      <c r="AJ129" s="1250" t="str">
        <f>IF(U129&lt;&gt;"",ROUND(U129,0),"")</f>
        <v/>
      </c>
      <c r="AK129" s="5909"/>
      <c r="AL129" s="1224"/>
      <c r="AM129" s="1224"/>
    </row>
    <row r="130" spans="8:39">
      <c r="H130" s="1224"/>
      <c r="I130" s="1224"/>
      <c r="J130" s="1224"/>
      <c r="K130" s="1224"/>
      <c r="L130" s="1224"/>
      <c r="M130" s="1224"/>
      <c r="N130" s="1224"/>
      <c r="O130" s="1224"/>
      <c r="P130" s="1224"/>
      <c r="Q130" s="1224"/>
      <c r="R130" s="1224"/>
      <c r="S130" s="1224"/>
      <c r="T130" s="1224"/>
      <c r="U130" s="1224"/>
      <c r="V130" s="1224"/>
      <c r="W130" s="1224"/>
      <c r="X130" s="1224"/>
      <c r="Y130" s="1224"/>
      <c r="Z130" s="1224"/>
      <c r="AA130" s="1224"/>
      <c r="AB130" s="1224"/>
      <c r="AC130" s="1224"/>
      <c r="AD130" s="1224"/>
      <c r="AE130" s="1224"/>
      <c r="AF130" s="1224"/>
      <c r="AG130" s="1224"/>
      <c r="AH130" s="1224"/>
      <c r="AI130" s="1224"/>
      <c r="AJ130" s="1250"/>
      <c r="AK130" s="5909"/>
      <c r="AL130" s="1224"/>
      <c r="AM130" s="1224"/>
    </row>
    <row r="131" spans="8:39">
      <c r="H131" s="1224"/>
      <c r="I131" s="1224"/>
      <c r="J131" s="1224"/>
      <c r="K131" s="1224"/>
      <c r="L131" s="1224"/>
      <c r="M131" s="1224"/>
      <c r="N131" s="1224"/>
      <c r="O131" s="1224"/>
      <c r="P131" s="1224"/>
      <c r="Q131" s="1224"/>
      <c r="R131" s="1224"/>
      <c r="S131" s="1224"/>
      <c r="T131" s="1224"/>
      <c r="U131" s="1224"/>
      <c r="V131" s="1224"/>
      <c r="W131" s="1224"/>
      <c r="X131" s="1224"/>
      <c r="Y131" s="1224"/>
      <c r="Z131" s="1224"/>
      <c r="AA131" s="1224"/>
      <c r="AB131" s="1224"/>
      <c r="AC131" s="1224"/>
      <c r="AD131" s="1224"/>
      <c r="AE131" s="1224"/>
      <c r="AF131" s="1224"/>
      <c r="AG131" s="1224"/>
      <c r="AH131" s="1224"/>
      <c r="AI131" s="1224"/>
      <c r="AJ131" s="1250" t="str">
        <f>IF(U131&lt;&gt;"",ROUND(U131,0),"")</f>
        <v/>
      </c>
      <c r="AK131" s="5909"/>
      <c r="AL131" s="1224"/>
      <c r="AM131" s="1224"/>
    </row>
    <row r="132" spans="8:39">
      <c r="H132" s="1224"/>
      <c r="I132" s="1224"/>
      <c r="J132" s="1224"/>
      <c r="K132" s="1224"/>
      <c r="L132" s="1224"/>
      <c r="M132" s="1224"/>
      <c r="N132" s="1224"/>
      <c r="O132" s="1224"/>
      <c r="P132" s="1224"/>
      <c r="Q132" s="1224"/>
      <c r="R132" s="1224"/>
      <c r="S132" s="1224"/>
      <c r="T132" s="1224"/>
      <c r="U132" s="1224"/>
      <c r="V132" s="1224"/>
      <c r="W132" s="1224"/>
      <c r="X132" s="1224"/>
      <c r="Y132" s="1224"/>
      <c r="Z132" s="1224"/>
      <c r="AA132" s="1224"/>
      <c r="AB132" s="1224"/>
      <c r="AC132" s="1224"/>
      <c r="AD132" s="1224"/>
      <c r="AE132" s="1224"/>
      <c r="AF132" s="1224"/>
      <c r="AG132" s="1224"/>
      <c r="AH132" s="1224"/>
      <c r="AI132" s="1224"/>
      <c r="AJ132" s="1250"/>
      <c r="AK132" s="5909"/>
      <c r="AL132" s="1224"/>
      <c r="AM132" s="1224"/>
    </row>
    <row r="133" spans="8:39">
      <c r="H133" s="1224"/>
      <c r="I133" s="1224"/>
      <c r="J133" s="1224"/>
      <c r="K133" s="1224"/>
      <c r="L133" s="1224"/>
      <c r="M133" s="1224"/>
      <c r="N133" s="1224"/>
      <c r="O133" s="1224"/>
      <c r="P133" s="1224"/>
      <c r="Q133" s="1224"/>
      <c r="R133" s="1224"/>
      <c r="S133" s="1224"/>
      <c r="T133" s="1224"/>
      <c r="U133" s="1224"/>
      <c r="V133" s="1224"/>
      <c r="W133" s="1224"/>
      <c r="X133" s="1224"/>
      <c r="Y133" s="1224"/>
      <c r="Z133" s="1224"/>
      <c r="AA133" s="1224"/>
      <c r="AB133" s="1224"/>
      <c r="AC133" s="1224"/>
      <c r="AD133" s="1224"/>
      <c r="AE133" s="1224"/>
      <c r="AF133" s="1224"/>
      <c r="AG133" s="1224"/>
      <c r="AH133" s="1224"/>
      <c r="AI133" s="1224"/>
      <c r="AJ133" s="1250" t="str">
        <f>IF(U133&lt;&gt;"",ROUND(U133,0),"")</f>
        <v/>
      </c>
      <c r="AK133" s="5909"/>
      <c r="AL133" s="1224"/>
      <c r="AM133" s="1224"/>
    </row>
    <row r="134" spans="8:39">
      <c r="H134" s="1224"/>
      <c r="I134" s="1224"/>
      <c r="J134" s="1224"/>
      <c r="K134" s="1224"/>
      <c r="L134" s="1224"/>
      <c r="M134" s="1224"/>
      <c r="N134" s="1224"/>
      <c r="O134" s="1224"/>
      <c r="P134" s="1224"/>
      <c r="Q134" s="1224"/>
      <c r="R134" s="1224"/>
      <c r="S134" s="1224"/>
      <c r="T134" s="1224"/>
      <c r="U134" s="1224"/>
      <c r="V134" s="1224"/>
      <c r="W134" s="1224"/>
      <c r="X134" s="1224"/>
      <c r="Y134" s="1224"/>
      <c r="Z134" s="1224"/>
      <c r="AA134" s="1224"/>
      <c r="AB134" s="1224"/>
      <c r="AC134" s="1224"/>
      <c r="AD134" s="1224"/>
      <c r="AE134" s="1224"/>
      <c r="AF134" s="1224"/>
      <c r="AG134" s="1224"/>
      <c r="AH134" s="1224"/>
      <c r="AI134" s="1224"/>
      <c r="AK134" s="5909"/>
      <c r="AL134" s="1224"/>
      <c r="AM134" s="1224"/>
    </row>
    <row r="135" spans="8:39">
      <c r="H135" s="1224"/>
      <c r="I135" s="1224"/>
      <c r="J135" s="1224"/>
      <c r="K135" s="1224"/>
      <c r="L135" s="1224"/>
      <c r="M135" s="1224"/>
      <c r="N135" s="1224"/>
      <c r="O135" s="1224"/>
      <c r="P135" s="1224"/>
      <c r="Q135" s="1224"/>
      <c r="R135" s="1224"/>
      <c r="S135" s="1224"/>
      <c r="T135" s="1224"/>
      <c r="U135" s="1224"/>
      <c r="V135" s="1224"/>
      <c r="W135" s="1224"/>
      <c r="X135" s="1224"/>
      <c r="Y135" s="1224"/>
      <c r="Z135" s="1224"/>
      <c r="AA135" s="1224"/>
      <c r="AB135" s="1224"/>
      <c r="AC135" s="1224"/>
      <c r="AD135" s="1224"/>
      <c r="AE135" s="1224"/>
      <c r="AF135" s="1224"/>
      <c r="AG135" s="1224"/>
      <c r="AH135" s="1224"/>
      <c r="AI135" s="1224"/>
      <c r="AK135" s="5316"/>
      <c r="AL135" s="1224"/>
      <c r="AM135" s="1224"/>
    </row>
    <row r="136" spans="8:39">
      <c r="H136" s="1224"/>
      <c r="I136" s="1224"/>
      <c r="J136" s="1224"/>
      <c r="K136" s="1224"/>
      <c r="L136" s="1224"/>
      <c r="M136" s="1224"/>
      <c r="N136" s="1224"/>
      <c r="O136" s="1224"/>
      <c r="P136" s="1224"/>
      <c r="Q136" s="1224"/>
      <c r="R136" s="1224"/>
      <c r="S136" s="1224"/>
      <c r="T136" s="1224"/>
      <c r="U136" s="1224"/>
      <c r="V136" s="1224"/>
      <c r="W136" s="1224"/>
      <c r="X136" s="1224"/>
      <c r="Y136" s="1224"/>
      <c r="Z136" s="1224"/>
      <c r="AA136" s="1224"/>
      <c r="AB136" s="1224"/>
      <c r="AC136" s="1224"/>
      <c r="AD136" s="1224"/>
      <c r="AE136" s="1224"/>
      <c r="AF136" s="1224"/>
      <c r="AG136" s="1224"/>
      <c r="AH136" s="1224"/>
      <c r="AI136" s="1224"/>
      <c r="AK136" s="1224"/>
      <c r="AL136" s="1224"/>
      <c r="AM136" s="1224"/>
    </row>
    <row r="137" spans="8:39">
      <c r="H137" s="1224"/>
      <c r="I137" s="1224"/>
      <c r="J137" s="1224"/>
      <c r="K137" s="1224"/>
      <c r="L137" s="1224"/>
      <c r="M137" s="1224"/>
      <c r="N137" s="1224"/>
      <c r="O137" s="1224"/>
      <c r="P137" s="1224"/>
      <c r="Q137" s="1224"/>
      <c r="R137" s="1224"/>
      <c r="S137" s="1224"/>
      <c r="T137" s="1224"/>
      <c r="U137" s="1224"/>
      <c r="V137" s="1224"/>
      <c r="W137" s="1224"/>
      <c r="X137" s="1224"/>
      <c r="AK137" s="304"/>
    </row>
    <row r="138" spans="8:39">
      <c r="H138" s="1224"/>
      <c r="I138" s="1224"/>
      <c r="J138" s="1224"/>
      <c r="K138" s="1224"/>
      <c r="L138" s="1224"/>
      <c r="M138" s="1224"/>
      <c r="N138" s="1224"/>
      <c r="O138" s="1224"/>
      <c r="P138" s="1224"/>
      <c r="Q138" s="1224"/>
      <c r="R138" s="1224"/>
      <c r="S138" s="1224"/>
      <c r="T138" s="1224"/>
      <c r="U138" s="1224"/>
      <c r="V138" s="1224"/>
      <c r="W138" s="1224"/>
      <c r="X138" s="1224"/>
    </row>
    <row r="139" spans="8:39">
      <c r="H139" s="1224"/>
      <c r="I139" s="1224"/>
      <c r="J139" s="1224"/>
      <c r="K139" s="1224"/>
      <c r="L139" s="1224"/>
      <c r="M139" s="1224"/>
      <c r="N139" s="1224"/>
      <c r="O139" s="1224"/>
      <c r="P139" s="1224"/>
      <c r="Q139" s="1224"/>
      <c r="R139" s="1224"/>
      <c r="S139" s="1224"/>
      <c r="T139" s="1224"/>
      <c r="U139" s="1224"/>
      <c r="V139" s="1224"/>
      <c r="W139" s="1224"/>
      <c r="X139" s="1224"/>
    </row>
  </sheetData>
  <sheetProtection algorithmName="SHA-512" hashValue="MYq/w1W1Y3NDSon1vZFoEzqGy2M3ntOJRxRIsjJQxPoI+TogLC5jqLPFGTtiN/GQzEtWUy1XOKwXbtMR176x1Q==" saltValue="2Neh/+3MMDbvG7lf2fid8Q==" spinCount="100000" sheet="1" formatCells="0" formatColumns="0" formatRows="0"/>
  <mergeCells count="199">
    <mergeCell ref="AJ26:AK27"/>
    <mergeCell ref="AJ59:AK60"/>
    <mergeCell ref="AS71:AV71"/>
    <mergeCell ref="AW71:AZ71"/>
    <mergeCell ref="AS72:AV72"/>
    <mergeCell ref="AW72:AZ72"/>
    <mergeCell ref="AR66:AR67"/>
    <mergeCell ref="AS66:AV67"/>
    <mergeCell ref="AW66:AZ67"/>
    <mergeCell ref="AW57:AZ57"/>
    <mergeCell ref="AW58:AZ58"/>
    <mergeCell ref="AW59:AZ59"/>
    <mergeCell ref="AW60:AZ60"/>
    <mergeCell ref="AW61:AZ61"/>
    <mergeCell ref="AS57:AV57"/>
    <mergeCell ref="AS58:AV58"/>
    <mergeCell ref="AS59:AV59"/>
    <mergeCell ref="AS60:AV60"/>
    <mergeCell ref="AS61:AV61"/>
    <mergeCell ref="AS51:AT53"/>
    <mergeCell ref="AZ51:AZ53"/>
    <mergeCell ref="AJ35:AK36"/>
    <mergeCell ref="AS50:AT50"/>
    <mergeCell ref="AR38:AY40"/>
    <mergeCell ref="AR73:AR75"/>
    <mergeCell ref="AS73:AV75"/>
    <mergeCell ref="AW73:AZ75"/>
    <mergeCell ref="AS62:AV63"/>
    <mergeCell ref="AR62:AR63"/>
    <mergeCell ref="AW62:AZ63"/>
    <mergeCell ref="AS68:AV68"/>
    <mergeCell ref="AW68:AZ68"/>
    <mergeCell ref="AS69:AV69"/>
    <mergeCell ref="AW69:AZ69"/>
    <mergeCell ref="AS70:AV70"/>
    <mergeCell ref="AW70:AZ70"/>
    <mergeCell ref="AR41:AR45"/>
    <mergeCell ref="AS41:AT45"/>
    <mergeCell ref="AU41:AU45"/>
    <mergeCell ref="AV41:AV45"/>
    <mergeCell ref="AW41:AW45"/>
    <mergeCell ref="AX41:AX45"/>
    <mergeCell ref="AY41:AY45"/>
    <mergeCell ref="AS46:AT46"/>
    <mergeCell ref="AS47:AT47"/>
    <mergeCell ref="AS48:AT48"/>
    <mergeCell ref="AS49:AT49"/>
    <mergeCell ref="AJ48:AK49"/>
    <mergeCell ref="AS18:AT20"/>
    <mergeCell ref="AU18:AV20"/>
    <mergeCell ref="AW18:AX20"/>
    <mergeCell ref="AY18:AZ20"/>
    <mergeCell ref="AZ41:AZ45"/>
    <mergeCell ref="AJ19:AK20"/>
    <mergeCell ref="AS31:AT31"/>
    <mergeCell ref="AY31:AZ31"/>
    <mergeCell ref="AS32:AT32"/>
    <mergeCell ref="AU32:AV32"/>
    <mergeCell ref="AW32:AX32"/>
    <mergeCell ref="AY32:AZ32"/>
    <mergeCell ref="AS33:AT35"/>
    <mergeCell ref="AY33:AZ35"/>
    <mergeCell ref="AU24:AV24"/>
    <mergeCell ref="AW24:AX24"/>
    <mergeCell ref="AY24:AZ24"/>
    <mergeCell ref="AS25:AT25"/>
    <mergeCell ref="AU25:AV25"/>
    <mergeCell ref="AW25:AX25"/>
    <mergeCell ref="AY25:AZ25"/>
    <mergeCell ref="AR15:AZ17"/>
    <mergeCell ref="AU31:AV31"/>
    <mergeCell ref="AW31:AX31"/>
    <mergeCell ref="AS26:AT26"/>
    <mergeCell ref="AU26:AV26"/>
    <mergeCell ref="AW26:AX26"/>
    <mergeCell ref="AS27:AT27"/>
    <mergeCell ref="AU27:AV27"/>
    <mergeCell ref="AW27:AX27"/>
    <mergeCell ref="AS28:AT28"/>
    <mergeCell ref="AU28:AV28"/>
    <mergeCell ref="AW28:AX28"/>
    <mergeCell ref="AS29:AT29"/>
    <mergeCell ref="AY26:AZ26"/>
    <mergeCell ref="AY27:AZ27"/>
    <mergeCell ref="AY28:AZ28"/>
    <mergeCell ref="AU29:AV29"/>
    <mergeCell ref="AW29:AX29"/>
    <mergeCell ref="AY29:AZ29"/>
    <mergeCell ref="AS30:AT30"/>
    <mergeCell ref="AU30:AV30"/>
    <mergeCell ref="AW30:AX30"/>
    <mergeCell ref="AY30:AZ30"/>
    <mergeCell ref="AS24:AT24"/>
    <mergeCell ref="AY22:AZ22"/>
    <mergeCell ref="AS23:AT23"/>
    <mergeCell ref="AU23:AV23"/>
    <mergeCell ref="AW23:AX23"/>
    <mergeCell ref="AY23:AZ23"/>
    <mergeCell ref="AS21:AT21"/>
    <mergeCell ref="AU21:AV21"/>
    <mergeCell ref="AW21:AX21"/>
    <mergeCell ref="AY21:AZ21"/>
    <mergeCell ref="AS22:AT22"/>
    <mergeCell ref="AU22:AV22"/>
    <mergeCell ref="AW22:AX22"/>
    <mergeCell ref="AD58:AH58"/>
    <mergeCell ref="AD59:AH59"/>
    <mergeCell ref="Y65:AB65"/>
    <mergeCell ref="AD65:AH65"/>
    <mergeCell ref="AD60:AH60"/>
    <mergeCell ref="AD71:AH74"/>
    <mergeCell ref="AD30:AH30"/>
    <mergeCell ref="X51:AB51"/>
    <mergeCell ref="X53:AB53"/>
    <mergeCell ref="AD52:AH52"/>
    <mergeCell ref="AD53:AH53"/>
    <mergeCell ref="AD54:AH54"/>
    <mergeCell ref="AD45:AH45"/>
    <mergeCell ref="AD51:AH51"/>
    <mergeCell ref="AD46:AH46"/>
    <mergeCell ref="AD34:AH34"/>
    <mergeCell ref="AD41:AH41"/>
    <mergeCell ref="AD42:AH42"/>
    <mergeCell ref="AD44:AH44"/>
    <mergeCell ref="AD38:AH38"/>
    <mergeCell ref="AD55:AH55"/>
    <mergeCell ref="AD56:AH56"/>
    <mergeCell ref="AD99:AH99"/>
    <mergeCell ref="AD101:AH101"/>
    <mergeCell ref="AD94:AH94"/>
    <mergeCell ref="AD95:AH95"/>
    <mergeCell ref="AD88:AH88"/>
    <mergeCell ref="B65:E65"/>
    <mergeCell ref="AD61:AH61"/>
    <mergeCell ref="AD87:AH87"/>
    <mergeCell ref="Y76:AC76"/>
    <mergeCell ref="Y79:AC79"/>
    <mergeCell ref="AD84:AH84"/>
    <mergeCell ref="AD85:AH85"/>
    <mergeCell ref="AD79:AH79"/>
    <mergeCell ref="AD76:AH76"/>
    <mergeCell ref="AD81:AH81"/>
    <mergeCell ref="AD82:AH82"/>
    <mergeCell ref="AD83:AH83"/>
    <mergeCell ref="A2:A3"/>
    <mergeCell ref="B2:G3"/>
    <mergeCell ref="AC2:AH2"/>
    <mergeCell ref="AC3:AH4"/>
    <mergeCell ref="B4:G4"/>
    <mergeCell ref="H4:AB4"/>
    <mergeCell ref="AO11:AO12"/>
    <mergeCell ref="AD16:AH16"/>
    <mergeCell ref="B5:G6"/>
    <mergeCell ref="H5:AB5"/>
    <mergeCell ref="AK7:AK9"/>
    <mergeCell ref="B8:AB9"/>
    <mergeCell ref="AC8:AH9"/>
    <mergeCell ref="X14:AB14"/>
    <mergeCell ref="X15:AB15"/>
    <mergeCell ref="B10:E10"/>
    <mergeCell ref="AD11:AH11"/>
    <mergeCell ref="AC5:AF6"/>
    <mergeCell ref="AG5:AH6"/>
    <mergeCell ref="X12:AB12"/>
    <mergeCell ref="X13:AB13"/>
    <mergeCell ref="AI92:AI94"/>
    <mergeCell ref="AD28:AH28"/>
    <mergeCell ref="X25:AB27"/>
    <mergeCell ref="AD27:AH27"/>
    <mergeCell ref="B112:F113"/>
    <mergeCell ref="B110:F111"/>
    <mergeCell ref="AD32:AH32"/>
    <mergeCell ref="AD102:AH102"/>
    <mergeCell ref="AD105:AH105"/>
    <mergeCell ref="AD89:AH89"/>
    <mergeCell ref="AD93:AH93"/>
    <mergeCell ref="B47:E47"/>
    <mergeCell ref="AD62:AH62"/>
    <mergeCell ref="Y71:AC74"/>
    <mergeCell ref="AD57:AH57"/>
    <mergeCell ref="Y69:AH70"/>
    <mergeCell ref="B103:E103"/>
    <mergeCell ref="Y103:AB103"/>
    <mergeCell ref="AD103:AH103"/>
    <mergeCell ref="B90:E90"/>
    <mergeCell ref="Y90:AB90"/>
    <mergeCell ref="AD90:AH90"/>
    <mergeCell ref="AD96:AH96"/>
    <mergeCell ref="AD97:AH97"/>
    <mergeCell ref="AD17:AH17"/>
    <mergeCell ref="AD33:AH33"/>
    <mergeCell ref="B18:E18"/>
    <mergeCell ref="X28:AB28"/>
    <mergeCell ref="X30:AB30"/>
    <mergeCell ref="AD39:AH39"/>
    <mergeCell ref="AD40:AH40"/>
    <mergeCell ref="AD35:AH35"/>
    <mergeCell ref="AD36:AH36"/>
    <mergeCell ref="AD37:AH37"/>
  </mergeCells>
  <conditionalFormatting sqref="B8 AC8 F22:AA24 F25:X25 F26:W27 Y76 AD76:AH76 Y79 AD79:AH79">
    <cfRule type="expression" dxfId="3512" priority="97">
      <formula>NoColor</formula>
    </cfRule>
  </conditionalFormatting>
  <conditionalFormatting sqref="F76:V76">
    <cfRule type="expression" dxfId="3511" priority="18">
      <formula>NoColor</formula>
    </cfRule>
  </conditionalFormatting>
  <conditionalFormatting sqref="F79:V79">
    <cfRule type="expression" dxfId="3510" priority="13">
      <formula>NoColor</formula>
    </cfRule>
  </conditionalFormatting>
  <conditionalFormatting sqref="F29:AA29">
    <cfRule type="expression" dxfId="3509" priority="9">
      <formula>NoColor</formula>
    </cfRule>
  </conditionalFormatting>
  <conditionalFormatting sqref="F31:AB31">
    <cfRule type="expression" dxfId="3508" priority="83">
      <formula>NoColor</formula>
    </cfRule>
  </conditionalFormatting>
  <conditionalFormatting sqref="I21">
    <cfRule type="expression" dxfId="3507" priority="6">
      <formula>AND(File_Marr_Sep&lt;&gt;"",NOT($AJ$22))</formula>
    </cfRule>
  </conditionalFormatting>
  <conditionalFormatting sqref="S91">
    <cfRule type="expression" dxfId="3506" priority="2">
      <formula>$AJ$91</formula>
    </cfRule>
  </conditionalFormatting>
  <conditionalFormatting sqref="X51 X53">
    <cfRule type="expression" dxfId="3505" priority="71">
      <formula>NoColor</formula>
    </cfRule>
  </conditionalFormatting>
  <conditionalFormatting sqref="X70:X71 X88">
    <cfRule type="expression" dxfId="3504" priority="95">
      <formula>IF(NoColor,1,0)</formula>
    </cfRule>
  </conditionalFormatting>
  <conditionalFormatting sqref="X73:X80 X89:AA89">
    <cfRule type="expression" dxfId="3503" priority="92">
      <formula>IF(NoColor,1,0)</formula>
    </cfRule>
  </conditionalFormatting>
  <conditionalFormatting sqref="X12:AB15">
    <cfRule type="expression" dxfId="3502" priority="48">
      <formula>NoColor</formula>
    </cfRule>
  </conditionalFormatting>
  <conditionalFormatting sqref="X28:AB28 X30:AB30">
    <cfRule type="expression" dxfId="3501" priority="41">
      <formula>NoColor</formula>
    </cfRule>
  </conditionalFormatting>
  <conditionalFormatting sqref="AD22:AD25">
    <cfRule type="expression" dxfId="3500" priority="46">
      <formula>IF(NoColor,1,0)</formula>
    </cfRule>
  </conditionalFormatting>
  <conditionalFormatting sqref="AD33">
    <cfRule type="expression" dxfId="3499" priority="40">
      <formula>IF(NoColor,1,0)</formula>
    </cfRule>
  </conditionalFormatting>
  <conditionalFormatting sqref="AD37:AD46">
    <cfRule type="expression" dxfId="3498" priority="4">
      <formula>IF(NoColor,1,0)</formula>
    </cfRule>
  </conditionalFormatting>
  <conditionalFormatting sqref="AD54:AD58">
    <cfRule type="expression" dxfId="3497" priority="33">
      <formula>IF(NoColor,1,0)</formula>
    </cfRule>
  </conditionalFormatting>
  <conditionalFormatting sqref="AD60:AD62">
    <cfRule type="expression" dxfId="3496" priority="14">
      <formula>IF(NoColor,1,0)</formula>
    </cfRule>
  </conditionalFormatting>
  <conditionalFormatting sqref="AD11:AH11">
    <cfRule type="expression" dxfId="3495" priority="88">
      <formula>IF(NoColor,1,0)</formula>
    </cfRule>
  </conditionalFormatting>
  <conditionalFormatting sqref="AD16:AH17">
    <cfRule type="expression" dxfId="3494" priority="89">
      <formula>IF(NoColor,1,0)</formula>
    </cfRule>
  </conditionalFormatting>
  <conditionalFormatting sqref="AD81:AH85">
    <cfRule type="expression" dxfId="3493" priority="28">
      <formula>IF(NoColor,1,0)</formula>
    </cfRule>
  </conditionalFormatting>
  <conditionalFormatting sqref="AD87:AH89">
    <cfRule type="expression" dxfId="3492" priority="26">
      <formula>IF(NoColor,1,0)</formula>
    </cfRule>
  </conditionalFormatting>
  <conditionalFormatting sqref="AD93:AH97">
    <cfRule type="expression" dxfId="3491" priority="24">
      <formula>IF(NoColor,1,0)</formula>
    </cfRule>
  </conditionalFormatting>
  <conditionalFormatting sqref="AD99:AH99">
    <cfRule type="expression" dxfId="3490" priority="23">
      <formula>IF(NoColor,1,0)</formula>
    </cfRule>
  </conditionalFormatting>
  <conditionalFormatting sqref="AD101:AH102">
    <cfRule type="expression" dxfId="3489" priority="21">
      <formula>IF(NoColor,1,0)</formula>
    </cfRule>
  </conditionalFormatting>
  <conditionalFormatting sqref="AD105:AH105">
    <cfRule type="expression" dxfId="3488" priority="12">
      <formula>IF(NoColor,1,0)</formula>
    </cfRule>
  </conditionalFormatting>
  <conditionalFormatting sqref="AI21">
    <cfRule type="expression" dxfId="3487" priority="5">
      <formula>File_Marr_Sep&lt;&gt;""</formula>
    </cfRule>
  </conditionalFormatting>
  <conditionalFormatting sqref="AI25">
    <cfRule type="expression" dxfId="3486" priority="3">
      <formula>$BC$35</formula>
    </cfRule>
  </conditionalFormatting>
  <conditionalFormatting sqref="AI91">
    <cfRule type="expression" dxfId="3485" priority="1">
      <formula>File_Marr_Sep&lt;&gt;""</formula>
    </cfRule>
  </conditionalFormatting>
  <conditionalFormatting sqref="AK64:AK65 AK68:AK80 AK86">
    <cfRule type="expression" dxfId="3484" priority="58">
      <formula>#REF!</formula>
    </cfRule>
  </conditionalFormatting>
  <conditionalFormatting sqref="AK90">
    <cfRule type="expression" dxfId="3483" priority="25">
      <formula>#REF!</formula>
    </cfRule>
  </conditionalFormatting>
  <conditionalFormatting sqref="AK103">
    <cfRule type="expression" dxfId="3482" priority="20">
      <formula>#REF!</formula>
    </cfRule>
  </conditionalFormatting>
  <conditionalFormatting sqref="AM36">
    <cfRule type="expression" dxfId="3481" priority="59">
      <formula>$AJ$36</formula>
    </cfRule>
  </conditionalFormatting>
  <conditionalFormatting sqref="AO11:AO12">
    <cfRule type="expression" dxfId="3480" priority="87">
      <formula>$AO$10</formula>
    </cfRule>
  </conditionalFormatting>
  <conditionalFormatting sqref="AO13:AO15 AO36:AO40 AO42">
    <cfRule type="expression" dxfId="3479" priority="77">
      <formula>AO10</formula>
    </cfRule>
  </conditionalFormatting>
  <conditionalFormatting sqref="AO16:AO17 AO34:AO35">
    <cfRule type="expression" dxfId="3478" priority="101">
      <formula>AO12</formula>
    </cfRule>
  </conditionalFormatting>
  <conditionalFormatting sqref="AO22:AO24">
    <cfRule type="expression" dxfId="3477" priority="47">
      <formula>AO14</formula>
    </cfRule>
  </conditionalFormatting>
  <conditionalFormatting sqref="AO25">
    <cfRule type="expression" dxfId="3476" priority="6523">
      <formula>AO15</formula>
    </cfRule>
  </conditionalFormatting>
  <conditionalFormatting sqref="AO26:AO27">
    <cfRule type="expression" dxfId="3475" priority="6515">
      <formula>AO15</formula>
    </cfRule>
  </conditionalFormatting>
  <conditionalFormatting sqref="AO28">
    <cfRule type="expression" dxfId="3474" priority="6476">
      <formula>AO14</formula>
    </cfRule>
  </conditionalFormatting>
  <conditionalFormatting sqref="AO29">
    <cfRule type="expression" dxfId="3473" priority="10">
      <formula>AO18</formula>
    </cfRule>
  </conditionalFormatting>
  <conditionalFormatting sqref="AO30:AO31">
    <cfRule type="expression" dxfId="3472" priority="6479">
      <formula>AO16</formula>
    </cfRule>
  </conditionalFormatting>
  <conditionalFormatting sqref="AO32">
    <cfRule type="expression" dxfId="3471" priority="7">
      <formula>AO28</formula>
    </cfRule>
  </conditionalFormatting>
  <conditionalFormatting sqref="AO33">
    <cfRule type="expression" dxfId="3470" priority="6528">
      <formula>AO28</formula>
    </cfRule>
  </conditionalFormatting>
  <conditionalFormatting sqref="AO43:AO44">
    <cfRule type="expression" dxfId="3469" priority="99">
      <formula>AO42</formula>
    </cfRule>
  </conditionalFormatting>
  <conditionalFormatting sqref="AO45">
    <cfRule type="expression" dxfId="3468" priority="100">
      <formula>#REF!</formula>
    </cfRule>
  </conditionalFormatting>
  <conditionalFormatting sqref="AO46">
    <cfRule type="expression" dxfId="3467" priority="56">
      <formula>AO44</formula>
    </cfRule>
  </conditionalFormatting>
  <conditionalFormatting sqref="AO51">
    <cfRule type="expression" dxfId="3466" priority="6482">
      <formula>AO43</formula>
    </cfRule>
  </conditionalFormatting>
  <conditionalFormatting sqref="AO74">
    <cfRule type="expression" dxfId="3465" priority="90">
      <formula>$AO$73</formula>
    </cfRule>
  </conditionalFormatting>
  <conditionalFormatting sqref="AO75:AO83 AO85:AO89 AO94:AO100">
    <cfRule type="expression" dxfId="3464" priority="98">
      <formula>$AO$73</formula>
    </cfRule>
  </conditionalFormatting>
  <hyperlinks>
    <hyperlink ref="B112" location="'1040'!A1" display="Form 1040" xr:uid="{00000000-0004-0000-0F00-000000000000}"/>
    <hyperlink ref="B110:F111" location="'Table of Contents'!A1" display="Table of Contents" xr:uid="{00000000-0004-0000-0F00-000001000000}"/>
  </hyperlinks>
  <pageMargins left="0.75" right="0.25" top="0.36" bottom="0.28999999999999998" header="0.36" footer="0.21"/>
  <pageSetup scale="64" fitToHeight="0" orientation="portrait" r:id="rId1"/>
  <rowBreaks count="1" manualBreakCount="1">
    <brk id="63" min="1" max="33" man="1"/>
  </rowBreaks>
  <drawing r:id="rId2"/>
  <extLst>
    <ext xmlns:x14="http://schemas.microsoft.com/office/spreadsheetml/2009/9/main" uri="{78C0D931-6437-407d-A8EE-F0AAD7539E65}">
      <x14:conditionalFormattings>
        <x14:conditionalFormatting xmlns:xm="http://schemas.microsoft.com/office/excel/2006/main">
          <x14:cfRule type="expression" priority="51" id="{30DC5306-3B0D-42DB-B6F8-10FC5DE5E543}">
            <xm:f>'Table of Contents'!$A$20="D"</xm:f>
            <x14:dxf>
              <fill>
                <patternFill>
                  <bgColor theme="0"/>
                </patternFill>
              </fill>
              <border>
                <left style="thin">
                  <color auto="1"/>
                </left>
                <top style="thin">
                  <color auto="1"/>
                </top>
                <bottom style="thin">
                  <color auto="1"/>
                </bottom>
                <vertical/>
                <horizontal/>
              </border>
            </x14:dxf>
          </x14:cfRule>
          <xm:sqref>A4</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pageSetUpPr fitToPage="1"/>
  </sheetPr>
  <dimension ref="A1:AE83"/>
  <sheetViews>
    <sheetView zoomScaleNormal="100" workbookViewId="0"/>
  </sheetViews>
  <sheetFormatPr defaultColWidth="9.140625" defaultRowHeight="12.75"/>
  <cols>
    <col min="1" max="1" width="2" customWidth="1"/>
    <col min="2" max="2" width="3.5703125" customWidth="1"/>
    <col min="3" max="3" width="2.85546875" customWidth="1"/>
    <col min="4" max="4" width="5.28515625" customWidth="1"/>
    <col min="5" max="5" width="9.5703125" customWidth="1"/>
    <col min="6" max="6" width="2.85546875" customWidth="1"/>
    <col min="7" max="7" width="42.7109375" customWidth="1"/>
    <col min="8" max="8" width="7.5703125" customWidth="1"/>
    <col min="9" max="9" width="3.28515625" customWidth="1"/>
    <col min="10" max="10" width="13.42578125" customWidth="1"/>
    <col min="11" max="11" width="5.5703125" customWidth="1"/>
    <col min="12" max="12" width="13.42578125" customWidth="1"/>
    <col min="13" max="13" width="3.42578125" customWidth="1"/>
    <col min="14" max="14" width="2.5703125" customWidth="1"/>
    <col min="15" max="15" width="2.7109375" customWidth="1"/>
    <col min="16" max="16" width="3.28515625" customWidth="1"/>
    <col min="17" max="17" width="1.85546875" customWidth="1"/>
    <col min="18" max="18" width="10.85546875" customWidth="1"/>
    <col min="19" max="19" width="18.5703125" customWidth="1"/>
    <col min="20" max="20" width="8.85546875" customWidth="1"/>
    <col min="22" max="31" width="9.140625" style="658"/>
  </cols>
  <sheetData>
    <row r="1" spans="1:22" ht="13.5" thickBot="1">
      <c r="A1" s="139"/>
      <c r="B1" s="139"/>
      <c r="C1" s="139"/>
      <c r="D1" s="139"/>
      <c r="E1" s="139"/>
      <c r="F1" s="139"/>
      <c r="G1" s="2392"/>
      <c r="H1" s="139"/>
      <c r="I1" s="139"/>
      <c r="J1" s="139"/>
      <c r="K1" s="139"/>
      <c r="L1" s="139"/>
      <c r="M1" s="139"/>
      <c r="N1" s="139"/>
      <c r="O1" s="88"/>
      <c r="P1" s="88"/>
      <c r="Q1" s="88"/>
      <c r="R1" s="4362"/>
      <c r="S1" s="88"/>
      <c r="T1" s="88"/>
      <c r="U1" s="253"/>
    </row>
    <row r="2" spans="1:22" ht="15.75">
      <c r="A2" s="139"/>
      <c r="B2" s="139"/>
      <c r="C2" s="139"/>
      <c r="D2" s="139"/>
      <c r="E2" s="139"/>
      <c r="F2" s="139"/>
      <c r="G2" s="2392"/>
      <c r="H2" s="139"/>
      <c r="I2" s="139"/>
      <c r="J2" s="139"/>
      <c r="K2" s="139"/>
      <c r="L2" s="139"/>
      <c r="M2" s="4363" t="str">
        <f>"Indicate your "&amp;TaxYear-1&amp;" filing status here. "</f>
        <v xml:space="preserve">Indicate your 2024 filing status here. </v>
      </c>
      <c r="N2" s="4364" t="s">
        <v>916</v>
      </c>
      <c r="O2" s="4365"/>
      <c r="P2" s="4366"/>
      <c r="Q2" s="89"/>
      <c r="R2" s="89"/>
      <c r="S2" s="89"/>
      <c r="T2" s="3428"/>
      <c r="U2" s="253"/>
    </row>
    <row r="3" spans="1:22" ht="15.75" customHeight="1">
      <c r="A3" s="139"/>
      <c r="B3" s="139"/>
      <c r="C3" s="139"/>
      <c r="D3" s="139"/>
      <c r="E3" s="139"/>
      <c r="F3" s="139"/>
      <c r="G3" s="139"/>
      <c r="H3" s="139"/>
      <c r="I3" s="139"/>
      <c r="J3" s="139"/>
      <c r="K3" s="139"/>
      <c r="L3" s="139"/>
      <c r="M3" s="139"/>
      <c r="N3" s="139"/>
      <c r="O3" s="4367"/>
      <c r="P3" s="4368" t="str">
        <f>"Indicate your "&amp;TaxYear-1&amp;" filing status below:"</f>
        <v>Indicate your 2024 filing status below:</v>
      </c>
      <c r="Q3" s="88"/>
      <c r="R3" s="88"/>
      <c r="S3" s="88"/>
      <c r="T3" s="90"/>
      <c r="U3" s="253"/>
      <c r="V3" s="657" t="s">
        <v>223</v>
      </c>
    </row>
    <row r="4" spans="1:22" ht="13.5" customHeight="1">
      <c r="A4" s="139"/>
      <c r="B4" s="3248" t="s">
        <v>917</v>
      </c>
      <c r="C4" s="4369"/>
      <c r="D4" s="4369"/>
      <c r="E4" s="4369"/>
      <c r="F4" s="4369"/>
      <c r="G4" s="4369"/>
      <c r="H4" s="4369"/>
      <c r="I4" s="4369"/>
      <c r="J4" s="4369"/>
      <c r="K4" s="4369"/>
      <c r="L4" s="4369"/>
      <c r="M4" s="139"/>
      <c r="N4" s="139"/>
      <c r="O4" s="4370"/>
      <c r="P4" s="2417" t="str">
        <f>IF(O4=0,"Check one.",IF(O15&gt;1,"Check only one.",""))</f>
        <v>Check one.</v>
      </c>
      <c r="Q4" s="88"/>
      <c r="R4" s="88"/>
      <c r="S4" s="88"/>
      <c r="T4" s="90"/>
      <c r="U4" s="253"/>
    </row>
    <row r="5" spans="1:22" ht="13.5" customHeight="1" thickBot="1">
      <c r="A5" s="139"/>
      <c r="B5" s="4369" t="str">
        <f>"1. You received a refund in "&amp;TaxYear&amp;" that is for a tax year other than "&amp;TaxYear-1&amp;"."</f>
        <v>1. You received a refund in 2025 that is for a tax year other than 2024.</v>
      </c>
      <c r="C5" s="4369"/>
      <c r="D5" s="4369"/>
      <c r="E5" s="4369"/>
      <c r="F5" s="4369"/>
      <c r="G5" s="4369"/>
      <c r="H5" s="4369"/>
      <c r="I5" s="4369"/>
      <c r="J5" s="4369"/>
      <c r="K5" s="4369"/>
      <c r="L5" s="4369"/>
      <c r="M5" s="139"/>
      <c r="N5" s="139"/>
      <c r="O5" s="7822" t="b">
        <f>(O15=1)</f>
        <v>0</v>
      </c>
      <c r="P5" s="7823"/>
      <c r="Q5" s="88"/>
      <c r="R5" s="88"/>
      <c r="S5" s="88"/>
      <c r="T5" s="90"/>
      <c r="U5" s="253"/>
    </row>
    <row r="6" spans="1:22" ht="13.5" customHeight="1" thickBot="1">
      <c r="A6" s="139"/>
      <c r="B6" s="4369" t="str">
        <f>"2. You received a refund other than an income tax refund, such as a general sales tax or real property tax refund, in "&amp;TaxYear&amp;" of an amount deducted or"</f>
        <v>2. You received a refund other than an income tax refund, such as a general sales tax or real property tax refund, in 2025 of an amount deducted or</v>
      </c>
      <c r="C6" s="4369"/>
      <c r="D6" s="4369"/>
      <c r="E6" s="4369"/>
      <c r="F6" s="4369"/>
      <c r="G6" s="4369"/>
      <c r="H6" s="4369"/>
      <c r="I6" s="4369"/>
      <c r="J6" s="4369"/>
      <c r="K6" s="4369"/>
      <c r="L6" s="4369"/>
      <c r="M6" s="139"/>
      <c r="N6" s="139"/>
      <c r="O6" s="4370">
        <f>IF(P6&lt;&gt;"",1,0)</f>
        <v>0</v>
      </c>
      <c r="P6" s="280"/>
      <c r="Q6" s="88"/>
      <c r="R6" s="1560" t="s">
        <v>918</v>
      </c>
      <c r="S6" s="88"/>
      <c r="T6" s="90"/>
      <c r="U6" s="416"/>
    </row>
    <row r="7" spans="1:22" ht="13.5" customHeight="1" thickBot="1">
      <c r="A7" s="139"/>
      <c r="B7" s="4369" t="s">
        <v>919</v>
      </c>
      <c r="C7" s="4369"/>
      <c r="D7" s="4369"/>
      <c r="E7" s="4369"/>
      <c r="F7" s="4369"/>
      <c r="G7" s="4369"/>
      <c r="H7" s="4369"/>
      <c r="I7" s="4369"/>
      <c r="J7" s="4369"/>
      <c r="K7" s="4369"/>
      <c r="L7" s="4369"/>
      <c r="M7" s="139"/>
      <c r="N7" s="139"/>
      <c r="O7" s="4370"/>
      <c r="P7" s="2557"/>
      <c r="Q7" s="88"/>
      <c r="R7" s="88"/>
      <c r="S7" s="88"/>
      <c r="T7" s="90"/>
      <c r="U7" s="253"/>
    </row>
    <row r="8" spans="1:22" ht="13.5" customHeight="1" thickBot="1">
      <c r="A8" s="139"/>
      <c r="B8" s="4369" t="str">
        <f>"3. You had taxable income on your "&amp;TaxYear-1&amp;" Form 1040 or 1040-SR, line 15, but no tax on your Form 1040 or 1040-SR, line 16, because of the 0% tax rate"</f>
        <v>3. You had taxable income on your 2024 Form 1040 or 1040-SR, line 15, but no tax on your Form 1040 or 1040-SR, line 16, because of the 0% tax rate</v>
      </c>
      <c r="C8" s="4369"/>
      <c r="D8" s="4369"/>
      <c r="E8" s="4369"/>
      <c r="F8" s="4369"/>
      <c r="G8" s="4369"/>
      <c r="H8" s="4369"/>
      <c r="I8" s="4369"/>
      <c r="J8" s="4369"/>
      <c r="K8" s="4369"/>
      <c r="L8" s="4369"/>
      <c r="M8" s="139"/>
      <c r="N8" s="139"/>
      <c r="O8" s="4370">
        <f>IF(P8&lt;&gt;"",1,0)</f>
        <v>0</v>
      </c>
      <c r="P8" s="280"/>
      <c r="Q8" s="88"/>
      <c r="R8" s="1560" t="s">
        <v>920</v>
      </c>
      <c r="S8" s="88"/>
      <c r="T8" s="90"/>
      <c r="U8" s="253"/>
    </row>
    <row r="9" spans="1:22" ht="13.5" customHeight="1" thickBot="1">
      <c r="A9" s="139"/>
      <c r="B9" s="4369" t="s">
        <v>4930</v>
      </c>
      <c r="C9" s="4369"/>
      <c r="D9" s="4369"/>
      <c r="E9" s="4369"/>
      <c r="F9" s="4369"/>
      <c r="G9" s="4369"/>
      <c r="H9" s="4369"/>
      <c r="I9" s="4369"/>
      <c r="J9" s="4369"/>
      <c r="K9" s="4369"/>
      <c r="L9" s="4369"/>
      <c r="M9" s="139"/>
      <c r="N9" s="139"/>
      <c r="O9" s="4370"/>
      <c r="P9" s="2557"/>
      <c r="Q9" s="88"/>
      <c r="R9" s="88"/>
      <c r="S9" s="88"/>
      <c r="T9" s="90"/>
      <c r="U9" s="253"/>
    </row>
    <row r="10" spans="1:22" ht="13.5" customHeight="1" thickBot="1">
      <c r="A10" s="139"/>
      <c r="B10" s="4369" t="str">
        <f>"4. Your "&amp;TaxYear-1&amp;" state and local income tax refund is more than your "&amp;TaxYear-1&amp;" state and local income tax deduction minus the amount you could have"</f>
        <v>4. Your 2024 state and local income tax refund is more than your 2024 state and local income tax deduction minus the amount you could have</v>
      </c>
      <c r="C10" s="4369"/>
      <c r="D10" s="4369"/>
      <c r="E10" s="4369"/>
      <c r="F10" s="4369"/>
      <c r="G10" s="4369"/>
      <c r="H10" s="4369"/>
      <c r="I10" s="4369"/>
      <c r="J10" s="4369"/>
      <c r="K10" s="4369"/>
      <c r="L10" s="4369"/>
      <c r="M10" s="139"/>
      <c r="N10" s="139"/>
      <c r="O10" s="4370">
        <f>IF(P10&lt;&gt;"",1,0)</f>
        <v>0</v>
      </c>
      <c r="P10" s="280"/>
      <c r="Q10" s="88"/>
      <c r="R10" s="1560" t="s">
        <v>547</v>
      </c>
      <c r="S10" s="88"/>
      <c r="T10" s="90"/>
      <c r="U10" s="253"/>
    </row>
    <row r="11" spans="1:22" ht="12.75" customHeight="1" thickBot="1">
      <c r="A11" s="139"/>
      <c r="B11" s="4369" t="str">
        <f>"    deducted as your "&amp;TaxYear-1&amp;" state and local general sales taxes."</f>
        <v xml:space="preserve">    deducted as your 2024 state and local general sales taxes.</v>
      </c>
      <c r="C11" s="4369"/>
      <c r="D11" s="4369"/>
      <c r="E11" s="4369"/>
      <c r="F11" s="4369"/>
      <c r="G11" s="4369"/>
      <c r="H11" s="4369"/>
      <c r="I11" s="4369"/>
      <c r="J11" s="4369"/>
      <c r="K11" s="4369"/>
      <c r="L11" s="4369"/>
      <c r="M11" s="139"/>
      <c r="N11" s="139"/>
      <c r="O11" s="4370"/>
      <c r="P11" s="2700"/>
      <c r="Q11" s="88"/>
      <c r="R11" s="88"/>
      <c r="S11" s="88"/>
      <c r="T11" s="90"/>
      <c r="U11" s="253"/>
    </row>
    <row r="12" spans="1:22" ht="13.5" customHeight="1" thickBot="1">
      <c r="A12" s="139"/>
      <c r="B12" s="4369" t="str">
        <f>"5. You made your last payment of "&amp;TaxYear-1&amp;" estimated state or local income tax in "&amp;TaxYear&amp;"."</f>
        <v>5. You made your last payment of 2024 estimated state or local income tax in 2025.</v>
      </c>
      <c r="C12" s="4369"/>
      <c r="D12" s="4369"/>
      <c r="E12" s="4369"/>
      <c r="F12" s="4369"/>
      <c r="G12" s="4369"/>
      <c r="H12" s="4369"/>
      <c r="I12" s="4369"/>
      <c r="J12" s="4369"/>
      <c r="K12" s="4369"/>
      <c r="L12" s="4369"/>
      <c r="M12" s="139"/>
      <c r="N12" s="139"/>
      <c r="O12" s="4370">
        <f>IF(P12&lt;&gt;"",1,0)</f>
        <v>0</v>
      </c>
      <c r="P12" s="280"/>
      <c r="Q12" s="88"/>
      <c r="R12" s="1560" t="s">
        <v>921</v>
      </c>
      <c r="S12" s="88"/>
      <c r="T12" s="90"/>
      <c r="U12" s="253"/>
    </row>
    <row r="13" spans="1:22" ht="13.5" customHeight="1" thickBot="1">
      <c r="A13" s="139"/>
      <c r="B13" s="4369" t="str">
        <f>"6. You owed alternative minimum tax in "&amp;TaxYear-1&amp;"."</f>
        <v>6. You owed alternative minimum tax in 2024.</v>
      </c>
      <c r="C13" s="4369"/>
      <c r="D13" s="4369"/>
      <c r="E13" s="4369"/>
      <c r="F13" s="4369"/>
      <c r="G13" s="4369"/>
      <c r="H13" s="4369"/>
      <c r="I13" s="4369"/>
      <c r="J13" s="4369"/>
      <c r="K13" s="4369"/>
      <c r="L13" s="4369"/>
      <c r="M13" s="139"/>
      <c r="N13" s="139"/>
      <c r="O13" s="4370"/>
      <c r="P13" s="2700"/>
      <c r="Q13" s="88"/>
      <c r="R13" s="88"/>
      <c r="S13" s="88"/>
      <c r="T13" s="90"/>
      <c r="U13" s="253"/>
    </row>
    <row r="14" spans="1:22" ht="13.5" customHeight="1" thickBot="1">
      <c r="A14" s="139"/>
      <c r="B14" s="4369" t="str">
        <f>"7. You couldn't use the full amount of credits you were entitled to in "&amp;TaxYear-1&amp;" because the total credits were more than"</f>
        <v>7. You couldn't use the full amount of credits you were entitled to in 2024 because the total credits were more than</v>
      </c>
      <c r="C14" s="4369"/>
      <c r="D14" s="4369"/>
      <c r="E14" s="4369"/>
      <c r="F14" s="4369"/>
      <c r="G14" s="4369"/>
      <c r="H14" s="4369"/>
      <c r="I14" s="4369"/>
      <c r="J14" s="4369"/>
      <c r="K14" s="4369"/>
      <c r="L14" s="4369"/>
      <c r="M14" s="139"/>
      <c r="N14" s="139"/>
      <c r="O14" s="4370">
        <f>IF(P14&lt;&gt;"",1,0)</f>
        <v>0</v>
      </c>
      <c r="P14" s="280"/>
      <c r="Q14" s="88"/>
      <c r="R14" s="1560" t="s">
        <v>922</v>
      </c>
      <c r="S14" s="88"/>
      <c r="T14" s="90"/>
      <c r="U14" s="253"/>
    </row>
    <row r="15" spans="1:22" ht="13.5" customHeight="1" thickBot="1">
      <c r="A15" s="139"/>
      <c r="B15" s="4369" t="str">
        <f>"    the amount shown on your "&amp;TaxYear-1&amp;" Form 1040 or 1040-SR, line 16."</f>
        <v xml:space="preserve">    the amount shown on your 2024 Form 1040 or 1040-SR, line 16.</v>
      </c>
      <c r="C15" s="4369"/>
      <c r="D15" s="4369"/>
      <c r="E15" s="4369"/>
      <c r="F15" s="4369"/>
      <c r="G15" s="4369"/>
      <c r="H15" s="4369"/>
      <c r="I15" s="4369"/>
      <c r="J15" s="4369"/>
      <c r="K15" s="4369"/>
      <c r="L15" s="4369"/>
      <c r="M15" s="139"/>
      <c r="N15" s="139"/>
      <c r="O15" s="4371">
        <f>SUM(O6,O8,O10,O12,O14)</f>
        <v>0</v>
      </c>
      <c r="P15" s="480"/>
      <c r="Q15" s="91"/>
      <c r="R15" s="91"/>
      <c r="S15" s="91"/>
      <c r="T15" s="2490"/>
      <c r="U15" s="253"/>
    </row>
    <row r="16" spans="1:22" ht="13.5" customHeight="1" thickBot="1">
      <c r="A16" s="139"/>
      <c r="B16" s="3248" t="str">
        <f>"8. You could be claimed as a dependent by someone else in "&amp;TaxYear-1&amp;"."</f>
        <v>8. You could be claimed as a dependent by someone else in 2024.</v>
      </c>
      <c r="C16" s="4369"/>
      <c r="D16" s="4369"/>
      <c r="E16" s="4369"/>
      <c r="F16" s="4369"/>
      <c r="G16" s="4369"/>
      <c r="H16" s="4369"/>
      <c r="I16" s="4369"/>
      <c r="J16" s="4369"/>
      <c r="K16" s="4369"/>
      <c r="L16" s="4369"/>
      <c r="M16" s="139"/>
      <c r="N16" s="139"/>
      <c r="O16" s="4372"/>
      <c r="P16" s="4373"/>
      <c r="Q16" s="89"/>
      <c r="R16" s="89"/>
      <c r="S16" s="89"/>
      <c r="T16" s="3428"/>
      <c r="U16" s="253"/>
    </row>
    <row r="17" spans="1:25" ht="13.5" customHeight="1" thickBot="1">
      <c r="A17" s="139"/>
      <c r="B17" s="4369" t="str">
        <f>"9. You received a refund because of a jointly filed state or local income tax return, but you are not filing a joint "&amp;TaxYear&amp;" Form 1040 or 1040-SR with"</f>
        <v>9. You received a refund because of a jointly filed state or local income tax return, but you are not filing a joint 2025 Form 1040 or 1040-SR with</v>
      </c>
      <c r="C17" s="4369"/>
      <c r="D17" s="4369"/>
      <c r="E17" s="4369"/>
      <c r="F17" s="4369"/>
      <c r="G17" s="4369"/>
      <c r="H17" s="4369"/>
      <c r="I17" s="4369"/>
      <c r="J17" s="4369"/>
      <c r="K17" s="4369"/>
      <c r="L17" s="4369"/>
      <c r="M17" s="139"/>
      <c r="N17" s="139"/>
      <c r="O17" s="4370"/>
      <c r="P17" s="280"/>
      <c r="Q17" s="88"/>
      <c r="R17" s="88" t="s">
        <v>923</v>
      </c>
      <c r="S17" s="88"/>
      <c r="T17" s="90"/>
      <c r="U17" s="253"/>
    </row>
    <row r="18" spans="1:25">
      <c r="A18" s="139"/>
      <c r="B18" s="4369" t="s">
        <v>4931</v>
      </c>
      <c r="C18" s="4369"/>
      <c r="D18" s="4369"/>
      <c r="E18" s="4369"/>
      <c r="F18" s="4369"/>
      <c r="G18" s="4369"/>
      <c r="H18" s="4369"/>
      <c r="I18" s="4369"/>
      <c r="J18" s="4369"/>
      <c r="K18" s="4369"/>
      <c r="L18" s="4369"/>
      <c r="M18" s="139"/>
      <c r="N18" s="139"/>
      <c r="O18" s="4367"/>
      <c r="P18" s="4374"/>
      <c r="Q18" s="88"/>
      <c r="R18" s="88" t="str">
        <f>"on your "&amp;TaxYear-1&amp;" tax return."</f>
        <v>on your 2024 tax return.</v>
      </c>
      <c r="S18" s="88"/>
      <c r="T18" s="4375" t="b">
        <f>(P17&lt;&gt;"")</f>
        <v>0</v>
      </c>
      <c r="U18" s="253"/>
    </row>
    <row r="19" spans="1:25">
      <c r="A19" s="139"/>
      <c r="B19" s="7825" t="str">
        <f>IF(T18,"STOP!  You may not use this worksheet.   See Exception above and Publication 525.","")</f>
        <v/>
      </c>
      <c r="C19" s="7091"/>
      <c r="D19" s="7091"/>
      <c r="E19" s="7091"/>
      <c r="F19" s="7091"/>
      <c r="G19" s="7091"/>
      <c r="H19" s="7091"/>
      <c r="I19" s="7091"/>
      <c r="J19" s="7091"/>
      <c r="K19" s="7091"/>
      <c r="L19" s="7091"/>
      <c r="M19" s="139"/>
      <c r="N19" s="139"/>
      <c r="O19" s="4376"/>
      <c r="P19" s="4377"/>
      <c r="Q19" s="2432"/>
      <c r="R19" s="2432"/>
      <c r="S19" s="2432"/>
      <c r="T19" s="4378"/>
      <c r="U19" s="253"/>
    </row>
    <row r="20" spans="1:25" ht="13.5" thickBot="1">
      <c r="A20" s="139"/>
      <c r="B20" s="139"/>
      <c r="C20" s="139"/>
      <c r="D20" s="139"/>
      <c r="E20" s="139"/>
      <c r="F20" s="139"/>
      <c r="G20" s="2392"/>
      <c r="H20" s="139"/>
      <c r="I20" s="139"/>
      <c r="J20" s="139"/>
      <c r="K20" s="139"/>
      <c r="L20" s="139"/>
      <c r="M20" s="139"/>
      <c r="N20" s="139"/>
      <c r="O20" s="4379"/>
      <c r="P20" s="4380"/>
      <c r="Q20" s="1839"/>
      <c r="R20" s="1839"/>
      <c r="S20" s="1839"/>
      <c r="T20" s="4381"/>
      <c r="U20" s="253"/>
    </row>
    <row r="21" spans="1:25" ht="13.5" thickBot="1">
      <c r="A21" s="139"/>
      <c r="B21" s="139"/>
      <c r="C21" s="139"/>
      <c r="D21" s="139"/>
      <c r="E21" s="139"/>
      <c r="F21" s="139"/>
      <c r="G21" s="2392"/>
      <c r="H21" s="139"/>
      <c r="I21" s="139"/>
      <c r="J21" s="139"/>
      <c r="K21" s="139"/>
      <c r="L21" s="139"/>
      <c r="M21" s="139"/>
      <c r="N21" s="139"/>
      <c r="O21" s="4370"/>
      <c r="P21" s="280"/>
      <c r="Q21" s="88"/>
      <c r="R21" s="441" t="s">
        <v>924</v>
      </c>
      <c r="S21" s="88"/>
      <c r="T21" s="4375" t="b">
        <f>IF(AND(P10&lt;&gt;"",P21&lt;&gt;""),TRUE,FALSE)</f>
        <v>0</v>
      </c>
      <c r="U21" s="253"/>
    </row>
    <row r="22" spans="1:25" ht="31.5" customHeight="1" thickBot="1">
      <c r="A22" s="139"/>
      <c r="B22" s="2414" t="s">
        <v>925</v>
      </c>
      <c r="C22" s="2414"/>
      <c r="D22" s="3526"/>
      <c r="E22" s="3526"/>
      <c r="F22" s="3526"/>
      <c r="G22" s="3526"/>
      <c r="H22" s="3526"/>
      <c r="I22" s="4382"/>
      <c r="J22" s="4383"/>
      <c r="K22" s="4382" t="s">
        <v>926</v>
      </c>
      <c r="L22" s="2537"/>
      <c r="M22" s="2537"/>
      <c r="N22" s="139"/>
      <c r="O22" s="4384"/>
      <c r="P22" s="4385"/>
      <c r="Q22" s="91"/>
      <c r="R22" s="4386" t="str">
        <f>"deductions on your "&amp;TaxYear-1&amp;" tax return."</f>
        <v>deductions on your 2024 tax return.</v>
      </c>
      <c r="S22" s="91"/>
      <c r="T22" s="2490"/>
      <c r="U22" s="253"/>
    </row>
    <row r="23" spans="1:25" ht="15.75" customHeight="1">
      <c r="A23" s="139"/>
      <c r="B23" s="4387"/>
      <c r="C23" s="3503" t="s">
        <v>927</v>
      </c>
      <c r="D23" s="4388"/>
      <c r="E23" s="4388"/>
      <c r="F23" s="4389" t="s">
        <v>928</v>
      </c>
      <c r="G23" s="4390" t="s">
        <v>929</v>
      </c>
      <c r="H23" s="4388"/>
      <c r="I23" s="4391"/>
      <c r="J23" s="4392"/>
      <c r="K23" s="4391"/>
      <c r="L23" s="2532"/>
      <c r="M23" s="2533"/>
      <c r="N23" s="139"/>
      <c r="O23" s="4393"/>
      <c r="P23" s="4374"/>
      <c r="Q23" s="89"/>
      <c r="R23" s="4394"/>
      <c r="S23" s="89"/>
      <c r="T23" s="89"/>
      <c r="U23" s="253"/>
      <c r="Y23" s="659"/>
    </row>
    <row r="24" spans="1:25" ht="15.75" customHeight="1">
      <c r="A24" s="139"/>
      <c r="B24" s="4395"/>
      <c r="C24" s="4396"/>
      <c r="D24" s="4397"/>
      <c r="E24" s="4397"/>
      <c r="F24" s="4398"/>
      <c r="G24" s="4399" t="s">
        <v>930</v>
      </c>
      <c r="H24" s="4397"/>
      <c r="I24" s="4400"/>
      <c r="J24" s="4401"/>
      <c r="K24" s="4400"/>
      <c r="L24" s="4402"/>
      <c r="M24" s="4403"/>
      <c r="N24" s="139"/>
      <c r="O24" s="88"/>
      <c r="P24" s="88"/>
      <c r="Q24" s="88"/>
      <c r="R24" s="7820" t="s">
        <v>931</v>
      </c>
      <c r="S24" s="88"/>
      <c r="T24" s="88"/>
      <c r="U24" s="253"/>
    </row>
    <row r="25" spans="1:25" ht="14.25" customHeight="1">
      <c r="A25" s="139"/>
      <c r="B25" s="4404">
        <v>1</v>
      </c>
      <c r="C25" s="1560" t="s">
        <v>932</v>
      </c>
      <c r="D25" s="2393"/>
      <c r="E25" s="2393"/>
      <c r="F25" s="2393"/>
      <c r="G25" s="2393"/>
      <c r="H25" s="2460" t="s">
        <v>933</v>
      </c>
      <c r="I25" s="2414"/>
      <c r="J25" s="2393"/>
      <c r="K25" s="2446"/>
      <c r="L25" s="3426" t="b">
        <f>AND(O5,L26&lt;&gt;"",L26&gt;R28)</f>
        <v>0</v>
      </c>
      <c r="M25" s="2418"/>
      <c r="N25" s="139"/>
      <c r="O25" s="88"/>
      <c r="P25" s="88"/>
      <c r="Q25" s="88"/>
      <c r="R25" s="7821"/>
      <c r="S25" s="88"/>
      <c r="T25" s="88"/>
      <c r="U25" s="253"/>
    </row>
    <row r="26" spans="1:25">
      <c r="A26" s="139"/>
      <c r="B26" s="4405"/>
      <c r="C26" s="2460" t="str">
        <f>"amount of your state and local income taxes shown on your "&amp;TaxYear-1&amp;" Schedule A, line 5d"</f>
        <v>amount of your state and local income taxes shown on your 2024 Schedule A, line 5d</v>
      </c>
      <c r="D26" s="2393"/>
      <c r="E26" s="2393"/>
      <c r="F26" s="2393"/>
      <c r="G26" s="2393"/>
      <c r="H26" s="2393"/>
      <c r="I26" s="2414"/>
      <c r="J26" s="2473" t="s">
        <v>934</v>
      </c>
      <c r="K26" s="2446">
        <v>1</v>
      </c>
      <c r="L26" s="2552">
        <f>IF(R26&lt;&gt;"",ROUND(R26,0),IF(AND(SALT_Refund&gt;0,NOT(O5)),"",IF(T18,"",SALT_Refund)))</f>
        <v>0</v>
      </c>
      <c r="M26" s="4406"/>
      <c r="N26" s="139"/>
      <c r="O26" s="253"/>
      <c r="P26" s="7824">
        <v>1</v>
      </c>
      <c r="Q26" s="7602"/>
      <c r="R26" s="1046"/>
      <c r="S26" s="253"/>
      <c r="T26" s="253"/>
      <c r="U26" s="253"/>
    </row>
    <row r="27" spans="1:25">
      <c r="A27" s="139"/>
      <c r="B27" s="4407" t="s">
        <v>161</v>
      </c>
      <c r="C27" s="1560" t="s">
        <v>935</v>
      </c>
      <c r="D27" s="2393"/>
      <c r="E27" s="2393"/>
      <c r="F27" s="2393"/>
      <c r="G27" s="2393"/>
      <c r="H27" s="2393"/>
      <c r="I27" s="2414"/>
      <c r="J27" s="2393"/>
      <c r="K27" s="2414"/>
      <c r="L27" s="4408"/>
      <c r="M27" s="4406"/>
      <c r="N27" s="139"/>
      <c r="O27" s="253"/>
      <c r="P27" s="253"/>
      <c r="Q27" s="253"/>
      <c r="R27" s="962"/>
      <c r="S27" s="253"/>
      <c r="T27" s="253"/>
      <c r="U27" s="990">
        <v>5000</v>
      </c>
    </row>
    <row r="28" spans="1:25">
      <c r="A28" s="139"/>
      <c r="B28" s="4407"/>
      <c r="C28" s="1560" t="str">
        <f>"taxes paid in "&amp;TaxYear-1&amp;" (generally, this is the amount reported on your "&amp;TaxYear-1&amp;" Schedule A, line 5d), more than the"</f>
        <v>taxes paid in 2024 (generally, this is the amount reported on your 2024 Schedule A, line 5d), more than the</v>
      </c>
      <c r="D28" s="2393"/>
      <c r="E28" s="2393"/>
      <c r="F28" s="2393"/>
      <c r="G28" s="2393"/>
      <c r="H28" s="2393"/>
      <c r="I28" s="2414"/>
      <c r="J28" s="2393"/>
      <c r="K28" s="2414"/>
      <c r="L28" s="4408"/>
      <c r="M28" s="4406"/>
      <c r="N28" s="139"/>
      <c r="O28" s="253"/>
      <c r="P28" s="253"/>
      <c r="Q28" s="253"/>
      <c r="R28" s="1046"/>
      <c r="S28" s="1215" t="str">
        <f>TaxYear-1&amp;" Schedule A, line 5d"</f>
        <v>2024 Schedule A, line 5d</v>
      </c>
      <c r="T28" s="253"/>
      <c r="U28" s="990">
        <v>10000</v>
      </c>
    </row>
    <row r="29" spans="1:25">
      <c r="A29" s="139"/>
      <c r="B29" s="4407"/>
      <c r="C29" s="1560" t="str">
        <f>"amount on your "&amp;TaxYear-1&amp;" Schedule A, line 5e?"</f>
        <v>amount on your 2024 Schedule A, line 5e?</v>
      </c>
      <c r="D29" s="2393"/>
      <c r="E29" s="2393"/>
      <c r="F29" s="2393"/>
      <c r="G29" s="2393"/>
      <c r="H29" s="2393"/>
      <c r="I29" s="2414"/>
      <c r="J29" s="2393"/>
      <c r="K29" s="2414"/>
      <c r="L29" s="4409" t="b">
        <f>R28&gt;R29</f>
        <v>0</v>
      </c>
      <c r="M29" s="4406"/>
      <c r="N29" s="139"/>
      <c r="O29" s="253"/>
      <c r="P29" s="253"/>
      <c r="Q29" s="253"/>
      <c r="R29" s="4410" t="str">
        <f>IF($O$15=0,"",U29)</f>
        <v/>
      </c>
      <c r="S29" s="1215" t="str">
        <f>TaxYear-1&amp;" Schedule A, line 5e"</f>
        <v>2024 Schedule A, line 5e</v>
      </c>
      <c r="T29" s="253"/>
      <c r="U29" s="990">
        <f>IF(P10&lt;&gt;"",U27,U28)</f>
        <v>10000</v>
      </c>
    </row>
    <row r="30" spans="1:25" ht="11.25" customHeight="1" thickBot="1">
      <c r="A30" s="139"/>
      <c r="B30" s="4405"/>
      <c r="C30" s="88"/>
      <c r="D30" s="2393"/>
      <c r="E30" s="2393"/>
      <c r="F30" s="2393"/>
      <c r="G30" s="2393"/>
      <c r="H30" s="2393"/>
      <c r="I30" s="2414"/>
      <c r="J30" s="2393"/>
      <c r="K30" s="2414"/>
      <c r="L30" s="4411"/>
      <c r="M30" s="2418"/>
      <c r="N30" s="139"/>
      <c r="O30" s="253"/>
      <c r="P30" s="253"/>
      <c r="Q30" s="253"/>
      <c r="R30" s="962"/>
      <c r="S30" s="253"/>
      <c r="T30" s="253"/>
      <c r="U30" s="253"/>
    </row>
    <row r="31" spans="1:25" ht="12" customHeight="1" thickBot="1">
      <c r="A31" s="139"/>
      <c r="B31" s="4405"/>
      <c r="C31" s="2555" t="str">
        <f>IF(OR(NOT(O5),L29),"","X")</f>
        <v/>
      </c>
      <c r="D31" s="2393" t="s">
        <v>936</v>
      </c>
      <c r="E31" s="2460" t="s">
        <v>937</v>
      </c>
      <c r="F31" s="2473"/>
      <c r="G31" s="2473"/>
      <c r="H31" s="2393"/>
      <c r="I31" s="2414"/>
      <c r="J31" s="2393"/>
      <c r="K31" s="2414"/>
      <c r="L31" s="2393"/>
      <c r="M31" s="2418"/>
      <c r="N31" s="139"/>
      <c r="O31" s="253"/>
      <c r="P31" s="253"/>
      <c r="Q31" s="253"/>
      <c r="R31" s="962"/>
      <c r="S31" s="253"/>
      <c r="T31" s="228"/>
      <c r="U31" s="253"/>
    </row>
    <row r="32" spans="1:25" ht="11.25" customHeight="1" thickBot="1">
      <c r="A32" s="139"/>
      <c r="B32" s="4405"/>
      <c r="C32" s="2393"/>
      <c r="D32" s="2393"/>
      <c r="E32" s="2460"/>
      <c r="F32" s="2473"/>
      <c r="G32" s="2473"/>
      <c r="H32" s="2393"/>
      <c r="I32" s="2414"/>
      <c r="J32" s="2393"/>
      <c r="K32" s="2414"/>
      <c r="L32" s="2393"/>
      <c r="M32" s="2418"/>
      <c r="N32" s="139"/>
      <c r="O32" s="253"/>
      <c r="P32" s="7824"/>
      <c r="Q32" s="7601"/>
      <c r="R32" s="962"/>
      <c r="S32" s="253"/>
      <c r="T32" s="228"/>
      <c r="U32" s="253"/>
    </row>
    <row r="33" spans="1:31" ht="12" customHeight="1" thickBot="1">
      <c r="A33" s="139"/>
      <c r="B33" s="4405"/>
      <c r="C33" s="2555" t="str">
        <f>IF(L29,"X","")</f>
        <v/>
      </c>
      <c r="D33" s="2393" t="s">
        <v>938</v>
      </c>
      <c r="E33" s="4412" t="str">
        <f>"Subtract the amount on your "&amp;TaxYear-1&amp;" Schedule A, line 5e,"</f>
        <v>Subtract the amount on your 2024 Schedule A, line 5e,</v>
      </c>
      <c r="F33" s="2473"/>
      <c r="G33" s="2473"/>
      <c r="H33" s="2393"/>
      <c r="I33" s="2414"/>
      <c r="J33" s="2393"/>
      <c r="K33" s="2414"/>
      <c r="L33" s="2393"/>
      <c r="M33" s="2418"/>
      <c r="N33" s="139"/>
      <c r="O33" s="253"/>
      <c r="P33" s="253"/>
      <c r="Q33" s="253"/>
      <c r="R33" s="962"/>
      <c r="S33" s="253"/>
      <c r="T33" s="228"/>
      <c r="U33" s="253"/>
    </row>
    <row r="34" spans="1:31" ht="11.25" customHeight="1">
      <c r="A34" s="139"/>
      <c r="B34" s="4405"/>
      <c r="C34" s="88"/>
      <c r="D34" s="2393"/>
      <c r="E34" s="4412" t="s">
        <v>939</v>
      </c>
      <c r="F34" s="2393"/>
      <c r="G34" s="2393"/>
      <c r="H34" s="2393"/>
      <c r="I34" s="2414"/>
      <c r="J34" s="2393"/>
      <c r="K34" s="2414"/>
      <c r="L34" s="2393"/>
      <c r="M34" s="2418"/>
      <c r="N34" s="139"/>
      <c r="O34" s="253"/>
      <c r="P34" s="2414"/>
      <c r="R34" s="962"/>
      <c r="S34" s="1217"/>
      <c r="T34" s="253"/>
      <c r="U34" s="253"/>
    </row>
    <row r="35" spans="1:31" ht="11.25" customHeight="1">
      <c r="A35" s="139"/>
      <c r="B35" s="4405"/>
      <c r="C35" s="88"/>
      <c r="D35" s="2393"/>
      <c r="E35" s="4412" t="s">
        <v>940</v>
      </c>
      <c r="F35" s="2393"/>
      <c r="G35" s="2393"/>
      <c r="H35" s="2393"/>
      <c r="I35" s="2414"/>
      <c r="J35" s="2393"/>
      <c r="K35" s="2414"/>
      <c r="L35" s="2393"/>
      <c r="M35" s="2418"/>
      <c r="N35" s="139"/>
      <c r="O35" s="253"/>
      <c r="P35" s="253"/>
      <c r="Q35" s="253"/>
      <c r="R35" s="962"/>
      <c r="S35" s="253"/>
      <c r="T35" s="253"/>
      <c r="U35" s="253"/>
    </row>
    <row r="36" spans="1:31" ht="12.75" customHeight="1">
      <c r="A36" s="139"/>
      <c r="B36" s="4405"/>
      <c r="C36" s="88"/>
      <c r="D36" s="2393"/>
      <c r="E36" s="4412" t="str">
        <f>"property taxes paid in "&amp;TaxYear-1&amp;" (generally, this is the amount"</f>
        <v>property taxes paid in 2024 (generally, this is the amount</v>
      </c>
      <c r="F36" s="2393"/>
      <c r="G36" s="2393"/>
      <c r="H36" s="2393"/>
      <c r="I36" s="2414"/>
      <c r="J36" s="2393"/>
      <c r="K36" s="2414"/>
      <c r="L36" s="2393"/>
      <c r="M36" s="2418"/>
      <c r="N36" s="139"/>
      <c r="O36" s="253"/>
      <c r="P36" s="253"/>
      <c r="Q36" s="253"/>
      <c r="R36" s="962"/>
      <c r="S36" s="253"/>
      <c r="T36" s="253"/>
      <c r="U36" s="253"/>
    </row>
    <row r="37" spans="1:31" ht="11.25" customHeight="1">
      <c r="A37" s="139"/>
      <c r="B37" s="4405"/>
      <c r="C37" s="88"/>
      <c r="D37" s="2393"/>
      <c r="E37" s="4412" t="str">
        <f>"reported on your "&amp;TaxYear-1&amp;" Schedule A, line 5d)."</f>
        <v>reported on your 2024 Schedule A, line 5d).</v>
      </c>
      <c r="F37" s="2393"/>
      <c r="G37" s="2393"/>
      <c r="H37" s="2393"/>
      <c r="I37" s="2414">
        <v>2</v>
      </c>
      <c r="J37" s="2552" t="str">
        <f>IF(R37&lt;&gt;"",ROUND(R37,0),IF(OR(NOT(O5),T18,C31="X"),"",SUM(R28,-R29)))</f>
        <v/>
      </c>
      <c r="K37" s="2414"/>
      <c r="L37" s="2393"/>
      <c r="M37" s="2418"/>
      <c r="N37" s="139"/>
      <c r="O37" s="253"/>
      <c r="P37" s="7824">
        <v>2</v>
      </c>
      <c r="Q37" s="7602"/>
      <c r="R37" s="1046"/>
      <c r="S37" s="1217"/>
      <c r="T37" s="253"/>
      <c r="U37" s="253"/>
    </row>
    <row r="38" spans="1:31" s="801" customFormat="1" ht="11.25" customHeight="1">
      <c r="A38" s="4413"/>
      <c r="B38" s="4414"/>
      <c r="C38" s="4415"/>
      <c r="D38" s="4415"/>
      <c r="E38" s="4416"/>
      <c r="F38" s="4415"/>
      <c r="G38" s="4415"/>
      <c r="H38" s="4415"/>
      <c r="I38" s="2414"/>
      <c r="J38" s="4417">
        <f>IF(J37="",0,J37)</f>
        <v>0</v>
      </c>
      <c r="K38" s="4418"/>
      <c r="L38" s="4415"/>
      <c r="M38" s="4419"/>
      <c r="N38" s="4413"/>
      <c r="O38" s="88"/>
      <c r="P38" s="88"/>
      <c r="Q38" s="88"/>
      <c r="R38" s="962"/>
      <c r="S38" s="88"/>
      <c r="T38" s="88"/>
      <c r="U38" s="253"/>
      <c r="V38" s="964"/>
      <c r="W38" s="964"/>
      <c r="X38" s="964"/>
      <c r="Y38" s="964"/>
      <c r="Z38" s="964"/>
      <c r="AA38" s="964"/>
      <c r="AB38" s="964"/>
      <c r="AC38" s="964"/>
      <c r="AD38" s="964"/>
      <c r="AE38" s="964"/>
    </row>
    <row r="39" spans="1:31">
      <c r="A39" s="139"/>
      <c r="B39" s="4407">
        <v>3</v>
      </c>
      <c r="C39" s="1560" t="s">
        <v>941</v>
      </c>
      <c r="D39" s="2393"/>
      <c r="E39" s="2393"/>
      <c r="F39" s="2393"/>
      <c r="G39" s="2393"/>
      <c r="H39" s="2393"/>
      <c r="I39" s="4418"/>
      <c r="J39" s="4417"/>
      <c r="K39" s="2414"/>
      <c r="L39" s="4409" t="b">
        <f>L26&gt;J37</f>
        <v>0</v>
      </c>
      <c r="M39" s="4406"/>
      <c r="N39" s="139"/>
      <c r="O39" s="88"/>
      <c r="P39" s="88"/>
      <c r="Q39" s="88"/>
      <c r="R39" s="962"/>
      <c r="S39" s="88"/>
      <c r="T39" s="88"/>
      <c r="U39" s="253"/>
    </row>
    <row r="40" spans="1:31" ht="12" customHeight="1" thickBot="1">
      <c r="A40" s="139"/>
      <c r="B40" s="4405"/>
      <c r="C40" s="88"/>
      <c r="D40" s="2393"/>
      <c r="E40" s="2393"/>
      <c r="F40" s="2393"/>
      <c r="G40" s="2393"/>
      <c r="H40" s="2393"/>
      <c r="I40" s="2414"/>
      <c r="J40" s="2393"/>
      <c r="K40" s="2414"/>
      <c r="L40" s="4411"/>
      <c r="M40" s="2418"/>
      <c r="N40" s="139"/>
      <c r="O40" s="851"/>
      <c r="P40" s="851"/>
      <c r="Q40" s="851"/>
      <c r="R40" s="962"/>
      <c r="S40" s="851"/>
      <c r="T40" s="851"/>
      <c r="U40" s="851"/>
    </row>
    <row r="41" spans="1:31" ht="12" customHeight="1" thickBot="1">
      <c r="A41" s="139"/>
      <c r="B41" s="4405"/>
      <c r="C41" s="2555" t="str">
        <f>IF(OR(NOT(O5),C31&lt;&gt;""),"",IF(L39,"","X"))</f>
        <v/>
      </c>
      <c r="D41" s="2473" t="s">
        <v>942</v>
      </c>
      <c r="E41" s="4420" t="s">
        <v>943</v>
      </c>
      <c r="F41" s="2473"/>
      <c r="G41" s="4412" t="s">
        <v>944</v>
      </c>
      <c r="H41" s="2393"/>
      <c r="I41" s="2414"/>
      <c r="J41" s="2393"/>
      <c r="K41" s="2414"/>
      <c r="L41" s="2393"/>
      <c r="M41" s="2418"/>
      <c r="N41" s="139"/>
      <c r="O41" s="253"/>
      <c r="P41" s="7824"/>
      <c r="Q41" s="7601"/>
      <c r="R41" s="962"/>
      <c r="S41" s="1217"/>
      <c r="T41" s="253"/>
      <c r="U41" s="253"/>
    </row>
    <row r="42" spans="1:31" ht="12" customHeight="1" thickBot="1">
      <c r="A42" s="139"/>
      <c r="B42" s="4405"/>
      <c r="C42" s="2393"/>
      <c r="D42" s="2393"/>
      <c r="E42" s="2460"/>
      <c r="F42" s="2473"/>
      <c r="G42" s="2473"/>
      <c r="H42" s="2393"/>
      <c r="I42" s="2414"/>
      <c r="J42" s="2393"/>
      <c r="K42" s="2414"/>
      <c r="L42" s="2393"/>
      <c r="M42" s="2418"/>
      <c r="N42" s="139"/>
      <c r="O42" s="253"/>
      <c r="P42" s="253"/>
      <c r="Q42" s="253"/>
      <c r="R42" s="962"/>
      <c r="S42" s="253"/>
      <c r="T42" s="253"/>
      <c r="U42" s="253"/>
    </row>
    <row r="43" spans="1:31" ht="12" customHeight="1" thickBot="1">
      <c r="A43" s="139"/>
      <c r="B43" s="4405"/>
      <c r="C43" s="2555" t="str">
        <f>IF(OR(NOT(O5),C31&lt;&gt;""),"",IF(L39,"X",""))</f>
        <v/>
      </c>
      <c r="D43" s="2473" t="s">
        <v>945</v>
      </c>
      <c r="E43" s="4412" t="s">
        <v>946</v>
      </c>
      <c r="F43" s="2473"/>
      <c r="G43" s="2473"/>
      <c r="H43" s="2393"/>
      <c r="I43" s="4421" t="s">
        <v>167</v>
      </c>
      <c r="J43" s="2552" t="str">
        <f>IF(R43&lt;&gt;"",ROUND(R43,0),IF(OR(NOT(O5),T18),"",IF(C31="X",L26,IF(C43="X",SUM(L26,-J38),0))))</f>
        <v/>
      </c>
      <c r="K43" s="2414"/>
      <c r="L43" s="2393"/>
      <c r="M43" s="2418"/>
      <c r="N43" s="139"/>
      <c r="O43" s="253"/>
      <c r="P43" s="7824">
        <v>3</v>
      </c>
      <c r="Q43" s="7602"/>
      <c r="R43" s="1046"/>
      <c r="S43" s="1217"/>
      <c r="T43" s="253"/>
      <c r="U43" s="253"/>
    </row>
    <row r="44" spans="1:31" ht="12.75" customHeight="1">
      <c r="A44" s="139"/>
      <c r="B44" s="4405"/>
      <c r="C44" s="226"/>
      <c r="D44" s="2393"/>
      <c r="E44" s="2393"/>
      <c r="F44" s="2393"/>
      <c r="G44" s="2393"/>
      <c r="H44" s="2393"/>
      <c r="I44" s="2414"/>
      <c r="J44" s="2393"/>
      <c r="K44" s="2414"/>
      <c r="L44" s="2393"/>
      <c r="M44" s="4406"/>
      <c r="N44" s="139"/>
      <c r="O44" s="253"/>
      <c r="P44" s="253"/>
      <c r="Q44" s="253"/>
      <c r="R44" s="962"/>
      <c r="S44" s="253"/>
      <c r="T44" s="253"/>
      <c r="U44" s="253"/>
    </row>
    <row r="45" spans="1:31" ht="15.75" customHeight="1">
      <c r="A45" s="139"/>
      <c r="B45" s="4422" t="s">
        <v>171</v>
      </c>
      <c r="C45" s="88" t="str">
        <f>"Enter your total itemized deductions from your "&amp;TaxYear-1&amp;" Schedule A, line 17."</f>
        <v>Enter your total itemized deductions from your 2024 Schedule A, line 17.</v>
      </c>
      <c r="D45" s="2393"/>
      <c r="E45" s="2393"/>
      <c r="F45" s="2393"/>
      <c r="G45" s="2393"/>
      <c r="H45" s="2451"/>
      <c r="I45" s="4421" t="s">
        <v>171</v>
      </c>
      <c r="J45" s="442"/>
      <c r="K45" s="2414"/>
      <c r="L45" s="4409"/>
      <c r="M45" s="4406"/>
      <c r="N45" s="139"/>
      <c r="O45" s="88"/>
      <c r="P45" s="88"/>
      <c r="Q45" s="88"/>
      <c r="R45" s="962"/>
      <c r="S45" s="88"/>
      <c r="T45" s="88"/>
      <c r="U45" s="253"/>
    </row>
    <row r="46" spans="1:31" ht="9" customHeight="1">
      <c r="A46" s="139"/>
      <c r="B46" s="4405"/>
      <c r="C46" s="88"/>
      <c r="D46" s="2393"/>
      <c r="E46" s="2393"/>
      <c r="F46" s="2393"/>
      <c r="G46" s="2393"/>
      <c r="H46" s="2393"/>
      <c r="I46" s="2414"/>
      <c r="J46" s="4408"/>
      <c r="K46" s="2414"/>
      <c r="L46" s="4423"/>
      <c r="M46" s="4406"/>
      <c r="N46" s="139"/>
      <c r="O46" s="88"/>
      <c r="P46" s="88"/>
      <c r="Q46" s="88"/>
      <c r="R46" s="962"/>
      <c r="S46" s="88"/>
      <c r="T46" s="88"/>
      <c r="U46" s="253"/>
    </row>
    <row r="47" spans="1:31" ht="16.5" customHeight="1">
      <c r="A47" s="139"/>
      <c r="B47" s="4405"/>
      <c r="C47" s="1894" t="s">
        <v>947</v>
      </c>
      <c r="D47" s="1894"/>
      <c r="E47" s="4424" t="str">
        <f>"If the filing status on your "&amp;TaxYear-1&amp;" Form 1040 return was married filing separately and"</f>
        <v>If the filing status on your 2024 Form 1040 return was married filing separately and</v>
      </c>
      <c r="F47" s="4424"/>
      <c r="G47" s="4424"/>
      <c r="H47" s="4424"/>
      <c r="I47" s="2414"/>
      <c r="J47" s="2393"/>
      <c r="K47" s="2414"/>
      <c r="L47" s="3432"/>
      <c r="M47" s="2418"/>
      <c r="N47" s="139"/>
      <c r="O47" s="88"/>
      <c r="P47" s="88"/>
      <c r="Q47" s="88"/>
      <c r="R47" s="962"/>
      <c r="S47" s="88"/>
      <c r="T47" s="88"/>
      <c r="U47" s="253"/>
    </row>
    <row r="48" spans="1:31">
      <c r="A48" s="139"/>
      <c r="B48" s="4405"/>
      <c r="C48" s="1560" t="str">
        <f>"your spouse itemized deductions in "&amp;TaxYear-1&amp;", skip lines 5 through 7, enter the amount from"</f>
        <v>your spouse itemized deductions in 2024, skip lines 5 through 7, enter the amount from</v>
      </c>
      <c r="D48" s="2393"/>
      <c r="E48" s="2393"/>
      <c r="F48" s="2393"/>
      <c r="G48" s="2393"/>
      <c r="H48" s="2393"/>
      <c r="I48" s="2414"/>
      <c r="J48" s="3432"/>
      <c r="K48" s="2414"/>
      <c r="L48" s="3432"/>
      <c r="M48" s="2418"/>
      <c r="N48" s="139"/>
      <c r="O48" s="88"/>
      <c r="P48" s="88"/>
      <c r="Q48" s="88"/>
      <c r="R48" s="962"/>
      <c r="S48" s="88"/>
      <c r="T48" s="88"/>
      <c r="U48" s="253"/>
    </row>
    <row r="49" spans="1:21" ht="15" customHeight="1">
      <c r="A49" s="139"/>
      <c r="B49" s="4405"/>
      <c r="C49" s="2449" t="s">
        <v>948</v>
      </c>
      <c r="D49" s="4425"/>
      <c r="E49" s="4425"/>
      <c r="F49" s="4425"/>
      <c r="G49" s="4425"/>
      <c r="H49" s="2454"/>
      <c r="I49" s="3432"/>
      <c r="J49" s="3432"/>
      <c r="K49" s="2414"/>
      <c r="L49" s="2424"/>
      <c r="M49" s="4426"/>
      <c r="N49" s="139"/>
      <c r="O49" s="88"/>
      <c r="P49" s="88"/>
      <c r="Q49" s="88"/>
      <c r="R49" s="962"/>
      <c r="S49" s="88"/>
      <c r="T49" s="88"/>
      <c r="U49" s="253"/>
    </row>
    <row r="50" spans="1:21" ht="24.75" customHeight="1">
      <c r="A50" s="139"/>
      <c r="B50" s="4404">
        <v>5</v>
      </c>
      <c r="C50" s="1843" t="s">
        <v>949</v>
      </c>
      <c r="D50" s="4424"/>
      <c r="E50" s="4424"/>
      <c r="F50" s="4424"/>
      <c r="G50" s="4424"/>
      <c r="H50" s="4427"/>
      <c r="I50" s="2414"/>
      <c r="J50" s="2393"/>
      <c r="K50" s="2414"/>
      <c r="L50" s="2424"/>
      <c r="M50" s="2418"/>
      <c r="N50" s="139"/>
      <c r="O50" s="88"/>
      <c r="P50" s="88"/>
      <c r="Q50" s="88"/>
      <c r="R50" s="962"/>
      <c r="S50" s="88"/>
      <c r="T50" s="88"/>
      <c r="U50" s="253"/>
    </row>
    <row r="51" spans="1:21">
      <c r="A51" s="139"/>
      <c r="B51" s="4405"/>
      <c r="C51" s="88" t="str">
        <f>TaxYear-1&amp;" Form 1040."</f>
        <v>2024 Form 1040.</v>
      </c>
      <c r="D51" s="2393"/>
      <c r="E51" s="2393"/>
      <c r="F51" s="2393"/>
      <c r="G51" s="2393"/>
      <c r="H51" s="3483"/>
      <c r="I51" s="2414"/>
      <c r="J51" s="2393"/>
      <c r="K51" s="2414"/>
      <c r="L51" s="4428">
        <v>14600</v>
      </c>
      <c r="M51" s="2418"/>
      <c r="N51" s="139"/>
      <c r="O51" s="88"/>
      <c r="P51" s="88"/>
      <c r="Q51" s="88"/>
      <c r="R51" s="962"/>
      <c r="S51" s="88"/>
      <c r="T51" s="88"/>
      <c r="U51" s="253"/>
    </row>
    <row r="52" spans="1:21" ht="15.75">
      <c r="A52" s="139"/>
      <c r="B52" s="4405"/>
      <c r="C52" s="4429" t="s">
        <v>830</v>
      </c>
      <c r="D52" s="88" t="str">
        <f>"Single or married filing separately–- "&amp;TEXT(L51,"$0,000")</f>
        <v>Single or married filing separately–- $14,600</v>
      </c>
      <c r="E52" s="2393"/>
      <c r="F52" s="2393"/>
      <c r="G52" s="2393"/>
      <c r="H52" s="3483"/>
      <c r="I52" s="2414"/>
      <c r="J52" s="2393"/>
      <c r="K52" s="2414"/>
      <c r="L52" s="4428">
        <v>29200</v>
      </c>
      <c r="M52" s="4426"/>
      <c r="N52" s="139"/>
      <c r="O52" s="88"/>
      <c r="P52" s="88"/>
      <c r="Q52" s="88"/>
      <c r="R52" s="962"/>
      <c r="S52" s="88"/>
      <c r="T52" s="88"/>
      <c r="U52" s="416"/>
    </row>
    <row r="53" spans="1:21" ht="15" customHeight="1">
      <c r="A53" s="139"/>
      <c r="B53" s="4405"/>
      <c r="C53" s="4429" t="s">
        <v>830</v>
      </c>
      <c r="D53" s="88" t="str">
        <f>"Married filing jointly or qualifying widow(er)–-"&amp;TEXT(L52,"$0,000")</f>
        <v>Married filing jointly or qualifying widow(er)–-$29,200</v>
      </c>
      <c r="E53" s="2393"/>
      <c r="F53" s="2393"/>
      <c r="G53" s="2393"/>
      <c r="H53" s="2451"/>
      <c r="I53" s="2414">
        <v>5</v>
      </c>
      <c r="J53" s="4430" t="str">
        <f>IF(OR(T18,T21,O15&gt;1),"",IF(OR(P6&lt;&gt;"",P10&lt;&gt;""),L51,IF(OR(P8&lt;&gt;"",P14&lt;&gt;""),L52,IF(P12&lt;&gt;"",L53,""))))</f>
        <v/>
      </c>
      <c r="K53" s="2414"/>
      <c r="L53" s="4428">
        <v>21900</v>
      </c>
      <c r="M53" s="2418"/>
      <c r="N53" s="139"/>
      <c r="O53" s="88"/>
      <c r="P53" s="88"/>
      <c r="Q53" s="88"/>
      <c r="R53" s="962"/>
      <c r="S53" s="88"/>
      <c r="T53" s="88"/>
      <c r="U53" s="253"/>
    </row>
    <row r="54" spans="1:21">
      <c r="A54" s="139"/>
      <c r="B54" s="4405"/>
      <c r="C54" s="4429" t="s">
        <v>830</v>
      </c>
      <c r="D54" s="88" t="str">
        <f>"Head of household–-"&amp;TEXT(L53,"$0,000")</f>
        <v>Head of household–-$21,900</v>
      </c>
      <c r="E54" s="2393"/>
      <c r="F54" s="2393"/>
      <c r="G54" s="2393"/>
      <c r="H54" s="2473"/>
      <c r="I54" s="2414"/>
      <c r="J54" s="4408"/>
      <c r="K54" s="2414"/>
      <c r="L54" s="3426"/>
      <c r="M54" s="2418"/>
      <c r="N54" s="139"/>
      <c r="O54" s="88"/>
      <c r="P54" s="88"/>
      <c r="Q54" s="88"/>
      <c r="R54" s="962"/>
      <c r="S54" s="88"/>
      <c r="T54" s="88"/>
      <c r="U54" s="253"/>
    </row>
    <row r="55" spans="1:21" ht="11.25" customHeight="1">
      <c r="A55" s="139"/>
      <c r="B55" s="4405"/>
      <c r="C55" s="4431"/>
      <c r="D55" s="88"/>
      <c r="E55" s="2393"/>
      <c r="F55" s="2393"/>
      <c r="G55" s="2393"/>
      <c r="H55" s="2393"/>
      <c r="I55" s="2414"/>
      <c r="J55" s="2393"/>
      <c r="K55" s="2414"/>
      <c r="L55" s="4432"/>
      <c r="M55" s="4426"/>
      <c r="N55" s="139"/>
      <c r="O55" s="88"/>
      <c r="P55" s="88"/>
      <c r="Q55" s="88"/>
      <c r="R55" s="962"/>
      <c r="S55" s="88"/>
      <c r="T55" s="88"/>
      <c r="U55" s="253"/>
    </row>
    <row r="56" spans="1:21">
      <c r="A56" s="139"/>
      <c r="B56" s="4404">
        <v>6</v>
      </c>
      <c r="C56" s="1560" t="s">
        <v>950</v>
      </c>
      <c r="D56" s="2393"/>
      <c r="E56" s="2393"/>
      <c r="F56" s="2393"/>
      <c r="G56" s="2393"/>
      <c r="H56" s="2393"/>
      <c r="I56" s="2414"/>
      <c r="J56" s="2480"/>
      <c r="K56" s="2414"/>
      <c r="L56" s="4432"/>
      <c r="M56" s="2418"/>
      <c r="N56" s="139"/>
      <c r="O56" s="88"/>
      <c r="P56" s="88"/>
      <c r="Q56" s="88"/>
      <c r="R56" s="962"/>
      <c r="S56" s="88"/>
      <c r="T56" s="88"/>
      <c r="U56" s="253"/>
    </row>
    <row r="57" spans="1:21" ht="9.75" customHeight="1" thickBot="1">
      <c r="A57" s="139"/>
      <c r="B57" s="4404"/>
      <c r="C57" s="1560"/>
      <c r="D57" s="2393"/>
      <c r="E57" s="2393"/>
      <c r="F57" s="2393"/>
      <c r="G57" s="2393"/>
      <c r="H57" s="2393"/>
      <c r="I57" s="2414"/>
      <c r="J57" s="2480"/>
      <c r="K57" s="2414"/>
      <c r="L57" s="4433"/>
      <c r="M57" s="2418"/>
      <c r="N57" s="139"/>
      <c r="O57" s="88"/>
      <c r="P57" s="88"/>
      <c r="Q57" s="88"/>
      <c r="R57" s="962"/>
      <c r="S57" s="88"/>
      <c r="T57" s="88"/>
      <c r="U57" s="253"/>
    </row>
    <row r="58" spans="1:21" ht="12.75" customHeight="1" thickBot="1">
      <c r="A58" s="139"/>
      <c r="B58" s="4434">
        <f>IF(C58&lt;&gt;"",1,0)</f>
        <v>0</v>
      </c>
      <c r="C58" s="280" t="str">
        <f>IF(OR(NOT(O5),T18,T21),"",IF(You65onJan2,"X",""))</f>
        <v/>
      </c>
      <c r="D58" s="4435" t="str">
        <f>"You were born before January 2, "&amp;TaxYear-65&amp;"."</f>
        <v>You were born before January 2, 1960.</v>
      </c>
      <c r="E58" s="2393"/>
      <c r="F58" s="2393"/>
      <c r="G58" s="2393"/>
      <c r="H58" s="4436">
        <f>IF(I58&lt;&gt;"",1,0)</f>
        <v>0</v>
      </c>
      <c r="I58" s="280" t="str">
        <f>IF(T21,"",IF(you_blind&lt;&gt;"","X",""))</f>
        <v/>
      </c>
      <c r="J58" s="2417" t="s">
        <v>951</v>
      </c>
      <c r="K58" s="2414"/>
      <c r="L58" s="4428">
        <v>1550</v>
      </c>
      <c r="M58" s="2418"/>
      <c r="N58" s="139"/>
      <c r="O58" s="88"/>
      <c r="P58" s="88"/>
      <c r="Q58" s="88"/>
      <c r="R58" s="962"/>
      <c r="S58" s="88"/>
      <c r="T58" s="88"/>
      <c r="U58" s="253"/>
    </row>
    <row r="59" spans="1:21" ht="8.25" customHeight="1" thickBot="1">
      <c r="A59" s="139"/>
      <c r="B59" s="4437"/>
      <c r="C59" s="2715"/>
      <c r="D59" s="4438"/>
      <c r="E59" s="2451"/>
      <c r="F59" s="2451"/>
      <c r="G59" s="2451"/>
      <c r="H59" s="4433"/>
      <c r="I59" s="2393"/>
      <c r="J59" s="2480"/>
      <c r="K59" s="2414"/>
      <c r="L59" s="4433"/>
      <c r="M59" s="2418"/>
      <c r="N59" s="139"/>
      <c r="O59" s="88"/>
      <c r="P59" s="88"/>
      <c r="Q59" s="88"/>
      <c r="R59" s="962"/>
      <c r="S59" s="88"/>
      <c r="T59" s="88"/>
      <c r="U59" s="253"/>
    </row>
    <row r="60" spans="1:21" ht="12.75" customHeight="1" thickBot="1">
      <c r="A60" s="139"/>
      <c r="B60" s="4434">
        <f>IF(C60&lt;&gt;"",1,0)</f>
        <v>0</v>
      </c>
      <c r="C60" s="280" t="str">
        <f>IF(OR(NOT(O5),T18,T21,P6&lt;&gt;"",P12&lt;&gt;""),"",IF(Spouse65onJan2,"X",""))</f>
        <v/>
      </c>
      <c r="D60" s="4435" t="str">
        <f>"Spouse was born before January 2, "&amp;TaxYear-65&amp;"."</f>
        <v>Spouse was born before January 2, 1960.</v>
      </c>
      <c r="E60" s="2393"/>
      <c r="F60" s="2393"/>
      <c r="G60" s="2393"/>
      <c r="H60" s="4436">
        <f>IF(I60&lt;&gt;"",1,0)</f>
        <v>0</v>
      </c>
      <c r="I60" s="280" t="str">
        <f>IF(OR(T21,P6&lt;&gt;"",P12&lt;&gt;""),"",IF(sp_blind&lt;&gt;"","X",""))</f>
        <v/>
      </c>
      <c r="J60" s="2417" t="s">
        <v>952</v>
      </c>
      <c r="K60" s="2414"/>
      <c r="L60" s="4428">
        <v>1950</v>
      </c>
      <c r="M60" s="2418"/>
      <c r="N60" s="139"/>
      <c r="O60" s="88"/>
      <c r="P60" s="88"/>
      <c r="Q60" s="88"/>
      <c r="R60" s="962"/>
      <c r="S60" s="88"/>
      <c r="T60" s="88"/>
      <c r="U60" s="253"/>
    </row>
    <row r="61" spans="1:21" ht="7.5" customHeight="1">
      <c r="A61" s="139"/>
      <c r="B61" s="4437"/>
      <c r="C61" s="1560"/>
      <c r="D61" s="4435"/>
      <c r="E61" s="2393"/>
      <c r="F61" s="2393"/>
      <c r="G61" s="2393"/>
      <c r="H61" s="3433"/>
      <c r="I61" s="2393"/>
      <c r="J61" s="2480"/>
      <c r="K61" s="2414"/>
      <c r="L61" s="4439"/>
      <c r="M61" s="2418"/>
      <c r="N61" s="139"/>
      <c r="O61" s="88"/>
      <c r="P61" s="88"/>
      <c r="Q61" s="88"/>
      <c r="R61" s="962"/>
      <c r="S61" s="88"/>
      <c r="T61" s="88"/>
      <c r="U61" s="253"/>
    </row>
    <row r="62" spans="1:21" ht="12" customHeight="1">
      <c r="A62" s="139"/>
      <c r="B62" s="4434">
        <f>SUM(B58,B60,H58,H60)</f>
        <v>0</v>
      </c>
      <c r="C62" s="1560"/>
      <c r="D62" s="2393"/>
      <c r="E62" s="1560" t="s">
        <v>953</v>
      </c>
      <c r="F62" s="1560"/>
      <c r="G62" s="1560"/>
      <c r="H62" s="226"/>
      <c r="I62" s="2450"/>
      <c r="J62" s="2393"/>
      <c r="K62" s="2414"/>
      <c r="L62" s="2393"/>
      <c r="M62" s="2418"/>
      <c r="N62" s="139"/>
      <c r="O62" s="88"/>
      <c r="P62" s="88"/>
      <c r="Q62" s="88"/>
      <c r="R62" s="962"/>
      <c r="S62" s="88"/>
      <c r="T62" s="88"/>
      <c r="U62" s="253"/>
    </row>
    <row r="63" spans="1:21" ht="8.25" customHeight="1">
      <c r="A63" s="139"/>
      <c r="B63" s="4405"/>
      <c r="C63" s="1560"/>
      <c r="D63" s="2393"/>
      <c r="E63" s="2460"/>
      <c r="F63" s="2393"/>
      <c r="G63" s="2393"/>
      <c r="H63" s="2393"/>
      <c r="I63" s="4440"/>
      <c r="J63" s="2393"/>
      <c r="K63" s="2414"/>
      <c r="L63" s="2393"/>
      <c r="M63" s="2418"/>
      <c r="N63" s="139"/>
      <c r="O63" s="253"/>
      <c r="P63" s="253"/>
      <c r="Q63" s="253"/>
      <c r="R63" s="962"/>
      <c r="S63" s="253"/>
      <c r="T63" s="253"/>
      <c r="U63" s="253"/>
    </row>
    <row r="64" spans="1:21" ht="13.5" customHeight="1">
      <c r="A64" s="139"/>
      <c r="B64" s="4405"/>
      <c r="C64" s="1560"/>
      <c r="D64" s="2393"/>
      <c r="E64" s="2460" t="str">
        <f>"Multiply the number of boxes checked by "&amp;TEXT(L58,"$0,000")&amp;" ("&amp;TEXT(L60,"$0,000")</f>
        <v>Multiply the number of boxes checked by $1,550 ($1,950</v>
      </c>
      <c r="F64" s="2393"/>
      <c r="G64" s="2393"/>
      <c r="H64" s="2393"/>
      <c r="I64" s="4440"/>
      <c r="J64" s="2393"/>
      <c r="K64" s="2414"/>
      <c r="L64" s="2424"/>
      <c r="M64" s="4426"/>
      <c r="N64" s="139"/>
      <c r="O64" s="253"/>
      <c r="P64" s="253"/>
      <c r="Q64" s="253"/>
      <c r="R64" s="962"/>
      <c r="S64" s="253"/>
      <c r="T64" s="253"/>
      <c r="U64" s="253"/>
    </row>
    <row r="65" spans="1:21" ht="13.5" customHeight="1">
      <c r="A65" s="139"/>
      <c r="B65" s="4405"/>
      <c r="C65" s="1560"/>
      <c r="D65" s="2393"/>
      <c r="E65" s="2393" t="str">
        <f>"if your "&amp;TaxYear-1&amp;" filing status was single or head of household)."</f>
        <v>if your 2024 filing status was single or head of household).</v>
      </c>
      <c r="F65" s="2393"/>
      <c r="G65" s="2393"/>
      <c r="H65" s="2393"/>
      <c r="I65" s="2414">
        <v>6</v>
      </c>
      <c r="J65" s="4430" t="str">
        <f>IF(OR(T18,T21,O15=0,O15&gt;1),"",IF(B62=0,0,L65))</f>
        <v/>
      </c>
      <c r="K65" s="2414"/>
      <c r="L65" s="4441">
        <f>IF(OR(P6&lt;&gt;"",P12&lt;&gt;""),B62*L60,B62*L58)</f>
        <v>0</v>
      </c>
      <c r="M65" s="4426"/>
      <c r="N65" s="139"/>
      <c r="O65" s="253"/>
      <c r="P65" s="253"/>
      <c r="Q65" s="253"/>
      <c r="R65" s="962"/>
      <c r="S65" s="253"/>
      <c r="T65" s="253"/>
      <c r="U65" s="253"/>
    </row>
    <row r="66" spans="1:21" ht="12" customHeight="1">
      <c r="A66" s="139"/>
      <c r="B66" s="4405"/>
      <c r="C66" s="1560"/>
      <c r="D66" s="2393"/>
      <c r="E66" s="2393"/>
      <c r="F66" s="2393"/>
      <c r="G66" s="2393"/>
      <c r="H66" s="2393"/>
      <c r="I66" s="4440"/>
      <c r="J66" s="2393"/>
      <c r="K66" s="2414"/>
      <c r="L66" s="2424"/>
      <c r="M66" s="4426"/>
      <c r="N66" s="139"/>
      <c r="O66" s="253"/>
      <c r="P66" s="253"/>
      <c r="Q66" s="253"/>
      <c r="R66" s="962"/>
      <c r="S66" s="253"/>
      <c r="T66" s="253"/>
      <c r="U66" s="253"/>
    </row>
    <row r="67" spans="1:21" ht="12" customHeight="1">
      <c r="A67" s="139"/>
      <c r="B67" s="4405"/>
      <c r="C67" s="1560" t="s">
        <v>954</v>
      </c>
      <c r="D67" s="2393"/>
      <c r="E67" s="2393"/>
      <c r="F67" s="2393"/>
      <c r="G67" s="2393"/>
      <c r="H67" s="2393"/>
      <c r="I67" s="4440"/>
      <c r="J67" s="2393"/>
      <c r="K67" s="2414"/>
      <c r="L67" s="2424"/>
      <c r="M67" s="4426"/>
      <c r="N67" s="139"/>
      <c r="O67" s="253"/>
      <c r="P67" s="253"/>
      <c r="Q67" s="253"/>
      <c r="R67" s="962"/>
      <c r="S67" s="253"/>
      <c r="T67" s="253"/>
      <c r="U67" s="253"/>
    </row>
    <row r="68" spans="1:21" ht="11.25" customHeight="1">
      <c r="A68" s="139"/>
      <c r="B68" s="4405"/>
      <c r="C68" s="2617" t="s">
        <v>955</v>
      </c>
      <c r="D68" s="2393"/>
      <c r="E68" s="2393"/>
      <c r="F68" s="2393"/>
      <c r="G68" s="2393"/>
      <c r="H68" s="2393"/>
      <c r="I68" s="4440"/>
      <c r="J68" s="2393"/>
      <c r="K68" s="2414"/>
      <c r="L68" s="2424"/>
      <c r="M68" s="4426"/>
      <c r="N68" s="139"/>
      <c r="O68" s="253"/>
      <c r="P68" s="253"/>
      <c r="Q68" s="253"/>
      <c r="R68" s="962"/>
      <c r="S68" s="253"/>
      <c r="T68" s="253"/>
      <c r="U68" s="253"/>
    </row>
    <row r="69" spans="1:21" ht="15.75">
      <c r="A69" s="139"/>
      <c r="B69" s="4405"/>
      <c r="C69" s="2449" t="s">
        <v>956</v>
      </c>
      <c r="D69" s="2393"/>
      <c r="E69" s="2393"/>
      <c r="F69" s="2393"/>
      <c r="G69" s="2393"/>
      <c r="H69" s="2393"/>
      <c r="I69" s="4440"/>
      <c r="J69" s="2393"/>
      <c r="K69" s="2414"/>
      <c r="L69" s="2424"/>
      <c r="M69" s="4426"/>
      <c r="N69" s="139"/>
      <c r="O69" s="253"/>
      <c r="P69" s="253"/>
      <c r="Q69" s="253"/>
      <c r="R69" s="962"/>
      <c r="S69" s="253"/>
      <c r="T69" s="253"/>
      <c r="U69" s="253"/>
    </row>
    <row r="70" spans="1:21" ht="11.25" customHeight="1">
      <c r="A70" s="139"/>
      <c r="B70" s="4405"/>
      <c r="C70" s="1560"/>
      <c r="D70" s="2393"/>
      <c r="E70" s="2393"/>
      <c r="F70" s="2393"/>
      <c r="G70" s="2393"/>
      <c r="H70" s="2393"/>
      <c r="I70" s="4440"/>
      <c r="J70" s="2393"/>
      <c r="K70" s="2414"/>
      <c r="L70" s="2424"/>
      <c r="M70" s="4426"/>
      <c r="N70" s="139"/>
      <c r="O70" s="253"/>
      <c r="P70" s="253"/>
      <c r="Q70" s="253"/>
      <c r="R70" s="962"/>
      <c r="S70" s="253"/>
      <c r="T70" s="253"/>
      <c r="U70" s="253"/>
    </row>
    <row r="71" spans="1:21">
      <c r="A71" s="139"/>
      <c r="B71" s="4405">
        <v>7</v>
      </c>
      <c r="C71" s="1560" t="s">
        <v>957</v>
      </c>
      <c r="D71" s="2393"/>
      <c r="E71" s="2393"/>
      <c r="F71" s="2393"/>
      <c r="G71" s="2393"/>
      <c r="H71" s="2715" t="s">
        <v>958</v>
      </c>
      <c r="I71" s="2414">
        <v>7</v>
      </c>
      <c r="J71" s="4430" t="str">
        <f>IF(OR(T21,NOT(O5)),"",IF(OR(T18,AND(J53="",J65="")),"",ROUND(SUM(J53,J65),0)))</f>
        <v/>
      </c>
      <c r="K71" s="2414"/>
      <c r="L71" s="2393"/>
      <c r="M71" s="2418"/>
      <c r="N71" s="139"/>
      <c r="O71" s="253"/>
      <c r="P71" s="253"/>
      <c r="Q71" s="253"/>
      <c r="R71" s="962"/>
      <c r="S71" s="253"/>
      <c r="T71" s="253"/>
      <c r="U71" s="253"/>
    </row>
    <row r="72" spans="1:21" ht="10.5" customHeight="1">
      <c r="A72" s="139"/>
      <c r="B72" s="4405"/>
      <c r="C72" s="88"/>
      <c r="D72" s="2393"/>
      <c r="E72" s="2393"/>
      <c r="F72" s="2393"/>
      <c r="G72" s="2393"/>
      <c r="H72" s="2393"/>
      <c r="I72" s="2414"/>
      <c r="J72" s="2393"/>
      <c r="K72" s="2414"/>
      <c r="L72" s="2393"/>
      <c r="M72" s="2418"/>
      <c r="N72" s="139"/>
      <c r="O72" s="253"/>
      <c r="P72" s="253"/>
      <c r="Q72" s="253"/>
      <c r="R72" s="962"/>
      <c r="S72" s="253"/>
      <c r="T72" s="253"/>
      <c r="U72" s="253"/>
    </row>
    <row r="73" spans="1:21">
      <c r="A73" s="139"/>
      <c r="B73" s="4405">
        <v>8</v>
      </c>
      <c r="C73" s="1560" t="s">
        <v>959</v>
      </c>
      <c r="D73" s="2393"/>
      <c r="E73" s="2393"/>
      <c r="F73" s="2393"/>
      <c r="G73" s="2393"/>
      <c r="H73" s="2393"/>
      <c r="I73" s="2414"/>
      <c r="J73" s="2393"/>
      <c r="K73" s="2414"/>
      <c r="L73" s="4408"/>
      <c r="M73" s="4406"/>
      <c r="N73" s="139"/>
      <c r="O73" s="253"/>
      <c r="P73" s="253"/>
      <c r="Q73" s="253"/>
      <c r="R73" s="962"/>
      <c r="S73" s="253"/>
      <c r="T73" s="253"/>
      <c r="U73" s="253"/>
    </row>
    <row r="74" spans="1:21" ht="12" customHeight="1" thickBot="1">
      <c r="A74" s="139"/>
      <c r="B74" s="4405"/>
      <c r="C74" s="88"/>
      <c r="D74" s="2393"/>
      <c r="E74" s="2393"/>
      <c r="F74" s="2393"/>
      <c r="G74" s="2393"/>
      <c r="H74" s="2393"/>
      <c r="I74" s="2414"/>
      <c r="J74" s="2393"/>
      <c r="K74" s="2414"/>
      <c r="L74" s="4411" t="b">
        <f>AND(L26&gt;0,O15&lt;&gt;1)</f>
        <v>0</v>
      </c>
      <c r="M74" s="2418"/>
      <c r="N74" s="139"/>
      <c r="O74" s="253"/>
      <c r="P74" s="253"/>
      <c r="Q74" s="253"/>
      <c r="R74" s="962"/>
      <c r="S74" s="253"/>
      <c r="T74" s="253"/>
      <c r="U74" s="253"/>
    </row>
    <row r="75" spans="1:21" ht="13.5" thickBot="1">
      <c r="A75" s="139"/>
      <c r="B75" s="4405"/>
      <c r="C75" s="2555" t="str">
        <f>IF(OR(NOT(O5),J45="",L26="",T21,T18,J71&lt;J45),"","X")</f>
        <v/>
      </c>
      <c r="D75" s="2393" t="s">
        <v>936</v>
      </c>
      <c r="E75" s="2473" t="s">
        <v>960</v>
      </c>
      <c r="F75" s="2473"/>
      <c r="G75" s="2473"/>
      <c r="H75" s="2393"/>
      <c r="I75" s="2414"/>
      <c r="J75" s="2393"/>
      <c r="K75" s="2414"/>
      <c r="L75" s="2393"/>
      <c r="M75" s="2418"/>
      <c r="N75" s="139"/>
      <c r="O75" s="253"/>
      <c r="P75" s="253"/>
      <c r="Q75" s="253"/>
      <c r="R75" s="962"/>
      <c r="S75" s="253"/>
      <c r="T75" s="253"/>
      <c r="U75" s="253"/>
    </row>
    <row r="76" spans="1:21" ht="7.5" customHeight="1" thickBot="1">
      <c r="A76" s="139"/>
      <c r="B76" s="4405"/>
      <c r="C76" s="88"/>
      <c r="D76" s="2393"/>
      <c r="E76" s="2393"/>
      <c r="F76" s="2393"/>
      <c r="G76" s="2393"/>
      <c r="H76" s="2393"/>
      <c r="I76" s="2414"/>
      <c r="J76" s="2393"/>
      <c r="K76" s="2414"/>
      <c r="L76" s="2393"/>
      <c r="M76" s="2418"/>
      <c r="N76" s="139"/>
      <c r="O76" s="253"/>
      <c r="P76" s="253"/>
      <c r="Q76" s="253"/>
      <c r="R76" s="962"/>
      <c r="S76" s="253"/>
      <c r="T76" s="253"/>
      <c r="U76" s="253"/>
    </row>
    <row r="77" spans="1:21" ht="13.5" thickBot="1">
      <c r="A77" s="139"/>
      <c r="B77" s="4405"/>
      <c r="C77" s="2555" t="str">
        <f>IF(OR(NOT(O5),L26="",T18,T21,C75="X"),"","X")</f>
        <v/>
      </c>
      <c r="D77" s="2393" t="s">
        <v>938</v>
      </c>
      <c r="E77" s="2460" t="s">
        <v>961</v>
      </c>
      <c r="F77" s="2393"/>
      <c r="G77" s="2393"/>
      <c r="H77" s="2393"/>
      <c r="I77" s="2414"/>
      <c r="J77" s="2451" t="s">
        <v>962</v>
      </c>
      <c r="K77" s="2414">
        <v>8</v>
      </c>
      <c r="L77" s="4430" t="str">
        <f>IF(OR(T18,NOT(O5)),"",IF(T21,J45,IF(J71&lt;J45,ROUND(J45-J71,0),0)))</f>
        <v/>
      </c>
      <c r="M77" s="2418"/>
      <c r="N77" s="139"/>
      <c r="O77" s="253"/>
      <c r="P77" s="253"/>
      <c r="Q77" s="253"/>
      <c r="R77" s="226" t="s">
        <v>931</v>
      </c>
      <c r="S77" s="253"/>
      <c r="T77" s="253"/>
      <c r="U77" s="253"/>
    </row>
    <row r="78" spans="1:21">
      <c r="A78" s="139"/>
      <c r="B78" s="4405"/>
      <c r="C78" s="226"/>
      <c r="D78" s="2393"/>
      <c r="E78" s="2393"/>
      <c r="F78" s="2393"/>
      <c r="G78" s="2393"/>
      <c r="H78" s="2393"/>
      <c r="I78" s="2414"/>
      <c r="J78" s="2393"/>
      <c r="K78" s="2414"/>
      <c r="L78" s="2393"/>
      <c r="M78" s="4406"/>
      <c r="N78" s="139"/>
      <c r="O78" s="253"/>
      <c r="P78" s="253"/>
      <c r="Q78" s="253"/>
      <c r="R78" s="962"/>
      <c r="S78" s="253"/>
      <c r="T78" s="253"/>
      <c r="U78" s="253"/>
    </row>
    <row r="79" spans="1:21">
      <c r="A79" s="139"/>
      <c r="B79" s="4405">
        <v>9</v>
      </c>
      <c r="C79" s="226" t="s">
        <v>963</v>
      </c>
      <c r="D79" s="2393"/>
      <c r="E79" s="2393"/>
      <c r="F79" s="2393"/>
      <c r="G79" s="2393"/>
      <c r="H79" s="2393"/>
      <c r="I79" s="2414"/>
      <c r="J79" s="2451"/>
      <c r="K79" s="2414">
        <v>9</v>
      </c>
      <c r="L79" s="4430">
        <f>IF(R79&lt;&gt;"",ROUND(R79,0),IF(OR(T18,T21),"",IF(O5,MIN(J43,L77),0)))</f>
        <v>0</v>
      </c>
      <c r="M79" s="2418"/>
      <c r="N79" s="139"/>
      <c r="O79" s="253"/>
      <c r="P79" s="253"/>
      <c r="Q79" s="253"/>
      <c r="R79" s="1047"/>
      <c r="S79" s="253"/>
      <c r="T79" s="253"/>
      <c r="U79" s="253"/>
    </row>
    <row r="80" spans="1:21" ht="13.5" thickBot="1">
      <c r="A80" s="139"/>
      <c r="B80" s="2489"/>
      <c r="C80" s="91"/>
      <c r="D80" s="91"/>
      <c r="E80" s="91"/>
      <c r="F80" s="91"/>
      <c r="G80" s="91"/>
      <c r="H80" s="91"/>
      <c r="I80" s="91"/>
      <c r="J80" s="91"/>
      <c r="K80" s="91"/>
      <c r="L80" s="91"/>
      <c r="M80" s="2490"/>
      <c r="N80" s="139"/>
      <c r="O80" s="253"/>
      <c r="P80" s="253"/>
      <c r="Q80" s="253"/>
      <c r="R80" s="962"/>
      <c r="S80" s="253"/>
      <c r="T80" s="253"/>
      <c r="U80" s="253"/>
    </row>
    <row r="81" spans="1:21">
      <c r="A81" s="139"/>
      <c r="B81" s="139"/>
      <c r="C81" s="139"/>
      <c r="D81" s="139"/>
      <c r="E81" s="139"/>
      <c r="F81" s="139"/>
      <c r="G81" s="139"/>
      <c r="H81" s="139"/>
      <c r="I81" s="139"/>
      <c r="J81" s="139"/>
      <c r="K81" s="139"/>
      <c r="L81" s="139"/>
      <c r="M81" s="139"/>
      <c r="N81" s="139"/>
      <c r="O81" s="253"/>
      <c r="P81" s="253"/>
      <c r="Q81" s="253"/>
      <c r="R81" s="962"/>
      <c r="S81" s="253"/>
      <c r="T81" s="253"/>
      <c r="U81" s="253"/>
    </row>
    <row r="82" spans="1:21">
      <c r="A82" s="88"/>
      <c r="B82" s="88"/>
      <c r="C82" s="88"/>
      <c r="D82" s="88"/>
      <c r="E82" s="88"/>
      <c r="F82" s="88"/>
      <c r="G82" s="88"/>
      <c r="H82" s="88"/>
      <c r="I82" s="88"/>
      <c r="J82" s="88"/>
      <c r="K82" s="88"/>
      <c r="L82" s="88"/>
      <c r="M82" s="88"/>
      <c r="N82" s="88"/>
      <c r="O82" s="253"/>
      <c r="P82" s="253"/>
      <c r="Q82" s="253"/>
      <c r="R82" s="253"/>
      <c r="S82" s="253"/>
      <c r="T82" s="253"/>
      <c r="U82" s="253"/>
    </row>
    <row r="83" spans="1:21">
      <c r="A83" s="88"/>
      <c r="B83" s="88"/>
      <c r="C83" s="88"/>
      <c r="D83" s="88"/>
      <c r="E83" s="88"/>
      <c r="F83" s="88"/>
      <c r="G83" s="88"/>
      <c r="H83" s="88"/>
      <c r="I83" s="88"/>
      <c r="J83" s="88"/>
      <c r="K83" s="88"/>
      <c r="L83" s="88"/>
      <c r="M83" s="88"/>
      <c r="N83" s="88"/>
      <c r="O83" s="253"/>
      <c r="P83" s="253"/>
      <c r="Q83" s="253"/>
      <c r="R83" s="253"/>
      <c r="S83" s="253"/>
      <c r="T83" s="253"/>
      <c r="U83" s="253"/>
    </row>
  </sheetData>
  <sheetProtection algorithmName="SHA-512" hashValue="ITBQ33UbRoS4zMLzLJONV5QjhscvieuBqPDTkuUH5PjYeRu07iDU1pbX1ih4sz0P8zwdDmUsPVVgZHSqDCP4fQ==" saltValue="NvStP+IcssBTZo92/y2J7Q==" spinCount="100000" sheet="1" formatCells="0" formatColumns="0" formatRows="0"/>
  <mergeCells count="8">
    <mergeCell ref="R24:R25"/>
    <mergeCell ref="O5:P5"/>
    <mergeCell ref="P43:Q43"/>
    <mergeCell ref="P37:Q37"/>
    <mergeCell ref="B19:L19"/>
    <mergeCell ref="P26:Q26"/>
    <mergeCell ref="P32:Q32"/>
    <mergeCell ref="P41:Q41"/>
  </mergeCells>
  <phoneticPr fontId="13" type="noConversion"/>
  <conditionalFormatting sqref="B16">
    <cfRule type="expression" dxfId="3463" priority="2911">
      <formula>$T$18</formula>
    </cfRule>
  </conditionalFormatting>
  <conditionalFormatting sqref="B19">
    <cfRule type="expression" dxfId="3462" priority="4">
      <formula>$T$18</formula>
    </cfRule>
  </conditionalFormatting>
  <conditionalFormatting sqref="C26">
    <cfRule type="expression" dxfId="3461" priority="7">
      <formula>$L$25</formula>
    </cfRule>
  </conditionalFormatting>
  <conditionalFormatting sqref="C31">
    <cfRule type="expression" dxfId="3460" priority="41">
      <formula>NoColor</formula>
    </cfRule>
  </conditionalFormatting>
  <conditionalFormatting sqref="C33">
    <cfRule type="expression" dxfId="3459" priority="23">
      <formula>NoColor</formula>
    </cfRule>
  </conditionalFormatting>
  <conditionalFormatting sqref="C41">
    <cfRule type="expression" dxfId="3458" priority="34">
      <formula>NoColor</formula>
    </cfRule>
  </conditionalFormatting>
  <conditionalFormatting sqref="C43">
    <cfRule type="expression" dxfId="3457" priority="20">
      <formula>NoColor</formula>
    </cfRule>
  </conditionalFormatting>
  <conditionalFormatting sqref="C47:C49">
    <cfRule type="expression" dxfId="3456" priority="6">
      <formula>$T$21</formula>
    </cfRule>
  </conditionalFormatting>
  <conditionalFormatting sqref="C58">
    <cfRule type="expression" dxfId="3455" priority="52">
      <formula>NoColor</formula>
    </cfRule>
  </conditionalFormatting>
  <conditionalFormatting sqref="C60">
    <cfRule type="expression" dxfId="3454" priority="51">
      <formula>NoColor</formula>
    </cfRule>
  </conditionalFormatting>
  <conditionalFormatting sqref="C75">
    <cfRule type="expression" dxfId="3453" priority="50">
      <formula>NoColor</formula>
    </cfRule>
  </conditionalFormatting>
  <conditionalFormatting sqref="C77">
    <cfRule type="expression" dxfId="3452" priority="49">
      <formula>NoColor</formula>
    </cfRule>
  </conditionalFormatting>
  <conditionalFormatting sqref="E41:E42">
    <cfRule type="expression" dxfId="3451" priority="35" stopIfTrue="1">
      <formula>AND(O5,NOT($L$39),$C$31="")</formula>
    </cfRule>
  </conditionalFormatting>
  <conditionalFormatting sqref="E47">
    <cfRule type="expression" dxfId="3450" priority="5">
      <formula>$T$21</formula>
    </cfRule>
  </conditionalFormatting>
  <conditionalFormatting sqref="E75">
    <cfRule type="expression" dxfId="3449" priority="126" stopIfTrue="1">
      <formula>IF($C$75&lt;&gt;"",1,0)</formula>
    </cfRule>
  </conditionalFormatting>
  <conditionalFormatting sqref="F31:G33">
    <cfRule type="expression" dxfId="3448" priority="2904" stopIfTrue="1">
      <formula>IF(K25&gt;=K4,1,0)</formula>
    </cfRule>
  </conditionalFormatting>
  <conditionalFormatting sqref="F75:G75">
    <cfRule type="expression" dxfId="3447" priority="2902" stopIfTrue="1">
      <formula>IF(K71&gt;=K45,1,0)</formula>
    </cfRule>
  </conditionalFormatting>
  <conditionalFormatting sqref="G23:G24">
    <cfRule type="expression" dxfId="3446" priority="98" stopIfTrue="1">
      <formula>AND($O$5,$L$26="")</formula>
    </cfRule>
  </conditionalFormatting>
  <conditionalFormatting sqref="H25">
    <cfRule type="expression" dxfId="3445" priority="8">
      <formula>$L$25</formula>
    </cfRule>
  </conditionalFormatting>
  <conditionalFormatting sqref="I58">
    <cfRule type="expression" dxfId="3444" priority="30">
      <formula>NoColor</formula>
    </cfRule>
  </conditionalFormatting>
  <conditionalFormatting sqref="I60">
    <cfRule type="expression" dxfId="3443" priority="29">
      <formula>NoColor</formula>
    </cfRule>
  </conditionalFormatting>
  <conditionalFormatting sqref="J37">
    <cfRule type="expression" dxfId="3442" priority="25">
      <formula>IF(NoColor,1,0)</formula>
    </cfRule>
  </conditionalFormatting>
  <conditionalFormatting sqref="J43">
    <cfRule type="expression" dxfId="3441" priority="19">
      <formula>IF(NoColor,1,0)</formula>
    </cfRule>
  </conditionalFormatting>
  <conditionalFormatting sqref="J45">
    <cfRule type="expression" dxfId="3440" priority="77">
      <formula>IF(NoColor,1,0)</formula>
    </cfRule>
  </conditionalFormatting>
  <conditionalFormatting sqref="J53">
    <cfRule type="expression" dxfId="3439" priority="69">
      <formula>IF(NoColor,1,0)</formula>
    </cfRule>
  </conditionalFormatting>
  <conditionalFormatting sqref="J65">
    <cfRule type="expression" dxfId="3438" priority="68">
      <formula>IF(NoColor,1,0)</formula>
    </cfRule>
  </conditionalFormatting>
  <conditionalFormatting sqref="J71">
    <cfRule type="expression" dxfId="3437" priority="67">
      <formula>IF(NoColor,1,0)</formula>
    </cfRule>
  </conditionalFormatting>
  <conditionalFormatting sqref="L26">
    <cfRule type="expression" dxfId="3436" priority="78">
      <formula>IF(NoColor,1,0)</formula>
    </cfRule>
  </conditionalFormatting>
  <conditionalFormatting sqref="L47:L48 J48 I49:J49">
    <cfRule type="expression" dxfId="3435" priority="2906" stopIfTrue="1">
      <formula>IF(OR(NOT($O$5),$P$10=""),1,0)</formula>
    </cfRule>
  </conditionalFormatting>
  <conditionalFormatting sqref="L64:L70">
    <cfRule type="expression" dxfId="3434" priority="2912" stopIfTrue="1">
      <formula>IF($R$38&lt;&gt;"",1,0)</formula>
    </cfRule>
  </conditionalFormatting>
  <conditionalFormatting sqref="L77">
    <cfRule type="expression" dxfId="3433" priority="66">
      <formula>IF(NoColor,1,0)</formula>
    </cfRule>
  </conditionalFormatting>
  <conditionalFormatting sqref="L79">
    <cfRule type="expression" dxfId="3432" priority="65">
      <formula>IF(NoColor,1,0)</formula>
    </cfRule>
  </conditionalFormatting>
  <conditionalFormatting sqref="M49 L49:L50 M52 M55">
    <cfRule type="expression" dxfId="3431" priority="2905" stopIfTrue="1">
      <formula>IF($O$15&gt;0,1,0)</formula>
    </cfRule>
  </conditionalFormatting>
  <conditionalFormatting sqref="M64:M70">
    <cfRule type="expression" dxfId="3430" priority="80" stopIfTrue="1">
      <formula>IF(L64="",1,0)</formula>
    </cfRule>
  </conditionalFormatting>
  <conditionalFormatting sqref="M2:N2">
    <cfRule type="expression" dxfId="3429" priority="9" stopIfTrue="1">
      <formula>($O$15=0)</formula>
    </cfRule>
  </conditionalFormatting>
  <conditionalFormatting sqref="O15:T15">
    <cfRule type="expression" dxfId="3428" priority="96" stopIfTrue="1">
      <formula>IF(2&gt;1,1,0)</formula>
    </cfRule>
  </conditionalFormatting>
  <conditionalFormatting sqref="P3:P4">
    <cfRule type="expression" dxfId="3427" priority="63" stopIfTrue="1">
      <formula>IF(NOT($O$5),1,0)</formula>
    </cfRule>
  </conditionalFormatting>
  <conditionalFormatting sqref="P6">
    <cfRule type="expression" dxfId="3426" priority="76">
      <formula>IF(NoColor,1,0)</formula>
    </cfRule>
  </conditionalFormatting>
  <conditionalFormatting sqref="P8">
    <cfRule type="expression" dxfId="3425" priority="75">
      <formula>IF(NoColor,1,0)</formula>
    </cfRule>
  </conditionalFormatting>
  <conditionalFormatting sqref="P10">
    <cfRule type="expression" dxfId="3424" priority="74">
      <formula>IF(NoColor,1,0)</formula>
    </cfRule>
  </conditionalFormatting>
  <conditionalFormatting sqref="P12">
    <cfRule type="expression" dxfId="3423" priority="73">
      <formula>IF(NoColor,1,0)</formula>
    </cfRule>
  </conditionalFormatting>
  <conditionalFormatting sqref="P14">
    <cfRule type="expression" dxfId="3422" priority="72">
      <formula>IF(NoColor,1,0)</formula>
    </cfRule>
  </conditionalFormatting>
  <conditionalFormatting sqref="P17">
    <cfRule type="expression" dxfId="3421" priority="71">
      <formula>IF(NoColor,1,0)</formula>
    </cfRule>
  </conditionalFormatting>
  <conditionalFormatting sqref="P21">
    <cfRule type="expression" dxfId="3420" priority="58">
      <formula>IF(NoColor,1,0)</formula>
    </cfRule>
    <cfRule type="expression" dxfId="3419" priority="57">
      <formula>IF($P$10="",1,0)</formula>
    </cfRule>
  </conditionalFormatting>
  <conditionalFormatting sqref="R21:R22">
    <cfRule type="expression" dxfId="3418" priority="54">
      <formula>IF($P$10&lt;&gt;"",1,0)</formula>
    </cfRule>
  </conditionalFormatting>
  <conditionalFormatting sqref="R26">
    <cfRule type="expression" dxfId="3417" priority="28">
      <formula>NoColor</formula>
    </cfRule>
  </conditionalFormatting>
  <conditionalFormatting sqref="R28:R29">
    <cfRule type="expression" dxfId="3416" priority="10">
      <formula>NoColor</formula>
    </cfRule>
  </conditionalFormatting>
  <conditionalFormatting sqref="R37">
    <cfRule type="expression" dxfId="3415" priority="12">
      <formula>NoColor</formula>
    </cfRule>
  </conditionalFormatting>
  <conditionalFormatting sqref="R43">
    <cfRule type="expression" dxfId="3414" priority="11">
      <formula>NoColor</formula>
    </cfRule>
  </conditionalFormatting>
  <pageMargins left="0.75" right="0.25" top="0.36" bottom="0.28999999999999998" header="0.36" footer="0.21"/>
  <pageSetup scale="86" fitToHeight="0"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pageSetUpPr fitToPage="1"/>
  </sheetPr>
  <dimension ref="A1:AN104"/>
  <sheetViews>
    <sheetView zoomScaleNormal="100" zoomScaleSheetLayoutView="100" workbookViewId="0"/>
  </sheetViews>
  <sheetFormatPr defaultRowHeight="12.75"/>
  <cols>
    <col min="1" max="1" width="1.7109375" customWidth="1"/>
    <col min="2" max="2" width="4.5703125" customWidth="1"/>
    <col min="3" max="3" width="2.7109375" customWidth="1"/>
    <col min="4" max="4" width="5.28515625" customWidth="1"/>
    <col min="5" max="5" width="7.85546875" customWidth="1"/>
    <col min="6" max="6" width="6.28515625" customWidth="1"/>
    <col min="7" max="7" width="40.28515625" customWidth="1"/>
    <col min="8" max="8" width="9.5703125" customWidth="1"/>
    <col min="9" max="9" width="8.28515625" customWidth="1"/>
    <col min="10" max="10" width="9.28515625" customWidth="1"/>
    <col min="11" max="11" width="4" customWidth="1"/>
    <col min="12" max="12" width="8" customWidth="1"/>
    <col min="13" max="13" width="3.28515625" customWidth="1"/>
    <col min="14" max="14" width="4.5703125" customWidth="1"/>
    <col min="15" max="15" width="1.5703125" customWidth="1"/>
    <col min="16" max="16" width="3.28515625" customWidth="1"/>
    <col min="17" max="17" width="6.28515625" customWidth="1"/>
    <col min="18" max="18" width="3" customWidth="1"/>
    <col min="19" max="19" width="4.42578125" customWidth="1"/>
    <col min="20" max="20" width="2" customWidth="1"/>
    <col min="21" max="21" width="1.85546875" customWidth="1"/>
    <col min="22" max="22" width="1.42578125" customWidth="1"/>
    <col min="23" max="23" width="3.140625" customWidth="1"/>
    <col min="24" max="24" width="12.85546875" customWidth="1"/>
    <col min="25" max="25" width="3.85546875" customWidth="1"/>
    <col min="26" max="26" width="2.140625" customWidth="1"/>
    <col min="27" max="27" width="13.28515625" customWidth="1"/>
    <col min="28" max="28" width="4.28515625" customWidth="1"/>
    <col min="29" max="29" width="18.5703125" customWidth="1"/>
    <col min="30" max="40" width="9.140625" style="658"/>
  </cols>
  <sheetData>
    <row r="1" spans="1:40" ht="9.75" customHeight="1">
      <c r="A1" s="3378"/>
      <c r="B1" s="3378"/>
      <c r="C1" s="3378"/>
      <c r="D1" s="3378"/>
      <c r="E1" s="3379"/>
      <c r="F1" s="3379"/>
      <c r="G1" s="3379"/>
      <c r="H1" s="3378"/>
      <c r="I1" s="3380"/>
      <c r="J1" s="3380"/>
      <c r="K1" s="3378"/>
      <c r="L1" s="3381"/>
      <c r="M1" s="3381"/>
      <c r="N1" s="3381"/>
      <c r="O1" s="3381"/>
      <c r="P1" s="3381"/>
      <c r="Q1" s="3381"/>
      <c r="R1" s="3381"/>
      <c r="S1" s="3381"/>
      <c r="T1" s="3381"/>
      <c r="U1" s="3381"/>
      <c r="V1" s="20"/>
      <c r="W1" s="20"/>
      <c r="X1" s="204"/>
      <c r="Y1" s="88"/>
      <c r="Z1" s="88"/>
      <c r="AA1" s="88"/>
      <c r="AB1" s="88"/>
      <c r="AC1" s="88"/>
    </row>
    <row r="2" spans="1:40" ht="35.25" customHeight="1" thickBot="1">
      <c r="A2" s="139"/>
      <c r="B2" s="3382" t="s">
        <v>964</v>
      </c>
      <c r="C2" s="20"/>
      <c r="D2" s="20"/>
      <c r="E2" s="20"/>
      <c r="F2" s="20"/>
      <c r="G2" s="20"/>
      <c r="H2" s="20"/>
      <c r="I2" s="20"/>
      <c r="J2" s="3383"/>
      <c r="K2" s="3383"/>
      <c r="L2" s="3383"/>
      <c r="M2" s="3383"/>
      <c r="N2" s="3383"/>
      <c r="O2" s="3383"/>
      <c r="P2" s="3384"/>
      <c r="Q2" s="2398"/>
      <c r="R2" s="2398"/>
      <c r="S2" s="2398"/>
      <c r="T2" s="2398"/>
      <c r="U2" s="3385"/>
      <c r="V2" s="20"/>
      <c r="W2" s="20"/>
      <c r="X2" s="204"/>
      <c r="Y2" s="88"/>
      <c r="Z2" s="88"/>
      <c r="AA2" s="88"/>
      <c r="AB2" s="88"/>
      <c r="AC2" s="88"/>
      <c r="AD2" s="666" t="s">
        <v>223</v>
      </c>
    </row>
    <row r="3" spans="1:40" ht="15.75" customHeight="1">
      <c r="A3" s="139"/>
      <c r="B3" s="3386" t="s">
        <v>927</v>
      </c>
      <c r="C3" s="3387"/>
      <c r="D3" s="3387"/>
      <c r="E3" s="3387"/>
      <c r="F3" s="3388" t="s">
        <v>928</v>
      </c>
      <c r="G3" s="3389" t="s">
        <v>965</v>
      </c>
      <c r="H3" s="3387"/>
      <c r="I3" s="3387"/>
      <c r="J3" s="20"/>
      <c r="K3" s="20"/>
      <c r="L3" s="20"/>
      <c r="M3" s="20"/>
      <c r="N3" s="20"/>
      <c r="O3" s="20"/>
      <c r="P3" s="20"/>
      <c r="Q3" s="20"/>
      <c r="R3" s="20"/>
      <c r="S3" s="20"/>
      <c r="T3" s="3390"/>
      <c r="U3" s="3391"/>
      <c r="V3" s="20"/>
      <c r="W3" s="20"/>
      <c r="X3" s="204"/>
      <c r="Y3" s="88"/>
      <c r="Z3" s="88"/>
      <c r="AA3" s="88"/>
      <c r="AB3" s="88"/>
      <c r="AC3" s="88"/>
    </row>
    <row r="4" spans="1:40" ht="12.75" customHeight="1">
      <c r="A4" s="139"/>
      <c r="B4" s="3392"/>
      <c r="C4" s="20"/>
      <c r="D4" s="20"/>
      <c r="E4" s="20"/>
      <c r="F4" s="3393" t="s">
        <v>928</v>
      </c>
      <c r="G4" s="3394" t="s">
        <v>6354</v>
      </c>
      <c r="H4" s="20"/>
      <c r="I4" s="20"/>
      <c r="J4" s="3395"/>
      <c r="K4" s="20"/>
      <c r="L4" s="20"/>
      <c r="M4" s="20"/>
      <c r="N4" s="20"/>
      <c r="O4" s="20"/>
      <c r="P4" s="20"/>
      <c r="Q4" s="20"/>
      <c r="R4" s="20"/>
      <c r="S4" s="20"/>
      <c r="T4" s="3390"/>
      <c r="U4" s="3391"/>
      <c r="V4" s="20"/>
      <c r="W4" s="20"/>
      <c r="X4" s="204"/>
      <c r="Y4" s="88"/>
      <c r="Z4" s="88"/>
      <c r="AA4" s="88"/>
      <c r="AB4" s="88"/>
      <c r="AC4" s="88"/>
    </row>
    <row r="5" spans="1:40" ht="12.75" customHeight="1">
      <c r="A5" s="139"/>
      <c r="B5" s="3392"/>
      <c r="C5" s="20"/>
      <c r="D5" s="20"/>
      <c r="E5" s="20"/>
      <c r="F5" s="3393"/>
      <c r="G5" s="3394" t="s">
        <v>6355</v>
      </c>
      <c r="H5" s="20"/>
      <c r="I5" s="20"/>
      <c r="J5" s="3395"/>
      <c r="K5" s="20"/>
      <c r="L5" s="20"/>
      <c r="M5" s="20"/>
      <c r="N5" s="20"/>
      <c r="O5" s="20"/>
      <c r="P5" s="20"/>
      <c r="Q5" s="20"/>
      <c r="R5" s="20"/>
      <c r="S5" s="20"/>
      <c r="T5" s="3390"/>
      <c r="U5" s="3391"/>
      <c r="V5" s="20"/>
      <c r="W5" s="20"/>
      <c r="X5" s="204"/>
      <c r="Y5" s="88"/>
      <c r="Z5" s="88"/>
      <c r="AA5" s="88"/>
      <c r="AB5" s="88"/>
      <c r="AC5" s="88"/>
    </row>
    <row r="6" spans="1:40" ht="16.5" customHeight="1">
      <c r="A6" s="144"/>
      <c r="B6" s="3396"/>
      <c r="C6" s="3397"/>
      <c r="D6" s="3397"/>
      <c r="E6" s="3397"/>
      <c r="F6" s="6134" t="s">
        <v>928</v>
      </c>
      <c r="G6" s="3398" t="str">
        <f>"If you are married filing separately and you lived apart from your spouse for all of "&amp;TaxYear&amp;", check the box on line 20."</f>
        <v>If you are married filing separately and you lived apart from your spouse for all of 2025, check the box on line 20.</v>
      </c>
      <c r="H6" s="3399"/>
      <c r="I6" s="3399"/>
      <c r="J6" s="3399"/>
      <c r="K6" s="3399"/>
      <c r="L6" s="3399"/>
      <c r="M6" s="3399"/>
      <c r="N6" s="3399"/>
      <c r="O6" s="3399"/>
      <c r="P6" s="3399"/>
      <c r="Q6" s="3399"/>
      <c r="R6" s="3399"/>
      <c r="S6" s="3399"/>
      <c r="T6" s="3400"/>
      <c r="U6" s="3401"/>
      <c r="V6" s="20"/>
      <c r="W6" s="20"/>
      <c r="X6" s="204"/>
      <c r="Y6" s="88"/>
      <c r="Z6" s="88"/>
      <c r="AA6" s="88"/>
      <c r="AB6" s="88"/>
      <c r="AC6" s="88"/>
    </row>
    <row r="7" spans="1:40" s="141" customFormat="1" ht="15" customHeight="1">
      <c r="A7" s="144"/>
      <c r="B7" s="3402"/>
      <c r="C7" s="3403"/>
      <c r="D7" s="3404"/>
      <c r="E7" s="3403"/>
      <c r="F7" s="3403"/>
      <c r="G7" s="3405"/>
      <c r="H7" s="3406"/>
      <c r="I7" s="3406"/>
      <c r="J7" s="3407"/>
      <c r="K7" s="3408"/>
      <c r="L7" s="3409" t="s">
        <v>966</v>
      </c>
      <c r="M7" s="3408"/>
      <c r="N7" s="3410" t="s">
        <v>967</v>
      </c>
      <c r="O7" s="3410"/>
      <c r="P7" s="3408"/>
      <c r="Q7" s="3408"/>
      <c r="R7" s="3408"/>
      <c r="S7" s="3408"/>
      <c r="T7" s="3411"/>
      <c r="U7" s="3401"/>
      <c r="V7" s="181"/>
      <c r="W7" s="181"/>
      <c r="X7" s="205"/>
      <c r="Y7" s="182"/>
      <c r="Z7" s="182"/>
      <c r="AA7" s="182"/>
      <c r="AB7" s="182"/>
      <c r="AC7" s="182"/>
      <c r="AD7" s="665"/>
      <c r="AE7" s="665"/>
      <c r="AF7" s="665"/>
      <c r="AG7" s="665"/>
      <c r="AH7" s="665"/>
      <c r="AI7" s="665"/>
      <c r="AJ7" s="665"/>
      <c r="AK7" s="665"/>
      <c r="AL7" s="665"/>
      <c r="AM7" s="665"/>
      <c r="AN7" s="665"/>
    </row>
    <row r="8" spans="1:40" ht="15.75" thickBot="1">
      <c r="A8" s="139"/>
      <c r="B8" s="3412" t="s">
        <v>333</v>
      </c>
      <c r="C8" s="1836" t="s">
        <v>4923</v>
      </c>
      <c r="D8" s="88"/>
      <c r="E8" s="2393"/>
      <c r="F8" s="2393"/>
      <c r="G8" s="2393"/>
      <c r="H8" s="2414"/>
      <c r="I8" s="2450"/>
      <c r="J8" s="2450"/>
      <c r="K8" s="2450"/>
      <c r="L8" s="2450"/>
      <c r="M8" s="2450"/>
      <c r="N8" s="2473"/>
      <c r="O8" s="2473"/>
      <c r="P8" s="2476"/>
      <c r="Q8" s="2393"/>
      <c r="R8" s="2393"/>
      <c r="S8" s="2393"/>
      <c r="T8" s="2418"/>
      <c r="U8" s="2408"/>
      <c r="V8" s="20"/>
      <c r="W8" s="20"/>
      <c r="X8" s="1519">
        <v>7000</v>
      </c>
      <c r="Y8" s="88"/>
      <c r="Z8" s="88"/>
      <c r="AA8" s="88"/>
      <c r="AB8" s="88"/>
      <c r="AC8" s="88"/>
    </row>
    <row r="9" spans="1:40" ht="15.75" thickBot="1">
      <c r="A9" s="139"/>
      <c r="B9" s="3412"/>
      <c r="C9" s="2442" t="s">
        <v>968</v>
      </c>
      <c r="D9" s="88"/>
      <c r="E9" s="2393"/>
      <c r="F9" s="2393"/>
      <c r="G9" s="2393"/>
      <c r="H9" s="2414"/>
      <c r="I9" s="2451" t="s">
        <v>969</v>
      </c>
      <c r="J9" s="2450" t="s">
        <v>970</v>
      </c>
      <c r="K9" s="333"/>
      <c r="L9" s="2473" t="s">
        <v>568</v>
      </c>
      <c r="M9" s="3413" t="str">
        <f>IF(AND(Yourself,K9=""),"X","")</f>
        <v/>
      </c>
      <c r="N9" s="2473" t="s">
        <v>569</v>
      </c>
      <c r="O9" s="2473"/>
      <c r="P9" s="2476"/>
      <c r="Q9" s="2393"/>
      <c r="R9" s="2393"/>
      <c r="S9" s="2393"/>
      <c r="T9" s="2418"/>
      <c r="U9" s="2408"/>
      <c r="V9" s="20"/>
      <c r="W9" s="20"/>
      <c r="X9" s="1519"/>
      <c r="Y9" s="88"/>
      <c r="Z9" s="88"/>
      <c r="AA9" s="88"/>
      <c r="AB9" s="88"/>
      <c r="AC9" s="88"/>
    </row>
    <row r="10" spans="1:40" ht="15.75" thickBot="1">
      <c r="A10" s="139"/>
      <c r="B10" s="3412" t="s">
        <v>335</v>
      </c>
      <c r="C10" s="1836" t="s">
        <v>971</v>
      </c>
      <c r="D10" s="88"/>
      <c r="E10" s="2393"/>
      <c r="F10" s="2393"/>
      <c r="G10" s="2393"/>
      <c r="H10" s="2414"/>
      <c r="I10" s="2393"/>
      <c r="J10" s="2450"/>
      <c r="K10" s="2451"/>
      <c r="L10" s="2451"/>
      <c r="M10" s="2451" t="s">
        <v>792</v>
      </c>
      <c r="N10" s="2451"/>
      <c r="O10" s="2451" t="s">
        <v>972</v>
      </c>
      <c r="P10" s="333"/>
      <c r="Q10" s="2473" t="s">
        <v>568</v>
      </c>
      <c r="R10" s="3413" t="str">
        <f>IF(AND(Spouse,P10=""),"X","")</f>
        <v/>
      </c>
      <c r="S10" s="2473" t="s">
        <v>569</v>
      </c>
      <c r="T10" s="2418"/>
      <c r="U10" s="2408"/>
      <c r="V10" s="20"/>
      <c r="W10" s="20"/>
      <c r="X10" s="1519">
        <v>8000</v>
      </c>
      <c r="Y10" s="88"/>
      <c r="Z10" s="88"/>
      <c r="AA10" s="88"/>
      <c r="AB10" s="88"/>
      <c r="AC10" s="88"/>
    </row>
    <row r="11" spans="1:40" ht="18.75" customHeight="1">
      <c r="A11" s="139"/>
      <c r="B11" s="3412"/>
      <c r="C11" s="3414" t="s">
        <v>4924</v>
      </c>
      <c r="D11" s="226"/>
      <c r="E11" s="2393"/>
      <c r="F11" s="2393"/>
      <c r="G11" s="2393"/>
      <c r="H11" s="2414"/>
      <c r="I11" s="2451"/>
      <c r="J11" s="2451"/>
      <c r="K11" s="2451"/>
      <c r="L11" s="2451"/>
      <c r="M11" s="2473"/>
      <c r="N11" s="3415"/>
      <c r="O11" s="3415"/>
      <c r="P11" s="1555"/>
      <c r="Q11" s="2473"/>
      <c r="R11" s="3416"/>
      <c r="S11" s="2473"/>
      <c r="T11" s="3417"/>
      <c r="U11" s="3418"/>
      <c r="V11" s="20"/>
      <c r="W11" s="20"/>
      <c r="X11" s="186"/>
      <c r="Y11" s="88"/>
      <c r="Z11" s="88"/>
      <c r="AA11" s="88"/>
      <c r="AB11" s="88"/>
      <c r="AC11" s="88"/>
    </row>
    <row r="12" spans="1:40" ht="15">
      <c r="A12" s="139"/>
      <c r="B12" s="3412"/>
      <c r="C12" s="3419" t="s">
        <v>973</v>
      </c>
      <c r="D12" s="2460"/>
      <c r="E12" s="2393"/>
      <c r="F12" s="2393"/>
      <c r="G12" s="2393"/>
      <c r="H12" s="2414"/>
      <c r="I12" s="2393"/>
      <c r="J12" s="2393"/>
      <c r="K12" s="3415"/>
      <c r="L12" s="2473"/>
      <c r="M12" s="2473"/>
      <c r="N12" s="2473"/>
      <c r="O12" s="2473"/>
      <c r="P12" s="2473"/>
      <c r="Q12" s="2473"/>
      <c r="R12" s="2473"/>
      <c r="S12" s="3420" t="str">
        <f>IF(AND(K9="",P10=""),"",IF(OR(Q14,(AND(BadBirthdate_Yours,BadBirthdate_Spouse))),"Check birthdate entries on '1040' sheet.",IF(AND(File_Marr_Joint&lt;&gt;"",BadBirthdate_Spouse),"Check birthdate entry for spouse on '1040' sheet.",IF(BadBirthdate_Yours,"Check your birthdate entry on '1040' sheet.",""))))</f>
        <v/>
      </c>
      <c r="T12" s="3417"/>
      <c r="U12" s="3418"/>
      <c r="V12" s="20"/>
      <c r="W12" s="3421" t="str">
        <f>IF(OR(AND(File_Marr_Joint="",DependentYOU="",K9=""),AND(File_Marr_Joint&lt;&gt;"",DependentYOU="",DependentSPOUSE="",K9="",P10="")),"No","Yes")</f>
        <v>No</v>
      </c>
      <c r="X12" s="186"/>
      <c r="Y12" s="88"/>
      <c r="Z12" s="88"/>
      <c r="AA12" s="88"/>
      <c r="AB12" s="88"/>
      <c r="AC12" s="88"/>
    </row>
    <row r="13" spans="1:40" ht="15">
      <c r="A13" s="139"/>
      <c r="B13" s="3412"/>
      <c r="C13" s="3419" t="s">
        <v>974</v>
      </c>
      <c r="D13" s="2460"/>
      <c r="E13" s="2393"/>
      <c r="F13" s="2393"/>
      <c r="G13" s="2393"/>
      <c r="H13" s="2414"/>
      <c r="I13" s="2393"/>
      <c r="J13" s="2393"/>
      <c r="K13" s="3415"/>
      <c r="L13" s="2473"/>
      <c r="M13" s="2473"/>
      <c r="N13" s="2473"/>
      <c r="O13" s="2473"/>
      <c r="P13" s="2473"/>
      <c r="Q13" s="3422"/>
      <c r="R13" s="2473"/>
      <c r="S13" s="2473"/>
      <c r="T13" s="3417"/>
      <c r="U13" s="3418"/>
      <c r="V13" s="20"/>
      <c r="W13" s="126"/>
      <c r="X13" s="186"/>
      <c r="Y13" s="88"/>
      <c r="Z13" s="88"/>
      <c r="AA13" s="88"/>
      <c r="AB13" s="88"/>
      <c r="AC13" s="88"/>
    </row>
    <row r="14" spans="1:40" ht="15">
      <c r="A14" s="139"/>
      <c r="B14" s="3412"/>
      <c r="C14" s="3423" t="s">
        <v>975</v>
      </c>
      <c r="D14" s="2393" t="str">
        <f>TEXT(X8,"$0,000")&amp;", if under age 50 at the end of "&amp;TaxYear&amp;"."</f>
        <v>$7,000, if under age 50 at the end of 2025.</v>
      </c>
      <c r="E14" s="2393"/>
      <c r="F14" s="2393"/>
      <c r="G14" s="2393"/>
      <c r="H14" s="88"/>
      <c r="I14" s="88"/>
      <c r="J14" s="88"/>
      <c r="K14" s="2414"/>
      <c r="L14" s="2393"/>
      <c r="M14" s="2393"/>
      <c r="N14" s="2393"/>
      <c r="O14" s="2393"/>
      <c r="P14" s="3424"/>
      <c r="Q14" s="7834" t="b">
        <f>IF(AND(File_Marr_Joint&lt;&gt;"",OR(BadBirthdate_Yours,BadBirthdate_Spouse)),TRUE,IF(BadBirthdate_Yours,TRUE,FALSE))</f>
        <v>1</v>
      </c>
      <c r="R14" s="7835"/>
      <c r="S14" s="2393"/>
      <c r="T14" s="2418"/>
      <c r="U14" s="2408"/>
      <c r="V14" s="181"/>
      <c r="W14" s="181"/>
      <c r="X14" s="1655">
        <v>89000</v>
      </c>
      <c r="Y14" s="182"/>
      <c r="Z14" s="182"/>
      <c r="AA14" s="88"/>
      <c r="AB14" s="88"/>
      <c r="AC14" s="88"/>
    </row>
    <row r="15" spans="1:40" ht="15">
      <c r="A15" s="139"/>
      <c r="B15" s="3412"/>
      <c r="C15" s="3423" t="s">
        <v>975</v>
      </c>
      <c r="D15" s="2393" t="str">
        <f>TEXT(X10,"$0,000")&amp;", if age 50 or older at the end of "&amp;TaxYear&amp;"."</f>
        <v>$8,000, if age 50 or older at the end of 2025.</v>
      </c>
      <c r="E15" s="2393"/>
      <c r="F15" s="2393"/>
      <c r="G15" s="2393"/>
      <c r="H15" s="88"/>
      <c r="I15" s="88"/>
      <c r="J15" s="88"/>
      <c r="K15" s="2414"/>
      <c r="L15" s="3425"/>
      <c r="M15" s="2393"/>
      <c r="N15" s="2393"/>
      <c r="O15" s="2393"/>
      <c r="P15" s="3424"/>
      <c r="Q15" s="3425"/>
      <c r="R15" s="3426"/>
      <c r="S15" s="2393"/>
      <c r="T15" s="2418"/>
      <c r="U15" s="2408"/>
      <c r="V15" s="181"/>
      <c r="W15" s="181"/>
      <c r="X15" s="1655">
        <v>146000</v>
      </c>
      <c r="Y15" s="182"/>
      <c r="Z15" s="182"/>
      <c r="AA15" s="88"/>
      <c r="AB15" s="88"/>
      <c r="AC15" s="88"/>
    </row>
    <row r="16" spans="1:40" ht="15">
      <c r="A16" s="139"/>
      <c r="B16" s="3412"/>
      <c r="C16" s="3419" t="s">
        <v>976</v>
      </c>
      <c r="D16" s="2460"/>
      <c r="E16" s="2393"/>
      <c r="F16" s="2393"/>
      <c r="G16" s="2393"/>
      <c r="H16" s="2414"/>
      <c r="I16" s="2393"/>
      <c r="J16" s="2393"/>
      <c r="K16" s="3415"/>
      <c r="L16" s="2473"/>
      <c r="M16" s="2473"/>
      <c r="N16" s="2473"/>
      <c r="O16" s="2473"/>
      <c r="P16" s="2424"/>
      <c r="Q16" s="2424" t="str">
        <f>IF(AND(File_Marr_Joint="",P10&lt;&gt;""),"Your filing status must be","")</f>
        <v/>
      </c>
      <c r="R16" s="7834"/>
      <c r="S16" s="7835"/>
      <c r="T16" s="7841"/>
      <c r="U16" s="3418"/>
      <c r="V16" s="20"/>
      <c r="W16" s="126"/>
      <c r="X16" s="1656">
        <v>246000</v>
      </c>
      <c r="Y16" s="88"/>
      <c r="Z16" s="88"/>
      <c r="AA16" s="88"/>
      <c r="AB16" s="88"/>
      <c r="AC16" s="88"/>
    </row>
    <row r="17" spans="1:29" ht="14.25" customHeight="1" thickBot="1">
      <c r="A17" s="139"/>
      <c r="B17" s="3412">
        <v>2</v>
      </c>
      <c r="C17" s="1836" t="s">
        <v>977</v>
      </c>
      <c r="D17" s="88"/>
      <c r="E17" s="2393"/>
      <c r="F17" s="2393"/>
      <c r="G17" s="2393"/>
      <c r="H17" s="88"/>
      <c r="I17" s="88"/>
      <c r="J17" s="88"/>
      <c r="K17" s="2414"/>
      <c r="L17" s="2393"/>
      <c r="M17" s="2393"/>
      <c r="N17" s="2393"/>
      <c r="O17" s="2393"/>
      <c r="P17" s="3424" t="str">
        <f>IF(AND(File_Marr_Joint="",P10&lt;&gt;""),"Married Filing Jointly","")</f>
        <v/>
      </c>
      <c r="Q17" s="2393"/>
      <c r="R17" s="2393"/>
      <c r="S17" s="2393"/>
      <c r="T17" s="2418"/>
      <c r="U17" s="2408"/>
      <c r="V17" s="20"/>
      <c r="W17" s="20"/>
      <c r="X17" s="1656">
        <v>10000</v>
      </c>
      <c r="Y17" s="88"/>
      <c r="Z17" s="88"/>
      <c r="AA17" s="88"/>
      <c r="AB17" s="88"/>
      <c r="AC17" s="88"/>
    </row>
    <row r="18" spans="1:29" ht="15">
      <c r="A18" s="139"/>
      <c r="B18" s="3412"/>
      <c r="C18" s="3423" t="s">
        <v>975</v>
      </c>
      <c r="D18" s="3419" t="s">
        <v>4929</v>
      </c>
      <c r="E18" s="2393"/>
      <c r="F18" s="2393"/>
      <c r="G18" s="2393"/>
      <c r="H18" s="88"/>
      <c r="I18" s="88"/>
      <c r="J18" s="88"/>
      <c r="K18" s="2414"/>
      <c r="L18" s="2393"/>
      <c r="M18" s="2393"/>
      <c r="N18" s="2393"/>
      <c r="O18" s="2393"/>
      <c r="P18" s="3424" t="str">
        <f>IF(AND(File_Marr_Joint="",P10&lt;&gt;""),"to use the 'b' column.","")</f>
        <v/>
      </c>
      <c r="Q18" s="2393"/>
      <c r="R18" s="2393"/>
      <c r="S18" s="2393"/>
      <c r="T18" s="2418"/>
      <c r="U18" s="2408"/>
      <c r="V18" s="389"/>
      <c r="W18" s="89"/>
      <c r="X18" s="3427"/>
      <c r="Y18" s="3428"/>
      <c r="Z18" s="88"/>
      <c r="AA18" s="226"/>
      <c r="AB18" s="88"/>
      <c r="AC18" s="88"/>
    </row>
    <row r="19" spans="1:29" ht="15">
      <c r="A19" s="139"/>
      <c r="B19" s="3412"/>
      <c r="C19" s="1836"/>
      <c r="D19" s="3419" t="str">
        <f>"from your spouse for all of "&amp;TaxYear&amp;", enter "&amp;TEXT(X14,"$0,000")</f>
        <v>from your spouse for all of 2025, enter $89,000</v>
      </c>
      <c r="E19" s="2460"/>
      <c r="F19" s="2460"/>
      <c r="G19" s="2473"/>
      <c r="H19" s="88"/>
      <c r="I19" s="88"/>
      <c r="J19" s="88"/>
      <c r="K19" s="2414"/>
      <c r="L19" s="2393"/>
      <c r="M19" s="2393"/>
      <c r="N19" s="2393"/>
      <c r="O19" s="2393"/>
      <c r="P19" s="3424"/>
      <c r="Q19" s="2393"/>
      <c r="R19" s="2393"/>
      <c r="S19" s="2393"/>
      <c r="T19" s="2418"/>
      <c r="U19" s="2408"/>
      <c r="V19" s="2412"/>
      <c r="W19" s="2410"/>
      <c r="X19" s="3429"/>
      <c r="Y19" s="90"/>
      <c r="Z19" s="88"/>
      <c r="AA19" s="226" t="str">
        <f>IF(File_Marr_Sep="","","Married persons filing separately.")</f>
        <v/>
      </c>
      <c r="AB19" s="88"/>
      <c r="AC19" s="88"/>
    </row>
    <row r="20" spans="1:29" ht="15">
      <c r="A20" s="139"/>
      <c r="B20" s="3412"/>
      <c r="C20" s="3423" t="s">
        <v>975</v>
      </c>
      <c r="D20" s="1836" t="str">
        <f>"Qualifying surviving spouse, enter "&amp;TEXT(X15,"$0,000")</f>
        <v>Qualifying surviving spouse, enter $146,000</v>
      </c>
      <c r="E20" s="88"/>
      <c r="F20" s="88"/>
      <c r="G20" s="2473"/>
      <c r="H20" s="88"/>
      <c r="I20" s="88"/>
      <c r="J20" s="88"/>
      <c r="K20" s="2414"/>
      <c r="L20" s="2393"/>
      <c r="M20" s="2393"/>
      <c r="N20" s="2393"/>
      <c r="O20" s="2393"/>
      <c r="P20" s="2393"/>
      <c r="Q20" s="2393"/>
      <c r="R20" s="2393"/>
      <c r="S20" s="2393"/>
      <c r="T20" s="2418"/>
      <c r="U20" s="2408"/>
      <c r="V20" s="2412"/>
      <c r="W20" s="2410"/>
      <c r="X20" s="88"/>
      <c r="Y20" s="90"/>
      <c r="Z20" s="88"/>
      <c r="AA20" s="88" t="str">
        <f>IF(File_Marr_Sep="","","If you were not covered by a retirement plan but")</f>
        <v/>
      </c>
      <c r="AB20" s="88"/>
      <c r="AC20" s="88"/>
    </row>
    <row r="21" spans="1:29" ht="15">
      <c r="A21" s="139"/>
      <c r="B21" s="3412"/>
      <c r="C21" s="3423" t="s">
        <v>975</v>
      </c>
      <c r="D21" s="3419" t="str">
        <f>"Married filing jointly, enter "&amp;TEXT(X15,"$0,000")&amp;" in both columns. But if you checked"</f>
        <v>Married filing jointly, enter $146,000 in both columns. But if you checked</v>
      </c>
      <c r="E21" s="2460"/>
      <c r="F21" s="2460"/>
      <c r="G21" s="2460"/>
      <c r="H21" s="88"/>
      <c r="I21" s="88"/>
      <c r="J21" s="88"/>
      <c r="K21" s="2450" t="s">
        <v>337</v>
      </c>
      <c r="L21" s="7645" t="str">
        <f>IF(OR(NOT(Yourself),Q14,BadBirthdate_Yours,NumFileStatusBoxes=0),"",L22)</f>
        <v/>
      </c>
      <c r="M21" s="7645"/>
      <c r="N21" s="7645"/>
      <c r="O21" s="193"/>
      <c r="P21" s="2451" t="s">
        <v>339</v>
      </c>
      <c r="Q21" s="7645" t="str">
        <f>IF(File_Marr_Joint="","",IF(Q14,"",IF(AND(File_Marr_Joint&lt;&gt;"",K9&lt;&gt;"",P10&lt;&gt;""),X15,IF(R16,"Age &gt; 70½    ",Q22))))</f>
        <v/>
      </c>
      <c r="R21" s="7645"/>
      <c r="S21" s="7645"/>
      <c r="T21" s="3430"/>
      <c r="U21" s="3431"/>
      <c r="V21" s="2412"/>
      <c r="W21" s="2410"/>
      <c r="X21" s="2420"/>
      <c r="Y21" s="90"/>
      <c r="Z21" s="88"/>
      <c r="AA21" s="88" t="str">
        <f>IF(File_Marr_Sep="","","your spouse was, you are considered covered")</f>
        <v/>
      </c>
      <c r="AB21" s="88"/>
      <c r="AC21" s="88"/>
    </row>
    <row r="22" spans="1:29" ht="15">
      <c r="A22" s="139"/>
      <c r="B22" s="3412"/>
      <c r="C22" s="1836"/>
      <c r="D22" s="3419" t="str">
        <f>"'No' on either line 1a or 1b, enter "&amp;TEXT(X16,"$0,000")&amp;" for the person who was not"</f>
        <v>'No' on either line 1a or 1b, enter $246,000 for the person who was not</v>
      </c>
      <c r="E22" s="2460"/>
      <c r="F22" s="2460"/>
      <c r="G22" s="2460"/>
      <c r="H22" s="88"/>
      <c r="I22" s="88"/>
      <c r="J22" s="88"/>
      <c r="K22" s="2414"/>
      <c r="L22" s="7836" t="str">
        <f>IF(W12="No","",IF(OR(File_Single&lt;&gt;"",File_Head&lt;&gt;"",AND(File_Marr_Sep&lt;&gt;"",LivedApart)),X14,IF(File_Qual_Widow&lt;&gt;"",X15,IF(AND(File_Marr_Joint&lt;&gt;"",K9&lt;&gt;""),X15,IF(AND(File_Marr_Joint&lt;&gt;"",K9=""),X16,IF(AND(File_Marr_Sep&lt;&gt;"",NOT(LivedApart)),X17,0))))))</f>
        <v/>
      </c>
      <c r="M22" s="7836"/>
      <c r="N22" s="7836"/>
      <c r="O22" s="2393"/>
      <c r="P22" s="2393"/>
      <c r="Q22" s="7837" t="str">
        <f>IF(OR(File_Marr_Joint="",W12="No"),"",IF(P10&lt;&gt;"",X15,IF(P10="",X16,0)))</f>
        <v/>
      </c>
      <c r="R22" s="7838"/>
      <c r="S22" s="7838"/>
      <c r="T22" s="2418"/>
      <c r="U22" s="2408"/>
      <c r="V22" s="2412"/>
      <c r="W22" s="2410"/>
      <c r="X22" s="88"/>
      <c r="Y22" s="90"/>
      <c r="Z22" s="88"/>
      <c r="AA22" s="88" t="str">
        <f>IF(File_Marr_Sep="","","by a plan unless you lived apart from")</f>
        <v/>
      </c>
      <c r="AB22" s="88"/>
      <c r="AC22" s="88"/>
    </row>
    <row r="23" spans="1:29" ht="15">
      <c r="A23" s="139"/>
      <c r="B23" s="3412"/>
      <c r="C23" s="1836"/>
      <c r="D23" s="3419" t="s">
        <v>978</v>
      </c>
      <c r="E23" s="2393"/>
      <c r="F23" s="2393"/>
      <c r="G23" s="2393"/>
      <c r="H23" s="88"/>
      <c r="I23" s="88"/>
      <c r="J23" s="88"/>
      <c r="K23" s="2414"/>
      <c r="L23" s="2393"/>
      <c r="M23" s="2393"/>
      <c r="N23" s="2393"/>
      <c r="O23" s="2393"/>
      <c r="P23" s="2393"/>
      <c r="Q23" s="2393"/>
      <c r="R23" s="2393"/>
      <c r="S23" s="2393"/>
      <c r="T23" s="2418"/>
      <c r="U23" s="2408"/>
      <c r="V23" s="2412"/>
      <c r="W23" s="226"/>
      <c r="X23" s="226"/>
      <c r="Y23" s="88"/>
      <c r="Z23" s="88"/>
      <c r="AA23" s="88"/>
      <c r="AB23" s="88"/>
      <c r="AC23" s="88"/>
    </row>
    <row r="24" spans="1:29" ht="15">
      <c r="A24" s="139"/>
      <c r="B24" s="3412"/>
      <c r="C24" s="3423" t="s">
        <v>975</v>
      </c>
      <c r="D24" s="3419" t="str">
        <f>"Married filing separately and you lived with your spouse at any time in "&amp;TaxYear&amp;","</f>
        <v>Married filing separately and you lived with your spouse at any time in 2025,</v>
      </c>
      <c r="E24" s="2460"/>
      <c r="F24" s="2460"/>
      <c r="G24" s="2460"/>
      <c r="H24" s="88"/>
      <c r="I24" s="88"/>
      <c r="J24" s="88"/>
      <c r="K24" s="2414"/>
      <c r="L24" s="2393"/>
      <c r="M24" s="2393"/>
      <c r="N24" s="2393"/>
      <c r="O24" s="2393"/>
      <c r="P24" s="2393"/>
      <c r="Q24" s="2393"/>
      <c r="R24" s="2393"/>
      <c r="S24" s="2393"/>
      <c r="T24" s="2418"/>
      <c r="U24" s="2408"/>
      <c r="V24" s="2412"/>
      <c r="W24" s="7843"/>
      <c r="X24" s="7844"/>
      <c r="Y24" s="7844"/>
      <c r="Z24" s="2390"/>
      <c r="AA24" s="88"/>
      <c r="AB24" s="88"/>
      <c r="AC24" s="88"/>
    </row>
    <row r="25" spans="1:29" ht="15.75" thickBot="1">
      <c r="A25" s="139"/>
      <c r="B25" s="3412"/>
      <c r="C25" s="1836"/>
      <c r="D25" s="3419" t="str">
        <f>"enter "&amp;TEXT(X17,"$0,000")&amp;"."</f>
        <v>enter $10,000.</v>
      </c>
      <c r="E25" s="2460"/>
      <c r="F25" s="2460"/>
      <c r="G25" s="3432" t="str">
        <f>IF(File_Marr_Sep="","",IF(AND(K9="",W21&lt;&gt;"",R10&lt;&gt;"X",NOT(LivedApart)),"See NOTE in Column AA and check box 1a 'Yes' if spouse was covered by a retirement plan or check box 1b 'No'.",""))</f>
        <v/>
      </c>
      <c r="H25" s="88"/>
      <c r="I25" s="88"/>
      <c r="J25" s="88"/>
      <c r="K25" s="2414"/>
      <c r="L25" s="7842"/>
      <c r="M25" s="7842"/>
      <c r="N25" s="7842"/>
      <c r="O25" s="2393"/>
      <c r="P25" s="2393"/>
      <c r="Q25" s="2393"/>
      <c r="R25" s="2393"/>
      <c r="S25" s="2393"/>
      <c r="T25" s="2418"/>
      <c r="U25" s="2408"/>
      <c r="V25" s="2489"/>
      <c r="W25" s="226" t="s">
        <v>979</v>
      </c>
      <c r="X25" s="88"/>
      <c r="Y25" s="88"/>
      <c r="Z25" s="88"/>
      <c r="AA25" s="88"/>
      <c r="AB25" s="88"/>
      <c r="AC25" s="88"/>
    </row>
    <row r="26" spans="1:29" ht="15">
      <c r="A26" s="139"/>
      <c r="B26" s="3412">
        <v>3</v>
      </c>
      <c r="C26" s="1836" t="s">
        <v>980</v>
      </c>
      <c r="D26" s="88"/>
      <c r="E26" s="88"/>
      <c r="F26" s="88"/>
      <c r="G26" s="88"/>
      <c r="H26" s="2448">
        <v>3</v>
      </c>
      <c r="I26" s="7826"/>
      <c r="J26" s="7826"/>
      <c r="K26" s="2414"/>
      <c r="L26" s="2700" t="str">
        <f>IF(OR(I26&lt;&gt;"",AND(K9="",P10=""),Q14),"",IF(Total_Income&gt;=1000,"Manually enter "&amp;TEXT(Total_Income,"$0,000")&amp;" on this line.","Manually enter "&amp;TEXT(Total_Income,"$0")&amp;" on this line."))</f>
        <v/>
      </c>
      <c r="M26" s="3433"/>
      <c r="N26" s="3433"/>
      <c r="O26" s="3433"/>
      <c r="P26" s="2393"/>
      <c r="Q26" s="2393"/>
      <c r="R26" s="2393"/>
      <c r="S26" s="2393"/>
      <c r="T26" s="2418"/>
      <c r="U26" s="2408"/>
      <c r="V26" s="88"/>
      <c r="W26" s="7843" t="s">
        <v>771</v>
      </c>
      <c r="X26" s="7844"/>
      <c r="Y26" s="7844"/>
      <c r="Z26" s="88"/>
      <c r="AA26" s="88"/>
      <c r="AB26" s="88"/>
      <c r="AC26" s="88"/>
    </row>
    <row r="27" spans="1:29" ht="15">
      <c r="A27" s="139"/>
      <c r="B27" s="3412">
        <v>4</v>
      </c>
      <c r="C27" s="1836" t="s">
        <v>981</v>
      </c>
      <c r="D27" s="1560"/>
      <c r="E27" s="3434"/>
      <c r="F27" s="3434"/>
      <c r="G27" s="88"/>
      <c r="H27" s="2414"/>
      <c r="I27" s="88"/>
      <c r="J27" s="88"/>
      <c r="K27" s="2414"/>
      <c r="L27" s="2393"/>
      <c r="M27" s="2393"/>
      <c r="N27" s="2393"/>
      <c r="O27" s="2393"/>
      <c r="P27" s="2393"/>
      <c r="Q27" s="2393"/>
      <c r="R27" s="2393"/>
      <c r="S27" s="2393"/>
      <c r="T27" s="2418"/>
      <c r="U27" s="2408"/>
      <c r="V27" s="88"/>
      <c r="W27" s="139"/>
      <c r="X27" s="150"/>
      <c r="Y27" s="139"/>
      <c r="Z27" s="139"/>
      <c r="AA27" s="139"/>
      <c r="AB27" s="139"/>
      <c r="AC27" s="88"/>
    </row>
    <row r="28" spans="1:29" ht="15">
      <c r="A28" s="139"/>
      <c r="B28" s="3412"/>
      <c r="C28" s="1836" t="s">
        <v>982</v>
      </c>
      <c r="D28" s="1560"/>
      <c r="E28" s="3434"/>
      <c r="F28" s="3434"/>
      <c r="G28" s="2715"/>
      <c r="H28" s="2448">
        <v>4</v>
      </c>
      <c r="I28" s="7827" t="str">
        <f>IF(X28&lt;&gt;"",X28,IF(AND(K9="",P10=""),"",SUM(Sch1_Line11_19a,ArcherMSADeduct,TotalOtherAdjust)))</f>
        <v/>
      </c>
      <c r="J28" s="7827"/>
      <c r="K28" s="2414"/>
      <c r="L28" s="2393"/>
      <c r="M28" s="2393"/>
      <c r="N28" s="2393"/>
      <c r="O28" s="2393"/>
      <c r="P28" s="2393"/>
      <c r="Q28" s="2393"/>
      <c r="R28" s="2393"/>
      <c r="S28" s="2393"/>
      <c r="T28" s="2418"/>
      <c r="U28" s="2408"/>
      <c r="V28" s="88"/>
      <c r="W28" s="3435">
        <v>4</v>
      </c>
      <c r="X28" s="949"/>
      <c r="Y28" s="139"/>
      <c r="Z28" s="139"/>
      <c r="AA28" s="139"/>
      <c r="AB28" s="139"/>
      <c r="AC28" s="88"/>
    </row>
    <row r="29" spans="1:29" ht="15.75" customHeight="1">
      <c r="A29" s="139"/>
      <c r="B29" s="3412">
        <v>5</v>
      </c>
      <c r="C29" s="1836" t="s">
        <v>983</v>
      </c>
      <c r="D29" s="88"/>
      <c r="E29" s="88"/>
      <c r="F29" s="88"/>
      <c r="G29" s="88"/>
      <c r="H29" s="2414"/>
      <c r="I29" s="88"/>
      <c r="J29" s="2715" t="s">
        <v>984</v>
      </c>
      <c r="K29" s="2450" t="s">
        <v>629</v>
      </c>
      <c r="L29" s="7645" t="str">
        <f>IF(X29&lt;&gt;"",ROUND(X29,0),IF(OR(NOT(Yourself),Q14,W12="No",I26=""),"",SUM(I26,-I28)))</f>
        <v/>
      </c>
      <c r="M29" s="7645"/>
      <c r="N29" s="7645"/>
      <c r="O29" s="193"/>
      <c r="P29" s="2451" t="s">
        <v>985</v>
      </c>
      <c r="Q29" s="7645" t="str">
        <f>IF(AA29&lt;&gt;"",ROUND(AA29,0),IF(OR(Q14,File_Marr_Joint="",R16,W12="No",I26=""),"",(I26-I28)))</f>
        <v/>
      </c>
      <c r="R29" s="7645"/>
      <c r="S29" s="7645"/>
      <c r="T29" s="3430"/>
      <c r="U29" s="3431"/>
      <c r="V29" s="88"/>
      <c r="W29" s="3435" t="s">
        <v>629</v>
      </c>
      <c r="X29" s="949"/>
      <c r="Y29" s="3435" t="s">
        <v>985</v>
      </c>
      <c r="Z29" s="3435"/>
      <c r="AA29" s="949"/>
      <c r="AB29" s="139"/>
      <c r="AC29" s="88"/>
    </row>
    <row r="30" spans="1:29" ht="15.75" customHeight="1">
      <c r="A30" s="139"/>
      <c r="B30" s="3412">
        <v>6</v>
      </c>
      <c r="C30" s="1836" t="s">
        <v>986</v>
      </c>
      <c r="D30" s="88"/>
      <c r="E30" s="88"/>
      <c r="F30" s="88"/>
      <c r="G30" s="88"/>
      <c r="H30" s="88"/>
      <c r="I30" s="88"/>
      <c r="J30" s="88"/>
      <c r="K30" s="2414"/>
      <c r="L30" s="2393"/>
      <c r="M30" s="2393"/>
      <c r="N30" s="2393"/>
      <c r="O30" s="2393"/>
      <c r="P30" s="2393"/>
      <c r="Q30" s="2393"/>
      <c r="R30" s="2393"/>
      <c r="S30" s="2393"/>
      <c r="T30" s="2418"/>
      <c r="U30" s="2408"/>
      <c r="V30" s="88"/>
      <c r="W30" s="139"/>
      <c r="X30" s="150"/>
      <c r="Y30" s="139"/>
      <c r="Z30" s="139"/>
      <c r="AA30" s="150"/>
      <c r="AB30" s="139"/>
      <c r="AC30" s="88"/>
    </row>
    <row r="31" spans="1:29" ht="6" customHeight="1" thickBot="1">
      <c r="A31" s="139"/>
      <c r="B31" s="3436"/>
      <c r="C31" s="88"/>
      <c r="D31" s="88"/>
      <c r="E31" s="88"/>
      <c r="F31" s="88"/>
      <c r="G31" s="88"/>
      <c r="H31" s="88"/>
      <c r="I31" s="88"/>
      <c r="J31" s="88"/>
      <c r="K31" s="2414"/>
      <c r="L31" s="2393"/>
      <c r="M31" s="2393"/>
      <c r="N31" s="2393"/>
      <c r="O31" s="2393"/>
      <c r="P31" s="2393"/>
      <c r="Q31" s="2393"/>
      <c r="R31" s="2393"/>
      <c r="S31" s="2393"/>
      <c r="T31" s="2418"/>
      <c r="U31" s="2408"/>
      <c r="V31" s="88"/>
      <c r="W31" s="88"/>
      <c r="X31" s="3434"/>
      <c r="Y31" s="88"/>
      <c r="Z31" s="88"/>
      <c r="AA31" s="88"/>
      <c r="AB31" s="88"/>
      <c r="AC31" s="88"/>
    </row>
    <row r="32" spans="1:29" ht="12.75" customHeight="1" thickBot="1">
      <c r="A32" s="139"/>
      <c r="B32" s="3436"/>
      <c r="C32" s="2463" t="str">
        <f>IF(W12="No","",IF(OR(LEFT(L32,2)="No",LEFT(Q32,2)="No"),"X",""))</f>
        <v/>
      </c>
      <c r="D32" s="228"/>
      <c r="E32" s="3414" t="s">
        <v>987</v>
      </c>
      <c r="F32" s="3414"/>
      <c r="G32" s="1836" t="s">
        <v>988</v>
      </c>
      <c r="H32" s="88"/>
      <c r="I32" s="2414"/>
      <c r="J32" s="2414"/>
      <c r="K32" s="2393"/>
      <c r="L32" s="3437" t="str">
        <f>IF(OR(I26="",AND(K9="",P10="")),"",IF(L29&lt;L21,"Yes","No.  Stop."))</f>
        <v/>
      </c>
      <c r="M32" s="2701"/>
      <c r="N32" s="2701"/>
      <c r="O32" s="2701"/>
      <c r="P32" s="3434"/>
      <c r="Q32" s="3437" t="str">
        <f>IF(OR(I26="",File_Marr_Joint="",W12="No"),"",IF(Q29&lt;Q21,"Yes","No.  Stop."))</f>
        <v/>
      </c>
      <c r="R32" s="2701"/>
      <c r="S32" s="2701"/>
      <c r="T32" s="3438"/>
      <c r="U32" s="1562"/>
      <c r="V32" s="88"/>
      <c r="W32" s="88"/>
      <c r="X32" s="3434"/>
      <c r="Y32" s="88"/>
      <c r="Z32" s="88"/>
      <c r="AA32" s="88"/>
      <c r="AB32" s="88"/>
      <c r="AC32" s="88"/>
    </row>
    <row r="33" spans="1:40" ht="12" customHeight="1">
      <c r="A33" s="139"/>
      <c r="B33" s="3436"/>
      <c r="C33" s="228"/>
      <c r="D33" s="228"/>
      <c r="E33" s="3414"/>
      <c r="F33" s="3414"/>
      <c r="G33" s="1836" t="s">
        <v>989</v>
      </c>
      <c r="H33" s="88"/>
      <c r="I33" s="2414"/>
      <c r="J33" s="2414"/>
      <c r="K33" s="2393"/>
      <c r="L33" s="3434"/>
      <c r="M33" s="3434"/>
      <c r="N33" s="3434"/>
      <c r="O33" s="3434"/>
      <c r="P33" s="3434"/>
      <c r="Q33" s="253"/>
      <c r="R33" s="3439"/>
      <c r="S33" s="3439"/>
      <c r="T33" s="2418"/>
      <c r="U33" s="2408"/>
      <c r="V33" s="88"/>
      <c r="W33" s="88"/>
      <c r="X33" s="3434"/>
      <c r="Y33" s="88"/>
      <c r="Z33" s="88"/>
      <c r="AA33" s="88"/>
      <c r="AB33" s="88"/>
      <c r="AC33" s="88"/>
    </row>
    <row r="34" spans="1:40" ht="6" customHeight="1" thickBot="1">
      <c r="A34" s="139"/>
      <c r="B34" s="3436"/>
      <c r="C34" s="228"/>
      <c r="D34" s="228"/>
      <c r="E34" s="3414"/>
      <c r="F34" s="3414"/>
      <c r="G34" s="1836"/>
      <c r="H34" s="88"/>
      <c r="I34" s="2414"/>
      <c r="J34" s="2414"/>
      <c r="K34" s="2393"/>
      <c r="L34" s="3434"/>
      <c r="M34" s="3434"/>
      <c r="N34" s="3434"/>
      <c r="O34" s="3434"/>
      <c r="P34" s="3434"/>
      <c r="Q34" s="253"/>
      <c r="R34" s="3439"/>
      <c r="S34" s="3439"/>
      <c r="T34" s="2418"/>
      <c r="U34" s="2408"/>
      <c r="V34" s="88"/>
      <c r="W34" s="88"/>
      <c r="X34" s="3434"/>
      <c r="Y34" s="88"/>
      <c r="Z34" s="88"/>
      <c r="AA34" s="88"/>
      <c r="AB34" s="88"/>
      <c r="AC34" s="88"/>
    </row>
    <row r="35" spans="1:40" ht="12.75" customHeight="1" thickBot="1">
      <c r="A35" s="139"/>
      <c r="B35" s="3436"/>
      <c r="C35" s="2463" t="str">
        <f>IF(W12="No","",IF(OR(LEFT(L32,3)="Yes",LEFT(Q32,3)="Yes"),"X",""))</f>
        <v/>
      </c>
      <c r="D35" s="228"/>
      <c r="E35" s="3414" t="s">
        <v>938</v>
      </c>
      <c r="F35" s="3414"/>
      <c r="G35" s="3440" t="s">
        <v>4928</v>
      </c>
      <c r="H35" s="226"/>
      <c r="I35" s="2414"/>
      <c r="J35" s="2414"/>
      <c r="K35" s="2393"/>
      <c r="L35" s="3434"/>
      <c r="M35" s="3434"/>
      <c r="N35" s="3434"/>
      <c r="O35" s="3434"/>
      <c r="P35" s="3434"/>
      <c r="Q35" s="3439"/>
      <c r="R35" s="3439"/>
      <c r="S35" s="3439"/>
      <c r="T35" s="2418"/>
      <c r="U35" s="2408"/>
      <c r="V35" s="88"/>
      <c r="W35" s="88"/>
      <c r="X35" s="2441"/>
      <c r="Y35" s="88"/>
      <c r="Z35" s="88"/>
      <c r="AA35" s="88"/>
      <c r="AB35" s="88"/>
      <c r="AC35" s="88"/>
    </row>
    <row r="36" spans="1:40" ht="15" customHeight="1">
      <c r="A36" s="139"/>
      <c r="B36" s="3436"/>
      <c r="C36" s="226"/>
      <c r="D36" s="226"/>
      <c r="E36" s="3414"/>
      <c r="F36" s="3414"/>
      <c r="G36" s="3441" t="s">
        <v>990</v>
      </c>
      <c r="H36" s="88"/>
      <c r="I36" s="2414"/>
      <c r="J36" s="2414"/>
      <c r="K36" s="2393"/>
      <c r="L36" s="3434"/>
      <c r="M36" s="3434"/>
      <c r="N36" s="3434"/>
      <c r="O36" s="3434"/>
      <c r="P36" s="3434"/>
      <c r="Q36" s="3439"/>
      <c r="R36" s="3439"/>
      <c r="S36" s="3439"/>
      <c r="T36" s="2418"/>
      <c r="U36" s="2408"/>
      <c r="V36" s="88"/>
      <c r="W36" s="88"/>
      <c r="X36" s="2441"/>
      <c r="Y36" s="88"/>
      <c r="Z36" s="88"/>
      <c r="AA36" s="88"/>
      <c r="AB36" s="88"/>
      <c r="AC36" s="88"/>
    </row>
    <row r="37" spans="1:40" ht="12" customHeight="1">
      <c r="A37" s="139"/>
      <c r="B37" s="3436"/>
      <c r="C37" s="2414"/>
      <c r="D37" s="226"/>
      <c r="E37" s="3423" t="s">
        <v>975</v>
      </c>
      <c r="F37" s="1836" t="s">
        <v>991</v>
      </c>
      <c r="G37" s="1560"/>
      <c r="H37" s="88"/>
      <c r="I37" s="88"/>
      <c r="J37" s="2414"/>
      <c r="K37" s="2393"/>
      <c r="L37" s="3434"/>
      <c r="M37" s="3439"/>
      <c r="N37" s="3434"/>
      <c r="O37" s="3434"/>
      <c r="P37" s="3434"/>
      <c r="Q37" s="3439"/>
      <c r="R37" s="3439"/>
      <c r="S37" s="3439"/>
      <c r="T37" s="2418"/>
      <c r="U37" s="2408"/>
      <c r="V37" s="88"/>
      <c r="W37" s="88"/>
      <c r="X37" s="2441"/>
      <c r="Y37" s="88"/>
      <c r="Z37" s="88"/>
      <c r="AA37" s="88"/>
      <c r="AB37" s="88"/>
      <c r="AC37" s="88"/>
    </row>
    <row r="38" spans="1:40" ht="12" customHeight="1">
      <c r="A38" s="139"/>
      <c r="B38" s="3436"/>
      <c r="C38" s="2414"/>
      <c r="D38" s="226"/>
      <c r="E38" s="3414"/>
      <c r="F38" s="1836" t="str">
        <f>"result is "&amp;TEXT(X17,"$0,000")&amp;" or more, enter the applicable amount below on"</f>
        <v>result is $10,000 or more, enter the applicable amount below on</v>
      </c>
      <c r="G38" s="1560"/>
      <c r="H38" s="88"/>
      <c r="I38" s="88"/>
      <c r="J38" s="2414"/>
      <c r="K38" s="2393"/>
      <c r="L38" s="3434"/>
      <c r="M38" s="3434"/>
      <c r="N38" s="3434"/>
      <c r="O38" s="3434"/>
      <c r="P38" s="3434"/>
      <c r="Q38" s="3439"/>
      <c r="R38" s="3439"/>
      <c r="S38" s="3439"/>
      <c r="T38" s="2418"/>
      <c r="U38" s="2408"/>
      <c r="V38" s="88"/>
      <c r="W38" s="88"/>
      <c r="X38" s="2441"/>
      <c r="Y38" s="88"/>
      <c r="Z38" s="88"/>
      <c r="AA38" s="88"/>
      <c r="AB38" s="88"/>
      <c r="AC38" s="88"/>
    </row>
    <row r="39" spans="1:40" ht="12" customHeight="1">
      <c r="A39" s="139"/>
      <c r="B39" s="3436"/>
      <c r="C39" s="2414"/>
      <c r="D39" s="226"/>
      <c r="E39" s="3414"/>
      <c r="F39" s="1836" t="s">
        <v>992</v>
      </c>
      <c r="G39" s="1560"/>
      <c r="H39" s="88"/>
      <c r="I39" s="88"/>
      <c r="J39" s="2414"/>
      <c r="K39" s="2393"/>
      <c r="L39" s="3434"/>
      <c r="M39" s="3434"/>
      <c r="N39" s="3434"/>
      <c r="O39" s="3434"/>
      <c r="P39" s="3434"/>
      <c r="Q39" s="3439"/>
      <c r="R39" s="3439"/>
      <c r="S39" s="3439"/>
      <c r="T39" s="2418"/>
      <c r="U39" s="2408"/>
      <c r="V39" s="88"/>
      <c r="W39" s="88"/>
      <c r="X39" s="2441"/>
      <c r="Y39" s="88"/>
      <c r="Z39" s="88"/>
      <c r="AA39" s="88"/>
      <c r="AB39" s="88"/>
      <c r="AC39" s="88"/>
    </row>
    <row r="40" spans="1:40" ht="12" customHeight="1">
      <c r="A40" s="139"/>
      <c r="B40" s="3436"/>
      <c r="C40" s="2414"/>
      <c r="D40" s="226"/>
      <c r="E40" s="3414"/>
      <c r="F40" s="3442" t="str">
        <f>"i. "&amp;TEXT($X$8,"$0,000")&amp;", if under age 50 at the end of "&amp;TaxYear&amp;"."</f>
        <v>i. $7,000, if under age 50 at the end of 2025.</v>
      </c>
      <c r="G40" s="1560"/>
      <c r="H40" s="1560"/>
      <c r="I40" s="88"/>
      <c r="J40" s="2414"/>
      <c r="K40" s="2393"/>
      <c r="L40" s="3434"/>
      <c r="M40" s="3434"/>
      <c r="N40" s="3434"/>
      <c r="O40" s="3434"/>
      <c r="P40" s="3434"/>
      <c r="Q40" s="3439"/>
      <c r="R40" s="3439"/>
      <c r="S40" s="3439"/>
      <c r="T40" s="2418"/>
      <c r="U40" s="2408"/>
      <c r="V40" s="88"/>
      <c r="W40" s="226" t="s">
        <v>979</v>
      </c>
      <c r="X40" s="226"/>
      <c r="Y40" s="88"/>
      <c r="Z40" s="88"/>
      <c r="AA40" s="88"/>
      <c r="AB40" s="88"/>
      <c r="AC40" s="88"/>
    </row>
    <row r="41" spans="1:40" s="80" customFormat="1" ht="12" customHeight="1">
      <c r="A41" s="962"/>
      <c r="B41" s="3443"/>
      <c r="C41" s="3444"/>
      <c r="D41" s="226"/>
      <c r="E41" s="1836"/>
      <c r="F41" s="3442" t="str">
        <f>"ii. "&amp;TEXT($X$10,"$0,000")&amp;", if age 50 or older at the"</f>
        <v>ii. $8,000, if age 50 or older at the</v>
      </c>
      <c r="G41" s="1560"/>
      <c r="H41" s="1560"/>
      <c r="I41" s="1560"/>
      <c r="J41" s="3444"/>
      <c r="K41" s="2460"/>
      <c r="L41" s="3434"/>
      <c r="M41" s="3434"/>
      <c r="N41" s="3434"/>
      <c r="O41" s="3434"/>
      <c r="P41" s="3434"/>
      <c r="Q41" s="3439"/>
      <c r="R41" s="3439"/>
      <c r="S41" s="3439"/>
      <c r="T41" s="2458"/>
      <c r="U41" s="2459"/>
      <c r="V41" s="1560"/>
      <c r="W41" s="7843" t="s">
        <v>771</v>
      </c>
      <c r="X41" s="7844"/>
      <c r="Y41" s="7844"/>
      <c r="Z41" s="1560"/>
      <c r="AA41" s="1560"/>
      <c r="AB41" s="1560"/>
      <c r="AC41" s="1560"/>
      <c r="AD41" s="664"/>
      <c r="AE41" s="664"/>
      <c r="AF41" s="664"/>
      <c r="AG41" s="664"/>
      <c r="AH41" s="664"/>
      <c r="AI41" s="664"/>
      <c r="AJ41" s="664"/>
      <c r="AK41" s="664"/>
      <c r="AL41" s="664"/>
      <c r="AM41" s="664"/>
      <c r="AN41" s="664"/>
    </row>
    <row r="42" spans="1:40" s="80" customFormat="1" ht="12" customHeight="1">
      <c r="A42" s="962"/>
      <c r="B42" s="3443"/>
      <c r="C42" s="3444"/>
      <c r="D42" s="226"/>
      <c r="E42" s="1836"/>
      <c r="F42" s="3442" t="str">
        <f>"   end of "&amp;TaxYear&amp;"."</f>
        <v xml:space="preserve">   end of 2025.</v>
      </c>
      <c r="G42" s="1560"/>
      <c r="H42" s="1560"/>
      <c r="I42" s="1560"/>
      <c r="J42" s="3444"/>
      <c r="K42" s="2460"/>
      <c r="L42" s="3434"/>
      <c r="M42" s="3434"/>
      <c r="N42" s="3434"/>
      <c r="O42" s="3434"/>
      <c r="P42" s="3434"/>
      <c r="Q42" s="3439"/>
      <c r="R42" s="3439"/>
      <c r="S42" s="3439"/>
      <c r="T42" s="2458"/>
      <c r="U42" s="2459"/>
      <c r="V42" s="1560"/>
      <c r="W42" s="139"/>
      <c r="X42" s="150"/>
      <c r="Y42" s="139"/>
      <c r="Z42" s="139"/>
      <c r="AA42" s="150"/>
      <c r="AB42" s="139"/>
      <c r="AC42" s="1560"/>
      <c r="AD42" s="664"/>
      <c r="AE42" s="664"/>
      <c r="AF42" s="664"/>
      <c r="AG42" s="664"/>
      <c r="AH42" s="664"/>
      <c r="AI42" s="664"/>
      <c r="AJ42" s="664"/>
      <c r="AK42" s="664"/>
      <c r="AL42" s="664"/>
      <c r="AM42" s="664"/>
      <c r="AN42" s="664"/>
    </row>
    <row r="43" spans="1:40" ht="12" customHeight="1">
      <c r="A43" s="139"/>
      <c r="B43" s="3436"/>
      <c r="C43" s="2414"/>
      <c r="D43" s="226"/>
      <c r="E43" s="3445"/>
      <c r="F43" s="1836" t="str">
        <f>"If the result is less than "&amp;TEXT(X17,"$0,000")&amp;", go to line 7."</f>
        <v>If the result is less than $10,000, go to line 7.</v>
      </c>
      <c r="G43" s="1560"/>
      <c r="H43" s="88"/>
      <c r="I43" s="88"/>
      <c r="J43" s="2414"/>
      <c r="K43" s="2450" t="s">
        <v>993</v>
      </c>
      <c r="L43" s="7645" t="str">
        <f>IF(X43&lt;&gt;"",ROUND(X43,0),IF(OR(BadBirthdate_Yours,L21="",$W$12="No",I26=""),"",IF(LEFT(L32,2)="No","",L21-L29)))</f>
        <v/>
      </c>
      <c r="M43" s="7645"/>
      <c r="N43" s="7645"/>
      <c r="O43" s="193"/>
      <c r="P43" s="2450" t="s">
        <v>994</v>
      </c>
      <c r="Q43" s="7645" t="str">
        <f>IF(AA43&lt;&gt;"",ROUND(AA43,0),IF(OR(Q14,R16,File_Marr_Joint="",I26=""),"",IF(OR(AND(File_Marr_Sep&lt;&gt;"",LivedApart),Q21="",$W$12="No"),"",IF(LEFT(Q32,2)="No","",Q21-Q29))))</f>
        <v/>
      </c>
      <c r="R43" s="7645"/>
      <c r="S43" s="7645"/>
      <c r="T43" s="2482"/>
      <c r="U43" s="2483"/>
      <c r="V43" s="88"/>
      <c r="W43" s="3435" t="s">
        <v>995</v>
      </c>
      <c r="X43" s="3446"/>
      <c r="Y43" s="3435" t="s">
        <v>996</v>
      </c>
      <c r="Z43" s="3435"/>
      <c r="AA43" s="3446"/>
      <c r="AB43" s="139"/>
      <c r="AC43" s="88"/>
    </row>
    <row r="44" spans="1:40" ht="12" customHeight="1">
      <c r="A44" s="139"/>
      <c r="B44" s="3436"/>
      <c r="C44" s="2414"/>
      <c r="D44" s="226"/>
      <c r="E44" s="3423" t="s">
        <v>975</v>
      </c>
      <c r="F44" s="1836" t="s">
        <v>6356</v>
      </c>
      <c r="G44" s="1560"/>
      <c r="H44" s="88"/>
      <c r="I44" s="88"/>
      <c r="J44" s="2414"/>
      <c r="K44" s="2393"/>
      <c r="L44" s="7839"/>
      <c r="M44" s="7840"/>
      <c r="N44" s="7840"/>
      <c r="O44" s="3434"/>
      <c r="P44" s="3434"/>
      <c r="Q44" s="7830" t="str">
        <f>IF(OR(File_Marr_Joint="",W12="No"),"",IF(OR(LivedApart,AND(File_Marr_Joint="",File_Marr_Sep="")),"",IF(LEFT(Q32,2)="No","",Q21-Q29)))</f>
        <v/>
      </c>
      <c r="R44" s="7830"/>
      <c r="S44" s="7830"/>
      <c r="T44" s="2418"/>
      <c r="U44" s="2408"/>
      <c r="V44" s="88"/>
      <c r="W44" s="139"/>
      <c r="X44" s="150"/>
      <c r="Y44" s="139"/>
      <c r="Z44" s="139"/>
      <c r="AA44" s="150"/>
      <c r="AB44" s="139"/>
      <c r="AC44" s="88"/>
    </row>
    <row r="45" spans="1:40" ht="12" customHeight="1">
      <c r="A45" s="139"/>
      <c r="B45" s="3436"/>
      <c r="C45" s="2414"/>
      <c r="D45" s="226"/>
      <c r="E45" s="3414"/>
      <c r="F45" s="1836" t="str">
        <f>TEXT(2*X17,"$0,000")&amp;" or more ("&amp;TEXT(X17,"$0,000")&amp;" or more in the column for the IRA of"</f>
        <v>$20,000 or more ($10,000 or more in the column for the IRA of</v>
      </c>
      <c r="G45" s="1560"/>
      <c r="H45" s="88"/>
      <c r="I45" s="88"/>
      <c r="J45" s="2414"/>
      <c r="K45" s="2393"/>
      <c r="L45" s="7830">
        <f>IF(K9&lt;&gt;"",2*$X$17,$X$17)</f>
        <v>10000</v>
      </c>
      <c r="M45" s="7830"/>
      <c r="N45" s="7830"/>
      <c r="O45" s="3434"/>
      <c r="P45" s="3434"/>
      <c r="Q45" s="7830">
        <f>IF(P10&lt;&gt;"",2*$X$17,$X$17)</f>
        <v>10000</v>
      </c>
      <c r="R45" s="7830"/>
      <c r="S45" s="7830"/>
      <c r="T45" s="2418"/>
      <c r="U45" s="2408"/>
      <c r="V45" s="88"/>
      <c r="W45" s="88"/>
      <c r="X45" s="2441"/>
      <c r="Y45" s="88"/>
      <c r="Z45" s="88"/>
      <c r="AA45" s="88"/>
      <c r="AB45" s="88"/>
      <c r="AC45" s="88"/>
    </row>
    <row r="46" spans="1:40" ht="12" customHeight="1">
      <c r="A46" s="139"/>
      <c r="B46" s="3436"/>
      <c r="C46" s="2414"/>
      <c r="D46" s="226"/>
      <c r="E46" s="3414"/>
      <c r="F46" s="1836" t="s">
        <v>997</v>
      </c>
      <c r="G46" s="1560"/>
      <c r="H46" s="88"/>
      <c r="I46" s="88"/>
      <c r="J46" s="2414"/>
      <c r="K46" s="2393"/>
      <c r="L46" s="3434"/>
      <c r="M46" s="3434"/>
      <c r="N46" s="3434"/>
      <c r="O46" s="3434"/>
      <c r="P46" s="3434"/>
      <c r="Q46" s="7830"/>
      <c r="R46" s="7830"/>
      <c r="S46" s="7830"/>
      <c r="T46" s="2418"/>
      <c r="U46" s="2408"/>
      <c r="V46" s="88"/>
      <c r="W46" s="88"/>
      <c r="X46" s="2441"/>
      <c r="Y46" s="88"/>
      <c r="Z46" s="88"/>
      <c r="AA46" s="88"/>
      <c r="AB46" s="88"/>
      <c r="AC46" s="88"/>
    </row>
    <row r="47" spans="1:40" ht="12" customHeight="1">
      <c r="A47" s="139"/>
      <c r="B47" s="3436"/>
      <c r="C47" s="2414"/>
      <c r="D47" s="226"/>
      <c r="E47" s="3414"/>
      <c r="F47" s="1836" t="s">
        <v>998</v>
      </c>
      <c r="G47" s="1560"/>
      <c r="H47" s="88"/>
      <c r="I47" s="88"/>
      <c r="J47" s="2414"/>
      <c r="K47" s="2393"/>
      <c r="L47" s="3434"/>
      <c r="M47" s="3434"/>
      <c r="N47" s="3434"/>
      <c r="O47" s="3434"/>
      <c r="P47" s="3434"/>
      <c r="Q47" s="3439"/>
      <c r="R47" s="3439"/>
      <c r="S47" s="3439"/>
      <c r="T47" s="2418"/>
      <c r="U47" s="2408"/>
      <c r="V47" s="88"/>
      <c r="W47" s="88"/>
      <c r="X47" s="2441"/>
      <c r="Y47" s="88"/>
      <c r="Z47" s="88"/>
      <c r="AA47" s="88"/>
      <c r="AB47" s="88"/>
      <c r="AC47" s="88"/>
    </row>
    <row r="48" spans="1:40" ht="12" customHeight="1">
      <c r="A48" s="139"/>
      <c r="B48" s="3436"/>
      <c r="C48" s="2414"/>
      <c r="D48" s="226"/>
      <c r="E48" s="3414"/>
      <c r="F48" s="3442" t="str">
        <f>"i. "&amp;TEXT($X$8,"$0,000")&amp;", if under age 50 at the end of "&amp;TaxYear&amp;"."</f>
        <v>i. $7,000, if under age 50 at the end of 2025.</v>
      </c>
      <c r="G48" s="1560"/>
      <c r="H48" s="1560"/>
      <c r="I48" s="88"/>
      <c r="J48" s="2414"/>
      <c r="K48" s="2393"/>
      <c r="L48" s="3434"/>
      <c r="M48" s="3434"/>
      <c r="N48" s="3434"/>
      <c r="O48" s="3434"/>
      <c r="P48" s="3434"/>
      <c r="Q48" s="3439"/>
      <c r="R48" s="3439"/>
      <c r="S48" s="3439"/>
      <c r="T48" s="2418"/>
      <c r="U48" s="2408"/>
      <c r="V48" s="88"/>
      <c r="W48" s="88"/>
      <c r="X48" s="2441"/>
      <c r="Y48" s="88"/>
      <c r="Z48" s="88"/>
      <c r="AA48" s="88"/>
      <c r="AB48" s="88"/>
      <c r="AC48" s="88"/>
    </row>
    <row r="49" spans="1:40" s="80" customFormat="1" ht="12" customHeight="1">
      <c r="A49" s="962"/>
      <c r="B49" s="3443"/>
      <c r="C49" s="3444"/>
      <c r="D49" s="226"/>
      <c r="E49" s="1836"/>
      <c r="F49" s="3442" t="str">
        <f>"ii. "&amp;TEXT($X$10,"$0,000")&amp;", if age 50 or older at the end of "&amp;TaxYear&amp;"."</f>
        <v>ii. $8,000, if age 50 or older at the end of 2025.</v>
      </c>
      <c r="G49" s="1560"/>
      <c r="H49" s="1560"/>
      <c r="I49" s="1560"/>
      <c r="J49" s="3444"/>
      <c r="K49" s="2460"/>
      <c r="L49" s="3434"/>
      <c r="M49" s="3434"/>
      <c r="N49" s="3434"/>
      <c r="O49" s="3434"/>
      <c r="P49" s="3434"/>
      <c r="Q49" s="3439"/>
      <c r="R49" s="3439"/>
      <c r="S49" s="3439"/>
      <c r="T49" s="2458"/>
      <c r="U49" s="2459"/>
      <c r="V49" s="1560"/>
      <c r="W49" s="1560"/>
      <c r="X49" s="2441"/>
      <c r="Y49" s="1560"/>
      <c r="Z49" s="1560"/>
      <c r="AA49" s="1560"/>
      <c r="AB49" s="1560"/>
      <c r="AC49" s="1560"/>
      <c r="AD49" s="664"/>
      <c r="AE49" s="664"/>
      <c r="AF49" s="664"/>
      <c r="AG49" s="664"/>
      <c r="AH49" s="664"/>
      <c r="AI49" s="664"/>
      <c r="AJ49" s="664"/>
      <c r="AK49" s="664"/>
      <c r="AL49" s="664"/>
      <c r="AM49" s="664"/>
      <c r="AN49" s="664"/>
    </row>
    <row r="50" spans="1:40" ht="12" customHeight="1">
      <c r="A50" s="139"/>
      <c r="B50" s="3436"/>
      <c r="C50" s="3444"/>
      <c r="D50" s="226"/>
      <c r="E50" s="3445"/>
      <c r="F50" s="1836" t="s">
        <v>999</v>
      </c>
      <c r="G50" s="1560"/>
      <c r="H50" s="88"/>
      <c r="I50" s="88"/>
      <c r="J50" s="3444"/>
      <c r="K50" s="2460"/>
      <c r="L50" s="3434"/>
      <c r="M50" s="3434"/>
      <c r="N50" s="3434"/>
      <c r="O50" s="3434"/>
      <c r="P50" s="3434"/>
      <c r="Q50" s="3439"/>
      <c r="R50" s="3439"/>
      <c r="S50" s="3439"/>
      <c r="T50" s="2458"/>
      <c r="U50" s="2483"/>
      <c r="V50" s="88"/>
      <c r="W50" s="88"/>
      <c r="X50" s="2441"/>
      <c r="Y50" s="88"/>
      <c r="Z50" s="88"/>
      <c r="AA50" s="88"/>
      <c r="AB50" s="88"/>
      <c r="AC50" s="88"/>
    </row>
    <row r="51" spans="1:40" ht="12" customHeight="1" thickBot="1">
      <c r="A51" s="139"/>
      <c r="B51" s="3447"/>
      <c r="C51" s="3448"/>
      <c r="D51" s="3448"/>
      <c r="E51" s="3449"/>
      <c r="F51" s="3449"/>
      <c r="G51" s="91"/>
      <c r="H51" s="91"/>
      <c r="I51" s="3450"/>
      <c r="J51" s="3450"/>
      <c r="K51" s="3451"/>
      <c r="L51" s="3452"/>
      <c r="M51" s="203"/>
      <c r="N51" s="203"/>
      <c r="O51" s="3450"/>
      <c r="P51" s="3450"/>
      <c r="Q51" s="3452"/>
      <c r="R51" s="203"/>
      <c r="S51" s="203"/>
      <c r="T51" s="3453"/>
      <c r="U51" s="2483"/>
      <c r="V51" s="88"/>
      <c r="W51" s="88"/>
      <c r="X51" s="2441"/>
      <c r="Y51" s="88"/>
      <c r="Z51" s="88"/>
      <c r="AA51" s="88"/>
      <c r="AB51" s="88"/>
      <c r="AC51" s="88"/>
    </row>
    <row r="52" spans="1:40" ht="1.5" customHeight="1">
      <c r="A52" s="139"/>
      <c r="B52" s="3454"/>
      <c r="C52" s="3455"/>
      <c r="D52" s="3455"/>
      <c r="E52" s="3456"/>
      <c r="F52" s="3456"/>
      <c r="G52" s="3457"/>
      <c r="H52" s="3457"/>
      <c r="I52" s="3458"/>
      <c r="J52" s="3458"/>
      <c r="K52" s="3459"/>
      <c r="L52" s="3460"/>
      <c r="M52" s="3461"/>
      <c r="N52" s="3461"/>
      <c r="O52" s="3458"/>
      <c r="P52" s="3458"/>
      <c r="Q52" s="3460"/>
      <c r="R52" s="3461"/>
      <c r="S52" s="3461"/>
      <c r="T52" s="3462"/>
      <c r="U52" s="2483"/>
      <c r="V52" s="88"/>
      <c r="W52" s="88"/>
      <c r="X52" s="2441"/>
      <c r="Y52" s="88"/>
      <c r="Z52" s="88"/>
      <c r="AA52" s="88"/>
      <c r="AB52" s="88"/>
      <c r="AC52" s="88"/>
    </row>
    <row r="53" spans="1:40" ht="22.5" customHeight="1">
      <c r="A53" s="139"/>
      <c r="B53" s="3463" t="str">
        <f>B2&amp;"  -  Continued"</f>
        <v>IRA Deduction Worksheet – Schedule 1, Line 20  -  Continued</v>
      </c>
      <c r="C53" s="20"/>
      <c r="D53" s="20"/>
      <c r="E53" s="20"/>
      <c r="F53" s="20"/>
      <c r="G53" s="20"/>
      <c r="H53" s="3464"/>
      <c r="I53" s="20"/>
      <c r="J53" s="20"/>
      <c r="K53" s="20"/>
      <c r="L53" s="20"/>
      <c r="M53" s="20"/>
      <c r="N53" s="20"/>
      <c r="O53" s="20"/>
      <c r="P53" s="2523"/>
      <c r="Q53" s="2523"/>
      <c r="R53" s="2523"/>
      <c r="S53" s="3465"/>
      <c r="T53" s="3466"/>
      <c r="U53" s="3385"/>
      <c r="V53" s="20"/>
      <c r="W53" s="20"/>
      <c r="X53" s="20"/>
      <c r="Y53" s="88"/>
      <c r="Z53" s="88"/>
      <c r="AA53" s="88"/>
      <c r="AB53" s="88"/>
      <c r="AC53" s="88"/>
    </row>
    <row r="54" spans="1:40" s="141" customFormat="1" ht="21.75" customHeight="1">
      <c r="A54" s="144"/>
      <c r="B54" s="3402"/>
      <c r="C54" s="3403"/>
      <c r="D54" s="3403"/>
      <c r="E54" s="3403"/>
      <c r="F54" s="3403"/>
      <c r="G54" s="3405"/>
      <c r="H54" s="3406"/>
      <c r="I54" s="3406"/>
      <c r="J54" s="3407"/>
      <c r="K54" s="3408"/>
      <c r="L54" s="3409" t="s">
        <v>966</v>
      </c>
      <c r="M54" s="3408"/>
      <c r="N54" s="3410" t="s">
        <v>967</v>
      </c>
      <c r="O54" s="3410"/>
      <c r="P54" s="3408"/>
      <c r="Q54" s="3408"/>
      <c r="R54" s="3408"/>
      <c r="S54" s="3408"/>
      <c r="T54" s="3411"/>
      <c r="U54" s="3401"/>
      <c r="V54" s="181"/>
      <c r="W54" s="181"/>
      <c r="X54" s="181"/>
      <c r="Y54" s="182"/>
      <c r="Z54" s="182"/>
      <c r="AA54" s="182"/>
      <c r="AB54" s="182"/>
      <c r="AC54" s="182"/>
      <c r="AD54" s="665"/>
      <c r="AE54" s="665"/>
      <c r="AF54" s="658"/>
      <c r="AG54" s="658"/>
      <c r="AH54" s="658"/>
      <c r="AI54" s="665"/>
      <c r="AJ54" s="665"/>
      <c r="AK54" s="665"/>
      <c r="AL54" s="665"/>
      <c r="AM54" s="665"/>
      <c r="AN54" s="665"/>
    </row>
    <row r="55" spans="1:40" ht="12" customHeight="1">
      <c r="A55" s="139"/>
      <c r="B55" s="3412">
        <v>7</v>
      </c>
      <c r="C55" s="3467" t="s">
        <v>1000</v>
      </c>
      <c r="D55" s="3467"/>
      <c r="E55" s="88"/>
      <c r="F55" s="88"/>
      <c r="G55" s="88"/>
      <c r="H55" s="88"/>
      <c r="I55" s="3468"/>
      <c r="J55" s="3469"/>
      <c r="K55" s="3470" t="s">
        <v>1001</v>
      </c>
      <c r="L55" s="7828">
        <f>IF(AND(L43&gt;$X$17,YourAge&lt;50),$X$8,IF(L43&gt;$X$17,$X$10,IF(YourAge&lt;50,ROUNDUP($AA$56*L43,-1),ROUNDUP($AA$57*L43,-1))))</f>
        <v>8000</v>
      </c>
      <c r="M55" s="7829"/>
      <c r="N55" s="7829"/>
      <c r="O55" s="3469"/>
      <c r="P55" s="3469"/>
      <c r="Q55" s="7828">
        <f>IF(L55&lt;$AA$55,$AA$55,L55)</f>
        <v>8000</v>
      </c>
      <c r="R55" s="7829"/>
      <c r="S55" s="7829"/>
      <c r="T55" s="3471"/>
      <c r="U55" s="3472"/>
      <c r="V55" s="3473"/>
      <c r="W55" s="3473"/>
      <c r="X55" s="3473"/>
      <c r="Y55" s="3473"/>
      <c r="Z55" s="3473"/>
      <c r="AA55" s="441">
        <v>200</v>
      </c>
      <c r="AB55" s="88"/>
      <c r="AC55" s="88"/>
    </row>
    <row r="56" spans="1:40" ht="15">
      <c r="A56" s="139"/>
      <c r="B56" s="3412"/>
      <c r="C56" s="1836" t="s">
        <v>1002</v>
      </c>
      <c r="D56" s="1836"/>
      <c r="E56" s="2471"/>
      <c r="F56" s="2471"/>
      <c r="G56" s="2471"/>
      <c r="H56" s="2414"/>
      <c r="I56" s="3434"/>
      <c r="J56" s="2441"/>
      <c r="K56" s="3470" t="s">
        <v>1003</v>
      </c>
      <c r="L56" s="7828" t="str">
        <f>IF(YourAge="?","",IF(AND(L43&gt;L45,YourAge&lt;50),$X$8,IF(L43&gt;L45,$X$10,IF(ROUNDUP(L58*L43,-1)&lt;$AA$55,$AA$55,ROUNDUP(L58*L43,-1)))))</f>
        <v/>
      </c>
      <c r="M56" s="7829"/>
      <c r="N56" s="7829"/>
      <c r="O56" s="202"/>
      <c r="P56" s="3470"/>
      <c r="Q56" s="7828">
        <f>IF(SpouseAge="®","",IF(AND(Q43&gt;Q45,SpouseAge&lt;50),$X$8,IF(AND(Q43&gt;Q45),$X$10,IF(ROUNDUP(Q58*Q43,-1)&lt;$AA$55,$AA$55,ROUNDUP(Q58*Q43,-1)))))</f>
        <v>8000</v>
      </c>
      <c r="R56" s="7829"/>
      <c r="S56" s="7829"/>
      <c r="T56" s="3474"/>
      <c r="U56" s="3472"/>
      <c r="V56" s="3434"/>
      <c r="W56" s="3434"/>
      <c r="X56" s="3434"/>
      <c r="Y56" s="3434"/>
      <c r="Z56" s="3434"/>
      <c r="AA56" s="441">
        <v>0.7</v>
      </c>
      <c r="AB56" s="88"/>
      <c r="AC56" s="88"/>
    </row>
    <row r="57" spans="1:40" ht="15">
      <c r="A57" s="139"/>
      <c r="B57" s="3412"/>
      <c r="C57" s="1836" t="str">
        <f>"example, increase $490.30 to $500). If the result is "&amp;TEXT(AA55,"$0")&amp;", or more, enter the"</f>
        <v>example, increase $490.30 to $500). If the result is $200, or more, enter the</v>
      </c>
      <c r="D57" s="1836"/>
      <c r="E57" s="2471"/>
      <c r="F57" s="2471"/>
      <c r="G57" s="2471"/>
      <c r="H57" s="2414"/>
      <c r="I57" s="3475"/>
      <c r="J57" s="3475"/>
      <c r="K57" s="3475"/>
      <c r="L57" s="3475"/>
      <c r="M57" s="3475"/>
      <c r="N57" s="3475"/>
      <c r="O57" s="3475"/>
      <c r="P57" s="3475"/>
      <c r="Q57" s="3475"/>
      <c r="R57" s="3475"/>
      <c r="S57" s="3475"/>
      <c r="T57" s="3474"/>
      <c r="U57" s="3472"/>
      <c r="V57" s="3434"/>
      <c r="W57" s="3434"/>
      <c r="X57" s="3434"/>
      <c r="Y57" s="3434"/>
      <c r="Z57" s="3434"/>
      <c r="AA57" s="441">
        <v>0.8</v>
      </c>
      <c r="AB57" s="88"/>
      <c r="AC57" s="88"/>
    </row>
    <row r="58" spans="1:40" ht="15">
      <c r="A58" s="139"/>
      <c r="B58" s="3412"/>
      <c r="C58" s="1836" t="str">
        <f>"result. But if it is less than "&amp;TEXT(AA55,"$0")&amp;", enter "&amp;TEXT(AA55,"$0")&amp;"."</f>
        <v>result. But if it is less than $200, enter $200.</v>
      </c>
      <c r="D58" s="1836"/>
      <c r="E58" s="2471"/>
      <c r="F58" s="2471"/>
      <c r="G58" s="2471"/>
      <c r="H58" s="2414"/>
      <c r="I58" s="3475"/>
      <c r="J58" s="3475"/>
      <c r="K58" s="3475"/>
      <c r="L58" s="3476">
        <f>IF(AND(K9&lt;&gt;"",YourAge&lt;50),AA58,IF(K9&lt;&gt;"",AA59,IF(YourAge&lt;50,AA56,AA57)))</f>
        <v>0.8</v>
      </c>
      <c r="M58" s="3475"/>
      <c r="N58" s="3475"/>
      <c r="O58" s="3475"/>
      <c r="P58" s="3475"/>
      <c r="Q58" s="3476">
        <f>IF(AND(P10&lt;&gt;"",SpouseAge&lt;50),AA58,IF(P10&lt;&gt;"",AA59,IF(SpouseAge&lt;50,AA56,AA57)))</f>
        <v>0.8</v>
      </c>
      <c r="R58" s="3475"/>
      <c r="S58" s="3475"/>
      <c r="T58" s="3474"/>
      <c r="U58" s="3472"/>
      <c r="V58" s="3434"/>
      <c r="W58" s="226" t="s">
        <v>979</v>
      </c>
      <c r="X58" s="226"/>
      <c r="Y58" s="88"/>
      <c r="Z58" s="3434"/>
      <c r="AA58" s="441">
        <v>0.35</v>
      </c>
      <c r="AB58" s="88"/>
      <c r="AC58" s="88"/>
    </row>
    <row r="59" spans="1:40" ht="15">
      <c r="A59" s="139"/>
      <c r="B59" s="3412"/>
      <c r="C59" s="3423" t="s">
        <v>975</v>
      </c>
      <c r="D59" s="1836" t="str">
        <f>"Single, head of household, or married filing separately, multiply by "&amp;TEXT(AA56,"0%")</f>
        <v>Single, head of household, or married filing separately, multiply by 70%</v>
      </c>
      <c r="E59" s="2471"/>
      <c r="F59" s="2471"/>
      <c r="G59" s="2471"/>
      <c r="H59" s="2414"/>
      <c r="I59" s="3475"/>
      <c r="J59" s="3477"/>
      <c r="K59" s="3478"/>
      <c r="L59" s="3433"/>
      <c r="M59" s="3433"/>
      <c r="N59" s="3433"/>
      <c r="O59" s="3433"/>
      <c r="P59" s="3433"/>
      <c r="Q59" s="3433"/>
      <c r="R59" s="3475"/>
      <c r="S59" s="3479" t="str">
        <f>IF(AND(K9&lt;&gt;"",File_Marr_Joint="",YourAge="®"),"Birthdate information needed on 'Form 1040 or 1040-SR', Row 73.",IF(AND(P10&lt;&gt;"",File_Marr_Joint&lt;&gt;"",SpouseAge=""),"Birthdate information needed on 'Form 1040 or 1040-SR', Rows 73 &amp; 75.",""))</f>
        <v/>
      </c>
      <c r="T59" s="3474"/>
      <c r="U59" s="3472"/>
      <c r="V59" s="3434"/>
      <c r="W59" s="7843" t="s">
        <v>771</v>
      </c>
      <c r="X59" s="7844"/>
      <c r="Y59" s="7844"/>
      <c r="Z59" s="3434"/>
      <c r="AA59" s="441">
        <v>0.4</v>
      </c>
      <c r="AB59" s="88"/>
      <c r="AC59" s="88"/>
    </row>
    <row r="60" spans="1:40" ht="15">
      <c r="A60" s="139"/>
      <c r="B60" s="3412"/>
      <c r="C60" s="1836"/>
      <c r="D60" s="1836" t="str">
        <f>"("&amp;TEXT(AA56,"0.00")&amp;")(or by "&amp;TEXT(AA57,"0%")&amp;" ("&amp;TEXT(AA57,"0.00")&amp;") in the column for the IRA of a person who is age"</f>
        <v>(0.70)(or by 80% (0.80) in the column for the IRA of a person who is age</v>
      </c>
      <c r="E60" s="2471"/>
      <c r="F60" s="2471"/>
      <c r="G60" s="2471"/>
      <c r="H60" s="2414"/>
      <c r="I60" s="2393"/>
      <c r="J60" s="2393"/>
      <c r="K60" s="2414"/>
      <c r="L60" s="3433"/>
      <c r="M60" s="3433"/>
      <c r="N60" s="3480"/>
      <c r="O60" s="3433"/>
      <c r="P60" s="3439"/>
      <c r="Q60" s="3439"/>
      <c r="R60" s="3439"/>
      <c r="S60" s="3479" t="str">
        <f>IF(AND(K9&lt;&gt;"",DependentYOU="",YourAge="®"),"Your birthdate is needed on Form 1040 or 1040-SR, Column AF.","")</f>
        <v/>
      </c>
      <c r="T60" s="2418"/>
      <c r="U60" s="2408"/>
      <c r="V60" s="88"/>
      <c r="W60" s="139"/>
      <c r="X60" s="150"/>
      <c r="Y60" s="139"/>
      <c r="Z60" s="139"/>
      <c r="AA60" s="150"/>
      <c r="AB60" s="139"/>
      <c r="AC60" s="88"/>
    </row>
    <row r="61" spans="1:40" ht="15">
      <c r="A61" s="139"/>
      <c r="B61" s="3412"/>
      <c r="C61" s="1836"/>
      <c r="D61" s="1836" t="str">
        <f>"50 or older at the end of "&amp;TaxYear&amp;")"</f>
        <v>50 or older at the end of 2025)</v>
      </c>
      <c r="E61" s="2393"/>
      <c r="F61" s="2393"/>
      <c r="G61" s="2393"/>
      <c r="H61" s="2414"/>
      <c r="I61" s="2393"/>
      <c r="J61" s="2451" t="s">
        <v>647</v>
      </c>
      <c r="K61" s="2450" t="s">
        <v>1004</v>
      </c>
      <c r="L61" s="7645" t="str">
        <f>IF(X61&lt;&gt;"",ROUND(X61,0),IF(OR(NOT(Yourself),Q14,BadBirthdate_Yours,LEFT(L32,3)="No."),"",IF(AND(K9="",YourAge&lt;50),$X$8,IF(AND(K9="",YourAge&gt;=50),$X$10,IF(OR(File_Single&lt;&gt;"",File_Head&lt;&gt;"",File_Marr_Sep&lt;&gt;""),Q55,IF(OR(File_Marr_Joint&lt;&gt;"",File_Qual_Widow&lt;&gt;""),L56,""))))))</f>
        <v/>
      </c>
      <c r="M61" s="7645"/>
      <c r="N61" s="7645"/>
      <c r="O61" s="193"/>
      <c r="P61" s="2450" t="s">
        <v>1005</v>
      </c>
      <c r="Q61" s="7645" t="str">
        <f>IF(AA61&lt;&gt;"",ROUND(AA61,0),IF(OR(R16,Q14,File_Marr_Joint="",SpouseAge="",LEFT(Q32,3)="No."),"",IF(AND(K9="",P10="",SpouseAge&lt;50),$X$8,IF(AND(K9="",P10="",SpouseAge&gt;=50),$X$10,Q56))))</f>
        <v/>
      </c>
      <c r="R61" s="7645"/>
      <c r="S61" s="7645"/>
      <c r="T61" s="2482"/>
      <c r="U61" s="2483"/>
      <c r="V61" s="88"/>
      <c r="W61" s="3435" t="s">
        <v>372</v>
      </c>
      <c r="X61" s="949"/>
      <c r="Y61" s="3435" t="s">
        <v>374</v>
      </c>
      <c r="Z61" s="3435"/>
      <c r="AA61" s="949"/>
      <c r="AB61" s="139"/>
      <c r="AC61" s="88"/>
    </row>
    <row r="62" spans="1:40" ht="15">
      <c r="A62" s="139"/>
      <c r="B62" s="3412"/>
      <c r="C62" s="3423" t="s">
        <v>975</v>
      </c>
      <c r="D62" s="1836" t="str">
        <f>"Married filing jointly or qualifying surviving spouse, multiply by "&amp;TEXT(AA58,"0%")&amp;" ("&amp;TEXT(AA58,"0.00")&amp;")"</f>
        <v>Married filing jointly or qualifying surviving spouse, multiply by 35% (0.35)</v>
      </c>
      <c r="E62" s="2471"/>
      <c r="F62" s="2471"/>
      <c r="G62" s="2471"/>
      <c r="H62" s="2414"/>
      <c r="I62" s="2393"/>
      <c r="J62" s="2393"/>
      <c r="K62" s="2414"/>
      <c r="L62" s="3433"/>
      <c r="M62" s="3433"/>
      <c r="N62" s="3433"/>
      <c r="O62" s="3433"/>
      <c r="P62" s="3439"/>
      <c r="Q62" s="3439"/>
      <c r="R62" s="3439"/>
      <c r="S62" s="3439"/>
      <c r="T62" s="2418"/>
      <c r="U62" s="2408"/>
      <c r="V62" s="88"/>
      <c r="W62" s="139"/>
      <c r="X62" s="150"/>
      <c r="Y62" s="139"/>
      <c r="Z62" s="139"/>
      <c r="AA62" s="150"/>
      <c r="AB62" s="139"/>
      <c r="AC62" s="88"/>
    </row>
    <row r="63" spans="1:40" ht="15">
      <c r="A63" s="139"/>
      <c r="B63" s="3412"/>
      <c r="C63" s="1836"/>
      <c r="D63" s="1836" t="str">
        <f>"(or by "&amp;TEXT(AA59,"0%")&amp;" ("&amp;TEXT(AA59,"0.00")&amp;") in the column for the IRA of a person who is age 50 or"</f>
        <v>(or by 40% (0.40) in the column for the IRA of a person who is age 50 or</v>
      </c>
      <c r="E63" s="2471"/>
      <c r="F63" s="2471"/>
      <c r="G63" s="2471"/>
      <c r="H63" s="2414"/>
      <c r="I63" s="2393"/>
      <c r="J63" s="2393"/>
      <c r="K63" s="2414"/>
      <c r="L63" s="3433"/>
      <c r="M63" s="3433"/>
      <c r="N63" s="3433"/>
      <c r="O63" s="3433"/>
      <c r="P63" s="3439"/>
      <c r="Q63" s="3439"/>
      <c r="R63" s="3439"/>
      <c r="S63" s="3439"/>
      <c r="T63" s="2418"/>
      <c r="U63" s="2408"/>
      <c r="V63" s="88"/>
      <c r="W63" s="139"/>
      <c r="X63" s="150"/>
      <c r="Y63" s="139"/>
      <c r="Z63" s="139"/>
      <c r="AA63" s="150"/>
      <c r="AB63" s="139"/>
      <c r="AC63" s="88"/>
    </row>
    <row r="64" spans="1:40" ht="15">
      <c r="A64" s="139"/>
      <c r="B64" s="3412"/>
      <c r="C64" s="1836"/>
      <c r="D64" s="1836" t="str">
        <f>"older at the end of "&amp;TaxYear&amp;"). But if you checked “No” on either line 1a"</f>
        <v>older at the end of 2025). But if you checked “No” on either line 1a</v>
      </c>
      <c r="E64" s="2471"/>
      <c r="F64" s="2471"/>
      <c r="G64" s="2471"/>
      <c r="H64" s="2414"/>
      <c r="I64" s="2393"/>
      <c r="J64" s="2393"/>
      <c r="K64" s="2414"/>
      <c r="L64" s="3433"/>
      <c r="M64" s="3433"/>
      <c r="N64" s="3433"/>
      <c r="O64" s="3433"/>
      <c r="P64" s="3439"/>
      <c r="Q64" s="3439"/>
      <c r="R64" s="3439"/>
      <c r="S64" s="3439"/>
      <c r="T64" s="2418"/>
      <c r="U64" s="2408"/>
      <c r="V64" s="88"/>
      <c r="W64" s="139"/>
      <c r="X64" s="150"/>
      <c r="Y64" s="139"/>
      <c r="Z64" s="139"/>
      <c r="AA64" s="150"/>
      <c r="AB64" s="139"/>
      <c r="AC64" s="88"/>
    </row>
    <row r="65" spans="1:29" ht="15">
      <c r="A65" s="139"/>
      <c r="B65" s="3412"/>
      <c r="C65" s="1836"/>
      <c r="D65" s="1836" t="s">
        <v>1006</v>
      </c>
      <c r="E65" s="2471"/>
      <c r="F65" s="2471"/>
      <c r="G65" s="2471"/>
      <c r="H65" s="2414"/>
      <c r="I65" s="2393"/>
      <c r="J65" s="2393"/>
      <c r="K65" s="2414"/>
      <c r="L65" s="3433"/>
      <c r="M65" s="3433"/>
      <c r="N65" s="3433"/>
      <c r="O65" s="3433"/>
      <c r="P65" s="3439"/>
      <c r="Q65" s="3439"/>
      <c r="R65" s="3439"/>
      <c r="S65" s="3439"/>
      <c r="T65" s="2418"/>
      <c r="U65" s="2408"/>
      <c r="V65" s="88"/>
      <c r="W65" s="139"/>
      <c r="X65" s="150"/>
      <c r="Y65" s="139"/>
      <c r="Z65" s="139"/>
      <c r="AA65" s="150"/>
      <c r="AB65" s="139"/>
      <c r="AC65" s="88"/>
    </row>
    <row r="66" spans="1:29" ht="15">
      <c r="A66" s="139"/>
      <c r="B66" s="3412"/>
      <c r="C66" s="1836"/>
      <c r="D66" s="1836" t="str">
        <f>"retirement plan, multiply by "&amp;TEXT(AA56,"0%")&amp;" ("&amp;TEXT(AA56,"0.00")&amp;") (or by "&amp;TEXT(AA57,"0%")&amp;" ("&amp;TEXT(AA57,"0.00")&amp;") if age 50 or"</f>
        <v>retirement plan, multiply by 70% (0.70) (or by 80% (0.80) if age 50 or</v>
      </c>
      <c r="E66" s="2471"/>
      <c r="F66" s="2471"/>
      <c r="G66" s="2471"/>
      <c r="H66" s="2414"/>
      <c r="I66" s="2393"/>
      <c r="J66" s="2393"/>
      <c r="K66" s="2414"/>
      <c r="L66" s="3433"/>
      <c r="M66" s="3433"/>
      <c r="N66" s="3433"/>
      <c r="O66" s="3433"/>
      <c r="P66" s="3439"/>
      <c r="Q66" s="3439"/>
      <c r="R66" s="3439"/>
      <c r="S66" s="3439"/>
      <c r="T66" s="2418"/>
      <c r="U66" s="2408"/>
      <c r="V66" s="88"/>
      <c r="W66" s="139"/>
      <c r="X66" s="150"/>
      <c r="Y66" s="139"/>
      <c r="Z66" s="139"/>
      <c r="AA66" s="150"/>
      <c r="AB66" s="139"/>
      <c r="AC66" s="88"/>
    </row>
    <row r="67" spans="1:29" ht="15">
      <c r="A67" s="139"/>
      <c r="B67" s="3412"/>
      <c r="C67" s="1836"/>
      <c r="D67" s="1836" t="str">
        <f>"older at the end of "&amp;TaxYear&amp;")."</f>
        <v>older at the end of 2025).</v>
      </c>
      <c r="E67" s="2471"/>
      <c r="F67" s="2471"/>
      <c r="G67" s="2471"/>
      <c r="H67" s="2414"/>
      <c r="I67" s="2393"/>
      <c r="J67" s="2393"/>
      <c r="K67" s="2414"/>
      <c r="L67" s="3433"/>
      <c r="M67" s="3433"/>
      <c r="N67" s="3433"/>
      <c r="O67" s="3433"/>
      <c r="P67" s="3439"/>
      <c r="Q67" s="3439"/>
      <c r="R67" s="3439"/>
      <c r="S67" s="3439"/>
      <c r="T67" s="2418"/>
      <c r="U67" s="2408"/>
      <c r="V67" s="88"/>
      <c r="W67" s="139"/>
      <c r="X67" s="150"/>
      <c r="Y67" s="139"/>
      <c r="Z67" s="139"/>
      <c r="AA67" s="150"/>
      <c r="AB67" s="139"/>
      <c r="AC67" s="88"/>
    </row>
    <row r="68" spans="1:29" ht="12.75" customHeight="1">
      <c r="A68" s="139"/>
      <c r="B68" s="3412">
        <v>8</v>
      </c>
      <c r="C68" s="1836" t="s">
        <v>1007</v>
      </c>
      <c r="D68" s="1836"/>
      <c r="E68" s="2393"/>
      <c r="F68" s="2393"/>
      <c r="G68" s="2393"/>
      <c r="H68" s="2414"/>
      <c r="I68" s="2393"/>
      <c r="J68" s="2393"/>
      <c r="K68" s="2450"/>
      <c r="L68" s="3481"/>
      <c r="M68" s="3482"/>
      <c r="N68" s="2645"/>
      <c r="O68" s="2643"/>
      <c r="P68" s="2450"/>
      <c r="Q68" s="3483"/>
      <c r="R68" s="88"/>
      <c r="S68" s="3484"/>
      <c r="T68" s="2482"/>
      <c r="U68" s="2483"/>
      <c r="V68" s="88"/>
      <c r="W68" s="139"/>
      <c r="X68" s="150"/>
      <c r="Y68" s="139"/>
      <c r="Z68" s="139"/>
      <c r="AA68" s="150"/>
      <c r="AB68" s="139"/>
      <c r="AC68" s="88"/>
    </row>
    <row r="69" spans="1:29" ht="12.75" customHeight="1">
      <c r="A69" s="139"/>
      <c r="B69" s="3412"/>
      <c r="C69" s="3423" t="s">
        <v>975</v>
      </c>
      <c r="D69" s="3419" t="s">
        <v>1008</v>
      </c>
      <c r="E69" s="2393"/>
      <c r="F69" s="2393"/>
      <c r="G69" s="2393"/>
      <c r="H69" s="2414"/>
      <c r="I69" s="2393"/>
      <c r="J69" s="2393"/>
      <c r="K69" s="2450"/>
      <c r="L69" s="3481"/>
      <c r="M69" s="2643"/>
      <c r="N69" s="2643"/>
      <c r="O69" s="2643"/>
      <c r="P69" s="2450"/>
      <c r="Q69" s="3483"/>
      <c r="R69" s="88"/>
      <c r="S69" s="88"/>
      <c r="T69" s="2482"/>
      <c r="U69" s="2483"/>
      <c r="V69" s="88"/>
      <c r="W69" s="226" t="s">
        <v>979</v>
      </c>
      <c r="X69" s="226"/>
      <c r="Y69" s="88"/>
      <c r="Z69" s="88"/>
      <c r="AA69" s="88"/>
      <c r="AB69" s="88"/>
      <c r="AC69" s="88"/>
    </row>
    <row r="70" spans="1:29" ht="12.75" customHeight="1">
      <c r="A70" s="139"/>
      <c r="B70" s="3412"/>
      <c r="C70" s="1836"/>
      <c r="D70" s="3419" t="s">
        <v>1009</v>
      </c>
      <c r="E70" s="2460"/>
      <c r="F70" s="2393"/>
      <c r="G70" s="2393"/>
      <c r="H70" s="2414"/>
      <c r="I70" s="2393"/>
      <c r="J70" s="2393"/>
      <c r="K70" s="2450"/>
      <c r="L70" s="3481"/>
      <c r="M70" s="2643"/>
      <c r="N70" s="2643"/>
      <c r="O70" s="2643"/>
      <c r="P70" s="2450"/>
      <c r="Q70" s="3483"/>
      <c r="R70" s="88"/>
      <c r="S70" s="88"/>
      <c r="T70" s="2482"/>
      <c r="U70" s="2483"/>
      <c r="V70" s="88"/>
      <c r="W70" s="7843" t="s">
        <v>771</v>
      </c>
      <c r="X70" s="7844"/>
      <c r="Y70" s="7844"/>
      <c r="Z70" s="88"/>
      <c r="AA70" s="88"/>
      <c r="AB70" s="88"/>
      <c r="AC70" s="88"/>
    </row>
    <row r="71" spans="1:29" ht="12.75" customHeight="1">
      <c r="A71" s="139"/>
      <c r="B71" s="3412"/>
      <c r="C71" s="1836"/>
      <c r="D71" s="3419" t="s">
        <v>1010</v>
      </c>
      <c r="E71" s="2460"/>
      <c r="F71" s="2393"/>
      <c r="G71" s="2393"/>
      <c r="H71" s="2414"/>
      <c r="I71" s="2393"/>
      <c r="J71" s="2393"/>
      <c r="K71" s="2450"/>
      <c r="L71" s="3481"/>
      <c r="M71" s="2643"/>
      <c r="N71" s="2643"/>
      <c r="O71" s="2643"/>
      <c r="P71" s="2450"/>
      <c r="Q71" s="3483"/>
      <c r="R71" s="88"/>
      <c r="S71" s="88"/>
      <c r="T71" s="2482"/>
      <c r="U71" s="2483"/>
      <c r="V71" s="88"/>
      <c r="W71" s="139"/>
      <c r="X71" s="150"/>
      <c r="Y71" s="139"/>
      <c r="Z71" s="139"/>
      <c r="AA71" s="88"/>
      <c r="AB71" s="88"/>
      <c r="AC71" s="88"/>
    </row>
    <row r="72" spans="1:29" ht="12.75" customHeight="1">
      <c r="A72" s="139"/>
      <c r="B72" s="3412"/>
      <c r="C72" s="3423" t="s">
        <v>975</v>
      </c>
      <c r="D72" s="3419" t="s">
        <v>1011</v>
      </c>
      <c r="E72" s="2393"/>
      <c r="F72" s="2393"/>
      <c r="G72" s="2393"/>
      <c r="H72" s="2414">
        <f>B68</f>
        <v>8</v>
      </c>
      <c r="I72" s="7827">
        <f>IF(X72&lt;&gt;"",ROUND(X72,0),ROUND(SUM(W2_Wages,AlimonyRcvd,X77),2))</f>
        <v>0</v>
      </c>
      <c r="J72" s="7827"/>
      <c r="K72" s="2450"/>
      <c r="L72" s="3481"/>
      <c r="M72" s="2643"/>
      <c r="N72" s="2643"/>
      <c r="O72" s="2643"/>
      <c r="P72" s="2450"/>
      <c r="Q72" s="3483"/>
      <c r="R72" s="88"/>
      <c r="S72" s="88"/>
      <c r="T72" s="2482"/>
      <c r="U72" s="2483"/>
      <c r="V72" s="88"/>
      <c r="W72" s="3485" t="s">
        <v>244</v>
      </c>
      <c r="X72" s="949"/>
      <c r="Y72" s="139"/>
      <c r="Z72" s="139"/>
      <c r="AA72" s="88"/>
      <c r="AB72" s="88"/>
      <c r="AC72" s="88"/>
    </row>
    <row r="73" spans="1:29" ht="12.75" customHeight="1">
      <c r="A73" s="139"/>
      <c r="B73" s="3412"/>
      <c r="C73" s="1836"/>
      <c r="D73" s="3419" t="s">
        <v>1012</v>
      </c>
      <c r="E73" s="2393"/>
      <c r="F73" s="2393"/>
      <c r="G73" s="2393"/>
      <c r="H73" s="2414"/>
      <c r="I73" s="2393"/>
      <c r="J73" s="2393"/>
      <c r="K73" s="2450"/>
      <c r="L73" s="3481"/>
      <c r="M73" s="2643"/>
      <c r="N73" s="2643"/>
      <c r="O73" s="2643"/>
      <c r="P73" s="2450"/>
      <c r="Q73" s="3483"/>
      <c r="R73" s="88"/>
      <c r="S73" s="88"/>
      <c r="T73" s="2482"/>
      <c r="U73" s="2483"/>
      <c r="V73" s="88"/>
      <c r="W73" s="139"/>
      <c r="X73" s="150"/>
      <c r="Y73" s="139"/>
      <c r="Z73" s="139"/>
      <c r="AA73" s="88"/>
      <c r="AB73" s="88"/>
      <c r="AC73" s="88"/>
    </row>
    <row r="74" spans="1:29" ht="12.75" customHeight="1">
      <c r="A74" s="139"/>
      <c r="B74" s="3412"/>
      <c r="C74" s="3423" t="s">
        <v>975</v>
      </c>
      <c r="D74" s="3419" t="s">
        <v>1013</v>
      </c>
      <c r="E74" s="2460"/>
      <c r="F74" s="2393"/>
      <c r="G74" s="2393"/>
      <c r="H74" s="2414"/>
      <c r="I74" s="2393"/>
      <c r="J74" s="2393"/>
      <c r="K74" s="2450"/>
      <c r="L74" s="3481"/>
      <c r="M74" s="2643"/>
      <c r="N74" s="2643"/>
      <c r="O74" s="2643"/>
      <c r="P74" s="2450"/>
      <c r="Q74" s="3483"/>
      <c r="R74" s="88"/>
      <c r="S74" s="88"/>
      <c r="T74" s="2482"/>
      <c r="U74" s="2483"/>
      <c r="V74" s="88"/>
      <c r="W74" s="3486"/>
      <c r="X74" s="3487"/>
      <c r="Y74" s="3488"/>
      <c r="Z74" s="3488"/>
      <c r="AA74" s="88"/>
      <c r="AB74" s="88"/>
      <c r="AC74" s="88"/>
    </row>
    <row r="75" spans="1:29" ht="12.75" customHeight="1">
      <c r="A75" s="139"/>
      <c r="B75" s="3412"/>
      <c r="C75" s="3423"/>
      <c r="D75" s="3419" t="s">
        <v>1014</v>
      </c>
      <c r="E75" s="2460"/>
      <c r="F75" s="2393"/>
      <c r="G75" s="2393"/>
      <c r="H75" s="2414"/>
      <c r="I75" s="2393"/>
      <c r="J75" s="2393"/>
      <c r="K75" s="2450"/>
      <c r="L75" s="3481"/>
      <c r="M75" s="2643"/>
      <c r="N75" s="2643"/>
      <c r="O75" s="2643"/>
      <c r="P75" s="2450"/>
      <c r="Q75" s="3483"/>
      <c r="R75" s="88"/>
      <c r="S75" s="88"/>
      <c r="T75" s="2482"/>
      <c r="U75" s="2483"/>
      <c r="V75" s="88"/>
      <c r="W75" s="139"/>
      <c r="X75" s="3489" t="s">
        <v>1015</v>
      </c>
      <c r="Y75" s="3490"/>
      <c r="Z75" s="3490"/>
      <c r="AA75" s="88"/>
      <c r="AB75" s="88"/>
      <c r="AC75" s="88"/>
    </row>
    <row r="76" spans="1:29" ht="15">
      <c r="A76" s="139"/>
      <c r="B76" s="3412"/>
      <c r="C76" s="1836"/>
      <c r="D76" s="3419" t="s">
        <v>1016</v>
      </c>
      <c r="E76" s="2460"/>
      <c r="F76" s="2393"/>
      <c r="G76" s="2393"/>
      <c r="H76" s="2414"/>
      <c r="I76" s="2393"/>
      <c r="J76" s="2393"/>
      <c r="K76" s="2450"/>
      <c r="L76" s="3481"/>
      <c r="M76" s="2643"/>
      <c r="N76" s="2643"/>
      <c r="O76" s="2643"/>
      <c r="P76" s="2450"/>
      <c r="Q76" s="3483"/>
      <c r="R76" s="88"/>
      <c r="S76" s="88"/>
      <c r="T76" s="2482"/>
      <c r="U76" s="2483"/>
      <c r="V76" s="2393"/>
      <c r="W76" s="139"/>
      <c r="X76" s="2835" t="s">
        <v>1017</v>
      </c>
      <c r="Y76" s="3490" t="s">
        <v>1018</v>
      </c>
      <c r="Z76" s="3490"/>
      <c r="AA76" s="88"/>
      <c r="AB76" s="88"/>
      <c r="AC76" s="88"/>
    </row>
    <row r="77" spans="1:29" ht="13.5" customHeight="1">
      <c r="A77" s="139"/>
      <c r="B77" s="3412">
        <v>9</v>
      </c>
      <c r="C77" s="1836" t="s">
        <v>1019</v>
      </c>
      <c r="D77" s="1836"/>
      <c r="E77" s="2393"/>
      <c r="F77" s="2393"/>
      <c r="G77" s="2393"/>
      <c r="H77" s="2414"/>
      <c r="I77" s="2393"/>
      <c r="J77" s="2393"/>
      <c r="K77" s="2450"/>
      <c r="L77" s="3481"/>
      <c r="M77" s="2643"/>
      <c r="N77" s="2643"/>
      <c r="O77" s="2643"/>
      <c r="P77" s="2450"/>
      <c r="Q77" s="3483"/>
      <c r="R77" s="88"/>
      <c r="S77" s="88"/>
      <c r="T77" s="2482"/>
      <c r="U77" s="2483"/>
      <c r="V77" s="2393"/>
      <c r="W77" s="3485" t="s">
        <v>1020</v>
      </c>
      <c r="X77" s="3491">
        <f>CombatPayNoTax</f>
        <v>0</v>
      </c>
      <c r="Y77" s="1562" t="s">
        <v>1021</v>
      </c>
      <c r="Z77" s="1562"/>
      <c r="AA77" s="88"/>
      <c r="AB77" s="88"/>
      <c r="AC77" s="88"/>
    </row>
    <row r="78" spans="1:29" ht="13.5" customHeight="1">
      <c r="A78" s="139"/>
      <c r="B78" s="3412"/>
      <c r="C78" s="1836" t="s">
        <v>1022</v>
      </c>
      <c r="D78" s="1836"/>
      <c r="E78" s="2393"/>
      <c r="F78" s="2393"/>
      <c r="G78" s="2393"/>
      <c r="H78" s="2414"/>
      <c r="I78" s="2393"/>
      <c r="J78" s="2393"/>
      <c r="K78" s="2450"/>
      <c r="L78" s="3481"/>
      <c r="M78" s="2643"/>
      <c r="N78" s="2643"/>
      <c r="O78" s="2643"/>
      <c r="P78" s="2450"/>
      <c r="Q78" s="3483"/>
      <c r="R78" s="88"/>
      <c r="S78" s="88"/>
      <c r="T78" s="2482"/>
      <c r="U78" s="2483"/>
      <c r="V78" s="2393"/>
      <c r="W78" s="139"/>
      <c r="X78" s="3492" t="s">
        <v>1023</v>
      </c>
      <c r="Y78" s="139"/>
      <c r="Z78" s="139"/>
      <c r="AA78" s="88"/>
      <c r="AB78" s="88"/>
      <c r="AC78" s="88"/>
    </row>
    <row r="79" spans="1:29" ht="13.5" customHeight="1">
      <c r="A79" s="139"/>
      <c r="B79" s="3412"/>
      <c r="C79" s="1836" t="s">
        <v>1024</v>
      </c>
      <c r="D79" s="1836"/>
      <c r="E79" s="2393"/>
      <c r="F79" s="2393"/>
      <c r="G79" s="2393"/>
      <c r="H79" s="2414"/>
      <c r="I79" s="2393"/>
      <c r="J79" s="2393"/>
      <c r="K79" s="2450"/>
      <c r="L79" s="3481"/>
      <c r="M79" s="2643"/>
      <c r="N79" s="2643"/>
      <c r="O79" s="2643"/>
      <c r="P79" s="2450"/>
      <c r="Q79" s="3483"/>
      <c r="R79" s="88"/>
      <c r="S79" s="88"/>
      <c r="T79" s="2482"/>
      <c r="U79" s="2483"/>
      <c r="V79" s="88"/>
      <c r="W79" s="88"/>
      <c r="X79" s="88"/>
      <c r="Y79" s="88"/>
      <c r="Z79" s="88"/>
      <c r="AA79" s="88"/>
      <c r="AB79" s="88"/>
      <c r="AC79" s="88"/>
    </row>
    <row r="80" spans="1:29" ht="13.5" customHeight="1">
      <c r="A80" s="139"/>
      <c r="B80" s="3412"/>
      <c r="C80" s="1836" t="s">
        <v>1025</v>
      </c>
      <c r="D80" s="1836"/>
      <c r="E80" s="2393"/>
      <c r="F80" s="2393"/>
      <c r="G80" s="2393"/>
      <c r="H80" s="2414"/>
      <c r="I80" s="2393"/>
      <c r="J80" s="2393"/>
      <c r="K80" s="2450"/>
      <c r="L80" s="3481"/>
      <c r="M80" s="2643"/>
      <c r="N80" s="2643"/>
      <c r="O80" s="2643"/>
      <c r="P80" s="2450"/>
      <c r="Q80" s="3483"/>
      <c r="R80" s="88"/>
      <c r="S80" s="88"/>
      <c r="T80" s="2482"/>
      <c r="U80" s="2483"/>
      <c r="V80" s="88"/>
      <c r="W80" s="226"/>
      <c r="X80" s="226"/>
      <c r="Y80" s="88"/>
      <c r="Z80" s="88"/>
      <c r="AA80" s="88"/>
      <c r="AB80" s="88"/>
      <c r="AC80" s="88"/>
    </row>
    <row r="81" spans="1:40" ht="13.5" customHeight="1">
      <c r="A81" s="139"/>
      <c r="B81" s="3412"/>
      <c r="C81" s="1836" t="s">
        <v>1026</v>
      </c>
      <c r="D81" s="1836"/>
      <c r="E81" s="2393"/>
      <c r="F81" s="2393"/>
      <c r="G81" s="2393"/>
      <c r="H81" s="2414"/>
      <c r="I81" s="2393"/>
      <c r="J81" s="2393"/>
      <c r="K81" s="2450"/>
      <c r="L81" s="3481"/>
      <c r="M81" s="2643"/>
      <c r="N81" s="2643"/>
      <c r="O81" s="2643"/>
      <c r="P81" s="2450"/>
      <c r="Q81" s="3483"/>
      <c r="R81" s="88"/>
      <c r="S81" s="88"/>
      <c r="T81" s="2482"/>
      <c r="U81" s="2483"/>
      <c r="V81" s="88"/>
      <c r="W81" s="7843"/>
      <c r="X81" s="7844"/>
      <c r="Y81" s="7844"/>
      <c r="Z81" s="88"/>
      <c r="AA81" s="88"/>
      <c r="AB81" s="88"/>
      <c r="AC81" s="88"/>
    </row>
    <row r="82" spans="1:40" ht="13.5" customHeight="1">
      <c r="A82" s="139"/>
      <c r="B82" s="3412"/>
      <c r="C82" s="1836" t="s">
        <v>1027</v>
      </c>
      <c r="D82" s="1836"/>
      <c r="E82" s="2393"/>
      <c r="F82" s="3419" t="s">
        <v>655</v>
      </c>
      <c r="G82" s="2393"/>
      <c r="H82" s="2414"/>
      <c r="I82" s="2393"/>
      <c r="J82" s="2393"/>
      <c r="K82" s="2450"/>
      <c r="L82" s="3481"/>
      <c r="M82" s="2643"/>
      <c r="N82" s="2643"/>
      <c r="O82" s="2643"/>
      <c r="P82" s="2450"/>
      <c r="Q82" s="3483"/>
      <c r="R82" s="88"/>
      <c r="S82" s="88"/>
      <c r="T82" s="2482"/>
      <c r="U82" s="2483"/>
      <c r="V82" s="88"/>
      <c r="W82" s="7843"/>
      <c r="X82" s="7844"/>
      <c r="Y82" s="7844"/>
      <c r="Z82" s="88"/>
      <c r="AA82" s="88"/>
      <c r="AB82" s="88"/>
      <c r="AC82" s="88"/>
    </row>
    <row r="83" spans="1:40" ht="15.75" customHeight="1">
      <c r="A83" s="139"/>
      <c r="B83" s="3412"/>
      <c r="C83" s="1836" t="s">
        <v>4925</v>
      </c>
      <c r="D83" s="1836"/>
      <c r="E83" s="2393"/>
      <c r="F83" s="2393"/>
      <c r="G83" s="2393"/>
      <c r="H83" s="2414">
        <f>B77</f>
        <v>9</v>
      </c>
      <c r="I83" s="7826"/>
      <c r="J83" s="7826"/>
      <c r="K83" s="2450"/>
      <c r="L83" s="3481"/>
      <c r="M83" s="2643"/>
      <c r="N83" s="2643"/>
      <c r="O83" s="2643"/>
      <c r="P83" s="2450"/>
      <c r="Q83" s="3483"/>
      <c r="R83" s="88"/>
      <c r="S83" s="88"/>
      <c r="T83" s="2482"/>
      <c r="U83" s="2483"/>
      <c r="V83" s="88"/>
      <c r="W83" s="7843"/>
      <c r="X83" s="7844"/>
      <c r="Y83" s="7844"/>
      <c r="Z83" s="88"/>
      <c r="AA83" s="88"/>
      <c r="AB83" s="88"/>
      <c r="AC83" s="88"/>
    </row>
    <row r="84" spans="1:40" s="3502" customFormat="1" ht="18" customHeight="1">
      <c r="A84" s="3493"/>
      <c r="B84" s="3412">
        <v>10</v>
      </c>
      <c r="C84" s="3494" t="s">
        <v>1028</v>
      </c>
      <c r="D84" s="3494"/>
      <c r="E84" s="3495"/>
      <c r="F84" s="3495"/>
      <c r="G84" s="2451" t="s">
        <v>1029</v>
      </c>
      <c r="H84" s="3496">
        <f>B84</f>
        <v>10</v>
      </c>
      <c r="I84" s="7827">
        <f>ROUND(SUM(I72,I83),2)</f>
        <v>0</v>
      </c>
      <c r="J84" s="7827"/>
      <c r="K84" s="3497"/>
      <c r="L84" s="3498"/>
      <c r="M84" s="3499"/>
      <c r="N84" s="3499"/>
      <c r="O84" s="3499"/>
      <c r="P84" s="3497"/>
      <c r="Q84" s="3495"/>
      <c r="R84" s="3495"/>
      <c r="S84" s="3495"/>
      <c r="T84" s="3500"/>
      <c r="U84" s="3501"/>
      <c r="V84" s="3495"/>
      <c r="W84" s="7843"/>
      <c r="X84" s="7844"/>
      <c r="Y84" s="7844"/>
      <c r="Z84" s="88"/>
      <c r="AA84" s="3495"/>
      <c r="AB84" s="3495"/>
      <c r="AC84" s="3495"/>
      <c r="AD84" s="658"/>
      <c r="AE84" s="658"/>
      <c r="AF84" s="658"/>
      <c r="AG84" s="658"/>
      <c r="AH84" s="658"/>
      <c r="AI84" s="658"/>
      <c r="AJ84" s="658"/>
      <c r="AK84" s="658"/>
      <c r="AL84" s="658"/>
      <c r="AM84" s="658"/>
      <c r="AN84" s="658"/>
    </row>
    <row r="85" spans="1:40" ht="6.75" customHeight="1" thickBot="1">
      <c r="A85" s="139"/>
      <c r="B85" s="3436"/>
      <c r="C85" s="88"/>
      <c r="D85" s="88"/>
      <c r="E85" s="2417"/>
      <c r="F85" s="2417"/>
      <c r="G85" s="2417"/>
      <c r="H85" s="2414"/>
      <c r="I85" s="3483"/>
      <c r="J85" s="3483"/>
      <c r="K85" s="2414"/>
      <c r="L85" s="2393"/>
      <c r="M85" s="2393"/>
      <c r="N85" s="2393"/>
      <c r="O85" s="2393"/>
      <c r="P85" s="2393"/>
      <c r="Q85" s="2393"/>
      <c r="R85" s="2393"/>
      <c r="S85" s="2393"/>
      <c r="T85" s="2418"/>
      <c r="U85" s="2408"/>
      <c r="V85" s="88"/>
      <c r="W85" s="7843"/>
      <c r="X85" s="7844"/>
      <c r="Y85" s="7844"/>
      <c r="Z85" s="88"/>
      <c r="AA85" s="88"/>
      <c r="AB85" s="88"/>
      <c r="AC85" s="88"/>
    </row>
    <row r="86" spans="1:40" ht="13.5" customHeight="1">
      <c r="A86" s="139"/>
      <c r="B86" s="3436"/>
      <c r="C86" s="89"/>
      <c r="D86" s="89"/>
      <c r="E86" s="3503"/>
      <c r="F86" s="3503"/>
      <c r="G86" s="3504" t="str">
        <f>"If married filing jointly and line "&amp;B84&amp;" is less than "&amp;TEXT(X86,"$0,000")&amp;" ("&amp;TEXT(X87,"$0,000")&amp;" if one"</f>
        <v>If married filing jointly and line 10 is less than $14,000 ($15,000 if one</v>
      </c>
      <c r="H86" s="3505"/>
      <c r="I86" s="3505"/>
      <c r="J86" s="3505"/>
      <c r="K86" s="3506"/>
      <c r="L86" s="2393"/>
      <c r="M86" s="2393"/>
      <c r="N86" s="2393"/>
      <c r="O86" s="2393"/>
      <c r="P86" s="2414"/>
      <c r="Q86" s="2393"/>
      <c r="R86" s="2393"/>
      <c r="S86" s="2393"/>
      <c r="T86" s="2418"/>
      <c r="U86" s="2408"/>
      <c r="V86" s="88"/>
      <c r="W86" s="88"/>
      <c r="X86" s="2713">
        <v>14000</v>
      </c>
      <c r="Y86" s="88"/>
      <c r="Z86" s="88"/>
      <c r="AA86" s="88"/>
      <c r="AB86" s="88"/>
      <c r="AC86" s="88"/>
    </row>
    <row r="87" spans="1:40" ht="13.5" customHeight="1">
      <c r="A87" s="139"/>
      <c r="B87" s="3436"/>
      <c r="C87" s="88"/>
      <c r="D87" s="88"/>
      <c r="E87" s="2448"/>
      <c r="F87" s="2448"/>
      <c r="G87" s="2442" t="str">
        <f>"spouse is age 50 or older at the end of "&amp;TaxYear&amp;"; "&amp;TEXT(X88,"$0,000")&amp;" if both "</f>
        <v xml:space="preserve">spouse is age 50 or older at the end of 2025; $16,000 if both </v>
      </c>
      <c r="H87" s="3507"/>
      <c r="I87" s="3507"/>
      <c r="J87" s="3507"/>
      <c r="K87" s="2414"/>
      <c r="L87" s="2473"/>
      <c r="M87" s="2473"/>
      <c r="N87" s="2473"/>
      <c r="O87" s="2473"/>
      <c r="P87" s="2414"/>
      <c r="Q87" s="2393"/>
      <c r="R87" s="2393"/>
      <c r="S87" s="2393"/>
      <c r="T87" s="2418"/>
      <c r="U87" s="2408"/>
      <c r="V87" s="88"/>
      <c r="W87" s="88"/>
      <c r="X87" s="2713">
        <v>15000</v>
      </c>
      <c r="Y87" s="88"/>
      <c r="Z87" s="88"/>
      <c r="AA87" s="88"/>
      <c r="AB87" s="88"/>
      <c r="AC87" s="88"/>
    </row>
    <row r="88" spans="1:40" ht="13.5" customHeight="1">
      <c r="A88" s="139"/>
      <c r="B88" s="3436"/>
      <c r="C88" s="88"/>
      <c r="D88" s="88"/>
      <c r="E88" s="2448"/>
      <c r="F88" s="2448"/>
      <c r="G88" s="2442" t="str">
        <f>"spouses are age 50 or older at  the end of  "&amp;TaxYear&amp;"), "</f>
        <v xml:space="preserve">spouses are age 50 or older at  the end of  2025), </v>
      </c>
      <c r="H88" s="3508"/>
      <c r="I88" s="3509" t="s">
        <v>1030</v>
      </c>
      <c r="J88" s="3509"/>
      <c r="K88" s="2414"/>
      <c r="L88" s="2473"/>
      <c r="M88" s="2473"/>
      <c r="N88" s="2473"/>
      <c r="O88" s="2473"/>
      <c r="P88" s="2414"/>
      <c r="Q88" s="2393"/>
      <c r="R88" s="2393"/>
      <c r="S88" s="2393"/>
      <c r="T88" s="2418"/>
      <c r="U88" s="2408"/>
      <c r="V88" s="88"/>
      <c r="W88" s="88"/>
      <c r="X88" s="2713">
        <v>16000</v>
      </c>
      <c r="Y88" s="88"/>
      <c r="Z88" s="88"/>
      <c r="AA88" s="88"/>
      <c r="AB88" s="88"/>
      <c r="AC88" s="88"/>
    </row>
    <row r="89" spans="1:40" ht="13.5" customHeight="1">
      <c r="A89" s="139"/>
      <c r="B89" s="3436"/>
      <c r="C89" s="88"/>
      <c r="D89" s="88"/>
      <c r="E89" s="2448"/>
      <c r="F89" s="2448"/>
      <c r="G89" s="2442" t="s">
        <v>1031</v>
      </c>
      <c r="H89" s="2480"/>
      <c r="I89" s="3510"/>
      <c r="J89" s="3510"/>
      <c r="K89" s="3511"/>
      <c r="L89" s="3511">
        <f>IF(AND(YourAge&gt;=50,SpouseAge&gt;=50),X88,IF(OR(YourAge&gt;=50,SpouseAge&gt;=50),X87,X86))</f>
        <v>16000</v>
      </c>
      <c r="M89" s="3511"/>
      <c r="N89" s="3511"/>
      <c r="O89" s="3511"/>
      <c r="P89" s="2414"/>
      <c r="Q89" s="2393"/>
      <c r="R89" s="2393"/>
      <c r="S89" s="2393"/>
      <c r="T89" s="2418"/>
      <c r="U89" s="2408"/>
      <c r="V89" s="88"/>
      <c r="W89" s="88"/>
      <c r="X89" s="441" t="str">
        <f>"April 15, "&amp;TaxYear+1</f>
        <v>April 15, 2026</v>
      </c>
      <c r="Y89" s="441">
        <f>WEEKDAY(X89)</f>
        <v>4</v>
      </c>
      <c r="Z89" s="88"/>
      <c r="AA89" s="88"/>
      <c r="AB89" s="88"/>
      <c r="AC89" s="88"/>
    </row>
    <row r="90" spans="1:40" ht="13.5" customHeight="1" thickBot="1">
      <c r="A90" s="139"/>
      <c r="B90" s="3436"/>
      <c r="C90" s="91"/>
      <c r="D90" s="91"/>
      <c r="E90" s="3512"/>
      <c r="F90" s="3512"/>
      <c r="G90" s="3513" t="str">
        <f>IF(AND(L61="",Q61=""),"",IF(AND(File_Marr_Joint&lt;&gt;"",I84&lt;L89),"STOP HERE and see Publication 590 to figure your IRA deduction.",""))</f>
        <v/>
      </c>
      <c r="H90" s="3514"/>
      <c r="I90" s="3514"/>
      <c r="J90" s="3514"/>
      <c r="K90" s="2395"/>
      <c r="L90" s="2473"/>
      <c r="M90" s="2473"/>
      <c r="N90" s="2473"/>
      <c r="O90" s="2473"/>
      <c r="P90" s="2414"/>
      <c r="Q90" s="2473" t="str">
        <f>IF(AND(File_Marr_Joint&lt;&gt;"",I83&lt;4000,),"See Pub. 590 (below)","")</f>
        <v/>
      </c>
      <c r="R90" s="2473"/>
      <c r="S90" s="2473"/>
      <c r="T90" s="3417"/>
      <c r="U90" s="3418"/>
      <c r="V90" s="88"/>
      <c r="W90" s="88"/>
      <c r="X90" s="441"/>
      <c r="Y90" s="441"/>
      <c r="Z90" s="88"/>
      <c r="AA90" s="88"/>
      <c r="AB90" s="88"/>
      <c r="AC90" s="88"/>
    </row>
    <row r="91" spans="1:40" ht="15">
      <c r="A91" s="139"/>
      <c r="B91" s="3412">
        <v>11</v>
      </c>
      <c r="C91" s="3515" t="s">
        <v>1032</v>
      </c>
      <c r="D91" s="3515"/>
      <c r="E91" s="2471"/>
      <c r="F91" s="2471"/>
      <c r="G91" s="2471"/>
      <c r="H91" s="2471"/>
      <c r="I91" s="2471"/>
      <c r="J91" s="2471"/>
      <c r="K91" s="2414"/>
      <c r="L91" s="2473"/>
      <c r="M91" s="2473"/>
      <c r="N91" s="2473"/>
      <c r="O91" s="2473"/>
      <c r="P91" s="2414"/>
      <c r="Q91" s="2393"/>
      <c r="R91" s="2393"/>
      <c r="S91" s="2393"/>
      <c r="T91" s="2418"/>
      <c r="U91" s="2408"/>
      <c r="V91" s="88"/>
      <c r="W91" s="88"/>
      <c r="X91" s="3516" t="str">
        <f>IF(Y89=6,X89+3,IF(Y89=7,X89+2,IF(Y89=1,X89+1,X89)))</f>
        <v>April 15, 2026</v>
      </c>
      <c r="Y91" s="441"/>
      <c r="Z91" s="88"/>
      <c r="AA91" s="88"/>
      <c r="AB91" s="88"/>
      <c r="AC91" s="88"/>
    </row>
    <row r="92" spans="1:40" ht="15">
      <c r="A92" s="139"/>
      <c r="B92" s="3412"/>
      <c r="C92" s="3515" t="str">
        <f>"of your "&amp;TaxYear&amp;" return not counting extensions ("&amp;TEXT(TaxDay,"mmmm dd, yyyy")&amp;" for most people),"</f>
        <v>of your 2025 return not counting extensions (April 15, 2026 for most people),</v>
      </c>
      <c r="D92" s="3515"/>
      <c r="E92" s="2471"/>
      <c r="F92" s="2471"/>
      <c r="G92" s="2471"/>
      <c r="H92" s="2471"/>
      <c r="I92" s="2471"/>
      <c r="J92" s="2471"/>
      <c r="K92" s="2414"/>
      <c r="L92" s="2473"/>
      <c r="M92" s="2473"/>
      <c r="N92" s="2473"/>
      <c r="O92" s="2473"/>
      <c r="P92" s="2414"/>
      <c r="Q92" s="2393"/>
      <c r="R92" s="2393"/>
      <c r="S92" s="2393"/>
      <c r="T92" s="2418"/>
      <c r="U92" s="2408"/>
      <c r="V92" s="88"/>
      <c r="W92" s="88"/>
      <c r="X92" s="2868"/>
      <c r="Y92" s="88"/>
      <c r="Z92" s="88"/>
      <c r="AA92" s="88"/>
      <c r="AB92" s="88"/>
      <c r="AC92" s="88"/>
    </row>
    <row r="93" spans="1:40" ht="12.75" customHeight="1">
      <c r="A93" s="139"/>
      <c r="B93" s="3412"/>
      <c r="C93" s="3515" t="str">
        <f>"for "&amp;TaxYear&amp;" to your IRA on line 11a and to your spouse's IRA on line 11b"</f>
        <v>for 2025 to your IRA on line 11a and to your spouse's IRA on line 11b</v>
      </c>
      <c r="D93" s="3515"/>
      <c r="E93" s="2471"/>
      <c r="F93" s="2471"/>
      <c r="G93" s="2471"/>
      <c r="H93" s="2471"/>
      <c r="I93" s="2471"/>
      <c r="J93" s="2451" t="s">
        <v>824</v>
      </c>
      <c r="K93" s="2450" t="s">
        <v>1033</v>
      </c>
      <c r="L93" s="7826"/>
      <c r="M93" s="7826"/>
      <c r="N93" s="7833"/>
      <c r="O93" s="194"/>
      <c r="P93" s="2450" t="s">
        <v>1034</v>
      </c>
      <c r="Q93" s="7826"/>
      <c r="R93" s="7826"/>
      <c r="S93" s="7833"/>
      <c r="T93" s="122"/>
      <c r="U93" s="179"/>
      <c r="V93" s="88"/>
      <c r="W93" s="88"/>
      <c r="X93" s="2868"/>
      <c r="Y93" s="88"/>
      <c r="Z93" s="88"/>
      <c r="AA93" s="88"/>
      <c r="AB93" s="88"/>
      <c r="AC93" s="88"/>
    </row>
    <row r="94" spans="1:40" ht="17.25" customHeight="1">
      <c r="A94" s="139"/>
      <c r="B94" s="3412">
        <v>12</v>
      </c>
      <c r="C94" s="1836" t="s">
        <v>4926</v>
      </c>
      <c r="D94" s="1836"/>
      <c r="E94" s="2471"/>
      <c r="F94" s="2471"/>
      <c r="G94" s="2471"/>
      <c r="H94" s="2471"/>
      <c r="I94" s="2471"/>
      <c r="J94" s="2471"/>
      <c r="K94" s="2414"/>
      <c r="L94" s="3517">
        <f>IF(L93="",0,L93)</f>
        <v>0</v>
      </c>
      <c r="M94" s="3517"/>
      <c r="N94" s="3517"/>
      <c r="O94" s="3517"/>
      <c r="P94" s="2414"/>
      <c r="Q94" s="3517">
        <f>IF(Q93="",0,Q93)</f>
        <v>0</v>
      </c>
      <c r="R94" s="3517"/>
      <c r="S94" s="3517"/>
      <c r="T94" s="3518"/>
      <c r="U94" s="3519"/>
      <c r="V94" s="88"/>
      <c r="W94" s="226" t="s">
        <v>979</v>
      </c>
      <c r="X94" s="226"/>
      <c r="Y94" s="88"/>
      <c r="Z94" s="88"/>
      <c r="AA94" s="88"/>
      <c r="AB94" s="88"/>
      <c r="AC94" s="88"/>
    </row>
    <row r="95" spans="1:40" ht="12.75" customHeight="1">
      <c r="A95" s="139"/>
      <c r="B95" s="3520"/>
      <c r="C95" s="1836" t="s">
        <v>4927</v>
      </c>
      <c r="D95" s="1836"/>
      <c r="E95" s="2471"/>
      <c r="F95" s="2471"/>
      <c r="G95" s="2471"/>
      <c r="H95" s="2471"/>
      <c r="I95" s="2471"/>
      <c r="J95" s="2471"/>
      <c r="K95" s="3521"/>
      <c r="L95" s="2473"/>
      <c r="M95" s="2473"/>
      <c r="N95" s="2473"/>
      <c r="O95" s="2473"/>
      <c r="P95" s="2414"/>
      <c r="Q95" s="2393"/>
      <c r="R95" s="2393"/>
      <c r="S95" s="2393"/>
      <c r="T95" s="2418"/>
      <c r="U95" s="2408"/>
      <c r="V95" s="88"/>
      <c r="W95" s="7843" t="s">
        <v>771</v>
      </c>
      <c r="X95" s="7844"/>
      <c r="Y95" s="7844"/>
      <c r="Z95" s="88"/>
      <c r="AA95" s="88"/>
      <c r="AB95" s="88"/>
      <c r="AC95" s="88"/>
    </row>
    <row r="96" spans="1:40" ht="15">
      <c r="A96" s="139"/>
      <c r="B96" s="3520"/>
      <c r="C96" s="1836" t="s">
        <v>1035</v>
      </c>
      <c r="D96" s="1836"/>
      <c r="E96" s="2471"/>
      <c r="F96" s="2471"/>
      <c r="G96" s="2471"/>
      <c r="H96" s="2471"/>
      <c r="I96" s="2471"/>
      <c r="J96" s="2471"/>
      <c r="K96" s="3521"/>
      <c r="L96" s="2473"/>
      <c r="M96" s="2473"/>
      <c r="N96" s="2473"/>
      <c r="O96" s="2473"/>
      <c r="P96" s="2414"/>
      <c r="Q96" s="2393"/>
      <c r="R96" s="2393"/>
      <c r="S96" s="2393"/>
      <c r="T96" s="2418"/>
      <c r="U96" s="2408"/>
      <c r="V96" s="88"/>
      <c r="W96" s="139"/>
      <c r="X96" s="150"/>
      <c r="Y96" s="139"/>
      <c r="Z96" s="139"/>
      <c r="AA96" s="150"/>
      <c r="AB96" s="139"/>
      <c r="AC96" s="88"/>
    </row>
    <row r="97" spans="1:29" ht="15">
      <c r="A97" s="139"/>
      <c r="B97" s="3520"/>
      <c r="C97" s="1836" t="s">
        <v>5052</v>
      </c>
      <c r="D97" s="1836"/>
      <c r="E97" s="2480"/>
      <c r="F97" s="2480"/>
      <c r="G97" s="2480"/>
      <c r="H97" s="2480"/>
      <c r="I97" s="2480"/>
      <c r="J97" s="2451"/>
      <c r="K97" s="2450" t="s">
        <v>1037</v>
      </c>
      <c r="L97" s="7645" t="str">
        <f>IF(X97&lt;&gt;"",ROUND(X97,0),IF(OR(NOT(Yourself),Q14,BadBirthdate_Yours,LEFT(G90,4)="STOP",LEFT(L32,2)="No"),"",MIN(L61,I84,L94)))</f>
        <v/>
      </c>
      <c r="M97" s="7645"/>
      <c r="N97" s="7645"/>
      <c r="P97" s="2450" t="s">
        <v>1038</v>
      </c>
      <c r="Q97" s="7645" t="str">
        <f>IF(AA97&lt;&gt;"",ROUND(AA97,0),IF(OR(LEFT(G90,4)="STOP",Q61=""),"",IF(LEFT(Q32,2)="No","",MIN(Q61,I84,Q94))))</f>
        <v/>
      </c>
      <c r="R97" s="7645"/>
      <c r="S97" s="7645"/>
      <c r="T97" s="3430"/>
      <c r="U97" s="3431"/>
      <c r="V97" s="88"/>
      <c r="W97" s="139"/>
      <c r="X97" s="187"/>
      <c r="Y97" s="139"/>
      <c r="Z97" s="139"/>
      <c r="AA97" s="187"/>
      <c r="AB97" s="139"/>
      <c r="AC97" s="88"/>
    </row>
    <row r="98" spans="1:29" ht="15.75" thickBot="1">
      <c r="A98" s="139"/>
      <c r="B98" s="3522"/>
      <c r="C98" s="3449"/>
      <c r="D98" s="3449"/>
      <c r="E98" s="3523"/>
      <c r="F98" s="3523"/>
      <c r="G98" s="3523"/>
      <c r="H98" s="3523"/>
      <c r="I98" s="3523"/>
      <c r="J98" s="3523"/>
      <c r="K98" s="2395"/>
      <c r="L98" s="3523"/>
      <c r="M98" s="3523"/>
      <c r="N98" s="3523"/>
      <c r="O98" s="3523"/>
      <c r="P98" s="2395"/>
      <c r="Q98" s="3523"/>
      <c r="R98" s="3523"/>
      <c r="S98" s="3523"/>
      <c r="T98" s="3524"/>
      <c r="U98" s="2408"/>
      <c r="V98" s="88"/>
      <c r="W98" s="139"/>
      <c r="X98" s="150"/>
      <c r="Y98" s="139"/>
      <c r="Z98" s="139"/>
      <c r="AA98" s="150"/>
      <c r="AB98" s="139"/>
      <c r="AC98" s="88"/>
    </row>
    <row r="99" spans="1:29">
      <c r="A99" s="139"/>
      <c r="B99" s="3525"/>
      <c r="C99" s="2448"/>
      <c r="D99" s="2448"/>
      <c r="E99" s="3526"/>
      <c r="F99" s="3526"/>
      <c r="G99" s="3526"/>
      <c r="H99" s="2414"/>
      <c r="I99" s="2393"/>
      <c r="J99" s="2393"/>
      <c r="K99" s="2414"/>
      <c r="L99" s="2393"/>
      <c r="M99" s="2393"/>
      <c r="N99" s="2393"/>
      <c r="O99" s="2393"/>
      <c r="P99" s="2393"/>
      <c r="Q99" s="2393"/>
      <c r="R99" s="2393"/>
      <c r="S99" s="2393"/>
      <c r="T99" s="2418"/>
      <c r="U99" s="2408"/>
      <c r="V99" s="88"/>
      <c r="W99" s="88"/>
      <c r="X99" s="88"/>
      <c r="Y99" s="88"/>
      <c r="Z99" s="88"/>
      <c r="AA99" s="88"/>
      <c r="AB99" s="88"/>
      <c r="AC99" s="88"/>
    </row>
    <row r="100" spans="1:29" ht="15.75">
      <c r="A100" s="139"/>
      <c r="B100" s="3527"/>
      <c r="C100" s="2448"/>
      <c r="D100" s="2448"/>
      <c r="E100" s="3526"/>
      <c r="F100" s="3526"/>
      <c r="G100" s="3526"/>
      <c r="H100" s="2414"/>
      <c r="I100" s="2393"/>
      <c r="J100" s="2393"/>
      <c r="K100" s="3528" t="s">
        <v>1039</v>
      </c>
      <c r="L100" s="7831" t="str">
        <f>IF(AND(L97="",Q97=""),"",IF(Q97="",L97,SUM(L97,Q97)))</f>
        <v/>
      </c>
      <c r="M100" s="7438"/>
      <c r="N100" s="7832"/>
      <c r="P100" s="2393"/>
      <c r="Q100" s="2393"/>
      <c r="R100" s="2393"/>
      <c r="S100" s="2393"/>
      <c r="T100" s="2418"/>
      <c r="U100" s="2408"/>
      <c r="V100" s="88"/>
      <c r="W100" s="88"/>
      <c r="X100" s="88"/>
      <c r="Y100" s="88"/>
      <c r="Z100" s="88"/>
      <c r="AA100" s="88"/>
      <c r="AB100" s="88"/>
      <c r="AC100" s="88"/>
    </row>
    <row r="101" spans="1:29" ht="16.5" thickBot="1">
      <c r="A101" s="139"/>
      <c r="B101" s="3529"/>
      <c r="C101" s="3512"/>
      <c r="D101" s="3512"/>
      <c r="E101" s="3530"/>
      <c r="F101" s="3530"/>
      <c r="G101" s="3530"/>
      <c r="H101" s="2395"/>
      <c r="I101" s="3523"/>
      <c r="J101" s="3523"/>
      <c r="K101" s="3531"/>
      <c r="L101" s="3532"/>
      <c r="M101" s="3532"/>
      <c r="N101" s="3532"/>
      <c r="O101" s="3532"/>
      <c r="P101" s="3523"/>
      <c r="Q101" s="3523"/>
      <c r="R101" s="3523"/>
      <c r="S101" s="3523"/>
      <c r="T101" s="3524"/>
      <c r="U101" s="2408"/>
      <c r="V101" s="88"/>
      <c r="W101" s="88"/>
      <c r="X101" s="88"/>
      <c r="Y101" s="88"/>
      <c r="Z101" s="88"/>
      <c r="AA101" s="88"/>
      <c r="AB101" s="88"/>
      <c r="AC101" s="88"/>
    </row>
    <row r="102" spans="1:29">
      <c r="A102" s="139"/>
      <c r="B102" s="139"/>
      <c r="C102" s="139"/>
      <c r="D102" s="139"/>
      <c r="E102" s="139"/>
      <c r="F102" s="139"/>
      <c r="G102" s="139"/>
      <c r="H102" s="139"/>
      <c r="I102" s="139"/>
      <c r="J102" s="139"/>
      <c r="K102" s="139"/>
      <c r="L102" s="139"/>
      <c r="M102" s="139"/>
      <c r="N102" s="139"/>
      <c r="O102" s="139"/>
      <c r="P102" s="139"/>
      <c r="Q102" s="139"/>
      <c r="R102" s="139"/>
      <c r="S102" s="139"/>
      <c r="T102" s="139"/>
      <c r="U102" s="139"/>
      <c r="V102" s="88"/>
      <c r="W102" s="88"/>
      <c r="X102" s="88"/>
      <c r="Y102" s="88"/>
      <c r="Z102" s="88"/>
      <c r="AA102" s="88"/>
      <c r="AB102" s="88"/>
      <c r="AC102" s="88"/>
    </row>
    <row r="103" spans="1:29">
      <c r="A103" s="88"/>
      <c r="B103" s="88"/>
      <c r="C103" s="88"/>
      <c r="D103" s="88"/>
      <c r="E103" s="88"/>
      <c r="F103" s="88"/>
      <c r="G103" s="88"/>
      <c r="H103" s="88"/>
      <c r="I103" s="88"/>
      <c r="J103" s="88"/>
      <c r="K103" s="88"/>
      <c r="L103" s="88"/>
      <c r="M103" s="88"/>
      <c r="N103" s="88"/>
      <c r="O103" s="88"/>
      <c r="P103" s="88"/>
      <c r="Q103" s="88"/>
      <c r="R103" s="88"/>
      <c r="S103" s="88"/>
      <c r="T103" s="88"/>
      <c r="U103" s="88"/>
      <c r="V103" s="88"/>
      <c r="W103" s="88"/>
      <c r="X103" s="88"/>
      <c r="Y103" s="88"/>
      <c r="Z103" s="88"/>
      <c r="AA103" s="88"/>
      <c r="AB103" s="88"/>
      <c r="AC103" s="88"/>
    </row>
    <row r="104" spans="1:29">
      <c r="A104" s="88"/>
      <c r="B104" s="88"/>
      <c r="C104" s="88"/>
      <c r="D104" s="88"/>
      <c r="E104" s="88"/>
      <c r="F104" s="88"/>
      <c r="G104" s="88"/>
      <c r="H104" s="88"/>
      <c r="I104" s="88"/>
      <c r="J104" s="88"/>
      <c r="K104" s="88"/>
      <c r="L104" s="88"/>
      <c r="M104" s="88"/>
      <c r="N104" s="88"/>
      <c r="O104" s="88"/>
      <c r="P104" s="88"/>
      <c r="Q104" s="88"/>
      <c r="R104" s="88"/>
      <c r="S104" s="88"/>
      <c r="T104" s="88"/>
      <c r="U104" s="88"/>
      <c r="V104" s="88"/>
      <c r="W104" s="88"/>
      <c r="X104" s="88"/>
      <c r="Y104" s="88"/>
      <c r="Z104" s="88"/>
      <c r="AA104" s="88"/>
      <c r="AB104" s="88"/>
      <c r="AC104" s="88"/>
    </row>
  </sheetData>
  <sheetProtection algorithmName="SHA-512" hashValue="GBClhgctIBnOAvVanwRq+ef0DIi7ZkQsiJv5+Uw6BMwyH76JeCp9ySrvFyS3hMufYsu/yQm98q/ZpC17XLDaig==" saltValue="gIRb2ArhLgHFdar4k+grZw==" spinCount="100000" sheet="1" objects="1" scenarios="1" formatCells="0" formatColumns="0" formatRows="0"/>
  <mergeCells count="43">
    <mergeCell ref="W24:Y24"/>
    <mergeCell ref="W70:Y70"/>
    <mergeCell ref="W95:Y95"/>
    <mergeCell ref="W41:Y41"/>
    <mergeCell ref="W59:Y59"/>
    <mergeCell ref="W81:Y81"/>
    <mergeCell ref="W82:Y82"/>
    <mergeCell ref="W83:Y83"/>
    <mergeCell ref="W84:Y84"/>
    <mergeCell ref="W85:Y85"/>
    <mergeCell ref="W26:Y26"/>
    <mergeCell ref="Q14:R14"/>
    <mergeCell ref="L22:N22"/>
    <mergeCell ref="Q22:S22"/>
    <mergeCell ref="L44:N44"/>
    <mergeCell ref="Q21:S21"/>
    <mergeCell ref="L21:N21"/>
    <mergeCell ref="R16:T16"/>
    <mergeCell ref="L25:N25"/>
    <mergeCell ref="I84:J84"/>
    <mergeCell ref="I83:J83"/>
    <mergeCell ref="L100:N100"/>
    <mergeCell ref="L93:N93"/>
    <mergeCell ref="Q93:S93"/>
    <mergeCell ref="Q97:S97"/>
    <mergeCell ref="L97:N97"/>
    <mergeCell ref="L61:N61"/>
    <mergeCell ref="I72:J72"/>
    <mergeCell ref="Q29:S29"/>
    <mergeCell ref="Q43:S43"/>
    <mergeCell ref="Q61:S61"/>
    <mergeCell ref="Q45:S45"/>
    <mergeCell ref="L29:N29"/>
    <mergeCell ref="L55:N55"/>
    <mergeCell ref="L56:N56"/>
    <mergeCell ref="L43:N43"/>
    <mergeCell ref="I26:J26"/>
    <mergeCell ref="I28:J28"/>
    <mergeCell ref="Q55:S55"/>
    <mergeCell ref="Q56:S56"/>
    <mergeCell ref="Q46:S46"/>
    <mergeCell ref="Q44:S44"/>
    <mergeCell ref="L45:N45"/>
  </mergeCells>
  <phoneticPr fontId="13" type="noConversion"/>
  <conditionalFormatting sqref="F82">
    <cfRule type="expression" dxfId="3413" priority="21">
      <formula>$I$83&lt;0</formula>
    </cfRule>
  </conditionalFormatting>
  <conditionalFormatting sqref="I26:J26">
    <cfRule type="expression" dxfId="3412" priority="17">
      <formula>IF(NoColor,1,0)</formula>
    </cfRule>
  </conditionalFormatting>
  <conditionalFormatting sqref="I28:J28">
    <cfRule type="expression" dxfId="3411" priority="41">
      <formula>IF(NoColor,1,0)</formula>
    </cfRule>
  </conditionalFormatting>
  <conditionalFormatting sqref="I72:J72">
    <cfRule type="expression" dxfId="3410" priority="32">
      <formula>IF(NoColor,1,0)</formula>
    </cfRule>
  </conditionalFormatting>
  <conditionalFormatting sqref="I83:J84">
    <cfRule type="expression" dxfId="3409" priority="26">
      <formula>IF(NoColor,1,0)</formula>
    </cfRule>
  </conditionalFormatting>
  <conditionalFormatting sqref="K9">
    <cfRule type="expression" dxfId="3408" priority="30">
      <formula>IF(NoColor,1,0)</formula>
    </cfRule>
  </conditionalFormatting>
  <conditionalFormatting sqref="L93:M93">
    <cfRule type="expression" dxfId="3407" priority="48">
      <formula>IF(NoColor,1,0)</formula>
    </cfRule>
  </conditionalFormatting>
  <conditionalFormatting sqref="L21:N21">
    <cfRule type="expression" dxfId="3406" priority="44">
      <formula>IF(NoColor,1,0)</formula>
    </cfRule>
  </conditionalFormatting>
  <conditionalFormatting sqref="L29:N29">
    <cfRule type="expression" dxfId="3405" priority="43">
      <formula>IF(NoColor,1,0)</formula>
    </cfRule>
  </conditionalFormatting>
  <conditionalFormatting sqref="L43:N43">
    <cfRule type="expression" dxfId="3404" priority="42">
      <formula>IF(NoColor,1,0)</formula>
    </cfRule>
  </conditionalFormatting>
  <conditionalFormatting sqref="L61:N61">
    <cfRule type="expression" dxfId="3403" priority="35">
      <formula>IF(NoColor,1,0)</formula>
    </cfRule>
  </conditionalFormatting>
  <conditionalFormatting sqref="L97:N97">
    <cfRule type="expression" dxfId="3402" priority="34">
      <formula>IF(NoColor,1,0)</formula>
    </cfRule>
  </conditionalFormatting>
  <conditionalFormatting sqref="L100:N100">
    <cfRule type="expression" dxfId="3401" priority="33">
      <formula>IF(NoColor,1,0)</formula>
    </cfRule>
  </conditionalFormatting>
  <conditionalFormatting sqref="M9">
    <cfRule type="expression" dxfId="3400" priority="29">
      <formula>IF(NoColor,1,0)</formula>
    </cfRule>
  </conditionalFormatting>
  <conditionalFormatting sqref="P10">
    <cfRule type="expression" dxfId="3399" priority="51">
      <formula>IF(NoColor,1,0)</formula>
    </cfRule>
  </conditionalFormatting>
  <conditionalFormatting sqref="Q93:R93">
    <cfRule type="expression" dxfId="3398" priority="47">
      <formula>IF(NoColor,1,0)</formula>
    </cfRule>
  </conditionalFormatting>
  <conditionalFormatting sqref="Q21:S21">
    <cfRule type="expression" dxfId="3397" priority="19">
      <formula>IF(NoColor,1,0)</formula>
    </cfRule>
  </conditionalFormatting>
  <conditionalFormatting sqref="Q29:S29">
    <cfRule type="expression" dxfId="3396" priority="39">
      <formula>IF(NoColor,1,0)</formula>
    </cfRule>
  </conditionalFormatting>
  <conditionalFormatting sqref="Q43:S43">
    <cfRule type="expression" dxfId="3395" priority="38">
      <formula>IF(NoColor,1,0)</formula>
    </cfRule>
  </conditionalFormatting>
  <conditionalFormatting sqref="Q61:S61">
    <cfRule type="expression" dxfId="3394" priority="37">
      <formula>IF(NoColor,1,0)</formula>
    </cfRule>
  </conditionalFormatting>
  <conditionalFormatting sqref="Q97:S97">
    <cfRule type="expression" dxfId="3393" priority="36">
      <formula>IF(NoColor,1,0)</formula>
    </cfRule>
  </conditionalFormatting>
  <conditionalFormatting sqref="R10">
    <cfRule type="expression" dxfId="3392" priority="45">
      <formula>IF(NoColor,1,0)</formula>
    </cfRule>
  </conditionalFormatting>
  <conditionalFormatting sqref="V25:W25">
    <cfRule type="expression" dxfId="3391" priority="5">
      <formula>File_Marr_Sep=""</formula>
    </cfRule>
  </conditionalFormatting>
  <conditionalFormatting sqref="V18:Y24">
    <cfRule type="expression" dxfId="3390" priority="22">
      <formula>File_Marr_Sep=""</formula>
    </cfRule>
  </conditionalFormatting>
  <conditionalFormatting sqref="W19:W26">
    <cfRule type="expression" dxfId="3389" priority="4">
      <formula>LivedApartAnswered</formula>
    </cfRule>
  </conditionalFormatting>
  <conditionalFormatting sqref="W26:Y26">
    <cfRule type="expression" dxfId="3388" priority="1">
      <formula>File_Marr_Sep=""</formula>
    </cfRule>
  </conditionalFormatting>
  <conditionalFormatting sqref="X24:Y24">
    <cfRule type="expression" dxfId="3387" priority="23">
      <formula>LivedApartAnswered</formula>
    </cfRule>
  </conditionalFormatting>
  <conditionalFormatting sqref="X26:Y26">
    <cfRule type="expression" dxfId="3386" priority="2">
      <formula>LivedApartAnswered</formula>
    </cfRule>
  </conditionalFormatting>
  <pageMargins left="0.75" right="0.25" top="0.36" bottom="0.28999999999999998" header="0.36" footer="0.21"/>
  <pageSetup scale="73" fitToHeight="0" orientation="portrait" r:id="rId1"/>
  <rowBreaks count="1" manualBreakCount="1">
    <brk id="51" min="1" max="19"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Z38"/>
  <sheetViews>
    <sheetView zoomScaleNormal="100" zoomScaleSheetLayoutView="100" workbookViewId="0"/>
  </sheetViews>
  <sheetFormatPr defaultRowHeight="12.75"/>
  <cols>
    <col min="1" max="1" width="3.140625" customWidth="1"/>
    <col min="2" max="2" width="8.140625" customWidth="1"/>
    <col min="3" max="3" width="2.7109375" customWidth="1"/>
    <col min="4" max="4" width="8.85546875" customWidth="1"/>
    <col min="5" max="5" width="20.42578125" customWidth="1"/>
    <col min="6" max="6" width="10.140625" customWidth="1"/>
    <col min="7" max="7" width="18" customWidth="1"/>
    <col min="8" max="8" width="17.140625" customWidth="1"/>
    <col min="9" max="9" width="3.28515625" customWidth="1"/>
    <col min="10" max="10" width="15" customWidth="1"/>
    <col min="11" max="11" width="4.140625" customWidth="1"/>
    <col min="12" max="12" width="14.85546875" customWidth="1"/>
    <col min="13" max="13" width="2.7109375" customWidth="1"/>
    <col min="14" max="14" width="3.5703125" customWidth="1"/>
    <col min="15" max="15" width="10.7109375" style="950" customWidth="1"/>
    <col min="16" max="26" width="10.7109375" style="815" customWidth="1"/>
    <col min="27" max="28" width="10.7109375" customWidth="1"/>
  </cols>
  <sheetData>
    <row r="1" spans="1:26" ht="16.5" customHeight="1" thickBot="1">
      <c r="A1" s="253"/>
      <c r="B1" s="253"/>
      <c r="C1" s="253"/>
      <c r="D1" s="253"/>
      <c r="E1" s="253"/>
      <c r="F1" s="253"/>
      <c r="G1" s="253"/>
      <c r="H1" s="253"/>
      <c r="I1" s="253"/>
      <c r="J1" s="253"/>
      <c r="K1" s="253"/>
      <c r="L1" s="253"/>
      <c r="M1" s="253"/>
      <c r="N1" s="253"/>
      <c r="O1" s="951" t="s">
        <v>223</v>
      </c>
      <c r="P1" s="658"/>
      <c r="Q1" s="658"/>
      <c r="R1" s="658"/>
      <c r="S1" s="658"/>
      <c r="T1" s="658"/>
      <c r="U1" s="658"/>
      <c r="V1" s="658"/>
      <c r="W1" s="658"/>
      <c r="X1" s="658"/>
      <c r="Y1" s="658"/>
      <c r="Z1" s="658"/>
    </row>
    <row r="2" spans="1:26" ht="18.75" customHeight="1">
      <c r="A2" s="253"/>
      <c r="B2" s="6101"/>
      <c r="C2" s="6102"/>
      <c r="D2" s="6199"/>
      <c r="E2" s="2344"/>
      <c r="F2" s="2344"/>
      <c r="G2" s="2344"/>
      <c r="H2" s="2344"/>
      <c r="I2" s="2344"/>
      <c r="J2" s="6103"/>
      <c r="K2" s="6200"/>
      <c r="L2" s="2344"/>
      <c r="M2" s="3428"/>
      <c r="N2" s="253"/>
      <c r="O2" s="952" t="s">
        <v>289</v>
      </c>
      <c r="P2" s="658"/>
      <c r="Q2" s="658"/>
      <c r="R2" s="658"/>
      <c r="S2" s="658"/>
      <c r="T2" s="658"/>
      <c r="U2" s="658"/>
      <c r="V2" s="658"/>
      <c r="W2" s="658"/>
      <c r="X2" s="658"/>
      <c r="Y2" s="658"/>
      <c r="Z2" s="658"/>
    </row>
    <row r="3" spans="1:26" ht="14.25" customHeight="1">
      <c r="A3" s="253"/>
      <c r="B3" s="6104" t="s">
        <v>1040</v>
      </c>
      <c r="C3" s="2539"/>
      <c r="D3" s="1560"/>
      <c r="E3" s="1560"/>
      <c r="F3" s="1560"/>
      <c r="G3" s="1560"/>
      <c r="H3" s="1560"/>
      <c r="I3" s="1560"/>
      <c r="J3" s="6105"/>
      <c r="K3" s="2684"/>
      <c r="L3" s="1560"/>
      <c r="M3" s="90"/>
      <c r="N3" s="253"/>
      <c r="O3" s="819"/>
      <c r="P3" s="658"/>
      <c r="Q3" s="658"/>
      <c r="R3" s="658"/>
      <c r="S3" s="658"/>
      <c r="T3" s="658"/>
      <c r="U3" s="658"/>
      <c r="V3" s="658"/>
      <c r="W3" s="658"/>
      <c r="X3" s="658"/>
      <c r="Y3" s="658"/>
      <c r="Z3" s="658"/>
    </row>
    <row r="4" spans="1:26" ht="14.25" customHeight="1">
      <c r="A4" s="253"/>
      <c r="B4" s="6120"/>
      <c r="C4" s="226" t="s">
        <v>927</v>
      </c>
      <c r="D4" s="226"/>
      <c r="E4" s="1560"/>
      <c r="F4" s="2604"/>
      <c r="G4" s="2605"/>
      <c r="H4" s="2606"/>
      <c r="I4" s="2607"/>
      <c r="J4" s="2607"/>
      <c r="K4" s="2607"/>
      <c r="L4" s="2441"/>
      <c r="M4" s="90"/>
      <c r="N4" s="253"/>
      <c r="O4" s="819"/>
      <c r="P4" s="658"/>
      <c r="Q4" s="658"/>
      <c r="R4" s="658"/>
      <c r="S4" s="658"/>
      <c r="T4" s="658"/>
      <c r="U4" s="658"/>
      <c r="V4" s="658"/>
      <c r="W4" s="658"/>
      <c r="X4" s="658"/>
      <c r="Y4" s="658"/>
      <c r="Z4" s="658"/>
    </row>
    <row r="5" spans="1:26" ht="14.25" customHeight="1">
      <c r="A5" s="253"/>
      <c r="B5" s="6201" t="s">
        <v>928</v>
      </c>
      <c r="C5" s="1560" t="s">
        <v>5921</v>
      </c>
      <c r="D5" s="226"/>
      <c r="E5" s="1560"/>
      <c r="F5" s="2604"/>
      <c r="G5" s="2605"/>
      <c r="H5" s="2606"/>
      <c r="I5" s="2607"/>
      <c r="J5" s="2607"/>
      <c r="K5" s="2607"/>
      <c r="L5" s="2441"/>
      <c r="M5" s="90"/>
      <c r="N5" s="253"/>
      <c r="O5" s="819"/>
      <c r="P5" s="658"/>
      <c r="Q5" s="658"/>
      <c r="R5" s="658"/>
      <c r="S5" s="658"/>
      <c r="T5" s="658"/>
      <c r="U5" s="658"/>
      <c r="V5" s="658"/>
      <c r="W5" s="658"/>
      <c r="X5" s="658"/>
      <c r="Y5" s="658"/>
      <c r="Z5" s="658"/>
    </row>
    <row r="6" spans="1:26" ht="14.25" customHeight="1">
      <c r="A6" s="253"/>
      <c r="B6" s="6201"/>
      <c r="C6" s="1560" t="s">
        <v>5922</v>
      </c>
      <c r="D6" s="226"/>
      <c r="E6" s="1560"/>
      <c r="F6" s="2604"/>
      <c r="G6" s="2605"/>
      <c r="H6" s="2606"/>
      <c r="I6" s="2607"/>
      <c r="J6" s="2607"/>
      <c r="K6" s="2607"/>
      <c r="L6" s="2441"/>
      <c r="M6" s="90"/>
      <c r="N6" s="253"/>
      <c r="O6" s="819"/>
      <c r="P6" s="658"/>
      <c r="Q6" s="658"/>
      <c r="R6" s="658"/>
      <c r="S6" s="658"/>
      <c r="T6" s="658"/>
      <c r="U6" s="658"/>
      <c r="V6" s="658"/>
      <c r="W6" s="658"/>
      <c r="X6" s="658"/>
      <c r="Y6" s="658"/>
      <c r="Z6" s="658"/>
    </row>
    <row r="7" spans="1:26" ht="14.25" customHeight="1">
      <c r="A7" s="253"/>
      <c r="B7" s="6201" t="s">
        <v>928</v>
      </c>
      <c r="C7" s="1560" t="s">
        <v>1041</v>
      </c>
      <c r="D7" s="226"/>
      <c r="E7" s="1560"/>
      <c r="F7" s="2604"/>
      <c r="G7" s="2605"/>
      <c r="H7" s="2606"/>
      <c r="I7" s="2607"/>
      <c r="J7" s="2607"/>
      <c r="K7" s="2607"/>
      <c r="L7" s="2441"/>
      <c r="M7" s="90"/>
      <c r="N7" s="253"/>
      <c r="O7" s="819"/>
      <c r="P7" s="658"/>
      <c r="Q7" s="658"/>
      <c r="R7" s="658"/>
      <c r="S7" s="658"/>
      <c r="T7" s="658"/>
      <c r="U7" s="658"/>
      <c r="V7" s="658"/>
      <c r="W7" s="658"/>
      <c r="X7" s="658"/>
      <c r="Y7" s="658"/>
      <c r="Z7" s="658"/>
    </row>
    <row r="8" spans="1:26" ht="14.25" customHeight="1">
      <c r="A8" s="253"/>
      <c r="B8" s="6202"/>
      <c r="C8" s="2594" t="s">
        <v>1042</v>
      </c>
      <c r="D8" s="6203"/>
      <c r="E8" s="2594"/>
      <c r="F8" s="6204"/>
      <c r="G8" s="6205" t="str">
        <f>IF(L11="","",IF(NumFileStatusBoxes=0,"Indicate filing status.",IF(NumFileStatusBoxes&gt;1,"Too many filing status boxes are checked.",IF(Form2555_Used,"Use Pub. 974 to figure your deduction if you file Form 2555.",IF(File_Marr_Sep&lt;&gt;"","Cannot claim deduction if filing - Married Filing Separate return.",IF(OR(DependentYOU&lt;&gt;"",DependentSPOUSE&lt;&gt;""),"Cannot claim deduction if you (or spouse) are claimed as a dependent.",""))))))</f>
        <v/>
      </c>
      <c r="H8" s="6206"/>
      <c r="I8" s="6207"/>
      <c r="J8" s="6207"/>
      <c r="K8" s="6207"/>
      <c r="L8" s="2654"/>
      <c r="M8" s="4378"/>
      <c r="N8" s="253"/>
      <c r="O8" s="819"/>
      <c r="P8" s="658"/>
      <c r="Q8" s="658"/>
      <c r="R8" s="658"/>
      <c r="S8" s="658"/>
      <c r="T8" s="658"/>
      <c r="U8" s="658"/>
      <c r="V8" s="658"/>
      <c r="W8" s="658"/>
      <c r="X8" s="658"/>
      <c r="Y8" s="658"/>
      <c r="Z8" s="658"/>
    </row>
    <row r="9" spans="1:26" ht="14.25" customHeight="1">
      <c r="A9" s="253"/>
      <c r="B9" s="6120"/>
      <c r="C9" s="1560"/>
      <c r="D9" s="226"/>
      <c r="E9" s="1560"/>
      <c r="F9" s="2604"/>
      <c r="G9" s="2605"/>
      <c r="H9" s="2606"/>
      <c r="I9" s="2607"/>
      <c r="J9" s="2607"/>
      <c r="K9" s="2607"/>
      <c r="L9" s="2441" t="b">
        <f>OR(L11="",NumFileStatusBoxes&lt;&gt;1,File_Marr_Sep&lt;&gt;"",Form2555_Used,DependentYOU&lt;&gt;"",DependentSPOUSE&lt;&gt;"")</f>
        <v>1</v>
      </c>
      <c r="M9" s="90"/>
      <c r="N9" s="253"/>
      <c r="O9" s="819"/>
      <c r="P9" s="658"/>
      <c r="Q9" s="658"/>
      <c r="R9" s="658"/>
      <c r="S9" s="658"/>
      <c r="T9" s="658"/>
      <c r="U9" s="658"/>
      <c r="V9" s="658"/>
      <c r="W9" s="658"/>
      <c r="X9" s="658"/>
      <c r="Y9" s="658"/>
      <c r="Z9" s="658"/>
    </row>
    <row r="10" spans="1:26" ht="14.25" customHeight="1">
      <c r="A10" s="253"/>
      <c r="B10" s="4734" t="s">
        <v>157</v>
      </c>
      <c r="C10" s="220"/>
      <c r="D10" s="1560" t="str">
        <f>"Enter the total interest you paid in "&amp;TaxYear&amp;" on qualified student loans "</f>
        <v xml:space="preserve">Enter the total interest you paid in 2025 on qualified student loans </v>
      </c>
      <c r="E10" s="1560"/>
      <c r="F10" s="1560"/>
      <c r="G10" s="2605"/>
      <c r="H10" s="6127" t="s">
        <v>5054</v>
      </c>
      <c r="I10" s="2607"/>
      <c r="J10" s="2441"/>
      <c r="K10" s="2441"/>
      <c r="L10" s="2441"/>
      <c r="M10" s="90"/>
      <c r="N10" s="253"/>
      <c r="O10" s="819"/>
      <c r="P10" s="658"/>
      <c r="Q10" s="658"/>
      <c r="R10" s="658"/>
      <c r="S10" s="658"/>
      <c r="T10" s="658"/>
      <c r="U10" s="658"/>
      <c r="V10" s="658"/>
      <c r="W10" s="658"/>
      <c r="X10" s="658"/>
      <c r="Y10" s="658"/>
      <c r="Z10" s="658"/>
    </row>
    <row r="11" spans="1:26" ht="14.25" customHeight="1">
      <c r="A11" s="253"/>
      <c r="B11" s="4734"/>
      <c r="C11" s="220"/>
      <c r="D11" s="1560" t="str">
        <f>"enter more than "&amp;TEXT(L12,"$0,000")</f>
        <v>enter more than $2,500</v>
      </c>
      <c r="E11" s="1560"/>
      <c r="F11" s="1560"/>
      <c r="G11" s="2605"/>
      <c r="H11" s="2607"/>
      <c r="I11" s="2607"/>
      <c r="J11" s="2715" t="s">
        <v>1075</v>
      </c>
      <c r="K11" s="2609" t="s">
        <v>157</v>
      </c>
      <c r="L11" s="1302"/>
      <c r="M11" s="90"/>
      <c r="N11" s="253"/>
      <c r="O11" s="819"/>
      <c r="P11" s="658"/>
      <c r="Q11" s="658"/>
      <c r="R11" s="658"/>
      <c r="S11" s="658"/>
      <c r="T11" s="658"/>
      <c r="U11" s="658"/>
      <c r="V11" s="658"/>
      <c r="W11" s="658"/>
      <c r="X11" s="658"/>
      <c r="Y11" s="658"/>
      <c r="Z11" s="658"/>
    </row>
    <row r="12" spans="1:26" ht="14.25" customHeight="1">
      <c r="A12" s="253"/>
      <c r="B12" s="4734"/>
      <c r="C12" s="226"/>
      <c r="D12" s="226"/>
      <c r="E12" s="88"/>
      <c r="F12" s="88"/>
      <c r="G12" s="88"/>
      <c r="H12" s="2607"/>
      <c r="I12" s="2607"/>
      <c r="J12" s="2441"/>
      <c r="K12" s="2441" t="b">
        <f>IF(L11&gt;L12,TRUE,FALSE)</f>
        <v>0</v>
      </c>
      <c r="L12" s="2441">
        <v>2500</v>
      </c>
      <c r="M12" s="90"/>
      <c r="N12" s="253"/>
      <c r="O12" s="819"/>
      <c r="P12" s="658"/>
      <c r="Q12" s="658"/>
      <c r="R12" s="658"/>
      <c r="S12" s="658"/>
      <c r="T12" s="658"/>
      <c r="U12" s="658"/>
      <c r="V12" s="658"/>
      <c r="W12" s="658"/>
      <c r="X12" s="658"/>
      <c r="Y12" s="658"/>
      <c r="Z12" s="658"/>
    </row>
    <row r="13" spans="1:26" ht="14.25" customHeight="1">
      <c r="A13" s="253"/>
      <c r="B13" s="4734" t="s">
        <v>161</v>
      </c>
      <c r="C13" s="220"/>
      <c r="D13" s="1560" t="s">
        <v>980</v>
      </c>
      <c r="E13" s="1560"/>
      <c r="F13" s="1560"/>
      <c r="G13" s="2605"/>
      <c r="H13" s="6123" t="s">
        <v>1043</v>
      </c>
      <c r="I13" s="2609" t="s">
        <v>161</v>
      </c>
      <c r="J13" s="6124" t="str">
        <f>IF(OR(K12,Line33_NOT),"",Total_Income)</f>
        <v/>
      </c>
      <c r="K13" s="6123"/>
      <c r="L13" s="2689"/>
      <c r="M13" s="90"/>
      <c r="N13" s="253"/>
      <c r="O13" s="819"/>
      <c r="P13" s="658"/>
      <c r="Q13" s="658"/>
      <c r="R13" s="658"/>
      <c r="S13" s="658"/>
      <c r="T13" s="658"/>
      <c r="U13" s="658"/>
      <c r="V13" s="658"/>
      <c r="W13" s="658"/>
      <c r="X13" s="658"/>
      <c r="Y13" s="658"/>
      <c r="Z13" s="658"/>
    </row>
    <row r="14" spans="1:26" ht="14.25" customHeight="1">
      <c r="A14" s="253"/>
      <c r="B14" s="4734"/>
      <c r="C14" s="226"/>
      <c r="D14" s="1560"/>
      <c r="E14" s="88"/>
      <c r="F14" s="88"/>
      <c r="G14" s="88"/>
      <c r="H14" s="2607"/>
      <c r="I14" s="2607"/>
      <c r="J14" s="2441"/>
      <c r="K14" s="2441"/>
      <c r="L14" s="2441"/>
      <c r="M14" s="90"/>
      <c r="N14" s="253"/>
      <c r="O14" s="819"/>
      <c r="P14" s="658"/>
      <c r="Q14" s="658"/>
      <c r="R14" s="658"/>
      <c r="S14" s="658"/>
      <c r="T14" s="658"/>
      <c r="U14" s="658"/>
      <c r="V14" s="658"/>
      <c r="W14" s="658"/>
      <c r="X14" s="658"/>
      <c r="Y14" s="658"/>
      <c r="Z14" s="658"/>
    </row>
    <row r="15" spans="1:26" ht="14.25" customHeight="1">
      <c r="A15" s="253"/>
      <c r="B15" s="4734" t="s">
        <v>167</v>
      </c>
      <c r="C15" s="226"/>
      <c r="D15" s="1560" t="s">
        <v>1044</v>
      </c>
      <c r="E15" s="88"/>
      <c r="F15" s="88"/>
      <c r="G15" s="88"/>
      <c r="H15" s="6123"/>
      <c r="I15" s="6123" t="str">
        <f>"3."</f>
        <v>3.</v>
      </c>
      <c r="J15" s="6124" t="str">
        <f>IF(OR(K12,Line33_NOT),"",SUM(Sch1_Line11_19a,IRADeduct,ArcherMSADeduct,TotalOtherAdjust))</f>
        <v/>
      </c>
      <c r="K15" s="2441"/>
      <c r="L15" s="2441"/>
      <c r="M15" s="90"/>
      <c r="N15" s="253"/>
      <c r="O15" s="819"/>
      <c r="P15" s="658"/>
      <c r="Q15" s="658"/>
      <c r="R15" s="658"/>
      <c r="S15" s="658"/>
      <c r="T15" s="658"/>
      <c r="U15" s="658"/>
      <c r="V15" s="658"/>
      <c r="W15" s="658"/>
      <c r="X15" s="658"/>
      <c r="Y15" s="658"/>
      <c r="Z15" s="658"/>
    </row>
    <row r="16" spans="1:26" ht="14.25" customHeight="1">
      <c r="A16" s="253"/>
      <c r="B16" s="4734"/>
      <c r="C16" s="226"/>
      <c r="D16" s="226"/>
      <c r="E16" s="88"/>
      <c r="F16" s="88"/>
      <c r="G16" s="88"/>
      <c r="H16" s="2607"/>
      <c r="I16" s="2607"/>
      <c r="J16" s="2441"/>
      <c r="K16" s="2441"/>
      <c r="L16" s="2441"/>
      <c r="M16" s="90"/>
      <c r="N16" s="253"/>
      <c r="O16" s="819"/>
      <c r="P16" s="658"/>
      <c r="Q16" s="658"/>
      <c r="R16" s="658"/>
      <c r="S16" s="658"/>
      <c r="T16" s="658"/>
      <c r="U16" s="658"/>
      <c r="V16" s="658"/>
      <c r="W16" s="658"/>
      <c r="X16" s="658"/>
      <c r="Y16" s="658"/>
      <c r="Z16" s="658"/>
    </row>
    <row r="17" spans="1:26" ht="14.25" customHeight="1">
      <c r="A17" s="253"/>
      <c r="B17" s="4734" t="s">
        <v>171</v>
      </c>
      <c r="C17" s="220"/>
      <c r="D17" s="1560" t="s">
        <v>1045</v>
      </c>
      <c r="E17" s="1560"/>
      <c r="F17" s="1560"/>
      <c r="G17" s="2605"/>
      <c r="H17" s="6123" t="s">
        <v>647</v>
      </c>
      <c r="I17" s="6123" t="str">
        <f>"4."</f>
        <v>4.</v>
      </c>
      <c r="J17" s="6124" t="str">
        <f>IF(OR(K12,Line33_NOT),"",SUM(J13,-J15))</f>
        <v/>
      </c>
      <c r="K17" s="6123"/>
      <c r="L17" s="2689"/>
      <c r="M17" s="90"/>
      <c r="N17" s="253"/>
      <c r="O17" s="819"/>
      <c r="P17" s="658"/>
      <c r="Q17" s="658"/>
      <c r="R17" s="658"/>
      <c r="S17" s="658"/>
      <c r="T17" s="658"/>
      <c r="U17" s="658"/>
      <c r="V17" s="658"/>
      <c r="W17" s="658"/>
      <c r="X17" s="658"/>
      <c r="Y17" s="658"/>
      <c r="Z17" s="658"/>
    </row>
    <row r="18" spans="1:26" ht="14.25" customHeight="1">
      <c r="A18" s="253"/>
      <c r="B18" s="4734"/>
      <c r="C18" s="226"/>
      <c r="D18" s="226"/>
      <c r="E18" s="88"/>
      <c r="F18" s="88"/>
      <c r="G18" s="88"/>
      <c r="H18" s="2607"/>
      <c r="I18" s="2607"/>
      <c r="J18" s="2441"/>
      <c r="K18" s="2441"/>
      <c r="L18" s="2441"/>
      <c r="M18" s="90"/>
      <c r="N18" s="253"/>
      <c r="O18" s="819"/>
      <c r="P18" s="658"/>
      <c r="Q18" s="658"/>
      <c r="R18" s="658"/>
      <c r="S18" s="658"/>
      <c r="T18" s="658"/>
      <c r="U18" s="658"/>
      <c r="V18" s="658"/>
      <c r="W18" s="658"/>
      <c r="X18" s="658"/>
      <c r="Y18" s="658"/>
      <c r="Z18" s="658"/>
    </row>
    <row r="19" spans="1:26" ht="14.25" customHeight="1">
      <c r="A19" s="253"/>
      <c r="B19" s="4734" t="s">
        <v>184</v>
      </c>
      <c r="C19" s="226"/>
      <c r="D19" s="1560" t="s">
        <v>1046</v>
      </c>
      <c r="E19" s="88"/>
      <c r="F19" s="88"/>
      <c r="G19" s="88"/>
      <c r="H19" s="2607"/>
      <c r="I19" s="2607"/>
      <c r="J19" s="2441"/>
      <c r="K19" s="2441"/>
      <c r="L19" s="2441"/>
      <c r="M19" s="90"/>
      <c r="N19" s="253"/>
      <c r="O19" s="819"/>
      <c r="P19" s="658"/>
      <c r="Q19" s="658"/>
      <c r="R19" s="658"/>
      <c r="S19" s="658"/>
      <c r="T19" s="658"/>
      <c r="U19" s="658"/>
      <c r="V19" s="658"/>
      <c r="W19" s="658"/>
      <c r="X19" s="658"/>
      <c r="Y19" s="658"/>
      <c r="Z19" s="658"/>
    </row>
    <row r="20" spans="1:26" ht="14.25" customHeight="1">
      <c r="A20" s="253"/>
      <c r="B20" s="4734"/>
      <c r="C20" s="226"/>
      <c r="D20" s="1560" t="str">
        <f>"Single, head of household, or qualifying widow(er) — "&amp;TEXT(L20,"$0,000")</f>
        <v>Single, head of household, or qualifying widow(er) — $85,000</v>
      </c>
      <c r="E20" s="88"/>
      <c r="F20" s="88"/>
      <c r="G20" s="88"/>
      <c r="H20" s="2415"/>
      <c r="I20" s="6123" t="str">
        <f>".   .   .   .   5."</f>
        <v>.   .   .   .   5.</v>
      </c>
      <c r="J20" s="6124" t="str">
        <f>IF(Line33_NOT,"",IF(NumFileStatusBoxes&lt;&gt;1,"Filing status?",IF(OR(K12,Line33_NOT),"",IF(File_Marr_Joint&lt;&gt;"",L21,IF(OR(File_Single&lt;&gt;"",File_Head&lt;&gt;"",File_Qual_Widow&lt;&gt;""),L20,IF(File_Marr_Sep&lt;&gt;"","","Filing status?"))))))</f>
        <v/>
      </c>
      <c r="K20" s="2441"/>
      <c r="L20" s="2441">
        <v>85000</v>
      </c>
      <c r="M20" s="90"/>
      <c r="N20" s="253"/>
      <c r="O20" s="819"/>
      <c r="P20" s="658"/>
      <c r="Q20" s="658"/>
      <c r="R20" s="658"/>
      <c r="S20" s="658"/>
      <c r="T20" s="658"/>
      <c r="U20" s="658"/>
      <c r="V20" s="658"/>
      <c r="W20" s="658"/>
      <c r="X20" s="658"/>
      <c r="Y20" s="658"/>
      <c r="Z20" s="658"/>
    </row>
    <row r="21" spans="1:26" ht="14.25" customHeight="1">
      <c r="A21" s="253"/>
      <c r="B21" s="4734"/>
      <c r="C21" s="226"/>
      <c r="D21" s="2449" t="str">
        <f>"Married filing jointly — "&amp;TEXT(L21,"$0,000")</f>
        <v>Married filing jointly — $170,000</v>
      </c>
      <c r="E21" s="88"/>
      <c r="F21" s="2449"/>
      <c r="G21" s="88"/>
      <c r="H21" s="2449"/>
      <c r="I21" s="2607"/>
      <c r="J21" s="2441"/>
      <c r="K21" s="2441"/>
      <c r="L21" s="6208">
        <v>170000</v>
      </c>
      <c r="M21" s="90"/>
      <c r="N21" s="253"/>
      <c r="O21" s="819"/>
      <c r="P21" s="658"/>
      <c r="Q21" s="658"/>
      <c r="R21" s="658"/>
      <c r="S21" s="658"/>
      <c r="T21" s="658"/>
      <c r="U21" s="658"/>
      <c r="V21" s="658"/>
      <c r="W21" s="658"/>
      <c r="X21" s="658"/>
      <c r="Y21" s="658"/>
      <c r="Z21" s="658"/>
    </row>
    <row r="22" spans="1:26" ht="25.5" customHeight="1">
      <c r="A22" s="253"/>
      <c r="B22" s="4734" t="s">
        <v>188</v>
      </c>
      <c r="C22" s="226"/>
      <c r="D22" s="1560" t="s">
        <v>1047</v>
      </c>
      <c r="E22" s="88"/>
      <c r="F22" s="88"/>
      <c r="G22" s="88"/>
      <c r="H22" s="2607"/>
      <c r="I22" s="2607"/>
      <c r="J22" s="2441" t="b">
        <f>J17&gt;J20</f>
        <v>0</v>
      </c>
      <c r="K22" s="2441"/>
      <c r="L22" s="2441"/>
      <c r="M22" s="90"/>
      <c r="N22" s="253"/>
      <c r="O22" s="819"/>
      <c r="P22" s="658"/>
      <c r="Q22" s="658"/>
      <c r="R22" s="658"/>
      <c r="S22" s="658"/>
      <c r="T22" s="658"/>
      <c r="U22" s="658"/>
      <c r="V22" s="658"/>
      <c r="W22" s="658"/>
      <c r="X22" s="658"/>
      <c r="Y22" s="658"/>
      <c r="Z22" s="658"/>
    </row>
    <row r="23" spans="1:26" ht="14.25" customHeight="1">
      <c r="A23" s="253"/>
      <c r="B23" s="4734"/>
      <c r="C23" s="226"/>
      <c r="D23" s="226"/>
      <c r="E23" s="88"/>
      <c r="F23" s="88"/>
      <c r="G23" s="88"/>
      <c r="H23" s="2607"/>
      <c r="I23" s="2607"/>
      <c r="J23" s="2441"/>
      <c r="K23" s="2441"/>
      <c r="L23" s="2441"/>
      <c r="M23" s="90"/>
      <c r="N23" s="253"/>
      <c r="O23" s="819"/>
      <c r="P23" s="658"/>
      <c r="Q23" s="658"/>
      <c r="R23" s="658"/>
      <c r="S23" s="658"/>
      <c r="T23" s="658"/>
      <c r="U23" s="658"/>
      <c r="V23" s="658"/>
      <c r="W23" s="658"/>
      <c r="X23" s="658"/>
      <c r="Y23" s="658"/>
      <c r="Z23" s="658"/>
    </row>
    <row r="24" spans="1:26" ht="14.25" customHeight="1">
      <c r="A24" s="253"/>
      <c r="B24" s="4734"/>
      <c r="C24" s="6118" t="str">
        <f>IF(OR(NumFileStatusBoxes&lt;&gt;1,K12,Line33_NOT),"",IF(J22,"","X"))</f>
        <v/>
      </c>
      <c r="D24" s="228" t="s">
        <v>1048</v>
      </c>
      <c r="E24" s="1560" t="s">
        <v>1049</v>
      </c>
      <c r="F24" s="88"/>
      <c r="G24" s="88"/>
      <c r="H24" s="2607"/>
      <c r="I24" s="2607"/>
      <c r="J24" s="2441"/>
      <c r="K24" s="2441"/>
      <c r="L24" s="2441"/>
      <c r="M24" s="90"/>
      <c r="N24" s="253"/>
      <c r="O24" s="819"/>
      <c r="P24" s="658"/>
      <c r="Q24" s="658"/>
      <c r="R24" s="658"/>
      <c r="S24" s="658"/>
      <c r="T24" s="658"/>
      <c r="U24" s="658"/>
      <c r="V24" s="658"/>
      <c r="W24" s="658"/>
      <c r="X24" s="658"/>
      <c r="Y24" s="658"/>
      <c r="Z24" s="658"/>
    </row>
    <row r="25" spans="1:26" ht="14.25" customHeight="1">
      <c r="A25" s="253"/>
      <c r="B25" s="4734"/>
      <c r="C25" s="226"/>
      <c r="D25" s="226"/>
      <c r="E25" s="88"/>
      <c r="F25" s="88"/>
      <c r="G25" s="88"/>
      <c r="H25" s="2607"/>
      <c r="I25" s="2607"/>
      <c r="J25" s="2441"/>
      <c r="K25" s="2441"/>
      <c r="L25" s="2441"/>
      <c r="M25" s="90"/>
      <c r="N25" s="253"/>
      <c r="O25" s="819"/>
      <c r="P25" s="658"/>
      <c r="Q25" s="658"/>
      <c r="R25" s="658"/>
      <c r="S25" s="658"/>
      <c r="T25" s="658"/>
      <c r="U25" s="658"/>
      <c r="V25" s="658"/>
      <c r="W25" s="658"/>
      <c r="X25" s="658"/>
      <c r="Y25" s="658"/>
      <c r="Z25" s="658"/>
    </row>
    <row r="26" spans="1:26" ht="14.25" customHeight="1">
      <c r="A26" s="253"/>
      <c r="B26" s="4734"/>
      <c r="C26" s="6118" t="str">
        <f>IF(OR(NumFileStatusBoxes&lt;&gt;1,K12,Line33_NOT),"",IF(J22,"X",""))</f>
        <v/>
      </c>
      <c r="D26" s="228" t="s">
        <v>938</v>
      </c>
      <c r="E26" s="1560" t="s">
        <v>1050</v>
      </c>
      <c r="F26" s="88"/>
      <c r="G26" s="88"/>
      <c r="H26" s="6122"/>
      <c r="I26" s="6123" t="str">
        <f>".   .   .   .   .   .   .   .   .   .   .   .   .   .   .   .   .   6."</f>
        <v>.   .   .   .   .   .   .   .   .   .   .   .   .   .   .   .   .   6.</v>
      </c>
      <c r="J26" s="6209" t="str">
        <f>IF(OR(NumFileStatusBoxes&lt;&gt;1,K12,Line33_NOT,C24="X"),"",SUM(J17,-J20))</f>
        <v/>
      </c>
      <c r="K26" s="6123"/>
      <c r="L26" s="6121"/>
      <c r="M26" s="90"/>
      <c r="N26" s="253"/>
      <c r="O26" s="819"/>
      <c r="P26" s="658"/>
      <c r="Q26" s="658"/>
      <c r="R26" s="658"/>
      <c r="S26" s="658"/>
      <c r="T26" s="658"/>
      <c r="U26" s="658"/>
      <c r="V26" s="658"/>
      <c r="W26" s="658"/>
      <c r="X26" s="658"/>
      <c r="Y26" s="658"/>
      <c r="Z26" s="658"/>
    </row>
    <row r="27" spans="1:26" ht="14.25" customHeight="1">
      <c r="A27" s="253"/>
      <c r="B27" s="4734"/>
      <c r="C27" s="220"/>
      <c r="D27" s="1560"/>
      <c r="E27" s="1560"/>
      <c r="F27" s="1560"/>
      <c r="G27" s="2605"/>
      <c r="H27" s="2607"/>
      <c r="I27" s="2607"/>
      <c r="J27" s="2441"/>
      <c r="K27" s="88"/>
      <c r="L27" s="2441">
        <v>15000</v>
      </c>
      <c r="M27" s="90"/>
      <c r="N27" s="253"/>
      <c r="O27" s="819"/>
      <c r="P27" s="658"/>
      <c r="Q27" s="658"/>
      <c r="R27" s="658"/>
      <c r="S27" s="658"/>
      <c r="T27" s="658"/>
      <c r="U27" s="658"/>
      <c r="V27" s="658"/>
      <c r="W27" s="658"/>
      <c r="X27" s="658"/>
      <c r="Y27" s="658"/>
      <c r="Z27" s="658"/>
    </row>
    <row r="28" spans="1:26" ht="14.25" customHeight="1">
      <c r="A28" s="253"/>
      <c r="B28" s="4734" t="s">
        <v>198</v>
      </c>
      <c r="C28" s="226"/>
      <c r="D28" s="1560" t="str">
        <f>"Divide line 6 by "&amp;TEXT(L27,"$0,000")&amp;" ("&amp;TEXT(L28,"$0,000")&amp;" if married filing jointly). Enter the result as a decimal"</f>
        <v>Divide line 6 by $15,000 ($30,000 if married filing jointly). Enter the result as a decimal</v>
      </c>
      <c r="E28" s="1560"/>
      <c r="F28" s="88"/>
      <c r="G28" s="88"/>
      <c r="H28" s="2607"/>
      <c r="I28" s="2607"/>
      <c r="J28" s="2441"/>
      <c r="K28" s="2441"/>
      <c r="L28" s="2441">
        <v>30000</v>
      </c>
      <c r="M28" s="90"/>
      <c r="N28" s="253"/>
      <c r="O28" s="819"/>
      <c r="P28" s="658"/>
      <c r="Q28" s="658"/>
      <c r="R28" s="658"/>
      <c r="S28" s="658"/>
      <c r="T28" s="658"/>
      <c r="U28" s="658"/>
      <c r="V28" s="658"/>
      <c r="W28" s="658"/>
      <c r="X28" s="658"/>
      <c r="Y28" s="658"/>
      <c r="Z28" s="658"/>
    </row>
    <row r="29" spans="1:26" ht="14.25" customHeight="1">
      <c r="A29" s="253"/>
      <c r="B29" s="4734"/>
      <c r="C29" s="220"/>
      <c r="D29" s="1560" t="s">
        <v>1051</v>
      </c>
      <c r="E29" s="1560"/>
      <c r="F29" s="1560"/>
      <c r="G29" s="2605"/>
      <c r="H29" s="2607"/>
      <c r="I29" s="2607"/>
      <c r="J29" s="6123" t="s">
        <v>1134</v>
      </c>
      <c r="K29" s="2609" t="s">
        <v>198</v>
      </c>
      <c r="L29" s="6210" t="str">
        <f>IF(OR(NumFileStatusBoxes&lt;&gt;1,K12,Line33_NOT,C24="X"),"",IF(File_Marr_Joint&lt;&gt;"",H30,G30))</f>
        <v/>
      </c>
      <c r="M29" s="90"/>
      <c r="N29" s="253"/>
      <c r="O29" s="819"/>
      <c r="P29" s="658"/>
      <c r="Q29" s="658"/>
      <c r="R29" s="658"/>
      <c r="S29" s="658"/>
      <c r="T29" s="658"/>
      <c r="U29" s="658"/>
      <c r="V29" s="658"/>
      <c r="W29" s="658"/>
      <c r="X29" s="658"/>
      <c r="Y29" s="658"/>
      <c r="Z29" s="658"/>
    </row>
    <row r="30" spans="1:26" ht="14.25" customHeight="1">
      <c r="A30" s="253"/>
      <c r="B30" s="4734"/>
      <c r="C30" s="220"/>
      <c r="D30" s="1560"/>
      <c r="E30" s="1560"/>
      <c r="F30" s="1560"/>
      <c r="G30" s="6211" t="str">
        <f>IF(J26="","",IF(ROUND(J26/L27,3)&gt;1,1,ROUND(J26/L27,3)))</f>
        <v/>
      </c>
      <c r="H30" s="6211" t="str">
        <f>IF(J26="","",IF(ROUND(J26/L28,3)&gt;1,1,ROUND(J26/L28,3)))</f>
        <v/>
      </c>
      <c r="I30" s="2607"/>
      <c r="J30" s="2441"/>
      <c r="K30" s="88"/>
      <c r="L30" s="2441"/>
      <c r="M30" s="90"/>
      <c r="N30" s="253"/>
      <c r="O30" s="819"/>
      <c r="P30" s="658"/>
      <c r="Q30" s="658"/>
      <c r="R30" s="658"/>
      <c r="S30" s="658"/>
      <c r="T30" s="658"/>
      <c r="U30" s="658"/>
      <c r="V30" s="658"/>
      <c r="W30" s="658"/>
      <c r="X30" s="658"/>
      <c r="Y30" s="658"/>
      <c r="Z30" s="658"/>
    </row>
    <row r="31" spans="1:26" ht="14.25" customHeight="1">
      <c r="A31" s="253"/>
      <c r="B31" s="4734" t="s">
        <v>200</v>
      </c>
      <c r="C31" s="226"/>
      <c r="D31" s="1560" t="s">
        <v>1052</v>
      </c>
      <c r="E31" s="88"/>
      <c r="F31" s="88"/>
      <c r="G31" s="88"/>
      <c r="H31" s="2607"/>
      <c r="I31" s="2607"/>
      <c r="J31" s="6123" t="s">
        <v>5484</v>
      </c>
      <c r="K31" s="2609" t="s">
        <v>200</v>
      </c>
      <c r="L31" s="6124" t="str">
        <f>IF(OR(NumFileStatusBoxes&lt;&gt;1,K12,Line33_NOT),"",IF(C24="X",0,ROUND(L11*L29,0)))</f>
        <v/>
      </c>
      <c r="M31" s="90"/>
      <c r="N31" s="253"/>
      <c r="O31" s="819"/>
      <c r="P31" s="658"/>
      <c r="Q31" s="658"/>
      <c r="R31" s="658"/>
      <c r="S31" s="658"/>
      <c r="T31" s="658"/>
      <c r="U31" s="658"/>
      <c r="V31" s="658"/>
      <c r="W31" s="658"/>
      <c r="X31" s="658"/>
      <c r="Y31" s="658"/>
      <c r="Z31" s="658"/>
    </row>
    <row r="32" spans="1:26" ht="14.25" customHeight="1">
      <c r="A32" s="253"/>
      <c r="B32" s="4734"/>
      <c r="C32" s="220"/>
      <c r="D32" s="1560"/>
      <c r="E32" s="1560"/>
      <c r="F32" s="1560"/>
      <c r="G32" s="2605"/>
      <c r="H32" s="2607"/>
      <c r="I32" s="2607"/>
      <c r="J32" s="2441"/>
      <c r="K32" s="88"/>
      <c r="L32" s="2441"/>
      <c r="M32" s="90"/>
      <c r="N32" s="253"/>
      <c r="O32" s="819"/>
      <c r="P32" s="658"/>
      <c r="Q32" s="658"/>
      <c r="R32" s="658"/>
      <c r="S32" s="658"/>
      <c r="T32" s="658"/>
      <c r="U32" s="658"/>
      <c r="V32" s="658"/>
      <c r="W32" s="658"/>
      <c r="X32" s="658"/>
      <c r="Y32" s="658"/>
      <c r="Z32" s="658"/>
    </row>
    <row r="33" spans="1:26" ht="14.25" customHeight="1">
      <c r="A33" s="253"/>
      <c r="B33" s="4734" t="s">
        <v>205</v>
      </c>
      <c r="C33" s="220"/>
      <c r="D33" s="1560" t="s">
        <v>1053</v>
      </c>
      <c r="E33" s="1560"/>
      <c r="F33" s="1560"/>
      <c r="G33" s="2605"/>
      <c r="H33" s="2607"/>
      <c r="I33" s="2607"/>
      <c r="J33" s="2441"/>
      <c r="K33" s="88"/>
      <c r="L33" s="2441"/>
      <c r="M33" s="90"/>
      <c r="N33" s="253"/>
      <c r="O33" s="819"/>
      <c r="P33" s="658"/>
      <c r="Q33" s="658"/>
      <c r="R33" s="658"/>
      <c r="S33" s="658"/>
      <c r="T33" s="658"/>
      <c r="U33" s="658"/>
      <c r="V33" s="658"/>
      <c r="W33" s="658"/>
      <c r="X33" s="658"/>
      <c r="Y33" s="658"/>
      <c r="Z33" s="658"/>
    </row>
    <row r="34" spans="1:26" ht="14.25" customHeight="1">
      <c r="A34" s="411"/>
      <c r="B34" s="4734"/>
      <c r="C34" s="220"/>
      <c r="D34" s="1560" t="s">
        <v>5485</v>
      </c>
      <c r="E34" s="1560"/>
      <c r="F34" s="1560"/>
      <c r="G34" s="2605"/>
      <c r="H34" s="2607"/>
      <c r="I34" s="2607"/>
      <c r="J34" s="2441"/>
      <c r="K34" s="2609" t="s">
        <v>205</v>
      </c>
      <c r="L34" s="6124" t="str">
        <f>IF(OR(NumFileStatusBoxes&lt;&gt;1,K12,Line33_NOT),"",SUM(L11,-L31))</f>
        <v/>
      </c>
      <c r="M34" s="90"/>
      <c r="N34" s="253"/>
      <c r="O34" s="819"/>
      <c r="P34" s="658"/>
      <c r="Q34" s="658"/>
      <c r="R34" s="658"/>
      <c r="S34" s="658"/>
      <c r="T34" s="658"/>
      <c r="U34" s="658"/>
      <c r="V34" s="658"/>
      <c r="W34" s="658"/>
      <c r="X34" s="658"/>
      <c r="Y34" s="658"/>
      <c r="Z34" s="658"/>
    </row>
    <row r="35" spans="1:26" ht="13.5" customHeight="1" thickBot="1">
      <c r="A35" s="253"/>
      <c r="B35" s="4743"/>
      <c r="C35" s="6212"/>
      <c r="D35" s="2543"/>
      <c r="E35" s="2543"/>
      <c r="F35" s="2543"/>
      <c r="G35" s="2632"/>
      <c r="H35" s="203"/>
      <c r="I35" s="203"/>
      <c r="J35" s="2633"/>
      <c r="K35" s="91"/>
      <c r="L35" s="2633"/>
      <c r="M35" s="2490"/>
      <c r="N35" s="253"/>
      <c r="O35" s="819"/>
      <c r="P35" s="658"/>
      <c r="Q35" s="658"/>
      <c r="R35" s="658"/>
      <c r="S35" s="658"/>
      <c r="T35" s="658"/>
      <c r="U35" s="658"/>
      <c r="V35" s="658"/>
      <c r="W35" s="658"/>
      <c r="X35" s="658"/>
      <c r="Y35" s="658"/>
      <c r="Z35" s="658"/>
    </row>
    <row r="36" spans="1:26" ht="19.5" customHeight="1">
      <c r="A36" s="6100"/>
      <c r="B36" s="253"/>
      <c r="C36" s="253"/>
      <c r="D36" s="253"/>
      <c r="E36" s="253"/>
      <c r="F36" s="253"/>
      <c r="G36" s="253"/>
      <c r="H36" s="253"/>
      <c r="I36" s="253"/>
      <c r="J36" s="253"/>
      <c r="K36" s="253"/>
      <c r="L36" s="253"/>
      <c r="M36" s="253"/>
      <c r="N36" s="253"/>
      <c r="O36" s="819"/>
      <c r="P36" s="658"/>
      <c r="Q36" s="658"/>
      <c r="R36" s="658"/>
      <c r="S36" s="658"/>
      <c r="T36" s="658"/>
      <c r="U36" s="658"/>
      <c r="V36" s="658"/>
      <c r="W36" s="658"/>
      <c r="X36" s="658"/>
      <c r="Y36" s="658"/>
      <c r="Z36" s="658"/>
    </row>
    <row r="38" spans="1:26" ht="13.5" customHeight="1"/>
  </sheetData>
  <sheetProtection algorithmName="SHA-512" hashValue="DH6Zm6LjHRIIfKu/IsO/JeBq5ayBn66dR11grsWpqtcXKP962MYRxr1FA3SrBku725YI7cLO3+euJpePLVxAlQ==" saltValue="600W3rWGcDaJFRbi2ybueA==" spinCount="100000" sheet="1" objects="1" scenarios="1" formatCells="0" formatColumns="0" formatRows="0"/>
  <conditionalFormatting sqref="C24">
    <cfRule type="expression" dxfId="3385" priority="16">
      <formula>IF(NoColor,1,0)</formula>
    </cfRule>
  </conditionalFormatting>
  <conditionalFormatting sqref="C26">
    <cfRule type="expression" dxfId="3384" priority="15">
      <formula>IF(NoColor,1,0)</formula>
    </cfRule>
  </conditionalFormatting>
  <conditionalFormatting sqref="D11">
    <cfRule type="expression" dxfId="3383" priority="5">
      <formula>IF($K$12,1,0)</formula>
    </cfRule>
  </conditionalFormatting>
  <conditionalFormatting sqref="J13">
    <cfRule type="expression" dxfId="3382" priority="13">
      <formula>IF(NoColor,1,0)</formula>
    </cfRule>
  </conditionalFormatting>
  <conditionalFormatting sqref="J15">
    <cfRule type="expression" dxfId="3381" priority="11">
      <formula>IF(NoColor,1,0)</formula>
    </cfRule>
  </conditionalFormatting>
  <conditionalFormatting sqref="J17">
    <cfRule type="expression" dxfId="3380" priority="10">
      <formula>IF(NoColor,1,0)</formula>
    </cfRule>
  </conditionalFormatting>
  <conditionalFormatting sqref="J20">
    <cfRule type="expression" dxfId="3379" priority="9">
      <formula>IF(NoColor,1,0)</formula>
    </cfRule>
  </conditionalFormatting>
  <conditionalFormatting sqref="J26">
    <cfRule type="expression" dxfId="3378" priority="8">
      <formula>IF(NoColor,1,0)</formula>
    </cfRule>
  </conditionalFormatting>
  <conditionalFormatting sqref="L11">
    <cfRule type="expression" dxfId="3377" priority="12">
      <formula>IF(NoColor,1,0)</formula>
    </cfRule>
  </conditionalFormatting>
  <conditionalFormatting sqref="L29">
    <cfRule type="expression" dxfId="3376" priority="14">
      <formula>IF(NoColor,1,0)</formula>
    </cfRule>
  </conditionalFormatting>
  <conditionalFormatting sqref="L31">
    <cfRule type="expression" dxfId="3375" priority="7">
      <formula>IF(NoColor,1,0)</formula>
    </cfRule>
  </conditionalFormatting>
  <conditionalFormatting sqref="L34">
    <cfRule type="expression" dxfId="3374" priority="6">
      <formula>IF(NoColor,1,0)</formula>
    </cfRule>
  </conditionalFormatting>
  <pageMargins left="0.75" right="0.25" top="0.36" bottom="0.28999999999999998" header="0.36" footer="0.21"/>
  <pageSetup scale="81" fitToHeight="0"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BA96"/>
  <sheetViews>
    <sheetView zoomScaleNormal="100" zoomScaleSheetLayoutView="115" workbookViewId="0"/>
  </sheetViews>
  <sheetFormatPr defaultColWidth="3.42578125" defaultRowHeight="12.75"/>
  <cols>
    <col min="2" max="2" width="3.28515625" customWidth="1"/>
    <col min="3" max="3" width="3.85546875" customWidth="1"/>
    <col min="4" max="4" width="2.5703125" style="1" customWidth="1"/>
    <col min="5" max="5" width="5.7109375" customWidth="1"/>
    <col min="6" max="6" width="2.5703125" customWidth="1"/>
    <col min="7" max="11" width="3.42578125" customWidth="1"/>
    <col min="12" max="12" width="3.140625" customWidth="1"/>
    <col min="13" max="14" width="3.42578125" customWidth="1"/>
    <col min="15" max="15" width="4.42578125" customWidth="1"/>
    <col min="16" max="16" width="3.42578125" customWidth="1"/>
    <col min="17" max="17" width="2.5703125" customWidth="1"/>
    <col min="18" max="18" width="3.140625" customWidth="1"/>
    <col min="19" max="19" width="1.85546875" customWidth="1"/>
    <col min="20" max="20" width="3" customWidth="1"/>
    <col min="21" max="21" width="11.7109375" customWidth="1"/>
    <col min="22" max="22" width="5.7109375" customWidth="1"/>
    <col min="23" max="23" width="5.42578125" customWidth="1"/>
    <col min="24" max="24" width="1.5703125" customWidth="1"/>
    <col min="25" max="25" width="4.85546875" customWidth="1"/>
    <col min="26" max="26" width="11.7109375" customWidth="1"/>
    <col min="27" max="27" width="2.85546875" customWidth="1"/>
    <col min="28" max="28" width="1.85546875" customWidth="1"/>
    <col min="29" max="29" width="5.7109375" customWidth="1"/>
    <col min="30" max="30" width="4.42578125" customWidth="1"/>
    <col min="36" max="36" width="2.140625" customWidth="1"/>
    <col min="37" max="37" width="15" customWidth="1"/>
    <col min="38" max="38" width="2.5703125" customWidth="1"/>
    <col min="39" max="40" width="12.140625" customWidth="1"/>
    <col min="41" max="41" width="15.140625" hidden="1" customWidth="1"/>
    <col min="42" max="42" width="3.7109375" customWidth="1"/>
    <col min="43" max="43" width="10.7109375" style="816" customWidth="1"/>
    <col min="44" max="53" width="10.7109375" style="815" customWidth="1"/>
  </cols>
  <sheetData>
    <row r="1" spans="1:53" ht="18">
      <c r="A1" s="1277"/>
      <c r="B1" s="1277"/>
      <c r="C1" s="1277"/>
      <c r="D1" s="2260"/>
      <c r="E1" s="1277"/>
      <c r="F1" s="1277"/>
      <c r="G1" s="1277"/>
      <c r="H1" s="1277"/>
      <c r="I1" s="1277"/>
      <c r="J1" s="1277"/>
      <c r="K1" s="1277"/>
      <c r="L1" s="1277"/>
      <c r="M1" s="1277"/>
      <c r="N1" s="1277"/>
      <c r="O1" s="1277"/>
      <c r="P1" s="1277"/>
      <c r="Q1" s="1277"/>
      <c r="R1" s="1277"/>
      <c r="S1" s="1277"/>
      <c r="T1" s="1277"/>
      <c r="U1" s="1277"/>
      <c r="V1" s="1277"/>
      <c r="W1" s="1277"/>
      <c r="X1" s="1277"/>
      <c r="Y1" s="1277"/>
      <c r="Z1" s="5369" t="str">
        <f>IF('Table of Contents'!A25="D","DRAFT FORM","")</f>
        <v/>
      </c>
      <c r="AA1" s="1277"/>
      <c r="AB1" s="1277"/>
      <c r="AC1" s="1277"/>
      <c r="AD1" s="1277"/>
      <c r="AE1" s="1277"/>
      <c r="AF1" s="1277"/>
      <c r="AG1" s="1277"/>
      <c r="AH1" s="1277"/>
      <c r="AI1" s="1277"/>
      <c r="AJ1" s="253"/>
      <c r="AK1" s="2875"/>
      <c r="AL1" s="2875"/>
      <c r="AQ1" s="1324" t="s">
        <v>223</v>
      </c>
      <c r="AR1" s="658"/>
      <c r="AS1" s="658"/>
      <c r="AT1" s="658"/>
      <c r="AU1" s="769"/>
      <c r="AV1" s="658"/>
      <c r="AW1" s="658"/>
      <c r="AX1" s="658"/>
      <c r="AY1" s="769"/>
      <c r="AZ1" s="658"/>
      <c r="BA1" s="658"/>
    </row>
    <row r="2" spans="1:53" ht="15.75" customHeight="1">
      <c r="A2" s="1277"/>
      <c r="B2" s="7344" t="s">
        <v>5231</v>
      </c>
      <c r="C2" s="7344"/>
      <c r="D2" s="7344"/>
      <c r="E2" s="7344"/>
      <c r="F2" s="7344"/>
      <c r="G2" s="7660"/>
      <c r="H2" s="253"/>
      <c r="I2" s="253"/>
      <c r="J2" s="253"/>
      <c r="K2" s="253"/>
      <c r="L2" s="253"/>
      <c r="M2" s="253"/>
      <c r="N2" s="253"/>
      <c r="O2" s="253"/>
      <c r="P2" s="253"/>
      <c r="Q2" s="253"/>
      <c r="R2" s="253"/>
      <c r="S2" s="253"/>
      <c r="T2" s="253"/>
      <c r="U2" s="253"/>
      <c r="V2" s="253"/>
      <c r="W2" s="253"/>
      <c r="X2" s="253"/>
      <c r="Y2" s="253"/>
      <c r="Z2" s="724"/>
      <c r="AA2" s="253"/>
      <c r="AB2" s="379"/>
      <c r="AC2" s="7586" t="s">
        <v>543</v>
      </c>
      <c r="AD2" s="7587"/>
      <c r="AE2" s="7587"/>
      <c r="AF2" s="7587"/>
      <c r="AG2" s="7587"/>
      <c r="AH2" s="7587"/>
      <c r="AI2" s="1277"/>
      <c r="AJ2" s="253"/>
      <c r="AK2" s="2875"/>
      <c r="AL2" s="2875"/>
      <c r="AQ2" s="827"/>
      <c r="AR2" s="658"/>
      <c r="AS2" s="658"/>
      <c r="AT2" s="658"/>
      <c r="AU2" s="658"/>
      <c r="AV2" s="658"/>
      <c r="AW2" s="658"/>
      <c r="AX2" s="658"/>
      <c r="AY2" s="658"/>
      <c r="AZ2" s="658"/>
      <c r="BA2" s="658"/>
    </row>
    <row r="3" spans="1:53" ht="16.5" customHeight="1">
      <c r="A3" s="1277"/>
      <c r="B3" s="7344"/>
      <c r="C3" s="7344"/>
      <c r="D3" s="7344"/>
      <c r="E3" s="7344"/>
      <c r="F3" s="7344"/>
      <c r="G3" s="7660"/>
      <c r="H3" s="7877" t="s">
        <v>1054</v>
      </c>
      <c r="I3" s="7877"/>
      <c r="J3" s="7877"/>
      <c r="K3" s="7877"/>
      <c r="L3" s="7877"/>
      <c r="M3" s="7877"/>
      <c r="N3" s="7877"/>
      <c r="O3" s="7877"/>
      <c r="P3" s="7877"/>
      <c r="Q3" s="7877"/>
      <c r="R3" s="7877"/>
      <c r="S3" s="7877"/>
      <c r="T3" s="7877"/>
      <c r="U3" s="7877"/>
      <c r="V3" s="7877"/>
      <c r="W3" s="7877"/>
      <c r="X3" s="7877"/>
      <c r="Y3" s="7877"/>
      <c r="Z3" s="7877"/>
      <c r="AA3" s="7877"/>
      <c r="AB3" s="7878"/>
      <c r="AC3" s="7849">
        <f>TaxYear</f>
        <v>2025</v>
      </c>
      <c r="AD3" s="7850"/>
      <c r="AE3" s="7850"/>
      <c r="AF3" s="7850"/>
      <c r="AG3" s="7850"/>
      <c r="AH3" s="7850"/>
      <c r="AI3" s="1277"/>
      <c r="AJ3" s="253"/>
      <c r="AK3" s="2875"/>
      <c r="AL3" s="2875"/>
      <c r="AQ3" s="827"/>
      <c r="AR3" s="658"/>
      <c r="AS3" s="658"/>
      <c r="AT3" s="658"/>
      <c r="AU3" s="658"/>
      <c r="AV3" s="658"/>
      <c r="AW3" s="658"/>
      <c r="AX3" s="658"/>
      <c r="AY3" s="658"/>
      <c r="AZ3" s="658"/>
      <c r="BA3" s="658"/>
    </row>
    <row r="4" spans="1:53" ht="8.25" customHeight="1">
      <c r="A4" s="1277"/>
      <c r="B4" s="7344"/>
      <c r="C4" s="7344"/>
      <c r="D4" s="7344"/>
      <c r="E4" s="7344"/>
      <c r="F4" s="7344"/>
      <c r="G4" s="7660"/>
      <c r="H4" s="7877"/>
      <c r="I4" s="7877"/>
      <c r="J4" s="7877"/>
      <c r="K4" s="7877"/>
      <c r="L4" s="7877"/>
      <c r="M4" s="7877"/>
      <c r="N4" s="7877"/>
      <c r="O4" s="7877"/>
      <c r="P4" s="7877"/>
      <c r="Q4" s="7877"/>
      <c r="R4" s="7877"/>
      <c r="S4" s="7877"/>
      <c r="T4" s="7877"/>
      <c r="U4" s="7877"/>
      <c r="V4" s="7877"/>
      <c r="W4" s="7877"/>
      <c r="X4" s="7877"/>
      <c r="Y4" s="7877"/>
      <c r="Z4" s="7877"/>
      <c r="AA4" s="7877"/>
      <c r="AB4" s="7878"/>
      <c r="AC4" s="7851"/>
      <c r="AD4" s="7589"/>
      <c r="AE4" s="7589"/>
      <c r="AF4" s="7589"/>
      <c r="AG4" s="7589"/>
      <c r="AH4" s="7589"/>
      <c r="AI4" s="1277"/>
      <c r="AJ4" s="253"/>
      <c r="AK4" s="2875"/>
      <c r="AL4" s="2875"/>
      <c r="AQ4" s="827"/>
      <c r="AR4" s="658"/>
      <c r="AS4" s="658"/>
      <c r="AT4" s="658"/>
      <c r="AU4" s="658"/>
      <c r="AV4" s="658"/>
      <c r="AW4" s="658"/>
      <c r="AX4" s="658"/>
      <c r="AY4" s="658"/>
      <c r="AZ4" s="658"/>
      <c r="BA4" s="658"/>
    </row>
    <row r="5" spans="1:53" ht="14.25" customHeight="1">
      <c r="A5" s="1277"/>
      <c r="B5" s="7902" t="s">
        <v>5228</v>
      </c>
      <c r="C5" s="7902"/>
      <c r="D5" s="7902"/>
      <c r="E5" s="7902"/>
      <c r="F5" s="7902"/>
      <c r="G5" s="7903"/>
      <c r="H5" s="7879" t="s">
        <v>776</v>
      </c>
      <c r="I5" s="7879"/>
      <c r="J5" s="7879"/>
      <c r="K5" s="7879"/>
      <c r="L5" s="7879"/>
      <c r="M5" s="7879"/>
      <c r="N5" s="7879"/>
      <c r="O5" s="7879"/>
      <c r="P5" s="7879"/>
      <c r="Q5" s="7879"/>
      <c r="R5" s="7879"/>
      <c r="S5" s="7879"/>
      <c r="T5" s="7879"/>
      <c r="U5" s="7879"/>
      <c r="V5" s="7879"/>
      <c r="W5" s="7879"/>
      <c r="X5" s="7879"/>
      <c r="Y5" s="7879"/>
      <c r="Z5" s="7879"/>
      <c r="AA5" s="7879"/>
      <c r="AB5" s="7880"/>
      <c r="AC5" s="4444"/>
      <c r="AD5" s="7852" t="s">
        <v>1055</v>
      </c>
      <c r="AE5" s="7853"/>
      <c r="AF5" s="7853"/>
      <c r="AG5" s="7853"/>
      <c r="AH5" s="7853"/>
      <c r="AI5" s="1277"/>
      <c r="AJ5" s="253"/>
      <c r="AK5" s="2875"/>
      <c r="AL5" s="2875"/>
      <c r="AQ5" s="827"/>
      <c r="AR5" s="658"/>
      <c r="AS5" s="658"/>
      <c r="AT5" s="658"/>
      <c r="AU5" s="658"/>
      <c r="AV5" s="658"/>
      <c r="AW5" s="658"/>
      <c r="AX5" s="658"/>
      <c r="AY5" s="658"/>
      <c r="AZ5" s="658"/>
      <c r="BA5" s="658"/>
    </row>
    <row r="6" spans="1:53" ht="14.25" customHeight="1" thickBot="1">
      <c r="A6" s="1277"/>
      <c r="B6" s="7904"/>
      <c r="C6" s="7904"/>
      <c r="D6" s="7904"/>
      <c r="E6" s="7904"/>
      <c r="F6" s="7904"/>
      <c r="G6" s="7905"/>
      <c r="H6" s="7862" t="s">
        <v>778</v>
      </c>
      <c r="I6" s="7863"/>
      <c r="J6" s="7863"/>
      <c r="K6" s="7863"/>
      <c r="L6" s="7863"/>
      <c r="M6" s="7863"/>
      <c r="N6" s="7863"/>
      <c r="O6" s="7863"/>
      <c r="P6" s="7863"/>
      <c r="Q6" s="7863"/>
      <c r="R6" s="7863"/>
      <c r="S6" s="7863"/>
      <c r="T6" s="7863"/>
      <c r="U6" s="7863"/>
      <c r="V6" s="7863"/>
      <c r="W6" s="7863"/>
      <c r="X6" s="7863"/>
      <c r="Y6" s="7863"/>
      <c r="Z6" s="7863"/>
      <c r="AA6" s="7863"/>
      <c r="AB6" s="7864"/>
      <c r="AC6" s="765"/>
      <c r="AD6" s="7854" t="s">
        <v>1056</v>
      </c>
      <c r="AE6" s="7855"/>
      <c r="AF6" s="7855"/>
      <c r="AG6" s="7855"/>
      <c r="AH6" s="7855"/>
      <c r="AI6" s="1277"/>
      <c r="AJ6" s="253"/>
      <c r="AK6" s="2875"/>
      <c r="AL6" s="2875"/>
      <c r="AQ6" s="827"/>
      <c r="AR6" s="658"/>
      <c r="AS6" s="658"/>
      <c r="AT6" s="658"/>
      <c r="AU6" s="658"/>
      <c r="AV6" s="658"/>
      <c r="AW6" s="658"/>
      <c r="AX6" s="658"/>
      <c r="AY6" s="658"/>
      <c r="AZ6" s="658"/>
      <c r="BA6" s="658"/>
    </row>
    <row r="7" spans="1:53" ht="15">
      <c r="A7" s="1277"/>
      <c r="B7" s="511" t="s">
        <v>779</v>
      </c>
      <c r="C7" s="511"/>
      <c r="D7" s="810"/>
      <c r="E7" s="511"/>
      <c r="F7" s="511"/>
      <c r="G7" s="511"/>
      <c r="H7" s="511"/>
      <c r="I7" s="511"/>
      <c r="J7" s="511"/>
      <c r="K7" s="511"/>
      <c r="L7" s="511"/>
      <c r="M7" s="511"/>
      <c r="N7" s="511"/>
      <c r="O7" s="511"/>
      <c r="P7" s="511"/>
      <c r="Q7" s="511"/>
      <c r="R7" s="511"/>
      <c r="S7" s="511"/>
      <c r="T7" s="511"/>
      <c r="U7" s="511"/>
      <c r="V7" s="511"/>
      <c r="W7" s="511"/>
      <c r="X7" s="511"/>
      <c r="Y7" s="511"/>
      <c r="Z7" s="511"/>
      <c r="AA7" s="511"/>
      <c r="AB7" s="511"/>
      <c r="AC7" s="2884" t="s">
        <v>1057</v>
      </c>
      <c r="AD7" s="377"/>
      <c r="AE7" s="377"/>
      <c r="AF7" s="377"/>
      <c r="AG7" s="377"/>
      <c r="AH7" s="377"/>
      <c r="AI7" s="1277"/>
      <c r="AJ7" s="253"/>
      <c r="AK7" s="7562" t="s">
        <v>585</v>
      </c>
      <c r="AL7" s="2875"/>
      <c r="AQ7" s="827"/>
      <c r="AR7" s="658"/>
      <c r="AS7" s="658"/>
      <c r="AT7" s="658"/>
      <c r="AU7" s="658"/>
      <c r="AV7" s="658"/>
      <c r="AW7" s="658"/>
      <c r="AX7" s="658"/>
      <c r="AY7" s="658"/>
      <c r="AZ7" s="658"/>
      <c r="BA7" s="658"/>
    </row>
    <row r="8" spans="1:53" ht="9.75" customHeight="1">
      <c r="A8" s="1277"/>
      <c r="B8" s="7867" t="str">
        <f>Names</f>
        <v/>
      </c>
      <c r="C8" s="7867"/>
      <c r="D8" s="7867"/>
      <c r="E8" s="7867"/>
      <c r="F8" s="7867"/>
      <c r="G8" s="7867"/>
      <c r="H8" s="7867"/>
      <c r="I8" s="7867"/>
      <c r="J8" s="7867"/>
      <c r="K8" s="7867"/>
      <c r="L8" s="7867"/>
      <c r="M8" s="7867"/>
      <c r="N8" s="7867"/>
      <c r="O8" s="7867"/>
      <c r="P8" s="7867"/>
      <c r="Q8" s="7867"/>
      <c r="R8" s="7867"/>
      <c r="S8" s="7867"/>
      <c r="T8" s="7867"/>
      <c r="U8" s="7867"/>
      <c r="V8" s="7867"/>
      <c r="W8" s="7867"/>
      <c r="X8" s="7867"/>
      <c r="Y8" s="7867"/>
      <c r="Z8" s="7867"/>
      <c r="AA8" s="7867"/>
      <c r="AB8" s="7868"/>
      <c r="AC8" s="7588">
        <f>IF(NoSSN,"",SS_Yours)</f>
        <v>1010001</v>
      </c>
      <c r="AD8" s="7589"/>
      <c r="AE8" s="7589"/>
      <c r="AF8" s="7589"/>
      <c r="AG8" s="7589"/>
      <c r="AH8" s="7589"/>
      <c r="AI8" s="1277"/>
      <c r="AJ8" s="253"/>
      <c r="AK8" s="7563"/>
      <c r="AL8" s="2875"/>
      <c r="AQ8" s="827"/>
      <c r="AR8" s="658"/>
      <c r="AS8" s="658"/>
      <c r="AT8" s="658"/>
      <c r="AU8" s="658"/>
      <c r="AV8" s="658"/>
      <c r="AW8" s="658"/>
      <c r="AX8" s="658"/>
      <c r="AY8" s="658"/>
      <c r="AZ8" s="658"/>
      <c r="BA8" s="658"/>
    </row>
    <row r="9" spans="1:53" ht="9.75" customHeight="1">
      <c r="A9" s="1277"/>
      <c r="B9" s="7869"/>
      <c r="C9" s="7869"/>
      <c r="D9" s="7869"/>
      <c r="E9" s="7869"/>
      <c r="F9" s="7869"/>
      <c r="G9" s="7869"/>
      <c r="H9" s="7869"/>
      <c r="I9" s="7869"/>
      <c r="J9" s="7869"/>
      <c r="K9" s="7869"/>
      <c r="L9" s="7869"/>
      <c r="M9" s="7869"/>
      <c r="N9" s="7869"/>
      <c r="O9" s="7869"/>
      <c r="P9" s="7869"/>
      <c r="Q9" s="7869"/>
      <c r="R9" s="7869"/>
      <c r="S9" s="7869"/>
      <c r="T9" s="7869"/>
      <c r="U9" s="7869"/>
      <c r="V9" s="7869"/>
      <c r="W9" s="7869"/>
      <c r="X9" s="7869"/>
      <c r="Y9" s="7869"/>
      <c r="Z9" s="7869"/>
      <c r="AA9" s="7869"/>
      <c r="AB9" s="7870"/>
      <c r="AC9" s="7590"/>
      <c r="AD9" s="7587"/>
      <c r="AE9" s="7587"/>
      <c r="AF9" s="7587"/>
      <c r="AG9" s="7587"/>
      <c r="AH9" s="7587"/>
      <c r="AI9" s="1277"/>
      <c r="AJ9" s="253"/>
      <c r="AK9" s="7564"/>
      <c r="AL9" s="2875"/>
      <c r="AQ9" s="827"/>
      <c r="AR9" s="658"/>
      <c r="AS9" s="658"/>
      <c r="AT9" s="658"/>
      <c r="AU9" s="658"/>
      <c r="AV9" s="658"/>
      <c r="AW9" s="658"/>
      <c r="AX9" s="658"/>
      <c r="AY9" s="658"/>
      <c r="AZ9" s="658"/>
      <c r="BA9" s="658"/>
    </row>
    <row r="10" spans="1:53" ht="22.5" customHeight="1">
      <c r="A10" s="1277"/>
      <c r="B10" s="7871" t="s">
        <v>780</v>
      </c>
      <c r="C10" s="7871"/>
      <c r="D10" s="7872"/>
      <c r="E10" s="4446"/>
      <c r="F10" s="3376" t="s">
        <v>1058</v>
      </c>
      <c r="G10" s="4446"/>
      <c r="H10" s="4446"/>
      <c r="I10" s="4446"/>
      <c r="J10" s="4446"/>
      <c r="K10" s="4446"/>
      <c r="L10" s="773"/>
      <c r="M10" s="773"/>
      <c r="N10" s="773"/>
      <c r="O10" s="773"/>
      <c r="P10" s="773"/>
      <c r="Q10" s="773"/>
      <c r="R10" s="773"/>
      <c r="S10" s="773"/>
      <c r="T10" s="773"/>
      <c r="U10" s="773"/>
      <c r="V10" s="773"/>
      <c r="W10" s="773"/>
      <c r="X10" s="773"/>
      <c r="Y10" s="773"/>
      <c r="Z10" s="773"/>
      <c r="AA10" s="773"/>
      <c r="AB10" s="773"/>
      <c r="AC10" s="773"/>
      <c r="AD10" s="773"/>
      <c r="AE10" s="773"/>
      <c r="AF10" s="773"/>
      <c r="AG10" s="773"/>
      <c r="AH10" s="773"/>
      <c r="AI10" s="1277"/>
      <c r="AJ10" s="253"/>
      <c r="AK10" s="2875"/>
      <c r="AL10" s="2875"/>
      <c r="AM10" s="1" t="s">
        <v>782</v>
      </c>
      <c r="AQ10" s="827"/>
      <c r="AR10" s="658"/>
      <c r="AS10" s="658"/>
      <c r="AT10" s="658"/>
      <c r="AU10" s="658"/>
      <c r="AV10" s="658"/>
      <c r="AW10" s="658"/>
      <c r="AX10" s="658"/>
      <c r="AY10" s="658"/>
      <c r="AZ10" s="658"/>
      <c r="BA10" s="658"/>
    </row>
    <row r="11" spans="1:53" ht="18.75" customHeight="1">
      <c r="A11" s="1277"/>
      <c r="B11" s="253"/>
      <c r="C11" s="4242">
        <v>1</v>
      </c>
      <c r="D11" s="810"/>
      <c r="E11" s="5370" t="s">
        <v>5205</v>
      </c>
      <c r="F11" s="253"/>
      <c r="G11" s="253"/>
      <c r="H11" s="253"/>
      <c r="I11" s="253"/>
      <c r="J11" s="253"/>
      <c r="K11" s="253"/>
      <c r="L11" s="253"/>
      <c r="M11" s="253"/>
      <c r="N11" s="253"/>
      <c r="O11" s="253"/>
      <c r="P11" s="253"/>
      <c r="Q11" s="253"/>
      <c r="R11" s="253"/>
      <c r="S11" s="253"/>
      <c r="T11" s="253"/>
      <c r="U11" s="253"/>
      <c r="V11" s="253"/>
      <c r="W11" s="1218"/>
      <c r="X11" s="2373"/>
      <c r="Y11" s="2890"/>
      <c r="Z11" s="1401"/>
      <c r="AA11" s="1401"/>
      <c r="AB11" s="1401"/>
      <c r="AC11" s="5371"/>
      <c r="AD11" s="2333"/>
      <c r="AE11" s="2334"/>
      <c r="AF11" s="2334"/>
      <c r="AG11" s="2334"/>
      <c r="AH11" s="2334"/>
      <c r="AI11" s="1277"/>
      <c r="AJ11" s="253"/>
      <c r="AK11" s="2875"/>
      <c r="AL11" s="2875"/>
      <c r="AM11" s="12"/>
      <c r="AQ11" s="827"/>
      <c r="AR11" s="658"/>
      <c r="AS11" s="658"/>
      <c r="AT11" s="658"/>
      <c r="AU11" s="658"/>
      <c r="AV11" s="658"/>
      <c r="AW11" s="658"/>
      <c r="AX11" s="658"/>
      <c r="AY11" s="658"/>
      <c r="AZ11" s="658"/>
      <c r="BA11" s="658"/>
    </row>
    <row r="12" spans="1:53" ht="20.25" customHeight="1">
      <c r="A12" s="1277"/>
      <c r="B12" s="253"/>
      <c r="C12" s="4242"/>
      <c r="D12" s="514" t="s">
        <v>588</v>
      </c>
      <c r="E12" s="1323" t="s">
        <v>1061</v>
      </c>
      <c r="F12" s="253"/>
      <c r="G12" s="253"/>
      <c r="H12" s="253"/>
      <c r="I12" s="253"/>
      <c r="J12" s="253"/>
      <c r="K12" s="253"/>
      <c r="L12" s="253"/>
      <c r="M12" s="253"/>
      <c r="N12" s="253"/>
      <c r="O12" s="253"/>
      <c r="P12" s="253"/>
      <c r="Q12" s="253"/>
      <c r="R12" s="253"/>
      <c r="S12" s="253"/>
      <c r="T12" s="253"/>
      <c r="U12" s="253"/>
      <c r="V12" s="253"/>
      <c r="W12" s="1218"/>
      <c r="X12" s="2039" t="s">
        <v>636</v>
      </c>
      <c r="Y12" s="5372" t="s">
        <v>333</v>
      </c>
      <c r="Z12" s="7630" t="str">
        <f>IF(AK12&lt;&gt;"",ROUND(AK12,0),PTC_Excess)</f>
        <v/>
      </c>
      <c r="AA12" s="7655"/>
      <c r="AB12" s="7728"/>
      <c r="AC12" s="5371"/>
      <c r="AD12" s="2332"/>
      <c r="AE12" s="514"/>
      <c r="AF12" s="514"/>
      <c r="AG12" s="514"/>
      <c r="AH12" s="514"/>
      <c r="AI12" s="1277"/>
      <c r="AJ12" s="253"/>
      <c r="AK12" s="1329"/>
      <c r="AL12" s="2875"/>
      <c r="AM12" s="12" t="s">
        <v>1062</v>
      </c>
      <c r="AO12">
        <f>IF(PTC_ExcessAdv="",0,1)</f>
        <v>0</v>
      </c>
      <c r="AQ12" s="827"/>
      <c r="AR12" s="658"/>
      <c r="AS12" s="658"/>
      <c r="AT12" s="658"/>
      <c r="AU12" s="658"/>
      <c r="AV12" s="658"/>
      <c r="AW12" s="658"/>
      <c r="AX12" s="658"/>
      <c r="AY12" s="658"/>
      <c r="AZ12" s="658"/>
      <c r="BA12" s="658"/>
    </row>
    <row r="13" spans="1:53" ht="18.75" customHeight="1">
      <c r="A13" s="1277"/>
      <c r="B13" s="253"/>
      <c r="C13" s="4242"/>
      <c r="D13" s="514" t="s">
        <v>592</v>
      </c>
      <c r="E13" s="1323" t="s">
        <v>5206</v>
      </c>
      <c r="F13" s="253"/>
      <c r="G13" s="253"/>
      <c r="H13" s="253"/>
      <c r="I13" s="253"/>
      <c r="J13" s="253"/>
      <c r="K13" s="253"/>
      <c r="L13" s="253"/>
      <c r="M13" s="253"/>
      <c r="N13" s="253"/>
      <c r="O13" s="253"/>
      <c r="P13" s="253"/>
      <c r="Q13" s="253"/>
      <c r="R13" s="253"/>
      <c r="S13" s="253"/>
      <c r="T13" s="253"/>
      <c r="U13" s="253"/>
      <c r="V13" s="253"/>
      <c r="W13" s="1218"/>
      <c r="X13" s="2373"/>
      <c r="Y13" s="726"/>
      <c r="Z13" s="1401"/>
      <c r="AA13" s="1401"/>
      <c r="AB13" s="1401"/>
      <c r="AC13" s="5371"/>
      <c r="AD13" s="2332"/>
      <c r="AE13" s="514"/>
      <c r="AF13" s="514"/>
      <c r="AG13" s="514"/>
      <c r="AH13" s="514"/>
      <c r="AI13" s="1277"/>
      <c r="AJ13" s="253"/>
      <c r="AK13" s="2875"/>
      <c r="AL13" s="2875"/>
      <c r="AM13" s="12"/>
      <c r="AQ13" s="827"/>
      <c r="AR13" s="658"/>
      <c r="AS13" s="658"/>
      <c r="AT13" s="658"/>
      <c r="AU13" s="658"/>
      <c r="AV13" s="658"/>
      <c r="AW13" s="658"/>
      <c r="AX13" s="658"/>
      <c r="AY13" s="658"/>
      <c r="AZ13" s="658"/>
      <c r="BA13" s="658"/>
    </row>
    <row r="14" spans="1:53" ht="15.75">
      <c r="A14" s="1277"/>
      <c r="B14" s="253"/>
      <c r="C14" s="4242"/>
      <c r="D14" s="514"/>
      <c r="E14" s="1323" t="s">
        <v>5219</v>
      </c>
      <c r="F14" s="253"/>
      <c r="G14" s="253"/>
      <c r="H14" s="253"/>
      <c r="I14" s="253"/>
      <c r="J14" s="253"/>
      <c r="K14" s="253"/>
      <c r="L14" s="253"/>
      <c r="M14" s="253"/>
      <c r="N14" s="253"/>
      <c r="O14" s="253"/>
      <c r="P14" s="253"/>
      <c r="Q14" s="253"/>
      <c r="R14" s="253"/>
      <c r="S14" s="253"/>
      <c r="T14" s="253"/>
      <c r="U14" s="253"/>
      <c r="V14" s="253"/>
      <c r="W14" s="1218"/>
      <c r="X14" s="2373"/>
      <c r="Y14" s="726"/>
      <c r="Z14" s="1401"/>
      <c r="AA14" s="1401"/>
      <c r="AB14" s="1401"/>
      <c r="AC14" s="5371"/>
      <c r="AD14" s="2332"/>
      <c r="AE14" s="514"/>
      <c r="AF14" s="514"/>
      <c r="AG14" s="514"/>
      <c r="AH14" s="514"/>
      <c r="AI14" s="1277"/>
      <c r="AJ14" s="253"/>
      <c r="AK14" s="2875"/>
      <c r="AL14" s="2875"/>
      <c r="AM14" s="12"/>
      <c r="AQ14" s="827"/>
      <c r="AR14" s="658"/>
      <c r="AS14" s="658"/>
      <c r="AT14" s="658"/>
      <c r="AU14" s="658"/>
      <c r="AV14" s="658"/>
      <c r="AW14" s="658"/>
      <c r="AX14" s="658"/>
      <c r="AY14" s="658"/>
      <c r="AZ14" s="658"/>
      <c r="BA14" s="658"/>
    </row>
    <row r="15" spans="1:53" ht="15.75">
      <c r="A15" s="1277"/>
      <c r="B15" s="253"/>
      <c r="C15" s="4242"/>
      <c r="D15" s="514"/>
      <c r="E15" s="1323" t="s">
        <v>6335</v>
      </c>
      <c r="F15" s="253"/>
      <c r="G15" s="253"/>
      <c r="H15" s="253"/>
      <c r="I15" s="253"/>
      <c r="J15" s="253"/>
      <c r="K15" s="253"/>
      <c r="L15" s="253"/>
      <c r="M15" s="253"/>
      <c r="N15" s="253"/>
      <c r="O15" s="253"/>
      <c r="P15" s="253"/>
      <c r="Q15" s="253"/>
      <c r="R15" s="253"/>
      <c r="S15" s="253"/>
      <c r="T15" s="253"/>
      <c r="U15" s="253"/>
      <c r="V15" s="253"/>
      <c r="W15" s="1218"/>
      <c r="X15" s="2039" t="s">
        <v>6336</v>
      </c>
      <c r="Y15" s="5372" t="s">
        <v>335</v>
      </c>
      <c r="Z15" s="7873"/>
      <c r="AA15" s="7585"/>
      <c r="AB15" s="7874"/>
      <c r="AC15" s="5371"/>
      <c r="AD15" s="2332"/>
      <c r="AE15" s="514"/>
      <c r="AF15" s="514"/>
      <c r="AG15" s="514"/>
      <c r="AH15" s="514"/>
      <c r="AI15" s="1277"/>
      <c r="AJ15" s="253"/>
      <c r="AK15" s="2875"/>
      <c r="AL15" s="2875"/>
      <c r="AM15" s="12"/>
      <c r="AO15">
        <f>IF(Z15="",0,1)</f>
        <v>0</v>
      </c>
      <c r="AQ15" s="827"/>
      <c r="AR15" s="658"/>
      <c r="AS15" s="658"/>
      <c r="AT15" s="658"/>
      <c r="AU15" s="658"/>
      <c r="AV15" s="658"/>
      <c r="AW15" s="658"/>
      <c r="AX15" s="658"/>
      <c r="AY15" s="658"/>
      <c r="AZ15" s="658"/>
      <c r="BA15" s="658"/>
    </row>
    <row r="16" spans="1:53" ht="15.75">
      <c r="A16" s="1277"/>
      <c r="B16" s="253"/>
      <c r="C16" s="4242"/>
      <c r="D16" s="2277" t="s">
        <v>595</v>
      </c>
      <c r="E16" s="1323" t="s">
        <v>5490</v>
      </c>
      <c r="F16" s="5373"/>
      <c r="G16" s="5373"/>
      <c r="H16" s="5373"/>
      <c r="I16" s="5373"/>
      <c r="J16" s="5373"/>
      <c r="K16" s="5373"/>
      <c r="L16" s="5373"/>
      <c r="M16" s="5373"/>
      <c r="N16" s="5373"/>
      <c r="O16" s="5373"/>
      <c r="P16" s="5373"/>
      <c r="Q16" s="5373"/>
      <c r="R16" s="5373"/>
      <c r="S16" s="5373"/>
      <c r="T16" s="5373"/>
      <c r="U16" s="5373"/>
      <c r="V16" s="5373"/>
      <c r="W16" s="5373"/>
      <c r="X16" s="5373"/>
      <c r="Y16" s="5374"/>
      <c r="Z16" s="1401"/>
      <c r="AA16" s="1401"/>
      <c r="AB16" s="1401"/>
      <c r="AC16" s="5371"/>
      <c r="AD16" s="2332"/>
      <c r="AE16" s="514"/>
      <c r="AF16" s="514"/>
      <c r="AG16" s="514"/>
      <c r="AH16" s="514"/>
      <c r="AI16" s="1277"/>
      <c r="AJ16" s="253"/>
      <c r="AK16" s="2875"/>
      <c r="AL16" s="2875"/>
      <c r="AM16" s="12"/>
      <c r="AQ16" s="827"/>
      <c r="AR16" s="658"/>
      <c r="AS16" s="658"/>
      <c r="AT16" s="658"/>
      <c r="AU16" s="658"/>
      <c r="AV16" s="658"/>
      <c r="AW16" s="658"/>
      <c r="AX16" s="658"/>
      <c r="AY16" s="658"/>
      <c r="AZ16" s="658"/>
      <c r="BA16" s="658"/>
    </row>
    <row r="17" spans="1:53" ht="15.75">
      <c r="A17" s="1277"/>
      <c r="B17" s="253"/>
      <c r="C17" s="4242"/>
      <c r="D17" s="2277"/>
      <c r="E17" s="1323" t="s">
        <v>5491</v>
      </c>
      <c r="F17" s="5373"/>
      <c r="G17" s="5373"/>
      <c r="H17" s="5373"/>
      <c r="I17" s="5373"/>
      <c r="J17" s="5373"/>
      <c r="K17" s="5373"/>
      <c r="L17" s="5373"/>
      <c r="M17" s="5373"/>
      <c r="N17" s="5373"/>
      <c r="O17" s="5373"/>
      <c r="P17" s="5373"/>
      <c r="Q17" s="5373"/>
      <c r="R17" s="5373"/>
      <c r="S17" s="5373"/>
      <c r="T17" s="5373"/>
      <c r="U17" s="5373"/>
      <c r="V17" s="5373"/>
      <c r="W17" s="5373"/>
      <c r="X17" s="5373"/>
      <c r="Y17" s="5375"/>
      <c r="Z17" s="1401"/>
      <c r="AA17" s="1401"/>
      <c r="AB17" s="1401"/>
      <c r="AC17" s="5371"/>
      <c r="AD17" s="2332"/>
      <c r="AE17" s="514"/>
      <c r="AF17" s="514"/>
      <c r="AG17" s="514"/>
      <c r="AH17" s="514"/>
      <c r="AI17" s="1277"/>
      <c r="AJ17" s="253"/>
      <c r="AK17" s="2875"/>
      <c r="AL17" s="2875"/>
      <c r="AM17" s="12"/>
      <c r="AQ17" s="827"/>
      <c r="AR17" s="658"/>
      <c r="AS17" s="658"/>
      <c r="AT17" s="658"/>
      <c r="AU17" s="658"/>
      <c r="AV17" s="658"/>
      <c r="AW17" s="658"/>
      <c r="AX17" s="658"/>
      <c r="AY17" s="658"/>
      <c r="AZ17" s="658"/>
      <c r="BA17" s="658"/>
    </row>
    <row r="18" spans="1:53" ht="15.75">
      <c r="A18" s="1277"/>
      <c r="B18" s="253"/>
      <c r="C18" s="4242"/>
      <c r="D18" s="514"/>
      <c r="E18" s="1323" t="s">
        <v>5492</v>
      </c>
      <c r="F18" s="5373"/>
      <c r="G18" s="5373"/>
      <c r="H18" s="5373"/>
      <c r="I18" s="5373"/>
      <c r="J18" s="5373"/>
      <c r="K18" s="5373"/>
      <c r="L18" s="5373"/>
      <c r="M18" s="5373"/>
      <c r="N18" s="5373"/>
      <c r="O18" s="5373"/>
      <c r="P18" s="5373"/>
      <c r="Q18" s="5373"/>
      <c r="R18" s="5373"/>
      <c r="S18" s="5373"/>
      <c r="T18" s="5373"/>
      <c r="U18" s="5373"/>
      <c r="V18" s="5373"/>
      <c r="W18" s="5373"/>
      <c r="X18" s="2039" t="s">
        <v>590</v>
      </c>
      <c r="Y18" s="5372" t="s">
        <v>598</v>
      </c>
      <c r="Z18" s="7873"/>
      <c r="AA18" s="7585"/>
      <c r="AB18" s="7874"/>
      <c r="AC18" s="5371"/>
      <c r="AD18" s="2332"/>
      <c r="AE18" s="514"/>
      <c r="AF18" s="514"/>
      <c r="AG18" s="514"/>
      <c r="AH18" s="514"/>
      <c r="AI18" s="1277"/>
      <c r="AJ18" s="253"/>
      <c r="AK18" s="2875"/>
      <c r="AL18" s="2875"/>
      <c r="AM18" s="12"/>
      <c r="AO18">
        <f>IF(Z18="",0,1)</f>
        <v>0</v>
      </c>
      <c r="AQ18" s="827"/>
      <c r="AR18" s="658"/>
      <c r="AS18" s="658"/>
      <c r="AT18" s="658"/>
      <c r="AU18" s="658"/>
      <c r="AV18" s="658"/>
      <c r="AW18" s="658"/>
      <c r="AX18" s="658"/>
      <c r="AY18" s="658"/>
      <c r="AZ18" s="658"/>
      <c r="BA18" s="658"/>
    </row>
    <row r="19" spans="1:53" ht="18.75" customHeight="1">
      <c r="A19" s="1277"/>
      <c r="B19" s="253"/>
      <c r="C19" s="4242"/>
      <c r="D19" s="514" t="s">
        <v>599</v>
      </c>
      <c r="E19" s="1323" t="s">
        <v>5207</v>
      </c>
      <c r="F19" s="253"/>
      <c r="G19" s="253"/>
      <c r="H19" s="253"/>
      <c r="I19" s="253"/>
      <c r="J19" s="253"/>
      <c r="K19" s="253"/>
      <c r="L19" s="253"/>
      <c r="M19" s="253"/>
      <c r="N19" s="253"/>
      <c r="O19" s="253"/>
      <c r="P19" s="253"/>
      <c r="Q19" s="253"/>
      <c r="R19" s="253"/>
      <c r="S19" s="253"/>
      <c r="T19" s="253"/>
      <c r="U19" s="253"/>
      <c r="V19" s="253"/>
      <c r="W19" s="1218"/>
      <c r="X19" s="2039" t="s">
        <v>643</v>
      </c>
      <c r="Y19" s="5372" t="s">
        <v>602</v>
      </c>
      <c r="Z19" s="7873"/>
      <c r="AA19" s="7585"/>
      <c r="AB19" s="7874"/>
      <c r="AC19" s="5371"/>
      <c r="AD19" s="2332"/>
      <c r="AE19" s="514"/>
      <c r="AF19" s="514"/>
      <c r="AG19" s="514"/>
      <c r="AH19" s="514"/>
      <c r="AI19" s="1277"/>
      <c r="AJ19" s="253"/>
      <c r="AK19" s="2875"/>
      <c r="AL19" s="2875"/>
      <c r="AM19" s="12"/>
      <c r="AO19">
        <f>IF(Z19="",0,1)</f>
        <v>0</v>
      </c>
      <c r="AQ19" s="827"/>
      <c r="AR19" s="658"/>
      <c r="AS19" s="658"/>
      <c r="AT19" s="658"/>
      <c r="AU19" s="658"/>
      <c r="AV19" s="658"/>
      <c r="AW19" s="658"/>
      <c r="AX19" s="658"/>
      <c r="AY19" s="658"/>
      <c r="AZ19" s="658"/>
      <c r="BA19" s="658"/>
    </row>
    <row r="20" spans="1:53" ht="18.75" customHeight="1">
      <c r="A20" s="1277"/>
      <c r="B20" s="253"/>
      <c r="C20" s="4242"/>
      <c r="D20" s="514" t="s">
        <v>603</v>
      </c>
      <c r="E20" s="7900" t="s">
        <v>5217</v>
      </c>
      <c r="F20" s="7900"/>
      <c r="G20" s="7900"/>
      <c r="H20" s="7900"/>
      <c r="I20" s="7900"/>
      <c r="J20" s="7900"/>
      <c r="K20" s="7900"/>
      <c r="L20" s="7900"/>
      <c r="M20" s="7900"/>
      <c r="N20" s="7900"/>
      <c r="O20" s="7900"/>
      <c r="P20" s="7900"/>
      <c r="Q20" s="7900"/>
      <c r="R20" s="7900"/>
      <c r="S20" s="7900"/>
      <c r="T20" s="7900"/>
      <c r="U20" s="7900"/>
      <c r="V20" s="7900"/>
      <c r="W20" s="7900"/>
      <c r="X20" s="7900"/>
      <c r="Y20" s="5375"/>
      <c r="Z20" s="5376"/>
      <c r="AA20" s="5373"/>
      <c r="AB20" s="5377"/>
      <c r="AC20" s="5371"/>
      <c r="AD20" s="2332"/>
      <c r="AE20" s="514"/>
      <c r="AF20" s="514"/>
      <c r="AG20" s="514"/>
      <c r="AH20" s="514"/>
      <c r="AI20" s="1277"/>
      <c r="AJ20" s="253"/>
      <c r="AK20" s="2875"/>
      <c r="AL20" s="2875"/>
      <c r="AM20" s="12"/>
      <c r="AQ20" s="827"/>
      <c r="AR20" s="658"/>
      <c r="AS20" s="658"/>
      <c r="AT20" s="658"/>
      <c r="AU20" s="658"/>
      <c r="AV20" s="658"/>
      <c r="AW20" s="658"/>
      <c r="AX20" s="658"/>
      <c r="AY20" s="658"/>
      <c r="AZ20" s="658"/>
      <c r="BA20" s="658"/>
    </row>
    <row r="21" spans="1:53" ht="18.75" customHeight="1">
      <c r="A21" s="1277"/>
      <c r="B21" s="253"/>
      <c r="C21" s="4242"/>
      <c r="D21" s="514"/>
      <c r="E21" s="7861" t="s">
        <v>5213</v>
      </c>
      <c r="F21" s="7861"/>
      <c r="G21" s="5373"/>
      <c r="H21" s="5373"/>
      <c r="I21" s="5373"/>
      <c r="J21" s="5373"/>
      <c r="K21" s="5373"/>
      <c r="L21" s="5373"/>
      <c r="M21" s="5373"/>
      <c r="N21" s="5373"/>
      <c r="O21" s="5373"/>
      <c r="P21" s="5373"/>
      <c r="Q21" s="5373"/>
      <c r="R21" s="5373"/>
      <c r="S21" s="5373"/>
      <c r="T21" s="5373"/>
      <c r="U21" s="5373"/>
      <c r="V21" s="5373"/>
      <c r="W21" s="5373"/>
      <c r="X21" s="5373"/>
      <c r="Y21" s="5375"/>
      <c r="Z21" s="5376"/>
      <c r="AA21" s="5373"/>
      <c r="AB21" s="5377"/>
      <c r="AC21" s="5371"/>
      <c r="AD21" s="2332"/>
      <c r="AE21" s="514"/>
      <c r="AF21" s="514"/>
      <c r="AG21" s="514"/>
      <c r="AH21" s="514"/>
      <c r="AI21" s="1277"/>
      <c r="AJ21" s="253"/>
      <c r="AK21" s="2875"/>
      <c r="AL21" s="2875"/>
      <c r="AM21" s="12"/>
      <c r="AQ21" s="827"/>
      <c r="AR21" s="658"/>
      <c r="AS21" s="658"/>
      <c r="AT21" s="658"/>
      <c r="AU21" s="658"/>
      <c r="AV21" s="658"/>
      <c r="AW21" s="658"/>
      <c r="AX21" s="658"/>
      <c r="AY21" s="658"/>
      <c r="AZ21" s="658"/>
      <c r="BA21" s="658"/>
    </row>
    <row r="22" spans="1:53" ht="13.5" customHeight="1">
      <c r="A22" s="1277"/>
      <c r="B22" s="253"/>
      <c r="C22" s="4242"/>
      <c r="D22" s="514"/>
      <c r="E22" s="5378" t="s">
        <v>5208</v>
      </c>
      <c r="F22" s="384"/>
      <c r="G22" s="2298" t="s">
        <v>5534</v>
      </c>
      <c r="H22" s="253"/>
      <c r="I22" s="253"/>
      <c r="J22" s="253"/>
      <c r="K22" s="253"/>
      <c r="L22" s="253"/>
      <c r="M22" s="1218"/>
      <c r="N22" s="2373"/>
      <c r="O22" s="7875" t="s">
        <v>5209</v>
      </c>
      <c r="P22" s="7876"/>
      <c r="Q22" s="384"/>
      <c r="R22" s="2298" t="s">
        <v>5536</v>
      </c>
      <c r="S22" s="253"/>
      <c r="T22" s="253"/>
      <c r="U22" s="253"/>
      <c r="V22" s="253"/>
      <c r="W22" s="253"/>
      <c r="X22" s="253"/>
      <c r="Y22" s="726"/>
      <c r="Z22" s="5379"/>
      <c r="AA22" s="1401"/>
      <c r="AB22" s="1657"/>
      <c r="AC22" s="5371"/>
      <c r="AD22" s="2332"/>
      <c r="AE22" s="514"/>
      <c r="AF22" s="514"/>
      <c r="AG22" s="514"/>
      <c r="AH22" s="514"/>
      <c r="AI22" s="1277"/>
      <c r="AJ22" s="253"/>
      <c r="AK22" s="2875"/>
      <c r="AL22" s="2875"/>
      <c r="AM22" s="12"/>
      <c r="AQ22" s="827"/>
      <c r="AR22" s="658"/>
      <c r="AS22" s="658"/>
      <c r="AT22" s="658"/>
      <c r="AU22" s="658"/>
      <c r="AV22" s="658"/>
      <c r="AW22" s="658"/>
      <c r="AX22" s="658"/>
      <c r="AY22" s="658"/>
      <c r="AZ22" s="658"/>
      <c r="BA22" s="658"/>
    </row>
    <row r="23" spans="1:53" ht="8.25" customHeight="1">
      <c r="A23" s="1277"/>
      <c r="B23" s="253"/>
      <c r="C23" s="4242"/>
      <c r="D23" s="514"/>
      <c r="E23" s="511"/>
      <c r="F23" s="253"/>
      <c r="G23" s="253"/>
      <c r="H23" s="253"/>
      <c r="I23" s="253"/>
      <c r="J23" s="253"/>
      <c r="K23" s="253"/>
      <c r="L23" s="253"/>
      <c r="M23" s="253"/>
      <c r="N23" s="253"/>
      <c r="O23" s="253"/>
      <c r="P23" s="253"/>
      <c r="Q23" s="253"/>
      <c r="R23" s="253"/>
      <c r="S23" s="253"/>
      <c r="T23" s="253"/>
      <c r="U23" s="253"/>
      <c r="V23" s="253"/>
      <c r="W23" s="1218"/>
      <c r="X23" s="2373"/>
      <c r="Y23" s="726"/>
      <c r="Z23" s="7715"/>
      <c r="AA23" s="7716"/>
      <c r="AB23" s="7717"/>
      <c r="AC23" s="5371"/>
      <c r="AD23" s="2332"/>
      <c r="AE23" s="514"/>
      <c r="AF23" s="514"/>
      <c r="AG23" s="514"/>
      <c r="AH23" s="514"/>
      <c r="AI23" s="1277"/>
      <c r="AJ23" s="253"/>
      <c r="AK23" s="2875"/>
      <c r="AL23" s="2875"/>
      <c r="AM23" s="12"/>
      <c r="AQ23" s="827"/>
      <c r="AR23" s="658"/>
      <c r="AS23" s="658"/>
      <c r="AT23" s="658"/>
      <c r="AU23" s="658"/>
      <c r="AV23" s="658"/>
      <c r="AW23" s="658"/>
      <c r="AX23" s="658"/>
      <c r="AY23" s="658"/>
      <c r="AZ23" s="658"/>
      <c r="BA23" s="658"/>
    </row>
    <row r="24" spans="1:53" ht="13.5" customHeight="1">
      <c r="A24" s="1277"/>
      <c r="B24" s="253"/>
      <c r="C24" s="4242"/>
      <c r="D24" s="514"/>
      <c r="E24" s="5378" t="s">
        <v>5210</v>
      </c>
      <c r="F24" s="384"/>
      <c r="G24" s="2298" t="s">
        <v>5535</v>
      </c>
      <c r="H24" s="253"/>
      <c r="I24" s="253"/>
      <c r="J24" s="253"/>
      <c r="K24" s="253"/>
      <c r="L24" s="253"/>
      <c r="M24" s="1218"/>
      <c r="N24" s="2373"/>
      <c r="O24" s="7875" t="s">
        <v>5211</v>
      </c>
      <c r="P24" s="7876"/>
      <c r="Q24" s="384"/>
      <c r="R24" s="2298" t="s">
        <v>5537</v>
      </c>
      <c r="S24" s="253"/>
      <c r="T24" s="253"/>
      <c r="U24" s="253"/>
      <c r="V24" s="253"/>
      <c r="W24" s="253"/>
      <c r="X24" s="1401" t="s">
        <v>877</v>
      </c>
      <c r="Y24" s="5372" t="s">
        <v>605</v>
      </c>
      <c r="Z24" s="7873"/>
      <c r="AA24" s="7585"/>
      <c r="AB24" s="7874"/>
      <c r="AC24" s="5371"/>
      <c r="AD24" s="2332"/>
      <c r="AE24" s="514"/>
      <c r="AF24" s="514"/>
      <c r="AG24" s="514"/>
      <c r="AH24" s="514"/>
      <c r="AI24" s="1277"/>
      <c r="AJ24" s="253"/>
      <c r="AK24" s="2875"/>
      <c r="AL24" s="2875"/>
      <c r="AM24" s="12"/>
      <c r="AO24">
        <f>IF(Z24="",0,1)</f>
        <v>0</v>
      </c>
      <c r="AQ24" s="827"/>
      <c r="AR24" s="658"/>
      <c r="AS24" s="658"/>
      <c r="AT24" s="658"/>
      <c r="AU24" s="658"/>
      <c r="AV24" s="658"/>
      <c r="AW24" s="658"/>
      <c r="AX24" s="658"/>
      <c r="AY24" s="658"/>
      <c r="AZ24" s="658"/>
      <c r="BA24" s="658"/>
    </row>
    <row r="25" spans="1:53" ht="8.25" customHeight="1">
      <c r="A25" s="1277"/>
      <c r="B25" s="253"/>
      <c r="C25" s="4242"/>
      <c r="D25" s="514"/>
      <c r="E25" s="511"/>
      <c r="F25" s="253"/>
      <c r="G25" s="253"/>
      <c r="H25" s="253"/>
      <c r="I25" s="253"/>
      <c r="J25" s="253"/>
      <c r="K25" s="253"/>
      <c r="L25" s="253"/>
      <c r="M25" s="253"/>
      <c r="N25" s="253"/>
      <c r="O25" s="253"/>
      <c r="P25" s="253"/>
      <c r="Q25" s="253"/>
      <c r="R25" s="253"/>
      <c r="S25" s="253"/>
      <c r="T25" s="253"/>
      <c r="U25" s="253"/>
      <c r="V25" s="253"/>
      <c r="W25" s="1218"/>
      <c r="X25" s="2373"/>
      <c r="Y25" s="726"/>
      <c r="Z25" s="5380"/>
      <c r="AA25" s="4016"/>
      <c r="AB25" s="5381"/>
      <c r="AC25" s="5371"/>
      <c r="AD25" s="2332"/>
      <c r="AE25" s="514"/>
      <c r="AF25" s="514"/>
      <c r="AG25" s="514"/>
      <c r="AH25" s="514"/>
      <c r="AI25" s="1277"/>
      <c r="AJ25" s="253"/>
      <c r="AK25" s="2875"/>
      <c r="AL25" s="2875"/>
      <c r="AM25" s="12"/>
      <c r="AQ25" s="827"/>
      <c r="AR25" s="658"/>
      <c r="AS25" s="658"/>
      <c r="AT25" s="658"/>
      <c r="AU25" s="658"/>
      <c r="AV25" s="658"/>
      <c r="AW25" s="658"/>
      <c r="AX25" s="658"/>
      <c r="AY25" s="658"/>
      <c r="AZ25" s="658"/>
      <c r="BA25" s="658"/>
    </row>
    <row r="26" spans="1:53" ht="18.75" customHeight="1">
      <c r="A26" s="1277"/>
      <c r="B26" s="253"/>
      <c r="C26" s="4242"/>
      <c r="D26" s="514" t="s">
        <v>606</v>
      </c>
      <c r="E26" s="7900" t="s">
        <v>5212</v>
      </c>
      <c r="F26" s="7900"/>
      <c r="G26" s="7900"/>
      <c r="H26" s="7900"/>
      <c r="I26" s="7900"/>
      <c r="J26" s="7900"/>
      <c r="K26" s="7900"/>
      <c r="L26" s="7900"/>
      <c r="M26" s="7900"/>
      <c r="N26" s="7900"/>
      <c r="O26" s="7900"/>
      <c r="P26" s="7900"/>
      <c r="Q26" s="7900"/>
      <c r="R26" s="7900"/>
      <c r="S26" s="7900"/>
      <c r="T26" s="7900"/>
      <c r="U26" s="7900"/>
      <c r="V26" s="7900"/>
      <c r="W26" s="7900"/>
      <c r="X26" s="7901"/>
      <c r="Y26" s="5375"/>
      <c r="Z26" s="5376"/>
      <c r="AA26" s="5373"/>
      <c r="AB26" s="5377"/>
      <c r="AC26" s="5371"/>
      <c r="AD26" s="2332"/>
      <c r="AE26" s="514"/>
      <c r="AF26" s="514"/>
      <c r="AG26" s="514"/>
      <c r="AH26" s="514"/>
      <c r="AI26" s="1277"/>
      <c r="AJ26" s="253"/>
      <c r="AK26" s="2875"/>
      <c r="AL26" s="2875"/>
      <c r="AM26" s="12"/>
      <c r="AQ26" s="827"/>
      <c r="AR26" s="658"/>
      <c r="AS26" s="658"/>
      <c r="AT26" s="658"/>
      <c r="AU26" s="658"/>
      <c r="AV26" s="658"/>
      <c r="AW26" s="658"/>
      <c r="AX26" s="658"/>
      <c r="AY26" s="658"/>
      <c r="AZ26" s="658"/>
      <c r="BA26" s="658"/>
    </row>
    <row r="27" spans="1:53" ht="18.75" customHeight="1">
      <c r="A27" s="1277"/>
      <c r="B27" s="253"/>
      <c r="C27" s="4242"/>
      <c r="D27" s="514"/>
      <c r="E27" s="7861" t="s">
        <v>2882</v>
      </c>
      <c r="F27" s="7861"/>
      <c r="G27" s="7861"/>
      <c r="H27" s="7861"/>
      <c r="I27" s="5373"/>
      <c r="J27" s="5373"/>
      <c r="K27" s="5373"/>
      <c r="L27" s="5373"/>
      <c r="M27" s="5373"/>
      <c r="N27" s="5373"/>
      <c r="O27" s="5373"/>
      <c r="P27" s="5373"/>
      <c r="Q27" s="5373"/>
      <c r="R27" s="5373"/>
      <c r="S27" s="5373"/>
      <c r="T27" s="5373"/>
      <c r="U27" s="5373"/>
      <c r="V27" s="5373"/>
      <c r="W27" s="5373"/>
      <c r="X27" s="5373"/>
      <c r="Y27" s="5375"/>
      <c r="Z27" s="5376"/>
      <c r="AA27" s="5373"/>
      <c r="AB27" s="5377"/>
      <c r="AC27" s="5371"/>
      <c r="AD27" s="2332"/>
      <c r="AE27" s="514"/>
      <c r="AF27" s="514"/>
      <c r="AG27" s="514"/>
      <c r="AH27" s="514"/>
      <c r="AI27" s="1277"/>
      <c r="AJ27" s="253"/>
      <c r="AK27" s="2875"/>
      <c r="AL27" s="2875"/>
      <c r="AM27" s="12"/>
      <c r="AQ27" s="827"/>
      <c r="AR27" s="658"/>
      <c r="AS27" s="658"/>
      <c r="AT27" s="658"/>
      <c r="AU27" s="658"/>
      <c r="AV27" s="658"/>
      <c r="AW27" s="658"/>
      <c r="AX27" s="658"/>
      <c r="AY27" s="658"/>
      <c r="AZ27" s="658"/>
      <c r="BA27" s="658"/>
    </row>
    <row r="28" spans="1:53" ht="13.5" customHeight="1">
      <c r="A28" s="1277"/>
      <c r="B28" s="253"/>
      <c r="C28" s="4242"/>
      <c r="D28" s="514"/>
      <c r="E28" s="5378" t="s">
        <v>5208</v>
      </c>
      <c r="F28" s="384"/>
      <c r="G28" s="2298" t="s">
        <v>5534</v>
      </c>
      <c r="H28" s="253"/>
      <c r="I28" s="253"/>
      <c r="J28" s="253"/>
      <c r="K28" s="253"/>
      <c r="L28" s="253"/>
      <c r="M28" s="1218"/>
      <c r="N28" s="2373"/>
      <c r="O28" s="7875" t="s">
        <v>5209</v>
      </c>
      <c r="P28" s="7876"/>
      <c r="Q28" s="384"/>
      <c r="R28" s="2298" t="s">
        <v>5536</v>
      </c>
      <c r="S28" s="253"/>
      <c r="T28" s="253"/>
      <c r="U28" s="253"/>
      <c r="V28" s="253"/>
      <c r="W28" s="253"/>
      <c r="X28" s="253"/>
      <c r="Y28" s="726"/>
      <c r="Z28" s="5379"/>
      <c r="AA28" s="1401"/>
      <c r="AB28" s="1657"/>
      <c r="AC28" s="5371"/>
      <c r="AD28" s="2332"/>
      <c r="AE28" s="514"/>
      <c r="AF28" s="514"/>
      <c r="AG28" s="514"/>
      <c r="AH28" s="514"/>
      <c r="AI28" s="1277"/>
      <c r="AJ28" s="253"/>
      <c r="AK28" s="2875"/>
      <c r="AL28" s="2875"/>
      <c r="AM28" s="12"/>
      <c r="AQ28" s="827"/>
      <c r="AR28" s="658"/>
      <c r="AS28" s="658"/>
      <c r="AT28" s="658"/>
      <c r="AU28" s="658"/>
      <c r="AV28" s="658"/>
      <c r="AW28" s="658"/>
      <c r="AX28" s="658"/>
      <c r="AY28" s="658"/>
      <c r="AZ28" s="658"/>
      <c r="BA28" s="658"/>
    </row>
    <row r="29" spans="1:53" ht="8.25" customHeight="1">
      <c r="A29" s="1277"/>
      <c r="B29" s="253"/>
      <c r="C29" s="4242"/>
      <c r="D29" s="514"/>
      <c r="E29" s="511"/>
      <c r="F29" s="253"/>
      <c r="G29" s="253"/>
      <c r="H29" s="253"/>
      <c r="I29" s="253"/>
      <c r="J29" s="253"/>
      <c r="K29" s="253"/>
      <c r="L29" s="253"/>
      <c r="M29" s="253"/>
      <c r="N29" s="253"/>
      <c r="O29" s="253"/>
      <c r="P29" s="253"/>
      <c r="Q29" s="253"/>
      <c r="R29" s="253"/>
      <c r="S29" s="253"/>
      <c r="T29" s="253"/>
      <c r="U29" s="253"/>
      <c r="V29" s="253"/>
      <c r="W29" s="1218"/>
      <c r="X29" s="2373"/>
      <c r="Y29" s="726"/>
      <c r="Z29" s="7715"/>
      <c r="AA29" s="7716"/>
      <c r="AB29" s="7717"/>
      <c r="AC29" s="5371"/>
      <c r="AD29" s="2332"/>
      <c r="AE29" s="514"/>
      <c r="AF29" s="514"/>
      <c r="AG29" s="514"/>
      <c r="AH29" s="514"/>
      <c r="AI29" s="1277"/>
      <c r="AJ29" s="253"/>
      <c r="AK29" s="2875"/>
      <c r="AL29" s="2875"/>
      <c r="AM29" s="12"/>
      <c r="AQ29" s="827"/>
      <c r="AR29" s="658"/>
      <c r="AS29" s="658"/>
      <c r="AT29" s="658"/>
      <c r="AU29" s="658"/>
      <c r="AV29" s="658"/>
      <c r="AW29" s="658"/>
      <c r="AX29" s="658"/>
      <c r="AY29" s="658"/>
      <c r="AZ29" s="658"/>
      <c r="BA29" s="658"/>
    </row>
    <row r="30" spans="1:53" ht="13.5" customHeight="1">
      <c r="A30" s="1277"/>
      <c r="B30" s="253"/>
      <c r="C30" s="4242"/>
      <c r="D30" s="514"/>
      <c r="E30" s="5378" t="s">
        <v>5210</v>
      </c>
      <c r="F30" s="384"/>
      <c r="G30" s="2298" t="s">
        <v>5535</v>
      </c>
      <c r="H30" s="253"/>
      <c r="I30" s="253"/>
      <c r="J30" s="253"/>
      <c r="K30" s="253"/>
      <c r="L30" s="253"/>
      <c r="M30" s="1218"/>
      <c r="N30" s="2373"/>
      <c r="O30" s="7875" t="s">
        <v>5211</v>
      </c>
      <c r="P30" s="7876"/>
      <c r="Q30" s="384"/>
      <c r="R30" s="2298" t="s">
        <v>5537</v>
      </c>
      <c r="S30" s="253"/>
      <c r="T30" s="253"/>
      <c r="U30" s="253"/>
      <c r="V30" s="253"/>
      <c r="W30" s="253"/>
      <c r="X30" s="1401" t="s">
        <v>877</v>
      </c>
      <c r="Y30" s="5372" t="s">
        <v>609</v>
      </c>
      <c r="Z30" s="7873"/>
      <c r="AA30" s="7585"/>
      <c r="AB30" s="7874"/>
      <c r="AC30" s="5371"/>
      <c r="AD30" s="2332"/>
      <c r="AE30" s="514"/>
      <c r="AF30" s="514"/>
      <c r="AG30" s="514"/>
      <c r="AH30" s="514"/>
      <c r="AI30" s="1277"/>
      <c r="AJ30" s="253"/>
      <c r="AK30" s="2875"/>
      <c r="AL30" s="2875"/>
      <c r="AM30" s="12"/>
      <c r="AO30">
        <f>IF(Z30="",0,1)</f>
        <v>0</v>
      </c>
      <c r="AQ30" s="827"/>
      <c r="AR30" s="658"/>
      <c r="AS30" s="658"/>
      <c r="AT30" s="658"/>
      <c r="AU30" s="658"/>
      <c r="AV30" s="658"/>
      <c r="AW30" s="658"/>
      <c r="AX30" s="658"/>
      <c r="AY30" s="658"/>
      <c r="AZ30" s="658"/>
      <c r="BA30" s="658"/>
    </row>
    <row r="31" spans="1:53" ht="8.25" customHeight="1">
      <c r="A31" s="1277"/>
      <c r="B31" s="253"/>
      <c r="C31" s="4242"/>
      <c r="D31" s="514"/>
      <c r="E31" s="2063"/>
      <c r="F31" s="253"/>
      <c r="G31" s="253"/>
      <c r="H31" s="253"/>
      <c r="I31" s="253"/>
      <c r="J31" s="253"/>
      <c r="K31" s="253"/>
      <c r="L31" s="253"/>
      <c r="M31" s="253"/>
      <c r="N31" s="253"/>
      <c r="O31" s="253"/>
      <c r="P31" s="253"/>
      <c r="Q31" s="253"/>
      <c r="R31" s="253"/>
      <c r="S31" s="253"/>
      <c r="T31" s="253"/>
      <c r="U31" s="253"/>
      <c r="V31" s="253"/>
      <c r="W31" s="1218"/>
      <c r="X31" s="2373"/>
      <c r="Y31" s="726"/>
      <c r="Z31" s="1401"/>
      <c r="AA31" s="1401"/>
      <c r="AB31" s="1401"/>
      <c r="AC31" s="5371"/>
      <c r="AD31" s="1803"/>
      <c r="AE31" s="1804"/>
      <c r="AF31" s="1804"/>
      <c r="AG31" s="1804"/>
      <c r="AH31" s="1804"/>
      <c r="AI31" s="1277"/>
      <c r="AJ31" s="253"/>
      <c r="AK31" s="2875"/>
      <c r="AL31" s="2875"/>
      <c r="AM31" s="12"/>
      <c r="AQ31" s="827"/>
      <c r="AR31" s="658"/>
      <c r="AS31" s="658"/>
      <c r="AT31" s="658"/>
      <c r="AU31" s="658"/>
      <c r="AV31" s="658"/>
      <c r="AW31" s="658"/>
      <c r="AX31" s="658"/>
      <c r="AY31" s="658"/>
      <c r="AZ31" s="658"/>
      <c r="BA31" s="658"/>
    </row>
    <row r="32" spans="1:53" ht="21" customHeight="1">
      <c r="A32" s="1277"/>
      <c r="B32" s="253"/>
      <c r="C32" s="4242"/>
      <c r="D32" s="514" t="s">
        <v>5216</v>
      </c>
      <c r="E32" s="1323" t="s">
        <v>5214</v>
      </c>
      <c r="F32" s="253"/>
      <c r="G32" s="253"/>
      <c r="H32" s="253"/>
      <c r="I32" s="253"/>
      <c r="J32" s="253"/>
      <c r="K32" s="253"/>
      <c r="L32" s="253"/>
      <c r="M32" s="253"/>
      <c r="N32" s="253"/>
      <c r="O32" s="253"/>
      <c r="P32" s="253"/>
      <c r="Q32" s="7845"/>
      <c r="R32" s="7845"/>
      <c r="S32" s="7845"/>
      <c r="T32" s="7845"/>
      <c r="U32" s="7845"/>
      <c r="V32" s="7845"/>
      <c r="W32" s="7845"/>
      <c r="X32" s="253"/>
      <c r="Y32" s="5372" t="s">
        <v>5215</v>
      </c>
      <c r="Z32" s="7873"/>
      <c r="AA32" s="7585"/>
      <c r="AB32" s="7874"/>
      <c r="AC32" s="5371"/>
      <c r="AD32" s="2332"/>
      <c r="AE32" s="514"/>
      <c r="AF32" s="514"/>
      <c r="AG32" s="514"/>
      <c r="AH32" s="514"/>
      <c r="AI32" s="1277"/>
      <c r="AJ32" s="253"/>
      <c r="AK32" s="2875"/>
      <c r="AL32" s="2875"/>
      <c r="AM32" s="12"/>
      <c r="AO32">
        <f>IF(Z32="",0,1)</f>
        <v>0</v>
      </c>
      <c r="AQ32" s="827"/>
      <c r="AR32" s="658"/>
      <c r="AS32" s="658"/>
      <c r="AT32" s="658"/>
      <c r="AU32" s="658"/>
      <c r="AV32" s="658"/>
      <c r="AW32" s="658"/>
      <c r="AX32" s="658"/>
      <c r="AY32" s="658"/>
      <c r="AZ32" s="658"/>
      <c r="BA32" s="658"/>
    </row>
    <row r="33" spans="1:53" ht="21" customHeight="1">
      <c r="A33" s="1277"/>
      <c r="B33" s="253"/>
      <c r="C33" s="4242"/>
      <c r="D33" s="514" t="s">
        <v>622</v>
      </c>
      <c r="E33" s="1323" t="s">
        <v>5218</v>
      </c>
      <c r="F33" s="253"/>
      <c r="G33" s="253"/>
      <c r="H33" s="253"/>
      <c r="I33" s="253"/>
      <c r="J33" s="253"/>
      <c r="K33" s="253"/>
      <c r="L33" s="253"/>
      <c r="M33" s="253"/>
      <c r="N33" s="253"/>
      <c r="O33" s="253"/>
      <c r="P33" s="253"/>
      <c r="Q33" s="253"/>
      <c r="R33" s="253"/>
      <c r="S33" s="253"/>
      <c r="T33" s="253"/>
      <c r="U33" s="253"/>
      <c r="V33" s="253"/>
      <c r="W33" s="1218"/>
      <c r="X33" s="2373"/>
      <c r="Y33" s="253"/>
      <c r="Z33" s="1401"/>
      <c r="AA33" s="1401"/>
      <c r="AB33" s="1401" t="s">
        <v>787</v>
      </c>
      <c r="AC33" s="5382" t="s">
        <v>625</v>
      </c>
      <c r="AD33" s="7630" t="str">
        <f>IF(AK33&lt;&gt;"",ROUND(AK33,0),IF(AO33&gt;0,SUM(PTC_ExcessAdv,Z15,Z18,Z19,Z23,Z29,Z32),""))</f>
        <v/>
      </c>
      <c r="AE33" s="7655"/>
      <c r="AF33" s="7655"/>
      <c r="AG33" s="7655"/>
      <c r="AH33" s="7655"/>
      <c r="AI33" s="1277"/>
      <c r="AJ33" s="253"/>
      <c r="AK33" s="1329"/>
      <c r="AL33" s="2875"/>
      <c r="AM33" s="12"/>
      <c r="AO33">
        <f>SUM(AO12:AO32)</f>
        <v>0</v>
      </c>
      <c r="AQ33" s="827"/>
      <c r="AR33" s="658"/>
      <c r="AS33" s="658"/>
      <c r="AT33" s="658"/>
      <c r="AU33" s="658"/>
      <c r="AV33" s="658"/>
      <c r="AW33" s="658"/>
      <c r="AX33" s="658"/>
      <c r="AY33" s="658"/>
      <c r="AZ33" s="658"/>
      <c r="BA33" s="658"/>
    </row>
    <row r="34" spans="1:53" ht="18.75" customHeight="1">
      <c r="A34" s="1277"/>
      <c r="B34" s="253"/>
      <c r="C34" s="3377">
        <v>2</v>
      </c>
      <c r="D34" s="810"/>
      <c r="E34" s="1323" t="s">
        <v>1059</v>
      </c>
      <c r="F34" s="253"/>
      <c r="G34" s="253"/>
      <c r="H34" s="253"/>
      <c r="I34" s="253"/>
      <c r="J34" s="253"/>
      <c r="K34" s="253"/>
      <c r="L34" s="253"/>
      <c r="M34" s="253"/>
      <c r="N34" s="253"/>
      <c r="O34" s="253"/>
      <c r="P34" s="253"/>
      <c r="Q34" s="253"/>
      <c r="R34" s="253"/>
      <c r="S34" s="253"/>
      <c r="T34" s="253"/>
      <c r="U34" s="253"/>
      <c r="V34" s="253"/>
      <c r="W34" s="1218"/>
      <c r="X34" s="2373"/>
      <c r="Y34" s="253"/>
      <c r="Z34" s="1401"/>
      <c r="AA34" s="1401"/>
      <c r="AB34" s="1401" t="s">
        <v>1066</v>
      </c>
      <c r="AC34" s="5383">
        <v>2</v>
      </c>
      <c r="AD34" s="7557" t="str">
        <f>IF(AK34&lt;&gt;"",ROUND(AK34,0),IF(OR(NOT(F6251_Needed),FilingStatusError),"",AMT))</f>
        <v/>
      </c>
      <c r="AE34" s="7894"/>
      <c r="AF34" s="7894"/>
      <c r="AG34" s="7894"/>
      <c r="AH34" s="7894"/>
      <c r="AI34" s="1277"/>
      <c r="AJ34" s="253"/>
      <c r="AK34" s="1329"/>
      <c r="AL34" s="2875"/>
      <c r="AM34" s="12" t="s">
        <v>1060</v>
      </c>
      <c r="AQ34" s="827"/>
      <c r="AR34" s="658"/>
      <c r="AS34" s="658"/>
      <c r="AT34" s="658"/>
      <c r="AU34" s="658"/>
      <c r="AV34" s="658"/>
      <c r="AW34" s="658"/>
      <c r="AX34" s="658"/>
      <c r="AY34" s="658"/>
      <c r="AZ34" s="658"/>
      <c r="BA34" s="658"/>
    </row>
    <row r="35" spans="1:53" ht="18.75" customHeight="1" thickBot="1">
      <c r="A35" s="1277"/>
      <c r="B35" s="380"/>
      <c r="C35" s="4829">
        <v>3</v>
      </c>
      <c r="D35" s="5384"/>
      <c r="E35" s="5003" t="s">
        <v>5204</v>
      </c>
      <c r="F35" s="380"/>
      <c r="G35" s="380"/>
      <c r="H35" s="380"/>
      <c r="I35" s="380"/>
      <c r="J35" s="380"/>
      <c r="K35" s="380"/>
      <c r="L35" s="380"/>
      <c r="M35" s="380"/>
      <c r="N35" s="380"/>
      <c r="O35" s="380"/>
      <c r="P35" s="380"/>
      <c r="Q35" s="380"/>
      <c r="R35" s="380"/>
      <c r="S35" s="380"/>
      <c r="T35" s="380"/>
      <c r="U35" s="380"/>
      <c r="V35" s="380"/>
      <c r="W35" s="5385"/>
      <c r="X35" s="5386"/>
      <c r="Y35" s="380"/>
      <c r="Z35" s="4488"/>
      <c r="AA35" s="4488"/>
      <c r="AB35" s="4488" t="s">
        <v>1838</v>
      </c>
      <c r="AC35" s="5387">
        <v>3</v>
      </c>
      <c r="AD35" s="7895" t="str">
        <f>IF(AK35&lt;&gt;"",ROUND(AK35,0),IF(SUM(AD33,AD34)&gt;0,SUM(AD33,AD34),""))</f>
        <v/>
      </c>
      <c r="AE35" s="7896"/>
      <c r="AF35" s="7896"/>
      <c r="AG35" s="7896"/>
      <c r="AH35" s="7896"/>
      <c r="AI35" s="1277"/>
      <c r="AJ35" s="253"/>
      <c r="AK35" s="1329"/>
      <c r="AL35" s="2875"/>
      <c r="AQ35" s="827"/>
      <c r="AR35" s="658"/>
      <c r="AS35" s="658"/>
      <c r="AT35" s="658"/>
      <c r="AU35" s="658"/>
      <c r="AV35" s="658"/>
      <c r="AW35" s="658"/>
      <c r="AX35" s="658"/>
      <c r="AY35" s="658"/>
      <c r="AZ35" s="658"/>
      <c r="BA35" s="658"/>
    </row>
    <row r="36" spans="1:53" ht="22.5" customHeight="1">
      <c r="A36" s="1277"/>
      <c r="B36" s="7865" t="s">
        <v>868</v>
      </c>
      <c r="C36" s="7865"/>
      <c r="D36" s="7866"/>
      <c r="E36" s="2009"/>
      <c r="F36" s="5388" t="s">
        <v>1064</v>
      </c>
      <c r="G36" s="2009"/>
      <c r="H36" s="2009"/>
      <c r="I36" s="2009"/>
      <c r="J36" s="2009"/>
      <c r="K36" s="2009"/>
      <c r="L36" s="413"/>
      <c r="M36" s="413"/>
      <c r="N36" s="413"/>
      <c r="O36" s="413"/>
      <c r="P36" s="413"/>
      <c r="Q36" s="413"/>
      <c r="R36" s="413"/>
      <c r="S36" s="413"/>
      <c r="T36" s="413"/>
      <c r="U36" s="413"/>
      <c r="V36" s="413"/>
      <c r="W36" s="413"/>
      <c r="X36" s="413"/>
      <c r="Y36" s="413"/>
      <c r="Z36" s="413"/>
      <c r="AA36" s="413"/>
      <c r="AB36" s="413"/>
      <c r="AC36" s="413"/>
      <c r="AD36" s="413"/>
      <c r="AE36" s="413"/>
      <c r="AF36" s="413"/>
      <c r="AG36" s="413"/>
      <c r="AH36" s="413"/>
      <c r="AI36" s="1277"/>
      <c r="AJ36" s="253"/>
      <c r="AK36" s="2875"/>
      <c r="AL36" s="2875"/>
      <c r="AQ36" s="827"/>
      <c r="AR36" s="658"/>
      <c r="AS36" s="658"/>
      <c r="AT36" s="658"/>
      <c r="AU36" s="658"/>
      <c r="AV36" s="658"/>
      <c r="AW36" s="658"/>
      <c r="AX36" s="658"/>
      <c r="AY36" s="658"/>
      <c r="AZ36" s="658"/>
      <c r="BA36" s="658"/>
    </row>
    <row r="37" spans="1:53" s="141" customFormat="1" ht="21" customHeight="1">
      <c r="A37" s="2113"/>
      <c r="B37" s="411"/>
      <c r="C37" s="3817">
        <v>4</v>
      </c>
      <c r="D37" s="1856"/>
      <c r="E37" s="1672" t="s">
        <v>5538</v>
      </c>
      <c r="F37" s="411"/>
      <c r="G37" s="411"/>
      <c r="H37" s="411"/>
      <c r="I37" s="411"/>
      <c r="J37" s="411"/>
      <c r="K37" s="411"/>
      <c r="L37" s="411"/>
      <c r="M37" s="411"/>
      <c r="N37" s="411"/>
      <c r="O37" s="411"/>
      <c r="P37" s="411"/>
      <c r="Q37" s="411"/>
      <c r="R37" s="411"/>
      <c r="S37" s="411"/>
      <c r="T37" s="411"/>
      <c r="U37" s="411"/>
      <c r="V37" s="411"/>
      <c r="W37" s="2162"/>
      <c r="X37" s="2197"/>
      <c r="Y37" s="411"/>
      <c r="Z37" s="1321"/>
      <c r="AA37" s="1321"/>
      <c r="AB37" s="1321"/>
      <c r="AC37" s="5593"/>
      <c r="AD37" s="5594"/>
      <c r="AE37" s="2311"/>
      <c r="AF37" s="2311"/>
      <c r="AG37" s="2311"/>
      <c r="AH37" s="2311"/>
      <c r="AI37" s="2113"/>
      <c r="AJ37" s="411"/>
      <c r="AK37" s="4064"/>
      <c r="AL37" s="4064"/>
      <c r="AM37" s="3784"/>
      <c r="AO37" s="5595"/>
      <c r="AQ37" s="827"/>
      <c r="AR37" s="658"/>
      <c r="AS37" s="658"/>
      <c r="AT37" s="658"/>
      <c r="AU37" s="658"/>
      <c r="AV37" s="658"/>
      <c r="AW37" s="665"/>
      <c r="AX37" s="665"/>
      <c r="AY37" s="665"/>
      <c r="AZ37" s="665"/>
      <c r="BA37" s="665"/>
    </row>
    <row r="38" spans="1:53" ht="15" customHeight="1">
      <c r="A38" s="1277"/>
      <c r="B38" s="253"/>
      <c r="C38" s="3377"/>
      <c r="D38" s="810"/>
      <c r="E38" s="5361">
        <v>1</v>
      </c>
      <c r="F38" s="384"/>
      <c r="G38" s="7856">
        <v>4361</v>
      </c>
      <c r="H38" s="7857"/>
      <c r="I38" s="7857"/>
      <c r="J38" s="7858">
        <v>2</v>
      </c>
      <c r="K38" s="7859"/>
      <c r="L38" s="384"/>
      <c r="M38" s="7856">
        <v>4029</v>
      </c>
      <c r="N38" s="7857"/>
      <c r="O38" s="7857"/>
      <c r="P38" s="7858">
        <v>3</v>
      </c>
      <c r="Q38" s="7859"/>
      <c r="R38" s="384"/>
      <c r="S38" s="5528"/>
      <c r="T38" s="7860"/>
      <c r="U38" s="7860"/>
      <c r="V38" s="7860"/>
      <c r="W38" s="2373"/>
      <c r="X38" s="253"/>
      <c r="Y38" s="253"/>
      <c r="Z38" s="1401"/>
      <c r="AA38" s="1401"/>
      <c r="AB38" s="1401" t="s">
        <v>824</v>
      </c>
      <c r="AC38" s="2895">
        <v>4</v>
      </c>
      <c r="AD38" s="7567">
        <f>IF(AK38&lt;&gt;"",ROUND(AK38,0),SchSE_Tax)</f>
        <v>0</v>
      </c>
      <c r="AE38" s="7893"/>
      <c r="AF38" s="7893"/>
      <c r="AG38" s="7893"/>
      <c r="AH38" s="7893"/>
      <c r="AI38" s="1277"/>
      <c r="AJ38" s="253"/>
      <c r="AK38" s="732"/>
      <c r="AL38" s="2875"/>
      <c r="AM38" s="12" t="s">
        <v>1065</v>
      </c>
      <c r="AO38" s="801"/>
      <c r="AQ38" s="827"/>
      <c r="AR38" s="658"/>
      <c r="AS38" s="658"/>
      <c r="AT38" s="658"/>
      <c r="AU38" s="658"/>
      <c r="AV38" s="658"/>
      <c r="AW38" s="658"/>
      <c r="AX38" s="658"/>
      <c r="AY38" s="658"/>
      <c r="AZ38" s="658"/>
      <c r="BA38" s="658"/>
    </row>
    <row r="39" spans="1:53" ht="23.25" customHeight="1">
      <c r="A39" s="1277"/>
      <c r="B39" s="253"/>
      <c r="C39" s="3377">
        <v>5</v>
      </c>
      <c r="D39" s="810"/>
      <c r="E39" s="511" t="s">
        <v>5220</v>
      </c>
      <c r="F39" s="253"/>
      <c r="G39" s="253"/>
      <c r="H39" s="253"/>
      <c r="I39" s="253"/>
      <c r="J39" s="253"/>
      <c r="K39" s="253"/>
      <c r="L39" s="253"/>
      <c r="M39" s="253"/>
      <c r="N39" s="253"/>
      <c r="O39" s="253"/>
      <c r="P39" s="253"/>
      <c r="Q39" s="253"/>
      <c r="R39" s="253"/>
      <c r="S39" s="253"/>
      <c r="T39" s="253"/>
      <c r="U39" s="1401"/>
      <c r="V39" s="817"/>
      <c r="W39" s="1806"/>
      <c r="X39" s="1805"/>
      <c r="Y39" s="5372">
        <v>5</v>
      </c>
      <c r="Z39" s="7630" t="str">
        <f>IF(AK39&lt;&gt;"",ROUND(AK39,0),IF(F4137_Line13_Total=0,"",F4137_Line13_Total))</f>
        <v/>
      </c>
      <c r="AA39" s="7655"/>
      <c r="AB39" s="7728"/>
      <c r="AC39" s="1947"/>
      <c r="AD39" s="2332"/>
      <c r="AE39" s="1323"/>
      <c r="AF39" s="1323"/>
      <c r="AG39" s="1323"/>
      <c r="AH39" s="1323"/>
      <c r="AI39" s="1277"/>
      <c r="AJ39" s="253"/>
      <c r="AK39" s="1329"/>
      <c r="AL39" s="2875"/>
      <c r="AM39" s="801"/>
      <c r="AO39" s="801"/>
      <c r="AQ39" s="827"/>
      <c r="AR39" s="658"/>
      <c r="AS39" s="658"/>
      <c r="AT39" s="658"/>
      <c r="AU39" s="658"/>
      <c r="AV39" s="658"/>
      <c r="AW39" s="658"/>
      <c r="AX39" s="658"/>
      <c r="AY39" s="658"/>
      <c r="AZ39" s="658"/>
      <c r="BA39" s="658"/>
    </row>
    <row r="40" spans="1:53" ht="23.25" customHeight="1">
      <c r="A40" s="1277"/>
      <c r="B40" s="253"/>
      <c r="C40" s="3377">
        <v>6</v>
      </c>
      <c r="D40" s="810"/>
      <c r="E40" s="511" t="s">
        <v>5221</v>
      </c>
      <c r="F40" s="253"/>
      <c r="G40" s="253"/>
      <c r="H40" s="253"/>
      <c r="I40" s="253"/>
      <c r="J40" s="253"/>
      <c r="K40" s="253"/>
      <c r="L40" s="253"/>
      <c r="M40" s="253"/>
      <c r="N40" s="253"/>
      <c r="O40" s="253"/>
      <c r="P40" s="253"/>
      <c r="Q40" s="253"/>
      <c r="R40" s="253"/>
      <c r="S40" s="253"/>
      <c r="T40" s="253"/>
      <c r="U40" s="1401"/>
      <c r="V40" s="817"/>
      <c r="W40" s="1806"/>
      <c r="X40" s="1401" t="s">
        <v>5222</v>
      </c>
      <c r="Y40" s="5372">
        <v>6</v>
      </c>
      <c r="Z40" s="7725" t="str">
        <f>IF(AK40&lt;&gt;"",ROUND(AK40,0),IF(F8919_Line13_Both=0,"",F8919_Line13_Both))</f>
        <v/>
      </c>
      <c r="AA40" s="7726"/>
      <c r="AB40" s="7727"/>
      <c r="AC40" s="1947"/>
      <c r="AD40" s="2332"/>
      <c r="AE40" s="1323"/>
      <c r="AF40" s="1323"/>
      <c r="AG40" s="1323"/>
      <c r="AH40" s="1323"/>
      <c r="AI40" s="1277"/>
      <c r="AJ40" s="253"/>
      <c r="AK40" s="1329"/>
      <c r="AL40" s="2875"/>
      <c r="AM40" s="801"/>
      <c r="AO40" s="801"/>
      <c r="AQ40" s="827"/>
      <c r="AR40" s="658"/>
      <c r="AS40" s="658"/>
      <c r="AT40" s="658"/>
      <c r="AU40" s="658"/>
      <c r="AV40" s="658"/>
      <c r="AW40" s="658"/>
      <c r="AX40" s="658"/>
      <c r="AY40" s="658"/>
      <c r="AZ40" s="658"/>
      <c r="BA40" s="658"/>
    </row>
    <row r="41" spans="1:53" ht="23.25" customHeight="1">
      <c r="A41" s="1277"/>
      <c r="B41" s="253"/>
      <c r="C41" s="3377">
        <v>7</v>
      </c>
      <c r="D41" s="810"/>
      <c r="E41" s="1323" t="s">
        <v>1067</v>
      </c>
      <c r="F41" s="253"/>
      <c r="G41" s="253"/>
      <c r="H41" s="253"/>
      <c r="I41" s="253"/>
      <c r="J41" s="253"/>
      <c r="K41" s="253"/>
      <c r="L41" s="253"/>
      <c r="M41" s="253"/>
      <c r="N41" s="253"/>
      <c r="O41" s="253"/>
      <c r="P41" s="253"/>
      <c r="Q41" s="253"/>
      <c r="R41" s="253"/>
      <c r="S41" s="253"/>
      <c r="T41" s="253"/>
      <c r="U41" s="253"/>
      <c r="V41" s="253"/>
      <c r="W41" s="1218"/>
      <c r="X41" s="2373"/>
      <c r="Y41" s="253"/>
      <c r="Z41" s="1401"/>
      <c r="AA41" s="1401"/>
      <c r="AB41" s="1401" t="s">
        <v>877</v>
      </c>
      <c r="AC41" s="2895">
        <v>7</v>
      </c>
      <c r="AD41" s="7703" t="str">
        <f>IF(AND(Z39="",Z40=""),"",SUM(Z39,Z40))</f>
        <v/>
      </c>
      <c r="AE41" s="7899"/>
      <c r="AF41" s="7899"/>
      <c r="AG41" s="7899"/>
      <c r="AH41" s="7899"/>
      <c r="AI41" s="1277"/>
      <c r="AJ41" s="253"/>
      <c r="AK41" s="2875"/>
      <c r="AL41" s="2875"/>
      <c r="AO41" s="801" t="str">
        <f>AD41</f>
        <v/>
      </c>
      <c r="AQ41" s="827"/>
      <c r="AR41" s="658"/>
      <c r="AS41" s="658"/>
      <c r="AT41" s="658"/>
      <c r="AU41" s="658"/>
      <c r="AV41" s="658"/>
      <c r="AW41" s="658"/>
      <c r="AX41" s="658"/>
      <c r="AY41" s="658"/>
      <c r="AZ41" s="658"/>
      <c r="BA41" s="658"/>
    </row>
    <row r="42" spans="1:53" ht="23.25" customHeight="1">
      <c r="A42" s="1277"/>
      <c r="B42" s="253"/>
      <c r="C42" s="3377">
        <v>8</v>
      </c>
      <c r="D42" s="810"/>
      <c r="E42" s="1323" t="s">
        <v>1068</v>
      </c>
      <c r="F42" s="253"/>
      <c r="G42" s="253"/>
      <c r="H42" s="253"/>
      <c r="I42" s="253"/>
      <c r="J42" s="253"/>
      <c r="K42" s="253"/>
      <c r="L42" s="253"/>
      <c r="M42" s="253"/>
      <c r="N42" s="253"/>
      <c r="O42" s="253"/>
      <c r="P42" s="253"/>
      <c r="Q42" s="253"/>
      <c r="R42" s="253"/>
      <c r="S42" s="253"/>
      <c r="T42" s="253"/>
      <c r="U42" s="253"/>
      <c r="V42" s="253"/>
      <c r="W42" s="1218"/>
      <c r="X42" s="2373"/>
      <c r="Y42" s="253"/>
      <c r="Z42" s="1401"/>
      <c r="AA42" s="1401"/>
      <c r="AB42" s="1401"/>
      <c r="AC42" s="2898"/>
      <c r="AD42" s="7897"/>
      <c r="AE42" s="7898"/>
      <c r="AF42" s="7898"/>
      <c r="AG42" s="7898"/>
      <c r="AH42" s="7898"/>
      <c r="AI42" s="1277"/>
      <c r="AJ42" s="253"/>
      <c r="AK42" s="2875"/>
      <c r="AL42" s="2875"/>
      <c r="AM42" s="5058"/>
      <c r="AO42" s="801"/>
      <c r="AQ42" s="827"/>
      <c r="AR42" s="658"/>
      <c r="AS42" s="658"/>
      <c r="AT42" s="658"/>
      <c r="AU42" s="658"/>
      <c r="AV42" s="658"/>
      <c r="AW42" s="658"/>
      <c r="AX42" s="658"/>
      <c r="AY42" s="658"/>
      <c r="AZ42" s="658"/>
      <c r="BA42" s="658"/>
    </row>
    <row r="43" spans="1:53" ht="15.75" customHeight="1">
      <c r="A43" s="1277"/>
      <c r="B43" s="253"/>
      <c r="C43" s="3377"/>
      <c r="D43" s="810"/>
      <c r="E43" s="1323" t="s">
        <v>1069</v>
      </c>
      <c r="F43" s="253"/>
      <c r="G43" s="253"/>
      <c r="H43" s="253"/>
      <c r="I43" s="253"/>
      <c r="J43" s="253"/>
      <c r="K43" s="253"/>
      <c r="L43" s="253"/>
      <c r="M43" s="253"/>
      <c r="N43" s="253"/>
      <c r="O43" s="253"/>
      <c r="P43" s="253"/>
      <c r="Q43" s="253"/>
      <c r="R43" s="253"/>
      <c r="S43" s="253"/>
      <c r="T43" s="253"/>
      <c r="U43" s="253"/>
      <c r="V43" s="253"/>
      <c r="W43" s="1218"/>
      <c r="X43" s="2373"/>
      <c r="Y43" s="1401"/>
      <c r="Z43" s="1401" t="s">
        <v>887</v>
      </c>
      <c r="AA43" s="384"/>
      <c r="AB43" s="817"/>
      <c r="AC43" s="2895">
        <v>8</v>
      </c>
      <c r="AD43" s="7873"/>
      <c r="AE43" s="7585"/>
      <c r="AF43" s="7585"/>
      <c r="AG43" s="7585"/>
      <c r="AH43" s="7585"/>
      <c r="AI43" s="1277"/>
      <c r="AJ43" s="253"/>
      <c r="AK43" s="2875"/>
      <c r="AL43" s="2875"/>
      <c r="AO43" s="801">
        <f>ROUND(AD43,0)</f>
        <v>0</v>
      </c>
      <c r="AQ43" s="827"/>
      <c r="AR43" s="658"/>
      <c r="AS43" s="658"/>
      <c r="AT43" s="658"/>
      <c r="AU43" s="658"/>
      <c r="AV43" s="658"/>
      <c r="AW43" s="658"/>
      <c r="AX43" s="658"/>
      <c r="AY43" s="658"/>
      <c r="AZ43" s="658"/>
      <c r="BA43" s="658"/>
    </row>
    <row r="44" spans="1:53" ht="23.25" customHeight="1">
      <c r="A44" s="1277"/>
      <c r="B44" s="253"/>
      <c r="C44" s="3377">
        <v>9</v>
      </c>
      <c r="D44" s="810"/>
      <c r="E44" s="1323" t="s">
        <v>1070</v>
      </c>
      <c r="F44" s="253"/>
      <c r="G44" s="253"/>
      <c r="H44" s="253"/>
      <c r="I44" s="253"/>
      <c r="J44" s="253"/>
      <c r="K44" s="253"/>
      <c r="L44" s="253"/>
      <c r="M44" s="253"/>
      <c r="N44" s="253"/>
      <c r="O44" s="253"/>
      <c r="P44" s="253"/>
      <c r="Q44" s="253"/>
      <c r="R44" s="253"/>
      <c r="S44" s="253"/>
      <c r="T44" s="253"/>
      <c r="U44" s="253"/>
      <c r="V44" s="253"/>
      <c r="W44" s="1218"/>
      <c r="X44" s="2373"/>
      <c r="Y44" s="253"/>
      <c r="Z44" s="1401"/>
      <c r="AA44" s="1401"/>
      <c r="AB44" s="1401" t="s">
        <v>894</v>
      </c>
      <c r="AC44" s="2895">
        <v>9</v>
      </c>
      <c r="AD44" s="7873"/>
      <c r="AE44" s="7892"/>
      <c r="AF44" s="7892"/>
      <c r="AG44" s="7892"/>
      <c r="AH44" s="7892"/>
      <c r="AI44" s="1277"/>
      <c r="AJ44" s="253"/>
      <c r="AK44" s="2875"/>
      <c r="AL44" s="2875"/>
      <c r="AM44" s="5058"/>
      <c r="AN44" s="304"/>
      <c r="AO44" s="801">
        <f>ROUND(AD44,0)</f>
        <v>0</v>
      </c>
      <c r="AP44" s="304"/>
      <c r="AQ44" s="827"/>
      <c r="AR44" s="658"/>
      <c r="AS44" s="658"/>
      <c r="AT44" s="658"/>
      <c r="AU44" s="658"/>
      <c r="AV44" s="658"/>
      <c r="AW44" s="658"/>
      <c r="AX44" s="658"/>
      <c r="AY44" s="658"/>
      <c r="AZ44" s="658"/>
      <c r="BA44" s="658"/>
    </row>
    <row r="45" spans="1:53" ht="23.25" customHeight="1">
      <c r="A45" s="1277"/>
      <c r="B45" s="253"/>
      <c r="C45" s="3377">
        <v>10</v>
      </c>
      <c r="D45" s="810"/>
      <c r="E45" s="1323" t="s">
        <v>704</v>
      </c>
      <c r="F45" s="253"/>
      <c r="G45" s="253"/>
      <c r="H45" s="253"/>
      <c r="I45" s="253"/>
      <c r="J45" s="253"/>
      <c r="K45" s="253"/>
      <c r="L45" s="253"/>
      <c r="M45" s="253"/>
      <c r="N45" s="253"/>
      <c r="O45" s="253"/>
      <c r="P45" s="253"/>
      <c r="Q45" s="253"/>
      <c r="R45" s="253"/>
      <c r="S45" s="253"/>
      <c r="T45" s="253"/>
      <c r="U45" s="253"/>
      <c r="V45" s="253"/>
      <c r="W45" s="1218"/>
      <c r="X45" s="2373"/>
      <c r="Y45" s="253"/>
      <c r="Z45" s="1401"/>
      <c r="AA45" s="1401"/>
      <c r="AB45" s="1401" t="s">
        <v>871</v>
      </c>
      <c r="AC45" s="2926">
        <v>10</v>
      </c>
      <c r="AD45" s="1277"/>
      <c r="AE45" s="1277"/>
      <c r="AF45" s="1277"/>
      <c r="AG45" s="1277"/>
      <c r="AH45" s="1277"/>
      <c r="AI45" s="1277"/>
      <c r="AJ45" s="253"/>
      <c r="AK45" s="2875"/>
      <c r="AL45" s="2875"/>
      <c r="AM45" s="5365"/>
      <c r="AN45" s="304"/>
      <c r="AO45" s="801">
        <f>ROUND(AD45,0)</f>
        <v>0</v>
      </c>
      <c r="AP45" s="304"/>
      <c r="AQ45" s="827"/>
      <c r="AR45" s="658"/>
      <c r="AS45" s="658"/>
      <c r="AT45" s="658"/>
      <c r="AU45" s="658"/>
      <c r="AV45" s="658"/>
      <c r="AW45" s="658"/>
      <c r="AX45" s="658"/>
      <c r="AY45" s="658"/>
      <c r="AZ45" s="658"/>
      <c r="BA45" s="658"/>
    </row>
    <row r="46" spans="1:53" ht="23.25" customHeight="1">
      <c r="A46" s="1277"/>
      <c r="B46" s="253"/>
      <c r="C46" s="3377">
        <v>11</v>
      </c>
      <c r="D46" s="810"/>
      <c r="E46" s="1323" t="s">
        <v>1071</v>
      </c>
      <c r="F46" s="253"/>
      <c r="G46" s="253"/>
      <c r="H46" s="253"/>
      <c r="I46" s="253"/>
      <c r="J46" s="253"/>
      <c r="K46" s="253"/>
      <c r="L46" s="253"/>
      <c r="M46" s="253"/>
      <c r="N46" s="253"/>
      <c r="O46" s="253"/>
      <c r="P46" s="253"/>
      <c r="Q46" s="253"/>
      <c r="R46" s="253"/>
      <c r="S46" s="253"/>
      <c r="T46" s="253"/>
      <c r="U46" s="253"/>
      <c r="V46" s="253"/>
      <c r="W46" s="1218"/>
      <c r="X46" s="2373"/>
      <c r="Y46" s="253"/>
      <c r="Z46" s="1401"/>
      <c r="AA46" s="1401"/>
      <c r="AB46" s="1401" t="s">
        <v>811</v>
      </c>
      <c r="AC46" s="2926">
        <v>11</v>
      </c>
      <c r="AD46" s="7725" t="str">
        <f>IF(AK46&lt;&gt;"",ROUND(AK46,0),F8959_Tax)</f>
        <v/>
      </c>
      <c r="AE46" s="7891"/>
      <c r="AF46" s="7891"/>
      <c r="AG46" s="7891"/>
      <c r="AH46" s="7891"/>
      <c r="AI46" s="1277"/>
      <c r="AJ46" s="253"/>
      <c r="AK46" s="732"/>
      <c r="AL46" s="2875"/>
      <c r="AM46" s="12" t="s">
        <v>1072</v>
      </c>
      <c r="AN46" s="304"/>
      <c r="AO46" s="801">
        <f>IF(AD46="",0,AD46)</f>
        <v>0</v>
      </c>
      <c r="AP46" s="304"/>
      <c r="AQ46" s="827"/>
      <c r="AR46" s="658"/>
      <c r="AS46" s="658"/>
      <c r="AT46" s="658"/>
      <c r="AU46" s="658"/>
      <c r="AV46" s="658"/>
      <c r="AW46" s="658"/>
      <c r="AX46" s="658"/>
      <c r="AY46" s="658"/>
      <c r="AZ46" s="658"/>
      <c r="BA46" s="658"/>
    </row>
    <row r="47" spans="1:53" ht="23.25" customHeight="1">
      <c r="A47" s="1277"/>
      <c r="B47" s="253"/>
      <c r="C47" s="3377">
        <v>12</v>
      </c>
      <c r="D47" s="810"/>
      <c r="E47" s="1323" t="s">
        <v>1073</v>
      </c>
      <c r="F47" s="253"/>
      <c r="G47" s="253"/>
      <c r="H47" s="253"/>
      <c r="I47" s="253"/>
      <c r="J47" s="253"/>
      <c r="K47" s="253"/>
      <c r="L47" s="253"/>
      <c r="M47" s="253"/>
      <c r="N47" s="253"/>
      <c r="O47" s="253"/>
      <c r="P47" s="253"/>
      <c r="Q47" s="253"/>
      <c r="R47" s="253"/>
      <c r="S47" s="253"/>
      <c r="T47" s="253"/>
      <c r="U47" s="253"/>
      <c r="V47" s="253"/>
      <c r="W47" s="1218"/>
      <c r="X47" s="2373"/>
      <c r="Y47" s="253"/>
      <c r="Z47" s="1401"/>
      <c r="AA47" s="1401"/>
      <c r="AB47" s="1401" t="s">
        <v>908</v>
      </c>
      <c r="AC47" s="2926">
        <v>12</v>
      </c>
      <c r="AD47" s="7725" t="str">
        <f>IF(AK47&lt;&gt;"",ROUND(AK47,0),F8960_Tax)</f>
        <v/>
      </c>
      <c r="AE47" s="7891"/>
      <c r="AF47" s="7891"/>
      <c r="AG47" s="7891"/>
      <c r="AH47" s="7891"/>
      <c r="AI47" s="1277"/>
      <c r="AJ47" s="253"/>
      <c r="AK47" s="732"/>
      <c r="AL47" s="2875"/>
      <c r="AM47" s="12" t="s">
        <v>1074</v>
      </c>
      <c r="AN47" s="304"/>
      <c r="AO47" s="801">
        <f>IF(AD47="",0,AD47)</f>
        <v>0</v>
      </c>
      <c r="AP47" s="304"/>
      <c r="AQ47" s="827"/>
      <c r="AR47" s="658"/>
      <c r="AS47" s="658"/>
      <c r="AT47" s="658"/>
      <c r="AU47" s="658"/>
      <c r="AV47" s="658"/>
      <c r="AW47" s="658"/>
      <c r="AX47" s="658"/>
      <c r="AY47" s="658"/>
      <c r="AZ47" s="658"/>
      <c r="BA47" s="658"/>
    </row>
    <row r="48" spans="1:53" ht="23.25" customHeight="1">
      <c r="A48" s="1277"/>
      <c r="B48" s="253"/>
      <c r="C48" s="3377">
        <v>13</v>
      </c>
      <c r="D48" s="810"/>
      <c r="E48" s="1323" t="s">
        <v>5224</v>
      </c>
      <c r="F48" s="253"/>
      <c r="G48" s="253"/>
      <c r="H48" s="253"/>
      <c r="I48" s="253"/>
      <c r="J48" s="253"/>
      <c r="K48" s="253"/>
      <c r="L48" s="253"/>
      <c r="M48" s="253"/>
      <c r="N48" s="253"/>
      <c r="O48" s="253"/>
      <c r="P48" s="253"/>
      <c r="Q48" s="253"/>
      <c r="R48" s="253"/>
      <c r="S48" s="253"/>
      <c r="T48" s="253"/>
      <c r="U48" s="253"/>
      <c r="V48" s="253"/>
      <c r="W48" s="1218"/>
      <c r="X48" s="2373"/>
      <c r="Y48" s="253"/>
      <c r="Z48" s="1401"/>
      <c r="AA48" s="1401"/>
      <c r="AB48" s="1401"/>
      <c r="AC48" s="2898"/>
      <c r="AD48" s="7885"/>
      <c r="AE48" s="7886"/>
      <c r="AF48" s="7886"/>
      <c r="AG48" s="7886"/>
      <c r="AH48" s="7886"/>
      <c r="AI48" s="1277"/>
      <c r="AJ48" s="253"/>
      <c r="AK48" s="2875"/>
      <c r="AL48" s="2875"/>
      <c r="AM48" s="5365"/>
      <c r="AN48" s="304"/>
      <c r="AO48" s="5389"/>
      <c r="AP48" s="304"/>
      <c r="AQ48" s="827"/>
      <c r="AR48" s="658"/>
      <c r="AS48" s="658"/>
      <c r="AT48" s="658"/>
      <c r="AU48" s="658"/>
      <c r="AV48" s="658"/>
      <c r="AW48" s="658"/>
      <c r="AX48" s="658"/>
      <c r="AY48" s="658"/>
      <c r="AZ48" s="658"/>
      <c r="BA48" s="658"/>
    </row>
    <row r="49" spans="1:53" ht="18" customHeight="1">
      <c r="A49" s="1277"/>
      <c r="B49" s="253"/>
      <c r="C49" s="3377"/>
      <c r="D49" s="810"/>
      <c r="E49" s="1323" t="s">
        <v>5223</v>
      </c>
      <c r="F49" s="253"/>
      <c r="G49" s="253"/>
      <c r="H49" s="253"/>
      <c r="I49" s="253"/>
      <c r="J49" s="253"/>
      <c r="K49" s="253"/>
      <c r="L49" s="253"/>
      <c r="M49" s="253"/>
      <c r="N49" s="253"/>
      <c r="O49" s="253"/>
      <c r="P49" s="253"/>
      <c r="Q49" s="253"/>
      <c r="R49" s="253"/>
      <c r="S49" s="253"/>
      <c r="T49" s="253"/>
      <c r="U49" s="253"/>
      <c r="V49" s="253"/>
      <c r="W49" s="1218"/>
      <c r="X49" s="2373"/>
      <c r="Y49" s="253"/>
      <c r="Z49" s="1401"/>
      <c r="AA49" s="1401"/>
      <c r="AB49" s="1401" t="s">
        <v>787</v>
      </c>
      <c r="AC49" s="2895">
        <v>13</v>
      </c>
      <c r="AD49" s="7725">
        <f>IF(AK49&lt;&gt;"",ROUND(AK49,0),SUM('W-2s'!C90,'W-2s'!C91))</f>
        <v>0</v>
      </c>
      <c r="AE49" s="7891"/>
      <c r="AF49" s="7891"/>
      <c r="AG49" s="7891"/>
      <c r="AH49" s="7891"/>
      <c r="AI49" s="1277"/>
      <c r="AJ49" s="253"/>
      <c r="AK49" s="732"/>
      <c r="AL49" s="2875"/>
      <c r="AM49" s="12" t="s">
        <v>6651</v>
      </c>
      <c r="AN49" s="304"/>
      <c r="AO49" s="801">
        <f>ROUND(AD49,0)</f>
        <v>0</v>
      </c>
      <c r="AP49" s="304"/>
      <c r="AQ49" s="827"/>
      <c r="AR49" s="658"/>
      <c r="AS49" s="658"/>
      <c r="AT49" s="658"/>
      <c r="AU49" s="658"/>
      <c r="AV49" s="658"/>
      <c r="AW49" s="658"/>
      <c r="AX49" s="658"/>
      <c r="AY49" s="658"/>
      <c r="AZ49" s="658"/>
      <c r="BA49" s="658"/>
    </row>
    <row r="50" spans="1:53" ht="23.25" customHeight="1">
      <c r="A50" s="1277"/>
      <c r="B50" s="349"/>
      <c r="C50" s="810">
        <v>14</v>
      </c>
      <c r="D50" s="349"/>
      <c r="E50" s="1323" t="s">
        <v>5225</v>
      </c>
      <c r="F50" s="253"/>
      <c r="G50" s="253"/>
      <c r="H50" s="253"/>
      <c r="I50" s="253"/>
      <c r="J50" s="253"/>
      <c r="K50" s="253"/>
      <c r="L50" s="253"/>
      <c r="M50" s="253"/>
      <c r="N50" s="253"/>
      <c r="O50" s="253"/>
      <c r="P50" s="253"/>
      <c r="Q50" s="253"/>
      <c r="R50" s="253"/>
      <c r="S50" s="253"/>
      <c r="T50" s="253"/>
      <c r="U50" s="253"/>
      <c r="V50" s="253"/>
      <c r="W50" s="253"/>
      <c r="X50" s="253"/>
      <c r="Y50" s="253"/>
      <c r="Z50" s="1401"/>
      <c r="AA50" s="1401"/>
      <c r="AB50" s="1401" t="s">
        <v>5222</v>
      </c>
      <c r="AC50" s="2895">
        <v>14</v>
      </c>
      <c r="AD50" s="7873"/>
      <c r="AE50" s="7585"/>
      <c r="AF50" s="7585"/>
      <c r="AG50" s="7585"/>
      <c r="AH50" s="7585"/>
      <c r="AI50" s="1277"/>
      <c r="AJ50" s="253"/>
      <c r="AK50" s="2875"/>
      <c r="AL50" s="2875"/>
      <c r="AM50" s="5365"/>
      <c r="AN50" s="304"/>
      <c r="AO50" s="801">
        <f>ROUND(AD50,0)</f>
        <v>0</v>
      </c>
      <c r="AP50" s="304"/>
      <c r="AQ50" s="827"/>
      <c r="AR50" s="658"/>
      <c r="AS50" s="658"/>
      <c r="AT50" s="658"/>
      <c r="AU50" s="658"/>
      <c r="AV50" s="658"/>
      <c r="AW50" s="658"/>
      <c r="AX50" s="658"/>
      <c r="AY50" s="658"/>
      <c r="AZ50" s="658"/>
      <c r="BA50" s="658"/>
    </row>
    <row r="51" spans="1:53" ht="23.25" customHeight="1">
      <c r="A51" s="1277"/>
      <c r="B51" s="349"/>
      <c r="C51" s="810">
        <v>15</v>
      </c>
      <c r="D51" s="349"/>
      <c r="E51" s="7908" t="s">
        <v>5226</v>
      </c>
      <c r="F51" s="7908"/>
      <c r="G51" s="7908"/>
      <c r="H51" s="7908"/>
      <c r="I51" s="7908"/>
      <c r="J51" s="7908"/>
      <c r="K51" s="7908"/>
      <c r="L51" s="7908"/>
      <c r="M51" s="7908"/>
      <c r="N51" s="7908"/>
      <c r="O51" s="7908"/>
      <c r="P51" s="7908"/>
      <c r="Q51" s="7908"/>
      <c r="R51" s="7908"/>
      <c r="S51" s="7908"/>
      <c r="T51" s="7908"/>
      <c r="U51" s="7908"/>
      <c r="V51" s="7908"/>
      <c r="W51" s="7908"/>
      <c r="X51" s="7908"/>
      <c r="Y51" s="7908"/>
      <c r="Z51" s="7908"/>
      <c r="AA51" s="7908"/>
      <c r="AB51" s="7909"/>
      <c r="AC51" s="2895">
        <v>15</v>
      </c>
      <c r="AD51" s="7873"/>
      <c r="AE51" s="7585"/>
      <c r="AF51" s="7585"/>
      <c r="AG51" s="7585"/>
      <c r="AH51" s="7585"/>
      <c r="AI51" s="1277"/>
      <c r="AJ51" s="253"/>
      <c r="AK51" s="2875"/>
      <c r="AL51" s="2875"/>
      <c r="AM51" s="5365"/>
      <c r="AN51" s="304"/>
      <c r="AO51" s="801">
        <f>ROUND(AD51,0)</f>
        <v>0</v>
      </c>
      <c r="AP51" s="304"/>
      <c r="AQ51" s="827"/>
      <c r="AR51" s="658"/>
      <c r="AS51" s="658"/>
      <c r="AT51" s="658"/>
      <c r="AU51" s="658"/>
      <c r="AV51" s="658"/>
      <c r="AW51" s="658"/>
      <c r="AX51" s="658"/>
      <c r="AY51" s="658"/>
      <c r="AZ51" s="658"/>
      <c r="BA51" s="658"/>
    </row>
    <row r="52" spans="1:53" ht="23.25" customHeight="1">
      <c r="A52" s="1277"/>
      <c r="B52" s="349"/>
      <c r="C52" s="810">
        <v>16</v>
      </c>
      <c r="D52" s="349"/>
      <c r="E52" s="1323" t="s">
        <v>1076</v>
      </c>
      <c r="F52" s="253"/>
      <c r="G52" s="253"/>
      <c r="H52" s="253"/>
      <c r="I52" s="253"/>
      <c r="J52" s="253"/>
      <c r="K52" s="253"/>
      <c r="L52" s="253"/>
      <c r="M52" s="253"/>
      <c r="N52" s="253"/>
      <c r="O52" s="253"/>
      <c r="P52" s="253"/>
      <c r="Q52" s="253"/>
      <c r="R52" s="253"/>
      <c r="S52" s="253"/>
      <c r="T52" s="253"/>
      <c r="U52" s="253"/>
      <c r="V52" s="253"/>
      <c r="W52" s="253"/>
      <c r="X52" s="253"/>
      <c r="Y52" s="253"/>
      <c r="Z52" s="1401"/>
      <c r="AA52" s="1401"/>
      <c r="AB52" s="1401" t="s">
        <v>824</v>
      </c>
      <c r="AC52" s="2895">
        <v>16</v>
      </c>
      <c r="AD52" s="7873"/>
      <c r="AE52" s="7585"/>
      <c r="AF52" s="7585"/>
      <c r="AG52" s="7585"/>
      <c r="AH52" s="7585"/>
      <c r="AI52" s="1277"/>
      <c r="AJ52" s="253"/>
      <c r="AK52" s="2875"/>
      <c r="AL52" s="2875"/>
      <c r="AM52" s="1405"/>
      <c r="AN52" s="304"/>
      <c r="AO52" s="801">
        <f>ROUND(AD52,0)</f>
        <v>0</v>
      </c>
      <c r="AP52" s="304"/>
      <c r="AQ52" s="827"/>
      <c r="AR52" s="658"/>
      <c r="AS52" s="658"/>
      <c r="AT52" s="658"/>
      <c r="AU52" s="658"/>
      <c r="AV52" s="658"/>
      <c r="AW52" s="658"/>
      <c r="AX52" s="658"/>
      <c r="AY52" s="658"/>
      <c r="AZ52" s="658"/>
      <c r="BA52" s="658"/>
    </row>
    <row r="53" spans="1:53" ht="19.5" customHeight="1" thickBot="1">
      <c r="A53" s="1277"/>
      <c r="B53" s="253"/>
      <c r="C53" s="3377"/>
      <c r="D53" s="810"/>
      <c r="E53" s="253"/>
      <c r="F53" s="253"/>
      <c r="G53" s="253"/>
      <c r="H53" s="253"/>
      <c r="I53" s="253"/>
      <c r="J53" s="253"/>
      <c r="K53" s="253"/>
      <c r="L53" s="253"/>
      <c r="M53" s="253"/>
      <c r="N53" s="253"/>
      <c r="O53" s="253"/>
      <c r="P53" s="253"/>
      <c r="Q53" s="253"/>
      <c r="R53" s="253"/>
      <c r="S53" s="253"/>
      <c r="T53" s="253"/>
      <c r="U53" s="253"/>
      <c r="V53" s="253"/>
      <c r="W53" s="253"/>
      <c r="X53" s="253"/>
      <c r="Y53" s="253"/>
      <c r="Z53" s="253"/>
      <c r="AA53" s="253"/>
      <c r="AB53" s="253"/>
      <c r="AC53" s="253"/>
      <c r="AD53" s="253"/>
      <c r="AE53" s="253"/>
      <c r="AF53" s="253"/>
      <c r="AG53" s="253"/>
      <c r="AH53" s="5390" t="s">
        <v>1077</v>
      </c>
      <c r="AI53" s="1277"/>
      <c r="AJ53" s="253"/>
      <c r="AK53" s="2875"/>
      <c r="AL53" s="2875"/>
      <c r="AM53" s="5365"/>
      <c r="AN53" s="304"/>
      <c r="AO53" s="5389">
        <f>SUM(AO41:AO52)</f>
        <v>0</v>
      </c>
      <c r="AP53" s="304"/>
      <c r="AQ53" s="827"/>
      <c r="AR53" s="658"/>
      <c r="AS53" s="658"/>
      <c r="AT53" s="658"/>
      <c r="AU53" s="658"/>
      <c r="AV53" s="658"/>
      <c r="AW53" s="658"/>
      <c r="AX53" s="658"/>
      <c r="AY53" s="658"/>
      <c r="AZ53" s="658"/>
      <c r="BA53" s="658"/>
    </row>
    <row r="54" spans="1:53" ht="16.5" customHeight="1">
      <c r="A54" s="1277"/>
      <c r="B54" s="5391" t="s">
        <v>865</v>
      </c>
      <c r="C54" s="5392"/>
      <c r="D54" s="5393"/>
      <c r="E54" s="5394"/>
      <c r="F54" s="5394"/>
      <c r="G54" s="5394"/>
      <c r="H54" s="5394"/>
      <c r="I54" s="5394"/>
      <c r="J54" s="5394"/>
      <c r="K54" s="5394"/>
      <c r="L54" s="5394"/>
      <c r="M54" s="5394"/>
      <c r="N54" s="5394"/>
      <c r="O54" s="5394"/>
      <c r="P54" s="5394"/>
      <c r="Q54" s="5394"/>
      <c r="R54" s="5394"/>
      <c r="S54" s="5394"/>
      <c r="T54" s="5394"/>
      <c r="U54" s="5394"/>
      <c r="V54" s="5395"/>
      <c r="W54" s="5396"/>
      <c r="X54" s="5396" t="s">
        <v>1078</v>
      </c>
      <c r="Y54" s="5394"/>
      <c r="Z54" s="5394"/>
      <c r="AA54" s="5394"/>
      <c r="AB54" s="5394"/>
      <c r="AC54" s="5394"/>
      <c r="AD54" s="5394"/>
      <c r="AE54" s="5394"/>
      <c r="AF54" s="5394"/>
      <c r="AG54" s="5394"/>
      <c r="AH54" s="4788" t="str">
        <f>"Schedule 2 (Form 1040) "&amp;TaxYear</f>
        <v>Schedule 2 (Form 1040) 2025</v>
      </c>
      <c r="AI54" s="1277"/>
      <c r="AJ54" s="253"/>
      <c r="AK54" s="2875"/>
      <c r="AL54" s="2875"/>
      <c r="AM54" s="5365"/>
      <c r="AN54" s="304"/>
      <c r="AO54" s="5389"/>
      <c r="AP54" s="304"/>
      <c r="AQ54" s="827"/>
      <c r="AR54" s="658"/>
      <c r="AS54" s="658"/>
      <c r="AT54" s="658"/>
      <c r="AU54" s="658"/>
      <c r="AV54" s="658"/>
      <c r="AW54" s="658"/>
      <c r="AX54" s="658"/>
      <c r="AY54" s="658"/>
      <c r="AZ54" s="658"/>
      <c r="BA54" s="658"/>
    </row>
    <row r="55" spans="1:53" ht="19.5" customHeight="1" thickBot="1">
      <c r="A55" s="1277"/>
      <c r="B55" s="5397" t="str">
        <f>"Schedule 2 (Form 1040)  "&amp;TaxYear</f>
        <v>Schedule 2 (Form 1040)  2025</v>
      </c>
      <c r="C55" s="4461"/>
      <c r="D55" s="5398"/>
      <c r="E55" s="721"/>
      <c r="F55" s="721"/>
      <c r="G55" s="721"/>
      <c r="H55" s="721"/>
      <c r="I55" s="721"/>
      <c r="J55" s="721"/>
      <c r="K55" s="721"/>
      <c r="L55" s="721"/>
      <c r="M55" s="721"/>
      <c r="N55" s="721"/>
      <c r="O55" s="721"/>
      <c r="P55" s="721"/>
      <c r="Q55" s="721"/>
      <c r="R55" s="721"/>
      <c r="S55" s="721"/>
      <c r="T55" s="5399"/>
      <c r="U55" s="5399"/>
      <c r="V55" s="721"/>
      <c r="W55" s="2247"/>
      <c r="X55" s="721"/>
      <c r="Y55" s="721"/>
      <c r="Z55" s="721"/>
      <c r="AA55" s="721"/>
      <c r="AB55" s="721"/>
      <c r="AC55" s="721"/>
      <c r="AD55" s="721"/>
      <c r="AE55" s="721"/>
      <c r="AF55" s="721"/>
      <c r="AG55" s="721"/>
      <c r="AH55" s="5400" t="s">
        <v>2993</v>
      </c>
      <c r="AI55" s="1277"/>
      <c r="AJ55" s="253"/>
      <c r="AK55" s="2875"/>
      <c r="AL55" s="2875"/>
      <c r="AM55" s="5365"/>
      <c r="AN55" s="304"/>
      <c r="AO55" s="5389"/>
      <c r="AP55" s="304"/>
      <c r="AQ55" s="827"/>
      <c r="AR55" s="658"/>
      <c r="AS55" s="658"/>
      <c r="AT55" s="658"/>
      <c r="AU55" s="658"/>
      <c r="AV55" s="658"/>
      <c r="AW55" s="658"/>
      <c r="AX55" s="658"/>
      <c r="AY55" s="658"/>
      <c r="AZ55" s="658"/>
      <c r="BA55" s="658"/>
    </row>
    <row r="56" spans="1:53" ht="16.5" customHeight="1" thickTop="1">
      <c r="A56" s="1277"/>
      <c r="B56" s="7906" t="s">
        <v>868</v>
      </c>
      <c r="C56" s="7906"/>
      <c r="D56" s="7907"/>
      <c r="E56" s="5401"/>
      <c r="F56" s="5402" t="s">
        <v>6337</v>
      </c>
      <c r="G56" s="5401"/>
      <c r="H56" s="5401"/>
      <c r="I56" s="5401"/>
      <c r="J56" s="5401"/>
      <c r="K56" s="5401"/>
      <c r="L56" s="5045"/>
      <c r="M56" s="5045"/>
      <c r="N56" s="5045"/>
      <c r="O56" s="5045"/>
      <c r="P56" s="5045"/>
      <c r="Q56" s="5045"/>
      <c r="R56" s="5045"/>
      <c r="S56" s="5045"/>
      <c r="T56" s="5045"/>
      <c r="U56" s="5045"/>
      <c r="V56" s="5045"/>
      <c r="W56" s="5045"/>
      <c r="X56" s="5045"/>
      <c r="Y56" s="5045"/>
      <c r="Z56" s="5045"/>
      <c r="AA56" s="5045"/>
      <c r="AB56" s="5045"/>
      <c r="AC56" s="5045"/>
      <c r="AD56" s="5045"/>
      <c r="AE56" s="5045"/>
      <c r="AF56" s="5045"/>
      <c r="AG56" s="5045"/>
      <c r="AH56" s="5045"/>
      <c r="AI56" s="1277"/>
      <c r="AJ56" s="253"/>
      <c r="AK56" s="2875"/>
      <c r="AL56" s="2875"/>
      <c r="AM56" s="1" t="s">
        <v>782</v>
      </c>
      <c r="AN56" s="304"/>
      <c r="AO56" s="5389"/>
      <c r="AP56" s="304"/>
      <c r="AQ56" s="827"/>
      <c r="AR56" s="658"/>
      <c r="AS56" s="658"/>
      <c r="AT56" s="658"/>
      <c r="AU56" s="658"/>
      <c r="AV56" s="658"/>
      <c r="AW56" s="658"/>
      <c r="AX56" s="658"/>
      <c r="AY56" s="658"/>
      <c r="AZ56" s="658"/>
      <c r="BA56" s="658"/>
    </row>
    <row r="57" spans="1:53" ht="23.25" customHeight="1">
      <c r="A57" s="1277"/>
      <c r="B57" s="349"/>
      <c r="C57" s="810">
        <v>17</v>
      </c>
      <c r="D57" s="349"/>
      <c r="E57" s="1323" t="s">
        <v>1079</v>
      </c>
      <c r="F57" s="253"/>
      <c r="G57" s="253"/>
      <c r="H57" s="253"/>
      <c r="I57" s="253"/>
      <c r="J57" s="253"/>
      <c r="K57" s="253"/>
      <c r="L57" s="253"/>
      <c r="M57" s="253"/>
      <c r="N57" s="253"/>
      <c r="O57" s="253"/>
      <c r="P57" s="253"/>
      <c r="Q57" s="253"/>
      <c r="R57" s="253"/>
      <c r="S57" s="253"/>
      <c r="T57" s="253"/>
      <c r="U57" s="406"/>
      <c r="V57" s="406"/>
      <c r="W57" s="406"/>
      <c r="X57" s="253"/>
      <c r="Y57" s="2890"/>
      <c r="Z57" s="253"/>
      <c r="AA57" s="253"/>
      <c r="AB57" s="253"/>
      <c r="AC57" s="1946"/>
      <c r="AD57" s="2333" t="s">
        <v>1080</v>
      </c>
      <c r="AE57" s="2334"/>
      <c r="AF57" s="2334"/>
      <c r="AG57" s="2334"/>
      <c r="AH57" s="2334"/>
      <c r="AI57" s="1277"/>
      <c r="AJ57" s="253"/>
      <c r="AK57" s="2875"/>
      <c r="AL57" s="2875"/>
      <c r="AM57" s="5365"/>
      <c r="AN57" s="304"/>
      <c r="AO57" s="5389"/>
      <c r="AP57" s="304"/>
      <c r="AQ57" s="827"/>
      <c r="AR57" s="658"/>
      <c r="AS57" s="658"/>
      <c r="AT57" s="658"/>
      <c r="AU57" s="658"/>
      <c r="AV57" s="658"/>
      <c r="AW57" s="658"/>
      <c r="AX57" s="658"/>
      <c r="AY57" s="658"/>
      <c r="AZ57" s="658"/>
      <c r="BA57" s="658"/>
    </row>
    <row r="58" spans="1:53" ht="23.25" customHeight="1">
      <c r="A58" s="1277"/>
      <c r="B58" s="253"/>
      <c r="C58" s="511"/>
      <c r="D58" s="810" t="s">
        <v>588</v>
      </c>
      <c r="E58" s="1323" t="s">
        <v>5056</v>
      </c>
      <c r="F58" s="253"/>
      <c r="G58" s="253"/>
      <c r="H58" s="253"/>
      <c r="I58" s="253"/>
      <c r="J58" s="253"/>
      <c r="K58" s="253"/>
      <c r="L58" s="253"/>
      <c r="M58" s="253"/>
      <c r="N58" s="253"/>
      <c r="O58" s="253"/>
      <c r="P58" s="253"/>
      <c r="Q58" s="253"/>
      <c r="R58" s="1218"/>
      <c r="S58" s="2373"/>
      <c r="T58" s="253"/>
      <c r="U58" s="1807"/>
      <c r="V58" s="1807"/>
      <c r="W58" s="1807"/>
      <c r="X58" s="253"/>
      <c r="Y58" s="2921"/>
      <c r="Z58" s="1803"/>
      <c r="AA58" s="1807"/>
      <c r="AB58" s="1807"/>
      <c r="AC58" s="5403"/>
      <c r="AD58" s="2332"/>
      <c r="AE58" s="1664"/>
      <c r="AF58" s="1664"/>
      <c r="AG58" s="1664"/>
      <c r="AH58" s="1664"/>
      <c r="AI58" s="1277"/>
      <c r="AJ58" s="344"/>
      <c r="AK58" s="2875"/>
      <c r="AL58" s="2875"/>
      <c r="AM58" s="5365"/>
      <c r="AN58" s="304"/>
      <c r="AO58" s="5389"/>
      <c r="AP58" s="304"/>
      <c r="AQ58" s="827"/>
      <c r="AR58" s="658"/>
      <c r="AS58" s="658"/>
      <c r="AT58" s="658"/>
      <c r="AU58" s="658"/>
      <c r="AV58" s="658"/>
      <c r="AW58" s="658"/>
      <c r="AX58" s="658"/>
      <c r="AY58" s="658"/>
      <c r="AZ58" s="658"/>
      <c r="BA58" s="658"/>
    </row>
    <row r="59" spans="1:53" ht="15" customHeight="1">
      <c r="A59" s="1277"/>
      <c r="B59" s="253"/>
      <c r="C59" s="511"/>
      <c r="D59" s="810"/>
      <c r="E59" s="7910"/>
      <c r="F59" s="7910"/>
      <c r="G59" s="7910"/>
      <c r="H59" s="7910"/>
      <c r="I59" s="7910"/>
      <c r="J59" s="7910"/>
      <c r="K59" s="7910"/>
      <c r="L59" s="7910"/>
      <c r="M59" s="7910"/>
      <c r="N59" s="7910"/>
      <c r="O59" s="7910"/>
      <c r="P59" s="7910"/>
      <c r="Q59" s="7910"/>
      <c r="R59" s="7910"/>
      <c r="S59" s="7910"/>
      <c r="T59" s="7910"/>
      <c r="U59" s="7910"/>
      <c r="V59" s="7910"/>
      <c r="W59" s="7910"/>
      <c r="X59" s="1401"/>
      <c r="Y59" s="2895" t="s">
        <v>1081</v>
      </c>
      <c r="Z59" s="7873"/>
      <c r="AA59" s="7585"/>
      <c r="AB59" s="7874"/>
      <c r="AC59" s="5403"/>
      <c r="AD59" s="7887">
        <f>ROUND(Z59,0)</f>
        <v>0</v>
      </c>
      <c r="AE59" s="7888"/>
      <c r="AF59" s="7888"/>
      <c r="AG59" s="7888"/>
      <c r="AH59" s="7888"/>
      <c r="AI59" s="1277"/>
      <c r="AJ59" s="344"/>
      <c r="AK59" s="2875"/>
      <c r="AL59" s="2875"/>
      <c r="AM59" s="5365"/>
      <c r="AN59" s="304"/>
      <c r="AO59" s="5389">
        <f>ROUND(Z59,0)</f>
        <v>0</v>
      </c>
      <c r="AP59" s="304"/>
      <c r="AQ59" s="827"/>
      <c r="AR59" s="658"/>
      <c r="AS59" s="658"/>
      <c r="AT59" s="658"/>
      <c r="AU59" s="658"/>
      <c r="AV59" s="658"/>
      <c r="AW59" s="658"/>
      <c r="AX59" s="658"/>
      <c r="AY59" s="658"/>
      <c r="AZ59" s="658"/>
      <c r="BA59" s="658"/>
    </row>
    <row r="60" spans="1:53" ht="23.25" customHeight="1">
      <c r="A60" s="1277"/>
      <c r="B60" s="253"/>
      <c r="C60" s="511"/>
      <c r="D60" s="810" t="s">
        <v>592</v>
      </c>
      <c r="E60" s="1323" t="s">
        <v>4886</v>
      </c>
      <c r="F60" s="253"/>
      <c r="G60" s="253"/>
      <c r="H60" s="253"/>
      <c r="I60" s="253"/>
      <c r="J60" s="253"/>
      <c r="K60" s="253"/>
      <c r="L60" s="253"/>
      <c r="M60" s="253"/>
      <c r="N60" s="253"/>
      <c r="O60" s="253"/>
      <c r="P60" s="253"/>
      <c r="Q60" s="253"/>
      <c r="R60" s="1218"/>
      <c r="S60" s="2373"/>
      <c r="T60" s="253"/>
      <c r="U60" s="1807"/>
      <c r="V60" s="1807"/>
      <c r="W60" s="1807"/>
      <c r="X60" s="253"/>
      <c r="Y60" s="2921"/>
      <c r="Z60" s="1255"/>
      <c r="AA60" s="1808"/>
      <c r="AB60" s="1808"/>
      <c r="AC60" s="5403"/>
      <c r="AD60" s="5404"/>
      <c r="AE60" s="5405"/>
      <c r="AF60" s="5405"/>
      <c r="AG60" s="5405"/>
      <c r="AH60" s="5405"/>
      <c r="AI60" s="1277"/>
      <c r="AJ60" s="344"/>
      <c r="AK60" s="7562" t="s">
        <v>585</v>
      </c>
      <c r="AL60" s="2875"/>
      <c r="AM60" s="5365"/>
      <c r="AN60" s="304"/>
      <c r="AO60" s="5389"/>
      <c r="AP60" s="304"/>
      <c r="AQ60" s="827"/>
      <c r="AR60" s="658"/>
      <c r="AS60" s="658"/>
      <c r="AT60" s="658"/>
      <c r="AU60" s="658"/>
      <c r="AV60" s="658"/>
      <c r="AW60" s="658"/>
      <c r="AX60" s="658"/>
      <c r="AY60" s="658"/>
      <c r="AZ60" s="658"/>
      <c r="BA60" s="658"/>
    </row>
    <row r="61" spans="1:53" ht="15" customHeight="1">
      <c r="A61" s="1277"/>
      <c r="B61" s="253"/>
      <c r="C61" s="511"/>
      <c r="D61" s="810"/>
      <c r="E61" s="1323" t="s">
        <v>4885</v>
      </c>
      <c r="F61" s="253"/>
      <c r="G61" s="253"/>
      <c r="H61" s="253"/>
      <c r="I61" s="253"/>
      <c r="J61" s="253"/>
      <c r="K61" s="253"/>
      <c r="L61" s="253"/>
      <c r="M61" s="253"/>
      <c r="N61" s="253"/>
      <c r="O61" s="253"/>
      <c r="P61" s="253"/>
      <c r="Q61" s="253"/>
      <c r="R61" s="1218"/>
      <c r="S61" s="2373"/>
      <c r="T61" s="253"/>
      <c r="U61" s="1807"/>
      <c r="V61" s="1807"/>
      <c r="W61" s="1807"/>
      <c r="X61" s="1401" t="s">
        <v>805</v>
      </c>
      <c r="Y61" s="2895" t="s">
        <v>1082</v>
      </c>
      <c r="Z61" s="7873"/>
      <c r="AA61" s="7585"/>
      <c r="AB61" s="7874"/>
      <c r="AC61" s="5403"/>
      <c r="AD61" s="7887">
        <f>ROUND(Z61,0)</f>
        <v>0</v>
      </c>
      <c r="AE61" s="7888"/>
      <c r="AF61" s="7888"/>
      <c r="AG61" s="7888"/>
      <c r="AH61" s="7888"/>
      <c r="AI61" s="1277"/>
      <c r="AJ61" s="344"/>
      <c r="AK61" s="7911"/>
      <c r="AL61" s="2875"/>
      <c r="AM61" s="5365"/>
      <c r="AN61" s="304"/>
      <c r="AO61" s="5389">
        <f>ROUND(Z61,0)</f>
        <v>0</v>
      </c>
      <c r="AP61" s="304"/>
      <c r="AQ61" s="827"/>
      <c r="AR61" s="658"/>
      <c r="AS61" s="658"/>
      <c r="AT61" s="658"/>
      <c r="AU61" s="658"/>
      <c r="AV61" s="658"/>
      <c r="AW61" s="658"/>
      <c r="AX61" s="658"/>
      <c r="AY61" s="658"/>
      <c r="AZ61" s="658"/>
      <c r="BA61" s="658"/>
    </row>
    <row r="62" spans="1:53" ht="23.25" customHeight="1">
      <c r="A62" s="1277"/>
      <c r="B62" s="253"/>
      <c r="C62" s="511"/>
      <c r="D62" s="810" t="s">
        <v>595</v>
      </c>
      <c r="E62" s="1323" t="s">
        <v>1083</v>
      </c>
      <c r="F62" s="253"/>
      <c r="G62" s="253"/>
      <c r="H62" s="253"/>
      <c r="I62" s="253"/>
      <c r="J62" s="253"/>
      <c r="K62" s="253"/>
      <c r="L62" s="253"/>
      <c r="M62" s="253"/>
      <c r="N62" s="253"/>
      <c r="O62" s="253"/>
      <c r="P62" s="253"/>
      <c r="Q62" s="253"/>
      <c r="R62" s="1218"/>
      <c r="S62" s="2373"/>
      <c r="T62" s="253"/>
      <c r="U62" s="1323"/>
      <c r="V62" s="1323"/>
      <c r="W62" s="1323"/>
      <c r="X62" s="1401" t="s">
        <v>808</v>
      </c>
      <c r="Y62" s="2895" t="s">
        <v>1084</v>
      </c>
      <c r="Z62" s="7725">
        <f>IF(AK62&lt;&gt;"",ROUND(AK62,0),F8889_Line17b)</f>
        <v>0</v>
      </c>
      <c r="AA62" s="7726"/>
      <c r="AB62" s="7727"/>
      <c r="AC62" s="5403"/>
      <c r="AD62" s="7887">
        <f>ROUND(Z62,0)</f>
        <v>0</v>
      </c>
      <c r="AE62" s="7888"/>
      <c r="AF62" s="7888"/>
      <c r="AG62" s="7888"/>
      <c r="AH62" s="7888"/>
      <c r="AI62" s="1277"/>
      <c r="AJ62" s="344"/>
      <c r="AK62" s="732"/>
      <c r="AL62" s="2875"/>
      <c r="AM62" s="12" t="s">
        <v>4887</v>
      </c>
      <c r="AN62" s="304"/>
      <c r="AO62" s="5389">
        <f>ROUND(Z62,0)</f>
        <v>0</v>
      </c>
      <c r="AP62" s="304"/>
      <c r="AQ62" s="827"/>
      <c r="AR62" s="658"/>
      <c r="AS62" s="658"/>
      <c r="AT62" s="658"/>
      <c r="AU62" s="658"/>
      <c r="AV62" s="658"/>
      <c r="AW62" s="658"/>
      <c r="AX62" s="658"/>
      <c r="AY62" s="658"/>
      <c r="AZ62" s="658"/>
      <c r="BA62" s="658"/>
    </row>
    <row r="63" spans="1:53" ht="23.25" customHeight="1">
      <c r="A63" s="1277"/>
      <c r="B63" s="253"/>
      <c r="C63" s="511"/>
      <c r="D63" s="810" t="s">
        <v>599</v>
      </c>
      <c r="E63" s="1323" t="s">
        <v>6338</v>
      </c>
      <c r="F63" s="253"/>
      <c r="G63" s="253"/>
      <c r="H63" s="253"/>
      <c r="I63" s="253"/>
      <c r="J63" s="253"/>
      <c r="K63" s="253"/>
      <c r="L63" s="253"/>
      <c r="M63" s="253"/>
      <c r="N63" s="253"/>
      <c r="O63" s="253"/>
      <c r="P63" s="253"/>
      <c r="Q63" s="253"/>
      <c r="R63" s="1218"/>
      <c r="S63" s="2373"/>
      <c r="T63" s="253"/>
      <c r="U63" s="1807"/>
      <c r="V63" s="1807"/>
      <c r="W63" s="1807"/>
      <c r="X63" s="253"/>
      <c r="Y63" s="2921"/>
      <c r="Z63" s="1255"/>
      <c r="AA63" s="1808"/>
      <c r="AB63" s="1808"/>
      <c r="AC63" s="5403"/>
      <c r="AD63" s="5404"/>
      <c r="AE63" s="5405"/>
      <c r="AF63" s="5405"/>
      <c r="AG63" s="5405"/>
      <c r="AH63" s="5405"/>
      <c r="AI63" s="1277"/>
      <c r="AJ63" s="344"/>
      <c r="AK63" s="2875"/>
      <c r="AL63" s="2875"/>
      <c r="AM63" s="5365"/>
      <c r="AN63" s="304"/>
      <c r="AO63" s="5389"/>
      <c r="AP63" s="304"/>
      <c r="AQ63" s="827"/>
      <c r="AR63" s="658"/>
      <c r="AS63" s="658"/>
      <c r="AT63" s="658"/>
      <c r="AU63" s="658"/>
      <c r="AV63" s="658"/>
      <c r="AW63" s="658"/>
      <c r="AX63" s="658"/>
      <c r="AY63" s="658"/>
      <c r="AZ63" s="658"/>
      <c r="BA63" s="658"/>
    </row>
    <row r="64" spans="1:53" ht="15" customHeight="1">
      <c r="A64" s="1277"/>
      <c r="B64" s="253"/>
      <c r="C64" s="511"/>
      <c r="D64" s="810"/>
      <c r="E64" s="1323" t="s">
        <v>6339</v>
      </c>
      <c r="F64" s="253"/>
      <c r="G64" s="253"/>
      <c r="H64" s="253"/>
      <c r="I64" s="253"/>
      <c r="J64" s="253"/>
      <c r="K64" s="253"/>
      <c r="L64" s="253"/>
      <c r="M64" s="253"/>
      <c r="N64" s="253"/>
      <c r="O64" s="253"/>
      <c r="P64" s="253"/>
      <c r="Q64" s="253"/>
      <c r="R64" s="1218"/>
      <c r="S64" s="2373"/>
      <c r="T64" s="253"/>
      <c r="U64" s="1323"/>
      <c r="V64" s="1323"/>
      <c r="W64" s="1323"/>
      <c r="X64" s="1401" t="s">
        <v>802</v>
      </c>
      <c r="Y64" s="2895" t="s">
        <v>1085</v>
      </c>
      <c r="Z64" s="7630">
        <f>IF(AK64&lt;&gt;"",ROUND(AK64,0),F8889_Line21)</f>
        <v>0</v>
      </c>
      <c r="AA64" s="7655"/>
      <c r="AB64" s="7728"/>
      <c r="AC64" s="5403"/>
      <c r="AD64" s="7887">
        <f>ROUND(Z64,0)</f>
        <v>0</v>
      </c>
      <c r="AE64" s="7888"/>
      <c r="AF64" s="7888"/>
      <c r="AG64" s="7888"/>
      <c r="AH64" s="7888"/>
      <c r="AI64" s="1277"/>
      <c r="AJ64" s="344"/>
      <c r="AK64" s="732"/>
      <c r="AL64" s="2875"/>
      <c r="AM64" s="329" t="s">
        <v>1086</v>
      </c>
      <c r="AN64" s="304"/>
      <c r="AO64" s="5389">
        <f>ROUND(Z64,0)</f>
        <v>0</v>
      </c>
      <c r="AP64" s="304"/>
      <c r="AQ64" s="827"/>
      <c r="AR64" s="658"/>
      <c r="AS64" s="658"/>
      <c r="AT64" s="658"/>
      <c r="AU64" s="658"/>
      <c r="AV64" s="658"/>
      <c r="AW64" s="658"/>
      <c r="AX64" s="658"/>
      <c r="AY64" s="658"/>
      <c r="AZ64" s="658"/>
      <c r="BA64" s="658"/>
    </row>
    <row r="65" spans="1:53" ht="23.25" customHeight="1">
      <c r="A65" s="1277"/>
      <c r="B65" s="253"/>
      <c r="C65" s="511"/>
      <c r="D65" s="810" t="s">
        <v>603</v>
      </c>
      <c r="E65" s="1323" t="s">
        <v>1087</v>
      </c>
      <c r="F65" s="253"/>
      <c r="G65" s="253"/>
      <c r="H65" s="253"/>
      <c r="I65" s="253"/>
      <c r="J65" s="253"/>
      <c r="K65" s="253"/>
      <c r="L65" s="253"/>
      <c r="M65" s="253"/>
      <c r="N65" s="253"/>
      <c r="O65" s="253"/>
      <c r="P65" s="253"/>
      <c r="Q65" s="253"/>
      <c r="R65" s="1218"/>
      <c r="S65" s="2373"/>
      <c r="T65" s="253"/>
      <c r="U65" s="1807"/>
      <c r="V65" s="1807"/>
      <c r="W65" s="1807"/>
      <c r="X65" s="1401" t="s">
        <v>905</v>
      </c>
      <c r="Y65" s="2895" t="s">
        <v>1089</v>
      </c>
      <c r="Z65" s="7873"/>
      <c r="AA65" s="7585"/>
      <c r="AB65" s="7874"/>
      <c r="AC65" s="5403"/>
      <c r="AD65" s="7887">
        <f>ROUND(Z65,0)</f>
        <v>0</v>
      </c>
      <c r="AE65" s="7888"/>
      <c r="AF65" s="7888"/>
      <c r="AG65" s="7888"/>
      <c r="AH65" s="7888"/>
      <c r="AI65" s="1277"/>
      <c r="AJ65" s="344"/>
      <c r="AK65" s="2875"/>
      <c r="AL65" s="2875"/>
      <c r="AM65" s="5365"/>
      <c r="AN65" s="304"/>
      <c r="AO65" s="5389">
        <f>ROUND(Z65,0)</f>
        <v>0</v>
      </c>
      <c r="AP65" s="304"/>
      <c r="AQ65" s="827"/>
      <c r="AR65" s="658"/>
      <c r="AS65" s="658"/>
      <c r="AT65" s="658"/>
      <c r="AU65" s="658"/>
      <c r="AV65" s="658"/>
      <c r="AW65" s="658"/>
      <c r="AX65" s="658"/>
      <c r="AY65" s="658"/>
      <c r="AZ65" s="658"/>
      <c r="BA65" s="658"/>
    </row>
    <row r="66" spans="1:53" ht="23.25" customHeight="1">
      <c r="A66" s="1277"/>
      <c r="B66" s="253"/>
      <c r="C66" s="511"/>
      <c r="D66" s="810" t="s">
        <v>606</v>
      </c>
      <c r="E66" s="1323" t="s">
        <v>1090</v>
      </c>
      <c r="F66" s="253"/>
      <c r="G66" s="253"/>
      <c r="H66" s="253"/>
      <c r="I66" s="253"/>
      <c r="J66" s="253"/>
      <c r="K66" s="253"/>
      <c r="L66" s="253"/>
      <c r="M66" s="253"/>
      <c r="N66" s="253"/>
      <c r="O66" s="253"/>
      <c r="P66" s="253"/>
      <c r="Q66" s="253"/>
      <c r="R66" s="1218"/>
      <c r="S66" s="2373"/>
      <c r="T66" s="253"/>
      <c r="U66" s="1807"/>
      <c r="V66" s="1807"/>
      <c r="W66" s="1807"/>
      <c r="X66" s="253"/>
      <c r="Y66" s="2921"/>
      <c r="Z66" s="1255"/>
      <c r="AA66" s="1808"/>
      <c r="AB66" s="1808"/>
      <c r="AC66" s="5403"/>
      <c r="AD66" s="5404"/>
      <c r="AE66" s="5405"/>
      <c r="AF66" s="5405"/>
      <c r="AG66" s="5405"/>
      <c r="AH66" s="5405"/>
      <c r="AI66" s="1277"/>
      <c r="AJ66" s="344"/>
      <c r="AK66" s="2875"/>
      <c r="AL66" s="2875"/>
      <c r="AM66" s="5365"/>
      <c r="AN66" s="304"/>
      <c r="AO66" s="5389"/>
      <c r="AP66" s="304"/>
      <c r="AQ66" s="827"/>
      <c r="AR66" s="658"/>
      <c r="AS66" s="658"/>
      <c r="AT66" s="658"/>
      <c r="AU66" s="658"/>
      <c r="AV66" s="658"/>
      <c r="AW66" s="658"/>
      <c r="AX66" s="658"/>
      <c r="AY66" s="658"/>
      <c r="AZ66" s="658"/>
      <c r="BA66" s="658"/>
    </row>
    <row r="67" spans="1:53" ht="15" customHeight="1">
      <c r="A67" s="1277"/>
      <c r="B67" s="253"/>
      <c r="C67" s="511"/>
      <c r="D67" s="810"/>
      <c r="E67" s="1323" t="s">
        <v>1091</v>
      </c>
      <c r="F67" s="253"/>
      <c r="G67" s="253"/>
      <c r="H67" s="253"/>
      <c r="I67" s="253"/>
      <c r="J67" s="253"/>
      <c r="K67" s="253"/>
      <c r="L67" s="253"/>
      <c r="M67" s="253"/>
      <c r="N67" s="253"/>
      <c r="O67" s="253"/>
      <c r="P67" s="253"/>
      <c r="Q67" s="253"/>
      <c r="R67" s="1218"/>
      <c r="S67" s="2373"/>
      <c r="T67" s="253"/>
      <c r="U67" s="1807"/>
      <c r="V67" s="1807"/>
      <c r="W67" s="1807"/>
      <c r="X67" s="1401" t="s">
        <v>887</v>
      </c>
      <c r="Y67" s="2895" t="s">
        <v>1092</v>
      </c>
      <c r="Z67" s="7873"/>
      <c r="AA67" s="7585"/>
      <c r="AB67" s="7874"/>
      <c r="AC67" s="5403"/>
      <c r="AD67" s="7887">
        <f>ROUND(Z67,0)</f>
        <v>0</v>
      </c>
      <c r="AE67" s="7888"/>
      <c r="AF67" s="7888"/>
      <c r="AG67" s="7888"/>
      <c r="AH67" s="7888"/>
      <c r="AI67" s="1277"/>
      <c r="AJ67" s="344"/>
      <c r="AK67" s="2875"/>
      <c r="AL67" s="2875"/>
      <c r="AM67" s="5365"/>
      <c r="AN67" s="304"/>
      <c r="AO67" s="5389">
        <f>ROUND(Z67,0)</f>
        <v>0</v>
      </c>
      <c r="AP67" s="304"/>
      <c r="AQ67" s="827"/>
      <c r="AR67" s="658"/>
      <c r="AS67" s="658"/>
      <c r="AT67" s="658"/>
      <c r="AU67" s="658"/>
      <c r="AV67" s="658"/>
      <c r="AW67" s="658"/>
      <c r="AX67" s="658"/>
      <c r="AY67" s="658"/>
      <c r="AZ67" s="658"/>
      <c r="BA67" s="658"/>
    </row>
    <row r="68" spans="1:53" ht="23.25" customHeight="1">
      <c r="A68" s="1277"/>
      <c r="B68" s="253"/>
      <c r="C68" s="511"/>
      <c r="D68" s="810" t="s">
        <v>610</v>
      </c>
      <c r="E68" s="1323" t="s">
        <v>1093</v>
      </c>
      <c r="F68" s="253"/>
      <c r="G68" s="253"/>
      <c r="H68" s="253"/>
      <c r="I68" s="253"/>
      <c r="J68" s="253"/>
      <c r="K68" s="253"/>
      <c r="L68" s="253"/>
      <c r="M68" s="253"/>
      <c r="N68" s="253"/>
      <c r="O68" s="253"/>
      <c r="P68" s="253"/>
      <c r="Q68" s="253"/>
      <c r="R68" s="1218"/>
      <c r="S68" s="2373"/>
      <c r="T68" s="253"/>
      <c r="U68" s="1807"/>
      <c r="V68" s="1807"/>
      <c r="W68" s="1807"/>
      <c r="X68" s="253"/>
      <c r="Y68" s="2921"/>
      <c r="Z68" s="1255"/>
      <c r="AA68" s="1808"/>
      <c r="AB68" s="1808"/>
      <c r="AC68" s="5403"/>
      <c r="AD68" s="5404"/>
      <c r="AE68" s="5405"/>
      <c r="AF68" s="5405"/>
      <c r="AG68" s="5405"/>
      <c r="AH68" s="5405"/>
      <c r="AI68" s="1277"/>
      <c r="AJ68" s="344"/>
      <c r="AK68" s="2875"/>
      <c r="AL68" s="2875"/>
      <c r="AM68" s="5365"/>
      <c r="AN68" s="304"/>
      <c r="AO68" s="5389"/>
      <c r="AP68" s="304"/>
      <c r="AQ68" s="827"/>
      <c r="AR68" s="658"/>
      <c r="AS68" s="658"/>
      <c r="AT68" s="658"/>
      <c r="AU68" s="658"/>
      <c r="AV68" s="658"/>
      <c r="AW68" s="658"/>
      <c r="AX68" s="658"/>
      <c r="AY68" s="658"/>
      <c r="AZ68" s="658"/>
      <c r="BA68" s="658"/>
    </row>
    <row r="69" spans="1:53" ht="15" customHeight="1">
      <c r="A69" s="1277"/>
      <c r="B69" s="253"/>
      <c r="C69" s="511"/>
      <c r="D69" s="810"/>
      <c r="E69" s="1323" t="s">
        <v>1094</v>
      </c>
      <c r="F69" s="253"/>
      <c r="G69" s="253"/>
      <c r="H69" s="253"/>
      <c r="I69" s="253"/>
      <c r="J69" s="253"/>
      <c r="K69" s="253"/>
      <c r="L69" s="253"/>
      <c r="M69" s="253"/>
      <c r="N69" s="253"/>
      <c r="O69" s="253"/>
      <c r="P69" s="253"/>
      <c r="Q69" s="253"/>
      <c r="R69" s="1218"/>
      <c r="S69" s="2373"/>
      <c r="T69" s="253"/>
      <c r="U69" s="1807"/>
      <c r="V69" s="1807"/>
      <c r="W69" s="1807"/>
      <c r="X69" s="1401" t="s">
        <v>808</v>
      </c>
      <c r="Y69" s="2895" t="s">
        <v>1095</v>
      </c>
      <c r="Z69" s="7873"/>
      <c r="AA69" s="7585"/>
      <c r="AB69" s="7874"/>
      <c r="AC69" s="5403"/>
      <c r="AD69" s="7887">
        <f>ROUND(Z69,0)</f>
        <v>0</v>
      </c>
      <c r="AE69" s="7888"/>
      <c r="AF69" s="7888"/>
      <c r="AG69" s="7888"/>
      <c r="AH69" s="7888"/>
      <c r="AI69" s="1277"/>
      <c r="AJ69" s="344"/>
      <c r="AK69" s="2875"/>
      <c r="AL69" s="2875"/>
      <c r="AM69" s="5365"/>
      <c r="AN69" s="304"/>
      <c r="AO69" s="5389">
        <f>ROUND(Z69,0)</f>
        <v>0</v>
      </c>
      <c r="AP69" s="304"/>
      <c r="AQ69" s="827"/>
      <c r="AR69" s="658"/>
      <c r="AS69" s="658"/>
      <c r="AT69" s="658"/>
      <c r="AU69" s="658"/>
      <c r="AV69" s="658"/>
      <c r="AW69" s="658"/>
      <c r="AX69" s="658"/>
      <c r="AY69" s="658"/>
      <c r="AZ69" s="658"/>
      <c r="BA69" s="658"/>
    </row>
    <row r="70" spans="1:53" ht="23.25" customHeight="1">
      <c r="A70" s="1277"/>
      <c r="B70" s="253"/>
      <c r="C70" s="511"/>
      <c r="D70" s="810" t="s">
        <v>615</v>
      </c>
      <c r="E70" s="1323" t="s">
        <v>5493</v>
      </c>
      <c r="F70" s="253"/>
      <c r="G70" s="253"/>
      <c r="H70" s="253"/>
      <c r="I70" s="253"/>
      <c r="J70" s="253"/>
      <c r="K70" s="253"/>
      <c r="L70" s="253"/>
      <c r="M70" s="253"/>
      <c r="N70" s="253"/>
      <c r="O70" s="253"/>
      <c r="P70" s="253"/>
      <c r="Q70" s="253"/>
      <c r="R70" s="1218"/>
      <c r="S70" s="2373"/>
      <c r="T70" s="253"/>
      <c r="U70" s="1807"/>
      <c r="V70" s="1807"/>
      <c r="W70" s="1807"/>
      <c r="X70" s="253"/>
      <c r="Y70" s="2921"/>
      <c r="Z70" s="1255"/>
      <c r="AA70" s="1808"/>
      <c r="AB70" s="1808"/>
      <c r="AC70" s="5403"/>
      <c r="AD70" s="5404"/>
      <c r="AE70" s="5405"/>
      <c r="AF70" s="5405"/>
      <c r="AG70" s="5405"/>
      <c r="AH70" s="5405"/>
      <c r="AI70" s="1277"/>
      <c r="AJ70" s="344"/>
      <c r="AK70" s="2875"/>
      <c r="AL70" s="2875"/>
      <c r="AM70" s="5365"/>
      <c r="AN70" s="304"/>
      <c r="AO70" s="5389"/>
      <c r="AP70" s="304"/>
      <c r="AQ70" s="827"/>
      <c r="AR70" s="658"/>
      <c r="AS70" s="658"/>
      <c r="AT70" s="658"/>
      <c r="AU70" s="658"/>
      <c r="AV70" s="658"/>
      <c r="AW70" s="658"/>
      <c r="AX70" s="658"/>
      <c r="AY70" s="658"/>
      <c r="AZ70" s="658"/>
      <c r="BA70" s="658"/>
    </row>
    <row r="71" spans="1:53" ht="15" customHeight="1">
      <c r="A71" s="1277"/>
      <c r="B71" s="253"/>
      <c r="C71" s="511"/>
      <c r="D71" s="810"/>
      <c r="E71" s="1323" t="s">
        <v>5494</v>
      </c>
      <c r="F71" s="253"/>
      <c r="G71" s="253"/>
      <c r="H71" s="253"/>
      <c r="I71" s="253"/>
      <c r="J71" s="253"/>
      <c r="K71" s="253"/>
      <c r="L71" s="253"/>
      <c r="M71" s="253"/>
      <c r="N71" s="253"/>
      <c r="O71" s="253"/>
      <c r="P71" s="253"/>
      <c r="Q71" s="253"/>
      <c r="R71" s="1218"/>
      <c r="S71" s="2373"/>
      <c r="T71" s="253"/>
      <c r="U71" s="1807"/>
      <c r="V71" s="1807"/>
      <c r="W71" s="1807"/>
      <c r="X71" s="1401" t="s">
        <v>784</v>
      </c>
      <c r="Y71" s="2895" t="s">
        <v>1096</v>
      </c>
      <c r="Z71" s="7873"/>
      <c r="AA71" s="7585"/>
      <c r="AB71" s="7874"/>
      <c r="AC71" s="5403"/>
      <c r="AD71" s="7887">
        <f>ROUND(Z71,0)</f>
        <v>0</v>
      </c>
      <c r="AE71" s="7888"/>
      <c r="AF71" s="7888"/>
      <c r="AG71" s="7888"/>
      <c r="AH71" s="7888"/>
      <c r="AI71" s="1277"/>
      <c r="AJ71" s="344"/>
      <c r="AK71" s="2875"/>
      <c r="AL71" s="2875"/>
      <c r="AM71" s="5365"/>
      <c r="AN71" s="304"/>
      <c r="AO71" s="5389">
        <f>ROUND(Z71,0)</f>
        <v>0</v>
      </c>
      <c r="AP71" s="304"/>
      <c r="AQ71" s="827"/>
      <c r="AR71" s="658"/>
      <c r="AS71" s="658"/>
      <c r="AT71" s="658"/>
      <c r="AU71" s="658"/>
      <c r="AV71" s="658"/>
      <c r="AW71" s="658"/>
      <c r="AX71" s="658"/>
      <c r="AY71" s="658"/>
      <c r="AZ71" s="658"/>
      <c r="BA71" s="658"/>
    </row>
    <row r="72" spans="1:53" ht="23.25" customHeight="1">
      <c r="A72" s="1277"/>
      <c r="B72" s="253"/>
      <c r="C72" s="511"/>
      <c r="D72" s="810" t="s">
        <v>619</v>
      </c>
      <c r="E72" s="1323" t="s">
        <v>5495</v>
      </c>
      <c r="F72" s="253"/>
      <c r="G72" s="253"/>
      <c r="H72" s="253"/>
      <c r="I72" s="253"/>
      <c r="J72" s="253"/>
      <c r="K72" s="253"/>
      <c r="L72" s="253"/>
      <c r="M72" s="253"/>
      <c r="N72" s="253"/>
      <c r="O72" s="253"/>
      <c r="P72" s="253"/>
      <c r="Q72" s="253"/>
      <c r="R72" s="1218"/>
      <c r="S72" s="2373"/>
      <c r="T72" s="253"/>
      <c r="U72" s="1807"/>
      <c r="V72" s="1807"/>
      <c r="W72" s="1807"/>
      <c r="X72" s="253"/>
      <c r="Y72" s="2921"/>
      <c r="Z72" s="1255"/>
      <c r="AA72" s="1808"/>
      <c r="AB72" s="1808"/>
      <c r="AC72" s="5403"/>
      <c r="AD72" s="5404"/>
      <c r="AE72" s="5405"/>
      <c r="AF72" s="5405"/>
      <c r="AG72" s="5405"/>
      <c r="AH72" s="5405"/>
      <c r="AI72" s="1277"/>
      <c r="AJ72" s="344"/>
      <c r="AK72" s="2875"/>
      <c r="AL72" s="2875"/>
      <c r="AM72" s="5365"/>
      <c r="AN72" s="304"/>
      <c r="AO72" s="5389"/>
      <c r="AP72" s="304"/>
      <c r="AQ72" s="827"/>
      <c r="AR72" s="658"/>
      <c r="AS72" s="658"/>
      <c r="AT72" s="658"/>
      <c r="AU72" s="658"/>
      <c r="AV72" s="658"/>
      <c r="AW72" s="658"/>
      <c r="AX72" s="658"/>
      <c r="AY72" s="658"/>
      <c r="AZ72" s="658"/>
      <c r="BA72" s="658"/>
    </row>
    <row r="73" spans="1:53" ht="19.5" customHeight="1">
      <c r="A73" s="1277"/>
      <c r="B73" s="253"/>
      <c r="C73" s="511"/>
      <c r="D73" s="810"/>
      <c r="E73" s="2006" t="s">
        <v>5496</v>
      </c>
      <c r="F73" s="253"/>
      <c r="G73" s="253"/>
      <c r="H73" s="253"/>
      <c r="I73" s="253"/>
      <c r="J73" s="253"/>
      <c r="K73" s="253"/>
      <c r="L73" s="253"/>
      <c r="M73" s="253"/>
      <c r="N73" s="253"/>
      <c r="O73" s="253"/>
      <c r="P73" s="253"/>
      <c r="Q73" s="253"/>
      <c r="R73" s="1218"/>
      <c r="S73" s="2373"/>
      <c r="T73" s="253"/>
      <c r="U73" s="1807"/>
      <c r="V73" s="1807"/>
      <c r="W73" s="1807"/>
      <c r="X73" s="1401" t="s">
        <v>811</v>
      </c>
      <c r="Y73" s="2895" t="s">
        <v>1097</v>
      </c>
      <c r="Z73" s="7873"/>
      <c r="AA73" s="7585"/>
      <c r="AB73" s="7874"/>
      <c r="AC73" s="5403"/>
      <c r="AD73" s="7887">
        <f t="shared" ref="AD73:AD78" si="0">ROUND(Z73,0)</f>
        <v>0</v>
      </c>
      <c r="AE73" s="7888"/>
      <c r="AF73" s="7888"/>
      <c r="AG73" s="7888"/>
      <c r="AH73" s="7888"/>
      <c r="AI73" s="1277"/>
      <c r="AJ73" s="344"/>
      <c r="AK73" s="2875"/>
      <c r="AL73" s="2875"/>
      <c r="AM73" s="5365"/>
      <c r="AN73" s="304"/>
      <c r="AO73" s="5389">
        <f t="shared" ref="AO73:AO78" si="1">ROUND(Z73,0)</f>
        <v>0</v>
      </c>
      <c r="AP73" s="304"/>
      <c r="AQ73" s="827"/>
      <c r="AR73" s="658"/>
      <c r="AS73" s="658"/>
      <c r="AT73" s="658"/>
      <c r="AU73" s="658"/>
      <c r="AV73" s="658"/>
      <c r="AW73" s="658"/>
      <c r="AX73" s="658"/>
      <c r="AY73" s="658"/>
      <c r="AZ73" s="658"/>
      <c r="BA73" s="658"/>
    </row>
    <row r="74" spans="1:53" ht="19.5" customHeight="1">
      <c r="A74" s="1277"/>
      <c r="B74" s="253"/>
      <c r="C74" s="511"/>
      <c r="D74" s="810" t="s">
        <v>822</v>
      </c>
      <c r="E74" s="1323" t="s">
        <v>1098</v>
      </c>
      <c r="F74" s="253"/>
      <c r="G74" s="253"/>
      <c r="H74" s="253"/>
      <c r="I74" s="253"/>
      <c r="J74" s="253"/>
      <c r="K74" s="253"/>
      <c r="L74" s="253"/>
      <c r="M74" s="253"/>
      <c r="N74" s="253"/>
      <c r="O74" s="253"/>
      <c r="P74" s="253"/>
      <c r="Q74" s="253"/>
      <c r="R74" s="1218"/>
      <c r="S74" s="2373"/>
      <c r="T74" s="253"/>
      <c r="U74" s="1807"/>
      <c r="V74" s="1807"/>
      <c r="W74" s="1807"/>
      <c r="X74" s="1401" t="s">
        <v>908</v>
      </c>
      <c r="Y74" s="2895" t="s">
        <v>1099</v>
      </c>
      <c r="Z74" s="7873"/>
      <c r="AA74" s="7585"/>
      <c r="AB74" s="7874"/>
      <c r="AC74" s="5403"/>
      <c r="AD74" s="7887">
        <f t="shared" si="0"/>
        <v>0</v>
      </c>
      <c r="AE74" s="7888"/>
      <c r="AF74" s="7888"/>
      <c r="AG74" s="7888"/>
      <c r="AH74" s="7888"/>
      <c r="AI74" s="1277"/>
      <c r="AJ74" s="344"/>
      <c r="AK74" s="2875"/>
      <c r="AL74" s="2875"/>
      <c r="AM74" s="5365"/>
      <c r="AN74" s="304"/>
      <c r="AO74" s="5389">
        <f t="shared" si="1"/>
        <v>0</v>
      </c>
      <c r="AP74" s="304"/>
      <c r="AQ74" s="827"/>
      <c r="AR74" s="658"/>
      <c r="AS74" s="658"/>
      <c r="AT74" s="658"/>
      <c r="AU74" s="658"/>
      <c r="AV74" s="658"/>
      <c r="AW74" s="658"/>
      <c r="AX74" s="658"/>
      <c r="AY74" s="658"/>
      <c r="AZ74" s="658"/>
      <c r="BA74" s="658"/>
    </row>
    <row r="75" spans="1:53" ht="21" customHeight="1">
      <c r="A75" s="1277"/>
      <c r="B75" s="253"/>
      <c r="C75" s="511"/>
      <c r="D75" s="810" t="s">
        <v>826</v>
      </c>
      <c r="E75" s="1323" t="s">
        <v>1100</v>
      </c>
      <c r="F75" s="253"/>
      <c r="G75" s="253"/>
      <c r="H75" s="253"/>
      <c r="I75" s="253"/>
      <c r="J75" s="253"/>
      <c r="K75" s="253"/>
      <c r="L75" s="253"/>
      <c r="M75" s="253"/>
      <c r="N75" s="253"/>
      <c r="O75" s="253"/>
      <c r="P75" s="253"/>
      <c r="Q75" s="253"/>
      <c r="R75" s="1218"/>
      <c r="S75" s="2373"/>
      <c r="T75" s="253"/>
      <c r="U75" s="1807"/>
      <c r="V75" s="1807"/>
      <c r="W75" s="1807"/>
      <c r="X75" s="1401" t="s">
        <v>811</v>
      </c>
      <c r="Y75" s="2895" t="s">
        <v>1101</v>
      </c>
      <c r="Z75" s="7630">
        <f>IF(AK75&lt;&gt;"",ROUND(AK75,0),ExciseTaxGoldParachute)</f>
        <v>0</v>
      </c>
      <c r="AA75" s="7655"/>
      <c r="AB75" s="7728"/>
      <c r="AC75" s="5403"/>
      <c r="AD75" s="7887">
        <f t="shared" si="0"/>
        <v>0</v>
      </c>
      <c r="AE75" s="7888"/>
      <c r="AF75" s="7888"/>
      <c r="AG75" s="7888"/>
      <c r="AH75" s="7888"/>
      <c r="AI75" s="1277"/>
      <c r="AJ75" s="344"/>
      <c r="AK75" s="1329"/>
      <c r="AL75" s="2875"/>
      <c r="AM75" s="329" t="s">
        <v>6650</v>
      </c>
      <c r="AN75" s="304"/>
      <c r="AO75" s="5389">
        <f t="shared" si="1"/>
        <v>0</v>
      </c>
      <c r="AP75" s="304"/>
      <c r="AQ75" s="827"/>
      <c r="AR75" s="658"/>
      <c r="AS75" s="658"/>
      <c r="AT75" s="658"/>
      <c r="AU75" s="658"/>
      <c r="AV75" s="658"/>
      <c r="AW75" s="658"/>
      <c r="AX75" s="658"/>
      <c r="AY75" s="658"/>
      <c r="AZ75" s="658"/>
      <c r="BA75" s="658"/>
    </row>
    <row r="76" spans="1:53" ht="21" customHeight="1">
      <c r="A76" s="1277"/>
      <c r="B76" s="253"/>
      <c r="C76" s="511"/>
      <c r="D76" s="810" t="s">
        <v>830</v>
      </c>
      <c r="E76" s="1323" t="s">
        <v>1102</v>
      </c>
      <c r="F76" s="253"/>
      <c r="G76" s="253"/>
      <c r="H76" s="253"/>
      <c r="I76" s="253"/>
      <c r="J76" s="253"/>
      <c r="K76" s="253"/>
      <c r="L76" s="253"/>
      <c r="M76" s="253"/>
      <c r="N76" s="253"/>
      <c r="O76" s="253"/>
      <c r="P76" s="253"/>
      <c r="Q76" s="253"/>
      <c r="R76" s="1218"/>
      <c r="S76" s="2373"/>
      <c r="T76" s="253"/>
      <c r="U76" s="1807"/>
      <c r="V76" s="1807"/>
      <c r="W76" s="1807"/>
      <c r="X76" s="1401" t="s">
        <v>874</v>
      </c>
      <c r="Y76" s="2895" t="s">
        <v>1103</v>
      </c>
      <c r="Z76" s="7873"/>
      <c r="AA76" s="7585"/>
      <c r="AB76" s="7874"/>
      <c r="AC76" s="5403"/>
      <c r="AD76" s="7887">
        <f t="shared" si="0"/>
        <v>0</v>
      </c>
      <c r="AE76" s="7888"/>
      <c r="AF76" s="7888"/>
      <c r="AG76" s="7888"/>
      <c r="AH76" s="7888"/>
      <c r="AI76" s="1277"/>
      <c r="AJ76" s="344"/>
      <c r="AK76" s="2875"/>
      <c r="AL76" s="2875"/>
      <c r="AM76" s="5365"/>
      <c r="AN76" s="304"/>
      <c r="AO76" s="5389">
        <f t="shared" si="1"/>
        <v>0</v>
      </c>
      <c r="AP76" s="304"/>
      <c r="AQ76" s="827"/>
      <c r="AR76" s="658"/>
      <c r="AS76" s="658"/>
      <c r="AT76" s="658"/>
      <c r="AU76" s="658"/>
      <c r="AV76" s="658"/>
      <c r="AW76" s="658"/>
      <c r="AX76" s="658"/>
      <c r="AY76" s="658"/>
      <c r="AZ76" s="658"/>
      <c r="BA76" s="658"/>
    </row>
    <row r="77" spans="1:53" ht="21" customHeight="1">
      <c r="A77" s="1277"/>
      <c r="B77" s="253"/>
      <c r="C77" s="511"/>
      <c r="D77" s="810" t="s">
        <v>834</v>
      </c>
      <c r="E77" s="1323" t="s">
        <v>6340</v>
      </c>
      <c r="F77" s="253"/>
      <c r="G77" s="253"/>
      <c r="H77" s="253"/>
      <c r="I77" s="253"/>
      <c r="J77" s="253"/>
      <c r="K77" s="253"/>
      <c r="L77" s="253"/>
      <c r="M77" s="253"/>
      <c r="N77" s="253"/>
      <c r="O77" s="253"/>
      <c r="P77" s="253"/>
      <c r="Q77" s="253"/>
      <c r="R77" s="1218"/>
      <c r="S77" s="2373"/>
      <c r="T77" s="253"/>
      <c r="U77" s="1807"/>
      <c r="V77" s="1807"/>
      <c r="W77" s="1807"/>
      <c r="X77" s="1401" t="s">
        <v>1088</v>
      </c>
      <c r="Y77" s="2895" t="s">
        <v>1105</v>
      </c>
      <c r="Z77" s="7873"/>
      <c r="AA77" s="7585"/>
      <c r="AB77" s="7874"/>
      <c r="AC77" s="5403"/>
      <c r="AD77" s="7887">
        <f t="shared" si="0"/>
        <v>0</v>
      </c>
      <c r="AE77" s="7888"/>
      <c r="AF77" s="7888"/>
      <c r="AG77" s="7888"/>
      <c r="AH77" s="7888"/>
      <c r="AI77" s="1277"/>
      <c r="AJ77" s="344"/>
      <c r="AK77" s="2875"/>
      <c r="AL77" s="2875"/>
      <c r="AM77" s="5365"/>
      <c r="AN77" s="304"/>
      <c r="AO77" s="5389">
        <f t="shared" si="1"/>
        <v>0</v>
      </c>
      <c r="AP77" s="304"/>
      <c r="AQ77" s="827"/>
      <c r="AR77" s="658"/>
      <c r="AS77" s="658"/>
      <c r="AT77" s="658"/>
      <c r="AU77" s="658"/>
      <c r="AV77" s="658"/>
      <c r="AW77" s="658"/>
      <c r="AX77" s="658"/>
      <c r="AY77" s="658"/>
      <c r="AZ77" s="658"/>
      <c r="BA77" s="658"/>
    </row>
    <row r="78" spans="1:53" ht="21" customHeight="1">
      <c r="A78" s="1277"/>
      <c r="B78" s="253"/>
      <c r="C78" s="511"/>
      <c r="D78" s="810" t="s">
        <v>837</v>
      </c>
      <c r="E78" s="1323" t="s">
        <v>6341</v>
      </c>
      <c r="F78" s="253"/>
      <c r="G78" s="253"/>
      <c r="H78" s="253"/>
      <c r="I78" s="253"/>
      <c r="J78" s="253"/>
      <c r="K78" s="253"/>
      <c r="L78" s="253"/>
      <c r="M78" s="253"/>
      <c r="N78" s="253"/>
      <c r="O78" s="253"/>
      <c r="P78" s="253"/>
      <c r="Q78" s="253"/>
      <c r="R78" s="1218"/>
      <c r="S78" s="2373"/>
      <c r="T78" s="253"/>
      <c r="U78" s="1807"/>
      <c r="V78" s="1807"/>
      <c r="W78" s="1807"/>
      <c r="X78" s="1401"/>
      <c r="Y78" s="2895" t="s">
        <v>1106</v>
      </c>
      <c r="Z78" s="7873"/>
      <c r="AA78" s="7585"/>
      <c r="AB78" s="7874"/>
      <c r="AC78" s="5403"/>
      <c r="AD78" s="7887">
        <f t="shared" si="0"/>
        <v>0</v>
      </c>
      <c r="AE78" s="7888"/>
      <c r="AF78" s="7888"/>
      <c r="AG78" s="7888"/>
      <c r="AH78" s="7888"/>
      <c r="AI78" s="1277"/>
      <c r="AJ78" s="344"/>
      <c r="AK78" s="2875"/>
      <c r="AL78" s="2875"/>
      <c r="AM78" s="5365"/>
      <c r="AN78" s="304"/>
      <c r="AO78" s="5389">
        <f t="shared" si="1"/>
        <v>0</v>
      </c>
      <c r="AP78" s="304"/>
      <c r="AQ78" s="827"/>
      <c r="AR78" s="658"/>
      <c r="AS78" s="658"/>
      <c r="AT78" s="658"/>
      <c r="AU78" s="658"/>
      <c r="AV78" s="658"/>
      <c r="AW78" s="658"/>
      <c r="AX78" s="658"/>
      <c r="AY78" s="658"/>
      <c r="AZ78" s="658"/>
      <c r="BA78" s="658"/>
    </row>
    <row r="79" spans="1:53" ht="23.25" customHeight="1">
      <c r="A79" s="1277"/>
      <c r="B79" s="253"/>
      <c r="C79" s="511"/>
      <c r="D79" s="810" t="s">
        <v>840</v>
      </c>
      <c r="E79" s="1323" t="s">
        <v>6342</v>
      </c>
      <c r="F79" s="253"/>
      <c r="G79" s="253"/>
      <c r="H79" s="253"/>
      <c r="I79" s="253"/>
      <c r="J79" s="253"/>
      <c r="K79" s="253"/>
      <c r="L79" s="253"/>
      <c r="M79" s="253"/>
      <c r="N79" s="253"/>
      <c r="O79" s="253"/>
      <c r="P79" s="253"/>
      <c r="Q79" s="253"/>
      <c r="R79" s="1218"/>
      <c r="S79" s="2373"/>
      <c r="T79" s="253"/>
      <c r="U79" s="1807"/>
      <c r="V79" s="1807"/>
      <c r="W79" s="1807"/>
      <c r="X79" s="253"/>
      <c r="Y79" s="2921"/>
      <c r="Z79" s="1255"/>
      <c r="AA79" s="1808"/>
      <c r="AB79" s="1808"/>
      <c r="AC79" s="5403"/>
      <c r="AD79" s="5404"/>
      <c r="AE79" s="5405"/>
      <c r="AF79" s="5405"/>
      <c r="AG79" s="5405"/>
      <c r="AH79" s="5405"/>
      <c r="AI79" s="1277"/>
      <c r="AJ79" s="344"/>
      <c r="AK79" s="2875"/>
      <c r="AL79" s="2875"/>
      <c r="AM79" s="5365"/>
      <c r="AN79" s="304"/>
      <c r="AO79" s="5389"/>
      <c r="AP79" s="304"/>
      <c r="AQ79" s="827"/>
      <c r="AR79" s="658"/>
      <c r="AS79" s="658"/>
      <c r="AT79" s="658"/>
      <c r="AU79" s="658"/>
      <c r="AV79" s="658"/>
      <c r="AW79" s="658"/>
      <c r="AX79" s="658"/>
      <c r="AY79" s="658"/>
      <c r="AZ79" s="658"/>
      <c r="BA79" s="658"/>
    </row>
    <row r="80" spans="1:53" ht="15" customHeight="1">
      <c r="A80" s="1277"/>
      <c r="B80" s="253"/>
      <c r="C80" s="511"/>
      <c r="D80" s="810"/>
      <c r="E80" s="1323" t="s">
        <v>6343</v>
      </c>
      <c r="F80" s="253"/>
      <c r="G80" s="253"/>
      <c r="H80" s="253"/>
      <c r="I80" s="253"/>
      <c r="J80" s="253"/>
      <c r="K80" s="253"/>
      <c r="L80" s="253"/>
      <c r="M80" s="253"/>
      <c r="N80" s="253"/>
      <c r="O80" s="253"/>
      <c r="P80" s="253"/>
      <c r="Q80" s="253"/>
      <c r="R80" s="1218"/>
      <c r="S80" s="2373"/>
      <c r="T80" s="253"/>
      <c r="U80" s="1807"/>
      <c r="V80" s="1807"/>
      <c r="W80" s="1807"/>
      <c r="X80" s="1401" t="s">
        <v>6344</v>
      </c>
      <c r="Y80" s="2895" t="s">
        <v>1107</v>
      </c>
      <c r="Z80" s="7873"/>
      <c r="AA80" s="7585"/>
      <c r="AB80" s="7874"/>
      <c r="AC80" s="5403"/>
      <c r="AD80" s="7887">
        <f>ROUND(Z80,0)</f>
        <v>0</v>
      </c>
      <c r="AE80" s="7888"/>
      <c r="AF80" s="7888"/>
      <c r="AG80" s="7888"/>
      <c r="AH80" s="7888"/>
      <c r="AI80" s="1277"/>
      <c r="AJ80" s="344"/>
      <c r="AK80" s="2875"/>
      <c r="AL80" s="2875"/>
      <c r="AM80" s="5365"/>
      <c r="AN80" s="304"/>
      <c r="AO80" s="5389">
        <f>ROUND(Z80,0)</f>
        <v>0</v>
      </c>
      <c r="AP80" s="304"/>
      <c r="AQ80" s="827"/>
      <c r="AR80" s="658"/>
      <c r="AS80" s="658"/>
      <c r="AT80" s="658"/>
      <c r="AU80" s="658"/>
      <c r="AV80" s="658"/>
      <c r="AW80" s="658"/>
      <c r="AX80" s="658"/>
      <c r="AY80" s="658"/>
      <c r="AZ80" s="658"/>
      <c r="BA80" s="658"/>
    </row>
    <row r="81" spans="1:53" ht="23.25" customHeight="1">
      <c r="A81" s="1277"/>
      <c r="B81" s="253"/>
      <c r="C81" s="511"/>
      <c r="D81" s="810" t="s">
        <v>844</v>
      </c>
      <c r="E81" s="1323" t="s">
        <v>6345</v>
      </c>
      <c r="F81" s="253"/>
      <c r="G81" s="253"/>
      <c r="H81" s="253"/>
      <c r="I81" s="253"/>
      <c r="J81" s="253"/>
      <c r="K81" s="253"/>
      <c r="L81" s="253"/>
      <c r="M81" s="253"/>
      <c r="N81" s="253"/>
      <c r="O81" s="253"/>
      <c r="P81" s="253"/>
      <c r="Q81" s="253"/>
      <c r="R81" s="1218"/>
      <c r="S81" s="2373"/>
      <c r="T81" s="253"/>
      <c r="U81" s="1807"/>
      <c r="V81" s="1807"/>
      <c r="W81" s="1807"/>
      <c r="X81" s="253"/>
      <c r="Y81" s="2921"/>
      <c r="Z81" s="1255"/>
      <c r="AA81" s="1808"/>
      <c r="AB81" s="1808"/>
      <c r="AC81" s="5403"/>
      <c r="AD81" s="5404"/>
      <c r="AE81" s="5405"/>
      <c r="AF81" s="5405"/>
      <c r="AG81" s="5405"/>
      <c r="AH81" s="5405"/>
      <c r="AI81" s="1277"/>
      <c r="AJ81" s="344"/>
      <c r="AK81" s="2875"/>
      <c r="AL81" s="2875"/>
      <c r="AM81" s="5365"/>
      <c r="AN81" s="304"/>
      <c r="AO81" s="5389"/>
      <c r="AP81" s="304"/>
      <c r="AQ81" s="827"/>
      <c r="AR81" s="658"/>
      <c r="AS81" s="658"/>
      <c r="AT81" s="658"/>
      <c r="AU81" s="658"/>
      <c r="AV81" s="658"/>
      <c r="AW81" s="658"/>
      <c r="AX81" s="658"/>
      <c r="AY81" s="658"/>
      <c r="AZ81" s="658"/>
      <c r="BA81" s="658"/>
    </row>
    <row r="82" spans="1:53" ht="15" customHeight="1">
      <c r="A82" s="1277"/>
      <c r="B82" s="253"/>
      <c r="C82" s="511"/>
      <c r="D82" s="810"/>
      <c r="E82" s="1323" t="s">
        <v>6346</v>
      </c>
      <c r="F82" s="253"/>
      <c r="G82" s="253"/>
      <c r="H82" s="253"/>
      <c r="I82" s="253"/>
      <c r="J82" s="253"/>
      <c r="K82" s="253"/>
      <c r="L82" s="253"/>
      <c r="M82" s="253"/>
      <c r="N82" s="253"/>
      <c r="O82" s="253"/>
      <c r="P82" s="253"/>
      <c r="Q82" s="253"/>
      <c r="R82" s="1218"/>
      <c r="S82" s="2373"/>
      <c r="T82" s="253"/>
      <c r="U82" s="1807"/>
      <c r="V82" s="1807"/>
      <c r="W82" s="1807"/>
      <c r="X82" s="1401" t="s">
        <v>6344</v>
      </c>
      <c r="Y82" s="2895" t="s">
        <v>1108</v>
      </c>
      <c r="Z82" s="7873"/>
      <c r="AA82" s="7585"/>
      <c r="AB82" s="7874"/>
      <c r="AC82" s="5403"/>
      <c r="AD82" s="7887">
        <f>ROUND(Z82,0)</f>
        <v>0</v>
      </c>
      <c r="AE82" s="7888"/>
      <c r="AF82" s="7888"/>
      <c r="AG82" s="7888"/>
      <c r="AH82" s="7888"/>
      <c r="AI82" s="1277"/>
      <c r="AJ82" s="344"/>
      <c r="AK82" s="2875"/>
      <c r="AL82" s="2875"/>
      <c r="AM82" s="5365"/>
      <c r="AN82" s="304"/>
      <c r="AO82" s="5389">
        <f>ROUND(Z82,0)</f>
        <v>0</v>
      </c>
      <c r="AP82" s="304"/>
      <c r="AQ82" s="827"/>
      <c r="AR82" s="658"/>
      <c r="AS82" s="658"/>
      <c r="AT82" s="658"/>
      <c r="AU82" s="658"/>
      <c r="AV82" s="658"/>
      <c r="AW82" s="658"/>
      <c r="AX82" s="658"/>
      <c r="AY82" s="658"/>
      <c r="AZ82" s="658"/>
      <c r="BA82" s="658"/>
    </row>
    <row r="83" spans="1:53" ht="23.25" customHeight="1">
      <c r="A83" s="1277"/>
      <c r="B83" s="253"/>
      <c r="C83" s="511"/>
      <c r="D83" s="810" t="s">
        <v>847</v>
      </c>
      <c r="E83" s="1323" t="s">
        <v>1109</v>
      </c>
      <c r="F83" s="253"/>
      <c r="G83" s="253"/>
      <c r="H83" s="253"/>
      <c r="I83" s="253"/>
      <c r="J83" s="253"/>
      <c r="K83" s="253"/>
      <c r="L83" s="253"/>
      <c r="M83" s="253"/>
      <c r="N83" s="253"/>
      <c r="O83" s="253"/>
      <c r="P83" s="253"/>
      <c r="Q83" s="253"/>
      <c r="R83" s="1218"/>
      <c r="S83" s="2373"/>
      <c r="T83" s="253"/>
      <c r="U83" s="1807"/>
      <c r="V83" s="1807"/>
      <c r="W83" s="1807"/>
      <c r="X83" s="1401" t="s">
        <v>6347</v>
      </c>
      <c r="Y83" s="2895" t="s">
        <v>1110</v>
      </c>
      <c r="Z83" s="7873"/>
      <c r="AA83" s="7585"/>
      <c r="AB83" s="7874"/>
      <c r="AC83" s="5403"/>
      <c r="AD83" s="7887">
        <f>ROUND(Z83,0)</f>
        <v>0</v>
      </c>
      <c r="AE83" s="7888"/>
      <c r="AF83" s="7888"/>
      <c r="AG83" s="7888"/>
      <c r="AH83" s="7888"/>
      <c r="AI83" s="1277"/>
      <c r="AJ83" s="344"/>
      <c r="AK83" s="2875"/>
      <c r="AL83" s="2875"/>
      <c r="AM83" s="5365"/>
      <c r="AN83" s="304"/>
      <c r="AO83" s="5389">
        <f>ROUND(Z83,0)</f>
        <v>0</v>
      </c>
      <c r="AP83" s="304"/>
      <c r="AQ83" s="827"/>
      <c r="AR83" s="658"/>
      <c r="AS83" s="658"/>
      <c r="AT83" s="658"/>
      <c r="AU83" s="658"/>
      <c r="AV83" s="658"/>
      <c r="AW83" s="658"/>
      <c r="AX83" s="658"/>
      <c r="AY83" s="658"/>
      <c r="AZ83" s="658"/>
      <c r="BA83" s="658"/>
    </row>
    <row r="84" spans="1:53" ht="19.5" customHeight="1">
      <c r="A84" s="1277"/>
      <c r="B84" s="253"/>
      <c r="C84" s="511"/>
      <c r="D84" s="810" t="s">
        <v>622</v>
      </c>
      <c r="E84" s="1323" t="s">
        <v>1111</v>
      </c>
      <c r="F84" s="253"/>
      <c r="G84" s="253"/>
      <c r="H84" s="253"/>
      <c r="I84" s="253"/>
      <c r="J84" s="253"/>
      <c r="K84" s="253"/>
      <c r="L84" s="253"/>
      <c r="M84" s="253"/>
      <c r="N84" s="253"/>
      <c r="O84" s="253"/>
      <c r="P84" s="1409"/>
      <c r="Q84" s="1409"/>
      <c r="R84" s="1409"/>
      <c r="S84" s="1409"/>
      <c r="T84" s="1409"/>
      <c r="U84" s="1409"/>
      <c r="V84" s="1409"/>
      <c r="W84" s="1409"/>
      <c r="X84" s="253"/>
      <c r="Y84" s="2921"/>
      <c r="Z84" s="1255"/>
      <c r="AA84" s="1808"/>
      <c r="AB84" s="1808"/>
      <c r="AC84" s="5403"/>
      <c r="AD84" s="5404"/>
      <c r="AE84" s="5405"/>
      <c r="AF84" s="5405"/>
      <c r="AG84" s="5405"/>
      <c r="AH84" s="5405"/>
      <c r="AI84" s="1277"/>
      <c r="AJ84" s="344"/>
      <c r="AK84" s="2875"/>
      <c r="AL84" s="2875"/>
      <c r="AM84" s="5365"/>
      <c r="AN84" s="304"/>
      <c r="AO84" s="5389"/>
      <c r="AP84" s="304"/>
      <c r="AQ84" s="827"/>
      <c r="AR84" s="658"/>
      <c r="AS84" s="658"/>
      <c r="AT84" s="658"/>
      <c r="AU84" s="658"/>
      <c r="AV84" s="658"/>
      <c r="AW84" s="658"/>
      <c r="AX84" s="658"/>
      <c r="AY84" s="658"/>
      <c r="AZ84" s="658"/>
      <c r="BA84" s="658"/>
    </row>
    <row r="85" spans="1:53" ht="19.5" customHeight="1">
      <c r="A85" s="1277"/>
      <c r="B85" s="253"/>
      <c r="C85" s="511"/>
      <c r="D85" s="810"/>
      <c r="E85" s="7845"/>
      <c r="F85" s="7845"/>
      <c r="G85" s="7845"/>
      <c r="H85" s="7845"/>
      <c r="I85" s="7845"/>
      <c r="J85" s="7845"/>
      <c r="K85" s="7845"/>
      <c r="L85" s="7845"/>
      <c r="M85" s="7845"/>
      <c r="N85" s="7845"/>
      <c r="O85" s="7845"/>
      <c r="P85" s="7845"/>
      <c r="Q85" s="7845"/>
      <c r="R85" s="7845"/>
      <c r="S85" s="7845"/>
      <c r="T85" s="7845"/>
      <c r="U85" s="7845"/>
      <c r="V85" s="7845"/>
      <c r="W85" s="7845"/>
      <c r="X85" s="1657"/>
      <c r="Y85" s="2921"/>
      <c r="Z85" s="7846"/>
      <c r="AA85" s="7847"/>
      <c r="AB85" s="7848"/>
      <c r="AC85" s="5403"/>
      <c r="AD85" s="7887">
        <f>ROUND(Z85,0)</f>
        <v>0</v>
      </c>
      <c r="AE85" s="7888"/>
      <c r="AF85" s="7888"/>
      <c r="AG85" s="7888"/>
      <c r="AH85" s="7888"/>
      <c r="AI85" s="1277"/>
      <c r="AJ85" s="344"/>
      <c r="AK85" s="7562" t="s">
        <v>585</v>
      </c>
      <c r="AL85" s="2875"/>
      <c r="AM85" s="5365"/>
      <c r="AN85" s="304"/>
      <c r="AO85" s="5389">
        <f>ROUND(Z85,0)</f>
        <v>0</v>
      </c>
      <c r="AP85" s="304"/>
      <c r="AQ85" s="827"/>
      <c r="AR85" s="658"/>
      <c r="AS85" s="658"/>
      <c r="AT85" s="658"/>
      <c r="AU85" s="658"/>
      <c r="AV85" s="658"/>
      <c r="AW85" s="658"/>
      <c r="AX85" s="658"/>
      <c r="AY85" s="658"/>
      <c r="AZ85" s="658"/>
      <c r="BA85" s="658"/>
    </row>
    <row r="86" spans="1:53" ht="19.5" customHeight="1" thickBot="1">
      <c r="A86" s="1277"/>
      <c r="B86" s="253"/>
      <c r="C86" s="511"/>
      <c r="D86" s="810"/>
      <c r="E86" s="7845"/>
      <c r="F86" s="7845"/>
      <c r="G86" s="7845"/>
      <c r="H86" s="7845"/>
      <c r="I86" s="7845"/>
      <c r="J86" s="7845"/>
      <c r="K86" s="7845"/>
      <c r="L86" s="7845"/>
      <c r="M86" s="7845"/>
      <c r="N86" s="7845"/>
      <c r="O86" s="7845"/>
      <c r="P86" s="7845"/>
      <c r="Q86" s="7845"/>
      <c r="R86" s="7845"/>
      <c r="S86" s="7845"/>
      <c r="T86" s="7845"/>
      <c r="U86" s="7845"/>
      <c r="V86" s="7845"/>
      <c r="W86" s="7845"/>
      <c r="X86" s="1657"/>
      <c r="Y86" s="3840" t="s">
        <v>1112</v>
      </c>
      <c r="Z86" s="7873"/>
      <c r="AA86" s="7585"/>
      <c r="AB86" s="7874"/>
      <c r="AC86" s="5403"/>
      <c r="AD86" s="7887">
        <f>ROUND(Z86,0)</f>
        <v>0</v>
      </c>
      <c r="AE86" s="7888"/>
      <c r="AF86" s="7888"/>
      <c r="AG86" s="7888"/>
      <c r="AH86" s="7888"/>
      <c r="AI86" s="1277"/>
      <c r="AJ86" s="344"/>
      <c r="AK86" s="7911"/>
      <c r="AL86" s="2875"/>
      <c r="AM86" s="5365"/>
      <c r="AN86" s="304"/>
      <c r="AO86" s="5389">
        <f>ROUND(Z86,0)</f>
        <v>0</v>
      </c>
      <c r="AP86" s="304"/>
      <c r="AQ86" s="827"/>
      <c r="AR86" s="658"/>
      <c r="AS86" s="658"/>
      <c r="AT86" s="658"/>
      <c r="AU86" s="658"/>
      <c r="AV86" s="658"/>
      <c r="AW86" s="658"/>
      <c r="AX86" s="658"/>
      <c r="AY86" s="658"/>
      <c r="AZ86" s="658"/>
      <c r="BA86" s="658"/>
    </row>
    <row r="87" spans="1:53" ht="23.25" customHeight="1">
      <c r="A87" s="1277"/>
      <c r="B87" s="253"/>
      <c r="C87" s="810">
        <v>18</v>
      </c>
      <c r="D87" s="810"/>
      <c r="E87" s="1323" t="s">
        <v>1113</v>
      </c>
      <c r="F87" s="253"/>
      <c r="G87" s="253"/>
      <c r="H87" s="253"/>
      <c r="I87" s="253"/>
      <c r="J87" s="253"/>
      <c r="K87" s="253"/>
      <c r="L87" s="253"/>
      <c r="M87" s="253"/>
      <c r="N87" s="253"/>
      <c r="O87" s="253"/>
      <c r="P87" s="253"/>
      <c r="Q87" s="253"/>
      <c r="R87" s="1218"/>
      <c r="S87" s="2373"/>
      <c r="T87" s="253"/>
      <c r="U87" s="253"/>
      <c r="V87" s="253"/>
      <c r="W87" s="253"/>
      <c r="X87" s="253"/>
      <c r="Y87" s="253"/>
      <c r="Z87" s="1401"/>
      <c r="AA87" s="1401"/>
      <c r="AB87" s="1401" t="s">
        <v>805</v>
      </c>
      <c r="AC87" s="5372">
        <v>18</v>
      </c>
      <c r="AD87" s="7703">
        <f>IF(AK87&lt;&gt;"",ROUND(AK87,0),AO87)</f>
        <v>0</v>
      </c>
      <c r="AE87" s="7704"/>
      <c r="AF87" s="7704"/>
      <c r="AG87" s="7704"/>
      <c r="AH87" s="7704"/>
      <c r="AI87" s="1277"/>
      <c r="AJ87" s="344"/>
      <c r="AK87" s="732"/>
      <c r="AL87" s="2875"/>
      <c r="AM87" s="5365"/>
      <c r="AN87" s="304"/>
      <c r="AO87" s="5389">
        <f>SUM(AO59:AO86)</f>
        <v>0</v>
      </c>
      <c r="AP87" s="304"/>
      <c r="AQ87" s="827"/>
      <c r="AR87" s="658"/>
      <c r="AS87" s="658"/>
      <c r="AT87" s="658"/>
      <c r="AU87" s="658"/>
      <c r="AV87" s="658"/>
      <c r="AW87" s="658"/>
      <c r="AX87" s="658"/>
      <c r="AY87" s="658"/>
      <c r="AZ87" s="658"/>
      <c r="BA87" s="658"/>
    </row>
    <row r="88" spans="1:53" ht="23.25" customHeight="1">
      <c r="A88" s="1277"/>
      <c r="B88" s="253"/>
      <c r="C88" s="810">
        <v>19</v>
      </c>
      <c r="D88" s="810"/>
      <c r="E88" s="1323" t="s">
        <v>5227</v>
      </c>
      <c r="F88" s="253"/>
      <c r="G88" s="253"/>
      <c r="H88" s="253"/>
      <c r="I88" s="253"/>
      <c r="J88" s="253"/>
      <c r="K88" s="253"/>
      <c r="L88" s="253"/>
      <c r="M88" s="253"/>
      <c r="N88" s="253"/>
      <c r="O88" s="253"/>
      <c r="P88" s="253"/>
      <c r="Q88" s="253"/>
      <c r="R88" s="1218"/>
      <c r="S88" s="2373"/>
      <c r="T88" s="253"/>
      <c r="U88" s="253"/>
      <c r="V88" s="253"/>
      <c r="W88" s="253"/>
      <c r="X88" s="253"/>
      <c r="Y88" s="253"/>
      <c r="Z88" s="1401"/>
      <c r="AA88" s="1401"/>
      <c r="AB88" s="1401" t="s">
        <v>908</v>
      </c>
      <c r="AC88" s="5372">
        <v>19</v>
      </c>
      <c r="AD88" s="7883"/>
      <c r="AE88" s="7884"/>
      <c r="AF88" s="7884"/>
      <c r="AG88" s="7884"/>
      <c r="AH88" s="7884"/>
      <c r="AI88" s="1277"/>
      <c r="AJ88" s="344"/>
      <c r="AK88" s="2875"/>
      <c r="AL88" s="2875"/>
      <c r="AM88" s="5365"/>
      <c r="AN88" s="304"/>
      <c r="AO88" s="5389"/>
      <c r="AP88" s="304"/>
      <c r="AQ88" s="827"/>
      <c r="AR88" s="658"/>
      <c r="AS88" s="658"/>
      <c r="AT88" s="658"/>
      <c r="AU88" s="658"/>
      <c r="AV88" s="658"/>
      <c r="AW88" s="658"/>
      <c r="AX88" s="658"/>
      <c r="AY88" s="658"/>
      <c r="AZ88" s="658"/>
      <c r="BA88" s="658"/>
    </row>
    <row r="89" spans="1:53" ht="23.25" customHeight="1">
      <c r="A89" s="1277"/>
      <c r="B89" s="253"/>
      <c r="C89" s="810">
        <v>20</v>
      </c>
      <c r="D89" s="810"/>
      <c r="E89" s="1323" t="s">
        <v>1114</v>
      </c>
      <c r="F89" s="253"/>
      <c r="G89" s="253"/>
      <c r="H89" s="253"/>
      <c r="I89" s="253"/>
      <c r="J89" s="253"/>
      <c r="K89" s="253"/>
      <c r="L89" s="253"/>
      <c r="M89" s="253"/>
      <c r="N89" s="253"/>
      <c r="O89" s="253"/>
      <c r="P89" s="253"/>
      <c r="Q89" s="253"/>
      <c r="R89" s="1218"/>
      <c r="S89" s="2373"/>
      <c r="T89" s="253"/>
      <c r="U89" s="1664"/>
      <c r="V89" s="1664"/>
      <c r="W89" s="1664"/>
      <c r="X89" s="1401" t="s">
        <v>5229</v>
      </c>
      <c r="Y89" s="2895">
        <v>20</v>
      </c>
      <c r="Z89" s="7873"/>
      <c r="AA89" s="7585"/>
      <c r="AB89" s="7874"/>
      <c r="AC89" s="5403"/>
      <c r="AD89" s="7889">
        <f>ROUND(Z89,0)</f>
        <v>0</v>
      </c>
      <c r="AE89" s="7890"/>
      <c r="AF89" s="7890"/>
      <c r="AG89" s="7890"/>
      <c r="AH89" s="7890"/>
      <c r="AI89" s="1277"/>
      <c r="AJ89" s="344"/>
      <c r="AK89" s="2875"/>
      <c r="AL89" s="2875"/>
      <c r="AM89" s="5365"/>
      <c r="AN89" s="304"/>
      <c r="AO89" s="5389"/>
      <c r="AP89" s="304"/>
      <c r="AQ89" s="827"/>
      <c r="AR89" s="658"/>
      <c r="AS89" s="658"/>
      <c r="AT89" s="658"/>
      <c r="AU89" s="658"/>
      <c r="AV89" s="658"/>
      <c r="AW89" s="658"/>
      <c r="AX89" s="658"/>
      <c r="AY89" s="658"/>
      <c r="AZ89" s="658"/>
      <c r="BA89" s="658"/>
    </row>
    <row r="90" spans="1:53" ht="23.25" customHeight="1">
      <c r="A90" s="1277"/>
      <c r="B90" s="349"/>
      <c r="C90" s="810">
        <v>21</v>
      </c>
      <c r="D90" s="810"/>
      <c r="E90" s="1323" t="s">
        <v>5514</v>
      </c>
      <c r="F90" s="253"/>
      <c r="G90" s="253"/>
      <c r="H90" s="253"/>
      <c r="I90" s="253"/>
      <c r="J90" s="253"/>
      <c r="K90" s="253"/>
      <c r="L90" s="253"/>
      <c r="M90" s="253"/>
      <c r="N90" s="253"/>
      <c r="O90" s="253"/>
      <c r="P90" s="253"/>
      <c r="Q90" s="253"/>
      <c r="R90" s="253"/>
      <c r="S90" s="253"/>
      <c r="T90" s="253"/>
      <c r="U90" s="253"/>
      <c r="V90" s="253"/>
      <c r="W90" s="253"/>
      <c r="X90" s="253"/>
      <c r="Y90" s="253"/>
      <c r="Z90" s="253"/>
      <c r="AA90" s="253"/>
      <c r="AB90" s="253"/>
      <c r="AC90" s="5403"/>
      <c r="AD90" s="7885"/>
      <c r="AE90" s="7886"/>
      <c r="AF90" s="7886"/>
      <c r="AG90" s="7886"/>
      <c r="AH90" s="7886"/>
      <c r="AI90" s="1277"/>
      <c r="AJ90" s="253"/>
      <c r="AK90" s="2875"/>
      <c r="AL90" s="2875"/>
      <c r="AM90" s="5365"/>
      <c r="AN90" s="304"/>
      <c r="AO90" s="5389"/>
      <c r="AP90" s="304"/>
      <c r="AQ90" s="827"/>
      <c r="AR90" s="658"/>
      <c r="AS90" s="658"/>
      <c r="AT90" s="658"/>
      <c r="AU90" s="658"/>
      <c r="AV90" s="658"/>
      <c r="AW90" s="658"/>
      <c r="AX90" s="658"/>
      <c r="AY90" s="658"/>
      <c r="AZ90" s="658"/>
      <c r="BA90" s="658"/>
    </row>
    <row r="91" spans="1:53" ht="18.75" customHeight="1" thickBot="1">
      <c r="A91" s="1277"/>
      <c r="B91" s="5406"/>
      <c r="C91" s="5384"/>
      <c r="D91" s="5384"/>
      <c r="E91" s="5003" t="s">
        <v>1115</v>
      </c>
      <c r="F91" s="380"/>
      <c r="G91" s="380"/>
      <c r="H91" s="380"/>
      <c r="I91" s="380"/>
      <c r="J91" s="380"/>
      <c r="K91" s="380"/>
      <c r="L91" s="380"/>
      <c r="M91" s="380"/>
      <c r="N91" s="380"/>
      <c r="O91" s="380"/>
      <c r="P91" s="380"/>
      <c r="Q91" s="380"/>
      <c r="R91" s="380"/>
      <c r="S91" s="380"/>
      <c r="T91" s="380"/>
      <c r="U91" s="380"/>
      <c r="V91" s="380"/>
      <c r="W91" s="380"/>
      <c r="X91" s="380"/>
      <c r="Y91" s="380"/>
      <c r="Z91" s="4488"/>
      <c r="AA91" s="4488"/>
      <c r="AB91" s="1401" t="s">
        <v>5230</v>
      </c>
      <c r="AC91" s="3840">
        <v>21</v>
      </c>
      <c r="AD91" s="7881">
        <f>IF(AK91&lt;&gt;"",ROUND(AK91,0),SUM(SelfEmploymentTax,AO53,AD87,ROUND(AD88,0)))</f>
        <v>0</v>
      </c>
      <c r="AE91" s="7882"/>
      <c r="AF91" s="7882"/>
      <c r="AG91" s="7882"/>
      <c r="AH91" s="7882"/>
      <c r="AI91" s="1277"/>
      <c r="AJ91" s="253"/>
      <c r="AK91" s="732"/>
      <c r="AL91" s="2875"/>
      <c r="AM91" s="5365"/>
      <c r="AN91" s="304"/>
      <c r="AO91" s="5389"/>
      <c r="AP91" s="304"/>
      <c r="AQ91" s="827"/>
      <c r="AR91" s="658"/>
      <c r="AS91" s="658"/>
      <c r="AT91" s="658"/>
      <c r="AU91" s="658"/>
      <c r="AV91" s="658"/>
      <c r="AW91" s="658"/>
      <c r="AX91" s="658"/>
      <c r="AY91" s="658"/>
      <c r="AZ91" s="658"/>
      <c r="BA91" s="658"/>
    </row>
    <row r="92" spans="1:53" ht="16.5" customHeight="1">
      <c r="A92" s="1277"/>
      <c r="B92" s="5407"/>
      <c r="C92" s="2176"/>
      <c r="D92" s="5408"/>
      <c r="E92" s="1199"/>
      <c r="F92" s="1199"/>
      <c r="G92" s="1199"/>
      <c r="H92" s="1199"/>
      <c r="I92" s="1199"/>
      <c r="J92" s="1199"/>
      <c r="K92" s="1199"/>
      <c r="L92" s="1199"/>
      <c r="M92" s="1199"/>
      <c r="N92" s="1199"/>
      <c r="O92" s="1199"/>
      <c r="P92" s="1199"/>
      <c r="Q92" s="1199"/>
      <c r="R92" s="1199"/>
      <c r="S92" s="1199"/>
      <c r="T92" s="5409"/>
      <c r="U92" s="5409"/>
      <c r="V92" s="5410"/>
      <c r="W92" s="1054"/>
      <c r="X92" s="1199"/>
      <c r="Y92" s="1199"/>
      <c r="Z92" s="1199"/>
      <c r="AA92" s="1199"/>
      <c r="AB92" s="1199"/>
      <c r="AC92" s="1199"/>
      <c r="AD92" s="1199"/>
      <c r="AE92" s="1199"/>
      <c r="AF92" s="1199"/>
      <c r="AG92" s="1199"/>
      <c r="AH92" s="4788" t="str">
        <f>"Schedule 2 (Form 1040) "&amp;TaxYear</f>
        <v>Schedule 2 (Form 1040) 2025</v>
      </c>
      <c r="AI92" s="1277"/>
      <c r="AJ92" s="253"/>
      <c r="AK92" s="2875"/>
      <c r="AL92" s="2875"/>
      <c r="AM92" s="5365"/>
      <c r="AN92" s="304"/>
      <c r="AO92" s="5389"/>
      <c r="AP92" s="304"/>
      <c r="AQ92" s="827"/>
      <c r="AR92" s="658"/>
      <c r="AS92" s="658"/>
      <c r="AT92" s="658"/>
      <c r="AU92" s="658"/>
      <c r="AV92" s="658"/>
      <c r="AW92" s="658"/>
      <c r="AX92" s="658"/>
      <c r="AY92" s="658"/>
      <c r="AZ92" s="658"/>
      <c r="BA92" s="658"/>
    </row>
    <row r="93" spans="1:53">
      <c r="A93" s="1277"/>
      <c r="B93" s="1277"/>
      <c r="C93" s="1277"/>
      <c r="D93" s="1277"/>
      <c r="E93" s="1277"/>
      <c r="F93" s="1277"/>
      <c r="G93" s="1277"/>
      <c r="H93" s="1277"/>
      <c r="I93" s="1277"/>
      <c r="J93" s="1277"/>
      <c r="K93" s="1277"/>
      <c r="L93" s="1277"/>
      <c r="M93" s="1277"/>
      <c r="N93" s="1277"/>
      <c r="O93" s="1277"/>
      <c r="P93" s="1277"/>
      <c r="Q93" s="1277"/>
      <c r="R93" s="1277"/>
      <c r="S93" s="1277"/>
      <c r="T93" s="1277"/>
      <c r="U93" s="1277"/>
      <c r="V93" s="1277"/>
      <c r="W93" s="1277"/>
      <c r="X93" s="1277"/>
      <c r="Y93" s="1277"/>
      <c r="Z93" s="1277"/>
      <c r="AA93" s="1277"/>
      <c r="AB93" s="1277"/>
      <c r="AC93" s="1277"/>
      <c r="AD93" s="1277"/>
      <c r="AE93" s="1277"/>
      <c r="AF93" s="1277"/>
      <c r="AG93" s="1277"/>
      <c r="AH93" s="1277"/>
      <c r="AI93" s="1277"/>
      <c r="AK93" s="2875"/>
      <c r="AL93" s="2875"/>
      <c r="AM93" s="5365"/>
      <c r="AN93" s="304"/>
      <c r="AO93" s="5389"/>
      <c r="AP93" s="304"/>
      <c r="AQ93" s="827"/>
      <c r="AR93" s="658"/>
      <c r="AS93" s="658"/>
      <c r="AT93" s="658"/>
      <c r="AU93" s="658"/>
      <c r="AV93" s="658"/>
      <c r="AW93" s="658"/>
      <c r="AX93" s="658"/>
      <c r="AY93" s="658"/>
      <c r="AZ93" s="658"/>
      <c r="BA93" s="658"/>
    </row>
    <row r="94" spans="1:53">
      <c r="AQ94" s="827"/>
      <c r="AR94" s="658"/>
      <c r="AS94" s="658"/>
      <c r="AT94" s="658"/>
      <c r="AU94" s="658"/>
      <c r="AV94" s="658"/>
    </row>
    <row r="95" spans="1:53">
      <c r="AQ95" s="827"/>
      <c r="AR95" s="658"/>
      <c r="AS95" s="658"/>
      <c r="AT95" s="658"/>
      <c r="AU95" s="658"/>
      <c r="AV95" s="658"/>
    </row>
    <row r="96" spans="1:53">
      <c r="B96" s="5411" t="s">
        <v>42</v>
      </c>
      <c r="AQ96" s="827"/>
      <c r="AR96" s="658"/>
      <c r="AS96" s="658"/>
      <c r="AT96" s="658"/>
      <c r="AU96" s="658"/>
      <c r="AV96" s="658"/>
    </row>
  </sheetData>
  <sheetProtection algorithmName="SHA-512" hashValue="+tnqGwD81fNY101BmT+ubth8hjKwNpg5Q0iqLMOUfTSHwRj476gCHk1inMhgc1abfeK/cb1mKNgt5v5P2jSVxA==" saltValue="8S1fw1LoTW4N2P3Ybj3zQg==" spinCount="100000" sheet="1" formatCells="0" formatColumns="0" formatRows="0"/>
  <mergeCells count="103">
    <mergeCell ref="Z76:AB76"/>
    <mergeCell ref="Z77:AB77"/>
    <mergeCell ref="Z78:AB78"/>
    <mergeCell ref="Z82:AB82"/>
    <mergeCell ref="Z83:AB83"/>
    <mergeCell ref="Z74:AB74"/>
    <mergeCell ref="Z75:AB75"/>
    <mergeCell ref="AK85:AK86"/>
    <mergeCell ref="AD47:AH47"/>
    <mergeCell ref="AK60:AK61"/>
    <mergeCell ref="AD51:AH51"/>
    <mergeCell ref="AD73:AH73"/>
    <mergeCell ref="AD82:AH82"/>
    <mergeCell ref="AD83:AH83"/>
    <mergeCell ref="AD75:AH75"/>
    <mergeCell ref="AD76:AH76"/>
    <mergeCell ref="B5:G6"/>
    <mergeCell ref="Q32:W32"/>
    <mergeCell ref="O30:P30"/>
    <mergeCell ref="O24:P24"/>
    <mergeCell ref="B56:D56"/>
    <mergeCell ref="Z65:AB65"/>
    <mergeCell ref="Z59:AB59"/>
    <mergeCell ref="Z89:AB89"/>
    <mergeCell ref="AD80:AH80"/>
    <mergeCell ref="AD77:AH77"/>
    <mergeCell ref="AD78:AH78"/>
    <mergeCell ref="AD85:AH85"/>
    <mergeCell ref="Z40:AB40"/>
    <mergeCell ref="Z61:AB61"/>
    <mergeCell ref="E51:AB51"/>
    <mergeCell ref="E59:W59"/>
    <mergeCell ref="Z62:AB62"/>
    <mergeCell ref="Z64:AB64"/>
    <mergeCell ref="Z69:AB69"/>
    <mergeCell ref="Z71:AB71"/>
    <mergeCell ref="Z73:AB73"/>
    <mergeCell ref="Z67:AB67"/>
    <mergeCell ref="E86:W86"/>
    <mergeCell ref="Z86:AB86"/>
    <mergeCell ref="E20:X20"/>
    <mergeCell ref="E26:X26"/>
    <mergeCell ref="O28:P28"/>
    <mergeCell ref="Z23:AB24"/>
    <mergeCell ref="Z29:AB30"/>
    <mergeCell ref="Z32:AB32"/>
    <mergeCell ref="Z39:AB39"/>
    <mergeCell ref="G38:I38"/>
    <mergeCell ref="E27:H27"/>
    <mergeCell ref="AK7:AK9"/>
    <mergeCell ref="AD44:AH44"/>
    <mergeCell ref="AD46:AH46"/>
    <mergeCell ref="AD43:AH43"/>
    <mergeCell ref="AD33:AH33"/>
    <mergeCell ref="AD38:AH38"/>
    <mergeCell ref="AD34:AH34"/>
    <mergeCell ref="AD35:AH35"/>
    <mergeCell ref="AC8:AH9"/>
    <mergeCell ref="AD42:AH42"/>
    <mergeCell ref="AD41:AH41"/>
    <mergeCell ref="AD91:AH91"/>
    <mergeCell ref="AD88:AH88"/>
    <mergeCell ref="AD90:AH90"/>
    <mergeCell ref="AD87:AH87"/>
    <mergeCell ref="AD86:AH86"/>
    <mergeCell ref="AD89:AH89"/>
    <mergeCell ref="AD48:AH48"/>
    <mergeCell ref="AD64:AH64"/>
    <mergeCell ref="AD67:AH67"/>
    <mergeCell ref="AD69:AH69"/>
    <mergeCell ref="AD71:AH71"/>
    <mergeCell ref="AD65:AH65"/>
    <mergeCell ref="AD52:AH52"/>
    <mergeCell ref="AD49:AH49"/>
    <mergeCell ref="AD50:AH50"/>
    <mergeCell ref="AD74:AH74"/>
    <mergeCell ref="AD62:AH62"/>
    <mergeCell ref="AD59:AH59"/>
    <mergeCell ref="AD61:AH61"/>
    <mergeCell ref="E85:W85"/>
    <mergeCell ref="Z85:AB85"/>
    <mergeCell ref="AC2:AH2"/>
    <mergeCell ref="AC3:AH4"/>
    <mergeCell ref="AD5:AH5"/>
    <mergeCell ref="AD6:AH6"/>
    <mergeCell ref="M38:O38"/>
    <mergeCell ref="J38:K38"/>
    <mergeCell ref="P38:Q38"/>
    <mergeCell ref="T38:V38"/>
    <mergeCell ref="E21:F21"/>
    <mergeCell ref="B2:G4"/>
    <mergeCell ref="H6:AB6"/>
    <mergeCell ref="B36:D36"/>
    <mergeCell ref="B8:AB9"/>
    <mergeCell ref="B10:D10"/>
    <mergeCell ref="Z12:AB12"/>
    <mergeCell ref="Z15:AB15"/>
    <mergeCell ref="Z18:AB18"/>
    <mergeCell ref="Z19:AB19"/>
    <mergeCell ref="O22:P22"/>
    <mergeCell ref="Z80:AB80"/>
    <mergeCell ref="H3:AB4"/>
    <mergeCell ref="H5:AB5"/>
  </mergeCells>
  <conditionalFormatting sqref="B8 AC8">
    <cfRule type="expression" dxfId="3373" priority="217">
      <formula>NoColor</formula>
    </cfRule>
  </conditionalFormatting>
  <conditionalFormatting sqref="E59">
    <cfRule type="expression" dxfId="3372" priority="8">
      <formula>NoColor</formula>
    </cfRule>
  </conditionalFormatting>
  <conditionalFormatting sqref="E85:E86">
    <cfRule type="expression" dxfId="3371" priority="6">
      <formula>NoColor</formula>
    </cfRule>
  </conditionalFormatting>
  <conditionalFormatting sqref="F22">
    <cfRule type="expression" dxfId="3370" priority="20">
      <formula>NoColor</formula>
    </cfRule>
  </conditionalFormatting>
  <conditionalFormatting sqref="F24">
    <cfRule type="expression" dxfId="3369" priority="18">
      <formula>NoColor</formula>
    </cfRule>
  </conditionalFormatting>
  <conditionalFormatting sqref="F28">
    <cfRule type="expression" dxfId="3368" priority="16">
      <formula>NoColor</formula>
    </cfRule>
  </conditionalFormatting>
  <conditionalFormatting sqref="F30">
    <cfRule type="expression" dxfId="3367" priority="14">
      <formula>NoColor</formula>
    </cfRule>
  </conditionalFormatting>
  <conditionalFormatting sqref="F38">
    <cfRule type="expression" dxfId="3366" priority="5">
      <formula>NoColor</formula>
    </cfRule>
  </conditionalFormatting>
  <conditionalFormatting sqref="L38">
    <cfRule type="expression" dxfId="3365" priority="4">
      <formula>NoColor</formula>
    </cfRule>
  </conditionalFormatting>
  <conditionalFormatting sqref="P84">
    <cfRule type="expression" dxfId="3364" priority="7">
      <formula>NoColor</formula>
    </cfRule>
  </conditionalFormatting>
  <conditionalFormatting sqref="Q22">
    <cfRule type="expression" dxfId="3363" priority="19">
      <formula>NoColor</formula>
    </cfRule>
  </conditionalFormatting>
  <conditionalFormatting sqref="Q24">
    <cfRule type="expression" dxfId="3362" priority="17">
      <formula>NoColor</formula>
    </cfRule>
  </conditionalFormatting>
  <conditionalFormatting sqref="Q28">
    <cfRule type="expression" dxfId="3361" priority="15">
      <formula>NoColor</formula>
    </cfRule>
  </conditionalFormatting>
  <conditionalFormatting sqref="Q30">
    <cfRule type="expression" dxfId="3360" priority="13">
      <formula>NoColor</formula>
    </cfRule>
  </conditionalFormatting>
  <conditionalFormatting sqref="Q32:W32">
    <cfRule type="expression" dxfId="3359" priority="11">
      <formula>NoColor</formula>
    </cfRule>
  </conditionalFormatting>
  <conditionalFormatting sqref="R38">
    <cfRule type="expression" dxfId="3358" priority="3">
      <formula>NoColor</formula>
    </cfRule>
  </conditionalFormatting>
  <conditionalFormatting sqref="T38:V38">
    <cfRule type="expression" dxfId="3357" priority="2">
      <formula>NoColor</formula>
    </cfRule>
  </conditionalFormatting>
  <conditionalFormatting sqref="U60:W83 Z61:Z62">
    <cfRule type="expression" dxfId="3356" priority="42">
      <formula>IF(NoColor,1,0)</formula>
    </cfRule>
  </conditionalFormatting>
  <conditionalFormatting sqref="Z64:Z65">
    <cfRule type="expression" dxfId="3355" priority="41">
      <formula>IF(NoColor,1,0)</formula>
    </cfRule>
  </conditionalFormatting>
  <conditionalFormatting sqref="Z67">
    <cfRule type="expression" dxfId="3354" priority="40">
      <formula>IF(NoColor,1,0)</formula>
    </cfRule>
  </conditionalFormatting>
  <conditionalFormatting sqref="Z69">
    <cfRule type="expression" dxfId="3353" priority="39">
      <formula>IF(NoColor,1,0)</formula>
    </cfRule>
  </conditionalFormatting>
  <conditionalFormatting sqref="Z71">
    <cfRule type="expression" dxfId="3352" priority="38">
      <formula>IF(NoColor,1,0)</formula>
    </cfRule>
  </conditionalFormatting>
  <conditionalFormatting sqref="Z73:Z78">
    <cfRule type="expression" dxfId="3351" priority="32">
      <formula>IF(NoColor,1,0)</formula>
    </cfRule>
  </conditionalFormatting>
  <conditionalFormatting sqref="Z80">
    <cfRule type="expression" dxfId="3350" priority="31">
      <formula>IF(NoColor,1,0)</formula>
    </cfRule>
  </conditionalFormatting>
  <conditionalFormatting sqref="Z82:Z83">
    <cfRule type="expression" dxfId="3349" priority="29">
      <formula>IF(NoColor,1,0)</formula>
    </cfRule>
  </conditionalFormatting>
  <conditionalFormatting sqref="Z85:Z86">
    <cfRule type="expression" dxfId="3348" priority="28">
      <formula>IF(NoColor,1,0)</formula>
    </cfRule>
  </conditionalFormatting>
  <conditionalFormatting sqref="Z12:AB12">
    <cfRule type="expression" dxfId="3347" priority="9">
      <formula>NoColor</formula>
    </cfRule>
  </conditionalFormatting>
  <conditionalFormatting sqref="Z15:AB15">
    <cfRule type="expression" dxfId="3346" priority="26">
      <formula>NoColor</formula>
    </cfRule>
  </conditionalFormatting>
  <conditionalFormatting sqref="Z18:AB19">
    <cfRule type="expression" dxfId="3345" priority="24">
      <formula>NoColor</formula>
    </cfRule>
  </conditionalFormatting>
  <conditionalFormatting sqref="Z23:AB24">
    <cfRule type="expression" dxfId="3344" priority="23">
      <formula>NoColor</formula>
    </cfRule>
  </conditionalFormatting>
  <conditionalFormatting sqref="Z29:AB30">
    <cfRule type="expression" dxfId="3343" priority="22">
      <formula>NoColor</formula>
    </cfRule>
  </conditionalFormatting>
  <conditionalFormatting sqref="Z32:AB32">
    <cfRule type="expression" dxfId="3342" priority="21">
      <formula>NoColor</formula>
    </cfRule>
  </conditionalFormatting>
  <conditionalFormatting sqref="AA43">
    <cfRule type="expression" dxfId="3341" priority="10">
      <formula>NoColor</formula>
    </cfRule>
  </conditionalFormatting>
  <conditionalFormatting sqref="AD11 AD34:AH35 W39:X39 W40 U58:W58 Z58:AB58 Z59 Z60:AB60 Z63:AB63 Z66:AB66 Z68:AB68 Z70:AB70 Z72:AB72 Z79:AB79 Z81:AB81 Z84:AB84 Z89">
    <cfRule type="expression" dxfId="3340" priority="151">
      <formula>IF(NoColor,1,0)</formula>
    </cfRule>
  </conditionalFormatting>
  <conditionalFormatting sqref="AD33">
    <cfRule type="expression" dxfId="3339" priority="46">
      <formula>IF(NoColor,1,0)</formula>
    </cfRule>
  </conditionalFormatting>
  <conditionalFormatting sqref="AD43">
    <cfRule type="expression" dxfId="3338" priority="150">
      <formula>IF(NoColor,1,0)</formula>
    </cfRule>
  </conditionalFormatting>
  <conditionalFormatting sqref="AD50:AD52">
    <cfRule type="expression" dxfId="3337" priority="137">
      <formula>IF(NoColor,1,0)</formula>
    </cfRule>
  </conditionalFormatting>
  <conditionalFormatting sqref="AD57">
    <cfRule type="expression" dxfId="3336" priority="191">
      <formula>IF(NoColor,1,0)</formula>
    </cfRule>
  </conditionalFormatting>
  <conditionalFormatting sqref="AD91">
    <cfRule type="expression" dxfId="3335" priority="68">
      <formula>IF(NoColor,1,0)</formula>
    </cfRule>
  </conditionalFormatting>
  <conditionalFormatting sqref="AD12:AH32">
    <cfRule type="expression" dxfId="3334" priority="45">
      <formula>IF(NoColor,1,0)</formula>
    </cfRule>
  </conditionalFormatting>
  <conditionalFormatting sqref="AD37:AH42 Z39:Z40">
    <cfRule type="expression" dxfId="3333" priority="44">
      <formula>IF(NoColor,1,0)</formula>
    </cfRule>
  </conditionalFormatting>
  <conditionalFormatting sqref="AD44:AH44">
    <cfRule type="expression" dxfId="3332" priority="147">
      <formula>IF(NoColor,1,0)</formula>
    </cfRule>
  </conditionalFormatting>
  <conditionalFormatting sqref="AD46:AH49">
    <cfRule type="expression" dxfId="3331" priority="1">
      <formula>IF(NoColor,1,0)</formula>
    </cfRule>
  </conditionalFormatting>
  <conditionalFormatting sqref="AD87:AH87">
    <cfRule type="expression" dxfId="3330" priority="103">
      <formula>IF(NoColor,1,0)</formula>
    </cfRule>
  </conditionalFormatting>
  <conditionalFormatting sqref="AD88:AH88">
    <cfRule type="expression" dxfId="3329" priority="27">
      <formula>NoColor</formula>
    </cfRule>
  </conditionalFormatting>
  <conditionalFormatting sqref="AD90:AH90">
    <cfRule type="expression" dxfId="3328" priority="69">
      <formula>IF(NoColor,1,0)</formula>
    </cfRule>
  </conditionalFormatting>
  <pageMargins left="0.5" right="0.5" top="0.36" bottom="0.28999999999999998" header="0.36" footer="0.21"/>
  <pageSetup scale="74" fitToHeight="0" orientation="portrait" r:id="rId1"/>
  <rowBreaks count="1" manualBreakCount="1">
    <brk id="54" min="1" max="33"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AY58"/>
  <sheetViews>
    <sheetView zoomScaleNormal="100" zoomScaleSheetLayoutView="130" workbookViewId="0"/>
  </sheetViews>
  <sheetFormatPr defaultColWidth="3.42578125" defaultRowHeight="12.75"/>
  <cols>
    <col min="2" max="2" width="4.7109375" customWidth="1"/>
    <col min="3" max="3" width="2.5703125" customWidth="1"/>
    <col min="4" max="5" width="3.85546875" customWidth="1"/>
    <col min="6" max="6" width="5.7109375" customWidth="1"/>
    <col min="7" max="18" width="3.5703125" customWidth="1"/>
    <col min="19" max="19" width="15" customWidth="1"/>
    <col min="20" max="20" width="7.28515625" customWidth="1"/>
    <col min="21" max="21" width="1.140625" customWidth="1"/>
    <col min="22" max="22" width="4.7109375" customWidth="1"/>
    <col min="23" max="26" width="4.28515625" customWidth="1"/>
    <col min="27" max="27" width="2" customWidth="1"/>
    <col min="28" max="28" width="5.7109375" customWidth="1"/>
    <col min="29" max="33" width="3.85546875" customWidth="1"/>
    <col min="35" max="35" width="2.140625" customWidth="1"/>
    <col min="36" max="36" width="15" customWidth="1"/>
    <col min="37" max="37" width="2.5703125" customWidth="1"/>
    <col min="38" max="38" width="21.85546875" customWidth="1"/>
    <col min="39" max="39" width="6.28515625" customWidth="1"/>
    <col min="41" max="41" width="10.7109375" style="769" customWidth="1"/>
    <col min="42" max="51" width="10.7109375" style="658" customWidth="1"/>
    <col min="54" max="64" width="3.28515625" customWidth="1"/>
  </cols>
  <sheetData>
    <row r="1" spans="1:51" ht="15">
      <c r="A1" s="1277"/>
      <c r="B1" s="1277"/>
      <c r="C1" s="1277"/>
      <c r="D1" s="1277"/>
      <c r="E1" s="1277"/>
      <c r="F1" s="1277"/>
      <c r="G1" s="1277"/>
      <c r="H1" s="1277"/>
      <c r="I1" s="1277"/>
      <c r="J1" s="1277"/>
      <c r="K1" s="1277"/>
      <c r="L1" s="1277"/>
      <c r="M1" s="1277"/>
      <c r="N1" s="1277"/>
      <c r="O1" s="1277"/>
      <c r="P1" s="1277"/>
      <c r="Q1" s="1277"/>
      <c r="R1" s="1277"/>
      <c r="S1" s="1277"/>
      <c r="T1" s="1277"/>
      <c r="U1" s="1277"/>
      <c r="V1" s="1277"/>
      <c r="W1" s="1277"/>
      <c r="X1" s="1277"/>
      <c r="Y1" s="1277"/>
      <c r="Z1" s="1277"/>
      <c r="AA1" s="1277"/>
      <c r="AB1" s="7953" t="str">
        <f>IF('Table of Contents'!A26="D","DRAFT","")</f>
        <v/>
      </c>
      <c r="AC1" s="7953"/>
      <c r="AD1" s="7953"/>
      <c r="AE1" s="7953"/>
      <c r="AF1" s="7953"/>
      <c r="AG1" s="7953"/>
      <c r="AH1" s="1277"/>
      <c r="AI1" s="344"/>
      <c r="AJ1" s="2875"/>
      <c r="AO1" s="768" t="s">
        <v>223</v>
      </c>
    </row>
    <row r="2" spans="1:51" ht="14.25" customHeight="1">
      <c r="A2" s="1277"/>
      <c r="B2" s="7918" t="s">
        <v>1116</v>
      </c>
      <c r="C2" s="7919"/>
      <c r="D2" s="7919"/>
      <c r="E2" s="7919"/>
      <c r="F2" s="7920"/>
      <c r="G2" s="7931" t="s">
        <v>1117</v>
      </c>
      <c r="H2" s="7932"/>
      <c r="I2" s="7932"/>
      <c r="J2" s="7932"/>
      <c r="K2" s="7932"/>
      <c r="L2" s="7932"/>
      <c r="M2" s="7932"/>
      <c r="N2" s="7932"/>
      <c r="O2" s="7932"/>
      <c r="P2" s="7932"/>
      <c r="Q2" s="7932"/>
      <c r="R2" s="7932"/>
      <c r="S2" s="7932"/>
      <c r="T2" s="7932"/>
      <c r="U2" s="7932"/>
      <c r="V2" s="7932"/>
      <c r="W2" s="7932"/>
      <c r="X2" s="7932"/>
      <c r="Y2" s="7932"/>
      <c r="Z2" s="7932"/>
      <c r="AA2" s="7933"/>
      <c r="AB2" s="7586" t="str">
        <f>IF(AND(AB1="DRAFT",AH2=""),"DRAFT","OMB No. 1545-0074")</f>
        <v>OMB No. 1545-0074</v>
      </c>
      <c r="AC2" s="7921"/>
      <c r="AD2" s="7921"/>
      <c r="AE2" s="7921"/>
      <c r="AF2" s="7921"/>
      <c r="AG2" s="7921"/>
      <c r="AH2" s="770"/>
      <c r="AI2" s="344"/>
      <c r="AJ2" s="2875"/>
    </row>
    <row r="3" spans="1:51" ht="16.5" customHeight="1">
      <c r="A3" s="1277"/>
      <c r="B3" s="7919"/>
      <c r="C3" s="7919"/>
      <c r="D3" s="7919"/>
      <c r="E3" s="7919"/>
      <c r="F3" s="7920"/>
      <c r="G3" s="7931"/>
      <c r="H3" s="7932"/>
      <c r="I3" s="7932"/>
      <c r="J3" s="7932"/>
      <c r="K3" s="7932"/>
      <c r="L3" s="7932"/>
      <c r="M3" s="7932"/>
      <c r="N3" s="7932"/>
      <c r="O3" s="7932"/>
      <c r="P3" s="7932"/>
      <c r="Q3" s="7932"/>
      <c r="R3" s="7932"/>
      <c r="S3" s="7932"/>
      <c r="T3" s="7932"/>
      <c r="U3" s="7932"/>
      <c r="V3" s="7932"/>
      <c r="W3" s="7932"/>
      <c r="X3" s="7932"/>
      <c r="Y3" s="7932"/>
      <c r="Z3" s="7932"/>
      <c r="AA3" s="7933"/>
      <c r="AB3" s="7849">
        <f>TaxYear</f>
        <v>2025</v>
      </c>
      <c r="AC3" s="7850"/>
      <c r="AD3" s="7850"/>
      <c r="AE3" s="7850"/>
      <c r="AF3" s="7850"/>
      <c r="AG3" s="7850"/>
      <c r="AH3" s="1277"/>
      <c r="AI3" s="344"/>
      <c r="AJ3" s="2875"/>
    </row>
    <row r="4" spans="1:51" ht="14.25" customHeight="1">
      <c r="A4" s="1277"/>
      <c r="B4" s="7922"/>
      <c r="C4" s="7923"/>
      <c r="D4" s="7923"/>
      <c r="E4" s="7923"/>
      <c r="F4" s="7924"/>
      <c r="G4" s="4442"/>
      <c r="H4" s="253"/>
      <c r="I4" s="253"/>
      <c r="J4" s="253"/>
      <c r="K4" s="253"/>
      <c r="L4" s="253"/>
      <c r="M4" s="253"/>
      <c r="N4" s="253"/>
      <c r="O4" s="253"/>
      <c r="P4" s="253"/>
      <c r="Q4" s="817" t="s">
        <v>776</v>
      </c>
      <c r="R4" s="253"/>
      <c r="S4" s="253"/>
      <c r="T4" s="253"/>
      <c r="U4" s="253"/>
      <c r="V4" s="253"/>
      <c r="W4" s="253"/>
      <c r="X4" s="253"/>
      <c r="Y4" s="253"/>
      <c r="Z4" s="253"/>
      <c r="AA4" s="253"/>
      <c r="AB4" s="7851"/>
      <c r="AC4" s="7589"/>
      <c r="AD4" s="7589"/>
      <c r="AE4" s="7589"/>
      <c r="AF4" s="7589"/>
      <c r="AG4" s="7589"/>
      <c r="AH4" s="1277"/>
      <c r="AI4" s="344"/>
      <c r="AJ4" s="2875"/>
    </row>
    <row r="5" spans="1:51" ht="14.25" customHeight="1">
      <c r="A5" s="1277"/>
      <c r="B5" s="7929" t="s">
        <v>503</v>
      </c>
      <c r="C5" s="7929"/>
      <c r="D5" s="7929"/>
      <c r="E5" s="7929"/>
      <c r="F5" s="7930"/>
      <c r="G5" s="4443"/>
      <c r="H5" s="253"/>
      <c r="I5" s="253"/>
      <c r="J5" s="253"/>
      <c r="K5" s="253"/>
      <c r="L5" s="253"/>
      <c r="M5" s="349"/>
      <c r="N5" s="349"/>
      <c r="O5" s="349"/>
      <c r="P5" s="349"/>
      <c r="Q5" s="817" t="s">
        <v>778</v>
      </c>
      <c r="R5" s="253"/>
      <c r="S5" s="253"/>
      <c r="T5" s="253"/>
      <c r="U5" s="253"/>
      <c r="V5" s="253"/>
      <c r="W5" s="253"/>
      <c r="X5" s="253"/>
      <c r="Y5" s="253"/>
      <c r="Z5" s="253"/>
      <c r="AA5" s="379"/>
      <c r="AB5" s="4444"/>
      <c r="AC5" s="7595" t="s">
        <v>1118</v>
      </c>
      <c r="AD5" s="7925"/>
      <c r="AE5" s="7925"/>
      <c r="AF5" s="7925"/>
      <c r="AG5" s="7925"/>
      <c r="AH5" s="1277"/>
      <c r="AI5" s="344"/>
      <c r="AJ5" s="2875"/>
    </row>
    <row r="6" spans="1:51" ht="13.5" thickBot="1">
      <c r="A6" s="1277"/>
      <c r="B6" s="7927" t="s">
        <v>505</v>
      </c>
      <c r="C6" s="7927"/>
      <c r="D6" s="7927"/>
      <c r="E6" s="7927"/>
      <c r="F6" s="7928"/>
      <c r="G6" s="2879"/>
      <c r="H6" s="2880"/>
      <c r="I6" s="2879"/>
      <c r="J6" s="2881"/>
      <c r="K6" s="2880"/>
      <c r="L6" s="2880"/>
      <c r="M6" s="2880"/>
      <c r="N6" s="2880"/>
      <c r="O6" s="2880"/>
      <c r="P6" s="2880"/>
      <c r="Q6" s="2880"/>
      <c r="R6" s="2880"/>
      <c r="S6" s="2880"/>
      <c r="T6" s="2880"/>
      <c r="U6" s="2880"/>
      <c r="V6" s="2880"/>
      <c r="W6" s="2880"/>
      <c r="X6" s="2880"/>
      <c r="Y6" s="2880"/>
      <c r="Z6" s="2880"/>
      <c r="AA6" s="2880"/>
      <c r="AB6" s="765"/>
      <c r="AC6" s="7926"/>
      <c r="AD6" s="7926"/>
      <c r="AE6" s="7926"/>
      <c r="AF6" s="7926"/>
      <c r="AG6" s="7926"/>
      <c r="AH6" s="1277"/>
      <c r="AI6" s="344"/>
      <c r="AJ6" s="2875"/>
      <c r="AL6" s="304"/>
    </row>
    <row r="7" spans="1:51">
      <c r="A7" s="1277"/>
      <c r="B7" s="344" t="s">
        <v>779</v>
      </c>
      <c r="C7" s="253"/>
      <c r="D7" s="253"/>
      <c r="E7" s="253"/>
      <c r="F7" s="253"/>
      <c r="G7" s="253"/>
      <c r="H7" s="253"/>
      <c r="I7" s="253"/>
      <c r="J7" s="253"/>
      <c r="K7" s="253"/>
      <c r="L7" s="253"/>
      <c r="M7" s="253"/>
      <c r="N7" s="253"/>
      <c r="O7" s="253"/>
      <c r="P7" s="253"/>
      <c r="Q7" s="253"/>
      <c r="R7" s="253"/>
      <c r="S7" s="253"/>
      <c r="T7" s="253"/>
      <c r="U7" s="253"/>
      <c r="V7" s="253"/>
      <c r="W7" s="253"/>
      <c r="X7" s="253"/>
      <c r="Y7" s="253"/>
      <c r="Z7" s="253"/>
      <c r="AA7" s="253"/>
      <c r="AB7" s="4445" t="s">
        <v>549</v>
      </c>
      <c r="AC7" s="3375"/>
      <c r="AD7" s="3375"/>
      <c r="AE7" s="3375"/>
      <c r="AF7" s="3375"/>
      <c r="AG7" s="3375"/>
      <c r="AH7" s="1277"/>
      <c r="AI7" s="344"/>
      <c r="AJ7" s="7562" t="s">
        <v>585</v>
      </c>
      <c r="AL7" s="987" t="b">
        <f>AND(ForeignTaxPaid&lt;&gt;"",ForeignTaxPaid&gt;0,ForeignTaxPaid_F1116=0)</f>
        <v>0</v>
      </c>
    </row>
    <row r="8" spans="1:51" ht="9.75" customHeight="1">
      <c r="A8" s="1277"/>
      <c r="B8" s="7600" t="str">
        <f>Names</f>
        <v/>
      </c>
      <c r="C8" s="7601"/>
      <c r="D8" s="7601"/>
      <c r="E8" s="7601"/>
      <c r="F8" s="7601"/>
      <c r="G8" s="7601"/>
      <c r="H8" s="7601"/>
      <c r="I8" s="7601"/>
      <c r="J8" s="7601"/>
      <c r="K8" s="7601"/>
      <c r="L8" s="7601"/>
      <c r="M8" s="7601"/>
      <c r="N8" s="7601"/>
      <c r="O8" s="7601"/>
      <c r="P8" s="7601"/>
      <c r="Q8" s="7601"/>
      <c r="R8" s="7601"/>
      <c r="S8" s="7601"/>
      <c r="T8" s="7601"/>
      <c r="U8" s="7601"/>
      <c r="V8" s="7601"/>
      <c r="W8" s="7601"/>
      <c r="X8" s="7601"/>
      <c r="Y8" s="7601"/>
      <c r="Z8" s="7601"/>
      <c r="AA8" s="7602"/>
      <c r="AB8" s="7588">
        <f>IF(NoSSN,"",SS_Yours)</f>
        <v>1010001</v>
      </c>
      <c r="AC8" s="7589"/>
      <c r="AD8" s="7589"/>
      <c r="AE8" s="7589"/>
      <c r="AF8" s="7589"/>
      <c r="AG8" s="7589"/>
      <c r="AH8" s="1277"/>
      <c r="AI8" s="344"/>
      <c r="AJ8" s="7563"/>
    </row>
    <row r="9" spans="1:51" ht="9.75" customHeight="1">
      <c r="A9" s="1277"/>
      <c r="B9" s="7603"/>
      <c r="C9" s="7603"/>
      <c r="D9" s="7603"/>
      <c r="E9" s="7603"/>
      <c r="F9" s="7603"/>
      <c r="G9" s="7603"/>
      <c r="H9" s="7603"/>
      <c r="I9" s="7603"/>
      <c r="J9" s="7603"/>
      <c r="K9" s="7603"/>
      <c r="L9" s="7603"/>
      <c r="M9" s="7603"/>
      <c r="N9" s="7603"/>
      <c r="O9" s="7603"/>
      <c r="P9" s="7603"/>
      <c r="Q9" s="7603"/>
      <c r="R9" s="7603"/>
      <c r="S9" s="7603"/>
      <c r="T9" s="7603"/>
      <c r="U9" s="7603"/>
      <c r="V9" s="7603"/>
      <c r="W9" s="7603"/>
      <c r="X9" s="7603"/>
      <c r="Y9" s="7603"/>
      <c r="Z9" s="7603"/>
      <c r="AA9" s="7604"/>
      <c r="AB9" s="7590"/>
      <c r="AC9" s="7587"/>
      <c r="AD9" s="7587"/>
      <c r="AE9" s="7587"/>
      <c r="AF9" s="7587"/>
      <c r="AG9" s="7587"/>
      <c r="AH9" s="1277"/>
      <c r="AI9" s="344"/>
      <c r="AJ9" s="7564"/>
    </row>
    <row r="10" spans="1:51" ht="23.25" customHeight="1">
      <c r="A10" s="1277"/>
      <c r="B10" s="7934" t="s">
        <v>780</v>
      </c>
      <c r="C10" s="7934"/>
      <c r="D10" s="7935"/>
      <c r="E10" s="4446"/>
      <c r="F10" s="3376" t="s">
        <v>1119</v>
      </c>
      <c r="G10" s="4446"/>
      <c r="H10" s="4446"/>
      <c r="I10" s="4446"/>
      <c r="J10" s="4446"/>
      <c r="K10" s="4446"/>
      <c r="L10" s="773"/>
      <c r="M10" s="773"/>
      <c r="N10" s="773"/>
      <c r="O10" s="773"/>
      <c r="P10" s="773"/>
      <c r="Q10" s="773"/>
      <c r="R10" s="773"/>
      <c r="S10" s="773"/>
      <c r="T10" s="773"/>
      <c r="U10" s="773"/>
      <c r="V10" s="773"/>
      <c r="W10" s="773"/>
      <c r="X10" s="773"/>
      <c r="Y10" s="773"/>
      <c r="Z10" s="773"/>
      <c r="AA10" s="773"/>
      <c r="AB10" s="773"/>
      <c r="AC10" s="7954">
        <f>IF(ForeignTaxPaid&gt;0,SUM(ForeignTaxCredit_1,ForeignTaxCredit_2,ForeignTaxCredit_3),0)</f>
        <v>0</v>
      </c>
      <c r="AD10" s="7954"/>
      <c r="AE10" s="7954"/>
      <c r="AF10" s="7954"/>
      <c r="AG10" s="7954"/>
      <c r="AH10" s="1277"/>
      <c r="AI10" s="253"/>
      <c r="AJ10" s="2875"/>
      <c r="AL10" s="7952" t="str">
        <f>IF(AL7,"See"&amp;CHAR(10)&amp;"Form 1116, Foreign Tax Credit,"&amp;CHAR(10)&amp;"to determine if the form"&amp;CHAR(10)&amp;"needs to be filed.","")</f>
        <v/>
      </c>
      <c r="AM10" s="7952"/>
      <c r="AO10" s="658"/>
      <c r="AQ10" s="769"/>
      <c r="AR10" s="769"/>
      <c r="AS10" s="769"/>
      <c r="AT10" s="769"/>
      <c r="AU10" s="769"/>
      <c r="AV10" s="769"/>
      <c r="AW10" s="769"/>
      <c r="AX10" s="769"/>
      <c r="AY10" s="769"/>
    </row>
    <row r="11" spans="1:51" ht="20.25" customHeight="1">
      <c r="A11" s="1277"/>
      <c r="B11" s="2039">
        <v>1</v>
      </c>
      <c r="C11" s="3377"/>
      <c r="D11" s="1323" t="s">
        <v>1120</v>
      </c>
      <c r="E11" s="344"/>
      <c r="F11" s="253"/>
      <c r="G11" s="253"/>
      <c r="H11" s="253"/>
      <c r="I11" s="253"/>
      <c r="J11" s="253"/>
      <c r="K11" s="253"/>
      <c r="L11" s="253"/>
      <c r="M11" s="253"/>
      <c r="N11" s="253"/>
      <c r="O11" s="253"/>
      <c r="P11" s="253"/>
      <c r="Q11" s="253"/>
      <c r="R11" s="1218"/>
      <c r="S11" s="2373"/>
      <c r="T11" s="253"/>
      <c r="U11" s="253"/>
      <c r="V11" s="253"/>
      <c r="W11" s="253"/>
      <c r="X11" s="253"/>
      <c r="Y11" s="253"/>
      <c r="Z11" s="253"/>
      <c r="AA11" s="1401" t="s">
        <v>793</v>
      </c>
      <c r="AB11" s="4447">
        <v>1</v>
      </c>
      <c r="AC11" s="7567" t="str">
        <f>IF(AJ11&lt;&gt;"",ROUND(AJ11,0),IF(AC10&gt;0,AC10,""))</f>
        <v/>
      </c>
      <c r="AD11" s="7580"/>
      <c r="AE11" s="7580"/>
      <c r="AF11" s="7580"/>
      <c r="AG11" s="7580"/>
      <c r="AH11" s="1277"/>
      <c r="AI11" s="344"/>
      <c r="AJ11" s="1329"/>
      <c r="AL11" s="7952"/>
      <c r="AM11" s="7952"/>
    </row>
    <row r="12" spans="1:51" ht="20.25" customHeight="1">
      <c r="A12" s="1277"/>
      <c r="B12" s="2039">
        <v>2</v>
      </c>
      <c r="C12" s="3377"/>
      <c r="D12" s="1323" t="s">
        <v>5232</v>
      </c>
      <c r="E12" s="253"/>
      <c r="F12" s="253"/>
      <c r="G12" s="253"/>
      <c r="H12" s="253"/>
      <c r="I12" s="253"/>
      <c r="J12" s="253"/>
      <c r="K12" s="253"/>
      <c r="L12" s="253"/>
      <c r="M12" s="253"/>
      <c r="N12" s="253"/>
      <c r="O12" s="253"/>
      <c r="P12" s="253"/>
      <c r="Q12" s="253"/>
      <c r="R12" s="1218"/>
      <c r="S12" s="2373"/>
      <c r="T12" s="253"/>
      <c r="U12" s="253"/>
      <c r="V12" s="253"/>
      <c r="W12" s="253"/>
      <c r="X12" s="253"/>
      <c r="Y12" s="253"/>
      <c r="Z12" s="253"/>
      <c r="AA12" s="1401" t="s">
        <v>1088</v>
      </c>
      <c r="AB12" s="4448">
        <v>2</v>
      </c>
      <c r="AC12" s="7567" t="str">
        <f>IF(AJ12&lt;&gt;"",ROUND(AJ12,0),IF(F2441_NonRefund&gt;0,F2441_NonRefund,""))</f>
        <v/>
      </c>
      <c r="AD12" s="7580"/>
      <c r="AE12" s="7580"/>
      <c r="AF12" s="7580"/>
      <c r="AG12" s="7580"/>
      <c r="AH12" s="1277"/>
      <c r="AI12" s="344"/>
      <c r="AJ12" s="1329"/>
      <c r="AL12" s="7952"/>
      <c r="AM12" s="7952"/>
    </row>
    <row r="13" spans="1:51" ht="20.25" customHeight="1">
      <c r="A13" s="1277"/>
      <c r="B13" s="2039">
        <v>3</v>
      </c>
      <c r="C13" s="3377"/>
      <c r="D13" s="2298" t="s">
        <v>1122</v>
      </c>
      <c r="E13" s="344"/>
      <c r="F13" s="253"/>
      <c r="G13" s="253"/>
      <c r="H13" s="253"/>
      <c r="I13" s="253"/>
      <c r="J13" s="253"/>
      <c r="K13" s="253"/>
      <c r="L13" s="253"/>
      <c r="M13" s="253"/>
      <c r="N13" s="253"/>
      <c r="O13" s="253"/>
      <c r="P13" s="253"/>
      <c r="Q13" s="253"/>
      <c r="R13" s="1218"/>
      <c r="S13" s="2373"/>
      <c r="T13" s="253"/>
      <c r="U13" s="253"/>
      <c r="V13" s="253"/>
      <c r="W13" s="253"/>
      <c r="X13" s="253"/>
      <c r="Y13" s="253"/>
      <c r="Z13" s="253"/>
      <c r="AA13" s="1401" t="s">
        <v>887</v>
      </c>
      <c r="AB13" s="4449">
        <v>3</v>
      </c>
      <c r="AC13" s="7557" t="str">
        <f>IF(AJ13&lt;&gt;"",ROUND(AJ13,0),EducationCredits_NR)</f>
        <v/>
      </c>
      <c r="AD13" s="7575"/>
      <c r="AE13" s="7575"/>
      <c r="AF13" s="7575"/>
      <c r="AG13" s="7575"/>
      <c r="AH13" s="1277"/>
      <c r="AI13" s="344"/>
      <c r="AJ13" s="1329"/>
      <c r="AL13" s="7952"/>
      <c r="AM13" s="7952"/>
    </row>
    <row r="14" spans="1:51" ht="20.25" customHeight="1">
      <c r="A14" s="1277"/>
      <c r="B14" s="2039">
        <v>4</v>
      </c>
      <c r="C14" s="3377"/>
      <c r="D14" s="1323" t="s">
        <v>1123</v>
      </c>
      <c r="E14" s="253"/>
      <c r="F14" s="253"/>
      <c r="G14" s="253"/>
      <c r="H14" s="253"/>
      <c r="I14" s="253"/>
      <c r="J14" s="253"/>
      <c r="K14" s="253"/>
      <c r="L14" s="253"/>
      <c r="M14" s="253"/>
      <c r="N14" s="253"/>
      <c r="O14" s="253"/>
      <c r="P14" s="253"/>
      <c r="Q14" s="253"/>
      <c r="R14" s="1218"/>
      <c r="S14" s="2373"/>
      <c r="T14" s="253"/>
      <c r="U14" s="253"/>
      <c r="V14" s="253"/>
      <c r="W14" s="253"/>
      <c r="X14" s="253"/>
      <c r="Y14" s="253"/>
      <c r="Z14" s="253"/>
      <c r="AA14" s="1401" t="s">
        <v>894</v>
      </c>
      <c r="AB14" s="4449">
        <v>4</v>
      </c>
      <c r="AC14" s="7597" t="str">
        <f>IF(AJ14&lt;&gt;"",ROUND(AJ14,0),F8880_Credit)</f>
        <v/>
      </c>
      <c r="AD14" s="7598"/>
      <c r="AE14" s="7598"/>
      <c r="AF14" s="7598"/>
      <c r="AG14" s="7598"/>
      <c r="AH14" s="1277"/>
      <c r="AI14" s="344"/>
      <c r="AJ14" s="1329"/>
      <c r="AL14" s="1250">
        <f>IF(Retirement_Savings="",0,ROUND(Retirement_Savings,0))</f>
        <v>0</v>
      </c>
    </row>
    <row r="15" spans="1:51" ht="20.25" customHeight="1">
      <c r="A15" s="1277"/>
      <c r="B15" s="2039">
        <v>5</v>
      </c>
      <c r="C15" s="3377" t="s">
        <v>588</v>
      </c>
      <c r="D15" s="1323" t="s">
        <v>4888</v>
      </c>
      <c r="E15" s="253"/>
      <c r="F15" s="253"/>
      <c r="G15" s="253"/>
      <c r="H15" s="253"/>
      <c r="I15" s="253"/>
      <c r="J15" s="253"/>
      <c r="K15" s="253"/>
      <c r="L15" s="253"/>
      <c r="M15" s="253"/>
      <c r="N15" s="253"/>
      <c r="O15" s="253"/>
      <c r="P15" s="253"/>
      <c r="Q15" s="253"/>
      <c r="R15" s="1218"/>
      <c r="S15" s="2373"/>
      <c r="T15" s="253"/>
      <c r="U15" s="253"/>
      <c r="V15" s="253"/>
      <c r="W15" s="253"/>
      <c r="X15" s="253"/>
      <c r="Y15" s="253"/>
      <c r="Z15" s="253"/>
      <c r="AA15" s="1401" t="s">
        <v>805</v>
      </c>
      <c r="AB15" s="4449" t="s">
        <v>629</v>
      </c>
      <c r="AC15" s="7936" t="str">
        <f>IF(AJ15&lt;&gt;"",ROUND(AJ15,0),IF(OR(F5695_Line15="",F5695_Line15=0),"",F5695_Line15))</f>
        <v/>
      </c>
      <c r="AD15" s="7937"/>
      <c r="AE15" s="7937"/>
      <c r="AF15" s="7937"/>
      <c r="AG15" s="7937"/>
      <c r="AH15" s="1277"/>
      <c r="AI15" s="344"/>
      <c r="AJ15" s="1329"/>
      <c r="AL15" s="1250">
        <f>IF(AC15="",0,ROUND(AC15,0))</f>
        <v>0</v>
      </c>
    </row>
    <row r="16" spans="1:51" ht="20.25" customHeight="1">
      <c r="A16" s="1277"/>
      <c r="B16" s="2039"/>
      <c r="C16" s="3377" t="s">
        <v>592</v>
      </c>
      <c r="D16" s="1323" t="s">
        <v>4889</v>
      </c>
      <c r="E16" s="253"/>
      <c r="F16" s="253"/>
      <c r="G16" s="253"/>
      <c r="H16" s="253"/>
      <c r="I16" s="253"/>
      <c r="J16" s="253"/>
      <c r="K16" s="253"/>
      <c r="L16" s="253"/>
      <c r="M16" s="253"/>
      <c r="N16" s="253"/>
      <c r="O16" s="253"/>
      <c r="P16" s="253"/>
      <c r="Q16" s="253"/>
      <c r="R16" s="1218"/>
      <c r="S16" s="2373"/>
      <c r="T16" s="253"/>
      <c r="U16" s="253"/>
      <c r="V16" s="253"/>
      <c r="W16" s="253"/>
      <c r="X16" s="253"/>
      <c r="Y16" s="253"/>
      <c r="Z16" s="253"/>
      <c r="AA16" s="1401" t="s">
        <v>874</v>
      </c>
      <c r="AB16" s="4449" t="s">
        <v>985</v>
      </c>
      <c r="AC16" s="7597" t="str">
        <f>IF(AJ16&lt;&gt;"",ROUND(AJ16,0),EEHI_Credit)</f>
        <v/>
      </c>
      <c r="AD16" s="7598"/>
      <c r="AE16" s="7598"/>
      <c r="AF16" s="7598"/>
      <c r="AG16" s="7598"/>
      <c r="AH16" s="1277"/>
      <c r="AI16" s="344"/>
      <c r="AJ16" s="1329"/>
      <c r="AL16" s="1250"/>
    </row>
    <row r="17" spans="1:38" ht="20.25" customHeight="1">
      <c r="A17" s="1277"/>
      <c r="B17" s="2039">
        <v>6</v>
      </c>
      <c r="C17" s="3377"/>
      <c r="D17" s="1323" t="s">
        <v>1124</v>
      </c>
      <c r="E17" s="253"/>
      <c r="F17" s="253"/>
      <c r="G17" s="253"/>
      <c r="H17" s="253"/>
      <c r="I17" s="253"/>
      <c r="J17" s="253"/>
      <c r="K17" s="253"/>
      <c r="L17" s="253"/>
      <c r="M17" s="253"/>
      <c r="N17" s="253"/>
      <c r="O17" s="253"/>
      <c r="P17" s="253"/>
      <c r="Q17" s="253"/>
      <c r="R17" s="253"/>
      <c r="S17" s="253"/>
      <c r="T17" s="253"/>
      <c r="U17" s="253"/>
      <c r="V17" s="726"/>
      <c r="W17" s="7941"/>
      <c r="X17" s="6992"/>
      <c r="Y17" s="6992"/>
      <c r="Z17" s="6992"/>
      <c r="AA17" s="7942"/>
      <c r="AB17" s="1947"/>
      <c r="AC17" s="7897"/>
      <c r="AD17" s="7938"/>
      <c r="AE17" s="7938"/>
      <c r="AF17" s="7938"/>
      <c r="AG17" s="7938"/>
      <c r="AH17" s="1277"/>
      <c r="AI17" s="344"/>
      <c r="AJ17" s="2875"/>
      <c r="AL17" s="1250"/>
    </row>
    <row r="18" spans="1:38" ht="20.25" customHeight="1">
      <c r="A18" s="1277"/>
      <c r="B18" s="2039"/>
      <c r="C18" s="4242" t="s">
        <v>588</v>
      </c>
      <c r="D18" s="1323" t="s">
        <v>1125</v>
      </c>
      <c r="E18" s="253"/>
      <c r="F18" s="253"/>
      <c r="G18" s="253"/>
      <c r="H18" s="253"/>
      <c r="I18" s="253"/>
      <c r="J18" s="253"/>
      <c r="K18" s="253"/>
      <c r="L18" s="253"/>
      <c r="M18" s="253"/>
      <c r="N18" s="253"/>
      <c r="O18" s="253"/>
      <c r="P18" s="253"/>
      <c r="Q18" s="253"/>
      <c r="R18" s="253"/>
      <c r="S18" s="253"/>
      <c r="T18" s="253"/>
      <c r="U18" s="1401" t="s">
        <v>1126</v>
      </c>
      <c r="V18" s="4448" t="s">
        <v>995</v>
      </c>
      <c r="W18" s="7873"/>
      <c r="X18" s="7585"/>
      <c r="Y18" s="7585"/>
      <c r="Z18" s="7585"/>
      <c r="AA18" s="7874"/>
      <c r="AB18" s="1947"/>
      <c r="AC18" s="7912">
        <f>IF(W18="",0,ROUND(W18,0))</f>
        <v>0</v>
      </c>
      <c r="AD18" s="7913"/>
      <c r="AE18" s="7913"/>
      <c r="AF18" s="7913"/>
      <c r="AG18" s="7913"/>
      <c r="AH18" s="1277"/>
      <c r="AI18" s="344"/>
      <c r="AJ18" s="2875"/>
      <c r="AL18" s="1250"/>
    </row>
    <row r="19" spans="1:38" ht="20.25" customHeight="1">
      <c r="A19" s="1277"/>
      <c r="B19" s="2039"/>
      <c r="C19" s="4242" t="s">
        <v>592</v>
      </c>
      <c r="D19" s="1323" t="s">
        <v>1127</v>
      </c>
      <c r="E19" s="253"/>
      <c r="F19" s="253"/>
      <c r="G19" s="253"/>
      <c r="H19" s="253"/>
      <c r="I19" s="253"/>
      <c r="J19" s="253"/>
      <c r="K19" s="253"/>
      <c r="L19" s="253"/>
      <c r="M19" s="253"/>
      <c r="N19" s="253"/>
      <c r="O19" s="253"/>
      <c r="P19" s="253"/>
      <c r="Q19" s="253"/>
      <c r="R19" s="253"/>
      <c r="S19" s="253"/>
      <c r="T19" s="253"/>
      <c r="U19" s="1401" t="s">
        <v>1128</v>
      </c>
      <c r="V19" s="4448" t="s">
        <v>996</v>
      </c>
      <c r="W19" s="7630" t="str">
        <f>IF(AJ19&lt;&gt;"",ROUND(AJ19,0),F8801_MinimumTaxCredit)</f>
        <v/>
      </c>
      <c r="X19" s="7655"/>
      <c r="Y19" s="7655"/>
      <c r="Z19" s="7655"/>
      <c r="AA19" s="7728"/>
      <c r="AB19" s="1947"/>
      <c r="AC19" s="7912">
        <f t="shared" ref="AC19:AC30" si="0">IF(W19="",0,ROUND(W19,0))</f>
        <v>0</v>
      </c>
      <c r="AD19" s="7913"/>
      <c r="AE19" s="7913"/>
      <c r="AF19" s="7913"/>
      <c r="AG19" s="7913"/>
      <c r="AH19" s="1277"/>
      <c r="AI19" s="344"/>
      <c r="AJ19" s="1329"/>
      <c r="AL19" s="1250"/>
    </row>
    <row r="20" spans="1:38" ht="20.25" customHeight="1">
      <c r="A20" s="1277"/>
      <c r="B20" s="2039"/>
      <c r="C20" s="4242" t="s">
        <v>595</v>
      </c>
      <c r="D20" s="1323" t="s">
        <v>1129</v>
      </c>
      <c r="E20" s="253"/>
      <c r="F20" s="253"/>
      <c r="G20" s="253"/>
      <c r="H20" s="253"/>
      <c r="I20" s="253"/>
      <c r="J20" s="253"/>
      <c r="K20" s="253"/>
      <c r="L20" s="253"/>
      <c r="M20" s="253"/>
      <c r="N20" s="253"/>
      <c r="O20" s="253"/>
      <c r="P20" s="253"/>
      <c r="Q20" s="253"/>
      <c r="R20" s="253"/>
      <c r="S20" s="253"/>
      <c r="T20" s="253"/>
      <c r="U20" s="1401" t="s">
        <v>1130</v>
      </c>
      <c r="V20" s="4448" t="s">
        <v>1131</v>
      </c>
      <c r="W20" s="7873"/>
      <c r="X20" s="7585"/>
      <c r="Y20" s="7585"/>
      <c r="Z20" s="7585"/>
      <c r="AA20" s="7874"/>
      <c r="AB20" s="1947"/>
      <c r="AC20" s="7912">
        <f t="shared" si="0"/>
        <v>0</v>
      </c>
      <c r="AD20" s="7913"/>
      <c r="AE20" s="7913"/>
      <c r="AF20" s="7913"/>
      <c r="AG20" s="7913"/>
      <c r="AH20" s="1277"/>
      <c r="AI20" s="344"/>
      <c r="AJ20" s="2875"/>
      <c r="AL20" s="1250"/>
    </row>
    <row r="21" spans="1:38" ht="20.25" customHeight="1">
      <c r="A21" s="1277"/>
      <c r="B21" s="2039"/>
      <c r="C21" s="4242" t="s">
        <v>599</v>
      </c>
      <c r="D21" s="1323" t="s">
        <v>1132</v>
      </c>
      <c r="E21" s="253"/>
      <c r="F21" s="253"/>
      <c r="G21" s="253"/>
      <c r="H21" s="253"/>
      <c r="I21" s="253"/>
      <c r="J21" s="253"/>
      <c r="K21" s="253"/>
      <c r="L21" s="253"/>
      <c r="M21" s="253"/>
      <c r="N21" s="253"/>
      <c r="O21" s="253"/>
      <c r="P21" s="253"/>
      <c r="Q21" s="253"/>
      <c r="R21" s="253"/>
      <c r="S21" s="253"/>
      <c r="T21" s="253"/>
      <c r="U21" s="1401" t="s">
        <v>1128</v>
      </c>
      <c r="V21" s="4448" t="s">
        <v>1133</v>
      </c>
      <c r="W21" s="7725" t="str">
        <f>IF(AJ21&lt;&gt;"",ROUND(AJ21,0),SchR_Line22)</f>
        <v/>
      </c>
      <c r="X21" s="7726"/>
      <c r="Y21" s="7726"/>
      <c r="Z21" s="7726"/>
      <c r="AA21" s="7727"/>
      <c r="AB21" s="1947"/>
      <c r="AC21" s="7912">
        <f t="shared" si="0"/>
        <v>0</v>
      </c>
      <c r="AD21" s="7913"/>
      <c r="AE21" s="7913"/>
      <c r="AF21" s="7913"/>
      <c r="AG21" s="7913"/>
      <c r="AH21" s="1277"/>
      <c r="AI21" s="344"/>
      <c r="AJ21" s="1329"/>
      <c r="AL21" s="4450"/>
    </row>
    <row r="22" spans="1:38" ht="20.25" customHeight="1">
      <c r="A22" s="1277"/>
      <c r="B22" s="2039"/>
      <c r="C22" s="4242" t="s">
        <v>603</v>
      </c>
      <c r="D22" s="1323" t="s">
        <v>704</v>
      </c>
      <c r="E22" s="253"/>
      <c r="F22" s="253"/>
      <c r="G22" s="253"/>
      <c r="H22" s="253"/>
      <c r="I22" s="253"/>
      <c r="J22" s="253"/>
      <c r="K22" s="253"/>
      <c r="L22" s="253"/>
      <c r="M22" s="253"/>
      <c r="N22" s="253"/>
      <c r="O22" s="253"/>
      <c r="P22" s="253"/>
      <c r="Q22" s="253"/>
      <c r="R22" s="253"/>
      <c r="S22" s="253"/>
      <c r="T22" s="1401" t="s">
        <v>805</v>
      </c>
      <c r="U22" s="1401" t="s">
        <v>1134</v>
      </c>
      <c r="V22" s="4448" t="s">
        <v>1135</v>
      </c>
      <c r="W22" s="7949"/>
      <c r="X22" s="7950"/>
      <c r="Y22" s="7950"/>
      <c r="Z22" s="7950"/>
      <c r="AA22" s="7951"/>
      <c r="AB22" s="1947"/>
      <c r="AC22" s="7912">
        <f t="shared" si="0"/>
        <v>0</v>
      </c>
      <c r="AD22" s="7913"/>
      <c r="AE22" s="7913"/>
      <c r="AF22" s="7913"/>
      <c r="AG22" s="7913"/>
      <c r="AH22" s="1277"/>
      <c r="AI22" s="344"/>
      <c r="AJ22" s="2875"/>
      <c r="AL22" s="1250"/>
    </row>
    <row r="23" spans="1:38" ht="20.25" customHeight="1">
      <c r="A23" s="1277"/>
      <c r="B23" s="2039"/>
      <c r="C23" s="4242" t="s">
        <v>606</v>
      </c>
      <c r="D23" s="1323" t="s">
        <v>5027</v>
      </c>
      <c r="E23" s="253"/>
      <c r="F23" s="253"/>
      <c r="G23" s="253"/>
      <c r="H23" s="253"/>
      <c r="I23" s="253"/>
      <c r="J23" s="253"/>
      <c r="K23" s="253"/>
      <c r="L23" s="253"/>
      <c r="M23" s="253"/>
      <c r="N23" s="253"/>
      <c r="O23" s="253"/>
      <c r="P23" s="253"/>
      <c r="Q23" s="253"/>
      <c r="R23" s="253"/>
      <c r="S23" s="253"/>
      <c r="T23" s="253"/>
      <c r="U23" s="1401" t="s">
        <v>2526</v>
      </c>
      <c r="V23" s="4448" t="s">
        <v>1137</v>
      </c>
      <c r="W23" s="7873"/>
      <c r="X23" s="7585"/>
      <c r="Y23" s="7585"/>
      <c r="Z23" s="7585"/>
      <c r="AA23" s="7874"/>
      <c r="AB23" s="1947"/>
      <c r="AC23" s="7912">
        <f t="shared" si="0"/>
        <v>0</v>
      </c>
      <c r="AD23" s="7913"/>
      <c r="AE23" s="7913"/>
      <c r="AF23" s="7913"/>
      <c r="AG23" s="7913"/>
      <c r="AH23" s="1277"/>
      <c r="AI23" s="344"/>
      <c r="AJ23" s="2875"/>
      <c r="AL23" s="1250"/>
    </row>
    <row r="24" spans="1:38" ht="20.25" customHeight="1">
      <c r="A24" s="1277"/>
      <c r="B24" s="2039"/>
      <c r="C24" s="4242" t="s">
        <v>610</v>
      </c>
      <c r="D24" s="1323" t="s">
        <v>1138</v>
      </c>
      <c r="E24" s="253"/>
      <c r="F24" s="253"/>
      <c r="G24" s="253"/>
      <c r="H24" s="253"/>
      <c r="I24" s="253"/>
      <c r="J24" s="253"/>
      <c r="K24" s="253"/>
      <c r="L24" s="253"/>
      <c r="M24" s="253"/>
      <c r="N24" s="253"/>
      <c r="O24" s="253"/>
      <c r="P24" s="253"/>
      <c r="Q24" s="253"/>
      <c r="R24" s="253"/>
      <c r="S24" s="253"/>
      <c r="T24" s="253"/>
      <c r="U24" s="1401" t="s">
        <v>1126</v>
      </c>
      <c r="V24" s="4448" t="s">
        <v>1139</v>
      </c>
      <c r="W24" s="7873"/>
      <c r="X24" s="7585"/>
      <c r="Y24" s="7585"/>
      <c r="Z24" s="7585"/>
      <c r="AA24" s="7874"/>
      <c r="AB24" s="1947"/>
      <c r="AC24" s="7912">
        <f t="shared" si="0"/>
        <v>0</v>
      </c>
      <c r="AD24" s="7913"/>
      <c r="AE24" s="7913"/>
      <c r="AF24" s="7913"/>
      <c r="AG24" s="7913"/>
      <c r="AH24" s="1277"/>
      <c r="AI24" s="344"/>
      <c r="AJ24" s="2875"/>
      <c r="AL24" s="1250"/>
    </row>
    <row r="25" spans="1:38" ht="20.25" customHeight="1">
      <c r="A25" s="1277"/>
      <c r="B25" s="2039"/>
      <c r="C25" s="4242" t="s">
        <v>615</v>
      </c>
      <c r="D25" s="1323" t="s">
        <v>1140</v>
      </c>
      <c r="E25" s="253"/>
      <c r="F25" s="253"/>
      <c r="G25" s="253"/>
      <c r="H25" s="253"/>
      <c r="I25" s="253"/>
      <c r="J25" s="253"/>
      <c r="K25" s="253"/>
      <c r="L25" s="253"/>
      <c r="M25" s="253"/>
      <c r="N25" s="253"/>
      <c r="O25" s="253"/>
      <c r="P25" s="253"/>
      <c r="Q25" s="253"/>
      <c r="R25" s="253"/>
      <c r="S25" s="253"/>
      <c r="T25" s="253"/>
      <c r="U25" s="1401" t="s">
        <v>1141</v>
      </c>
      <c r="V25" s="4448" t="s">
        <v>1142</v>
      </c>
      <c r="W25" s="7873"/>
      <c r="X25" s="7585"/>
      <c r="Y25" s="7585"/>
      <c r="Z25" s="7585"/>
      <c r="AA25" s="7874"/>
      <c r="AB25" s="1947"/>
      <c r="AC25" s="7912">
        <f t="shared" si="0"/>
        <v>0</v>
      </c>
      <c r="AD25" s="7913"/>
      <c r="AE25" s="7913"/>
      <c r="AF25" s="7913"/>
      <c r="AG25" s="7913"/>
      <c r="AH25" s="1277"/>
      <c r="AI25" s="344"/>
      <c r="AJ25" s="2875"/>
      <c r="AL25" s="1250"/>
    </row>
    <row r="26" spans="1:38" ht="20.25" customHeight="1">
      <c r="A26" s="1277"/>
      <c r="B26" s="2039"/>
      <c r="C26" s="4242" t="s">
        <v>619</v>
      </c>
      <c r="D26" s="1323" t="s">
        <v>1143</v>
      </c>
      <c r="E26" s="253"/>
      <c r="F26" s="253"/>
      <c r="G26" s="253"/>
      <c r="H26" s="253"/>
      <c r="I26" s="253"/>
      <c r="J26" s="253"/>
      <c r="K26" s="253"/>
      <c r="L26" s="253"/>
      <c r="M26" s="253"/>
      <c r="N26" s="253"/>
      <c r="O26" s="253"/>
      <c r="P26" s="253"/>
      <c r="Q26" s="253"/>
      <c r="R26" s="253"/>
      <c r="S26" s="253"/>
      <c r="T26" s="253"/>
      <c r="U26" s="1401" t="s">
        <v>1134</v>
      </c>
      <c r="V26" s="4448" t="s">
        <v>1144</v>
      </c>
      <c r="W26" s="7873"/>
      <c r="X26" s="7585"/>
      <c r="Y26" s="7585"/>
      <c r="Z26" s="7585"/>
      <c r="AA26" s="7874"/>
      <c r="AB26" s="1947"/>
      <c r="AC26" s="7912">
        <f t="shared" si="0"/>
        <v>0</v>
      </c>
      <c r="AD26" s="7913"/>
      <c r="AE26" s="7913"/>
      <c r="AF26" s="7913"/>
      <c r="AG26" s="7913"/>
      <c r="AH26" s="1277"/>
      <c r="AI26" s="344"/>
      <c r="AJ26" s="2875"/>
      <c r="AL26" s="1250"/>
    </row>
    <row r="27" spans="1:38" ht="20.25" customHeight="1">
      <c r="A27" s="1277"/>
      <c r="B27" s="2039"/>
      <c r="C27" s="4242" t="s">
        <v>822</v>
      </c>
      <c r="D27" s="1323" t="s">
        <v>1145</v>
      </c>
      <c r="E27" s="253"/>
      <c r="F27" s="253"/>
      <c r="G27" s="253"/>
      <c r="H27" s="253"/>
      <c r="I27" s="253"/>
      <c r="J27" s="253"/>
      <c r="K27" s="253"/>
      <c r="L27" s="253"/>
      <c r="M27" s="253"/>
      <c r="N27" s="253"/>
      <c r="O27" s="253"/>
      <c r="P27" s="253"/>
      <c r="Q27" s="253"/>
      <c r="R27" s="253"/>
      <c r="S27" s="253"/>
      <c r="T27" s="253"/>
      <c r="U27" s="1401"/>
      <c r="V27" s="4448" t="s">
        <v>1146</v>
      </c>
      <c r="W27" s="7873"/>
      <c r="X27" s="7585"/>
      <c r="Y27" s="7585"/>
      <c r="Z27" s="7585"/>
      <c r="AA27" s="7874"/>
      <c r="AB27" s="1947"/>
      <c r="AC27" s="7912">
        <f t="shared" si="0"/>
        <v>0</v>
      </c>
      <c r="AD27" s="7913"/>
      <c r="AE27" s="7913"/>
      <c r="AF27" s="7913"/>
      <c r="AG27" s="7913"/>
      <c r="AH27" s="1277"/>
      <c r="AI27" s="344"/>
      <c r="AJ27" s="2875"/>
      <c r="AL27" s="1250"/>
    </row>
    <row r="28" spans="1:38" ht="20.25" customHeight="1">
      <c r="A28" s="1277"/>
      <c r="B28" s="2039"/>
      <c r="C28" s="4242" t="s">
        <v>826</v>
      </c>
      <c r="D28" s="1323" t="s">
        <v>1147</v>
      </c>
      <c r="E28" s="253"/>
      <c r="F28" s="253"/>
      <c r="G28" s="253"/>
      <c r="H28" s="253"/>
      <c r="I28" s="253"/>
      <c r="J28" s="253"/>
      <c r="K28" s="253"/>
      <c r="L28" s="253"/>
      <c r="M28" s="253"/>
      <c r="N28" s="253"/>
      <c r="O28" s="253"/>
      <c r="P28" s="253"/>
      <c r="Q28" s="253"/>
      <c r="R28" s="253"/>
      <c r="S28" s="253"/>
      <c r="T28" s="253"/>
      <c r="U28" s="1401" t="s">
        <v>1136</v>
      </c>
      <c r="V28" s="4448" t="s">
        <v>1148</v>
      </c>
      <c r="W28" s="7873"/>
      <c r="X28" s="7585"/>
      <c r="Y28" s="7585"/>
      <c r="Z28" s="7585"/>
      <c r="AA28" s="7874"/>
      <c r="AB28" s="1947"/>
      <c r="AC28" s="7912">
        <f t="shared" si="0"/>
        <v>0</v>
      </c>
      <c r="AD28" s="7913"/>
      <c r="AE28" s="7913"/>
      <c r="AF28" s="7913"/>
      <c r="AG28" s="7913"/>
      <c r="AH28" s="1277"/>
      <c r="AI28" s="344"/>
      <c r="AJ28" s="2875"/>
      <c r="AL28" s="1250"/>
    </row>
    <row r="29" spans="1:38" ht="20.25" customHeight="1">
      <c r="A29" s="1277"/>
      <c r="B29" s="2039"/>
      <c r="C29" s="4242" t="s">
        <v>830</v>
      </c>
      <c r="D29" s="1323" t="s">
        <v>1149</v>
      </c>
      <c r="E29" s="253"/>
      <c r="F29" s="253"/>
      <c r="G29" s="253"/>
      <c r="H29" s="253"/>
      <c r="I29" s="253"/>
      <c r="J29" s="253"/>
      <c r="K29" s="253"/>
      <c r="L29" s="253"/>
      <c r="M29" s="253"/>
      <c r="N29" s="253"/>
      <c r="O29" s="253"/>
      <c r="P29" s="253"/>
      <c r="Q29" s="253"/>
      <c r="R29" s="253"/>
      <c r="S29" s="253"/>
      <c r="T29" s="253"/>
      <c r="U29" s="1401" t="s">
        <v>1150</v>
      </c>
      <c r="V29" s="4448" t="s">
        <v>1151</v>
      </c>
      <c r="W29" s="7873"/>
      <c r="X29" s="7585"/>
      <c r="Y29" s="7585"/>
      <c r="Z29" s="7585"/>
      <c r="AA29" s="7874"/>
      <c r="AB29" s="1947"/>
      <c r="AC29" s="7912">
        <f t="shared" si="0"/>
        <v>0</v>
      </c>
      <c r="AD29" s="7913"/>
      <c r="AE29" s="7913"/>
      <c r="AF29" s="7913"/>
      <c r="AG29" s="7913"/>
      <c r="AH29" s="1277"/>
      <c r="AI29" s="344"/>
      <c r="AJ29" s="2875"/>
      <c r="AL29" s="4451"/>
    </row>
    <row r="30" spans="1:38" ht="20.25" customHeight="1">
      <c r="A30" s="1277"/>
      <c r="B30" s="2039"/>
      <c r="C30" s="4242" t="s">
        <v>834</v>
      </c>
      <c r="D30" s="1323" t="s">
        <v>4890</v>
      </c>
      <c r="E30" s="253"/>
      <c r="F30" s="253"/>
      <c r="G30" s="253"/>
      <c r="H30" s="253"/>
      <c r="I30" s="253"/>
      <c r="J30" s="253"/>
      <c r="K30" s="253"/>
      <c r="L30" s="253"/>
      <c r="M30" s="253"/>
      <c r="N30" s="253"/>
      <c r="O30" s="253"/>
      <c r="P30" s="253"/>
      <c r="Q30" s="253"/>
      <c r="R30" s="253"/>
      <c r="S30" s="253"/>
      <c r="T30" s="253"/>
      <c r="U30" s="1401" t="s">
        <v>4891</v>
      </c>
      <c r="V30" s="4448" t="s">
        <v>4940</v>
      </c>
      <c r="W30" s="7873"/>
      <c r="X30" s="7585"/>
      <c r="Y30" s="7585"/>
      <c r="Z30" s="7585"/>
      <c r="AA30" s="7874"/>
      <c r="AB30" s="1947"/>
      <c r="AC30" s="7912">
        <f t="shared" si="0"/>
        <v>0</v>
      </c>
      <c r="AD30" s="7913"/>
      <c r="AE30" s="7913"/>
      <c r="AF30" s="7913"/>
      <c r="AG30" s="7913"/>
      <c r="AH30" s="1277"/>
      <c r="AI30" s="344"/>
      <c r="AJ30" s="2875"/>
      <c r="AL30" s="1250"/>
    </row>
    <row r="31" spans="1:38" ht="20.25" customHeight="1">
      <c r="A31" s="1277"/>
      <c r="B31" s="2039"/>
      <c r="C31" s="4242" t="s">
        <v>622</v>
      </c>
      <c r="D31" s="1323" t="s">
        <v>1152</v>
      </c>
      <c r="E31" s="253"/>
      <c r="F31" s="253"/>
      <c r="G31" s="253"/>
      <c r="H31" s="253"/>
      <c r="I31" s="253"/>
      <c r="J31" s="253"/>
      <c r="K31" s="253"/>
      <c r="L31" s="253"/>
      <c r="M31" s="253"/>
      <c r="N31" s="253"/>
      <c r="O31" s="253"/>
      <c r="P31" s="253"/>
      <c r="Q31" s="253"/>
      <c r="R31" s="253"/>
      <c r="S31" s="1518"/>
      <c r="T31" s="1518"/>
      <c r="U31" s="253"/>
      <c r="V31" s="4452"/>
      <c r="W31" s="7943"/>
      <c r="X31" s="7944"/>
      <c r="Y31" s="7944"/>
      <c r="Z31" s="7944"/>
      <c r="AA31" s="7945"/>
      <c r="AB31" s="1947"/>
      <c r="AC31" s="1327"/>
      <c r="AD31" s="1328"/>
      <c r="AE31" s="1328"/>
      <c r="AF31" s="1328"/>
      <c r="AG31" s="1328"/>
      <c r="AH31" s="1277"/>
      <c r="AI31" s="344"/>
      <c r="AJ31" s="2875"/>
      <c r="AL31" s="1250"/>
    </row>
    <row r="32" spans="1:38" ht="20.25" customHeight="1">
      <c r="A32" s="1277"/>
      <c r="B32" s="2039"/>
      <c r="C32" s="3377"/>
      <c r="D32" s="7914"/>
      <c r="E32" s="7914"/>
      <c r="F32" s="7914"/>
      <c r="G32" s="7914"/>
      <c r="H32" s="7914"/>
      <c r="I32" s="7914"/>
      <c r="J32" s="7914"/>
      <c r="K32" s="7914"/>
      <c r="L32" s="7914"/>
      <c r="M32" s="7914"/>
      <c r="N32" s="7914"/>
      <c r="O32" s="7914"/>
      <c r="P32" s="7914"/>
      <c r="Q32" s="7914"/>
      <c r="R32" s="7914"/>
      <c r="S32" s="7914"/>
      <c r="T32" s="7914"/>
      <c r="U32" s="253"/>
      <c r="V32" s="4447"/>
      <c r="W32" s="7915"/>
      <c r="X32" s="7916"/>
      <c r="Y32" s="7916"/>
      <c r="Z32" s="7916"/>
      <c r="AA32" s="7917"/>
      <c r="AB32" s="1947"/>
      <c r="AC32" s="7912"/>
      <c r="AD32" s="7913"/>
      <c r="AE32" s="7913"/>
      <c r="AF32" s="7913"/>
      <c r="AG32" s="7913"/>
      <c r="AH32" s="1277"/>
      <c r="AI32" s="344"/>
      <c r="AJ32" s="2875"/>
      <c r="AL32" s="4451"/>
    </row>
    <row r="33" spans="1:51" ht="20.25" customHeight="1">
      <c r="A33" s="1277"/>
      <c r="B33" s="2039"/>
      <c r="C33" s="3377"/>
      <c r="D33" s="7914"/>
      <c r="E33" s="7914"/>
      <c r="F33" s="7914"/>
      <c r="G33" s="7914"/>
      <c r="H33" s="7914"/>
      <c r="I33" s="7914"/>
      <c r="J33" s="7914"/>
      <c r="K33" s="7914"/>
      <c r="L33" s="7914"/>
      <c r="M33" s="7914"/>
      <c r="N33" s="7914"/>
      <c r="O33" s="7914"/>
      <c r="P33" s="7914"/>
      <c r="Q33" s="7914"/>
      <c r="R33" s="7914"/>
      <c r="S33" s="7914"/>
      <c r="T33" s="7914"/>
      <c r="U33" s="253"/>
      <c r="V33" s="4448" t="s">
        <v>1153</v>
      </c>
      <c r="W33" s="7873"/>
      <c r="X33" s="7585"/>
      <c r="Y33" s="7585"/>
      <c r="Z33" s="7585"/>
      <c r="AA33" s="7874"/>
      <c r="AB33" s="1947"/>
      <c r="AC33" s="7912">
        <f>IF(W33="",0,ROUND(W33,0))</f>
        <v>0</v>
      </c>
      <c r="AD33" s="7913"/>
      <c r="AE33" s="7913"/>
      <c r="AF33" s="7913"/>
      <c r="AG33" s="7913"/>
      <c r="AH33" s="1277"/>
      <c r="AI33" s="344"/>
      <c r="AJ33" s="2875"/>
      <c r="AL33" s="4451"/>
    </row>
    <row r="34" spans="1:51" ht="20.25" customHeight="1">
      <c r="A34" s="1277"/>
      <c r="B34" s="2039">
        <v>7</v>
      </c>
      <c r="C34" s="3377"/>
      <c r="D34" s="1323" t="s">
        <v>1154</v>
      </c>
      <c r="E34" s="253"/>
      <c r="F34" s="253"/>
      <c r="G34" s="253"/>
      <c r="H34" s="253"/>
      <c r="I34" s="253"/>
      <c r="J34" s="253"/>
      <c r="K34" s="253"/>
      <c r="L34" s="253"/>
      <c r="M34" s="253"/>
      <c r="N34" s="253"/>
      <c r="O34" s="253"/>
      <c r="P34" s="253"/>
      <c r="Q34" s="253"/>
      <c r="R34" s="253"/>
      <c r="S34" s="253"/>
      <c r="T34" s="253"/>
      <c r="U34" s="253"/>
      <c r="V34" s="253"/>
      <c r="W34" s="253"/>
      <c r="X34" s="253"/>
      <c r="Y34" s="253"/>
      <c r="Z34" s="253"/>
      <c r="AA34" s="1401" t="s">
        <v>816</v>
      </c>
      <c r="AB34" s="4448">
        <v>7</v>
      </c>
      <c r="AC34" s="7630" t="str">
        <f>IF(AJ34&lt;&gt;"",ROUND(AJ34,0),IF(AL34,"",SUM(AC18:AC33)))</f>
        <v/>
      </c>
      <c r="AD34" s="7655"/>
      <c r="AE34" s="7655"/>
      <c r="AF34" s="7655"/>
      <c r="AG34" s="7655"/>
      <c r="AH34" s="1277"/>
      <c r="AI34" s="344"/>
      <c r="AJ34" s="1329"/>
      <c r="AL34" s="1250" t="b">
        <f>SUM(AC11:AG16,W18:AA30,W33)=0</f>
        <v>1</v>
      </c>
    </row>
    <row r="35" spans="1:51" ht="20.25" customHeight="1" thickBot="1">
      <c r="A35" s="1277"/>
      <c r="B35" s="6463">
        <v>8</v>
      </c>
      <c r="C35" s="4829"/>
      <c r="D35" s="5003" t="s">
        <v>6331</v>
      </c>
      <c r="E35" s="380"/>
      <c r="F35" s="380"/>
      <c r="G35" s="380"/>
      <c r="H35" s="380"/>
      <c r="I35" s="380"/>
      <c r="J35" s="380"/>
      <c r="K35" s="380"/>
      <c r="L35" s="380"/>
      <c r="M35" s="380"/>
      <c r="N35" s="380"/>
      <c r="O35" s="380"/>
      <c r="P35" s="380"/>
      <c r="Q35" s="380"/>
      <c r="R35" s="5385"/>
      <c r="S35" s="5386"/>
      <c r="T35" s="380"/>
      <c r="U35" s="380"/>
      <c r="V35" s="380"/>
      <c r="W35" s="380"/>
      <c r="X35" s="380"/>
      <c r="Y35" s="380"/>
      <c r="Z35" s="380"/>
      <c r="AA35" s="1658" t="s">
        <v>5222</v>
      </c>
      <c r="AB35" s="4456">
        <v>8</v>
      </c>
      <c r="AC35" s="7939" t="str">
        <f>IF(AJ35&lt;&gt;"",ROUND(AJ35,0),IF(AL35,"",SUM(AC11, AC12, AC13,AL14, ResNRGCredit,AC16,AC34)))</f>
        <v/>
      </c>
      <c r="AD35" s="7940"/>
      <c r="AE35" s="7940"/>
      <c r="AF35" s="7940"/>
      <c r="AG35" s="7940"/>
      <c r="AH35" s="1277"/>
      <c r="AI35" s="344"/>
      <c r="AJ35" s="1329"/>
      <c r="AL35" s="304" t="b">
        <f>AND(AL34,AJ35="")</f>
        <v>1</v>
      </c>
    </row>
    <row r="36" spans="1:51" ht="20.25" customHeight="1">
      <c r="A36" s="1277"/>
      <c r="B36" s="7947" t="s">
        <v>868</v>
      </c>
      <c r="C36" s="7947"/>
      <c r="D36" s="7948"/>
      <c r="E36" s="2009"/>
      <c r="F36" s="5388" t="s">
        <v>1156</v>
      </c>
      <c r="G36" s="2009"/>
      <c r="H36" s="2009"/>
      <c r="I36" s="2009"/>
      <c r="J36" s="2009"/>
      <c r="K36" s="2009"/>
      <c r="L36" s="413"/>
      <c r="M36" s="413"/>
      <c r="N36" s="413"/>
      <c r="O36" s="413"/>
      <c r="P36" s="413"/>
      <c r="Q36" s="413"/>
      <c r="R36" s="413"/>
      <c r="S36" s="413"/>
      <c r="T36" s="413"/>
      <c r="U36" s="413"/>
      <c r="V36" s="413"/>
      <c r="W36" s="413"/>
      <c r="X36" s="413"/>
      <c r="Y36" s="413"/>
      <c r="Z36" s="413"/>
      <c r="AA36" s="413"/>
      <c r="AB36" s="413"/>
      <c r="AC36" s="413"/>
      <c r="AD36" s="413"/>
      <c r="AE36" s="413"/>
      <c r="AF36" s="413"/>
      <c r="AG36" s="413"/>
      <c r="AH36" s="1277"/>
      <c r="AI36" s="253"/>
      <c r="AJ36" s="2875"/>
      <c r="AO36" s="658"/>
      <c r="AQ36" s="769"/>
      <c r="AR36" s="769"/>
      <c r="AS36" s="769"/>
      <c r="AT36" s="769"/>
      <c r="AU36" s="769"/>
      <c r="AV36" s="769"/>
      <c r="AW36" s="769"/>
      <c r="AX36" s="769"/>
      <c r="AY36" s="769"/>
    </row>
    <row r="37" spans="1:51" ht="20.25" customHeight="1">
      <c r="A37" s="1277"/>
      <c r="B37" s="2039">
        <v>9</v>
      </c>
      <c r="C37" s="4242"/>
      <c r="D37" s="1323" t="s">
        <v>1157</v>
      </c>
      <c r="E37" s="253"/>
      <c r="F37" s="253"/>
      <c r="G37" s="253"/>
      <c r="H37" s="253"/>
      <c r="I37" s="253"/>
      <c r="J37" s="253"/>
      <c r="K37" s="253"/>
      <c r="L37" s="253"/>
      <c r="M37" s="253"/>
      <c r="N37" s="253"/>
      <c r="O37" s="253"/>
      <c r="P37" s="253"/>
      <c r="Q37" s="253"/>
      <c r="R37" s="1218"/>
      <c r="S37" s="2373"/>
      <c r="T37" s="253"/>
      <c r="U37" s="253"/>
      <c r="V37" s="253"/>
      <c r="W37" s="253"/>
      <c r="X37" s="253"/>
      <c r="Y37" s="253"/>
      <c r="Z37" s="253"/>
      <c r="AA37" s="1401" t="s">
        <v>887</v>
      </c>
      <c r="AB37" s="4449">
        <v>9</v>
      </c>
      <c r="AC37" s="7557" t="str">
        <f>IF(AJ37&lt;&gt;"",ROUND(AJ37,0),PTC_Net)</f>
        <v/>
      </c>
      <c r="AD37" s="7575"/>
      <c r="AE37" s="7575"/>
      <c r="AF37" s="7575"/>
      <c r="AG37" s="7575"/>
      <c r="AH37" s="1277"/>
      <c r="AI37" s="344"/>
      <c r="AJ37" s="1329"/>
    </row>
    <row r="38" spans="1:51" ht="20.25" customHeight="1">
      <c r="A38" s="1277"/>
      <c r="B38" s="2039">
        <v>10</v>
      </c>
      <c r="C38" s="4242"/>
      <c r="D38" s="2298" t="s">
        <v>1158</v>
      </c>
      <c r="E38" s="344"/>
      <c r="F38" s="253"/>
      <c r="G38" s="253"/>
      <c r="H38" s="253"/>
      <c r="I38" s="253"/>
      <c r="J38" s="253"/>
      <c r="K38" s="253"/>
      <c r="L38" s="253"/>
      <c r="M38" s="253"/>
      <c r="N38" s="253"/>
      <c r="O38" s="253"/>
      <c r="P38" s="253"/>
      <c r="Q38" s="253"/>
      <c r="R38" s="1218"/>
      <c r="S38" s="2373"/>
      <c r="T38" s="253"/>
      <c r="U38" s="253"/>
      <c r="V38" s="253"/>
      <c r="W38" s="253"/>
      <c r="X38" s="253"/>
      <c r="Y38" s="253"/>
      <c r="Z38" s="253"/>
      <c r="AA38" s="1401" t="s">
        <v>816</v>
      </c>
      <c r="AB38" s="4449">
        <v>10</v>
      </c>
      <c r="AC38" s="7572"/>
      <c r="AD38" s="7573"/>
      <c r="AE38" s="7573"/>
      <c r="AF38" s="7573"/>
      <c r="AG38" s="7574"/>
      <c r="AH38" s="1277"/>
      <c r="AI38" s="344"/>
      <c r="AJ38" s="2889"/>
    </row>
    <row r="39" spans="1:51" ht="20.25" customHeight="1">
      <c r="A39" s="1277"/>
      <c r="B39" s="2039">
        <v>11</v>
      </c>
      <c r="C39" s="4242"/>
      <c r="D39" s="1323" t="s">
        <v>1159</v>
      </c>
      <c r="E39" s="253"/>
      <c r="F39" s="253"/>
      <c r="G39" s="253"/>
      <c r="H39" s="253"/>
      <c r="I39" s="253"/>
      <c r="J39" s="253"/>
      <c r="K39" s="253"/>
      <c r="L39" s="253"/>
      <c r="M39" s="253"/>
      <c r="N39" s="253"/>
      <c r="O39" s="253"/>
      <c r="P39" s="253"/>
      <c r="Q39" s="253"/>
      <c r="R39" s="1218"/>
      <c r="S39" s="2373"/>
      <c r="T39" s="253"/>
      <c r="U39" s="253"/>
      <c r="V39" s="253"/>
      <c r="W39" s="253"/>
      <c r="X39" s="253"/>
      <c r="Y39" s="253"/>
      <c r="Z39" s="253"/>
      <c r="AA39" s="1401" t="s">
        <v>811</v>
      </c>
      <c r="AB39" s="4449">
        <v>11</v>
      </c>
      <c r="AC39" s="7557" t="str">
        <f>IF(AJ39&lt;&gt;"",ROUND(AJ39,0),IF(OR(W2_SS_Tax_Excess="",W2_SS_Tax_Excess=0),"",W2_SS_Tax_Excess))</f>
        <v/>
      </c>
      <c r="AD39" s="7575"/>
      <c r="AE39" s="7575"/>
      <c r="AF39" s="7575"/>
      <c r="AG39" s="7575"/>
      <c r="AH39" s="1277"/>
      <c r="AI39" s="344"/>
      <c r="AJ39" s="1329"/>
    </row>
    <row r="40" spans="1:51" ht="20.25" customHeight="1">
      <c r="A40" s="1277"/>
      <c r="B40" s="2039">
        <v>12</v>
      </c>
      <c r="C40" s="4242"/>
      <c r="D40" s="1323" t="s">
        <v>1160</v>
      </c>
      <c r="E40" s="253"/>
      <c r="F40" s="253"/>
      <c r="G40" s="253"/>
      <c r="H40" s="253"/>
      <c r="I40" s="253"/>
      <c r="J40" s="253"/>
      <c r="K40" s="253"/>
      <c r="L40" s="253"/>
      <c r="M40" s="253"/>
      <c r="N40" s="253"/>
      <c r="O40" s="253"/>
      <c r="P40" s="253"/>
      <c r="Q40" s="253"/>
      <c r="R40" s="1218"/>
      <c r="S40" s="2373"/>
      <c r="T40" s="253"/>
      <c r="U40" s="253"/>
      <c r="V40" s="253"/>
      <c r="W40" s="253"/>
      <c r="X40" s="253"/>
      <c r="Y40" s="253"/>
      <c r="Z40" s="253"/>
      <c r="AA40" s="1401" t="s">
        <v>805</v>
      </c>
      <c r="AB40" s="4449">
        <v>12</v>
      </c>
      <c r="AC40" s="7572"/>
      <c r="AD40" s="7573"/>
      <c r="AE40" s="7573"/>
      <c r="AF40" s="7573"/>
      <c r="AG40" s="7573"/>
      <c r="AH40" s="1277"/>
      <c r="AI40" s="344"/>
      <c r="AJ40" s="2875"/>
    </row>
    <row r="41" spans="1:51" ht="20.25" customHeight="1">
      <c r="A41" s="1277"/>
      <c r="B41" s="2039">
        <v>13</v>
      </c>
      <c r="C41" s="4242"/>
      <c r="D41" s="1323" t="s">
        <v>1161</v>
      </c>
      <c r="E41" s="253"/>
      <c r="F41" s="253"/>
      <c r="G41" s="253"/>
      <c r="H41" s="253"/>
      <c r="I41" s="253"/>
      <c r="J41" s="253"/>
      <c r="K41" s="253"/>
      <c r="L41" s="253"/>
      <c r="M41" s="253"/>
      <c r="N41" s="253"/>
      <c r="O41" s="253"/>
      <c r="P41" s="253"/>
      <c r="Q41" s="253"/>
      <c r="R41" s="253"/>
      <c r="S41" s="253"/>
      <c r="T41" s="253"/>
      <c r="U41" s="253"/>
      <c r="V41" s="726"/>
      <c r="W41" s="408"/>
      <c r="X41" s="253"/>
      <c r="Y41" s="253"/>
      <c r="Z41" s="253"/>
      <c r="AA41" s="409"/>
      <c r="AB41" s="1947"/>
      <c r="AC41" s="1176"/>
      <c r="AD41" s="1177"/>
      <c r="AE41" s="1177"/>
      <c r="AF41" s="1177"/>
      <c r="AG41" s="1178"/>
      <c r="AH41" s="1277"/>
      <c r="AI41" s="344"/>
      <c r="AJ41" s="2875"/>
    </row>
    <row r="42" spans="1:51" ht="20.25" customHeight="1">
      <c r="A42" s="1277"/>
      <c r="B42" s="1323"/>
      <c r="C42" s="4242" t="s">
        <v>588</v>
      </c>
      <c r="D42" s="1323" t="s">
        <v>1162</v>
      </c>
      <c r="E42" s="253"/>
      <c r="F42" s="253"/>
      <c r="G42" s="253"/>
      <c r="H42" s="253"/>
      <c r="I42" s="253"/>
      <c r="J42" s="253"/>
      <c r="K42" s="253"/>
      <c r="L42" s="253"/>
      <c r="M42" s="253"/>
      <c r="N42" s="253"/>
      <c r="O42" s="253"/>
      <c r="P42" s="253"/>
      <c r="Q42" s="253"/>
      <c r="R42" s="253"/>
      <c r="S42" s="253"/>
      <c r="T42" s="253"/>
      <c r="U42" s="1401" t="s">
        <v>1163</v>
      </c>
      <c r="V42" s="4453" t="s">
        <v>1164</v>
      </c>
      <c r="W42" s="7656"/>
      <c r="X42" s="7653"/>
      <c r="Y42" s="7653"/>
      <c r="Z42" s="7653"/>
      <c r="AA42" s="7653"/>
      <c r="AB42" s="1947"/>
      <c r="AC42" s="1176"/>
      <c r="AD42" s="1177"/>
      <c r="AE42" s="1177"/>
      <c r="AF42" s="1177"/>
      <c r="AG42" s="1178"/>
      <c r="AH42" s="1277"/>
      <c r="AI42" s="344"/>
      <c r="AJ42" s="2875"/>
      <c r="AL42" s="1250">
        <f>ROUND(W42,0)</f>
        <v>0</v>
      </c>
    </row>
    <row r="43" spans="1:51" ht="20.25" customHeight="1">
      <c r="A43" s="1277"/>
      <c r="B43" s="1323"/>
      <c r="C43" s="4242" t="s">
        <v>592</v>
      </c>
      <c r="D43" s="1323" t="s">
        <v>6349</v>
      </c>
      <c r="E43" s="253"/>
      <c r="F43" s="253"/>
      <c r="G43" s="253"/>
      <c r="H43" s="253"/>
      <c r="I43" s="253"/>
      <c r="J43" s="253"/>
      <c r="K43" s="253"/>
      <c r="L43" s="253"/>
      <c r="M43" s="253"/>
      <c r="N43" s="253"/>
      <c r="O43" s="253"/>
      <c r="P43" s="253"/>
      <c r="Q43" s="253"/>
      <c r="R43" s="253"/>
      <c r="S43" s="253"/>
      <c r="T43" s="253"/>
      <c r="U43" s="253"/>
      <c r="V43" s="4454"/>
      <c r="W43" s="1255"/>
      <c r="X43" s="1256"/>
      <c r="Y43" s="1256"/>
      <c r="Z43" s="1256"/>
      <c r="AA43" s="1257"/>
      <c r="AB43" s="1947"/>
      <c r="AC43" s="1176"/>
      <c r="AD43" s="1177"/>
      <c r="AE43" s="1177"/>
      <c r="AF43" s="1177"/>
      <c r="AG43" s="1178"/>
      <c r="AH43" s="1277"/>
      <c r="AI43" s="344"/>
      <c r="AJ43" s="2875"/>
      <c r="AL43" s="304"/>
    </row>
    <row r="44" spans="1:51" ht="20.25" customHeight="1">
      <c r="A44" s="1277"/>
      <c r="B44" s="1323"/>
      <c r="C44" s="4242"/>
      <c r="D44" s="1323" t="s">
        <v>6350</v>
      </c>
      <c r="E44" s="253"/>
      <c r="F44" s="253"/>
      <c r="G44" s="253"/>
      <c r="H44" s="253"/>
      <c r="I44" s="253"/>
      <c r="J44" s="253"/>
      <c r="K44" s="253"/>
      <c r="L44" s="253"/>
      <c r="M44" s="253"/>
      <c r="N44" s="253"/>
      <c r="O44" s="253"/>
      <c r="P44" s="253"/>
      <c r="Q44" s="253"/>
      <c r="R44" s="253"/>
      <c r="S44" s="253"/>
      <c r="T44" s="253"/>
      <c r="U44" s="1401" t="s">
        <v>2216</v>
      </c>
      <c r="V44" s="4453" t="s">
        <v>1165</v>
      </c>
      <c r="W44" s="7656"/>
      <c r="X44" s="7653"/>
      <c r="Y44" s="7653"/>
      <c r="Z44" s="7653"/>
      <c r="AA44" s="7653"/>
      <c r="AB44" s="1947"/>
      <c r="AC44" s="1176"/>
      <c r="AD44" s="1177"/>
      <c r="AE44" s="1177"/>
      <c r="AF44" s="1177"/>
      <c r="AG44" s="1178"/>
      <c r="AH44" s="1277"/>
      <c r="AI44" s="344"/>
      <c r="AJ44" s="2875"/>
      <c r="AL44" s="1250">
        <f>ROUND(W44,0)</f>
        <v>0</v>
      </c>
    </row>
    <row r="45" spans="1:51" ht="20.25" customHeight="1">
      <c r="A45" s="1277"/>
      <c r="B45" s="1323"/>
      <c r="C45" s="4242" t="s">
        <v>595</v>
      </c>
      <c r="D45" s="1323" t="s">
        <v>6348</v>
      </c>
      <c r="E45" s="253"/>
      <c r="F45" s="253"/>
      <c r="G45" s="253"/>
      <c r="H45" s="253"/>
      <c r="I45" s="253"/>
      <c r="J45" s="253"/>
      <c r="K45" s="253"/>
      <c r="L45" s="253"/>
      <c r="M45" s="253"/>
      <c r="N45" s="253"/>
      <c r="O45" s="253"/>
      <c r="P45" s="253"/>
      <c r="Q45" s="253"/>
      <c r="R45" s="253"/>
      <c r="S45" s="253"/>
      <c r="T45" s="253"/>
      <c r="U45" s="1401" t="s">
        <v>969</v>
      </c>
      <c r="V45" s="4453" t="s">
        <v>1167</v>
      </c>
      <c r="W45" s="7656"/>
      <c r="X45" s="7653"/>
      <c r="Y45" s="7653"/>
      <c r="Z45" s="7653"/>
      <c r="AA45" s="7653"/>
      <c r="AB45" s="1947"/>
      <c r="AC45" s="1176"/>
      <c r="AD45" s="1177"/>
      <c r="AE45" s="1177"/>
      <c r="AF45" s="1177"/>
      <c r="AG45" s="1178"/>
      <c r="AH45" s="1277"/>
      <c r="AI45" s="344"/>
      <c r="AJ45" s="2875"/>
      <c r="AL45" s="1250">
        <f>ROUND(W45,0)</f>
        <v>0</v>
      </c>
    </row>
    <row r="46" spans="1:51" ht="20.25" customHeight="1">
      <c r="A46" s="1277"/>
      <c r="B46" s="1323"/>
      <c r="C46" s="4242" t="s">
        <v>599</v>
      </c>
      <c r="D46" s="1323" t="s">
        <v>1170</v>
      </c>
      <c r="E46" s="253"/>
      <c r="F46" s="253"/>
      <c r="G46" s="253"/>
      <c r="H46" s="253"/>
      <c r="I46" s="253"/>
      <c r="J46" s="253"/>
      <c r="K46" s="253"/>
      <c r="L46" s="253"/>
      <c r="M46" s="253"/>
      <c r="N46" s="253"/>
      <c r="O46" s="253"/>
      <c r="P46" s="253"/>
      <c r="Q46" s="253"/>
      <c r="R46" s="253"/>
      <c r="S46" s="253"/>
      <c r="T46" s="253"/>
      <c r="U46" s="1401" t="s">
        <v>1136</v>
      </c>
      <c r="V46" s="4453" t="s">
        <v>1169</v>
      </c>
      <c r="W46" s="7656"/>
      <c r="X46" s="7653"/>
      <c r="Y46" s="7653"/>
      <c r="Z46" s="7653"/>
      <c r="AA46" s="7653"/>
      <c r="AB46" s="1947"/>
      <c r="AC46" s="1176"/>
      <c r="AD46" s="1177"/>
      <c r="AE46" s="1177"/>
      <c r="AF46" s="1177"/>
      <c r="AG46" s="1178"/>
      <c r="AH46" s="1277"/>
      <c r="AI46" s="344"/>
      <c r="AJ46" s="2875"/>
      <c r="AL46" s="1250">
        <f>ROUND(W46,0)</f>
        <v>0</v>
      </c>
    </row>
    <row r="47" spans="1:51" ht="20.25" customHeight="1">
      <c r="A47" s="1277"/>
      <c r="B47" s="1323"/>
      <c r="C47" s="4242" t="s">
        <v>622</v>
      </c>
      <c r="D47" s="1323" t="s">
        <v>5489</v>
      </c>
      <c r="E47" s="253"/>
      <c r="F47" s="253"/>
      <c r="G47" s="253"/>
      <c r="H47" s="253"/>
      <c r="I47" s="253"/>
      <c r="J47" s="253"/>
      <c r="K47" s="253"/>
      <c r="L47" s="253"/>
      <c r="M47" s="253"/>
      <c r="N47" s="253"/>
      <c r="O47" s="253"/>
      <c r="P47" s="1804"/>
      <c r="Q47" s="1804"/>
      <c r="R47" s="1804"/>
      <c r="S47" s="1804"/>
      <c r="T47" s="1804"/>
      <c r="U47" s="253"/>
      <c r="V47" s="4455"/>
      <c r="W47" s="1255"/>
      <c r="X47" s="1256"/>
      <c r="Y47" s="1256"/>
      <c r="Z47" s="1256"/>
      <c r="AA47" s="1257"/>
      <c r="AB47" s="1947"/>
      <c r="AC47" s="1176"/>
      <c r="AD47" s="1177"/>
      <c r="AE47" s="1177"/>
      <c r="AF47" s="1177"/>
      <c r="AG47" s="1178"/>
      <c r="AH47" s="1277"/>
      <c r="AI47" s="344"/>
      <c r="AJ47" s="2875"/>
      <c r="AL47" s="304"/>
    </row>
    <row r="48" spans="1:51" ht="20.25" customHeight="1">
      <c r="A48" s="1277"/>
      <c r="B48" s="1323"/>
      <c r="C48" s="4242"/>
      <c r="D48" s="7146"/>
      <c r="E48" s="7146"/>
      <c r="F48" s="7146"/>
      <c r="G48" s="7146"/>
      <c r="H48" s="7146"/>
      <c r="I48" s="7146"/>
      <c r="J48" s="7146"/>
      <c r="K48" s="7146"/>
      <c r="L48" s="7146"/>
      <c r="M48" s="7146"/>
      <c r="N48" s="7146"/>
      <c r="O48" s="7146"/>
      <c r="P48" s="7146"/>
      <c r="Q48" s="7146"/>
      <c r="R48" s="7146"/>
      <c r="S48" s="7146"/>
      <c r="T48" s="7146"/>
      <c r="U48" s="253"/>
      <c r="V48" s="6462"/>
      <c r="W48" s="1803"/>
      <c r="X48" s="1806"/>
      <c r="Y48" s="1806"/>
      <c r="Z48" s="1806"/>
      <c r="AA48" s="1806"/>
      <c r="AB48" s="1947"/>
      <c r="AC48" s="1176"/>
      <c r="AD48" s="1177"/>
      <c r="AE48" s="1177"/>
      <c r="AF48" s="1177"/>
      <c r="AG48" s="1178"/>
      <c r="AH48" s="1277"/>
      <c r="AI48" s="344"/>
      <c r="AJ48" s="2875"/>
      <c r="AL48" s="1250">
        <f>ROUND(W48,0)</f>
        <v>0</v>
      </c>
    </row>
    <row r="49" spans="1:38" ht="20.25" customHeight="1">
      <c r="A49" s="1277"/>
      <c r="B49" s="1323"/>
      <c r="C49" s="4242"/>
      <c r="D49" s="7146"/>
      <c r="E49" s="7146"/>
      <c r="F49" s="7146"/>
      <c r="G49" s="7146"/>
      <c r="H49" s="7146"/>
      <c r="I49" s="7146"/>
      <c r="J49" s="7146"/>
      <c r="K49" s="7146"/>
      <c r="L49" s="7146"/>
      <c r="M49" s="7146"/>
      <c r="N49" s="7146"/>
      <c r="O49" s="7146"/>
      <c r="P49" s="7146"/>
      <c r="Q49" s="7146"/>
      <c r="R49" s="7146"/>
      <c r="S49" s="7146"/>
      <c r="T49" s="7146"/>
      <c r="U49" s="253"/>
      <c r="V49" s="4453" t="s">
        <v>1172</v>
      </c>
      <c r="W49" s="7656"/>
      <c r="X49" s="7653"/>
      <c r="Y49" s="7653"/>
      <c r="Z49" s="7653"/>
      <c r="AA49" s="7653"/>
      <c r="AB49" s="1947"/>
      <c r="AC49" s="1176"/>
      <c r="AD49" s="1177"/>
      <c r="AE49" s="1177"/>
      <c r="AF49" s="1177"/>
      <c r="AG49" s="1178"/>
      <c r="AH49" s="1277"/>
      <c r="AI49" s="344"/>
      <c r="AJ49" s="2875"/>
      <c r="AL49" s="1250">
        <f>ROUND(W49,0)</f>
        <v>0</v>
      </c>
    </row>
    <row r="50" spans="1:38" ht="20.25" customHeight="1" thickBot="1">
      <c r="A50" s="1277"/>
      <c r="B50" s="2039">
        <v>14</v>
      </c>
      <c r="C50" s="4242"/>
      <c r="D50" s="1323" t="s">
        <v>1173</v>
      </c>
      <c r="E50" s="253"/>
      <c r="F50" s="253"/>
      <c r="G50" s="253"/>
      <c r="H50" s="253"/>
      <c r="I50" s="253"/>
      <c r="J50" s="253"/>
      <c r="K50" s="253"/>
      <c r="L50" s="253"/>
      <c r="M50" s="253"/>
      <c r="N50" s="253"/>
      <c r="O50" s="253"/>
      <c r="P50" s="253"/>
      <c r="Q50" s="253"/>
      <c r="R50" s="253"/>
      <c r="S50" s="253"/>
      <c r="T50" s="253"/>
      <c r="U50" s="253"/>
      <c r="V50" s="253"/>
      <c r="W50" s="253"/>
      <c r="X50" s="253"/>
      <c r="Y50" s="253"/>
      <c r="Z50" s="253"/>
      <c r="AA50" s="1401" t="s">
        <v>1174</v>
      </c>
      <c r="AB50" s="4456">
        <v>14</v>
      </c>
      <c r="AC50" s="7895" t="str">
        <f>IF(AJ50&lt;&gt;"",ROUND(AJ50,0),IF(SUM(AL42:AL49)=0,"",SUM(AL42:AL49)))</f>
        <v/>
      </c>
      <c r="AD50" s="7946"/>
      <c r="AE50" s="7946"/>
      <c r="AF50" s="7946"/>
      <c r="AG50" s="7946"/>
      <c r="AH50" s="1277"/>
      <c r="AI50" s="344"/>
      <c r="AJ50" s="1329"/>
    </row>
    <row r="51" spans="1:38" ht="20.25" customHeight="1" thickBot="1">
      <c r="A51" s="1277"/>
      <c r="B51" s="4457">
        <v>15</v>
      </c>
      <c r="C51" s="4458"/>
      <c r="D51" s="4459" t="s">
        <v>5233</v>
      </c>
      <c r="E51" s="721"/>
      <c r="F51" s="721"/>
      <c r="G51" s="721"/>
      <c r="H51" s="721"/>
      <c r="I51" s="721"/>
      <c r="J51" s="721"/>
      <c r="K51" s="721"/>
      <c r="L51" s="721"/>
      <c r="M51" s="721"/>
      <c r="N51" s="721"/>
      <c r="O51" s="721"/>
      <c r="P51" s="721"/>
      <c r="Q51" s="721"/>
      <c r="R51" s="4460"/>
      <c r="S51" s="4461"/>
      <c r="T51" s="721"/>
      <c r="U51" s="721"/>
      <c r="V51" s="721"/>
      <c r="W51" s="721"/>
      <c r="X51" s="721"/>
      <c r="Y51" s="721"/>
      <c r="Z51" s="721"/>
      <c r="AA51" s="4462" t="s">
        <v>2680</v>
      </c>
      <c r="AB51" s="4463">
        <v>15</v>
      </c>
      <c r="AC51" s="7565" t="str">
        <f>IF(AJ51&lt;&gt;"",ROUND(AJ51,0),IF(SUM(PTCNet,ROUND(AC38,0),ExcessSSTax,ROUND(FedFuelTaxCredit,0),AC50)=0,"",SUM(PTCNet,ROUND(AC38,0),ExcessSSTax,ROUND(FedFuelTaxCredit,0),AC50)))</f>
        <v/>
      </c>
      <c r="AD51" s="7566"/>
      <c r="AE51" s="7566"/>
      <c r="AF51" s="7566"/>
      <c r="AG51" s="7566"/>
      <c r="AH51" s="1277"/>
      <c r="AI51" s="344"/>
      <c r="AJ51" s="1329"/>
    </row>
    <row r="52" spans="1:38" ht="17.25" customHeight="1" thickTop="1">
      <c r="A52" s="1277"/>
      <c r="B52" s="2162" t="s">
        <v>865</v>
      </c>
      <c r="C52" s="2197"/>
      <c r="D52" s="411"/>
      <c r="E52" s="411"/>
      <c r="F52" s="411"/>
      <c r="G52" s="411"/>
      <c r="H52" s="411"/>
      <c r="I52" s="411"/>
      <c r="J52" s="411"/>
      <c r="K52" s="411"/>
      <c r="L52" s="411"/>
      <c r="M52" s="411"/>
      <c r="N52" s="411"/>
      <c r="O52" s="411"/>
      <c r="P52" s="411"/>
      <c r="Q52" s="411"/>
      <c r="R52" s="411"/>
      <c r="S52" s="411"/>
      <c r="T52" s="505" t="s">
        <v>6330</v>
      </c>
      <c r="U52" s="505"/>
      <c r="V52" s="411"/>
      <c r="W52" s="1052"/>
      <c r="X52" s="411"/>
      <c r="Y52" s="411"/>
      <c r="Z52" s="411"/>
      <c r="AA52" s="411"/>
      <c r="AB52" s="411"/>
      <c r="AC52" s="411"/>
      <c r="AD52" s="411"/>
      <c r="AE52" s="411"/>
      <c r="AF52" s="411"/>
      <c r="AG52" s="2004" t="str">
        <f>"Schedule 3 (Form 1040) "&amp;TaxYear</f>
        <v>Schedule 3 (Form 1040) 2025</v>
      </c>
      <c r="AH52" s="1277"/>
      <c r="AI52" s="344"/>
      <c r="AJ52" s="2875"/>
    </row>
    <row r="53" spans="1:38">
      <c r="A53" s="1277"/>
      <c r="B53" s="1277"/>
      <c r="C53" s="1277"/>
      <c r="D53" s="1277"/>
      <c r="E53" s="1277"/>
      <c r="F53" s="1277"/>
      <c r="G53" s="1277"/>
      <c r="H53" s="1277"/>
      <c r="I53" s="1277"/>
      <c r="J53" s="1277"/>
      <c r="K53" s="1277"/>
      <c r="L53" s="1277"/>
      <c r="M53" s="1277"/>
      <c r="N53" s="1277"/>
      <c r="O53" s="1277"/>
      <c r="P53" s="1277"/>
      <c r="Q53" s="1277"/>
      <c r="R53" s="1277"/>
      <c r="S53" s="1277"/>
      <c r="T53" s="1277"/>
      <c r="U53" s="1277"/>
      <c r="V53" s="1277"/>
      <c r="W53" s="1277"/>
      <c r="X53" s="1277"/>
      <c r="Y53" s="1277"/>
      <c r="Z53" s="1277"/>
      <c r="AA53" s="1277"/>
      <c r="AB53" s="1277"/>
      <c r="AC53" s="1277"/>
      <c r="AD53" s="1277"/>
      <c r="AE53" s="1277"/>
      <c r="AF53" s="1277"/>
      <c r="AG53" s="1277"/>
      <c r="AH53" s="1277"/>
      <c r="AI53" s="344"/>
      <c r="AJ53" s="2875"/>
    </row>
    <row r="55" spans="1:38" ht="13.5" thickBot="1"/>
    <row r="56" spans="1:38">
      <c r="B56" s="7219" t="s">
        <v>42</v>
      </c>
      <c r="C56" s="7220"/>
      <c r="D56" s="7220"/>
      <c r="E56" s="7220"/>
      <c r="F56" s="7221"/>
    </row>
    <row r="57" spans="1:38">
      <c r="B57" s="7222"/>
      <c r="C57" s="7223"/>
      <c r="D57" s="7223"/>
      <c r="E57" s="7223"/>
      <c r="F57" s="7225"/>
    </row>
    <row r="58" spans="1:38" ht="13.5" thickBot="1">
      <c r="B58" s="7226"/>
      <c r="C58" s="7227"/>
      <c r="D58" s="7227"/>
      <c r="E58" s="7227"/>
      <c r="F58" s="7228"/>
    </row>
  </sheetData>
  <sheetProtection algorithmName="SHA-512" hashValue="wXqHvQpnYfStxYOlXeLKQ/OYcOaSZZlhgAHxofYeYkJdylK8VXio86F0cQLelBeiwlCdVp/qQgcB5+L3Jsv6/g==" saltValue="qmruOrRTUiq/7XsHe1hnQw==" spinCount="100000" sheet="1" formatCells="0" formatColumns="0" formatRows="0"/>
  <mergeCells count="73">
    <mergeCell ref="AL10:AM13"/>
    <mergeCell ref="AB1:AG1"/>
    <mergeCell ref="AC13:AG13"/>
    <mergeCell ref="AC14:AG14"/>
    <mergeCell ref="AC19:AG19"/>
    <mergeCell ref="AJ7:AJ9"/>
    <mergeCell ref="AC11:AG11"/>
    <mergeCell ref="AC10:AG10"/>
    <mergeCell ref="AC20:AG20"/>
    <mergeCell ref="AC22:AG22"/>
    <mergeCell ref="AC18:AG18"/>
    <mergeCell ref="AC16:AG16"/>
    <mergeCell ref="B36:D36"/>
    <mergeCell ref="D33:T33"/>
    <mergeCell ref="W24:AA24"/>
    <mergeCell ref="W25:AA25"/>
    <mergeCell ref="W26:AA26"/>
    <mergeCell ref="W27:AA27"/>
    <mergeCell ref="W28:AA28"/>
    <mergeCell ref="W18:AA18"/>
    <mergeCell ref="W19:AA19"/>
    <mergeCell ref="W20:AA20"/>
    <mergeCell ref="W22:AA22"/>
    <mergeCell ref="B56:F58"/>
    <mergeCell ref="AC15:AG15"/>
    <mergeCell ref="AC17:AG17"/>
    <mergeCell ref="AC35:AG35"/>
    <mergeCell ref="AC38:AG38"/>
    <mergeCell ref="AC40:AG40"/>
    <mergeCell ref="AC39:AG39"/>
    <mergeCell ref="W21:AA21"/>
    <mergeCell ref="W17:AA17"/>
    <mergeCell ref="W31:AA31"/>
    <mergeCell ref="W33:AA33"/>
    <mergeCell ref="AC50:AG50"/>
    <mergeCell ref="W42:AA42"/>
    <mergeCell ref="D49:T49"/>
    <mergeCell ref="W46:AA46"/>
    <mergeCell ref="W49:AA49"/>
    <mergeCell ref="B8:AA9"/>
    <mergeCell ref="AB8:AG9"/>
    <mergeCell ref="AC12:AG12"/>
    <mergeCell ref="B10:D10"/>
    <mergeCell ref="AC51:AG51"/>
    <mergeCell ref="AC34:AG34"/>
    <mergeCell ref="W44:AA44"/>
    <mergeCell ref="W45:AA45"/>
    <mergeCell ref="W29:AA29"/>
    <mergeCell ref="W30:AA30"/>
    <mergeCell ref="AC30:AG30"/>
    <mergeCell ref="AC37:AG37"/>
    <mergeCell ref="AC29:AG29"/>
    <mergeCell ref="AC23:AG23"/>
    <mergeCell ref="AC24:AG24"/>
    <mergeCell ref="AC21:AG21"/>
    <mergeCell ref="B2:F3"/>
    <mergeCell ref="AB2:AG2"/>
    <mergeCell ref="AB3:AG4"/>
    <mergeCell ref="B4:F4"/>
    <mergeCell ref="AC5:AG6"/>
    <mergeCell ref="B6:F6"/>
    <mergeCell ref="B5:F5"/>
    <mergeCell ref="G2:AA3"/>
    <mergeCell ref="D48:T48"/>
    <mergeCell ref="W23:AA23"/>
    <mergeCell ref="AC33:AG33"/>
    <mergeCell ref="AC27:AG27"/>
    <mergeCell ref="AC28:AG28"/>
    <mergeCell ref="AC25:AG25"/>
    <mergeCell ref="AC26:AG26"/>
    <mergeCell ref="D32:T32"/>
    <mergeCell ref="W32:AA32"/>
    <mergeCell ref="AC32:AG32"/>
  </mergeCells>
  <conditionalFormatting sqref="B8 AB8">
    <cfRule type="expression" dxfId="3327" priority="91">
      <formula>NoColor</formula>
    </cfRule>
  </conditionalFormatting>
  <conditionalFormatting sqref="B4:G4">
    <cfRule type="expression" dxfId="3326" priority="75">
      <formula>NOT(Draft)</formula>
    </cfRule>
  </conditionalFormatting>
  <conditionalFormatting sqref="D32:T33">
    <cfRule type="expression" dxfId="3325" priority="3">
      <formula>NoColor</formula>
    </cfRule>
  </conditionalFormatting>
  <conditionalFormatting sqref="D48:T49">
    <cfRule type="expression" dxfId="3324" priority="1">
      <formula>NoColor</formula>
    </cfRule>
  </conditionalFormatting>
  <conditionalFormatting sqref="W18:AA30">
    <cfRule type="expression" dxfId="3323" priority="27">
      <formula>NoColor</formula>
    </cfRule>
  </conditionalFormatting>
  <conditionalFormatting sqref="W33:AA33">
    <cfRule type="expression" dxfId="3322" priority="10">
      <formula>NoColor</formula>
    </cfRule>
  </conditionalFormatting>
  <conditionalFormatting sqref="AB2:AG2">
    <cfRule type="expression" dxfId="3321" priority="5">
      <formula>AND(AB1="DRAFT",AH2="")</formula>
    </cfRule>
  </conditionalFormatting>
  <conditionalFormatting sqref="AC18:AC30 AC31:AG31 AC37:AG51 W42:AA49">
    <cfRule type="expression" dxfId="3320" priority="79">
      <formula>IF(NoColor,1,0)</formula>
    </cfRule>
  </conditionalFormatting>
  <conditionalFormatting sqref="AC32:AC34">
    <cfRule type="expression" dxfId="3319" priority="6">
      <formula>IF(NoColor,1,0)</formula>
    </cfRule>
  </conditionalFormatting>
  <conditionalFormatting sqref="AC11:AG17">
    <cfRule type="expression" dxfId="3318" priority="45">
      <formula>IF(NoColor,1,0)</formula>
    </cfRule>
  </conditionalFormatting>
  <conditionalFormatting sqref="AC35:AG35">
    <cfRule type="expression" dxfId="3317" priority="7">
      <formula>IF(NoColor,1,0)</formula>
    </cfRule>
  </conditionalFormatting>
  <conditionalFormatting sqref="AH2">
    <cfRule type="expression" dxfId="3316" priority="4">
      <formula>AB1="DRAFT"</formula>
    </cfRule>
  </conditionalFormatting>
  <conditionalFormatting sqref="AL10:AM13">
    <cfRule type="expression" dxfId="3315" priority="69">
      <formula>$AL$7</formula>
    </cfRule>
  </conditionalFormatting>
  <hyperlinks>
    <hyperlink ref="B56:F58" location="'Table of Contents'!A1" display="Table of Contents" xr:uid="{00000000-0004-0000-1400-000000000000}"/>
  </hyperlinks>
  <pageMargins left="0.75" right="0.25" top="0.36" bottom="0.28999999999999998" header="0.36" footer="0.21"/>
  <pageSetup scale="76" fitToHeight="0"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AM92"/>
  <sheetViews>
    <sheetView zoomScaleNormal="100" zoomScaleSheetLayoutView="100" workbookViewId="0"/>
  </sheetViews>
  <sheetFormatPr defaultRowHeight="12.75"/>
  <cols>
    <col min="1" max="1" width="2.5703125" customWidth="1"/>
    <col min="2" max="2" width="5.5703125" customWidth="1"/>
    <col min="3" max="3" width="4.42578125" customWidth="1"/>
    <col min="4" max="4" width="18.85546875" customWidth="1"/>
    <col min="5" max="5" width="14.7109375" customWidth="1"/>
    <col min="6" max="6" width="4.7109375" customWidth="1"/>
    <col min="7" max="7" width="24.140625" customWidth="1"/>
    <col min="8" max="8" width="19.7109375" customWidth="1"/>
    <col min="9" max="9" width="4.5703125" customWidth="1"/>
    <col min="10" max="10" width="13" customWidth="1"/>
    <col min="12" max="12" width="3.7109375" customWidth="1"/>
    <col min="13" max="13" width="12" customWidth="1"/>
    <col min="14" max="14" width="6.7109375" customWidth="1"/>
    <col min="15" max="15" width="13.5703125" style="769" customWidth="1"/>
    <col min="16" max="26" width="9.140625" style="658"/>
  </cols>
  <sheetData>
    <row r="1" spans="2:26" ht="16.5" customHeight="1" thickBot="1">
      <c r="M1" s="110"/>
      <c r="O1" s="768" t="s">
        <v>223</v>
      </c>
    </row>
    <row r="2" spans="2:26" ht="8.25" customHeight="1">
      <c r="B2" s="463"/>
      <c r="C2" s="307"/>
      <c r="D2" s="307"/>
      <c r="E2" s="307"/>
      <c r="F2" s="307"/>
      <c r="G2" s="307"/>
      <c r="H2" s="307"/>
      <c r="I2" s="307"/>
      <c r="J2" s="307"/>
      <c r="K2" s="308"/>
      <c r="L2" s="26"/>
      <c r="M2" s="110"/>
      <c r="N2" s="26"/>
    </row>
    <row r="3" spans="2:26" ht="20.25">
      <c r="B3" s="1070" t="s">
        <v>1175</v>
      </c>
      <c r="C3" s="275"/>
      <c r="D3" s="275"/>
      <c r="E3" s="275"/>
      <c r="F3" s="275"/>
      <c r="G3" s="275"/>
      <c r="H3" s="275"/>
      <c r="I3" s="275"/>
      <c r="J3" s="1076" t="s">
        <v>926</v>
      </c>
      <c r="K3" s="298"/>
      <c r="L3" s="26"/>
      <c r="M3" s="110"/>
      <c r="N3" s="26"/>
      <c r="O3" s="968" t="s">
        <v>227</v>
      </c>
    </row>
    <row r="4" spans="2:26" ht="15" customHeight="1">
      <c r="B4" s="464"/>
      <c r="C4" s="774" t="s">
        <v>1176</v>
      </c>
      <c r="D4" s="275"/>
      <c r="E4" s="275"/>
      <c r="F4" s="275"/>
      <c r="G4" s="275"/>
      <c r="H4" s="275"/>
      <c r="I4" s="275"/>
      <c r="J4" s="275"/>
      <c r="K4" s="298"/>
      <c r="L4" s="26"/>
      <c r="M4" s="110"/>
      <c r="N4" s="26"/>
    </row>
    <row r="5" spans="2:26" ht="15.75">
      <c r="B5" s="464"/>
      <c r="C5" s="995" t="s">
        <v>840</v>
      </c>
      <c r="D5" s="995" t="s">
        <v>1177</v>
      </c>
      <c r="E5" s="275"/>
      <c r="F5" s="275"/>
      <c r="G5" s="275"/>
      <c r="H5" s="275"/>
      <c r="I5" s="275"/>
      <c r="J5" s="275"/>
      <c r="K5" s="298"/>
      <c r="L5" s="26"/>
      <c r="M5" s="110"/>
      <c r="N5" s="26"/>
    </row>
    <row r="6" spans="2:26" ht="15.75">
      <c r="B6" s="464"/>
      <c r="C6" s="995" t="s">
        <v>840</v>
      </c>
      <c r="D6" s="7955" t="s">
        <v>5439</v>
      </c>
      <c r="E6" s="7955"/>
      <c r="F6" s="7955"/>
      <c r="G6" s="7955"/>
      <c r="H6" s="7955"/>
      <c r="I6" s="7955"/>
      <c r="J6" s="7955"/>
      <c r="K6" s="298"/>
      <c r="L6" s="26"/>
      <c r="M6" s="110"/>
      <c r="N6" s="26"/>
    </row>
    <row r="7" spans="2:26" s="138" customFormat="1" ht="15.75" customHeight="1">
      <c r="B7" s="4127"/>
      <c r="C7" s="1295" t="s">
        <v>840</v>
      </c>
      <c r="D7" s="7955" t="s">
        <v>5438</v>
      </c>
      <c r="E7" s="7955"/>
      <c r="F7" s="7955"/>
      <c r="G7" s="7955"/>
      <c r="H7" s="7955"/>
      <c r="I7" s="7955"/>
      <c r="J7" s="7955"/>
      <c r="K7" s="4128"/>
      <c r="L7" s="208"/>
      <c r="M7" s="1246"/>
      <c r="N7" s="208"/>
      <c r="O7" s="967"/>
      <c r="P7" s="662"/>
      <c r="Q7" s="662"/>
      <c r="R7" s="662"/>
      <c r="S7" s="662"/>
      <c r="T7" s="662"/>
      <c r="U7" s="662"/>
      <c r="V7" s="662"/>
      <c r="W7" s="662"/>
      <c r="X7" s="662"/>
      <c r="Y7" s="662"/>
      <c r="Z7" s="662"/>
    </row>
    <row r="8" spans="2:26" ht="9" customHeight="1" thickBot="1">
      <c r="B8" s="1068"/>
      <c r="C8" s="1069"/>
      <c r="D8" s="312"/>
      <c r="E8" s="312"/>
      <c r="F8" s="312"/>
      <c r="G8" s="312"/>
      <c r="H8" s="312"/>
      <c r="I8" s="312"/>
      <c r="J8" s="312"/>
      <c r="K8" s="313"/>
      <c r="L8" s="26"/>
      <c r="M8" s="110"/>
      <c r="N8" s="26"/>
    </row>
    <row r="9" spans="2:26" ht="15.75">
      <c r="B9" s="1071" t="s">
        <v>927</v>
      </c>
      <c r="C9" s="995"/>
      <c r="D9" s="275"/>
      <c r="E9" s="275"/>
      <c r="F9" s="275"/>
      <c r="G9" s="275"/>
      <c r="H9" s="275"/>
      <c r="I9" s="275"/>
      <c r="J9" s="275"/>
      <c r="K9" s="298"/>
      <c r="L9" s="26"/>
      <c r="M9" s="110"/>
      <c r="N9" s="26"/>
    </row>
    <row r="10" spans="2:26">
      <c r="B10" s="1072" t="s">
        <v>840</v>
      </c>
      <c r="C10" s="309" t="s">
        <v>1178</v>
      </c>
      <c r="D10" s="275"/>
      <c r="E10" s="275"/>
      <c r="F10" s="275"/>
      <c r="G10" s="275"/>
      <c r="H10" s="275"/>
      <c r="I10" s="275"/>
      <c r="J10" s="275"/>
      <c r="K10" s="298"/>
      <c r="L10" s="26"/>
      <c r="M10" s="110"/>
      <c r="N10" s="26"/>
    </row>
    <row r="11" spans="2:26" ht="15.75">
      <c r="B11" s="464"/>
      <c r="C11" s="823" t="s">
        <v>5440</v>
      </c>
      <c r="D11" s="275"/>
      <c r="E11" s="275"/>
      <c r="F11" s="275"/>
      <c r="G11" s="275"/>
      <c r="H11" s="275"/>
      <c r="I11" s="275"/>
      <c r="J11" s="275"/>
      <c r="K11" s="298"/>
      <c r="L11" s="26"/>
      <c r="M11" s="110"/>
      <c r="N11" s="26"/>
    </row>
    <row r="12" spans="2:26" ht="15.75">
      <c r="B12" s="464"/>
      <c r="C12" s="823" t="s">
        <v>5441</v>
      </c>
      <c r="D12" s="275"/>
      <c r="E12" s="275"/>
      <c r="F12" s="275"/>
      <c r="G12" s="275"/>
      <c r="H12" s="275"/>
      <c r="I12" s="275"/>
      <c r="J12" s="275"/>
      <c r="K12" s="298"/>
      <c r="L12" s="26"/>
      <c r="M12" s="110"/>
      <c r="N12" s="26"/>
    </row>
    <row r="13" spans="2:26" ht="15.75">
      <c r="B13" s="464"/>
      <c r="C13" s="823" t="s">
        <v>5442</v>
      </c>
      <c r="D13" s="275"/>
      <c r="E13" s="275"/>
      <c r="F13" s="275"/>
      <c r="G13" s="275"/>
      <c r="H13" s="275"/>
      <c r="I13" s="275"/>
      <c r="J13" s="275"/>
      <c r="K13" s="298"/>
      <c r="L13" s="26"/>
      <c r="M13" s="110"/>
      <c r="N13" s="26"/>
    </row>
    <row r="14" spans="2:26">
      <c r="B14" s="1072" t="s">
        <v>840</v>
      </c>
      <c r="C14" s="309" t="s">
        <v>1179</v>
      </c>
      <c r="D14" s="275"/>
      <c r="E14" s="275"/>
      <c r="F14" s="275"/>
      <c r="G14" s="275"/>
      <c r="H14" s="275"/>
      <c r="I14" s="275"/>
      <c r="J14" s="275"/>
      <c r="K14" s="298"/>
      <c r="L14" s="26"/>
      <c r="M14" s="110"/>
      <c r="N14" s="26"/>
    </row>
    <row r="15" spans="2:26" ht="17.25" customHeight="1">
      <c r="B15" s="1074" t="s">
        <v>840</v>
      </c>
      <c r="C15" s="714" t="s">
        <v>1180</v>
      </c>
      <c r="D15" s="436"/>
      <c r="E15" s="436"/>
      <c r="F15" s="436"/>
      <c r="G15" s="436"/>
      <c r="H15" s="436"/>
      <c r="I15" s="436"/>
      <c r="J15" s="436"/>
      <c r="K15" s="1075"/>
      <c r="L15" s="26"/>
      <c r="M15" s="110"/>
      <c r="N15" s="26"/>
    </row>
    <row r="16" spans="2:26">
      <c r="B16" s="1073"/>
      <c r="C16" s="344"/>
      <c r="D16" s="344"/>
      <c r="E16" s="344"/>
      <c r="F16" s="344"/>
      <c r="G16" s="344"/>
      <c r="H16" s="344"/>
      <c r="I16" s="344"/>
      <c r="J16" s="344"/>
      <c r="K16" s="346"/>
      <c r="M16" s="110"/>
      <c r="N16" s="26"/>
    </row>
    <row r="17" spans="1:34">
      <c r="B17" s="1073"/>
      <c r="C17" s="4129" t="s">
        <v>5444</v>
      </c>
      <c r="D17" s="344"/>
      <c r="E17" s="344"/>
      <c r="F17" s="344"/>
      <c r="G17" s="344"/>
      <c r="H17" s="344"/>
      <c r="I17" s="344"/>
      <c r="J17" s="344"/>
      <c r="K17" s="346"/>
      <c r="M17" s="110"/>
      <c r="N17" s="26"/>
    </row>
    <row r="18" spans="1:34" ht="12.75" customHeight="1">
      <c r="B18" s="1073"/>
      <c r="C18" s="7956" t="s">
        <v>5445</v>
      </c>
      <c r="D18" s="7956"/>
      <c r="E18" s="7956"/>
      <c r="F18" s="7956"/>
      <c r="G18" s="7956"/>
      <c r="H18" s="7956"/>
      <c r="I18" s="7956"/>
      <c r="J18" s="7956"/>
      <c r="K18" s="346"/>
      <c r="M18" s="110"/>
      <c r="N18" s="26"/>
    </row>
    <row r="19" spans="1:34" ht="12.75" customHeight="1">
      <c r="B19" s="1073"/>
      <c r="C19" s="7956"/>
      <c r="D19" s="7956"/>
      <c r="E19" s="7956"/>
      <c r="F19" s="7956"/>
      <c r="G19" s="7956"/>
      <c r="H19" s="7956"/>
      <c r="I19" s="7956"/>
      <c r="J19" s="7956"/>
      <c r="K19" s="346"/>
      <c r="M19" s="110"/>
      <c r="N19" s="26"/>
    </row>
    <row r="20" spans="1:34" ht="12.75" customHeight="1">
      <c r="B20" s="1073"/>
      <c r="C20" s="7956"/>
      <c r="D20" s="7956"/>
      <c r="E20" s="7956"/>
      <c r="F20" s="7956"/>
      <c r="G20" s="7956"/>
      <c r="H20" s="7956"/>
      <c r="I20" s="7956"/>
      <c r="J20" s="7956"/>
      <c r="K20" s="346"/>
      <c r="M20" s="110"/>
      <c r="N20" s="26"/>
    </row>
    <row r="21" spans="1:34">
      <c r="B21" s="1073"/>
      <c r="C21" s="7956"/>
      <c r="D21" s="7956"/>
      <c r="E21" s="7956"/>
      <c r="F21" s="7956"/>
      <c r="G21" s="7956"/>
      <c r="H21" s="7956"/>
      <c r="I21" s="7956"/>
      <c r="J21" s="7956"/>
      <c r="K21" s="346"/>
      <c r="M21" s="110"/>
      <c r="N21" s="26"/>
    </row>
    <row r="22" spans="1:34">
      <c r="B22" s="1073"/>
      <c r="C22" s="7956"/>
      <c r="D22" s="7956"/>
      <c r="E22" s="7956"/>
      <c r="F22" s="7956"/>
      <c r="G22" s="7956"/>
      <c r="H22" s="7956"/>
      <c r="I22" s="7956"/>
      <c r="J22" s="7956"/>
      <c r="K22" s="346"/>
      <c r="M22" s="66" t="s">
        <v>979</v>
      </c>
      <c r="N22" s="26"/>
    </row>
    <row r="23" spans="1:34" s="26" customFormat="1" ht="13.5" thickBot="1">
      <c r="A23"/>
      <c r="B23" s="310"/>
      <c r="C23" s="309"/>
      <c r="D23" s="275"/>
      <c r="E23" s="275"/>
      <c r="F23" s="275"/>
      <c r="G23" s="275"/>
      <c r="H23" s="275"/>
      <c r="I23" s="468"/>
      <c r="J23" s="275"/>
      <c r="K23" s="298"/>
      <c r="M23" s="66" t="s">
        <v>931</v>
      </c>
      <c r="N23" s="466"/>
      <c r="O23" s="769"/>
      <c r="P23" s="658"/>
      <c r="Q23" s="658"/>
      <c r="R23" s="658"/>
      <c r="S23" s="658"/>
      <c r="T23" s="658"/>
      <c r="U23" s="658"/>
      <c r="V23" s="658"/>
      <c r="W23" s="658"/>
      <c r="X23" s="658"/>
      <c r="Y23" s="658"/>
      <c r="Z23" s="658"/>
      <c r="AG23" s="466"/>
      <c r="AH23" s="466"/>
    </row>
    <row r="24" spans="1:34" s="26" customFormat="1" ht="13.5" thickBot="1">
      <c r="A24"/>
      <c r="B24" s="469" t="s">
        <v>970</v>
      </c>
      <c r="C24" s="309" t="s">
        <v>5085</v>
      </c>
      <c r="D24" s="275"/>
      <c r="E24" s="275"/>
      <c r="F24" s="275"/>
      <c r="G24" s="275"/>
      <c r="H24" s="275"/>
      <c r="I24" s="468" t="s">
        <v>970</v>
      </c>
      <c r="J24" s="465">
        <f>IF(M24&lt;&gt;"",ROUND(M24,0),F1040_Line1z)</f>
        <v>0</v>
      </c>
      <c r="K24" s="298"/>
      <c r="M24" s="467"/>
      <c r="N24" s="466"/>
      <c r="O24" s="769"/>
      <c r="P24" s="658"/>
      <c r="Q24" s="658"/>
      <c r="R24" s="658"/>
      <c r="S24" s="658"/>
      <c r="T24" s="658"/>
      <c r="U24" s="658"/>
      <c r="V24" s="658"/>
      <c r="W24" s="658"/>
      <c r="X24" s="658"/>
      <c r="Y24" s="658"/>
      <c r="Z24" s="658"/>
      <c r="AG24" s="466"/>
      <c r="AH24" s="466">
        <v>65</v>
      </c>
    </row>
    <row r="25" spans="1:34" s="26" customFormat="1">
      <c r="A25"/>
      <c r="B25" s="310"/>
      <c r="C25" s="275"/>
      <c r="D25" s="275"/>
      <c r="E25" s="275"/>
      <c r="F25" s="275"/>
      <c r="G25" s="275"/>
      <c r="H25" s="275"/>
      <c r="I25" s="275"/>
      <c r="J25" s="117" t="s">
        <v>5443</v>
      </c>
      <c r="K25" s="298"/>
      <c r="M25" s="110"/>
      <c r="N25" s="466"/>
      <c r="O25" s="769"/>
      <c r="P25" s="658"/>
      <c r="Q25" s="658"/>
      <c r="R25" s="658"/>
      <c r="S25" s="658"/>
      <c r="T25" s="658"/>
      <c r="U25" s="658"/>
      <c r="V25" s="658"/>
      <c r="W25" s="658"/>
      <c r="X25" s="658"/>
      <c r="Y25" s="658"/>
      <c r="Z25" s="658"/>
      <c r="AG25" s="466"/>
      <c r="AH25" s="466"/>
    </row>
    <row r="26" spans="1:34" s="26" customFormat="1">
      <c r="A26"/>
      <c r="B26" s="469" t="s">
        <v>1181</v>
      </c>
      <c r="C26" s="309" t="s">
        <v>1182</v>
      </c>
      <c r="D26" s="275"/>
      <c r="E26" s="275"/>
      <c r="F26" s="275"/>
      <c r="G26" s="275"/>
      <c r="H26" s="275"/>
      <c r="I26" s="275"/>
      <c r="J26" s="275"/>
      <c r="K26" s="298"/>
      <c r="M26" s="110"/>
      <c r="N26" s="466"/>
      <c r="O26" s="769"/>
      <c r="P26" s="658"/>
      <c r="Q26" s="658"/>
      <c r="R26" s="658"/>
      <c r="S26" s="658"/>
      <c r="T26" s="658"/>
      <c r="U26" s="658"/>
      <c r="V26" s="658"/>
      <c r="W26" s="658"/>
      <c r="X26" s="658"/>
      <c r="Y26" s="658"/>
      <c r="Z26" s="658"/>
      <c r="AG26" s="466"/>
      <c r="AH26" s="466"/>
    </row>
    <row r="27" spans="1:34" s="26" customFormat="1" ht="13.5" thickBot="1">
      <c r="A27"/>
      <c r="B27" s="310"/>
      <c r="C27" s="309" t="s">
        <v>1183</v>
      </c>
      <c r="D27" s="275"/>
      <c r="E27" s="275"/>
      <c r="F27" s="275"/>
      <c r="G27" s="275"/>
      <c r="H27" s="275"/>
      <c r="I27" s="275"/>
      <c r="J27" s="275"/>
      <c r="K27" s="298"/>
      <c r="M27" s="110"/>
      <c r="N27" s="466"/>
      <c r="O27" s="769"/>
      <c r="P27" s="658"/>
      <c r="Q27" s="658"/>
      <c r="R27" s="658"/>
      <c r="S27" s="658"/>
      <c r="T27" s="658"/>
      <c r="U27" s="658"/>
      <c r="V27" s="658"/>
      <c r="W27" s="658"/>
      <c r="X27" s="658"/>
      <c r="Y27" s="658"/>
      <c r="Z27" s="658"/>
      <c r="AG27" s="466"/>
      <c r="AH27" s="466"/>
    </row>
    <row r="28" spans="1:34" s="26" customFormat="1" ht="13.5" thickBot="1">
      <c r="A28"/>
      <c r="B28" s="310"/>
      <c r="C28" s="309" t="s">
        <v>1184</v>
      </c>
      <c r="D28" s="275"/>
      <c r="E28" s="275"/>
      <c r="F28" s="275"/>
      <c r="G28" s="275"/>
      <c r="H28" s="275"/>
      <c r="I28" s="468" t="s">
        <v>972</v>
      </c>
      <c r="J28" s="465">
        <f>IF(M28&lt;&gt;"",ROUND(M28,0),CombatPayNoTax)</f>
        <v>0</v>
      </c>
      <c r="K28" s="298"/>
      <c r="M28" s="467"/>
      <c r="N28" s="466"/>
      <c r="O28" s="769"/>
      <c r="P28" s="658"/>
      <c r="Q28" s="658"/>
      <c r="R28" s="658"/>
      <c r="S28" s="658"/>
      <c r="T28" s="658"/>
      <c r="U28" s="658"/>
      <c r="V28" s="658"/>
      <c r="W28" s="658"/>
      <c r="X28" s="658"/>
      <c r="Y28" s="658"/>
      <c r="Z28" s="658"/>
      <c r="AG28" s="466"/>
      <c r="AH28" s="466"/>
    </row>
    <row r="29" spans="1:34" s="26" customFormat="1">
      <c r="A29"/>
      <c r="B29" s="310"/>
      <c r="C29" s="275"/>
      <c r="D29" s="275"/>
      <c r="E29" s="275"/>
      <c r="F29" s="275"/>
      <c r="G29" s="275"/>
      <c r="H29" s="33"/>
      <c r="I29" s="275"/>
      <c r="J29" s="117" t="s">
        <v>5087</v>
      </c>
      <c r="K29" s="298"/>
      <c r="M29" s="110"/>
      <c r="N29" s="466"/>
      <c r="O29" s="769"/>
      <c r="P29" s="658"/>
      <c r="Q29" s="658"/>
      <c r="R29" s="658"/>
      <c r="S29" s="658"/>
      <c r="T29" s="658"/>
      <c r="U29" s="658"/>
      <c r="V29" s="658"/>
      <c r="W29" s="658"/>
      <c r="X29" s="658"/>
      <c r="Y29" s="658"/>
      <c r="Z29" s="658"/>
      <c r="AG29" s="466"/>
      <c r="AH29" s="466"/>
    </row>
    <row r="30" spans="1:34" s="26" customFormat="1">
      <c r="A30"/>
      <c r="B30" s="310"/>
      <c r="C30" s="275"/>
      <c r="D30" s="275"/>
      <c r="E30" s="275"/>
      <c r="F30" s="275"/>
      <c r="G30" s="275"/>
      <c r="H30" s="33"/>
      <c r="I30" s="275"/>
      <c r="J30" s="432"/>
      <c r="K30" s="298"/>
      <c r="M30" s="110"/>
      <c r="N30" s="466"/>
      <c r="O30" s="769"/>
      <c r="P30" s="658"/>
      <c r="Q30" s="658"/>
      <c r="R30" s="658"/>
      <c r="S30" s="658"/>
      <c r="T30" s="658"/>
      <c r="U30" s="658"/>
      <c r="V30" s="658"/>
      <c r="W30" s="658"/>
      <c r="X30" s="658"/>
      <c r="Y30" s="658"/>
      <c r="Z30" s="658"/>
      <c r="AG30" s="466"/>
      <c r="AH30" s="466"/>
    </row>
    <row r="31" spans="1:34" s="26" customFormat="1">
      <c r="A31"/>
      <c r="B31" s="310"/>
      <c r="C31" s="309" t="s">
        <v>1185</v>
      </c>
      <c r="D31" s="275"/>
      <c r="E31" s="275"/>
      <c r="F31" s="275"/>
      <c r="G31" s="275"/>
      <c r="H31" s="275"/>
      <c r="I31" s="275"/>
      <c r="J31" s="275"/>
      <c r="K31" s="298"/>
      <c r="M31" s="110"/>
      <c r="N31" s="466"/>
      <c r="O31" s="769"/>
      <c r="P31" s="658"/>
      <c r="Q31" s="658"/>
      <c r="R31" s="658"/>
      <c r="S31" s="658"/>
      <c r="T31" s="658"/>
      <c r="U31" s="658"/>
      <c r="V31" s="658"/>
      <c r="W31" s="658"/>
      <c r="X31" s="658"/>
      <c r="Y31" s="658"/>
      <c r="Z31" s="658"/>
      <c r="AG31" s="466"/>
      <c r="AH31" s="466"/>
    </row>
    <row r="32" spans="1:34" s="26" customFormat="1">
      <c r="A32"/>
      <c r="B32" s="310"/>
      <c r="C32" s="309" t="s">
        <v>5446</v>
      </c>
      <c r="D32" s="275"/>
      <c r="E32" s="275"/>
      <c r="F32" s="275"/>
      <c r="G32" s="275"/>
      <c r="H32" s="275"/>
      <c r="I32" s="275"/>
      <c r="J32" s="275"/>
      <c r="K32" s="298"/>
      <c r="M32" s="110"/>
      <c r="N32" s="466"/>
      <c r="O32" s="769"/>
      <c r="P32" s="658"/>
      <c r="Q32" s="658"/>
      <c r="R32" s="658"/>
      <c r="S32" s="658"/>
      <c r="T32" s="658"/>
      <c r="U32" s="658"/>
      <c r="V32" s="658"/>
      <c r="W32" s="658"/>
      <c r="X32" s="658"/>
      <c r="Y32" s="658"/>
      <c r="Z32" s="658"/>
      <c r="AG32" s="466"/>
      <c r="AH32" s="466"/>
    </row>
    <row r="33" spans="1:34" s="26" customFormat="1" ht="13.5" thickBot="1">
      <c r="A33"/>
      <c r="B33" s="310"/>
      <c r="C33" s="309"/>
      <c r="D33" s="275"/>
      <c r="E33" s="275"/>
      <c r="F33" s="275"/>
      <c r="G33" s="275"/>
      <c r="H33" s="275"/>
      <c r="I33" s="275"/>
      <c r="J33" s="275"/>
      <c r="K33" s="298"/>
      <c r="M33" s="110"/>
      <c r="N33" s="466"/>
      <c r="O33" s="769"/>
      <c r="P33" s="658"/>
      <c r="Q33" s="658"/>
      <c r="R33" s="658"/>
      <c r="S33" s="658"/>
      <c r="T33" s="658"/>
      <c r="U33" s="658"/>
      <c r="V33" s="658"/>
      <c r="W33" s="658"/>
      <c r="X33" s="658"/>
      <c r="Y33" s="658"/>
      <c r="Z33" s="658"/>
      <c r="AG33" s="466"/>
      <c r="AH33" s="466"/>
    </row>
    <row r="34" spans="1:34" s="26" customFormat="1" ht="13.5" thickBot="1">
      <c r="A34"/>
      <c r="B34" s="469" t="s">
        <v>1186</v>
      </c>
      <c r="C34" s="309" t="s">
        <v>1187</v>
      </c>
      <c r="D34" s="275"/>
      <c r="E34" s="275"/>
      <c r="F34" s="275"/>
      <c r="G34" s="275"/>
      <c r="H34" s="275"/>
      <c r="I34" s="468" t="s">
        <v>1186</v>
      </c>
      <c r="J34" s="465">
        <f>IF(M34&lt;&gt;"",ROUND(M34,0),SchC_StatEmp_Inc)</f>
        <v>0</v>
      </c>
      <c r="K34" s="298"/>
      <c r="M34" s="467"/>
      <c r="N34" s="466"/>
      <c r="O34" s="769"/>
      <c r="P34" s="658"/>
      <c r="Q34" s="658"/>
      <c r="R34" s="658"/>
      <c r="S34" s="658"/>
      <c r="T34" s="658"/>
      <c r="U34" s="658"/>
      <c r="V34" s="658"/>
      <c r="W34" s="658"/>
      <c r="X34" s="658"/>
      <c r="Y34" s="658"/>
      <c r="Z34" s="658"/>
      <c r="AG34" s="466"/>
      <c r="AH34" s="466"/>
    </row>
    <row r="35" spans="1:34" s="26" customFormat="1">
      <c r="A35"/>
      <c r="B35" s="310"/>
      <c r="C35" s="309"/>
      <c r="D35" s="275"/>
      <c r="E35" s="275"/>
      <c r="F35" s="275"/>
      <c r="G35" s="275"/>
      <c r="H35" s="275"/>
      <c r="I35" s="275"/>
      <c r="J35" s="478" t="s">
        <v>5447</v>
      </c>
      <c r="K35" s="298"/>
      <c r="M35" s="110"/>
      <c r="N35" s="466"/>
      <c r="O35" s="769"/>
      <c r="P35" s="658"/>
      <c r="Q35" s="658"/>
      <c r="R35" s="658"/>
      <c r="S35" s="658"/>
      <c r="T35" s="658"/>
      <c r="U35" s="658"/>
      <c r="V35" s="658"/>
      <c r="W35" s="658"/>
      <c r="X35" s="658"/>
      <c r="Y35" s="658"/>
      <c r="Z35" s="658"/>
      <c r="AG35" s="466"/>
      <c r="AH35" s="466"/>
    </row>
    <row r="36" spans="1:34" s="26" customFormat="1" ht="13.5" thickBot="1">
      <c r="A36"/>
      <c r="B36" s="310"/>
      <c r="C36" s="309"/>
      <c r="D36" s="275"/>
      <c r="E36" s="275"/>
      <c r="F36" s="275"/>
      <c r="G36" s="275"/>
      <c r="H36" s="275"/>
      <c r="I36" s="275"/>
      <c r="J36" s="478"/>
      <c r="K36" s="298"/>
      <c r="M36" s="110"/>
      <c r="N36" s="466"/>
      <c r="O36" s="769"/>
      <c r="P36" s="658"/>
      <c r="Q36" s="658"/>
      <c r="R36" s="658"/>
      <c r="S36" s="658"/>
      <c r="T36" s="658"/>
      <c r="U36" s="658"/>
      <c r="V36" s="658"/>
      <c r="W36" s="658"/>
      <c r="X36" s="658"/>
      <c r="Y36" s="658"/>
      <c r="Z36" s="658"/>
      <c r="AG36" s="466"/>
      <c r="AH36" s="466"/>
    </row>
    <row r="37" spans="1:34" s="26" customFormat="1" ht="13.5" thickBot="1">
      <c r="A37"/>
      <c r="B37" s="469" t="s">
        <v>1181</v>
      </c>
      <c r="C37" s="309" t="s">
        <v>1188</v>
      </c>
      <c r="D37" s="275"/>
      <c r="E37" s="275"/>
      <c r="F37" s="275"/>
      <c r="G37" s="275"/>
      <c r="H37" s="275"/>
      <c r="I37" s="468" t="s">
        <v>1194</v>
      </c>
      <c r="J37" s="465">
        <f>IF(M37&lt;&gt;"",ROUND(M37,0),SUM(SchC_ProfitLoss1,SchC_ProfitLoss2,-SchC_StatEmp_Inc))</f>
        <v>0</v>
      </c>
      <c r="K37" s="298"/>
      <c r="M37" s="467"/>
      <c r="N37" s="466"/>
      <c r="O37" s="769"/>
      <c r="P37" s="658"/>
      <c r="Q37" s="658"/>
      <c r="R37" s="658"/>
      <c r="S37" s="658"/>
      <c r="T37" s="658"/>
      <c r="U37" s="658"/>
      <c r="V37" s="658"/>
      <c r="W37" s="658"/>
      <c r="X37" s="658"/>
      <c r="Y37" s="658"/>
      <c r="Z37" s="658"/>
      <c r="AG37" s="466"/>
      <c r="AH37" s="466"/>
    </row>
    <row r="38" spans="1:34" s="26" customFormat="1">
      <c r="A38"/>
      <c r="B38" s="469"/>
      <c r="C38" s="309" t="s">
        <v>1189</v>
      </c>
      <c r="D38" s="275"/>
      <c r="E38" s="275"/>
      <c r="F38" s="275"/>
      <c r="G38" s="275"/>
      <c r="H38" s="275"/>
      <c r="I38" s="275"/>
      <c r="J38" s="478" t="s">
        <v>1195</v>
      </c>
      <c r="K38" s="298"/>
      <c r="M38" s="110"/>
      <c r="N38" s="466"/>
      <c r="O38" s="769"/>
      <c r="P38" s="658"/>
      <c r="Q38" s="658"/>
      <c r="R38" s="658"/>
      <c r="S38" s="658"/>
      <c r="T38" s="658"/>
      <c r="U38" s="658"/>
      <c r="V38" s="658"/>
      <c r="W38" s="658"/>
      <c r="X38" s="658"/>
      <c r="Y38" s="658"/>
      <c r="Z38" s="658"/>
      <c r="AG38" s="466"/>
      <c r="AH38" s="466"/>
    </row>
    <row r="39" spans="1:34" s="26" customFormat="1">
      <c r="A39"/>
      <c r="B39" s="469"/>
      <c r="C39" s="309" t="s">
        <v>1190</v>
      </c>
      <c r="D39" s="275"/>
      <c r="E39" s="275"/>
      <c r="F39" s="275"/>
      <c r="G39" s="275"/>
      <c r="H39" s="275"/>
      <c r="I39" s="275"/>
      <c r="J39" s="275"/>
      <c r="K39" s="298"/>
      <c r="M39" s="110"/>
      <c r="N39" s="466"/>
      <c r="O39" s="769"/>
      <c r="P39" s="658"/>
      <c r="Q39" s="658"/>
      <c r="R39" s="658"/>
      <c r="S39" s="658"/>
      <c r="T39" s="658"/>
      <c r="U39" s="658"/>
      <c r="V39" s="658"/>
      <c r="W39" s="658"/>
      <c r="X39" s="658"/>
      <c r="Y39" s="658"/>
      <c r="Z39" s="658"/>
      <c r="AG39" s="466"/>
      <c r="AH39" s="466"/>
    </row>
    <row r="40" spans="1:34" s="26" customFormat="1">
      <c r="A40"/>
      <c r="B40" s="469"/>
      <c r="C40" s="309" t="s">
        <v>1191</v>
      </c>
      <c r="D40" s="275"/>
      <c r="E40" s="275"/>
      <c r="F40" s="275"/>
      <c r="G40" s="275"/>
      <c r="H40" s="275"/>
      <c r="I40" s="275"/>
      <c r="J40" s="275"/>
      <c r="K40" s="298"/>
      <c r="M40" s="110"/>
      <c r="N40" s="466"/>
      <c r="O40" s="769"/>
      <c r="P40" s="658"/>
      <c r="Q40" s="658"/>
      <c r="R40" s="658"/>
      <c r="S40" s="658"/>
      <c r="T40" s="658"/>
      <c r="U40" s="658"/>
      <c r="V40" s="658"/>
      <c r="W40" s="658"/>
      <c r="X40" s="658"/>
      <c r="Y40" s="658"/>
      <c r="Z40" s="658"/>
      <c r="AG40" s="466"/>
      <c r="AH40" s="466"/>
    </row>
    <row r="41" spans="1:34" s="26" customFormat="1">
      <c r="A41"/>
      <c r="B41" s="469"/>
      <c r="C41" s="309" t="s">
        <v>1192</v>
      </c>
      <c r="D41" s="275"/>
      <c r="E41" s="275"/>
      <c r="F41" s="275"/>
      <c r="G41" s="275"/>
      <c r="H41" s="275"/>
      <c r="I41" s="275"/>
      <c r="J41" s="275"/>
      <c r="K41" s="298"/>
      <c r="M41" s="110"/>
      <c r="N41" s="466"/>
      <c r="O41" s="769"/>
      <c r="P41" s="658"/>
      <c r="Q41" s="658"/>
      <c r="R41" s="658"/>
      <c r="S41" s="658"/>
      <c r="T41" s="658"/>
      <c r="U41" s="658"/>
      <c r="V41" s="658"/>
      <c r="W41" s="658"/>
      <c r="X41" s="658"/>
      <c r="Y41" s="658"/>
      <c r="Z41" s="658"/>
      <c r="AG41" s="466"/>
      <c r="AH41" s="466"/>
    </row>
    <row r="42" spans="1:34" s="26" customFormat="1">
      <c r="A42"/>
      <c r="B42" s="310"/>
      <c r="C42" s="309" t="s">
        <v>1193</v>
      </c>
      <c r="D42" s="275"/>
      <c r="E42" s="275"/>
      <c r="F42" s="275"/>
      <c r="G42" s="275"/>
      <c r="H42" s="275"/>
      <c r="I42" s="275"/>
      <c r="J42" s="275"/>
      <c r="K42" s="298"/>
      <c r="M42" s="110"/>
      <c r="N42" s="466"/>
      <c r="O42" s="769"/>
      <c r="P42" s="658"/>
      <c r="Q42" s="658"/>
      <c r="R42" s="658"/>
      <c r="S42" s="658"/>
      <c r="T42" s="658"/>
      <c r="U42" s="658"/>
      <c r="V42" s="658"/>
      <c r="W42" s="658"/>
      <c r="X42" s="658"/>
      <c r="Y42" s="658"/>
      <c r="Z42" s="658"/>
      <c r="AG42" s="466"/>
      <c r="AH42" s="466"/>
    </row>
    <row r="43" spans="1:34" s="26" customFormat="1" ht="13.5" thickBot="1">
      <c r="A43"/>
      <c r="B43" s="310"/>
      <c r="C43" s="309"/>
      <c r="D43" s="275"/>
      <c r="E43" s="275"/>
      <c r="F43" s="275"/>
      <c r="G43" s="275"/>
      <c r="H43" s="275"/>
      <c r="I43" s="275"/>
      <c r="J43" s="275"/>
      <c r="K43" s="298"/>
      <c r="M43" s="110"/>
      <c r="N43" s="466"/>
      <c r="O43" s="769"/>
      <c r="P43" s="658"/>
      <c r="Q43" s="658"/>
      <c r="R43" s="658"/>
      <c r="S43" s="658"/>
      <c r="T43" s="658"/>
      <c r="U43" s="658"/>
      <c r="V43" s="658"/>
      <c r="W43" s="658"/>
      <c r="X43" s="658"/>
      <c r="Y43" s="658"/>
      <c r="Z43" s="658"/>
      <c r="AG43" s="466"/>
      <c r="AH43" s="466"/>
    </row>
    <row r="44" spans="1:34" s="26" customFormat="1" ht="13.5" thickBot="1">
      <c r="A44"/>
      <c r="B44" s="469" t="s">
        <v>1196</v>
      </c>
      <c r="C44" s="309" t="s">
        <v>1197</v>
      </c>
      <c r="D44" s="275"/>
      <c r="E44" s="275"/>
      <c r="F44" s="275"/>
      <c r="G44" s="275"/>
      <c r="H44" s="275"/>
      <c r="I44" s="468" t="s">
        <v>1202</v>
      </c>
      <c r="J44" s="465">
        <f>IF(M44&lt;&gt;"",ROUND(M44,0),FarmProfitNet)</f>
        <v>0</v>
      </c>
      <c r="K44" s="298"/>
      <c r="M44" s="467"/>
      <c r="N44" s="466"/>
      <c r="O44" s="769"/>
      <c r="P44" s="658"/>
      <c r="Q44" s="658"/>
      <c r="R44" s="658"/>
      <c r="S44" s="658"/>
      <c r="T44" s="658"/>
      <c r="U44" s="658"/>
      <c r="V44" s="658"/>
      <c r="W44" s="658"/>
      <c r="X44" s="658"/>
      <c r="Y44" s="658"/>
      <c r="Z44" s="658"/>
      <c r="AG44" s="466"/>
      <c r="AH44" s="466"/>
    </row>
    <row r="45" spans="1:34" s="26" customFormat="1">
      <c r="A45"/>
      <c r="B45" s="469"/>
      <c r="C45" s="309" t="s">
        <v>1198</v>
      </c>
      <c r="D45" s="275"/>
      <c r="E45" s="275"/>
      <c r="F45" s="275"/>
      <c r="G45" s="275"/>
      <c r="H45" s="275"/>
      <c r="I45" s="275"/>
      <c r="J45" s="478" t="s">
        <v>1203</v>
      </c>
      <c r="K45" s="298"/>
      <c r="M45" s="110"/>
      <c r="N45" s="466"/>
      <c r="O45" s="769"/>
      <c r="P45" s="658"/>
      <c r="Q45" s="658"/>
      <c r="R45" s="658"/>
      <c r="S45" s="658"/>
      <c r="T45" s="658"/>
      <c r="U45" s="658"/>
      <c r="V45" s="658"/>
      <c r="W45" s="658"/>
      <c r="X45" s="658"/>
      <c r="Y45" s="658"/>
      <c r="Z45" s="658"/>
      <c r="AG45" s="466"/>
      <c r="AH45" s="466"/>
    </row>
    <row r="46" spans="1:34" s="26" customFormat="1">
      <c r="A46"/>
      <c r="B46" s="469"/>
      <c r="C46" s="309" t="s">
        <v>1199</v>
      </c>
      <c r="D46" s="275"/>
      <c r="E46" s="275"/>
      <c r="F46" s="275"/>
      <c r="G46" s="275"/>
      <c r="H46" s="275"/>
      <c r="I46" s="275"/>
      <c r="J46" s="275"/>
      <c r="K46" s="298"/>
      <c r="M46" s="110"/>
      <c r="N46" s="466"/>
      <c r="O46" s="769"/>
      <c r="P46" s="658"/>
      <c r="Q46" s="658"/>
      <c r="R46" s="658"/>
      <c r="S46" s="658"/>
      <c r="T46" s="658"/>
      <c r="U46" s="658"/>
      <c r="V46" s="658"/>
      <c r="W46" s="658"/>
      <c r="X46" s="658"/>
      <c r="Y46" s="658"/>
      <c r="Z46" s="658"/>
      <c r="AG46" s="466"/>
      <c r="AH46" s="466"/>
    </row>
    <row r="47" spans="1:34" s="26" customFormat="1">
      <c r="A47"/>
      <c r="B47" s="469"/>
      <c r="C47" s="309" t="s">
        <v>1200</v>
      </c>
      <c r="D47" s="275"/>
      <c r="E47" s="275"/>
      <c r="F47" s="275"/>
      <c r="G47" s="275"/>
      <c r="H47" s="275"/>
      <c r="I47" s="275"/>
      <c r="J47" s="275"/>
      <c r="K47" s="298"/>
      <c r="M47" s="110"/>
      <c r="N47" s="466"/>
      <c r="O47" s="769"/>
      <c r="P47" s="658"/>
      <c r="Q47" s="658"/>
      <c r="R47" s="658"/>
      <c r="S47" s="658"/>
      <c r="T47" s="658"/>
      <c r="U47" s="658"/>
      <c r="V47" s="658"/>
      <c r="W47" s="658"/>
      <c r="X47" s="658"/>
      <c r="Y47" s="658"/>
      <c r="Z47" s="658"/>
      <c r="AG47" s="466"/>
      <c r="AH47" s="466"/>
    </row>
    <row r="48" spans="1:34" s="26" customFormat="1">
      <c r="A48"/>
      <c r="B48" s="310"/>
      <c r="C48" s="309" t="s">
        <v>1201</v>
      </c>
      <c r="D48" s="275"/>
      <c r="E48" s="275"/>
      <c r="F48" s="275"/>
      <c r="G48" s="275"/>
      <c r="H48" s="275"/>
      <c r="I48" s="275"/>
      <c r="J48" s="275"/>
      <c r="K48" s="298"/>
      <c r="M48" s="110"/>
      <c r="N48" s="466"/>
      <c r="O48" s="769"/>
      <c r="P48" s="658"/>
      <c r="Q48" s="658"/>
      <c r="R48" s="658"/>
      <c r="S48" s="658"/>
      <c r="T48" s="658"/>
      <c r="U48" s="658"/>
      <c r="V48" s="658"/>
      <c r="W48" s="658"/>
      <c r="X48" s="658"/>
      <c r="Y48" s="658"/>
      <c r="Z48" s="658"/>
      <c r="AG48" s="466"/>
      <c r="AH48" s="466"/>
    </row>
    <row r="49" spans="1:34" s="26" customFormat="1" ht="13.5" thickBot="1">
      <c r="A49"/>
      <c r="B49" s="310"/>
      <c r="C49" s="309"/>
      <c r="D49" s="275"/>
      <c r="E49" s="275"/>
      <c r="F49" s="275"/>
      <c r="G49" s="275"/>
      <c r="H49" s="275"/>
      <c r="I49" s="275"/>
      <c r="J49" s="275"/>
      <c r="K49" s="298"/>
      <c r="M49" s="110"/>
      <c r="N49" s="466"/>
      <c r="O49" s="769"/>
      <c r="P49" s="658"/>
      <c r="Q49" s="658"/>
      <c r="R49" s="658"/>
      <c r="S49" s="658"/>
      <c r="T49" s="658"/>
      <c r="U49" s="658"/>
      <c r="V49" s="658"/>
      <c r="W49" s="658"/>
      <c r="X49" s="658"/>
      <c r="Y49" s="658"/>
      <c r="Z49" s="658"/>
      <c r="AG49" s="466"/>
      <c r="AH49" s="466"/>
    </row>
    <row r="50" spans="1:34" s="26" customFormat="1" ht="13.5" thickBot="1">
      <c r="A50"/>
      <c r="B50" s="469" t="s">
        <v>1204</v>
      </c>
      <c r="C50" s="309" t="s">
        <v>1205</v>
      </c>
      <c r="D50" s="275"/>
      <c r="E50" s="275"/>
      <c r="F50" s="275"/>
      <c r="G50" s="275"/>
      <c r="H50" s="275"/>
      <c r="I50" s="468" t="s">
        <v>1208</v>
      </c>
      <c r="J50" s="465">
        <f>IF(M50&lt;&gt;"",ROUND(M50,0),SUM(ROUND(FarmOptMeth1,0),ROUND(FarmOptMeth2,0)))</f>
        <v>0</v>
      </c>
      <c r="K50" s="298"/>
      <c r="M50" s="467"/>
      <c r="N50" s="466"/>
      <c r="O50" s="769"/>
      <c r="P50" s="658"/>
      <c r="Q50" s="658"/>
      <c r="R50" s="658"/>
      <c r="S50" s="658"/>
      <c r="T50" s="658"/>
      <c r="U50" s="658"/>
      <c r="V50" s="658"/>
      <c r="W50" s="658"/>
      <c r="X50" s="658"/>
      <c r="Y50" s="658"/>
      <c r="Z50" s="658"/>
      <c r="AG50" s="466"/>
      <c r="AH50" s="466"/>
    </row>
    <row r="51" spans="1:34" s="26" customFormat="1">
      <c r="A51"/>
      <c r="B51" s="469"/>
      <c r="C51" s="309" t="s">
        <v>1206</v>
      </c>
      <c r="D51" s="275"/>
      <c r="E51" s="275"/>
      <c r="F51" s="275"/>
      <c r="G51" s="275"/>
      <c r="H51" s="275"/>
      <c r="I51" s="275"/>
      <c r="J51" s="478" t="s">
        <v>1209</v>
      </c>
      <c r="K51" s="298"/>
      <c r="M51" s="110"/>
      <c r="N51" s="466"/>
      <c r="O51" s="769"/>
      <c r="P51" s="658"/>
      <c r="Q51" s="658"/>
      <c r="R51" s="658"/>
      <c r="S51" s="658"/>
      <c r="T51" s="658"/>
      <c r="U51" s="658"/>
      <c r="V51" s="658"/>
      <c r="W51" s="658"/>
      <c r="X51" s="658"/>
      <c r="Y51" s="658"/>
      <c r="Z51" s="658"/>
      <c r="AG51" s="466"/>
      <c r="AH51" s="466"/>
    </row>
    <row r="52" spans="1:34" s="26" customFormat="1">
      <c r="A52"/>
      <c r="B52" s="310"/>
      <c r="C52" s="309" t="s">
        <v>1207</v>
      </c>
      <c r="D52" s="275"/>
      <c r="E52" s="275"/>
      <c r="F52" s="275"/>
      <c r="G52" s="275"/>
      <c r="H52" s="275"/>
      <c r="I52" s="275"/>
      <c r="J52" s="478" t="s">
        <v>1210</v>
      </c>
      <c r="K52" s="298"/>
      <c r="M52" s="110"/>
      <c r="N52" s="466"/>
      <c r="O52" s="769"/>
      <c r="P52" s="658"/>
      <c r="Q52" s="658"/>
      <c r="R52" s="658"/>
      <c r="S52" s="658"/>
      <c r="T52" s="658"/>
      <c r="U52" s="658"/>
      <c r="V52" s="658"/>
      <c r="W52" s="658"/>
      <c r="X52" s="658"/>
      <c r="Y52" s="658"/>
      <c r="Z52" s="658"/>
      <c r="AG52" s="466"/>
      <c r="AH52" s="466"/>
    </row>
    <row r="53" spans="1:34" s="26" customFormat="1" ht="13.5" thickBot="1">
      <c r="A53"/>
      <c r="B53" s="469"/>
      <c r="C53" s="309"/>
      <c r="D53" s="275"/>
      <c r="E53" s="275"/>
      <c r="F53" s="275"/>
      <c r="G53" s="275"/>
      <c r="H53" s="275"/>
      <c r="I53" s="275"/>
      <c r="J53" s="275"/>
      <c r="K53" s="298"/>
      <c r="M53" s="110"/>
      <c r="N53" s="466"/>
      <c r="O53" s="769"/>
      <c r="P53" s="658"/>
      <c r="Q53" s="658"/>
      <c r="R53" s="658"/>
      <c r="S53" s="658"/>
      <c r="T53" s="658"/>
      <c r="U53" s="658"/>
      <c r="V53" s="658"/>
      <c r="W53" s="658"/>
      <c r="X53" s="658"/>
      <c r="Y53" s="658"/>
      <c r="Z53" s="658"/>
      <c r="AG53" s="466"/>
      <c r="AH53" s="466"/>
    </row>
    <row r="54" spans="1:34" s="26" customFormat="1" ht="13.5" thickBot="1">
      <c r="A54"/>
      <c r="B54" s="469" t="s">
        <v>1211</v>
      </c>
      <c r="C54" s="309" t="s">
        <v>5448</v>
      </c>
      <c r="D54" s="275"/>
      <c r="E54" s="275"/>
      <c r="F54" s="275"/>
      <c r="G54" s="275"/>
      <c r="H54" s="275"/>
      <c r="I54" s="468" t="s">
        <v>1212</v>
      </c>
      <c r="J54" s="465">
        <f>IF(M54&lt;&gt;"",ROUND(M54,0),IF(J44&gt;0,MIN(J44,J50),IF(J44&lt;0,J44,0)))</f>
        <v>0</v>
      </c>
      <c r="K54" s="298"/>
      <c r="M54" s="467"/>
      <c r="N54" s="466"/>
      <c r="O54" s="769"/>
      <c r="P54" s="658"/>
      <c r="Q54" s="658"/>
      <c r="R54" s="658"/>
      <c r="S54" s="658"/>
      <c r="T54" s="658"/>
      <c r="U54" s="658"/>
      <c r="V54" s="658"/>
      <c r="W54" s="658"/>
      <c r="X54" s="658"/>
      <c r="Y54" s="658"/>
      <c r="Z54" s="658"/>
      <c r="AG54" s="466"/>
      <c r="AH54" s="466"/>
    </row>
    <row r="55" spans="1:34" s="26" customFormat="1">
      <c r="A55"/>
      <c r="B55" s="310"/>
      <c r="C55" s="309" t="s">
        <v>5449</v>
      </c>
      <c r="D55" s="275"/>
      <c r="E55" s="275"/>
      <c r="F55" s="275"/>
      <c r="G55" s="275"/>
      <c r="H55" s="275"/>
      <c r="I55" s="275"/>
      <c r="J55" s="478"/>
      <c r="K55" s="298"/>
      <c r="M55" s="110"/>
      <c r="N55" s="466"/>
      <c r="O55" s="769"/>
      <c r="P55" s="658"/>
      <c r="Q55" s="658"/>
      <c r="R55" s="658"/>
      <c r="S55" s="658"/>
      <c r="T55" s="658"/>
      <c r="U55" s="658"/>
      <c r="V55" s="658"/>
      <c r="W55" s="658"/>
      <c r="X55" s="658"/>
      <c r="Y55" s="658"/>
      <c r="Z55" s="658"/>
      <c r="AG55" s="466"/>
      <c r="AH55" s="466"/>
    </row>
    <row r="56" spans="1:34" s="26" customFormat="1" ht="13.5" thickBot="1">
      <c r="A56"/>
      <c r="B56" s="310"/>
      <c r="C56" s="309"/>
      <c r="D56" s="275"/>
      <c r="E56" s="275"/>
      <c r="F56" s="275"/>
      <c r="G56" s="275"/>
      <c r="H56" s="275"/>
      <c r="I56" s="468"/>
      <c r="J56" s="468"/>
      <c r="K56" s="298"/>
      <c r="M56" s="110"/>
      <c r="N56" s="466"/>
      <c r="O56" s="769"/>
      <c r="P56" s="658"/>
      <c r="Q56" s="658"/>
      <c r="R56" s="658"/>
      <c r="S56" s="658"/>
      <c r="T56" s="658"/>
      <c r="U56" s="658"/>
      <c r="V56" s="658"/>
      <c r="W56" s="658"/>
      <c r="X56" s="658"/>
      <c r="Y56" s="658"/>
      <c r="Z56" s="658"/>
      <c r="AG56" s="466"/>
      <c r="AH56" s="466"/>
    </row>
    <row r="57" spans="1:34" s="26" customFormat="1" ht="13.5" thickBot="1">
      <c r="A57"/>
      <c r="B57" s="469" t="s">
        <v>5450</v>
      </c>
      <c r="C57" s="309" t="s">
        <v>5451</v>
      </c>
      <c r="D57" s="275"/>
      <c r="E57" s="275"/>
      <c r="F57" s="275"/>
      <c r="G57" s="275"/>
      <c r="H57" s="275"/>
      <c r="I57" s="468" t="s">
        <v>5452</v>
      </c>
      <c r="J57" s="465">
        <f>IF(M57&lt;&gt;"",ROUND(M57,0),'Sch. 1'!W43)</f>
        <v>0</v>
      </c>
      <c r="K57" s="298"/>
      <c r="M57" s="467"/>
      <c r="N57" s="466"/>
      <c r="O57" s="769"/>
      <c r="P57" s="658"/>
      <c r="Q57" s="658"/>
      <c r="R57" s="658"/>
      <c r="S57" s="658"/>
      <c r="T57" s="658"/>
      <c r="U57" s="658"/>
      <c r="V57" s="658"/>
      <c r="W57" s="658"/>
      <c r="X57" s="658"/>
      <c r="Y57" s="658"/>
      <c r="Z57" s="658"/>
      <c r="AG57" s="466"/>
      <c r="AH57" s="466"/>
    </row>
    <row r="58" spans="1:34" s="26" customFormat="1" ht="13.5" thickBot="1">
      <c r="A58"/>
      <c r="B58" s="310"/>
      <c r="C58" s="309"/>
      <c r="D58" s="275"/>
      <c r="E58" s="275"/>
      <c r="F58" s="275"/>
      <c r="G58" s="275"/>
      <c r="H58" s="275"/>
      <c r="I58" s="468"/>
      <c r="J58" s="4130" t="s">
        <v>5453</v>
      </c>
      <c r="K58" s="298"/>
      <c r="M58" s="110"/>
      <c r="N58" s="466"/>
      <c r="O58" s="769"/>
      <c r="P58" s="658"/>
      <c r="Q58" s="658"/>
      <c r="R58" s="658"/>
      <c r="S58" s="658"/>
      <c r="T58" s="658"/>
      <c r="U58" s="658"/>
      <c r="V58" s="658"/>
      <c r="W58" s="658"/>
      <c r="X58" s="658"/>
      <c r="Y58" s="658"/>
      <c r="Z58" s="658"/>
      <c r="AG58" s="466"/>
      <c r="AH58" s="466"/>
    </row>
    <row r="59" spans="1:34" s="26" customFormat="1" ht="13.5" thickBot="1">
      <c r="A59"/>
      <c r="B59" s="469" t="s">
        <v>5454</v>
      </c>
      <c r="C59" s="309" t="s">
        <v>5455</v>
      </c>
      <c r="D59" s="275"/>
      <c r="E59" s="275"/>
      <c r="F59" s="275"/>
      <c r="G59" s="275"/>
      <c r="H59" s="275"/>
      <c r="I59" s="468" t="s">
        <v>5456</v>
      </c>
      <c r="J59" s="465">
        <f>IF(M59&lt;&gt;"",ROUND(M59,0),'Sch. 1'!W47)</f>
        <v>0</v>
      </c>
      <c r="K59" s="298"/>
      <c r="M59" s="467"/>
      <c r="N59" s="466"/>
      <c r="O59" s="769"/>
      <c r="P59" s="658"/>
      <c r="Q59" s="658"/>
      <c r="R59" s="658"/>
      <c r="S59" s="658"/>
      <c r="T59" s="658"/>
      <c r="U59" s="658"/>
      <c r="V59" s="658"/>
      <c r="W59" s="658"/>
      <c r="X59" s="658"/>
      <c r="Y59" s="658"/>
      <c r="Z59" s="658"/>
      <c r="AG59" s="466"/>
      <c r="AH59" s="466"/>
    </row>
    <row r="60" spans="1:34" s="26" customFormat="1" ht="13.5" thickBot="1">
      <c r="A60"/>
      <c r="B60" s="310"/>
      <c r="C60" s="309"/>
      <c r="D60" s="275"/>
      <c r="E60" s="275"/>
      <c r="F60" s="275"/>
      <c r="G60" s="275"/>
      <c r="H60" s="275"/>
      <c r="I60" s="468"/>
      <c r="J60" s="4130" t="s">
        <v>5457</v>
      </c>
      <c r="K60" s="298"/>
      <c r="M60" s="110"/>
      <c r="N60" s="466"/>
      <c r="O60" s="769"/>
      <c r="P60" s="658"/>
      <c r="Q60" s="658"/>
      <c r="R60" s="658"/>
      <c r="S60" s="658"/>
      <c r="T60" s="658"/>
      <c r="U60" s="658"/>
      <c r="V60" s="658"/>
      <c r="W60" s="658"/>
      <c r="X60" s="658"/>
      <c r="Y60" s="658"/>
      <c r="Z60" s="658"/>
      <c r="AG60" s="466"/>
      <c r="AH60" s="466"/>
    </row>
    <row r="61" spans="1:34" s="26" customFormat="1" ht="13.5" thickBot="1">
      <c r="A61"/>
      <c r="B61" s="469" t="s">
        <v>5458</v>
      </c>
      <c r="C61" s="309" t="s">
        <v>5459</v>
      </c>
      <c r="D61" s="275"/>
      <c r="E61" s="275"/>
      <c r="F61" s="275"/>
      <c r="G61" s="275"/>
      <c r="H61" s="275"/>
      <c r="I61" s="468" t="s">
        <v>5460</v>
      </c>
      <c r="J61" s="465">
        <f>IF(M61&lt;&gt;"",ROUND(M61,0),'Sch. 1'!W48)</f>
        <v>0</v>
      </c>
      <c r="K61" s="298"/>
      <c r="M61" s="467"/>
      <c r="N61" s="466"/>
      <c r="O61" s="769"/>
      <c r="P61" s="658"/>
      <c r="Q61" s="658"/>
      <c r="R61" s="658"/>
      <c r="S61" s="658"/>
      <c r="T61" s="658"/>
      <c r="U61" s="658"/>
      <c r="V61" s="658"/>
      <c r="W61" s="658"/>
      <c r="X61" s="658"/>
      <c r="Y61" s="658"/>
      <c r="Z61" s="658"/>
      <c r="AG61" s="466"/>
      <c r="AH61" s="466"/>
    </row>
    <row r="62" spans="1:34" s="26" customFormat="1">
      <c r="A62"/>
      <c r="B62" s="469"/>
      <c r="C62" s="309"/>
      <c r="D62" s="275"/>
      <c r="E62" s="275"/>
      <c r="F62" s="275"/>
      <c r="G62" s="275"/>
      <c r="H62" s="275"/>
      <c r="I62" s="275"/>
      <c r="J62" s="4130" t="s">
        <v>5461</v>
      </c>
      <c r="K62" s="298"/>
      <c r="M62" s="110"/>
      <c r="N62" s="466"/>
      <c r="O62" s="769"/>
      <c r="P62" s="658"/>
      <c r="Q62" s="658"/>
      <c r="R62" s="658"/>
      <c r="S62" s="658"/>
      <c r="T62" s="658"/>
      <c r="U62" s="658"/>
      <c r="V62" s="658"/>
      <c r="W62" s="658"/>
      <c r="X62" s="658"/>
      <c r="Y62" s="658"/>
      <c r="Z62" s="658"/>
      <c r="AG62" s="466"/>
      <c r="AH62" s="466"/>
    </row>
    <row r="63" spans="1:34" s="26" customFormat="1">
      <c r="A63"/>
      <c r="B63" s="469" t="s">
        <v>167</v>
      </c>
      <c r="C63" s="309" t="s">
        <v>5086</v>
      </c>
      <c r="D63" s="275"/>
      <c r="E63" s="275"/>
      <c r="F63" s="309" t="s">
        <v>1213</v>
      </c>
      <c r="G63" s="309"/>
      <c r="H63" s="275"/>
      <c r="I63" s="275"/>
      <c r="J63" s="478"/>
      <c r="K63" s="298"/>
      <c r="M63" s="110"/>
      <c r="N63" s="466"/>
      <c r="O63" s="769"/>
      <c r="P63" s="658"/>
      <c r="Q63" s="658"/>
      <c r="R63" s="658"/>
      <c r="S63" s="658"/>
      <c r="T63" s="658"/>
      <c r="U63" s="658"/>
      <c r="V63" s="658"/>
      <c r="W63" s="658"/>
      <c r="X63" s="658"/>
      <c r="Y63" s="658"/>
      <c r="Z63" s="658"/>
      <c r="AG63" s="466"/>
      <c r="AH63" s="466"/>
    </row>
    <row r="64" spans="1:34" s="26" customFormat="1" ht="13.5" thickBot="1">
      <c r="A64"/>
      <c r="B64" s="469"/>
      <c r="C64" s="309" t="s">
        <v>1213</v>
      </c>
      <c r="D64" s="275"/>
      <c r="E64" s="275"/>
      <c r="F64" s="309"/>
      <c r="G64" s="309"/>
      <c r="H64" s="275"/>
      <c r="I64" s="275"/>
      <c r="J64" s="478"/>
      <c r="K64" s="298"/>
      <c r="M64" s="110"/>
      <c r="N64" s="466"/>
      <c r="O64" s="769"/>
      <c r="P64" s="658"/>
      <c r="Q64" s="658"/>
      <c r="R64" s="658"/>
      <c r="S64" s="658"/>
      <c r="T64" s="658"/>
      <c r="U64" s="658"/>
      <c r="V64" s="658"/>
      <c r="W64" s="658"/>
      <c r="X64" s="658"/>
      <c r="Y64" s="658"/>
      <c r="Z64" s="658"/>
      <c r="AG64" s="466"/>
      <c r="AH64" s="466"/>
    </row>
    <row r="65" spans="1:34" s="26" customFormat="1" ht="13.5" thickBot="1">
      <c r="A65"/>
      <c r="B65" s="310"/>
      <c r="C65" s="309" t="s">
        <v>5462</v>
      </c>
      <c r="D65" s="275"/>
      <c r="E65" s="275"/>
      <c r="F65" s="275"/>
      <c r="G65" s="275"/>
      <c r="H65" s="275"/>
      <c r="I65" s="468" t="s">
        <v>167</v>
      </c>
      <c r="J65" s="465">
        <f>IF(M65&lt;&gt;"",ROUND(M65,0),SUM(J24,J28,J34,J37,J54,J57,J59,J61))</f>
        <v>0</v>
      </c>
      <c r="K65" s="298"/>
      <c r="M65" s="467"/>
      <c r="N65" s="466"/>
      <c r="O65" s="769"/>
      <c r="P65" s="658"/>
      <c r="Q65" s="658"/>
      <c r="R65" s="658"/>
      <c r="S65" s="658"/>
      <c r="T65" s="658"/>
      <c r="U65" s="658"/>
      <c r="V65" s="658"/>
      <c r="W65" s="658"/>
      <c r="X65" s="658"/>
      <c r="Y65" s="658"/>
      <c r="Z65" s="658"/>
      <c r="AG65" s="466"/>
      <c r="AH65" s="466"/>
    </row>
    <row r="66" spans="1:34" s="26" customFormat="1">
      <c r="A66"/>
      <c r="B66" s="310"/>
      <c r="C66" s="309" t="s">
        <v>5463</v>
      </c>
      <c r="D66" s="275"/>
      <c r="E66" s="275"/>
      <c r="F66" s="275"/>
      <c r="G66" s="275"/>
      <c r="H66" s="275"/>
      <c r="I66" s="468"/>
      <c r="J66" s="4131" t="b">
        <f>J65&lt;=0</f>
        <v>1</v>
      </c>
      <c r="K66" s="298"/>
      <c r="M66" s="110"/>
      <c r="N66" s="466"/>
      <c r="O66" s="769"/>
      <c r="P66" s="658"/>
      <c r="Q66" s="658"/>
      <c r="R66" s="658"/>
      <c r="S66" s="658"/>
      <c r="T66" s="658"/>
      <c r="U66" s="658"/>
      <c r="V66" s="658"/>
      <c r="W66" s="658"/>
      <c r="X66" s="658"/>
      <c r="Y66" s="658"/>
      <c r="Z66" s="658"/>
      <c r="AG66" s="466"/>
      <c r="AH66" s="466"/>
    </row>
    <row r="67" spans="1:34" s="26" customFormat="1">
      <c r="A67"/>
      <c r="B67" s="310"/>
      <c r="C67" s="309"/>
      <c r="D67" s="275"/>
      <c r="E67" s="275"/>
      <c r="F67" s="275"/>
      <c r="G67" s="275"/>
      <c r="H67" s="275"/>
      <c r="I67" s="275"/>
      <c r="J67" s="275"/>
      <c r="K67" s="298"/>
      <c r="M67" s="110"/>
      <c r="N67" s="466"/>
      <c r="O67" s="769"/>
      <c r="P67" s="658"/>
      <c r="Q67" s="658"/>
      <c r="R67" s="658"/>
      <c r="S67" s="658"/>
      <c r="T67" s="658"/>
      <c r="U67" s="658"/>
      <c r="V67" s="658"/>
      <c r="W67" s="658"/>
      <c r="X67" s="658"/>
      <c r="Y67" s="658"/>
      <c r="Z67" s="658"/>
      <c r="AG67" s="466"/>
      <c r="AH67" s="466"/>
    </row>
    <row r="68" spans="1:34" s="26" customFormat="1">
      <c r="A68"/>
      <c r="B68" s="310"/>
      <c r="C68" s="309" t="s">
        <v>5464</v>
      </c>
      <c r="D68" s="275"/>
      <c r="E68" s="275"/>
      <c r="F68" s="275"/>
      <c r="G68" s="275"/>
      <c r="H68" s="275"/>
      <c r="I68" s="468"/>
      <c r="J68" s="468"/>
      <c r="K68" s="298"/>
      <c r="M68" s="110"/>
      <c r="N68" s="466"/>
      <c r="O68" s="769"/>
      <c r="P68" s="658"/>
      <c r="Q68" s="658"/>
      <c r="R68" s="658"/>
      <c r="S68" s="658"/>
      <c r="T68" s="658"/>
      <c r="U68" s="658"/>
      <c r="V68" s="658"/>
      <c r="W68" s="658"/>
      <c r="X68" s="658"/>
      <c r="Y68" s="658"/>
      <c r="Z68" s="658"/>
      <c r="AG68" s="466"/>
      <c r="AH68" s="466"/>
    </row>
    <row r="69" spans="1:34" s="26" customFormat="1">
      <c r="A69"/>
      <c r="B69" s="469"/>
      <c r="C69" s="309"/>
      <c r="D69" s="275"/>
      <c r="E69" s="275"/>
      <c r="F69" s="275"/>
      <c r="G69" s="275"/>
      <c r="H69" s="275"/>
      <c r="I69" s="275"/>
      <c r="J69" s="636"/>
      <c r="K69" s="298"/>
      <c r="M69" s="110"/>
      <c r="N69" s="466"/>
      <c r="O69" s="769"/>
      <c r="P69" s="658"/>
      <c r="Q69" s="658"/>
      <c r="R69" s="658"/>
      <c r="S69" s="658"/>
      <c r="T69" s="658"/>
      <c r="U69" s="658"/>
      <c r="V69" s="658"/>
      <c r="W69" s="658"/>
      <c r="X69" s="658"/>
      <c r="Y69" s="658"/>
      <c r="Z69" s="658"/>
      <c r="AG69" s="466"/>
      <c r="AH69" s="466"/>
    </row>
    <row r="70" spans="1:34" s="26" customFormat="1">
      <c r="A70"/>
      <c r="B70" s="469"/>
      <c r="C70" s="309"/>
      <c r="D70" s="275"/>
      <c r="E70" s="275"/>
      <c r="F70" s="275"/>
      <c r="G70" s="275"/>
      <c r="H70" s="275"/>
      <c r="I70" s="275"/>
      <c r="J70" s="636"/>
      <c r="K70" s="298"/>
      <c r="M70" s="110"/>
      <c r="N70" s="466"/>
      <c r="O70" s="769"/>
      <c r="P70" s="658"/>
      <c r="Q70" s="658"/>
      <c r="R70" s="658"/>
      <c r="S70" s="658"/>
      <c r="T70" s="658"/>
      <c r="U70" s="658"/>
      <c r="V70" s="658"/>
      <c r="W70" s="658"/>
      <c r="X70" s="658"/>
      <c r="Y70" s="658"/>
      <c r="Z70" s="658"/>
      <c r="AG70" s="466"/>
      <c r="AH70" s="466"/>
    </row>
    <row r="71" spans="1:34" s="26" customFormat="1" ht="12.75" customHeight="1">
      <c r="A71"/>
      <c r="B71" s="469" t="s">
        <v>171</v>
      </c>
      <c r="C71" s="7957" t="s">
        <v>5465</v>
      </c>
      <c r="D71" s="7957"/>
      <c r="E71" s="7957"/>
      <c r="F71" s="7957"/>
      <c r="G71" s="7957"/>
      <c r="H71" s="7957"/>
      <c r="I71" s="468" t="s">
        <v>171</v>
      </c>
      <c r="J71" s="443"/>
      <c r="K71" s="298"/>
      <c r="M71" s="110"/>
      <c r="N71" s="466"/>
      <c r="O71" s="769"/>
      <c r="P71" s="658"/>
      <c r="Q71" s="658"/>
      <c r="R71" s="658"/>
      <c r="S71" s="658"/>
      <c r="T71" s="658"/>
      <c r="U71" s="658"/>
      <c r="V71" s="658"/>
      <c r="W71" s="658"/>
      <c r="X71" s="658"/>
      <c r="Y71" s="658"/>
      <c r="Z71" s="658"/>
      <c r="AG71" s="466"/>
      <c r="AH71" s="466"/>
    </row>
    <row r="72" spans="1:34" s="26" customFormat="1">
      <c r="A72"/>
      <c r="B72" s="469"/>
      <c r="C72" s="7957"/>
      <c r="D72" s="7957"/>
      <c r="E72" s="7957"/>
      <c r="F72" s="7957"/>
      <c r="G72" s="7957"/>
      <c r="H72" s="7957"/>
      <c r="I72" s="468"/>
      <c r="J72" s="991">
        <f>ROUND(J71,0)</f>
        <v>0</v>
      </c>
      <c r="K72" s="298"/>
      <c r="M72" s="110"/>
      <c r="N72" s="466"/>
      <c r="O72" s="769"/>
      <c r="P72" s="658"/>
      <c r="Q72" s="658"/>
      <c r="R72" s="658"/>
      <c r="S72" s="658"/>
      <c r="T72" s="658"/>
      <c r="U72" s="658"/>
      <c r="V72" s="658"/>
      <c r="W72" s="658"/>
      <c r="X72" s="658"/>
      <c r="Y72" s="658"/>
      <c r="Z72" s="658"/>
      <c r="AG72" s="466"/>
      <c r="AH72" s="466"/>
    </row>
    <row r="73" spans="1:34" s="26" customFormat="1">
      <c r="A73"/>
      <c r="B73" s="469"/>
      <c r="C73" s="7957"/>
      <c r="D73" s="7957"/>
      <c r="E73" s="7957"/>
      <c r="F73" s="7957"/>
      <c r="G73" s="7957"/>
      <c r="H73" s="7957"/>
      <c r="I73" s="468"/>
      <c r="J73" s="275"/>
      <c r="K73" s="298"/>
      <c r="M73" s="110"/>
      <c r="N73" s="466"/>
      <c r="O73" s="769"/>
      <c r="P73" s="658"/>
      <c r="Q73" s="658"/>
      <c r="R73" s="658"/>
      <c r="S73" s="658"/>
      <c r="T73" s="658"/>
      <c r="U73" s="658"/>
      <c r="V73" s="658"/>
      <c r="W73" s="658"/>
      <c r="X73" s="658"/>
      <c r="Y73" s="658"/>
      <c r="Z73" s="658"/>
      <c r="AG73" s="466"/>
      <c r="AH73" s="466"/>
    </row>
    <row r="74" spans="1:34" s="26" customFormat="1">
      <c r="A74"/>
      <c r="B74" s="469"/>
      <c r="C74" s="7957"/>
      <c r="D74" s="7957"/>
      <c r="E74" s="7957"/>
      <c r="F74" s="7957"/>
      <c r="G74" s="7957"/>
      <c r="H74" s="7957"/>
      <c r="I74" s="468"/>
      <c r="J74" s="275"/>
      <c r="K74" s="298"/>
      <c r="M74" s="110"/>
      <c r="N74" s="466"/>
      <c r="O74" s="769"/>
      <c r="P74" s="658"/>
      <c r="Q74" s="658"/>
      <c r="R74" s="658"/>
      <c r="S74" s="658"/>
      <c r="T74" s="658"/>
      <c r="U74" s="658"/>
      <c r="V74" s="658"/>
      <c r="W74" s="658"/>
      <c r="X74" s="658"/>
      <c r="Y74" s="658"/>
      <c r="Z74" s="658"/>
      <c r="AG74" s="466"/>
      <c r="AH74" s="466"/>
    </row>
    <row r="75" spans="1:34" s="26" customFormat="1">
      <c r="A75"/>
      <c r="B75" s="469"/>
      <c r="C75" s="7957"/>
      <c r="D75" s="7957"/>
      <c r="E75" s="7957"/>
      <c r="F75" s="7957"/>
      <c r="G75" s="7957"/>
      <c r="H75" s="7957"/>
      <c r="I75" s="468"/>
      <c r="J75" s="275"/>
      <c r="K75" s="298"/>
      <c r="M75" s="110"/>
      <c r="N75" s="466"/>
      <c r="O75" s="769"/>
      <c r="P75" s="658"/>
      <c r="Q75" s="658"/>
      <c r="R75" s="658"/>
      <c r="S75" s="658"/>
      <c r="T75" s="658"/>
      <c r="U75" s="658"/>
      <c r="V75" s="658"/>
      <c r="W75" s="658"/>
      <c r="X75" s="658"/>
      <c r="Y75" s="658"/>
      <c r="Z75" s="658"/>
      <c r="AG75" s="466"/>
      <c r="AH75" s="466"/>
    </row>
    <row r="76" spans="1:34" s="26" customFormat="1">
      <c r="A76"/>
      <c r="B76" s="469"/>
      <c r="C76" s="7957"/>
      <c r="D76" s="7957"/>
      <c r="E76" s="7957"/>
      <c r="F76" s="7957"/>
      <c r="G76" s="7957"/>
      <c r="H76" s="7957"/>
      <c r="I76" s="468"/>
      <c r="J76" s="275"/>
      <c r="K76" s="298"/>
      <c r="M76" s="110"/>
      <c r="N76" s="466"/>
      <c r="O76" s="769"/>
      <c r="P76" s="658"/>
      <c r="Q76" s="658"/>
      <c r="R76" s="658"/>
      <c r="S76" s="658"/>
      <c r="T76" s="658"/>
      <c r="U76" s="658"/>
      <c r="V76" s="658"/>
      <c r="W76" s="658"/>
      <c r="X76" s="658"/>
      <c r="Y76" s="658"/>
      <c r="Z76" s="658"/>
      <c r="AG76" s="466"/>
      <c r="AH76" s="466"/>
    </row>
    <row r="77" spans="1:34" s="26" customFormat="1">
      <c r="A77"/>
      <c r="B77" s="469"/>
      <c r="C77" s="7957"/>
      <c r="D77" s="7957"/>
      <c r="E77" s="7957"/>
      <c r="F77" s="7957"/>
      <c r="G77" s="7957"/>
      <c r="H77" s="7957"/>
      <c r="I77" s="275"/>
      <c r="J77" s="275"/>
      <c r="K77" s="298"/>
      <c r="M77" s="110"/>
      <c r="N77" s="466"/>
      <c r="O77" s="769"/>
      <c r="P77" s="658"/>
      <c r="Q77" s="658"/>
      <c r="R77" s="658"/>
      <c r="S77" s="658"/>
      <c r="T77" s="658"/>
      <c r="U77" s="658"/>
      <c r="V77" s="658"/>
      <c r="W77" s="658"/>
      <c r="X77" s="658"/>
      <c r="Y77" s="658"/>
      <c r="Z77" s="658"/>
      <c r="AG77" s="466"/>
      <c r="AH77" s="466"/>
    </row>
    <row r="78" spans="1:34" s="26" customFormat="1">
      <c r="A78"/>
      <c r="B78" s="469"/>
      <c r="C78" s="309"/>
      <c r="D78" s="275"/>
      <c r="E78" s="275"/>
      <c r="F78" s="275"/>
      <c r="G78" s="275"/>
      <c r="H78" s="275"/>
      <c r="I78" s="275"/>
      <c r="J78" s="275"/>
      <c r="K78" s="298"/>
      <c r="M78" s="110"/>
      <c r="N78" s="466"/>
      <c r="O78" s="769"/>
      <c r="P78" s="658"/>
      <c r="Q78" s="658"/>
      <c r="R78" s="658"/>
      <c r="S78" s="658"/>
      <c r="T78" s="658"/>
      <c r="U78" s="658"/>
      <c r="V78" s="658"/>
      <c r="W78" s="658"/>
      <c r="X78" s="658"/>
      <c r="Y78" s="658"/>
      <c r="Z78" s="658"/>
      <c r="AG78" s="466"/>
      <c r="AH78" s="466"/>
    </row>
    <row r="79" spans="1:34" s="26" customFormat="1">
      <c r="A79"/>
      <c r="B79" s="469" t="s">
        <v>184</v>
      </c>
      <c r="C79" s="309" t="s">
        <v>5466</v>
      </c>
      <c r="D79" s="275"/>
      <c r="E79" s="275"/>
      <c r="F79" s="275"/>
      <c r="G79" s="275"/>
      <c r="H79" s="275"/>
      <c r="I79" s="468" t="s">
        <v>184</v>
      </c>
      <c r="J79" s="465" t="str">
        <f>IF(J66,"",SE_Deduct)</f>
        <v/>
      </c>
      <c r="K79" s="298"/>
      <c r="M79" s="110"/>
      <c r="N79" s="466"/>
      <c r="O79" s="769"/>
      <c r="P79" s="658"/>
      <c r="Q79" s="658"/>
      <c r="R79" s="658"/>
      <c r="S79" s="658"/>
      <c r="T79" s="658"/>
      <c r="U79" s="658"/>
      <c r="V79" s="658"/>
      <c r="W79" s="658"/>
      <c r="X79" s="658"/>
      <c r="Y79" s="658"/>
      <c r="Z79" s="658"/>
      <c r="AG79" s="466"/>
      <c r="AH79" s="466"/>
    </row>
    <row r="80" spans="1:34" s="26" customFormat="1" ht="13.5" thickBot="1">
      <c r="A80"/>
      <c r="B80" s="310"/>
      <c r="C80" s="309"/>
      <c r="D80" s="275"/>
      <c r="E80" s="275"/>
      <c r="F80" s="275"/>
      <c r="G80" s="275"/>
      <c r="H80" s="275"/>
      <c r="I80" s="275"/>
      <c r="J80" s="275"/>
      <c r="K80" s="298"/>
      <c r="M80" s="110"/>
      <c r="N80" s="466"/>
      <c r="O80" s="769"/>
      <c r="P80" s="658"/>
      <c r="Q80" s="658"/>
      <c r="R80" s="658"/>
      <c r="S80" s="658"/>
      <c r="T80" s="658"/>
      <c r="U80" s="658"/>
      <c r="V80" s="658"/>
      <c r="W80" s="658"/>
      <c r="X80" s="658"/>
      <c r="Y80" s="658"/>
      <c r="Z80" s="658"/>
      <c r="AG80" s="466"/>
      <c r="AH80" s="466"/>
    </row>
    <row r="81" spans="1:39" s="466" customFormat="1" ht="13.5" thickBot="1">
      <c r="A81"/>
      <c r="B81" s="469" t="s">
        <v>188</v>
      </c>
      <c r="C81" s="309" t="s">
        <v>5467</v>
      </c>
      <c r="D81" s="275"/>
      <c r="E81" s="275"/>
      <c r="F81" s="275"/>
      <c r="G81" s="275"/>
      <c r="H81" s="275"/>
      <c r="I81" s="468" t="s">
        <v>188</v>
      </c>
      <c r="J81" s="465" t="str">
        <f>IF(M81&lt;&gt;"",ROUND(M81,0),IF(J66,"",SUM(J72,J79)))</f>
        <v/>
      </c>
      <c r="K81" s="298"/>
      <c r="L81" s="26"/>
      <c r="M81" s="467"/>
      <c r="O81" s="769"/>
      <c r="P81" s="658"/>
      <c r="Q81" s="658"/>
      <c r="R81" s="658"/>
      <c r="S81" s="658"/>
      <c r="T81" s="658"/>
      <c r="U81" s="658"/>
      <c r="V81" s="658"/>
      <c r="W81" s="658"/>
      <c r="X81" s="658"/>
      <c r="Y81" s="658"/>
      <c r="Z81" s="658"/>
      <c r="AA81" s="26"/>
      <c r="AB81" s="26"/>
      <c r="AC81" s="26"/>
      <c r="AD81" s="26"/>
      <c r="AE81" s="26"/>
      <c r="AF81" s="26"/>
      <c r="AI81" s="26"/>
      <c r="AJ81" s="26"/>
      <c r="AK81" s="26"/>
      <c r="AL81" s="26"/>
      <c r="AM81" s="26"/>
    </row>
    <row r="82" spans="1:39" s="26" customFormat="1" ht="13.5" thickBot="1">
      <c r="A82"/>
      <c r="B82" s="310"/>
      <c r="C82" s="309"/>
      <c r="D82" s="275"/>
      <c r="E82" s="275"/>
      <c r="F82" s="275"/>
      <c r="G82" s="275"/>
      <c r="H82" s="275"/>
      <c r="I82" s="275"/>
      <c r="J82" s="275"/>
      <c r="K82" s="298"/>
      <c r="M82" s="110"/>
      <c r="N82" s="466"/>
      <c r="O82" s="769"/>
      <c r="P82" s="658"/>
      <c r="Q82" s="658"/>
      <c r="R82" s="658"/>
      <c r="S82" s="658"/>
      <c r="T82" s="658"/>
      <c r="U82" s="658"/>
      <c r="V82" s="658"/>
      <c r="W82" s="658"/>
      <c r="X82" s="658"/>
      <c r="Y82" s="658"/>
      <c r="Z82" s="658"/>
      <c r="AG82" s="466"/>
      <c r="AH82" s="466"/>
    </row>
    <row r="83" spans="1:39" s="466" customFormat="1" ht="13.5" thickBot="1">
      <c r="A83"/>
      <c r="B83" s="469" t="s">
        <v>198</v>
      </c>
      <c r="C83" s="309" t="s">
        <v>1216</v>
      </c>
      <c r="D83" s="275"/>
      <c r="E83" s="275"/>
      <c r="F83" s="275"/>
      <c r="G83" s="275"/>
      <c r="H83" s="275"/>
      <c r="I83" s="468" t="s">
        <v>198</v>
      </c>
      <c r="J83" s="465" t="str">
        <f>IF(M83&lt;&gt;"",ROUND(M83,0),IF(J66,"",SUM(J65,-J81)))</f>
        <v/>
      </c>
      <c r="K83" s="298"/>
      <c r="L83" s="26"/>
      <c r="M83" s="467"/>
      <c r="O83" s="769"/>
      <c r="P83" s="658"/>
      <c r="Q83" s="658"/>
      <c r="R83" s="658"/>
      <c r="S83" s="658"/>
      <c r="T83" s="658"/>
      <c r="U83" s="658"/>
      <c r="V83" s="658"/>
      <c r="W83" s="658"/>
      <c r="X83" s="658"/>
      <c r="Y83" s="658"/>
      <c r="Z83" s="658"/>
      <c r="AA83" s="26"/>
      <c r="AB83" s="26"/>
      <c r="AC83" s="26"/>
      <c r="AD83" s="26"/>
      <c r="AE83" s="26"/>
      <c r="AF83" s="26"/>
      <c r="AI83" s="26"/>
      <c r="AJ83" s="26"/>
      <c r="AK83" s="26"/>
      <c r="AL83" s="26"/>
      <c r="AM83" s="26"/>
    </row>
    <row r="84" spans="1:39" s="466" customFormat="1" ht="15">
      <c r="A84"/>
      <c r="B84" s="469"/>
      <c r="C84" s="1077" t="s">
        <v>637</v>
      </c>
      <c r="D84" s="309" t="s">
        <v>1217</v>
      </c>
      <c r="E84" s="275"/>
      <c r="F84" s="275"/>
      <c r="G84" s="275"/>
      <c r="H84" s="275"/>
      <c r="I84" s="1078"/>
      <c r="J84" s="281"/>
      <c r="K84" s="298"/>
      <c r="L84" s="26"/>
      <c r="M84" s="110"/>
      <c r="O84" s="769"/>
      <c r="P84" s="658"/>
      <c r="Q84" s="658"/>
      <c r="R84" s="658"/>
      <c r="S84" s="658"/>
      <c r="T84" s="658"/>
      <c r="U84" s="658"/>
      <c r="V84" s="658"/>
      <c r="W84" s="658"/>
      <c r="X84" s="658"/>
      <c r="Y84" s="658"/>
      <c r="Z84" s="658"/>
      <c r="AA84" s="26"/>
      <c r="AB84" s="26"/>
      <c r="AC84" s="26"/>
      <c r="AD84" s="26"/>
      <c r="AE84" s="26"/>
      <c r="AF84" s="26"/>
      <c r="AI84" s="26"/>
      <c r="AJ84" s="26"/>
      <c r="AK84" s="26"/>
      <c r="AL84" s="26"/>
      <c r="AM84" s="26"/>
    </row>
    <row r="85" spans="1:39" s="466" customFormat="1" ht="15">
      <c r="A85"/>
      <c r="B85" s="469"/>
      <c r="C85" s="1077"/>
      <c r="D85" s="309" t="s">
        <v>1218</v>
      </c>
      <c r="E85" s="275"/>
      <c r="F85" s="275"/>
      <c r="G85" s="275"/>
      <c r="H85" s="275"/>
      <c r="I85" s="1078"/>
      <c r="J85" s="281"/>
      <c r="K85" s="298"/>
      <c r="L85" s="26"/>
      <c r="M85" s="110"/>
      <c r="O85" s="769"/>
      <c r="P85" s="658"/>
      <c r="Q85" s="658"/>
      <c r="R85" s="658"/>
      <c r="S85" s="658"/>
      <c r="T85" s="658"/>
      <c r="U85" s="658"/>
      <c r="V85" s="658"/>
      <c r="W85" s="658"/>
      <c r="X85" s="658"/>
      <c r="Y85" s="658"/>
      <c r="Z85" s="658"/>
      <c r="AA85" s="26"/>
      <c r="AB85" s="26"/>
      <c r="AC85" s="26"/>
      <c r="AD85" s="26"/>
      <c r="AE85" s="26"/>
      <c r="AF85" s="26"/>
      <c r="AI85" s="26"/>
      <c r="AJ85" s="26"/>
      <c r="AK85" s="26"/>
      <c r="AL85" s="26"/>
      <c r="AM85" s="26"/>
    </row>
    <row r="86" spans="1:39" s="466" customFormat="1" ht="15">
      <c r="A86"/>
      <c r="B86" s="469"/>
      <c r="C86" s="1077" t="s">
        <v>637</v>
      </c>
      <c r="D86" s="309" t="s">
        <v>1219</v>
      </c>
      <c r="E86" s="275"/>
      <c r="F86" s="275"/>
      <c r="G86" s="275"/>
      <c r="H86" s="275"/>
      <c r="I86" s="1078"/>
      <c r="J86" s="281"/>
      <c r="K86" s="298"/>
      <c r="L86" s="26"/>
      <c r="M86" s="110"/>
      <c r="O86" s="769"/>
      <c r="P86" s="658"/>
      <c r="Q86" s="658"/>
      <c r="R86" s="658"/>
      <c r="S86" s="658"/>
      <c r="T86" s="658"/>
      <c r="U86" s="658"/>
      <c r="V86" s="658"/>
      <c r="W86" s="658"/>
      <c r="X86" s="658"/>
      <c r="Y86" s="658"/>
      <c r="Z86" s="658"/>
      <c r="AA86" s="26"/>
      <c r="AB86" s="26"/>
      <c r="AC86" s="26"/>
      <c r="AD86" s="26"/>
      <c r="AE86" s="26"/>
      <c r="AF86" s="26"/>
      <c r="AI86" s="26"/>
      <c r="AJ86" s="26"/>
      <c r="AK86" s="26"/>
      <c r="AL86" s="26"/>
      <c r="AM86" s="26"/>
    </row>
    <row r="87" spans="1:39" s="466" customFormat="1" ht="15">
      <c r="A87"/>
      <c r="B87" s="469"/>
      <c r="C87" s="1077" t="s">
        <v>637</v>
      </c>
      <c r="D87" s="309" t="s">
        <v>5468</v>
      </c>
      <c r="E87" s="275"/>
      <c r="F87" s="275"/>
      <c r="G87" s="275"/>
      <c r="H87" s="275"/>
      <c r="I87" s="1078"/>
      <c r="J87" s="281"/>
      <c r="K87" s="298"/>
      <c r="L87" s="26"/>
      <c r="M87" s="110"/>
      <c r="O87" s="769"/>
      <c r="P87" s="658"/>
      <c r="Q87" s="658"/>
      <c r="R87" s="658"/>
      <c r="S87" s="658"/>
      <c r="T87" s="658"/>
      <c r="U87" s="658"/>
      <c r="V87" s="658"/>
      <c r="W87" s="658"/>
      <c r="X87" s="658"/>
      <c r="Y87" s="658"/>
      <c r="Z87" s="658"/>
      <c r="AA87" s="26"/>
      <c r="AB87" s="26"/>
      <c r="AC87" s="26"/>
      <c r="AD87" s="26"/>
      <c r="AE87" s="26"/>
      <c r="AF87" s="26"/>
      <c r="AI87" s="26"/>
      <c r="AJ87" s="26"/>
      <c r="AK87" s="26"/>
      <c r="AL87" s="26"/>
      <c r="AM87" s="26"/>
    </row>
    <row r="88" spans="1:39" s="466" customFormat="1">
      <c r="A88"/>
      <c r="B88" s="469"/>
      <c r="C88" s="309"/>
      <c r="D88" s="275"/>
      <c r="E88" s="275"/>
      <c r="F88" s="275"/>
      <c r="G88" s="275"/>
      <c r="H88" s="275"/>
      <c r="I88" s="468"/>
      <c r="J88" s="275"/>
      <c r="K88" s="298"/>
      <c r="L88" s="26"/>
      <c r="M88" s="110"/>
      <c r="O88" s="769"/>
      <c r="P88" s="658"/>
      <c r="Q88" s="658"/>
      <c r="R88" s="658"/>
      <c r="S88" s="658"/>
      <c r="T88" s="658"/>
      <c r="U88" s="658"/>
      <c r="V88" s="658"/>
      <c r="W88" s="658"/>
      <c r="X88" s="658"/>
      <c r="Y88" s="658"/>
      <c r="Z88" s="658"/>
      <c r="AA88" s="26"/>
      <c r="AB88" s="26"/>
      <c r="AC88" s="26"/>
      <c r="AD88" s="26"/>
      <c r="AE88" s="26"/>
      <c r="AF88" s="26"/>
      <c r="AI88" s="26"/>
      <c r="AJ88" s="26"/>
      <c r="AK88" s="26"/>
      <c r="AL88" s="26"/>
      <c r="AM88" s="26"/>
    </row>
    <row r="89" spans="1:39" s="466" customFormat="1">
      <c r="A89"/>
      <c r="B89" s="469"/>
      <c r="C89" s="470" t="s">
        <v>1220</v>
      </c>
      <c r="D89" s="275"/>
      <c r="E89" s="275"/>
      <c r="F89" s="275"/>
      <c r="G89" s="275"/>
      <c r="H89" s="275"/>
      <c r="I89" s="468"/>
      <c r="J89" s="275"/>
      <c r="K89" s="298"/>
      <c r="L89" s="26"/>
      <c r="M89" s="110"/>
      <c r="O89" s="769"/>
      <c r="P89" s="658"/>
      <c r="Q89" s="658"/>
      <c r="R89" s="658"/>
      <c r="S89" s="658"/>
      <c r="T89" s="658"/>
      <c r="U89" s="658"/>
      <c r="V89" s="658"/>
      <c r="W89" s="658"/>
      <c r="X89" s="658"/>
      <c r="Y89" s="658"/>
      <c r="Z89" s="658"/>
      <c r="AA89" s="26"/>
      <c r="AB89" s="26"/>
      <c r="AC89" s="26"/>
      <c r="AD89" s="26"/>
      <c r="AE89" s="26"/>
      <c r="AF89" s="26"/>
      <c r="AI89" s="26"/>
      <c r="AJ89" s="26"/>
      <c r="AK89" s="26"/>
      <c r="AL89" s="26"/>
      <c r="AM89" s="26"/>
    </row>
    <row r="90" spans="1:39" s="466" customFormat="1">
      <c r="A90"/>
      <c r="B90" s="469"/>
      <c r="C90" s="470" t="s">
        <v>1221</v>
      </c>
      <c r="D90" s="275"/>
      <c r="E90" s="275"/>
      <c r="F90" s="275"/>
      <c r="G90" s="275"/>
      <c r="H90" s="275"/>
      <c r="I90" s="468"/>
      <c r="J90" s="275"/>
      <c r="K90" s="298"/>
      <c r="L90" s="26"/>
      <c r="M90" s="110"/>
      <c r="O90" s="769"/>
      <c r="P90" s="658"/>
      <c r="Q90" s="658"/>
      <c r="R90" s="658"/>
      <c r="S90" s="658"/>
      <c r="T90" s="658"/>
      <c r="U90" s="658"/>
      <c r="V90" s="658"/>
      <c r="W90" s="658"/>
      <c r="X90" s="658"/>
      <c r="Y90" s="658"/>
      <c r="Z90" s="658"/>
      <c r="AA90" s="26"/>
      <c r="AB90" s="26"/>
      <c r="AC90" s="26"/>
      <c r="AD90" s="26"/>
      <c r="AE90" s="26"/>
      <c r="AF90" s="26"/>
      <c r="AI90" s="26"/>
      <c r="AJ90" s="26"/>
      <c r="AK90" s="26"/>
      <c r="AL90" s="26"/>
      <c r="AM90" s="26"/>
    </row>
    <row r="91" spans="1:39" s="466" customFormat="1">
      <c r="A91"/>
      <c r="B91" s="469"/>
      <c r="C91" s="470" t="s">
        <v>1222</v>
      </c>
      <c r="D91" s="275"/>
      <c r="E91" s="275"/>
      <c r="F91" s="275"/>
      <c r="G91" s="275"/>
      <c r="H91" s="275"/>
      <c r="I91" s="468"/>
      <c r="J91" s="275"/>
      <c r="K91" s="298"/>
      <c r="L91" s="26"/>
      <c r="M91" s="110"/>
      <c r="O91" s="769"/>
      <c r="P91" s="658"/>
      <c r="Q91" s="658"/>
      <c r="R91" s="658"/>
      <c r="S91" s="658"/>
      <c r="T91" s="658"/>
      <c r="U91" s="658"/>
      <c r="V91" s="658"/>
      <c r="W91" s="658"/>
      <c r="X91" s="658"/>
      <c r="Y91" s="658"/>
      <c r="Z91" s="658"/>
      <c r="AA91" s="26"/>
      <c r="AB91" s="26"/>
      <c r="AC91" s="26"/>
      <c r="AD91" s="26"/>
      <c r="AE91" s="26"/>
      <c r="AF91" s="26"/>
      <c r="AI91" s="26"/>
      <c r="AJ91" s="26"/>
      <c r="AK91" s="26"/>
      <c r="AL91" s="26"/>
      <c r="AM91" s="26"/>
    </row>
    <row r="92" spans="1:39" s="26" customFormat="1" ht="13.5" thickBot="1">
      <c r="A92"/>
      <c r="B92" s="311"/>
      <c r="C92" s="312"/>
      <c r="D92" s="312"/>
      <c r="E92" s="312"/>
      <c r="F92" s="312"/>
      <c r="G92" s="312"/>
      <c r="H92" s="312"/>
      <c r="I92" s="312"/>
      <c r="J92" s="312"/>
      <c r="K92" s="313"/>
      <c r="M92" s="110"/>
      <c r="N92" s="466"/>
      <c r="O92" s="769"/>
      <c r="P92" s="658"/>
      <c r="Q92" s="658"/>
      <c r="R92" s="658"/>
      <c r="S92" s="658"/>
      <c r="T92" s="658"/>
      <c r="U92" s="658"/>
      <c r="V92" s="658"/>
      <c r="W92" s="658"/>
      <c r="X92" s="658"/>
      <c r="Y92" s="658"/>
      <c r="Z92" s="658"/>
      <c r="AG92" s="466"/>
      <c r="AH92" s="466"/>
    </row>
  </sheetData>
  <sheetProtection algorithmName="SHA-512" hashValue="vFvyR6wgyBBNSRQFfyAzyjPm/3oNskwbIxh5uzRu36NHVQVwtdl3cnektUT5k4ouYmL/aZgBqltkhE23Ya4vLQ==" saltValue="YC1/XBExkJHsNthdGop9SQ==" spinCount="100000" sheet="1" objects="1" scenarios="1"/>
  <mergeCells count="4">
    <mergeCell ref="D7:J7"/>
    <mergeCell ref="D6:J6"/>
    <mergeCell ref="C18:J22"/>
    <mergeCell ref="C71:H77"/>
  </mergeCells>
  <conditionalFormatting sqref="C64 F64:G64">
    <cfRule type="expression" dxfId="3314" priority="7">
      <formula>$J$66</formula>
    </cfRule>
  </conditionalFormatting>
  <conditionalFormatting sqref="C68">
    <cfRule type="expression" dxfId="3313" priority="4">
      <formula>NOT($J$66)</formula>
    </cfRule>
  </conditionalFormatting>
  <conditionalFormatting sqref="F63:G63">
    <cfRule type="expression" dxfId="3312" priority="5401">
      <formula>#REF!</formula>
    </cfRule>
  </conditionalFormatting>
  <conditionalFormatting sqref="J24">
    <cfRule type="expression" dxfId="3311" priority="12">
      <formula>NoColor</formula>
    </cfRule>
  </conditionalFormatting>
  <conditionalFormatting sqref="J28">
    <cfRule type="expression" dxfId="3310" priority="33">
      <formula>IF(NoColor,1,0)</formula>
    </cfRule>
  </conditionalFormatting>
  <conditionalFormatting sqref="J34">
    <cfRule type="expression" dxfId="3309" priority="32">
      <formula>IF(NoColor,1,0)</formula>
    </cfRule>
  </conditionalFormatting>
  <conditionalFormatting sqref="J37">
    <cfRule type="expression" dxfId="3308" priority="30">
      <formula>IF(NoColor,1,0)</formula>
    </cfRule>
  </conditionalFormatting>
  <conditionalFormatting sqref="J44">
    <cfRule type="expression" dxfId="3307" priority="29">
      <formula>IF(NoColor,1,0)</formula>
    </cfRule>
  </conditionalFormatting>
  <conditionalFormatting sqref="J50">
    <cfRule type="expression" dxfId="3306" priority="28">
      <formula>IF(NoColor,1,0)</formula>
    </cfRule>
  </conditionalFormatting>
  <conditionalFormatting sqref="J54">
    <cfRule type="expression" dxfId="3305" priority="27">
      <formula>IF(NoColor,1,0)</formula>
    </cfRule>
  </conditionalFormatting>
  <conditionalFormatting sqref="J57 J59">
    <cfRule type="expression" dxfId="3304" priority="9">
      <formula>IF(NoColor,1,0)</formula>
    </cfRule>
  </conditionalFormatting>
  <conditionalFormatting sqref="J61">
    <cfRule type="expression" dxfId="3303" priority="8">
      <formula>IF(NoColor,1,0)</formula>
    </cfRule>
  </conditionalFormatting>
  <conditionalFormatting sqref="J64:J65">
    <cfRule type="expression" dxfId="3302" priority="6">
      <formula>IF(NoColor,1,0)</formula>
    </cfRule>
  </conditionalFormatting>
  <conditionalFormatting sqref="J71">
    <cfRule type="expression" dxfId="3301" priority="5">
      <formula>IF(NoColor,1,0)</formula>
    </cfRule>
  </conditionalFormatting>
  <conditionalFormatting sqref="J79">
    <cfRule type="expression" dxfId="3300" priority="1">
      <formula>IF(NoColor,1,0)</formula>
    </cfRule>
  </conditionalFormatting>
  <conditionalFormatting sqref="J81">
    <cfRule type="expression" dxfId="3299" priority="3">
      <formula>IF(NoColor,1,0)</formula>
    </cfRule>
  </conditionalFormatting>
  <conditionalFormatting sqref="J83">
    <cfRule type="expression" dxfId="3298" priority="14">
      <formula>IF(NoColor,1,0)</formula>
    </cfRule>
  </conditionalFormatting>
  <pageMargins left="0.75" right="0.25" top="0.36" bottom="0.28999999999999998" header="0.36" footer="0.21"/>
  <pageSetup scale="82" fitToHeight="0" orientation="portrait" r:id="rId1"/>
  <rowBreaks count="1" manualBreakCount="1">
    <brk id="69" min="1" max="10" man="1"/>
  </row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8">
    <pageSetUpPr fitToPage="1"/>
  </sheetPr>
  <dimension ref="A1:AG103"/>
  <sheetViews>
    <sheetView zoomScaleNormal="100" zoomScaleSheetLayoutView="100" workbookViewId="0"/>
  </sheetViews>
  <sheetFormatPr defaultColWidth="9.140625" defaultRowHeight="12.75"/>
  <cols>
    <col min="1" max="1" width="1.85546875" style="26" customWidth="1"/>
    <col min="2" max="2" width="4.42578125" style="26" customWidth="1"/>
    <col min="3" max="3" width="2.7109375" style="26" customWidth="1"/>
    <col min="4" max="4" width="25.28515625" style="26" customWidth="1"/>
    <col min="5" max="5" width="15.7109375" style="26" customWidth="1"/>
    <col min="6" max="6" width="8.5703125" style="26" customWidth="1"/>
    <col min="7" max="7" width="8.85546875" style="26" customWidth="1"/>
    <col min="8" max="8" width="9.5703125" style="26" customWidth="1"/>
    <col min="9" max="9" width="6" style="26" customWidth="1"/>
    <col min="10" max="10" width="13.85546875" style="26" customWidth="1"/>
    <col min="11" max="11" width="3.5703125" style="26" customWidth="1"/>
    <col min="12" max="12" width="12.7109375" style="26" customWidth="1"/>
    <col min="13" max="13" width="4.5703125" style="26" customWidth="1"/>
    <col min="14" max="15" width="1.5703125" style="26" customWidth="1"/>
    <col min="16" max="16" width="1.42578125" style="26" customWidth="1"/>
    <col min="17" max="17" width="2.5703125" style="26" customWidth="1"/>
    <col min="18" max="18" width="10.42578125" style="26" customWidth="1"/>
    <col min="19" max="19" width="2.42578125" style="26" customWidth="1"/>
    <col min="20" max="20" width="12.85546875" style="26" customWidth="1"/>
    <col min="21" max="21" width="2.7109375" style="26" customWidth="1"/>
    <col min="22" max="23" width="10.42578125" style="26" customWidth="1"/>
    <col min="24" max="33" width="9.140625" style="658"/>
    <col min="34" max="16384" width="9.140625" style="26"/>
  </cols>
  <sheetData>
    <row r="1" spans="1:24" ht="18" customHeight="1">
      <c r="A1" s="18"/>
      <c r="B1" s="18"/>
      <c r="C1" s="18"/>
      <c r="D1" s="2391" t="str">
        <f>IF('Table of Contents'!A28="D","DRAFT","")</f>
        <v/>
      </c>
      <c r="E1" s="18"/>
      <c r="F1" s="18"/>
      <c r="G1" s="18"/>
      <c r="H1" s="18"/>
      <c r="I1" s="18"/>
      <c r="J1" s="18"/>
      <c r="K1" s="18"/>
      <c r="L1" s="18"/>
      <c r="M1" s="18"/>
      <c r="N1" s="18"/>
      <c r="O1" s="18"/>
      <c r="P1" s="18"/>
      <c r="Q1" s="18"/>
      <c r="R1" s="18"/>
      <c r="S1" s="18"/>
      <c r="T1" s="18"/>
      <c r="U1" s="18"/>
      <c r="V1" s="18"/>
      <c r="W1" s="18"/>
      <c r="X1" s="657" t="s">
        <v>223</v>
      </c>
    </row>
    <row r="2" spans="1:24">
      <c r="A2" s="18"/>
      <c r="B2" s="19" t="s">
        <v>1223</v>
      </c>
      <c r="C2" s="18"/>
      <c r="D2" s="18"/>
      <c r="E2" s="18"/>
      <c r="F2" s="18"/>
      <c r="G2" s="18"/>
      <c r="H2" s="18"/>
      <c r="I2" s="18"/>
      <c r="J2" s="18"/>
      <c r="K2" s="18"/>
      <c r="L2" s="18"/>
      <c r="M2" s="18"/>
      <c r="N2" s="18"/>
      <c r="O2" s="18"/>
      <c r="P2" s="18"/>
      <c r="Q2" s="18"/>
      <c r="R2" s="18"/>
      <c r="S2" s="18"/>
      <c r="T2" s="18"/>
      <c r="U2" s="18"/>
      <c r="V2" s="18"/>
      <c r="W2" s="18"/>
    </row>
    <row r="3" spans="1:24">
      <c r="A3" s="18"/>
      <c r="B3" s="491" t="s">
        <v>1224</v>
      </c>
      <c r="C3" s="33" t="s">
        <v>1225</v>
      </c>
      <c r="D3" s="18"/>
      <c r="E3" s="18"/>
      <c r="F3" s="18"/>
      <c r="G3" s="18"/>
      <c r="H3" s="18"/>
      <c r="I3" s="18"/>
      <c r="J3" s="18"/>
      <c r="K3" s="18"/>
      <c r="L3" s="18"/>
      <c r="M3" s="18"/>
      <c r="N3" s="18"/>
      <c r="O3" s="18"/>
      <c r="P3" s="18"/>
      <c r="Q3" s="18"/>
      <c r="R3" s="18"/>
      <c r="S3" s="18"/>
      <c r="T3" s="18"/>
      <c r="U3" s="18"/>
      <c r="V3" s="18"/>
      <c r="W3" s="18"/>
    </row>
    <row r="4" spans="1:24">
      <c r="A4" s="18"/>
      <c r="B4" s="18"/>
      <c r="C4" s="33" t="s">
        <v>5058</v>
      </c>
      <c r="D4" s="18"/>
      <c r="E4" s="18"/>
      <c r="F4" s="18"/>
      <c r="G4" s="18"/>
      <c r="H4" s="18"/>
      <c r="I4" s="18"/>
      <c r="J4" s="18"/>
      <c r="K4" s="18"/>
      <c r="L4" s="18"/>
      <c r="M4" s="18"/>
      <c r="N4" s="18"/>
      <c r="O4" s="18"/>
      <c r="P4" s="18"/>
      <c r="Q4" s="18"/>
      <c r="R4" s="18"/>
      <c r="S4" s="18"/>
      <c r="T4" s="18"/>
      <c r="U4" s="18"/>
      <c r="V4" s="18"/>
      <c r="W4" s="18"/>
    </row>
    <row r="5" spans="1:24">
      <c r="A5" s="18"/>
      <c r="B5" s="18"/>
      <c r="C5" s="33" t="s">
        <v>6357</v>
      </c>
      <c r="D5" s="18"/>
      <c r="E5" s="18"/>
      <c r="F5" s="18"/>
      <c r="G5" s="18"/>
      <c r="H5" s="18"/>
      <c r="I5" s="18"/>
      <c r="J5" s="18"/>
      <c r="K5" s="18"/>
      <c r="L5" s="18"/>
      <c r="M5" s="18"/>
      <c r="N5" s="18"/>
      <c r="O5" s="18"/>
      <c r="P5" s="18"/>
      <c r="Q5" s="18"/>
      <c r="R5" s="18"/>
      <c r="S5" s="18"/>
      <c r="T5" s="18"/>
      <c r="U5" s="18"/>
      <c r="V5" s="18"/>
      <c r="W5" s="18"/>
    </row>
    <row r="6" spans="1:24" ht="9.75" customHeight="1">
      <c r="A6" s="18"/>
      <c r="B6" s="18"/>
      <c r="C6" s="18"/>
      <c r="D6" s="18"/>
      <c r="E6" s="18"/>
      <c r="F6" s="18"/>
      <c r="G6" s="18"/>
      <c r="H6" s="18"/>
      <c r="I6" s="18"/>
      <c r="J6" s="18"/>
      <c r="K6" s="18"/>
      <c r="L6" s="18"/>
      <c r="M6" s="18"/>
      <c r="N6" s="18"/>
      <c r="O6" s="18"/>
      <c r="P6" s="18"/>
      <c r="Q6" s="18"/>
      <c r="R6" s="18"/>
      <c r="S6" s="18"/>
      <c r="T6" s="18"/>
      <c r="U6" s="18"/>
      <c r="V6" s="18"/>
      <c r="W6" s="18"/>
    </row>
    <row r="7" spans="1:24">
      <c r="A7" s="18"/>
      <c r="B7" s="491" t="s">
        <v>1224</v>
      </c>
      <c r="C7" s="33" t="s">
        <v>1226</v>
      </c>
      <c r="D7" s="18"/>
      <c r="E7" s="18"/>
      <c r="F7" s="18"/>
      <c r="G7" s="18"/>
      <c r="H7" s="18"/>
      <c r="I7" s="18"/>
      <c r="J7" s="18"/>
      <c r="K7" s="18"/>
      <c r="L7" s="18"/>
      <c r="M7" s="18"/>
      <c r="N7" s="18"/>
      <c r="O7" s="18"/>
      <c r="P7" s="18"/>
      <c r="Q7" s="18"/>
      <c r="R7" s="18"/>
      <c r="S7" s="18"/>
      <c r="T7" s="18"/>
      <c r="U7" s="18"/>
      <c r="V7" s="18"/>
      <c r="W7" s="18"/>
    </row>
    <row r="8" spans="1:24">
      <c r="A8" s="18"/>
      <c r="B8" s="18"/>
      <c r="C8" s="33" t="s">
        <v>1227</v>
      </c>
      <c r="D8" s="18"/>
      <c r="E8" s="18"/>
      <c r="F8" s="18"/>
      <c r="G8" s="18"/>
      <c r="H8" s="18"/>
      <c r="I8" s="18"/>
      <c r="J8" s="18"/>
      <c r="K8" s="18"/>
      <c r="L8" s="18"/>
      <c r="M8" s="18"/>
      <c r="N8" s="18"/>
      <c r="O8" s="18"/>
      <c r="P8" s="18"/>
      <c r="Q8" s="18"/>
      <c r="R8" s="18"/>
      <c r="S8" s="18"/>
      <c r="T8" s="18"/>
      <c r="U8" s="18"/>
      <c r="V8" s="18"/>
      <c r="W8" s="18"/>
    </row>
    <row r="9" spans="1:24">
      <c r="A9" s="18"/>
      <c r="B9" s="18"/>
      <c r="C9" s="33"/>
      <c r="D9" s="18"/>
      <c r="E9" s="18"/>
      <c r="F9" s="18"/>
      <c r="G9" s="18"/>
      <c r="H9" s="18"/>
      <c r="I9" s="18"/>
      <c r="J9" s="18"/>
      <c r="K9" s="18"/>
      <c r="L9" s="18"/>
      <c r="M9" s="18"/>
      <c r="N9" s="18"/>
      <c r="O9" s="18"/>
      <c r="P9" s="18"/>
      <c r="Q9" s="18"/>
      <c r="R9" s="18"/>
      <c r="S9" s="18"/>
      <c r="T9" s="18"/>
      <c r="U9" s="18"/>
      <c r="V9" s="18"/>
      <c r="W9" s="18"/>
    </row>
    <row r="10" spans="1:24">
      <c r="A10" s="18"/>
      <c r="B10" s="491" t="s">
        <v>1224</v>
      </c>
      <c r="C10" s="33" t="s">
        <v>1228</v>
      </c>
      <c r="D10" s="18"/>
      <c r="E10" s="18"/>
      <c r="F10" s="18"/>
      <c r="G10" s="18"/>
      <c r="H10" s="18"/>
      <c r="I10" s="18"/>
      <c r="J10" s="18"/>
      <c r="K10" s="18"/>
      <c r="L10" s="18"/>
      <c r="M10" s="18"/>
      <c r="N10" s="18"/>
      <c r="O10" s="18"/>
      <c r="P10" s="18"/>
      <c r="Q10" s="18"/>
      <c r="R10" s="18"/>
      <c r="S10" s="18"/>
      <c r="T10" s="18"/>
      <c r="U10" s="18"/>
      <c r="V10" s="18"/>
      <c r="W10" s="18"/>
    </row>
    <row r="11" spans="1:24" ht="15">
      <c r="A11" s="18"/>
      <c r="B11" s="18"/>
      <c r="C11" s="812" t="s">
        <v>1229</v>
      </c>
      <c r="D11" s="18"/>
      <c r="E11" s="18"/>
      <c r="F11" s="18"/>
      <c r="G11" s="18"/>
      <c r="H11" s="18"/>
      <c r="I11" s="18"/>
      <c r="J11" s="18"/>
      <c r="K11" s="18"/>
      <c r="L11" s="18"/>
      <c r="M11" s="18"/>
      <c r="N11" s="18"/>
      <c r="O11" s="18"/>
      <c r="P11" s="7965" t="str">
        <f>IF($V$16,"Annuity started on or before","")</f>
        <v/>
      </c>
      <c r="Q11" s="7966"/>
      <c r="R11" s="7966"/>
      <c r="S11" s="7966"/>
      <c r="T11" s="7966"/>
      <c r="U11" s="18"/>
      <c r="V11" s="18"/>
      <c r="W11" s="18"/>
    </row>
    <row r="12" spans="1:24" ht="15">
      <c r="A12" s="18"/>
      <c r="B12" s="18"/>
      <c r="C12" s="812" t="s">
        <v>1230</v>
      </c>
      <c r="D12" s="18"/>
      <c r="E12" s="18"/>
      <c r="F12" s="18"/>
      <c r="G12" s="18"/>
      <c r="H12" s="18"/>
      <c r="I12" s="18"/>
      <c r="J12" s="18"/>
      <c r="K12" s="18"/>
      <c r="L12" s="18"/>
      <c r="M12" s="18"/>
      <c r="N12" s="18"/>
      <c r="O12" s="18"/>
      <c r="P12" s="7965" t="str">
        <f>IF($V$16,TEXT(V15,"mmmm d, yyyy")&amp;".  See Pub. 939.","")</f>
        <v/>
      </c>
      <c r="Q12" s="7966"/>
      <c r="R12" s="7966"/>
      <c r="S12" s="7966"/>
      <c r="T12" s="7966"/>
      <c r="U12" s="18"/>
      <c r="V12" s="18"/>
      <c r="W12" s="18"/>
    </row>
    <row r="13" spans="1:24" ht="15">
      <c r="A13" s="18"/>
      <c r="B13" s="18"/>
      <c r="C13" s="812" t="s">
        <v>1231</v>
      </c>
      <c r="D13" s="18"/>
      <c r="E13" s="18"/>
      <c r="F13" s="18"/>
      <c r="G13" s="18"/>
      <c r="H13" s="18"/>
      <c r="I13" s="18"/>
      <c r="J13" s="18"/>
      <c r="K13" s="18"/>
      <c r="L13" s="18"/>
      <c r="M13" s="18"/>
      <c r="N13" s="18"/>
      <c r="O13" s="18"/>
      <c r="P13" s="18"/>
      <c r="Q13" s="18"/>
      <c r="R13" s="18"/>
      <c r="S13" s="18"/>
      <c r="T13" s="18"/>
      <c r="U13" s="18"/>
      <c r="V13" s="18"/>
      <c r="W13" s="18"/>
    </row>
    <row r="14" spans="1:24" ht="15.75" thickBot="1">
      <c r="A14" s="18"/>
      <c r="B14" s="18"/>
      <c r="C14" s="812"/>
      <c r="D14" s="18"/>
      <c r="E14" s="18"/>
      <c r="F14" s="18"/>
      <c r="G14" s="18"/>
      <c r="H14" s="18"/>
      <c r="I14" s="18"/>
      <c r="J14" s="18"/>
      <c r="K14" s="18"/>
      <c r="L14" s="18"/>
      <c r="M14" s="18"/>
      <c r="N14" s="18"/>
      <c r="O14" s="18"/>
      <c r="P14" s="18"/>
      <c r="Q14" s="18"/>
      <c r="R14" s="18"/>
      <c r="S14" s="18"/>
      <c r="T14" s="18"/>
      <c r="U14" s="18"/>
      <c r="V14" s="18"/>
      <c r="W14" s="18"/>
    </row>
    <row r="15" spans="1:24" ht="13.5" thickBot="1">
      <c r="A15" s="18"/>
      <c r="B15" s="19" t="s">
        <v>1232</v>
      </c>
      <c r="C15" s="18"/>
      <c r="D15" s="18"/>
      <c r="E15" s="18"/>
      <c r="F15" s="18"/>
      <c r="G15" s="18"/>
      <c r="H15" s="18"/>
      <c r="I15" s="18"/>
      <c r="J15" s="18"/>
      <c r="K15" s="18"/>
      <c r="L15" s="18"/>
      <c r="M15" s="18"/>
      <c r="N15" s="18"/>
      <c r="O15" s="18"/>
      <c r="P15" s="42"/>
      <c r="Q15" s="43"/>
      <c r="R15" s="43"/>
      <c r="S15" s="43"/>
      <c r="T15" s="135"/>
      <c r="U15" s="18"/>
      <c r="V15" s="492">
        <v>31594</v>
      </c>
      <c r="W15" s="18"/>
    </row>
    <row r="16" spans="1:24" ht="16.5" thickBot="1">
      <c r="A16" s="18"/>
      <c r="B16" s="18" t="s">
        <v>1233</v>
      </c>
      <c r="C16" s="18"/>
      <c r="D16" s="18"/>
      <c r="E16" s="18"/>
      <c r="F16" s="18"/>
      <c r="G16" s="18"/>
      <c r="H16" s="18"/>
      <c r="I16" s="18"/>
      <c r="J16" s="18"/>
      <c r="K16" s="18"/>
      <c r="L16" s="18"/>
      <c r="M16" s="695" t="str">
        <f>IF(R16="","Enter annuity starting date.","")</f>
        <v>Enter annuity starting date.</v>
      </c>
      <c r="N16" s="18"/>
      <c r="O16" s="484" t="str">
        <f>IF(R16="","®","")</f>
        <v>®</v>
      </c>
      <c r="P16" s="44"/>
      <c r="Q16" s="37"/>
      <c r="R16" s="7961"/>
      <c r="S16" s="7962"/>
      <c r="T16" s="136"/>
      <c r="U16" s="18"/>
      <c r="V16" s="273" t="b">
        <f>IF(AND(R16&lt;&gt;"",R16&lt;=V15),TRUE,FALSE)</f>
        <v>0</v>
      </c>
      <c r="W16" s="18"/>
    </row>
    <row r="17" spans="1:23">
      <c r="A17" s="18"/>
      <c r="B17" s="18"/>
      <c r="C17" s="18" t="str">
        <f>"-  the first period for which you received a payment"</f>
        <v>-  the first period for which you received a payment</v>
      </c>
      <c r="D17" s="18"/>
      <c r="E17" s="18"/>
      <c r="F17" s="18"/>
      <c r="G17" s="18"/>
      <c r="H17" s="18"/>
      <c r="I17" s="18"/>
      <c r="J17" s="18"/>
      <c r="K17" s="18"/>
      <c r="L17" s="18"/>
      <c r="M17" s="18"/>
      <c r="N17" s="18"/>
      <c r="O17" s="18"/>
      <c r="P17" s="44"/>
      <c r="Q17" s="37"/>
      <c r="R17" s="169" t="s">
        <v>1234</v>
      </c>
      <c r="S17" s="45"/>
      <c r="T17" s="136"/>
      <c r="U17" s="18"/>
      <c r="V17" s="18"/>
      <c r="W17" s="18"/>
    </row>
    <row r="18" spans="1:23">
      <c r="A18" s="18"/>
      <c r="B18" s="18"/>
      <c r="C18" s="25" t="s">
        <v>1235</v>
      </c>
      <c r="D18" s="18"/>
      <c r="E18" s="18"/>
      <c r="F18" s="18"/>
      <c r="G18" s="18"/>
      <c r="H18" s="18"/>
      <c r="I18" s="18"/>
      <c r="J18" s="18"/>
      <c r="K18" s="18"/>
      <c r="L18" s="18"/>
      <c r="M18" s="18"/>
      <c r="N18" s="18"/>
      <c r="O18" s="18"/>
      <c r="P18" s="44"/>
      <c r="Q18" s="37"/>
      <c r="R18" s="45"/>
      <c r="S18" s="45"/>
      <c r="T18" s="136"/>
      <c r="U18" s="18"/>
      <c r="V18" s="482">
        <v>35795</v>
      </c>
      <c r="W18" s="18"/>
    </row>
    <row r="19" spans="1:23" ht="13.5" thickBot="1">
      <c r="A19" s="18"/>
      <c r="B19" s="18"/>
      <c r="C19" s="18" t="str">
        <f>"-  the date the plan’s obligations became fixed."</f>
        <v>-  the date the plan’s obligations became fixed.</v>
      </c>
      <c r="D19" s="18"/>
      <c r="E19" s="18"/>
      <c r="F19" s="18"/>
      <c r="G19" s="18"/>
      <c r="H19" s="18"/>
      <c r="I19" s="18"/>
      <c r="J19" s="18"/>
      <c r="K19" s="18"/>
      <c r="L19" s="18"/>
      <c r="M19" s="18"/>
      <c r="N19" s="18"/>
      <c r="O19" s="18"/>
      <c r="P19" s="46"/>
      <c r="Q19" s="38"/>
      <c r="R19" s="47"/>
      <c r="S19" s="47"/>
      <c r="T19" s="137"/>
      <c r="U19" s="18"/>
      <c r="V19" s="273" t="b">
        <f>IF(R16&gt;V18,TRUE,FALSE)</f>
        <v>0</v>
      </c>
      <c r="W19" s="18"/>
    </row>
    <row r="20" spans="1:23" ht="13.5" thickBot="1">
      <c r="A20" s="18"/>
      <c r="B20" s="18"/>
      <c r="C20" s="18"/>
      <c r="D20" s="18"/>
      <c r="E20" s="18"/>
      <c r="F20" s="18"/>
      <c r="G20" s="18"/>
      <c r="H20" s="18"/>
      <c r="I20" s="18"/>
      <c r="J20" s="18"/>
      <c r="K20" s="18"/>
      <c r="L20" s="18"/>
      <c r="M20" s="18"/>
      <c r="N20" s="18"/>
      <c r="O20" s="18"/>
      <c r="P20" s="7969"/>
      <c r="Q20" s="7970"/>
      <c r="R20" s="7970"/>
      <c r="S20" s="7970"/>
      <c r="T20" s="7970"/>
      <c r="U20" s="18"/>
      <c r="V20" s="18"/>
      <c r="W20" s="18"/>
    </row>
    <row r="21" spans="1:23" ht="13.5" thickBot="1">
      <c r="A21" s="18"/>
      <c r="B21" s="19" t="s">
        <v>1236</v>
      </c>
      <c r="C21" s="18"/>
      <c r="D21" s="18"/>
      <c r="E21" s="18"/>
      <c r="F21" s="18"/>
      <c r="G21" s="18"/>
      <c r="H21" s="18"/>
      <c r="I21" s="18"/>
      <c r="J21" s="18"/>
      <c r="K21" s="18"/>
      <c r="L21" s="18"/>
      <c r="M21" s="18"/>
      <c r="N21" s="18"/>
      <c r="O21" s="18"/>
      <c r="P21" s="40"/>
      <c r="Q21" s="23"/>
      <c r="R21" s="23"/>
      <c r="S21" s="23"/>
      <c r="T21" s="48"/>
      <c r="U21" s="27"/>
      <c r="V21" s="493">
        <v>31778</v>
      </c>
      <c r="W21" s="18"/>
    </row>
    <row r="22" spans="1:23" ht="16.5" thickBot="1">
      <c r="A22" s="18"/>
      <c r="B22" s="18" t="s">
        <v>1237</v>
      </c>
      <c r="C22" s="18"/>
      <c r="D22" s="18"/>
      <c r="E22" s="18"/>
      <c r="F22" s="18"/>
      <c r="G22" s="18"/>
      <c r="H22" s="18"/>
      <c r="I22" s="18"/>
      <c r="J22" s="18"/>
      <c r="K22" s="18"/>
      <c r="L22" s="18"/>
      <c r="M22" s="305" t="str">
        <f>IF(R16&lt;J85,"",IF(AND(Q22="",S22=""),"Check one.",IF(AND(Q22&lt;&gt;"",S22&lt;&gt;""),"Check ONLY one.","")))</f>
        <v/>
      </c>
      <c r="N22" s="18"/>
      <c r="O22" s="484" t="str">
        <f>IF(R16&lt;J85,"",IF(OR(AND(Q22="",S22=""),AND(Q22&lt;&gt;"",S22&lt;&gt;"")),"®",""))</f>
        <v/>
      </c>
      <c r="P22" s="27"/>
      <c r="Q22" s="125"/>
      <c r="R22" s="86" t="s">
        <v>1238</v>
      </c>
      <c r="S22" s="125"/>
      <c r="T22" s="483" t="s">
        <v>734</v>
      </c>
      <c r="U22" s="27"/>
      <c r="V22" s="494" t="b">
        <f>IF(AND(R16&lt;&gt;"",R16&lt;V21),TRUE,FALSE)</f>
        <v>0</v>
      </c>
      <c r="W22" s="18"/>
    </row>
    <row r="23" spans="1:23">
      <c r="A23" s="18"/>
      <c r="B23" s="18"/>
      <c r="C23" s="18" t="str">
        <f>"1. Your annuity starting date (defined above) was after "&amp;TEXT(V15,"mmmm d, yyyy")&amp;", and you used this method last year to figure the taxable part."</f>
        <v>1. Your annuity starting date (defined above) was after July 1, 1986, and you used this method last year to figure the taxable part.</v>
      </c>
      <c r="D23" s="18"/>
      <c r="E23" s="18"/>
      <c r="F23" s="18"/>
      <c r="G23" s="18"/>
      <c r="H23" s="18"/>
      <c r="I23" s="18"/>
      <c r="J23" s="18"/>
      <c r="K23" s="18"/>
      <c r="L23" s="18"/>
      <c r="M23" s="18"/>
      <c r="N23" s="18"/>
      <c r="O23" s="18"/>
      <c r="P23" s="7971" t="s">
        <v>1239</v>
      </c>
      <c r="Q23" s="7091"/>
      <c r="R23" s="7091"/>
      <c r="S23" s="7091"/>
      <c r="T23" s="7977"/>
      <c r="U23" s="21" t="s">
        <v>709</v>
      </c>
      <c r="V23" s="18"/>
      <c r="W23" s="18"/>
    </row>
    <row r="24" spans="1:23">
      <c r="A24" s="18"/>
      <c r="B24" s="18"/>
      <c r="C24" s="18" t="str">
        <f>"2. Your annuity starting date was after "&amp;TEXT(J74,"mmmm d, yyyy")&amp;", "</f>
        <v xml:space="preserve">2. Your annuity starting date was after November 18, 1996, </v>
      </c>
      <c r="D24" s="18"/>
      <c r="E24" s="18"/>
      <c r="F24" s="18"/>
      <c r="G24" s="175" t="s">
        <v>1240</v>
      </c>
      <c r="H24" s="18"/>
      <c r="I24" s="18"/>
      <c r="J24" s="18"/>
      <c r="K24" s="18"/>
      <c r="L24" s="18"/>
      <c r="M24" s="18"/>
      <c r="N24" s="18"/>
      <c r="O24" s="18"/>
      <c r="P24" s="7971" t="s">
        <v>1241</v>
      </c>
      <c r="Q24" s="7091"/>
      <c r="R24" s="7091"/>
      <c r="S24" s="7091"/>
      <c r="T24" s="7977"/>
      <c r="U24" s="1565"/>
      <c r="V24" s="18"/>
      <c r="W24" s="18"/>
    </row>
    <row r="25" spans="1:23" ht="13.5" thickBot="1">
      <c r="A25" s="18"/>
      <c r="B25" s="18"/>
      <c r="C25" s="18"/>
      <c r="D25" s="18" t="s">
        <v>1242</v>
      </c>
      <c r="E25" s="18"/>
      <c r="F25" s="18"/>
      <c r="G25" s="18"/>
      <c r="H25" s="18"/>
      <c r="I25" s="18"/>
      <c r="J25" s="18"/>
      <c r="K25" s="18"/>
      <c r="L25" s="18"/>
      <c r="M25" s="18"/>
      <c r="N25" s="18"/>
      <c r="O25" s="18"/>
      <c r="P25" s="41"/>
      <c r="Q25" s="24"/>
      <c r="R25" s="24"/>
      <c r="S25" s="24"/>
      <c r="T25" s="50"/>
      <c r="U25" s="27"/>
      <c r="V25" s="18"/>
      <c r="W25" s="18"/>
    </row>
    <row r="26" spans="1:23" ht="13.5" thickBot="1">
      <c r="A26" s="18"/>
      <c r="B26" s="18"/>
      <c r="C26" s="18"/>
      <c r="D26" s="18" t="s">
        <v>1243</v>
      </c>
      <c r="E26" s="18"/>
      <c r="F26" s="18"/>
      <c r="G26" s="18"/>
      <c r="H26" s="18"/>
      <c r="I26" s="18"/>
      <c r="J26" s="18"/>
      <c r="K26" s="18"/>
      <c r="L26" s="18"/>
      <c r="M26" s="18"/>
      <c r="N26" s="18"/>
      <c r="O26" s="18"/>
      <c r="P26" s="18"/>
      <c r="Q26" s="18"/>
      <c r="R26" s="18"/>
      <c r="S26" s="18"/>
      <c r="T26" s="18"/>
      <c r="U26" s="18"/>
      <c r="V26" s="18"/>
      <c r="W26" s="18"/>
    </row>
    <row r="27" spans="1:23" ht="13.5" thickBot="1">
      <c r="A27" s="18"/>
      <c r="B27" s="18"/>
      <c r="C27" s="18"/>
      <c r="D27" s="18" t="str">
        <f>"    -  you were under age 75"</f>
        <v xml:space="preserve">    -  you were under age 75</v>
      </c>
      <c r="E27" s="18"/>
      <c r="F27" s="18"/>
      <c r="G27" s="18"/>
      <c r="H27" s="18"/>
      <c r="I27" s="18"/>
      <c r="J27" s="18"/>
      <c r="K27" s="18"/>
      <c r="L27" s="18"/>
      <c r="M27" s="18"/>
      <c r="N27" s="18"/>
      <c r="O27" s="18"/>
      <c r="P27" s="42"/>
      <c r="Q27" s="43"/>
      <c r="R27" s="170"/>
      <c r="S27" s="170"/>
      <c r="T27" s="167"/>
      <c r="U27" s="18"/>
      <c r="V27" s="18"/>
      <c r="W27" s="18"/>
    </row>
    <row r="28" spans="1:23" ht="13.5" thickBot="1">
      <c r="A28" s="18"/>
      <c r="B28" s="18"/>
      <c r="C28" s="18"/>
      <c r="D28" s="18" t="s">
        <v>1244</v>
      </c>
      <c r="E28" s="18"/>
      <c r="F28" s="18"/>
      <c r="G28" s="18"/>
      <c r="H28" s="18"/>
      <c r="I28" s="18"/>
      <c r="J28" s="18"/>
      <c r="K28" s="18"/>
      <c r="L28" s="18"/>
      <c r="M28" s="18"/>
      <c r="N28" s="18"/>
      <c r="O28" s="18"/>
      <c r="P28" s="44"/>
      <c r="Q28" s="37"/>
      <c r="R28" s="7963"/>
      <c r="S28" s="7964"/>
      <c r="T28" s="136"/>
      <c r="U28" s="18"/>
      <c r="V28" s="18"/>
      <c r="W28" s="18"/>
    </row>
    <row r="29" spans="1:23">
      <c r="A29" s="18"/>
      <c r="B29" s="18"/>
      <c r="C29" s="18"/>
      <c r="D29" s="18" t="str">
        <f>"    -  the number of years of guaranteed payments was fewer than 5. See Pub. 575 for the definition of guaranteed payments."</f>
        <v xml:space="preserve">    -  the number of years of guaranteed payments was fewer than 5. See Pub. 575 for the definition of guaranteed payments.</v>
      </c>
      <c r="E29" s="18"/>
      <c r="F29" s="18"/>
      <c r="G29" s="18"/>
      <c r="H29" s="18"/>
      <c r="I29" s="18"/>
      <c r="J29" s="18"/>
      <c r="K29" s="18"/>
      <c r="L29" s="18"/>
      <c r="M29" s="18"/>
      <c r="N29" s="18"/>
      <c r="O29" s="18"/>
      <c r="P29" s="169"/>
      <c r="Q29" s="485"/>
      <c r="R29" s="487" t="str">
        <f>IF(AND($V$19,$Q$22&lt;&gt;""),"COMBINED ages","Your age")</f>
        <v>Your age</v>
      </c>
      <c r="S29" s="485"/>
      <c r="T29" s="486"/>
      <c r="U29" s="18"/>
      <c r="V29" s="18"/>
      <c r="W29" s="18"/>
    </row>
    <row r="30" spans="1:23" ht="8.25" customHeight="1">
      <c r="A30" s="18"/>
      <c r="B30" s="18"/>
      <c r="C30" s="18"/>
      <c r="D30" s="18"/>
      <c r="E30" s="18"/>
      <c r="F30" s="18"/>
      <c r="G30" s="18"/>
      <c r="H30" s="18"/>
      <c r="I30" s="18"/>
      <c r="J30" s="18"/>
      <c r="K30" s="18"/>
      <c r="L30" s="18"/>
      <c r="M30" s="18"/>
      <c r="N30" s="18"/>
      <c r="O30" s="18"/>
      <c r="P30" s="169"/>
      <c r="Q30" s="485"/>
      <c r="R30" s="153" t="s">
        <v>1245</v>
      </c>
      <c r="S30" s="485"/>
      <c r="T30" s="486"/>
      <c r="U30" s="18"/>
      <c r="V30" s="18"/>
      <c r="W30" s="18"/>
    </row>
    <row r="31" spans="1:23" ht="13.5" thickBot="1">
      <c r="A31" s="37"/>
      <c r="B31" s="37"/>
      <c r="C31" s="37"/>
      <c r="D31" s="37"/>
      <c r="E31" s="37"/>
      <c r="F31" s="37"/>
      <c r="G31" s="37"/>
      <c r="H31" s="37"/>
      <c r="I31" s="37"/>
      <c r="J31" s="37"/>
      <c r="K31" s="37"/>
      <c r="L31" s="37"/>
      <c r="M31" s="37"/>
      <c r="N31" s="37"/>
      <c r="O31" s="18"/>
      <c r="P31" s="46"/>
      <c r="Q31" s="38"/>
      <c r="R31" s="47"/>
      <c r="S31" s="47"/>
      <c r="T31" s="137"/>
      <c r="U31" s="18"/>
      <c r="V31" s="18"/>
      <c r="W31" s="18"/>
    </row>
    <row r="32" spans="1:23" ht="36" customHeight="1">
      <c r="A32" s="37"/>
      <c r="B32" s="796" t="s">
        <v>1246</v>
      </c>
      <c r="C32" s="828"/>
      <c r="D32" s="39"/>
      <c r="E32" s="39"/>
      <c r="F32" s="39"/>
      <c r="G32" s="2391"/>
      <c r="H32" s="39"/>
      <c r="I32" s="828"/>
      <c r="J32" s="1566"/>
      <c r="K32" s="92" t="s">
        <v>926</v>
      </c>
      <c r="L32" s="92"/>
      <c r="M32" s="92"/>
      <c r="N32" s="157"/>
      <c r="O32" s="92"/>
      <c r="P32" s="7974" t="str">
        <f>IF(AND(V19,Q22&lt;&gt;"",R16&lt;&gt;"",R28="",S22=""),"If your annuity starting date was after 1997 and the payments are for your life and that of your beneficiary, use your combined ages on the annuity starting date.","")</f>
        <v/>
      </c>
      <c r="Q32" s="7975"/>
      <c r="R32" s="7975"/>
      <c r="S32" s="7975"/>
      <c r="T32" s="7975"/>
      <c r="U32" s="18"/>
      <c r="V32" s="18"/>
      <c r="W32" s="18"/>
    </row>
    <row r="33" spans="1:23" ht="5.25" customHeight="1" thickBot="1">
      <c r="A33" s="37"/>
      <c r="B33" s="24"/>
      <c r="C33" s="24"/>
      <c r="D33" s="24"/>
      <c r="E33" s="24"/>
      <c r="F33" s="24"/>
      <c r="G33" s="24"/>
      <c r="H33" s="24"/>
      <c r="I33" s="24"/>
      <c r="J33" s="24"/>
      <c r="K33" s="24"/>
      <c r="L33" s="24"/>
      <c r="M33" s="18"/>
      <c r="N33" s="37"/>
      <c r="O33" s="18"/>
      <c r="P33" s="7976"/>
      <c r="Q33" s="7976"/>
      <c r="R33" s="7976"/>
      <c r="S33" s="7976"/>
      <c r="T33" s="7976"/>
      <c r="U33" s="18"/>
      <c r="V33" s="18"/>
      <c r="W33" s="18"/>
    </row>
    <row r="34" spans="1:23" ht="13.5" customHeight="1">
      <c r="A34" s="37"/>
      <c r="B34" s="40"/>
      <c r="C34" s="18"/>
      <c r="D34" s="18"/>
      <c r="E34" s="18"/>
      <c r="F34" s="18"/>
      <c r="G34" s="18"/>
      <c r="H34" s="18"/>
      <c r="I34" s="18"/>
      <c r="J34" s="18"/>
      <c r="K34" s="18"/>
      <c r="L34" s="33"/>
      <c r="M34" s="1567"/>
      <c r="N34" s="218"/>
      <c r="O34" s="33"/>
      <c r="P34" s="7976"/>
      <c r="Q34" s="7976"/>
      <c r="R34" s="7976"/>
      <c r="S34" s="7976"/>
      <c r="T34" s="7976"/>
      <c r="U34" s="18"/>
      <c r="V34" s="18"/>
      <c r="W34" s="18"/>
    </row>
    <row r="35" spans="1:23" ht="13.5" customHeight="1">
      <c r="A35" s="37"/>
      <c r="B35" s="27"/>
      <c r="C35" s="113"/>
      <c r="D35" s="1568" t="s">
        <v>927</v>
      </c>
      <c r="E35" s="1568"/>
      <c r="F35" s="1568"/>
      <c r="G35" s="1568"/>
      <c r="H35" s="1568"/>
      <c r="I35" s="18"/>
      <c r="J35" s="18"/>
      <c r="K35" s="18"/>
      <c r="L35" s="33"/>
      <c r="M35" s="1569"/>
      <c r="N35" s="218"/>
      <c r="O35" s="33"/>
      <c r="P35" s="7976"/>
      <c r="Q35" s="7976"/>
      <c r="R35" s="7976"/>
      <c r="S35" s="7976"/>
      <c r="T35" s="7976"/>
      <c r="U35" s="18"/>
      <c r="V35" s="18"/>
      <c r="W35" s="18"/>
    </row>
    <row r="36" spans="1:23" ht="13.5" customHeight="1">
      <c r="A36" s="37"/>
      <c r="B36" s="27"/>
      <c r="C36" s="161" t="s">
        <v>928</v>
      </c>
      <c r="D36" s="33" t="s">
        <v>1247</v>
      </c>
      <c r="E36" s="18"/>
      <c r="F36" s="18"/>
      <c r="G36" s="18"/>
      <c r="H36" s="18"/>
      <c r="I36" s="18"/>
      <c r="J36" s="18"/>
      <c r="K36" s="18"/>
      <c r="L36" s="33"/>
      <c r="M36" s="1569"/>
      <c r="N36" s="218"/>
      <c r="O36" s="33"/>
      <c r="P36" s="7976"/>
      <c r="Q36" s="7976"/>
      <c r="R36" s="7976"/>
      <c r="S36" s="7976"/>
      <c r="T36" s="7976"/>
      <c r="U36" s="18"/>
      <c r="V36" s="18"/>
      <c r="W36" s="18"/>
    </row>
    <row r="37" spans="1:23" ht="12" customHeight="1">
      <c r="A37" s="37"/>
      <c r="B37" s="27"/>
      <c r="C37" s="18"/>
      <c r="D37" s="33" t="s">
        <v>1248</v>
      </c>
      <c r="E37" s="33"/>
      <c r="F37" s="33"/>
      <c r="G37" s="33"/>
      <c r="H37" s="33"/>
      <c r="I37" s="18"/>
      <c r="J37" s="18"/>
      <c r="K37" s="18"/>
      <c r="L37" s="33"/>
      <c r="M37" s="1569"/>
      <c r="N37" s="218"/>
      <c r="O37" s="33"/>
      <c r="P37" s="18"/>
      <c r="Q37" s="18"/>
      <c r="R37" s="18"/>
      <c r="S37" s="18"/>
      <c r="T37" s="18"/>
      <c r="U37" s="18"/>
      <c r="V37" s="18"/>
      <c r="W37" s="18"/>
    </row>
    <row r="38" spans="1:23" ht="16.5" customHeight="1">
      <c r="A38" s="218"/>
      <c r="B38" s="976" t="s">
        <v>1249</v>
      </c>
      <c r="C38" s="425"/>
      <c r="D38" s="425"/>
      <c r="E38" s="425"/>
      <c r="F38" s="425"/>
      <c r="G38" s="425"/>
      <c r="H38" s="425"/>
      <c r="I38" s="33"/>
      <c r="J38" s="33"/>
      <c r="K38" s="33"/>
      <c r="L38" s="33"/>
      <c r="M38" s="1569"/>
      <c r="N38" s="218"/>
      <c r="O38" s="33"/>
      <c r="P38" s="18"/>
      <c r="Q38" s="18"/>
      <c r="R38" s="19"/>
      <c r="S38" s="18"/>
      <c r="T38" s="18"/>
      <c r="U38" s="18"/>
      <c r="V38" s="18"/>
      <c r="W38" s="18"/>
    </row>
    <row r="39" spans="1:23">
      <c r="A39" s="218"/>
      <c r="B39" s="1180" t="s">
        <v>1250</v>
      </c>
      <c r="C39" s="425"/>
      <c r="D39" s="425"/>
      <c r="E39" s="425"/>
      <c r="F39" s="28"/>
      <c r="G39" s="33"/>
      <c r="H39" s="425"/>
      <c r="I39" s="33"/>
      <c r="J39" s="33"/>
      <c r="K39" s="33"/>
      <c r="L39" s="59"/>
      <c r="M39" s="1558"/>
      <c r="N39" s="1559"/>
      <c r="O39" s="33"/>
      <c r="P39" s="18"/>
      <c r="Q39" s="18"/>
      <c r="R39" s="19"/>
      <c r="S39" s="18"/>
      <c r="T39" s="18"/>
      <c r="U39" s="18"/>
      <c r="V39" s="18"/>
      <c r="W39" s="18"/>
    </row>
    <row r="40" spans="1:23">
      <c r="A40" s="218"/>
      <c r="B40" s="1179" t="str">
        <f>"Enter  the total  pension  or  annuity  payments  received  in "&amp;TaxYear&amp;" on Form 1040 or 1040-SR, line 5a."</f>
        <v>Enter  the total  pension  or  annuity  payments  received  in 2025 on Form 1040 or 1040-SR, line 5a.</v>
      </c>
      <c r="C40" s="1570"/>
      <c r="D40" s="1570"/>
      <c r="E40" s="1570"/>
      <c r="F40" s="292"/>
      <c r="G40" s="292"/>
      <c r="H40" s="292"/>
      <c r="I40" s="292"/>
      <c r="J40" s="292"/>
      <c r="K40" s="292"/>
      <c r="L40" s="1571"/>
      <c r="M40" s="1572"/>
      <c r="N40" s="1559"/>
      <c r="O40" s="33"/>
      <c r="P40" s="18"/>
      <c r="Q40" s="18"/>
      <c r="R40" s="19"/>
      <c r="S40" s="18"/>
      <c r="T40" s="18"/>
      <c r="U40" s="18"/>
      <c r="V40" s="18"/>
      <c r="W40" s="18"/>
    </row>
    <row r="41" spans="1:23" ht="16.5" customHeight="1">
      <c r="A41" s="37"/>
      <c r="B41" s="1576" t="str">
        <f>"1."</f>
        <v>1.</v>
      </c>
      <c r="C41" s="28" t="s">
        <v>5057</v>
      </c>
      <c r="D41" s="29"/>
      <c r="E41" s="29"/>
      <c r="F41" s="29"/>
      <c r="G41" s="29"/>
      <c r="H41" s="29"/>
      <c r="I41" s="828"/>
      <c r="J41" s="29"/>
      <c r="K41" s="1554"/>
      <c r="L41" s="29"/>
      <c r="M41" s="30"/>
      <c r="N41" s="158"/>
      <c r="O41" s="97"/>
      <c r="P41" s="18"/>
      <c r="Q41" s="18"/>
      <c r="R41" s="19"/>
      <c r="S41" s="18"/>
      <c r="T41" s="18"/>
      <c r="U41" s="18"/>
      <c r="V41" s="18"/>
      <c r="W41" s="18"/>
    </row>
    <row r="42" spans="1:23">
      <c r="A42" s="37"/>
      <c r="B42" s="1553"/>
      <c r="C42" s="28" t="s">
        <v>1252</v>
      </c>
      <c r="D42" s="29"/>
      <c r="E42" s="29"/>
      <c r="F42" s="29"/>
      <c r="G42" s="29"/>
      <c r="H42" s="29"/>
      <c r="I42" s="828"/>
      <c r="J42" s="32" t="s">
        <v>1253</v>
      </c>
      <c r="K42" s="1554">
        <v>1</v>
      </c>
      <c r="L42" s="332"/>
      <c r="M42" s="121"/>
      <c r="N42" s="159"/>
      <c r="O42" s="29"/>
      <c r="P42" s="18"/>
      <c r="Q42" s="18"/>
      <c r="R42" s="19"/>
      <c r="S42" s="18"/>
      <c r="T42" s="18"/>
      <c r="U42" s="18"/>
      <c r="V42" s="18"/>
      <c r="W42" s="18"/>
    </row>
    <row r="43" spans="1:23">
      <c r="A43" s="37"/>
      <c r="B43" s="1553">
        <v>2</v>
      </c>
      <c r="C43" s="28" t="s">
        <v>1254</v>
      </c>
      <c r="D43" s="29"/>
      <c r="E43" s="29"/>
      <c r="F43" s="32"/>
      <c r="G43" s="32"/>
      <c r="H43" s="32" t="s">
        <v>1255</v>
      </c>
      <c r="I43" s="828">
        <v>2</v>
      </c>
      <c r="J43" s="332"/>
      <c r="K43" s="828"/>
      <c r="L43" s="97"/>
      <c r="M43" s="121"/>
      <c r="N43" s="158"/>
      <c r="O43" s="29"/>
      <c r="P43" s="18"/>
      <c r="Q43" s="18"/>
      <c r="R43" s="19"/>
      <c r="S43" s="18"/>
      <c r="T43" s="18"/>
      <c r="U43" s="18"/>
      <c r="V43" s="18"/>
      <c r="W43" s="18"/>
    </row>
    <row r="44" spans="1:23" ht="13.5" thickBot="1">
      <c r="A44" s="37"/>
      <c r="B44" s="1553"/>
      <c r="C44" s="86" t="s">
        <v>1256</v>
      </c>
      <c r="D44" s="29"/>
      <c r="E44" s="29"/>
      <c r="F44" s="32"/>
      <c r="G44" s="32"/>
      <c r="H44" s="32"/>
      <c r="I44" s="828"/>
      <c r="J44" s="188"/>
      <c r="K44" s="828"/>
      <c r="L44" s="215"/>
      <c r="M44" s="121"/>
      <c r="N44" s="158"/>
      <c r="O44" s="29"/>
      <c r="P44" s="18"/>
      <c r="Q44" s="18"/>
      <c r="R44" s="18"/>
      <c r="S44" s="18"/>
      <c r="T44" s="18"/>
      <c r="U44" s="18"/>
      <c r="V44" s="18"/>
      <c r="W44" s="18"/>
    </row>
    <row r="45" spans="1:23" ht="13.5" thickBot="1">
      <c r="A45" s="37"/>
      <c r="B45" s="1553"/>
      <c r="C45" s="28" t="s">
        <v>1257</v>
      </c>
      <c r="D45" s="29"/>
      <c r="E45" s="29"/>
      <c r="F45" s="32"/>
      <c r="G45" s="32"/>
      <c r="H45" s="32"/>
      <c r="I45" s="828"/>
      <c r="J45" s="188"/>
      <c r="K45" s="828"/>
      <c r="L45" s="215"/>
      <c r="M45" s="121"/>
      <c r="N45" s="158"/>
      <c r="O45" s="29"/>
      <c r="P45" s="18"/>
      <c r="Q45" s="303"/>
      <c r="R45" s="33" t="s">
        <v>1258</v>
      </c>
      <c r="S45" s="18"/>
      <c r="T45" s="18"/>
      <c r="U45" s="18"/>
      <c r="V45" s="18"/>
      <c r="W45" s="18"/>
    </row>
    <row r="46" spans="1:23">
      <c r="A46" s="37"/>
      <c r="B46" s="1553"/>
      <c r="C46" s="28" t="s">
        <v>1259</v>
      </c>
      <c r="D46" s="29"/>
      <c r="E46" s="29"/>
      <c r="F46" s="32"/>
      <c r="G46" s="32"/>
      <c r="H46" s="32"/>
      <c r="I46" s="828"/>
      <c r="J46" s="188"/>
      <c r="K46" s="828"/>
      <c r="L46" s="168"/>
      <c r="M46" s="121"/>
      <c r="N46" s="158"/>
      <c r="O46" s="29"/>
      <c r="P46" s="18"/>
      <c r="Q46" s="489"/>
      <c r="R46" s="33"/>
      <c r="S46" s="18"/>
      <c r="T46" s="18"/>
      <c r="U46" s="18"/>
      <c r="V46" s="18"/>
      <c r="W46" s="18"/>
    </row>
    <row r="47" spans="1:23">
      <c r="A47" s="37"/>
      <c r="B47" s="1553">
        <v>3</v>
      </c>
      <c r="C47" s="28" t="s">
        <v>1260</v>
      </c>
      <c r="D47" s="29"/>
      <c r="E47" s="29"/>
      <c r="F47" s="29"/>
      <c r="G47" s="29"/>
      <c r="H47" s="29"/>
      <c r="I47" s="828"/>
      <c r="J47" s="1577"/>
      <c r="K47" s="828"/>
      <c r="L47" s="168"/>
      <c r="M47" s="30"/>
      <c r="N47" s="158"/>
      <c r="O47" s="29"/>
      <c r="P47" s="18"/>
      <c r="Q47" s="490"/>
      <c r="R47" s="33"/>
      <c r="S47" s="18"/>
      <c r="T47" s="18"/>
      <c r="U47" s="18"/>
      <c r="V47" s="18"/>
      <c r="W47" s="18"/>
    </row>
    <row r="48" spans="1:23" ht="11.25" customHeight="1" thickBot="1">
      <c r="A48" s="37"/>
      <c r="B48" s="183"/>
      <c r="C48" s="191" t="s">
        <v>1261</v>
      </c>
      <c r="D48" s="93"/>
      <c r="E48" s="93"/>
      <c r="F48" s="93"/>
      <c r="G48" s="93"/>
      <c r="H48" s="93"/>
      <c r="I48" s="1578"/>
      <c r="J48" s="1579"/>
      <c r="K48" s="1578"/>
      <c r="L48" s="168"/>
      <c r="M48" s="219"/>
      <c r="N48" s="158"/>
      <c r="O48" s="29"/>
      <c r="P48" s="24"/>
      <c r="Q48" s="24"/>
      <c r="R48" s="24"/>
      <c r="S48" s="24"/>
      <c r="T48" s="24"/>
      <c r="U48" s="24"/>
      <c r="V48" s="18"/>
      <c r="W48" s="18"/>
    </row>
    <row r="49" spans="1:23" ht="14.25" customHeight="1">
      <c r="A49" s="37"/>
      <c r="B49" s="27"/>
      <c r="C49" s="28" t="s">
        <v>1262</v>
      </c>
      <c r="D49" s="18"/>
      <c r="E49" s="18"/>
      <c r="F49" s="18"/>
      <c r="G49" s="18"/>
      <c r="H49" s="32" t="s">
        <v>1263</v>
      </c>
      <c r="I49" s="828">
        <v>3</v>
      </c>
      <c r="J49" s="331" t="str">
        <f>IF(Q45&lt;&gt;"","",IF(R16="","Enter date above",IF(R28="","Enter age above",IF(L85,J94,L84))))</f>
        <v>Enter date above</v>
      </c>
      <c r="K49" s="828"/>
      <c r="L49" s="488" t="s">
        <v>1264</v>
      </c>
      <c r="M49" s="172"/>
      <c r="N49" s="158"/>
      <c r="O49" s="29"/>
      <c r="P49" s="40"/>
      <c r="Q49" s="23"/>
      <c r="R49" s="23"/>
      <c r="S49" s="23"/>
      <c r="T49" s="23"/>
      <c r="U49" s="48"/>
      <c r="V49" s="18"/>
      <c r="W49" s="18"/>
    </row>
    <row r="50" spans="1:23" ht="14.25" customHeight="1" thickBot="1">
      <c r="A50" s="37"/>
      <c r="B50" s="1553">
        <v>4</v>
      </c>
      <c r="C50" s="28" t="s">
        <v>1265</v>
      </c>
      <c r="D50" s="18"/>
      <c r="E50" s="18"/>
      <c r="F50" s="18"/>
      <c r="G50" s="18"/>
      <c r="H50" s="32" t="s">
        <v>1266</v>
      </c>
      <c r="I50" s="828">
        <v>4</v>
      </c>
      <c r="J50" s="331" t="str">
        <f>IF(L50&lt;&gt;"",L50,IF(OR(J49="",J49=0),"",IF(ISERROR(ROUND((J43/J49),0)),"",ROUND((J43/J49),0))))</f>
        <v/>
      </c>
      <c r="K50" s="828"/>
      <c r="L50" s="332"/>
      <c r="M50" s="30"/>
      <c r="N50" s="158"/>
      <c r="O50" s="29"/>
      <c r="P50" s="27"/>
      <c r="Q50" s="18"/>
      <c r="R50" s="18"/>
      <c r="S50" s="18"/>
      <c r="T50" s="18"/>
      <c r="U50" s="49"/>
      <c r="V50" s="18"/>
      <c r="W50" s="18"/>
    </row>
    <row r="51" spans="1:23" ht="16.5" thickBot="1">
      <c r="A51" s="37"/>
      <c r="B51" s="1553">
        <v>5</v>
      </c>
      <c r="C51" s="28" t="s">
        <v>1267</v>
      </c>
      <c r="D51" s="18"/>
      <c r="E51" s="18"/>
      <c r="F51" s="18"/>
      <c r="G51" s="18"/>
      <c r="H51" s="18"/>
      <c r="I51" s="828"/>
      <c r="J51" s="29"/>
      <c r="K51" s="828"/>
      <c r="L51" s="168" t="s">
        <v>1268</v>
      </c>
      <c r="M51" s="172" t="s">
        <v>916</v>
      </c>
      <c r="N51" s="158"/>
      <c r="O51" s="29"/>
      <c r="P51" s="27"/>
      <c r="Q51" s="176"/>
      <c r="R51" s="173"/>
      <c r="S51" s="18"/>
      <c r="T51" s="18"/>
      <c r="U51" s="49"/>
      <c r="V51" s="18"/>
      <c r="W51" s="18"/>
    </row>
    <row r="52" spans="1:23" ht="12.75" customHeight="1">
      <c r="A52" s="37"/>
      <c r="B52" s="27"/>
      <c r="C52" s="28" t="s">
        <v>1269</v>
      </c>
      <c r="D52" s="18"/>
      <c r="E52" s="18"/>
      <c r="F52" s="18"/>
      <c r="G52" s="18"/>
      <c r="H52" s="18"/>
      <c r="I52" s="828"/>
      <c r="J52" s="481">
        <v>31778</v>
      </c>
      <c r="K52" s="174" t="b">
        <f>IF(R16&lt;J52,TRUE,FALSE)</f>
        <v>1</v>
      </c>
      <c r="L52" s="168" t="s">
        <v>1270</v>
      </c>
      <c r="M52" s="172"/>
      <c r="N52" s="158"/>
      <c r="O52" s="29"/>
      <c r="P52" s="7971" t="s">
        <v>1271</v>
      </c>
      <c r="Q52" s="7972"/>
      <c r="R52" s="7972"/>
      <c r="S52" s="7972"/>
      <c r="T52" s="7972"/>
      <c r="U52" s="7973"/>
      <c r="V52" s="18"/>
      <c r="W52" s="18"/>
    </row>
    <row r="53" spans="1:23" ht="12.75" customHeight="1">
      <c r="A53" s="37"/>
      <c r="B53" s="27"/>
      <c r="C53" s="28" t="s">
        <v>1272</v>
      </c>
      <c r="D53" s="18"/>
      <c r="E53" s="18"/>
      <c r="F53" s="18"/>
      <c r="G53" s="18"/>
      <c r="H53" s="32" t="s">
        <v>523</v>
      </c>
      <c r="I53" s="828">
        <v>5</v>
      </c>
      <c r="J53" s="331" t="str">
        <f>IF(OR(R51&gt;12,R51="",J50=""),"",J50*R51)</f>
        <v/>
      </c>
      <c r="K53" s="828"/>
      <c r="L53" s="168" t="s">
        <v>1273</v>
      </c>
      <c r="M53" s="30"/>
      <c r="N53" s="158"/>
      <c r="O53" s="29"/>
      <c r="P53" s="7971" t="s">
        <v>1274</v>
      </c>
      <c r="Q53" s="7972"/>
      <c r="R53" s="7972"/>
      <c r="S53" s="7972"/>
      <c r="T53" s="7972"/>
      <c r="U53" s="7973"/>
      <c r="V53" s="18"/>
      <c r="W53" s="18"/>
    </row>
    <row r="54" spans="1:23" ht="16.5" thickBot="1">
      <c r="A54" s="37"/>
      <c r="B54" s="1553">
        <v>6</v>
      </c>
      <c r="C54" s="28" t="s">
        <v>1275</v>
      </c>
      <c r="D54" s="18"/>
      <c r="E54" s="18"/>
      <c r="F54" s="18"/>
      <c r="G54" s="18"/>
      <c r="H54" s="32"/>
      <c r="I54" s="828"/>
      <c r="J54" s="201"/>
      <c r="K54" s="828"/>
      <c r="L54" s="168" t="s">
        <v>1276</v>
      </c>
      <c r="M54" s="172"/>
      <c r="N54" s="158"/>
      <c r="O54" s="29"/>
      <c r="P54" s="41"/>
      <c r="Q54" s="24"/>
      <c r="R54" s="24"/>
      <c r="S54" s="24"/>
      <c r="T54" s="24"/>
      <c r="U54" s="50"/>
      <c r="V54" s="18"/>
      <c r="W54" s="18"/>
    </row>
    <row r="55" spans="1:23" ht="13.5" customHeight="1">
      <c r="A55" s="37"/>
      <c r="B55" s="1553"/>
      <c r="C55" s="28" t="s">
        <v>1277</v>
      </c>
      <c r="D55" s="18"/>
      <c r="E55" s="18"/>
      <c r="F55" s="18"/>
      <c r="G55" s="18"/>
      <c r="H55" s="32"/>
      <c r="I55" s="828">
        <v>6</v>
      </c>
      <c r="J55" s="332"/>
      <c r="K55" s="828"/>
      <c r="L55" s="168"/>
      <c r="M55" s="172"/>
      <c r="N55" s="158"/>
      <c r="O55" s="29"/>
      <c r="P55" s="18"/>
      <c r="Q55" s="18"/>
      <c r="R55" s="18"/>
      <c r="S55" s="18"/>
      <c r="T55" s="18"/>
      <c r="U55" s="18"/>
      <c r="V55" s="18"/>
      <c r="W55" s="18"/>
    </row>
    <row r="56" spans="1:23">
      <c r="A56" s="37"/>
      <c r="B56" s="1553">
        <v>7</v>
      </c>
      <c r="C56" s="87" t="s">
        <v>1278</v>
      </c>
      <c r="D56" s="18"/>
      <c r="E56" s="18"/>
      <c r="F56" s="18"/>
      <c r="G56" s="18"/>
      <c r="H56" s="32" t="s">
        <v>1279</v>
      </c>
      <c r="I56" s="828">
        <v>7</v>
      </c>
      <c r="J56" s="331" t="str">
        <f>IF(OR(K52,J53=""),"",J43-J55)</f>
        <v/>
      </c>
      <c r="K56" s="828"/>
      <c r="L56" s="29"/>
      <c r="M56" s="30"/>
      <c r="N56" s="158"/>
      <c r="O56" s="29"/>
      <c r="P56" s="18"/>
      <c r="Q56" s="18"/>
      <c r="R56" s="18"/>
      <c r="S56" s="18"/>
      <c r="T56" s="18"/>
      <c r="U56" s="18"/>
      <c r="V56" s="18"/>
      <c r="W56" s="18"/>
    </row>
    <row r="57" spans="1:23">
      <c r="A57" s="37"/>
      <c r="B57" s="1553">
        <v>8</v>
      </c>
      <c r="C57" s="87" t="s">
        <v>1280</v>
      </c>
      <c r="D57" s="18"/>
      <c r="E57" s="18"/>
      <c r="F57" s="18"/>
      <c r="G57" s="18"/>
      <c r="H57" s="18"/>
      <c r="I57" s="18"/>
      <c r="J57" s="32" t="s">
        <v>1281</v>
      </c>
      <c r="K57" s="828">
        <v>8</v>
      </c>
      <c r="L57" s="331" t="str">
        <f>IF(K52,J53,MIN(J53,J56))</f>
        <v/>
      </c>
      <c r="M57" s="121"/>
      <c r="N57" s="158"/>
      <c r="O57" s="97"/>
      <c r="P57" s="18"/>
      <c r="Q57" s="18"/>
      <c r="R57" s="18"/>
      <c r="S57" s="18"/>
      <c r="T57" s="18"/>
      <c r="U57" s="18"/>
      <c r="V57" s="18"/>
      <c r="W57" s="18"/>
    </row>
    <row r="58" spans="1:23">
      <c r="A58" s="218"/>
      <c r="B58" s="1062" t="s">
        <v>1251</v>
      </c>
      <c r="C58" s="978"/>
      <c r="D58" s="1573"/>
      <c r="E58" s="1573"/>
      <c r="F58" s="977"/>
      <c r="G58" s="1573"/>
      <c r="H58" s="1573"/>
      <c r="I58" s="225"/>
      <c r="J58" s="225"/>
      <c r="K58" s="225"/>
      <c r="L58" s="1574"/>
      <c r="M58" s="1575"/>
      <c r="N58" s="1559"/>
      <c r="O58" s="33"/>
      <c r="P58" s="18"/>
      <c r="Q58" s="18"/>
      <c r="R58" s="19"/>
      <c r="S58" s="18"/>
      <c r="T58" s="18"/>
      <c r="U58" s="18"/>
      <c r="V58" s="18"/>
      <c r="W58" s="18"/>
    </row>
    <row r="59" spans="1:23">
      <c r="A59" s="37"/>
      <c r="B59" s="1553">
        <v>9</v>
      </c>
      <c r="C59" s="28" t="s">
        <v>1282</v>
      </c>
      <c r="D59" s="18"/>
      <c r="E59" s="18"/>
      <c r="F59" s="18"/>
      <c r="G59" s="18"/>
      <c r="H59" s="18"/>
      <c r="I59" s="18"/>
      <c r="J59" s="18"/>
      <c r="K59" s="828"/>
      <c r="L59" s="29"/>
      <c r="M59" s="30"/>
      <c r="N59" s="158"/>
      <c r="O59" s="97"/>
      <c r="P59" s="18"/>
      <c r="Q59" s="18"/>
      <c r="R59" s="18"/>
      <c r="S59" s="18"/>
      <c r="T59" s="18"/>
      <c r="U59" s="18"/>
      <c r="V59" s="18"/>
      <c r="W59" s="18"/>
    </row>
    <row r="60" spans="1:23" ht="12.75" customHeight="1">
      <c r="A60" s="37"/>
      <c r="B60" s="1553"/>
      <c r="C60" s="691" t="s">
        <v>5497</v>
      </c>
      <c r="D60" s="34"/>
      <c r="E60" s="34"/>
      <c r="F60" s="34"/>
      <c r="G60" s="34"/>
      <c r="H60" s="34"/>
      <c r="I60" s="828"/>
      <c r="J60" s="29"/>
      <c r="K60" s="828"/>
      <c r="L60" s="29"/>
      <c r="M60" s="30"/>
      <c r="N60" s="158"/>
      <c r="O60" s="97"/>
      <c r="P60" s="18"/>
      <c r="Q60" s="18"/>
      <c r="R60" s="19" t="s">
        <v>979</v>
      </c>
      <c r="S60" s="18"/>
      <c r="T60" s="18"/>
      <c r="U60" s="18"/>
      <c r="V60" s="18"/>
      <c r="W60" s="18"/>
    </row>
    <row r="61" spans="1:23" ht="12.75" customHeight="1">
      <c r="A61" s="37"/>
      <c r="B61" s="1553"/>
      <c r="C61" s="28" t="s">
        <v>1283</v>
      </c>
      <c r="D61" s="34"/>
      <c r="E61" s="34"/>
      <c r="F61" s="34"/>
      <c r="G61" s="34"/>
      <c r="H61" s="34"/>
      <c r="I61" s="828"/>
      <c r="J61" s="29"/>
      <c r="K61" s="828"/>
      <c r="L61" s="29"/>
      <c r="M61" s="30"/>
      <c r="N61" s="158"/>
      <c r="O61" s="97"/>
      <c r="P61" s="18"/>
      <c r="Q61" s="18"/>
      <c r="R61" s="19" t="s">
        <v>931</v>
      </c>
      <c r="S61" s="18"/>
      <c r="T61" s="18"/>
      <c r="U61" s="18"/>
      <c r="V61" s="18"/>
      <c r="W61" s="18"/>
    </row>
    <row r="62" spans="1:23">
      <c r="A62" s="37"/>
      <c r="B62" s="1553"/>
      <c r="C62" s="28" t="s">
        <v>1284</v>
      </c>
      <c r="D62" s="29"/>
      <c r="E62" s="29"/>
      <c r="F62" s="29"/>
      <c r="G62" s="29"/>
      <c r="H62" s="29"/>
      <c r="I62" s="828"/>
      <c r="J62" s="32" t="s">
        <v>1285</v>
      </c>
      <c r="K62" s="828">
        <v>9</v>
      </c>
      <c r="L62" s="331" t="str">
        <f>IF(R62&lt;&gt;"",R62,IF(OR(L57="",R16=""),"",IF(Pension_total="",0,MAX(0,SUM(L42,-L57)))))</f>
        <v/>
      </c>
      <c r="M62" s="121"/>
      <c r="N62" s="158"/>
      <c r="O62" s="97"/>
      <c r="P62" s="18"/>
      <c r="Q62" s="18"/>
      <c r="R62" s="109"/>
      <c r="S62" s="18"/>
      <c r="T62" s="18"/>
      <c r="U62" s="18"/>
      <c r="V62" s="18"/>
      <c r="W62" s="18"/>
    </row>
    <row r="63" spans="1:23">
      <c r="A63" s="37"/>
      <c r="B63" s="692" t="s">
        <v>210</v>
      </c>
      <c r="C63" s="28" t="s">
        <v>1286</v>
      </c>
      <c r="D63" s="29"/>
      <c r="E63" s="29"/>
      <c r="F63" s="29"/>
      <c r="G63" s="29"/>
      <c r="H63" s="29"/>
      <c r="I63" s="828"/>
      <c r="J63" s="32"/>
      <c r="K63" s="828"/>
      <c r="L63" s="97"/>
      <c r="M63" s="121"/>
      <c r="N63" s="158"/>
      <c r="O63" s="97"/>
      <c r="P63" s="18"/>
      <c r="Q63" s="18"/>
      <c r="R63" s="189"/>
      <c r="S63" s="18"/>
      <c r="T63" s="18"/>
      <c r="U63" s="18"/>
      <c r="V63" s="18"/>
      <c r="W63" s="18"/>
    </row>
    <row r="64" spans="1:23" ht="7.5" customHeight="1">
      <c r="A64" s="37"/>
      <c r="B64" s="1553"/>
      <c r="C64" s="18"/>
      <c r="D64" s="29"/>
      <c r="E64" s="29"/>
      <c r="F64" s="29"/>
      <c r="G64" s="29"/>
      <c r="H64" s="29"/>
      <c r="I64" s="828"/>
      <c r="J64" s="32"/>
      <c r="K64" s="828"/>
      <c r="L64" s="97"/>
      <c r="M64" s="121"/>
      <c r="N64" s="158"/>
      <c r="O64" s="97"/>
      <c r="P64" s="18"/>
      <c r="Q64" s="18"/>
      <c r="R64" s="189"/>
      <c r="S64" s="18"/>
      <c r="T64" s="18"/>
      <c r="U64" s="18"/>
      <c r="V64" s="18"/>
      <c r="W64" s="18"/>
    </row>
    <row r="65" spans="1:23" ht="13.5" customHeight="1">
      <c r="A65" s="37"/>
      <c r="B65" s="1553"/>
      <c r="C65" s="503" t="str">
        <f>IF(V22,"X","")</f>
        <v/>
      </c>
      <c r="D65" s="190" t="s">
        <v>1287</v>
      </c>
      <c r="E65" s="59" t="s">
        <v>1288</v>
      </c>
      <c r="F65" s="29"/>
      <c r="G65" s="29"/>
      <c r="H65" s="29"/>
      <c r="I65" s="828"/>
      <c r="J65" s="32"/>
      <c r="K65" s="828"/>
      <c r="L65" s="97"/>
      <c r="M65" s="121"/>
      <c r="N65" s="158"/>
      <c r="O65" s="97"/>
      <c r="P65" s="18"/>
      <c r="Q65" s="18"/>
      <c r="R65" s="495"/>
      <c r="S65" s="18"/>
      <c r="T65" s="18"/>
      <c r="U65" s="18"/>
      <c r="V65" s="18"/>
      <c r="W65" s="18"/>
    </row>
    <row r="66" spans="1:23">
      <c r="A66" s="37"/>
      <c r="B66" s="1553"/>
      <c r="C66" s="18"/>
      <c r="D66" s="29"/>
      <c r="E66" s="29"/>
      <c r="F66" s="29"/>
      <c r="G66" s="29"/>
      <c r="H66" s="29"/>
      <c r="I66" s="828"/>
      <c r="J66" s="32"/>
      <c r="K66" s="828"/>
      <c r="L66" s="97"/>
      <c r="M66" s="121"/>
      <c r="N66" s="158"/>
      <c r="O66" s="97"/>
      <c r="P66" s="18"/>
      <c r="Q66" s="18"/>
      <c r="R66" s="19" t="s">
        <v>979</v>
      </c>
      <c r="S66" s="18"/>
      <c r="T66" s="18"/>
      <c r="U66" s="18"/>
      <c r="V66" s="18"/>
      <c r="W66" s="18"/>
    </row>
    <row r="67" spans="1:23" ht="15" customHeight="1">
      <c r="A67" s="37"/>
      <c r="B67" s="1553"/>
      <c r="C67" s="503" t="str">
        <f>IF(V22,"","X")</f>
        <v>X</v>
      </c>
      <c r="D67" s="31" t="s">
        <v>1289</v>
      </c>
      <c r="E67" s="1294"/>
      <c r="F67" s="29"/>
      <c r="G67" s="29"/>
      <c r="H67" s="29"/>
      <c r="I67" s="944" t="s">
        <v>1290</v>
      </c>
      <c r="J67" s="1580" t="str">
        <f>TaxYear&amp;"."</f>
        <v>2025.</v>
      </c>
      <c r="K67" s="828"/>
      <c r="L67" s="97"/>
      <c r="M67" s="121"/>
      <c r="N67" s="158"/>
      <c r="O67" s="97"/>
      <c r="P67" s="18"/>
      <c r="Q67" s="18"/>
      <c r="R67" s="19" t="s">
        <v>931</v>
      </c>
      <c r="S67" s="18"/>
      <c r="T67" s="18"/>
      <c r="U67" s="18"/>
      <c r="V67" s="18"/>
      <c r="W67" s="18"/>
    </row>
    <row r="68" spans="1:23">
      <c r="A68" s="37"/>
      <c r="B68" s="1553"/>
      <c r="C68" s="18"/>
      <c r="D68" s="29" t="s">
        <v>1291</v>
      </c>
      <c r="E68" s="29"/>
      <c r="F68" s="29"/>
      <c r="G68" s="29"/>
      <c r="H68" s="29"/>
      <c r="I68" s="828"/>
      <c r="J68" s="32" t="s">
        <v>1292</v>
      </c>
      <c r="K68" s="943" t="str">
        <f>B63</f>
        <v>10.</v>
      </c>
      <c r="L68" s="331" t="str">
        <f>IF(R68&lt;&gt;"",R68,IF(R16="","",IF(C65="X","",SUM(J55,L57))))</f>
        <v/>
      </c>
      <c r="M68" s="121"/>
      <c r="N68" s="158"/>
      <c r="O68" s="97"/>
      <c r="P68" s="18"/>
      <c r="Q68" s="18"/>
      <c r="R68" s="109"/>
      <c r="S68" s="18"/>
      <c r="T68" s="18"/>
      <c r="U68" s="18"/>
      <c r="V68" s="18"/>
      <c r="W68" s="18"/>
    </row>
    <row r="69" spans="1:23">
      <c r="A69" s="37"/>
      <c r="B69" s="1553"/>
      <c r="C69" s="18"/>
      <c r="D69" s="29"/>
      <c r="E69" s="29"/>
      <c r="F69" s="29"/>
      <c r="G69" s="29"/>
      <c r="H69" s="29"/>
      <c r="I69" s="828"/>
      <c r="J69" s="32"/>
      <c r="K69" s="943"/>
      <c r="L69" s="694"/>
      <c r="M69" s="121"/>
      <c r="N69" s="158"/>
      <c r="O69" s="97"/>
      <c r="P69" s="18"/>
      <c r="Q69" s="18"/>
      <c r="R69" s="189"/>
      <c r="S69" s="18"/>
      <c r="T69" s="18"/>
      <c r="U69" s="18"/>
      <c r="V69" s="18"/>
      <c r="W69" s="18"/>
    </row>
    <row r="70" spans="1:23">
      <c r="A70" s="37"/>
      <c r="B70" s="692" t="s">
        <v>212</v>
      </c>
      <c r="C70" s="33" t="s">
        <v>1293</v>
      </c>
      <c r="D70" s="29"/>
      <c r="E70" s="29"/>
      <c r="F70" s="29"/>
      <c r="G70" s="29"/>
      <c r="H70" s="29"/>
      <c r="I70" s="828"/>
      <c r="J70" s="32"/>
      <c r="K70" s="943"/>
      <c r="L70" s="694"/>
      <c r="M70" s="121"/>
      <c r="N70" s="158"/>
      <c r="O70" s="97"/>
      <c r="P70" s="18"/>
      <c r="Q70" s="18"/>
      <c r="R70" s="189"/>
      <c r="S70" s="18"/>
      <c r="T70" s="18"/>
      <c r="U70" s="18"/>
      <c r="V70" s="18"/>
      <c r="W70" s="18"/>
    </row>
    <row r="71" spans="1:23">
      <c r="A71" s="37"/>
      <c r="B71" s="1553"/>
      <c r="C71" s="18" t="s">
        <v>1294</v>
      </c>
      <c r="D71" s="29"/>
      <c r="E71" s="29"/>
      <c r="F71" s="29"/>
      <c r="G71" s="29"/>
      <c r="H71" s="29"/>
      <c r="I71" s="828"/>
      <c r="J71" s="32" t="s">
        <v>1295</v>
      </c>
      <c r="K71" s="693" t="s">
        <v>212</v>
      </c>
      <c r="L71" s="331" t="str">
        <f>IF(R71&lt;&gt;"",R71,IF(R16="","",IF(C65="X","",SUM(J43,-L68))))</f>
        <v/>
      </c>
      <c r="M71" s="121"/>
      <c r="N71" s="158"/>
      <c r="O71" s="97"/>
      <c r="P71" s="18"/>
      <c r="Q71" s="18"/>
      <c r="R71" s="109"/>
      <c r="S71" s="18"/>
      <c r="T71" s="18"/>
      <c r="U71" s="18"/>
      <c r="V71" s="18"/>
      <c r="W71" s="18"/>
    </row>
    <row r="72" spans="1:23" ht="12.75" customHeight="1" thickBot="1">
      <c r="A72" s="37"/>
      <c r="B72" s="1581"/>
      <c r="C72" s="328"/>
      <c r="D72" s="35"/>
      <c r="E72" s="35"/>
      <c r="F72" s="35"/>
      <c r="G72" s="35"/>
      <c r="H72" s="35"/>
      <c r="I72" s="1564"/>
      <c r="J72" s="35"/>
      <c r="K72" s="1564"/>
      <c r="L72" s="35"/>
      <c r="M72" s="36"/>
      <c r="N72" s="159"/>
      <c r="O72" s="29"/>
      <c r="P72" s="18"/>
      <c r="Q72" s="18"/>
      <c r="R72" s="18"/>
      <c r="S72" s="18"/>
      <c r="T72" s="18"/>
      <c r="U72" s="18"/>
      <c r="V72" s="18"/>
      <c r="W72" s="18"/>
    </row>
    <row r="73" spans="1:23" ht="17.25" customHeight="1">
      <c r="A73" s="37"/>
      <c r="B73" s="1553"/>
      <c r="C73" s="18"/>
      <c r="D73" s="943"/>
      <c r="E73" s="943"/>
      <c r="F73" s="943" t="s">
        <v>1296</v>
      </c>
      <c r="G73" s="943"/>
      <c r="H73" s="943"/>
      <c r="I73" s="943"/>
      <c r="J73" s="29"/>
      <c r="K73" s="828"/>
      <c r="L73" s="29"/>
      <c r="M73" s="55"/>
      <c r="N73" s="158"/>
      <c r="O73" s="29"/>
      <c r="P73" s="18"/>
      <c r="Q73" s="18"/>
      <c r="R73" s="18"/>
      <c r="S73" s="18"/>
      <c r="T73" s="18"/>
      <c r="U73" s="18"/>
      <c r="V73" s="18"/>
      <c r="W73" s="18"/>
    </row>
    <row r="74" spans="1:23" ht="12" customHeight="1">
      <c r="A74" s="37"/>
      <c r="B74" s="1553"/>
      <c r="C74" s="18"/>
      <c r="D74" s="29"/>
      <c r="E74" s="29"/>
      <c r="F74" s="29"/>
      <c r="G74" s="29"/>
      <c r="H74" s="29"/>
      <c r="I74" s="828"/>
      <c r="J74" s="493">
        <v>35387</v>
      </c>
      <c r="K74" s="828"/>
      <c r="L74" s="171" t="s">
        <v>1297</v>
      </c>
      <c r="M74" s="55"/>
      <c r="N74" s="158"/>
      <c r="O74" s="29"/>
      <c r="P74" s="18"/>
      <c r="Q74" s="18"/>
      <c r="R74" s="18"/>
      <c r="S74" s="18"/>
      <c r="T74" s="18"/>
      <c r="U74" s="18"/>
      <c r="V74" s="18"/>
      <c r="W74" s="18"/>
    </row>
    <row r="75" spans="1:23">
      <c r="A75" s="37"/>
      <c r="B75" s="1553"/>
      <c r="C75" s="18"/>
      <c r="D75" s="53"/>
      <c r="E75" s="53"/>
      <c r="F75" s="828"/>
      <c r="G75" s="31" t="s">
        <v>1298</v>
      </c>
      <c r="H75" s="31"/>
      <c r="I75" s="828"/>
      <c r="J75" s="29"/>
      <c r="K75" s="29"/>
      <c r="L75" s="171" t="s">
        <v>1299</v>
      </c>
      <c r="M75" s="55"/>
      <c r="N75" s="159"/>
      <c r="O75" s="29"/>
      <c r="P75" s="18"/>
      <c r="Q75" s="18"/>
      <c r="R75" s="18"/>
      <c r="S75" s="18"/>
      <c r="T75" s="18"/>
      <c r="U75" s="18"/>
      <c r="V75" s="18"/>
      <c r="W75" s="18"/>
    </row>
    <row r="76" spans="1:23">
      <c r="A76" s="37"/>
      <c r="B76" s="1553"/>
      <c r="C76" s="18"/>
      <c r="D76" s="58" t="s">
        <v>1300</v>
      </c>
      <c r="E76" s="58"/>
      <c r="F76" s="943" t="s">
        <v>1301</v>
      </c>
      <c r="G76" s="7967">
        <f>J74+1</f>
        <v>35388</v>
      </c>
      <c r="H76" s="7968"/>
      <c r="I76" s="943" t="s">
        <v>1302</v>
      </c>
      <c r="J76" s="7967">
        <f>J74</f>
        <v>35387</v>
      </c>
      <c r="K76" s="7968"/>
      <c r="L76" s="171" t="s">
        <v>1303</v>
      </c>
      <c r="M76" s="55"/>
      <c r="N76" s="158"/>
      <c r="O76" s="29"/>
      <c r="P76" s="18"/>
      <c r="Q76" s="18"/>
      <c r="R76" s="18"/>
      <c r="S76" s="18"/>
      <c r="T76" s="18"/>
      <c r="U76" s="18"/>
      <c r="V76" s="18"/>
      <c r="W76" s="18"/>
    </row>
    <row r="77" spans="1:23" ht="12" customHeight="1">
      <c r="A77" s="37"/>
      <c r="B77" s="1553"/>
      <c r="C77" s="18"/>
      <c r="D77" s="1467" t="s">
        <v>1304</v>
      </c>
      <c r="E77" s="1582"/>
      <c r="F77" s="1583" t="s">
        <v>1305</v>
      </c>
      <c r="G77" s="1583"/>
      <c r="H77" s="1584"/>
      <c r="I77" s="828"/>
      <c r="J77" s="1585" t="s">
        <v>1306</v>
      </c>
      <c r="K77" s="1557"/>
      <c r="L77" s="171" t="s">
        <v>1307</v>
      </c>
      <c r="M77" s="55"/>
      <c r="N77" s="158"/>
      <c r="O77" s="29"/>
      <c r="P77" s="18"/>
      <c r="Q77" s="18"/>
      <c r="R77" s="18"/>
      <c r="S77" s="18"/>
      <c r="T77" s="18"/>
      <c r="U77" s="18"/>
      <c r="V77" s="18"/>
      <c r="W77" s="18"/>
    </row>
    <row r="78" spans="1:23" ht="5.25" customHeight="1">
      <c r="A78" s="37"/>
      <c r="B78" s="1553"/>
      <c r="C78" s="18"/>
      <c r="D78" s="58"/>
      <c r="E78" s="1582"/>
      <c r="F78" s="1294"/>
      <c r="G78" s="1294"/>
      <c r="H78" s="944"/>
      <c r="I78" s="828"/>
      <c r="J78" s="1557"/>
      <c r="K78" s="1557"/>
      <c r="L78" s="1557"/>
      <c r="M78" s="55"/>
      <c r="N78" s="158"/>
      <c r="O78" s="29"/>
      <c r="P78" s="18"/>
      <c r="Q78" s="18"/>
      <c r="R78" s="18"/>
      <c r="S78" s="18"/>
      <c r="T78" s="18"/>
      <c r="U78" s="18"/>
      <c r="V78" s="18"/>
      <c r="W78" s="18"/>
    </row>
    <row r="79" spans="1:23">
      <c r="A79" s="37"/>
      <c r="B79" s="1553"/>
      <c r="C79" s="18"/>
      <c r="D79" s="53" t="str">
        <f>(E80-1)&amp;" or under"</f>
        <v>55 or under</v>
      </c>
      <c r="E79" s="1582"/>
      <c r="F79" s="1563"/>
      <c r="G79" s="54">
        <v>300</v>
      </c>
      <c r="H79" s="95"/>
      <c r="I79" s="828"/>
      <c r="J79" s="54">
        <v>360</v>
      </c>
      <c r="K79" s="54"/>
      <c r="L79" s="162"/>
      <c r="M79" s="55"/>
      <c r="N79" s="158"/>
      <c r="O79" s="29"/>
      <c r="P79" s="18"/>
      <c r="Q79" s="18"/>
      <c r="R79" s="18"/>
      <c r="S79" s="18"/>
      <c r="T79" s="18"/>
      <c r="U79" s="18"/>
      <c r="V79" s="18"/>
      <c r="W79" s="18"/>
    </row>
    <row r="80" spans="1:23">
      <c r="A80" s="37"/>
      <c r="B80" s="1553"/>
      <c r="C80" s="18"/>
      <c r="D80" s="53" t="str">
        <f>E80&amp;"--"&amp;(E80+4)</f>
        <v>56--60</v>
      </c>
      <c r="E80" s="163">
        <v>56</v>
      </c>
      <c r="F80" s="1563"/>
      <c r="G80" s="54">
        <v>260</v>
      </c>
      <c r="H80" s="95"/>
      <c r="I80" s="828"/>
      <c r="J80" s="54">
        <v>310</v>
      </c>
      <c r="K80" s="54"/>
      <c r="L80" s="171"/>
      <c r="M80" s="55"/>
      <c r="N80" s="158"/>
      <c r="O80" s="29"/>
      <c r="P80" s="18"/>
      <c r="Q80" s="18"/>
      <c r="R80" s="18"/>
      <c r="S80" s="18"/>
      <c r="T80" s="18"/>
      <c r="U80" s="18"/>
      <c r="V80" s="18"/>
      <c r="W80" s="18"/>
    </row>
    <row r="81" spans="1:23">
      <c r="A81" s="37"/>
      <c r="B81" s="1553"/>
      <c r="C81" s="18"/>
      <c r="D81" s="53" t="str">
        <f>E81&amp;"--"&amp;(E81+4)</f>
        <v>61--65</v>
      </c>
      <c r="E81" s="163">
        <v>61</v>
      </c>
      <c r="F81" s="166"/>
      <c r="G81" s="54">
        <v>240</v>
      </c>
      <c r="H81" s="95"/>
      <c r="I81" s="828"/>
      <c r="J81" s="54">
        <v>260</v>
      </c>
      <c r="K81" s="54"/>
      <c r="L81" s="171"/>
      <c r="M81" s="55"/>
      <c r="N81" s="1586"/>
      <c r="O81" s="29"/>
      <c r="P81" s="18"/>
      <c r="Q81" s="18"/>
      <c r="R81" s="18"/>
      <c r="S81" s="18"/>
      <c r="T81" s="18"/>
      <c r="U81" s="18"/>
      <c r="V81" s="18"/>
      <c r="W81" s="18"/>
    </row>
    <row r="82" spans="1:23" ht="13.5" customHeight="1">
      <c r="A82" s="37"/>
      <c r="B82" s="1553"/>
      <c r="C82" s="18"/>
      <c r="D82" s="53" t="str">
        <f>E82&amp;"--"&amp;(E82+4)</f>
        <v>66--70</v>
      </c>
      <c r="E82" s="163">
        <v>66</v>
      </c>
      <c r="F82" s="1563"/>
      <c r="G82" s="54">
        <v>170</v>
      </c>
      <c r="H82" s="95"/>
      <c r="I82" s="828"/>
      <c r="J82" s="54">
        <v>210</v>
      </c>
      <c r="K82" s="54"/>
      <c r="L82" s="171"/>
      <c r="M82" s="55"/>
      <c r="N82" s="1587"/>
      <c r="O82" s="29"/>
      <c r="P82" s="18"/>
      <c r="Q82" s="18"/>
      <c r="R82" s="18"/>
      <c r="S82" s="18"/>
      <c r="T82" s="18"/>
      <c r="U82" s="18"/>
      <c r="V82" s="18"/>
      <c r="W82" s="18"/>
    </row>
    <row r="83" spans="1:23">
      <c r="A83" s="37"/>
      <c r="B83" s="1553"/>
      <c r="C83" s="18"/>
      <c r="D83" s="53" t="str">
        <f>E83&amp;" or older"</f>
        <v>71 or older</v>
      </c>
      <c r="E83" s="163">
        <v>71</v>
      </c>
      <c r="F83" s="1563"/>
      <c r="G83" s="54">
        <v>120</v>
      </c>
      <c r="H83" s="95"/>
      <c r="I83" s="828"/>
      <c r="J83" s="54">
        <v>160</v>
      </c>
      <c r="K83" s="54"/>
      <c r="L83" s="54"/>
      <c r="M83" s="55"/>
      <c r="N83" s="160"/>
      <c r="O83" s="29"/>
      <c r="P83" s="18"/>
      <c r="Q83" s="18"/>
      <c r="R83" s="18"/>
      <c r="S83" s="18"/>
      <c r="T83" s="18"/>
      <c r="U83" s="18"/>
      <c r="V83" s="18"/>
      <c r="W83" s="18"/>
    </row>
    <row r="84" spans="1:23" ht="13.5" thickBot="1">
      <c r="A84" s="37"/>
      <c r="B84" s="1581"/>
      <c r="C84" s="24"/>
      <c r="D84" s="35"/>
      <c r="E84" s="35"/>
      <c r="F84" s="165"/>
      <c r="G84" s="1370">
        <f>IF(R28&lt;E80,G79,LOOKUP(R28,E80:E83,G80:G83))</f>
        <v>300</v>
      </c>
      <c r="H84" s="164"/>
      <c r="I84" s="1561"/>
      <c r="J84" s="1370">
        <f>IF(R28&lt;E80,J79,LOOKUP(R28,E80:E83,J80:J83))</f>
        <v>360</v>
      </c>
      <c r="K84" s="1564"/>
      <c r="L84" s="1368" t="str">
        <f>IF(OR(R16="",R28=""),"",IF(R16&gt;J74,J84,G84))</f>
        <v/>
      </c>
      <c r="M84" s="36"/>
      <c r="N84" s="160"/>
      <c r="O84" s="29"/>
      <c r="P84" s="18"/>
      <c r="Q84" s="18"/>
      <c r="R84" s="18"/>
      <c r="S84" s="18"/>
      <c r="T84" s="18"/>
      <c r="U84" s="18"/>
      <c r="V84" s="18"/>
      <c r="W84" s="18"/>
    </row>
    <row r="85" spans="1:23">
      <c r="A85" s="37"/>
      <c r="B85" s="1553"/>
      <c r="C85" s="18"/>
      <c r="D85" s="943"/>
      <c r="E85" s="943"/>
      <c r="F85" s="1588" t="s">
        <v>1308</v>
      </c>
      <c r="G85" s="943"/>
      <c r="H85" s="943"/>
      <c r="I85" s="943"/>
      <c r="J85" s="493">
        <v>35796</v>
      </c>
      <c r="K85" s="1369"/>
      <c r="L85" s="457" t="b">
        <f>AND(Q22&lt;&gt;"",R16&gt;=J85)</f>
        <v>0</v>
      </c>
      <c r="M85" s="30"/>
      <c r="N85" s="160"/>
      <c r="O85" s="29"/>
      <c r="P85" s="18"/>
      <c r="Q85" s="18"/>
      <c r="R85" s="18"/>
      <c r="S85" s="18"/>
      <c r="T85" s="18"/>
      <c r="U85" s="18"/>
      <c r="V85" s="18"/>
      <c r="W85" s="18"/>
    </row>
    <row r="86" spans="1:23">
      <c r="A86" s="37"/>
      <c r="B86" s="1553"/>
      <c r="C86" s="18"/>
      <c r="D86" s="29"/>
      <c r="E86" s="29"/>
      <c r="F86" s="29"/>
      <c r="G86" s="29"/>
      <c r="H86" s="29"/>
      <c r="I86" s="828"/>
      <c r="J86" s="29"/>
      <c r="K86" s="828"/>
      <c r="L86" s="162"/>
      <c r="M86" s="30"/>
      <c r="N86" s="160"/>
      <c r="O86" s="29"/>
      <c r="P86" s="18"/>
      <c r="Q86" s="18"/>
      <c r="R86" s="18"/>
      <c r="S86" s="18"/>
      <c r="T86" s="18"/>
      <c r="U86" s="18"/>
      <c r="V86" s="18"/>
      <c r="W86" s="18"/>
    </row>
    <row r="87" spans="1:23">
      <c r="A87" s="37"/>
      <c r="B87" s="57"/>
      <c r="C87" s="180" t="s">
        <v>1309</v>
      </c>
      <c r="D87" s="58"/>
      <c r="E87" s="58"/>
      <c r="F87" s="58"/>
      <c r="G87" s="58"/>
      <c r="H87" s="58"/>
      <c r="I87" s="828"/>
      <c r="J87" s="31"/>
      <c r="K87" s="828"/>
      <c r="L87" s="162"/>
      <c r="M87" s="30"/>
      <c r="N87" s="160"/>
      <c r="O87" s="29"/>
      <c r="P87" s="18"/>
      <c r="Q87" s="18"/>
      <c r="R87" s="18"/>
      <c r="S87" s="18"/>
      <c r="T87" s="18"/>
      <c r="U87" s="18"/>
      <c r="V87" s="18"/>
      <c r="W87" s="18"/>
    </row>
    <row r="88" spans="1:23">
      <c r="A88" s="37"/>
      <c r="B88" s="1589"/>
      <c r="C88" s="1466"/>
      <c r="D88" s="1467" t="s">
        <v>1310</v>
      </c>
      <c r="E88" s="119"/>
      <c r="F88" s="119"/>
      <c r="G88" s="119"/>
      <c r="H88" s="119"/>
      <c r="I88" s="1468" t="s">
        <v>1311</v>
      </c>
      <c r="J88" s="52"/>
      <c r="K88" s="1468"/>
      <c r="L88" s="162"/>
      <c r="M88" s="1590"/>
      <c r="N88" s="158"/>
      <c r="O88" s="29"/>
      <c r="P88" s="18"/>
      <c r="Q88" s="18"/>
      <c r="R88" s="18"/>
      <c r="S88" s="18"/>
      <c r="T88" s="18"/>
      <c r="U88" s="18"/>
      <c r="V88" s="18"/>
      <c r="W88" s="18"/>
    </row>
    <row r="89" spans="1:23" ht="13.5" customHeight="1">
      <c r="A89" s="37"/>
      <c r="B89" s="57"/>
      <c r="C89" s="56"/>
      <c r="D89" s="53" t="str">
        <f>(E90-1)&amp;" or under"</f>
        <v>110 or under</v>
      </c>
      <c r="E89" s="53"/>
      <c r="F89" s="53"/>
      <c r="G89" s="53"/>
      <c r="H89" s="53"/>
      <c r="I89" s="95"/>
      <c r="J89" s="54">
        <v>410</v>
      </c>
      <c r="K89" s="828"/>
      <c r="L89" s="162"/>
      <c r="M89" s="156"/>
      <c r="N89" s="158"/>
      <c r="O89" s="29"/>
      <c r="P89" s="18"/>
      <c r="Q89" s="18"/>
      <c r="R89" s="18"/>
      <c r="S89" s="18"/>
      <c r="T89" s="18"/>
      <c r="U89" s="18"/>
      <c r="V89" s="18"/>
      <c r="W89" s="18"/>
    </row>
    <row r="90" spans="1:23">
      <c r="A90" s="37"/>
      <c r="B90" s="57"/>
      <c r="C90" s="56"/>
      <c r="D90" s="53" t="str">
        <f>E90&amp;"--"&amp;E90+9</f>
        <v>111--120</v>
      </c>
      <c r="E90" s="163">
        <v>111</v>
      </c>
      <c r="F90" s="53"/>
      <c r="G90" s="53"/>
      <c r="H90" s="53"/>
      <c r="I90" s="95"/>
      <c r="J90" s="54">
        <v>360</v>
      </c>
      <c r="K90" s="828"/>
      <c r="L90" s="54"/>
      <c r="M90" s="55"/>
      <c r="N90" s="158"/>
      <c r="O90" s="29"/>
      <c r="P90" s="18"/>
      <c r="Q90" s="18"/>
      <c r="R90" s="18"/>
      <c r="S90" s="18"/>
      <c r="T90" s="18"/>
      <c r="U90" s="18"/>
      <c r="V90" s="18"/>
      <c r="W90" s="18"/>
    </row>
    <row r="91" spans="1:23">
      <c r="A91" s="37"/>
      <c r="B91" s="57"/>
      <c r="C91" s="56"/>
      <c r="D91" s="53" t="str">
        <f>E91&amp;"--"&amp;E91+9</f>
        <v>121--130</v>
      </c>
      <c r="E91" s="163">
        <v>121</v>
      </c>
      <c r="F91" s="53"/>
      <c r="G91" s="53"/>
      <c r="H91" s="53"/>
      <c r="I91" s="95"/>
      <c r="J91" s="54">
        <v>310</v>
      </c>
      <c r="K91" s="828"/>
      <c r="L91" s="54"/>
      <c r="M91" s="55"/>
      <c r="N91" s="158"/>
      <c r="O91" s="29"/>
      <c r="P91" s="18"/>
      <c r="Q91" s="18"/>
      <c r="R91" s="18"/>
      <c r="S91" s="18"/>
      <c r="T91" s="18"/>
      <c r="U91" s="18"/>
      <c r="V91" s="18"/>
      <c r="W91" s="18"/>
    </row>
    <row r="92" spans="1:23">
      <c r="A92" s="37"/>
      <c r="B92" s="57"/>
      <c r="C92" s="56"/>
      <c r="D92" s="53" t="str">
        <f>E92&amp;"--"&amp;E92+9</f>
        <v>131--140</v>
      </c>
      <c r="E92" s="163">
        <v>131</v>
      </c>
      <c r="F92" s="53"/>
      <c r="G92" s="53"/>
      <c r="H92" s="53"/>
      <c r="I92" s="95"/>
      <c r="J92" s="54">
        <v>260</v>
      </c>
      <c r="K92" s="828"/>
      <c r="L92" s="54"/>
      <c r="M92" s="55"/>
      <c r="N92" s="1586"/>
      <c r="O92" s="29"/>
      <c r="P92" s="18"/>
      <c r="Q92" s="18"/>
      <c r="R92" s="18"/>
      <c r="S92" s="18"/>
      <c r="T92" s="18"/>
      <c r="U92" s="18"/>
      <c r="V92" s="18"/>
      <c r="W92" s="18"/>
    </row>
    <row r="93" spans="1:23">
      <c r="A93" s="37"/>
      <c r="B93" s="57"/>
      <c r="C93" s="56"/>
      <c r="D93" s="53" t="str">
        <f>E93&amp;" or older"</f>
        <v>141 or older</v>
      </c>
      <c r="E93" s="163">
        <v>141</v>
      </c>
      <c r="F93" s="53"/>
      <c r="G93" s="53"/>
      <c r="H93" s="53"/>
      <c r="I93" s="95"/>
      <c r="J93" s="54">
        <v>210</v>
      </c>
      <c r="K93" s="828"/>
      <c r="L93" s="54"/>
      <c r="M93" s="55"/>
      <c r="N93" s="160"/>
      <c r="O93" s="29"/>
      <c r="P93" s="18"/>
      <c r="Q93" s="18"/>
      <c r="R93" s="18"/>
      <c r="S93" s="18"/>
      <c r="T93" s="18"/>
      <c r="U93" s="18"/>
      <c r="V93" s="18"/>
      <c r="W93" s="18"/>
    </row>
    <row r="94" spans="1:23" ht="13.5" thickBot="1">
      <c r="A94" s="37"/>
      <c r="B94" s="1581"/>
      <c r="C94" s="24"/>
      <c r="D94" s="35"/>
      <c r="E94" s="35"/>
      <c r="F94" s="35"/>
      <c r="G94" s="35"/>
      <c r="H94" s="35"/>
      <c r="I94" s="1564"/>
      <c r="J94" s="1368" t="str">
        <f>IF(OR(Q22="",R28=""),"",IF(R28&lt;E90,J89,LOOKUP(R28,E90:E93,J90:J93)))</f>
        <v/>
      </c>
      <c r="K94" s="1564"/>
      <c r="L94" s="35"/>
      <c r="M94" s="36"/>
      <c r="N94" s="160"/>
      <c r="O94" s="29"/>
      <c r="P94" s="18"/>
      <c r="Q94" s="18"/>
      <c r="R94" s="18"/>
      <c r="S94" s="18"/>
      <c r="T94" s="18"/>
      <c r="U94" s="18"/>
      <c r="V94" s="18"/>
      <c r="W94" s="18"/>
    </row>
    <row r="95" spans="1:23" ht="9.75" customHeight="1">
      <c r="A95" s="37"/>
      <c r="B95" s="177"/>
      <c r="C95" s="1591"/>
      <c r="D95" s="178"/>
      <c r="E95" s="178"/>
      <c r="F95" s="178"/>
      <c r="G95" s="178"/>
      <c r="H95" s="178"/>
      <c r="I95" s="1592"/>
      <c r="J95" s="158"/>
      <c r="K95" s="1593"/>
      <c r="L95" s="158"/>
      <c r="M95" s="158"/>
      <c r="N95" s="160"/>
      <c r="O95" s="29"/>
      <c r="P95" s="18"/>
      <c r="Q95" s="18"/>
      <c r="R95" s="18"/>
      <c r="S95" s="18"/>
      <c r="T95" s="18"/>
      <c r="U95" s="18"/>
      <c r="V95" s="18"/>
      <c r="W95" s="18"/>
    </row>
    <row r="96" spans="1:23" ht="12.75" customHeight="1">
      <c r="A96" s="1556"/>
      <c r="B96" s="1556"/>
      <c r="C96" s="1556"/>
      <c r="D96" s="39"/>
      <c r="E96" s="39"/>
      <c r="F96" s="39"/>
      <c r="G96" s="39"/>
      <c r="H96" s="39"/>
      <c r="I96" s="828"/>
      <c r="J96" s="29"/>
      <c r="K96" s="828"/>
      <c r="L96" s="29"/>
      <c r="M96" s="29"/>
      <c r="N96" s="29"/>
      <c r="O96" s="29"/>
      <c r="P96" s="18"/>
      <c r="Q96" s="18"/>
      <c r="R96" s="18"/>
      <c r="S96" s="18"/>
      <c r="T96" s="18"/>
      <c r="U96" s="29"/>
      <c r="V96" s="18"/>
      <c r="W96" s="18"/>
    </row>
    <row r="97" spans="4:4" ht="13.5" customHeight="1"/>
    <row r="98" spans="4:4" ht="14.25" customHeight="1"/>
    <row r="100" spans="4:4" ht="13.5" thickBot="1"/>
    <row r="101" spans="4:4">
      <c r="D101" s="7958" t="s">
        <v>42</v>
      </c>
    </row>
    <row r="102" spans="4:4">
      <c r="D102" s="7959"/>
    </row>
    <row r="103" spans="4:4" ht="13.5" thickBot="1">
      <c r="D103" s="7960"/>
    </row>
  </sheetData>
  <sheetProtection algorithmName="SHA-512" hashValue="nagmCBwwmMhPM9LX6tVY1lGsxTmfV/YeP6UB/iaTJ0nhPFDh30tIALRweAOf16BTwCqYZAcCotBKWBfFQdmgJg==" saltValue="ZVCnSwFBusFAX7x2glur5w==" spinCount="100000" sheet="1" objects="1" scenarios="1" formatCells="0" formatColumns="0" formatRows="0"/>
  <mergeCells count="13">
    <mergeCell ref="D101:D103"/>
    <mergeCell ref="R16:S16"/>
    <mergeCell ref="R28:S28"/>
    <mergeCell ref="P12:T12"/>
    <mergeCell ref="P11:T11"/>
    <mergeCell ref="G76:H76"/>
    <mergeCell ref="P20:T20"/>
    <mergeCell ref="P52:U52"/>
    <mergeCell ref="P53:U53"/>
    <mergeCell ref="J76:K76"/>
    <mergeCell ref="P32:T36"/>
    <mergeCell ref="P23:T23"/>
    <mergeCell ref="P24:T24"/>
  </mergeCells>
  <phoneticPr fontId="13" type="noConversion"/>
  <conditionalFormatting sqref="B38">
    <cfRule type="expression" dxfId="3297" priority="5">
      <formula>IF($L$42="",1,0)</formula>
    </cfRule>
  </conditionalFormatting>
  <conditionalFormatting sqref="B58">
    <cfRule type="expression" dxfId="3296" priority="1">
      <formula>($L$42="")</formula>
    </cfRule>
  </conditionalFormatting>
  <conditionalFormatting sqref="C65">
    <cfRule type="expression" dxfId="3295" priority="3">
      <formula>NoColor</formula>
    </cfRule>
  </conditionalFormatting>
  <conditionalFormatting sqref="C67">
    <cfRule type="expression" dxfId="3294" priority="2">
      <formula>NoColor</formula>
    </cfRule>
  </conditionalFormatting>
  <conditionalFormatting sqref="D65">
    <cfRule type="expression" dxfId="3293" priority="60" stopIfTrue="1">
      <formula>IF(C65="X",1,0)</formula>
    </cfRule>
  </conditionalFormatting>
  <conditionalFormatting sqref="G79:G83">
    <cfRule type="expression" dxfId="3292" priority="1529" stopIfTrue="1">
      <formula>IF(AND($L$85=FALSE,G79=$L$84,$R$16&lt;=$J$74),1,0)</formula>
    </cfRule>
  </conditionalFormatting>
  <conditionalFormatting sqref="J43">
    <cfRule type="expression" dxfId="3291" priority="35">
      <formula>IF(NoColor,1,0)</formula>
    </cfRule>
  </conditionalFormatting>
  <conditionalFormatting sqref="J49">
    <cfRule type="expression" dxfId="3290" priority="5404">
      <formula>IF(OR(R28="",AND(L84="",J94="")),1,0)</formula>
    </cfRule>
  </conditionalFormatting>
  <conditionalFormatting sqref="J49:J50">
    <cfRule type="expression" dxfId="3289" priority="41">
      <formula>IF(NoColor,1,0)</formula>
    </cfRule>
  </conditionalFormatting>
  <conditionalFormatting sqref="J53">
    <cfRule type="expression" dxfId="3288" priority="40">
      <formula>IF(NoColor,1,0)</formula>
    </cfRule>
  </conditionalFormatting>
  <conditionalFormatting sqref="J55:J56">
    <cfRule type="expression" dxfId="3287" priority="33">
      <formula>IF(NoColor,1,0)</formula>
    </cfRule>
  </conditionalFormatting>
  <conditionalFormatting sqref="J79:J83">
    <cfRule type="expression" dxfId="3286" priority="1530" stopIfTrue="1">
      <formula>IF(AND($L$85=FALSE,J79=$L$84,$R$16&gt;$J$74),1,0)</formula>
    </cfRule>
  </conditionalFormatting>
  <conditionalFormatting sqref="J89:J93">
    <cfRule type="expression" dxfId="3285" priority="1528" stopIfTrue="1">
      <formula>IF(AND($L$85=TRUE,J89=$J$94),1,0)</formula>
    </cfRule>
  </conditionalFormatting>
  <conditionalFormatting sqref="L42">
    <cfRule type="expression" dxfId="3284" priority="6">
      <formula>IF(NoColor,1,0)</formula>
    </cfRule>
  </conditionalFormatting>
  <conditionalFormatting sqref="L44:L45">
    <cfRule type="expression" dxfId="3283" priority="63" stopIfTrue="1">
      <formula>IF($K$45&lt;&gt;"",1,0)</formula>
    </cfRule>
  </conditionalFormatting>
  <conditionalFormatting sqref="L46:L48 L55:M55">
    <cfRule type="expression" dxfId="3282" priority="15" stopIfTrue="1">
      <formula>IF($R$51&lt;=12,1,0)</formula>
    </cfRule>
  </conditionalFormatting>
  <conditionalFormatting sqref="L49">
    <cfRule type="expression" dxfId="3281" priority="19" stopIfTrue="1">
      <formula>IF(AND($Q$45&lt;&gt;"",$L$50=""),1,0)</formula>
    </cfRule>
    <cfRule type="expression" dxfId="3280" priority="20">
      <formula>IF(AND($Q$45&lt;&gt;"",$L$50&lt;&gt;""),1,0)</formula>
    </cfRule>
  </conditionalFormatting>
  <conditionalFormatting sqref="L50">
    <cfRule type="expression" dxfId="3279" priority="14">
      <formula>IF($Q$45="",1,0)</formula>
    </cfRule>
    <cfRule type="expression" dxfId="3278" priority="34">
      <formula>IF(NoColor,1,0)</formula>
    </cfRule>
  </conditionalFormatting>
  <conditionalFormatting sqref="L51:L54">
    <cfRule type="expression" dxfId="3277" priority="10" stopIfTrue="1">
      <formula>IF($R$51&lt;=12,1,0)</formula>
    </cfRule>
  </conditionalFormatting>
  <conditionalFormatting sqref="L57:L58">
    <cfRule type="expression" dxfId="3276" priority="38">
      <formula>IF(NoColor,1,0)</formula>
    </cfRule>
  </conditionalFormatting>
  <conditionalFormatting sqref="L62">
    <cfRule type="expression" dxfId="3275" priority="37">
      <formula>IF(NoColor,1,0)</formula>
    </cfRule>
  </conditionalFormatting>
  <conditionalFormatting sqref="L68:L71">
    <cfRule type="expression" dxfId="3274" priority="36">
      <formula>IF(NoColor,1,0)</formula>
    </cfRule>
  </conditionalFormatting>
  <conditionalFormatting sqref="L74:L77">
    <cfRule type="expression" dxfId="3273" priority="1267" stopIfTrue="1">
      <formula>IF(OR($R$16="",$L$75=TRUE,$R$28&lt;&gt;""),1,0)</formula>
    </cfRule>
  </conditionalFormatting>
  <conditionalFormatting sqref="L79">
    <cfRule type="expression" dxfId="3272" priority="1564" stopIfTrue="1">
      <formula>IF(OR($L$85=TRUE,$R$77&lt;&gt;""),1,0)</formula>
    </cfRule>
  </conditionalFormatting>
  <conditionalFormatting sqref="L80:L82">
    <cfRule type="expression" dxfId="3271" priority="55" stopIfTrue="1">
      <formula>IF($R$16&lt;&gt;"",1,0)</formula>
    </cfRule>
  </conditionalFormatting>
  <conditionalFormatting sqref="L86:L89 M89">
    <cfRule type="expression" dxfId="3270" priority="1565" stopIfTrue="1">
      <formula>IF(OR($R$89&lt;&gt;"",$L$85=FALSE),1,0)</formula>
    </cfRule>
  </conditionalFormatting>
  <conditionalFormatting sqref="M49">
    <cfRule type="expression" dxfId="3269" priority="21" stopIfTrue="1">
      <formula>IF($R$51&lt;=12,1,0)</formula>
    </cfRule>
  </conditionalFormatting>
  <conditionalFormatting sqref="M51:M52">
    <cfRule type="expression" dxfId="3268" priority="4" stopIfTrue="1">
      <formula>IF($R$51&lt;=12,1,0)</formula>
    </cfRule>
  </conditionalFormatting>
  <conditionalFormatting sqref="M54">
    <cfRule type="expression" dxfId="3267" priority="46" stopIfTrue="1">
      <formula>IF($R$51&lt;=12,1,0)</formula>
    </cfRule>
  </conditionalFormatting>
  <conditionalFormatting sqref="P21 U21">
    <cfRule type="expression" dxfId="3266" priority="5407" stopIfTrue="1">
      <formula>IF($R$16&lt;$J$75,1,0)</formula>
    </cfRule>
  </conditionalFormatting>
  <conditionalFormatting sqref="P22">
    <cfRule type="expression" dxfId="3265" priority="5409" stopIfTrue="1">
      <formula>IF($R$16&lt;$J$75,1,0)</formula>
    </cfRule>
  </conditionalFormatting>
  <conditionalFormatting sqref="P25:U25">
    <cfRule type="expression" dxfId="3264" priority="5410" stopIfTrue="1">
      <formula>IF($R$16&lt;$J$75,1,0)</formula>
    </cfRule>
  </conditionalFormatting>
  <conditionalFormatting sqref="Q22">
    <cfRule type="expression" dxfId="3263" priority="5411" stopIfTrue="1">
      <formula>IF($R$16&lt;$J$83,1,0)</formula>
    </cfRule>
  </conditionalFormatting>
  <conditionalFormatting sqref="Q21:T21">
    <cfRule type="expression" dxfId="3262" priority="5412" stopIfTrue="1">
      <formula>IF($R$16&lt;$J$75,1,0)</formula>
    </cfRule>
  </conditionalFormatting>
  <conditionalFormatting sqref="R22 T22 P23:P24">
    <cfRule type="expression" dxfId="3261" priority="5413" stopIfTrue="1">
      <formula>IF($R$16&lt;$J$83,1,0)</formula>
    </cfRule>
  </conditionalFormatting>
  <conditionalFormatting sqref="S22">
    <cfRule type="expression" dxfId="3260" priority="5416" stopIfTrue="1">
      <formula>IF($R$16&lt;$J$83,1,0)</formula>
    </cfRule>
  </conditionalFormatting>
  <conditionalFormatting sqref="U22:U24">
    <cfRule type="expression" dxfId="3259" priority="5417" stopIfTrue="1">
      <formula>IF($R$16&lt;$J$75,1,0)</formula>
    </cfRule>
  </conditionalFormatting>
  <hyperlinks>
    <hyperlink ref="D101:D103" location="'Table of Contents'!A1" display="Table of Contents" xr:uid="{00000000-0004-0000-1600-000000000000}"/>
  </hyperlinks>
  <pageMargins left="0.75" right="0.25" top="0.36" bottom="0.28999999999999998" header="0.36" footer="0.21"/>
  <pageSetup scale="84" fitToHeight="0"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9">
    <pageSetUpPr fitToPage="1"/>
  </sheetPr>
  <dimension ref="A1:AC54"/>
  <sheetViews>
    <sheetView zoomScaleNormal="100" workbookViewId="0"/>
  </sheetViews>
  <sheetFormatPr defaultColWidth="9.140625" defaultRowHeight="12.75"/>
  <cols>
    <col min="1" max="1" width="2.42578125" customWidth="1"/>
    <col min="2" max="2" width="1.5703125" customWidth="1"/>
    <col min="3" max="3" width="3.5703125" customWidth="1"/>
    <col min="4" max="4" width="2.28515625" customWidth="1"/>
    <col min="5" max="5" width="29.140625" customWidth="1"/>
    <col min="6" max="6" width="9.7109375" customWidth="1"/>
    <col min="7" max="7" width="12.7109375" customWidth="1"/>
    <col min="8" max="8" width="17.140625" customWidth="1"/>
    <col min="9" max="9" width="12.140625" customWidth="1"/>
    <col min="10" max="10" width="8.140625" customWidth="1"/>
    <col min="11" max="11" width="4.28515625" customWidth="1"/>
    <col min="12" max="12" width="16.42578125" customWidth="1"/>
    <col min="13" max="15" width="2.140625" customWidth="1"/>
    <col min="16" max="16" width="2" customWidth="1"/>
    <col min="17" max="17" width="3.140625" customWidth="1"/>
    <col min="18" max="18" width="11.42578125" customWidth="1"/>
    <col min="19" max="19" width="9.7109375" customWidth="1"/>
    <col min="21" max="21" width="12" style="2493" customWidth="1"/>
    <col min="22" max="23" width="9.140625" style="815"/>
    <col min="24" max="24" width="10.140625" style="815" bestFit="1" customWidth="1"/>
    <col min="25" max="28" width="9.140625" style="815"/>
    <col min="29" max="29" width="9.140625" style="2496"/>
  </cols>
  <sheetData>
    <row r="1" spans="1:29" ht="16.5" customHeight="1">
      <c r="A1" s="139"/>
      <c r="B1" s="139"/>
      <c r="C1" s="139"/>
      <c r="D1" s="139"/>
      <c r="E1" s="139"/>
      <c r="F1" s="139"/>
      <c r="G1" s="139"/>
      <c r="H1" s="139"/>
      <c r="I1" s="139"/>
      <c r="J1" s="139"/>
      <c r="K1" s="139"/>
      <c r="L1" s="2392" t="str">
        <f>IF('Table of Contents'!A29="D","DRAFT","")</f>
        <v/>
      </c>
      <c r="M1" s="139"/>
      <c r="N1" s="139"/>
      <c r="O1" s="88"/>
      <c r="P1" s="2393"/>
      <c r="Q1" s="88"/>
      <c r="R1" s="88"/>
      <c r="S1" s="88"/>
      <c r="T1" s="88"/>
      <c r="U1" s="825" t="s">
        <v>223</v>
      </c>
      <c r="V1" s="658"/>
      <c r="W1" s="658"/>
      <c r="X1" s="658"/>
      <c r="Y1" s="658"/>
      <c r="Z1" s="658"/>
      <c r="AA1" s="658"/>
      <c r="AB1" s="658"/>
      <c r="AC1" s="2494"/>
    </row>
    <row r="2" spans="1:29" ht="37.5" customHeight="1" thickBot="1">
      <c r="A2" s="139"/>
      <c r="B2" s="88"/>
      <c r="C2" s="2394" t="s">
        <v>1312</v>
      </c>
      <c r="D2" s="2395"/>
      <c r="E2" s="91"/>
      <c r="F2" s="91"/>
      <c r="G2" s="91"/>
      <c r="H2" s="2395"/>
      <c r="I2" s="2396"/>
      <c r="J2" s="2397" t="s">
        <v>926</v>
      </c>
      <c r="K2" s="2397"/>
      <c r="L2" s="2398"/>
      <c r="M2" s="2399"/>
      <c r="N2" s="2400"/>
      <c r="O2" s="2399"/>
      <c r="P2" s="2393"/>
      <c r="Q2" s="88"/>
      <c r="R2" s="88"/>
      <c r="S2" s="88"/>
      <c r="T2" s="88"/>
      <c r="U2" s="2491" t="s">
        <v>227</v>
      </c>
      <c r="V2" s="658"/>
      <c r="W2" s="658"/>
      <c r="X2" s="658"/>
      <c r="Y2" s="658"/>
      <c r="Z2" s="658"/>
      <c r="AA2" s="658"/>
      <c r="AB2" s="658"/>
      <c r="AC2" s="2494"/>
    </row>
    <row r="3" spans="1:29" ht="18.75" customHeight="1">
      <c r="A3" s="2401"/>
      <c r="B3" s="2402"/>
      <c r="C3" s="2403" t="s">
        <v>927</v>
      </c>
      <c r="D3" s="2403"/>
      <c r="E3" s="2404"/>
      <c r="F3" s="2404"/>
      <c r="G3" s="2404"/>
      <c r="H3" s="2403"/>
      <c r="I3" s="2405"/>
      <c r="J3" s="2405"/>
      <c r="K3" s="2406"/>
      <c r="L3" s="2393"/>
      <c r="M3" s="2407"/>
      <c r="N3" s="2408"/>
      <c r="O3" s="2393"/>
      <c r="P3" s="2409"/>
      <c r="Q3" s="2410" t="str">
        <f>IF(File_Marr_Sep="","",IF(LivedApartAnswered,"You have indicated on","Be sure to indicate on"))</f>
        <v/>
      </c>
      <c r="R3" s="1839"/>
      <c r="S3" s="2411"/>
      <c r="T3" s="88"/>
      <c r="U3" s="2492" t="s">
        <v>1314</v>
      </c>
      <c r="V3" s="658"/>
      <c r="W3" s="658"/>
      <c r="X3" s="658"/>
      <c r="Y3" s="658"/>
      <c r="Z3" s="658"/>
      <c r="AA3" s="658"/>
      <c r="AB3" s="658"/>
      <c r="AC3" s="2494"/>
    </row>
    <row r="4" spans="1:29" ht="15.75" customHeight="1">
      <c r="A4" s="139"/>
      <c r="B4" s="2412"/>
      <c r="C4" s="6069" t="s">
        <v>4084</v>
      </c>
      <c r="D4" s="2414"/>
      <c r="E4" s="3467" t="s">
        <v>5921</v>
      </c>
      <c r="F4" s="3467"/>
      <c r="G4" s="3467"/>
      <c r="H4" s="2416"/>
      <c r="I4" s="2406"/>
      <c r="J4" s="2406"/>
      <c r="K4" s="2417"/>
      <c r="L4" s="2393"/>
      <c r="M4" s="2418"/>
      <c r="N4" s="2408"/>
      <c r="O4" s="2393"/>
      <c r="P4" s="2419"/>
      <c r="Q4" s="6196" t="str">
        <f>IF(File_Marr_Sep="","",IF(LivedApartAnswered,"on Form 1040 that you have","Form 1040 whether you have"))</f>
        <v/>
      </c>
      <c r="R4" s="2420"/>
      <c r="S4" s="2421"/>
      <c r="T4" s="88"/>
      <c r="U4" s="826" t="s">
        <v>1315</v>
      </c>
      <c r="V4" s="658"/>
      <c r="W4" s="658"/>
      <c r="X4" s="658"/>
      <c r="Y4" s="658"/>
      <c r="Z4" s="658"/>
      <c r="AA4" s="658"/>
      <c r="AB4" s="658"/>
      <c r="AC4" s="2494"/>
    </row>
    <row r="5" spans="1:29" ht="13.5" customHeight="1">
      <c r="A5" s="139"/>
      <c r="B5" s="2412"/>
      <c r="C5" s="2414"/>
      <c r="D5" s="2414"/>
      <c r="E5" s="3467" t="s">
        <v>5922</v>
      </c>
      <c r="F5" s="3467"/>
      <c r="G5" s="3467"/>
      <c r="H5" s="2416"/>
      <c r="I5" s="2406"/>
      <c r="J5" s="2406"/>
      <c r="K5" s="2417"/>
      <c r="L5" s="2393"/>
      <c r="M5" s="2418"/>
      <c r="N5" s="2408"/>
      <c r="O5" s="2393"/>
      <c r="P5" s="2419"/>
      <c r="Q5" s="6196" t="str">
        <f>IF(AND(File_Marr_Sep&lt;&gt;"",NOT(LivedApartAnswered)),"lived apart",IF(AND(File_Marr_Sep&lt;&gt;"",LivedApart),"LIVED APART",IF(AND(File_Marr_Sep&lt;&gt;"",NOT(LivedApart)),"NOT LIVED APART","")))</f>
        <v/>
      </c>
      <c r="R5" s="2422"/>
      <c r="S5" s="2421"/>
      <c r="T5" s="88"/>
      <c r="U5" s="826" t="s">
        <v>1317</v>
      </c>
      <c r="V5" s="658"/>
      <c r="W5" s="658"/>
      <c r="X5" s="658"/>
      <c r="Y5" s="658"/>
      <c r="Z5" s="658"/>
      <c r="AA5" s="658"/>
      <c r="AB5" s="658"/>
      <c r="AC5" s="2494"/>
    </row>
    <row r="6" spans="1:29" ht="13.5" customHeight="1">
      <c r="A6" s="139"/>
      <c r="B6" s="2412"/>
      <c r="C6" s="6069" t="s">
        <v>4084</v>
      </c>
      <c r="D6" s="2414"/>
      <c r="E6" s="3467" t="s">
        <v>5925</v>
      </c>
      <c r="F6" s="3467"/>
      <c r="G6" s="3467"/>
      <c r="H6" s="2423"/>
      <c r="I6" s="3467" t="str">
        <f>"spouse for all of "&amp;TaxYear&amp;", check the box"</f>
        <v>spouse for all of 2025, check the box</v>
      </c>
      <c r="J6" s="2406"/>
      <c r="K6" s="2417"/>
      <c r="L6" s="2424"/>
      <c r="M6" s="2418"/>
      <c r="N6" s="2408"/>
      <c r="O6" s="2393"/>
      <c r="P6" s="2419"/>
      <c r="Q6" s="2410" t="str">
        <f>IF(File_Marr_Sep&lt;&gt;"","from your spouse","")</f>
        <v/>
      </c>
      <c r="R6" s="2420"/>
      <c r="S6" s="2421"/>
      <c r="T6" s="88"/>
      <c r="U6" s="826" t="s">
        <v>1319</v>
      </c>
      <c r="V6" s="658"/>
      <c r="W6" s="658"/>
      <c r="X6" s="658"/>
      <c r="Y6" s="658"/>
      <c r="Z6" s="658"/>
      <c r="AA6" s="658"/>
      <c r="AB6" s="658"/>
      <c r="AC6" s="2494"/>
    </row>
    <row r="7" spans="1:29" ht="13.5" customHeight="1">
      <c r="A7" s="139"/>
      <c r="B7" s="2412"/>
      <c r="C7" s="2413"/>
      <c r="D7" s="2414"/>
      <c r="E7" s="3467" t="s">
        <v>6358</v>
      </c>
      <c r="F7" s="3467"/>
      <c r="G7" s="3467"/>
      <c r="H7" s="2416"/>
      <c r="I7" s="2406"/>
      <c r="J7" s="2406"/>
      <c r="K7" s="2417"/>
      <c r="L7" s="2426"/>
      <c r="M7" s="2427"/>
      <c r="N7" s="2408"/>
      <c r="O7" s="2393"/>
      <c r="P7" s="2429"/>
      <c r="Q7" s="6196" t="str">
        <f>IF(File_Marr_Sep&lt;&gt;"","for ALL of "&amp;TaxYear&amp;".","")</f>
        <v/>
      </c>
      <c r="R7" s="2430"/>
      <c r="S7" s="2421"/>
      <c r="T7" s="88"/>
      <c r="U7" s="827"/>
      <c r="V7" s="658"/>
      <c r="W7" s="658"/>
      <c r="X7" s="658"/>
      <c r="Y7" s="658"/>
      <c r="Z7" s="658"/>
      <c r="AA7" s="658"/>
      <c r="AB7" s="658"/>
      <c r="AC7" s="2494"/>
    </row>
    <row r="8" spans="1:29" ht="13.5" customHeight="1">
      <c r="A8" s="139"/>
      <c r="B8" s="2412"/>
      <c r="C8" s="6069" t="s">
        <v>4084</v>
      </c>
      <c r="D8" s="2414"/>
      <c r="E8" s="3467" t="s">
        <v>5924</v>
      </c>
      <c r="F8" s="3467"/>
      <c r="G8" s="3467"/>
      <c r="H8" s="2416"/>
      <c r="I8" s="2406"/>
      <c r="J8" s="2406"/>
      <c r="K8" s="2417"/>
      <c r="L8" s="2393"/>
      <c r="M8" s="2418"/>
      <c r="N8" s="2408"/>
      <c r="O8" s="2425"/>
      <c r="P8" s="1839"/>
      <c r="Q8" s="6195"/>
      <c r="R8" s="6700" t="b">
        <f>AND(File_Marr_Sep&lt;&gt;"",NOT(LivedApart))</f>
        <v>0</v>
      </c>
      <c r="S8" s="1839"/>
      <c r="T8" s="88"/>
      <c r="U8" s="827"/>
      <c r="V8" s="658"/>
      <c r="W8" s="658"/>
      <c r="X8" s="658"/>
      <c r="Y8" s="658"/>
      <c r="Z8" s="658"/>
      <c r="AA8" s="658"/>
      <c r="AB8" s="658"/>
      <c r="AC8" s="2494"/>
    </row>
    <row r="9" spans="1:29" ht="13.5" customHeight="1">
      <c r="A9" s="139"/>
      <c r="B9" s="2412"/>
      <c r="C9" s="2467"/>
      <c r="D9" s="2414"/>
      <c r="E9" s="3467" t="s">
        <v>5923</v>
      </c>
      <c r="F9" s="3467"/>
      <c r="G9" s="3467"/>
      <c r="H9" s="2416"/>
      <c r="I9" s="2406"/>
      <c r="J9" s="2406"/>
      <c r="K9" s="2417"/>
      <c r="L9" s="2393"/>
      <c r="M9" s="2418"/>
      <c r="N9" s="2428"/>
      <c r="O9" s="2425"/>
      <c r="P9" s="88"/>
      <c r="Q9" s="88"/>
      <c r="R9" s="88"/>
      <c r="S9" s="88"/>
      <c r="T9" s="88"/>
      <c r="U9" s="827"/>
      <c r="V9" s="658"/>
      <c r="W9" s="658"/>
      <c r="X9" s="658"/>
      <c r="Y9" s="658"/>
      <c r="Z9" s="658"/>
      <c r="AA9" s="658"/>
      <c r="AB9" s="658"/>
      <c r="AC9" s="2494"/>
    </row>
    <row r="10" spans="1:29" ht="5.25" customHeight="1">
      <c r="A10" s="139"/>
      <c r="B10" s="2434"/>
      <c r="C10" s="2435"/>
      <c r="D10" s="2436"/>
      <c r="E10" s="2437"/>
      <c r="F10" s="2437"/>
      <c r="G10" s="2437"/>
      <c r="H10" s="2438"/>
      <c r="I10" s="2438"/>
      <c r="J10" s="2438"/>
      <c r="K10" s="2438"/>
      <c r="L10" s="2439"/>
      <c r="M10" s="2440"/>
      <c r="N10" s="2408"/>
      <c r="O10" s="2393"/>
      <c r="P10" s="88"/>
      <c r="Q10" s="2441"/>
      <c r="R10" s="7843" t="s">
        <v>979</v>
      </c>
      <c r="S10" s="88"/>
      <c r="T10" s="88"/>
      <c r="U10" s="827"/>
      <c r="V10" s="658"/>
      <c r="W10" s="658"/>
      <c r="X10" s="658"/>
      <c r="Y10" s="658"/>
      <c r="Z10" s="658"/>
      <c r="AA10" s="658"/>
      <c r="AB10" s="658"/>
      <c r="AC10" s="2494"/>
    </row>
    <row r="11" spans="1:29" ht="6" customHeight="1">
      <c r="A11" s="139"/>
      <c r="B11" s="2412"/>
      <c r="C11" s="2442"/>
      <c r="D11" s="2443"/>
      <c r="E11" s="2444"/>
      <c r="F11" s="2444"/>
      <c r="G11" s="2444"/>
      <c r="H11" s="2445"/>
      <c r="I11" s="2445"/>
      <c r="J11" s="2445"/>
      <c r="K11" s="2445"/>
      <c r="L11" s="2393"/>
      <c r="M11" s="2418"/>
      <c r="N11" s="2408"/>
      <c r="O11" s="2393"/>
      <c r="P11" s="88"/>
      <c r="Q11" s="88"/>
      <c r="R11" s="7843"/>
      <c r="S11" s="88"/>
      <c r="T11" s="88"/>
      <c r="U11" s="827"/>
      <c r="V11" s="658"/>
      <c r="W11" s="658"/>
      <c r="X11" s="658"/>
      <c r="Y11" s="658"/>
      <c r="Z11" s="658"/>
      <c r="AA11" s="658"/>
      <c r="AB11" s="658"/>
      <c r="AC11" s="2494"/>
    </row>
    <row r="12" spans="1:29" ht="12.75" customHeight="1">
      <c r="A12" s="139"/>
      <c r="B12" s="2412"/>
      <c r="C12" s="2414">
        <v>1</v>
      </c>
      <c r="D12" s="3467" t="s">
        <v>5926</v>
      </c>
      <c r="E12" s="2393"/>
      <c r="F12" s="2393"/>
      <c r="G12" s="2393"/>
      <c r="H12" s="2414"/>
      <c r="I12" s="2393"/>
      <c r="J12" s="2393"/>
      <c r="K12" s="2446"/>
      <c r="L12" s="2393"/>
      <c r="M12" s="2418"/>
      <c r="N12" s="2408"/>
      <c r="O12" s="2393"/>
      <c r="P12" s="88"/>
      <c r="Q12" s="88"/>
      <c r="R12" s="226" t="s">
        <v>931</v>
      </c>
      <c r="S12" s="88"/>
      <c r="T12" s="88"/>
      <c r="U12" s="827"/>
      <c r="V12" s="658"/>
      <c r="W12" s="658"/>
      <c r="X12" s="658"/>
      <c r="Y12" s="658"/>
      <c r="Z12" s="658"/>
      <c r="AA12" s="658"/>
      <c r="AB12" s="658"/>
      <c r="AC12" s="2494"/>
    </row>
    <row r="13" spans="1:29">
      <c r="A13" s="139"/>
      <c r="B13" s="2412"/>
      <c r="C13" s="2448"/>
      <c r="D13" s="2449" t="s">
        <v>5503</v>
      </c>
      <c r="E13" s="2393"/>
      <c r="F13" s="2393"/>
      <c r="G13" s="2393"/>
      <c r="H13" s="2450" t="s">
        <v>5504</v>
      </c>
      <c r="I13" s="7978">
        <f>IF(R13&lt;&gt;"",ROUND(R13,0),TotalSocSecBenefits)</f>
        <v>0</v>
      </c>
      <c r="J13" s="7827"/>
      <c r="K13" s="2446"/>
      <c r="L13" s="2393"/>
      <c r="M13" s="2418"/>
      <c r="N13" s="2408"/>
      <c r="O13" s="2393"/>
      <c r="P13" s="88"/>
      <c r="Q13" s="88"/>
      <c r="R13" s="209"/>
      <c r="S13" s="88"/>
      <c r="T13" s="88"/>
      <c r="U13" s="827"/>
      <c r="V13" s="658"/>
      <c r="W13" s="658"/>
      <c r="X13" s="658"/>
      <c r="Y13" s="658"/>
      <c r="Z13" s="658"/>
      <c r="AA13" s="658"/>
      <c r="AB13" s="658"/>
      <c r="AC13" s="2494"/>
    </row>
    <row r="14" spans="1:29">
      <c r="A14" s="139"/>
      <c r="B14" s="2412"/>
      <c r="C14" s="2448">
        <v>2</v>
      </c>
      <c r="D14" s="1560" t="str">
        <f>"Multiply line 1 by "&amp;TEXT(R14,"0%")&amp;" ("&amp;TEXT(R14,"0.00")&amp;")"</f>
        <v>Multiply line 1 by 50% (0.50)</v>
      </c>
      <c r="E14" s="2393"/>
      <c r="F14" s="2393"/>
      <c r="G14" s="2393"/>
      <c r="H14" s="2414"/>
      <c r="I14" s="2393"/>
      <c r="J14" s="2451" t="s">
        <v>1313</v>
      </c>
      <c r="K14" s="2414">
        <f>C14</f>
        <v>2</v>
      </c>
      <c r="L14" s="2452">
        <f>ROUND((R14*I13),0)</f>
        <v>0</v>
      </c>
      <c r="M14" s="2418"/>
      <c r="N14" s="2408"/>
      <c r="O14" s="2453"/>
      <c r="P14" s="88"/>
      <c r="Q14" s="88"/>
      <c r="R14" s="2454">
        <v>0.5</v>
      </c>
      <c r="S14" s="88"/>
      <c r="T14" s="88"/>
      <c r="U14" s="827"/>
      <c r="V14" s="658"/>
      <c r="W14" s="658"/>
      <c r="X14" s="658"/>
      <c r="Y14" s="658"/>
      <c r="Z14" s="658"/>
      <c r="AA14" s="658"/>
      <c r="AB14" s="658"/>
      <c r="AC14" s="2494"/>
    </row>
    <row r="15" spans="1:29">
      <c r="A15" s="139"/>
      <c r="B15" s="2412"/>
      <c r="C15" s="2448">
        <v>3</v>
      </c>
      <c r="D15" s="1560" t="s">
        <v>5927</v>
      </c>
      <c r="E15" s="88"/>
      <c r="F15" s="88"/>
      <c r="G15" s="88"/>
      <c r="H15" s="88"/>
      <c r="I15" s="88"/>
      <c r="J15" s="2451" t="s">
        <v>2276</v>
      </c>
      <c r="K15" s="2414">
        <f>C15</f>
        <v>3</v>
      </c>
      <c r="L15" s="2452">
        <f>IF(R15&lt;&gt;"",ROUND(R15,0),ROUND(SUM(F1040_Line1z,TaxableInterest,OrdinaryDividends,IRA_Taxable,PA_Taxable,CapitalGains,OtherIncome1040),0))</f>
        <v>0</v>
      </c>
      <c r="M15" s="2455"/>
      <c r="N15" s="2456"/>
      <c r="O15" s="2457"/>
      <c r="P15" s="88"/>
      <c r="Q15" s="88"/>
      <c r="R15" s="109"/>
      <c r="S15" s="88"/>
      <c r="T15" s="88"/>
      <c r="U15" s="827"/>
      <c r="V15" s="658"/>
      <c r="W15" s="658"/>
      <c r="X15" s="658"/>
      <c r="Y15" s="658"/>
      <c r="Z15" s="658"/>
      <c r="AA15" s="658"/>
      <c r="AB15" s="658"/>
      <c r="AC15" s="2494"/>
    </row>
    <row r="16" spans="1:29">
      <c r="A16" s="139"/>
      <c r="B16" s="2412"/>
      <c r="C16" s="2448">
        <v>4</v>
      </c>
      <c r="D16" s="1560" t="s">
        <v>1316</v>
      </c>
      <c r="E16" s="88"/>
      <c r="F16" s="88"/>
      <c r="G16" s="88"/>
      <c r="H16" s="2414"/>
      <c r="I16" s="88"/>
      <c r="J16" s="2451" t="s">
        <v>1322</v>
      </c>
      <c r="K16" s="2414">
        <f>C16</f>
        <v>4</v>
      </c>
      <c r="L16" s="2452">
        <f>IF(R16&lt;&gt;"",ROUND(R16,0),ROUND(TaxExemptInt,0))</f>
        <v>0</v>
      </c>
      <c r="M16" s="2455"/>
      <c r="N16" s="2456"/>
      <c r="O16" s="2457"/>
      <c r="P16" s="88"/>
      <c r="Q16" s="88"/>
      <c r="R16" s="109"/>
      <c r="S16" s="88"/>
      <c r="T16" s="88"/>
      <c r="U16" s="2492"/>
      <c r="V16" s="658"/>
      <c r="W16" s="658"/>
      <c r="X16" s="658"/>
      <c r="Y16" s="658"/>
      <c r="Z16" s="658"/>
      <c r="AA16" s="658"/>
      <c r="AB16" s="658"/>
      <c r="AC16" s="2494"/>
    </row>
    <row r="17" spans="1:29">
      <c r="A17" s="139"/>
      <c r="B17" s="2412"/>
      <c r="C17" s="2448">
        <v>5</v>
      </c>
      <c r="D17" s="1560" t="s">
        <v>5930</v>
      </c>
      <c r="E17" s="88"/>
      <c r="F17" s="88"/>
      <c r="G17" s="88"/>
      <c r="H17" s="2414"/>
      <c r="I17" s="88"/>
      <c r="J17" s="2451" t="s">
        <v>1318</v>
      </c>
      <c r="K17" s="2414">
        <f>C17</f>
        <v>5</v>
      </c>
      <c r="L17" s="2452">
        <f>SUM(L14,L15,L16)</f>
        <v>0</v>
      </c>
      <c r="M17" s="2455"/>
      <c r="N17" s="2456"/>
      <c r="O17" s="2457"/>
      <c r="P17" s="88"/>
      <c r="Q17" s="88"/>
      <c r="R17" s="88"/>
      <c r="S17" s="88"/>
      <c r="T17" s="88"/>
      <c r="U17" s="826"/>
      <c r="V17" s="658"/>
      <c r="W17" s="658"/>
      <c r="X17" s="658"/>
      <c r="Y17" s="658"/>
      <c r="Z17" s="658"/>
      <c r="AA17" s="658"/>
      <c r="AB17" s="658"/>
      <c r="AC17" s="2494"/>
    </row>
    <row r="18" spans="1:29">
      <c r="A18" s="139"/>
      <c r="B18" s="2412"/>
      <c r="C18" s="2448">
        <v>6</v>
      </c>
      <c r="D18" s="1560" t="s">
        <v>1044</v>
      </c>
      <c r="E18" s="88"/>
      <c r="F18" s="88"/>
      <c r="G18" s="88"/>
      <c r="H18" s="88"/>
      <c r="I18" s="88"/>
      <c r="J18" s="2451" t="s">
        <v>1036</v>
      </c>
      <c r="K18" s="2414">
        <f>C18</f>
        <v>6</v>
      </c>
      <c r="L18" s="2452">
        <f>SUM(Sch1_Line11_19a,IRADeduct,ArcherMSADeduct,TotalOtherAdjust)</f>
        <v>0</v>
      </c>
      <c r="M18" s="2458"/>
      <c r="N18" s="2459"/>
      <c r="O18" s="2460"/>
      <c r="P18" s="88"/>
      <c r="Q18" s="88"/>
      <c r="R18" s="1560"/>
      <c r="S18" s="88"/>
      <c r="T18" s="2461"/>
      <c r="U18" s="827"/>
      <c r="V18" s="658"/>
      <c r="W18" s="658"/>
      <c r="X18" s="658"/>
      <c r="Y18" s="658"/>
      <c r="Z18" s="658"/>
      <c r="AA18" s="658"/>
      <c r="AB18" s="658"/>
      <c r="AC18" s="2494"/>
    </row>
    <row r="19" spans="1:29">
      <c r="A19" s="139"/>
      <c r="B19" s="2412"/>
      <c r="C19" s="2448">
        <v>7</v>
      </c>
      <c r="D19" s="1560" t="s">
        <v>5929</v>
      </c>
      <c r="E19" s="88"/>
      <c r="F19" s="88"/>
      <c r="G19" s="88"/>
      <c r="H19" s="88"/>
      <c r="I19" s="88"/>
      <c r="J19" s="88"/>
      <c r="K19" s="2414"/>
      <c r="L19" s="2460"/>
      <c r="M19" s="2458"/>
      <c r="N19" s="2459"/>
      <c r="O19" s="2460"/>
      <c r="P19" s="88"/>
      <c r="Q19" s="88"/>
      <c r="R19" s="1560"/>
      <c r="S19" s="88"/>
      <c r="T19" s="2461"/>
      <c r="U19" s="827"/>
      <c r="V19" s="658"/>
      <c r="W19" s="658"/>
      <c r="X19" s="658"/>
      <c r="Y19" s="658"/>
      <c r="Z19" s="658"/>
      <c r="AA19" s="658"/>
      <c r="AB19" s="658"/>
      <c r="AC19" s="2494"/>
    </row>
    <row r="20" spans="1:29" ht="13.5" thickBot="1">
      <c r="A20" s="139"/>
      <c r="B20" s="2412"/>
      <c r="C20" s="2448"/>
      <c r="D20" s="88"/>
      <c r="E20" s="88"/>
      <c r="F20" s="88"/>
      <c r="G20" s="88"/>
      <c r="H20" s="88"/>
      <c r="I20" s="88"/>
      <c r="J20" s="88"/>
      <c r="K20" s="2414"/>
      <c r="L20" s="2460"/>
      <c r="M20" s="2458"/>
      <c r="N20" s="2459"/>
      <c r="O20" s="2460"/>
      <c r="P20" s="88"/>
      <c r="Q20" s="88"/>
      <c r="R20" s="1560"/>
      <c r="S20" s="88"/>
      <c r="T20" s="2461"/>
      <c r="U20" s="827"/>
      <c r="V20" s="658"/>
      <c r="W20" s="658"/>
      <c r="X20" s="658"/>
      <c r="Y20" s="658"/>
      <c r="Z20" s="658"/>
      <c r="AA20" s="658"/>
      <c r="AB20" s="658"/>
      <c r="AC20" s="2494"/>
    </row>
    <row r="21" spans="1:29" ht="13.5" thickBot="1">
      <c r="A21" s="139"/>
      <c r="B21" s="2412"/>
      <c r="C21" s="2448"/>
      <c r="D21" s="2462" t="str">
        <f>IF(L18&lt;L17,"","X")</f>
        <v>X</v>
      </c>
      <c r="E21" s="2460" t="s">
        <v>1320</v>
      </c>
      <c r="F21" s="2460"/>
      <c r="G21" s="2460"/>
      <c r="H21" s="2414"/>
      <c r="I21" s="2393"/>
      <c r="J21" s="2393"/>
      <c r="K21" s="2414"/>
      <c r="L21" s="2393"/>
      <c r="M21" s="2418"/>
      <c r="N21" s="2408"/>
      <c r="O21" s="2393"/>
      <c r="P21" s="88"/>
      <c r="Q21" s="88"/>
      <c r="R21" s="1560"/>
      <c r="S21" s="88"/>
      <c r="T21" s="2461"/>
      <c r="U21" s="827"/>
      <c r="V21" s="658"/>
      <c r="W21" s="658"/>
      <c r="X21" s="658"/>
      <c r="Y21" s="658"/>
      <c r="Z21" s="658"/>
      <c r="AA21" s="658"/>
      <c r="AB21" s="658"/>
      <c r="AC21" s="2494"/>
    </row>
    <row r="22" spans="1:29" ht="15" customHeight="1" thickBot="1">
      <c r="A22" s="139"/>
      <c r="B22" s="2412"/>
      <c r="C22" s="2448"/>
      <c r="D22" s="2448"/>
      <c r="E22" s="6070" t="s">
        <v>1321</v>
      </c>
      <c r="F22" s="6070"/>
      <c r="G22" s="6070"/>
      <c r="H22" s="2414"/>
      <c r="I22" s="2393"/>
      <c r="J22" s="2393"/>
      <c r="K22" s="2414"/>
      <c r="L22" s="2393"/>
      <c r="M22" s="2418"/>
      <c r="N22" s="2408"/>
      <c r="O22" s="2393"/>
      <c r="P22" s="88"/>
      <c r="Q22" s="88"/>
      <c r="R22" s="1560"/>
      <c r="S22" s="88"/>
      <c r="T22" s="1560"/>
      <c r="U22" s="827"/>
      <c r="V22" s="658"/>
      <c r="W22" s="658"/>
      <c r="X22" s="658"/>
      <c r="Y22" s="658"/>
      <c r="Z22" s="658"/>
      <c r="AA22" s="658"/>
      <c r="AB22" s="658"/>
      <c r="AC22" s="2494"/>
    </row>
    <row r="23" spans="1:29" ht="15" customHeight="1" thickBot="1">
      <c r="A23" s="139"/>
      <c r="B23" s="2412"/>
      <c r="C23" s="2448"/>
      <c r="D23" s="2463" t="str">
        <f>IF(L18&lt;L17,"X","")</f>
        <v/>
      </c>
      <c r="E23" s="2464" t="s">
        <v>5928</v>
      </c>
      <c r="F23" s="2464"/>
      <c r="G23" s="2464"/>
      <c r="H23" s="88"/>
      <c r="I23" s="88"/>
      <c r="J23" s="2465" t="s">
        <v>5945</v>
      </c>
      <c r="K23" s="2414">
        <f>C19</f>
        <v>7</v>
      </c>
      <c r="L23" s="2466" t="str">
        <f>IF(D21="X","Stop",L17-L18)</f>
        <v>Stop</v>
      </c>
      <c r="M23" s="2455"/>
      <c r="N23" s="2456"/>
      <c r="O23" s="2393"/>
      <c r="P23" s="88"/>
      <c r="Q23" s="88"/>
      <c r="R23" s="1560"/>
      <c r="S23" s="88"/>
      <c r="T23" s="88"/>
      <c r="U23" s="827"/>
      <c r="V23" s="658"/>
      <c r="W23" s="658"/>
      <c r="X23" s="658"/>
      <c r="Y23" s="658"/>
      <c r="Z23" s="658"/>
      <c r="AA23" s="658"/>
      <c r="AB23" s="658"/>
      <c r="AC23" s="2494"/>
    </row>
    <row r="24" spans="1:29" ht="17.25" customHeight="1">
      <c r="A24" s="139"/>
      <c r="B24" s="2412"/>
      <c r="C24" s="2448"/>
      <c r="D24" s="88"/>
      <c r="E24" s="88"/>
      <c r="F24" s="88"/>
      <c r="G24" s="88"/>
      <c r="H24" s="88"/>
      <c r="I24" s="88"/>
      <c r="J24" s="88"/>
      <c r="K24" s="2414"/>
      <c r="L24" s="2460"/>
      <c r="M24" s="2458"/>
      <c r="N24" s="2459"/>
      <c r="O24" s="2393"/>
      <c r="P24" s="88"/>
      <c r="Q24" s="88"/>
      <c r="R24" s="441" t="b">
        <f>LivedApart</f>
        <v>0</v>
      </c>
      <c r="S24" s="88"/>
      <c r="T24" s="88"/>
      <c r="U24" s="827"/>
      <c r="V24" s="658"/>
      <c r="W24" s="658"/>
      <c r="X24" s="658"/>
      <c r="Y24" s="658"/>
      <c r="Z24" s="658"/>
      <c r="AA24" s="658"/>
      <c r="AB24" s="658"/>
      <c r="AC24" s="2494"/>
    </row>
    <row r="25" spans="1:29">
      <c r="A25" s="139"/>
      <c r="B25" s="2412"/>
      <c r="C25" s="2448">
        <v>8</v>
      </c>
      <c r="D25" s="88" t="s">
        <v>1323</v>
      </c>
      <c r="E25" s="88"/>
      <c r="F25" s="88"/>
      <c r="G25" s="88"/>
      <c r="H25" s="88"/>
      <c r="I25" s="88"/>
      <c r="J25" s="88"/>
      <c r="K25" s="2414"/>
      <c r="L25" s="2460"/>
      <c r="M25" s="2458"/>
      <c r="N25" s="2456"/>
      <c r="O25" s="2393"/>
      <c r="P25" s="88"/>
      <c r="Q25" s="88"/>
      <c r="R25" s="1560"/>
      <c r="S25" s="88"/>
      <c r="T25" s="88"/>
      <c r="U25" s="827"/>
      <c r="V25" s="658"/>
      <c r="W25" s="658"/>
      <c r="X25" s="658"/>
      <c r="Y25" s="658"/>
      <c r="Z25" s="658"/>
      <c r="AA25" s="658"/>
      <c r="AB25" s="658"/>
      <c r="AC25" s="2494"/>
    </row>
    <row r="26" spans="1:29">
      <c r="A26" s="139"/>
      <c r="B26" s="2412"/>
      <c r="C26" s="2448"/>
      <c r="D26" s="6071" t="s">
        <v>1224</v>
      </c>
      <c r="E26" s="2393" t="str">
        <f>"Married filing jointly, enter "&amp;TEXT(J26,"$0,000")</f>
        <v>Married filing jointly, enter $32,000</v>
      </c>
      <c r="F26" s="2393"/>
      <c r="G26" s="2393"/>
      <c r="H26" s="2393"/>
      <c r="I26" s="88"/>
      <c r="J26" s="2468">
        <v>32000</v>
      </c>
      <c r="K26" s="2414"/>
      <c r="L26" s="2460"/>
      <c r="M26" s="2458"/>
      <c r="N26" s="2456"/>
      <c r="O26" s="2393"/>
      <c r="P26" s="88"/>
      <c r="Q26" s="88"/>
      <c r="R26" s="1560"/>
      <c r="S26" s="88"/>
      <c r="T26" s="88"/>
      <c r="U26" s="827"/>
      <c r="V26" s="658"/>
      <c r="W26" s="658"/>
      <c r="X26" s="658"/>
      <c r="Y26" s="658"/>
      <c r="Z26" s="658"/>
      <c r="AA26" s="658"/>
      <c r="AB26" s="658"/>
      <c r="AC26" s="2494"/>
    </row>
    <row r="27" spans="1:29">
      <c r="A27" s="139"/>
      <c r="B27" s="2412"/>
      <c r="C27" s="2448"/>
      <c r="D27" s="6071" t="s">
        <v>1324</v>
      </c>
      <c r="E27" s="2393" t="s">
        <v>1325</v>
      </c>
      <c r="F27" s="2393"/>
      <c r="G27" s="2393"/>
      <c r="H27" s="2393"/>
      <c r="I27" s="88"/>
      <c r="J27" s="88"/>
      <c r="K27" s="2414"/>
      <c r="L27" s="2460"/>
      <c r="M27" s="2458"/>
      <c r="N27" s="2456"/>
      <c r="O27" s="2393"/>
      <c r="P27" s="88"/>
      <c r="Q27" s="88"/>
      <c r="R27" s="1560"/>
      <c r="S27" s="88"/>
      <c r="T27" s="88"/>
      <c r="U27" s="827"/>
      <c r="V27" s="658"/>
      <c r="W27" s="658"/>
      <c r="X27" s="658"/>
      <c r="Y27" s="658"/>
      <c r="Z27" s="658"/>
      <c r="AA27" s="658"/>
      <c r="AB27" s="658"/>
      <c r="AC27" s="2494"/>
    </row>
    <row r="28" spans="1:29">
      <c r="A28" s="139"/>
      <c r="B28" s="2412"/>
      <c r="C28" s="2448"/>
      <c r="D28" s="2467"/>
      <c r="E28" s="2460" t="s">
        <v>1326</v>
      </c>
      <c r="F28" s="2460"/>
      <c r="G28" s="2460"/>
      <c r="H28" s="2393"/>
      <c r="I28" s="88"/>
      <c r="J28" s="2468">
        <v>25000</v>
      </c>
      <c r="K28" s="2414"/>
      <c r="L28" s="2460"/>
      <c r="M28" s="2458"/>
      <c r="N28" s="2459"/>
      <c r="O28" s="2393"/>
      <c r="P28" s="88"/>
      <c r="Q28" s="88"/>
      <c r="R28" s="88"/>
      <c r="S28" s="88"/>
      <c r="T28" s="88"/>
      <c r="U28" s="827"/>
      <c r="V28" s="658"/>
      <c r="W28" s="658"/>
      <c r="X28" s="658"/>
      <c r="Y28" s="658"/>
      <c r="Z28" s="658"/>
      <c r="AA28" s="658"/>
      <c r="AB28" s="658"/>
      <c r="AC28" s="2494"/>
    </row>
    <row r="29" spans="1:29">
      <c r="A29" s="139"/>
      <c r="B29" s="2412"/>
      <c r="C29" s="2448"/>
      <c r="D29" s="2467"/>
      <c r="E29" s="2393" t="str">
        <f>"of "&amp;TEXT(TaxYear,"0")&amp;" enter "&amp;TEXT(J28,"$0,000")</f>
        <v>of 2025 enter $25,000</v>
      </c>
      <c r="F29" s="2393"/>
      <c r="G29" s="2393"/>
      <c r="H29" s="2393"/>
      <c r="I29" s="88"/>
      <c r="J29" s="2451" t="s">
        <v>5397</v>
      </c>
      <c r="K29" s="2414">
        <f>C25</f>
        <v>8</v>
      </c>
      <c r="L29" s="2466" t="str">
        <f>IF(R29&lt;&gt;"",ROUND(R29,0),IF(D21="X","",IF(AND(File_Marr_Sep&lt;&gt;"",NOT(LivedApartAnswered)),"Answer question.",IF(R8,"",IF(File_Marr_Joint&lt;&gt;"",J26,J28)))))</f>
        <v/>
      </c>
      <c r="M29" s="2458"/>
      <c r="N29" s="2459"/>
      <c r="O29" s="2393"/>
      <c r="P29" s="88"/>
      <c r="Q29" s="88"/>
      <c r="R29" s="209"/>
      <c r="S29" s="88"/>
      <c r="T29" s="88"/>
      <c r="U29" s="827"/>
      <c r="V29" s="658"/>
      <c r="W29" s="658"/>
      <c r="X29" s="658"/>
      <c r="Y29" s="658"/>
      <c r="Z29" s="658"/>
      <c r="AA29" s="658"/>
      <c r="AB29" s="658"/>
      <c r="AC29" s="2494"/>
    </row>
    <row r="30" spans="1:29">
      <c r="A30" s="139"/>
      <c r="B30" s="2412"/>
      <c r="C30" s="2448"/>
      <c r="D30" s="6071" t="s">
        <v>1324</v>
      </c>
      <c r="E30" s="2393" t="s">
        <v>1327</v>
      </c>
      <c r="F30" s="2393"/>
      <c r="G30" s="2393"/>
      <c r="H30" s="2393"/>
      <c r="I30" s="88"/>
      <c r="J30" s="88"/>
      <c r="K30" s="2414"/>
      <c r="L30" s="2460"/>
      <c r="M30" s="2458"/>
      <c r="N30" s="2459"/>
      <c r="O30" s="2393"/>
      <c r="P30" s="88"/>
      <c r="Q30" s="88"/>
      <c r="R30" s="88"/>
      <c r="S30" s="88"/>
      <c r="T30" s="88"/>
      <c r="U30" s="827"/>
      <c r="V30" s="658"/>
      <c r="W30" s="658"/>
      <c r="X30" s="658"/>
      <c r="Y30" s="658"/>
      <c r="Z30" s="658"/>
      <c r="AA30" s="658"/>
      <c r="AB30" s="658"/>
      <c r="AC30" s="2494"/>
    </row>
    <row r="31" spans="1:29">
      <c r="A31" s="139"/>
      <c r="B31" s="2412"/>
      <c r="C31" s="2448"/>
      <c r="D31" s="2467"/>
      <c r="E31" s="2393" t="str">
        <f>"in "&amp;TaxYear&amp;", skip lines 8 through 15; multiply line 7 by "&amp;TEXT(J31,"0%")&amp;" ("&amp;TEXT(J31,"0.00")&amp;") and"</f>
        <v>in 2025, skip lines 8 through 15; multiply line 7 by 85% (0.85) and</v>
      </c>
      <c r="F31" s="2393"/>
      <c r="G31" s="2393"/>
      <c r="H31" s="2393"/>
      <c r="I31" s="88"/>
      <c r="J31" s="2469">
        <v>0.85</v>
      </c>
      <c r="K31" s="2414"/>
      <c r="L31" s="2460"/>
      <c r="M31" s="2458"/>
      <c r="N31" s="2459"/>
      <c r="O31" s="2393"/>
      <c r="P31" s="88"/>
      <c r="Q31" s="88"/>
      <c r="R31" s="88"/>
      <c r="S31" s="88"/>
      <c r="T31" s="88"/>
      <c r="U31" s="827"/>
      <c r="V31" s="658"/>
      <c r="W31" s="658"/>
      <c r="X31" s="658"/>
      <c r="Y31" s="658"/>
      <c r="Z31" s="658"/>
      <c r="AA31" s="658"/>
      <c r="AB31" s="658"/>
      <c r="AC31" s="2494"/>
    </row>
    <row r="32" spans="1:29" ht="12.75" customHeight="1">
      <c r="A32" s="139"/>
      <c r="B32" s="2412"/>
      <c r="C32" s="2448"/>
      <c r="D32" s="88"/>
      <c r="E32" s="1560" t="s">
        <v>6708</v>
      </c>
      <c r="F32" s="1560"/>
      <c r="G32" s="1560"/>
      <c r="H32" s="88"/>
      <c r="I32" s="88"/>
      <c r="J32" s="2470"/>
      <c r="K32" s="88"/>
      <c r="L32" s="88"/>
      <c r="M32" s="2455"/>
      <c r="N32" s="2456"/>
      <c r="O32" s="2393"/>
      <c r="P32" s="88"/>
      <c r="Q32" s="88"/>
      <c r="R32" s="88"/>
      <c r="S32" s="88"/>
      <c r="T32" s="88"/>
      <c r="U32" s="827"/>
      <c r="V32" s="658"/>
      <c r="W32" s="658"/>
      <c r="X32" s="658"/>
      <c r="Y32" s="658"/>
      <c r="Z32" s="658"/>
      <c r="AA32" s="658"/>
      <c r="AB32" s="658"/>
      <c r="AC32" s="2494"/>
    </row>
    <row r="33" spans="1:29" ht="13.5" customHeight="1">
      <c r="A33" s="139"/>
      <c r="B33" s="2412"/>
      <c r="C33" s="2448">
        <v>9</v>
      </c>
      <c r="D33" s="2415" t="s">
        <v>5931</v>
      </c>
      <c r="E33" s="88"/>
      <c r="F33" s="88"/>
      <c r="G33" s="88"/>
      <c r="H33" s="88"/>
      <c r="I33" s="88"/>
      <c r="J33" s="88"/>
      <c r="K33" s="88"/>
      <c r="L33" s="88"/>
      <c r="M33" s="2455"/>
      <c r="N33" s="2456"/>
      <c r="O33" s="2393"/>
      <c r="P33" s="88"/>
      <c r="Q33" s="88"/>
      <c r="R33" s="88"/>
      <c r="S33" s="88"/>
      <c r="T33" s="88"/>
      <c r="U33" s="827"/>
      <c r="V33" s="658"/>
      <c r="W33" s="658"/>
      <c r="X33" s="658"/>
      <c r="Y33" s="658"/>
      <c r="Z33" s="658"/>
      <c r="AA33" s="658"/>
      <c r="AB33" s="658"/>
      <c r="AC33" s="2494"/>
    </row>
    <row r="34" spans="1:29" ht="12.75" customHeight="1" thickBot="1">
      <c r="A34" s="139"/>
      <c r="B34" s="2412"/>
      <c r="C34" s="2448"/>
      <c r="D34" s="2415"/>
      <c r="E34" s="88"/>
      <c r="F34" s="88"/>
      <c r="G34" s="88"/>
      <c r="H34" s="88"/>
      <c r="I34" s="88"/>
      <c r="J34" s="202"/>
      <c r="K34" s="88"/>
      <c r="L34" s="88"/>
      <c r="M34" s="2455"/>
      <c r="N34" s="2456"/>
      <c r="O34" s="2393"/>
      <c r="P34" s="88"/>
      <c r="Q34" s="88"/>
      <c r="R34" s="88"/>
      <c r="S34" s="88"/>
      <c r="T34" s="88"/>
      <c r="U34" s="827"/>
      <c r="V34" s="658"/>
      <c r="W34" s="658"/>
      <c r="X34" s="658"/>
      <c r="Y34" s="658"/>
      <c r="Z34" s="658"/>
      <c r="AA34" s="658"/>
      <c r="AB34" s="658"/>
      <c r="AC34" s="2494"/>
    </row>
    <row r="35" spans="1:29" ht="13.5" thickBot="1">
      <c r="A35" s="139"/>
      <c r="B35" s="2412"/>
      <c r="C35" s="2448"/>
      <c r="D35" s="2463" t="str">
        <f>IF(OR(D21="X",R8),"",IF(L29&lt;L23,"","X"))</f>
        <v/>
      </c>
      <c r="E35" s="226" t="s">
        <v>1328</v>
      </c>
      <c r="F35" s="226"/>
      <c r="G35" s="226"/>
      <c r="H35" s="88"/>
      <c r="I35" s="88"/>
      <c r="J35" s="88"/>
      <c r="K35" s="2414"/>
      <c r="L35" s="2393"/>
      <c r="M35" s="2418"/>
      <c r="N35" s="2408"/>
      <c r="O35" s="2393"/>
      <c r="P35" s="88"/>
      <c r="Q35" s="88"/>
      <c r="R35" s="88"/>
      <c r="S35" s="88"/>
      <c r="T35" s="88"/>
      <c r="U35" s="827"/>
      <c r="V35" s="658"/>
      <c r="W35" s="658"/>
      <c r="X35" s="658"/>
      <c r="Y35" s="658"/>
      <c r="Z35" s="658"/>
      <c r="AA35" s="658"/>
      <c r="AB35" s="658"/>
      <c r="AC35" s="2494"/>
    </row>
    <row r="36" spans="1:29" ht="15" customHeight="1">
      <c r="A36" s="139"/>
      <c r="B36" s="2412"/>
      <c r="C36" s="2448"/>
      <c r="D36" s="88"/>
      <c r="E36" s="2471" t="s">
        <v>1329</v>
      </c>
      <c r="F36" s="2471"/>
      <c r="G36" s="2471"/>
      <c r="H36" s="2414"/>
      <c r="I36" s="2393"/>
      <c r="J36" s="2472"/>
      <c r="K36" s="2414"/>
      <c r="L36" s="2393"/>
      <c r="M36" s="2418"/>
      <c r="N36" s="2408"/>
      <c r="O36" s="2393"/>
      <c r="P36" s="88"/>
      <c r="Q36" s="88"/>
      <c r="R36" s="88"/>
      <c r="S36" s="88"/>
      <c r="T36" s="88"/>
      <c r="U36" s="827"/>
      <c r="V36" s="658"/>
      <c r="W36" s="658"/>
      <c r="X36" s="658"/>
      <c r="Y36" s="658"/>
      <c r="Z36" s="658"/>
      <c r="AA36" s="658"/>
      <c r="AB36" s="658"/>
      <c r="AC36" s="2494"/>
    </row>
    <row r="37" spans="1:29" ht="13.5" thickBot="1">
      <c r="A37" s="139"/>
      <c r="B37" s="2412"/>
      <c r="C37" s="2448"/>
      <c r="D37" s="88"/>
      <c r="E37" s="2460" t="str">
        <f>TaxYear&amp; ", be sure you checked the box on line 6d."</f>
        <v>2025, be sure you checked the box on line 6d.</v>
      </c>
      <c r="F37" s="2460"/>
      <c r="G37" s="2460"/>
      <c r="H37" s="2393"/>
      <c r="I37" s="2393"/>
      <c r="J37" s="2393"/>
      <c r="K37" s="2414"/>
      <c r="L37" s="2393"/>
      <c r="M37" s="2418"/>
      <c r="N37" s="2408"/>
      <c r="O37" s="2393"/>
      <c r="P37" s="88"/>
      <c r="Q37" s="88"/>
      <c r="R37" s="88"/>
      <c r="S37" s="88"/>
      <c r="T37" s="88"/>
      <c r="U37" s="827"/>
      <c r="V37" s="658"/>
      <c r="W37" s="658"/>
      <c r="X37" s="658"/>
      <c r="Y37" s="658"/>
      <c r="Z37" s="658"/>
      <c r="AA37" s="658"/>
      <c r="AB37" s="658"/>
      <c r="AC37" s="2494"/>
    </row>
    <row r="38" spans="1:29" ht="13.5" thickBot="1">
      <c r="A38" s="139"/>
      <c r="B38" s="2412"/>
      <c r="C38" s="2448"/>
      <c r="D38" s="2463" t="str">
        <f>IF(OR(D21="X",AND(File_Marr_Sep&lt;&gt;"",Q4="")),"",IF(L29&lt;L23,"X",""))</f>
        <v/>
      </c>
      <c r="E38" s="2473" t="s">
        <v>5943</v>
      </c>
      <c r="F38" s="2473"/>
      <c r="G38" s="2473"/>
      <c r="H38" s="2414"/>
      <c r="I38" s="2393"/>
      <c r="J38" s="2451" t="s">
        <v>5944</v>
      </c>
      <c r="K38" s="2414">
        <f>C33</f>
        <v>9</v>
      </c>
      <c r="L38" s="2466" t="str">
        <f>IF(OR(D21="X",R8,D35="X"),"",L23-L29)</f>
        <v/>
      </c>
      <c r="M38" s="2418"/>
      <c r="N38" s="2408"/>
      <c r="O38" s="2393"/>
      <c r="P38" s="88"/>
      <c r="Q38" s="88"/>
      <c r="R38" s="88"/>
      <c r="S38" s="88"/>
      <c r="T38" s="88"/>
      <c r="U38" s="827"/>
      <c r="V38" s="658"/>
      <c r="W38" s="658"/>
      <c r="X38" s="658"/>
      <c r="Y38" s="658"/>
      <c r="Z38" s="658"/>
      <c r="AA38" s="658"/>
      <c r="AB38" s="658"/>
      <c r="AC38" s="2494"/>
    </row>
    <row r="39" spans="1:29" s="2390" customFormat="1" ht="27.75" customHeight="1">
      <c r="A39" s="2474"/>
      <c r="B39" s="2475"/>
      <c r="C39" s="2416">
        <v>10</v>
      </c>
      <c r="D39" s="2423" t="str">
        <f>"Enter: "&amp;TEXT(R41,"$0,000")&amp;" if married filing jointly; "&amp;TEXT(R42,"$0,000")&amp;" if single, head of household, qualifying"</f>
        <v>Enter: $12,000 if married filing jointly; $9,000 if single, head of household, qualifying</v>
      </c>
      <c r="E39" s="2471"/>
      <c r="F39" s="2471"/>
      <c r="G39" s="2471"/>
      <c r="H39" s="2416"/>
      <c r="I39" s="2476"/>
      <c r="J39" s="2476"/>
      <c r="K39" s="2416"/>
      <c r="L39" s="2471"/>
      <c r="M39" s="2477"/>
      <c r="N39" s="2478"/>
      <c r="O39" s="2471"/>
      <c r="P39" s="2423"/>
      <c r="Q39" s="2423"/>
      <c r="R39" s="2423"/>
      <c r="S39" s="2423"/>
      <c r="T39" s="2423"/>
      <c r="U39" s="1640"/>
      <c r="V39" s="713"/>
      <c r="W39" s="713"/>
      <c r="X39" s="713"/>
      <c r="Y39" s="713"/>
      <c r="Z39" s="713"/>
      <c r="AA39" s="713"/>
      <c r="AB39" s="713"/>
      <c r="AC39" s="2495"/>
    </row>
    <row r="40" spans="1:29">
      <c r="A40" s="139"/>
      <c r="B40" s="2412"/>
      <c r="C40" s="2448"/>
      <c r="D40" s="2617" t="s">
        <v>5954</v>
      </c>
      <c r="E40" s="2479"/>
      <c r="F40" s="2479"/>
      <c r="G40" s="2479"/>
      <c r="H40" s="3444" t="str">
        <f>"your spouse for all of "&amp;TaxYear</f>
        <v>your spouse for all of 2025</v>
      </c>
      <c r="I40" s="2472"/>
      <c r="J40" s="2451" t="s">
        <v>5505</v>
      </c>
      <c r="K40" s="2414">
        <f>C39</f>
        <v>10</v>
      </c>
      <c r="L40" s="2466" t="str">
        <f>IF(R40&lt;&gt;"",ROUND(R40,0),IF(OR(D21="X",D35="X",R8),"",IF(OR(File_Single&lt;&gt;"",File_Head&lt;&gt;"",File_Qual_Widow&lt;&gt;"",AND(File_Marr_Sep&lt;&gt;"",Q4&lt;&gt;"")),R42,IF(AND(File_Marr_Joint&lt;&gt;""),R41,IF(AND(File_Marr_Sep&lt;&gt;"",Q4=""),0,0)))))</f>
        <v/>
      </c>
      <c r="M40" s="2455"/>
      <c r="N40" s="2456"/>
      <c r="O40" s="2393"/>
      <c r="P40" s="88"/>
      <c r="Q40" s="88"/>
      <c r="R40" s="209"/>
      <c r="S40" s="88"/>
      <c r="T40" s="88"/>
      <c r="U40" s="827"/>
      <c r="V40" s="658"/>
      <c r="W40" s="658"/>
      <c r="X40" s="658"/>
      <c r="Y40" s="658"/>
      <c r="Z40" s="658"/>
      <c r="AA40" s="658"/>
      <c r="AB40" s="658"/>
      <c r="AC40" s="2494"/>
    </row>
    <row r="41" spans="1:29">
      <c r="A41" s="139"/>
      <c r="B41" s="2412"/>
      <c r="C41" s="2448">
        <v>11</v>
      </c>
      <c r="D41" s="1560" t="s">
        <v>5946</v>
      </c>
      <c r="E41" s="2480"/>
      <c r="F41" s="2480"/>
      <c r="G41" s="2480"/>
      <c r="H41" s="2414"/>
      <c r="I41" s="2481"/>
      <c r="J41" s="2451" t="s">
        <v>1253</v>
      </c>
      <c r="K41" s="2414">
        <f t="shared" ref="K41:K47" si="0">C41</f>
        <v>11</v>
      </c>
      <c r="L41" s="2466" t="str">
        <f>IF(OR(D21="X",D35="X",R8),"",IF((L38-L40)&lt;0,0,(L38-L40)))</f>
        <v/>
      </c>
      <c r="M41" s="2482"/>
      <c r="N41" s="2483"/>
      <c r="O41" s="2393"/>
      <c r="P41" s="88"/>
      <c r="Q41" s="88"/>
      <c r="R41" s="441">
        <v>12000</v>
      </c>
      <c r="S41" s="88"/>
      <c r="T41" s="88"/>
      <c r="U41" s="827"/>
      <c r="V41" s="658"/>
      <c r="W41" s="658"/>
      <c r="X41" s="658"/>
      <c r="Y41" s="658"/>
      <c r="Z41" s="658"/>
      <c r="AA41" s="658"/>
      <c r="AB41" s="658"/>
      <c r="AC41" s="2494"/>
    </row>
    <row r="42" spans="1:29">
      <c r="A42" s="139"/>
      <c r="B42" s="2412"/>
      <c r="C42" s="2448">
        <v>12</v>
      </c>
      <c r="D42" s="1560" t="s">
        <v>5947</v>
      </c>
      <c r="E42" s="2480"/>
      <c r="F42" s="2480"/>
      <c r="G42" s="2480"/>
      <c r="H42" s="2414"/>
      <c r="I42" s="2481"/>
      <c r="J42" s="2451" t="s">
        <v>1331</v>
      </c>
      <c r="K42" s="2414">
        <f t="shared" si="0"/>
        <v>12</v>
      </c>
      <c r="L42" s="2466" t="str">
        <f>IF(OR(D21="X",D35="X",R8),"",MIN(L38,L40))</f>
        <v/>
      </c>
      <c r="M42" s="2482"/>
      <c r="N42" s="2483"/>
      <c r="O42" s="2393"/>
      <c r="P42" s="88"/>
      <c r="Q42" s="88"/>
      <c r="R42" s="441">
        <v>9000</v>
      </c>
      <c r="S42" s="88"/>
      <c r="T42" s="88"/>
      <c r="U42" s="827"/>
      <c r="V42" s="658"/>
      <c r="W42" s="658"/>
      <c r="X42" s="658"/>
      <c r="Y42" s="658"/>
      <c r="Z42" s="658"/>
      <c r="AA42" s="658"/>
      <c r="AB42" s="658"/>
      <c r="AC42" s="2494"/>
    </row>
    <row r="43" spans="1:29">
      <c r="A43" s="139"/>
      <c r="B43" s="2412"/>
      <c r="C43" s="2448">
        <v>13</v>
      </c>
      <c r="D43" s="1560" t="s">
        <v>5948</v>
      </c>
      <c r="E43" s="2480"/>
      <c r="F43" s="2480"/>
      <c r="G43" s="2480"/>
      <c r="H43" s="2414"/>
      <c r="I43" s="2481"/>
      <c r="J43" s="2451" t="s">
        <v>1318</v>
      </c>
      <c r="K43" s="2414">
        <f t="shared" si="0"/>
        <v>13</v>
      </c>
      <c r="L43" s="2466" t="str">
        <f>IF(OR(D21="X",D35="X",R8),"",0.5*L42)</f>
        <v/>
      </c>
      <c r="M43" s="2482"/>
      <c r="N43" s="2483"/>
      <c r="O43" s="2393"/>
      <c r="P43" s="88"/>
      <c r="Q43" s="88"/>
      <c r="R43" s="441">
        <v>0.5</v>
      </c>
      <c r="S43" s="88"/>
      <c r="T43" s="88"/>
      <c r="U43" s="827"/>
      <c r="V43" s="658"/>
      <c r="W43" s="658"/>
      <c r="X43" s="658"/>
      <c r="Y43" s="658"/>
      <c r="Z43" s="658"/>
      <c r="AA43" s="658"/>
      <c r="AB43" s="658"/>
      <c r="AC43" s="2494"/>
    </row>
    <row r="44" spans="1:29">
      <c r="A44" s="139"/>
      <c r="B44" s="2412"/>
      <c r="C44" s="2448">
        <v>14</v>
      </c>
      <c r="D44" s="1560" t="s">
        <v>5949</v>
      </c>
      <c r="E44" s="2480"/>
      <c r="F44" s="2480"/>
      <c r="G44" s="2480"/>
      <c r="H44" s="2414"/>
      <c r="I44" s="2481"/>
      <c r="J44" s="2451" t="s">
        <v>1285</v>
      </c>
      <c r="K44" s="2414">
        <f t="shared" si="0"/>
        <v>14</v>
      </c>
      <c r="L44" s="2466" t="str">
        <f>IF(OR(D21="X",D35="X",R8),"",MIN(L14,L43))</f>
        <v/>
      </c>
      <c r="M44" s="2482"/>
      <c r="N44" s="2483"/>
      <c r="O44" s="2393"/>
      <c r="P44" s="88"/>
      <c r="Q44" s="88"/>
      <c r="R44" s="88"/>
      <c r="S44" s="88"/>
      <c r="T44" s="88"/>
      <c r="U44" s="827"/>
      <c r="V44" s="658"/>
      <c r="W44" s="658"/>
      <c r="X44" s="658"/>
      <c r="Y44" s="658"/>
      <c r="Z44" s="658"/>
      <c r="AA44" s="658"/>
      <c r="AB44" s="658"/>
      <c r="AC44" s="2494"/>
    </row>
    <row r="45" spans="1:29">
      <c r="A45" s="139"/>
      <c r="B45" s="2412"/>
      <c r="C45" s="2448">
        <v>15</v>
      </c>
      <c r="D45" s="88" t="str">
        <f>"Multiply line 11 by "&amp;TEXT(J31,"0%")&amp;" ("&amp;TEXT(J31,"0.00")&amp;").  If line 11 is zero, enter -0-"</f>
        <v>Multiply line 11 by 85% (0.85).  If line 11 is zero, enter -0-</v>
      </c>
      <c r="E45" s="2480"/>
      <c r="F45" s="2480"/>
      <c r="G45" s="2480"/>
      <c r="H45" s="2414"/>
      <c r="I45" s="2481"/>
      <c r="J45" s="2451" t="s">
        <v>1332</v>
      </c>
      <c r="K45" s="2414">
        <f t="shared" si="0"/>
        <v>15</v>
      </c>
      <c r="L45" s="2466" t="str">
        <f>IF(OR(D21="X",D35="X",R8),"",ROUND(L41*J31,0))</f>
        <v/>
      </c>
      <c r="M45" s="2482"/>
      <c r="N45" s="2483"/>
      <c r="O45" s="2393"/>
      <c r="P45" s="88"/>
      <c r="Q45" s="88"/>
      <c r="R45" s="88"/>
      <c r="S45" s="88"/>
      <c r="T45" s="88"/>
      <c r="U45" s="827"/>
      <c r="V45" s="658"/>
      <c r="W45" s="658"/>
      <c r="X45" s="658"/>
      <c r="Y45" s="658"/>
      <c r="Z45" s="658"/>
      <c r="AA45" s="658"/>
      <c r="AB45" s="658"/>
      <c r="AC45" s="2494"/>
    </row>
    <row r="46" spans="1:29">
      <c r="A46" s="139"/>
      <c r="B46" s="2412"/>
      <c r="C46" s="2448">
        <v>16</v>
      </c>
      <c r="D46" s="1560" t="s">
        <v>5950</v>
      </c>
      <c r="E46" s="2480"/>
      <c r="F46" s="2480"/>
      <c r="G46" s="2480"/>
      <c r="H46" s="2414"/>
      <c r="I46" s="2481"/>
      <c r="J46" s="2451" t="s">
        <v>1333</v>
      </c>
      <c r="K46" s="2414">
        <f t="shared" si="0"/>
        <v>16</v>
      </c>
      <c r="L46" s="2466" t="str">
        <f>IF(OR(D21="X",D35="X"),"",IF(R8,ROUND(L23*J31,0),IF(D35="X","",SUM(L44,L45))))</f>
        <v/>
      </c>
      <c r="M46" s="2482"/>
      <c r="N46" s="2483"/>
      <c r="O46" s="2393"/>
      <c r="P46" s="88"/>
      <c r="Q46" s="88"/>
      <c r="R46" s="88"/>
      <c r="S46" s="88"/>
      <c r="T46" s="88"/>
      <c r="U46" s="827"/>
      <c r="V46" s="658"/>
      <c r="W46" s="658"/>
      <c r="X46" s="658"/>
      <c r="Y46" s="658"/>
      <c r="Z46" s="658"/>
      <c r="AA46" s="658"/>
      <c r="AB46" s="658"/>
      <c r="AC46" s="2494"/>
    </row>
    <row r="47" spans="1:29">
      <c r="A47" s="139"/>
      <c r="B47" s="2412"/>
      <c r="C47" s="2448">
        <v>17</v>
      </c>
      <c r="D47" s="88" t="str">
        <f>"Multiply line 1 by "&amp;TEXT(J31,"0%")&amp;" ("&amp;TEXT(J31,"0.00")&amp;")."</f>
        <v>Multiply line 1 by 85% (0.85).</v>
      </c>
      <c r="E47" s="88"/>
      <c r="F47" s="88"/>
      <c r="G47" s="88"/>
      <c r="H47" s="2414"/>
      <c r="I47" s="2481"/>
      <c r="J47" s="2451" t="s">
        <v>962</v>
      </c>
      <c r="K47" s="2414">
        <f t="shared" si="0"/>
        <v>17</v>
      </c>
      <c r="L47" s="2466" t="str">
        <f>IF(OR(D21="X",AND(File_Marr_Sep&lt;&gt;"",NOT(LivedApartAnswered))),"",IF(OR(I13="",I13=0),0,IF(D35="X","",ROUND(I13*J31,0))))</f>
        <v/>
      </c>
      <c r="M47" s="2482"/>
      <c r="N47" s="2483"/>
      <c r="O47" s="2393"/>
      <c r="P47" s="88"/>
      <c r="Q47" s="88"/>
      <c r="R47" s="88"/>
      <c r="S47" s="88"/>
      <c r="T47" s="88"/>
      <c r="U47" s="827"/>
      <c r="V47" s="658"/>
      <c r="W47" s="658"/>
      <c r="X47" s="658"/>
      <c r="Y47" s="658"/>
      <c r="Z47" s="658"/>
      <c r="AA47" s="658"/>
      <c r="AB47" s="658"/>
      <c r="AC47" s="2494"/>
    </row>
    <row r="48" spans="1:29">
      <c r="A48" s="139"/>
      <c r="B48" s="2412"/>
      <c r="C48" s="2448">
        <v>18</v>
      </c>
      <c r="D48" s="226" t="s">
        <v>5951</v>
      </c>
      <c r="E48" s="2480"/>
      <c r="F48" s="2480"/>
      <c r="G48" s="2480"/>
      <c r="H48" s="2414"/>
      <c r="I48" s="2481"/>
      <c r="J48" s="2481"/>
      <c r="K48" s="2414"/>
      <c r="L48" s="2393"/>
      <c r="M48" s="2482"/>
      <c r="N48" s="2483"/>
      <c r="O48" s="2393"/>
      <c r="P48" s="88"/>
      <c r="Q48" s="88"/>
      <c r="R48" s="88"/>
      <c r="S48" s="88"/>
      <c r="T48" s="88"/>
      <c r="U48" s="827"/>
      <c r="V48" s="658"/>
      <c r="W48" s="658"/>
      <c r="X48" s="658"/>
      <c r="Y48" s="658"/>
      <c r="Z48" s="658"/>
      <c r="AA48" s="658"/>
      <c r="AB48" s="658"/>
      <c r="AC48" s="2494"/>
    </row>
    <row r="49" spans="1:29">
      <c r="A49" s="139"/>
      <c r="B49" s="2412"/>
      <c r="C49" s="2448"/>
      <c r="D49" s="2417" t="s">
        <v>1334</v>
      </c>
      <c r="E49" s="2471"/>
      <c r="F49" s="2471"/>
      <c r="G49" s="2471"/>
      <c r="H49" s="2414"/>
      <c r="I49" s="2481"/>
      <c r="J49" s="2451" t="s">
        <v>1266</v>
      </c>
      <c r="K49" s="2414">
        <f>C48</f>
        <v>18</v>
      </c>
      <c r="L49" s="2466">
        <f>IF(R49&lt;&gt;"",ROUND(R49,0),IF(AND(R13="",TotalSocSecBenefits=0),0,IF(AND(I13&lt;&gt;0,File_Marr_Sep&lt;&gt;"",NOT(LivedApartAnswered)),"Answer question.",IF(OR(D21="X",D35="X"),0,IF(D35="X",0,MIN(L46,L47))))))</f>
        <v>0</v>
      </c>
      <c r="M49" s="2484"/>
      <c r="N49" s="2485"/>
      <c r="O49" s="2393"/>
      <c r="P49" s="88"/>
      <c r="Q49" s="88"/>
      <c r="R49" s="109"/>
      <c r="S49" s="88"/>
      <c r="T49" s="88"/>
      <c r="U49" s="827"/>
      <c r="V49" s="658"/>
      <c r="W49" s="658"/>
      <c r="X49" s="658"/>
      <c r="Y49" s="658"/>
      <c r="Z49" s="658"/>
      <c r="AA49" s="658"/>
      <c r="AB49" s="658"/>
      <c r="AC49" s="2494"/>
    </row>
    <row r="50" spans="1:29" ht="7.5" customHeight="1">
      <c r="A50" s="139"/>
      <c r="B50" s="2412"/>
      <c r="C50" s="2448"/>
      <c r="D50" s="2486"/>
      <c r="E50" s="2487"/>
      <c r="F50" s="2487"/>
      <c r="G50" s="2487"/>
      <c r="H50" s="2414"/>
      <c r="I50" s="2481"/>
      <c r="J50" s="2481"/>
      <c r="K50" s="2414"/>
      <c r="L50" s="2481"/>
      <c r="M50" s="2484"/>
      <c r="N50" s="2485"/>
      <c r="O50" s="2393"/>
      <c r="P50" s="88"/>
      <c r="Q50" s="88"/>
      <c r="R50" s="88"/>
      <c r="S50" s="88"/>
      <c r="T50" s="88"/>
      <c r="U50" s="827"/>
      <c r="V50" s="658"/>
      <c r="W50" s="658"/>
      <c r="X50" s="658"/>
      <c r="Y50" s="658"/>
      <c r="Z50" s="658"/>
      <c r="AA50" s="658"/>
      <c r="AB50" s="658"/>
      <c r="AC50" s="2494"/>
    </row>
    <row r="51" spans="1:29" ht="12.75" customHeight="1">
      <c r="A51" s="139"/>
      <c r="B51" s="2412"/>
      <c r="C51" s="2448"/>
      <c r="D51" s="2488"/>
      <c r="E51" s="4564" t="str">
        <f>"If any of your benefits are  taxable  for "&amp;TaxYear</f>
        <v>If any of your benefits are  taxable  for 2025</v>
      </c>
      <c r="F51" s="4564"/>
      <c r="G51" s="2487" t="s">
        <v>5953</v>
      </c>
      <c r="H51" s="2414"/>
      <c r="I51" s="2481"/>
      <c r="J51" s="2481"/>
      <c r="K51" s="2414"/>
      <c r="L51" s="2481"/>
      <c r="M51" s="2484"/>
      <c r="N51" s="2485"/>
      <c r="O51" s="2393"/>
      <c r="P51" s="88"/>
      <c r="Q51" s="88"/>
      <c r="R51" s="88"/>
      <c r="S51" s="88"/>
      <c r="T51" s="88"/>
      <c r="U51" s="827"/>
      <c r="V51" s="658"/>
      <c r="W51" s="658"/>
      <c r="X51" s="658"/>
      <c r="Y51" s="658"/>
      <c r="Z51" s="658"/>
      <c r="AA51" s="658"/>
      <c r="AB51" s="658"/>
      <c r="AC51" s="2494"/>
    </row>
    <row r="52" spans="1:29">
      <c r="A52" s="139"/>
      <c r="B52" s="2412"/>
      <c r="C52" s="2448"/>
      <c r="D52" s="2486"/>
      <c r="E52" s="4565" t="s">
        <v>5952</v>
      </c>
      <c r="F52" s="4565"/>
      <c r="G52" s="4565"/>
      <c r="H52" s="2414"/>
      <c r="I52" s="2481"/>
      <c r="J52" s="2481"/>
      <c r="K52" s="2414"/>
      <c r="L52" s="2481"/>
      <c r="M52" s="2484"/>
      <c r="N52" s="2485"/>
      <c r="O52" s="2393"/>
      <c r="P52" s="88"/>
      <c r="Q52" s="88"/>
      <c r="R52" s="88"/>
      <c r="S52" s="88"/>
      <c r="T52" s="88"/>
      <c r="U52" s="827"/>
      <c r="V52" s="658"/>
      <c r="W52" s="658"/>
      <c r="X52" s="658"/>
      <c r="Y52" s="658"/>
      <c r="Z52" s="658"/>
      <c r="AA52" s="658"/>
      <c r="AB52" s="658"/>
      <c r="AC52" s="2494"/>
    </row>
    <row r="53" spans="1:29" ht="13.5" customHeight="1" thickBot="1">
      <c r="A53" s="139"/>
      <c r="B53" s="2489"/>
      <c r="C53" s="91"/>
      <c r="D53" s="91"/>
      <c r="E53" s="91"/>
      <c r="F53" s="91"/>
      <c r="G53" s="91"/>
      <c r="H53" s="91"/>
      <c r="I53" s="91"/>
      <c r="J53" s="91"/>
      <c r="K53" s="91"/>
      <c r="L53" s="91"/>
      <c r="M53" s="2490"/>
      <c r="N53" s="139"/>
      <c r="O53" s="2393"/>
      <c r="P53" s="88"/>
      <c r="Q53" s="88"/>
      <c r="R53" s="88"/>
      <c r="S53" s="88"/>
      <c r="T53" s="88"/>
      <c r="U53" s="827"/>
      <c r="V53" s="658"/>
      <c r="W53" s="658"/>
      <c r="X53" s="658"/>
      <c r="Y53" s="658"/>
      <c r="Z53" s="658"/>
      <c r="AA53" s="658"/>
      <c r="AB53" s="658"/>
      <c r="AC53" s="2494"/>
    </row>
    <row r="54" spans="1:29">
      <c r="A54" s="139"/>
      <c r="B54" s="139"/>
      <c r="C54" s="139"/>
      <c r="D54" s="139"/>
      <c r="E54" s="139"/>
      <c r="F54" s="139"/>
      <c r="G54" s="139"/>
      <c r="H54" s="139"/>
      <c r="I54" s="139"/>
      <c r="J54" s="139"/>
      <c r="K54" s="139"/>
      <c r="L54" s="139"/>
      <c r="M54" s="139"/>
      <c r="N54" s="139"/>
      <c r="O54" s="2393"/>
      <c r="P54" s="88"/>
      <c r="Q54" s="88"/>
      <c r="R54" s="88"/>
      <c r="S54" s="88"/>
      <c r="T54" s="88"/>
      <c r="U54" s="827"/>
      <c r="V54" s="658"/>
      <c r="W54" s="658"/>
      <c r="X54" s="658"/>
      <c r="Y54" s="658"/>
      <c r="Z54" s="658"/>
      <c r="AA54" s="658"/>
      <c r="AB54" s="658"/>
      <c r="AC54" s="2494"/>
    </row>
  </sheetData>
  <sheetProtection algorithmName="SHA-512" hashValue="TknfY8Hq1wXorP8pcF0Ief6UIm3lTM++OG06VStuighHp0QBgI5WD904bijIDpTISVLT4XYzYM3+sLQXVGZMAg==" saltValue="36F0/cXc3ThDw/KvqMJQhQ==" spinCount="100000" sheet="1" objects="1" scenarios="1" formatCells="0" formatColumns="0" formatRows="0"/>
  <mergeCells count="2">
    <mergeCell ref="I13:J13"/>
    <mergeCell ref="R10:R11"/>
  </mergeCells>
  <phoneticPr fontId="13" type="noConversion"/>
  <conditionalFormatting sqref="I13:J13 L40:L47 L49">
    <cfRule type="expression" dxfId="3258" priority="26">
      <formula>IF(NoColor,1,0)</formula>
    </cfRule>
  </conditionalFormatting>
  <conditionalFormatting sqref="L14:L18">
    <cfRule type="expression" dxfId="3257" priority="24">
      <formula>IF(NoColor,1,0)</formula>
    </cfRule>
  </conditionalFormatting>
  <conditionalFormatting sqref="L23">
    <cfRule type="expression" dxfId="3256" priority="22">
      <formula>IF(NoColor,1,0)</formula>
    </cfRule>
  </conditionalFormatting>
  <conditionalFormatting sqref="L29">
    <cfRule type="expression" dxfId="3255" priority="18">
      <formula>IF(LivedApart="?",1,0)</formula>
    </cfRule>
    <cfRule type="expression" dxfId="3254" priority="21">
      <formula>IF(NoColor,1,0)</formula>
    </cfRule>
  </conditionalFormatting>
  <conditionalFormatting sqref="L38">
    <cfRule type="expression" dxfId="3253" priority="20">
      <formula>IF(NoColor,1,0)</formula>
    </cfRule>
  </conditionalFormatting>
  <conditionalFormatting sqref="L49">
    <cfRule type="expression" dxfId="3252" priority="17">
      <formula>IF(AND(TotalSocSecBenefit&gt;0,LivedApart="?"),1,0)</formula>
    </cfRule>
  </conditionalFormatting>
  <conditionalFormatting sqref="P4:S9 P3 R3:S3">
    <cfRule type="expression" dxfId="3251" priority="6" stopIfTrue="1">
      <formula>(File_Marr_Sep="")</formula>
    </cfRule>
  </conditionalFormatting>
  <conditionalFormatting sqref="Q3 Q8">
    <cfRule type="expression" dxfId="3250" priority="3">
      <formula>AND(LivedApartAnswered,File_Marr_Sep&lt;&gt;"")</formula>
    </cfRule>
  </conditionalFormatting>
  <conditionalFormatting sqref="Q3 Q8:Q9">
    <cfRule type="expression" dxfId="3249" priority="4" stopIfTrue="1">
      <formula>(File_Marr_Sep&lt;&gt;"")</formula>
    </cfRule>
  </conditionalFormatting>
  <conditionalFormatting sqref="Q4:Q9">
    <cfRule type="expression" dxfId="3248" priority="7">
      <formula>AND(LivedApartAnswered,File_Marr_Sep&lt;&gt;"")</formula>
    </cfRule>
  </conditionalFormatting>
  <conditionalFormatting sqref="R4">
    <cfRule type="expression" dxfId="3247" priority="12">
      <formula>IF($P$5=1,1,0)</formula>
    </cfRule>
  </conditionalFormatting>
  <conditionalFormatting sqref="R6">
    <cfRule type="expression" dxfId="3246" priority="11">
      <formula>IF($P$5=1,1,0)</formula>
    </cfRule>
  </conditionalFormatting>
  <pageMargins left="0.75" right="0.25" top="0.36" bottom="0.28999999999999998" header="0.36" footer="0.21"/>
  <pageSetup scale="88" fitToHeight="0"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AE42"/>
  <sheetViews>
    <sheetView zoomScaleNormal="100" workbookViewId="0"/>
  </sheetViews>
  <sheetFormatPr defaultRowHeight="12.75"/>
  <cols>
    <col min="1" max="1" width="3.140625" customWidth="1"/>
    <col min="2" max="2" width="8.140625" customWidth="1"/>
    <col min="3" max="3" width="3.42578125" customWidth="1"/>
    <col min="4" max="4" width="8.28515625" customWidth="1"/>
    <col min="5" max="5" width="3.28515625" customWidth="1"/>
    <col min="6" max="6" width="11.28515625" customWidth="1"/>
    <col min="7" max="7" width="12" customWidth="1"/>
    <col min="8" max="8" width="15.5703125" customWidth="1"/>
    <col min="9" max="9" width="8.5703125" customWidth="1"/>
    <col min="10" max="10" width="8" customWidth="1"/>
    <col min="11" max="11" width="10.140625" customWidth="1"/>
    <col min="12" max="12" width="9.85546875" customWidth="1"/>
    <col min="13" max="13" width="3.42578125" customWidth="1"/>
    <col min="14" max="14" width="11.140625" customWidth="1"/>
    <col min="15" max="15" width="2.7109375" customWidth="1"/>
    <col min="16" max="16" width="3.5703125" customWidth="1"/>
    <col min="17" max="17" width="13.5703125" customWidth="1"/>
    <col min="18" max="18" width="3.5703125" customWidth="1"/>
    <col min="19" max="19" width="13.7109375" style="816" customWidth="1"/>
    <col min="20" max="30" width="10.7109375" style="815" customWidth="1"/>
  </cols>
  <sheetData>
    <row r="1" spans="1:31" ht="21" customHeight="1" thickBot="1">
      <c r="A1" s="6100"/>
      <c r="B1" s="253"/>
      <c r="C1" s="253"/>
      <c r="D1" s="253"/>
      <c r="E1" s="253"/>
      <c r="F1" s="253"/>
      <c r="G1" s="253"/>
      <c r="H1" s="253"/>
      <c r="I1" s="253"/>
      <c r="J1" s="253"/>
      <c r="K1" s="253"/>
      <c r="L1" s="253"/>
      <c r="M1" s="7979" t="str">
        <f>IF('Table of Contents'!A30="D","DRAFT","")</f>
        <v/>
      </c>
      <c r="N1" s="7979"/>
      <c r="O1" s="7979"/>
      <c r="P1" s="344"/>
      <c r="Q1" s="344"/>
      <c r="R1" s="344"/>
      <c r="S1" s="768" t="s">
        <v>223</v>
      </c>
      <c r="T1" s="658"/>
      <c r="U1" s="658"/>
      <c r="V1" s="658"/>
      <c r="W1" s="658"/>
      <c r="X1" s="658"/>
      <c r="Y1" s="658"/>
      <c r="Z1" s="658"/>
      <c r="AA1" s="658"/>
      <c r="AB1" s="658"/>
    </row>
    <row r="2" spans="1:31" ht="14.25" customHeight="1">
      <c r="A2" s="6100"/>
      <c r="B2" s="6101"/>
      <c r="C2" s="6102"/>
      <c r="D2" s="2344"/>
      <c r="E2" s="2344"/>
      <c r="F2" s="2344"/>
      <c r="G2" s="2344"/>
      <c r="H2" s="2344"/>
      <c r="I2" s="2344"/>
      <c r="J2" s="6103"/>
      <c r="K2" s="6103"/>
      <c r="L2" s="6103"/>
      <c r="M2" s="6103"/>
      <c r="N2" s="2344"/>
      <c r="O2" s="3428"/>
      <c r="P2" s="344"/>
      <c r="Q2" s="344"/>
      <c r="R2" s="344"/>
      <c r="S2" s="795" t="s">
        <v>227</v>
      </c>
      <c r="T2" s="658"/>
      <c r="U2" s="658"/>
      <c r="V2" s="658"/>
      <c r="W2" s="658"/>
      <c r="X2" s="658"/>
      <c r="Y2" s="658"/>
      <c r="Z2" s="658"/>
      <c r="AA2" s="658"/>
      <c r="AB2" s="658"/>
    </row>
    <row r="3" spans="1:31" ht="16.5" thickBot="1">
      <c r="A3" s="6100"/>
      <c r="B3" s="6104" t="s">
        <v>5957</v>
      </c>
      <c r="C3" s="2539"/>
      <c r="D3" s="1560"/>
      <c r="E3" s="1560"/>
      <c r="F3" s="1560"/>
      <c r="G3" s="1560"/>
      <c r="H3" s="1560"/>
      <c r="I3" s="1560"/>
      <c r="J3" s="6105" t="s">
        <v>1335</v>
      </c>
      <c r="K3" s="6105"/>
      <c r="L3" s="6106"/>
      <c r="M3" s="6107"/>
      <c r="N3" s="6108" t="s">
        <v>926</v>
      </c>
      <c r="O3" s="90"/>
      <c r="P3" s="6109"/>
      <c r="Q3" s="6109"/>
      <c r="R3" s="6109"/>
      <c r="S3" s="769"/>
      <c r="T3" s="658"/>
      <c r="U3" s="658"/>
      <c r="V3" s="658"/>
      <c r="W3" s="658"/>
      <c r="X3" s="658"/>
      <c r="Y3" s="658"/>
      <c r="Z3" s="658"/>
      <c r="AA3" s="658"/>
      <c r="AB3" s="658"/>
    </row>
    <row r="4" spans="1:31" ht="12.75" customHeight="1" thickBot="1">
      <c r="A4" s="6100"/>
      <c r="B4" s="6110"/>
      <c r="C4" s="1560"/>
      <c r="D4" s="2677"/>
      <c r="E4" s="1560"/>
      <c r="F4" s="1560"/>
      <c r="G4" s="1560"/>
      <c r="H4" s="2700"/>
      <c r="I4" s="88"/>
      <c r="J4" s="228" t="str">
        <f>IF(L4,"Yes","No")</f>
        <v>No</v>
      </c>
      <c r="K4" s="228"/>
      <c r="L4" s="6111" t="b">
        <f>OR(DependentYOU&lt;&gt;"",DependentSPOUSE&lt;&gt;"",P4&lt;&gt;"")</f>
        <v>0</v>
      </c>
      <c r="M4" s="6111"/>
      <c r="N4" s="2441"/>
      <c r="O4" s="90"/>
      <c r="P4" s="1079"/>
      <c r="Q4" s="344" t="s">
        <v>1336</v>
      </c>
      <c r="R4" s="344"/>
      <c r="S4" s="769"/>
      <c r="T4" s="658"/>
      <c r="U4" s="658"/>
      <c r="V4" s="658"/>
      <c r="W4" s="658"/>
      <c r="X4" s="658"/>
      <c r="Y4" s="658"/>
      <c r="Z4" s="658"/>
      <c r="AA4" s="658"/>
      <c r="AB4" s="658"/>
      <c r="AE4" s="329"/>
    </row>
    <row r="5" spans="1:31" ht="13.5" customHeight="1">
      <c r="A5" s="344"/>
      <c r="B5" s="6112"/>
      <c r="C5" s="6113" t="s">
        <v>1337</v>
      </c>
      <c r="D5" s="5731"/>
      <c r="E5" s="5731"/>
      <c r="F5" s="5731"/>
      <c r="G5" s="5731"/>
      <c r="H5" s="6114"/>
      <c r="I5" s="5661"/>
      <c r="J5" s="5661"/>
      <c r="K5" s="5661"/>
      <c r="L5" s="4574"/>
      <c r="M5" s="4577"/>
      <c r="N5" s="6115"/>
      <c r="O5" s="6116"/>
      <c r="P5" s="344"/>
      <c r="Q5" s="344"/>
      <c r="R5" s="344"/>
      <c r="S5" s="769"/>
      <c r="T5" s="658"/>
      <c r="U5" s="658"/>
      <c r="V5" s="658"/>
      <c r="W5" s="658"/>
      <c r="X5" s="658"/>
      <c r="Y5" s="658"/>
      <c r="Z5" s="658"/>
      <c r="AA5" s="658"/>
      <c r="AB5" s="658"/>
    </row>
    <row r="6" spans="1:31" ht="13.5" customHeight="1">
      <c r="A6" s="344"/>
      <c r="B6" s="6110"/>
      <c r="C6" s="5455"/>
      <c r="D6" s="1560"/>
      <c r="E6" s="1560"/>
      <c r="F6" s="1560"/>
      <c r="G6" s="1560"/>
      <c r="H6" s="2700"/>
      <c r="I6" s="88"/>
      <c r="J6" s="88"/>
      <c r="K6" s="88"/>
      <c r="L6" s="228"/>
      <c r="M6" s="228"/>
      <c r="N6" s="2441"/>
      <c r="O6" s="90"/>
      <c r="P6" s="344"/>
      <c r="Q6" s="344"/>
      <c r="R6" s="344"/>
      <c r="S6" s="769"/>
      <c r="T6" s="658"/>
      <c r="U6" s="658"/>
      <c r="V6" s="658"/>
      <c r="W6" s="658"/>
      <c r="X6" s="658"/>
      <c r="Y6" s="658"/>
      <c r="Z6" s="658"/>
      <c r="AA6" s="658"/>
      <c r="AB6" s="658"/>
    </row>
    <row r="7" spans="1:31" ht="13.5" customHeight="1">
      <c r="A7" s="1318">
        <f>IF(E7&lt;&gt;"",1,0)</f>
        <v>0</v>
      </c>
      <c r="B7" s="4734" t="s">
        <v>157</v>
      </c>
      <c r="C7" s="5455"/>
      <c r="D7" s="6117" t="s">
        <v>755</v>
      </c>
      <c r="E7" s="6118" t="str">
        <f>IF(NOT(L4),"",IF(you_over_64&lt;&gt;"","X",""))</f>
        <v/>
      </c>
      <c r="F7" s="4693" t="s">
        <v>1338</v>
      </c>
      <c r="G7" s="4693"/>
      <c r="H7" s="1560" t="str">
        <f>"January 2, "&amp;TaxYear-64</f>
        <v>January 2, 1961</v>
      </c>
      <c r="I7" s="88"/>
      <c r="J7" s="88"/>
      <c r="K7" s="88"/>
      <c r="L7" s="228"/>
      <c r="M7" s="228"/>
      <c r="N7" s="2441"/>
      <c r="O7" s="90"/>
      <c r="P7" s="344"/>
      <c r="Q7" s="344"/>
      <c r="R7" s="344"/>
      <c r="S7" s="769"/>
      <c r="T7" s="658"/>
      <c r="U7" s="658"/>
      <c r="V7" s="658"/>
      <c r="W7" s="658"/>
      <c r="X7" s="658"/>
      <c r="Y7" s="658"/>
      <c r="Z7" s="658"/>
      <c r="AA7" s="658"/>
      <c r="AB7" s="658"/>
    </row>
    <row r="8" spans="1:31" ht="7.5" customHeight="1">
      <c r="A8" s="512"/>
      <c r="B8" s="6110"/>
      <c r="C8" s="5455"/>
      <c r="D8" s="1560"/>
      <c r="E8" s="1560"/>
      <c r="F8" s="1560"/>
      <c r="G8" s="1560"/>
      <c r="H8" s="2700"/>
      <c r="I8" s="88"/>
      <c r="J8" s="88"/>
      <c r="K8" s="88"/>
      <c r="L8" s="228"/>
      <c r="M8" s="228"/>
      <c r="N8" s="2441"/>
      <c r="O8" s="90"/>
      <c r="P8" s="344"/>
      <c r="Q8" s="344"/>
      <c r="R8" s="344"/>
      <c r="S8" s="769"/>
      <c r="T8" s="658"/>
      <c r="U8" s="658"/>
      <c r="V8" s="658"/>
      <c r="W8" s="658"/>
      <c r="X8" s="658"/>
      <c r="Y8" s="658"/>
      <c r="Z8" s="658"/>
      <c r="AA8" s="658"/>
      <c r="AB8" s="658"/>
    </row>
    <row r="9" spans="1:31" ht="13.5" customHeight="1">
      <c r="A9" s="1318">
        <f>IF(E9&lt;&gt;"",1,0)</f>
        <v>0</v>
      </c>
      <c r="B9" s="6110"/>
      <c r="C9" s="5455"/>
      <c r="D9" s="1560"/>
      <c r="E9" s="6118" t="str">
        <f>IF(NOT(L4),"",IF(you_blind&lt;&gt;"","X",""))</f>
        <v/>
      </c>
      <c r="F9" s="4693" t="s">
        <v>1339</v>
      </c>
      <c r="G9" s="4693"/>
      <c r="H9" s="2700"/>
      <c r="I9" s="88"/>
      <c r="J9" s="1560" t="s">
        <v>1340</v>
      </c>
      <c r="K9" s="1560"/>
      <c r="L9" s="228"/>
      <c r="M9" s="228"/>
      <c r="N9" s="2441"/>
      <c r="O9" s="90"/>
      <c r="P9" s="344"/>
      <c r="Q9" s="344"/>
      <c r="R9" s="344"/>
      <c r="S9" s="769"/>
      <c r="T9" s="658"/>
      <c r="U9" s="658"/>
      <c r="V9" s="658"/>
      <c r="W9" s="658"/>
      <c r="X9" s="658"/>
      <c r="Y9" s="658"/>
      <c r="Z9" s="658"/>
      <c r="AA9" s="658"/>
      <c r="AB9" s="658"/>
    </row>
    <row r="10" spans="1:31" ht="13.5" customHeight="1">
      <c r="A10" s="512"/>
      <c r="B10" s="6110"/>
      <c r="C10" s="5455"/>
      <c r="D10" s="1560"/>
      <c r="E10" s="1560"/>
      <c r="F10" s="1560"/>
      <c r="G10" s="1560"/>
      <c r="H10" s="2700"/>
      <c r="I10" s="88"/>
      <c r="J10" s="88"/>
      <c r="K10" s="88"/>
      <c r="L10" s="228" t="s">
        <v>1341</v>
      </c>
      <c r="M10" s="2609" t="s">
        <v>157</v>
      </c>
      <c r="N10" s="6119" t="str">
        <f>IF(NOT(L4),"",IF(SUM(A7:A13)=0,0,SUM(A7:A13)))</f>
        <v/>
      </c>
      <c r="O10" s="90"/>
      <c r="P10" s="344"/>
      <c r="Q10" s="344"/>
      <c r="R10" s="344"/>
      <c r="S10" s="769"/>
      <c r="T10" s="658"/>
      <c r="U10" s="658"/>
      <c r="V10" s="658"/>
      <c r="W10" s="658"/>
      <c r="X10" s="658"/>
      <c r="Y10" s="658"/>
      <c r="Z10" s="658"/>
      <c r="AA10" s="658"/>
      <c r="AB10" s="658"/>
    </row>
    <row r="11" spans="1:31" ht="13.5" customHeight="1">
      <c r="A11" s="1318">
        <f>IF(E11&lt;&gt;"",1,0)</f>
        <v>0</v>
      </c>
      <c r="B11" s="4734"/>
      <c r="C11" s="5455"/>
      <c r="D11" s="1560"/>
      <c r="E11" s="6118" t="str">
        <f>IF(NOT(L4),"",IF(sp_over_64&lt;&gt;"","X",""))</f>
        <v/>
      </c>
      <c r="F11" s="4693" t="s">
        <v>1342</v>
      </c>
      <c r="G11" s="4693"/>
      <c r="H11" s="1560" t="str">
        <f>"January 2, "&amp;TaxYear-64</f>
        <v>January 2, 1961</v>
      </c>
      <c r="I11" s="88"/>
      <c r="J11" s="88"/>
      <c r="K11" s="88"/>
      <c r="L11" s="228"/>
      <c r="M11" s="228"/>
      <c r="N11" s="2441"/>
      <c r="O11" s="90"/>
      <c r="P11" s="344"/>
      <c r="Q11" s="344"/>
      <c r="R11" s="344"/>
      <c r="S11" s="769"/>
      <c r="T11" s="658"/>
      <c r="U11" s="658"/>
      <c r="V11" s="658"/>
      <c r="W11" s="658"/>
      <c r="X11" s="658"/>
      <c r="Y11" s="658"/>
      <c r="Z11" s="658"/>
      <c r="AA11" s="658"/>
      <c r="AB11" s="658"/>
    </row>
    <row r="12" spans="1:31" ht="7.5" customHeight="1">
      <c r="A12" s="512"/>
      <c r="B12" s="6110"/>
      <c r="C12" s="5455"/>
      <c r="D12" s="1560"/>
      <c r="E12" s="1560"/>
      <c r="F12" s="1560"/>
      <c r="G12" s="1560"/>
      <c r="H12" s="2700"/>
      <c r="I12" s="88"/>
      <c r="J12" s="88"/>
      <c r="K12" s="88"/>
      <c r="L12" s="228"/>
      <c r="M12" s="228"/>
      <c r="N12" s="2441"/>
      <c r="O12" s="90"/>
      <c r="P12" s="344"/>
      <c r="Q12" s="344"/>
      <c r="R12" s="344"/>
      <c r="S12" s="769"/>
      <c r="T12" s="658"/>
      <c r="U12" s="658"/>
      <c r="V12" s="658"/>
      <c r="W12" s="658"/>
      <c r="X12" s="658"/>
      <c r="Y12" s="658"/>
      <c r="Z12" s="658"/>
      <c r="AA12" s="658"/>
      <c r="AB12" s="658"/>
    </row>
    <row r="13" spans="1:31" ht="13.5" customHeight="1">
      <c r="A13" s="1318">
        <f>IF(E13&lt;&gt;"",1,0)</f>
        <v>0</v>
      </c>
      <c r="B13" s="6110"/>
      <c r="C13" s="5455"/>
      <c r="D13" s="1560"/>
      <c r="E13" s="6118" t="str">
        <f>IF(NOT(L4),"",IF(sp_blind&lt;&gt;"","X",""))</f>
        <v/>
      </c>
      <c r="F13" s="4693" t="s">
        <v>1343</v>
      </c>
      <c r="G13" s="4693"/>
      <c r="H13" s="2700"/>
      <c r="I13" s="88"/>
      <c r="J13" s="88"/>
      <c r="K13" s="88"/>
      <c r="L13" s="228"/>
      <c r="M13" s="228"/>
      <c r="N13" s="2441"/>
      <c r="O13" s="90"/>
      <c r="P13" s="344"/>
      <c r="Q13" s="810" t="s">
        <v>979</v>
      </c>
      <c r="R13" s="344"/>
      <c r="S13" s="769"/>
      <c r="T13" s="658"/>
      <c r="U13" s="658"/>
      <c r="V13" s="658"/>
      <c r="W13" s="658"/>
      <c r="X13" s="658"/>
      <c r="Y13" s="658"/>
      <c r="Z13" s="658"/>
      <c r="AA13" s="658"/>
      <c r="AB13" s="658"/>
    </row>
    <row r="14" spans="1:31" ht="13.5" customHeight="1">
      <c r="A14" s="344"/>
      <c r="B14" s="6120"/>
      <c r="C14" s="1560"/>
      <c r="D14" s="226"/>
      <c r="E14" s="1560"/>
      <c r="F14" s="2604"/>
      <c r="G14" s="2604"/>
      <c r="H14" s="2605"/>
      <c r="I14" s="2606"/>
      <c r="J14" s="2607"/>
      <c r="K14" s="2607"/>
      <c r="L14" s="2607"/>
      <c r="M14" s="2607"/>
      <c r="N14" s="2441"/>
      <c r="O14" s="90"/>
      <c r="P14" s="344"/>
      <c r="Q14" s="810" t="s">
        <v>771</v>
      </c>
      <c r="R14" s="344"/>
      <c r="S14" s="769"/>
      <c r="T14" s="658"/>
      <c r="U14" s="658"/>
      <c r="V14" s="658"/>
      <c r="W14" s="658"/>
      <c r="X14" s="658"/>
      <c r="Y14" s="658"/>
      <c r="Z14" s="658"/>
      <c r="AA14" s="658"/>
      <c r="AB14" s="658"/>
    </row>
    <row r="15" spans="1:31" ht="13.5" customHeight="1">
      <c r="A15" s="344"/>
      <c r="B15" s="6120"/>
      <c r="C15" s="1560"/>
      <c r="D15" s="226"/>
      <c r="E15" s="1560"/>
      <c r="F15" s="2604"/>
      <c r="G15" s="2604"/>
      <c r="H15" s="2605"/>
      <c r="I15" s="2606"/>
      <c r="J15" s="2607"/>
      <c r="K15" s="2607"/>
      <c r="L15" s="6121" t="s">
        <v>1344</v>
      </c>
      <c r="M15" s="2607"/>
      <c r="N15" s="6079" t="str">
        <f>IF(Q15&lt;&gt;"",ROUND(Q15,0),IF(NOT(L4),"",Earned_Income))</f>
        <v/>
      </c>
      <c r="O15" s="90"/>
      <c r="P15" s="344"/>
      <c r="Q15" s="1030"/>
      <c r="R15" s="344"/>
      <c r="S15" s="769"/>
      <c r="T15" s="658"/>
      <c r="U15" s="658"/>
      <c r="V15" s="658"/>
      <c r="W15" s="658"/>
      <c r="X15" s="658"/>
      <c r="Y15" s="658"/>
      <c r="Z15" s="658"/>
      <c r="AA15" s="658"/>
      <c r="AB15" s="658"/>
    </row>
    <row r="16" spans="1:31" ht="18.75" customHeight="1">
      <c r="A16" s="344"/>
      <c r="B16" s="4734" t="s">
        <v>161</v>
      </c>
      <c r="C16" s="220"/>
      <c r="D16" s="1560" t="s">
        <v>1345</v>
      </c>
      <c r="E16" s="1560"/>
      <c r="F16" s="1560"/>
      <c r="G16" s="1560" t="str">
        <f>"more than "&amp;TEXT(L16,"$0")&amp;"?"</f>
        <v>more than $900?</v>
      </c>
      <c r="H16" s="2605"/>
      <c r="I16" s="2607">
        <v>1350</v>
      </c>
      <c r="J16" s="2607"/>
      <c r="K16" s="2607"/>
      <c r="L16" s="2441">
        <v>900</v>
      </c>
      <c r="M16" s="2441"/>
      <c r="N16" s="2689"/>
      <c r="O16" s="90"/>
      <c r="P16" s="344"/>
      <c r="Q16" s="344"/>
      <c r="R16" s="344"/>
      <c r="S16" s="769"/>
      <c r="T16" s="658"/>
      <c r="U16" s="658"/>
      <c r="V16" s="658"/>
      <c r="W16" s="658"/>
      <c r="X16" s="658"/>
      <c r="Y16" s="658"/>
      <c r="Z16" s="658"/>
      <c r="AA16" s="658"/>
      <c r="AB16" s="658"/>
    </row>
    <row r="17" spans="1:28" ht="6.75" customHeight="1">
      <c r="A17" s="344"/>
      <c r="B17" s="4734"/>
      <c r="C17" s="220"/>
      <c r="D17" s="1560"/>
      <c r="E17" s="1560"/>
      <c r="F17" s="1560"/>
      <c r="G17" s="1560"/>
      <c r="H17" s="2605"/>
      <c r="I17" s="2607"/>
      <c r="J17" s="2607"/>
      <c r="K17" s="2607"/>
      <c r="L17" s="2441"/>
      <c r="M17" s="2441"/>
      <c r="N17" s="2441"/>
      <c r="O17" s="90"/>
      <c r="P17" s="344"/>
      <c r="Q17" s="344"/>
      <c r="R17" s="344"/>
      <c r="S17" s="769"/>
      <c r="T17" s="658"/>
      <c r="U17" s="658"/>
      <c r="V17" s="658"/>
      <c r="W17" s="658"/>
      <c r="X17" s="658"/>
      <c r="Y17" s="658"/>
      <c r="Z17" s="658"/>
      <c r="AA17" s="658"/>
      <c r="AB17" s="658"/>
    </row>
    <row r="18" spans="1:28" ht="13.5" customHeight="1">
      <c r="A18" s="344"/>
      <c r="B18" s="4734"/>
      <c r="C18" s="6118" t="str">
        <f>IF(NOT(L4),"",IF(N15&gt;L16,"X",""))</f>
        <v/>
      </c>
      <c r="D18" s="228" t="s">
        <v>938</v>
      </c>
      <c r="E18" s="88" t="str">
        <f>"Add "&amp;TEXT(I18,"$0")&amp;" to your earned income. Enter the total"</f>
        <v>Add $450 to your earned income. Enter the total</v>
      </c>
      <c r="F18" s="88"/>
      <c r="G18" s="88"/>
      <c r="H18" s="88"/>
      <c r="I18" s="2607">
        <v>450</v>
      </c>
      <c r="J18" s="2607"/>
      <c r="K18" s="2607"/>
      <c r="L18" s="2441"/>
      <c r="M18" s="2441"/>
      <c r="N18" s="2441"/>
      <c r="O18" s="90"/>
      <c r="P18" s="344"/>
      <c r="Q18" s="344"/>
      <c r="R18" s="344"/>
      <c r="S18" s="769"/>
      <c r="T18" s="658"/>
      <c r="U18" s="658"/>
      <c r="V18" s="658"/>
      <c r="W18" s="658"/>
      <c r="X18" s="658"/>
      <c r="Y18" s="658"/>
      <c r="Z18" s="658"/>
      <c r="AA18" s="658"/>
      <c r="AB18" s="658"/>
    </row>
    <row r="19" spans="1:28" ht="8.25" customHeight="1">
      <c r="A19" s="344"/>
      <c r="B19" s="4734"/>
      <c r="C19" s="228"/>
      <c r="D19" s="228"/>
      <c r="E19" s="88"/>
      <c r="F19" s="88"/>
      <c r="G19" s="88"/>
      <c r="H19" s="88"/>
      <c r="I19" s="2607"/>
      <c r="J19" s="2607"/>
      <c r="K19" s="2607"/>
      <c r="L19" s="2441"/>
      <c r="M19" s="2441"/>
      <c r="N19" s="2441"/>
      <c r="O19" s="90"/>
      <c r="P19" s="344"/>
      <c r="Q19" s="344"/>
      <c r="R19" s="344"/>
      <c r="S19" s="769"/>
      <c r="T19" s="658"/>
      <c r="U19" s="658"/>
      <c r="V19" s="658"/>
      <c r="W19" s="658"/>
      <c r="X19" s="658"/>
      <c r="Y19" s="658"/>
      <c r="Z19" s="658"/>
      <c r="AA19" s="658"/>
      <c r="AB19" s="658"/>
    </row>
    <row r="20" spans="1:28" ht="13.5" customHeight="1">
      <c r="A20" s="344"/>
      <c r="B20" s="4734"/>
      <c r="C20" s="6118" t="str">
        <f>IF(NOT(L4),"",IF(N15&gt;L16,"","X"))</f>
        <v/>
      </c>
      <c r="D20" s="228" t="s">
        <v>936</v>
      </c>
      <c r="E20" s="88" t="str">
        <f>"Enter "&amp;TEXT(I16,"$0,000")</f>
        <v>Enter $1,350</v>
      </c>
      <c r="F20" s="88"/>
      <c r="G20" s="88"/>
      <c r="H20" s="88"/>
      <c r="I20" s="6122"/>
      <c r="J20" s="2715"/>
      <c r="K20" s="2715"/>
      <c r="L20" s="2715"/>
      <c r="M20" s="6123" t="str">
        <f>" .   .   .   .   .   .   .   .   .   .   .   .   .   .   2."</f>
        <v xml:space="preserve"> .   .   .   .   .   .   .   .   .   .   .   .   .   .   2.</v>
      </c>
      <c r="N20" s="6124" t="str">
        <f>IF(NOT(L4),"",IF(C18="X",SUM(I18,N15),I16))</f>
        <v/>
      </c>
      <c r="O20" s="90"/>
      <c r="P20" s="344"/>
      <c r="Q20" s="344"/>
      <c r="R20" s="344"/>
      <c r="S20" s="769"/>
      <c r="T20" s="658"/>
      <c r="U20" s="658"/>
      <c r="V20" s="658"/>
      <c r="W20" s="658"/>
      <c r="X20" s="658"/>
      <c r="Y20" s="658"/>
      <c r="Z20" s="658"/>
      <c r="AA20" s="658"/>
      <c r="AB20" s="658"/>
    </row>
    <row r="21" spans="1:28" ht="13.5" customHeight="1">
      <c r="A21" s="344"/>
      <c r="B21" s="4734"/>
      <c r="C21" s="220"/>
      <c r="D21" s="1560"/>
      <c r="E21" s="1560"/>
      <c r="F21" s="1560"/>
      <c r="G21" s="1560"/>
      <c r="H21" s="2605"/>
      <c r="I21" s="2607"/>
      <c r="J21" s="2607"/>
      <c r="K21" s="2607"/>
      <c r="L21" s="2441"/>
      <c r="M21" s="88"/>
      <c r="N21" s="2441"/>
      <c r="O21" s="90"/>
      <c r="P21" s="344"/>
      <c r="Q21" s="344"/>
      <c r="R21" s="344"/>
      <c r="S21" s="769"/>
      <c r="T21" s="658"/>
      <c r="U21" s="658"/>
      <c r="V21" s="658"/>
      <c r="W21" s="658"/>
      <c r="X21" s="658"/>
      <c r="Y21" s="658"/>
      <c r="Z21" s="658"/>
      <c r="AA21" s="658"/>
      <c r="AB21" s="658"/>
    </row>
    <row r="22" spans="1:28" ht="13.5" customHeight="1">
      <c r="A22" s="344"/>
      <c r="B22" s="4734" t="s">
        <v>167</v>
      </c>
      <c r="C22" s="220"/>
      <c r="D22" s="88" t="s">
        <v>1046</v>
      </c>
      <c r="E22" s="88"/>
      <c r="F22" s="88"/>
      <c r="G22" s="88"/>
      <c r="H22" s="88"/>
      <c r="I22" s="2441"/>
      <c r="J22" s="2608"/>
      <c r="K22" s="2608"/>
      <c r="L22" s="2441"/>
      <c r="M22" s="6123"/>
      <c r="N22" s="2689"/>
      <c r="O22" s="90"/>
      <c r="P22" s="344"/>
      <c r="Q22" s="344"/>
      <c r="R22" s="344"/>
      <c r="S22" s="769"/>
      <c r="T22" s="658"/>
      <c r="U22" s="658"/>
      <c r="V22" s="658"/>
      <c r="W22" s="658"/>
      <c r="X22" s="658"/>
      <c r="Y22" s="658"/>
      <c r="Z22" s="658"/>
      <c r="AA22" s="658"/>
      <c r="AB22" s="658"/>
    </row>
    <row r="23" spans="1:28" ht="13.5" customHeight="1">
      <c r="A23" s="344"/>
      <c r="B23" s="6110"/>
      <c r="C23" s="88"/>
      <c r="D23" s="6125" t="str">
        <f>"•  Single or married filing separately -- "&amp;TEXT(SD_Single,"$0,000")</f>
        <v>•  Single or married filing separately -- $15,750</v>
      </c>
      <c r="E23" s="88"/>
      <c r="F23" s="88"/>
      <c r="G23" s="88"/>
      <c r="H23" s="6126"/>
      <c r="I23" s="6126"/>
      <c r="J23" s="6126"/>
      <c r="K23" s="6126"/>
      <c r="L23" s="2441"/>
      <c r="M23" s="2689"/>
      <c r="N23" s="88"/>
      <c r="O23" s="90"/>
      <c r="P23" s="344"/>
      <c r="Q23" s="344"/>
      <c r="R23" s="344"/>
      <c r="S23" s="769"/>
      <c r="T23" s="658"/>
      <c r="U23" s="658"/>
      <c r="V23" s="658"/>
      <c r="W23" s="658"/>
      <c r="X23" s="658"/>
      <c r="Y23" s="658"/>
      <c r="Z23" s="658"/>
      <c r="AA23" s="658"/>
      <c r="AB23" s="658"/>
    </row>
    <row r="24" spans="1:28" ht="13.5" customHeight="1">
      <c r="A24" s="1061"/>
      <c r="B24" s="6110"/>
      <c r="C24" s="88"/>
      <c r="D24" s="88" t="str">
        <f>"•  Married filing jointly or qualifying widow(er) -- "&amp;TEXT(SD_MFJW,"$0,000")</f>
        <v>•  Married filing jointly or qualifying widow(er) -- $31,500</v>
      </c>
      <c r="E24" s="88"/>
      <c r="F24" s="88"/>
      <c r="G24" s="88"/>
      <c r="H24" s="88"/>
      <c r="I24" s="88"/>
      <c r="J24" s="88"/>
      <c r="K24" s="88"/>
      <c r="L24" s="2689"/>
      <c r="M24" s="6123" t="str">
        <f>" .   .   .   .   .   .   .   .   .   .   .   .   .   .   3."</f>
        <v xml:space="preserve"> .   .   .   .   .   .   .   .   .   .   .   .   .   .   3.</v>
      </c>
      <c r="N24" s="6124" t="str">
        <f>IF(NOT(L4),"",IF(OR(File_Single&lt;&gt;"",File_Marr_Sep&lt;&gt;""),SD_Single,IF(OR(File_Marr_Joint&lt;&gt;"",File_Qual_Widow&lt;&gt;""),SD_MFJW,IF(File_Head&lt;&gt;"",SD_Head,""))))</f>
        <v/>
      </c>
      <c r="O24" s="90"/>
      <c r="P24" s="344"/>
      <c r="Q24" s="344"/>
      <c r="R24" s="344"/>
      <c r="S24" s="769"/>
      <c r="T24" s="658"/>
      <c r="U24" s="658"/>
      <c r="V24" s="658"/>
      <c r="W24" s="658"/>
      <c r="X24" s="658"/>
      <c r="Y24" s="658"/>
      <c r="Z24" s="658"/>
      <c r="AA24" s="658"/>
      <c r="AB24" s="658"/>
    </row>
    <row r="25" spans="1:28" ht="13.5" customHeight="1">
      <c r="A25" s="1061"/>
      <c r="B25" s="6110"/>
      <c r="C25" s="88"/>
      <c r="D25" s="88" t="str">
        <f>"•  Head of household -- "&amp;TEXT(SD_Head,"$0,000")</f>
        <v>•  Head of household -- $23,625</v>
      </c>
      <c r="E25" s="88"/>
      <c r="F25" s="88"/>
      <c r="G25" s="88"/>
      <c r="H25" s="88"/>
      <c r="I25" s="88"/>
      <c r="J25" s="88"/>
      <c r="K25" s="88"/>
      <c r="L25" s="2689"/>
      <c r="M25" s="2689"/>
      <c r="N25" s="88"/>
      <c r="O25" s="90"/>
      <c r="P25" s="344"/>
      <c r="Q25" s="344"/>
      <c r="R25" s="344"/>
      <c r="S25" s="769"/>
      <c r="T25" s="658"/>
      <c r="U25" s="658"/>
      <c r="V25" s="658"/>
      <c r="W25" s="658"/>
      <c r="X25" s="658"/>
      <c r="Y25" s="658"/>
      <c r="Z25" s="658"/>
      <c r="AA25" s="658"/>
      <c r="AB25" s="658"/>
    </row>
    <row r="26" spans="1:28" ht="13.5" customHeight="1">
      <c r="A26" s="1061"/>
      <c r="B26" s="6110"/>
      <c r="C26" s="88"/>
      <c r="D26" s="88"/>
      <c r="E26" s="88"/>
      <c r="F26" s="88"/>
      <c r="G26" s="88"/>
      <c r="H26" s="88"/>
      <c r="I26" s="88"/>
      <c r="J26" s="88"/>
      <c r="K26" s="88"/>
      <c r="L26" s="2689"/>
      <c r="M26" s="2689"/>
      <c r="N26" s="88"/>
      <c r="O26" s="90"/>
      <c r="P26" s="344"/>
      <c r="Q26" s="344"/>
      <c r="R26" s="344"/>
      <c r="S26" s="769"/>
      <c r="T26" s="658"/>
      <c r="U26" s="658"/>
      <c r="V26" s="658"/>
      <c r="W26" s="658"/>
      <c r="X26" s="658"/>
      <c r="Y26" s="658"/>
      <c r="Z26" s="658"/>
      <c r="AA26" s="658"/>
      <c r="AB26" s="658"/>
    </row>
    <row r="27" spans="1:28" ht="13.5" customHeight="1">
      <c r="A27" s="1061"/>
      <c r="B27" s="4734" t="s">
        <v>171</v>
      </c>
      <c r="C27" s="220"/>
      <c r="D27" s="226" t="s">
        <v>1346</v>
      </c>
      <c r="E27" s="88"/>
      <c r="F27" s="88"/>
      <c r="G27" s="88"/>
      <c r="H27" s="88"/>
      <c r="I27" s="88"/>
      <c r="J27" s="88"/>
      <c r="K27" s="88"/>
      <c r="L27" s="2689"/>
      <c r="M27" s="2689"/>
      <c r="N27" s="729"/>
      <c r="O27" s="90"/>
      <c r="P27" s="344"/>
      <c r="Q27" s="344"/>
      <c r="R27" s="344"/>
      <c r="S27" s="769"/>
      <c r="T27" s="658"/>
      <c r="U27" s="658"/>
      <c r="V27" s="658"/>
      <c r="W27" s="658"/>
      <c r="X27" s="658"/>
      <c r="Y27" s="658"/>
      <c r="Z27" s="658"/>
      <c r="AA27" s="658"/>
      <c r="AB27" s="658"/>
    </row>
    <row r="28" spans="1:28" ht="15.75" customHeight="1">
      <c r="A28" s="1061"/>
      <c r="B28" s="4734"/>
      <c r="C28" s="2608" t="s">
        <v>1214</v>
      </c>
      <c r="D28" s="1560" t="s">
        <v>5059</v>
      </c>
      <c r="E28" s="88"/>
      <c r="F28" s="88"/>
      <c r="G28" s="88"/>
      <c r="H28" s="2052" t="s">
        <v>5060</v>
      </c>
      <c r="I28" s="6127" t="str">
        <f>TaxYear-64&amp;" and not blind,"</f>
        <v>1961 and not blind,</v>
      </c>
      <c r="J28" s="6127"/>
      <c r="K28" s="6127" t="s">
        <v>1347</v>
      </c>
      <c r="L28" s="6127"/>
      <c r="M28" s="2689"/>
      <c r="N28" s="729"/>
      <c r="O28" s="90"/>
      <c r="P28" s="344"/>
      <c r="Q28" s="344"/>
      <c r="R28" s="344"/>
      <c r="S28" s="769"/>
      <c r="T28" s="658"/>
      <c r="U28" s="658"/>
      <c r="V28" s="658"/>
      <c r="W28" s="658"/>
      <c r="X28" s="658"/>
      <c r="Y28" s="658"/>
      <c r="Z28" s="658"/>
      <c r="AA28" s="658"/>
      <c r="AB28" s="658"/>
    </row>
    <row r="29" spans="1:28" ht="13.5" customHeight="1">
      <c r="A29" s="1061"/>
      <c r="B29" s="4734"/>
      <c r="C29" s="220"/>
      <c r="D29" s="1560" t="s">
        <v>5956</v>
      </c>
      <c r="E29" s="88"/>
      <c r="F29" s="88"/>
      <c r="G29" s="88"/>
      <c r="H29" s="88"/>
      <c r="I29" s="88"/>
      <c r="J29" s="88"/>
      <c r="K29" s="88"/>
      <c r="L29" s="6123" t="s">
        <v>874</v>
      </c>
      <c r="M29" s="6123" t="s">
        <v>1348</v>
      </c>
      <c r="N29" s="6124" t="str">
        <f>IF(NOT(L4),"",MIN(N20,N24))</f>
        <v/>
      </c>
      <c r="O29" s="90"/>
      <c r="P29" s="344"/>
      <c r="Q29" s="344"/>
      <c r="R29" s="344"/>
      <c r="S29" s="769"/>
      <c r="T29" s="658"/>
      <c r="U29" s="658"/>
      <c r="V29" s="658"/>
      <c r="W29" s="658"/>
      <c r="X29" s="658"/>
      <c r="Y29" s="658"/>
      <c r="Z29" s="658"/>
      <c r="AA29" s="658"/>
      <c r="AB29" s="658"/>
    </row>
    <row r="30" spans="1:28" ht="13.5" customHeight="1">
      <c r="A30" s="344"/>
      <c r="B30" s="4734"/>
      <c r="C30" s="2608" t="s">
        <v>1181</v>
      </c>
      <c r="D30" s="1560" t="str">
        <f>"If born before January 2, "&amp;TaxYear-64&amp;", or blind, multiply the number on line 1 by "&amp;TEXT(L30,"$0,000")</f>
        <v>If born before January 2, 1961, or blind, multiply the number on line 1 by $1,600</v>
      </c>
      <c r="E30" s="88"/>
      <c r="F30" s="88"/>
      <c r="G30" s="88"/>
      <c r="H30" s="88"/>
      <c r="I30" s="88"/>
      <c r="J30" s="88"/>
      <c r="K30" s="88"/>
      <c r="L30" s="2651">
        <f>SD_Inc_Married</f>
        <v>1600</v>
      </c>
      <c r="M30" s="2468"/>
      <c r="N30" s="441">
        <f>SD_Inc_Single</f>
        <v>2000</v>
      </c>
      <c r="O30" s="90"/>
      <c r="P30" s="344"/>
      <c r="Q30" s="344"/>
      <c r="R30" s="344"/>
      <c r="S30" s="769"/>
      <c r="T30" s="658"/>
      <c r="U30" s="658"/>
      <c r="V30" s="658"/>
      <c r="W30" s="658"/>
      <c r="X30" s="658"/>
      <c r="Y30" s="658"/>
      <c r="Z30" s="658"/>
      <c r="AA30" s="658"/>
      <c r="AB30" s="658"/>
    </row>
    <row r="31" spans="1:28" ht="13.5" customHeight="1">
      <c r="A31" s="253"/>
      <c r="B31" s="4734"/>
      <c r="C31" s="220"/>
      <c r="D31" s="1560" t="str">
        <f>"("&amp;TEXT(N30,"$0,000")&amp;" if single or head of household)"</f>
        <v>($2,000 if single or head of household)</v>
      </c>
      <c r="E31" s="88"/>
      <c r="F31" s="88"/>
      <c r="G31" s="88"/>
      <c r="H31" s="88"/>
      <c r="I31" s="88"/>
      <c r="J31" s="88"/>
      <c r="K31" s="88"/>
      <c r="L31" s="2689"/>
      <c r="M31" s="6123" t="s">
        <v>1349</v>
      </c>
      <c r="N31" s="6124" t="str">
        <f>IF(OR(NOT(L4),AND(you_over_64="",sp_over_64="",you_blind="",sp_blind="")),"",IF(OR(File_Single&lt;&gt;"",File_Head&lt;&gt;""),N10*N30,N10*L30))</f>
        <v/>
      </c>
      <c r="O31" s="90"/>
      <c r="P31" s="344"/>
      <c r="Q31" s="344"/>
      <c r="R31" s="344"/>
      <c r="S31" s="769"/>
      <c r="T31" s="658"/>
      <c r="U31" s="658"/>
      <c r="V31" s="658"/>
      <c r="W31" s="658"/>
      <c r="X31" s="658"/>
      <c r="Y31" s="658"/>
      <c r="Z31" s="658"/>
      <c r="AA31" s="658"/>
      <c r="AB31" s="658"/>
    </row>
    <row r="32" spans="1:28" ht="13.5" customHeight="1">
      <c r="A32" s="253"/>
      <c r="B32" s="4734"/>
      <c r="C32" s="2715" t="s">
        <v>1196</v>
      </c>
      <c r="D32" s="1560" t="s">
        <v>5958</v>
      </c>
      <c r="E32" s="88"/>
      <c r="F32" s="88"/>
      <c r="G32" s="88"/>
      <c r="H32" s="88"/>
      <c r="I32" s="88"/>
      <c r="J32" s="88"/>
      <c r="K32" s="88"/>
      <c r="L32" s="88"/>
      <c r="M32" s="6123" t="s">
        <v>1350</v>
      </c>
      <c r="N32" s="6124" t="str">
        <f>IF(NOT(L4),"",SUM(N29,N31))</f>
        <v/>
      </c>
      <c r="O32" s="90"/>
      <c r="P32" s="344"/>
      <c r="Q32" s="344"/>
      <c r="R32" s="344"/>
      <c r="S32" s="769"/>
      <c r="T32" s="658"/>
      <c r="U32" s="658"/>
      <c r="V32" s="658"/>
      <c r="W32" s="658"/>
      <c r="X32" s="658"/>
      <c r="Y32" s="658"/>
      <c r="Z32" s="658"/>
      <c r="AA32" s="658"/>
      <c r="AB32" s="658"/>
    </row>
    <row r="33" spans="1:28" ht="13.5" customHeight="1">
      <c r="A33" s="253"/>
      <c r="B33" s="4734"/>
      <c r="C33" s="1560"/>
      <c r="D33" s="1560"/>
      <c r="E33" s="88"/>
      <c r="F33" s="88"/>
      <c r="G33" s="88"/>
      <c r="H33" s="88"/>
      <c r="I33" s="88"/>
      <c r="J33" s="88"/>
      <c r="K33" s="88"/>
      <c r="L33" s="88"/>
      <c r="M33" s="2715"/>
      <c r="N33" s="2689"/>
      <c r="O33" s="90"/>
      <c r="P33" s="344"/>
      <c r="Q33" s="344"/>
      <c r="R33" s="344"/>
      <c r="S33" s="769"/>
      <c r="T33" s="658"/>
      <c r="U33" s="658"/>
      <c r="V33" s="658"/>
      <c r="W33" s="658"/>
      <c r="X33" s="658"/>
      <c r="Y33" s="658"/>
      <c r="Z33" s="658"/>
      <c r="AA33" s="658"/>
      <c r="AB33" s="658"/>
    </row>
    <row r="34" spans="1:28" ht="13.5" customHeight="1">
      <c r="A34" s="253"/>
      <c r="B34" s="6128" t="s">
        <v>1351</v>
      </c>
      <c r="C34" s="220"/>
      <c r="D34" s="88"/>
      <c r="E34" s="88"/>
      <c r="F34" s="88"/>
      <c r="G34" s="88"/>
      <c r="H34" s="88"/>
      <c r="I34" s="88"/>
      <c r="J34" s="88"/>
      <c r="K34" s="88"/>
      <c r="L34" s="88"/>
      <c r="M34" s="88"/>
      <c r="N34" s="88"/>
      <c r="O34" s="90"/>
      <c r="P34" s="344"/>
      <c r="Q34" s="344"/>
      <c r="R34" s="344"/>
      <c r="S34" s="769"/>
      <c r="T34" s="658"/>
      <c r="U34" s="658"/>
      <c r="V34" s="658"/>
      <c r="W34" s="658"/>
      <c r="X34" s="658"/>
      <c r="Y34" s="658"/>
      <c r="Z34" s="658"/>
      <c r="AA34" s="658"/>
      <c r="AB34" s="658"/>
    </row>
    <row r="35" spans="1:28" ht="13.5" customHeight="1">
      <c r="A35" s="253"/>
      <c r="B35" s="6129" t="s">
        <v>1352</v>
      </c>
      <c r="C35" s="220"/>
      <c r="D35" s="88"/>
      <c r="E35" s="88"/>
      <c r="F35" s="88"/>
      <c r="G35" s="88"/>
      <c r="H35" s="88"/>
      <c r="I35" s="88"/>
      <c r="J35" s="88"/>
      <c r="K35" s="88"/>
      <c r="L35" s="88"/>
      <c r="M35" s="88"/>
      <c r="N35" s="88"/>
      <c r="O35" s="90"/>
      <c r="P35" s="344"/>
      <c r="Q35" s="344"/>
      <c r="R35" s="344"/>
      <c r="S35" s="769"/>
      <c r="T35" s="658"/>
      <c r="U35" s="658"/>
      <c r="V35" s="658"/>
      <c r="W35" s="658"/>
      <c r="X35" s="658"/>
      <c r="Y35" s="658"/>
      <c r="Z35" s="658"/>
      <c r="AA35" s="658"/>
      <c r="AB35" s="658"/>
    </row>
    <row r="36" spans="1:28" ht="16.5" customHeight="1">
      <c r="A36" s="253"/>
      <c r="B36" s="6130" t="s">
        <v>1353</v>
      </c>
      <c r="C36" s="88"/>
      <c r="D36" s="88"/>
      <c r="E36" s="88"/>
      <c r="F36" s="88"/>
      <c r="G36" s="88"/>
      <c r="H36" s="88"/>
      <c r="I36" s="88"/>
      <c r="J36" s="88"/>
      <c r="K36" s="88"/>
      <c r="L36" s="88"/>
      <c r="M36" s="2449" t="s">
        <v>5959</v>
      </c>
      <c r="N36" s="6099">
        <f>SUM(F1040_Line1z,BusinessIncomeLoss,FarmIncomeLoss,'Sch. 1'!W43,'Sch. 1'!W47,'Sch. 1'!W48,-SE_Deduct)</f>
        <v>0</v>
      </c>
      <c r="O36" s="90"/>
      <c r="P36" s="344"/>
      <c r="Q36" s="344"/>
      <c r="R36" s="344"/>
      <c r="S36" s="769"/>
      <c r="T36" s="658"/>
      <c r="U36" s="658"/>
      <c r="V36" s="658"/>
      <c r="W36" s="658"/>
      <c r="X36" s="658"/>
      <c r="Y36" s="658"/>
      <c r="Z36" s="658"/>
      <c r="AA36" s="658"/>
      <c r="AB36" s="658"/>
    </row>
    <row r="37" spans="1:28" ht="16.5" customHeight="1" thickBot="1">
      <c r="A37" s="253"/>
      <c r="B37" s="6131" t="s">
        <v>1354</v>
      </c>
      <c r="C37" s="91"/>
      <c r="D37" s="91"/>
      <c r="E37" s="91"/>
      <c r="F37" s="91"/>
      <c r="G37" s="91"/>
      <c r="H37" s="91"/>
      <c r="I37" s="91"/>
      <c r="J37" s="91"/>
      <c r="K37" s="91"/>
      <c r="L37" s="91"/>
      <c r="M37" s="6133" t="s">
        <v>5959</v>
      </c>
      <c r="N37" s="6132">
        <f>IF(Earned_Income="",0,Earned_Income)</f>
        <v>0</v>
      </c>
      <c r="O37" s="2490"/>
      <c r="P37" s="344"/>
      <c r="Q37" s="344"/>
      <c r="R37" s="344"/>
      <c r="S37" s="769"/>
      <c r="T37" s="658"/>
      <c r="U37" s="658"/>
      <c r="V37" s="658"/>
      <c r="W37" s="658"/>
      <c r="X37" s="658"/>
      <c r="Y37" s="658"/>
      <c r="Z37" s="658"/>
      <c r="AA37" s="658"/>
      <c r="AB37" s="658"/>
    </row>
    <row r="38" spans="1:28" ht="13.5" customHeight="1">
      <c r="A38" s="253"/>
      <c r="B38" s="377"/>
      <c r="C38" s="377"/>
      <c r="D38" s="377"/>
      <c r="E38" s="377"/>
      <c r="F38" s="377"/>
      <c r="G38" s="377"/>
      <c r="H38" s="377"/>
      <c r="I38" s="377"/>
      <c r="J38" s="377"/>
      <c r="K38" s="377"/>
      <c r="L38" s="377"/>
      <c r="M38" s="377"/>
      <c r="N38" s="377"/>
      <c r="O38" s="377"/>
      <c r="P38" s="344"/>
      <c r="Q38" s="344"/>
      <c r="R38" s="344"/>
      <c r="S38" s="945"/>
      <c r="T38" s="946"/>
      <c r="U38" s="946"/>
      <c r="V38" s="946"/>
      <c r="W38" s="946"/>
      <c r="X38" s="946"/>
      <c r="Y38" s="946"/>
      <c r="Z38" s="946"/>
      <c r="AA38" s="946"/>
      <c r="AB38" s="946"/>
    </row>
    <row r="42" spans="1:28">
      <c r="H42" s="329"/>
    </row>
  </sheetData>
  <sheetProtection algorithmName="SHA-512" hashValue="SBR6BHYfOPmCa2weyYuOm0nvBG5rDOYsuxafEAU6SYeZ/IxUqhAEjrhb37+3X084aNFztqpNkz74FVxgyH/Eyg==" saltValue="LQPyXNQAVhepihy7JCtAgg==" spinCount="100000" sheet="1" objects="1" scenarios="1" formatCells="0" formatColumns="0" formatRows="0"/>
  <mergeCells count="1">
    <mergeCell ref="M1:O1"/>
  </mergeCells>
  <conditionalFormatting sqref="C5">
    <cfRule type="expression" dxfId="3245" priority="1">
      <formula>AND(NOT(NoColor),NOT($L$4))</formula>
    </cfRule>
  </conditionalFormatting>
  <conditionalFormatting sqref="C18 C20">
    <cfRule type="expression" dxfId="3244" priority="40">
      <formula>IF(NoColor,1,0)</formula>
    </cfRule>
  </conditionalFormatting>
  <conditionalFormatting sqref="E7">
    <cfRule type="expression" dxfId="3243" priority="6">
      <formula>IF(NoColor,1,0)</formula>
    </cfRule>
  </conditionalFormatting>
  <conditionalFormatting sqref="E9">
    <cfRule type="expression" dxfId="3242" priority="4">
      <formula>IF(NoColor,1,0)</formula>
    </cfRule>
  </conditionalFormatting>
  <conditionalFormatting sqref="E11">
    <cfRule type="expression" dxfId="3241" priority="5">
      <formula>IF(NoColor,1,0)</formula>
    </cfRule>
  </conditionalFormatting>
  <conditionalFormatting sqref="E13">
    <cfRule type="expression" dxfId="3240" priority="3">
      <formula>IF(NoColor,1,0)</formula>
    </cfRule>
  </conditionalFormatting>
  <conditionalFormatting sqref="N10">
    <cfRule type="expression" dxfId="3239" priority="2">
      <formula>IF(NoColor,1,0)</formula>
    </cfRule>
  </conditionalFormatting>
  <conditionalFormatting sqref="N20">
    <cfRule type="expression" dxfId="3238" priority="39">
      <formula>IF(NoColor,1,0)</formula>
    </cfRule>
  </conditionalFormatting>
  <conditionalFormatting sqref="N24">
    <cfRule type="expression" dxfId="3237" priority="38">
      <formula>IF(NoColor,1,0)</formula>
    </cfRule>
  </conditionalFormatting>
  <conditionalFormatting sqref="N29">
    <cfRule type="expression" dxfId="3236" priority="37">
      <formula>IF(NoColor,1,0)</formula>
    </cfRule>
  </conditionalFormatting>
  <conditionalFormatting sqref="N31:N32">
    <cfRule type="expression" dxfId="3235" priority="35">
      <formula>IF(NoColor,1,0)</formula>
    </cfRule>
  </conditionalFormatting>
  <pageMargins left="0.75" right="0.25" top="0.36" bottom="0.28999999999999998" header="0.36" footer="0.21"/>
  <pageSetup scale="84" fitToHeight="0"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A1:AM173"/>
  <sheetViews>
    <sheetView zoomScaleNormal="100" zoomScaleSheetLayoutView="100" workbookViewId="0"/>
  </sheetViews>
  <sheetFormatPr defaultColWidth="9.140625" defaultRowHeight="12.75"/>
  <cols>
    <col min="1" max="1" width="2.5703125" customWidth="1"/>
    <col min="2" max="2" width="1.7109375" customWidth="1"/>
    <col min="3" max="3" width="3" customWidth="1"/>
    <col min="4" max="4" width="2.28515625" customWidth="1"/>
    <col min="5" max="5" width="6" customWidth="1"/>
    <col min="6" max="6" width="9" customWidth="1"/>
    <col min="7" max="7" width="4" customWidth="1"/>
    <col min="8" max="8" width="31.140625" customWidth="1"/>
    <col min="9" max="9" width="4" customWidth="1"/>
    <col min="10" max="10" width="15.7109375" customWidth="1"/>
    <col min="11" max="11" width="4" customWidth="1"/>
    <col min="12" max="12" width="15.7109375" customWidth="1"/>
    <col min="13" max="13" width="4" customWidth="1"/>
    <col min="14" max="14" width="15" customWidth="1"/>
    <col min="15" max="15" width="1.85546875" customWidth="1"/>
    <col min="16" max="17" width="2.28515625" customWidth="1"/>
    <col min="18" max="18" width="13.85546875" customWidth="1"/>
    <col min="19" max="19" width="3" customWidth="1"/>
    <col min="20" max="20" width="3.42578125" customWidth="1"/>
    <col min="21" max="26" width="11.85546875" hidden="1" customWidth="1"/>
    <col min="27" max="27" width="11.42578125" hidden="1" customWidth="1"/>
    <col min="28" max="28" width="3.42578125" customWidth="1"/>
    <col min="29" max="30" width="10.7109375" style="658" customWidth="1"/>
    <col min="31" max="31" width="14.42578125" style="658" customWidth="1"/>
    <col min="32" max="39" width="10.7109375" style="658" customWidth="1"/>
    <col min="40" max="46" width="10.7109375" customWidth="1"/>
  </cols>
  <sheetData>
    <row r="1" spans="1:29" ht="19.5" customHeight="1">
      <c r="A1" s="139"/>
      <c r="B1" s="139"/>
      <c r="C1" s="139"/>
      <c r="D1" s="139"/>
      <c r="E1" s="139"/>
      <c r="F1" s="139"/>
      <c r="G1" s="139"/>
      <c r="H1" s="139"/>
      <c r="I1" s="139"/>
      <c r="J1" s="2507"/>
      <c r="K1" s="2507"/>
      <c r="L1" s="139"/>
      <c r="M1" s="139"/>
      <c r="N1" s="139"/>
      <c r="O1" s="139"/>
      <c r="P1" s="139"/>
      <c r="Q1" s="148"/>
      <c r="R1" s="6282"/>
      <c r="S1" s="148"/>
      <c r="V1" s="801"/>
      <c r="AC1" s="657" t="s">
        <v>223</v>
      </c>
    </row>
    <row r="2" spans="1:29" ht="13.5" customHeight="1" thickBot="1">
      <c r="A2" s="139"/>
      <c r="B2" s="139"/>
      <c r="C2" s="139"/>
      <c r="D2" s="139"/>
      <c r="E2" s="139"/>
      <c r="F2" s="2508" t="b">
        <f>AND(SchD_NotReqd,OR(AND(SchDLine18&lt;&gt;"",SchDLine18&gt;0),AND(SchDLine19&lt;&gt;"",SchDLine19&gt;0)))</f>
        <v>0</v>
      </c>
      <c r="G2" s="139"/>
      <c r="H2" s="139"/>
      <c r="I2" s="139"/>
      <c r="J2" s="2507"/>
      <c r="K2" s="2507"/>
      <c r="L2" s="2508" t="b">
        <f>Form4952_Filed</f>
        <v>0</v>
      </c>
      <c r="M2" s="139"/>
      <c r="N2" s="139"/>
      <c r="O2" s="139"/>
      <c r="P2" s="139"/>
      <c r="Q2" s="148"/>
      <c r="R2" s="6282"/>
      <c r="S2" s="148"/>
      <c r="V2" s="801"/>
    </row>
    <row r="3" spans="1:29" ht="19.5" customHeight="1">
      <c r="A3" s="139"/>
      <c r="B3" s="139"/>
      <c r="C3" s="7981" t="str">
        <f>IF(R3,"Yes","No")</f>
        <v>No</v>
      </c>
      <c r="D3" s="7982"/>
      <c r="E3" s="7982"/>
      <c r="F3" s="339" t="s">
        <v>6361</v>
      </c>
      <c r="G3" s="377"/>
      <c r="H3" s="377"/>
      <c r="I3" s="377"/>
      <c r="J3" s="2509"/>
      <c r="K3" s="2509"/>
      <c r="L3" s="377"/>
      <c r="M3" s="377"/>
      <c r="N3" s="377"/>
      <c r="O3" s="378"/>
      <c r="P3" s="139"/>
      <c r="Q3" s="148"/>
      <c r="R3" s="2510" t="b">
        <f>FEI_Tax_Worksheet</f>
        <v>0</v>
      </c>
      <c r="S3" s="148"/>
      <c r="V3" s="801"/>
      <c r="AC3" s="769"/>
    </row>
    <row r="4" spans="1:29" ht="6" customHeight="1" thickBot="1">
      <c r="A4" s="139"/>
      <c r="B4" s="139"/>
      <c r="C4" s="347"/>
      <c r="D4" s="380"/>
      <c r="E4" s="380"/>
      <c r="F4" s="981"/>
      <c r="G4" s="380"/>
      <c r="H4" s="380"/>
      <c r="I4" s="380"/>
      <c r="J4" s="2511"/>
      <c r="K4" s="2511"/>
      <c r="L4" s="380"/>
      <c r="M4" s="380"/>
      <c r="N4" s="380"/>
      <c r="O4" s="381"/>
      <c r="P4" s="139"/>
      <c r="Q4" s="148"/>
      <c r="R4" s="2510"/>
      <c r="S4" s="148"/>
      <c r="V4" s="801"/>
      <c r="AC4" s="769"/>
    </row>
    <row r="5" spans="1:29" ht="24.75" customHeight="1">
      <c r="A5" s="139"/>
      <c r="B5" s="139"/>
      <c r="C5" s="7989" t="s">
        <v>5184</v>
      </c>
      <c r="D5" s="7990"/>
      <c r="E5" s="7990"/>
      <c r="F5" s="7990"/>
      <c r="G5" s="7990"/>
      <c r="H5" s="7990"/>
      <c r="I5" s="7990"/>
      <c r="J5" s="7990"/>
      <c r="K5" s="7990"/>
      <c r="L5" s="7990"/>
      <c r="M5" s="7990"/>
      <c r="N5" s="7990"/>
      <c r="O5" s="7991"/>
      <c r="P5" s="139"/>
      <c r="Q5" s="148"/>
      <c r="R5" s="2510"/>
      <c r="S5" s="148"/>
      <c r="V5" s="801"/>
      <c r="AC5" s="769"/>
    </row>
    <row r="6" spans="1:29" ht="13.5" customHeight="1">
      <c r="A6" s="139"/>
      <c r="B6" s="139"/>
      <c r="C6" s="6994" t="str">
        <f>IF(R6,"Yes","No")</f>
        <v>No</v>
      </c>
      <c r="D6" s="6992"/>
      <c r="E6" s="6992"/>
      <c r="F6" s="2512" t="s">
        <v>6359</v>
      </c>
      <c r="G6" s="253"/>
      <c r="H6" s="253"/>
      <c r="I6" s="253"/>
      <c r="J6" s="2513"/>
      <c r="K6" s="2513"/>
      <c r="L6" s="344"/>
      <c r="M6" s="253"/>
      <c r="N6" s="253"/>
      <c r="O6" s="379"/>
      <c r="P6" s="139"/>
      <c r="Q6" s="148"/>
      <c r="R6" s="2510" t="b">
        <f>AND(SchD_Used,OR(AND(SchDLine18&lt;&gt;"",SchDLine18&gt;0),AND(SchDLine19&lt;&gt;"",SchDLine19&gt;0)),AND(SchDLine15&lt;&gt;"",SchDLine15&gt;0,SchDLine16&lt;&gt;"",SchDLine16&gt;0))</f>
        <v>0</v>
      </c>
      <c r="S6" s="148"/>
      <c r="V6" s="801"/>
      <c r="AC6" s="1187" t="s">
        <v>227</v>
      </c>
    </row>
    <row r="7" spans="1:29" ht="13.5" customHeight="1">
      <c r="A7" s="139"/>
      <c r="B7" s="139"/>
      <c r="C7" s="6473"/>
      <c r="D7" s="416"/>
      <c r="E7" s="416"/>
      <c r="F7" s="2512" t="s">
        <v>6360</v>
      </c>
      <c r="G7" s="253"/>
      <c r="H7" s="253"/>
      <c r="I7" s="253"/>
      <c r="J7" s="2513"/>
      <c r="K7" s="2513"/>
      <c r="L7" s="344"/>
      <c r="M7" s="253"/>
      <c r="N7" s="253"/>
      <c r="O7" s="379"/>
      <c r="P7" s="139"/>
      <c r="Q7" s="148"/>
      <c r="R7" s="2510"/>
      <c r="S7" s="148"/>
      <c r="V7" s="801"/>
      <c r="AC7" s="6477"/>
    </row>
    <row r="8" spans="1:29" ht="13.5" customHeight="1">
      <c r="A8" s="139"/>
      <c r="B8" s="139"/>
      <c r="C8" s="6994" t="str">
        <f>IF(R8,"Yes","No")</f>
        <v>No</v>
      </c>
      <c r="D8" s="6992"/>
      <c r="E8" s="6992"/>
      <c r="F8" s="2512" t="s">
        <v>5189</v>
      </c>
      <c r="G8" s="253"/>
      <c r="H8" s="253"/>
      <c r="I8" s="253"/>
      <c r="J8" s="2513"/>
      <c r="K8" s="2513"/>
      <c r="L8" s="253"/>
      <c r="M8" s="253"/>
      <c r="N8" s="253"/>
      <c r="O8" s="379"/>
      <c r="P8" s="139"/>
      <c r="Q8" s="148"/>
      <c r="R8" s="2510" t="b">
        <f>AND(Form4952_Line4g&lt;&gt;"",Form4952_Line4g&lt;&gt;0)</f>
        <v>0</v>
      </c>
      <c r="S8" s="148"/>
      <c r="V8" s="801"/>
      <c r="AC8" s="769"/>
    </row>
    <row r="9" spans="1:29" ht="13.5" customHeight="1" thickBot="1">
      <c r="A9" s="139"/>
      <c r="B9" s="139"/>
      <c r="C9" s="6543"/>
      <c r="D9" s="4225"/>
      <c r="E9" s="4225"/>
      <c r="F9" s="2514"/>
      <c r="G9" s="380"/>
      <c r="H9" s="380"/>
      <c r="I9" s="380"/>
      <c r="J9" s="2511"/>
      <c r="K9" s="2511"/>
      <c r="L9" s="380"/>
      <c r="M9" s="380"/>
      <c r="N9" s="380"/>
      <c r="O9" s="381"/>
      <c r="P9" s="139"/>
      <c r="Q9" s="148"/>
      <c r="R9" s="2510" t="b">
        <f>OR(R6,R8)</f>
        <v>0</v>
      </c>
      <c r="S9" s="148"/>
      <c r="V9" s="801"/>
      <c r="AC9" s="769"/>
    </row>
    <row r="10" spans="1:29" ht="13.5" customHeight="1">
      <c r="A10" s="139"/>
      <c r="B10" s="139"/>
      <c r="C10" s="7983" t="str">
        <f>IF(CGTW,"Yes","No")</f>
        <v>No</v>
      </c>
      <c r="D10" s="7984"/>
      <c r="E10" s="7984"/>
      <c r="F10" s="516" t="s">
        <v>6363</v>
      </c>
      <c r="G10" s="253"/>
      <c r="H10" s="253"/>
      <c r="I10" s="253"/>
      <c r="J10" s="2513"/>
      <c r="K10" s="2513"/>
      <c r="L10" s="253"/>
      <c r="M10" s="253"/>
      <c r="N10" s="253"/>
      <c r="O10" s="379"/>
      <c r="P10" s="139"/>
      <c r="Q10" s="148"/>
      <c r="R10" s="2510" t="b">
        <f>OR(C21&lt;&gt;"",AND(NOT(R9),OR(R12,R13,R14)))</f>
        <v>0</v>
      </c>
      <c r="S10" s="148"/>
      <c r="V10" s="801"/>
      <c r="AC10" s="769"/>
    </row>
    <row r="11" spans="1:29" ht="13.5" customHeight="1">
      <c r="A11" s="139"/>
      <c r="B11" s="139"/>
      <c r="C11" s="7995"/>
      <c r="D11" s="7996"/>
      <c r="E11" s="7996"/>
      <c r="F11" s="516" t="s">
        <v>6362</v>
      </c>
      <c r="G11" s="253"/>
      <c r="H11" s="253"/>
      <c r="I11" s="253"/>
      <c r="J11" s="2513"/>
      <c r="K11" s="2513"/>
      <c r="L11" s="253"/>
      <c r="M11" s="253"/>
      <c r="N11" s="253"/>
      <c r="O11" s="379"/>
      <c r="P11" s="139"/>
      <c r="Q11" s="148"/>
      <c r="R11" s="2510" t="b">
        <f>NOT(SchDTW_Used)</f>
        <v>1</v>
      </c>
      <c r="S11" s="148"/>
      <c r="V11" s="801"/>
      <c r="AC11" s="769"/>
    </row>
    <row r="12" spans="1:29" ht="13.5" customHeight="1">
      <c r="A12" s="139"/>
      <c r="B12" s="139"/>
      <c r="C12" s="7985" t="str">
        <f>IF(AND(R11,R12),"®","")</f>
        <v/>
      </c>
      <c r="D12" s="7986"/>
      <c r="E12" s="7986"/>
      <c r="F12" s="2515" t="s">
        <v>6364</v>
      </c>
      <c r="G12" s="253"/>
      <c r="H12" s="253"/>
      <c r="I12" s="253"/>
      <c r="J12" s="2513"/>
      <c r="K12" s="2513"/>
      <c r="L12" s="253"/>
      <c r="M12" s="253"/>
      <c r="N12" s="253"/>
      <c r="O12" s="379"/>
      <c r="P12" s="139"/>
      <c r="Q12" s="148"/>
      <c r="R12" s="2510" t="b">
        <f>Qualified_Dividends&gt;0</f>
        <v>0</v>
      </c>
      <c r="S12" s="148"/>
      <c r="V12" s="801"/>
      <c r="AC12" s="769"/>
    </row>
    <row r="13" spans="1:29" ht="13.5" customHeight="1">
      <c r="A13" s="139"/>
      <c r="B13" s="139"/>
      <c r="C13" s="7985" t="str">
        <f>IF(AND(R11,R13),"®","")</f>
        <v/>
      </c>
      <c r="D13" s="7986"/>
      <c r="E13" s="7986"/>
      <c r="F13" s="2515" t="s">
        <v>6365</v>
      </c>
      <c r="G13" s="253"/>
      <c r="H13" s="253"/>
      <c r="I13" s="253"/>
      <c r="J13" s="2513"/>
      <c r="K13" s="2513"/>
      <c r="L13" s="253"/>
      <c r="M13" s="253"/>
      <c r="N13" s="253"/>
      <c r="O13" s="379"/>
      <c r="P13" s="139"/>
      <c r="Q13" s="148"/>
      <c r="R13" s="2510" t="b">
        <f>AND(SchD_NotReqd,CapitalGains&gt;0)</f>
        <v>0</v>
      </c>
      <c r="S13" s="148"/>
      <c r="V13" s="801"/>
      <c r="AC13" s="769"/>
    </row>
    <row r="14" spans="1:29" ht="13.5" customHeight="1">
      <c r="A14" s="139"/>
      <c r="B14" s="139"/>
      <c r="C14" s="7985" t="str">
        <f>IF(AND(R11,R14),"®","")</f>
        <v/>
      </c>
      <c r="D14" s="7986"/>
      <c r="E14" s="7986"/>
      <c r="F14" s="2515" t="s">
        <v>1360</v>
      </c>
      <c r="G14" s="253"/>
      <c r="H14" s="253"/>
      <c r="I14" s="253"/>
      <c r="J14" s="2513"/>
      <c r="K14" s="2513"/>
      <c r="L14" s="253"/>
      <c r="M14" s="253"/>
      <c r="N14" s="2516"/>
      <c r="O14" s="379"/>
      <c r="P14" s="139"/>
      <c r="Q14" s="148"/>
      <c r="R14" s="2510" t="b">
        <f>AND(SchD_Used,SchDLine15&lt;&gt;"",SchDLine15&gt;0,SchDLine16&lt;&gt;"",SchDLine16&gt;0,R16)</f>
        <v>0</v>
      </c>
      <c r="S14" s="148"/>
      <c r="V14" s="801"/>
      <c r="AC14" s="769"/>
    </row>
    <row r="15" spans="1:29" ht="13.5" customHeight="1">
      <c r="A15" s="139"/>
      <c r="B15" s="139"/>
      <c r="C15" s="7987" t="b">
        <f>OR(SchDLine18="",SchDLine18=0)</f>
        <v>1</v>
      </c>
      <c r="D15" s="7988"/>
      <c r="E15" s="7988"/>
      <c r="F15" s="344" t="s">
        <v>1362</v>
      </c>
      <c r="G15" s="253"/>
      <c r="H15" s="253"/>
      <c r="I15" s="253"/>
      <c r="J15" s="2513"/>
      <c r="K15" s="2513"/>
      <c r="L15" s="253"/>
      <c r="M15" s="253"/>
      <c r="N15" s="253"/>
      <c r="O15" s="379"/>
      <c r="P15" s="139"/>
      <c r="Q15" s="148"/>
      <c r="R15" s="2510"/>
      <c r="S15" s="148"/>
      <c r="V15" s="801"/>
      <c r="AC15" s="769"/>
    </row>
    <row r="16" spans="1:29" ht="13.5" customHeight="1">
      <c r="A16" s="139"/>
      <c r="B16" s="139"/>
      <c r="C16" s="7987" t="b">
        <f>OR(SchDLine19="",SchDLine19=0)</f>
        <v>1</v>
      </c>
      <c r="D16" s="7988"/>
      <c r="E16" s="7988"/>
      <c r="F16" s="344" t="s">
        <v>1363</v>
      </c>
      <c r="G16" s="253"/>
      <c r="H16" s="253"/>
      <c r="I16" s="253"/>
      <c r="J16" s="2513"/>
      <c r="K16" s="2513"/>
      <c r="L16" s="253"/>
      <c r="M16" s="253"/>
      <c r="N16" s="253"/>
      <c r="O16" s="379"/>
      <c r="P16" s="139"/>
      <c r="Q16" s="148"/>
      <c r="R16" s="2510" t="b">
        <f>AND(C15,C16,C17)</f>
        <v>1</v>
      </c>
      <c r="S16" s="148"/>
      <c r="V16" s="801"/>
      <c r="AC16" s="769"/>
    </row>
    <row r="17" spans="1:29" ht="13.5" customHeight="1">
      <c r="A17" s="139"/>
      <c r="B17" s="139"/>
      <c r="C17" s="7987" t="b">
        <f>NOT(Form4952_Filed)</f>
        <v>1</v>
      </c>
      <c r="D17" s="7988"/>
      <c r="E17" s="7988"/>
      <c r="F17" s="344" t="s">
        <v>1364</v>
      </c>
      <c r="G17" s="253"/>
      <c r="H17" s="253"/>
      <c r="I17" s="253"/>
      <c r="J17" s="2513"/>
      <c r="K17" s="2513"/>
      <c r="L17" s="253"/>
      <c r="M17" s="253"/>
      <c r="N17" s="253"/>
      <c r="O17" s="379"/>
      <c r="P17" s="139"/>
      <c r="Q17" s="148"/>
      <c r="R17" s="6549"/>
      <c r="S17" s="148"/>
      <c r="V17" s="801"/>
      <c r="AC17" s="769"/>
    </row>
    <row r="18" spans="1:29" ht="13.5" customHeight="1">
      <c r="A18" s="139"/>
      <c r="B18" s="139"/>
      <c r="C18" s="1073" t="s">
        <v>1365</v>
      </c>
      <c r="D18" s="344"/>
      <c r="E18" s="344"/>
      <c r="F18" s="253"/>
      <c r="G18" s="253"/>
      <c r="H18" s="253"/>
      <c r="I18" s="253"/>
      <c r="J18" s="2513"/>
      <c r="K18" s="2513"/>
      <c r="L18" s="253"/>
      <c r="M18" s="253"/>
      <c r="N18" s="253"/>
      <c r="O18" s="379"/>
      <c r="P18" s="139"/>
      <c r="Q18" s="148"/>
      <c r="R18" s="6549"/>
      <c r="S18" s="148"/>
      <c r="V18" s="801"/>
      <c r="AC18" s="769"/>
    </row>
    <row r="19" spans="1:29" ht="13.5" customHeight="1" thickBot="1">
      <c r="A19" s="139"/>
      <c r="B19" s="139"/>
      <c r="C19" s="347"/>
      <c r="D19" s="380"/>
      <c r="E19" s="380"/>
      <c r="F19" s="2517" t="s">
        <v>1367</v>
      </c>
      <c r="G19" s="380"/>
      <c r="H19" s="380"/>
      <c r="I19" s="380"/>
      <c r="J19" s="2511"/>
      <c r="K19" s="2511"/>
      <c r="L19" s="380"/>
      <c r="M19" s="380"/>
      <c r="N19" s="380"/>
      <c r="O19" s="381"/>
      <c r="P19" s="139"/>
      <c r="Q19" s="148"/>
      <c r="R19" s="6549"/>
      <c r="S19" s="148"/>
      <c r="V19" s="801"/>
      <c r="AC19" s="769"/>
    </row>
    <row r="20" spans="1:29" ht="13.5" customHeight="1" thickBot="1">
      <c r="A20" s="139"/>
      <c r="B20" s="139"/>
      <c r="C20" s="139"/>
      <c r="D20" s="139"/>
      <c r="E20" s="139"/>
      <c r="F20" s="139"/>
      <c r="G20" s="139"/>
      <c r="H20" s="139"/>
      <c r="I20" s="139"/>
      <c r="J20" s="2507"/>
      <c r="K20" s="2507"/>
      <c r="L20" s="139"/>
      <c r="M20" s="139"/>
      <c r="N20" s="139"/>
      <c r="O20" s="139"/>
      <c r="P20" s="139"/>
      <c r="Q20" s="148"/>
      <c r="R20" s="148"/>
      <c r="S20" s="148"/>
      <c r="V20" s="801"/>
      <c r="AC20" s="769"/>
    </row>
    <row r="21" spans="1:29" ht="13.5" customHeight="1" thickBot="1">
      <c r="A21" s="139"/>
      <c r="B21" s="139"/>
      <c r="C21" s="501"/>
      <c r="D21" s="139"/>
      <c r="E21" s="344" t="s">
        <v>1370</v>
      </c>
      <c r="F21" s="253"/>
      <c r="G21" s="253"/>
      <c r="H21" s="253"/>
      <c r="I21" s="139"/>
      <c r="J21" s="2507"/>
      <c r="K21" s="2507"/>
      <c r="L21" s="139"/>
      <c r="M21" s="139"/>
      <c r="N21" s="139"/>
      <c r="O21" s="139"/>
      <c r="P21" s="139"/>
      <c r="Q21" s="148"/>
      <c r="R21" s="148"/>
      <c r="S21" s="148"/>
      <c r="V21" s="801"/>
      <c r="AC21" s="769"/>
    </row>
    <row r="22" spans="1:29" ht="13.5" customHeight="1">
      <c r="A22" s="139"/>
      <c r="B22" s="139"/>
      <c r="C22" s="139"/>
      <c r="D22" s="139"/>
      <c r="E22" s="139"/>
      <c r="F22" s="139"/>
      <c r="G22" s="139"/>
      <c r="H22" s="139"/>
      <c r="I22" s="139"/>
      <c r="J22" s="2507"/>
      <c r="K22" s="2507"/>
      <c r="L22" s="139"/>
      <c r="M22" s="139"/>
      <c r="N22" s="139"/>
      <c r="O22" s="139"/>
      <c r="P22" s="139"/>
      <c r="Q22" s="148"/>
      <c r="R22" s="148"/>
      <c r="S22" s="148"/>
      <c r="V22" s="801"/>
      <c r="AC22" s="769"/>
    </row>
    <row r="23" spans="1:29" ht="13.5" customHeight="1">
      <c r="A23" s="139"/>
      <c r="B23" s="253"/>
      <c r="C23" s="253"/>
      <c r="D23" s="253"/>
      <c r="E23" s="253"/>
      <c r="F23" s="253"/>
      <c r="G23" s="253"/>
      <c r="H23" s="253"/>
      <c r="I23" s="253"/>
      <c r="J23" s="2513"/>
      <c r="K23" s="2513"/>
      <c r="L23" s="253"/>
      <c r="M23" s="253"/>
      <c r="N23" s="2505" t="str">
        <f>IF('Table of Contents'!$A$31="D","DRAFT","")</f>
        <v/>
      </c>
      <c r="O23" s="253"/>
      <c r="P23" s="139"/>
      <c r="Q23" s="148"/>
      <c r="R23" s="148"/>
      <c r="S23" s="148"/>
      <c r="V23" s="801"/>
      <c r="AC23" s="769"/>
    </row>
    <row r="24" spans="1:29" ht="27.75" customHeight="1">
      <c r="A24" s="139"/>
      <c r="B24" s="88"/>
      <c r="C24" s="2518"/>
      <c r="D24" s="88"/>
      <c r="E24" s="88"/>
      <c r="F24" s="88"/>
      <c r="G24" s="88"/>
      <c r="H24" s="88"/>
      <c r="I24" s="88"/>
      <c r="J24" s="2519"/>
      <c r="K24" s="2519"/>
      <c r="L24" s="88"/>
      <c r="M24" s="88"/>
      <c r="N24" s="88"/>
      <c r="O24" s="88"/>
      <c r="P24" s="139"/>
      <c r="Q24" s="148"/>
      <c r="R24" s="148"/>
      <c r="S24" s="148"/>
      <c r="V24" s="801"/>
      <c r="AC24" s="769"/>
    </row>
    <row r="25" spans="1:29" ht="16.5" customHeight="1" thickBot="1">
      <c r="A25" s="139"/>
      <c r="B25" s="2520" t="s">
        <v>92</v>
      </c>
      <c r="C25" s="2520"/>
      <c r="D25" s="1901"/>
      <c r="E25" s="91"/>
      <c r="F25" s="91"/>
      <c r="G25" s="91"/>
      <c r="H25" s="91"/>
      <c r="I25" s="91"/>
      <c r="J25" s="2521"/>
      <c r="K25" s="2522"/>
      <c r="L25" s="2523"/>
      <c r="M25" s="2524" t="s">
        <v>1376</v>
      </c>
      <c r="N25" s="2525"/>
      <c r="O25" s="2525"/>
      <c r="P25" s="2526"/>
      <c r="Q25" s="148"/>
      <c r="R25" s="148"/>
      <c r="S25" s="148"/>
      <c r="V25" s="801"/>
      <c r="AC25" s="769"/>
    </row>
    <row r="26" spans="1:29" ht="19.5" customHeight="1">
      <c r="A26" s="139"/>
      <c r="B26" s="2527"/>
      <c r="C26" s="2528" t="s">
        <v>1378</v>
      </c>
      <c r="D26" s="1986"/>
      <c r="E26" s="89"/>
      <c r="F26" s="88"/>
      <c r="G26" s="2529" t="s">
        <v>1379</v>
      </c>
      <c r="H26" s="2344" t="s">
        <v>1380</v>
      </c>
      <c r="I26" s="89"/>
      <c r="J26" s="2530"/>
      <c r="K26" s="2531"/>
      <c r="L26" s="89"/>
      <c r="M26" s="89"/>
      <c r="N26" s="2532"/>
      <c r="O26" s="2533"/>
      <c r="P26" s="2526"/>
      <c r="Q26" s="148"/>
      <c r="R26" s="148"/>
      <c r="S26" s="148"/>
      <c r="V26" s="801"/>
      <c r="AC26" s="769"/>
    </row>
    <row r="27" spans="1:29" ht="14.25" customHeight="1">
      <c r="A27" s="139"/>
      <c r="B27" s="2534"/>
      <c r="C27" s="2444"/>
      <c r="D27" s="226"/>
      <c r="E27" s="88"/>
      <c r="F27" s="88"/>
      <c r="G27" s="2529" t="s">
        <v>1379</v>
      </c>
      <c r="H27" s="2535" t="s">
        <v>1382</v>
      </c>
      <c r="I27" s="88"/>
      <c r="J27" s="2519"/>
      <c r="K27" s="2536"/>
      <c r="L27" s="88"/>
      <c r="M27" s="88"/>
      <c r="N27" s="2537"/>
      <c r="O27" s="2538"/>
      <c r="P27" s="2526"/>
      <c r="Q27" s="148"/>
      <c r="R27" s="148"/>
      <c r="S27" s="148"/>
      <c r="V27" s="801"/>
      <c r="AC27" s="769"/>
    </row>
    <row r="28" spans="1:29" ht="15.75" customHeight="1">
      <c r="A28" s="139"/>
      <c r="B28" s="2534"/>
      <c r="C28" s="2539"/>
      <c r="D28" s="226"/>
      <c r="E28" s="88"/>
      <c r="F28" s="88"/>
      <c r="G28" s="2529" t="s">
        <v>1379</v>
      </c>
      <c r="H28" s="88" t="s">
        <v>1384</v>
      </c>
      <c r="I28" s="88"/>
      <c r="J28" s="2519"/>
      <c r="K28" s="2536"/>
      <c r="L28" s="88"/>
      <c r="M28" s="88"/>
      <c r="N28" s="2540"/>
      <c r="O28" s="2538"/>
      <c r="P28" s="2526"/>
      <c r="Q28" s="148"/>
      <c r="R28" s="148"/>
      <c r="S28" s="148"/>
      <c r="V28" s="801"/>
      <c r="AC28" s="769"/>
    </row>
    <row r="29" spans="1:29" ht="13.5" customHeight="1" thickBot="1">
      <c r="A29" s="139"/>
      <c r="B29" s="2541"/>
      <c r="C29" s="2520"/>
      <c r="D29" s="1901"/>
      <c r="E29" s="91"/>
      <c r="F29" s="91"/>
      <c r="G29" s="2542"/>
      <c r="H29" s="2543" t="s">
        <v>6366</v>
      </c>
      <c r="I29" s="91"/>
      <c r="J29" s="2544"/>
      <c r="K29" s="2522"/>
      <c r="L29" s="2545"/>
      <c r="M29" s="91"/>
      <c r="N29" s="2546"/>
      <c r="O29" s="2547"/>
      <c r="P29" s="2526"/>
      <c r="Q29" s="148"/>
      <c r="R29" s="148"/>
      <c r="S29" s="148"/>
      <c r="V29" s="801"/>
      <c r="AC29" s="769"/>
    </row>
    <row r="30" spans="1:29" ht="15.75" customHeight="1">
      <c r="A30" s="139"/>
      <c r="B30" s="2548"/>
      <c r="C30" s="2519" t="s">
        <v>157</v>
      </c>
      <c r="D30" s="2519"/>
      <c r="E30" s="247" t="s">
        <v>5402</v>
      </c>
      <c r="F30" s="247"/>
      <c r="G30" s="2498"/>
      <c r="H30" s="247"/>
      <c r="I30" s="247"/>
      <c r="J30" s="2519"/>
      <c r="K30" s="2549"/>
      <c r="L30" s="2549"/>
      <c r="M30" s="2549"/>
      <c r="N30" s="2549"/>
      <c r="O30" s="2550"/>
      <c r="P30" s="2526"/>
      <c r="Q30" s="148"/>
      <c r="R30" s="2551" t="s">
        <v>979</v>
      </c>
      <c r="S30" s="148"/>
      <c r="V30" s="801"/>
      <c r="AC30" s="769"/>
    </row>
    <row r="31" spans="1:29">
      <c r="A31" s="139"/>
      <c r="B31" s="2534"/>
      <c r="C31" s="2519"/>
      <c r="D31" s="2519"/>
      <c r="E31" s="247" t="s">
        <v>5401</v>
      </c>
      <c r="F31" s="247"/>
      <c r="G31" s="2498"/>
      <c r="H31" s="247"/>
      <c r="I31" s="247"/>
      <c r="J31" s="2519"/>
      <c r="K31" s="2549"/>
      <c r="L31" s="2549"/>
      <c r="M31" s="2549"/>
      <c r="N31" s="2549"/>
      <c r="O31" s="2550"/>
      <c r="P31" s="2526"/>
      <c r="Q31" s="148"/>
      <c r="R31" s="2551" t="s">
        <v>931</v>
      </c>
      <c r="S31" s="148"/>
      <c r="V31" s="801"/>
      <c r="AC31" s="769"/>
    </row>
    <row r="32" spans="1:29" ht="13.5" customHeight="1">
      <c r="A32" s="139"/>
      <c r="B32" s="2534"/>
      <c r="C32" s="2519"/>
      <c r="D32" s="2519"/>
      <c r="E32" s="247" t="s">
        <v>1392</v>
      </c>
      <c r="F32" s="247"/>
      <c r="G32" s="2498"/>
      <c r="H32" s="247"/>
      <c r="I32" s="247"/>
      <c r="J32" s="2519" t="s">
        <v>1393</v>
      </c>
      <c r="K32" s="2519" t="str">
        <f>C30</f>
        <v>1.</v>
      </c>
      <c r="L32" s="2552" t="str">
        <f>IF(R32&lt;&gt;"",R32,IF(FEI_Tax_Worksheet,FEI_TW_Line3,IF(NOT(CGTW),"",Taxable_Inc)))</f>
        <v/>
      </c>
      <c r="M32" s="247"/>
      <c r="N32" s="247"/>
      <c r="O32" s="2553"/>
      <c r="P32" s="2526"/>
      <c r="Q32" s="148"/>
      <c r="R32" s="274"/>
      <c r="S32" s="148"/>
      <c r="V32" s="801"/>
      <c r="AC32" s="769"/>
    </row>
    <row r="33" spans="1:29" ht="13.5" customHeight="1">
      <c r="A33" s="139"/>
      <c r="B33" s="2534"/>
      <c r="C33" s="2519" t="s">
        <v>161</v>
      </c>
      <c r="D33" s="2519"/>
      <c r="E33" s="247" t="s">
        <v>1394</v>
      </c>
      <c r="F33" s="247"/>
      <c r="G33" s="2498"/>
      <c r="H33" s="2519"/>
      <c r="I33" s="2519" t="s">
        <v>161</v>
      </c>
      <c r="J33" s="2552" t="str">
        <f>IF(NOT(CGTW),"",'1040'!$S$62)</f>
        <v/>
      </c>
      <c r="K33" s="2519"/>
      <c r="L33" s="2519"/>
      <c r="M33" s="247"/>
      <c r="N33" s="247"/>
      <c r="O33" s="2553"/>
      <c r="P33" s="2526"/>
      <c r="Q33" s="148"/>
      <c r="R33" s="148"/>
      <c r="S33" s="148"/>
      <c r="V33" s="801"/>
      <c r="AC33" s="769"/>
    </row>
    <row r="34" spans="1:29" ht="13.5" customHeight="1" thickBot="1">
      <c r="A34" s="139"/>
      <c r="B34" s="2534"/>
      <c r="C34" s="2519" t="s">
        <v>167</v>
      </c>
      <c r="D34" s="2519"/>
      <c r="E34" s="247" t="s">
        <v>1395</v>
      </c>
      <c r="F34" s="247"/>
      <c r="G34" s="2498"/>
      <c r="H34" s="2519"/>
      <c r="I34" s="2519"/>
      <c r="J34" s="2554" t="b">
        <f>AND(NOT(SchD_NotReqd),OR(AND(SchDLine15&lt;&gt;"",SchDLine15&lt;&gt;0),AND(SchDLine16&lt;&gt;"",SchDLine16&lt;&gt;0)))</f>
        <v>0</v>
      </c>
      <c r="K34" s="2519"/>
      <c r="L34" s="2519"/>
      <c r="M34" s="2519"/>
      <c r="N34" s="247"/>
      <c r="O34" s="2553"/>
      <c r="P34" s="139"/>
      <c r="Q34" s="148"/>
      <c r="R34" s="148"/>
      <c r="S34" s="148"/>
      <c r="V34" s="801"/>
      <c r="AC34" s="769"/>
    </row>
    <row r="35" spans="1:29" ht="13.5" customHeight="1" thickBot="1">
      <c r="A35" s="139"/>
      <c r="B35" s="2534"/>
      <c r="C35" s="2519"/>
      <c r="D35" s="2555" t="str">
        <f>IF(NOT(CGTW),"",IF(J34,"X",""))</f>
        <v/>
      </c>
      <c r="E35" s="1183" t="s">
        <v>1396</v>
      </c>
      <c r="F35" s="247" t="s">
        <v>1397</v>
      </c>
      <c r="G35" s="2498"/>
      <c r="H35" s="2519"/>
      <c r="I35" s="2519"/>
      <c r="J35" s="2519"/>
      <c r="K35" s="2519"/>
      <c r="L35" s="2519"/>
      <c r="M35" s="2519"/>
      <c r="N35" s="247"/>
      <c r="O35" s="2553"/>
      <c r="P35" s="139"/>
      <c r="Q35" s="148"/>
      <c r="R35" s="148"/>
      <c r="S35" s="148"/>
      <c r="U35" s="2556"/>
      <c r="V35" s="2556"/>
      <c r="W35" s="2556"/>
      <c r="X35" s="2556"/>
      <c r="Y35" s="2556"/>
      <c r="AC35" s="769"/>
    </row>
    <row r="36" spans="1:29">
      <c r="A36" s="139"/>
      <c r="B36" s="2534"/>
      <c r="C36" s="2519"/>
      <c r="D36" s="2557"/>
      <c r="E36" s="247"/>
      <c r="F36" s="247" t="s">
        <v>1398</v>
      </c>
      <c r="G36" s="1183"/>
      <c r="H36" s="2519"/>
      <c r="I36" s="2519"/>
      <c r="J36" s="2519"/>
      <c r="K36" s="2519"/>
      <c r="L36" s="2519"/>
      <c r="M36" s="2519"/>
      <c r="N36" s="247"/>
      <c r="O36" s="2553"/>
      <c r="P36" s="139"/>
      <c r="Q36" s="148"/>
      <c r="R36" s="148"/>
      <c r="S36" s="148"/>
      <c r="U36" s="1330">
        <f>IF(CapitalGains="",0,CapitalGains)</f>
        <v>0</v>
      </c>
      <c r="V36" s="2556"/>
      <c r="W36" s="2556"/>
      <c r="X36" s="2556"/>
      <c r="Y36" s="2556"/>
      <c r="AC36" s="769"/>
    </row>
    <row r="37" spans="1:29" ht="13.5" customHeight="1" thickBot="1">
      <c r="A37" s="139"/>
      <c r="B37" s="2534"/>
      <c r="C37" s="2519"/>
      <c r="D37" s="2557"/>
      <c r="E37" s="247"/>
      <c r="F37" s="247" t="s">
        <v>1399</v>
      </c>
      <c r="G37" s="1183"/>
      <c r="H37" s="2519"/>
      <c r="I37" s="2519" t="s">
        <v>167</v>
      </c>
      <c r="J37" s="2558" t="str">
        <f>IF(NOT(CGTW),"",IF(NOT(FilingScheduleD),U36,IF(OR(SchDLine15="",SchDLine15&lt;=0,SchDLine16="",SchDLine16&lt;=0),0,MIN(SchDLine15,SchDLine16))))</f>
        <v/>
      </c>
      <c r="K37" s="2519"/>
      <c r="L37" s="2519"/>
      <c r="M37" s="2519"/>
      <c r="N37" s="247"/>
      <c r="O37" s="2553"/>
      <c r="P37" s="139"/>
      <c r="Q37" s="148"/>
      <c r="R37" s="148"/>
      <c r="S37" s="148"/>
      <c r="U37" s="2556"/>
      <c r="V37" s="2556"/>
      <c r="W37" s="2556"/>
      <c r="X37" s="2556"/>
      <c r="Y37" s="2556"/>
      <c r="AC37" s="769"/>
    </row>
    <row r="38" spans="1:29" ht="13.5" customHeight="1" thickBot="1">
      <c r="A38" s="139"/>
      <c r="B38" s="2534"/>
      <c r="C38" s="2519"/>
      <c r="D38" s="2555" t="str">
        <f>IF(NOT(CGTW),"",IF(J34,"","X"))</f>
        <v/>
      </c>
      <c r="E38" s="1183" t="s">
        <v>1400</v>
      </c>
      <c r="F38" s="247" t="s">
        <v>1401</v>
      </c>
      <c r="G38" s="1183"/>
      <c r="H38" s="2519"/>
      <c r="I38" s="2519"/>
      <c r="J38" s="2559"/>
      <c r="K38" s="2519"/>
      <c r="L38" s="2519"/>
      <c r="M38" s="2519"/>
      <c r="N38" s="2560"/>
      <c r="O38" s="2553"/>
      <c r="P38" s="139"/>
      <c r="Q38" s="148"/>
      <c r="R38" s="148"/>
      <c r="S38" s="148"/>
      <c r="AC38" s="769"/>
    </row>
    <row r="39" spans="1:29" ht="13.5" customHeight="1">
      <c r="A39" s="139"/>
      <c r="B39" s="2534"/>
      <c r="C39" s="2519"/>
      <c r="D39" s="1183"/>
      <c r="E39" s="1183"/>
      <c r="F39" s="247" t="s">
        <v>6367</v>
      </c>
      <c r="G39" s="1183"/>
      <c r="H39" s="2519"/>
      <c r="I39" s="2519"/>
      <c r="J39" s="2560"/>
      <c r="K39" s="2519"/>
      <c r="L39" s="2519"/>
      <c r="M39" s="2519"/>
      <c r="N39" s="2560"/>
      <c r="O39" s="2553"/>
      <c r="P39" s="139"/>
      <c r="Q39" s="148"/>
      <c r="R39" s="148"/>
      <c r="S39" s="148"/>
      <c r="AC39" s="769"/>
    </row>
    <row r="40" spans="1:29" ht="13.5" customHeight="1">
      <c r="A40" s="139"/>
      <c r="B40" s="2534"/>
      <c r="C40" s="2519" t="s">
        <v>171</v>
      </c>
      <c r="D40" s="1183"/>
      <c r="E40" s="247" t="s">
        <v>1402</v>
      </c>
      <c r="F40" s="247"/>
      <c r="G40" s="247"/>
      <c r="H40" s="2519" t="s">
        <v>1403</v>
      </c>
      <c r="I40" s="2519" t="s">
        <v>171</v>
      </c>
      <c r="J40" s="2552" t="str">
        <f>IF(NOT(CGTW),"",SUM(J33,J37))</f>
        <v/>
      </c>
      <c r="K40" s="2519"/>
      <c r="L40" s="2519"/>
      <c r="M40" s="2519"/>
      <c r="N40" s="2560"/>
      <c r="O40" s="2553"/>
      <c r="P40" s="139"/>
      <c r="Q40" s="148"/>
      <c r="R40" s="148"/>
      <c r="S40" s="148"/>
      <c r="Z40" s="329"/>
      <c r="AA40" s="329"/>
      <c r="AC40" s="769"/>
    </row>
    <row r="41" spans="1:29" ht="12.75" customHeight="1">
      <c r="A41" s="139"/>
      <c r="B41" s="2534"/>
      <c r="C41" s="2519" t="s">
        <v>184</v>
      </c>
      <c r="D41" s="1183"/>
      <c r="E41" s="247" t="s">
        <v>1404</v>
      </c>
      <c r="F41" s="247"/>
      <c r="G41" s="247"/>
      <c r="H41" s="247"/>
      <c r="I41" s="247"/>
      <c r="J41" s="2519" t="s">
        <v>1405</v>
      </c>
      <c r="K41" s="2519" t="str">
        <f>C41</f>
        <v>5.</v>
      </c>
      <c r="L41" s="2552" t="str">
        <f>IF(NOT(CGTW),"",MAX(0,SUM(CGTW_Line1,-J40)))</f>
        <v/>
      </c>
      <c r="M41" s="247"/>
      <c r="N41" s="2561"/>
      <c r="O41" s="2553"/>
      <c r="P41" s="2526"/>
      <c r="Q41" s="148"/>
      <c r="R41" s="148"/>
      <c r="S41" s="148"/>
      <c r="Z41" s="2556"/>
      <c r="AA41" s="2556"/>
      <c r="AC41" s="769"/>
    </row>
    <row r="42" spans="1:29">
      <c r="A42" s="139"/>
      <c r="B42" s="2534"/>
      <c r="C42" s="2519" t="s">
        <v>188</v>
      </c>
      <c r="D42" s="247"/>
      <c r="E42" s="247" t="s">
        <v>1406</v>
      </c>
      <c r="F42" s="247"/>
      <c r="G42" s="229"/>
      <c r="H42" s="229"/>
      <c r="I42" s="229"/>
      <c r="J42" s="229"/>
      <c r="K42" s="2519"/>
      <c r="L42" s="2560"/>
      <c r="M42" s="229"/>
      <c r="N42" s="2562"/>
      <c r="O42" s="2553"/>
      <c r="P42" s="2526"/>
      <c r="Q42" s="148"/>
      <c r="R42" s="148"/>
      <c r="S42" s="148"/>
      <c r="Z42" s="2556"/>
      <c r="AA42" s="2556"/>
      <c r="AC42" s="769"/>
    </row>
    <row r="43" spans="1:29">
      <c r="A43" s="139"/>
      <c r="B43" s="2534"/>
      <c r="C43" s="2519"/>
      <c r="D43" s="2563"/>
      <c r="E43" s="247" t="str">
        <f>TEXT(N43,"$0,000")&amp;" if single or married filing separately,"</f>
        <v>$48,350 if single or married filing separately,</v>
      </c>
      <c r="F43" s="247"/>
      <c r="G43" s="247"/>
      <c r="H43" s="229"/>
      <c r="I43" s="229"/>
      <c r="J43" s="2519"/>
      <c r="K43" s="229"/>
      <c r="L43" s="229"/>
      <c r="M43" s="229"/>
      <c r="N43" s="2564">
        <v>48350</v>
      </c>
      <c r="O43" s="2565"/>
      <c r="P43" s="2526"/>
      <c r="Q43" s="148"/>
      <c r="R43" s="148"/>
      <c r="S43" s="148"/>
      <c r="Z43" s="2556"/>
      <c r="AA43" s="2556"/>
      <c r="AC43" s="769"/>
    </row>
    <row r="44" spans="1:29">
      <c r="A44" s="139"/>
      <c r="B44" s="2534"/>
      <c r="C44" s="2519"/>
      <c r="D44" s="2563"/>
      <c r="E44" s="247" t="str">
        <f>TEXT(N44,"$0,000")&amp;" if married filing jointly or qualifying widow(er),"</f>
        <v>$96,700 if married filing jointly or qualifying widow(er),</v>
      </c>
      <c r="F44" s="247"/>
      <c r="G44" s="247"/>
      <c r="H44" s="229"/>
      <c r="I44" s="229"/>
      <c r="J44" s="2519" t="s">
        <v>1407</v>
      </c>
      <c r="K44" s="2566" t="s">
        <v>188</v>
      </c>
      <c r="L44" s="2552" t="str">
        <f>IF(NOT(CGTW),"",N46)</f>
        <v/>
      </c>
      <c r="M44" s="229"/>
      <c r="N44" s="2564">
        <v>96700</v>
      </c>
      <c r="O44" s="2565"/>
      <c r="P44" s="2526"/>
      <c r="Q44" s="148"/>
      <c r="R44" s="148"/>
      <c r="S44" s="148"/>
      <c r="Z44" s="2556"/>
      <c r="AA44" s="2556"/>
      <c r="AC44" s="769"/>
    </row>
    <row r="45" spans="1:29" ht="12" customHeight="1">
      <c r="A45" s="139"/>
      <c r="B45" s="2534"/>
      <c r="C45" s="2519"/>
      <c r="D45" s="2563"/>
      <c r="E45" s="247" t="str">
        <f>TEXT(N45,"$0,000")&amp;" if head of household."</f>
        <v>$64,750 if head of household.</v>
      </c>
      <c r="F45" s="247"/>
      <c r="G45" s="247"/>
      <c r="H45" s="229"/>
      <c r="I45" s="229"/>
      <c r="J45" s="1879"/>
      <c r="K45" s="229"/>
      <c r="L45" s="229"/>
      <c r="M45" s="229"/>
      <c r="N45" s="2564">
        <v>64750</v>
      </c>
      <c r="O45" s="2567"/>
      <c r="P45" s="2526"/>
      <c r="Q45" s="148"/>
      <c r="R45" s="148"/>
      <c r="S45" s="148"/>
      <c r="Z45" s="2556"/>
      <c r="AA45" s="2556"/>
      <c r="AC45" s="769"/>
    </row>
    <row r="46" spans="1:29" ht="13.5" customHeight="1">
      <c r="A46" s="139"/>
      <c r="B46" s="2568"/>
      <c r="C46" s="2519" t="s">
        <v>198</v>
      </c>
      <c r="D46" s="2563"/>
      <c r="E46" s="247" t="s">
        <v>1408</v>
      </c>
      <c r="F46" s="247"/>
      <c r="G46" s="247"/>
      <c r="H46" s="247"/>
      <c r="I46" s="247"/>
      <c r="J46" s="2519" t="s">
        <v>1409</v>
      </c>
      <c r="K46" s="2519" t="str">
        <f t="shared" ref="K46:K51" si="0">C46</f>
        <v>7.</v>
      </c>
      <c r="L46" s="2552">
        <f>MIN(CGTW_Line1,L44)</f>
        <v>0</v>
      </c>
      <c r="M46" s="247"/>
      <c r="N46" s="2569" t="str">
        <f>IF(OR(File_Single&lt;&gt;"",File_Marr_Sep&lt;&gt;""),N43,IF(OR(File_Marr_Joint&lt;&gt;"",File_Qual_Widow&lt;&gt;""),N44,IF(File_Head&lt;&gt;"",N45,"")))</f>
        <v/>
      </c>
      <c r="O46" s="2553"/>
      <c r="P46" s="2526"/>
      <c r="Q46" s="148"/>
      <c r="R46" s="148"/>
      <c r="S46" s="148"/>
      <c r="Z46" s="2556"/>
      <c r="AA46" s="2556"/>
      <c r="AC46" s="769"/>
    </row>
    <row r="47" spans="1:29" ht="12" customHeight="1">
      <c r="A47" s="139"/>
      <c r="B47" s="2534"/>
      <c r="C47" s="2519" t="s">
        <v>200</v>
      </c>
      <c r="D47" s="2557"/>
      <c r="E47" s="247" t="s">
        <v>1410</v>
      </c>
      <c r="F47" s="247"/>
      <c r="G47" s="1183"/>
      <c r="H47" s="247"/>
      <c r="I47" s="247"/>
      <c r="J47" s="2519" t="s">
        <v>1411</v>
      </c>
      <c r="K47" s="2519" t="str">
        <f t="shared" si="0"/>
        <v>8.</v>
      </c>
      <c r="L47" s="2552">
        <f>MIN(CGTW_Line5,L46)</f>
        <v>0</v>
      </c>
      <c r="M47" s="247"/>
      <c r="N47" s="247"/>
      <c r="O47" s="2553"/>
      <c r="P47" s="2526"/>
      <c r="Q47" s="148"/>
      <c r="R47" s="148"/>
      <c r="S47" s="148"/>
      <c r="AC47" s="769"/>
    </row>
    <row r="48" spans="1:29" ht="12" customHeight="1">
      <c r="A48" s="139"/>
      <c r="B48" s="2534"/>
      <c r="C48" s="2519" t="s">
        <v>205</v>
      </c>
      <c r="D48" s="2519"/>
      <c r="E48" s="247" t="s">
        <v>1412</v>
      </c>
      <c r="F48" s="247"/>
      <c r="G48" s="2570"/>
      <c r="H48" s="229"/>
      <c r="I48" s="229"/>
      <c r="J48" s="2519" t="s">
        <v>1413</v>
      </c>
      <c r="K48" s="2519" t="str">
        <f t="shared" si="0"/>
        <v>9.</v>
      </c>
      <c r="L48" s="2552">
        <f>SUM(L46,-L47)</f>
        <v>0</v>
      </c>
      <c r="M48" s="229"/>
      <c r="N48" s="229"/>
      <c r="O48" s="2553"/>
      <c r="P48" s="2526"/>
      <c r="Q48" s="148"/>
      <c r="R48" s="148"/>
      <c r="S48" s="148"/>
      <c r="AC48" s="769"/>
    </row>
    <row r="49" spans="1:31" ht="12.75" customHeight="1">
      <c r="A49" s="139"/>
      <c r="B49" s="2568"/>
      <c r="C49" s="2519" t="s">
        <v>210</v>
      </c>
      <c r="D49" s="247"/>
      <c r="E49" s="247" t="s">
        <v>1414</v>
      </c>
      <c r="F49" s="247"/>
      <c r="G49" s="247"/>
      <c r="H49" s="247"/>
      <c r="I49" s="247"/>
      <c r="J49" s="2519" t="s">
        <v>1415</v>
      </c>
      <c r="K49" s="2519" t="str">
        <f t="shared" si="0"/>
        <v>10.</v>
      </c>
      <c r="L49" s="2552">
        <f>MIN(CGTW_Line1,J40)</f>
        <v>0</v>
      </c>
      <c r="M49" s="2519"/>
      <c r="N49" s="1183"/>
      <c r="O49" s="2553"/>
      <c r="P49" s="2526"/>
      <c r="Q49" s="148"/>
      <c r="R49" s="148"/>
      <c r="S49" s="148"/>
      <c r="AC49" s="769"/>
    </row>
    <row r="50" spans="1:31" ht="13.5" customHeight="1">
      <c r="A50" s="139"/>
      <c r="B50" s="2534"/>
      <c r="C50" s="2519" t="s">
        <v>212</v>
      </c>
      <c r="D50" s="247"/>
      <c r="E50" s="247" t="s">
        <v>1416</v>
      </c>
      <c r="F50" s="247"/>
      <c r="G50" s="247"/>
      <c r="H50" s="247"/>
      <c r="I50" s="247"/>
      <c r="J50" s="248" t="s">
        <v>1409</v>
      </c>
      <c r="K50" s="2519" t="str">
        <f t="shared" si="0"/>
        <v>11.</v>
      </c>
      <c r="L50" s="2552">
        <f>L48</f>
        <v>0</v>
      </c>
      <c r="M50" s="247"/>
      <c r="N50" s="2562"/>
      <c r="O50" s="2553"/>
      <c r="P50" s="2526"/>
      <c r="Q50" s="148"/>
      <c r="R50" s="148"/>
      <c r="S50" s="148"/>
      <c r="AC50" s="769"/>
    </row>
    <row r="51" spans="1:31" ht="13.5" customHeight="1">
      <c r="A51" s="139"/>
      <c r="B51" s="2534"/>
      <c r="C51" s="2519" t="s">
        <v>1366</v>
      </c>
      <c r="D51" s="2557"/>
      <c r="E51" s="247" t="s">
        <v>1417</v>
      </c>
      <c r="F51" s="247"/>
      <c r="G51" s="1183"/>
      <c r="H51" s="247"/>
      <c r="I51" s="247"/>
      <c r="J51" s="248" t="s">
        <v>1418</v>
      </c>
      <c r="K51" s="2519" t="str">
        <f t="shared" si="0"/>
        <v>12.</v>
      </c>
      <c r="L51" s="2552">
        <f>SUM(L49,-L50)</f>
        <v>0</v>
      </c>
      <c r="M51" s="2519"/>
      <c r="N51" s="2560"/>
      <c r="O51" s="2571"/>
      <c r="P51" s="2526"/>
      <c r="Q51" s="148"/>
      <c r="R51" s="148"/>
      <c r="S51" s="148"/>
      <c r="AC51" s="769"/>
    </row>
    <row r="52" spans="1:31" ht="13.5" customHeight="1">
      <c r="A52" s="139"/>
      <c r="B52" s="2534"/>
      <c r="C52" s="2519" t="s">
        <v>1368</v>
      </c>
      <c r="D52" s="247"/>
      <c r="E52" s="247" t="s">
        <v>1406</v>
      </c>
      <c r="F52" s="247"/>
      <c r="G52" s="229"/>
      <c r="H52" s="229"/>
      <c r="I52" s="229"/>
      <c r="J52" s="229"/>
      <c r="K52" s="2519"/>
      <c r="L52" s="2560"/>
      <c r="M52" s="229"/>
      <c r="N52" s="2562"/>
      <c r="O52" s="2553"/>
      <c r="P52" s="2526"/>
      <c r="Q52" s="148"/>
      <c r="R52" s="148"/>
      <c r="S52" s="148"/>
      <c r="AC52" s="769"/>
    </row>
    <row r="53" spans="1:31">
      <c r="A53" s="139"/>
      <c r="B53" s="2534"/>
      <c r="C53" s="2519"/>
      <c r="D53" s="2563"/>
      <c r="E53" s="247" t="str">
        <f>TEXT(N53,"$0,000")&amp;" if single,"</f>
        <v>$533,400 if single,</v>
      </c>
      <c r="F53" s="247"/>
      <c r="G53" s="247"/>
      <c r="H53" s="229"/>
      <c r="I53" s="229"/>
      <c r="J53" s="2519"/>
      <c r="K53" s="229"/>
      <c r="L53" s="229"/>
      <c r="M53" s="229"/>
      <c r="N53" s="2564">
        <v>533400</v>
      </c>
      <c r="O53" s="2565"/>
      <c r="P53" s="2526"/>
      <c r="Q53" s="148"/>
      <c r="R53" s="148"/>
      <c r="S53" s="148"/>
      <c r="AC53" s="769"/>
    </row>
    <row r="54" spans="1:31">
      <c r="A54" s="139"/>
      <c r="B54" s="2534"/>
      <c r="C54" s="2519"/>
      <c r="D54" s="2563"/>
      <c r="E54" s="247" t="str">
        <f>TEXT(N54,"$0,000")&amp;" if married filing separately,"</f>
        <v>$300,000 if married filing separately,</v>
      </c>
      <c r="F54" s="247"/>
      <c r="G54" s="247"/>
      <c r="H54" s="229"/>
      <c r="I54" s="229"/>
      <c r="J54" s="2519"/>
      <c r="K54" s="229"/>
      <c r="L54" s="229"/>
      <c r="M54" s="229"/>
      <c r="N54" s="2564">
        <v>300000</v>
      </c>
      <c r="O54" s="2565"/>
      <c r="P54" s="2526"/>
      <c r="Q54" s="148"/>
      <c r="R54" s="148"/>
      <c r="S54" s="148"/>
      <c r="AC54" s="769"/>
    </row>
    <row r="55" spans="1:31">
      <c r="A55" s="139"/>
      <c r="B55" s="2534"/>
      <c r="C55" s="2519"/>
      <c r="D55" s="2563"/>
      <c r="E55" s="247" t="str">
        <f>TEXT(N55,"$0,000")&amp;" if married filing jointly or qualifying widow(er),"</f>
        <v>$600,050 if married filing jointly or qualifying widow(er),</v>
      </c>
      <c r="F55" s="247"/>
      <c r="G55" s="247"/>
      <c r="H55" s="229"/>
      <c r="I55" s="229"/>
      <c r="J55" s="2519" t="s">
        <v>1407</v>
      </c>
      <c r="K55" s="2566" t="s">
        <v>1368</v>
      </c>
      <c r="L55" s="2552" t="str">
        <f>IF(NOT(CGTW),"",N57)</f>
        <v/>
      </c>
      <c r="M55" s="229"/>
      <c r="N55" s="2564">
        <v>600050</v>
      </c>
      <c r="O55" s="2565"/>
      <c r="P55" s="2526"/>
      <c r="Q55" s="148"/>
      <c r="R55" s="148"/>
      <c r="S55" s="148"/>
      <c r="AC55" s="769"/>
    </row>
    <row r="56" spans="1:31" ht="12" customHeight="1" thickBot="1">
      <c r="A56" s="139"/>
      <c r="B56" s="2534"/>
      <c r="C56" s="2519"/>
      <c r="D56" s="2563"/>
      <c r="E56" s="247" t="str">
        <f>TEXT(N56,"$0,000")&amp;" if head of household."</f>
        <v>$566,700 if head of household.</v>
      </c>
      <c r="F56" s="247"/>
      <c r="G56" s="247"/>
      <c r="H56" s="229"/>
      <c r="I56" s="229"/>
      <c r="J56" s="1879"/>
      <c r="K56" s="229"/>
      <c r="L56" s="229"/>
      <c r="M56" s="229"/>
      <c r="N56" s="2564">
        <v>566700</v>
      </c>
      <c r="O56" s="2567"/>
      <c r="P56" s="2526"/>
      <c r="Q56" s="148"/>
      <c r="R56" s="148"/>
      <c r="S56" s="148"/>
      <c r="U56" s="329" t="s">
        <v>1419</v>
      </c>
      <c r="V56" s="84" t="s">
        <v>13</v>
      </c>
      <c r="W56" s="84" t="s">
        <v>663</v>
      </c>
      <c r="X56" s="84" t="s">
        <v>21</v>
      </c>
      <c r="Y56" s="84" t="s">
        <v>24</v>
      </c>
      <c r="AC56" s="769"/>
    </row>
    <row r="57" spans="1:31" ht="13.5" customHeight="1" thickTop="1" thickBot="1">
      <c r="A57" s="139"/>
      <c r="B57" s="2568"/>
      <c r="C57" s="2566" t="s">
        <v>1369</v>
      </c>
      <c r="D57" s="247"/>
      <c r="E57" s="247" t="s">
        <v>1420</v>
      </c>
      <c r="F57" s="247"/>
      <c r="G57" s="247"/>
      <c r="H57" s="247"/>
      <c r="I57" s="247"/>
      <c r="J57" s="2519" t="s">
        <v>1415</v>
      </c>
      <c r="K57" s="2519" t="str">
        <f>C57</f>
        <v>14.</v>
      </c>
      <c r="L57" s="2552">
        <f>MIN(CGTW_Line1,L55)</f>
        <v>0</v>
      </c>
      <c r="M57" s="2519"/>
      <c r="N57" s="2564" t="str">
        <f>IF(File_Single&lt;&gt;"",CGTW_Line13_Single,IF(File_Marr_Sep&lt;&gt;"",CGTW_Line13_MFS,IF(OR(File_Marr_Joint&lt;&gt;"",File_Qual_Widow&lt;&gt;""),CGTW_Line13_MFJQW,IF(File_Head&lt;&gt;"",CGTW_Line13_HOH,""))))</f>
        <v/>
      </c>
      <c r="O57" s="2553"/>
      <c r="P57" s="2526"/>
      <c r="Q57" s="148"/>
      <c r="R57" s="148"/>
      <c r="S57" s="148"/>
      <c r="U57" s="5358" t="str">
        <f>CGTW_Line5</f>
        <v/>
      </c>
      <c r="V57" s="2572" t="e">
        <f>LOOKUP(U57,'Tax Table'!$B$2:$B$2063,'Tax Table'!$D$2:$D$2063)</f>
        <v>#N/A</v>
      </c>
      <c r="W57" s="2572" t="e">
        <f>LOOKUP(U57,'Tax Table'!$B$2:$B$2063,'Tax Table'!$E$2:$E$2063)</f>
        <v>#N/A</v>
      </c>
      <c r="X57" s="2572" t="e">
        <f>LOOKUP(U57,'Tax Table'!$B$2:$B$2063,'Tax Table'!$F$2:$F$2063)</f>
        <v>#N/A</v>
      </c>
      <c r="Y57" s="2573" t="e">
        <f>LOOKUP(U57,'Tax Table'!$B$2:$B$2063,'Tax Table'!$G$2:$G$2063)</f>
        <v>#N/A</v>
      </c>
      <c r="AC57" s="769"/>
    </row>
    <row r="58" spans="1:31" ht="13.5" customHeight="1" thickBot="1">
      <c r="A58" s="139"/>
      <c r="B58" s="2534"/>
      <c r="C58" s="2566" t="s">
        <v>1371</v>
      </c>
      <c r="D58" s="2557"/>
      <c r="E58" s="247" t="s">
        <v>1421</v>
      </c>
      <c r="F58" s="247"/>
      <c r="G58" s="1183"/>
      <c r="H58" s="247"/>
      <c r="I58" s="247"/>
      <c r="J58" s="2519" t="s">
        <v>1411</v>
      </c>
      <c r="K58" s="2519" t="str">
        <f>C58</f>
        <v>15.</v>
      </c>
      <c r="L58" s="2552">
        <f>SUM(CGTW_Line5,L48)</f>
        <v>0</v>
      </c>
      <c r="M58" s="247"/>
      <c r="N58" s="247"/>
      <c r="O58" s="2553"/>
      <c r="P58" s="2526"/>
      <c r="Q58" s="148"/>
      <c r="R58" s="148"/>
      <c r="S58" s="148"/>
      <c r="U58" s="4640"/>
      <c r="V58" s="2574" t="e">
        <f>IF(U57&lt;SectA_a2,"---",IF(U57&lt;=SectA_a3,ROUND(U57*(SectA_b3/100),0)-SectA_d3,IF(U57&lt;=SectA_a4,ROUND(U57*(SectA_b4/100),0)-SectA_d4,IF(U57&lt;=SectA_a5,ROUND(U57*(SectA_b5/100),0)-SectA_d5,IF(U57&lt;=SectA_a6,ROUND(U57*(SectA_b6/100),0)-SectA_d6,ROUND(U57*(SectA_b7/100),0)-SectA_d7)))))</f>
        <v>#VALUE!</v>
      </c>
      <c r="W58" s="2574" t="e">
        <f>IF(U57&lt;SectB_a2,"---",IF(U57&lt;=SectB_a3,ROUND(U57*(SectB_b3/100),0)-SectB_d3,IF(U57&lt;=SectB_a4,ROUND(U57*(SectB_b4/100),0)-SectB_d4,IF(U57&lt;=SectB_a5,ROUND(U57*(SectB_b5/100),0)-SectB_d5,IF(U57&lt;=SectB_a6,ROUND(U57*(SectB_b6/100),0)-SectB_d6,ROUND(U57*(SectB_b7/100),0)-SectB_d7)))))</f>
        <v>#VALUE!</v>
      </c>
      <c r="X58" s="2574" t="e">
        <f>IF(U57&lt;SectC_a1,"---",IF(U57&lt;=SectC_a2,ROUND(U57*(SectC_b2/100),0)-SectC_d2,IF(U57&lt;=SectC_a3,ROUND(U57*(SectC_b3/100),0)-SectC_d3,IF(U57&lt;=SectC_a4,ROUND(U57*(SectC_b4/100),0)-SectC_d4,IF(U57&lt;=SectC_a5,ROUND(U57*(SectC_b5/100),0)-SectC_d5,ROUND(U57*(SectC_b6/100),0)-SectC_d6)))))</f>
        <v>#VALUE!</v>
      </c>
      <c r="Y58" s="2575" t="e">
        <f>IF(U57&lt;SectD_a2,"---",IF(U57&lt;=SectD_a3,ROUND(U57*(SectD_b3/100),0)-SectD_d3,IF(U57&lt;=SectD_a4,ROUND(U57*(SectD_b4/100),0)-SectD_d4,IF(U57&lt;=SectD_a5,ROUND(U57*(SectD_b5/100),0)-SectD_d5,IF(U57&lt;=SectD_a6,ROUND(U57*(SectD_b6/100),0)-SectD_d6,ROUND(U57*(SectD_b7/100),0)-SectD_d7)))))</f>
        <v>#VALUE!</v>
      </c>
      <c r="AC58" s="769"/>
    </row>
    <row r="59" spans="1:31" ht="12" customHeight="1" thickBot="1">
      <c r="A59" s="139"/>
      <c r="B59" s="2534"/>
      <c r="C59" s="2566" t="s">
        <v>1372</v>
      </c>
      <c r="D59" s="1183"/>
      <c r="E59" s="247" t="s">
        <v>1422</v>
      </c>
      <c r="F59" s="247"/>
      <c r="G59" s="247"/>
      <c r="H59" s="247"/>
      <c r="I59" s="247"/>
      <c r="J59" s="2519" t="s">
        <v>1405</v>
      </c>
      <c r="K59" s="2519" t="str">
        <f>C59</f>
        <v>16.</v>
      </c>
      <c r="L59" s="2552" t="str">
        <f>IF(NOT(CGTW),"",IF(SUM(L57,-L58)&lt;=0,0,SUM(L57,-L58)))</f>
        <v/>
      </c>
      <c r="M59" s="247"/>
      <c r="N59" s="2561"/>
      <c r="O59" s="2553"/>
      <c r="P59" s="2526"/>
      <c r="Q59" s="148"/>
      <c r="R59" s="148"/>
      <c r="S59" s="148"/>
      <c r="U59" s="2576" t="str">
        <f>IF(File_Single&lt;&gt;"",V57,IF(File_Marr_Joint&lt;&gt;"",W57,IF(File_Marr_Sep&lt;&gt;"", X57,IF(File_Head&lt;&gt;"",Y57,IF(File_Qual_Widow&lt;&gt;"",W57,"Filing status?")))))</f>
        <v>Filing status?</v>
      </c>
      <c r="V59" s="1061" t="str">
        <f>"&lt;100k"</f>
        <v>&lt;100k</v>
      </c>
      <c r="W59" s="1061"/>
      <c r="X59" s="1061"/>
      <c r="Y59" s="2577"/>
      <c r="AC59" s="769"/>
      <c r="AE59" s="664" t="s">
        <v>709</v>
      </c>
    </row>
    <row r="60" spans="1:31" ht="12.75" customHeight="1" thickBot="1">
      <c r="A60" s="139"/>
      <c r="B60" s="2568"/>
      <c r="C60" s="2566" t="s">
        <v>1373</v>
      </c>
      <c r="D60" s="247"/>
      <c r="E60" s="247" t="s">
        <v>1423</v>
      </c>
      <c r="F60" s="247"/>
      <c r="G60" s="247"/>
      <c r="H60" s="247"/>
      <c r="I60" s="247"/>
      <c r="J60" s="2519" t="s">
        <v>1415</v>
      </c>
      <c r="K60" s="2519" t="str">
        <f>C60</f>
        <v>17.</v>
      </c>
      <c r="L60" s="2552">
        <f>MIN(L51,L59)</f>
        <v>0</v>
      </c>
      <c r="M60" s="2519"/>
      <c r="N60" s="2578">
        <v>0.15</v>
      </c>
      <c r="O60" s="2553"/>
      <c r="P60" s="2526"/>
      <c r="Q60" s="148"/>
      <c r="R60" s="148"/>
      <c r="S60" s="148"/>
      <c r="U60" s="2579" t="str">
        <f>IF(File_Single&lt;&gt;"",V58,IF(OR(File_Marr_Joint&lt;&gt;"",File_Qual_Widow&lt;&gt;""),W58,IF(File_Marr_Sep&lt;&gt;"", X58,IF(File_Head&lt;&gt;"",Y58,"Filing status?"))))</f>
        <v>Filing status?</v>
      </c>
      <c r="V60" s="2580" t="str">
        <f>"&gt;=100k"</f>
        <v>&gt;=100k</v>
      </c>
      <c r="W60" s="2580"/>
      <c r="X60" s="2580" t="s">
        <v>672</v>
      </c>
      <c r="Y60" s="2581" t="str">
        <f>IF(NumFileStatusBoxes=0,"FilingStatus?",IF(U57&gt;100000,ROUND(U60,0),ROUND(U59,0)))</f>
        <v>FilingStatus?</v>
      </c>
      <c r="AC60" s="769"/>
    </row>
    <row r="61" spans="1:31" ht="13.5" customHeight="1" thickTop="1">
      <c r="A61" s="139"/>
      <c r="B61" s="2534"/>
      <c r="C61" s="2566" t="s">
        <v>1374</v>
      </c>
      <c r="D61" s="2557"/>
      <c r="E61" s="247" t="str">
        <f>"Multiply line 17 by "&amp;TEXT(N60,"0%")&amp;" ("&amp;TEXT(N60,"0.00")&amp;") "</f>
        <v xml:space="preserve">Multiply line 17 by 15% (0.15) </v>
      </c>
      <c r="F61" s="247"/>
      <c r="G61" s="1183"/>
      <c r="H61" s="247"/>
      <c r="I61" s="247"/>
      <c r="J61" s="2519"/>
      <c r="K61" s="2519"/>
      <c r="L61" s="248" t="s">
        <v>1424</v>
      </c>
      <c r="M61" s="2566" t="s">
        <v>1374</v>
      </c>
      <c r="N61" s="2552">
        <f>ROUND(L60*N60,0)</f>
        <v>0</v>
      </c>
      <c r="O61" s="2571"/>
      <c r="P61" s="2526"/>
      <c r="Q61" s="148"/>
      <c r="R61" s="148"/>
      <c r="S61" s="148"/>
      <c r="AC61" s="769"/>
    </row>
    <row r="62" spans="1:31" ht="13.5" customHeight="1">
      <c r="A62" s="139"/>
      <c r="B62" s="2534"/>
      <c r="C62" s="2566" t="s">
        <v>1377</v>
      </c>
      <c r="D62" s="2557"/>
      <c r="E62" s="247" t="s">
        <v>1425</v>
      </c>
      <c r="F62" s="247"/>
      <c r="G62" s="1183"/>
      <c r="H62" s="247"/>
      <c r="I62" s="247"/>
      <c r="J62" s="2519" t="s">
        <v>1426</v>
      </c>
      <c r="K62" s="2519" t="str">
        <f>C62</f>
        <v>19.</v>
      </c>
      <c r="L62" s="2552">
        <f>SUM(L48,L60)</f>
        <v>0</v>
      </c>
      <c r="M62" s="247"/>
      <c r="N62" s="247"/>
      <c r="O62" s="2553"/>
      <c r="P62" s="2526"/>
      <c r="Q62" s="148"/>
      <c r="R62" s="148"/>
      <c r="S62" s="148"/>
      <c r="AC62" s="769"/>
    </row>
    <row r="63" spans="1:31" ht="12" customHeight="1" thickBot="1">
      <c r="A63" s="139"/>
      <c r="B63" s="2534"/>
      <c r="C63" s="2566" t="s">
        <v>1381</v>
      </c>
      <c r="D63" s="2557"/>
      <c r="E63" s="247" t="s">
        <v>1427</v>
      </c>
      <c r="F63" s="247"/>
      <c r="G63" s="1183"/>
      <c r="H63" s="247"/>
      <c r="I63" s="247"/>
      <c r="J63" s="248" t="s">
        <v>1418</v>
      </c>
      <c r="K63" s="2519" t="str">
        <f>C63</f>
        <v>20.</v>
      </c>
      <c r="L63" s="2552">
        <f>SUM(L49,-L62)</f>
        <v>0</v>
      </c>
      <c r="M63" s="2519"/>
      <c r="N63" s="2578">
        <v>0.2</v>
      </c>
      <c r="O63" s="2571"/>
      <c r="P63" s="2526"/>
      <c r="Q63" s="148"/>
      <c r="R63" s="148"/>
      <c r="S63" s="148"/>
      <c r="U63" s="329" t="s">
        <v>1428</v>
      </c>
      <c r="V63" s="84" t="s">
        <v>13</v>
      </c>
      <c r="W63" s="84" t="s">
        <v>663</v>
      </c>
      <c r="X63" s="84" t="s">
        <v>21</v>
      </c>
      <c r="Y63" s="84" t="s">
        <v>24</v>
      </c>
      <c r="AC63" s="769"/>
    </row>
    <row r="64" spans="1:31" ht="13.5" customHeight="1" thickTop="1" thickBot="1">
      <c r="A64" s="139"/>
      <c r="B64" s="2534"/>
      <c r="C64" s="2566" t="s">
        <v>1383</v>
      </c>
      <c r="D64" s="2557"/>
      <c r="E64" s="247" t="str">
        <f>"Multiply line 20 by "&amp;TEXT(N63,"0%")&amp;" ("&amp;TEXT(N63,"0.00")&amp;") "</f>
        <v xml:space="preserve">Multiply line 20 by 20% (0.20) </v>
      </c>
      <c r="F64" s="247"/>
      <c r="G64" s="1183"/>
      <c r="H64" s="247"/>
      <c r="I64" s="247"/>
      <c r="J64" s="2519"/>
      <c r="K64" s="2519"/>
      <c r="L64" s="248" t="s">
        <v>1424</v>
      </c>
      <c r="M64" s="2566" t="s">
        <v>1383</v>
      </c>
      <c r="N64" s="2552">
        <f>ROUND(L63*N63,0)</f>
        <v>0</v>
      </c>
      <c r="O64" s="2571"/>
      <c r="P64" s="2526"/>
      <c r="Q64" s="148"/>
      <c r="R64" s="148"/>
      <c r="S64" s="148"/>
      <c r="U64" s="5358" t="str">
        <f>CGTW_Line1</f>
        <v/>
      </c>
      <c r="V64" s="2572" t="e">
        <f>LOOKUP(U64,'Tax Table'!$B$2:$B$2063,'Tax Table'!$D$2:$D$2063)</f>
        <v>#N/A</v>
      </c>
      <c r="W64" s="2572" t="e">
        <f>LOOKUP(U64,'Tax Table'!$B$2:$B$2063,'Tax Table'!$E$2:$E$2063)</f>
        <v>#N/A</v>
      </c>
      <c r="X64" s="2572" t="e">
        <f>LOOKUP(U64,'Tax Table'!$B$2:$B$2063,'Tax Table'!$F$2:$F$2063)</f>
        <v>#N/A</v>
      </c>
      <c r="Y64" s="2573" t="e">
        <f>LOOKUP(U64,'Tax Table'!$B$2:$B$2063,'Tax Table'!$G$2:$G$2063)</f>
        <v>#N/A</v>
      </c>
      <c r="AC64" s="769"/>
    </row>
    <row r="65" spans="1:29" ht="13.5" customHeight="1" thickBot="1">
      <c r="A65" s="139"/>
      <c r="B65" s="2534"/>
      <c r="C65" s="2566" t="s">
        <v>1385</v>
      </c>
      <c r="D65" s="2557"/>
      <c r="E65" s="247" t="s">
        <v>1429</v>
      </c>
      <c r="F65" s="247"/>
      <c r="G65" s="1183"/>
      <c r="H65" s="247"/>
      <c r="I65" s="247"/>
      <c r="J65" s="2519"/>
      <c r="K65" s="2519"/>
      <c r="L65" s="248"/>
      <c r="M65" s="2519"/>
      <c r="N65" s="2560"/>
      <c r="O65" s="2571"/>
      <c r="P65" s="2526"/>
      <c r="Q65" s="148"/>
      <c r="R65" s="148"/>
      <c r="S65" s="148"/>
      <c r="U65" s="4640"/>
      <c r="V65" s="2574" t="e">
        <f>IF(U64&lt;SectA_a2,"---",IF(U64&lt;=SectA_a3,ROUND(U64*(SectA_b3/100),0)-SectA_d3,IF(U64&lt;=SectA_a4,ROUND(U64*(SectA_b4/100),0)-SectA_d4,IF(U64&lt;=SectA_a5,ROUND(U64*(SectA_b5/100),0)-SectA_d5,IF(U64&lt;=SectA_a6,ROUND(U64*(SectA_b6/100),0)-SectA_d6,ROUND(U64*(SectA_b7/100),0)-SectA_d7)))))</f>
        <v>#VALUE!</v>
      </c>
      <c r="W65" s="2574" t="e">
        <f>IF(U64&lt;SectB_a2,"---",IF(U64&lt;=SectB_a3,ROUND(U64*(SectB_b3/100),0)-SectB_d3,IF(U64&lt;=SectB_a4,ROUND(U64*(SectB_b4/100),0)-SectB_d4,IF(U64&lt;=SectB_a5,ROUND(U64*(SectB_b5/100),0)-SectB_d5,IF(U64&lt;=SectB_a6,ROUND(U64*(SectB_b6/100),0)-SectB_d6,ROUND(U64*(SectB_b7/100),0)-SectB_d7)))))</f>
        <v>#VALUE!</v>
      </c>
      <c r="X65" s="2574" t="e">
        <f>IF(U64&lt;SectC_a1,"---",IF(U64&lt;=SectC_a2,ROUND(U64*(SectC_b2/100),0)-SectC_d2,IF(U64&lt;=SectC_a3,ROUND(U64*(SectC_b3/100),0)-SectC_d3,IF(U64&lt;=SectC_a4,ROUND(U64*(SectC_b4/100),0)-SectC_d4,IF(U64&lt;=SectC_a5,ROUND(U64*(SectC_b5/100),0)-SectC_d5,ROUND(U64*(SectC_b6/100),0)-SectC_d6)))))</f>
        <v>#VALUE!</v>
      </c>
      <c r="Y65" s="2575" t="e">
        <f>IF(U64&lt;SectD_a2,"---",IF(U64&lt;=SectD_a3,ROUND(U64*(SectD_b3/100),0)-SectD_d3,IF(U64&lt;=SectD_a4,ROUND(U64*(SectD_b4/100),0)-SectD_d4,IF(U64&lt;=SectD_a5,ROUND(U64*(SectD_b5/100),0)-SectD_d5,IF(U64&lt;=SectD_a6,ROUND(U64*(SectD_b6/100),0)-SectD_d6,ROUND(U64*(SectD_b7/100),0)-SectD_d7)))))</f>
        <v>#VALUE!</v>
      </c>
      <c r="AC65" s="769"/>
    </row>
    <row r="66" spans="1:29" ht="13.5" customHeight="1" thickBot="1">
      <c r="A66" s="139"/>
      <c r="B66" s="2534"/>
      <c r="C66" s="2519"/>
      <c r="D66" s="2557"/>
      <c r="E66" s="247" t="s">
        <v>1430</v>
      </c>
      <c r="F66" s="247"/>
      <c r="G66" s="1183"/>
      <c r="H66" s="247"/>
      <c r="I66" s="247"/>
      <c r="J66" s="2519"/>
      <c r="K66" s="2519"/>
      <c r="L66" s="248"/>
      <c r="M66" s="2519"/>
      <c r="N66" s="2560"/>
      <c r="O66" s="2571"/>
      <c r="P66" s="2526"/>
      <c r="Q66" s="148"/>
      <c r="R66" s="148"/>
      <c r="S66" s="148"/>
      <c r="U66" s="2576" t="str">
        <f>IF(File_Single&lt;&gt;"",V64,IF(File_Marr_Joint&lt;&gt;"",W64,IF(File_Marr_Sep&lt;&gt;"", X64,IF(File_Head&lt;&gt;"",Y64,IF(File_Qual_Widow&lt;&gt;"",W64,"Filing status?")))))</f>
        <v>Filing status?</v>
      </c>
      <c r="V66" s="1061" t="str">
        <f>"&lt;100k"</f>
        <v>&lt;100k</v>
      </c>
      <c r="W66" s="1061"/>
      <c r="X66" s="1061"/>
      <c r="Y66" s="2577"/>
      <c r="AC66" s="769"/>
    </row>
    <row r="67" spans="1:29" ht="13.5" customHeight="1" thickBot="1">
      <c r="A67" s="139"/>
      <c r="B67" s="2534"/>
      <c r="C67" s="2566"/>
      <c r="D67" s="2519"/>
      <c r="E67" s="247" t="s">
        <v>1431</v>
      </c>
      <c r="F67" s="247"/>
      <c r="G67" s="247"/>
      <c r="H67" s="1183"/>
      <c r="I67" s="1183"/>
      <c r="J67" s="2519"/>
      <c r="K67" s="2519"/>
      <c r="L67" s="248" t="s">
        <v>1432</v>
      </c>
      <c r="M67" s="2519" t="str">
        <f>C65</f>
        <v>22.</v>
      </c>
      <c r="N67" s="2552" t="str">
        <f>IF(NOT(CGTW),"",Y60)</f>
        <v/>
      </c>
      <c r="O67" s="2553"/>
      <c r="P67" s="2526"/>
      <c r="Q67" s="148"/>
      <c r="R67" s="148"/>
      <c r="S67" s="148"/>
      <c r="U67" s="2579" t="str">
        <f>IF(File_Single&lt;&gt;"",V65,IF(OR(File_Marr_Joint&lt;&gt;"",File_Qual_Widow&lt;&gt;""),W65,IF(File_Marr_Sep&lt;&gt;"", X65,IF(File_Head&lt;&gt;"",Y65,"Filing status?"))))</f>
        <v>Filing status?</v>
      </c>
      <c r="V67" s="2580" t="str">
        <f>"&gt;=100k"</f>
        <v>&gt;=100k</v>
      </c>
      <c r="W67" s="2580"/>
      <c r="X67" s="2580" t="s">
        <v>672</v>
      </c>
      <c r="Y67" s="2581" t="str">
        <f>IF(NumFileStatusBoxes=0,"FilingStatus?",IF(U64&gt;100000,ROUND(U67,0),ROUND(U66,0)))</f>
        <v>FilingStatus?</v>
      </c>
      <c r="AC67" s="769"/>
    </row>
    <row r="68" spans="1:29" ht="13.5" customHeight="1" thickTop="1">
      <c r="A68" s="139"/>
      <c r="B68" s="2534"/>
      <c r="C68" s="2519" t="s">
        <v>1387</v>
      </c>
      <c r="D68" s="2557"/>
      <c r="E68" s="247" t="s">
        <v>1433</v>
      </c>
      <c r="F68" s="247"/>
      <c r="G68" s="1183"/>
      <c r="H68" s="247"/>
      <c r="I68" s="247"/>
      <c r="J68" s="2519"/>
      <c r="K68" s="2519"/>
      <c r="L68" s="248" t="s">
        <v>1434</v>
      </c>
      <c r="M68" s="2519" t="str">
        <f>C68</f>
        <v>23.</v>
      </c>
      <c r="N68" s="2552" t="str">
        <f>IF(NOT(CGTW),"",SUM(N61,N64,N67))</f>
        <v/>
      </c>
      <c r="O68" s="2571"/>
      <c r="P68" s="2526"/>
      <c r="Q68" s="148"/>
      <c r="R68" s="148"/>
      <c r="S68" s="148"/>
      <c r="AC68" s="769"/>
    </row>
    <row r="69" spans="1:29" ht="13.5" customHeight="1">
      <c r="A69" s="139"/>
      <c r="B69" s="2534"/>
      <c r="C69" s="2519" t="s">
        <v>1388</v>
      </c>
      <c r="D69" s="2519"/>
      <c r="E69" s="247" t="s">
        <v>1435</v>
      </c>
      <c r="F69" s="247"/>
      <c r="G69" s="247"/>
      <c r="H69" s="1183"/>
      <c r="I69" s="1183"/>
      <c r="J69" s="2519"/>
      <c r="K69" s="2519"/>
      <c r="L69" s="248"/>
      <c r="M69" s="2519"/>
      <c r="N69" s="2559"/>
      <c r="O69" s="2553"/>
      <c r="P69" s="2526"/>
      <c r="Q69" s="148"/>
      <c r="R69" s="148"/>
      <c r="S69" s="148"/>
      <c r="AC69" s="769"/>
    </row>
    <row r="70" spans="1:29" ht="13.5" customHeight="1">
      <c r="A70" s="139"/>
      <c r="B70" s="2534"/>
      <c r="C70" s="2519"/>
      <c r="D70" s="2519"/>
      <c r="E70" s="247" t="s">
        <v>1436</v>
      </c>
      <c r="F70" s="247"/>
      <c r="G70" s="247"/>
      <c r="H70" s="1183"/>
      <c r="I70" s="1183"/>
      <c r="J70" s="2519"/>
      <c r="K70" s="2519"/>
      <c r="L70" s="248"/>
      <c r="M70" s="2519"/>
      <c r="N70" s="2560"/>
      <c r="O70" s="2553"/>
      <c r="P70" s="2526"/>
      <c r="Q70" s="148"/>
      <c r="R70" s="148"/>
      <c r="S70" s="148"/>
      <c r="AC70" s="769"/>
    </row>
    <row r="71" spans="1:29" ht="13.5" customHeight="1">
      <c r="A71" s="139"/>
      <c r="B71" s="2534"/>
      <c r="C71" s="2566"/>
      <c r="D71" s="2519"/>
      <c r="E71" s="247" t="s">
        <v>1431</v>
      </c>
      <c r="F71" s="247"/>
      <c r="G71" s="247"/>
      <c r="H71" s="1183"/>
      <c r="I71" s="1183"/>
      <c r="J71" s="2519"/>
      <c r="K71" s="2519"/>
      <c r="L71" s="248" t="s">
        <v>1437</v>
      </c>
      <c r="M71" s="2519" t="str">
        <f>C69</f>
        <v>24.</v>
      </c>
      <c r="N71" s="2552" t="str">
        <f>IF(NOT(CGTW),"",Y67)</f>
        <v/>
      </c>
      <c r="O71" s="2553"/>
      <c r="P71" s="2526"/>
      <c r="Q71" s="148"/>
      <c r="R71" s="148"/>
      <c r="S71" s="148"/>
      <c r="AC71" s="769"/>
    </row>
    <row r="72" spans="1:29">
      <c r="A72" s="139"/>
      <c r="B72" s="2534"/>
      <c r="C72" s="2566" t="s">
        <v>1390</v>
      </c>
      <c r="D72" s="2519"/>
      <c r="E72" s="1183" t="s">
        <v>1438</v>
      </c>
      <c r="F72" s="247"/>
      <c r="G72" s="247"/>
      <c r="H72" s="1183"/>
      <c r="I72" s="1183"/>
      <c r="J72" s="2519"/>
      <c r="K72" s="2519"/>
      <c r="L72" s="248"/>
      <c r="M72" s="2519"/>
      <c r="N72" s="2559"/>
      <c r="O72" s="2553"/>
      <c r="P72" s="2526"/>
      <c r="Q72" s="148"/>
      <c r="R72" s="2551"/>
      <c r="S72" s="148"/>
      <c r="AC72" s="769"/>
    </row>
    <row r="73" spans="1:29">
      <c r="A73" s="139"/>
      <c r="B73" s="2534"/>
      <c r="C73" s="2519"/>
      <c r="D73" s="2519"/>
      <c r="E73" s="247" t="s">
        <v>1439</v>
      </c>
      <c r="F73" s="247"/>
      <c r="G73" s="247"/>
      <c r="H73" s="1183"/>
      <c r="I73" s="1183"/>
      <c r="J73" s="2519"/>
      <c r="K73" s="2519"/>
      <c r="L73" s="248"/>
      <c r="M73" s="2519"/>
      <c r="N73" s="2560"/>
      <c r="O73" s="2553"/>
      <c r="P73" s="2526"/>
      <c r="Q73" s="148"/>
      <c r="R73" s="2551" t="s">
        <v>979</v>
      </c>
      <c r="S73" s="148"/>
      <c r="AC73" s="769"/>
    </row>
    <row r="74" spans="1:29">
      <c r="A74" s="139"/>
      <c r="B74" s="2534"/>
      <c r="C74" s="2519"/>
      <c r="D74" s="2519"/>
      <c r="E74" s="247" t="s">
        <v>1440</v>
      </c>
      <c r="F74" s="247"/>
      <c r="G74" s="247"/>
      <c r="H74" s="1183"/>
      <c r="I74" s="1183"/>
      <c r="J74" s="2519"/>
      <c r="K74" s="2519"/>
      <c r="L74" s="248"/>
      <c r="M74" s="2519"/>
      <c r="N74" s="2560"/>
      <c r="O74" s="2553"/>
      <c r="P74" s="2526"/>
      <c r="Q74" s="148"/>
      <c r="R74" s="2551" t="s">
        <v>931</v>
      </c>
      <c r="S74" s="148"/>
      <c r="AC74" s="769"/>
    </row>
    <row r="75" spans="1:29">
      <c r="A75" s="139"/>
      <c r="B75" s="2534"/>
      <c r="C75" s="2566"/>
      <c r="D75" s="2519"/>
      <c r="E75" s="247" t="s">
        <v>1441</v>
      </c>
      <c r="F75" s="247"/>
      <c r="G75" s="247"/>
      <c r="H75" s="1183"/>
      <c r="I75" s="1183"/>
      <c r="J75" s="2519"/>
      <c r="K75" s="2519"/>
      <c r="L75" s="248" t="s">
        <v>1442</v>
      </c>
      <c r="M75" s="2519" t="str">
        <f>C72</f>
        <v>25.</v>
      </c>
      <c r="N75" s="2552" t="str">
        <f>IF(R75&lt;&gt;"",R75,IF(NOT(CGTW),"",MIN(N68,N71)))</f>
        <v/>
      </c>
      <c r="O75" s="2553"/>
      <c r="P75" s="2526"/>
      <c r="Q75" s="148"/>
      <c r="R75" s="274"/>
      <c r="S75" s="148"/>
      <c r="AC75" s="769"/>
    </row>
    <row r="76" spans="1:29" ht="15" customHeight="1">
      <c r="A76" s="139"/>
      <c r="B76" s="2534"/>
      <c r="C76" s="2582" t="s">
        <v>1443</v>
      </c>
      <c r="D76" s="2519"/>
      <c r="E76" s="247"/>
      <c r="F76" s="247"/>
      <c r="G76" s="247"/>
      <c r="H76" s="1183"/>
      <c r="I76" s="1183"/>
      <c r="J76" s="2519"/>
      <c r="K76" s="2519"/>
      <c r="L76" s="248"/>
      <c r="M76" s="2519"/>
      <c r="N76" s="2560"/>
      <c r="O76" s="2553"/>
      <c r="P76" s="2526"/>
      <c r="Q76" s="148"/>
      <c r="R76" s="148"/>
      <c r="S76" s="148"/>
      <c r="AC76" s="769"/>
    </row>
    <row r="77" spans="1:29" ht="11.25" customHeight="1" thickBot="1">
      <c r="A77" s="139"/>
      <c r="B77" s="2541"/>
      <c r="C77" s="2521"/>
      <c r="D77" s="2521"/>
      <c r="E77" s="2583"/>
      <c r="F77" s="2583"/>
      <c r="G77" s="2583"/>
      <c r="H77" s="2584"/>
      <c r="I77" s="2584"/>
      <c r="J77" s="2584"/>
      <c r="K77" s="2584"/>
      <c r="L77" s="2584"/>
      <c r="M77" s="2521"/>
      <c r="N77" s="2585"/>
      <c r="O77" s="2586"/>
      <c r="P77" s="2526"/>
      <c r="Q77" s="148"/>
      <c r="R77" s="148"/>
      <c r="S77" s="148"/>
      <c r="U77" s="688" t="s">
        <v>1444</v>
      </c>
      <c r="V77" s="84" t="s">
        <v>13</v>
      </c>
      <c r="W77" s="84" t="s">
        <v>663</v>
      </c>
      <c r="X77" s="84" t="s">
        <v>21</v>
      </c>
      <c r="Y77" s="84" t="s">
        <v>24</v>
      </c>
      <c r="AC77" s="769"/>
    </row>
    <row r="78" spans="1:29" ht="41.25" customHeight="1" thickTop="1" thickBot="1">
      <c r="A78" s="148"/>
      <c r="B78" s="2587" t="s">
        <v>1445</v>
      </c>
      <c r="C78" s="2587"/>
      <c r="D78" s="1997"/>
      <c r="E78" s="2588"/>
      <c r="F78" s="2589"/>
      <c r="G78" s="2590"/>
      <c r="H78" s="2590"/>
      <c r="I78" s="2590"/>
      <c r="J78" s="2591" t="str">
        <f>IF(NOT(FEI_Tax_Worksheet),"Complete Form 2555 before completing this worksheet.","")</f>
        <v>Complete Form 2555 before completing this worksheet.</v>
      </c>
      <c r="K78" s="2590"/>
      <c r="L78" s="2592" t="s">
        <v>926</v>
      </c>
      <c r="M78" s="2593"/>
      <c r="N78" s="2594"/>
      <c r="O78" s="2432"/>
      <c r="P78" s="148"/>
      <c r="Q78" s="148"/>
      <c r="R78" s="148"/>
      <c r="S78" s="148"/>
      <c r="U78" s="5358" t="str">
        <f>FEI_TW_Line3</f>
        <v/>
      </c>
      <c r="V78" s="2572" t="e">
        <f>LOOKUP(U78,'Tax Table'!$B$2:$B$2063,'Tax Table'!$D$2:$D$2063)</f>
        <v>#N/A</v>
      </c>
      <c r="W78" s="2572" t="e">
        <f>LOOKUP(U78,'Tax Table'!$B$2:$B$2063,'Tax Table'!$E$2:$E$2063)</f>
        <v>#N/A</v>
      </c>
      <c r="X78" s="2572" t="e">
        <f>LOOKUP(U78,'Tax Table'!$B$2:$B$2063,'Tax Table'!$F$2:$F$2063)</f>
        <v>#N/A</v>
      </c>
      <c r="Y78" s="2573" t="e">
        <f>LOOKUP(U78,'Tax Table'!$B$2:$B$2063,'Tax Table'!$G$2:$G$2063)</f>
        <v>#N/A</v>
      </c>
      <c r="AC78" s="769"/>
    </row>
    <row r="79" spans="1:29" ht="24.75" customHeight="1" thickBot="1">
      <c r="A79" s="148"/>
      <c r="B79" s="2595"/>
      <c r="C79" s="88"/>
      <c r="D79" s="2539"/>
      <c r="E79" s="7992"/>
      <c r="F79" s="7993"/>
      <c r="G79" s="7993"/>
      <c r="H79" s="7993"/>
      <c r="I79" s="7993"/>
      <c r="J79" s="7993"/>
      <c r="K79" s="7993"/>
      <c r="L79" s="7993"/>
      <c r="M79" s="7993"/>
      <c r="N79" s="7993"/>
      <c r="O79" s="7994"/>
      <c r="P79" s="148"/>
      <c r="Q79" s="148"/>
      <c r="R79" s="2596" t="b">
        <f>AND(Taxable_Inc&gt;0,FEI_Tax_WS_Required)</f>
        <v>0</v>
      </c>
      <c r="S79" s="148"/>
      <c r="U79" s="4640"/>
      <c r="V79" s="2574" t="e">
        <f>IF(U78&lt;SectA_a2,"---",IF(U78&lt;=SectA_a3,ROUND(U78*(SectA_b3/100),0)-SectA_d3,IF(U78&lt;=SectA_a4,ROUND(U78*(SectA_b4/100),0)-SectA_d4,IF(U78&lt;=SectA_a5,ROUND(U78*(SectA_b5/100),0)-SectA_d5,IF(U78&lt;=SectA_a6,ROUND(U78*(SectA_b6/100),0)-SectA_d6,ROUND(U78*(SectA_b7/100),0)-SectA_d7)))))</f>
        <v>#VALUE!</v>
      </c>
      <c r="W79" s="2574" t="e">
        <f>IF(U78&lt;SectB_a2,"---",IF(U78&lt;=SectB_a3,ROUND(U78*(SectB_b3/100),0)-SectB_d3,IF(U78&lt;=SectB_a4,ROUND(U78*(SectB_b4/100),0)-SectB_d4,IF(U78&lt;=SectB_a5,ROUND(U78*(SectB_b5/100),0)-SectB_d5,IF(U78&lt;=SectB_a6,ROUND(U78*(SectB_b6/100),0)-SectB_d6,ROUND(U78*(SectB_b7/100),0)-SectB_d7)))))</f>
        <v>#VALUE!</v>
      </c>
      <c r="X79" s="2574" t="e">
        <f>IF(U78&lt;SectC_a1,"---",IF(U78&lt;=SectC_a2,ROUND(U78*(SectC_b2/100),0)-SectC_d2,IF(U78&lt;=SectC_a3,ROUND(U78*(SectC_b3/100),0)-SectC_d3,IF(U78&lt;=SectC_a4,ROUND(U78*(SectC_b4/100),0)-SectC_d4,IF(U78&lt;=SectC_a5,ROUND(U78*(SectC_b5/100),0)-SectC_d5,ROUND(U78*(SectC_b6/100),0)-SectC_d6)))))</f>
        <v>#VALUE!</v>
      </c>
      <c r="Y79" s="2575" t="e">
        <f>IF(U78&lt;SectD_a2,"---",IF(U78&lt;=SectD_a3,ROUND(U78*(SectD_b3/100),0)-SectD_d3,IF(U78&lt;=SectD_a4,ROUND(U78*(SectD_b4/100),0)-SectD_d4,IF(U78&lt;=SectD_a5,ROUND(U78*(SectD_b5/100),0)-SectD_d5,IF(U78&lt;=SectD_a6,ROUND(U78*(SectD_b6/100),0)-SectD_d6,ROUND(U78*(SectD_b7/100),0)-SectD_d7)))))</f>
        <v>#VALUE!</v>
      </c>
      <c r="AC79" s="769"/>
    </row>
    <row r="80" spans="1:29" ht="12.75" customHeight="1" thickBot="1">
      <c r="A80" s="148"/>
      <c r="B80" s="2597"/>
      <c r="C80" s="2594"/>
      <c r="D80" s="2598"/>
      <c r="E80" s="2599" t="s">
        <v>1446</v>
      </c>
      <c r="F80" s="2598"/>
      <c r="G80" s="2594"/>
      <c r="H80" s="2594"/>
      <c r="I80" s="2594"/>
      <c r="J80" s="2594"/>
      <c r="K80" s="569"/>
      <c r="L80" s="2600"/>
      <c r="M80" s="2601"/>
      <c r="N80" s="2636" t="str">
        <f>IF('Table of Contents'!$A$31="D","DRAFT","")</f>
        <v/>
      </c>
      <c r="O80" s="2602"/>
      <c r="P80" s="148"/>
      <c r="Q80" s="148"/>
      <c r="R80" s="148" t="s">
        <v>979</v>
      </c>
      <c r="S80" s="148"/>
      <c r="U80" s="2576" t="str">
        <f>IF(File_Single&lt;&gt;"",V78,IF(File_Marr_Joint&lt;&gt;"",W78,IF(File_Marr_Sep&lt;&gt;"", X78,IF(File_Head&lt;&gt;"",Y78,IF(File_Qual_Widow&lt;&gt;"",W78,"Filing status?")))))</f>
        <v>Filing status?</v>
      </c>
      <c r="V80" s="1061" t="str">
        <f>"&lt;100k"</f>
        <v>&lt;100k</v>
      </c>
      <c r="W80" s="1061"/>
      <c r="X80" s="1061"/>
      <c r="Y80" s="2577"/>
      <c r="AC80" s="769"/>
    </row>
    <row r="81" spans="1:29" ht="13.5" thickBot="1">
      <c r="A81" s="148"/>
      <c r="B81" s="2595"/>
      <c r="C81" s="88"/>
      <c r="D81" s="2603"/>
      <c r="E81" s="1560"/>
      <c r="F81" s="226"/>
      <c r="G81" s="1560"/>
      <c r="H81" s="2604"/>
      <c r="I81" s="2605"/>
      <c r="J81" s="2606"/>
      <c r="K81" s="2606"/>
      <c r="L81" s="2607"/>
      <c r="M81" s="2607"/>
      <c r="N81" s="2441"/>
      <c r="O81" s="90"/>
      <c r="P81" s="148"/>
      <c r="Q81" s="148"/>
      <c r="R81" s="148" t="s">
        <v>931</v>
      </c>
      <c r="S81" s="148"/>
      <c r="U81" s="2579" t="str">
        <f>IF(File_Single&lt;&gt;"",V79,IF(OR(File_Marr_Joint&lt;&gt;"",File_Qual_Widow&lt;&gt;""),W79,IF(File_Marr_Sep&lt;&gt;"", X79,IF(File_Head&lt;&gt;"",Y79,"Filing status?"))))</f>
        <v>Filing status?</v>
      </c>
      <c r="V81" s="2580" t="str">
        <f>"&gt;=100k"</f>
        <v>&gt;=100k</v>
      </c>
      <c r="W81" s="2580"/>
      <c r="X81" s="2580" t="s">
        <v>672</v>
      </c>
      <c r="Y81" s="2581" t="str">
        <f>IF(NumFileStatusBoxes=0,"FilingStatus?",IF(U78&gt;100000,ROUND(U81,0),ROUND(U80,0)))</f>
        <v>FilingStatus?</v>
      </c>
      <c r="AC81" s="769"/>
    </row>
    <row r="82" spans="1:29" ht="13.5" thickTop="1">
      <c r="A82" s="148"/>
      <c r="B82" s="2595"/>
      <c r="C82" s="88"/>
      <c r="D82" s="2608" t="s">
        <v>157</v>
      </c>
      <c r="E82" s="1560" t="s">
        <v>1447</v>
      </c>
      <c r="F82" s="1560"/>
      <c r="G82" s="1560"/>
      <c r="H82" s="2605"/>
      <c r="I82" s="2605"/>
      <c r="J82" s="2607"/>
      <c r="K82" s="2607"/>
      <c r="L82" s="248" t="s">
        <v>1448</v>
      </c>
      <c r="M82" s="2609" t="s">
        <v>157</v>
      </c>
      <c r="N82" s="2452" t="str">
        <f>IF(R82&lt;&gt;"",ROUND(R82,0),IF(FEI_Tax_Worksheet,Taxable_Inc,""))</f>
        <v/>
      </c>
      <c r="O82" s="90"/>
      <c r="P82" s="148"/>
      <c r="Q82" s="148"/>
      <c r="R82" s="947"/>
      <c r="S82" s="148"/>
      <c r="Y82" t="b">
        <f>Y81=MIN(Y81,V114,X173)</f>
        <v>0</v>
      </c>
      <c r="AC82" s="769"/>
    </row>
    <row r="83" spans="1:29" ht="13.5" thickBot="1">
      <c r="A83" s="148"/>
      <c r="B83" s="2595"/>
      <c r="C83" s="88"/>
      <c r="D83" s="2608"/>
      <c r="E83" s="1560"/>
      <c r="F83" s="1560"/>
      <c r="G83" s="1560"/>
      <c r="H83" s="2605"/>
      <c r="I83" s="2605"/>
      <c r="J83" s="2607"/>
      <c r="K83" s="2607"/>
      <c r="L83" s="2441"/>
      <c r="M83" s="2441"/>
      <c r="N83" s="2441"/>
      <c r="O83" s="90"/>
      <c r="P83" s="148"/>
      <c r="Q83" s="148"/>
      <c r="R83" s="148"/>
      <c r="S83" s="148"/>
      <c r="U83" s="688" t="s">
        <v>1449</v>
      </c>
      <c r="V83" s="84" t="s">
        <v>13</v>
      </c>
      <c r="W83" s="84" t="s">
        <v>663</v>
      </c>
      <c r="X83" s="84" t="s">
        <v>21</v>
      </c>
      <c r="Y83" s="84" t="s">
        <v>24</v>
      </c>
      <c r="AC83" s="769"/>
    </row>
    <row r="84" spans="1:29" ht="14.25" thickTop="1" thickBot="1">
      <c r="A84" s="148"/>
      <c r="B84" s="2595"/>
      <c r="C84" s="253"/>
      <c r="D84" s="2608" t="s">
        <v>1186</v>
      </c>
      <c r="E84" s="1560" t="s">
        <v>1450</v>
      </c>
      <c r="F84" s="1560"/>
      <c r="G84" s="1560"/>
      <c r="H84" s="2605"/>
      <c r="I84" s="2605"/>
      <c r="J84" s="2607"/>
      <c r="K84" s="2607"/>
      <c r="L84" s="248"/>
      <c r="M84" s="2609" t="s">
        <v>1186</v>
      </c>
      <c r="N84" s="2452" t="str">
        <f>IF(R84&lt;&gt;"",ROUND(R84,0),IF(FEI_Tax_Worksheet,SUM(F2555_Line45_Total,ForeignHousingDeductionTotal),""))</f>
        <v/>
      </c>
      <c r="O84" s="90"/>
      <c r="P84" s="148"/>
      <c r="Q84" s="148"/>
      <c r="R84" s="947"/>
      <c r="S84" s="148"/>
      <c r="U84" s="5358" t="str">
        <f>FEI_TW_Line2c</f>
        <v/>
      </c>
      <c r="V84" s="2572" t="e">
        <f>LOOKUP(U84,'Tax Table'!$B$2:$B$2063,'Tax Table'!$D$2:$D$2063)</f>
        <v>#N/A</v>
      </c>
      <c r="W84" s="2572" t="e">
        <f>LOOKUP(U84,'Tax Table'!$B$2:$B$2063,'Tax Table'!$E$2:$E$2063)</f>
        <v>#N/A</v>
      </c>
      <c r="X84" s="2572" t="e">
        <f>LOOKUP(U84,'Tax Table'!$B$2:$B$2063,'Tax Table'!$F$2:$F$2063)</f>
        <v>#N/A</v>
      </c>
      <c r="Y84" s="2573" t="e">
        <f>LOOKUP(U84,'Tax Table'!$B$2:$B$2063,'Tax Table'!$G$2:$G$2063)</f>
        <v>#N/A</v>
      </c>
      <c r="AC84" s="769"/>
    </row>
    <row r="85" spans="1:29" ht="13.5" thickBot="1">
      <c r="A85" s="148"/>
      <c r="B85" s="2595"/>
      <c r="C85" s="253"/>
      <c r="D85" s="2608" t="s">
        <v>1181</v>
      </c>
      <c r="E85" s="1560" t="s">
        <v>1451</v>
      </c>
      <c r="F85" s="1560"/>
      <c r="G85" s="1560"/>
      <c r="H85" s="2605"/>
      <c r="I85" s="2605"/>
      <c r="J85" s="2607"/>
      <c r="K85" s="2607"/>
      <c r="L85" s="2441"/>
      <c r="M85" s="2441"/>
      <c r="N85" s="2441"/>
      <c r="O85" s="90"/>
      <c r="P85" s="148"/>
      <c r="Q85" s="148"/>
      <c r="R85" s="148"/>
      <c r="S85" s="148"/>
      <c r="U85" s="4640"/>
      <c r="V85" s="2574" t="e">
        <f>IF(U84&lt;SectA_a2,"---",IF(U84&lt;=SectA_a3,ROUND(U84*(SectA_b3/100),0)-SectA_d3,IF(U84&lt;=SectA_a4,ROUND(U84*(SectA_b4/100),0)-SectA_d4,IF(U84&lt;=SectA_a5,ROUND(U84*(SectA_b5/100),0)-SectA_d5,IF(U84&lt;=SectA_a6,ROUND(U84*(SectA_b6/100),0)-SectA_d6,ROUND(U84*(SectA_b7/100),0)-SectA_d7)))))</f>
        <v>#VALUE!</v>
      </c>
      <c r="W85" s="2574" t="e">
        <f>IF(U84&lt;SectB_a2,"---",IF(U84&lt;=SectB_a3,ROUND(U84*(SectB_b3/100),0)-SectB_d3,IF(U84&lt;=SectB_a4,ROUND(U84*(SectB_b4/100),0)-SectB_d4,IF(U84&lt;=SectB_a5,ROUND(U84*(SectB_b5/100),0)-SectB_d5,IF(U84&lt;=SectB_a6,ROUND(U84*(SectB_b6/100),0)-SectB_d6,ROUND(U84*(SectB_b7/100),0)-SectB_d7)))))</f>
        <v>#VALUE!</v>
      </c>
      <c r="X85" s="2574" t="e">
        <f>IF(U84&lt;SectC_a1,"---",IF(U84&lt;=SectC_a2,ROUND(U84*(SectC_b2/100),0)-SectC_d2,IF(U84&lt;=SectC_a3,ROUND(U84*(SectC_b3/100),0)-SectC_d3,IF(U84&lt;=SectC_a4,ROUND(U84*(SectC_b4/100),0)-SectC_d4,IF(U84&lt;=SectC_a5,ROUND(U84*(SectC_b5/100),0)-SectC_d5,ROUND(U84*(SectC_b6/100),0)-SectC_d6)))))</f>
        <v>#VALUE!</v>
      </c>
      <c r="Y85" s="2575" t="e">
        <f>IF(U84&lt;SectD_a2,"---",IF(U84&lt;=SectD_a3,ROUND(U84*(SectD_b3/100),0)-SectD_d3,IF(U84&lt;=SectD_a4,ROUND(U84*(SectD_b4/100),0)-SectD_d4,IF(U84&lt;=SectD_a5,ROUND(U84*(SectD_b5/100),0)-SectD_d5,IF(U84&lt;=SectD_a6,ROUND(U84*(SectD_b6/100),0)-SectD_d6,ROUND(U84*(SectD_b7/100),0)-SectD_d7)))))</f>
        <v>#VALUE!</v>
      </c>
      <c r="AC85" s="769"/>
    </row>
    <row r="86" spans="1:29" ht="13.5" thickBot="1">
      <c r="A86" s="148"/>
      <c r="B86" s="2595"/>
      <c r="C86" s="253"/>
      <c r="D86" s="2608"/>
      <c r="E86" s="1560" t="s">
        <v>1452</v>
      </c>
      <c r="F86" s="1560"/>
      <c r="G86" s="1560"/>
      <c r="H86" s="2605"/>
      <c r="I86" s="2605"/>
      <c r="J86" s="2607"/>
      <c r="K86" s="2607"/>
      <c r="L86" s="248" t="s">
        <v>1453</v>
      </c>
      <c r="M86" s="2609" t="s">
        <v>1181</v>
      </c>
      <c r="N86" s="1302"/>
      <c r="O86" s="90"/>
      <c r="P86" s="148"/>
      <c r="Q86" s="148"/>
      <c r="R86" s="148"/>
      <c r="S86" s="148"/>
      <c r="U86" s="2576" t="str">
        <f>IF(File_Single&lt;&gt;"",V84,IF(File_Marr_Joint&lt;&gt;"",W84,IF(File_Marr_Sep&lt;&gt;"", X84,IF(File_Head&lt;&gt;"",Y84,IF(File_Qual_Widow&lt;&gt;"",W84,"Filing status?")))))</f>
        <v>Filing status?</v>
      </c>
      <c r="V86" s="1061" t="str">
        <f>"&lt;100k"</f>
        <v>&lt;100k</v>
      </c>
      <c r="W86" s="1061"/>
      <c r="X86" s="1061"/>
      <c r="Y86" s="2577"/>
      <c r="AC86" s="769"/>
    </row>
    <row r="87" spans="1:29" ht="13.5" thickBot="1">
      <c r="A87" s="148"/>
      <c r="B87" s="2595"/>
      <c r="C87" s="253"/>
      <c r="D87" s="2608" t="s">
        <v>1196</v>
      </c>
      <c r="E87" s="1560" t="s">
        <v>1454</v>
      </c>
      <c r="F87" s="1560"/>
      <c r="G87" s="1560"/>
      <c r="H87" s="2605"/>
      <c r="I87" s="2605"/>
      <c r="J87" s="2607"/>
      <c r="K87" s="2607"/>
      <c r="L87" s="248" t="s">
        <v>1455</v>
      </c>
      <c r="M87" s="2609" t="s">
        <v>1196</v>
      </c>
      <c r="N87" s="2452" t="str">
        <f>IF(FEI_Tax_Worksheet,MAX(0,SUM(N84,-N86)),"")</f>
        <v/>
      </c>
      <c r="O87" s="90"/>
      <c r="P87" s="148"/>
      <c r="Q87" s="148"/>
      <c r="R87" s="148"/>
      <c r="S87" s="148"/>
      <c r="U87" s="2579" t="str">
        <f>IF(File_Single&lt;&gt;"",V85,IF(OR(File_Marr_Joint&lt;&gt;"",File_Qual_Widow&lt;&gt;""),W85,IF(File_Marr_Sep&lt;&gt;"", X85,IF(File_Head&lt;&gt;"",Y85,"Filing status?"))))</f>
        <v>Filing status?</v>
      </c>
      <c r="V87" s="2580" t="str">
        <f>"&gt;=100k"</f>
        <v>&gt;=100k</v>
      </c>
      <c r="W87" s="2580"/>
      <c r="X87" s="2580" t="s">
        <v>672</v>
      </c>
      <c r="Y87" s="2581" t="str">
        <f>IF(NumFileStatusBoxes=0,"FilingStatus?",IF(U84&gt;100000,ROUND(U87,0),ROUND(U86,0)))</f>
        <v>FilingStatus?</v>
      </c>
      <c r="AC87" s="769"/>
    </row>
    <row r="88" spans="1:29" ht="13.5" thickTop="1">
      <c r="A88" s="148"/>
      <c r="B88" s="2595"/>
      <c r="C88" s="253"/>
      <c r="D88" s="2608"/>
      <c r="E88" s="1560"/>
      <c r="F88" s="1560"/>
      <c r="G88" s="1560"/>
      <c r="H88" s="2605"/>
      <c r="I88" s="2605"/>
      <c r="J88" s="2607"/>
      <c r="K88" s="2607"/>
      <c r="L88" s="2441"/>
      <c r="M88" s="2441"/>
      <c r="N88" s="2441"/>
      <c r="O88" s="90"/>
      <c r="P88" s="148"/>
      <c r="Q88" s="148"/>
      <c r="R88" s="148"/>
      <c r="S88" s="148"/>
      <c r="U88" s="2556"/>
      <c r="V88" s="2556"/>
      <c r="W88" s="2556"/>
      <c r="X88" s="2556"/>
      <c r="Y88" s="2556"/>
      <c r="AC88" s="769"/>
    </row>
    <row r="89" spans="1:29" ht="13.5" thickBot="1">
      <c r="A89" s="148"/>
      <c r="B89" s="2595"/>
      <c r="C89" s="253"/>
      <c r="D89" s="2608" t="s">
        <v>167</v>
      </c>
      <c r="E89" s="1560" t="s">
        <v>1456</v>
      </c>
      <c r="F89" s="1560"/>
      <c r="G89" s="1560"/>
      <c r="H89" s="2605"/>
      <c r="I89" s="2605"/>
      <c r="J89" s="2607"/>
      <c r="K89" s="2607"/>
      <c r="L89" s="248" t="s">
        <v>1457</v>
      </c>
      <c r="M89" s="2609" t="s">
        <v>167</v>
      </c>
      <c r="N89" s="2452" t="str">
        <f>IF(FEI_Tax_Worksheet,SUM(N82,N87),"")</f>
        <v/>
      </c>
      <c r="O89" s="90"/>
      <c r="P89" s="148"/>
      <c r="Q89" s="148"/>
      <c r="R89" s="148"/>
      <c r="S89" s="148"/>
      <c r="U89" s="2556"/>
      <c r="V89" s="2556"/>
      <c r="W89" s="2556"/>
      <c r="X89" s="2556"/>
      <c r="Y89" s="2556"/>
      <c r="AC89" s="769"/>
    </row>
    <row r="90" spans="1:29">
      <c r="A90" s="148"/>
      <c r="B90" s="2595"/>
      <c r="C90" s="253"/>
      <c r="D90" s="2608"/>
      <c r="E90" s="1560"/>
      <c r="F90" s="1560"/>
      <c r="G90" s="1560"/>
      <c r="H90" s="2605"/>
      <c r="I90" s="2605"/>
      <c r="J90" s="2607"/>
      <c r="K90" s="2607"/>
      <c r="L90" s="2441"/>
      <c r="M90" s="2441"/>
      <c r="N90" s="2441">
        <f>IF(N89="",0,N89)</f>
        <v>0</v>
      </c>
      <c r="O90" s="90"/>
      <c r="P90" s="148"/>
      <c r="Q90" s="148"/>
      <c r="R90" s="148"/>
      <c r="S90" s="148"/>
      <c r="U90" s="2610" t="s">
        <v>157</v>
      </c>
      <c r="V90" s="2611" t="str">
        <f>IF(OR(NOT(FEI_Tax_Worksheet),NOT(Y90)),"",IF(FEI_TW_Line3="",0,FEI_TW_Line3))</f>
        <v/>
      </c>
      <c r="W90" s="2612" t="s">
        <v>1458</v>
      </c>
      <c r="X90" s="2506"/>
      <c r="Y90" s="2506" t="b">
        <f>CGTW</f>
        <v>0</v>
      </c>
      <c r="Z90" s="2613" t="s">
        <v>1355</v>
      </c>
      <c r="AA90" s="2614"/>
      <c r="AC90" s="769"/>
    </row>
    <row r="91" spans="1:29">
      <c r="A91" s="148"/>
      <c r="B91" s="2595"/>
      <c r="C91" s="253"/>
      <c r="D91" s="2608" t="s">
        <v>171</v>
      </c>
      <c r="E91" s="1560" t="s">
        <v>1459</v>
      </c>
      <c r="F91" s="1560"/>
      <c r="G91" s="1560"/>
      <c r="H91" s="2605"/>
      <c r="I91" s="2605"/>
      <c r="J91" s="2607"/>
      <c r="K91" s="2607"/>
      <c r="L91" s="2441"/>
      <c r="M91" s="2441"/>
      <c r="N91" s="2441"/>
      <c r="O91" s="90"/>
      <c r="P91" s="148"/>
      <c r="Q91" s="148"/>
      <c r="R91" s="148"/>
      <c r="S91" s="148"/>
      <c r="U91" s="2618" t="s">
        <v>161</v>
      </c>
      <c r="V91" s="2615">
        <f>Qualified_Dividends</f>
        <v>0</v>
      </c>
      <c r="W91" s="329" t="s">
        <v>1356</v>
      </c>
      <c r="Z91" s="1"/>
      <c r="AA91" s="2616" t="s">
        <v>1357</v>
      </c>
      <c r="AC91" s="769"/>
    </row>
    <row r="92" spans="1:29">
      <c r="A92" s="148"/>
      <c r="B92" s="2595"/>
      <c r="C92" s="253"/>
      <c r="D92" s="2608"/>
      <c r="E92" s="1560" t="s">
        <v>5399</v>
      </c>
      <c r="F92" s="1560"/>
      <c r="G92" s="1560"/>
      <c r="H92" s="2605"/>
      <c r="I92" s="2605"/>
      <c r="J92" s="2607"/>
      <c r="K92" s="2607"/>
      <c r="L92" s="2441"/>
      <c r="M92" s="2441"/>
      <c r="N92" s="7980" t="str">
        <f>IF(R95&lt;&gt;"","Manual override",IF(NOT(FEI_Tax_Worksheet),"",IF(AND(U78&gt;100000,Y82),"Tax Formula",IF(Y82,"Tax Table",IF(Z173,"Sch. D Tax Worksheet",IF(AA115,"Qualified Div &amp; Capital Gain Tax Worksheet",""))))))</f>
        <v/>
      </c>
      <c r="O92" s="90"/>
      <c r="P92" s="148"/>
      <c r="Q92" s="148"/>
      <c r="R92" s="148"/>
      <c r="S92" s="148"/>
      <c r="U92" s="2618" t="s">
        <v>167</v>
      </c>
      <c r="V92" s="2615" t="str">
        <f>IF(NOT(FilingScheduleD),CapitalGains,IF(OR(SchDLine15="",SchDLine15&lt;=0,SchDLine16="",SchDLine16&lt;=0),0,MIN(SchDLine15,SchDLine16)))</f>
        <v/>
      </c>
      <c r="W92" s="329" t="s">
        <v>1358</v>
      </c>
      <c r="AA92" s="1066"/>
      <c r="AC92" s="769"/>
    </row>
    <row r="93" spans="1:29" ht="13.5" customHeight="1">
      <c r="A93" s="148"/>
      <c r="B93" s="2595"/>
      <c r="C93" s="253"/>
      <c r="D93" s="2608"/>
      <c r="E93" s="2617" t="s">
        <v>5400</v>
      </c>
      <c r="F93" s="1560"/>
      <c r="G93" s="1560"/>
      <c r="H93" s="2605"/>
      <c r="I93" s="2605"/>
      <c r="J93" s="2607"/>
      <c r="K93" s="2607"/>
      <c r="L93" s="2441"/>
      <c r="M93" s="2441"/>
      <c r="N93" s="7980"/>
      <c r="O93" s="90"/>
      <c r="P93" s="148"/>
      <c r="Q93" s="148"/>
      <c r="R93" s="148"/>
      <c r="S93" s="148"/>
      <c r="U93" s="2618" t="s">
        <v>171</v>
      </c>
      <c r="V93" s="801">
        <f>SUM(V91,V92)</f>
        <v>0</v>
      </c>
      <c r="W93" s="329" t="s">
        <v>1359</v>
      </c>
      <c r="AA93" s="1066"/>
      <c r="AC93" s="769"/>
    </row>
    <row r="94" spans="1:29" ht="13.5" thickBot="1">
      <c r="A94" s="148"/>
      <c r="B94" s="2595"/>
      <c r="C94" s="253"/>
      <c r="D94" s="2608"/>
      <c r="E94" s="1560" t="s">
        <v>1460</v>
      </c>
      <c r="F94" s="1560"/>
      <c r="G94" s="1560"/>
      <c r="H94" s="2605"/>
      <c r="I94" s="2605"/>
      <c r="J94" s="2607"/>
      <c r="K94" s="2607"/>
      <c r="L94" s="2441"/>
      <c r="M94" s="2441"/>
      <c r="N94" s="7980"/>
      <c r="O94" s="90"/>
      <c r="P94" s="148"/>
      <c r="Q94" s="148"/>
      <c r="R94" s="148"/>
      <c r="S94" s="148"/>
      <c r="U94" s="2618" t="s">
        <v>184</v>
      </c>
      <c r="V94" s="801">
        <f>MAX(0,SUM(V90,-V93))</f>
        <v>0</v>
      </c>
      <c r="W94" s="2619" t="s">
        <v>6368</v>
      </c>
      <c r="X94" s="84" t="s">
        <v>13</v>
      </c>
      <c r="Y94" s="84" t="s">
        <v>663</v>
      </c>
      <c r="Z94" s="84" t="s">
        <v>21</v>
      </c>
      <c r="AA94" s="2500" t="s">
        <v>24</v>
      </c>
      <c r="AC94" s="769"/>
    </row>
    <row r="95" spans="1:29" ht="14.25" thickTop="1" thickBot="1">
      <c r="A95" s="148"/>
      <c r="B95" s="2595"/>
      <c r="C95" s="253"/>
      <c r="D95" s="2608"/>
      <c r="E95" s="1560" t="s">
        <v>1461</v>
      </c>
      <c r="F95" s="1560"/>
      <c r="G95" s="1560"/>
      <c r="H95" s="2605"/>
      <c r="I95" s="2605"/>
      <c r="J95" s="2607"/>
      <c r="K95" s="2607"/>
      <c r="L95" s="248" t="s">
        <v>1462</v>
      </c>
      <c r="M95" s="2609" t="s">
        <v>171</v>
      </c>
      <c r="N95" s="2452" t="str">
        <f>IF(R95&lt;&gt;"",ROUND(R95,0),IF(NOT(FEI_Tax_Worksheet),"",IF(AND(U78&gt;100000,Y82),U81,IF(Y82,U80,IF(Z173,X173,IF(AA115,V114,""))))))</f>
        <v/>
      </c>
      <c r="O95" s="90"/>
      <c r="P95" s="148"/>
      <c r="Q95" s="148"/>
      <c r="R95" s="947"/>
      <c r="S95" s="148"/>
      <c r="U95" s="2618" t="s">
        <v>188</v>
      </c>
      <c r="V95" s="801" t="str">
        <f>IF(OR(File_Single&lt;&gt;"",File_Marr_Sep&lt;&gt;""),CGTW_Line6_SMFS,IF(OR(File_Marr_Joint&lt;&gt;"",File_Qual_Widow&lt;&gt;""),CGTW_Line6_MFJQW,IF(File_Head&lt;&gt;"",CGTW_Line6_HOH,"")))</f>
        <v/>
      </c>
      <c r="W95" s="5358" t="str">
        <f>V90</f>
        <v/>
      </c>
      <c r="X95" s="2572" t="e">
        <f>LOOKUP(W95,'Tax Table'!$B$2:$B$2063,'Tax Table'!$D$2:$D$2063)</f>
        <v>#N/A</v>
      </c>
      <c r="Y95" s="2572" t="e">
        <f>LOOKUP(W95,'Tax Table'!$B$2:$B$2063,'Tax Table'!$E$2:$E$2063)</f>
        <v>#N/A</v>
      </c>
      <c r="Z95" s="2572" t="e">
        <f>LOOKUP(W95,'Tax Table'!$B$2:$B$2063,'Tax Table'!$F$2:$F$2063)</f>
        <v>#N/A</v>
      </c>
      <c r="AA95" s="2573" t="e">
        <f>LOOKUP(W95,'Tax Table'!$B$2:$B$2063,'Tax Table'!$G$2:$G$2063)</f>
        <v>#N/A</v>
      </c>
      <c r="AC95" s="769"/>
    </row>
    <row r="96" spans="1:29" ht="13.5" thickBot="1">
      <c r="A96" s="148"/>
      <c r="B96" s="2595"/>
      <c r="C96" s="253"/>
      <c r="D96" s="2608"/>
      <c r="E96" s="1560"/>
      <c r="F96" s="1560"/>
      <c r="G96" s="1560"/>
      <c r="H96" s="2605"/>
      <c r="I96" s="2605"/>
      <c r="J96" s="2607"/>
      <c r="K96" s="2607"/>
      <c r="L96" s="2441"/>
      <c r="M96" s="2441"/>
      <c r="N96" s="2441"/>
      <c r="O96" s="90"/>
      <c r="P96" s="148"/>
      <c r="Q96" s="148"/>
      <c r="R96" s="148"/>
      <c r="S96" s="148"/>
      <c r="U96" s="2618" t="s">
        <v>198</v>
      </c>
      <c r="V96" s="801">
        <f>MIN(V90,V95)</f>
        <v>0</v>
      </c>
      <c r="W96" s="4640"/>
      <c r="X96" s="2574" t="e">
        <f>IF(W95&lt;SectA_a2,"---",IF(W95&lt;=SectA_a3,ROUND(W95*(SectA_b3/100),0)-SectA_d3,IF(W95&lt;=SectA_a4,ROUND(W95*(SectA_b4/100),0)-SectA_d4,IF(W95&lt;=SectA_a5,ROUND(W95*(SectA_b5/100),0)-SectA_d5,IF(W95&lt;=SectA_a6,ROUND(W95*(SectA_b6/100),0)-SectA_d6,ROUND(W95*(SectA_b7/100),0)-SectA_d7)))))</f>
        <v>#VALUE!</v>
      </c>
      <c r="Y96" s="2574" t="e">
        <f>IF(W95&lt;SectB_a2,"---",IF(W95&lt;=SectB_a3,ROUND(W95*(SectB_b3/100),0)-SectB_d3,IF(W95&lt;=SectB_a4,ROUND(W95*(SectB_b4/100),0)-SectB_d4,IF(W95&lt;=SectB_a5,ROUND(W95*(SectB_b5/100),0)-SectB_d5,IF(W95&lt;=SectB_a6,ROUND(W95*(SectB_b6/100),0)-SectB_d6,ROUND(W95*(SectB_b7/100),0)-SectB_d7)))))</f>
        <v>#VALUE!</v>
      </c>
      <c r="Z96" s="2574" t="e">
        <f>IF(W95&lt;SectC_a1,"---",IF(W95&lt;=SectC_a2,ROUND(W95*(SectC_b2/100),0)-SectC_d2,IF(W95&lt;=SectC_a3,ROUND(W95*(SectC_b3/100),0)-SectC_d3,IF(W95&lt;=SectC_a4,ROUND(W95*(SectC_b4/100),0)-SectC_d4,IF(W95&lt;=SectC_a5,ROUND(W95*(SectC_b5/100),0)-SectC_d5,ROUND(W95*(SectC_b6/100),0)-SectC_d6)))))</f>
        <v>#VALUE!</v>
      </c>
      <c r="AA96" s="2575" t="e">
        <f>IF(W95&lt;SectD_a2,"---",IF(W95&lt;=SectD_a3,ROUND(W95*(SectD_b3/100),0)-SectD_d3,IF(W95&lt;=SectD_a4,ROUND(W95*(SectD_b4/100),0)-SectD_d4,IF(W95&lt;=SectD_a5,ROUND(W95*(SectD_b5/100),0)-SectD_d5,IF(W95&lt;=SectD_a6,ROUND(W95*(SectD_b6/100),0)-SectD_d6,ROUND(W95*(SectD_b7/100),0)-SectD_d7)))))</f>
        <v>#VALUE!</v>
      </c>
      <c r="AC96" s="769"/>
    </row>
    <row r="97" spans="1:29" ht="13.5" thickBot="1">
      <c r="A97" s="148"/>
      <c r="B97" s="2595"/>
      <c r="C97" s="253"/>
      <c r="D97" s="2608" t="s">
        <v>184</v>
      </c>
      <c r="E97" s="1560" t="s">
        <v>1463</v>
      </c>
      <c r="F97" s="1560"/>
      <c r="G97" s="1560"/>
      <c r="H97" s="2605"/>
      <c r="I97" s="2605"/>
      <c r="J97" s="2607"/>
      <c r="K97" s="2607"/>
      <c r="L97" s="2441"/>
      <c r="M97" s="2441"/>
      <c r="N97" s="2441"/>
      <c r="O97" s="90"/>
      <c r="P97" s="148"/>
      <c r="Q97" s="148"/>
      <c r="R97" s="148"/>
      <c r="S97" s="148"/>
      <c r="U97" s="2618" t="s">
        <v>200</v>
      </c>
      <c r="V97" s="801">
        <f>MIN(V94,V96)</f>
        <v>0</v>
      </c>
      <c r="W97" s="2576" t="str">
        <f>IF(File_Single&lt;&gt;"",X95,IF(File_Marr_Joint&lt;&gt;"",Y95,IF(File_Marr_Sep&lt;&gt;"", Z95,IF(File_Head&lt;&gt;"",AA95,IF(File_Qual_Widow&lt;&gt;"",Y95,"Filing status?")))))</f>
        <v>Filing status?</v>
      </c>
      <c r="X97" s="1061" t="str">
        <f>"&lt;100k"</f>
        <v>&lt;100k</v>
      </c>
      <c r="Y97" s="1061"/>
      <c r="Z97" s="1061"/>
      <c r="AA97" s="2577"/>
      <c r="AC97" s="769"/>
    </row>
    <row r="98" spans="1:29" ht="13.5" thickBot="1">
      <c r="A98" s="148"/>
      <c r="B98" s="2595"/>
      <c r="C98" s="253"/>
      <c r="D98" s="2608"/>
      <c r="E98" s="1560" t="s">
        <v>1464</v>
      </c>
      <c r="F98" s="1560"/>
      <c r="G98" s="1560"/>
      <c r="H98" s="2605"/>
      <c r="I98" s="2605"/>
      <c r="J98" s="2607"/>
      <c r="K98" s="2607"/>
      <c r="L98" s="2441"/>
      <c r="M98" s="2441"/>
      <c r="N98" s="2441"/>
      <c r="O98" s="90"/>
      <c r="P98" s="148"/>
      <c r="Q98" s="148"/>
      <c r="R98" s="148"/>
      <c r="S98" s="148"/>
      <c r="U98" s="2618" t="s">
        <v>205</v>
      </c>
      <c r="V98" s="801">
        <f>SUM(V96,-V97)</f>
        <v>0</v>
      </c>
      <c r="W98" s="2579" t="str">
        <f>IF(File_Single&lt;&gt;"",X96,IF(OR(File_Marr_Joint&lt;&gt;"",File_Qual_Widow&lt;&gt;""),Y96,IF(File_Marr_Sep&lt;&gt;"", Z96,IF(File_Head&lt;&gt;"",AA96,"Filing status?"))))</f>
        <v>Filing status?</v>
      </c>
      <c r="X98" s="2580" t="str">
        <f>"&gt;=100k"</f>
        <v>&gt;=100k</v>
      </c>
      <c r="Y98" s="2580"/>
      <c r="Z98" s="2580" t="s">
        <v>672</v>
      </c>
      <c r="AA98" s="2581" t="str">
        <f>IF(NumFileStatusBoxes=0,"FilingStatus?",IF(W95&gt;100000,ROUND(W98,0),ROUND(W97,0)))</f>
        <v>FilingStatus?</v>
      </c>
      <c r="AC98" s="769"/>
    </row>
    <row r="99" spans="1:29" ht="13.5" thickTop="1">
      <c r="A99" s="148"/>
      <c r="B99" s="2595"/>
      <c r="C99" s="253"/>
      <c r="D99" s="2608"/>
      <c r="E99" s="1560" t="s">
        <v>1431</v>
      </c>
      <c r="F99" s="1560"/>
      <c r="G99" s="1560"/>
      <c r="H99" s="2605"/>
      <c r="I99" s="2605"/>
      <c r="J99" s="2607"/>
      <c r="K99" s="2607"/>
      <c r="L99" s="248" t="s">
        <v>1465</v>
      </c>
      <c r="M99" s="2609" t="s">
        <v>184</v>
      </c>
      <c r="N99" s="2452" t="str">
        <f>IF(R99&lt;&gt;"",ROUND(R99,0),IF(FEI_Tax_Worksheet,Y87,""))</f>
        <v/>
      </c>
      <c r="O99" s="90"/>
      <c r="P99" s="148"/>
      <c r="Q99" s="148"/>
      <c r="R99" s="947"/>
      <c r="S99" s="148"/>
      <c r="U99" s="2618" t="s">
        <v>210</v>
      </c>
      <c r="V99" s="801">
        <f>MIN(V90,V93)</f>
        <v>0</v>
      </c>
      <c r="AA99" s="2620" t="s">
        <v>1361</v>
      </c>
      <c r="AC99" s="769"/>
    </row>
    <row r="100" spans="1:29">
      <c r="A100" s="148"/>
      <c r="B100" s="2595"/>
      <c r="C100" s="253"/>
      <c r="D100" s="2608"/>
      <c r="E100" s="1560"/>
      <c r="F100" s="1560"/>
      <c r="G100" s="1560"/>
      <c r="H100" s="2605"/>
      <c r="I100" s="2605"/>
      <c r="J100" s="2607"/>
      <c r="K100" s="2607"/>
      <c r="L100" s="2441"/>
      <c r="M100" s="2441"/>
      <c r="N100" s="2441"/>
      <c r="O100" s="90"/>
      <c r="P100" s="148"/>
      <c r="Q100" s="148"/>
      <c r="R100" s="148"/>
      <c r="S100" s="148"/>
      <c r="U100" s="2618" t="s">
        <v>212</v>
      </c>
      <c r="V100" s="801">
        <f>V98</f>
        <v>0</v>
      </c>
      <c r="AA100" s="1066"/>
    </row>
    <row r="101" spans="1:29">
      <c r="A101" s="148"/>
      <c r="B101" s="2595"/>
      <c r="C101" s="253"/>
      <c r="D101" s="2608" t="s">
        <v>188</v>
      </c>
      <c r="E101" s="1560" t="s">
        <v>1466</v>
      </c>
      <c r="F101" s="1560"/>
      <c r="G101" s="1560"/>
      <c r="H101" s="2605"/>
      <c r="I101" s="2605"/>
      <c r="J101" s="2607"/>
      <c r="K101" s="2607"/>
      <c r="L101" s="2441"/>
      <c r="M101" s="2441"/>
      <c r="N101" s="2441"/>
      <c r="O101" s="90"/>
      <c r="P101" s="148"/>
      <c r="Q101" s="148"/>
      <c r="R101" s="148"/>
      <c r="S101" s="148"/>
      <c r="U101" s="2618" t="s">
        <v>1366</v>
      </c>
      <c r="V101" s="801">
        <f>SUM(V99,-V100)</f>
        <v>0</v>
      </c>
      <c r="AA101" s="1066"/>
    </row>
    <row r="102" spans="1:29" ht="13.5" thickBot="1">
      <c r="A102" s="148"/>
      <c r="B102" s="2595"/>
      <c r="C102" s="253"/>
      <c r="D102" s="2608"/>
      <c r="E102" s="1560" t="s">
        <v>1467</v>
      </c>
      <c r="F102" s="1560"/>
      <c r="G102" s="1560"/>
      <c r="H102" s="2605"/>
      <c r="I102" s="2605"/>
      <c r="J102" s="2607"/>
      <c r="K102" s="2607"/>
      <c r="L102" s="248" t="s">
        <v>1468</v>
      </c>
      <c r="M102" s="2609" t="s">
        <v>188</v>
      </c>
      <c r="N102" s="2452" t="str">
        <f>IF(R102&lt;&gt;"",ROUND(R102,0),IF(FEI_Tax_Worksheet,MAX(0,SUM(N95,-N99)),""))</f>
        <v/>
      </c>
      <c r="O102" s="90"/>
      <c r="P102" s="148"/>
      <c r="Q102" s="148"/>
      <c r="R102" s="947"/>
      <c r="S102" s="148"/>
      <c r="U102" s="2618" t="s">
        <v>1368</v>
      </c>
      <c r="V102" s="801" t="str">
        <f>IF(File_Single&lt;&gt;"",CGTW_Line13_Single,IF(File_Marr_Sep&lt;&gt;"",CGTW_Line13_MFS,IF(OR(File_Marr_Joint&lt;&gt;"",File_Qual_Widow&lt;&gt;""),CGTW_Line13_MFJQW,IF(File_Head&lt;&gt;"",CGTW_Line13_HOH,""))))</f>
        <v/>
      </c>
      <c r="W102" s="2619" t="s">
        <v>6369</v>
      </c>
      <c r="X102" s="84" t="s">
        <v>13</v>
      </c>
      <c r="Y102" s="84" t="s">
        <v>663</v>
      </c>
      <c r="Z102" s="84" t="s">
        <v>21</v>
      </c>
      <c r="AA102" s="2500" t="s">
        <v>24</v>
      </c>
    </row>
    <row r="103" spans="1:29" ht="14.25" thickTop="1" thickBot="1">
      <c r="A103" s="148"/>
      <c r="B103" s="2595"/>
      <c r="C103" s="253"/>
      <c r="D103" s="2608"/>
      <c r="E103" s="220"/>
      <c r="F103" s="1560"/>
      <c r="G103" s="1560"/>
      <c r="H103" s="1560"/>
      <c r="I103" s="2605"/>
      <c r="J103" s="2607"/>
      <c r="K103" s="2607"/>
      <c r="L103" s="2441"/>
      <c r="M103" s="2441"/>
      <c r="N103" s="2441"/>
      <c r="O103" s="90"/>
      <c r="P103" s="148"/>
      <c r="Q103" s="148"/>
      <c r="R103" s="148"/>
      <c r="S103" s="148"/>
      <c r="U103" s="2618" t="s">
        <v>1369</v>
      </c>
      <c r="V103" s="801">
        <f>MIN(V90,V102)</f>
        <v>0</v>
      </c>
      <c r="W103" s="5358">
        <f>V94</f>
        <v>0</v>
      </c>
      <c r="X103" s="2572">
        <f>LOOKUP(W103,'Tax Table'!$B$2:$B$2063,'Tax Table'!$D$2:$D$2063)</f>
        <v>0</v>
      </c>
      <c r="Y103" s="2572">
        <f>LOOKUP(W103,'Tax Table'!$B$2:$B$2063,'Tax Table'!$E$2:$E$2063)</f>
        <v>0</v>
      </c>
      <c r="Z103" s="2572">
        <f>LOOKUP(W103,'Tax Table'!$B$2:$B$2063,'Tax Table'!$F$2:$F$2063)</f>
        <v>0</v>
      </c>
      <c r="AA103" s="2573">
        <f>LOOKUP(W103,'Tax Table'!$B$2:$B$2063,'Tax Table'!$G$2:$G$2063)</f>
        <v>0</v>
      </c>
    </row>
    <row r="104" spans="1:29" ht="13.5" thickBot="1">
      <c r="A104" s="2621"/>
      <c r="B104" s="2622" t="s">
        <v>1469</v>
      </c>
      <c r="C104" s="2595"/>
      <c r="D104" s="253"/>
      <c r="E104" s="1560"/>
      <c r="F104" s="1560"/>
      <c r="G104" s="1560"/>
      <c r="H104" s="2605"/>
      <c r="I104" s="2607"/>
      <c r="J104" s="2607"/>
      <c r="K104" s="2607"/>
      <c r="L104" s="2441"/>
      <c r="M104" s="2441"/>
      <c r="N104" s="2441"/>
      <c r="O104" s="90"/>
      <c r="P104" s="148"/>
      <c r="Q104" s="148"/>
      <c r="R104" s="148"/>
      <c r="S104" s="148"/>
      <c r="U104" s="2618" t="s">
        <v>1371</v>
      </c>
      <c r="V104" s="801">
        <f>SUM(V94,V98)</f>
        <v>0</v>
      </c>
      <c r="W104" s="4640"/>
      <c r="X104" s="2574" t="str">
        <f>IF(W103&lt;SectA_a2,"---",IF(W103&lt;=SectA_a3,ROUND(W103*(SectA_b3/100),0)-SectA_d3,IF(W103&lt;=SectA_a4,ROUND(W103*(SectA_b4/100),0)-SectA_d4,IF(W103&lt;=SectA_a5,ROUND(W103*(SectA_b5/100),0)-SectA_d5,IF(W103&lt;=SectA_a6,ROUND(W103*(SectA_b6/100),0)-SectA_d6,ROUND(W103*(SectA_b7/100),0)-SectA_d7)))))</f>
        <v>---</v>
      </c>
      <c r="Y104" s="2574" t="str">
        <f>IF(W103&lt;SectB_a2,"---",IF(W103&lt;=SectB_a3,ROUND(W103*(SectB_b3/100),0)-SectB_d3,IF(W103&lt;=SectB_a4,ROUND(W103*(SectB_b4/100),0)-SectB_d4,IF(W103&lt;=SectB_a5,ROUND(W103*(SectB_b5/100),0)-SectB_d5,IF(W103&lt;=SectB_a6,ROUND(W103*(SectB_b6/100),0)-SectB_d6,ROUND(W103*(SectB_b7/100),0)-SectB_d7)))))</f>
        <v>---</v>
      </c>
      <c r="Z104" s="2574" t="str">
        <f>IF(W103&lt;SectC_a1,"---",IF(W103&lt;=SectC_a2,ROUND(W103*(SectC_b2/100),0)-SectC_d2,IF(W103&lt;=SectC_a3,ROUND(W103*(SectC_b3/100),0)-SectC_d3,IF(W103&lt;=SectC_a4,ROUND(W103*(SectC_b4/100),0)-SectC_d4,IF(W103&lt;=SectC_a5,ROUND(W103*(SectC_b5/100),0)-SectC_d5,ROUND(W103*(SectC_b6/100),0)-SectC_d6)))))</f>
        <v>---</v>
      </c>
      <c r="AA104" s="2575" t="str">
        <f>IF(W103&lt;SectD_a2,"---",IF(W103&lt;=SectD_a3,ROUND(W103*(SectD_b3/100),0)-SectD_d3,IF(W103&lt;=SectD_a4,ROUND(W103*(SectD_b4/100),0)-SectD_d4,IF(W103&lt;=SectD_a5,ROUND(W103*(SectD_b5/100),0)-SectD_d5,IF(W103&lt;=SectD_a6,ROUND(W103*(SectD_b6/100),0)-SectD_d6,ROUND(W103*(SectD_b7/100),0)-SectD_d7)))))</f>
        <v>---</v>
      </c>
    </row>
    <row r="105" spans="1:29" ht="13.5" thickBot="1">
      <c r="A105" s="2621"/>
      <c r="B105" s="2622" t="s">
        <v>1470</v>
      </c>
      <c r="C105" s="2595"/>
      <c r="D105" s="253"/>
      <c r="E105" s="1560"/>
      <c r="F105" s="1560"/>
      <c r="G105" s="1560"/>
      <c r="H105" s="2605"/>
      <c r="I105" s="2607"/>
      <c r="J105" s="2607"/>
      <c r="K105" s="2607"/>
      <c r="L105" s="2441"/>
      <c r="M105" s="2441"/>
      <c r="N105" s="2441"/>
      <c r="O105" s="90"/>
      <c r="P105" s="148"/>
      <c r="Q105" s="148"/>
      <c r="R105" s="148"/>
      <c r="S105" s="148"/>
      <c r="U105" s="2618" t="s">
        <v>1372</v>
      </c>
      <c r="V105" s="801">
        <f>MAX(0,SUM(V103,-V104))</f>
        <v>0</v>
      </c>
      <c r="W105" s="2576" t="str">
        <f>IF(File_Single&lt;&gt;"",X103,IF(File_Marr_Joint&lt;&gt;"",Y103,IF(File_Marr_Sep&lt;&gt;"", Z103,IF(File_Head&lt;&gt;"",AA103,IF(File_Qual_Widow&lt;&gt;"",Y103,"Filing status?")))))</f>
        <v>Filing status?</v>
      </c>
      <c r="X105" s="1061" t="str">
        <f>"&lt;100k"</f>
        <v>&lt;100k</v>
      </c>
      <c r="Y105" s="1061"/>
      <c r="Z105" s="1061"/>
      <c r="AA105" s="2577"/>
    </row>
    <row r="106" spans="1:29" ht="13.5" thickBot="1">
      <c r="A106" s="2621"/>
      <c r="B106" s="2622" t="s">
        <v>1471</v>
      </c>
      <c r="C106" s="2595"/>
      <c r="D106" s="253"/>
      <c r="E106" s="1560"/>
      <c r="F106" s="1560"/>
      <c r="G106" s="1560"/>
      <c r="H106" s="2605"/>
      <c r="I106" s="2607"/>
      <c r="J106" s="2607"/>
      <c r="K106" s="2607"/>
      <c r="L106" s="2441"/>
      <c r="M106" s="2441"/>
      <c r="N106" s="2441"/>
      <c r="O106" s="90"/>
      <c r="P106" s="148"/>
      <c r="Q106" s="148"/>
      <c r="R106" s="148"/>
      <c r="S106" s="148"/>
      <c r="U106" s="2618" t="s">
        <v>1373</v>
      </c>
      <c r="V106" s="801">
        <f>MIN(V101,V105)</f>
        <v>0</v>
      </c>
      <c r="W106" s="2579" t="str">
        <f>IF(File_Single&lt;&gt;"",X104,IF(OR(File_Marr_Joint&lt;&gt;"",File_Qual_Widow&lt;&gt;""),Y104,IF(File_Marr_Sep&lt;&gt;"", Z104,IF(File_Head&lt;&gt;"",AA104,"Filing status?"))))</f>
        <v>Filing status?</v>
      </c>
      <c r="X106" s="2580" t="str">
        <f>"&gt;=100k"</f>
        <v>&gt;=100k</v>
      </c>
      <c r="Y106" s="2580"/>
      <c r="Z106" s="2580" t="s">
        <v>672</v>
      </c>
      <c r="AA106" s="2581" t="str">
        <f>IF(NumFileStatusBoxes=0,"FilingStatus?",IF(W103&gt;100000,ROUND(W106,0),ROUND(W105,0)))</f>
        <v>FilingStatus?</v>
      </c>
    </row>
    <row r="107" spans="1:29" ht="13.5" thickTop="1">
      <c r="A107" s="2621"/>
      <c r="B107" s="2622" t="s">
        <v>1472</v>
      </c>
      <c r="C107" s="2595"/>
      <c r="D107" s="253"/>
      <c r="E107" s="1560"/>
      <c r="F107" s="1560"/>
      <c r="G107" s="1560"/>
      <c r="H107" s="2605"/>
      <c r="I107" s="2607"/>
      <c r="J107" s="2607"/>
      <c r="K107" s="2607"/>
      <c r="L107" s="2441"/>
      <c r="M107" s="2441"/>
      <c r="N107" s="2441"/>
      <c r="O107" s="90"/>
      <c r="P107" s="148"/>
      <c r="Q107" s="148"/>
      <c r="R107" s="148"/>
      <c r="S107" s="148"/>
      <c r="U107" s="2623" t="s">
        <v>1374</v>
      </c>
      <c r="V107" s="801">
        <f>ROUND((V106*CGTW_Line18_PCT),0)</f>
        <v>0</v>
      </c>
      <c r="AA107" s="2620" t="s">
        <v>1375</v>
      </c>
    </row>
    <row r="108" spans="1:29">
      <c r="A108" s="2621"/>
      <c r="B108" s="2622" t="s">
        <v>1473</v>
      </c>
      <c r="C108" s="2595"/>
      <c r="D108" s="253"/>
      <c r="E108" s="1560"/>
      <c r="F108" s="1560"/>
      <c r="G108" s="1560"/>
      <c r="H108" s="2605"/>
      <c r="I108" s="2607"/>
      <c r="J108" s="2607"/>
      <c r="K108" s="2607"/>
      <c r="L108" s="2441"/>
      <c r="M108" s="2441"/>
      <c r="N108" s="2441"/>
      <c r="O108" s="90"/>
      <c r="P108" s="148"/>
      <c r="Q108" s="148"/>
      <c r="R108" s="148"/>
      <c r="S108" s="148"/>
      <c r="U108" s="2618" t="s">
        <v>1377</v>
      </c>
      <c r="V108" s="801">
        <f>SUM(V98,V106)</f>
        <v>0</v>
      </c>
      <c r="AA108" s="1066"/>
    </row>
    <row r="109" spans="1:29" ht="19.5" customHeight="1">
      <c r="A109" s="2621"/>
      <c r="B109" s="2622" t="s">
        <v>1474</v>
      </c>
      <c r="C109" s="2595"/>
      <c r="D109" s="253"/>
      <c r="E109" s="1560"/>
      <c r="F109" s="1560"/>
      <c r="G109" s="1560"/>
      <c r="H109" s="2605"/>
      <c r="I109" s="2607"/>
      <c r="J109" s="2607"/>
      <c r="K109" s="2607"/>
      <c r="L109" s="2441"/>
      <c r="M109" s="2441"/>
      <c r="N109" s="2441"/>
      <c r="O109" s="90"/>
      <c r="P109" s="148"/>
      <c r="Q109" s="148"/>
      <c r="R109" s="148"/>
      <c r="S109" s="148"/>
      <c r="U109" s="2618" t="s">
        <v>1381</v>
      </c>
      <c r="V109" s="801">
        <f>SUM(V99,-V108)</f>
        <v>0</v>
      </c>
      <c r="AA109" s="1066"/>
    </row>
    <row r="110" spans="1:29">
      <c r="A110" s="2621"/>
      <c r="B110" s="2622" t="s">
        <v>1475</v>
      </c>
      <c r="C110" s="2595"/>
      <c r="D110" s="253"/>
      <c r="E110" s="1560"/>
      <c r="F110" s="1560"/>
      <c r="G110" s="1560"/>
      <c r="H110" s="2605"/>
      <c r="I110" s="2607"/>
      <c r="J110" s="2607"/>
      <c r="K110" s="2607"/>
      <c r="L110" s="2441"/>
      <c r="M110" s="2441"/>
      <c r="N110" s="2441"/>
      <c r="O110" s="90"/>
      <c r="P110" s="148"/>
      <c r="Q110" s="148"/>
      <c r="R110" s="148"/>
      <c r="S110" s="148"/>
      <c r="U110" s="2623" t="s">
        <v>1383</v>
      </c>
      <c r="V110" s="801">
        <f>ROUND(V109*CGTW_Line21_PCT,0)</f>
        <v>0</v>
      </c>
      <c r="AA110" s="1066"/>
    </row>
    <row r="111" spans="1:29" ht="19.5" customHeight="1">
      <c r="A111" s="2621"/>
      <c r="B111" s="2622" t="s">
        <v>1476</v>
      </c>
      <c r="C111" s="2595"/>
      <c r="D111" s="253"/>
      <c r="E111" s="1560"/>
      <c r="F111" s="1560"/>
      <c r="G111" s="1560"/>
      <c r="H111" s="2605"/>
      <c r="I111" s="2607"/>
      <c r="J111" s="2607"/>
      <c r="K111" s="2607"/>
      <c r="L111" s="2441"/>
      <c r="M111" s="2441"/>
      <c r="N111" s="2441"/>
      <c r="O111" s="90"/>
      <c r="P111" s="148"/>
      <c r="Q111" s="148"/>
      <c r="R111" s="148"/>
      <c r="S111" s="148"/>
      <c r="U111" s="2623" t="s">
        <v>1385</v>
      </c>
      <c r="V111" s="801" t="str">
        <f>AA106</f>
        <v>FilingStatus?</v>
      </c>
      <c r="W111" s="329" t="s">
        <v>1386</v>
      </c>
      <c r="AA111" s="1066"/>
    </row>
    <row r="112" spans="1:29">
      <c r="A112" s="2621"/>
      <c r="B112" s="2622" t="s">
        <v>1477</v>
      </c>
      <c r="C112" s="2595"/>
      <c r="D112" s="253"/>
      <c r="E112" s="1560"/>
      <c r="F112" s="1560"/>
      <c r="G112" s="1560"/>
      <c r="H112" s="2605"/>
      <c r="I112" s="2607"/>
      <c r="J112" s="2607"/>
      <c r="K112" s="2607"/>
      <c r="L112" s="2441"/>
      <c r="M112" s="2441"/>
      <c r="N112" s="2441"/>
      <c r="O112" s="90"/>
      <c r="P112" s="148"/>
      <c r="Q112" s="148"/>
      <c r="R112" s="148"/>
      <c r="S112" s="148"/>
      <c r="U112" s="2623" t="s">
        <v>1387</v>
      </c>
      <c r="V112" s="801">
        <f>SUM(V107,V110,V111)</f>
        <v>0</v>
      </c>
      <c r="AA112" s="1066"/>
    </row>
    <row r="113" spans="1:28">
      <c r="A113" s="2621"/>
      <c r="B113" s="2622" t="s">
        <v>1478</v>
      </c>
      <c r="C113" s="2595"/>
      <c r="D113" s="253"/>
      <c r="E113" s="1560"/>
      <c r="F113" s="1560"/>
      <c r="G113" s="1560"/>
      <c r="H113" s="2605"/>
      <c r="I113" s="2607"/>
      <c r="J113" s="2607"/>
      <c r="K113" s="2607"/>
      <c r="L113" s="2441"/>
      <c r="M113" s="2441"/>
      <c r="N113" s="2441"/>
      <c r="O113" s="90"/>
      <c r="P113" s="148"/>
      <c r="Q113" s="148"/>
      <c r="R113" s="148"/>
      <c r="S113" s="148"/>
      <c r="U113" s="2623" t="s">
        <v>1388</v>
      </c>
      <c r="V113" s="801" t="str">
        <f>AA98</f>
        <v>FilingStatus?</v>
      </c>
      <c r="W113" s="329" t="s">
        <v>1389</v>
      </c>
      <c r="AA113" s="1066"/>
    </row>
    <row r="114" spans="1:28" ht="13.5" thickBot="1">
      <c r="A114" s="2621"/>
      <c r="B114" s="2622" t="s">
        <v>1479</v>
      </c>
      <c r="C114" s="2595"/>
      <c r="D114" s="253"/>
      <c r="E114" s="1560"/>
      <c r="F114" s="1560"/>
      <c r="G114" s="1560"/>
      <c r="H114" s="2605"/>
      <c r="I114" s="2607"/>
      <c r="J114" s="2607"/>
      <c r="K114" s="2607"/>
      <c r="L114" s="2441"/>
      <c r="M114" s="2441"/>
      <c r="N114" s="2441"/>
      <c r="O114" s="90"/>
      <c r="P114" s="148"/>
      <c r="Q114" s="148"/>
      <c r="R114" s="148"/>
      <c r="S114" s="148"/>
      <c r="U114" s="2624" t="s">
        <v>1390</v>
      </c>
      <c r="V114" s="2625" t="str">
        <f>IF(NOT(Y90),"",MIN(V112,V113))</f>
        <v/>
      </c>
      <c r="W114" s="2626" t="s">
        <v>1391</v>
      </c>
      <c r="X114" s="2503"/>
      <c r="Y114" s="2503"/>
      <c r="Z114" s="2503"/>
      <c r="AA114" s="2627"/>
    </row>
    <row r="115" spans="1:28">
      <c r="A115" s="2621"/>
      <c r="B115" s="2622" t="s">
        <v>1480</v>
      </c>
      <c r="C115" s="2595"/>
      <c r="D115" s="253"/>
      <c r="E115" s="1560"/>
      <c r="F115" s="1560"/>
      <c r="G115" s="1560"/>
      <c r="H115" s="2605"/>
      <c r="I115" s="2607"/>
      <c r="J115" s="2607"/>
      <c r="K115" s="2607"/>
      <c r="L115" s="2441"/>
      <c r="M115" s="2441"/>
      <c r="N115" s="2441"/>
      <c r="O115" s="90"/>
      <c r="P115" s="148"/>
      <c r="Q115" s="148"/>
      <c r="R115" s="148"/>
      <c r="S115" s="148"/>
      <c r="AA115" t="b">
        <f>V114=MIN(Y81,V114,X173)</f>
        <v>0</v>
      </c>
    </row>
    <row r="116" spans="1:28">
      <c r="A116" s="2621"/>
      <c r="B116" s="2622" t="s">
        <v>1481</v>
      </c>
      <c r="C116" s="2595"/>
      <c r="D116" s="253"/>
      <c r="E116" s="1560"/>
      <c r="F116" s="1560"/>
      <c r="G116" s="1560"/>
      <c r="H116" s="2605"/>
      <c r="I116" s="2607"/>
      <c r="J116" s="2607"/>
      <c r="K116" s="2607"/>
      <c r="L116" s="2441"/>
      <c r="M116" s="2441"/>
      <c r="N116" s="2441"/>
      <c r="O116" s="90"/>
      <c r="P116" s="148"/>
      <c r="Q116" s="148"/>
      <c r="R116" s="148"/>
      <c r="S116" s="148"/>
      <c r="U116" s="829" t="s">
        <v>1482</v>
      </c>
      <c r="V116" s="830"/>
      <c r="W116" s="830"/>
      <c r="X116" s="830" t="b">
        <f>SchDTW_Used</f>
        <v>0</v>
      </c>
      <c r="Y116" s="843" t="s">
        <v>1483</v>
      </c>
      <c r="Z116" s="329"/>
      <c r="AA116" s="329"/>
      <c r="AB116" s="329"/>
    </row>
    <row r="117" spans="1:28">
      <c r="A117" s="2621"/>
      <c r="B117" s="2622" t="s">
        <v>1484</v>
      </c>
      <c r="C117" s="2595"/>
      <c r="D117" s="253"/>
      <c r="E117" s="1560"/>
      <c r="F117" s="1560"/>
      <c r="G117" s="1560"/>
      <c r="H117" s="2605"/>
      <c r="I117" s="2607"/>
      <c r="J117" s="2607"/>
      <c r="K117" s="2607"/>
      <c r="L117" s="2441"/>
      <c r="M117" s="2441"/>
      <c r="N117" s="2441"/>
      <c r="O117" s="90"/>
      <c r="P117" s="148"/>
      <c r="Q117" s="148"/>
      <c r="R117" s="148"/>
      <c r="S117" s="148"/>
      <c r="U117" s="831" t="s">
        <v>157</v>
      </c>
      <c r="V117" s="329" t="s">
        <v>1485</v>
      </c>
      <c r="X117" s="2628" t="str">
        <f>IF(NOT(X116),"",IF(Form2555_Used,FEI_TW_Line3,IF(Taxable_Inc&lt;&gt;"",Taxable_Inc,0)))</f>
        <v/>
      </c>
      <c r="Y117" s="832"/>
      <c r="Z117" s="329"/>
      <c r="AA117" s="329"/>
      <c r="AB117" s="329"/>
    </row>
    <row r="118" spans="1:28">
      <c r="A118" s="2621"/>
      <c r="B118" s="2622" t="s">
        <v>1486</v>
      </c>
      <c r="C118" s="2595"/>
      <c r="D118" s="253"/>
      <c r="E118" s="1560"/>
      <c r="F118" s="1560"/>
      <c r="G118" s="1560"/>
      <c r="H118" s="2605"/>
      <c r="I118" s="2607"/>
      <c r="J118" s="2607"/>
      <c r="K118" s="2607"/>
      <c r="L118" s="2441"/>
      <c r="M118" s="2441"/>
      <c r="N118" s="2441"/>
      <c r="O118" s="90"/>
      <c r="P118" s="148"/>
      <c r="Q118" s="148"/>
      <c r="R118" s="148"/>
      <c r="S118" s="148"/>
      <c r="U118" s="833" t="s">
        <v>161</v>
      </c>
      <c r="V118" s="329" t="s">
        <v>1487</v>
      </c>
      <c r="X118" s="2628">
        <f>Qualified_Dividends</f>
        <v>0</v>
      </c>
      <c r="Y118" s="832"/>
      <c r="Z118" s="329"/>
      <c r="AA118" s="329"/>
      <c r="AB118" s="329"/>
    </row>
    <row r="119" spans="1:28">
      <c r="A119" s="2621"/>
      <c r="B119" s="2622" t="s">
        <v>5962</v>
      </c>
      <c r="C119" s="2595"/>
      <c r="D119" s="253"/>
      <c r="E119" s="1560"/>
      <c r="F119" s="1560"/>
      <c r="G119" s="1560"/>
      <c r="H119" s="2605"/>
      <c r="I119" s="2607"/>
      <c r="J119" s="2607"/>
      <c r="K119" s="2607"/>
      <c r="L119" s="2441"/>
      <c r="M119" s="2441"/>
      <c r="N119" s="2441"/>
      <c r="O119" s="90"/>
      <c r="P119" s="148"/>
      <c r="Q119" s="148"/>
      <c r="R119" s="148"/>
      <c r="S119" s="148"/>
      <c r="U119" s="834" t="s">
        <v>167</v>
      </c>
      <c r="V119" s="329" t="s">
        <v>1488</v>
      </c>
      <c r="X119" s="2628">
        <f>Form4952_Line4g</f>
        <v>0</v>
      </c>
      <c r="Y119" s="832"/>
      <c r="Z119" s="329"/>
      <c r="AA119" s="329"/>
      <c r="AB119" s="329"/>
    </row>
    <row r="120" spans="1:28">
      <c r="A120" s="2621"/>
      <c r="B120" s="2622" t="s">
        <v>1489</v>
      </c>
      <c r="C120" s="2595"/>
      <c r="D120" s="253"/>
      <c r="E120" s="1560"/>
      <c r="F120" s="1560"/>
      <c r="G120" s="1560"/>
      <c r="H120" s="2605"/>
      <c r="I120" s="2607"/>
      <c r="J120" s="2607"/>
      <c r="K120" s="2607"/>
      <c r="L120" s="2441"/>
      <c r="M120" s="2441"/>
      <c r="N120" s="2441"/>
      <c r="O120" s="90"/>
      <c r="P120" s="148"/>
      <c r="Q120" s="148"/>
      <c r="R120" s="148"/>
      <c r="S120" s="148"/>
      <c r="U120" s="834" t="s">
        <v>171</v>
      </c>
      <c r="V120" s="329" t="s">
        <v>1490</v>
      </c>
      <c r="X120" s="2628">
        <f>Form4952_Line4e</f>
        <v>0</v>
      </c>
      <c r="Y120" s="832"/>
      <c r="Z120" s="329"/>
      <c r="AA120" s="329"/>
      <c r="AB120" s="329"/>
    </row>
    <row r="121" spans="1:28" ht="13.5" thickBot="1">
      <c r="A121" s="2621"/>
      <c r="B121" s="2629"/>
      <c r="C121" s="380"/>
      <c r="D121" s="2630"/>
      <c r="E121" s="2631"/>
      <c r="F121" s="2543"/>
      <c r="G121" s="2543"/>
      <c r="H121" s="2543"/>
      <c r="I121" s="2632"/>
      <c r="J121" s="203"/>
      <c r="K121" s="203"/>
      <c r="L121" s="2633"/>
      <c r="M121" s="2633"/>
      <c r="N121" s="2633"/>
      <c r="O121" s="2490"/>
      <c r="P121" s="148"/>
      <c r="Q121" s="148"/>
      <c r="R121" s="148"/>
      <c r="S121" s="148"/>
      <c r="U121" s="833" t="s">
        <v>184</v>
      </c>
      <c r="V121" s="329" t="s">
        <v>1491</v>
      </c>
      <c r="X121" s="2628">
        <f>MAX(0,SUM(X119-X120))</f>
        <v>0</v>
      </c>
      <c r="Y121" s="832"/>
      <c r="Z121" s="329"/>
      <c r="AA121" s="329"/>
      <c r="AB121" s="329"/>
    </row>
    <row r="122" spans="1:28">
      <c r="A122" s="148"/>
      <c r="B122" s="148"/>
      <c r="C122" s="148"/>
      <c r="D122" s="148"/>
      <c r="E122" s="148"/>
      <c r="F122" s="148"/>
      <c r="G122" s="148"/>
      <c r="H122" s="148"/>
      <c r="I122" s="148"/>
      <c r="J122" s="148"/>
      <c r="K122" s="148"/>
      <c r="L122" s="148"/>
      <c r="M122" s="148"/>
      <c r="N122" s="148"/>
      <c r="O122" s="148"/>
      <c r="P122" s="148"/>
      <c r="Q122" s="148"/>
      <c r="R122" s="148"/>
      <c r="S122" s="148"/>
      <c r="U122" s="835" t="s">
        <v>188</v>
      </c>
      <c r="V122" s="329" t="s">
        <v>1492</v>
      </c>
      <c r="X122" s="2628">
        <f>MAX(0,SUM(X118,-X121))</f>
        <v>0</v>
      </c>
      <c r="Y122" s="832"/>
      <c r="Z122" s="329"/>
      <c r="AA122" s="329"/>
      <c r="AB122" s="329"/>
    </row>
    <row r="123" spans="1:28">
      <c r="U123" s="833" t="s">
        <v>198</v>
      </c>
      <c r="V123" s="329" t="s">
        <v>1493</v>
      </c>
      <c r="X123" s="2628">
        <f>MIN(SchDLine15,SchDLine16)</f>
        <v>0</v>
      </c>
      <c r="Y123" s="832"/>
      <c r="Z123" s="329"/>
      <c r="AA123" s="329"/>
      <c r="AB123" s="329"/>
    </row>
    <row r="124" spans="1:28">
      <c r="U124" s="833" t="s">
        <v>200</v>
      </c>
      <c r="V124" s="329" t="s">
        <v>1494</v>
      </c>
      <c r="X124" s="2628">
        <f>MIN(X119,X120)</f>
        <v>0</v>
      </c>
      <c r="Y124" s="832"/>
      <c r="Z124" s="329"/>
      <c r="AA124" s="329"/>
      <c r="AB124" s="329"/>
    </row>
    <row r="125" spans="1:28">
      <c r="U125" s="835" t="s">
        <v>205</v>
      </c>
      <c r="V125" s="329" t="s">
        <v>1495</v>
      </c>
      <c r="X125" s="2628">
        <f>MAX(0,SUM(X123,-X124))</f>
        <v>0</v>
      </c>
      <c r="Y125" s="832"/>
      <c r="Z125" s="329"/>
      <c r="AA125" s="329"/>
      <c r="AB125" s="329"/>
    </row>
    <row r="126" spans="1:28">
      <c r="U126" s="833" t="s">
        <v>210</v>
      </c>
      <c r="V126" s="329" t="s">
        <v>1496</v>
      </c>
      <c r="X126" s="2628">
        <f>SUM(X122,X125)</f>
        <v>0</v>
      </c>
      <c r="Y126" s="832"/>
      <c r="Z126" s="329"/>
      <c r="AA126" s="329"/>
      <c r="AB126" s="329"/>
    </row>
    <row r="127" spans="1:28">
      <c r="U127" s="835" t="s">
        <v>212</v>
      </c>
      <c r="V127" s="329" t="s">
        <v>1497</v>
      </c>
      <c r="X127" s="2628">
        <f>SUM(SchDLine18,SchDLine19)</f>
        <v>0</v>
      </c>
      <c r="Y127" s="832"/>
      <c r="Z127" s="329"/>
      <c r="AA127" s="329"/>
      <c r="AB127" s="329"/>
    </row>
    <row r="128" spans="1:28">
      <c r="U128" s="833" t="s">
        <v>1366</v>
      </c>
      <c r="V128" s="329" t="s">
        <v>1498</v>
      </c>
      <c r="X128" s="2628">
        <f>MIN(X125,X127)</f>
        <v>0</v>
      </c>
      <c r="Y128" s="832"/>
      <c r="Z128" s="329"/>
      <c r="AA128" s="329"/>
      <c r="AB128" s="329"/>
    </row>
    <row r="129" spans="21:28">
      <c r="U129" s="831" t="s">
        <v>1368</v>
      </c>
      <c r="V129" s="329" t="s">
        <v>1499</v>
      </c>
      <c r="X129" s="2628">
        <f>SUM(X126,-X128)</f>
        <v>0</v>
      </c>
      <c r="Y129" s="832"/>
      <c r="Z129" s="329"/>
      <c r="AA129" s="329"/>
      <c r="AB129" s="329"/>
    </row>
    <row r="130" spans="21:28">
      <c r="U130" s="831" t="s">
        <v>1369</v>
      </c>
      <c r="V130" s="329" t="s">
        <v>1500</v>
      </c>
      <c r="X130" s="2628">
        <f>MAX(0,SUM(X117,-X129))</f>
        <v>0</v>
      </c>
      <c r="Y130" s="832"/>
      <c r="Z130" s="329"/>
      <c r="AA130" s="329"/>
      <c r="AB130" s="329"/>
    </row>
    <row r="131" spans="21:28">
      <c r="U131" s="833" t="s">
        <v>1371</v>
      </c>
      <c r="V131" s="329" t="s">
        <v>1501</v>
      </c>
      <c r="X131" s="2628" t="str">
        <f>SchDTW_Line15</f>
        <v>Filing status?</v>
      </c>
      <c r="Y131" s="832"/>
      <c r="Z131" s="329"/>
      <c r="AA131" s="329"/>
      <c r="AB131" s="329"/>
    </row>
    <row r="132" spans="21:28">
      <c r="U132" s="835" t="s">
        <v>1372</v>
      </c>
      <c r="V132" s="329" t="s">
        <v>1502</v>
      </c>
      <c r="X132" s="2628">
        <f>MIN(X117,X131)</f>
        <v>0</v>
      </c>
      <c r="Y132" s="832"/>
      <c r="Z132" s="329"/>
      <c r="AA132" s="329"/>
      <c r="AB132" s="329"/>
    </row>
    <row r="133" spans="21:28">
      <c r="U133" s="833" t="s">
        <v>1373</v>
      </c>
      <c r="V133" s="329" t="s">
        <v>1503</v>
      </c>
      <c r="X133" s="2628">
        <f>MIN(X130,X132)</f>
        <v>0</v>
      </c>
      <c r="Y133" s="832"/>
      <c r="Z133" s="329"/>
      <c r="AA133" s="329"/>
      <c r="AB133" s="329"/>
    </row>
    <row r="134" spans="21:28">
      <c r="U134" s="833" t="s">
        <v>1374</v>
      </c>
      <c r="V134" s="329" t="s">
        <v>1504</v>
      </c>
      <c r="X134" s="2628">
        <f>MAX(0,SUM(X117,-X126))</f>
        <v>0</v>
      </c>
      <c r="Y134" s="832"/>
      <c r="Z134" s="329"/>
      <c r="AA134" s="329"/>
      <c r="AB134" s="329"/>
    </row>
    <row r="135" spans="21:28">
      <c r="U135" s="835" t="s">
        <v>1377</v>
      </c>
      <c r="V135" s="329" t="s">
        <v>1505</v>
      </c>
      <c r="X135" s="2628">
        <f>IF(X117="",0,MIN(X117,SchDTW_Line19))</f>
        <v>0</v>
      </c>
      <c r="Y135" s="832"/>
      <c r="Z135" s="329"/>
      <c r="AA135" s="329"/>
      <c r="AB135" s="329"/>
    </row>
    <row r="136" spans="21:28">
      <c r="U136" s="835" t="s">
        <v>1381</v>
      </c>
      <c r="V136" s="329" t="s">
        <v>1506</v>
      </c>
      <c r="X136" s="2628">
        <f>MIN(X130,X135)</f>
        <v>0</v>
      </c>
      <c r="Y136" s="832"/>
      <c r="Z136" s="329"/>
      <c r="AA136" s="329"/>
      <c r="AB136" s="329"/>
    </row>
    <row r="137" spans="21:28">
      <c r="U137" s="833" t="s">
        <v>1383</v>
      </c>
      <c r="V137" s="329" t="s">
        <v>1507</v>
      </c>
      <c r="X137" s="2628">
        <f>MAX(X134,X136)</f>
        <v>0</v>
      </c>
      <c r="Y137" s="832"/>
      <c r="Z137" s="329"/>
      <c r="AA137" s="329"/>
      <c r="AB137" s="329"/>
    </row>
    <row r="138" spans="21:28">
      <c r="U138" s="835">
        <v>22</v>
      </c>
      <c r="V138" s="329" t="s">
        <v>1508</v>
      </c>
      <c r="X138" s="2628">
        <f>SUM(X132,-X133)</f>
        <v>0</v>
      </c>
      <c r="Y138" s="832"/>
      <c r="Z138" s="329"/>
      <c r="AA138" s="329"/>
      <c r="AB138" s="329"/>
    </row>
    <row r="139" spans="21:28">
      <c r="U139" s="833" t="s">
        <v>1387</v>
      </c>
      <c r="V139" s="329" t="s">
        <v>1509</v>
      </c>
      <c r="X139" s="2628" t="str">
        <f>IF(Y139,"",MIN(X117,X129))</f>
        <v/>
      </c>
      <c r="Y139" s="1186" t="b">
        <f>IF(X117="",X132=0,X117=X132)</f>
        <v>1</v>
      </c>
      <c r="Z139" s="329"/>
      <c r="AA139" s="329"/>
      <c r="AB139" s="329"/>
    </row>
    <row r="140" spans="21:28">
      <c r="U140" s="833" t="s">
        <v>1388</v>
      </c>
      <c r="V140" s="329" t="s">
        <v>1510</v>
      </c>
      <c r="X140" s="2628" t="str">
        <f>IF(Y139,"",IF(X138="",0,X138))</f>
        <v/>
      </c>
      <c r="Y140" s="832"/>
      <c r="Z140" s="329"/>
      <c r="AA140" s="329"/>
      <c r="AB140" s="329"/>
    </row>
    <row r="141" spans="21:28">
      <c r="U141" s="833" t="s">
        <v>1390</v>
      </c>
      <c r="V141" s="329" t="s">
        <v>1511</v>
      </c>
      <c r="X141" s="2628" t="str">
        <f>IF(Y139,"",MAX(0,SUM(X139,-X140)))</f>
        <v/>
      </c>
      <c r="Y141" s="832"/>
      <c r="Z141" s="329"/>
      <c r="AA141" s="329"/>
      <c r="AB141" s="329"/>
    </row>
    <row r="142" spans="21:28">
      <c r="U142" s="835">
        <v>26</v>
      </c>
      <c r="V142" s="329" t="s">
        <v>1512</v>
      </c>
      <c r="X142" s="2628" t="str">
        <f>IF(Y139,"",SchDTW_Line26)</f>
        <v/>
      </c>
      <c r="Y142" s="832"/>
      <c r="Z142" s="329"/>
      <c r="AA142" s="329"/>
      <c r="AB142" s="329"/>
    </row>
    <row r="143" spans="21:28">
      <c r="U143" s="835" t="s">
        <v>1513</v>
      </c>
      <c r="V143" s="329" t="s">
        <v>1514</v>
      </c>
      <c r="X143" s="2628" t="str">
        <f>IF(Y139,"",IF(X117="",MIN(0,X142),MIN(X117,X142)))</f>
        <v/>
      </c>
      <c r="Y143" s="832"/>
      <c r="Z143" s="329"/>
      <c r="AA143" s="329"/>
      <c r="AB143" s="329"/>
    </row>
    <row r="144" spans="21:28">
      <c r="U144" s="835" t="s">
        <v>1515</v>
      </c>
      <c r="V144" s="329" t="s">
        <v>1516</v>
      </c>
      <c r="X144" s="2628" t="str">
        <f>IF(Y139,"",SUM(X137,X138))</f>
        <v/>
      </c>
      <c r="Y144" s="832"/>
      <c r="Z144" s="329"/>
      <c r="AA144" s="329"/>
      <c r="AB144" s="329"/>
    </row>
    <row r="145" spans="21:28">
      <c r="U145" s="835" t="s">
        <v>1517</v>
      </c>
      <c r="V145" s="329" t="s">
        <v>1518</v>
      </c>
      <c r="X145" s="2628" t="str">
        <f>IF(Y139,"",MAX(0,SUM(X143,-X144)))</f>
        <v/>
      </c>
      <c r="Y145" s="832"/>
      <c r="Z145" s="329"/>
      <c r="AA145" s="329"/>
      <c r="AB145" s="329"/>
    </row>
    <row r="146" spans="21:28">
      <c r="U146" s="1185" t="s">
        <v>1519</v>
      </c>
      <c r="V146" s="329" t="s">
        <v>1520</v>
      </c>
      <c r="X146" s="2628" t="str">
        <f>IF(Y139,"",MIN(X139,X145))</f>
        <v/>
      </c>
      <c r="Y146" s="832"/>
      <c r="Z146" s="329"/>
      <c r="AA146" s="329"/>
      <c r="AB146" s="329"/>
    </row>
    <row r="147" spans="21:28">
      <c r="U147" s="831" t="s">
        <v>1521</v>
      </c>
      <c r="V147" s="329" t="str">
        <f>"Multiply line 30 by "&amp;TEXT(Y147,"0%")</f>
        <v>Multiply line 30 by 15%</v>
      </c>
      <c r="X147" s="2628" t="str">
        <f>IF(Y139,"",ROUND(X146*Y147,0))</f>
        <v/>
      </c>
      <c r="Y147" s="836">
        <f>SchDTW_Line31Rate</f>
        <v>0.15</v>
      </c>
      <c r="Z147" s="329"/>
      <c r="AA147" s="329"/>
      <c r="AB147" s="329"/>
    </row>
    <row r="148" spans="21:28">
      <c r="U148" s="833" t="s">
        <v>1522</v>
      </c>
      <c r="V148" s="329" t="s">
        <v>1523</v>
      </c>
      <c r="X148" s="2628" t="str">
        <f>IF(Y139,"",SUM(X140,X146))</f>
        <v/>
      </c>
      <c r="Y148" s="1186" t="b">
        <f>IF(X117="",X148=0,X117=X148)</f>
        <v>0</v>
      </c>
      <c r="Z148" s="329"/>
      <c r="AA148" s="329"/>
      <c r="AB148" s="329"/>
    </row>
    <row r="149" spans="21:28">
      <c r="U149" s="835" t="s">
        <v>1524</v>
      </c>
      <c r="V149" s="329" t="s">
        <v>1525</v>
      </c>
      <c r="X149" s="2628" t="str">
        <f>IF(OR(Y139,Y148),"",SUM(X139,-X148))</f>
        <v/>
      </c>
      <c r="Y149" s="1186"/>
      <c r="Z149" s="329"/>
      <c r="AA149" s="329"/>
      <c r="AB149" s="329"/>
    </row>
    <row r="150" spans="21:28">
      <c r="U150" s="831" t="s">
        <v>1526</v>
      </c>
      <c r="V150" s="329" t="str">
        <f>"Multiply line 33 by "&amp;TEXT(Y150,"0%")</f>
        <v>Multiply line 33 by 20%</v>
      </c>
      <c r="X150" s="2628" t="str">
        <f>IF(OR(Y139,Y148),"",ROUND(X149*Y150,0))</f>
        <v/>
      </c>
      <c r="Y150" s="836">
        <f>SchDTW_Line34Rate</f>
        <v>0.2</v>
      </c>
      <c r="Z150" s="329"/>
      <c r="AA150" s="329"/>
      <c r="AB150" s="329"/>
    </row>
    <row r="151" spans="21:28">
      <c r="U151" s="833" t="s">
        <v>1527</v>
      </c>
      <c r="V151" s="329" t="s">
        <v>1528</v>
      </c>
      <c r="X151" s="2628" t="str">
        <f>IF(OR(Y139,Y148,Y151),"",MIN(X125,SchDLine19))</f>
        <v/>
      </c>
      <c r="Y151" s="1186" t="b">
        <f>OR(SchDLine19=0,SchDLine19="")</f>
        <v>1</v>
      </c>
      <c r="Z151" s="329"/>
      <c r="AA151" s="329"/>
      <c r="AB151" s="329"/>
    </row>
    <row r="152" spans="21:28">
      <c r="U152" s="837" t="s">
        <v>1529</v>
      </c>
      <c r="V152" s="329" t="s">
        <v>1530</v>
      </c>
      <c r="X152" s="2628" t="str">
        <f>IF(OR(Y139,Y148,Y151),"",SUM(X126,X137))</f>
        <v/>
      </c>
      <c r="Y152" s="832"/>
      <c r="Z152" s="329"/>
      <c r="AA152" s="329"/>
      <c r="AB152" s="329"/>
    </row>
    <row r="153" spans="21:28">
      <c r="U153" s="837" t="s">
        <v>1531</v>
      </c>
      <c r="V153" s="329" t="s">
        <v>1532</v>
      </c>
      <c r="X153" s="2628" t="str">
        <f>IF(OR(Y139,Y148,Y151),"",IF(X117="",0,X117))</f>
        <v/>
      </c>
      <c r="Y153" s="832"/>
      <c r="Z153" s="329"/>
      <c r="AA153" s="329"/>
      <c r="AB153" s="329"/>
    </row>
    <row r="154" spans="21:28">
      <c r="U154" s="833" t="s">
        <v>1533</v>
      </c>
      <c r="V154" s="329" t="s">
        <v>1534</v>
      </c>
      <c r="X154" s="2628" t="str">
        <f>IF(OR(Y139,Y148,Y151),"",MAX(0,SUM(X152,-X153)))</f>
        <v/>
      </c>
      <c r="Y154" s="832"/>
      <c r="Z154" s="329"/>
      <c r="AA154" s="329"/>
      <c r="AB154" s="329"/>
    </row>
    <row r="155" spans="21:28">
      <c r="U155" s="835" t="s">
        <v>1535</v>
      </c>
      <c r="V155" s="329" t="s">
        <v>1536</v>
      </c>
      <c r="X155" s="2628" t="str">
        <f>IF(OR(Y139,Y148,Y151),"",MAX(0,SUM(X151,-X154)))</f>
        <v/>
      </c>
      <c r="Y155" s="832"/>
      <c r="Z155" s="329"/>
      <c r="AA155" s="329"/>
      <c r="AB155" s="329"/>
    </row>
    <row r="156" spans="21:28">
      <c r="U156" s="831" t="s">
        <v>1537</v>
      </c>
      <c r="V156" s="329" t="str">
        <f>"Multiply line 39 by "&amp;TEXT(Y156,"0%")</f>
        <v>Multiply line 39 by 25%</v>
      </c>
      <c r="X156" s="2628" t="str">
        <f>IF(OR(Y139,Y148,Y151),"",ROUND(X155*Y156,0))</f>
        <v/>
      </c>
      <c r="Y156" s="836">
        <f>SchDTW_Line40Rate</f>
        <v>0.25</v>
      </c>
      <c r="Z156" s="329"/>
      <c r="AA156" s="329"/>
      <c r="AB156" s="329"/>
    </row>
    <row r="157" spans="21:28">
      <c r="U157" s="835" t="s">
        <v>1538</v>
      </c>
      <c r="V157" s="329" t="s">
        <v>1539</v>
      </c>
      <c r="X157" s="2628" t="str">
        <f>IF(OR(Y139,Y148,Y157),"",SUM(X137,X138,X146,X149,X155))</f>
        <v/>
      </c>
      <c r="Y157" s="1186" t="b">
        <f>OR(SchDLine18=0,SchDLine18="")</f>
        <v>1</v>
      </c>
      <c r="Z157" s="329"/>
      <c r="AA157" s="329"/>
      <c r="AB157" s="329"/>
    </row>
    <row r="158" spans="21:28">
      <c r="U158" s="835" t="s">
        <v>1540</v>
      </c>
      <c r="V158" s="329" t="s">
        <v>1541</v>
      </c>
      <c r="X158" s="2628" t="str">
        <f>IF(OR(Y139,Y148,Y157),"",SUM(X117,-X157))</f>
        <v/>
      </c>
      <c r="Y158" s="832"/>
      <c r="Z158" s="329"/>
      <c r="AA158" s="329"/>
      <c r="AB158" s="329"/>
    </row>
    <row r="159" spans="21:28">
      <c r="U159" s="831" t="s">
        <v>1542</v>
      </c>
      <c r="V159" s="329" t="str">
        <f>"Multiply line 42 by "&amp;TEXT(Y159,"0%")</f>
        <v>Multiply line 42 by 28%</v>
      </c>
      <c r="X159" s="2628" t="str">
        <f>IF(OR(Y139,Y148,Y157),"",ROUND(X158*Y159,0))</f>
        <v/>
      </c>
      <c r="Y159" s="836">
        <f>SchDTW_Line43Rate</f>
        <v>0.28000000000000003</v>
      </c>
      <c r="Z159" s="329"/>
      <c r="AA159" s="329"/>
      <c r="AB159" s="329"/>
    </row>
    <row r="160" spans="21:28">
      <c r="U160" s="831" t="s">
        <v>1543</v>
      </c>
      <c r="V160" s="329" t="s">
        <v>1544</v>
      </c>
      <c r="X160" s="2628" t="str">
        <f>Y165</f>
        <v>FilingStatus?</v>
      </c>
      <c r="Y160" s="832"/>
      <c r="Z160" s="329"/>
      <c r="AA160" s="329"/>
      <c r="AB160" s="329"/>
    </row>
    <row r="161" spans="21:28" ht="13.5" thickBot="1">
      <c r="U161" s="2634" t="s">
        <v>5507</v>
      </c>
      <c r="V161" s="84" t="s">
        <v>13</v>
      </c>
      <c r="W161" s="84" t="s">
        <v>663</v>
      </c>
      <c r="X161" s="84" t="s">
        <v>21</v>
      </c>
      <c r="Y161" s="838" t="s">
        <v>24</v>
      </c>
      <c r="Z161" s="329"/>
      <c r="AA161" s="329"/>
      <c r="AB161" s="329"/>
    </row>
    <row r="162" spans="21:28" ht="14.25" thickTop="1" thickBot="1">
      <c r="U162" s="5358">
        <f>X137</f>
        <v>0</v>
      </c>
      <c r="V162" s="2572">
        <f>LOOKUP(U162,'Tax Table'!$B$2:$B$2063,'Tax Table'!$D$2:$D$2063)</f>
        <v>0</v>
      </c>
      <c r="W162" s="2572">
        <f>LOOKUP(U162,'Tax Table'!$B$2:$B$2063,'Tax Table'!$E$2:$E$2063)</f>
        <v>0</v>
      </c>
      <c r="X162" s="2572">
        <f>LOOKUP(U162,'Tax Table'!$B$2:$B$2063,'Tax Table'!$F$2:$F$2063)</f>
        <v>0</v>
      </c>
      <c r="Y162" s="2573">
        <f>LOOKUP(U162,'Tax Table'!$B$2:$B$2063,'Tax Table'!$G$2:$G$2063)</f>
        <v>0</v>
      </c>
      <c r="Z162" s="329"/>
      <c r="AA162" s="329"/>
      <c r="AB162" s="329"/>
    </row>
    <row r="163" spans="21:28" ht="13.5" thickBot="1">
      <c r="U163" s="4640"/>
      <c r="V163" s="2574" t="str">
        <f>IF(U162&lt;SectA_a2,"---",IF(U162&lt;=SectA_a3,ROUND(U162*(SectA_b3/100),0)-SectA_d3,IF(U162&lt;=SectA_a4,ROUND(U162*(SectA_b4/100),0)-SectA_d4,IF(U162&lt;=SectA_a5,ROUND(U162*(SectA_b5/100),0)-SectA_d5,IF(U162&lt;=SectA_a6,ROUND(U162*(SectA_b6/100),0)-SectA_d6,ROUND(U162*(SectA_b7/100),0)-SectA_d7)))))</f>
        <v>---</v>
      </c>
      <c r="W163" s="2574" t="str">
        <f>IF(U162&lt;SectB_a2,"---",IF(U162&lt;=SectB_a3,ROUND(U162*(SectB_b3/100),0)-SectB_d3,IF(U162&lt;=SectB_a4,ROUND(U162*(SectB_b4/100),0)-SectB_d4,IF(U162&lt;=SectB_a5,ROUND(U162*(SectB_b5/100),0)-SectB_d5,IF(U162&lt;=SectB_a6,ROUND(U162*(SectB_b6/100),0)-SectB_d6,ROUND(U162*(SectB_b7/100),0)-SectB_d7)))))</f>
        <v>---</v>
      </c>
      <c r="X163" s="2574" t="str">
        <f>IF(U162&lt;SectC_a1,"---",IF(U162&lt;=SectC_a2,ROUND(U162*(SectC_b2/100),0)-SectC_d2,IF(U162&lt;=SectC_a3,ROUND(U162*(SectC_b3/100),0)-SectC_d3,IF(U162&lt;=SectC_a4,ROUND(U162*(SectC_b4/100),0)-SectC_d4,IF(U162&lt;=SectC_a5,ROUND(U162*(SectC_b5/100),0)-SectC_d5,ROUND(U162*(SectC_b6/100),0)-SectC_d6)))))</f>
        <v>---</v>
      </c>
      <c r="Y163" s="2575" t="str">
        <f>IF(U162&lt;SectD_a2,"---",IF(U162&lt;=SectD_a3,ROUND(U162*(SectD_b3/100),0)-SectD_d3,IF(U162&lt;=SectD_a4,ROUND(U162*(SectD_b4/100),0)-SectD_d4,IF(U162&lt;=SectD_a5,ROUND(U162*(SectD_b5/100),0)-SectD_d5,IF(U162&lt;=SectD_a6,ROUND(U162*(SectD_b6/100),0)-SectD_d6,ROUND(U162*(SectD_b7/100),0)-SectD_d7)))))</f>
        <v>---</v>
      </c>
      <c r="Z163" s="329"/>
      <c r="AA163" s="329"/>
      <c r="AB163" s="329"/>
    </row>
    <row r="164" spans="21:28" ht="13.5" thickBot="1">
      <c r="U164" s="2576" t="str">
        <f>IF(File_Single&lt;&gt;"",V162,IF(File_Marr_Joint&lt;&gt;"",W162,IF(File_Marr_Sep&lt;&gt;"", X162,IF(File_Head&lt;&gt;"",Y162,IF(File_Qual_Widow&lt;&gt;"",W162,"Filing status?")))))</f>
        <v>Filing status?</v>
      </c>
      <c r="V164" s="1061" t="str">
        <f>"&lt;100k"</f>
        <v>&lt;100k</v>
      </c>
      <c r="W164" s="1061"/>
      <c r="X164" s="1061"/>
      <c r="Y164" s="2577"/>
      <c r="Z164" s="329"/>
      <c r="AA164" s="329"/>
      <c r="AB164" s="329"/>
    </row>
    <row r="165" spans="21:28" ht="13.5" thickBot="1">
      <c r="U165" s="2579" t="str">
        <f>IF(File_Single&lt;&gt;"",V163,IF(OR(File_Marr_Joint&lt;&gt;"",File_Qual_Widow&lt;&gt;""),W163,IF(File_Marr_Sep&lt;&gt;"", X163,IF(File_Head&lt;&gt;"",Y163,"Filing status?"))))</f>
        <v>Filing status?</v>
      </c>
      <c r="V165" s="2580" t="str">
        <f>"&gt;=100k"</f>
        <v>&gt;=100k</v>
      </c>
      <c r="W165" s="2580"/>
      <c r="X165" s="2580" t="s">
        <v>672</v>
      </c>
      <c r="Y165" s="2581" t="str">
        <f>IF(NumFileStatusBoxes=0,"FilingStatus?",IF(U162&gt;100000,ROUND(U165,0),ROUND(U164,0)))</f>
        <v>FilingStatus?</v>
      </c>
      <c r="Z165" s="329"/>
      <c r="AA165" s="329"/>
      <c r="AB165" s="329"/>
    </row>
    <row r="166" spans="21:28" ht="13.5" thickTop="1">
      <c r="U166" s="831" t="s">
        <v>1545</v>
      </c>
      <c r="V166" s="329" t="s">
        <v>1546</v>
      </c>
      <c r="X166" s="2628">
        <f>SUM(X147,X150,X156,X159,X160)</f>
        <v>0</v>
      </c>
      <c r="Y166" s="832"/>
      <c r="Z166" s="329"/>
      <c r="AA166" s="329"/>
      <c r="AB166" s="329"/>
    </row>
    <row r="167" spans="21:28">
      <c r="U167" s="831" t="s">
        <v>1547</v>
      </c>
      <c r="V167" s="329" t="s">
        <v>1548</v>
      </c>
      <c r="X167" s="2628" t="str">
        <f>Y172</f>
        <v>FilingStatus?</v>
      </c>
      <c r="Y167" s="832"/>
      <c r="Z167" s="329"/>
      <c r="AA167" s="329"/>
      <c r="AB167" s="329"/>
    </row>
    <row r="168" spans="21:28" ht="13.5" thickBot="1">
      <c r="U168" s="2634" t="s">
        <v>5508</v>
      </c>
      <c r="V168" s="84" t="s">
        <v>13</v>
      </c>
      <c r="W168" s="84" t="s">
        <v>663</v>
      </c>
      <c r="X168" s="84" t="s">
        <v>21</v>
      </c>
      <c r="Y168" s="838" t="s">
        <v>24</v>
      </c>
      <c r="Z168" s="329"/>
      <c r="AA168" s="329"/>
      <c r="AB168" s="329"/>
    </row>
    <row r="169" spans="21:28" ht="14.25" thickTop="1" thickBot="1">
      <c r="U169" s="5358" t="str">
        <f>X117</f>
        <v/>
      </c>
      <c r="V169" s="2572" t="e">
        <f>LOOKUP(U169,'Tax Table'!$B$2:$B$2063,'Tax Table'!$D$2:$D$2063)</f>
        <v>#N/A</v>
      </c>
      <c r="W169" s="2572" t="e">
        <f>LOOKUP(U169,'Tax Table'!$B$2:$B$2063,'Tax Table'!$E$2:$E$2063)</f>
        <v>#N/A</v>
      </c>
      <c r="X169" s="2572" t="e">
        <f>LOOKUP(U169,'Tax Table'!$B$2:$B$2063,'Tax Table'!$F$2:$F$2063)</f>
        <v>#N/A</v>
      </c>
      <c r="Y169" s="2573" t="e">
        <f>LOOKUP(U169,'Tax Table'!$B$2:$B$2063,'Tax Table'!$G$2:$G$2063)</f>
        <v>#N/A</v>
      </c>
      <c r="Z169" s="329"/>
      <c r="AA169" s="329"/>
      <c r="AB169" s="329"/>
    </row>
    <row r="170" spans="21:28" ht="13.5" thickBot="1">
      <c r="U170" s="4640"/>
      <c r="V170" s="2574" t="e">
        <f>IF(U169&lt;SectA_a2,"---",IF(U169&lt;=SectA_a3,ROUND(U169*(SectA_b3/100),0)-SectA_d3,IF(U169&lt;=SectA_a4,ROUND(U169*(SectA_b4/100),0)-SectA_d4,IF(U169&lt;=SectA_a5,ROUND(U169*(SectA_b5/100),0)-SectA_d5,IF(U169&lt;=SectA_a6,ROUND(U169*(SectA_b6/100),0)-SectA_d6,ROUND(U169*(SectA_b7/100),0)-SectA_d7)))))</f>
        <v>#VALUE!</v>
      </c>
      <c r="W170" s="2574" t="e">
        <f>IF(U169&lt;SectB_a2,"---",IF(U169&lt;=SectB_a3,ROUND(U169*(SectB_b3/100),0)-SectB_d3,IF(U169&lt;=SectB_a4,ROUND(U169*(SectB_b4/100),0)-SectB_d4,IF(U169&lt;=SectB_a5,ROUND(U169*(SectB_b5/100),0)-SectB_d5,IF(U169&lt;=SectB_a6,ROUND(U169*(SectB_b6/100),0)-SectB_d6,ROUND(U169*(SectB_b7/100),0)-SectB_d7)))))</f>
        <v>#VALUE!</v>
      </c>
      <c r="X170" s="2574" t="e">
        <f>IF(U169&lt;SectC_a1,"---",IF(U169&lt;=SectC_a2,ROUND(U169*(SectC_b2/100),0)-SectC_d2,IF(U169&lt;=SectC_a3,ROUND(U169*(SectC_b3/100),0)-SectC_d3,IF(U169&lt;=SectC_a4,ROUND(U169*(SectC_b4/100),0)-SectC_d4,IF(U169&lt;=SectC_a5,ROUND(U169*(SectC_b5/100),0)-SectC_d5,ROUND(U169*(SectC_b6/100),0)-SectC_d6)))))</f>
        <v>#VALUE!</v>
      </c>
      <c r="Y170" s="2575" t="e">
        <f>IF(U169&lt;SectD_a2,"---",IF(U169&lt;=SectD_a3,ROUND(U169*(SectD_b3/100),0)-SectD_d3,IF(U169&lt;=SectD_a4,ROUND(U169*(SectD_b4/100),0)-SectD_d4,IF(U169&lt;=SectD_a5,ROUND(U169*(SectD_b5/100),0)-SectD_d5,IF(U169&lt;=SectD_a6,ROUND(U169*(SectD_b6/100),0)-SectD_d6,ROUND(U169*(SectD_b7/100),0)-SectD_d7)))))</f>
        <v>#VALUE!</v>
      </c>
      <c r="Z170" s="329"/>
      <c r="AA170" s="329"/>
      <c r="AB170" s="329"/>
    </row>
    <row r="171" spans="21:28" ht="13.5" thickBot="1">
      <c r="U171" s="2576" t="str">
        <f>IF(File_Single&lt;&gt;"",V169,IF(File_Marr_Joint&lt;&gt;"",W169,IF(File_Marr_Sep&lt;&gt;"", X169,IF(File_Head&lt;&gt;"",Y169,IF(File_Qual_Widow&lt;&gt;"",W169,"Filing status?")))))</f>
        <v>Filing status?</v>
      </c>
      <c r="V171" s="1061" t="str">
        <f>"&lt;100k"</f>
        <v>&lt;100k</v>
      </c>
      <c r="W171" s="1061"/>
      <c r="X171" s="1061"/>
      <c r="Y171" s="2577"/>
      <c r="Z171" s="329"/>
      <c r="AA171" s="329"/>
      <c r="AB171" s="329"/>
    </row>
    <row r="172" spans="21:28" ht="13.5" thickBot="1">
      <c r="U172" s="2579" t="str">
        <f>IF(File_Single&lt;&gt;"",V170,IF(OR(File_Marr_Joint&lt;&gt;"",File_Qual_Widow&lt;&gt;""),W170,IF(File_Marr_Sep&lt;&gt;"", X170,IF(File_Head&lt;&gt;"",Y170,"Filing status?"))))</f>
        <v>Filing status?</v>
      </c>
      <c r="V172" s="2580" t="str">
        <f>"&gt;=100k"</f>
        <v>&gt;=100k</v>
      </c>
      <c r="W172" s="2580"/>
      <c r="X172" s="2580" t="s">
        <v>672</v>
      </c>
      <c r="Y172" s="2581" t="str">
        <f>IF(NumFileStatusBoxes=0,"FilingStatus?",IF(U169&gt;100000,ROUND(U172,0),ROUND(U171,0)))</f>
        <v>FilingStatus?</v>
      </c>
      <c r="Z172" s="329"/>
      <c r="AA172" s="329"/>
      <c r="AB172" s="329"/>
    </row>
    <row r="173" spans="21:28" ht="13.5" thickTop="1">
      <c r="U173" s="839" t="s">
        <v>1549</v>
      </c>
      <c r="V173" s="840" t="s">
        <v>1550</v>
      </c>
      <c r="W173" s="841"/>
      <c r="X173" s="2635" t="str">
        <f>IF(X116,MIN(X166,X167),"")</f>
        <v/>
      </c>
      <c r="Y173" s="842"/>
      <c r="Z173" t="b">
        <f>IF(X116,X173=MIN(Y81,V114,X173),FALSE)</f>
        <v>0</v>
      </c>
      <c r="AA173" s="329"/>
      <c r="AB173" s="329"/>
    </row>
  </sheetData>
  <sheetProtection algorithmName="SHA-512" hashValue="//W8hFQMfqCZjLbVlmqRUBZqsTTCwn4GWBD+f1ZTbn7EsFYGT6W/WJy1/oqN76uxy/j9aW0I6mr8S2Vcs2RsLw==" saltValue="dy8SafFimItFpUWRdY3t8Q==" spinCount="100000" sheet="1" formatCells="0" formatColumns="0" formatRows="0"/>
  <mergeCells count="14">
    <mergeCell ref="N92:N94"/>
    <mergeCell ref="C6:E6"/>
    <mergeCell ref="C3:E3"/>
    <mergeCell ref="C10:E10"/>
    <mergeCell ref="C12:E12"/>
    <mergeCell ref="C13:E13"/>
    <mergeCell ref="C14:E14"/>
    <mergeCell ref="C15:E15"/>
    <mergeCell ref="C16:E16"/>
    <mergeCell ref="C17:E17"/>
    <mergeCell ref="C5:O5"/>
    <mergeCell ref="E79:O79"/>
    <mergeCell ref="C8:E8"/>
    <mergeCell ref="C11:E11"/>
  </mergeCells>
  <conditionalFormatting sqref="C8:E9">
    <cfRule type="expression" dxfId="3234" priority="1">
      <formula>R8</formula>
    </cfRule>
  </conditionalFormatting>
  <conditionalFormatting sqref="C10:E10">
    <cfRule type="expression" dxfId="3233" priority="7">
      <formula>NOT($R$10)</formula>
    </cfRule>
    <cfRule type="expression" dxfId="3232" priority="8">
      <formula>$R$10</formula>
    </cfRule>
  </conditionalFormatting>
  <conditionalFormatting sqref="C5:O5">
    <cfRule type="expression" dxfId="3231" priority="2">
      <formula>OR(R6,R8)</formula>
    </cfRule>
  </conditionalFormatting>
  <conditionalFormatting sqref="D35">
    <cfRule type="expression" dxfId="3230" priority="73">
      <formula>IF(NoColor,1,0)</formula>
    </cfRule>
  </conditionalFormatting>
  <conditionalFormatting sqref="D38">
    <cfRule type="expression" dxfId="3229" priority="72">
      <formula>IF(NoColor,1,0)</formula>
    </cfRule>
  </conditionalFormatting>
  <conditionalFormatting sqref="E80">
    <cfRule type="expression" dxfId="3228" priority="64">
      <formula>IF(OR(Taxable_Inc="",Taxable_Inc=0),1,0)</formula>
    </cfRule>
  </conditionalFormatting>
  <conditionalFormatting sqref="F6:F7">
    <cfRule type="expression" dxfId="3227" priority="4">
      <formula>AND(SchDTW_Used,SchD_Line1819_GT_0,SchD_Line1516_GT_0)</formula>
    </cfRule>
  </conditionalFormatting>
  <conditionalFormatting sqref="F8:F9">
    <cfRule type="expression" dxfId="3226" priority="3">
      <formula>R8</formula>
    </cfRule>
  </conditionalFormatting>
  <conditionalFormatting sqref="J33">
    <cfRule type="expression" dxfId="3225" priority="76">
      <formula>IF(NoColor,1,0)</formula>
    </cfRule>
  </conditionalFormatting>
  <conditionalFormatting sqref="J37">
    <cfRule type="expression" dxfId="3224" priority="75">
      <formula>IF(NoColor,1,0)</formula>
    </cfRule>
  </conditionalFormatting>
  <conditionalFormatting sqref="J40">
    <cfRule type="expression" dxfId="3223" priority="74">
      <formula>IF(NoColor,1,0)</formula>
    </cfRule>
  </conditionalFormatting>
  <conditionalFormatting sqref="L6:L7">
    <cfRule type="expression" dxfId="3222" priority="57">
      <formula>L2</formula>
    </cfRule>
  </conditionalFormatting>
  <conditionalFormatting sqref="L32">
    <cfRule type="expression" dxfId="3221" priority="86">
      <formula>IF(NoColor,1,0)</formula>
    </cfRule>
  </conditionalFormatting>
  <conditionalFormatting sqref="L41">
    <cfRule type="expression" dxfId="3220" priority="85">
      <formula>IF(NoColor,1,0)</formula>
    </cfRule>
  </conditionalFormatting>
  <conditionalFormatting sqref="L44">
    <cfRule type="expression" dxfId="3219" priority="84">
      <formula>IF(NoColor,1,0)</formula>
    </cfRule>
  </conditionalFormatting>
  <conditionalFormatting sqref="L46:L51">
    <cfRule type="expression" dxfId="3218" priority="80">
      <formula>IF(NoColor,1,0)</formula>
    </cfRule>
  </conditionalFormatting>
  <conditionalFormatting sqref="L55">
    <cfRule type="expression" dxfId="3217" priority="79">
      <formula>IF(NoColor,1,0)</formula>
    </cfRule>
  </conditionalFormatting>
  <conditionalFormatting sqref="L57:L60">
    <cfRule type="expression" dxfId="3216" priority="78">
      <formula>IF(NoColor,1,0)</formula>
    </cfRule>
  </conditionalFormatting>
  <conditionalFormatting sqref="L62:L63">
    <cfRule type="expression" dxfId="3215" priority="77">
      <formula>IF(NoColor,1,0)</formula>
    </cfRule>
  </conditionalFormatting>
  <conditionalFormatting sqref="N61">
    <cfRule type="expression" dxfId="3214" priority="71">
      <formula>IF(NoColor,1,0)</formula>
    </cfRule>
  </conditionalFormatting>
  <conditionalFormatting sqref="N64">
    <cfRule type="expression" dxfId="3213" priority="70">
      <formula>IF(NoColor,1,0)</formula>
    </cfRule>
  </conditionalFormatting>
  <conditionalFormatting sqref="N67:N68">
    <cfRule type="expression" dxfId="3212" priority="69">
      <formula>IF(NoColor,1,0)</formula>
    </cfRule>
  </conditionalFormatting>
  <conditionalFormatting sqref="N71">
    <cfRule type="expression" dxfId="3211" priority="68">
      <formula>IF(NoColor,1,0)</formula>
    </cfRule>
  </conditionalFormatting>
  <conditionalFormatting sqref="N75">
    <cfRule type="expression" dxfId="3210" priority="67">
      <formula>IF(NoColor,1,0)</formula>
    </cfRule>
  </conditionalFormatting>
  <conditionalFormatting sqref="N82">
    <cfRule type="expression" dxfId="3209" priority="66">
      <formula>IF(NoColor,1,0)</formula>
    </cfRule>
  </conditionalFormatting>
  <conditionalFormatting sqref="N84">
    <cfRule type="expression" dxfId="3208" priority="63">
      <formula>IF(NoColor,1,0)</formula>
    </cfRule>
  </conditionalFormatting>
  <conditionalFormatting sqref="N86:N87">
    <cfRule type="expression" dxfId="3207" priority="62">
      <formula>IF(NoColor,1,0)</formula>
    </cfRule>
  </conditionalFormatting>
  <conditionalFormatting sqref="N89">
    <cfRule type="expression" dxfId="3206" priority="61">
      <formula>IF(NoColor,1,0)</formula>
    </cfRule>
  </conditionalFormatting>
  <conditionalFormatting sqref="N95">
    <cfRule type="expression" dxfId="3205" priority="60">
      <formula>IF(NoColor,1,0)</formula>
    </cfRule>
  </conditionalFormatting>
  <conditionalFormatting sqref="N99">
    <cfRule type="expression" dxfId="3204" priority="59">
      <formula>IF(NoColor,1,0)</formula>
    </cfRule>
  </conditionalFormatting>
  <conditionalFormatting sqref="N102">
    <cfRule type="expression" dxfId="3203" priority="58">
      <formula>IF(NoColor,1,0)</formula>
    </cfRule>
  </conditionalFormatting>
  <conditionalFormatting sqref="X117:X160">
    <cfRule type="expression" dxfId="3202" priority="9">
      <formula>IF(NoColor,1,0)</formula>
    </cfRule>
  </conditionalFormatting>
  <conditionalFormatting sqref="X166:X167">
    <cfRule type="expression" dxfId="3201" priority="16">
      <formula>IF(NoColor,1,0)</formula>
    </cfRule>
  </conditionalFormatting>
  <conditionalFormatting sqref="X173">
    <cfRule type="expression" dxfId="3200" priority="15">
      <formula>IF(NoColor,1,0)</formula>
    </cfRule>
  </conditionalFormatting>
  <pageMargins left="0.75" right="0.25" top="0.36" bottom="0.28999999999999998" header="0.36" footer="0.21"/>
  <pageSetup scale="84" fitToHeight="0"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AV506"/>
  <sheetViews>
    <sheetView zoomScale="115" zoomScaleNormal="115" zoomScaleSheetLayoutView="100" workbookViewId="0">
      <pane ySplit="1" topLeftCell="A2" activePane="bottomLeft" state="frozen"/>
      <selection activeCell="E24" sqref="E24"/>
      <selection pane="bottomLeft"/>
    </sheetView>
  </sheetViews>
  <sheetFormatPr defaultColWidth="9.140625" defaultRowHeight="12.75"/>
  <cols>
    <col min="1" max="1" width="11.28515625" style="88" customWidth="1"/>
    <col min="2" max="2" width="3.140625" style="228" customWidth="1"/>
    <col min="3" max="3" width="3.85546875" style="88" customWidth="1"/>
    <col min="4" max="5" width="9.140625" style="88"/>
    <col min="6" max="6" width="10.7109375" style="88" customWidth="1"/>
    <col min="7" max="7" width="9.140625" style="88"/>
    <col min="8" max="8" width="3.140625" style="88" customWidth="1"/>
    <col min="9" max="9" width="6" style="88" customWidth="1"/>
    <col min="10" max="10" width="7.140625" style="88" customWidth="1"/>
    <col min="11" max="11" width="10.28515625" style="88" customWidth="1"/>
    <col min="12" max="12" width="11" style="88" customWidth="1"/>
    <col min="13" max="13" width="10.140625" style="88" customWidth="1"/>
    <col min="14" max="14" width="10.42578125" style="2441" customWidth="1"/>
    <col min="15" max="15" width="9.85546875" style="88" customWidth="1"/>
    <col min="16" max="16" width="1" style="88" customWidth="1"/>
    <col min="17" max="17" width="3" style="88" customWidth="1"/>
    <col min="18" max="18" width="1" style="88" customWidth="1"/>
    <col min="19" max="19" width="3" style="88" customWidth="1"/>
    <col min="20" max="20" width="1" style="88" customWidth="1"/>
    <col min="21" max="21" width="3" style="88" customWidth="1"/>
    <col min="22" max="22" width="1" style="88" customWidth="1"/>
    <col min="23" max="23" width="3" style="88" customWidth="1"/>
    <col min="24" max="24" width="1" style="88" customWidth="1"/>
    <col min="25" max="26" width="3" style="88" customWidth="1"/>
    <col min="27" max="39" width="9.140625" style="88"/>
    <col min="40" max="40" width="12.5703125" style="2441" hidden="1" customWidth="1"/>
    <col min="41" max="41" width="9.140625" style="2441" hidden="1" customWidth="1"/>
    <col min="42" max="48" width="9.140625" style="88" hidden="1" customWidth="1"/>
    <col min="49" max="16384" width="9.140625" style="88"/>
  </cols>
  <sheetData>
    <row r="1" spans="1:48" s="182" customFormat="1" ht="42.75" customHeight="1">
      <c r="A1" s="2637" t="b">
        <f>OR(N1,H21&lt;&gt;"",H28&lt;&gt;"",B34&lt;&gt;"",H65&lt;&gt;"",B157&lt;&gt;"",H294&lt;&gt;"",L316=0,EarnedIncomeWSB&lt;=0,O458&lt;=0)</f>
        <v>1</v>
      </c>
      <c r="B1" s="2638">
        <f>IF(OR(H28&lt;&gt;"",B157&lt;&gt;"",AND(B310&lt;&gt;"",L316=0),AND(B370&lt;&gt;"",O428=0),B450&lt;&gt;"",AND($B$370&lt;&gt;"",O458=0)),1,0)</f>
        <v>0</v>
      </c>
      <c r="C1" s="2639" t="str">
        <f>IF(OR(TaxYear="",Adj_Gross_Inc=""),"Answer questions as indicated in blue.",IF(AND(AN1="",AO1="",AP1="",B310&lt;&gt;"",N354&gt;0),"Your Earned Income Credit is "&amp;O354&amp;" - as indicated on Worksheet A, Part 3, Step 6.",IF(AND(AN1="",AO1="",AP1="",B370&lt;&gt;"",O496&gt;0),"Your Earned Income Credit is "&amp;AA496&amp;" - as indicated on Worksheet B, Part 7.",IF(AN1&lt;&gt;"",AN1,IF(AO1&lt;&gt;"",AO1,IF(AP1&lt;&gt;"",AP1,""))))))</f>
        <v>You can't take the Earned Income Credit. Scroll down to see why.</v>
      </c>
      <c r="L1" s="2640"/>
      <c r="N1" s="2641" t="b">
        <f>OR(G28,A157,G185,G199,A216,A321,A430,O462)</f>
        <v>1</v>
      </c>
      <c r="O1" s="6192" t="b">
        <f>OR(G28,A157,G199,A216,A321,A430,O462)</f>
        <v>1</v>
      </c>
      <c r="AA1" s="686" t="s">
        <v>223</v>
      </c>
      <c r="AB1" s="665"/>
      <c r="AC1" s="665"/>
      <c r="AD1" s="665"/>
      <c r="AE1" s="665"/>
      <c r="AF1" s="665"/>
      <c r="AG1" s="665"/>
      <c r="AH1" s="665"/>
      <c r="AI1" s="665"/>
      <c r="AJ1" s="665"/>
      <c r="AK1" s="665"/>
      <c r="AL1" s="665"/>
      <c r="AN1" s="667" t="str">
        <f>IF(AND(B81&lt;&gt;"",H83=""),"Check box at Step 2 if you can take the credit",IF(NoEICredit,"You can't take the Earned Income Credit. Scroll down to see why.",IF(AND(B28="",H28=""),"Please answer question at Step 1, Question 2.",IF(AND(B34="",H34=""),"Please answer question at Step 1, Question 3.",IF(AND(B39="",H39=""),"Please answer question at Step 1, Question 4.",IF(AND(B60&lt;&gt;"",B65=""),"Please answer question at Step 2, Question 3.",IF(AND(A60,B71="",B73="",B76="",H81="",N60),"Please answer question at Step 2, Question 4.","")))))))</f>
        <v>You can't take the Earned Income Credit. Scroll down to see why.</v>
      </c>
      <c r="AO1" s="667" t="str">
        <f>IF(B112="","Please indicate number of qualifying children at Step 3.",IF(AND(B120&lt;&gt;"",B125&lt;&gt;"X",B157="",H157=""),"Please answer question at Step 3, Question 3.",""))</f>
        <v/>
      </c>
      <c r="AP1" s="667" t="str">
        <f>IF(AND(B235="",H235=""),"Please answer question at Step 5, Question 1.",IF(AND(B276="",H276=""),"Please answer question at Step 5, Question 2.",IF(AND(H276&lt;&gt;"",B302="",H302=""),"Please answer question at Step 6, Question 1.",IF(AND(B370&lt;&gt;"",OR(O401="",R403="",R404="",R405="")),"Please enter values at Worksheet B, Part 2, Question 2.",""))))</f>
        <v>Please answer question at Step 5, Question 1.</v>
      </c>
      <c r="AQ1" s="665"/>
      <c r="AR1" s="665"/>
      <c r="AS1" s="665"/>
      <c r="AT1" s="665"/>
      <c r="AU1" s="665"/>
      <c r="AV1" s="665"/>
    </row>
    <row r="2" spans="1:48" s="2445" customFormat="1" ht="15.75">
      <c r="A2" s="2642" t="s">
        <v>6507</v>
      </c>
      <c r="B2" s="2642"/>
      <c r="C2" s="2642"/>
      <c r="AA2" s="668"/>
      <c r="AB2" s="668"/>
      <c r="AC2" s="668"/>
      <c r="AD2" s="668"/>
      <c r="AE2" s="668"/>
      <c r="AF2" s="668"/>
      <c r="AG2" s="668"/>
      <c r="AH2" s="668"/>
      <c r="AI2" s="668"/>
      <c r="AJ2" s="668"/>
      <c r="AK2" s="668"/>
      <c r="AL2" s="668"/>
      <c r="AN2" s="669"/>
      <c r="AO2" s="669"/>
      <c r="AP2" s="668"/>
      <c r="AQ2" s="668"/>
      <c r="AR2" s="668"/>
      <c r="AS2" s="668"/>
      <c r="AT2" s="668"/>
      <c r="AU2" s="668"/>
      <c r="AV2" s="668"/>
    </row>
    <row r="3" spans="1:48" s="2445" customFormat="1" ht="15.75">
      <c r="A3" s="2642" t="s">
        <v>1551</v>
      </c>
      <c r="B3" s="2642"/>
      <c r="C3" s="2642"/>
      <c r="G3" s="813"/>
      <c r="H3" s="2643"/>
      <c r="I3" s="2643"/>
      <c r="J3" s="2643"/>
      <c r="K3" s="2643"/>
      <c r="L3" s="2643"/>
      <c r="M3" s="2643"/>
      <c r="N3" s="2643"/>
      <c r="O3" s="2643"/>
      <c r="P3" s="2643"/>
      <c r="Q3" s="2643"/>
      <c r="R3" s="2643"/>
      <c r="S3" s="2643"/>
      <c r="T3" s="2643"/>
      <c r="U3" s="2643"/>
      <c r="V3" s="2643"/>
      <c r="W3" s="2643"/>
      <c r="X3" s="2643"/>
      <c r="Y3" s="2643"/>
      <c r="Z3" s="2643"/>
      <c r="AA3" s="668"/>
      <c r="AB3" s="668"/>
      <c r="AC3" s="668"/>
      <c r="AD3" s="668"/>
      <c r="AE3" s="668"/>
      <c r="AF3" s="668"/>
      <c r="AG3" s="668"/>
      <c r="AH3" s="668"/>
      <c r="AI3" s="668"/>
      <c r="AJ3" s="668"/>
      <c r="AK3" s="668"/>
      <c r="AL3" s="668"/>
      <c r="AN3" s="669"/>
      <c r="AO3" s="669"/>
      <c r="AP3" s="668"/>
      <c r="AQ3" s="668"/>
      <c r="AR3" s="668"/>
      <c r="AS3" s="668"/>
      <c r="AT3" s="668"/>
      <c r="AU3" s="668"/>
      <c r="AV3" s="668"/>
    </row>
    <row r="4" spans="1:48" ht="15.75" customHeight="1">
      <c r="A4" s="2644"/>
      <c r="B4" s="2644"/>
      <c r="C4" s="2644"/>
      <c r="H4" s="2643"/>
      <c r="N4" s="88"/>
      <c r="AA4" s="658"/>
      <c r="AB4" s="658"/>
      <c r="AC4" s="658"/>
      <c r="AD4" s="658"/>
      <c r="AE4" s="658"/>
      <c r="AF4" s="658"/>
      <c r="AG4" s="658"/>
      <c r="AH4" s="658"/>
      <c r="AI4" s="658"/>
      <c r="AJ4" s="658"/>
      <c r="AK4" s="658"/>
      <c r="AL4" s="658"/>
      <c r="AN4" s="670"/>
      <c r="AO4" s="670"/>
      <c r="AP4" s="658"/>
      <c r="AQ4" s="658"/>
      <c r="AR4" s="658"/>
      <c r="AS4" s="658"/>
      <c r="AT4" s="658"/>
      <c r="AU4" s="658"/>
      <c r="AV4" s="658"/>
    </row>
    <row r="5" spans="1:48" s="2445" customFormat="1" ht="15.75">
      <c r="A5" s="2646" t="s">
        <v>1552</v>
      </c>
      <c r="B5" s="2647" t="s">
        <v>1553</v>
      </c>
      <c r="C5" s="2642"/>
      <c r="G5" s="88"/>
      <c r="H5" s="2643"/>
      <c r="I5" s="88"/>
      <c r="J5" s="88"/>
      <c r="K5" s="88"/>
      <c r="L5" s="88"/>
      <c r="M5" s="2643"/>
      <c r="N5" s="2643"/>
      <c r="O5" s="2645" t="s">
        <v>771</v>
      </c>
      <c r="P5" s="88"/>
      <c r="Q5" s="88"/>
      <c r="R5" s="88"/>
      <c r="S5" s="88"/>
      <c r="T5" s="88"/>
      <c r="U5" s="88"/>
      <c r="V5" s="88"/>
      <c r="W5" s="88"/>
      <c r="X5" s="88"/>
      <c r="Y5" s="88"/>
      <c r="Z5" s="88"/>
      <c r="AA5" s="668"/>
      <c r="AB5" s="668"/>
      <c r="AC5" s="668"/>
      <c r="AD5" s="668"/>
      <c r="AE5" s="668"/>
      <c r="AF5" s="668"/>
      <c r="AG5" s="668"/>
      <c r="AH5" s="668"/>
      <c r="AI5" s="668"/>
      <c r="AJ5" s="668"/>
      <c r="AK5" s="668"/>
      <c r="AL5" s="668"/>
      <c r="AN5" s="669"/>
      <c r="AO5" s="669"/>
      <c r="AP5" s="668"/>
      <c r="AQ5" s="668"/>
      <c r="AR5" s="668"/>
      <c r="AS5" s="668"/>
      <c r="AT5" s="668"/>
      <c r="AU5" s="668"/>
      <c r="AV5" s="668"/>
    </row>
    <row r="6" spans="1:48">
      <c r="H6" s="2643"/>
      <c r="M6" s="2052" t="s">
        <v>6056</v>
      </c>
      <c r="N6" s="6170">
        <f>IF(O6&lt;&gt;"",ROUND(O6,0),Qual_Child_Number_EIC)</f>
        <v>0</v>
      </c>
      <c r="O6" s="1303"/>
      <c r="P6" s="2868"/>
      <c r="Q6" s="2868"/>
      <c r="R6" s="2868"/>
      <c r="S6" s="2868"/>
      <c r="T6" s="2868"/>
      <c r="U6" s="2868"/>
      <c r="V6" s="2868"/>
      <c r="W6" s="2868"/>
      <c r="X6" s="2868"/>
      <c r="Y6" s="2868"/>
      <c r="AA6" s="658"/>
      <c r="AB6" s="658"/>
      <c r="AC6" s="658"/>
      <c r="AD6" s="658"/>
      <c r="AE6" s="658"/>
      <c r="AF6" s="658"/>
      <c r="AG6" s="658"/>
      <c r="AH6" s="658"/>
      <c r="AI6" s="658"/>
      <c r="AJ6" s="658"/>
      <c r="AK6" s="658"/>
      <c r="AL6" s="658"/>
      <c r="AN6" s="670"/>
      <c r="AO6" s="670"/>
      <c r="AP6" s="658"/>
      <c r="AQ6" s="658"/>
      <c r="AR6" s="658"/>
      <c r="AS6" s="658"/>
      <c r="AT6" s="658"/>
      <c r="AU6" s="658"/>
      <c r="AV6" s="658"/>
    </row>
    <row r="7" spans="1:48">
      <c r="C7" s="2648" t="s">
        <v>157</v>
      </c>
      <c r="D7" s="88" t="str">
        <f>"If, in "&amp;TaxYear&amp;":"</f>
        <v>If, in 2025:</v>
      </c>
      <c r="M7" s="2868"/>
      <c r="N7" s="2868"/>
      <c r="O7" s="2868"/>
      <c r="P7" s="2868"/>
      <c r="Q7" s="2868"/>
      <c r="R7" s="2868"/>
      <c r="S7" s="2868"/>
      <c r="T7" s="2868"/>
      <c r="U7" s="2868"/>
      <c r="V7" s="2868"/>
      <c r="W7" s="2868"/>
      <c r="X7" s="2868"/>
      <c r="Y7" s="2868"/>
      <c r="AA7" s="658"/>
      <c r="AB7" s="658"/>
      <c r="AC7" s="658"/>
      <c r="AD7" s="658"/>
      <c r="AE7" s="658"/>
      <c r="AF7" s="658"/>
      <c r="AG7" s="658"/>
      <c r="AH7" s="658"/>
      <c r="AI7" s="658"/>
      <c r="AJ7" s="658"/>
      <c r="AK7" s="658"/>
      <c r="AL7" s="658"/>
      <c r="AN7" s="670"/>
      <c r="AO7" s="670"/>
      <c r="AP7" s="658"/>
      <c r="AQ7" s="658"/>
      <c r="AR7" s="658"/>
      <c r="AS7" s="658"/>
      <c r="AT7" s="658"/>
      <c r="AU7" s="658"/>
      <c r="AV7" s="658"/>
    </row>
    <row r="8" spans="1:48" ht="7.5" customHeight="1">
      <c r="M8" s="2868"/>
      <c r="N8" s="2869"/>
      <c r="O8" s="2868"/>
      <c r="P8" s="2868"/>
      <c r="Q8" s="2868"/>
      <c r="R8" s="2868"/>
      <c r="S8" s="2868"/>
      <c r="T8" s="2868"/>
      <c r="U8" s="2868"/>
      <c r="V8" s="2868"/>
      <c r="W8" s="2868"/>
      <c r="X8" s="2868"/>
      <c r="Y8" s="2868"/>
      <c r="AA8" s="658"/>
      <c r="AB8" s="658"/>
      <c r="AC8" s="658"/>
      <c r="AD8" s="658"/>
      <c r="AE8" s="658"/>
      <c r="AF8" s="658"/>
      <c r="AG8" s="658"/>
      <c r="AH8" s="658"/>
      <c r="AI8" s="658"/>
      <c r="AJ8" s="658"/>
      <c r="AK8" s="658"/>
      <c r="AL8" s="658"/>
      <c r="AN8" s="670"/>
      <c r="AO8" s="670"/>
      <c r="AP8" s="658"/>
      <c r="AQ8" s="658"/>
      <c r="AR8" s="658"/>
      <c r="AS8" s="658"/>
      <c r="AT8" s="658"/>
      <c r="AU8" s="658"/>
      <c r="AV8" s="658"/>
    </row>
    <row r="9" spans="1:48">
      <c r="B9" s="2650" t="str">
        <f>IF(OR(NumFileStatusBoxes=0,Adj_Gross_Inc=""),"",IF(N6&gt;=3,"®",""))</f>
        <v/>
      </c>
      <c r="C9" s="2643" t="s">
        <v>1554</v>
      </c>
      <c r="D9" s="1560" t="s">
        <v>1555</v>
      </c>
      <c r="M9" s="2868"/>
      <c r="N9" s="2469" t="s">
        <v>5406</v>
      </c>
      <c r="O9" s="2651" t="s">
        <v>1556</v>
      </c>
      <c r="P9" s="2868"/>
      <c r="Q9" s="2868"/>
      <c r="R9" s="2868"/>
      <c r="S9" s="2868"/>
      <c r="T9" s="2868"/>
      <c r="U9" s="2868"/>
      <c r="V9" s="2868"/>
      <c r="W9" s="2868"/>
      <c r="X9" s="2868"/>
      <c r="Y9" s="2868"/>
      <c r="AA9" s="658"/>
      <c r="AB9" s="658"/>
      <c r="AC9" s="658"/>
      <c r="AD9" s="658"/>
      <c r="AE9" s="658"/>
      <c r="AF9" s="658"/>
      <c r="AG9" s="658"/>
      <c r="AH9" s="658"/>
      <c r="AI9" s="658"/>
      <c r="AJ9" s="658"/>
      <c r="AK9" s="658"/>
      <c r="AL9" s="658"/>
      <c r="AN9" s="670"/>
      <c r="AO9" s="670"/>
      <c r="AP9" s="658"/>
      <c r="AQ9" s="658"/>
      <c r="AR9" s="658"/>
      <c r="AS9" s="658"/>
      <c r="AT9" s="658"/>
      <c r="AU9" s="658"/>
      <c r="AV9" s="658"/>
    </row>
    <row r="10" spans="1:48">
      <c r="B10" s="2652"/>
      <c r="D10" s="88" t="str">
        <f>"Is the amount on Form 1040, line 11, less than "&amp;TEXT(N10,"$0,000")&amp;" ("&amp;TEXT(O10,"$0,000")&amp;" if married filing jointly)?"</f>
        <v>Is the amount on Form 1040, line 11, less than $61,555 ($68,675 if married filing jointly)?</v>
      </c>
      <c r="M10" s="2870" t="str">
        <f>IF(B9&lt;&gt;"®","",IF(Adj_Gross_Inc&lt;N11,"Yes","No"))</f>
        <v/>
      </c>
      <c r="N10" s="2468" cm="1">
        <f t="array" ref="N10">EIC_Max_ThreeChildren</f>
        <v>61555</v>
      </c>
      <c r="O10" s="2468" cm="1">
        <f t="array" ref="O10">EIC_Max_MFJ_ThreeChildren</f>
        <v>68675</v>
      </c>
      <c r="P10" s="2868"/>
      <c r="Q10" s="2868"/>
      <c r="R10" s="2868"/>
      <c r="S10" s="2868"/>
      <c r="T10" s="2868"/>
      <c r="U10" s="2868"/>
      <c r="V10" s="2868"/>
      <c r="W10" s="2868"/>
      <c r="X10" s="2868"/>
      <c r="Y10" s="2868"/>
      <c r="AA10" s="658"/>
      <c r="AB10" s="658"/>
      <c r="AC10" s="658"/>
      <c r="AD10" s="658"/>
      <c r="AE10" s="658"/>
      <c r="AF10" s="658"/>
      <c r="AG10" s="658"/>
      <c r="AH10" s="658"/>
      <c r="AI10" s="658"/>
      <c r="AJ10" s="658"/>
      <c r="AK10" s="658"/>
      <c r="AL10" s="658"/>
      <c r="AN10" s="670"/>
      <c r="AO10" s="670"/>
      <c r="AP10" s="658"/>
      <c r="AQ10" s="658"/>
      <c r="AR10" s="658"/>
      <c r="AS10" s="658"/>
      <c r="AT10" s="658"/>
      <c r="AU10" s="658"/>
      <c r="AV10" s="658"/>
    </row>
    <row r="11" spans="1:48">
      <c r="B11" s="2652"/>
      <c r="C11" s="228" t="s">
        <v>1235</v>
      </c>
      <c r="M11" s="2868"/>
      <c r="N11" s="2468">
        <f>IF(File_Marr_Joint&lt;&gt;"",O10,N10)</f>
        <v>61555</v>
      </c>
      <c r="O11" s="441"/>
      <c r="P11" s="2868"/>
      <c r="Q11" s="2868"/>
      <c r="R11" s="2868"/>
      <c r="S11" s="2868"/>
      <c r="T11" s="2868"/>
      <c r="U11" s="2868"/>
      <c r="V11" s="2868"/>
      <c r="W11" s="2868"/>
      <c r="X11" s="2868"/>
      <c r="Y11" s="2868"/>
      <c r="AA11" s="658"/>
      <c r="AB11" s="658"/>
      <c r="AC11" s="658"/>
      <c r="AD11" s="658"/>
      <c r="AE11" s="658"/>
      <c r="AF11" s="658"/>
      <c r="AG11" s="658"/>
      <c r="AH11" s="658"/>
      <c r="AI11" s="658"/>
      <c r="AJ11" s="658"/>
      <c r="AK11" s="658"/>
      <c r="AL11" s="658"/>
      <c r="AN11" s="670"/>
      <c r="AO11" s="670"/>
      <c r="AP11" s="658"/>
      <c r="AQ11" s="658"/>
      <c r="AR11" s="658"/>
      <c r="AS11" s="658"/>
      <c r="AT11" s="658"/>
      <c r="AU11" s="658"/>
      <c r="AV11" s="658"/>
    </row>
    <row r="12" spans="1:48">
      <c r="B12" s="2650" t="str">
        <f>IF(OR(NumFileStatusBoxes=0,Adj_Gross_Inc=""),"",IF(N6=2,"®",""))</f>
        <v/>
      </c>
      <c r="C12" s="2643" t="s">
        <v>1554</v>
      </c>
      <c r="D12" s="1560" t="s">
        <v>1557</v>
      </c>
      <c r="M12" s="2868"/>
      <c r="N12" s="2469"/>
      <c r="O12" s="441"/>
      <c r="P12" s="2868"/>
      <c r="Q12" s="2868"/>
      <c r="R12" s="2868"/>
      <c r="S12" s="2868"/>
      <c r="T12" s="2868"/>
      <c r="U12" s="2868"/>
      <c r="V12" s="2868"/>
      <c r="W12" s="2868"/>
      <c r="X12" s="2868"/>
      <c r="Y12" s="2868"/>
      <c r="AA12" s="658"/>
      <c r="AB12" s="658"/>
      <c r="AC12" s="658"/>
      <c r="AD12" s="658"/>
      <c r="AE12" s="658"/>
      <c r="AF12" s="658"/>
      <c r="AG12" s="658"/>
      <c r="AH12" s="658"/>
      <c r="AI12" s="658"/>
      <c r="AJ12" s="658"/>
      <c r="AK12" s="658"/>
      <c r="AL12" s="658"/>
      <c r="AN12" s="670"/>
      <c r="AO12" s="670"/>
      <c r="AP12" s="658"/>
      <c r="AQ12" s="658"/>
      <c r="AR12" s="658"/>
      <c r="AS12" s="658"/>
      <c r="AT12" s="658"/>
      <c r="AU12" s="658"/>
      <c r="AV12" s="658"/>
    </row>
    <row r="13" spans="1:48">
      <c r="B13" s="2652"/>
      <c r="D13" s="88" t="str">
        <f>"Is the amount on Form 1040, line 11, less than "&amp;TEXT(N13,"$0,000")&amp;" ("&amp;TEXT(O13,"$0,000")&amp;" if married filing jointly)?"</f>
        <v>Is the amount on Form 1040, line 11, less than $57,310 ($64,430 if married filing jointly)?</v>
      </c>
      <c r="M13" s="2870" t="str">
        <f>IF(B12&lt;&gt;"®","",IF(Adj_Gross_Inc&lt;N14,"Yes","No"))</f>
        <v/>
      </c>
      <c r="N13" s="2468" cm="1">
        <f t="array" ref="N13">EIC_Max_TwoChildren</f>
        <v>57310</v>
      </c>
      <c r="O13" s="2468" cm="1">
        <f t="array" ref="O13">EIC_Max_MFJ_TwoChildren</f>
        <v>64430</v>
      </c>
      <c r="P13" s="2868"/>
      <c r="Q13" s="2868"/>
      <c r="R13" s="2868"/>
      <c r="S13" s="2868"/>
      <c r="T13" s="2868"/>
      <c r="U13" s="2868"/>
      <c r="V13" s="2868"/>
      <c r="W13" s="2868"/>
      <c r="X13" s="2868"/>
      <c r="Y13" s="2868"/>
      <c r="AA13" s="658"/>
      <c r="AB13" s="658"/>
      <c r="AC13" s="658"/>
      <c r="AD13" s="658"/>
      <c r="AE13" s="658"/>
      <c r="AF13" s="658"/>
      <c r="AG13" s="658"/>
      <c r="AH13" s="658"/>
      <c r="AI13" s="658"/>
      <c r="AJ13" s="658"/>
      <c r="AK13" s="658"/>
      <c r="AL13" s="658"/>
      <c r="AN13" s="670"/>
      <c r="AO13" s="670"/>
      <c r="AP13" s="658"/>
      <c r="AQ13" s="658"/>
      <c r="AR13" s="658"/>
      <c r="AS13" s="658"/>
      <c r="AT13" s="658"/>
      <c r="AU13" s="658"/>
      <c r="AV13" s="658"/>
    </row>
    <row r="14" spans="1:48">
      <c r="B14" s="2652"/>
      <c r="C14" s="228" t="s">
        <v>1235</v>
      </c>
      <c r="M14" s="2868"/>
      <c r="N14" s="2468">
        <f>IF(File_Marr_Joint&lt;&gt;"",O13,N13)</f>
        <v>57310</v>
      </c>
      <c r="O14" s="441"/>
      <c r="P14" s="2868"/>
      <c r="Q14" s="2868"/>
      <c r="R14" s="2868"/>
      <c r="S14" s="2868"/>
      <c r="T14" s="2868"/>
      <c r="U14" s="2868"/>
      <c r="V14" s="2868"/>
      <c r="W14" s="2868"/>
      <c r="X14" s="2868"/>
      <c r="Y14" s="2868"/>
      <c r="AA14" s="658"/>
      <c r="AB14" s="658"/>
      <c r="AC14" s="658"/>
      <c r="AD14" s="658"/>
      <c r="AE14" s="658"/>
      <c r="AF14" s="658"/>
      <c r="AG14" s="658"/>
      <c r="AH14" s="658"/>
      <c r="AI14" s="658"/>
      <c r="AJ14" s="658"/>
      <c r="AK14" s="658"/>
      <c r="AL14" s="658"/>
      <c r="AN14" s="670"/>
      <c r="AO14" s="670"/>
      <c r="AP14" s="658"/>
      <c r="AQ14" s="658"/>
      <c r="AR14" s="658"/>
      <c r="AS14" s="658"/>
      <c r="AT14" s="658"/>
      <c r="AU14" s="658"/>
      <c r="AV14" s="658"/>
    </row>
    <row r="15" spans="1:48">
      <c r="B15" s="2650" t="str">
        <f>IF(OR(NumFileStatusBoxes=0,Adj_Gross_Inc=""),"",IF(N6=1,"®",""))</f>
        <v/>
      </c>
      <c r="C15" s="2643" t="s">
        <v>1554</v>
      </c>
      <c r="D15" s="1560" t="s">
        <v>1558</v>
      </c>
      <c r="M15" s="2868"/>
      <c r="N15" s="441"/>
      <c r="O15" s="441"/>
      <c r="P15" s="2868"/>
      <c r="Q15" s="2868"/>
      <c r="R15" s="2868"/>
      <c r="S15" s="2868"/>
      <c r="T15" s="2868"/>
      <c r="U15" s="2868"/>
      <c r="V15" s="2868"/>
      <c r="W15" s="2868"/>
      <c r="X15" s="2868"/>
      <c r="Y15" s="2868"/>
      <c r="AA15" s="658"/>
      <c r="AB15" s="658"/>
      <c r="AC15" s="658"/>
      <c r="AD15" s="658"/>
      <c r="AE15" s="658"/>
      <c r="AF15" s="658"/>
      <c r="AG15" s="658"/>
      <c r="AH15" s="658"/>
      <c r="AI15" s="658"/>
      <c r="AJ15" s="658"/>
      <c r="AK15" s="658"/>
      <c r="AL15" s="658"/>
      <c r="AN15" s="670"/>
      <c r="AO15" s="670"/>
      <c r="AP15" s="658"/>
      <c r="AQ15" s="658"/>
      <c r="AR15" s="658"/>
      <c r="AS15" s="658"/>
      <c r="AT15" s="658"/>
      <c r="AU15" s="658"/>
      <c r="AV15" s="658"/>
    </row>
    <row r="16" spans="1:48">
      <c r="B16" s="2652"/>
      <c r="D16" s="88" t="str">
        <f>"Is the amount on Form 1040, line 11, less than "&amp;TEXT(N16,"$0,000")&amp;" ("&amp;TEXT(O16,"$0,000")&amp;" if married filing jointly)?"</f>
        <v>Is the amount on Form 1040, line 11, less than $50,434 ($57,554 if married filing jointly)?</v>
      </c>
      <c r="M16" s="2870" t="str">
        <f>IF(B15&lt;&gt;"®","",IF(Adj_Gross_Inc&lt;N17,"Yes","No"))</f>
        <v/>
      </c>
      <c r="N16" s="2468" cm="1">
        <f t="array" ref="N16">EIC_Max_OneChild</f>
        <v>50434</v>
      </c>
      <c r="O16" s="2468" cm="1">
        <f t="array" ref="O16">EIC_Max_MFJ_OneChild</f>
        <v>57554</v>
      </c>
      <c r="P16" s="2868"/>
      <c r="Q16" s="2868"/>
      <c r="R16" s="2868"/>
      <c r="S16" s="2868"/>
      <c r="T16" s="2868"/>
      <c r="U16" s="2868"/>
      <c r="V16" s="2868"/>
      <c r="W16" s="2868"/>
      <c r="X16" s="2868"/>
      <c r="Y16" s="2868"/>
      <c r="AA16" s="658"/>
      <c r="AB16" s="658"/>
      <c r="AC16" s="658"/>
      <c r="AD16" s="658"/>
      <c r="AE16" s="658"/>
      <c r="AF16" s="658"/>
      <c r="AG16" s="658"/>
      <c r="AH16" s="658"/>
      <c r="AI16" s="658"/>
      <c r="AJ16" s="658"/>
      <c r="AK16" s="658"/>
      <c r="AL16" s="658"/>
      <c r="AN16" s="670"/>
      <c r="AO16" s="670"/>
      <c r="AP16" s="658"/>
      <c r="AQ16" s="658"/>
      <c r="AR16" s="658"/>
      <c r="AS16" s="658"/>
      <c r="AT16" s="658"/>
      <c r="AU16" s="658"/>
      <c r="AV16" s="658"/>
    </row>
    <row r="17" spans="1:48">
      <c r="B17" s="2652"/>
      <c r="C17" s="228" t="s">
        <v>1235</v>
      </c>
      <c r="M17" s="2868"/>
      <c r="N17" s="2468">
        <f>IF(File_Marr_Joint&lt;&gt;"",O16,N16)</f>
        <v>50434</v>
      </c>
      <c r="O17" s="441"/>
      <c r="P17" s="2868"/>
      <c r="Q17" s="2868"/>
      <c r="R17" s="2868"/>
      <c r="S17" s="2868"/>
      <c r="T17" s="2868"/>
      <c r="U17" s="2868"/>
      <c r="V17" s="2868"/>
      <c r="W17" s="2868"/>
      <c r="X17" s="2868"/>
      <c r="Y17" s="2868"/>
      <c r="AA17" s="658"/>
      <c r="AB17" s="658"/>
      <c r="AC17" s="658"/>
      <c r="AD17" s="658"/>
      <c r="AE17" s="658"/>
      <c r="AF17" s="658"/>
      <c r="AG17" s="658"/>
      <c r="AH17" s="658"/>
      <c r="AI17" s="658"/>
      <c r="AJ17" s="658"/>
      <c r="AK17" s="658"/>
      <c r="AL17" s="658"/>
      <c r="AN17" s="670"/>
      <c r="AO17" s="670"/>
      <c r="AP17" s="658"/>
      <c r="AQ17" s="658"/>
      <c r="AR17" s="658"/>
      <c r="AS17" s="658"/>
      <c r="AT17" s="658"/>
      <c r="AU17" s="658"/>
      <c r="AV17" s="658"/>
    </row>
    <row r="18" spans="1:48">
      <c r="B18" s="2650" t="str">
        <f>IF(OR(NumFileStatusBoxes=0,Adj_Gross_Inc=""),"",IF(N6=0,"®",""))</f>
        <v/>
      </c>
      <c r="C18" s="2643" t="s">
        <v>1554</v>
      </c>
      <c r="D18" s="1560" t="s">
        <v>1559</v>
      </c>
      <c r="M18" s="2868"/>
      <c r="N18" s="441"/>
      <c r="O18" s="441"/>
      <c r="P18" s="2868"/>
      <c r="Q18" s="2868"/>
      <c r="R18" s="2868"/>
      <c r="S18" s="2868"/>
      <c r="T18" s="2868"/>
      <c r="U18" s="2868"/>
      <c r="V18" s="2868"/>
      <c r="W18" s="2868"/>
      <c r="X18" s="2868"/>
      <c r="Y18" s="2868"/>
      <c r="AA18" s="658"/>
      <c r="AB18" s="658"/>
      <c r="AC18" s="658"/>
      <c r="AD18" s="658"/>
      <c r="AE18" s="658"/>
      <c r="AF18" s="658"/>
      <c r="AG18" s="658"/>
      <c r="AH18" s="658"/>
      <c r="AI18" s="658"/>
      <c r="AJ18" s="658"/>
      <c r="AK18" s="658"/>
      <c r="AL18" s="658"/>
      <c r="AN18" s="670"/>
      <c r="AO18" s="670"/>
      <c r="AP18" s="658"/>
      <c r="AQ18" s="658"/>
      <c r="AR18" s="658"/>
      <c r="AS18" s="658"/>
      <c r="AT18" s="658"/>
      <c r="AU18" s="658"/>
      <c r="AV18" s="658"/>
    </row>
    <row r="19" spans="1:48">
      <c r="D19" s="88" t="str">
        <f>"Is the amount on Form 1040, line 11, less than "&amp;TEXT(N19,"$0,000")&amp;" ("&amp;TEXT(O19,"$0,000")&amp;" if married filing jointly)?"</f>
        <v>Is the amount on Form 1040, line 11, less than $19,104 ($26,214 if married filing jointly)?</v>
      </c>
      <c r="M19" s="4464" t="str">
        <f>IF(B18&lt;&gt;"®","",IF(Adj_Gross_Inc&lt;N20,"Yes","No"))</f>
        <v/>
      </c>
      <c r="N19" s="2468" cm="1">
        <f t="array" ref="N19">EIC_Max_NoChildren</f>
        <v>19104</v>
      </c>
      <c r="O19" s="2468" cm="1">
        <f t="array" ref="O19">EIC_Max_MFJ_NoChildren</f>
        <v>26214</v>
      </c>
      <c r="P19" s="2868"/>
      <c r="Q19" s="2868"/>
      <c r="R19" s="2868"/>
      <c r="S19" s="2868"/>
      <c r="T19" s="2868"/>
      <c r="U19" s="2868"/>
      <c r="V19" s="2868"/>
      <c r="W19" s="2868"/>
      <c r="X19" s="2868"/>
      <c r="Y19" s="2868"/>
      <c r="AA19" s="658"/>
      <c r="AB19" s="658"/>
      <c r="AC19" s="658"/>
      <c r="AD19" s="658"/>
      <c r="AE19" s="658"/>
      <c r="AF19" s="658"/>
      <c r="AG19" s="658"/>
      <c r="AH19" s="658"/>
      <c r="AI19" s="658"/>
      <c r="AJ19" s="658"/>
      <c r="AK19" s="658"/>
      <c r="AL19" s="658"/>
      <c r="AN19" s="670"/>
      <c r="AO19" s="670"/>
      <c r="AP19" s="658"/>
      <c r="AQ19" s="658"/>
      <c r="AR19" s="658"/>
      <c r="AS19" s="658"/>
      <c r="AT19" s="658"/>
      <c r="AU19" s="658"/>
      <c r="AV19" s="658"/>
    </row>
    <row r="20" spans="1:48">
      <c r="M20" s="2868"/>
      <c r="N20" s="2468">
        <f>IF(File_Marr_Joint&lt;&gt;"",O19,N19)</f>
        <v>19104</v>
      </c>
      <c r="O20" s="441"/>
      <c r="P20" s="2868"/>
      <c r="Q20" s="2868"/>
      <c r="R20" s="2868"/>
      <c r="S20" s="2868"/>
      <c r="T20" s="2868"/>
      <c r="U20" s="2868"/>
      <c r="V20" s="2868"/>
      <c r="W20" s="2868"/>
      <c r="X20" s="2868"/>
      <c r="Y20" s="2868"/>
      <c r="AA20" s="658"/>
      <c r="AB20" s="658"/>
      <c r="AC20" s="658"/>
      <c r="AD20" s="658"/>
      <c r="AE20" s="658"/>
      <c r="AF20" s="658"/>
      <c r="AG20" s="658"/>
      <c r="AH20" s="658"/>
      <c r="AI20" s="658"/>
      <c r="AJ20" s="658"/>
      <c r="AK20" s="658"/>
      <c r="AL20" s="658"/>
      <c r="AN20" s="670"/>
      <c r="AO20" s="670"/>
      <c r="AP20" s="658"/>
      <c r="AQ20" s="658"/>
      <c r="AR20" s="658"/>
      <c r="AS20" s="658"/>
      <c r="AT20" s="658"/>
      <c r="AU20" s="658"/>
      <c r="AV20" s="658"/>
    </row>
    <row r="21" spans="1:48">
      <c r="A21" s="441" t="b">
        <f>OR(M10="Yes",M13="Yes",M16="Yes",M19="Yes")</f>
        <v>0</v>
      </c>
      <c r="B21" s="2653" t="str">
        <f>IF(A21,"X","")</f>
        <v/>
      </c>
      <c r="D21" s="1560" t="s">
        <v>1560</v>
      </c>
      <c r="G21" s="441" t="b">
        <f>H21="X"</f>
        <v>0</v>
      </c>
      <c r="H21" s="2653" t="str">
        <f>IF(OR(NumFileStatusBoxes&lt;&gt;1,AND(M10="",M13="",M16="",M19="")),"",IF(OR(M10="Yes",M13="Yes",M16="Yes",M19="Yes"),"","X"))</f>
        <v/>
      </c>
      <c r="J21" s="1560" t="s">
        <v>1561</v>
      </c>
      <c r="N21" s="2649"/>
      <c r="O21" s="2649"/>
      <c r="P21" s="2649"/>
      <c r="Q21" s="2649"/>
      <c r="AA21" s="658"/>
      <c r="AB21" s="658"/>
      <c r="AC21" s="658"/>
      <c r="AD21" s="658"/>
      <c r="AE21" s="658"/>
      <c r="AF21" s="658"/>
      <c r="AG21" s="658"/>
      <c r="AH21" s="658"/>
      <c r="AI21" s="658"/>
      <c r="AJ21" s="658"/>
      <c r="AK21" s="658"/>
      <c r="AL21" s="658"/>
      <c r="AN21" s="670"/>
      <c r="AO21" s="670"/>
      <c r="AP21" s="658"/>
      <c r="AQ21" s="658"/>
      <c r="AR21" s="658"/>
      <c r="AS21" s="658"/>
      <c r="AT21" s="658"/>
      <c r="AU21" s="658"/>
      <c r="AV21" s="658"/>
    </row>
    <row r="22" spans="1:48" ht="8.25" customHeight="1">
      <c r="D22" s="2432"/>
      <c r="E22" s="2432"/>
      <c r="F22" s="2432"/>
      <c r="G22" s="2432"/>
      <c r="H22" s="2432"/>
      <c r="I22" s="2432"/>
      <c r="J22" s="2432"/>
      <c r="K22" s="2432"/>
      <c r="L22" s="2432"/>
      <c r="M22" s="2432"/>
      <c r="N22" s="2654"/>
      <c r="O22" s="2655"/>
      <c r="AA22" s="658"/>
      <c r="AB22" s="658"/>
      <c r="AC22" s="658"/>
      <c r="AD22" s="658"/>
      <c r="AE22" s="658"/>
      <c r="AF22" s="658"/>
      <c r="AG22" s="658"/>
      <c r="AH22" s="658"/>
      <c r="AI22" s="658"/>
      <c r="AJ22" s="658"/>
      <c r="AK22" s="658"/>
      <c r="AL22" s="658"/>
      <c r="AN22" s="670"/>
      <c r="AO22" s="670"/>
      <c r="AP22" s="658"/>
      <c r="AQ22" s="658"/>
      <c r="AR22" s="658"/>
      <c r="AS22" s="658"/>
      <c r="AT22" s="658"/>
      <c r="AU22" s="658"/>
      <c r="AV22" s="658"/>
    </row>
    <row r="23" spans="1:48" ht="8.25" customHeight="1">
      <c r="D23" s="1839"/>
      <c r="E23" s="1839"/>
      <c r="F23" s="1839"/>
      <c r="G23" s="1839"/>
      <c r="H23" s="1839"/>
      <c r="I23" s="1839"/>
      <c r="J23" s="1839"/>
      <c r="K23" s="1839"/>
      <c r="L23" s="1839"/>
      <c r="M23" s="1839"/>
      <c r="N23" s="2656"/>
      <c r="O23" s="2655"/>
      <c r="AA23" s="658"/>
      <c r="AB23" s="658"/>
      <c r="AC23" s="658"/>
      <c r="AD23" s="658"/>
      <c r="AE23" s="658"/>
      <c r="AF23" s="658"/>
      <c r="AG23" s="658"/>
      <c r="AH23" s="658"/>
      <c r="AI23" s="658"/>
      <c r="AJ23" s="658"/>
      <c r="AK23" s="658"/>
      <c r="AL23" s="658"/>
      <c r="AN23" s="670"/>
      <c r="AO23" s="670"/>
      <c r="AP23" s="658"/>
      <c r="AQ23" s="658"/>
      <c r="AR23" s="658"/>
      <c r="AS23" s="658"/>
      <c r="AT23" s="658"/>
      <c r="AU23" s="658"/>
      <c r="AV23" s="658"/>
    </row>
    <row r="24" spans="1:48">
      <c r="C24" s="2648" t="s">
        <v>161</v>
      </c>
      <c r="D24" s="1560" t="s">
        <v>1562</v>
      </c>
      <c r="AA24" s="658"/>
      <c r="AB24" s="658"/>
      <c r="AC24" s="658"/>
      <c r="AD24" s="658"/>
      <c r="AE24" s="658"/>
      <c r="AF24" s="658"/>
      <c r="AG24" s="658"/>
      <c r="AH24" s="658"/>
      <c r="AI24" s="658"/>
      <c r="AJ24" s="658"/>
      <c r="AK24" s="658"/>
      <c r="AL24" s="658"/>
      <c r="AN24" s="670"/>
      <c r="AO24" s="670"/>
      <c r="AP24" s="658"/>
      <c r="AQ24" s="658"/>
      <c r="AR24" s="658"/>
      <c r="AS24" s="658"/>
      <c r="AT24" s="658"/>
      <c r="AU24" s="658"/>
      <c r="AV24" s="658"/>
    </row>
    <row r="25" spans="1:48">
      <c r="D25" s="1560" t="str">
        <f>"of your "&amp;TaxYear&amp;" return (including extensions) that allows you to work and is valid for EIC purposes"</f>
        <v>of your 2025 return (including extensions) that allows you to work and is valid for EIC purposes</v>
      </c>
      <c r="AA25" s="658"/>
      <c r="AB25" s="658"/>
      <c r="AC25" s="658"/>
      <c r="AD25" s="658"/>
      <c r="AE25" s="658"/>
      <c r="AF25" s="658"/>
      <c r="AG25" s="658"/>
      <c r="AH25" s="658"/>
      <c r="AI25" s="658"/>
      <c r="AJ25" s="658"/>
      <c r="AK25" s="658"/>
      <c r="AL25" s="658"/>
      <c r="AN25" s="670"/>
      <c r="AO25" s="670"/>
      <c r="AP25" s="658"/>
      <c r="AQ25" s="658"/>
      <c r="AR25" s="658"/>
      <c r="AS25" s="658"/>
      <c r="AT25" s="658"/>
      <c r="AU25" s="658"/>
      <c r="AV25" s="658"/>
    </row>
    <row r="26" spans="1:48">
      <c r="D26" s="1560" t="s">
        <v>5404</v>
      </c>
      <c r="AA26" s="658"/>
      <c r="AB26" s="658"/>
      <c r="AC26" s="658"/>
      <c r="AD26" s="658"/>
      <c r="AE26" s="658"/>
      <c r="AF26" s="658"/>
      <c r="AG26" s="658"/>
      <c r="AH26" s="658"/>
      <c r="AI26" s="658"/>
      <c r="AJ26" s="658"/>
      <c r="AK26" s="658"/>
      <c r="AL26" s="658"/>
      <c r="AN26" s="670"/>
      <c r="AO26" s="670"/>
      <c r="AP26" s="658"/>
      <c r="AQ26" s="658"/>
      <c r="AR26" s="658"/>
      <c r="AS26" s="658"/>
      <c r="AT26" s="658"/>
      <c r="AU26" s="658"/>
      <c r="AV26" s="658"/>
    </row>
    <row r="27" spans="1:48">
      <c r="AA27" s="658"/>
      <c r="AB27" s="658"/>
      <c r="AC27" s="658"/>
      <c r="AD27" s="658"/>
      <c r="AE27" s="658"/>
      <c r="AF27" s="658"/>
      <c r="AG27" s="658"/>
      <c r="AH27" s="658"/>
      <c r="AI27" s="658"/>
      <c r="AJ27" s="658"/>
      <c r="AK27" s="658"/>
      <c r="AL27" s="658"/>
      <c r="AN27" s="670"/>
      <c r="AO27" s="670"/>
      <c r="AP27" s="658"/>
      <c r="AQ27" s="658"/>
      <c r="AR27" s="658"/>
      <c r="AS27" s="658"/>
      <c r="AT27" s="658"/>
      <c r="AU27" s="658"/>
      <c r="AV27" s="658"/>
    </row>
    <row r="28" spans="1:48">
      <c r="A28" s="441" t="b">
        <f>AND(A21,H28="",OR(AND(File_Marr_Joint&lt;&gt;"",SS_Yours&lt;&gt;"",SS_Spouse&lt;&gt;""),AND(File_Marr_Joint="",SS_Yours&lt;&gt;"")))</f>
        <v>0</v>
      </c>
      <c r="B28" s="2653" t="str">
        <f>IF(A28,"X","")</f>
        <v/>
      </c>
      <c r="D28" s="1560" t="s">
        <v>1560</v>
      </c>
      <c r="G28" s="441" t="b">
        <f>OR(NOT(A28),H28&lt;&gt;"")</f>
        <v>1</v>
      </c>
      <c r="H28" s="325"/>
      <c r="J28" s="1560" t="s">
        <v>1563</v>
      </c>
      <c r="AA28" s="658"/>
      <c r="AB28" s="658"/>
      <c r="AC28" s="658"/>
      <c r="AD28" s="658"/>
      <c r="AE28" s="658"/>
      <c r="AF28" s="658"/>
      <c r="AG28" s="658"/>
      <c r="AH28" s="658"/>
      <c r="AI28" s="658"/>
      <c r="AJ28" s="658"/>
      <c r="AK28" s="658"/>
      <c r="AL28" s="658"/>
      <c r="AN28" s="670"/>
      <c r="AO28" s="670"/>
      <c r="AP28" s="658"/>
      <c r="AQ28" s="658"/>
      <c r="AR28" s="658"/>
      <c r="AS28" s="658"/>
      <c r="AT28" s="658"/>
      <c r="AU28" s="658"/>
      <c r="AV28" s="658"/>
    </row>
    <row r="29" spans="1:48">
      <c r="D29" s="2657" t="str">
        <f>IF(AND(H28="",OR(AND(File_Marr_Joint&lt;&gt;"",OR(SS_Yours="",SS_Spouse="")),SS_Yours="")),"If so, enter your social security","")</f>
        <v/>
      </c>
      <c r="J29" s="1560" t="s">
        <v>6108</v>
      </c>
      <c r="AA29" s="658"/>
      <c r="AB29" s="658"/>
      <c r="AC29" s="658"/>
      <c r="AD29" s="658"/>
      <c r="AE29" s="658"/>
      <c r="AF29" s="658"/>
      <c r="AG29" s="658"/>
      <c r="AH29" s="658"/>
      <c r="AI29" s="658"/>
      <c r="AJ29" s="658"/>
      <c r="AK29" s="658"/>
      <c r="AL29" s="658"/>
      <c r="AN29" s="670"/>
      <c r="AO29" s="670"/>
      <c r="AP29" s="658"/>
      <c r="AQ29" s="658"/>
      <c r="AR29" s="658"/>
      <c r="AS29" s="658"/>
      <c r="AT29" s="658"/>
      <c r="AU29" s="658"/>
      <c r="AV29" s="658"/>
    </row>
    <row r="30" spans="1:48" ht="6" customHeight="1">
      <c r="D30" s="2657" t="str">
        <f>IF(AND(H28="",OR(AND(File_Marr_Joint&lt;&gt;"",OR(SS_Yours="",SS_Spouse="")))),"numbers on the sheet labeled '1040'.",IF(AND(H28="",SS_Yours=""),"number on the sheet labeled '1040'.",""))</f>
        <v/>
      </c>
      <c r="AA30" s="658"/>
      <c r="AB30" s="658"/>
      <c r="AC30" s="658"/>
      <c r="AD30" s="658"/>
      <c r="AE30" s="658"/>
      <c r="AF30" s="658"/>
      <c r="AG30" s="658"/>
      <c r="AH30" s="658"/>
      <c r="AI30" s="658"/>
      <c r="AJ30" s="658"/>
      <c r="AK30" s="658"/>
      <c r="AL30" s="658"/>
      <c r="AN30" s="670"/>
      <c r="AO30" s="670"/>
      <c r="AP30" s="658"/>
      <c r="AQ30" s="658"/>
      <c r="AR30" s="658"/>
      <c r="AS30" s="658"/>
      <c r="AT30" s="658"/>
      <c r="AU30" s="658"/>
      <c r="AV30" s="658"/>
    </row>
    <row r="31" spans="1:48" ht="8.25" customHeight="1">
      <c r="D31" s="1839"/>
      <c r="E31" s="1839"/>
      <c r="F31" s="1839"/>
      <c r="G31" s="1839"/>
      <c r="H31" s="1839"/>
      <c r="I31" s="1839"/>
      <c r="J31" s="1839"/>
      <c r="K31" s="1839"/>
      <c r="L31" s="1839"/>
      <c r="M31" s="1839"/>
      <c r="N31" s="2656"/>
      <c r="O31" s="2655"/>
      <c r="AA31" s="658"/>
      <c r="AB31" s="658"/>
      <c r="AC31" s="658"/>
      <c r="AD31" s="658"/>
      <c r="AE31" s="658"/>
      <c r="AF31" s="658"/>
      <c r="AG31" s="658"/>
      <c r="AH31" s="658"/>
      <c r="AI31" s="658"/>
      <c r="AJ31" s="658"/>
      <c r="AK31" s="658"/>
      <c r="AL31" s="658"/>
      <c r="AN31" s="670"/>
      <c r="AO31" s="670"/>
      <c r="AP31" s="658"/>
      <c r="AQ31" s="658"/>
      <c r="AR31" s="658"/>
      <c r="AS31" s="658"/>
      <c r="AT31" s="658"/>
      <c r="AU31" s="658"/>
      <c r="AV31" s="658"/>
    </row>
    <row r="32" spans="1:48">
      <c r="C32" s="220" t="s">
        <v>167</v>
      </c>
      <c r="D32" s="1560" t="s">
        <v>1564</v>
      </c>
      <c r="AA32" s="658"/>
      <c r="AB32" s="658"/>
      <c r="AC32" s="658"/>
      <c r="AD32" s="658"/>
      <c r="AE32" s="658"/>
      <c r="AF32" s="658"/>
      <c r="AG32" s="658"/>
      <c r="AH32" s="658"/>
      <c r="AI32" s="658"/>
      <c r="AJ32" s="658"/>
      <c r="AK32" s="658"/>
      <c r="AL32" s="658"/>
      <c r="AN32" s="670"/>
      <c r="AO32" s="670"/>
      <c r="AP32" s="658"/>
      <c r="AQ32" s="658"/>
      <c r="AR32" s="658"/>
      <c r="AS32" s="658"/>
      <c r="AT32" s="658"/>
      <c r="AU32" s="658"/>
      <c r="AV32" s="658"/>
    </row>
    <row r="33" spans="1:48">
      <c r="AA33" s="658"/>
      <c r="AB33" s="658"/>
      <c r="AC33" s="658"/>
      <c r="AD33" s="658"/>
      <c r="AE33" s="658"/>
      <c r="AF33" s="658"/>
      <c r="AG33" s="658"/>
      <c r="AH33" s="658"/>
      <c r="AI33" s="658"/>
      <c r="AJ33" s="658"/>
      <c r="AK33" s="658"/>
      <c r="AL33" s="658"/>
      <c r="AN33" s="670"/>
      <c r="AO33" s="670"/>
      <c r="AP33" s="658"/>
      <c r="AQ33" s="658"/>
      <c r="AR33" s="658"/>
      <c r="AS33" s="658"/>
      <c r="AT33" s="658"/>
      <c r="AU33" s="658"/>
      <c r="AV33" s="658"/>
    </row>
    <row r="34" spans="1:48">
      <c r="A34" s="441" t="b">
        <f>AND(A28,Form2555_Used)</f>
        <v>0</v>
      </c>
      <c r="B34" s="2658" t="str">
        <f>IF(A34,"X","")</f>
        <v/>
      </c>
      <c r="D34" s="1560" t="s">
        <v>1565</v>
      </c>
      <c r="H34" s="2658" t="str">
        <f>IF(M34,"X","")</f>
        <v/>
      </c>
      <c r="J34" s="1560" t="s">
        <v>1566</v>
      </c>
      <c r="M34" s="441" t="b">
        <f>AND(A28,NOT(A34))</f>
        <v>0</v>
      </c>
      <c r="AA34" s="658"/>
      <c r="AB34" s="658"/>
      <c r="AC34" s="658"/>
      <c r="AD34" s="658"/>
      <c r="AE34" s="658"/>
      <c r="AF34" s="658"/>
      <c r="AG34" s="658"/>
      <c r="AH34" s="658"/>
      <c r="AI34" s="658"/>
      <c r="AJ34" s="658"/>
      <c r="AK34" s="658"/>
      <c r="AL34" s="658"/>
      <c r="AN34" s="670"/>
      <c r="AO34" s="670"/>
      <c r="AP34" s="658"/>
      <c r="AQ34" s="658"/>
      <c r="AR34" s="658"/>
      <c r="AS34" s="658"/>
      <c r="AT34" s="658"/>
      <c r="AU34" s="658"/>
      <c r="AV34" s="658"/>
    </row>
    <row r="35" spans="1:48">
      <c r="AA35" s="658"/>
      <c r="AB35" s="658"/>
      <c r="AC35" s="658"/>
      <c r="AD35" s="658"/>
      <c r="AE35" s="658"/>
      <c r="AF35" s="658"/>
      <c r="AG35" s="658"/>
      <c r="AH35" s="658"/>
      <c r="AI35" s="658"/>
      <c r="AJ35" s="658"/>
      <c r="AK35" s="658"/>
      <c r="AL35" s="658"/>
      <c r="AN35" s="670"/>
      <c r="AO35" s="670"/>
      <c r="AP35" s="658"/>
      <c r="AQ35" s="658"/>
      <c r="AR35" s="658"/>
      <c r="AS35" s="658"/>
      <c r="AT35" s="658"/>
      <c r="AU35" s="658"/>
      <c r="AV35" s="658"/>
    </row>
    <row r="36" spans="1:48" ht="8.25" customHeight="1">
      <c r="D36" s="1839"/>
      <c r="E36" s="1839"/>
      <c r="F36" s="1839"/>
      <c r="G36" s="1839"/>
      <c r="H36" s="1839"/>
      <c r="I36" s="1839"/>
      <c r="J36" s="1839"/>
      <c r="K36" s="1839"/>
      <c r="L36" s="1839"/>
      <c r="M36" s="1839"/>
      <c r="N36" s="2656"/>
      <c r="O36" s="2655"/>
      <c r="AA36" s="658"/>
      <c r="AB36" s="658"/>
      <c r="AC36" s="658"/>
      <c r="AD36" s="658"/>
      <c r="AE36" s="658"/>
      <c r="AF36" s="658"/>
      <c r="AG36" s="658"/>
      <c r="AH36" s="658"/>
      <c r="AI36" s="658"/>
      <c r="AJ36" s="658"/>
      <c r="AK36" s="658"/>
      <c r="AL36" s="658"/>
      <c r="AN36" s="670"/>
      <c r="AO36" s="670"/>
      <c r="AP36" s="658"/>
      <c r="AQ36" s="658"/>
      <c r="AR36" s="658"/>
      <c r="AS36" s="658"/>
      <c r="AT36" s="658"/>
      <c r="AU36" s="658"/>
      <c r="AV36" s="658"/>
    </row>
    <row r="37" spans="1:48">
      <c r="C37" s="2648" t="s">
        <v>171</v>
      </c>
      <c r="D37" s="1560" t="str">
        <f>"Were you or your spouse a nonresident alien for any part of "&amp;TaxYear&amp;"?"</f>
        <v>Were you or your spouse a nonresident alien for any part of 2025?</v>
      </c>
      <c r="AA37" s="658"/>
      <c r="AB37" s="658"/>
      <c r="AC37" s="658"/>
      <c r="AD37" s="658"/>
      <c r="AE37" s="658"/>
      <c r="AF37" s="658"/>
      <c r="AG37" s="658"/>
      <c r="AH37" s="658"/>
      <c r="AI37" s="658"/>
      <c r="AJ37" s="658"/>
      <c r="AK37" s="658"/>
      <c r="AL37" s="658"/>
      <c r="AN37" s="670"/>
      <c r="AO37" s="670"/>
      <c r="AP37" s="658"/>
      <c r="AQ37" s="658"/>
      <c r="AR37" s="658"/>
      <c r="AS37" s="658"/>
      <c r="AT37" s="658"/>
      <c r="AU37" s="658"/>
      <c r="AV37" s="658"/>
    </row>
    <row r="38" spans="1:48">
      <c r="AA38" s="658"/>
      <c r="AB38" s="658"/>
      <c r="AC38" s="658"/>
      <c r="AD38" s="658"/>
      <c r="AE38" s="658"/>
      <c r="AF38" s="658"/>
      <c r="AG38" s="658"/>
      <c r="AH38" s="658"/>
      <c r="AI38" s="658"/>
      <c r="AJ38" s="658"/>
      <c r="AK38" s="658"/>
      <c r="AL38" s="658"/>
      <c r="AN38" s="670"/>
      <c r="AO38" s="670"/>
      <c r="AP38" s="658"/>
      <c r="AQ38" s="658"/>
      <c r="AR38" s="658"/>
      <c r="AS38" s="658"/>
      <c r="AT38" s="658"/>
      <c r="AU38" s="658"/>
      <c r="AV38" s="658"/>
    </row>
    <row r="39" spans="1:48">
      <c r="A39" s="441" t="b">
        <f>OR(B39&lt;&gt;"",H39&lt;&gt;"")</f>
        <v>0</v>
      </c>
      <c r="B39" s="325"/>
      <c r="D39" s="226" t="s">
        <v>938</v>
      </c>
      <c r="H39" s="2653" t="str">
        <f>IF(AND(B39="",NOT(EIC_Check)),"X","")</f>
        <v/>
      </c>
      <c r="J39" s="1560" t="s">
        <v>1567</v>
      </c>
      <c r="M39" s="2655"/>
      <c r="AA39" s="658"/>
      <c r="AB39" s="658"/>
      <c r="AC39" s="658"/>
      <c r="AD39" s="658"/>
      <c r="AE39" s="658"/>
      <c r="AF39" s="658"/>
      <c r="AG39" s="658"/>
      <c r="AH39" s="658"/>
      <c r="AI39" s="658"/>
      <c r="AJ39" s="658"/>
      <c r="AK39" s="658"/>
      <c r="AL39" s="658"/>
      <c r="AN39" s="670"/>
      <c r="AO39" s="670"/>
      <c r="AP39" s="658"/>
      <c r="AQ39" s="658"/>
      <c r="AR39" s="658"/>
      <c r="AS39" s="658"/>
      <c r="AT39" s="658"/>
      <c r="AU39" s="658"/>
      <c r="AV39" s="658"/>
    </row>
    <row r="40" spans="1:48">
      <c r="D40" s="88" t="s">
        <v>1568</v>
      </c>
      <c r="AA40" s="658"/>
      <c r="AB40" s="658"/>
      <c r="AC40" s="658"/>
      <c r="AD40" s="658"/>
      <c r="AE40" s="658"/>
      <c r="AF40" s="658"/>
      <c r="AG40" s="658"/>
      <c r="AH40" s="658"/>
      <c r="AI40" s="658"/>
      <c r="AJ40" s="658"/>
      <c r="AK40" s="658"/>
      <c r="AL40" s="658"/>
      <c r="AN40" s="670"/>
      <c r="AO40" s="670"/>
      <c r="AP40" s="658"/>
      <c r="AQ40" s="658"/>
      <c r="AR40" s="658"/>
      <c r="AS40" s="658"/>
      <c r="AT40" s="658"/>
      <c r="AU40" s="658"/>
      <c r="AV40" s="658"/>
    </row>
    <row r="41" spans="1:48">
      <c r="A41" s="441" t="b">
        <f>OR(G21,G28,A34)</f>
        <v>1</v>
      </c>
      <c r="D41" s="88" t="s">
        <v>1569</v>
      </c>
      <c r="AA41" s="658"/>
      <c r="AB41" s="658"/>
      <c r="AC41" s="658"/>
      <c r="AD41" s="658"/>
      <c r="AE41" s="658"/>
      <c r="AF41" s="658"/>
      <c r="AG41" s="658"/>
      <c r="AH41" s="658"/>
      <c r="AI41" s="658"/>
      <c r="AJ41" s="658"/>
      <c r="AK41" s="658"/>
      <c r="AL41" s="658"/>
      <c r="AN41" s="670"/>
      <c r="AO41" s="670"/>
      <c r="AP41" s="658"/>
      <c r="AQ41" s="658"/>
      <c r="AR41" s="658"/>
      <c r="AS41" s="658"/>
      <c r="AT41" s="658"/>
      <c r="AU41" s="658"/>
      <c r="AV41" s="658"/>
    </row>
    <row r="42" spans="1:48">
      <c r="AA42" s="658"/>
      <c r="AB42" s="658"/>
      <c r="AC42" s="658"/>
      <c r="AD42" s="658"/>
      <c r="AE42" s="658"/>
      <c r="AF42" s="658"/>
      <c r="AG42" s="658"/>
      <c r="AH42" s="658"/>
      <c r="AI42" s="658"/>
      <c r="AJ42" s="658"/>
      <c r="AK42" s="658"/>
      <c r="AL42" s="658"/>
      <c r="AN42" s="670"/>
      <c r="AO42" s="670"/>
      <c r="AP42" s="658"/>
      <c r="AQ42" s="658"/>
      <c r="AR42" s="658"/>
      <c r="AS42" s="658"/>
      <c r="AT42" s="658"/>
      <c r="AU42" s="658"/>
      <c r="AV42" s="658"/>
    </row>
    <row r="43" spans="1:48" s="2659" customFormat="1">
      <c r="B43" s="2660"/>
      <c r="N43" s="2661"/>
      <c r="AA43" s="671"/>
      <c r="AB43" s="671"/>
      <c r="AC43" s="671"/>
      <c r="AD43" s="671"/>
      <c r="AE43" s="671"/>
      <c r="AF43" s="671"/>
      <c r="AG43" s="671"/>
      <c r="AH43" s="671"/>
      <c r="AI43" s="671"/>
      <c r="AJ43" s="671"/>
      <c r="AK43" s="671"/>
      <c r="AL43" s="671"/>
      <c r="AN43" s="672"/>
      <c r="AO43" s="672"/>
      <c r="AP43" s="671"/>
      <c r="AQ43" s="671"/>
      <c r="AR43" s="671"/>
      <c r="AS43" s="671"/>
      <c r="AT43" s="671"/>
      <c r="AU43" s="671"/>
      <c r="AV43" s="671"/>
    </row>
    <row r="44" spans="1:48" s="2445" customFormat="1" ht="15.75">
      <c r="A44" s="2646" t="s">
        <v>1570</v>
      </c>
      <c r="B44" s="2647" t="s">
        <v>1571</v>
      </c>
      <c r="C44" s="2642"/>
      <c r="N44" s="2662"/>
      <c r="AA44" s="668"/>
      <c r="AB44" s="668"/>
      <c r="AC44" s="668"/>
      <c r="AD44" s="668"/>
      <c r="AE44" s="668"/>
      <c r="AF44" s="668"/>
      <c r="AG44" s="668"/>
      <c r="AH44" s="668"/>
      <c r="AI44" s="668"/>
      <c r="AJ44" s="668"/>
      <c r="AK44" s="668"/>
      <c r="AL44" s="668"/>
      <c r="AN44" s="669"/>
      <c r="AO44" s="669"/>
      <c r="AP44" s="668"/>
      <c r="AQ44" s="668"/>
      <c r="AR44" s="668"/>
      <c r="AS44" s="668"/>
      <c r="AT44" s="668"/>
      <c r="AU44" s="668"/>
      <c r="AV44" s="668"/>
    </row>
    <row r="45" spans="1:48">
      <c r="A45" s="2502"/>
      <c r="B45" s="2502"/>
      <c r="C45" s="2502"/>
      <c r="AA45" s="658"/>
      <c r="AB45" s="658"/>
      <c r="AC45" s="658"/>
      <c r="AD45" s="658"/>
      <c r="AE45" s="658"/>
      <c r="AF45" s="658"/>
      <c r="AG45" s="658"/>
      <c r="AH45" s="658"/>
      <c r="AI45" s="658"/>
      <c r="AJ45" s="658"/>
      <c r="AK45" s="658"/>
      <c r="AL45" s="658"/>
      <c r="AN45" s="670"/>
      <c r="AO45" s="670"/>
      <c r="AP45" s="658"/>
      <c r="AQ45" s="658"/>
      <c r="AR45" s="658"/>
      <c r="AS45" s="658"/>
      <c r="AT45" s="658"/>
      <c r="AU45" s="658"/>
      <c r="AV45" s="658"/>
    </row>
    <row r="46" spans="1:48">
      <c r="C46" s="2648" t="s">
        <v>157</v>
      </c>
      <c r="D46" s="1560" t="s">
        <v>1572</v>
      </c>
      <c r="AA46" s="658"/>
      <c r="AB46" s="658"/>
      <c r="AC46" s="658"/>
      <c r="AD46" s="658"/>
      <c r="AE46" s="658"/>
      <c r="AF46" s="658"/>
      <c r="AG46" s="658"/>
      <c r="AH46" s="658"/>
      <c r="AI46" s="658"/>
      <c r="AJ46" s="658"/>
      <c r="AK46" s="658"/>
      <c r="AL46" s="658"/>
      <c r="AN46" s="670"/>
      <c r="AO46" s="670"/>
      <c r="AP46" s="658"/>
      <c r="AQ46" s="658"/>
      <c r="AR46" s="658"/>
      <c r="AS46" s="658"/>
      <c r="AT46" s="658"/>
      <c r="AU46" s="658"/>
      <c r="AV46" s="658"/>
    </row>
    <row r="47" spans="1:48">
      <c r="C47" s="2648"/>
      <c r="AA47" s="658"/>
      <c r="AB47" s="658"/>
      <c r="AC47" s="658"/>
      <c r="AD47" s="658"/>
      <c r="AE47" s="658"/>
      <c r="AF47" s="658"/>
      <c r="AG47" s="658"/>
      <c r="AH47" s="658"/>
      <c r="AI47" s="658"/>
      <c r="AJ47" s="658"/>
      <c r="AK47" s="658"/>
      <c r="AL47" s="658"/>
      <c r="AN47" s="670"/>
      <c r="AO47" s="670"/>
      <c r="AP47" s="658"/>
      <c r="AQ47" s="658"/>
      <c r="AR47" s="658"/>
      <c r="AS47" s="658"/>
      <c r="AT47" s="658"/>
      <c r="AU47" s="658"/>
      <c r="AV47" s="658"/>
    </row>
    <row r="48" spans="1:48">
      <c r="C48" s="2648"/>
      <c r="D48" s="2052" t="s">
        <v>1573</v>
      </c>
      <c r="E48" s="424" t="str">
        <f>IF(EIC_Check,"",TaxExemptInt)</f>
        <v/>
      </c>
      <c r="AA48" s="658"/>
      <c r="AB48" s="658"/>
      <c r="AC48" s="658"/>
      <c r="AD48" s="658"/>
      <c r="AE48" s="658"/>
      <c r="AF48" s="658"/>
      <c r="AG48" s="658"/>
      <c r="AH48" s="658"/>
      <c r="AI48" s="658"/>
      <c r="AJ48" s="658"/>
      <c r="AK48" s="658"/>
      <c r="AL48" s="658"/>
      <c r="AN48" s="670"/>
      <c r="AO48" s="670"/>
      <c r="AP48" s="658"/>
      <c r="AQ48" s="658"/>
      <c r="AR48" s="658"/>
      <c r="AS48" s="658"/>
      <c r="AT48" s="658"/>
      <c r="AU48" s="658"/>
      <c r="AV48" s="658"/>
    </row>
    <row r="49" spans="1:48">
      <c r="C49" s="2648"/>
      <c r="D49" s="220" t="s">
        <v>1574</v>
      </c>
      <c r="E49" s="424" t="str">
        <f>IF(OR(NOT(EIC_Started),EIC_Check),"",TaxableInterest)</f>
        <v/>
      </c>
      <c r="AA49" s="658"/>
      <c r="AB49" s="658"/>
      <c r="AC49" s="658"/>
      <c r="AD49" s="658"/>
      <c r="AE49" s="658"/>
      <c r="AF49" s="658"/>
      <c r="AG49" s="658"/>
      <c r="AH49" s="658"/>
      <c r="AI49" s="658"/>
      <c r="AJ49" s="658"/>
      <c r="AK49" s="658"/>
      <c r="AL49" s="658"/>
      <c r="AN49" s="670"/>
      <c r="AO49" s="670"/>
      <c r="AP49" s="658"/>
      <c r="AQ49" s="658"/>
      <c r="AR49" s="658"/>
      <c r="AS49" s="658"/>
      <c r="AT49" s="658"/>
      <c r="AU49" s="658"/>
      <c r="AV49" s="658"/>
    </row>
    <row r="50" spans="1:48">
      <c r="C50" s="2648"/>
      <c r="D50" s="220" t="s">
        <v>1575</v>
      </c>
      <c r="E50" s="424" t="str">
        <f>IF(OR(NOT(EIC_Started),EIC_Check),"",OrdinaryDividends)</f>
        <v/>
      </c>
      <c r="AA50" s="658"/>
      <c r="AB50" s="658"/>
      <c r="AC50" s="658"/>
      <c r="AD50" s="658"/>
      <c r="AE50" s="658"/>
      <c r="AF50" s="658"/>
      <c r="AG50" s="658"/>
      <c r="AH50" s="658"/>
      <c r="AI50" s="658"/>
      <c r="AJ50" s="658"/>
      <c r="AK50" s="658"/>
      <c r="AL50" s="658"/>
      <c r="AN50" s="670"/>
      <c r="AO50" s="670"/>
      <c r="AP50" s="658"/>
      <c r="AQ50" s="658"/>
      <c r="AR50" s="658"/>
      <c r="AS50" s="658"/>
      <c r="AT50" s="658"/>
      <c r="AU50" s="658"/>
      <c r="AV50" s="658"/>
    </row>
    <row r="51" spans="1:48">
      <c r="C51" s="2648"/>
      <c r="D51" s="220" t="s">
        <v>6483</v>
      </c>
      <c r="E51" s="424" t="str">
        <f>IF(OR(NOT(EIC_Started),EIC_Check),"",MAX(0,CapitalGains))</f>
        <v/>
      </c>
      <c r="AA51" s="658"/>
      <c r="AB51" s="658"/>
      <c r="AC51" s="658"/>
      <c r="AD51" s="658"/>
      <c r="AE51" s="658"/>
      <c r="AF51" s="658"/>
      <c r="AG51" s="658"/>
      <c r="AH51" s="658"/>
      <c r="AI51" s="658"/>
      <c r="AJ51" s="658"/>
      <c r="AK51" s="658"/>
      <c r="AL51" s="658"/>
      <c r="AN51" s="670"/>
      <c r="AO51" s="670"/>
      <c r="AP51" s="658"/>
      <c r="AQ51" s="658"/>
      <c r="AR51" s="658"/>
      <c r="AS51" s="658"/>
      <c r="AT51" s="658"/>
      <c r="AU51" s="658"/>
      <c r="AV51" s="658"/>
    </row>
    <row r="52" spans="1:48">
      <c r="C52" s="2648"/>
      <c r="G52" s="1560" t="s">
        <v>771</v>
      </c>
      <c r="AA52" s="658"/>
      <c r="AB52" s="658"/>
      <c r="AC52" s="658"/>
      <c r="AD52" s="658"/>
      <c r="AE52" s="658"/>
      <c r="AF52" s="658"/>
      <c r="AG52" s="658"/>
      <c r="AH52" s="658"/>
      <c r="AI52" s="658"/>
      <c r="AJ52" s="658"/>
      <c r="AK52" s="658"/>
      <c r="AL52" s="658"/>
      <c r="AN52" s="670"/>
      <c r="AO52" s="670"/>
      <c r="AP52" s="658"/>
      <c r="AQ52" s="658"/>
      <c r="AR52" s="658"/>
      <c r="AS52" s="658"/>
      <c r="AT52" s="658"/>
      <c r="AU52" s="658"/>
      <c r="AV52" s="658"/>
    </row>
    <row r="53" spans="1:48">
      <c r="C53" s="2648"/>
      <c r="D53" s="2052" t="s">
        <v>1576</v>
      </c>
      <c r="E53" s="2663">
        <f>IF(G53&lt;&gt;"",ROUND(G53,0),SUM(E48:E51))</f>
        <v>0</v>
      </c>
      <c r="G53" s="1403"/>
      <c r="AA53" s="658"/>
      <c r="AB53" s="658"/>
      <c r="AC53" s="658"/>
      <c r="AD53" s="658"/>
      <c r="AE53" s="658"/>
      <c r="AF53" s="658"/>
      <c r="AG53" s="658"/>
      <c r="AH53" s="658"/>
      <c r="AI53" s="658"/>
      <c r="AJ53" s="658"/>
      <c r="AK53" s="658"/>
      <c r="AL53" s="658"/>
      <c r="AN53" s="670"/>
      <c r="AO53" s="670"/>
      <c r="AP53" s="658"/>
      <c r="AQ53" s="658"/>
      <c r="AR53" s="658"/>
      <c r="AS53" s="658"/>
      <c r="AT53" s="658"/>
      <c r="AU53" s="658"/>
      <c r="AV53" s="658"/>
    </row>
    <row r="54" spans="1:48">
      <c r="AA54" s="658"/>
      <c r="AB54" s="658"/>
      <c r="AC54" s="658"/>
      <c r="AD54" s="658"/>
      <c r="AE54" s="658"/>
      <c r="AF54" s="658"/>
      <c r="AG54" s="658"/>
      <c r="AH54" s="658"/>
      <c r="AI54" s="658"/>
      <c r="AJ54" s="658"/>
      <c r="AK54" s="658"/>
      <c r="AL54" s="658"/>
      <c r="AN54" s="670"/>
      <c r="AO54" s="670"/>
      <c r="AP54" s="658"/>
      <c r="AQ54" s="658"/>
      <c r="AR54" s="658"/>
      <c r="AS54" s="658"/>
      <c r="AT54" s="658"/>
      <c r="AU54" s="658"/>
      <c r="AV54" s="658"/>
    </row>
    <row r="55" spans="1:48">
      <c r="C55" s="1560" t="s">
        <v>6484</v>
      </c>
      <c r="AA55" s="658"/>
      <c r="AB55" s="658"/>
      <c r="AC55" s="658"/>
      <c r="AD55" s="658"/>
      <c r="AE55" s="658"/>
      <c r="AF55" s="658"/>
      <c r="AG55" s="658"/>
      <c r="AH55" s="658"/>
      <c r="AI55" s="658"/>
      <c r="AJ55" s="658"/>
      <c r="AK55" s="658"/>
      <c r="AL55" s="658"/>
      <c r="AN55" s="670"/>
      <c r="AO55" s="670"/>
      <c r="AP55" s="658"/>
      <c r="AQ55" s="658"/>
      <c r="AR55" s="658"/>
      <c r="AS55" s="658"/>
      <c r="AT55" s="658"/>
      <c r="AU55" s="658"/>
      <c r="AV55" s="658"/>
    </row>
    <row r="56" spans="1:48" ht="12.75" customHeight="1">
      <c r="AA56" s="658"/>
      <c r="AB56" s="658"/>
      <c r="AC56" s="658"/>
      <c r="AD56" s="658"/>
      <c r="AE56" s="658"/>
      <c r="AF56" s="658"/>
      <c r="AG56" s="658"/>
      <c r="AH56" s="658"/>
      <c r="AI56" s="658"/>
      <c r="AJ56" s="658"/>
      <c r="AK56" s="658"/>
      <c r="AL56" s="658"/>
      <c r="AN56" s="670"/>
      <c r="AO56" s="670"/>
      <c r="AP56" s="658"/>
      <c r="AQ56" s="658"/>
      <c r="AR56" s="658"/>
      <c r="AS56" s="658"/>
      <c r="AT56" s="658"/>
      <c r="AU56" s="658"/>
      <c r="AV56" s="658"/>
    </row>
    <row r="57" spans="1:48" ht="8.25" customHeight="1">
      <c r="D57" s="1839"/>
      <c r="E57" s="1839"/>
      <c r="F57" s="1839"/>
      <c r="G57" s="1839"/>
      <c r="H57" s="1839"/>
      <c r="I57" s="1839"/>
      <c r="J57" s="1839"/>
      <c r="K57" s="1839"/>
      <c r="L57" s="1839"/>
      <c r="M57" s="1839"/>
      <c r="N57" s="2656"/>
      <c r="O57" s="2655"/>
      <c r="AA57" s="658"/>
      <c r="AB57" s="658"/>
      <c r="AC57" s="658"/>
      <c r="AD57" s="658"/>
      <c r="AE57" s="658"/>
      <c r="AF57" s="658"/>
      <c r="AG57" s="658"/>
      <c r="AH57" s="658"/>
      <c r="AI57" s="658"/>
      <c r="AJ57" s="658"/>
      <c r="AK57" s="658"/>
      <c r="AL57" s="658"/>
      <c r="AN57" s="670"/>
      <c r="AO57" s="670"/>
      <c r="AP57" s="658"/>
      <c r="AQ57" s="658"/>
      <c r="AR57" s="658"/>
      <c r="AS57" s="658"/>
      <c r="AT57" s="658"/>
      <c r="AU57" s="658"/>
      <c r="AV57" s="658"/>
    </row>
    <row r="58" spans="1:48">
      <c r="C58" s="2648" t="s">
        <v>161</v>
      </c>
      <c r="D58" s="88" t="str">
        <f>"Is your investment income more than "&amp;TEXT(N58,"$0,000")&amp;"?"</f>
        <v>Is your investment income more than $11,950?</v>
      </c>
      <c r="N58" s="2441">
        <v>11950</v>
      </c>
      <c r="AA58" s="658"/>
      <c r="AB58" s="658"/>
      <c r="AC58" s="658"/>
      <c r="AD58" s="658"/>
      <c r="AE58" s="658"/>
      <c r="AF58" s="658"/>
      <c r="AG58" s="658"/>
      <c r="AH58" s="658"/>
      <c r="AI58" s="658"/>
      <c r="AJ58" s="658"/>
      <c r="AK58" s="658"/>
      <c r="AL58" s="658"/>
      <c r="AN58" s="670"/>
      <c r="AO58" s="670"/>
      <c r="AP58" s="658"/>
      <c r="AQ58" s="658"/>
      <c r="AR58" s="658"/>
      <c r="AS58" s="658"/>
      <c r="AT58" s="658"/>
      <c r="AU58" s="658"/>
      <c r="AV58" s="658"/>
    </row>
    <row r="59" spans="1:48">
      <c r="AA59" s="658"/>
      <c r="AB59" s="658"/>
      <c r="AC59" s="658"/>
      <c r="AD59" s="658"/>
      <c r="AE59" s="658"/>
      <c r="AF59" s="658"/>
      <c r="AG59" s="658"/>
      <c r="AH59" s="658"/>
      <c r="AI59" s="658"/>
      <c r="AJ59" s="658"/>
      <c r="AK59" s="658"/>
      <c r="AL59" s="658"/>
      <c r="AN59" s="670"/>
      <c r="AO59" s="670"/>
      <c r="AP59" s="658"/>
      <c r="AQ59" s="658"/>
      <c r="AR59" s="658"/>
      <c r="AS59" s="658"/>
      <c r="AT59" s="658"/>
      <c r="AU59" s="658"/>
      <c r="AV59" s="658"/>
    </row>
    <row r="60" spans="1:48">
      <c r="A60" s="441" t="b">
        <f>B60&lt;&gt;""</f>
        <v>0</v>
      </c>
      <c r="B60" s="2658" t="str">
        <f>IF(E53&gt;N58,"X","")</f>
        <v/>
      </c>
      <c r="D60" s="1560" t="s">
        <v>1577</v>
      </c>
      <c r="H60" s="2658" t="str">
        <f>IF(OR(NOT(EIC_trigger),E53&gt;N58),"","X")</f>
        <v/>
      </c>
      <c r="J60" s="1560" t="s">
        <v>1578</v>
      </c>
      <c r="N60" s="441" t="b">
        <f>H60&lt;&gt;""</f>
        <v>0</v>
      </c>
      <c r="AA60" s="658"/>
      <c r="AB60" s="658"/>
      <c r="AC60" s="658"/>
      <c r="AD60" s="658"/>
      <c r="AE60" s="658"/>
      <c r="AF60" s="658"/>
      <c r="AG60" s="658"/>
      <c r="AH60" s="658"/>
      <c r="AI60" s="658"/>
      <c r="AJ60" s="658"/>
      <c r="AK60" s="658"/>
      <c r="AL60" s="658"/>
      <c r="AN60" s="670"/>
      <c r="AO60" s="670"/>
      <c r="AP60" s="658"/>
      <c r="AQ60" s="658"/>
      <c r="AR60" s="658"/>
      <c r="AS60" s="658"/>
      <c r="AT60" s="658"/>
      <c r="AU60" s="658"/>
      <c r="AV60" s="658"/>
    </row>
    <row r="61" spans="1:48" ht="12.75" customHeight="1">
      <c r="AA61" s="658"/>
      <c r="AB61" s="658"/>
      <c r="AC61" s="658"/>
      <c r="AD61" s="658"/>
      <c r="AE61" s="658"/>
      <c r="AF61" s="658"/>
      <c r="AG61" s="658"/>
      <c r="AH61" s="658"/>
      <c r="AI61" s="658"/>
      <c r="AJ61" s="658"/>
      <c r="AK61" s="658"/>
      <c r="AL61" s="658"/>
      <c r="AN61" s="670"/>
      <c r="AO61" s="670"/>
      <c r="AP61" s="658"/>
      <c r="AQ61" s="658"/>
      <c r="AR61" s="658"/>
      <c r="AS61" s="658"/>
      <c r="AT61" s="658"/>
      <c r="AU61" s="658"/>
      <c r="AV61" s="658"/>
    </row>
    <row r="62" spans="1:48" ht="8.25" customHeight="1">
      <c r="D62" s="1839"/>
      <c r="E62" s="1839"/>
      <c r="F62" s="1839"/>
      <c r="G62" s="1839"/>
      <c r="H62" s="1839"/>
      <c r="I62" s="1839"/>
      <c r="J62" s="1839"/>
      <c r="K62" s="1839"/>
      <c r="L62" s="1839"/>
      <c r="M62" s="1839"/>
      <c r="N62" s="2656"/>
      <c r="O62" s="2655"/>
      <c r="AA62" s="658"/>
      <c r="AB62" s="658"/>
      <c r="AC62" s="658"/>
      <c r="AD62" s="658"/>
      <c r="AE62" s="658"/>
      <c r="AF62" s="658"/>
      <c r="AG62" s="658"/>
      <c r="AH62" s="658"/>
      <c r="AI62" s="658"/>
      <c r="AJ62" s="658"/>
      <c r="AK62" s="658"/>
      <c r="AL62" s="658"/>
      <c r="AN62" s="670"/>
      <c r="AO62" s="670"/>
      <c r="AP62" s="658"/>
      <c r="AQ62" s="658"/>
      <c r="AR62" s="658"/>
      <c r="AS62" s="658"/>
      <c r="AT62" s="658"/>
      <c r="AU62" s="658"/>
      <c r="AV62" s="658"/>
    </row>
    <row r="63" spans="1:48">
      <c r="A63" s="7998" t="str">
        <f>IF(NoEICredit,"",IF(H60&lt;&gt;"","Skip",""))</f>
        <v/>
      </c>
      <c r="B63" s="7999"/>
      <c r="C63" s="2648" t="s">
        <v>167</v>
      </c>
      <c r="D63" s="88" t="s">
        <v>1579</v>
      </c>
      <c r="N63" s="1913" t="str">
        <f>IF(A60,"Form 4797 filers. If the amount on Form 1040 or 1040-SR,","")</f>
        <v/>
      </c>
      <c r="O63" s="1839"/>
      <c r="P63" s="1839"/>
      <c r="Q63" s="1839"/>
      <c r="R63" s="1839"/>
      <c r="S63" s="1839"/>
      <c r="T63" s="1839"/>
      <c r="U63" s="1839"/>
      <c r="V63" s="1839"/>
      <c r="W63" s="1839"/>
      <c r="X63" s="1839"/>
      <c r="Y63" s="2411"/>
      <c r="AA63" s="658"/>
      <c r="AB63" s="658"/>
      <c r="AC63" s="658"/>
      <c r="AD63" s="658"/>
      <c r="AE63" s="658"/>
      <c r="AF63" s="658"/>
      <c r="AG63" s="658"/>
      <c r="AH63" s="658"/>
      <c r="AI63" s="658"/>
      <c r="AJ63" s="658"/>
      <c r="AK63" s="658"/>
      <c r="AL63" s="658"/>
      <c r="AN63" s="670"/>
      <c r="AO63" s="670"/>
      <c r="AP63" s="658"/>
      <c r="AQ63" s="658"/>
      <c r="AR63" s="658"/>
      <c r="AS63" s="658"/>
      <c r="AT63" s="658"/>
      <c r="AU63" s="658"/>
      <c r="AV63" s="658"/>
    </row>
    <row r="64" spans="1:48">
      <c r="N64" s="2666" t="str">
        <f>IF(A60,"line 7, includes an amount from Form 4797, you must use","")</f>
        <v/>
      </c>
      <c r="Y64" s="2431"/>
      <c r="AA64" s="658"/>
      <c r="AB64" s="658"/>
      <c r="AC64" s="658"/>
      <c r="AD64" s="658"/>
      <c r="AE64" s="658"/>
      <c r="AF64" s="658"/>
      <c r="AG64" s="658"/>
      <c r="AH64" s="658"/>
      <c r="AI64" s="658"/>
      <c r="AJ64" s="658"/>
      <c r="AK64" s="658"/>
      <c r="AL64" s="658"/>
      <c r="AN64" s="670"/>
      <c r="AO64" s="670"/>
      <c r="AP64" s="658"/>
      <c r="AQ64" s="658"/>
      <c r="AR64" s="658"/>
      <c r="AS64" s="658"/>
      <c r="AT64" s="658"/>
      <c r="AU64" s="658"/>
      <c r="AV64" s="658"/>
    </row>
    <row r="65" spans="1:48">
      <c r="A65" s="441" t="b">
        <f>B65&lt;&gt;""</f>
        <v>0</v>
      </c>
      <c r="B65" s="325"/>
      <c r="D65" s="1560" t="s">
        <v>1580</v>
      </c>
      <c r="H65" s="325"/>
      <c r="J65" s="1560" t="s">
        <v>1581</v>
      </c>
      <c r="N65" s="2666" t="str">
        <f>IF(A60,"Worksheet 1 in Pub. 596 to see if you can take the EIC.","")</f>
        <v/>
      </c>
      <c r="Y65" s="2431"/>
      <c r="AA65" s="658"/>
      <c r="AB65" s="658"/>
      <c r="AC65" s="658"/>
      <c r="AD65" s="658"/>
      <c r="AE65" s="658"/>
      <c r="AF65" s="658"/>
      <c r="AG65" s="658"/>
      <c r="AH65" s="658"/>
      <c r="AI65" s="658"/>
      <c r="AJ65" s="658"/>
      <c r="AK65" s="658"/>
      <c r="AL65" s="658"/>
      <c r="AN65" s="670"/>
      <c r="AO65" s="670"/>
      <c r="AP65" s="658"/>
      <c r="AQ65" s="658"/>
      <c r="AR65" s="658"/>
      <c r="AS65" s="658"/>
      <c r="AT65" s="658"/>
      <c r="AU65" s="658"/>
      <c r="AV65" s="658"/>
    </row>
    <row r="66" spans="1:48">
      <c r="B66" s="423"/>
      <c r="D66" s="1560" t="s">
        <v>1569</v>
      </c>
      <c r="H66" s="423"/>
      <c r="N66" s="1912" t="str">
        <f>IF(A60,"Otherwise, stop; you can't take the EIC.","")</f>
        <v/>
      </c>
      <c r="O66" s="2432"/>
      <c r="P66" s="2432"/>
      <c r="Q66" s="2432"/>
      <c r="R66" s="2432"/>
      <c r="S66" s="2432"/>
      <c r="T66" s="2432"/>
      <c r="U66" s="2432"/>
      <c r="V66" s="2432"/>
      <c r="W66" s="2432"/>
      <c r="X66" s="2432"/>
      <c r="Y66" s="2433"/>
      <c r="AA66" s="658"/>
      <c r="AB66" s="658"/>
      <c r="AC66" s="658"/>
      <c r="AD66" s="658"/>
      <c r="AE66" s="658"/>
      <c r="AF66" s="658"/>
      <c r="AG66" s="658"/>
      <c r="AH66" s="658"/>
      <c r="AI66" s="658"/>
      <c r="AJ66" s="658"/>
      <c r="AK66" s="658"/>
      <c r="AL66" s="658"/>
      <c r="AN66" s="670"/>
      <c r="AO66" s="670"/>
      <c r="AP66" s="658"/>
      <c r="AQ66" s="658"/>
      <c r="AR66" s="658"/>
      <c r="AS66" s="658"/>
      <c r="AT66" s="658"/>
      <c r="AU66" s="658"/>
      <c r="AV66" s="658"/>
    </row>
    <row r="67" spans="1:48" ht="12.75" customHeight="1">
      <c r="H67" s="423"/>
      <c r="J67" s="2667" t="str">
        <f>IF(AND(A60,H67&lt;&gt;""),"Go to Step 4.",IF(A65,"Check here if you can take the credit.",""))</f>
        <v/>
      </c>
      <c r="N67" s="441" t="b">
        <f>H65&lt;&gt;""</f>
        <v>0</v>
      </c>
      <c r="AA67" s="658"/>
      <c r="AB67" s="658"/>
      <c r="AC67" s="658"/>
      <c r="AD67" s="658"/>
      <c r="AE67" s="658"/>
      <c r="AF67" s="658"/>
      <c r="AG67" s="658"/>
      <c r="AH67" s="658"/>
      <c r="AI67" s="658"/>
      <c r="AJ67" s="658"/>
      <c r="AK67" s="658"/>
      <c r="AL67" s="658"/>
      <c r="AN67" s="670"/>
      <c r="AO67" s="670"/>
      <c r="AP67" s="658"/>
      <c r="AQ67" s="658"/>
      <c r="AR67" s="658"/>
      <c r="AS67" s="658"/>
      <c r="AT67" s="658"/>
      <c r="AU67" s="658"/>
      <c r="AV67" s="658"/>
    </row>
    <row r="68" spans="1:48" ht="8.25" customHeight="1">
      <c r="D68" s="1839"/>
      <c r="E68" s="1839"/>
      <c r="F68" s="1839"/>
      <c r="G68" s="1839"/>
      <c r="H68" s="1839"/>
      <c r="I68" s="1839"/>
      <c r="J68" s="1839"/>
      <c r="K68" s="1839"/>
      <c r="L68" s="1839"/>
      <c r="M68" s="1839"/>
      <c r="N68" s="2656"/>
      <c r="O68" s="2655"/>
      <c r="AA68" s="658"/>
      <c r="AB68" s="658"/>
      <c r="AC68" s="658"/>
      <c r="AD68" s="658"/>
      <c r="AE68" s="658"/>
      <c r="AF68" s="658"/>
      <c r="AG68" s="658"/>
      <c r="AH68" s="658"/>
      <c r="AI68" s="658"/>
      <c r="AJ68" s="658"/>
      <c r="AK68" s="658"/>
      <c r="AL68" s="658"/>
      <c r="AN68" s="670"/>
      <c r="AO68" s="670"/>
      <c r="AP68" s="658"/>
      <c r="AQ68" s="658"/>
      <c r="AR68" s="658"/>
      <c r="AS68" s="658"/>
      <c r="AT68" s="658"/>
      <c r="AU68" s="658"/>
      <c r="AV68" s="658"/>
    </row>
    <row r="69" spans="1:48">
      <c r="C69" s="2648" t="s">
        <v>171</v>
      </c>
      <c r="D69" s="88" t="str">
        <f>"Do any of the following apply for "&amp;TaxYear&amp;"?"</f>
        <v>Do any of the following apply for 2025?</v>
      </c>
      <c r="AA69" s="658"/>
      <c r="AB69" s="658"/>
      <c r="AC69" s="658"/>
      <c r="AD69" s="658"/>
      <c r="AE69" s="658"/>
      <c r="AF69" s="658"/>
      <c r="AG69" s="658"/>
      <c r="AH69" s="658"/>
      <c r="AI69" s="658"/>
      <c r="AJ69" s="658"/>
      <c r="AK69" s="658"/>
      <c r="AL69" s="658"/>
      <c r="AN69" s="670"/>
      <c r="AO69" s="670"/>
      <c r="AP69" s="658"/>
      <c r="AQ69" s="658"/>
      <c r="AR69" s="658"/>
      <c r="AS69" s="658"/>
      <c r="AT69" s="658"/>
      <c r="AU69" s="658"/>
      <c r="AV69" s="658"/>
    </row>
    <row r="70" spans="1:48" ht="7.5" customHeight="1">
      <c r="AA70" s="658"/>
      <c r="AB70" s="658"/>
      <c r="AC70" s="658"/>
      <c r="AD70" s="658"/>
      <c r="AE70" s="658"/>
      <c r="AF70" s="658"/>
      <c r="AG70" s="658"/>
      <c r="AH70" s="658"/>
      <c r="AI70" s="658"/>
      <c r="AJ70" s="658"/>
      <c r="AK70" s="658"/>
      <c r="AL70" s="658"/>
      <c r="AN70" s="670"/>
      <c r="AO70" s="670"/>
      <c r="AP70" s="658"/>
      <c r="AQ70" s="658"/>
      <c r="AR70" s="658"/>
      <c r="AS70" s="658"/>
      <c r="AT70" s="658"/>
      <c r="AU70" s="658"/>
      <c r="AV70" s="658"/>
    </row>
    <row r="71" spans="1:48" ht="15.75">
      <c r="A71" s="2668" t="s">
        <v>916</v>
      </c>
      <c r="B71" s="2653" t="str">
        <f>IF(SchE2_Completed,"X","")</f>
        <v/>
      </c>
      <c r="C71" s="2643" t="s">
        <v>1554</v>
      </c>
      <c r="D71" s="1560" t="s">
        <v>1582</v>
      </c>
      <c r="AA71" s="658"/>
      <c r="AB71" s="658"/>
      <c r="AC71" s="658"/>
      <c r="AD71" s="658"/>
      <c r="AE71" s="658"/>
      <c r="AF71" s="658"/>
      <c r="AG71" s="658"/>
      <c r="AH71" s="658"/>
      <c r="AI71" s="658"/>
      <c r="AJ71" s="658"/>
      <c r="AK71" s="658"/>
      <c r="AL71" s="658"/>
      <c r="AN71" s="670"/>
      <c r="AO71" s="670"/>
      <c r="AP71" s="658"/>
      <c r="AQ71" s="658"/>
      <c r="AR71" s="658"/>
      <c r="AS71" s="658"/>
      <c r="AT71" s="658"/>
      <c r="AU71" s="658"/>
      <c r="AV71" s="658"/>
    </row>
    <row r="72" spans="1:48">
      <c r="C72" s="228" t="s">
        <v>1235</v>
      </c>
      <c r="AA72" s="658"/>
      <c r="AB72" s="658"/>
      <c r="AC72" s="658"/>
      <c r="AD72" s="658"/>
      <c r="AE72" s="658"/>
      <c r="AF72" s="658"/>
      <c r="AG72" s="658"/>
      <c r="AH72" s="658"/>
      <c r="AI72" s="658"/>
      <c r="AJ72" s="658"/>
      <c r="AK72" s="658"/>
      <c r="AL72" s="658"/>
      <c r="AN72" s="670"/>
      <c r="AO72" s="670"/>
      <c r="AP72" s="658"/>
      <c r="AQ72" s="658"/>
      <c r="AR72" s="658"/>
      <c r="AS72" s="658"/>
      <c r="AT72" s="658"/>
      <c r="AU72" s="658"/>
      <c r="AV72" s="658"/>
    </row>
    <row r="73" spans="1:48" ht="15.75">
      <c r="A73" s="2668" t="s">
        <v>916</v>
      </c>
      <c r="B73" s="325"/>
      <c r="C73" s="2643" t="s">
        <v>1554</v>
      </c>
      <c r="D73" s="88" t="s">
        <v>1583</v>
      </c>
      <c r="AA73" s="658"/>
      <c r="AB73" s="658"/>
      <c r="AC73" s="658"/>
      <c r="AD73" s="658"/>
      <c r="AE73" s="658"/>
      <c r="AF73" s="658"/>
      <c r="AG73" s="658"/>
      <c r="AH73" s="658"/>
      <c r="AI73" s="658"/>
      <c r="AJ73" s="658"/>
      <c r="AK73" s="658"/>
      <c r="AL73" s="658"/>
      <c r="AN73" s="670"/>
      <c r="AO73" s="670"/>
      <c r="AP73" s="658"/>
      <c r="AQ73" s="658"/>
      <c r="AR73" s="658"/>
      <c r="AS73" s="658"/>
      <c r="AT73" s="658"/>
      <c r="AU73" s="658"/>
      <c r="AV73" s="658"/>
    </row>
    <row r="74" spans="1:48">
      <c r="D74" s="88" t="str">
        <f>"personal property not used in a trade or business."</f>
        <v>personal property not used in a trade or business.</v>
      </c>
      <c r="AA74" s="658"/>
      <c r="AB74" s="658"/>
      <c r="AC74" s="658"/>
      <c r="AD74" s="658"/>
      <c r="AE74" s="658"/>
      <c r="AF74" s="658"/>
      <c r="AG74" s="658"/>
      <c r="AH74" s="658"/>
      <c r="AI74" s="658"/>
      <c r="AJ74" s="658"/>
      <c r="AK74" s="658"/>
      <c r="AL74" s="658"/>
      <c r="AN74" s="670"/>
      <c r="AO74" s="670"/>
      <c r="AP74" s="658"/>
      <c r="AQ74" s="658"/>
      <c r="AR74" s="658"/>
      <c r="AS74" s="658"/>
      <c r="AT74" s="658"/>
      <c r="AU74" s="658"/>
      <c r="AV74" s="658"/>
    </row>
    <row r="75" spans="1:48">
      <c r="C75" s="228" t="s">
        <v>1235</v>
      </c>
      <c r="AA75" s="658"/>
      <c r="AB75" s="658"/>
      <c r="AC75" s="658"/>
      <c r="AD75" s="658"/>
      <c r="AE75" s="658"/>
      <c r="AF75" s="658"/>
      <c r="AG75" s="658"/>
      <c r="AH75" s="658"/>
      <c r="AI75" s="658"/>
      <c r="AJ75" s="658"/>
      <c r="AK75" s="658"/>
      <c r="AL75" s="658"/>
      <c r="AN75" s="670"/>
      <c r="AO75" s="670"/>
      <c r="AP75" s="658"/>
      <c r="AQ75" s="658"/>
      <c r="AR75" s="658"/>
      <c r="AS75" s="658"/>
      <c r="AT75" s="658"/>
      <c r="AU75" s="658"/>
      <c r="AV75" s="658"/>
    </row>
    <row r="76" spans="1:48" ht="15.75">
      <c r="A76" s="2668" t="s">
        <v>916</v>
      </c>
      <c r="B76" s="325"/>
      <c r="C76" s="2643" t="s">
        <v>1554</v>
      </c>
      <c r="D76" s="1560" t="s">
        <v>1584</v>
      </c>
      <c r="AA76" s="658"/>
      <c r="AB76" s="658"/>
      <c r="AC76" s="658"/>
      <c r="AD76" s="658"/>
      <c r="AE76" s="658"/>
      <c r="AF76" s="658"/>
      <c r="AG76" s="658"/>
      <c r="AH76" s="658"/>
      <c r="AI76" s="658"/>
      <c r="AJ76" s="658"/>
      <c r="AK76" s="658"/>
      <c r="AL76" s="658"/>
      <c r="AN76" s="670"/>
      <c r="AO76" s="670"/>
      <c r="AP76" s="658"/>
      <c r="AQ76" s="658"/>
      <c r="AR76" s="658"/>
      <c r="AS76" s="658"/>
      <c r="AT76" s="658"/>
      <c r="AU76" s="658"/>
      <c r="AV76" s="658"/>
    </row>
    <row r="77" spans="1:48">
      <c r="D77" s="1560" t="s">
        <v>1585</v>
      </c>
      <c r="AA77" s="658"/>
      <c r="AB77" s="658"/>
      <c r="AC77" s="658"/>
      <c r="AD77" s="658"/>
      <c r="AE77" s="658"/>
      <c r="AF77" s="658"/>
      <c r="AG77" s="658"/>
      <c r="AH77" s="658"/>
      <c r="AI77" s="658"/>
      <c r="AJ77" s="658"/>
      <c r="AK77" s="658"/>
      <c r="AL77" s="658"/>
      <c r="AN77" s="670"/>
      <c r="AO77" s="670"/>
      <c r="AP77" s="658"/>
      <c r="AQ77" s="658"/>
      <c r="AR77" s="658"/>
      <c r="AS77" s="658"/>
      <c r="AT77" s="658"/>
      <c r="AU77" s="658"/>
      <c r="AV77" s="658"/>
    </row>
    <row r="78" spans="1:48">
      <c r="C78" s="228" t="s">
        <v>1235</v>
      </c>
      <c r="AA78" s="658"/>
      <c r="AB78" s="658"/>
      <c r="AC78" s="658"/>
      <c r="AD78" s="658"/>
      <c r="AE78" s="658"/>
      <c r="AF78" s="658"/>
      <c r="AG78" s="658"/>
      <c r="AH78" s="658"/>
      <c r="AI78" s="658"/>
      <c r="AJ78" s="658"/>
      <c r="AK78" s="658"/>
      <c r="AL78" s="658"/>
      <c r="AN78" s="670"/>
      <c r="AO78" s="670"/>
      <c r="AP78" s="658"/>
      <c r="AQ78" s="658"/>
      <c r="AR78" s="658"/>
      <c r="AS78" s="658"/>
      <c r="AT78" s="658"/>
      <c r="AU78" s="658"/>
      <c r="AV78" s="658"/>
    </row>
    <row r="79" spans="1:48" ht="15.75">
      <c r="A79" s="2668" t="s">
        <v>916</v>
      </c>
      <c r="B79" s="325"/>
      <c r="C79" s="2643" t="s">
        <v>1554</v>
      </c>
      <c r="D79" s="1560" t="s">
        <v>1586</v>
      </c>
      <c r="AA79" s="658"/>
      <c r="AB79" s="658"/>
      <c r="AC79" s="658"/>
      <c r="AD79" s="658"/>
      <c r="AE79" s="658"/>
      <c r="AF79" s="658"/>
      <c r="AG79" s="658"/>
      <c r="AH79" s="658"/>
      <c r="AI79" s="658"/>
      <c r="AJ79" s="658"/>
      <c r="AK79" s="658"/>
      <c r="AL79" s="658"/>
      <c r="AN79" s="670"/>
      <c r="AO79" s="670"/>
      <c r="AP79" s="658"/>
      <c r="AQ79" s="658"/>
      <c r="AR79" s="658"/>
      <c r="AS79" s="658"/>
      <c r="AT79" s="658"/>
      <c r="AU79" s="658"/>
      <c r="AV79" s="658"/>
    </row>
    <row r="80" spans="1:48">
      <c r="AA80" s="658"/>
      <c r="AB80" s="658"/>
      <c r="AC80" s="658"/>
      <c r="AD80" s="658"/>
      <c r="AE80" s="658"/>
      <c r="AF80" s="658"/>
      <c r="AG80" s="658"/>
      <c r="AH80" s="658"/>
      <c r="AI80" s="658"/>
      <c r="AJ80" s="658"/>
      <c r="AK80" s="658"/>
      <c r="AL80" s="658"/>
      <c r="AN80" s="670"/>
      <c r="AO80" s="670"/>
      <c r="AP80" s="658"/>
      <c r="AQ80" s="658"/>
      <c r="AR80" s="658"/>
      <c r="AS80" s="658"/>
      <c r="AT80" s="658"/>
      <c r="AU80" s="658"/>
      <c r="AV80" s="658"/>
    </row>
    <row r="81" spans="1:48" ht="15.75">
      <c r="A81" s="441" t="b">
        <f>B81&lt;&gt;""</f>
        <v>0</v>
      </c>
      <c r="B81" s="2658" t="str">
        <f>IF(N67,"",IF(OR(B71&lt;&gt;"",B73&lt;&gt;"",B76&lt;&gt;"",B79&lt;&gt;""),"X",""))</f>
        <v/>
      </c>
      <c r="D81" s="1560" t="s">
        <v>1587</v>
      </c>
      <c r="G81" s="2668" t="s">
        <v>916</v>
      </c>
      <c r="H81" s="2653" t="str">
        <f>IF(NOT(A81),"X","")</f>
        <v>X</v>
      </c>
      <c r="J81" s="1560" t="s">
        <v>4932</v>
      </c>
      <c r="N81" s="441" t="b">
        <f>AND(N60,NOT(A81))</f>
        <v>0</v>
      </c>
      <c r="AA81" s="658"/>
      <c r="AB81" s="658"/>
      <c r="AC81" s="658"/>
      <c r="AD81" s="658"/>
      <c r="AE81" s="658"/>
      <c r="AF81" s="658"/>
      <c r="AG81" s="658"/>
      <c r="AH81" s="658"/>
      <c r="AI81" s="658"/>
      <c r="AJ81" s="658"/>
      <c r="AK81" s="658"/>
      <c r="AL81" s="658"/>
      <c r="AN81" s="670"/>
      <c r="AO81" s="670"/>
      <c r="AP81" s="658"/>
      <c r="AQ81" s="658"/>
      <c r="AR81" s="658"/>
      <c r="AS81" s="658"/>
      <c r="AT81" s="658"/>
      <c r="AU81" s="658"/>
      <c r="AV81" s="658"/>
    </row>
    <row r="82" spans="1:48">
      <c r="D82" s="1560" t="s">
        <v>1588</v>
      </c>
      <c r="H82" s="228"/>
      <c r="AA82" s="658"/>
      <c r="AB82" s="658"/>
      <c r="AC82" s="658"/>
      <c r="AD82" s="658"/>
      <c r="AE82" s="658"/>
      <c r="AF82" s="658"/>
      <c r="AG82" s="658"/>
      <c r="AH82" s="658"/>
      <c r="AI82" s="658"/>
      <c r="AJ82" s="658"/>
      <c r="AK82" s="658"/>
      <c r="AL82" s="658"/>
      <c r="AN82" s="670"/>
      <c r="AO82" s="670"/>
      <c r="AP82" s="658"/>
      <c r="AQ82" s="658"/>
      <c r="AR82" s="658"/>
      <c r="AS82" s="658"/>
      <c r="AT82" s="658"/>
      <c r="AU82" s="658"/>
      <c r="AV82" s="658"/>
    </row>
    <row r="83" spans="1:48" ht="15.75">
      <c r="D83" s="1560" t="s">
        <v>1589</v>
      </c>
      <c r="G83" s="2668" t="s">
        <v>916</v>
      </c>
      <c r="H83" s="423"/>
      <c r="J83" s="2667" t="str">
        <f>IF(H83&lt;&gt;"","Go to Step 3.","Check here if you can take the credit.")</f>
        <v>Check here if you can take the credit.</v>
      </c>
      <c r="AA83" s="658"/>
      <c r="AB83" s="658"/>
      <c r="AC83" s="658"/>
      <c r="AD83" s="658"/>
      <c r="AE83" s="658"/>
      <c r="AF83" s="658"/>
      <c r="AG83" s="658"/>
      <c r="AH83" s="658"/>
      <c r="AI83" s="658"/>
      <c r="AJ83" s="658"/>
      <c r="AK83" s="658"/>
      <c r="AL83" s="658"/>
      <c r="AN83" s="670"/>
      <c r="AO83" s="670"/>
      <c r="AP83" s="658"/>
      <c r="AQ83" s="658"/>
      <c r="AR83" s="658"/>
      <c r="AS83" s="658"/>
      <c r="AT83" s="658"/>
      <c r="AU83" s="658"/>
      <c r="AV83" s="658"/>
    </row>
    <row r="84" spans="1:48">
      <c r="AA84" s="658"/>
      <c r="AB84" s="658"/>
      <c r="AC84" s="658"/>
      <c r="AD84" s="658"/>
      <c r="AE84" s="658"/>
      <c r="AF84" s="658"/>
      <c r="AG84" s="658"/>
      <c r="AH84" s="658"/>
      <c r="AI84" s="658"/>
      <c r="AJ84" s="658"/>
      <c r="AK84" s="658"/>
      <c r="AL84" s="658"/>
      <c r="AN84" s="670"/>
      <c r="AO84" s="670"/>
      <c r="AP84" s="658"/>
      <c r="AQ84" s="658"/>
      <c r="AR84" s="658"/>
      <c r="AS84" s="658"/>
      <c r="AT84" s="658"/>
      <c r="AU84" s="658"/>
      <c r="AV84" s="658"/>
    </row>
    <row r="85" spans="1:48" s="2659" customFormat="1">
      <c r="B85" s="2660"/>
      <c r="N85" s="2661"/>
      <c r="AA85" s="671"/>
      <c r="AB85" s="671"/>
      <c r="AC85" s="671"/>
      <c r="AD85" s="671"/>
      <c r="AE85" s="671"/>
      <c r="AF85" s="671"/>
      <c r="AG85" s="671"/>
      <c r="AH85" s="671"/>
      <c r="AI85" s="671"/>
      <c r="AJ85" s="671"/>
      <c r="AK85" s="671"/>
      <c r="AL85" s="671"/>
      <c r="AN85" s="672"/>
      <c r="AO85" s="672"/>
      <c r="AP85" s="671"/>
      <c r="AQ85" s="671"/>
      <c r="AR85" s="671"/>
      <c r="AS85" s="671"/>
      <c r="AT85" s="671"/>
      <c r="AU85" s="671"/>
      <c r="AV85" s="671"/>
    </row>
    <row r="86" spans="1:48" s="2445" customFormat="1" ht="15.75">
      <c r="A86" s="2646" t="s">
        <v>1590</v>
      </c>
      <c r="B86" s="2647" t="s">
        <v>1591</v>
      </c>
      <c r="C86" s="2642"/>
      <c r="F86" s="2669" t="s">
        <v>1592</v>
      </c>
      <c r="N86" s="2662"/>
      <c r="AA86" s="668"/>
      <c r="AB86" s="668"/>
      <c r="AC86" s="668"/>
      <c r="AD86" s="668"/>
      <c r="AE86" s="668"/>
      <c r="AF86" s="668"/>
      <c r="AG86" s="668"/>
      <c r="AH86" s="668"/>
      <c r="AI86" s="668"/>
      <c r="AJ86" s="668"/>
      <c r="AK86" s="668"/>
      <c r="AL86" s="668"/>
      <c r="AN86" s="669"/>
      <c r="AO86" s="669"/>
      <c r="AP86" s="668"/>
      <c r="AQ86" s="668"/>
      <c r="AR86" s="668"/>
      <c r="AS86" s="668"/>
      <c r="AT86" s="668"/>
      <c r="AU86" s="668"/>
      <c r="AV86" s="668"/>
    </row>
    <row r="87" spans="1:48">
      <c r="A87" s="2502"/>
      <c r="C87" s="2502"/>
      <c r="AA87" s="658"/>
      <c r="AB87" s="658"/>
      <c r="AC87" s="658"/>
      <c r="AD87" s="658"/>
      <c r="AE87" s="658"/>
      <c r="AF87" s="658"/>
      <c r="AG87" s="658"/>
      <c r="AH87" s="658"/>
      <c r="AI87" s="658"/>
      <c r="AJ87" s="658"/>
      <c r="AK87" s="658"/>
      <c r="AL87" s="658"/>
      <c r="AN87" s="670"/>
      <c r="AO87" s="670"/>
      <c r="AP87" s="658"/>
      <c r="AQ87" s="658"/>
      <c r="AR87" s="658"/>
      <c r="AS87" s="658"/>
      <c r="AT87" s="658"/>
      <c r="AU87" s="658"/>
      <c r="AV87" s="658"/>
    </row>
    <row r="88" spans="1:48">
      <c r="B88" s="226" t="s">
        <v>1593</v>
      </c>
      <c r="C88" s="2648"/>
      <c r="D88" s="226"/>
      <c r="AA88" s="658"/>
      <c r="AB88" s="658"/>
      <c r="AC88" s="658"/>
      <c r="AD88" s="658"/>
      <c r="AE88" s="658"/>
      <c r="AF88" s="658"/>
      <c r="AG88" s="658"/>
      <c r="AH88" s="658"/>
      <c r="AI88" s="658"/>
      <c r="AJ88" s="658"/>
      <c r="AK88" s="658"/>
      <c r="AL88" s="658"/>
      <c r="AN88" s="670"/>
      <c r="AO88" s="670"/>
      <c r="AP88" s="658"/>
      <c r="AQ88" s="658"/>
      <c r="AR88" s="658"/>
      <c r="AS88" s="658"/>
      <c r="AT88" s="658"/>
      <c r="AU88" s="658"/>
      <c r="AV88" s="658"/>
    </row>
    <row r="89" spans="1:48">
      <c r="C89" s="2648"/>
      <c r="AA89" s="658"/>
      <c r="AB89" s="658"/>
      <c r="AC89" s="658"/>
      <c r="AD89" s="658"/>
      <c r="AE89" s="658"/>
      <c r="AF89" s="658"/>
      <c r="AG89" s="658"/>
      <c r="AH89" s="658"/>
      <c r="AI89" s="658"/>
      <c r="AJ89" s="658"/>
      <c r="AK89" s="658"/>
      <c r="AL89" s="658"/>
      <c r="AN89" s="670"/>
      <c r="AO89" s="670"/>
      <c r="AP89" s="658"/>
      <c r="AQ89" s="658"/>
      <c r="AR89" s="658"/>
      <c r="AS89" s="658"/>
      <c r="AT89" s="658"/>
      <c r="AU89" s="658"/>
      <c r="AV89" s="658"/>
    </row>
    <row r="90" spans="1:48" ht="13.5" thickBot="1">
      <c r="C90" s="2643" t="s">
        <v>1554</v>
      </c>
      <c r="D90" s="1560" t="s">
        <v>1594</v>
      </c>
      <c r="M90" s="2670" t="s">
        <v>1595</v>
      </c>
      <c r="AA90" s="658"/>
      <c r="AB90" s="658"/>
      <c r="AC90" s="658"/>
      <c r="AD90" s="658"/>
      <c r="AE90" s="658"/>
      <c r="AF90" s="658"/>
      <c r="AG90" s="658"/>
      <c r="AH90" s="658"/>
      <c r="AI90" s="658"/>
      <c r="AJ90" s="658"/>
      <c r="AK90" s="658"/>
      <c r="AL90" s="658"/>
      <c r="AN90" s="670"/>
      <c r="AO90" s="670"/>
      <c r="AP90" s="658"/>
      <c r="AQ90" s="658"/>
      <c r="AR90" s="658"/>
      <c r="AS90" s="658"/>
      <c r="AT90" s="658"/>
      <c r="AU90" s="658"/>
      <c r="AV90" s="658"/>
    </row>
    <row r="91" spans="1:48" ht="12.75" customHeight="1">
      <c r="D91" s="1560" t="s">
        <v>1596</v>
      </c>
      <c r="M91" s="8001" t="s">
        <v>1597</v>
      </c>
      <c r="N91" s="8002"/>
      <c r="O91" s="8002"/>
      <c r="P91" s="8002"/>
      <c r="Q91" s="8002"/>
      <c r="R91" s="8002"/>
      <c r="S91" s="8002"/>
      <c r="T91" s="8002"/>
      <c r="U91" s="8002"/>
      <c r="V91" s="8002"/>
      <c r="W91" s="8002"/>
      <c r="X91" s="8002"/>
      <c r="Y91" s="8003"/>
      <c r="Z91" s="1939"/>
      <c r="AA91" s="658"/>
      <c r="AB91" s="658"/>
      <c r="AC91" s="658"/>
      <c r="AD91" s="658"/>
      <c r="AE91" s="658"/>
      <c r="AF91" s="658"/>
      <c r="AG91" s="658"/>
      <c r="AH91" s="658"/>
      <c r="AI91" s="658"/>
      <c r="AJ91" s="658"/>
      <c r="AK91" s="658"/>
      <c r="AL91" s="658"/>
      <c r="AN91" s="670"/>
      <c r="AO91" s="670"/>
      <c r="AP91" s="658"/>
      <c r="AQ91" s="658"/>
      <c r="AR91" s="658"/>
      <c r="AS91" s="658"/>
      <c r="AT91" s="658"/>
      <c r="AU91" s="658"/>
      <c r="AV91" s="658"/>
    </row>
    <row r="92" spans="1:48">
      <c r="D92" s="88" t="s">
        <v>1598</v>
      </c>
      <c r="M92" s="8004"/>
      <c r="N92" s="8005"/>
      <c r="O92" s="8005"/>
      <c r="P92" s="8005"/>
      <c r="Q92" s="8005"/>
      <c r="R92" s="8005"/>
      <c r="S92" s="8005"/>
      <c r="T92" s="8005"/>
      <c r="U92" s="8005"/>
      <c r="V92" s="8005"/>
      <c r="W92" s="8005"/>
      <c r="X92" s="8005"/>
      <c r="Y92" s="8006"/>
      <c r="Z92" s="1939"/>
      <c r="AA92" s="658"/>
      <c r="AB92" s="658"/>
      <c r="AC92" s="658"/>
      <c r="AD92" s="658"/>
      <c r="AE92" s="658"/>
      <c r="AF92" s="658"/>
      <c r="AG92" s="658"/>
      <c r="AH92" s="658"/>
      <c r="AI92" s="658"/>
      <c r="AJ92" s="658"/>
      <c r="AK92" s="658"/>
      <c r="AL92" s="658"/>
      <c r="AN92" s="670"/>
      <c r="AO92" s="670"/>
      <c r="AP92" s="658"/>
      <c r="AQ92" s="658"/>
      <c r="AR92" s="658"/>
      <c r="AS92" s="658"/>
      <c r="AT92" s="658"/>
      <c r="AU92" s="658"/>
      <c r="AV92" s="658"/>
    </row>
    <row r="93" spans="1:48">
      <c r="C93" s="226" t="s">
        <v>1599</v>
      </c>
      <c r="M93" s="8004"/>
      <c r="N93" s="8005"/>
      <c r="O93" s="8005"/>
      <c r="P93" s="8005"/>
      <c r="Q93" s="8005"/>
      <c r="R93" s="8005"/>
      <c r="S93" s="8005"/>
      <c r="T93" s="8005"/>
      <c r="U93" s="8005"/>
      <c r="V93" s="8005"/>
      <c r="W93" s="8005"/>
      <c r="X93" s="8005"/>
      <c r="Y93" s="8006"/>
      <c r="Z93" s="1939"/>
      <c r="AA93" s="658"/>
      <c r="AB93" s="658"/>
      <c r="AC93" s="658"/>
      <c r="AD93" s="658"/>
      <c r="AE93" s="658"/>
      <c r="AF93" s="658"/>
      <c r="AG93" s="658"/>
      <c r="AH93" s="658"/>
      <c r="AI93" s="658"/>
      <c r="AJ93" s="658"/>
      <c r="AK93" s="658"/>
      <c r="AL93" s="658"/>
      <c r="AN93" s="670"/>
      <c r="AO93" s="670"/>
      <c r="AP93" s="658"/>
      <c r="AQ93" s="658"/>
      <c r="AR93" s="658"/>
      <c r="AS93" s="658"/>
      <c r="AT93" s="658"/>
      <c r="AU93" s="658"/>
      <c r="AV93" s="658"/>
    </row>
    <row r="94" spans="1:48">
      <c r="C94" s="226"/>
      <c r="D94" s="1560" t="s">
        <v>1600</v>
      </c>
      <c r="M94" s="8004"/>
      <c r="N94" s="8005"/>
      <c r="O94" s="8005"/>
      <c r="P94" s="8005"/>
      <c r="Q94" s="8005"/>
      <c r="R94" s="8005"/>
      <c r="S94" s="8005"/>
      <c r="T94" s="8005"/>
      <c r="U94" s="8005"/>
      <c r="V94" s="8005"/>
      <c r="W94" s="8005"/>
      <c r="X94" s="8005"/>
      <c r="Y94" s="8006"/>
      <c r="Z94" s="1939"/>
      <c r="AA94" s="658"/>
      <c r="AB94" s="658"/>
      <c r="AC94" s="658"/>
      <c r="AD94" s="658"/>
      <c r="AE94" s="658"/>
      <c r="AF94" s="658"/>
      <c r="AG94" s="658"/>
      <c r="AH94" s="658"/>
      <c r="AI94" s="658"/>
      <c r="AJ94" s="658"/>
      <c r="AK94" s="658"/>
      <c r="AL94" s="658"/>
      <c r="AN94" s="670"/>
      <c r="AO94" s="670"/>
      <c r="AP94" s="658"/>
      <c r="AQ94" s="658"/>
      <c r="AR94" s="658"/>
      <c r="AS94" s="658"/>
      <c r="AT94" s="658"/>
      <c r="AU94" s="658"/>
      <c r="AV94" s="658"/>
    </row>
    <row r="95" spans="1:48">
      <c r="C95" s="2643" t="s">
        <v>1554</v>
      </c>
      <c r="D95" s="88" t="str">
        <f>"Under age 19 at the end of "&amp;TaxYear&amp;" and younger than you (or your spouse, if filing jointly)"</f>
        <v>Under age 19 at the end of 2025 and younger than you (or your spouse, if filing jointly)</v>
      </c>
      <c r="M95" s="8004"/>
      <c r="N95" s="8005"/>
      <c r="O95" s="8005"/>
      <c r="P95" s="8005"/>
      <c r="Q95" s="8005"/>
      <c r="R95" s="8005"/>
      <c r="S95" s="8005"/>
      <c r="T95" s="8005"/>
      <c r="U95" s="8005"/>
      <c r="V95" s="8005"/>
      <c r="W95" s="8005"/>
      <c r="X95" s="8005"/>
      <c r="Y95" s="8006"/>
      <c r="Z95" s="1939"/>
      <c r="AA95" s="658"/>
      <c r="AB95" s="658"/>
      <c r="AC95" s="658"/>
      <c r="AD95" s="658"/>
      <c r="AE95" s="658"/>
      <c r="AF95" s="658"/>
      <c r="AG95" s="658"/>
      <c r="AH95" s="658"/>
      <c r="AI95" s="658"/>
      <c r="AJ95" s="658"/>
      <c r="AK95" s="658"/>
      <c r="AL95" s="658"/>
      <c r="AN95" s="670"/>
      <c r="AO95" s="670"/>
      <c r="AP95" s="658"/>
      <c r="AQ95" s="658"/>
      <c r="AR95" s="658"/>
      <c r="AS95" s="658"/>
      <c r="AT95" s="658"/>
      <c r="AU95" s="658"/>
      <c r="AV95" s="658"/>
    </row>
    <row r="96" spans="1:48" ht="13.5" thickBot="1">
      <c r="C96" s="2643"/>
      <c r="D96" s="1560" t="s">
        <v>1235</v>
      </c>
      <c r="M96" s="8007"/>
      <c r="N96" s="8008"/>
      <c r="O96" s="8008"/>
      <c r="P96" s="8008"/>
      <c r="Q96" s="8008"/>
      <c r="R96" s="8008"/>
      <c r="S96" s="8008"/>
      <c r="T96" s="8008"/>
      <c r="U96" s="8008"/>
      <c r="V96" s="8008"/>
      <c r="W96" s="8008"/>
      <c r="X96" s="8008"/>
      <c r="Y96" s="8009"/>
      <c r="AA96" s="658"/>
      <c r="AB96" s="658"/>
      <c r="AC96" s="658"/>
      <c r="AD96" s="658"/>
      <c r="AE96" s="658"/>
      <c r="AF96" s="658"/>
      <c r="AG96" s="658"/>
      <c r="AH96" s="658"/>
      <c r="AI96" s="658"/>
      <c r="AJ96" s="658"/>
      <c r="AK96" s="658"/>
      <c r="AL96" s="658"/>
      <c r="AN96" s="670"/>
      <c r="AO96" s="670"/>
      <c r="AP96" s="658"/>
      <c r="AQ96" s="658"/>
      <c r="AR96" s="658"/>
      <c r="AS96" s="658"/>
      <c r="AT96" s="658"/>
      <c r="AU96" s="658"/>
      <c r="AV96" s="658"/>
    </row>
    <row r="97" spans="2:48">
      <c r="C97" s="2643" t="s">
        <v>1554</v>
      </c>
      <c r="D97" s="88" t="str">
        <f>"Under age 24 at the end of "&amp;TaxYear&amp;" and a student (defined later) and younger than you"</f>
        <v>Under age 24 at the end of 2025 and a student (defined later) and younger than you</v>
      </c>
      <c r="AA97" s="658"/>
      <c r="AB97" s="658"/>
      <c r="AC97" s="658"/>
      <c r="AD97" s="658"/>
      <c r="AE97" s="658"/>
      <c r="AF97" s="658"/>
      <c r="AG97" s="658"/>
      <c r="AH97" s="658"/>
      <c r="AI97" s="658"/>
      <c r="AJ97" s="658"/>
      <c r="AK97" s="658"/>
      <c r="AL97" s="658"/>
      <c r="AN97" s="670"/>
      <c r="AO97" s="670"/>
      <c r="AP97" s="658"/>
      <c r="AQ97" s="658"/>
      <c r="AR97" s="658"/>
      <c r="AS97" s="658"/>
      <c r="AT97" s="658"/>
      <c r="AU97" s="658"/>
      <c r="AV97" s="658"/>
    </row>
    <row r="98" spans="2:48">
      <c r="C98" s="2643"/>
      <c r="D98" s="1560" t="s">
        <v>6485</v>
      </c>
      <c r="M98" s="2441"/>
      <c r="AA98" s="658"/>
      <c r="AB98" s="658"/>
      <c r="AC98" s="658"/>
      <c r="AD98" s="658"/>
      <c r="AE98" s="658"/>
      <c r="AF98" s="658"/>
      <c r="AG98" s="658"/>
      <c r="AH98" s="658"/>
      <c r="AI98" s="658"/>
      <c r="AJ98" s="658"/>
      <c r="AK98" s="658"/>
      <c r="AL98" s="658"/>
      <c r="AN98" s="670"/>
      <c r="AO98" s="670"/>
      <c r="AP98" s="658"/>
      <c r="AQ98" s="658"/>
      <c r="AR98" s="658"/>
      <c r="AS98" s="658"/>
      <c r="AT98" s="658"/>
      <c r="AU98" s="658"/>
      <c r="AV98" s="658"/>
    </row>
    <row r="99" spans="2:48" ht="13.5" thickBot="1">
      <c r="C99" s="2643"/>
      <c r="D99" s="1560" t="s">
        <v>6486</v>
      </c>
      <c r="M99" s="2670" t="s">
        <v>1601</v>
      </c>
      <c r="AA99" s="658"/>
      <c r="AB99" s="658"/>
      <c r="AC99" s="658"/>
      <c r="AD99" s="658"/>
      <c r="AE99" s="658"/>
      <c r="AF99" s="658"/>
      <c r="AG99" s="658"/>
      <c r="AH99" s="658"/>
      <c r="AI99" s="658"/>
      <c r="AJ99" s="658"/>
      <c r="AK99" s="658"/>
      <c r="AL99" s="658"/>
      <c r="AN99" s="670"/>
      <c r="AO99" s="670"/>
      <c r="AP99" s="658"/>
      <c r="AQ99" s="658"/>
      <c r="AR99" s="658"/>
      <c r="AS99" s="658"/>
      <c r="AT99" s="658"/>
      <c r="AU99" s="658"/>
      <c r="AV99" s="658"/>
    </row>
    <row r="100" spans="2:48" ht="12.75" customHeight="1">
      <c r="C100" s="2643"/>
      <c r="D100" s="1560" t="s">
        <v>1235</v>
      </c>
      <c r="M100" s="8001" t="str">
        <f>"If the child didn't live with you for more than half of "&amp;TaxYear&amp;" because of a temporary absence, birth, death, or kidnapping, see Exception to time lived with you, later."</f>
        <v>If the child didn't live with you for more than half of 2025 because of a temporary absence, birth, death, or kidnapping, see Exception to time lived with you, later.</v>
      </c>
      <c r="N100" s="8002"/>
      <c r="O100" s="8002"/>
      <c r="P100" s="8002"/>
      <c r="Q100" s="8002"/>
      <c r="R100" s="8002"/>
      <c r="S100" s="8002"/>
      <c r="T100" s="8002"/>
      <c r="U100" s="8002"/>
      <c r="V100" s="8002"/>
      <c r="W100" s="8002"/>
      <c r="X100" s="8002"/>
      <c r="Y100" s="8003"/>
      <c r="AA100" s="658"/>
      <c r="AB100" s="658"/>
      <c r="AC100" s="658"/>
      <c r="AD100" s="658"/>
      <c r="AE100" s="658"/>
      <c r="AF100" s="658"/>
      <c r="AG100" s="658"/>
      <c r="AH100" s="658"/>
      <c r="AI100" s="658"/>
      <c r="AJ100" s="658"/>
      <c r="AK100" s="658"/>
      <c r="AL100" s="658"/>
      <c r="AN100" s="670"/>
      <c r="AO100" s="670"/>
      <c r="AP100" s="658"/>
      <c r="AQ100" s="658"/>
      <c r="AR100" s="658"/>
      <c r="AS100" s="658"/>
      <c r="AT100" s="658"/>
      <c r="AU100" s="658"/>
      <c r="AV100" s="658"/>
    </row>
    <row r="101" spans="2:48">
      <c r="C101" s="2643" t="s">
        <v>1554</v>
      </c>
      <c r="D101" s="1560" t="s">
        <v>6487</v>
      </c>
      <c r="M101" s="8004"/>
      <c r="N101" s="8005"/>
      <c r="O101" s="8005"/>
      <c r="P101" s="8005"/>
      <c r="Q101" s="8005"/>
      <c r="R101" s="8005"/>
      <c r="S101" s="8005"/>
      <c r="T101" s="8005"/>
      <c r="U101" s="8005"/>
      <c r="V101" s="8005"/>
      <c r="W101" s="8005"/>
      <c r="X101" s="8005"/>
      <c r="Y101" s="8006"/>
      <c r="AA101" s="658"/>
      <c r="AB101" s="658"/>
      <c r="AC101" s="658"/>
      <c r="AD101" s="658"/>
      <c r="AE101" s="658"/>
      <c r="AF101" s="658"/>
      <c r="AG101" s="658"/>
      <c r="AH101" s="658"/>
      <c r="AI101" s="658"/>
      <c r="AJ101" s="658"/>
      <c r="AK101" s="658"/>
      <c r="AL101" s="658"/>
      <c r="AN101" s="670"/>
      <c r="AO101" s="670"/>
      <c r="AP101" s="658"/>
      <c r="AQ101" s="658"/>
      <c r="AR101" s="658"/>
      <c r="AS101" s="658"/>
      <c r="AT101" s="658"/>
      <c r="AU101" s="658"/>
      <c r="AV101" s="658"/>
    </row>
    <row r="102" spans="2:48" ht="13.5" thickBot="1">
      <c r="C102" s="2643"/>
      <c r="D102" s="1560" t="s">
        <v>6488</v>
      </c>
      <c r="M102" s="8007"/>
      <c r="N102" s="8008"/>
      <c r="O102" s="8008"/>
      <c r="P102" s="8008"/>
      <c r="Q102" s="8008"/>
      <c r="R102" s="8008"/>
      <c r="S102" s="8008"/>
      <c r="T102" s="8008"/>
      <c r="U102" s="8008"/>
      <c r="V102" s="8008"/>
      <c r="W102" s="8008"/>
      <c r="X102" s="8008"/>
      <c r="Y102" s="8009"/>
      <c r="AA102" s="658"/>
      <c r="AB102" s="658"/>
      <c r="AC102" s="658"/>
      <c r="AD102" s="658"/>
      <c r="AE102" s="658"/>
      <c r="AF102" s="658"/>
      <c r="AG102" s="658"/>
      <c r="AH102" s="658"/>
      <c r="AI102" s="658"/>
      <c r="AJ102" s="658"/>
      <c r="AK102" s="658"/>
      <c r="AL102" s="658"/>
      <c r="AN102" s="670"/>
      <c r="AO102" s="670"/>
      <c r="AP102" s="658"/>
      <c r="AQ102" s="658"/>
      <c r="AR102" s="658"/>
      <c r="AS102" s="658"/>
      <c r="AT102" s="658"/>
      <c r="AU102" s="658"/>
      <c r="AV102" s="658"/>
    </row>
    <row r="103" spans="2:48">
      <c r="C103" s="2643"/>
      <c r="D103" s="1560" t="s">
        <v>6489</v>
      </c>
      <c r="M103" s="1939"/>
      <c r="N103" s="1939"/>
      <c r="O103" s="1939"/>
      <c r="P103" s="1939"/>
      <c r="Q103" s="1939"/>
      <c r="R103" s="1939"/>
      <c r="S103" s="1939"/>
      <c r="T103" s="1939"/>
      <c r="U103" s="1939"/>
      <c r="V103" s="1939"/>
      <c r="W103" s="1939"/>
      <c r="X103" s="1939"/>
      <c r="Y103" s="1939"/>
      <c r="AA103" s="658"/>
      <c r="AB103" s="658"/>
      <c r="AC103" s="658"/>
      <c r="AD103" s="658"/>
      <c r="AE103" s="658"/>
      <c r="AF103" s="658"/>
      <c r="AG103" s="658"/>
      <c r="AH103" s="658"/>
      <c r="AI103" s="658"/>
      <c r="AJ103" s="658"/>
      <c r="AK103" s="658"/>
      <c r="AL103" s="658"/>
      <c r="AN103" s="670"/>
      <c r="AO103" s="670"/>
      <c r="AP103" s="658"/>
      <c r="AQ103" s="658"/>
      <c r="AR103" s="658"/>
      <c r="AS103" s="658"/>
      <c r="AT103" s="658"/>
      <c r="AU103" s="658"/>
      <c r="AV103" s="658"/>
    </row>
    <row r="104" spans="2:48" ht="13.5" thickBot="1">
      <c r="C104" s="226" t="s">
        <v>1599</v>
      </c>
      <c r="M104" s="2670" t="s">
        <v>1595</v>
      </c>
      <c r="N104" s="2497"/>
      <c r="O104" s="2497"/>
      <c r="P104" s="2497"/>
      <c r="Q104" s="2497"/>
      <c r="R104" s="2497"/>
      <c r="S104" s="2497"/>
      <c r="T104" s="2497"/>
      <c r="U104" s="2497"/>
      <c r="V104" s="2497"/>
      <c r="W104" s="2497"/>
      <c r="X104" s="2497"/>
      <c r="Y104" s="2497"/>
      <c r="AA104" s="658"/>
      <c r="AB104" s="658"/>
      <c r="AC104" s="658"/>
      <c r="AD104" s="658"/>
      <c r="AE104" s="658"/>
      <c r="AF104" s="658"/>
      <c r="AG104" s="658"/>
      <c r="AH104" s="658"/>
      <c r="AI104" s="658"/>
      <c r="AJ104" s="658"/>
      <c r="AK104" s="658"/>
      <c r="AL104" s="658"/>
      <c r="AN104" s="670"/>
      <c r="AO104" s="670"/>
      <c r="AP104" s="658"/>
      <c r="AQ104" s="658"/>
      <c r="AR104" s="658"/>
      <c r="AS104" s="658"/>
      <c r="AT104" s="658"/>
      <c r="AU104" s="658"/>
      <c r="AV104" s="658"/>
    </row>
    <row r="105" spans="2:48">
      <c r="C105" s="2643"/>
      <c r="D105" s="88" t="str">
        <f>"Who isn't filing a joint return for "&amp;TaxYear</f>
        <v>Who isn't filing a joint return for 2025</v>
      </c>
      <c r="M105" s="8001" t="str">
        <f>"If the child meets the conditions to be a qualifying child of any other person (other than your spouse if filing a joint return) for "&amp;TaxYear&amp;", see Qualifying child of more than one person, later. If the child was married, see Married child, later."</f>
        <v>If the child meets the conditions to be a qualifying child of any other person (other than your spouse if filing a joint return) for 2025, see Qualifying child of more than one person, later. If the child was married, see Married child, later.</v>
      </c>
      <c r="N105" s="8002"/>
      <c r="O105" s="8002"/>
      <c r="P105" s="8002"/>
      <c r="Q105" s="8002"/>
      <c r="R105" s="8002"/>
      <c r="S105" s="8002"/>
      <c r="T105" s="8002"/>
      <c r="U105" s="8002"/>
      <c r="V105" s="8002"/>
      <c r="W105" s="8002"/>
      <c r="X105" s="8002"/>
      <c r="Y105" s="8003"/>
      <c r="Z105" s="2497"/>
      <c r="AA105" s="658"/>
      <c r="AB105" s="658"/>
      <c r="AC105" s="658"/>
      <c r="AD105" s="658"/>
      <c r="AE105" s="658"/>
      <c r="AF105" s="658"/>
      <c r="AG105" s="658"/>
      <c r="AH105" s="658"/>
      <c r="AI105" s="658"/>
      <c r="AJ105" s="658"/>
      <c r="AK105" s="658"/>
      <c r="AL105" s="658"/>
      <c r="AN105" s="670"/>
      <c r="AO105" s="670"/>
      <c r="AP105" s="658"/>
      <c r="AQ105" s="658"/>
      <c r="AR105" s="658"/>
      <c r="AS105" s="658"/>
      <c r="AT105" s="658"/>
      <c r="AU105" s="658"/>
      <c r="AV105" s="658"/>
    </row>
    <row r="106" spans="2:48">
      <c r="C106" s="2643"/>
      <c r="D106" s="88" t="str">
        <f>"or is filing a joint return for "&amp;TaxYear&amp;" only to claim a refund of withheld income tax or"</f>
        <v>or is filing a joint return for 2025 only to claim a refund of withheld income tax or</v>
      </c>
      <c r="M106" s="8004"/>
      <c r="N106" s="8005"/>
      <c r="O106" s="8005"/>
      <c r="P106" s="8005"/>
      <c r="Q106" s="8005"/>
      <c r="R106" s="8005"/>
      <c r="S106" s="8005"/>
      <c r="T106" s="8005"/>
      <c r="U106" s="8005"/>
      <c r="V106" s="8005"/>
      <c r="W106" s="8005"/>
      <c r="X106" s="8005"/>
      <c r="Y106" s="8006"/>
      <c r="Z106" s="2497"/>
      <c r="AA106" s="658"/>
      <c r="AB106" s="658"/>
      <c r="AC106" s="658"/>
      <c r="AD106" s="658"/>
      <c r="AE106" s="658"/>
      <c r="AF106" s="658"/>
      <c r="AG106" s="658"/>
      <c r="AH106" s="658"/>
      <c r="AI106" s="658"/>
      <c r="AJ106" s="658"/>
      <c r="AK106" s="658"/>
      <c r="AL106" s="658"/>
      <c r="AN106" s="670"/>
      <c r="AO106" s="670"/>
      <c r="AP106" s="658"/>
      <c r="AQ106" s="658"/>
      <c r="AR106" s="658"/>
      <c r="AS106" s="658"/>
      <c r="AT106" s="658"/>
      <c r="AU106" s="658"/>
      <c r="AV106" s="658"/>
    </row>
    <row r="107" spans="2:48" ht="12.75" customHeight="1">
      <c r="C107" s="2643"/>
      <c r="D107" s="1560" t="s">
        <v>1602</v>
      </c>
      <c r="M107" s="8004"/>
      <c r="N107" s="8005"/>
      <c r="O107" s="8005"/>
      <c r="P107" s="8005"/>
      <c r="Q107" s="8005"/>
      <c r="R107" s="8005"/>
      <c r="S107" s="8005"/>
      <c r="T107" s="8005"/>
      <c r="U107" s="8005"/>
      <c r="V107" s="8005"/>
      <c r="W107" s="8005"/>
      <c r="X107" s="8005"/>
      <c r="Y107" s="8006"/>
      <c r="Z107" s="2497"/>
      <c r="AA107" s="658"/>
      <c r="AB107" s="658"/>
      <c r="AC107" s="658"/>
      <c r="AD107" s="658"/>
      <c r="AE107" s="658"/>
      <c r="AF107" s="658"/>
      <c r="AG107" s="658"/>
      <c r="AH107" s="658"/>
      <c r="AI107" s="658"/>
      <c r="AJ107" s="658"/>
      <c r="AK107" s="658"/>
      <c r="AL107" s="658"/>
      <c r="AN107" s="670"/>
      <c r="AO107" s="670"/>
      <c r="AP107" s="658"/>
      <c r="AQ107" s="658"/>
      <c r="AR107" s="658"/>
      <c r="AS107" s="658"/>
      <c r="AT107" s="658"/>
      <c r="AU107" s="658"/>
      <c r="AV107" s="658"/>
    </row>
    <row r="108" spans="2:48" ht="13.5" thickBot="1">
      <c r="C108" s="226" t="s">
        <v>1599</v>
      </c>
      <c r="M108" s="8007"/>
      <c r="N108" s="8008"/>
      <c r="O108" s="8008"/>
      <c r="P108" s="8008"/>
      <c r="Q108" s="8008"/>
      <c r="R108" s="8008"/>
      <c r="S108" s="8008"/>
      <c r="T108" s="8008"/>
      <c r="U108" s="8008"/>
      <c r="V108" s="8008"/>
      <c r="W108" s="8008"/>
      <c r="X108" s="8008"/>
      <c r="Y108" s="8009"/>
      <c r="Z108" s="2497"/>
      <c r="AA108" s="658"/>
      <c r="AB108" s="658"/>
      <c r="AC108" s="658"/>
      <c r="AD108" s="658"/>
      <c r="AE108" s="658"/>
      <c r="AF108" s="658"/>
      <c r="AG108" s="658"/>
      <c r="AH108" s="658"/>
      <c r="AI108" s="658"/>
      <c r="AJ108" s="658"/>
      <c r="AK108" s="658"/>
      <c r="AL108" s="658"/>
      <c r="AN108" s="670"/>
      <c r="AO108" s="670"/>
      <c r="AP108" s="658"/>
      <c r="AQ108" s="658"/>
      <c r="AR108" s="658"/>
      <c r="AS108" s="658"/>
      <c r="AT108" s="658"/>
      <c r="AU108" s="658"/>
      <c r="AV108" s="658"/>
    </row>
    <row r="109" spans="2:48">
      <c r="C109" s="2643"/>
      <c r="D109" s="88" t="str">
        <f>"Who lived with you in the United States for more than half of "&amp;TaxYear&amp;"."</f>
        <v>Who lived with you in the United States for more than half of 2025.</v>
      </c>
      <c r="M109" s="2671"/>
      <c r="N109" s="2671"/>
      <c r="O109" s="2671"/>
      <c r="P109" s="2671"/>
      <c r="Q109" s="2671"/>
      <c r="R109" s="2671"/>
      <c r="S109" s="2671"/>
      <c r="T109" s="2671"/>
      <c r="U109" s="2671"/>
      <c r="V109" s="2671"/>
      <c r="W109" s="2671"/>
      <c r="X109" s="2671"/>
      <c r="Y109" s="2671"/>
      <c r="AA109" s="658"/>
      <c r="AB109" s="658"/>
      <c r="AC109" s="658"/>
      <c r="AD109" s="658"/>
      <c r="AE109" s="658"/>
      <c r="AF109" s="658"/>
      <c r="AG109" s="658"/>
      <c r="AH109" s="658"/>
      <c r="AI109" s="658"/>
      <c r="AJ109" s="658"/>
      <c r="AK109" s="658"/>
      <c r="AL109" s="658"/>
      <c r="AN109" s="670"/>
      <c r="AO109" s="670"/>
      <c r="AP109" s="658"/>
      <c r="AQ109" s="658"/>
      <c r="AR109" s="658"/>
      <c r="AS109" s="658"/>
      <c r="AT109" s="658"/>
      <c r="AU109" s="658"/>
      <c r="AV109" s="658"/>
    </row>
    <row r="110" spans="2:48">
      <c r="C110" s="2643"/>
      <c r="K110" s="228"/>
      <c r="M110" s="2671"/>
      <c r="N110" s="2671"/>
      <c r="O110" s="2671"/>
      <c r="P110" s="2671"/>
      <c r="Q110" s="2671"/>
      <c r="R110" s="2671"/>
      <c r="S110" s="2671"/>
      <c r="T110" s="2671"/>
      <c r="U110" s="2671"/>
      <c r="V110" s="2671"/>
      <c r="W110" s="2671"/>
      <c r="X110" s="2671"/>
      <c r="Y110" s="2671"/>
      <c r="AA110" s="658"/>
      <c r="AB110" s="658"/>
      <c r="AC110" s="658"/>
      <c r="AD110" s="658"/>
      <c r="AE110" s="658"/>
      <c r="AF110" s="658"/>
      <c r="AG110" s="658"/>
      <c r="AH110" s="658"/>
      <c r="AI110" s="658"/>
      <c r="AJ110" s="658"/>
      <c r="AK110" s="658"/>
      <c r="AL110" s="658"/>
      <c r="AN110" s="670"/>
      <c r="AO110" s="670"/>
      <c r="AP110" s="658"/>
      <c r="AQ110" s="658"/>
      <c r="AR110" s="658"/>
      <c r="AS110" s="658"/>
      <c r="AT110" s="658"/>
      <c r="AU110" s="658"/>
      <c r="AV110" s="658"/>
    </row>
    <row r="111" spans="2:48">
      <c r="C111" s="2643"/>
      <c r="K111" s="228" t="s">
        <v>771</v>
      </c>
      <c r="M111" s="2671"/>
      <c r="N111" s="2671"/>
      <c r="O111" s="2671"/>
      <c r="P111" s="2671"/>
      <c r="Q111" s="2671"/>
      <c r="R111" s="2671"/>
      <c r="S111" s="2671"/>
      <c r="T111" s="2671"/>
      <c r="U111" s="2671"/>
      <c r="V111" s="2671"/>
      <c r="W111" s="2671"/>
      <c r="X111" s="2671"/>
      <c r="Y111" s="2671"/>
      <c r="AA111" s="658"/>
      <c r="AB111" s="658"/>
      <c r="AC111" s="658"/>
      <c r="AD111" s="658"/>
      <c r="AE111" s="658"/>
      <c r="AF111" s="658"/>
      <c r="AG111" s="658"/>
      <c r="AH111" s="658"/>
      <c r="AI111" s="658"/>
      <c r="AJ111" s="658"/>
      <c r="AK111" s="658"/>
      <c r="AL111" s="658"/>
      <c r="AN111" s="670"/>
      <c r="AO111" s="670"/>
      <c r="AP111" s="658"/>
      <c r="AQ111" s="658"/>
      <c r="AR111" s="658"/>
      <c r="AS111" s="658"/>
      <c r="AT111" s="658"/>
      <c r="AU111" s="658"/>
      <c r="AV111" s="658"/>
    </row>
    <row r="112" spans="2:48">
      <c r="B112" s="6169">
        <f>IF(K112&lt;&gt;"",ROUND(K112,0),N6)</f>
        <v>0</v>
      </c>
      <c r="C112" s="2643"/>
      <c r="D112" s="2672" t="s">
        <v>1603</v>
      </c>
      <c r="K112" s="1338"/>
      <c r="L112" s="226" t="str">
        <f>IF(O6&lt;&gt;"","&lt; Override from Line 1 (row 5).","")</f>
        <v/>
      </c>
      <c r="AA112" s="658"/>
      <c r="AB112" s="658"/>
      <c r="AC112" s="658"/>
      <c r="AD112" s="658"/>
      <c r="AE112" s="658"/>
      <c r="AF112" s="658"/>
      <c r="AG112" s="658"/>
      <c r="AH112" s="658"/>
      <c r="AI112" s="658"/>
      <c r="AJ112" s="658"/>
      <c r="AK112" s="658"/>
      <c r="AL112" s="658"/>
      <c r="AN112" s="670"/>
      <c r="AO112" s="670"/>
      <c r="AP112" s="658"/>
      <c r="AQ112" s="658"/>
      <c r="AR112" s="658"/>
      <c r="AS112" s="658"/>
      <c r="AT112" s="658"/>
      <c r="AU112" s="658"/>
      <c r="AV112" s="658"/>
    </row>
    <row r="113" spans="1:48" ht="11.25" customHeight="1">
      <c r="AA113" s="658"/>
      <c r="AB113" s="658"/>
      <c r="AC113" s="658"/>
      <c r="AD113" s="658"/>
      <c r="AE113" s="658"/>
      <c r="AF113" s="658"/>
      <c r="AG113" s="658"/>
      <c r="AH113" s="658"/>
      <c r="AI113" s="658"/>
      <c r="AJ113" s="658"/>
      <c r="AK113" s="658"/>
      <c r="AL113" s="658"/>
      <c r="AN113" s="670"/>
      <c r="AO113" s="670"/>
      <c r="AP113" s="658"/>
      <c r="AQ113" s="658"/>
      <c r="AR113" s="658"/>
      <c r="AS113" s="658"/>
      <c r="AT113" s="658"/>
      <c r="AU113" s="658"/>
      <c r="AV113" s="658"/>
    </row>
    <row r="114" spans="1:48" s="2659" customFormat="1">
      <c r="B114" s="2660"/>
      <c r="N114" s="2661"/>
      <c r="AA114" s="671"/>
      <c r="AB114" s="671"/>
      <c r="AC114" s="671"/>
      <c r="AD114" s="671"/>
      <c r="AE114" s="671"/>
      <c r="AF114" s="671"/>
      <c r="AG114" s="671"/>
      <c r="AH114" s="671"/>
      <c r="AI114" s="671"/>
      <c r="AJ114" s="671"/>
      <c r="AK114" s="671"/>
      <c r="AL114" s="671"/>
      <c r="AN114" s="672"/>
      <c r="AO114" s="672"/>
      <c r="AP114" s="671"/>
      <c r="AQ114" s="671"/>
      <c r="AR114" s="671"/>
      <c r="AS114" s="671"/>
      <c r="AT114" s="671"/>
      <c r="AU114" s="671"/>
      <c r="AV114" s="671"/>
    </row>
    <row r="115" spans="1:48" s="2445" customFormat="1" ht="15.75">
      <c r="A115" s="2646" t="s">
        <v>1590</v>
      </c>
      <c r="B115" s="2647" t="s">
        <v>1604</v>
      </c>
      <c r="C115" s="2642"/>
      <c r="F115" s="2669"/>
      <c r="N115" s="2662"/>
      <c r="AA115" s="668"/>
      <c r="AB115" s="668"/>
      <c r="AC115" s="668"/>
      <c r="AD115" s="668"/>
      <c r="AE115" s="668"/>
      <c r="AF115" s="668"/>
      <c r="AG115" s="668"/>
      <c r="AH115" s="668"/>
      <c r="AI115" s="668"/>
      <c r="AJ115" s="668"/>
      <c r="AK115" s="668"/>
      <c r="AL115" s="668"/>
      <c r="AN115" s="669"/>
      <c r="AO115" s="669"/>
      <c r="AP115" s="668"/>
      <c r="AQ115" s="668"/>
      <c r="AR115" s="668"/>
      <c r="AS115" s="668"/>
      <c r="AT115" s="668"/>
      <c r="AU115" s="668"/>
      <c r="AV115" s="668"/>
    </row>
    <row r="116" spans="1:48">
      <c r="A116" s="228" t="s">
        <v>1605</v>
      </c>
      <c r="C116" s="2502"/>
      <c r="AA116" s="658"/>
      <c r="AB116" s="658"/>
      <c r="AC116" s="658"/>
      <c r="AD116" s="658"/>
      <c r="AE116" s="658"/>
      <c r="AF116" s="658"/>
      <c r="AG116" s="658"/>
      <c r="AH116" s="658"/>
      <c r="AI116" s="658"/>
      <c r="AJ116" s="658"/>
      <c r="AK116" s="658"/>
      <c r="AL116" s="658"/>
      <c r="AN116" s="670"/>
      <c r="AO116" s="670"/>
      <c r="AP116" s="658"/>
      <c r="AQ116" s="658"/>
      <c r="AR116" s="658"/>
      <c r="AS116" s="658"/>
      <c r="AT116" s="658"/>
      <c r="AU116" s="658"/>
      <c r="AV116" s="658"/>
    </row>
    <row r="117" spans="1:48">
      <c r="C117" s="2648" t="s">
        <v>157</v>
      </c>
      <c r="D117" s="1560" t="s">
        <v>1606</v>
      </c>
      <c r="AA117" s="658"/>
      <c r="AB117" s="658"/>
      <c r="AC117" s="658"/>
      <c r="AD117" s="658"/>
      <c r="AE117" s="658"/>
      <c r="AF117" s="658"/>
      <c r="AG117" s="658"/>
      <c r="AH117" s="658"/>
      <c r="AI117" s="658"/>
      <c r="AJ117" s="658"/>
      <c r="AK117" s="658"/>
      <c r="AL117" s="658"/>
      <c r="AN117" s="670"/>
      <c r="AO117" s="670"/>
      <c r="AP117" s="658"/>
      <c r="AQ117" s="658"/>
      <c r="AR117" s="658"/>
      <c r="AS117" s="658"/>
      <c r="AT117" s="658"/>
      <c r="AU117" s="658"/>
      <c r="AV117" s="658"/>
    </row>
    <row r="118" spans="1:48">
      <c r="C118" s="2648"/>
      <c r="D118" s="1560" t="s">
        <v>1607</v>
      </c>
      <c r="AA118" s="658"/>
      <c r="AB118" s="658"/>
      <c r="AC118" s="658"/>
      <c r="AD118" s="658"/>
      <c r="AE118" s="658"/>
      <c r="AF118" s="658"/>
      <c r="AG118" s="658"/>
      <c r="AH118" s="658"/>
      <c r="AI118" s="658"/>
      <c r="AJ118" s="658"/>
      <c r="AK118" s="658"/>
      <c r="AL118" s="658"/>
      <c r="AN118" s="670"/>
      <c r="AO118" s="670"/>
      <c r="AP118" s="658"/>
      <c r="AQ118" s="658"/>
      <c r="AR118" s="658"/>
      <c r="AS118" s="658"/>
      <c r="AT118" s="658"/>
      <c r="AU118" s="658"/>
      <c r="AV118" s="658"/>
    </row>
    <row r="119" spans="1:48">
      <c r="AA119" s="658"/>
      <c r="AB119" s="658"/>
      <c r="AC119" s="658"/>
      <c r="AD119" s="658"/>
      <c r="AE119" s="658"/>
      <c r="AF119" s="658"/>
      <c r="AG119" s="658"/>
      <c r="AH119" s="658"/>
      <c r="AI119" s="658"/>
      <c r="AJ119" s="658"/>
      <c r="AK119" s="658"/>
      <c r="AL119" s="658"/>
      <c r="AN119" s="670"/>
      <c r="AO119" s="670"/>
      <c r="AP119" s="658"/>
      <c r="AQ119" s="658"/>
      <c r="AR119" s="658"/>
      <c r="AS119" s="658"/>
      <c r="AT119" s="658"/>
      <c r="AU119" s="658"/>
      <c r="AV119" s="658"/>
    </row>
    <row r="120" spans="1:48">
      <c r="A120" s="441" t="b">
        <f>AND(EIC_trigger,EICNumQualChild&lt;&gt;"",EICNumQualChild&gt;0)</f>
        <v>0</v>
      </c>
      <c r="B120" s="2673" t="str">
        <f>IF(EICNumQualChild&gt;0,"X","")</f>
        <v/>
      </c>
      <c r="D120" s="1560" t="s">
        <v>1577</v>
      </c>
      <c r="H120" s="2673" t="str">
        <f>IF(EICNumQualChild="","",IF(EICNumQualChild&gt;0,"","X"))</f>
        <v>X</v>
      </c>
      <c r="J120" s="1560" t="s">
        <v>1608</v>
      </c>
      <c r="N120" s="88"/>
      <c r="O120" s="441" t="b">
        <f>AND(EIC_trigger,NOT(A120))</f>
        <v>0</v>
      </c>
      <c r="P120" s="1560"/>
      <c r="AA120" s="658"/>
      <c r="AB120" s="658"/>
      <c r="AC120" s="658"/>
      <c r="AD120" s="658"/>
      <c r="AE120" s="658"/>
      <c r="AF120" s="658"/>
      <c r="AG120" s="658"/>
      <c r="AH120" s="658"/>
      <c r="AI120" s="658"/>
      <c r="AJ120" s="658"/>
      <c r="AK120" s="658"/>
      <c r="AL120" s="658"/>
      <c r="AN120" s="670"/>
      <c r="AO120" s="670"/>
      <c r="AP120" s="658"/>
      <c r="AQ120" s="658"/>
      <c r="AR120" s="658"/>
      <c r="AS120" s="658"/>
      <c r="AT120" s="658"/>
      <c r="AU120" s="658"/>
      <c r="AV120" s="658"/>
    </row>
    <row r="121" spans="1:48">
      <c r="C121" s="2432"/>
      <c r="D121" s="2432"/>
      <c r="E121" s="2432"/>
      <c r="F121" s="2432"/>
      <c r="G121" s="2432"/>
      <c r="H121" s="2432"/>
      <c r="I121" s="2432"/>
      <c r="J121" s="2432"/>
      <c r="K121" s="2432"/>
      <c r="L121" s="2432"/>
      <c r="M121" s="2432"/>
      <c r="AA121" s="658"/>
      <c r="AB121" s="658"/>
      <c r="AC121" s="658"/>
      <c r="AD121" s="658"/>
      <c r="AE121" s="658"/>
      <c r="AF121" s="658"/>
      <c r="AG121" s="658"/>
      <c r="AH121" s="658"/>
      <c r="AI121" s="658"/>
      <c r="AJ121" s="658"/>
      <c r="AK121" s="658"/>
      <c r="AL121" s="658"/>
      <c r="AN121" s="670"/>
      <c r="AO121" s="670"/>
      <c r="AP121" s="658"/>
      <c r="AQ121" s="658"/>
      <c r="AR121" s="658"/>
      <c r="AS121" s="658"/>
      <c r="AT121" s="658"/>
      <c r="AU121" s="658"/>
      <c r="AV121" s="658"/>
    </row>
    <row r="122" spans="1:48">
      <c r="C122" s="1839"/>
      <c r="D122" s="1839"/>
      <c r="E122" s="1839"/>
      <c r="F122" s="1839"/>
      <c r="G122" s="1839"/>
      <c r="H122" s="1839"/>
      <c r="I122" s="1839"/>
      <c r="J122" s="1839"/>
      <c r="K122" s="1839"/>
      <c r="L122" s="1839"/>
      <c r="M122" s="1839"/>
      <c r="AA122" s="658"/>
      <c r="AB122" s="658"/>
      <c r="AC122" s="658"/>
      <c r="AD122" s="658"/>
      <c r="AE122" s="658"/>
      <c r="AF122" s="658"/>
      <c r="AG122" s="658"/>
      <c r="AH122" s="658"/>
      <c r="AI122" s="658"/>
      <c r="AJ122" s="658"/>
      <c r="AK122" s="658"/>
      <c r="AL122" s="658"/>
      <c r="AN122" s="670"/>
      <c r="AO122" s="670"/>
      <c r="AP122" s="658"/>
      <c r="AQ122" s="658"/>
      <c r="AR122" s="658"/>
      <c r="AS122" s="658"/>
      <c r="AT122" s="658"/>
      <c r="AU122" s="658"/>
      <c r="AV122" s="658"/>
    </row>
    <row r="123" spans="1:48">
      <c r="A123" s="7998"/>
      <c r="B123" s="7999"/>
      <c r="C123" s="2648" t="s">
        <v>161</v>
      </c>
      <c r="D123" s="88" t="str">
        <f>"Are you filing a joint return for "&amp;TaxYear&amp;"?"</f>
        <v>Are you filing a joint return for 2025?</v>
      </c>
      <c r="AA123" s="658"/>
      <c r="AB123" s="658"/>
      <c r="AC123" s="658"/>
      <c r="AD123" s="658"/>
      <c r="AE123" s="658"/>
      <c r="AF123" s="658"/>
      <c r="AG123" s="658"/>
      <c r="AH123" s="658"/>
      <c r="AI123" s="658"/>
      <c r="AJ123" s="658"/>
      <c r="AK123" s="658"/>
      <c r="AL123" s="658"/>
      <c r="AN123" s="670"/>
      <c r="AO123" s="670"/>
      <c r="AP123" s="658"/>
      <c r="AQ123" s="658"/>
      <c r="AR123" s="658"/>
      <c r="AS123" s="658"/>
      <c r="AT123" s="658"/>
      <c r="AU123" s="658"/>
      <c r="AV123" s="658"/>
    </row>
    <row r="124" spans="1:48">
      <c r="AA124" s="658"/>
      <c r="AB124" s="658"/>
      <c r="AC124" s="658"/>
      <c r="AD124" s="658"/>
      <c r="AE124" s="658"/>
      <c r="AF124" s="658"/>
      <c r="AG124" s="658"/>
      <c r="AH124" s="658"/>
      <c r="AI124" s="658"/>
      <c r="AJ124" s="658"/>
      <c r="AK124" s="658"/>
      <c r="AL124" s="658"/>
      <c r="AN124" s="670"/>
      <c r="AO124" s="670"/>
      <c r="AP124" s="658"/>
      <c r="AQ124" s="658"/>
      <c r="AR124" s="658"/>
      <c r="AS124" s="658"/>
      <c r="AT124" s="658"/>
      <c r="AU124" s="658"/>
      <c r="AV124" s="658"/>
    </row>
    <row r="125" spans="1:48">
      <c r="A125" s="441" t="b">
        <f>AND(EIC_trigger,A120,File_Marr_Joint&lt;&gt;"",NumFileStatusBoxes=1)</f>
        <v>0</v>
      </c>
      <c r="B125" s="2658" t="str">
        <f>IF(A125,"X","")</f>
        <v/>
      </c>
      <c r="D125" s="1560" t="s">
        <v>1609</v>
      </c>
      <c r="H125" s="2658" t="str">
        <f>IF(N125,"X","")</f>
        <v/>
      </c>
      <c r="J125" s="1560" t="s">
        <v>1610</v>
      </c>
      <c r="K125" s="2441"/>
      <c r="N125" s="441" t="b">
        <f>AND(A120,NOT(A125))</f>
        <v>0</v>
      </c>
      <c r="AA125" s="658"/>
      <c r="AB125" s="658"/>
      <c r="AC125" s="658"/>
      <c r="AD125" s="658"/>
      <c r="AE125" s="658"/>
      <c r="AF125" s="658"/>
      <c r="AG125" s="658"/>
      <c r="AH125" s="658"/>
      <c r="AI125" s="658"/>
      <c r="AJ125" s="658"/>
      <c r="AK125" s="658"/>
      <c r="AL125" s="658"/>
      <c r="AN125" s="670"/>
      <c r="AO125" s="670"/>
      <c r="AP125" s="658"/>
      <c r="AQ125" s="658"/>
      <c r="AR125" s="658"/>
      <c r="AS125" s="658"/>
      <c r="AT125" s="658"/>
      <c r="AU125" s="658"/>
      <c r="AV125" s="658"/>
    </row>
    <row r="126" spans="1:48">
      <c r="D126" s="1560" t="s">
        <v>1611</v>
      </c>
      <c r="AA126" s="658"/>
      <c r="AB126" s="658"/>
      <c r="AC126" s="658"/>
      <c r="AD126" s="658"/>
      <c r="AE126" s="658"/>
      <c r="AF126" s="658"/>
      <c r="AG126" s="658"/>
      <c r="AH126" s="658"/>
      <c r="AI126" s="658"/>
      <c r="AJ126" s="658"/>
      <c r="AK126" s="658"/>
      <c r="AL126" s="658"/>
      <c r="AN126" s="670"/>
      <c r="AO126" s="670"/>
      <c r="AP126" s="658"/>
      <c r="AQ126" s="658"/>
      <c r="AR126" s="658"/>
      <c r="AS126" s="658"/>
      <c r="AT126" s="658"/>
      <c r="AU126" s="658"/>
      <c r="AV126" s="658"/>
    </row>
    <row r="127" spans="1:48">
      <c r="C127" s="2432"/>
      <c r="D127" s="2432"/>
      <c r="E127" s="2432"/>
      <c r="F127" s="2432"/>
      <c r="G127" s="2432"/>
      <c r="H127" s="2432"/>
      <c r="I127" s="2432"/>
      <c r="J127" s="2432"/>
      <c r="K127" s="2432"/>
      <c r="L127" s="2432"/>
      <c r="M127" s="2432"/>
      <c r="AA127" s="658"/>
      <c r="AB127" s="658"/>
      <c r="AC127" s="658"/>
      <c r="AD127" s="658"/>
      <c r="AE127" s="658"/>
      <c r="AF127" s="658"/>
      <c r="AG127" s="658"/>
      <c r="AH127" s="658"/>
      <c r="AI127" s="658"/>
      <c r="AJ127" s="658"/>
      <c r="AK127" s="658"/>
      <c r="AL127" s="658"/>
      <c r="AN127" s="670"/>
      <c r="AO127" s="670"/>
      <c r="AP127" s="658"/>
      <c r="AQ127" s="658"/>
      <c r="AR127" s="658"/>
      <c r="AS127" s="658"/>
      <c r="AT127" s="658"/>
      <c r="AU127" s="658"/>
      <c r="AV127" s="658"/>
    </row>
    <row r="128" spans="1:48">
      <c r="C128" s="1839"/>
      <c r="D128" s="1839"/>
      <c r="E128" s="1839"/>
      <c r="F128" s="1839"/>
      <c r="G128" s="1839"/>
      <c r="H128" s="1839"/>
      <c r="I128" s="1839"/>
      <c r="J128" s="1839"/>
      <c r="K128" s="1839"/>
      <c r="L128" s="1839"/>
      <c r="M128" s="1839"/>
      <c r="AA128" s="658"/>
      <c r="AB128" s="658"/>
      <c r="AC128" s="658"/>
      <c r="AD128" s="658"/>
      <c r="AE128" s="658"/>
      <c r="AF128" s="658"/>
      <c r="AG128" s="658"/>
      <c r="AH128" s="658"/>
      <c r="AI128" s="658"/>
      <c r="AJ128" s="658"/>
      <c r="AK128" s="658"/>
      <c r="AL128" s="658"/>
      <c r="AN128" s="670"/>
      <c r="AO128" s="670"/>
      <c r="AP128" s="658"/>
      <c r="AQ128" s="658"/>
      <c r="AR128" s="658"/>
      <c r="AS128" s="658"/>
      <c r="AT128" s="658"/>
      <c r="AU128" s="658"/>
      <c r="AV128" s="658"/>
    </row>
    <row r="129" spans="1:48">
      <c r="A129" s="7998" t="str">
        <f>IF(H126&lt;&gt;"","Skip","")</f>
        <v/>
      </c>
      <c r="B129" s="7999"/>
      <c r="C129" s="220" t="s">
        <v>167</v>
      </c>
      <c r="D129" s="1560" t="s">
        <v>1612</v>
      </c>
      <c r="AA129" s="658"/>
      <c r="AB129" s="658"/>
      <c r="AC129" s="658"/>
      <c r="AD129" s="658"/>
      <c r="AE129" s="658"/>
      <c r="AF129" s="658"/>
      <c r="AG129" s="658"/>
      <c r="AH129" s="658"/>
      <c r="AI129" s="658"/>
      <c r="AJ129" s="658"/>
      <c r="AK129" s="658"/>
      <c r="AL129" s="658"/>
      <c r="AN129" s="670"/>
      <c r="AO129" s="670"/>
      <c r="AP129" s="658"/>
      <c r="AQ129" s="658"/>
      <c r="AR129" s="658"/>
      <c r="AS129" s="658"/>
      <c r="AT129" s="658"/>
      <c r="AU129" s="658"/>
      <c r="AV129" s="658"/>
    </row>
    <row r="130" spans="1:48">
      <c r="A130" s="2664"/>
      <c r="B130" s="2665"/>
      <c r="C130" s="220"/>
      <c r="D130" s="1560" t="s">
        <v>1613</v>
      </c>
      <c r="AA130" s="658"/>
      <c r="AB130" s="658"/>
      <c r="AC130" s="658"/>
      <c r="AD130" s="658"/>
      <c r="AE130" s="658"/>
      <c r="AF130" s="658"/>
      <c r="AG130" s="658"/>
      <c r="AH130" s="658"/>
      <c r="AI130" s="658"/>
      <c r="AJ130" s="658"/>
      <c r="AK130" s="658"/>
      <c r="AL130" s="658"/>
      <c r="AN130" s="670"/>
      <c r="AO130" s="670"/>
      <c r="AP130" s="658"/>
      <c r="AQ130" s="658"/>
      <c r="AR130" s="658"/>
      <c r="AS130" s="658"/>
      <c r="AT130" s="658"/>
      <c r="AU130" s="658"/>
      <c r="AV130" s="658"/>
    </row>
    <row r="131" spans="1:48">
      <c r="AA131" s="658"/>
      <c r="AB131" s="658"/>
      <c r="AC131" s="658"/>
      <c r="AD131" s="658"/>
      <c r="AE131" s="658"/>
      <c r="AF131" s="658"/>
      <c r="AG131" s="658"/>
      <c r="AH131" s="658"/>
      <c r="AI131" s="658"/>
      <c r="AJ131" s="658"/>
      <c r="AK131" s="658"/>
      <c r="AL131" s="658"/>
      <c r="AN131" s="670"/>
      <c r="AO131" s="670"/>
      <c r="AP131" s="658"/>
      <c r="AQ131" s="658"/>
      <c r="AR131" s="658"/>
      <c r="AS131" s="658"/>
      <c r="AT131" s="658"/>
      <c r="AU131" s="658"/>
      <c r="AV131" s="658"/>
    </row>
    <row r="132" spans="1:48">
      <c r="A132" s="441" t="b">
        <f>AND(EIC_trigger,N125,NumFileStatusBoxes=1,OR(File_Marr_Sep&lt;&gt;"",File_Head&lt;&gt;""))</f>
        <v>0</v>
      </c>
      <c r="B132" s="2658" t="str">
        <f>IF(A132,"X","")</f>
        <v/>
      </c>
      <c r="D132" s="1560" t="s">
        <v>1577</v>
      </c>
      <c r="H132" s="2658" t="str">
        <f>IF(N132,"X","")</f>
        <v/>
      </c>
      <c r="J132" s="1560" t="s">
        <v>1614</v>
      </c>
      <c r="N132" s="441" t="b">
        <f>AND(EIC_trigger,N125,NumFileStatusBoxes=1,NOT(OR(File_Marr_Sep&lt;&gt;"",File_Head&lt;&gt;"")))</f>
        <v>0</v>
      </c>
      <c r="AA132" s="658"/>
      <c r="AB132" s="658"/>
      <c r="AC132" s="658"/>
      <c r="AD132" s="658"/>
      <c r="AE132" s="658"/>
      <c r="AF132" s="658"/>
      <c r="AG132" s="658"/>
      <c r="AH132" s="658"/>
      <c r="AI132" s="658"/>
      <c r="AJ132" s="658"/>
      <c r="AK132" s="658"/>
      <c r="AL132" s="658"/>
      <c r="AN132" s="670"/>
      <c r="AO132" s="670"/>
      <c r="AP132" s="658"/>
      <c r="AQ132" s="658"/>
      <c r="AR132" s="658"/>
      <c r="AS132" s="658"/>
      <c r="AT132" s="658"/>
      <c r="AU132" s="658"/>
      <c r="AV132" s="658"/>
    </row>
    <row r="133" spans="1:48">
      <c r="D133" s="1560"/>
      <c r="J133" s="1560" t="s">
        <v>1615</v>
      </c>
      <c r="AA133" s="658"/>
      <c r="AB133" s="658"/>
      <c r="AC133" s="658"/>
      <c r="AD133" s="658"/>
      <c r="AE133" s="658"/>
      <c r="AF133" s="658"/>
      <c r="AG133" s="658"/>
      <c r="AH133" s="658"/>
      <c r="AI133" s="658"/>
      <c r="AJ133" s="658"/>
      <c r="AK133" s="658"/>
      <c r="AL133" s="658"/>
      <c r="AN133" s="670"/>
      <c r="AO133" s="670"/>
      <c r="AP133" s="658"/>
      <c r="AQ133" s="658"/>
      <c r="AR133" s="658"/>
      <c r="AS133" s="658"/>
      <c r="AT133" s="658"/>
      <c r="AU133" s="658"/>
      <c r="AV133" s="658"/>
    </row>
    <row r="134" spans="1:48">
      <c r="C134" s="2432"/>
      <c r="D134" s="2432"/>
      <c r="E134" s="2432"/>
      <c r="F134" s="2432"/>
      <c r="G134" s="2432"/>
      <c r="H134" s="2432"/>
      <c r="I134" s="2432"/>
      <c r="J134" s="2432"/>
      <c r="K134" s="2432"/>
      <c r="L134" s="2432"/>
      <c r="M134" s="2432"/>
      <c r="AA134" s="658"/>
      <c r="AB134" s="658"/>
      <c r="AC134" s="658"/>
      <c r="AD134" s="658"/>
      <c r="AE134" s="658"/>
      <c r="AF134" s="658"/>
      <c r="AG134" s="658"/>
      <c r="AH134" s="658"/>
      <c r="AI134" s="658"/>
      <c r="AJ134" s="658"/>
      <c r="AK134" s="658"/>
      <c r="AL134" s="658"/>
      <c r="AN134" s="670"/>
      <c r="AO134" s="670"/>
      <c r="AP134" s="658"/>
      <c r="AQ134" s="658"/>
      <c r="AR134" s="658"/>
      <c r="AS134" s="658"/>
      <c r="AT134" s="658"/>
      <c r="AU134" s="658"/>
      <c r="AV134" s="658"/>
    </row>
    <row r="135" spans="1:48">
      <c r="C135" s="1839"/>
      <c r="D135" s="1839"/>
      <c r="E135" s="1839"/>
      <c r="F135" s="1839"/>
      <c r="G135" s="1839"/>
      <c r="H135" s="1839"/>
      <c r="I135" s="1839"/>
      <c r="J135" s="1839"/>
      <c r="K135" s="1839"/>
      <c r="L135" s="1839"/>
      <c r="M135" s="1839"/>
      <c r="AA135" s="658"/>
      <c r="AB135" s="658"/>
      <c r="AC135" s="658"/>
      <c r="AD135" s="658"/>
      <c r="AE135" s="658"/>
      <c r="AF135" s="658"/>
      <c r="AG135" s="658"/>
      <c r="AH135" s="658"/>
      <c r="AI135" s="658"/>
      <c r="AJ135" s="658"/>
      <c r="AK135" s="658"/>
      <c r="AL135" s="658"/>
      <c r="AN135" s="670"/>
      <c r="AO135" s="670"/>
      <c r="AP135" s="658"/>
      <c r="AQ135" s="658"/>
      <c r="AR135" s="658"/>
      <c r="AS135" s="658"/>
      <c r="AT135" s="658"/>
      <c r="AU135" s="658"/>
      <c r="AV135" s="658"/>
    </row>
    <row r="136" spans="1:48">
      <c r="A136" s="7998" t="str">
        <f>IF(H133&lt;&gt;"","Skip","")</f>
        <v/>
      </c>
      <c r="B136" s="7999"/>
      <c r="C136" s="220" t="s">
        <v>171</v>
      </c>
      <c r="D136" s="1560" t="s">
        <v>1616</v>
      </c>
      <c r="AA136" s="658"/>
      <c r="AB136" s="658"/>
      <c r="AC136" s="658"/>
      <c r="AD136" s="658"/>
      <c r="AE136" s="658"/>
      <c r="AF136" s="658"/>
      <c r="AG136" s="658"/>
      <c r="AH136" s="658"/>
      <c r="AI136" s="658"/>
      <c r="AJ136" s="658"/>
      <c r="AK136" s="658"/>
      <c r="AL136" s="658"/>
      <c r="AN136" s="670"/>
      <c r="AO136" s="670"/>
      <c r="AP136" s="658"/>
      <c r="AQ136" s="658"/>
      <c r="AR136" s="658"/>
      <c r="AS136" s="658"/>
      <c r="AT136" s="658"/>
      <c r="AU136" s="658"/>
      <c r="AV136" s="658"/>
    </row>
    <row r="137" spans="1:48">
      <c r="A137" s="2664"/>
      <c r="B137" s="2665"/>
      <c r="C137" s="220"/>
      <c r="D137" s="1560" t="str">
        <f>"for the last 6 months of "&amp;TaxYear&amp;"?"</f>
        <v>for the last 6 months of 2025?</v>
      </c>
      <c r="AA137" s="658"/>
      <c r="AB137" s="658"/>
      <c r="AC137" s="658"/>
      <c r="AD137" s="658"/>
      <c r="AE137" s="658"/>
      <c r="AF137" s="658"/>
      <c r="AG137" s="658"/>
      <c r="AH137" s="658"/>
      <c r="AI137" s="658"/>
      <c r="AJ137" s="658"/>
      <c r="AK137" s="658"/>
      <c r="AL137" s="658"/>
      <c r="AN137" s="670"/>
      <c r="AO137" s="670"/>
      <c r="AP137" s="658"/>
      <c r="AQ137" s="658"/>
      <c r="AR137" s="658"/>
      <c r="AS137" s="658"/>
      <c r="AT137" s="658"/>
      <c r="AU137" s="658"/>
      <c r="AV137" s="658"/>
    </row>
    <row r="138" spans="1:48">
      <c r="AA138" s="658"/>
      <c r="AB138" s="658"/>
      <c r="AC138" s="658"/>
      <c r="AD138" s="658"/>
      <c r="AE138" s="658"/>
      <c r="AF138" s="658"/>
      <c r="AG138" s="658"/>
      <c r="AH138" s="658"/>
      <c r="AI138" s="658"/>
      <c r="AJ138" s="658"/>
      <c r="AK138" s="658"/>
      <c r="AL138" s="658"/>
      <c r="AN138" s="670"/>
      <c r="AO138" s="670"/>
      <c r="AP138" s="658"/>
      <c r="AQ138" s="658"/>
      <c r="AR138" s="658"/>
      <c r="AS138" s="658"/>
      <c r="AT138" s="658"/>
      <c r="AU138" s="658"/>
      <c r="AV138" s="658"/>
    </row>
    <row r="139" spans="1:48">
      <c r="A139" s="441" t="b">
        <f>AND(EIC_trigger,A132,H139="")</f>
        <v>0</v>
      </c>
      <c r="B139" s="2653" t="str">
        <f>IF(N139,"X","")</f>
        <v/>
      </c>
      <c r="D139" s="1560" t="s">
        <v>1577</v>
      </c>
      <c r="H139" s="325"/>
      <c r="J139" s="1560" t="s">
        <v>1617</v>
      </c>
      <c r="N139" s="441" t="b">
        <f>AND(EIC_trigger,A120,N125,A132,H139&lt;&gt;"")</f>
        <v>0</v>
      </c>
      <c r="AA139" s="658"/>
      <c r="AB139" s="658"/>
      <c r="AC139" s="658"/>
      <c r="AD139" s="658"/>
      <c r="AE139" s="658"/>
      <c r="AF139" s="658"/>
      <c r="AG139" s="658"/>
      <c r="AH139" s="658"/>
      <c r="AI139" s="658"/>
      <c r="AJ139" s="658"/>
      <c r="AK139" s="658"/>
      <c r="AL139" s="658"/>
      <c r="AN139" s="670"/>
      <c r="AO139" s="670"/>
      <c r="AP139" s="658"/>
      <c r="AQ139" s="658"/>
      <c r="AR139" s="658"/>
      <c r="AS139" s="658"/>
      <c r="AT139" s="658"/>
      <c r="AU139" s="658"/>
      <c r="AV139" s="658"/>
    </row>
    <row r="140" spans="1:48">
      <c r="C140" s="2432"/>
      <c r="D140" s="2432"/>
      <c r="E140" s="2432"/>
      <c r="F140" s="2432"/>
      <c r="G140" s="2432"/>
      <c r="H140" s="2432"/>
      <c r="I140" s="2432"/>
      <c r="J140" s="2432"/>
      <c r="K140" s="2432"/>
      <c r="L140" s="2432"/>
      <c r="M140" s="2432"/>
      <c r="AA140" s="658"/>
      <c r="AB140" s="658"/>
      <c r="AC140" s="658"/>
      <c r="AD140" s="658"/>
      <c r="AE140" s="658"/>
      <c r="AF140" s="658"/>
      <c r="AG140" s="658"/>
      <c r="AH140" s="658"/>
      <c r="AI140" s="658"/>
      <c r="AJ140" s="658"/>
      <c r="AK140" s="658"/>
      <c r="AL140" s="658"/>
      <c r="AN140" s="670"/>
      <c r="AO140" s="670"/>
      <c r="AP140" s="658"/>
      <c r="AQ140" s="658"/>
      <c r="AR140" s="658"/>
      <c r="AS140" s="658"/>
      <c r="AT140" s="658"/>
      <c r="AU140" s="658"/>
      <c r="AV140" s="658"/>
    </row>
    <row r="141" spans="1:48">
      <c r="C141" s="1839"/>
      <c r="D141" s="1839"/>
      <c r="E141" s="1839"/>
      <c r="F141" s="1839"/>
      <c r="G141" s="1839"/>
      <c r="H141" s="1839"/>
      <c r="I141" s="1839"/>
      <c r="J141" s="1839"/>
      <c r="K141" s="1839"/>
      <c r="L141" s="1839"/>
      <c r="M141" s="1839"/>
      <c r="AA141" s="658"/>
      <c r="AB141" s="658"/>
      <c r="AC141" s="658"/>
      <c r="AD141" s="658"/>
      <c r="AE141" s="658"/>
      <c r="AF141" s="658"/>
      <c r="AG141" s="658"/>
      <c r="AH141" s="658"/>
      <c r="AI141" s="658"/>
      <c r="AJ141" s="658"/>
      <c r="AK141" s="658"/>
      <c r="AL141" s="658"/>
      <c r="AN141" s="670"/>
      <c r="AO141" s="670"/>
      <c r="AP141" s="658"/>
      <c r="AQ141" s="658"/>
      <c r="AR141" s="658"/>
      <c r="AS141" s="658"/>
      <c r="AT141" s="658"/>
      <c r="AU141" s="658"/>
      <c r="AV141" s="658"/>
    </row>
    <row r="142" spans="1:48">
      <c r="A142" s="7998"/>
      <c r="B142" s="7999"/>
      <c r="C142" s="220" t="s">
        <v>184</v>
      </c>
      <c r="D142" s="1560" t="s">
        <v>1618</v>
      </c>
      <c r="AA142" s="658"/>
      <c r="AB142" s="658"/>
      <c r="AC142" s="658"/>
      <c r="AD142" s="658"/>
      <c r="AE142" s="658"/>
      <c r="AF142" s="658"/>
      <c r="AG142" s="658"/>
      <c r="AH142" s="658"/>
      <c r="AI142" s="658"/>
      <c r="AJ142" s="658"/>
      <c r="AK142" s="658"/>
      <c r="AL142" s="658"/>
      <c r="AN142" s="670"/>
      <c r="AO142" s="670"/>
      <c r="AP142" s="658"/>
      <c r="AQ142" s="658"/>
      <c r="AR142" s="658"/>
      <c r="AS142" s="658"/>
      <c r="AT142" s="658"/>
      <c r="AU142" s="658"/>
      <c r="AV142" s="658"/>
    </row>
    <row r="143" spans="1:48">
      <c r="A143" s="2664"/>
      <c r="B143" s="2674"/>
      <c r="C143" s="220"/>
      <c r="D143" s="1560" t="s">
        <v>1619</v>
      </c>
      <c r="AA143" s="658"/>
      <c r="AB143" s="658"/>
      <c r="AC143" s="658"/>
      <c r="AD143" s="658"/>
      <c r="AE143" s="658"/>
      <c r="AF143" s="658"/>
      <c r="AG143" s="658"/>
      <c r="AH143" s="658"/>
      <c r="AI143" s="658"/>
      <c r="AJ143" s="658"/>
      <c r="AK143" s="658"/>
      <c r="AL143" s="658"/>
      <c r="AN143" s="670"/>
      <c r="AO143" s="670"/>
      <c r="AP143" s="658"/>
      <c r="AQ143" s="658"/>
      <c r="AR143" s="658"/>
      <c r="AS143" s="658"/>
      <c r="AT143" s="658"/>
      <c r="AU143" s="658"/>
      <c r="AV143" s="658"/>
    </row>
    <row r="144" spans="1:48">
      <c r="A144" s="2664"/>
      <c r="B144" s="2674"/>
      <c r="C144" s="220"/>
      <c r="D144" s="1560" t="s">
        <v>1620</v>
      </c>
      <c r="AA144" s="658"/>
      <c r="AB144" s="658"/>
      <c r="AC144" s="658"/>
      <c r="AD144" s="658"/>
      <c r="AE144" s="658"/>
      <c r="AF144" s="658"/>
      <c r="AG144" s="658"/>
      <c r="AH144" s="658"/>
      <c r="AI144" s="658"/>
      <c r="AJ144" s="658"/>
      <c r="AK144" s="658"/>
      <c r="AL144" s="658"/>
      <c r="AN144" s="670"/>
      <c r="AO144" s="670"/>
      <c r="AP144" s="658"/>
      <c r="AQ144" s="658"/>
      <c r="AR144" s="658"/>
      <c r="AS144" s="658"/>
      <c r="AT144" s="658"/>
      <c r="AU144" s="658"/>
      <c r="AV144" s="658"/>
    </row>
    <row r="145" spans="1:48">
      <c r="A145" s="2664"/>
      <c r="B145" s="2665"/>
      <c r="C145" s="220"/>
      <c r="D145" s="1560" t="str">
        <f>"end of "&amp;TaxYear&amp;"?"</f>
        <v>end of 2025?</v>
      </c>
      <c r="AA145" s="658"/>
      <c r="AB145" s="658"/>
      <c r="AC145" s="658"/>
      <c r="AD145" s="658"/>
      <c r="AE145" s="658"/>
      <c r="AF145" s="658"/>
      <c r="AG145" s="658"/>
      <c r="AH145" s="658"/>
      <c r="AI145" s="658"/>
      <c r="AJ145" s="658"/>
      <c r="AK145" s="658"/>
      <c r="AL145" s="658"/>
      <c r="AN145" s="670"/>
      <c r="AO145" s="670"/>
      <c r="AP145" s="658"/>
      <c r="AQ145" s="658"/>
      <c r="AR145" s="658"/>
      <c r="AS145" s="658"/>
      <c r="AT145" s="658"/>
      <c r="AU145" s="658"/>
      <c r="AV145" s="658"/>
    </row>
    <row r="146" spans="1:48">
      <c r="AA146" s="658"/>
      <c r="AB146" s="658"/>
      <c r="AC146" s="658"/>
      <c r="AD146" s="658"/>
      <c r="AE146" s="658"/>
      <c r="AF146" s="658"/>
      <c r="AG146" s="658"/>
      <c r="AH146" s="658"/>
      <c r="AI146" s="658"/>
      <c r="AJ146" s="658"/>
      <c r="AK146" s="658"/>
      <c r="AL146" s="658"/>
      <c r="AN146" s="670"/>
      <c r="AO146" s="670"/>
      <c r="AP146" s="658"/>
      <c r="AQ146" s="658"/>
      <c r="AR146" s="658"/>
      <c r="AS146" s="658"/>
      <c r="AT146" s="658"/>
      <c r="AU146" s="658"/>
      <c r="AV146" s="658"/>
    </row>
    <row r="147" spans="1:48">
      <c r="A147" s="441" t="b">
        <f>AND(EIC_trigger,A139,H147="")</f>
        <v>0</v>
      </c>
      <c r="B147" s="2653" t="str">
        <f>IF(N147,"X","")</f>
        <v/>
      </c>
      <c r="D147" s="1560" t="s">
        <v>1577</v>
      </c>
      <c r="H147" s="325"/>
      <c r="J147" s="1560" t="s">
        <v>1621</v>
      </c>
      <c r="M147" s="1560"/>
      <c r="N147" s="441" t="b">
        <f>AND(EIC_trigger,A139,H147="")</f>
        <v>0</v>
      </c>
      <c r="AA147" s="658"/>
      <c r="AB147" s="658"/>
      <c r="AC147" s="658"/>
      <c r="AD147" s="658"/>
      <c r="AE147" s="658"/>
      <c r="AF147" s="658"/>
      <c r="AG147" s="658"/>
      <c r="AH147" s="658"/>
      <c r="AI147" s="658"/>
      <c r="AJ147" s="658"/>
      <c r="AK147" s="658"/>
      <c r="AL147" s="658"/>
      <c r="AN147" s="670"/>
      <c r="AO147" s="670"/>
      <c r="AP147" s="658"/>
      <c r="AQ147" s="658"/>
      <c r="AR147" s="658"/>
      <c r="AS147" s="658"/>
      <c r="AT147" s="658"/>
      <c r="AU147" s="658"/>
      <c r="AV147" s="658"/>
    </row>
    <row r="148" spans="1:48">
      <c r="B148" s="88"/>
      <c r="D148" s="1560"/>
      <c r="J148" s="1560" t="s">
        <v>1622</v>
      </c>
      <c r="M148" s="1560"/>
      <c r="AA148" s="658"/>
      <c r="AB148" s="658"/>
      <c r="AC148" s="658"/>
      <c r="AD148" s="658"/>
      <c r="AE148" s="658"/>
      <c r="AF148" s="658"/>
      <c r="AG148" s="658"/>
      <c r="AH148" s="658"/>
      <c r="AI148" s="658"/>
      <c r="AJ148" s="658"/>
      <c r="AK148" s="658"/>
      <c r="AL148" s="658"/>
      <c r="AN148" s="670"/>
      <c r="AO148" s="670"/>
      <c r="AP148" s="658"/>
      <c r="AQ148" s="658"/>
      <c r="AR148" s="658"/>
      <c r="AS148" s="658"/>
      <c r="AT148" s="658"/>
      <c r="AU148" s="658"/>
      <c r="AV148" s="658"/>
    </row>
    <row r="149" spans="1:48">
      <c r="C149" s="2432"/>
      <c r="D149" s="2432"/>
      <c r="E149" s="2432"/>
      <c r="F149" s="2432"/>
      <c r="G149" s="2432"/>
      <c r="H149" s="2432"/>
      <c r="I149" s="2432"/>
      <c r="J149" s="2432"/>
      <c r="K149" s="2432"/>
      <c r="L149" s="2432"/>
      <c r="M149" s="2432"/>
      <c r="AA149" s="658"/>
      <c r="AB149" s="658"/>
      <c r="AC149" s="658"/>
      <c r="AD149" s="658"/>
      <c r="AE149" s="658"/>
      <c r="AF149" s="658"/>
      <c r="AG149" s="658"/>
      <c r="AH149" s="658"/>
      <c r="AI149" s="658"/>
      <c r="AJ149" s="658"/>
      <c r="AK149" s="658"/>
      <c r="AL149" s="658"/>
      <c r="AN149" s="670"/>
      <c r="AO149" s="670"/>
      <c r="AP149" s="658"/>
      <c r="AQ149" s="658"/>
      <c r="AR149" s="658"/>
      <c r="AS149" s="658"/>
      <c r="AT149" s="658"/>
      <c r="AU149" s="658"/>
      <c r="AV149" s="658"/>
    </row>
    <row r="150" spans="1:48">
      <c r="C150" s="1839"/>
      <c r="D150" s="1839"/>
      <c r="E150" s="1839"/>
      <c r="F150" s="1839"/>
      <c r="G150" s="1839"/>
      <c r="H150" s="1839"/>
      <c r="I150" s="1839"/>
      <c r="J150" s="1839"/>
      <c r="K150" s="1839"/>
      <c r="L150" s="1839"/>
      <c r="M150" s="1839"/>
      <c r="AA150" s="658"/>
      <c r="AB150" s="658"/>
      <c r="AC150" s="658"/>
      <c r="AD150" s="658"/>
      <c r="AE150" s="658"/>
      <c r="AF150" s="658"/>
      <c r="AG150" s="658"/>
      <c r="AH150" s="658"/>
      <c r="AI150" s="658"/>
      <c r="AJ150" s="658"/>
      <c r="AK150" s="658"/>
      <c r="AL150" s="658"/>
      <c r="AN150" s="670"/>
      <c r="AO150" s="670"/>
      <c r="AP150" s="658"/>
      <c r="AQ150" s="658"/>
      <c r="AR150" s="658"/>
      <c r="AS150" s="658"/>
      <c r="AT150" s="658"/>
      <c r="AU150" s="658"/>
      <c r="AV150" s="658"/>
    </row>
    <row r="151" spans="1:48">
      <c r="A151" s="7998"/>
      <c r="B151" s="7999"/>
      <c r="C151" s="220" t="s">
        <v>188</v>
      </c>
      <c r="D151" s="88" t="str">
        <f>"Could you be a qualifying child of another person in "&amp;TaxYear&amp;"?"</f>
        <v>Could you be a qualifying child of another person in 2025?</v>
      </c>
      <c r="AA151" s="658"/>
      <c r="AB151" s="658"/>
      <c r="AC151" s="658"/>
      <c r="AD151" s="658"/>
      <c r="AE151" s="658"/>
      <c r="AF151" s="658"/>
      <c r="AG151" s="658"/>
      <c r="AH151" s="658"/>
      <c r="AI151" s="658"/>
      <c r="AJ151" s="658"/>
      <c r="AK151" s="658"/>
      <c r="AL151" s="658"/>
      <c r="AN151" s="670"/>
      <c r="AO151" s="670"/>
      <c r="AP151" s="658"/>
      <c r="AQ151" s="658"/>
      <c r="AR151" s="658"/>
      <c r="AS151" s="658"/>
      <c r="AT151" s="658"/>
      <c r="AU151" s="658"/>
      <c r="AV151" s="658"/>
    </row>
    <row r="152" spans="1:48">
      <c r="A152" s="7998"/>
      <c r="B152" s="7999"/>
      <c r="C152" s="220"/>
      <c r="D152" s="1560" t="s">
        <v>1623</v>
      </c>
      <c r="AA152" s="658"/>
      <c r="AB152" s="658"/>
      <c r="AC152" s="658"/>
      <c r="AD152" s="658"/>
      <c r="AE152" s="658"/>
      <c r="AF152" s="658"/>
      <c r="AG152" s="658"/>
      <c r="AH152" s="658"/>
      <c r="AI152" s="658"/>
      <c r="AJ152" s="658"/>
      <c r="AK152" s="658"/>
      <c r="AL152" s="658"/>
      <c r="AN152" s="670"/>
      <c r="AO152" s="670"/>
      <c r="AP152" s="658"/>
      <c r="AQ152" s="658"/>
      <c r="AR152" s="658"/>
      <c r="AS152" s="658"/>
      <c r="AT152" s="658"/>
      <c r="AU152" s="658"/>
      <c r="AV152" s="658"/>
    </row>
    <row r="153" spans="1:48">
      <c r="A153" s="7998"/>
      <c r="B153" s="7999"/>
      <c r="C153" s="220"/>
      <c r="D153" s="1560" t="str">
        <f>"isn't filing, a "&amp;TaxYear&amp;" tax return or is filing a "&amp;TaxYear&amp;" return only"</f>
        <v>isn't filing, a 2025 tax return or is filing a 2025 return only</v>
      </c>
      <c r="AA153" s="658"/>
      <c r="AB153" s="658"/>
      <c r="AC153" s="658"/>
      <c r="AD153" s="658"/>
      <c r="AE153" s="658"/>
      <c r="AF153" s="658"/>
      <c r="AG153" s="658"/>
      <c r="AH153" s="658"/>
      <c r="AI153" s="658"/>
      <c r="AJ153" s="658"/>
      <c r="AK153" s="658"/>
      <c r="AL153" s="658"/>
      <c r="AN153" s="670"/>
      <c r="AO153" s="670"/>
      <c r="AP153" s="658"/>
      <c r="AQ153" s="658"/>
      <c r="AR153" s="658"/>
      <c r="AS153" s="658"/>
      <c r="AT153" s="658"/>
      <c r="AU153" s="658"/>
      <c r="AV153" s="658"/>
    </row>
    <row r="154" spans="1:48">
      <c r="A154" s="7998"/>
      <c r="B154" s="7999"/>
      <c r="C154" s="220"/>
      <c r="D154" s="1560" t="s">
        <v>1624</v>
      </c>
      <c r="AA154" s="658"/>
      <c r="AB154" s="658"/>
      <c r="AC154" s="658"/>
      <c r="AD154" s="658"/>
      <c r="AE154" s="658"/>
      <c r="AF154" s="658"/>
      <c r="AG154" s="658"/>
      <c r="AH154" s="658"/>
      <c r="AI154" s="658"/>
      <c r="AJ154" s="658"/>
      <c r="AK154" s="658"/>
      <c r="AL154" s="658"/>
      <c r="AN154" s="670"/>
      <c r="AO154" s="670"/>
      <c r="AP154" s="658"/>
      <c r="AQ154" s="658"/>
      <c r="AR154" s="658"/>
      <c r="AS154" s="658"/>
      <c r="AT154" s="658"/>
      <c r="AU154" s="658"/>
      <c r="AV154" s="658"/>
    </row>
    <row r="155" spans="1:48">
      <c r="A155" s="7998"/>
      <c r="B155" s="7999"/>
      <c r="C155" s="220"/>
      <c r="D155" s="1560" t="s">
        <v>1625</v>
      </c>
      <c r="AA155" s="658"/>
      <c r="AB155" s="658"/>
      <c r="AC155" s="658"/>
      <c r="AD155" s="658"/>
      <c r="AE155" s="658"/>
      <c r="AF155" s="658"/>
      <c r="AG155" s="658"/>
      <c r="AH155" s="658"/>
      <c r="AI155" s="658"/>
      <c r="AJ155" s="658"/>
      <c r="AK155" s="658"/>
      <c r="AL155" s="658"/>
      <c r="AN155" s="670"/>
      <c r="AO155" s="670"/>
      <c r="AP155" s="658"/>
      <c r="AQ155" s="658"/>
      <c r="AR155" s="658"/>
      <c r="AS155" s="658"/>
      <c r="AT155" s="658"/>
      <c r="AU155" s="658"/>
      <c r="AV155" s="658"/>
    </row>
    <row r="156" spans="1:48">
      <c r="AA156" s="658"/>
      <c r="AB156" s="658"/>
      <c r="AC156" s="658"/>
      <c r="AD156" s="658"/>
      <c r="AE156" s="658"/>
      <c r="AF156" s="658"/>
      <c r="AG156" s="658"/>
      <c r="AH156" s="658"/>
      <c r="AI156" s="658"/>
      <c r="AJ156" s="658"/>
      <c r="AK156" s="658"/>
      <c r="AL156" s="658"/>
      <c r="AN156" s="670"/>
      <c r="AO156" s="670"/>
      <c r="AP156" s="658"/>
      <c r="AQ156" s="658"/>
      <c r="AR156" s="658"/>
      <c r="AS156" s="658"/>
      <c r="AT156" s="658"/>
      <c r="AU156" s="658"/>
      <c r="AV156" s="658"/>
    </row>
    <row r="157" spans="1:48">
      <c r="A157" s="441" t="b">
        <f>AND(OR(A147,N132,N139),EIC_trigger,A147,OR(DependentYOU&lt;&gt;"",DependentSPOUSE&lt;&gt;""))</f>
        <v>0</v>
      </c>
      <c r="B157" s="2658" t="str">
        <f>IF(A157,"X","")</f>
        <v/>
      </c>
      <c r="D157" s="1560" t="s">
        <v>1626</v>
      </c>
      <c r="H157" s="2658" t="str">
        <f>IF(N157,"X","")</f>
        <v/>
      </c>
      <c r="J157" s="1560" t="s">
        <v>6491</v>
      </c>
      <c r="N157" s="441" t="b">
        <f>AND(OR(N132,A147,N139),EIC_trigger,B147,DependentYOU="",DependentSPOUSE="")</f>
        <v>0</v>
      </c>
      <c r="O157" s="2441"/>
      <c r="AA157" s="658"/>
      <c r="AB157" s="658"/>
      <c r="AC157" s="658"/>
      <c r="AD157" s="658"/>
      <c r="AE157" s="658"/>
      <c r="AF157" s="658"/>
      <c r="AG157" s="658"/>
      <c r="AH157" s="658"/>
      <c r="AI157" s="658"/>
      <c r="AJ157" s="658"/>
      <c r="AK157" s="658"/>
      <c r="AL157" s="658"/>
      <c r="AN157" s="670"/>
      <c r="AO157" s="670"/>
      <c r="AP157" s="658"/>
      <c r="AQ157" s="658"/>
      <c r="AR157" s="658"/>
      <c r="AS157" s="658"/>
      <c r="AT157" s="658"/>
      <c r="AU157" s="658"/>
      <c r="AV157" s="658"/>
    </row>
    <row r="158" spans="1:48">
      <c r="D158" s="1560" t="s">
        <v>6109</v>
      </c>
      <c r="J158" s="1560" t="s">
        <v>6492</v>
      </c>
      <c r="AA158" s="658"/>
      <c r="AB158" s="658"/>
      <c r="AC158" s="658"/>
      <c r="AD158" s="658"/>
      <c r="AE158" s="658"/>
      <c r="AF158" s="658"/>
      <c r="AG158" s="658"/>
      <c r="AH158" s="658"/>
      <c r="AI158" s="658"/>
      <c r="AJ158" s="658"/>
      <c r="AK158" s="658"/>
      <c r="AL158" s="658"/>
      <c r="AN158" s="670"/>
      <c r="AO158" s="670"/>
      <c r="AP158" s="658"/>
      <c r="AQ158" s="658"/>
      <c r="AR158" s="658"/>
      <c r="AS158" s="658"/>
      <c r="AT158" s="658"/>
      <c r="AU158" s="658"/>
      <c r="AV158" s="658"/>
    </row>
    <row r="159" spans="1:48">
      <c r="D159" s="1560"/>
      <c r="J159" s="1560" t="s">
        <v>6495</v>
      </c>
      <c r="AA159" s="658"/>
      <c r="AB159" s="658"/>
      <c r="AC159" s="658"/>
      <c r="AD159" s="658"/>
      <c r="AE159" s="658"/>
      <c r="AF159" s="658"/>
      <c r="AG159" s="658"/>
      <c r="AH159" s="658"/>
      <c r="AI159" s="658"/>
      <c r="AJ159" s="658"/>
      <c r="AK159" s="658"/>
      <c r="AL159" s="658"/>
      <c r="AN159" s="670"/>
      <c r="AO159" s="670"/>
      <c r="AP159" s="658"/>
      <c r="AQ159" s="658"/>
      <c r="AR159" s="658"/>
      <c r="AS159" s="658"/>
      <c r="AT159" s="658"/>
      <c r="AU159" s="658"/>
      <c r="AV159" s="658"/>
    </row>
    <row r="160" spans="1:48">
      <c r="J160" s="2669" t="s">
        <v>6494</v>
      </c>
      <c r="AA160" s="658"/>
      <c r="AB160" s="658"/>
      <c r="AC160" s="658"/>
      <c r="AD160" s="658"/>
      <c r="AE160" s="658"/>
      <c r="AF160" s="658"/>
      <c r="AG160" s="658"/>
      <c r="AH160" s="658"/>
      <c r="AI160" s="658"/>
      <c r="AJ160" s="658"/>
      <c r="AK160" s="658"/>
      <c r="AL160" s="658"/>
      <c r="AN160" s="670"/>
      <c r="AO160" s="670"/>
      <c r="AP160" s="658"/>
      <c r="AQ160" s="658"/>
      <c r="AR160" s="658"/>
      <c r="AS160" s="658"/>
      <c r="AT160" s="658"/>
      <c r="AU160" s="658"/>
      <c r="AV160" s="658"/>
    </row>
    <row r="161" spans="1:48">
      <c r="J161" s="2669" t="s">
        <v>6493</v>
      </c>
      <c r="AA161" s="658"/>
      <c r="AB161" s="658"/>
      <c r="AC161" s="658"/>
      <c r="AD161" s="658"/>
      <c r="AE161" s="658"/>
      <c r="AF161" s="658"/>
      <c r="AG161" s="658"/>
      <c r="AH161" s="658"/>
      <c r="AI161" s="658"/>
      <c r="AJ161" s="658"/>
      <c r="AK161" s="658"/>
      <c r="AL161" s="658"/>
      <c r="AN161" s="670"/>
      <c r="AO161" s="670"/>
      <c r="AP161" s="658"/>
      <c r="AQ161" s="658"/>
      <c r="AR161" s="658"/>
      <c r="AS161" s="658"/>
      <c r="AT161" s="658"/>
      <c r="AU161" s="658"/>
      <c r="AV161" s="658"/>
    </row>
    <row r="162" spans="1:48">
      <c r="J162" s="226" t="s">
        <v>6490</v>
      </c>
      <c r="AA162" s="658"/>
      <c r="AB162" s="658"/>
      <c r="AC162" s="658"/>
      <c r="AD162" s="658"/>
      <c r="AE162" s="658"/>
      <c r="AF162" s="658"/>
      <c r="AG162" s="658"/>
      <c r="AH162" s="658"/>
      <c r="AI162" s="658"/>
      <c r="AJ162" s="658"/>
      <c r="AK162" s="658"/>
      <c r="AL162" s="658"/>
      <c r="AN162" s="670"/>
      <c r="AO162" s="670"/>
      <c r="AP162" s="658"/>
      <c r="AQ162" s="658"/>
      <c r="AR162" s="658"/>
      <c r="AS162" s="658"/>
      <c r="AT162" s="658"/>
      <c r="AU162" s="658"/>
      <c r="AV162" s="658"/>
    </row>
    <row r="163" spans="1:48" s="2659" customFormat="1" ht="7.5" customHeight="1">
      <c r="B163" s="2660"/>
      <c r="N163" s="2661"/>
      <c r="AA163" s="671"/>
      <c r="AB163" s="671"/>
      <c r="AC163" s="671"/>
      <c r="AD163" s="671"/>
      <c r="AE163" s="671"/>
      <c r="AF163" s="671"/>
      <c r="AG163" s="671"/>
      <c r="AH163" s="671"/>
      <c r="AI163" s="671"/>
      <c r="AJ163" s="671"/>
      <c r="AK163" s="671"/>
      <c r="AL163" s="671"/>
      <c r="AN163" s="672"/>
      <c r="AO163" s="672"/>
      <c r="AP163" s="671"/>
      <c r="AQ163" s="671"/>
      <c r="AR163" s="671"/>
      <c r="AS163" s="671"/>
      <c r="AT163" s="671"/>
      <c r="AU163" s="671"/>
      <c r="AV163" s="671"/>
    </row>
    <row r="164" spans="1:48" s="2445" customFormat="1" ht="15.75">
      <c r="A164" s="2646" t="s">
        <v>1627</v>
      </c>
      <c r="B164" s="2647" t="s">
        <v>1628</v>
      </c>
      <c r="C164" s="2642"/>
      <c r="H164" s="2675" t="str">
        <f>IF(File_Head&lt;&gt;"","Exception","")</f>
        <v/>
      </c>
      <c r="J164" s="6710"/>
      <c r="K164" s="2676" t="b">
        <f>AND(EIC_trigger,O120)</f>
        <v>0</v>
      </c>
      <c r="L164" s="6710"/>
      <c r="M164" s="6710"/>
      <c r="N164" s="6710"/>
      <c r="AA164" s="668"/>
      <c r="AB164" s="668"/>
      <c r="AC164" s="668"/>
      <c r="AD164" s="668"/>
      <c r="AE164" s="668"/>
      <c r="AF164" s="668"/>
      <c r="AG164" s="668"/>
      <c r="AH164" s="668"/>
      <c r="AI164" s="668"/>
      <c r="AJ164" s="668"/>
      <c r="AK164" s="668"/>
      <c r="AL164" s="668"/>
      <c r="AN164" s="669"/>
      <c r="AO164" s="669"/>
      <c r="AP164" s="668"/>
      <c r="AQ164" s="668"/>
      <c r="AR164" s="668"/>
      <c r="AS164" s="668"/>
      <c r="AT164" s="668"/>
      <c r="AU164" s="668"/>
      <c r="AV164" s="668"/>
    </row>
    <row r="165" spans="1:48" s="2445" customFormat="1" ht="15.75">
      <c r="A165" s="2502"/>
      <c r="B165" s="2647"/>
      <c r="C165" s="2642"/>
      <c r="H165" s="2675" t="str">
        <f>IF(File_Head&lt;&gt;"","applies.","")</f>
        <v/>
      </c>
      <c r="J165" s="6710"/>
      <c r="K165" s="6710"/>
      <c r="L165" s="6710"/>
      <c r="M165" s="6710"/>
      <c r="N165" s="6710"/>
      <c r="AA165" s="668"/>
      <c r="AB165" s="668"/>
      <c r="AC165" s="668"/>
      <c r="AD165" s="668"/>
      <c r="AE165" s="668"/>
      <c r="AF165" s="668"/>
      <c r="AG165" s="668"/>
      <c r="AH165" s="668"/>
      <c r="AI165" s="668"/>
      <c r="AJ165" s="668"/>
      <c r="AK165" s="668"/>
      <c r="AL165" s="668"/>
      <c r="AN165" s="669"/>
      <c r="AO165" s="669"/>
      <c r="AP165" s="668"/>
      <c r="AQ165" s="668"/>
      <c r="AR165" s="668"/>
      <c r="AS165" s="668"/>
      <c r="AT165" s="668"/>
      <c r="AU165" s="668"/>
      <c r="AV165" s="668"/>
    </row>
    <row r="166" spans="1:48" ht="12.75" customHeight="1">
      <c r="A166" s="2502"/>
      <c r="C166" s="2502"/>
      <c r="H166" s="6714"/>
      <c r="J166" s="8014" t="str">
        <f>IF(File_Head&lt;&gt;"","HOH EXCEPTION: You are considered unmarried if you are married but lived apart from your spouse for the last 6 months of 2025 and you meet the other rules under Married persons who live apart OR your spouse was a nonresident alien. (See instructions.)","")</f>
        <v/>
      </c>
      <c r="K166" s="8014"/>
      <c r="L166" s="8014"/>
      <c r="M166" s="8014"/>
      <c r="N166" s="8014"/>
      <c r="O166" s="6712"/>
      <c r="P166" s="6712"/>
      <c r="Q166" s="6712"/>
      <c r="R166" s="6712"/>
      <c r="S166" s="6712"/>
      <c r="T166" s="6712"/>
      <c r="U166" s="6712"/>
      <c r="V166" s="6712"/>
      <c r="W166" s="6712"/>
      <c r="X166" s="6712"/>
      <c r="Y166" s="6712"/>
      <c r="AA166" s="658"/>
      <c r="AB166" s="658"/>
      <c r="AC166" s="658"/>
      <c r="AD166" s="658"/>
      <c r="AE166" s="658"/>
      <c r="AF166" s="658"/>
      <c r="AG166" s="658"/>
      <c r="AH166" s="658"/>
      <c r="AI166" s="658"/>
      <c r="AJ166" s="658"/>
      <c r="AK166" s="658"/>
      <c r="AL166" s="658"/>
      <c r="AN166" s="670"/>
      <c r="AO166" s="670"/>
      <c r="AP166" s="658"/>
      <c r="AQ166" s="658"/>
      <c r="AR166" s="658"/>
      <c r="AS166" s="658"/>
      <c r="AT166" s="658"/>
      <c r="AU166" s="658"/>
      <c r="AV166" s="658"/>
    </row>
    <row r="167" spans="1:48">
      <c r="B167" s="2664"/>
      <c r="C167" s="2648" t="s">
        <v>157</v>
      </c>
      <c r="D167" s="1560" t="s">
        <v>6703</v>
      </c>
      <c r="J167" s="8014"/>
      <c r="K167" s="8014"/>
      <c r="L167" s="8014"/>
      <c r="M167" s="8014"/>
      <c r="N167" s="8014"/>
      <c r="O167" s="6712"/>
      <c r="P167" s="6712"/>
      <c r="Q167" s="6712"/>
      <c r="R167" s="6712"/>
      <c r="S167" s="6712"/>
      <c r="T167" s="6712"/>
      <c r="U167" s="6712"/>
      <c r="V167" s="6712"/>
      <c r="W167" s="6712"/>
      <c r="X167" s="6712"/>
      <c r="Y167" s="6712"/>
      <c r="AA167" s="658"/>
      <c r="AB167" s="658"/>
      <c r="AC167" s="658"/>
      <c r="AD167" s="658"/>
      <c r="AE167" s="658"/>
      <c r="AF167" s="658"/>
      <c r="AG167" s="658"/>
      <c r="AH167" s="658"/>
      <c r="AI167" s="658"/>
      <c r="AJ167" s="658"/>
      <c r="AK167" s="658"/>
      <c r="AL167" s="658"/>
      <c r="AN167" s="670"/>
      <c r="AO167" s="670"/>
      <c r="AP167" s="658"/>
      <c r="AQ167" s="658"/>
      <c r="AR167" s="658"/>
      <c r="AS167" s="658"/>
      <c r="AT167" s="658"/>
      <c r="AU167" s="658"/>
      <c r="AV167" s="658"/>
    </row>
    <row r="168" spans="1:48">
      <c r="B168" s="2664"/>
      <c r="C168" s="2648"/>
      <c r="D168" s="1560" t="s">
        <v>6704</v>
      </c>
      <c r="J168" s="8014"/>
      <c r="K168" s="8014"/>
      <c r="L168" s="8014"/>
      <c r="M168" s="8014"/>
      <c r="N168" s="8014"/>
      <c r="O168" s="6712"/>
      <c r="P168" s="6712"/>
      <c r="Q168" s="6712"/>
      <c r="R168" s="6712"/>
      <c r="S168" s="6712"/>
      <c r="T168" s="6712"/>
      <c r="U168" s="6712"/>
      <c r="V168" s="6712"/>
      <c r="W168" s="6712"/>
      <c r="X168" s="6712"/>
      <c r="Y168" s="6712"/>
      <c r="AA168" s="658"/>
      <c r="AB168" s="658"/>
      <c r="AC168" s="658"/>
      <c r="AD168" s="658"/>
      <c r="AE168" s="658"/>
      <c r="AF168" s="658"/>
      <c r="AG168" s="658"/>
      <c r="AH168" s="658"/>
      <c r="AI168" s="658"/>
      <c r="AJ168" s="658"/>
      <c r="AK168" s="658"/>
      <c r="AL168" s="658"/>
      <c r="AN168" s="670"/>
      <c r="AO168" s="670"/>
      <c r="AP168" s="658"/>
      <c r="AQ168" s="658"/>
      <c r="AR168" s="658"/>
      <c r="AS168" s="658"/>
      <c r="AT168" s="658"/>
      <c r="AU168" s="658"/>
      <c r="AV168" s="658"/>
    </row>
    <row r="169" spans="1:48">
      <c r="C169" s="2648"/>
      <c r="D169" s="1560" t="s">
        <v>6705</v>
      </c>
      <c r="J169" s="8014"/>
      <c r="K169" s="8014"/>
      <c r="L169" s="8014"/>
      <c r="M169" s="8014"/>
      <c r="N169" s="8014"/>
      <c r="O169" s="6713"/>
      <c r="AA169" s="658"/>
      <c r="AB169" s="658"/>
      <c r="AC169" s="658"/>
      <c r="AD169" s="658"/>
      <c r="AE169" s="658"/>
      <c r="AF169" s="658"/>
      <c r="AG169" s="658"/>
      <c r="AH169" s="658"/>
      <c r="AI169" s="658"/>
      <c r="AJ169" s="658"/>
      <c r="AK169" s="658"/>
      <c r="AL169" s="658"/>
      <c r="AN169" s="670"/>
      <c r="AO169" s="670"/>
      <c r="AP169" s="658"/>
      <c r="AQ169" s="658"/>
      <c r="AR169" s="658"/>
      <c r="AS169" s="658"/>
      <c r="AT169" s="658"/>
      <c r="AU169" s="658"/>
      <c r="AV169" s="658"/>
    </row>
    <row r="170" spans="1:48">
      <c r="C170" s="2648"/>
      <c r="J170" s="8014"/>
      <c r="K170" s="8014"/>
      <c r="L170" s="8014"/>
      <c r="M170" s="8014"/>
      <c r="N170" s="8014"/>
      <c r="O170" s="6713"/>
      <c r="AA170" s="658"/>
      <c r="AB170" s="658"/>
      <c r="AC170" s="658"/>
      <c r="AD170" s="658"/>
      <c r="AE170" s="658"/>
      <c r="AF170" s="658"/>
      <c r="AG170" s="658"/>
      <c r="AH170" s="658"/>
      <c r="AI170" s="658"/>
      <c r="AJ170" s="658"/>
      <c r="AK170" s="658"/>
      <c r="AL170" s="658"/>
      <c r="AN170" s="670"/>
      <c r="AO170" s="670"/>
      <c r="AP170" s="658"/>
      <c r="AQ170" s="658"/>
      <c r="AR170" s="658"/>
      <c r="AS170" s="658"/>
      <c r="AT170" s="658"/>
      <c r="AU170" s="658"/>
      <c r="AV170" s="658"/>
    </row>
    <row r="171" spans="1:48">
      <c r="C171" s="2648"/>
      <c r="J171" s="6711"/>
      <c r="K171" s="6711"/>
      <c r="L171" s="6711"/>
      <c r="M171" s="6711"/>
      <c r="N171" s="6711"/>
      <c r="O171" s="6713"/>
      <c r="AA171" s="658"/>
      <c r="AB171" s="658"/>
      <c r="AC171" s="658"/>
      <c r="AD171" s="658"/>
      <c r="AE171" s="658"/>
      <c r="AF171" s="658"/>
      <c r="AG171" s="658"/>
      <c r="AH171" s="658"/>
      <c r="AI171" s="658"/>
      <c r="AJ171" s="658"/>
      <c r="AK171" s="658"/>
      <c r="AL171" s="658"/>
      <c r="AN171" s="670"/>
      <c r="AO171" s="670"/>
      <c r="AP171" s="658"/>
      <c r="AQ171" s="658"/>
      <c r="AR171" s="658"/>
      <c r="AS171" s="658"/>
      <c r="AT171" s="658"/>
      <c r="AU171" s="658"/>
      <c r="AV171" s="658"/>
    </row>
    <row r="172" spans="1:48">
      <c r="A172" s="441" t="b">
        <f>AND(K164,OR(File_Marr_Sep&lt;&gt;"",AND(File_Head&lt;&gt;"",H166="")))</f>
        <v>0</v>
      </c>
      <c r="B172" s="2658" t="str">
        <f>IF(A172,"X","")</f>
        <v/>
      </c>
      <c r="D172" s="1560" t="s">
        <v>1629</v>
      </c>
      <c r="G172" s="441" t="b">
        <f>AND(K164,NOT(A172))</f>
        <v>0</v>
      </c>
      <c r="H172" s="2658" t="str">
        <f>IF(G172,"X","")</f>
        <v/>
      </c>
      <c r="J172" s="1560" t="s">
        <v>1630</v>
      </c>
      <c r="M172" s="2677"/>
      <c r="AA172" s="658"/>
      <c r="AB172" s="658"/>
      <c r="AC172" s="658"/>
      <c r="AD172" s="658"/>
      <c r="AE172" s="658"/>
      <c r="AF172" s="658"/>
      <c r="AG172" s="658"/>
      <c r="AH172" s="658"/>
      <c r="AI172" s="658"/>
      <c r="AJ172" s="658"/>
      <c r="AK172" s="658"/>
      <c r="AL172" s="658"/>
      <c r="AN172" s="670"/>
      <c r="AO172" s="670"/>
      <c r="AP172" s="658"/>
      <c r="AQ172" s="658"/>
      <c r="AR172" s="658"/>
      <c r="AS172" s="658"/>
      <c r="AT172" s="658"/>
      <c r="AU172" s="658"/>
      <c r="AV172" s="658"/>
    </row>
    <row r="173" spans="1:48">
      <c r="A173" s="2502"/>
      <c r="C173" s="2502"/>
      <c r="D173" s="1560" t="s">
        <v>1622</v>
      </c>
      <c r="AA173" s="658"/>
      <c r="AB173" s="658"/>
      <c r="AC173" s="658"/>
      <c r="AD173" s="658"/>
      <c r="AE173" s="658"/>
      <c r="AF173" s="658"/>
      <c r="AG173" s="658"/>
      <c r="AH173" s="658"/>
      <c r="AI173" s="658"/>
      <c r="AJ173" s="658"/>
      <c r="AK173" s="658"/>
      <c r="AL173" s="658"/>
      <c r="AN173" s="670"/>
      <c r="AO173" s="670"/>
      <c r="AP173" s="658"/>
      <c r="AQ173" s="658"/>
      <c r="AR173" s="658"/>
      <c r="AS173" s="658"/>
      <c r="AT173" s="658"/>
      <c r="AU173" s="658"/>
      <c r="AV173" s="658"/>
    </row>
    <row r="174" spans="1:48" ht="6.75" customHeight="1">
      <c r="A174" s="2502"/>
      <c r="C174" s="2502"/>
      <c r="AA174" s="658"/>
      <c r="AB174" s="658"/>
      <c r="AC174" s="658"/>
      <c r="AD174" s="658"/>
      <c r="AE174" s="658"/>
      <c r="AF174" s="658"/>
      <c r="AG174" s="658"/>
      <c r="AH174" s="658"/>
      <c r="AI174" s="658"/>
      <c r="AJ174" s="658"/>
      <c r="AK174" s="658"/>
      <c r="AL174" s="658"/>
      <c r="AN174" s="670"/>
      <c r="AO174" s="670"/>
      <c r="AP174" s="658"/>
      <c r="AQ174" s="658"/>
      <c r="AR174" s="658"/>
      <c r="AS174" s="658"/>
      <c r="AT174" s="658"/>
      <c r="AU174" s="658"/>
      <c r="AV174" s="658"/>
    </row>
    <row r="175" spans="1:48" ht="6.75" customHeight="1">
      <c r="C175" s="1839"/>
      <c r="D175" s="1839"/>
      <c r="E175" s="1839"/>
      <c r="F175" s="1839"/>
      <c r="G175" s="1839"/>
      <c r="H175" s="1839"/>
      <c r="I175" s="1839"/>
      <c r="J175" s="1839"/>
      <c r="K175" s="1839"/>
      <c r="L175" s="1839"/>
      <c r="M175" s="1839"/>
      <c r="AA175" s="658"/>
      <c r="AB175" s="658"/>
      <c r="AC175" s="658"/>
      <c r="AD175" s="658"/>
      <c r="AE175" s="658"/>
      <c r="AF175" s="658"/>
      <c r="AG175" s="658"/>
      <c r="AH175" s="658"/>
      <c r="AI175" s="658"/>
      <c r="AJ175" s="658"/>
      <c r="AK175" s="658"/>
      <c r="AL175" s="658"/>
      <c r="AN175" s="670"/>
      <c r="AO175" s="670"/>
      <c r="AP175" s="658"/>
      <c r="AQ175" s="658"/>
      <c r="AR175" s="658"/>
      <c r="AS175" s="658"/>
      <c r="AT175" s="658"/>
      <c r="AU175" s="658"/>
      <c r="AV175" s="658"/>
    </row>
    <row r="176" spans="1:48">
      <c r="B176" s="2664"/>
      <c r="C176" s="220" t="s">
        <v>161</v>
      </c>
      <c r="D176" s="1560" t="s">
        <v>1631</v>
      </c>
      <c r="L176" s="2643" t="str">
        <f>IF(K164,"Your age:","")</f>
        <v/>
      </c>
      <c r="M176" s="2502" t="str">
        <f>IF(K164,YourAge,"")</f>
        <v/>
      </c>
      <c r="N176" s="441">
        <v>25</v>
      </c>
      <c r="AA176" s="658"/>
      <c r="AB176" s="658"/>
      <c r="AC176" s="658"/>
      <c r="AD176" s="658"/>
      <c r="AE176" s="658"/>
      <c r="AF176" s="658"/>
      <c r="AG176" s="658"/>
      <c r="AH176" s="658"/>
      <c r="AI176" s="658"/>
      <c r="AJ176" s="658"/>
      <c r="AK176" s="658"/>
      <c r="AL176" s="658"/>
      <c r="AN176" s="670"/>
      <c r="AO176" s="670"/>
      <c r="AP176" s="658"/>
      <c r="AQ176" s="658"/>
      <c r="AR176" s="658"/>
      <c r="AS176" s="658"/>
      <c r="AT176" s="658"/>
      <c r="AU176" s="658"/>
      <c r="AV176" s="658"/>
    </row>
    <row r="177" spans="1:48">
      <c r="B177" s="2664"/>
      <c r="C177" s="2648"/>
      <c r="D177" s="1560" t="str">
        <f>N176&amp;" but under age "&amp;N177&amp;" at the end of "&amp;TaxYear&amp;"?"</f>
        <v>25 but under age 65 at the end of 2025?</v>
      </c>
      <c r="L177" s="2643" t="str">
        <f>IF(File_Marr_Joint&lt;&gt;"","Spouse age:","")</f>
        <v/>
      </c>
      <c r="M177" s="2502" t="str">
        <f>IF(File_Marr_Joint&lt;&gt;"",SpouseAge,"")</f>
        <v/>
      </c>
      <c r="N177" s="441">
        <v>65</v>
      </c>
      <c r="AA177" s="658"/>
      <c r="AB177" s="658"/>
      <c r="AC177" s="658"/>
      <c r="AD177" s="658"/>
      <c r="AE177" s="658"/>
      <c r="AF177" s="658"/>
      <c r="AG177" s="658"/>
      <c r="AH177" s="658"/>
      <c r="AI177" s="658"/>
      <c r="AJ177" s="658"/>
      <c r="AK177" s="658"/>
      <c r="AL177" s="658"/>
      <c r="AN177" s="670"/>
      <c r="AO177" s="670"/>
      <c r="AP177" s="658"/>
      <c r="AQ177" s="658"/>
      <c r="AR177" s="658"/>
      <c r="AS177" s="658"/>
      <c r="AT177" s="658"/>
      <c r="AU177" s="658"/>
      <c r="AV177" s="658"/>
    </row>
    <row r="178" spans="1:48">
      <c r="B178" s="2664"/>
      <c r="C178" s="2648"/>
      <c r="D178" s="1560"/>
      <c r="K178" s="2643"/>
      <c r="L178" s="2502"/>
      <c r="AA178" s="658"/>
      <c r="AB178" s="658"/>
      <c r="AC178" s="658"/>
      <c r="AD178" s="658"/>
      <c r="AE178" s="658"/>
      <c r="AF178" s="658"/>
      <c r="AG178" s="658"/>
      <c r="AH178" s="658"/>
      <c r="AI178" s="658"/>
      <c r="AJ178" s="658"/>
      <c r="AK178" s="658"/>
      <c r="AL178" s="658"/>
      <c r="AN178" s="670"/>
      <c r="AO178" s="670"/>
      <c r="AP178" s="658"/>
      <c r="AQ178" s="658"/>
      <c r="AR178" s="658"/>
      <c r="AS178" s="658"/>
      <c r="AT178" s="658"/>
      <c r="AU178" s="658"/>
      <c r="AV178" s="658"/>
    </row>
    <row r="179" spans="1:48">
      <c r="B179" s="2664"/>
      <c r="C179" s="2648"/>
      <c r="D179" s="1560" t="s">
        <v>1632</v>
      </c>
      <c r="K179" s="2643"/>
      <c r="L179" s="2502"/>
      <c r="AA179" s="658"/>
      <c r="AB179" s="658"/>
      <c r="AC179" s="658"/>
      <c r="AD179" s="658"/>
      <c r="AE179" s="658"/>
      <c r="AF179" s="658"/>
      <c r="AG179" s="658"/>
      <c r="AH179" s="658"/>
      <c r="AI179" s="658"/>
      <c r="AJ179" s="658"/>
      <c r="AK179" s="658"/>
      <c r="AL179" s="658"/>
      <c r="AN179" s="670"/>
      <c r="AO179" s="670"/>
      <c r="AP179" s="658"/>
      <c r="AQ179" s="658"/>
      <c r="AR179" s="658"/>
      <c r="AS179" s="658"/>
      <c r="AT179" s="658"/>
      <c r="AU179" s="658"/>
      <c r="AV179" s="658"/>
    </row>
    <row r="180" spans="1:48">
      <c r="B180" s="2664"/>
      <c r="C180" s="2648"/>
      <c r="D180" s="1560" t="str">
        <f>"were born after December 31, "&amp;TaxYear-N177&amp;", and before January 2, "&amp;TaxYear-N176+1&amp;".)"</f>
        <v>were born after December 31, 1960, and before January 2, 2001.)</v>
      </c>
      <c r="AA180" s="658"/>
      <c r="AB180" s="658"/>
      <c r="AC180" s="658"/>
      <c r="AD180" s="658"/>
      <c r="AE180" s="658"/>
      <c r="AF180" s="658"/>
      <c r="AG180" s="658"/>
      <c r="AH180" s="658"/>
      <c r="AI180" s="658"/>
      <c r="AJ180" s="658"/>
      <c r="AK180" s="658"/>
      <c r="AL180" s="658"/>
      <c r="AN180" s="670"/>
      <c r="AO180" s="670"/>
      <c r="AP180" s="658"/>
      <c r="AQ180" s="658"/>
      <c r="AR180" s="658"/>
      <c r="AS180" s="658"/>
      <c r="AT180" s="658"/>
      <c r="AU180" s="658"/>
      <c r="AV180" s="658"/>
    </row>
    <row r="181" spans="1:48">
      <c r="B181" s="2664"/>
      <c r="C181" s="2648"/>
      <c r="D181" s="1560"/>
      <c r="AA181" s="658"/>
      <c r="AB181" s="658"/>
      <c r="AC181" s="658"/>
      <c r="AD181" s="658"/>
      <c r="AE181" s="658"/>
      <c r="AF181" s="658"/>
      <c r="AG181" s="658"/>
      <c r="AH181" s="658"/>
      <c r="AI181" s="658"/>
      <c r="AJ181" s="658"/>
      <c r="AK181" s="658"/>
      <c r="AL181" s="658"/>
      <c r="AN181" s="670"/>
      <c r="AO181" s="670"/>
      <c r="AP181" s="658"/>
      <c r="AQ181" s="658"/>
      <c r="AR181" s="658"/>
      <c r="AS181" s="658"/>
      <c r="AT181" s="658"/>
      <c r="AU181" s="658"/>
      <c r="AV181" s="658"/>
    </row>
    <row r="182" spans="1:48">
      <c r="B182" s="2664"/>
      <c r="C182" s="2648"/>
      <c r="D182" s="1560" t="str">
        <f>"If your spouse died in "&amp;TaxYear&amp;" or if you are preparing a return for"</f>
        <v>If your spouse died in 2025 or if you are preparing a return for</v>
      </c>
      <c r="AA182" s="658"/>
      <c r="AB182" s="658"/>
      <c r="AC182" s="658"/>
      <c r="AD182" s="658"/>
      <c r="AE182" s="658"/>
      <c r="AF182" s="658"/>
      <c r="AG182" s="658"/>
      <c r="AH182" s="658"/>
      <c r="AI182" s="658"/>
      <c r="AJ182" s="658"/>
      <c r="AK182" s="658"/>
      <c r="AL182" s="658"/>
      <c r="AN182" s="670"/>
      <c r="AO182" s="670"/>
      <c r="AP182" s="658"/>
      <c r="AQ182" s="658"/>
      <c r="AR182" s="658"/>
      <c r="AS182" s="658"/>
      <c r="AT182" s="658"/>
      <c r="AU182" s="658"/>
      <c r="AV182" s="658"/>
    </row>
    <row r="183" spans="1:48">
      <c r="B183" s="2664"/>
      <c r="C183" s="2648"/>
      <c r="D183" s="1560" t="str">
        <f>"someone who died in "&amp;TaxYear&amp;", see Pub. 596 before you answer."</f>
        <v>someone who died in 2025, see Pub. 596 before you answer.</v>
      </c>
      <c r="AA183" s="658"/>
      <c r="AB183" s="658"/>
      <c r="AC183" s="658"/>
      <c r="AD183" s="658"/>
      <c r="AE183" s="658"/>
      <c r="AF183" s="658"/>
      <c r="AG183" s="658"/>
      <c r="AH183" s="658"/>
      <c r="AI183" s="658"/>
      <c r="AJ183" s="658"/>
      <c r="AK183" s="658"/>
      <c r="AL183" s="658"/>
      <c r="AN183" s="670"/>
      <c r="AO183" s="670"/>
      <c r="AP183" s="658"/>
      <c r="AQ183" s="658"/>
      <c r="AR183" s="658"/>
      <c r="AS183" s="658"/>
      <c r="AT183" s="658"/>
      <c r="AU183" s="658"/>
      <c r="AV183" s="658"/>
    </row>
    <row r="184" spans="1:48">
      <c r="C184" s="2648"/>
      <c r="AA184" s="658"/>
      <c r="AB184" s="658"/>
      <c r="AC184" s="658"/>
      <c r="AD184" s="658"/>
      <c r="AE184" s="658"/>
      <c r="AF184" s="658"/>
      <c r="AG184" s="658"/>
      <c r="AH184" s="658"/>
      <c r="AI184" s="658"/>
      <c r="AJ184" s="658"/>
      <c r="AK184" s="658"/>
      <c r="AL184" s="658"/>
      <c r="AN184" s="670"/>
      <c r="AO184" s="670"/>
      <c r="AP184" s="658"/>
      <c r="AQ184" s="658"/>
      <c r="AR184" s="658"/>
      <c r="AS184" s="658"/>
      <c r="AT184" s="658"/>
      <c r="AU184" s="658"/>
      <c r="AV184" s="658"/>
    </row>
    <row r="185" spans="1:48">
      <c r="A185" s="441" t="b">
        <f>AND(K164,G172,OR(AND(File_Marr_Joint&lt;&gt;"",OR(AND(YourAge&gt;=N176,YourAge&lt;N177),AND(SpouseAge&gt;=N176,SpouseAge&lt;N177))),AND(YourAge&gt;=N176,YourAge&lt;N177)))</f>
        <v>0</v>
      </c>
      <c r="B185" s="2658" t="str">
        <f>IF(A185,"X","")</f>
        <v/>
      </c>
      <c r="D185" s="1560" t="s">
        <v>1633</v>
      </c>
      <c r="G185" s="441" t="b">
        <f>AND(K164,G172,NOT(A185))</f>
        <v>0</v>
      </c>
      <c r="H185" s="2658" t="str">
        <f>IF(G185,"X","")</f>
        <v/>
      </c>
      <c r="J185" s="1560" t="s">
        <v>1634</v>
      </c>
      <c r="N185" s="2677"/>
      <c r="Q185" s="2677"/>
      <c r="AA185" s="658"/>
      <c r="AB185" s="658"/>
      <c r="AC185" s="658"/>
      <c r="AD185" s="658"/>
      <c r="AE185" s="658"/>
      <c r="AF185" s="658"/>
      <c r="AG185" s="658"/>
      <c r="AH185" s="658"/>
      <c r="AI185" s="658"/>
      <c r="AJ185" s="658"/>
      <c r="AK185" s="658"/>
      <c r="AL185" s="658"/>
      <c r="AN185" s="670"/>
      <c r="AO185" s="670"/>
      <c r="AP185" s="658"/>
      <c r="AQ185" s="658"/>
      <c r="AR185" s="658"/>
      <c r="AS185" s="658"/>
      <c r="AT185" s="658"/>
      <c r="AU185" s="658"/>
      <c r="AV185" s="658"/>
    </row>
    <row r="186" spans="1:48">
      <c r="A186" s="2502"/>
      <c r="C186" s="2502"/>
      <c r="D186" s="1560"/>
      <c r="J186" s="1560" t="s">
        <v>1635</v>
      </c>
      <c r="AA186" s="658"/>
      <c r="AB186" s="658"/>
      <c r="AC186" s="658"/>
      <c r="AD186" s="658"/>
      <c r="AE186" s="658"/>
      <c r="AF186" s="658"/>
      <c r="AG186" s="658"/>
      <c r="AH186" s="658"/>
      <c r="AI186" s="658"/>
      <c r="AJ186" s="658"/>
      <c r="AK186" s="658"/>
      <c r="AL186" s="658"/>
      <c r="AN186" s="670"/>
      <c r="AO186" s="670"/>
      <c r="AP186" s="658"/>
      <c r="AQ186" s="658"/>
      <c r="AR186" s="658"/>
      <c r="AS186" s="658"/>
      <c r="AT186" s="658"/>
      <c r="AU186" s="658"/>
      <c r="AV186" s="658"/>
    </row>
    <row r="187" spans="1:48" s="2423" customFormat="1">
      <c r="A187" s="2502"/>
      <c r="B187" s="2502"/>
      <c r="C187" s="2502"/>
      <c r="D187" s="2415"/>
      <c r="N187" s="2678"/>
      <c r="AA187" s="713"/>
      <c r="AB187" s="713"/>
      <c r="AC187" s="713"/>
      <c r="AD187" s="713"/>
      <c r="AE187" s="713"/>
      <c r="AF187" s="713"/>
      <c r="AG187" s="713"/>
      <c r="AH187" s="713"/>
      <c r="AI187" s="713"/>
      <c r="AJ187" s="713"/>
      <c r="AK187" s="713"/>
      <c r="AL187" s="713"/>
      <c r="AN187" s="1333"/>
      <c r="AO187" s="1333"/>
      <c r="AP187" s="713"/>
      <c r="AQ187" s="713"/>
      <c r="AR187" s="713"/>
      <c r="AS187" s="713"/>
      <c r="AT187" s="713"/>
      <c r="AU187" s="713"/>
      <c r="AV187" s="713"/>
    </row>
    <row r="188" spans="1:48">
      <c r="A188" s="2502"/>
      <c r="C188" s="2501"/>
      <c r="D188" s="1843"/>
      <c r="E188" s="1839"/>
      <c r="F188" s="1839"/>
      <c r="G188" s="1839"/>
      <c r="H188" s="1839"/>
      <c r="I188" s="1839"/>
      <c r="J188" s="1839"/>
      <c r="K188" s="1839"/>
      <c r="AA188" s="658"/>
      <c r="AB188" s="658"/>
      <c r="AC188" s="658"/>
      <c r="AD188" s="658"/>
      <c r="AE188" s="658"/>
      <c r="AF188" s="658"/>
      <c r="AG188" s="658"/>
      <c r="AH188" s="658"/>
      <c r="AI188" s="658"/>
      <c r="AJ188" s="658"/>
      <c r="AK188" s="658"/>
      <c r="AL188" s="658"/>
      <c r="AN188" s="670"/>
      <c r="AO188" s="670"/>
      <c r="AP188" s="658"/>
      <c r="AQ188" s="658"/>
      <c r="AR188" s="658"/>
      <c r="AS188" s="658"/>
      <c r="AT188" s="658"/>
      <c r="AU188" s="658"/>
      <c r="AV188" s="658"/>
    </row>
    <row r="189" spans="1:48">
      <c r="B189" s="2664"/>
      <c r="C189" s="220" t="s">
        <v>167</v>
      </c>
      <c r="D189" s="1560" t="s">
        <v>1636</v>
      </c>
      <c r="AA189" s="658"/>
      <c r="AB189" s="658"/>
      <c r="AC189" s="658"/>
      <c r="AD189" s="658"/>
      <c r="AE189" s="658"/>
      <c r="AF189" s="658"/>
      <c r="AG189" s="658"/>
      <c r="AH189" s="658"/>
      <c r="AI189" s="658"/>
      <c r="AJ189" s="658"/>
      <c r="AK189" s="658"/>
      <c r="AL189" s="658"/>
      <c r="AN189" s="670"/>
      <c r="AO189" s="670"/>
      <c r="AP189" s="658"/>
      <c r="AQ189" s="658"/>
      <c r="AR189" s="658"/>
      <c r="AS189" s="658"/>
      <c r="AT189" s="658"/>
      <c r="AU189" s="658"/>
      <c r="AV189" s="658"/>
    </row>
    <row r="190" spans="1:48">
      <c r="B190" s="2664"/>
      <c r="C190" s="2648"/>
      <c r="D190" s="1560" t="str">
        <f>"return, in the United States for more than half of "&amp;TaxYear&amp;"?"</f>
        <v>return, in the United States for more than half of 2025?</v>
      </c>
      <c r="F190" s="1560"/>
      <c r="AA190" s="658"/>
      <c r="AB190" s="658"/>
      <c r="AC190" s="658"/>
      <c r="AD190" s="658"/>
      <c r="AE190" s="658"/>
      <c r="AF190" s="658"/>
      <c r="AG190" s="658"/>
      <c r="AH190" s="658"/>
      <c r="AI190" s="658"/>
      <c r="AJ190" s="658"/>
      <c r="AK190" s="658"/>
      <c r="AL190" s="658"/>
      <c r="AN190" s="670"/>
      <c r="AO190" s="670"/>
      <c r="AP190" s="658"/>
      <c r="AQ190" s="658"/>
      <c r="AR190" s="658"/>
      <c r="AS190" s="658"/>
      <c r="AT190" s="658"/>
      <c r="AU190" s="658"/>
      <c r="AV190" s="658"/>
    </row>
    <row r="191" spans="1:48">
      <c r="B191" s="2664"/>
      <c r="C191" s="2648"/>
      <c r="D191" s="1560" t="s">
        <v>6496</v>
      </c>
      <c r="F191" s="1560"/>
      <c r="AA191" s="658"/>
      <c r="AB191" s="658"/>
      <c r="AC191" s="658"/>
      <c r="AD191" s="658"/>
      <c r="AE191" s="658"/>
      <c r="AF191" s="658"/>
      <c r="AG191" s="658"/>
      <c r="AH191" s="658"/>
      <c r="AI191" s="658"/>
      <c r="AJ191" s="658"/>
      <c r="AK191" s="658"/>
      <c r="AL191" s="658"/>
      <c r="AN191" s="670"/>
      <c r="AO191" s="670"/>
      <c r="AP191" s="658"/>
      <c r="AQ191" s="658"/>
      <c r="AR191" s="658"/>
      <c r="AS191" s="658"/>
      <c r="AT191" s="658"/>
      <c r="AU191" s="658"/>
      <c r="AV191" s="658"/>
    </row>
    <row r="192" spans="1:48">
      <c r="B192" s="2664"/>
      <c r="C192" s="2648"/>
      <c r="D192" s="1560" t="s">
        <v>6497</v>
      </c>
      <c r="F192" s="1560"/>
      <c r="AA192" s="658"/>
      <c r="AB192" s="658"/>
      <c r="AC192" s="658"/>
      <c r="AD192" s="658"/>
      <c r="AE192" s="658"/>
      <c r="AF192" s="658"/>
      <c r="AG192" s="658"/>
      <c r="AH192" s="658"/>
      <c r="AI192" s="658"/>
      <c r="AJ192" s="658"/>
      <c r="AK192" s="658"/>
      <c r="AL192" s="658"/>
      <c r="AN192" s="670"/>
      <c r="AO192" s="670"/>
      <c r="AP192" s="658"/>
      <c r="AQ192" s="658"/>
      <c r="AR192" s="658"/>
      <c r="AS192" s="658"/>
      <c r="AT192" s="658"/>
      <c r="AU192" s="658"/>
      <c r="AV192" s="658"/>
    </row>
    <row r="193" spans="1:48">
      <c r="B193" s="2664"/>
      <c r="C193" s="2648"/>
      <c r="D193" s="1560" t="str">
        <f>"was in the United States for more than half of "&amp;TaxYear&amp;", check the"</f>
        <v>was in the United States for more than half of 2025, check the</v>
      </c>
      <c r="F193" s="1560"/>
      <c r="AA193" s="658"/>
      <c r="AB193" s="658"/>
      <c r="AC193" s="658"/>
      <c r="AD193" s="658"/>
      <c r="AE193" s="658"/>
      <c r="AF193" s="658"/>
      <c r="AG193" s="658"/>
      <c r="AH193" s="658"/>
      <c r="AI193" s="658"/>
      <c r="AJ193" s="658"/>
      <c r="AK193" s="658"/>
      <c r="AL193" s="658"/>
      <c r="AN193" s="670"/>
      <c r="AO193" s="670"/>
      <c r="AP193" s="658"/>
      <c r="AQ193" s="658"/>
      <c r="AR193" s="658"/>
      <c r="AS193" s="658"/>
      <c r="AT193" s="658"/>
      <c r="AU193" s="658"/>
      <c r="AV193" s="658"/>
    </row>
    <row r="194" spans="1:48">
      <c r="B194" s="2664"/>
      <c r="C194" s="2648"/>
      <c r="D194" s="1560" t="s">
        <v>6499</v>
      </c>
      <c r="F194" s="1560"/>
      <c r="AA194" s="658"/>
      <c r="AB194" s="658"/>
      <c r="AC194" s="658"/>
      <c r="AD194" s="658"/>
      <c r="AE194" s="658"/>
      <c r="AF194" s="658"/>
      <c r="AG194" s="658"/>
      <c r="AH194" s="658"/>
      <c r="AI194" s="658"/>
      <c r="AJ194" s="658"/>
      <c r="AK194" s="658"/>
      <c r="AL194" s="658"/>
      <c r="AN194" s="670"/>
      <c r="AO194" s="670"/>
      <c r="AP194" s="658"/>
      <c r="AQ194" s="658"/>
      <c r="AR194" s="658"/>
      <c r="AS194" s="658"/>
      <c r="AT194" s="658"/>
      <c r="AU194" s="658"/>
      <c r="AV194" s="658"/>
    </row>
    <row r="195" spans="1:48">
      <c r="B195" s="2664"/>
      <c r="C195" s="2648"/>
      <c r="D195" s="1560" t="s">
        <v>6498</v>
      </c>
      <c r="F195" s="1560"/>
      <c r="AA195" s="658"/>
      <c r="AB195" s="658"/>
      <c r="AC195" s="658"/>
      <c r="AD195" s="658"/>
      <c r="AE195" s="658"/>
      <c r="AF195" s="658"/>
      <c r="AG195" s="658"/>
      <c r="AH195" s="658"/>
      <c r="AI195" s="658"/>
      <c r="AJ195" s="658"/>
      <c r="AK195" s="658"/>
      <c r="AL195" s="658"/>
      <c r="AN195" s="670"/>
      <c r="AO195" s="670"/>
      <c r="AP195" s="658"/>
      <c r="AQ195" s="658"/>
      <c r="AR195" s="658"/>
      <c r="AS195" s="658"/>
      <c r="AT195" s="658"/>
      <c r="AU195" s="658"/>
      <c r="AV195" s="658"/>
    </row>
    <row r="196" spans="1:48">
      <c r="B196" s="2664"/>
      <c r="C196" s="2648"/>
      <c r="D196" s="1560" t="s">
        <v>1637</v>
      </c>
      <c r="F196" s="1560"/>
      <c r="AA196" s="658"/>
      <c r="AB196" s="658"/>
      <c r="AC196" s="658"/>
      <c r="AD196" s="658"/>
      <c r="AE196" s="658"/>
      <c r="AF196" s="658"/>
      <c r="AG196" s="658"/>
      <c r="AH196" s="658"/>
      <c r="AI196" s="658"/>
      <c r="AJ196" s="658"/>
      <c r="AK196" s="658"/>
      <c r="AL196" s="658"/>
      <c r="AN196" s="670"/>
      <c r="AO196" s="670"/>
      <c r="AP196" s="658"/>
      <c r="AQ196" s="658"/>
      <c r="AR196" s="658"/>
      <c r="AS196" s="658"/>
      <c r="AT196" s="658"/>
      <c r="AU196" s="658"/>
      <c r="AV196" s="658"/>
    </row>
    <row r="197" spans="1:48">
      <c r="C197" s="2648"/>
      <c r="D197" s="1560" t="s">
        <v>1638</v>
      </c>
      <c r="AA197" s="658"/>
      <c r="AB197" s="658"/>
      <c r="AC197" s="658"/>
      <c r="AD197" s="658"/>
      <c r="AE197" s="658"/>
      <c r="AF197" s="658"/>
      <c r="AG197" s="658"/>
      <c r="AH197" s="658"/>
      <c r="AI197" s="658"/>
      <c r="AJ197" s="658"/>
      <c r="AK197" s="658"/>
      <c r="AL197" s="658"/>
      <c r="AN197" s="670"/>
      <c r="AO197" s="670"/>
      <c r="AP197" s="658"/>
      <c r="AQ197" s="658"/>
      <c r="AR197" s="658"/>
      <c r="AS197" s="658"/>
      <c r="AT197" s="658"/>
      <c r="AU197" s="658"/>
      <c r="AV197" s="658"/>
    </row>
    <row r="198" spans="1:48">
      <c r="C198" s="2648"/>
      <c r="D198" s="1560"/>
      <c r="AA198" s="658"/>
      <c r="AB198" s="658"/>
      <c r="AC198" s="658"/>
      <c r="AD198" s="658"/>
      <c r="AE198" s="658"/>
      <c r="AF198" s="658"/>
      <c r="AG198" s="658"/>
      <c r="AH198" s="658"/>
      <c r="AI198" s="658"/>
      <c r="AJ198" s="658"/>
      <c r="AK198" s="658"/>
      <c r="AL198" s="658"/>
      <c r="AN198" s="670"/>
      <c r="AO198" s="670"/>
      <c r="AP198" s="658"/>
      <c r="AQ198" s="658"/>
      <c r="AR198" s="658"/>
      <c r="AS198" s="658"/>
      <c r="AT198" s="658"/>
      <c r="AU198" s="658"/>
      <c r="AV198" s="658"/>
    </row>
    <row r="199" spans="1:48">
      <c r="A199" s="441" t="b">
        <f>AND(OR(N132,N139,A185),NOT(G199))</f>
        <v>0</v>
      </c>
      <c r="B199" s="2658" t="str">
        <f>IF(A199,"X","")</f>
        <v/>
      </c>
      <c r="D199" s="1560" t="s">
        <v>1577</v>
      </c>
      <c r="G199" s="441" t="b">
        <f>H199&lt;&gt;""</f>
        <v>0</v>
      </c>
      <c r="H199" s="325"/>
      <c r="J199" s="1560" t="s">
        <v>1639</v>
      </c>
      <c r="M199" s="2677"/>
      <c r="AA199" s="658"/>
      <c r="AB199" s="658"/>
      <c r="AC199" s="658"/>
      <c r="AD199" s="658"/>
      <c r="AE199" s="658"/>
      <c r="AF199" s="658"/>
      <c r="AG199" s="658"/>
      <c r="AH199" s="658"/>
      <c r="AI199" s="658"/>
      <c r="AJ199" s="658"/>
      <c r="AK199" s="658"/>
      <c r="AL199" s="658"/>
      <c r="AN199" s="670"/>
      <c r="AO199" s="670"/>
      <c r="AP199" s="658"/>
      <c r="AQ199" s="658"/>
      <c r="AR199" s="658"/>
      <c r="AS199" s="658"/>
      <c r="AT199" s="658"/>
      <c r="AU199" s="658"/>
      <c r="AV199" s="658"/>
    </row>
    <row r="200" spans="1:48">
      <c r="A200" s="2502"/>
      <c r="C200" s="2502"/>
      <c r="D200" s="1560"/>
      <c r="J200" s="1560" t="s">
        <v>1622</v>
      </c>
      <c r="AA200" s="658"/>
      <c r="AB200" s="658"/>
      <c r="AC200" s="658"/>
      <c r="AD200" s="658"/>
      <c r="AE200" s="658"/>
      <c r="AF200" s="658"/>
      <c r="AG200" s="658"/>
      <c r="AH200" s="658"/>
      <c r="AI200" s="658"/>
      <c r="AJ200" s="658"/>
      <c r="AK200" s="658"/>
      <c r="AL200" s="658"/>
      <c r="AN200" s="670"/>
      <c r="AO200" s="670"/>
      <c r="AP200" s="658"/>
      <c r="AQ200" s="658"/>
      <c r="AR200" s="658"/>
      <c r="AS200" s="658"/>
      <c r="AT200" s="658"/>
      <c r="AU200" s="658"/>
      <c r="AV200" s="658"/>
    </row>
    <row r="201" spans="1:48">
      <c r="A201" s="2502"/>
      <c r="C201" s="2502"/>
      <c r="D201" s="1560"/>
      <c r="J201" s="1560" t="s">
        <v>6108</v>
      </c>
      <c r="AA201" s="658"/>
      <c r="AB201" s="658"/>
      <c r="AC201" s="658"/>
      <c r="AD201" s="658"/>
      <c r="AE201" s="658"/>
      <c r="AF201" s="658"/>
      <c r="AG201" s="658"/>
      <c r="AH201" s="658"/>
      <c r="AI201" s="658"/>
      <c r="AJ201" s="658"/>
      <c r="AK201" s="658"/>
      <c r="AL201" s="658"/>
      <c r="AN201" s="670"/>
      <c r="AO201" s="670"/>
      <c r="AP201" s="658"/>
      <c r="AQ201" s="658"/>
      <c r="AR201" s="658"/>
      <c r="AS201" s="658"/>
      <c r="AT201" s="658"/>
      <c r="AU201" s="658"/>
      <c r="AV201" s="658"/>
    </row>
    <row r="202" spans="1:48">
      <c r="A202" s="2502"/>
      <c r="C202" s="2502"/>
      <c r="D202" s="1560"/>
      <c r="J202" s="1560"/>
      <c r="AA202" s="658"/>
      <c r="AB202" s="658"/>
      <c r="AC202" s="658"/>
      <c r="AD202" s="658"/>
      <c r="AE202" s="658"/>
      <c r="AF202" s="658"/>
      <c r="AG202" s="658"/>
      <c r="AH202" s="658"/>
      <c r="AI202" s="658"/>
      <c r="AJ202" s="658"/>
      <c r="AK202" s="658"/>
      <c r="AL202" s="658"/>
      <c r="AN202" s="670"/>
      <c r="AO202" s="670"/>
      <c r="AP202" s="658"/>
      <c r="AQ202" s="658"/>
      <c r="AR202" s="658"/>
      <c r="AS202" s="658"/>
      <c r="AT202" s="658"/>
      <c r="AU202" s="658"/>
      <c r="AV202" s="658"/>
    </row>
    <row r="203" spans="1:48">
      <c r="A203" s="2502"/>
      <c r="C203" s="2501"/>
      <c r="D203" s="1843"/>
      <c r="E203" s="1839"/>
      <c r="F203" s="1839"/>
      <c r="G203" s="1839"/>
      <c r="H203" s="1839"/>
      <c r="I203" s="1839"/>
      <c r="J203" s="1839"/>
      <c r="K203" s="1839"/>
      <c r="AA203" s="658"/>
      <c r="AB203" s="658"/>
      <c r="AC203" s="658"/>
      <c r="AD203" s="658"/>
      <c r="AE203" s="658"/>
      <c r="AF203" s="658"/>
      <c r="AG203" s="658"/>
      <c r="AH203" s="658"/>
      <c r="AI203" s="658"/>
      <c r="AJ203" s="658"/>
      <c r="AK203" s="658"/>
      <c r="AL203" s="658"/>
      <c r="AN203" s="670"/>
      <c r="AO203" s="670"/>
      <c r="AP203" s="658"/>
      <c r="AQ203" s="658"/>
      <c r="AR203" s="658"/>
      <c r="AS203" s="658"/>
      <c r="AT203" s="658"/>
      <c r="AU203" s="658"/>
      <c r="AV203" s="658"/>
    </row>
    <row r="204" spans="1:48">
      <c r="B204" s="2664"/>
      <c r="C204" s="220" t="s">
        <v>171</v>
      </c>
      <c r="D204" s="1560" t="str">
        <f>"Are you filing a joint return for "&amp;TaxYear&amp;"?"</f>
        <v>Are you filing a joint return for 2025?</v>
      </c>
      <c r="AA204" s="658"/>
      <c r="AB204" s="658"/>
      <c r="AC204" s="658"/>
      <c r="AD204" s="658"/>
      <c r="AE204" s="658"/>
      <c r="AF204" s="658"/>
      <c r="AG204" s="658"/>
      <c r="AH204" s="658"/>
      <c r="AI204" s="658"/>
      <c r="AJ204" s="658"/>
      <c r="AK204" s="658"/>
      <c r="AL204" s="658"/>
      <c r="AN204" s="670"/>
      <c r="AO204" s="670"/>
      <c r="AP204" s="658"/>
      <c r="AQ204" s="658"/>
      <c r="AR204" s="658"/>
      <c r="AS204" s="658"/>
      <c r="AT204" s="658"/>
      <c r="AU204" s="658"/>
      <c r="AV204" s="658"/>
    </row>
    <row r="205" spans="1:48">
      <c r="C205" s="2648"/>
      <c r="AA205" s="658"/>
      <c r="AB205" s="658"/>
      <c r="AC205" s="658"/>
      <c r="AD205" s="658"/>
      <c r="AE205" s="658"/>
      <c r="AF205" s="658"/>
      <c r="AG205" s="658"/>
      <c r="AH205" s="658"/>
      <c r="AI205" s="658"/>
      <c r="AJ205" s="658"/>
      <c r="AK205" s="658"/>
      <c r="AL205" s="658"/>
      <c r="AN205" s="670"/>
      <c r="AO205" s="670"/>
      <c r="AP205" s="658"/>
      <c r="AQ205" s="658"/>
      <c r="AR205" s="658"/>
      <c r="AS205" s="658"/>
      <c r="AT205" s="658"/>
      <c r="AU205" s="658"/>
      <c r="AV205" s="658"/>
    </row>
    <row r="206" spans="1:48">
      <c r="A206" s="441" t="b">
        <f>AND(A199,File_Marr_Joint&lt;&gt;"")</f>
        <v>0</v>
      </c>
      <c r="B206" s="2658" t="str">
        <f>IF(A206,"X","")</f>
        <v/>
      </c>
      <c r="D206" s="1560" t="s">
        <v>1640</v>
      </c>
      <c r="G206" s="441" t="b">
        <f>AND(A199,NOT(A206))</f>
        <v>0</v>
      </c>
      <c r="H206" s="2658" t="str">
        <f>IF(G206,"X","")</f>
        <v/>
      </c>
      <c r="J206" s="1560" t="s">
        <v>1641</v>
      </c>
      <c r="M206" s="2677"/>
      <c r="AA206" s="658"/>
      <c r="AB206" s="658"/>
      <c r="AC206" s="658"/>
      <c r="AD206" s="658"/>
      <c r="AE206" s="658"/>
      <c r="AF206" s="658"/>
      <c r="AG206" s="658"/>
      <c r="AH206" s="658"/>
      <c r="AI206" s="658"/>
      <c r="AJ206" s="658"/>
      <c r="AK206" s="658"/>
      <c r="AL206" s="658"/>
      <c r="AN206" s="670"/>
      <c r="AO206" s="670"/>
      <c r="AP206" s="658"/>
      <c r="AQ206" s="658"/>
      <c r="AR206" s="658"/>
      <c r="AS206" s="658"/>
      <c r="AT206" s="658"/>
      <c r="AU206" s="658"/>
      <c r="AV206" s="658"/>
    </row>
    <row r="207" spans="1:48">
      <c r="A207" s="2502"/>
      <c r="C207" s="2502"/>
      <c r="D207" s="1560" t="s">
        <v>1642</v>
      </c>
      <c r="AA207" s="658"/>
      <c r="AB207" s="658"/>
      <c r="AC207" s="658"/>
      <c r="AD207" s="658"/>
      <c r="AE207" s="658"/>
      <c r="AF207" s="658"/>
      <c r="AG207" s="658"/>
      <c r="AH207" s="658"/>
      <c r="AI207" s="658"/>
      <c r="AJ207" s="658"/>
      <c r="AK207" s="658"/>
      <c r="AL207" s="658"/>
      <c r="AN207" s="670"/>
      <c r="AO207" s="670"/>
      <c r="AP207" s="658"/>
      <c r="AQ207" s="658"/>
      <c r="AR207" s="658"/>
      <c r="AS207" s="658"/>
      <c r="AT207" s="658"/>
      <c r="AU207" s="658"/>
      <c r="AV207" s="658"/>
    </row>
    <row r="208" spans="1:48">
      <c r="A208" s="2502"/>
      <c r="C208" s="2502"/>
      <c r="D208" s="1560"/>
      <c r="AA208" s="658"/>
      <c r="AB208" s="658"/>
      <c r="AC208" s="658"/>
      <c r="AD208" s="658"/>
      <c r="AE208" s="658"/>
      <c r="AF208" s="658"/>
      <c r="AG208" s="658"/>
      <c r="AH208" s="658"/>
      <c r="AI208" s="658"/>
      <c r="AJ208" s="658"/>
      <c r="AK208" s="658"/>
      <c r="AL208" s="658"/>
      <c r="AN208" s="670"/>
      <c r="AO208" s="670"/>
      <c r="AP208" s="658"/>
      <c r="AQ208" s="658"/>
      <c r="AR208" s="658"/>
      <c r="AS208" s="658"/>
      <c r="AT208" s="658"/>
      <c r="AU208" s="658"/>
      <c r="AV208" s="658"/>
    </row>
    <row r="209" spans="1:48">
      <c r="A209" s="2502"/>
      <c r="C209" s="2501"/>
      <c r="D209" s="1843"/>
      <c r="E209" s="1839"/>
      <c r="F209" s="1839"/>
      <c r="G209" s="1839"/>
      <c r="H209" s="1839"/>
      <c r="I209" s="1839"/>
      <c r="J209" s="1839"/>
      <c r="K209" s="1839"/>
      <c r="AA209" s="658"/>
      <c r="AB209" s="658"/>
      <c r="AC209" s="658"/>
      <c r="AD209" s="658"/>
      <c r="AE209" s="658"/>
      <c r="AF209" s="658"/>
      <c r="AG209" s="658"/>
      <c r="AH209" s="658"/>
      <c r="AI209" s="658"/>
      <c r="AJ209" s="658"/>
      <c r="AK209" s="658"/>
      <c r="AL209" s="658"/>
      <c r="AN209" s="670"/>
      <c r="AO209" s="670"/>
      <c r="AP209" s="658"/>
      <c r="AQ209" s="658"/>
      <c r="AR209" s="658"/>
      <c r="AS209" s="658"/>
      <c r="AT209" s="658"/>
      <c r="AU209" s="658"/>
      <c r="AV209" s="658"/>
    </row>
    <row r="210" spans="1:48">
      <c r="B210" s="2664"/>
      <c r="C210" s="220" t="s">
        <v>184</v>
      </c>
      <c r="D210" s="1560" t="str">
        <f>"Could you be a qualifying child of another person for "&amp;TaxYear&amp;"?"</f>
        <v>Could you be a qualifying child of another person for 2025?</v>
      </c>
      <c r="AA210" s="658"/>
      <c r="AB210" s="658"/>
      <c r="AC210" s="658"/>
      <c r="AD210" s="658"/>
      <c r="AE210" s="658"/>
      <c r="AF210" s="658"/>
      <c r="AG210" s="658"/>
      <c r="AH210" s="658"/>
      <c r="AI210" s="658"/>
      <c r="AJ210" s="658"/>
      <c r="AK210" s="658"/>
      <c r="AL210" s="658"/>
      <c r="AN210" s="670"/>
      <c r="AO210" s="670"/>
      <c r="AP210" s="658"/>
      <c r="AQ210" s="658"/>
      <c r="AR210" s="658"/>
      <c r="AS210" s="658"/>
      <c r="AT210" s="658"/>
      <c r="AU210" s="658"/>
      <c r="AV210" s="658"/>
    </row>
    <row r="211" spans="1:48">
      <c r="B211" s="2664"/>
      <c r="C211" s="2648"/>
      <c r="D211" s="1560" t="s">
        <v>1643</v>
      </c>
      <c r="F211" s="1560"/>
      <c r="AA211" s="658"/>
      <c r="AB211" s="658"/>
      <c r="AC211" s="658"/>
      <c r="AD211" s="658"/>
      <c r="AE211" s="658"/>
      <c r="AF211" s="658"/>
      <c r="AG211" s="658"/>
      <c r="AH211" s="658"/>
      <c r="AI211" s="658"/>
      <c r="AJ211" s="658"/>
      <c r="AK211" s="658"/>
      <c r="AL211" s="658"/>
      <c r="AN211" s="670"/>
      <c r="AO211" s="670"/>
      <c r="AP211" s="658"/>
      <c r="AQ211" s="658"/>
      <c r="AR211" s="658"/>
      <c r="AS211" s="658"/>
      <c r="AT211" s="658"/>
      <c r="AU211" s="658"/>
      <c r="AV211" s="658"/>
    </row>
    <row r="212" spans="1:48">
      <c r="B212" s="2664"/>
      <c r="C212" s="2648"/>
      <c r="D212" s="1560" t="str">
        <f>"isn't filing, a "&amp;TaxYear&amp;" tax return or is filing a "&amp;TaxYear&amp;" return only"</f>
        <v>isn't filing, a 2025 tax return or is filing a 2025 return only</v>
      </c>
      <c r="AA212" s="658"/>
      <c r="AB212" s="658"/>
      <c r="AC212" s="658"/>
      <c r="AD212" s="658"/>
      <c r="AE212" s="658"/>
      <c r="AF212" s="658"/>
      <c r="AG212" s="658"/>
      <c r="AH212" s="658"/>
      <c r="AI212" s="658"/>
      <c r="AJ212" s="658"/>
      <c r="AK212" s="658"/>
      <c r="AL212" s="658"/>
      <c r="AN212" s="670"/>
      <c r="AO212" s="670"/>
      <c r="AP212" s="658"/>
      <c r="AQ212" s="658"/>
      <c r="AR212" s="658"/>
      <c r="AS212" s="658"/>
      <c r="AT212" s="658"/>
      <c r="AU212" s="658"/>
      <c r="AV212" s="658"/>
    </row>
    <row r="213" spans="1:48">
      <c r="B213" s="2664"/>
      <c r="C213" s="2648"/>
      <c r="D213" s="88" t="s">
        <v>1624</v>
      </c>
      <c r="AA213" s="658"/>
      <c r="AB213" s="658"/>
      <c r="AC213" s="658"/>
      <c r="AD213" s="658"/>
      <c r="AE213" s="658"/>
      <c r="AF213" s="658"/>
      <c r="AG213" s="658"/>
      <c r="AH213" s="658"/>
      <c r="AI213" s="658"/>
      <c r="AJ213" s="658"/>
      <c r="AK213" s="658"/>
      <c r="AL213" s="658"/>
      <c r="AN213" s="670"/>
      <c r="AO213" s="670"/>
      <c r="AP213" s="658"/>
      <c r="AQ213" s="658"/>
      <c r="AR213" s="658"/>
      <c r="AS213" s="658"/>
      <c r="AT213" s="658"/>
      <c r="AU213" s="658"/>
      <c r="AV213" s="658"/>
    </row>
    <row r="214" spans="1:48">
      <c r="B214" s="2664"/>
      <c r="C214" s="2648"/>
      <c r="D214" s="1560" t="s">
        <v>1625</v>
      </c>
      <c r="AA214" s="658"/>
      <c r="AB214" s="658"/>
      <c r="AC214" s="658"/>
      <c r="AD214" s="658"/>
      <c r="AE214" s="658"/>
      <c r="AF214" s="658"/>
      <c r="AG214" s="658"/>
      <c r="AH214" s="658"/>
      <c r="AI214" s="658"/>
      <c r="AJ214" s="658"/>
      <c r="AK214" s="658"/>
      <c r="AL214" s="658"/>
      <c r="AN214" s="670"/>
      <c r="AO214" s="670"/>
      <c r="AP214" s="658"/>
      <c r="AQ214" s="658"/>
      <c r="AR214" s="658"/>
      <c r="AS214" s="658"/>
      <c r="AT214" s="658"/>
      <c r="AU214" s="658"/>
      <c r="AV214" s="658"/>
    </row>
    <row r="215" spans="1:48">
      <c r="C215" s="2648"/>
      <c r="AA215" s="658"/>
      <c r="AB215" s="658"/>
      <c r="AC215" s="658"/>
      <c r="AD215" s="658"/>
      <c r="AE215" s="658"/>
      <c r="AF215" s="658"/>
      <c r="AG215" s="658"/>
      <c r="AH215" s="658"/>
      <c r="AI215" s="658"/>
      <c r="AJ215" s="658"/>
      <c r="AK215" s="658"/>
      <c r="AL215" s="658"/>
      <c r="AN215" s="670"/>
      <c r="AO215" s="670"/>
      <c r="AP215" s="658"/>
      <c r="AQ215" s="658"/>
      <c r="AR215" s="658"/>
      <c r="AS215" s="658"/>
      <c r="AT215" s="658"/>
      <c r="AU215" s="658"/>
      <c r="AV215" s="658"/>
    </row>
    <row r="216" spans="1:48">
      <c r="A216" s="441" t="b">
        <f>AND(G206,B216&lt;&gt;"")</f>
        <v>0</v>
      </c>
      <c r="B216" s="325"/>
      <c r="D216" s="1560" t="s">
        <v>1644</v>
      </c>
      <c r="G216" s="441" t="b">
        <f>AND(G206,NOT(A216))</f>
        <v>0</v>
      </c>
      <c r="H216" s="2653" t="str">
        <f>IF(G216,"X","")</f>
        <v/>
      </c>
      <c r="J216" s="1560" t="s">
        <v>1645</v>
      </c>
      <c r="M216" s="2677"/>
      <c r="AA216" s="658"/>
      <c r="AB216" s="658"/>
      <c r="AC216" s="658"/>
      <c r="AD216" s="658"/>
      <c r="AE216" s="658"/>
      <c r="AF216" s="658"/>
      <c r="AG216" s="658"/>
      <c r="AH216" s="658"/>
      <c r="AI216" s="658"/>
      <c r="AJ216" s="658"/>
      <c r="AK216" s="658"/>
      <c r="AL216" s="658"/>
      <c r="AN216" s="670"/>
      <c r="AO216" s="670"/>
      <c r="AP216" s="658"/>
      <c r="AQ216" s="658"/>
      <c r="AR216" s="658"/>
      <c r="AS216" s="658"/>
      <c r="AT216" s="658"/>
      <c r="AU216" s="658"/>
      <c r="AV216" s="658"/>
    </row>
    <row r="217" spans="1:48">
      <c r="A217" s="2502"/>
      <c r="C217" s="2502"/>
      <c r="D217" s="1560" t="s">
        <v>1622</v>
      </c>
      <c r="AA217" s="658"/>
      <c r="AB217" s="658"/>
      <c r="AC217" s="658"/>
      <c r="AD217" s="658"/>
      <c r="AE217" s="658"/>
      <c r="AF217" s="658"/>
      <c r="AG217" s="658"/>
      <c r="AH217" s="658"/>
      <c r="AI217" s="658"/>
      <c r="AJ217" s="658"/>
      <c r="AK217" s="658"/>
      <c r="AL217" s="658"/>
      <c r="AN217" s="670"/>
      <c r="AO217" s="670"/>
      <c r="AP217" s="658"/>
      <c r="AQ217" s="658"/>
      <c r="AR217" s="658"/>
      <c r="AS217" s="658"/>
      <c r="AT217" s="658"/>
      <c r="AU217" s="658"/>
      <c r="AV217" s="658"/>
    </row>
    <row r="218" spans="1:48">
      <c r="A218" s="2502"/>
      <c r="C218" s="2502"/>
      <c r="D218" s="1560" t="s">
        <v>6108</v>
      </c>
      <c r="AA218" s="658"/>
      <c r="AB218" s="658"/>
      <c r="AC218" s="658"/>
      <c r="AD218" s="658"/>
      <c r="AE218" s="658"/>
      <c r="AF218" s="658"/>
      <c r="AG218" s="658"/>
      <c r="AH218" s="658"/>
      <c r="AI218" s="658"/>
      <c r="AJ218" s="658"/>
      <c r="AK218" s="658"/>
      <c r="AL218" s="658"/>
      <c r="AN218" s="670"/>
      <c r="AO218" s="670"/>
      <c r="AP218" s="658"/>
      <c r="AQ218" s="658"/>
      <c r="AR218" s="658"/>
      <c r="AS218" s="658"/>
      <c r="AT218" s="658"/>
      <c r="AU218" s="658"/>
      <c r="AV218" s="658"/>
    </row>
    <row r="219" spans="1:48">
      <c r="A219" s="2502"/>
      <c r="C219" s="2502"/>
      <c r="D219" s="1560"/>
      <c r="AA219" s="658"/>
      <c r="AB219" s="658"/>
      <c r="AC219" s="658"/>
      <c r="AD219" s="658"/>
      <c r="AE219" s="658"/>
      <c r="AF219" s="658"/>
      <c r="AG219" s="658"/>
      <c r="AH219" s="658"/>
      <c r="AI219" s="658"/>
      <c r="AJ219" s="658"/>
      <c r="AK219" s="658"/>
      <c r="AL219" s="658"/>
      <c r="AN219" s="670"/>
      <c r="AO219" s="670"/>
      <c r="AP219" s="658"/>
      <c r="AQ219" s="658"/>
      <c r="AR219" s="658"/>
      <c r="AS219" s="658"/>
      <c r="AT219" s="658"/>
      <c r="AU219" s="658"/>
      <c r="AV219" s="658"/>
    </row>
    <row r="220" spans="1:48">
      <c r="A220" s="2502"/>
      <c r="B220" s="2502"/>
      <c r="C220" s="2502"/>
      <c r="D220" s="2502"/>
      <c r="E220" s="2502"/>
      <c r="F220" s="2502"/>
      <c r="G220" s="2502"/>
      <c r="H220" s="2502"/>
      <c r="I220" s="2502"/>
      <c r="J220" s="2502"/>
      <c r="K220" s="2502"/>
      <c r="L220" s="2502"/>
      <c r="AA220" s="658"/>
      <c r="AB220" s="658"/>
      <c r="AC220" s="658"/>
      <c r="AD220" s="658"/>
      <c r="AE220" s="658"/>
      <c r="AF220" s="658"/>
      <c r="AG220" s="658"/>
      <c r="AH220" s="658"/>
      <c r="AI220" s="658"/>
      <c r="AJ220" s="658"/>
      <c r="AK220" s="658"/>
      <c r="AL220" s="658"/>
      <c r="AN220" s="670"/>
      <c r="AO220" s="670"/>
      <c r="AP220" s="658"/>
      <c r="AQ220" s="658"/>
      <c r="AR220" s="658"/>
      <c r="AS220" s="658"/>
      <c r="AT220" s="658"/>
      <c r="AU220" s="658"/>
      <c r="AV220" s="658"/>
    </row>
    <row r="221" spans="1:48">
      <c r="A221" s="2502"/>
      <c r="C221" s="2501"/>
      <c r="D221" s="1843"/>
      <c r="E221" s="1839"/>
      <c r="F221" s="1839"/>
      <c r="G221" s="1839"/>
      <c r="H221" s="1839"/>
      <c r="I221" s="1839"/>
      <c r="J221" s="1839"/>
      <c r="K221" s="1839"/>
      <c r="AA221" s="658"/>
      <c r="AB221" s="658"/>
      <c r="AC221" s="658"/>
      <c r="AD221" s="658"/>
      <c r="AE221" s="658"/>
      <c r="AF221" s="658"/>
      <c r="AG221" s="658"/>
      <c r="AH221" s="658"/>
      <c r="AI221" s="658"/>
      <c r="AJ221" s="658"/>
      <c r="AK221" s="658"/>
      <c r="AL221" s="658"/>
      <c r="AN221" s="670"/>
      <c r="AO221" s="670"/>
      <c r="AP221" s="658"/>
      <c r="AQ221" s="658"/>
      <c r="AR221" s="658"/>
      <c r="AS221" s="658"/>
      <c r="AT221" s="658"/>
      <c r="AU221" s="658"/>
      <c r="AV221" s="658"/>
    </row>
    <row r="222" spans="1:48">
      <c r="B222" s="2664"/>
      <c r="C222" s="220" t="s">
        <v>188</v>
      </c>
      <c r="D222" s="1560" t="str">
        <f>"Can you be claimed as a dependent on someone else's "&amp;TaxYear&amp;" tax return?"</f>
        <v>Can you be claimed as a dependent on someone else's 2025 tax return?</v>
      </c>
      <c r="AA222" s="658"/>
      <c r="AB222" s="658"/>
      <c r="AC222" s="658"/>
      <c r="AD222" s="658"/>
      <c r="AE222" s="658"/>
      <c r="AF222" s="658"/>
      <c r="AG222" s="658"/>
      <c r="AH222" s="658"/>
      <c r="AI222" s="658"/>
      <c r="AJ222" s="658"/>
      <c r="AK222" s="658"/>
      <c r="AL222" s="658"/>
      <c r="AN222" s="670"/>
      <c r="AO222" s="670"/>
      <c r="AP222" s="658"/>
      <c r="AQ222" s="658"/>
      <c r="AR222" s="658"/>
      <c r="AS222" s="658"/>
      <c r="AT222" s="658"/>
      <c r="AU222" s="658"/>
      <c r="AV222" s="658"/>
    </row>
    <row r="223" spans="1:48">
      <c r="B223" s="2664"/>
      <c r="C223" s="220"/>
      <c r="D223" s="1560" t="str">
        <f>"(If the person who could claim you on their "&amp;TaxYear&amp;" tax return is not required to file, and isn't filing a "&amp;TaxYear&amp;" tax return or"</f>
        <v>(If the person who could claim you on their 2025 tax return is not required to file, and isn't filing a 2025 tax return or</v>
      </c>
      <c r="AA223" s="658"/>
      <c r="AB223" s="658"/>
      <c r="AC223" s="658"/>
      <c r="AD223" s="658"/>
      <c r="AE223" s="658"/>
      <c r="AF223" s="658"/>
      <c r="AG223" s="658"/>
      <c r="AH223" s="658"/>
      <c r="AI223" s="658"/>
      <c r="AJ223" s="658"/>
      <c r="AK223" s="658"/>
      <c r="AL223" s="658"/>
      <c r="AN223" s="670"/>
      <c r="AO223" s="670"/>
      <c r="AP223" s="658"/>
      <c r="AQ223" s="658"/>
      <c r="AR223" s="658"/>
      <c r="AS223" s="658"/>
      <c r="AT223" s="658"/>
      <c r="AU223" s="658"/>
      <c r="AV223" s="658"/>
    </row>
    <row r="224" spans="1:48">
      <c r="B224" s="2664"/>
      <c r="C224" s="220"/>
      <c r="D224" s="1560" t="str">
        <f>"is filing a "&amp;TaxYear&amp;" return only to claim a refund of withheld income tax or estimated tax paid, check “No.”)"</f>
        <v>is filing a 2025 return only to claim a refund of withheld income tax or estimated tax paid, check “No.”)</v>
      </c>
      <c r="AA224" s="658"/>
      <c r="AB224" s="658"/>
      <c r="AC224" s="658"/>
      <c r="AD224" s="658"/>
      <c r="AE224" s="658"/>
      <c r="AF224" s="658"/>
      <c r="AG224" s="658"/>
      <c r="AH224" s="658"/>
      <c r="AI224" s="658"/>
      <c r="AJ224" s="658"/>
      <c r="AK224" s="658"/>
      <c r="AL224" s="658"/>
      <c r="AN224" s="670"/>
      <c r="AO224" s="670"/>
      <c r="AP224" s="658"/>
      <c r="AQ224" s="658"/>
      <c r="AR224" s="658"/>
      <c r="AS224" s="658"/>
      <c r="AT224" s="658"/>
      <c r="AU224" s="658"/>
      <c r="AV224" s="658"/>
    </row>
    <row r="225" spans="1:48">
      <c r="C225" s="2648"/>
      <c r="AA225" s="658"/>
      <c r="AB225" s="658"/>
      <c r="AC225" s="658"/>
      <c r="AD225" s="658"/>
      <c r="AE225" s="658"/>
      <c r="AF225" s="658"/>
      <c r="AG225" s="658"/>
      <c r="AH225" s="658"/>
      <c r="AI225" s="658"/>
      <c r="AJ225" s="658"/>
      <c r="AK225" s="658"/>
      <c r="AL225" s="658"/>
      <c r="AN225" s="670"/>
      <c r="AO225" s="670"/>
      <c r="AP225" s="658"/>
      <c r="AQ225" s="658"/>
      <c r="AR225" s="658"/>
      <c r="AS225" s="658"/>
      <c r="AT225" s="658"/>
      <c r="AU225" s="658"/>
      <c r="AV225" s="658"/>
    </row>
    <row r="226" spans="1:48">
      <c r="A226" s="441" t="b">
        <f>AND(G216,DependentYOU&lt;&gt;"")</f>
        <v>0</v>
      </c>
      <c r="B226" s="2658" t="str">
        <f>IF(A226,"X","")</f>
        <v/>
      </c>
      <c r="D226" s="1560" t="s">
        <v>1644</v>
      </c>
      <c r="G226" s="441" t="b">
        <f>AND(G216,NOT(A226))</f>
        <v>0</v>
      </c>
      <c r="H226" s="2653" t="str">
        <f>IF(G226,"X","")</f>
        <v/>
      </c>
      <c r="J226" s="1560" t="s">
        <v>1645</v>
      </c>
      <c r="M226" s="2677"/>
      <c r="AA226" s="658"/>
      <c r="AB226" s="658"/>
      <c r="AC226" s="658"/>
      <c r="AD226" s="658"/>
      <c r="AE226" s="658"/>
      <c r="AF226" s="658"/>
      <c r="AG226" s="658"/>
      <c r="AH226" s="658"/>
      <c r="AI226" s="658"/>
      <c r="AJ226" s="658"/>
      <c r="AK226" s="658"/>
      <c r="AL226" s="658"/>
      <c r="AN226" s="670"/>
      <c r="AO226" s="670"/>
      <c r="AP226" s="658"/>
      <c r="AQ226" s="658"/>
      <c r="AR226" s="658"/>
      <c r="AS226" s="658"/>
      <c r="AT226" s="658"/>
      <c r="AU226" s="658"/>
      <c r="AV226" s="658"/>
    </row>
    <row r="227" spans="1:48">
      <c r="A227" s="2502"/>
      <c r="C227" s="2502"/>
      <c r="D227" s="1560" t="s">
        <v>1622</v>
      </c>
      <c r="AA227" s="658"/>
      <c r="AB227" s="658"/>
      <c r="AC227" s="658"/>
      <c r="AD227" s="658"/>
      <c r="AE227" s="658"/>
      <c r="AF227" s="658"/>
      <c r="AG227" s="658"/>
      <c r="AH227" s="658"/>
      <c r="AI227" s="658"/>
      <c r="AJ227" s="658"/>
      <c r="AK227" s="658"/>
      <c r="AL227" s="658"/>
      <c r="AN227" s="670"/>
      <c r="AO227" s="670"/>
      <c r="AP227" s="658"/>
      <c r="AQ227" s="658"/>
      <c r="AR227" s="658"/>
      <c r="AS227" s="658"/>
      <c r="AT227" s="658"/>
      <c r="AU227" s="658"/>
      <c r="AV227" s="658"/>
    </row>
    <row r="228" spans="1:48">
      <c r="A228" s="2502"/>
      <c r="B228" s="2502"/>
      <c r="C228" s="2502"/>
      <c r="D228" s="2502"/>
      <c r="E228" s="2502"/>
      <c r="F228" s="2502"/>
      <c r="G228" s="2502"/>
      <c r="H228" s="2502"/>
      <c r="I228" s="2502"/>
      <c r="J228" s="2502"/>
      <c r="K228" s="2502"/>
      <c r="L228" s="2502"/>
      <c r="AA228" s="658"/>
      <c r="AB228" s="658"/>
      <c r="AC228" s="658"/>
      <c r="AD228" s="658"/>
      <c r="AE228" s="658"/>
      <c r="AF228" s="658"/>
      <c r="AG228" s="658"/>
      <c r="AH228" s="658"/>
      <c r="AI228" s="658"/>
      <c r="AJ228" s="658"/>
      <c r="AK228" s="658"/>
      <c r="AL228" s="658"/>
      <c r="AN228" s="670"/>
      <c r="AO228" s="670"/>
      <c r="AP228" s="658"/>
      <c r="AQ228" s="658"/>
      <c r="AR228" s="658"/>
      <c r="AS228" s="658"/>
      <c r="AT228" s="658"/>
      <c r="AU228" s="658"/>
      <c r="AV228" s="658"/>
    </row>
    <row r="229" spans="1:48">
      <c r="A229" s="2502"/>
      <c r="B229" s="2502"/>
      <c r="C229" s="2502"/>
      <c r="D229" s="2502"/>
      <c r="E229" s="2502"/>
      <c r="F229" s="2502"/>
      <c r="G229" s="2502"/>
      <c r="H229" s="2502"/>
      <c r="I229" s="2502"/>
      <c r="J229" s="2502"/>
      <c r="K229" s="2502"/>
      <c r="L229" s="2502"/>
      <c r="AA229" s="658"/>
      <c r="AB229" s="658"/>
      <c r="AC229" s="658"/>
      <c r="AD229" s="658"/>
      <c r="AE229" s="658"/>
      <c r="AF229" s="658"/>
      <c r="AG229" s="658"/>
      <c r="AH229" s="658"/>
      <c r="AI229" s="658"/>
      <c r="AJ229" s="658"/>
      <c r="AK229" s="658"/>
      <c r="AL229" s="658"/>
      <c r="AN229" s="670"/>
      <c r="AO229" s="670"/>
      <c r="AP229" s="658"/>
      <c r="AQ229" s="658"/>
      <c r="AR229" s="658"/>
      <c r="AS229" s="658"/>
      <c r="AT229" s="658"/>
      <c r="AU229" s="658"/>
      <c r="AV229" s="658"/>
    </row>
    <row r="230" spans="1:48">
      <c r="A230" s="2502"/>
      <c r="C230" s="2501"/>
      <c r="D230" s="1843"/>
      <c r="E230" s="1839"/>
      <c r="F230" s="1839"/>
      <c r="G230" s="1839"/>
      <c r="H230" s="1839"/>
      <c r="I230" s="1839"/>
      <c r="J230" s="1839"/>
      <c r="K230" s="1839"/>
      <c r="AA230" s="658"/>
      <c r="AB230" s="658"/>
      <c r="AC230" s="658"/>
      <c r="AD230" s="658"/>
      <c r="AE230" s="658"/>
      <c r="AF230" s="658"/>
      <c r="AG230" s="658"/>
      <c r="AH230" s="658"/>
      <c r="AI230" s="658"/>
      <c r="AJ230" s="658"/>
      <c r="AK230" s="658"/>
      <c r="AL230" s="658"/>
      <c r="AN230" s="670"/>
      <c r="AO230" s="670"/>
      <c r="AP230" s="658"/>
      <c r="AQ230" s="658"/>
      <c r="AR230" s="658"/>
      <c r="AS230" s="658"/>
      <c r="AT230" s="658"/>
      <c r="AU230" s="658"/>
      <c r="AV230" s="658"/>
    </row>
    <row r="231" spans="1:48" s="2445" customFormat="1" ht="15.75">
      <c r="A231" s="2646" t="s">
        <v>1646</v>
      </c>
      <c r="B231" s="2647" t="s">
        <v>1647</v>
      </c>
      <c r="C231" s="2642"/>
      <c r="N231" s="2662"/>
      <c r="AA231" s="668"/>
      <c r="AB231" s="668"/>
      <c r="AC231" s="668"/>
      <c r="AD231" s="668"/>
      <c r="AE231" s="668"/>
      <c r="AF231" s="668"/>
      <c r="AG231" s="668"/>
      <c r="AH231" s="668"/>
      <c r="AI231" s="668"/>
      <c r="AJ231" s="668"/>
      <c r="AK231" s="668"/>
      <c r="AL231" s="668"/>
      <c r="AN231" s="669"/>
      <c r="AO231" s="669"/>
      <c r="AP231" s="668"/>
      <c r="AQ231" s="668"/>
      <c r="AR231" s="668"/>
      <c r="AS231" s="668"/>
      <c r="AT231" s="668"/>
      <c r="AU231" s="668"/>
      <c r="AV231" s="668"/>
    </row>
    <row r="232" spans="1:48">
      <c r="A232" s="2502"/>
      <c r="C232" s="2502"/>
      <c r="AA232" s="658"/>
      <c r="AB232" s="658"/>
      <c r="AC232" s="658"/>
      <c r="AD232" s="658"/>
      <c r="AE232" s="658"/>
      <c r="AF232" s="658"/>
      <c r="AG232" s="658"/>
      <c r="AH232" s="658"/>
      <c r="AI232" s="658"/>
      <c r="AJ232" s="658"/>
      <c r="AK232" s="658"/>
      <c r="AL232" s="658"/>
      <c r="AN232" s="670"/>
      <c r="AO232" s="670"/>
      <c r="AP232" s="658"/>
      <c r="AQ232" s="658"/>
      <c r="AR232" s="658"/>
      <c r="AS232" s="658"/>
      <c r="AT232" s="658"/>
      <c r="AU232" s="658"/>
      <c r="AV232" s="658"/>
    </row>
    <row r="233" spans="1:48">
      <c r="A233" s="2648" t="s">
        <v>157</v>
      </c>
      <c r="B233" s="88" t="s">
        <v>1648</v>
      </c>
      <c r="AA233" s="658"/>
      <c r="AB233" s="658"/>
      <c r="AC233" s="658"/>
      <c r="AD233" s="658"/>
      <c r="AE233" s="658"/>
      <c r="AF233" s="658"/>
      <c r="AG233" s="658"/>
      <c r="AH233" s="658"/>
      <c r="AI233" s="658"/>
      <c r="AJ233" s="658"/>
      <c r="AK233" s="658"/>
      <c r="AL233" s="658"/>
      <c r="AN233" s="670"/>
      <c r="AO233" s="670"/>
      <c r="AP233" s="658"/>
      <c r="AQ233" s="658"/>
      <c r="AR233" s="658"/>
      <c r="AS233" s="658"/>
      <c r="AT233" s="658"/>
      <c r="AU233" s="658"/>
      <c r="AV233" s="658"/>
    </row>
    <row r="234" spans="1:48">
      <c r="C234" s="2648"/>
      <c r="AA234" s="658"/>
      <c r="AB234" s="658"/>
      <c r="AC234" s="658"/>
      <c r="AD234" s="658"/>
      <c r="AE234" s="658"/>
      <c r="AF234" s="658"/>
      <c r="AG234" s="658"/>
      <c r="AH234" s="658"/>
      <c r="AI234" s="658"/>
      <c r="AJ234" s="658"/>
      <c r="AK234" s="658"/>
      <c r="AL234" s="658"/>
      <c r="AN234" s="670"/>
      <c r="AO234" s="670"/>
      <c r="AP234" s="658"/>
      <c r="AQ234" s="658"/>
      <c r="AR234" s="658"/>
      <c r="AS234" s="658"/>
      <c r="AT234" s="658"/>
      <c r="AU234" s="658"/>
      <c r="AV234" s="658"/>
    </row>
    <row r="235" spans="1:48">
      <c r="A235" s="2679" t="b">
        <f>AND(OR(A125,N157,A206,G226),B235&lt;&gt;"")</f>
        <v>0</v>
      </c>
      <c r="B235" s="325"/>
      <c r="D235" s="226" t="s">
        <v>938</v>
      </c>
      <c r="G235" s="441" t="b">
        <f>AND(OR(A125,N157,A206,G226),NOT(A235))</f>
        <v>0</v>
      </c>
      <c r="H235" s="2653" t="str">
        <f>IF(G235,"X","")</f>
        <v/>
      </c>
      <c r="J235" s="2415" t="s">
        <v>1649</v>
      </c>
      <c r="AA235" s="658"/>
      <c r="AB235" s="658"/>
      <c r="AC235" s="658"/>
      <c r="AD235" s="658"/>
      <c r="AE235" s="658"/>
      <c r="AF235" s="658"/>
      <c r="AG235" s="658"/>
      <c r="AH235" s="658"/>
      <c r="AI235" s="658"/>
      <c r="AJ235" s="658"/>
      <c r="AK235" s="658"/>
      <c r="AL235" s="658"/>
      <c r="AN235" s="670"/>
      <c r="AO235" s="670"/>
      <c r="AP235" s="658"/>
      <c r="AQ235" s="658"/>
      <c r="AR235" s="658"/>
      <c r="AS235" s="658"/>
      <c r="AT235" s="658"/>
      <c r="AU235" s="658"/>
      <c r="AV235" s="658"/>
    </row>
    <row r="236" spans="1:48">
      <c r="D236" s="88" t="s">
        <v>1650</v>
      </c>
      <c r="J236" s="2415" t="s">
        <v>1651</v>
      </c>
      <c r="AA236" s="658"/>
      <c r="AB236" s="658"/>
      <c r="AC236" s="658"/>
      <c r="AD236" s="658"/>
      <c r="AE236" s="658"/>
      <c r="AF236" s="658"/>
      <c r="AG236" s="658"/>
      <c r="AH236" s="658"/>
      <c r="AI236" s="658"/>
      <c r="AJ236" s="658"/>
      <c r="AK236" s="658"/>
      <c r="AL236" s="658"/>
      <c r="AN236" s="670"/>
      <c r="AO236" s="670"/>
      <c r="AP236" s="658"/>
      <c r="AQ236" s="658"/>
      <c r="AR236" s="658"/>
      <c r="AS236" s="658"/>
      <c r="AT236" s="658"/>
      <c r="AU236" s="658"/>
      <c r="AV236" s="658"/>
    </row>
    <row r="237" spans="1:48">
      <c r="D237" s="88" t="s">
        <v>1652</v>
      </c>
      <c r="M237" s="226" t="s">
        <v>979</v>
      </c>
      <c r="AA237" s="658"/>
      <c r="AB237" s="658"/>
      <c r="AC237" s="658"/>
      <c r="AD237" s="658"/>
      <c r="AE237" s="658"/>
      <c r="AF237" s="658"/>
      <c r="AG237" s="658"/>
      <c r="AH237" s="658"/>
      <c r="AI237" s="658"/>
      <c r="AJ237" s="658"/>
      <c r="AK237" s="658"/>
      <c r="AL237" s="658"/>
      <c r="AN237" s="670"/>
      <c r="AO237" s="670"/>
      <c r="AP237" s="658"/>
      <c r="AQ237" s="658"/>
      <c r="AR237" s="658"/>
      <c r="AS237" s="658"/>
      <c r="AT237" s="658"/>
      <c r="AU237" s="658"/>
      <c r="AV237" s="658"/>
    </row>
    <row r="238" spans="1:48" ht="12.75" customHeight="1" thickBot="1">
      <c r="M238" s="226" t="s">
        <v>931</v>
      </c>
      <c r="AA238" s="658"/>
      <c r="AB238" s="658"/>
      <c r="AC238" s="658"/>
      <c r="AD238" s="658"/>
      <c r="AE238" s="658"/>
      <c r="AF238" s="658"/>
      <c r="AG238" s="658"/>
      <c r="AH238" s="658"/>
      <c r="AI238" s="658"/>
      <c r="AJ238" s="658"/>
      <c r="AK238" s="658"/>
      <c r="AL238" s="658"/>
      <c r="AN238" s="670"/>
      <c r="AO238" s="670"/>
      <c r="AP238" s="658"/>
      <c r="AQ238" s="658"/>
      <c r="AR238" s="658"/>
      <c r="AS238" s="658"/>
      <c r="AT238" s="658"/>
      <c r="AU238" s="658"/>
      <c r="AV238" s="658"/>
    </row>
    <row r="239" spans="1:48" ht="13.5" thickBot="1">
      <c r="C239" s="220" t="s">
        <v>157</v>
      </c>
      <c r="D239" s="1560" t="s">
        <v>1653</v>
      </c>
      <c r="J239" s="220" t="s">
        <v>157</v>
      </c>
      <c r="K239" s="2499" t="str">
        <f>IF(M239&lt;&gt;"",ROUND(M239,0),IF(G235,F1040_Line1z,""))</f>
        <v/>
      </c>
      <c r="M239" s="1465"/>
      <c r="AA239" s="658"/>
      <c r="AB239" s="658"/>
      <c r="AC239" s="658"/>
      <c r="AD239" s="658"/>
      <c r="AE239" s="658"/>
      <c r="AF239" s="658"/>
      <c r="AG239" s="658"/>
      <c r="AH239" s="658"/>
      <c r="AI239" s="658"/>
      <c r="AJ239" s="658"/>
      <c r="AK239" s="658"/>
      <c r="AL239" s="658"/>
      <c r="AN239" s="670"/>
      <c r="AO239" s="670">
        <v>65</v>
      </c>
      <c r="AP239" s="658"/>
      <c r="AQ239" s="658"/>
      <c r="AR239" s="658"/>
      <c r="AS239" s="658"/>
      <c r="AT239" s="658"/>
      <c r="AU239" s="658"/>
      <c r="AV239" s="658"/>
    </row>
    <row r="240" spans="1:48">
      <c r="AA240" s="658"/>
      <c r="AB240" s="658"/>
      <c r="AC240" s="658"/>
      <c r="AD240" s="658"/>
      <c r="AE240" s="658"/>
      <c r="AF240" s="658"/>
      <c r="AG240" s="658"/>
      <c r="AH240" s="658"/>
      <c r="AI240" s="658"/>
      <c r="AJ240" s="658"/>
      <c r="AK240" s="658"/>
      <c r="AL240" s="658"/>
      <c r="AN240" s="670"/>
      <c r="AO240" s="670"/>
      <c r="AP240" s="658"/>
      <c r="AQ240" s="658"/>
      <c r="AR240" s="658"/>
      <c r="AS240" s="658"/>
      <c r="AT240" s="658"/>
      <c r="AU240" s="658"/>
      <c r="AV240" s="658"/>
    </row>
    <row r="241" spans="1:48" s="2441" customFormat="1">
      <c r="A241" s="88"/>
      <c r="B241" s="228"/>
      <c r="C241" s="220" t="s">
        <v>161</v>
      </c>
      <c r="D241" s="1560" t="s">
        <v>5061</v>
      </c>
      <c r="E241" s="88"/>
      <c r="F241" s="88"/>
      <c r="G241" s="88"/>
      <c r="H241" s="88"/>
      <c r="I241" s="88"/>
      <c r="J241" s="88"/>
      <c r="K241" s="88"/>
      <c r="L241" s="88"/>
      <c r="M241" s="88"/>
      <c r="O241" s="88"/>
      <c r="P241" s="88"/>
      <c r="Q241" s="88"/>
      <c r="R241" s="88"/>
      <c r="S241" s="88"/>
      <c r="T241" s="88"/>
      <c r="U241" s="88"/>
      <c r="V241" s="88"/>
      <c r="W241" s="88"/>
      <c r="X241" s="88"/>
      <c r="Y241" s="88"/>
      <c r="Z241" s="88"/>
      <c r="AA241" s="658"/>
      <c r="AB241" s="658"/>
      <c r="AC241" s="658"/>
      <c r="AD241" s="658"/>
      <c r="AE241" s="658"/>
      <c r="AF241" s="658"/>
      <c r="AG241" s="670"/>
      <c r="AH241" s="670"/>
      <c r="AI241" s="670"/>
      <c r="AJ241" s="670"/>
      <c r="AK241" s="670"/>
      <c r="AL241" s="670"/>
      <c r="AN241" s="670"/>
      <c r="AO241" s="670"/>
      <c r="AP241" s="658"/>
      <c r="AQ241" s="658"/>
      <c r="AR241" s="658"/>
      <c r="AS241" s="658"/>
      <c r="AT241" s="658"/>
      <c r="AU241" s="670"/>
      <c r="AV241" s="670"/>
    </row>
    <row r="242" spans="1:48" s="2441" customFormat="1">
      <c r="A242" s="88"/>
      <c r="B242" s="228"/>
      <c r="C242" s="88"/>
      <c r="D242" s="1560" t="s">
        <v>5065</v>
      </c>
      <c r="E242" s="88"/>
      <c r="F242" s="88"/>
      <c r="G242" s="88"/>
      <c r="H242" s="88"/>
      <c r="I242" s="88"/>
      <c r="J242" s="88"/>
      <c r="K242" s="88"/>
      <c r="L242" s="88"/>
      <c r="M242" s="88"/>
      <c r="O242" s="88"/>
      <c r="P242" s="88"/>
      <c r="Q242" s="88"/>
      <c r="R242" s="88"/>
      <c r="S242" s="88"/>
      <c r="T242" s="88"/>
      <c r="U242" s="88"/>
      <c r="V242" s="88"/>
      <c r="W242" s="88"/>
      <c r="X242" s="88"/>
      <c r="Y242" s="88"/>
      <c r="Z242" s="88"/>
      <c r="AA242" s="658"/>
      <c r="AB242" s="658"/>
      <c r="AC242" s="658"/>
      <c r="AD242" s="658"/>
      <c r="AE242" s="658"/>
      <c r="AF242" s="658"/>
      <c r="AG242" s="670"/>
      <c r="AH242" s="670"/>
      <c r="AI242" s="670"/>
      <c r="AJ242" s="670"/>
      <c r="AK242" s="670"/>
      <c r="AL242" s="670"/>
      <c r="AN242" s="670"/>
      <c r="AO242" s="670"/>
      <c r="AP242" s="658"/>
      <c r="AQ242" s="658"/>
      <c r="AR242" s="658"/>
      <c r="AS242" s="658"/>
      <c r="AT242" s="658"/>
      <c r="AU242" s="670"/>
      <c r="AV242" s="670"/>
    </row>
    <row r="243" spans="1:48" s="2441" customFormat="1">
      <c r="A243" s="88"/>
      <c r="B243" s="228"/>
      <c r="C243" s="88"/>
      <c r="D243" s="1560" t="s">
        <v>5062</v>
      </c>
      <c r="E243" s="88"/>
      <c r="F243" s="88"/>
      <c r="G243" s="88"/>
      <c r="H243" s="88"/>
      <c r="I243" s="88"/>
      <c r="J243" s="88"/>
      <c r="K243" s="88"/>
      <c r="L243" s="88"/>
      <c r="M243" s="226" t="s">
        <v>979</v>
      </c>
      <c r="O243" s="88"/>
      <c r="P243" s="88"/>
      <c r="Q243" s="88"/>
      <c r="R243" s="88"/>
      <c r="S243" s="88"/>
      <c r="T243" s="88"/>
      <c r="U243" s="88"/>
      <c r="V243" s="88"/>
      <c r="W243" s="88"/>
      <c r="X243" s="88"/>
      <c r="Y243" s="88"/>
      <c r="Z243" s="88"/>
      <c r="AA243" s="658"/>
      <c r="AB243" s="658"/>
      <c r="AC243" s="658"/>
      <c r="AD243" s="658"/>
      <c r="AE243" s="658"/>
      <c r="AF243" s="658"/>
      <c r="AG243" s="670"/>
      <c r="AH243" s="670"/>
      <c r="AI243" s="670"/>
      <c r="AJ243" s="670"/>
      <c r="AK243" s="670"/>
      <c r="AL243" s="670"/>
      <c r="AN243" s="670"/>
      <c r="AO243" s="670"/>
      <c r="AP243" s="658"/>
      <c r="AQ243" s="658"/>
      <c r="AR243" s="658"/>
      <c r="AS243" s="658"/>
      <c r="AT243" s="658"/>
      <c r="AU243" s="670"/>
      <c r="AV243" s="670"/>
    </row>
    <row r="244" spans="1:48" s="2441" customFormat="1" ht="13.5" thickBot="1">
      <c r="A244" s="88"/>
      <c r="B244" s="228"/>
      <c r="C244" s="88"/>
      <c r="D244" s="1560" t="s">
        <v>5064</v>
      </c>
      <c r="E244" s="88"/>
      <c r="F244" s="88"/>
      <c r="G244" s="88"/>
      <c r="H244" s="88"/>
      <c r="I244" s="88"/>
      <c r="J244" s="88"/>
      <c r="K244" s="88"/>
      <c r="L244" s="88"/>
      <c r="M244" s="226" t="s">
        <v>931</v>
      </c>
      <c r="O244" s="88"/>
      <c r="P244" s="88"/>
      <c r="Q244" s="88"/>
      <c r="R244" s="88"/>
      <c r="S244" s="88"/>
      <c r="T244" s="88"/>
      <c r="U244" s="88"/>
      <c r="V244" s="88"/>
      <c r="W244" s="88"/>
      <c r="X244" s="88"/>
      <c r="Y244" s="88"/>
      <c r="Z244" s="88"/>
      <c r="AA244" s="658"/>
      <c r="AB244" s="658"/>
      <c r="AC244" s="658"/>
      <c r="AD244" s="658"/>
      <c r="AE244" s="658"/>
      <c r="AF244" s="658"/>
      <c r="AG244" s="670"/>
      <c r="AH244" s="670"/>
      <c r="AI244" s="670"/>
      <c r="AJ244" s="670"/>
      <c r="AK244" s="670"/>
      <c r="AL244" s="670"/>
      <c r="AN244" s="670"/>
      <c r="AO244" s="670"/>
      <c r="AP244" s="658"/>
      <c r="AQ244" s="658"/>
      <c r="AR244" s="658"/>
      <c r="AS244" s="658"/>
      <c r="AT244" s="658"/>
      <c r="AU244" s="670"/>
      <c r="AV244" s="670"/>
    </row>
    <row r="245" spans="1:48" s="2441" customFormat="1" ht="13.5" thickBot="1">
      <c r="A245" s="88"/>
      <c r="B245" s="228"/>
      <c r="C245" s="88"/>
      <c r="D245" s="1560" t="s">
        <v>5063</v>
      </c>
      <c r="E245" s="88"/>
      <c r="F245" s="88"/>
      <c r="G245" s="88"/>
      <c r="H245" s="88"/>
      <c r="I245" s="88"/>
      <c r="J245" s="220" t="s">
        <v>161</v>
      </c>
      <c r="K245" s="2499" t="str">
        <f>IF(M245&lt;&gt;"",ROUND(M245,0),IF(G235,ROUND(Sch1_Line8s,0),""))</f>
        <v/>
      </c>
      <c r="L245" s="88"/>
      <c r="M245" s="1465"/>
      <c r="O245" s="88"/>
      <c r="P245" s="88"/>
      <c r="Q245" s="88"/>
      <c r="R245" s="88"/>
      <c r="S245" s="88"/>
      <c r="T245" s="88"/>
      <c r="U245" s="88"/>
      <c r="V245" s="88"/>
      <c r="W245" s="88"/>
      <c r="X245" s="88"/>
      <c r="Y245" s="88"/>
      <c r="Z245" s="88"/>
      <c r="AA245" s="658"/>
      <c r="AB245" s="658"/>
      <c r="AC245" s="658"/>
      <c r="AD245" s="658"/>
      <c r="AE245" s="658"/>
      <c r="AF245" s="658"/>
      <c r="AG245" s="670"/>
      <c r="AH245" s="670"/>
      <c r="AI245" s="670"/>
      <c r="AJ245" s="670"/>
      <c r="AK245" s="670"/>
      <c r="AL245" s="670"/>
      <c r="AN245" s="673"/>
      <c r="AO245" s="670"/>
      <c r="AP245" s="658"/>
      <c r="AQ245" s="658"/>
      <c r="AR245" s="658"/>
      <c r="AS245" s="658"/>
      <c r="AT245" s="658"/>
      <c r="AU245" s="670"/>
      <c r="AV245" s="670"/>
    </row>
    <row r="246" spans="1:48" s="2441" customFormat="1">
      <c r="A246" s="88"/>
      <c r="B246" s="228"/>
      <c r="C246" s="88"/>
      <c r="D246" s="1560"/>
      <c r="E246" s="88"/>
      <c r="F246" s="88"/>
      <c r="G246" s="88"/>
      <c r="H246" s="88"/>
      <c r="I246" s="88"/>
      <c r="J246" s="88"/>
      <c r="K246" s="88"/>
      <c r="L246" s="88"/>
      <c r="M246" s="1067"/>
      <c r="O246" s="88"/>
      <c r="P246" s="88"/>
      <c r="Q246" s="88"/>
      <c r="R246" s="88"/>
      <c r="S246" s="88"/>
      <c r="T246" s="88"/>
      <c r="U246" s="88"/>
      <c r="V246" s="88"/>
      <c r="W246" s="88"/>
      <c r="X246" s="88"/>
      <c r="Y246" s="88"/>
      <c r="Z246" s="88"/>
      <c r="AA246" s="658"/>
      <c r="AB246" s="658"/>
      <c r="AC246" s="658"/>
      <c r="AD246" s="658"/>
      <c r="AE246" s="658"/>
      <c r="AF246" s="658"/>
      <c r="AG246" s="670"/>
      <c r="AH246" s="670"/>
      <c r="AI246" s="670"/>
      <c r="AJ246" s="670"/>
      <c r="AK246" s="670"/>
      <c r="AL246" s="670"/>
      <c r="AN246" s="673"/>
      <c r="AO246" s="670"/>
      <c r="AP246" s="658"/>
      <c r="AQ246" s="658"/>
      <c r="AR246" s="658"/>
      <c r="AS246" s="658"/>
      <c r="AT246" s="658"/>
      <c r="AU246" s="670"/>
      <c r="AV246" s="670"/>
    </row>
    <row r="247" spans="1:48" s="2441" customFormat="1" ht="11.25" customHeight="1">
      <c r="A247" s="88"/>
      <c r="B247" s="7997" t="s">
        <v>4933</v>
      </c>
      <c r="C247" s="7997"/>
      <c r="D247" s="7997"/>
      <c r="E247" s="7997"/>
      <c r="F247" s="7997"/>
      <c r="G247" s="7997"/>
      <c r="H247" s="7997"/>
      <c r="I247" s="7997"/>
      <c r="J247" s="88"/>
      <c r="K247" s="88"/>
      <c r="L247" s="88"/>
      <c r="M247" s="1067"/>
      <c r="O247" s="88"/>
      <c r="P247" s="88"/>
      <c r="Q247" s="88"/>
      <c r="R247" s="88"/>
      <c r="S247" s="88"/>
      <c r="T247" s="88"/>
      <c r="U247" s="88"/>
      <c r="V247" s="88"/>
      <c r="W247" s="88"/>
      <c r="X247" s="88"/>
      <c r="Y247" s="88"/>
      <c r="Z247" s="88"/>
      <c r="AA247" s="658"/>
      <c r="AB247" s="658"/>
      <c r="AC247" s="658"/>
      <c r="AD247" s="658"/>
      <c r="AE247" s="658"/>
      <c r="AF247" s="658"/>
      <c r="AG247" s="670"/>
      <c r="AH247" s="670"/>
      <c r="AI247" s="670"/>
      <c r="AJ247" s="670"/>
      <c r="AK247" s="670"/>
      <c r="AL247" s="670"/>
      <c r="AN247" s="673"/>
      <c r="AO247" s="670"/>
      <c r="AP247" s="658"/>
      <c r="AQ247" s="658"/>
      <c r="AR247" s="658"/>
      <c r="AS247" s="658"/>
      <c r="AT247" s="658"/>
      <c r="AU247" s="670"/>
      <c r="AV247" s="670"/>
    </row>
    <row r="248" spans="1:48" s="2441" customFormat="1" ht="15.75" customHeight="1">
      <c r="A248" s="88"/>
      <c r="B248" s="7997"/>
      <c r="C248" s="7997"/>
      <c r="D248" s="7997"/>
      <c r="E248" s="7997"/>
      <c r="F248" s="7997"/>
      <c r="G248" s="7997"/>
      <c r="H248" s="7997"/>
      <c r="I248" s="7997"/>
      <c r="J248" s="88"/>
      <c r="K248" s="88"/>
      <c r="L248" s="88"/>
      <c r="M248" s="1067"/>
      <c r="O248" s="88"/>
      <c r="P248" s="88"/>
      <c r="Q248" s="88"/>
      <c r="R248" s="88"/>
      <c r="S248" s="88"/>
      <c r="T248" s="88"/>
      <c r="U248" s="88"/>
      <c r="V248" s="88"/>
      <c r="W248" s="88"/>
      <c r="X248" s="88"/>
      <c r="Y248" s="88"/>
      <c r="Z248" s="88"/>
      <c r="AA248" s="658"/>
      <c r="AB248" s="658"/>
      <c r="AC248" s="658"/>
      <c r="AD248" s="658"/>
      <c r="AE248" s="658"/>
      <c r="AF248" s="658"/>
      <c r="AG248" s="670"/>
      <c r="AH248" s="670"/>
      <c r="AI248" s="670"/>
      <c r="AJ248" s="670"/>
      <c r="AK248" s="670"/>
      <c r="AL248" s="670"/>
      <c r="AN248" s="673"/>
      <c r="AO248" s="670"/>
      <c r="AP248" s="658"/>
      <c r="AQ248" s="658"/>
      <c r="AR248" s="658"/>
      <c r="AS248" s="658"/>
      <c r="AT248" s="658"/>
      <c r="AU248" s="670"/>
      <c r="AV248" s="670"/>
    </row>
    <row r="249" spans="1:48" s="2441" customFormat="1" ht="15.75" customHeight="1">
      <c r="A249" s="88"/>
      <c r="B249" s="7997"/>
      <c r="C249" s="7997"/>
      <c r="D249" s="7997"/>
      <c r="E249" s="7997"/>
      <c r="F249" s="7997"/>
      <c r="G249" s="7997"/>
      <c r="H249" s="7997"/>
      <c r="I249" s="7997"/>
      <c r="J249" s="88"/>
      <c r="K249" s="88"/>
      <c r="L249" s="88"/>
      <c r="M249" s="1067"/>
      <c r="O249" s="88"/>
      <c r="P249" s="88"/>
      <c r="Q249" s="88"/>
      <c r="R249" s="88"/>
      <c r="S249" s="88"/>
      <c r="T249" s="88"/>
      <c r="U249" s="88"/>
      <c r="V249" s="88"/>
      <c r="W249" s="88"/>
      <c r="X249" s="88"/>
      <c r="Y249" s="88"/>
      <c r="Z249" s="88"/>
      <c r="AA249" s="658"/>
      <c r="AB249" s="658"/>
      <c r="AC249" s="658"/>
      <c r="AD249" s="658"/>
      <c r="AE249" s="658"/>
      <c r="AF249" s="658"/>
      <c r="AG249" s="670"/>
      <c r="AH249" s="670"/>
      <c r="AI249" s="670"/>
      <c r="AJ249" s="670"/>
      <c r="AK249" s="670"/>
      <c r="AL249" s="670"/>
      <c r="AN249" s="673"/>
      <c r="AO249" s="670"/>
      <c r="AP249" s="658"/>
      <c r="AQ249" s="658"/>
      <c r="AR249" s="658"/>
      <c r="AS249" s="658"/>
      <c r="AT249" s="658"/>
      <c r="AU249" s="670"/>
      <c r="AV249" s="670"/>
    </row>
    <row r="250" spans="1:48" s="2441" customFormat="1" ht="15.75" customHeight="1">
      <c r="A250" s="88"/>
      <c r="B250" s="7997"/>
      <c r="C250" s="7997"/>
      <c r="D250" s="7997"/>
      <c r="E250" s="7997"/>
      <c r="F250" s="7997"/>
      <c r="G250" s="7997"/>
      <c r="H250" s="7997"/>
      <c r="I250" s="7997"/>
      <c r="J250" s="88"/>
      <c r="K250" s="88"/>
      <c r="L250" s="88"/>
      <c r="M250" s="1067"/>
      <c r="O250" s="88"/>
      <c r="P250" s="88"/>
      <c r="Q250" s="88"/>
      <c r="R250" s="88"/>
      <c r="S250" s="88"/>
      <c r="T250" s="88"/>
      <c r="U250" s="88"/>
      <c r="V250" s="88"/>
      <c r="W250" s="88"/>
      <c r="X250" s="88"/>
      <c r="Y250" s="88"/>
      <c r="Z250" s="88"/>
      <c r="AA250" s="658"/>
      <c r="AB250" s="658"/>
      <c r="AC250" s="658"/>
      <c r="AD250" s="658"/>
      <c r="AE250" s="658"/>
      <c r="AF250" s="658"/>
      <c r="AG250" s="670"/>
      <c r="AH250" s="670"/>
      <c r="AI250" s="670"/>
      <c r="AJ250" s="670"/>
      <c r="AK250" s="670"/>
      <c r="AL250" s="670"/>
      <c r="AN250" s="673"/>
      <c r="AO250" s="670"/>
      <c r="AP250" s="658"/>
      <c r="AQ250" s="658"/>
      <c r="AR250" s="658"/>
      <c r="AS250" s="658"/>
      <c r="AT250" s="658"/>
      <c r="AU250" s="670"/>
      <c r="AV250" s="670"/>
    </row>
    <row r="251" spans="1:48" s="2441" customFormat="1" ht="15.75" customHeight="1">
      <c r="A251" s="88"/>
      <c r="B251" s="7997"/>
      <c r="C251" s="7997"/>
      <c r="D251" s="7997"/>
      <c r="E251" s="7997"/>
      <c r="F251" s="7997"/>
      <c r="G251" s="7997"/>
      <c r="H251" s="7997"/>
      <c r="I251" s="7997"/>
      <c r="J251" s="88"/>
      <c r="K251" s="88"/>
      <c r="L251" s="88"/>
      <c r="M251" s="1067"/>
      <c r="O251" s="88"/>
      <c r="P251" s="88"/>
      <c r="Q251" s="88"/>
      <c r="R251" s="88"/>
      <c r="S251" s="88"/>
      <c r="T251" s="88"/>
      <c r="U251" s="88"/>
      <c r="V251" s="88"/>
      <c r="W251" s="88"/>
      <c r="X251" s="88"/>
      <c r="Y251" s="88"/>
      <c r="Z251" s="88"/>
      <c r="AA251" s="658"/>
      <c r="AB251" s="658"/>
      <c r="AC251" s="658"/>
      <c r="AD251" s="658"/>
      <c r="AE251" s="658"/>
      <c r="AF251" s="658"/>
      <c r="AG251" s="670"/>
      <c r="AH251" s="670"/>
      <c r="AI251" s="670"/>
      <c r="AJ251" s="670"/>
      <c r="AK251" s="670"/>
      <c r="AL251" s="670"/>
      <c r="AN251" s="673"/>
      <c r="AO251" s="670"/>
      <c r="AP251" s="658"/>
      <c r="AQ251" s="658"/>
      <c r="AR251" s="658"/>
      <c r="AS251" s="658"/>
      <c r="AT251" s="658"/>
      <c r="AU251" s="670"/>
      <c r="AV251" s="670"/>
    </row>
    <row r="252" spans="1:48" ht="15.75" customHeight="1">
      <c r="B252" s="7997"/>
      <c r="C252" s="7997"/>
      <c r="D252" s="7997"/>
      <c r="E252" s="7997"/>
      <c r="F252" s="7997"/>
      <c r="G252" s="7997"/>
      <c r="H252" s="7997"/>
      <c r="I252" s="7997"/>
      <c r="AA252" s="658"/>
      <c r="AB252" s="658"/>
      <c r="AC252" s="658"/>
      <c r="AD252" s="658"/>
      <c r="AE252" s="658"/>
      <c r="AF252" s="658"/>
      <c r="AG252" s="658"/>
      <c r="AH252" s="658"/>
      <c r="AI252" s="658"/>
      <c r="AJ252" s="658"/>
      <c r="AK252" s="658"/>
      <c r="AL252" s="658"/>
      <c r="AN252" s="670"/>
      <c r="AO252" s="670"/>
      <c r="AP252" s="658"/>
      <c r="AQ252" s="658"/>
      <c r="AR252" s="658"/>
      <c r="AS252" s="658"/>
      <c r="AT252" s="658"/>
      <c r="AU252" s="658"/>
      <c r="AV252" s="658"/>
    </row>
    <row r="253" spans="1:48" ht="15.75" customHeight="1">
      <c r="B253" s="2680"/>
      <c r="C253" s="2680"/>
      <c r="D253" s="2680"/>
      <c r="E253" s="2680"/>
      <c r="F253" s="2680"/>
      <c r="G253" s="2680"/>
      <c r="H253" s="2680"/>
      <c r="I253" s="2680"/>
      <c r="AA253" s="658"/>
      <c r="AB253" s="658"/>
      <c r="AC253" s="658"/>
      <c r="AD253" s="658"/>
      <c r="AE253" s="658"/>
      <c r="AF253" s="658"/>
      <c r="AG253" s="658"/>
      <c r="AH253" s="658"/>
      <c r="AI253" s="658"/>
      <c r="AJ253" s="658"/>
      <c r="AK253" s="658"/>
      <c r="AL253" s="658"/>
      <c r="AN253" s="670"/>
      <c r="AO253" s="670"/>
      <c r="AP253" s="658"/>
      <c r="AQ253" s="658"/>
      <c r="AR253" s="658"/>
      <c r="AS253" s="658"/>
      <c r="AT253" s="658"/>
      <c r="AU253" s="658"/>
      <c r="AV253" s="658"/>
    </row>
    <row r="254" spans="1:48">
      <c r="C254" s="220" t="s">
        <v>167</v>
      </c>
      <c r="D254" s="1560" t="s">
        <v>1988</v>
      </c>
      <c r="J254" s="220" t="s">
        <v>167</v>
      </c>
      <c r="K254" s="2499" t="str">
        <f>IF(G235,SUM(K239,-K245),"")</f>
        <v/>
      </c>
      <c r="AA254" s="658"/>
      <c r="AB254" s="658"/>
      <c r="AC254" s="658"/>
      <c r="AD254" s="658"/>
      <c r="AE254" s="658"/>
      <c r="AF254" s="658"/>
      <c r="AG254" s="658"/>
      <c r="AH254" s="658"/>
      <c r="AI254" s="658"/>
      <c r="AJ254" s="658"/>
      <c r="AK254" s="658"/>
      <c r="AL254" s="658"/>
      <c r="AN254" s="670"/>
      <c r="AO254" s="670"/>
      <c r="AP254" s="658"/>
      <c r="AQ254" s="658"/>
      <c r="AR254" s="658"/>
      <c r="AS254" s="658"/>
      <c r="AT254" s="658"/>
      <c r="AU254" s="658"/>
      <c r="AV254" s="658"/>
    </row>
    <row r="255" spans="1:48">
      <c r="AA255" s="658"/>
      <c r="AB255" s="658"/>
      <c r="AC255" s="658"/>
      <c r="AD255" s="658"/>
      <c r="AE255" s="658"/>
      <c r="AF255" s="658"/>
      <c r="AG255" s="658"/>
      <c r="AH255" s="658"/>
      <c r="AI255" s="658"/>
      <c r="AJ255" s="658"/>
      <c r="AK255" s="658"/>
      <c r="AL255" s="658"/>
      <c r="AN255" s="670"/>
      <c r="AO255" s="670"/>
      <c r="AP255" s="658"/>
      <c r="AQ255" s="658"/>
      <c r="AR255" s="658"/>
      <c r="AS255" s="658"/>
      <c r="AT255" s="658"/>
      <c r="AU255" s="658"/>
      <c r="AV255" s="658"/>
    </row>
    <row r="256" spans="1:48">
      <c r="C256" s="220" t="s">
        <v>171</v>
      </c>
      <c r="D256" s="88" t="s">
        <v>1654</v>
      </c>
      <c r="AA256" s="658"/>
      <c r="AB256" s="658"/>
      <c r="AC256" s="658"/>
      <c r="AD256" s="658"/>
      <c r="AE256" s="658"/>
      <c r="AF256" s="658"/>
      <c r="AG256" s="658"/>
      <c r="AH256" s="658"/>
      <c r="AI256" s="658"/>
      <c r="AJ256" s="658"/>
      <c r="AK256" s="658"/>
      <c r="AL256" s="658"/>
      <c r="AN256" s="670"/>
      <c r="AO256" s="670"/>
      <c r="AP256" s="658"/>
      <c r="AQ256" s="658"/>
      <c r="AR256" s="658"/>
      <c r="AS256" s="658"/>
      <c r="AT256" s="658"/>
      <c r="AU256" s="658"/>
      <c r="AV256" s="658"/>
    </row>
    <row r="257" spans="1:48">
      <c r="D257" s="88" t="s">
        <v>1655</v>
      </c>
      <c r="AA257" s="658"/>
      <c r="AB257" s="658"/>
      <c r="AC257" s="658"/>
      <c r="AD257" s="658"/>
      <c r="AE257" s="658"/>
      <c r="AF257" s="658"/>
      <c r="AG257" s="658"/>
      <c r="AH257" s="658"/>
      <c r="AI257" s="658"/>
      <c r="AJ257" s="658"/>
      <c r="AK257" s="658"/>
      <c r="AL257" s="658"/>
      <c r="AN257" s="670"/>
      <c r="AO257" s="670"/>
      <c r="AP257" s="658"/>
      <c r="AQ257" s="658"/>
      <c r="AR257" s="658"/>
      <c r="AS257" s="658"/>
      <c r="AT257" s="658"/>
      <c r="AU257" s="658"/>
      <c r="AV257" s="658"/>
    </row>
    <row r="258" spans="1:48">
      <c r="D258" s="1560" t="s">
        <v>1656</v>
      </c>
      <c r="AA258" s="658"/>
      <c r="AB258" s="658"/>
      <c r="AC258" s="658"/>
      <c r="AD258" s="658"/>
      <c r="AE258" s="658"/>
      <c r="AF258" s="658"/>
      <c r="AG258" s="658"/>
      <c r="AH258" s="658"/>
      <c r="AI258" s="658"/>
      <c r="AJ258" s="658"/>
      <c r="AK258" s="658"/>
      <c r="AL258" s="658"/>
      <c r="AN258" s="670"/>
      <c r="AO258" s="670"/>
      <c r="AP258" s="658"/>
      <c r="AQ258" s="658"/>
      <c r="AR258" s="658"/>
      <c r="AS258" s="658"/>
      <c r="AT258" s="658"/>
      <c r="AU258" s="658"/>
      <c r="AV258" s="658"/>
    </row>
    <row r="259" spans="1:48">
      <c r="D259" s="1560" t="s">
        <v>1657</v>
      </c>
      <c r="M259" s="226" t="s">
        <v>979</v>
      </c>
      <c r="AA259" s="658"/>
      <c r="AB259" s="658"/>
      <c r="AC259" s="658"/>
      <c r="AD259" s="658"/>
      <c r="AE259" s="658"/>
      <c r="AF259" s="658"/>
      <c r="AG259" s="658"/>
      <c r="AH259" s="658"/>
      <c r="AI259" s="658"/>
      <c r="AJ259" s="658"/>
      <c r="AK259" s="658"/>
      <c r="AL259" s="658"/>
      <c r="AN259" s="670"/>
      <c r="AO259" s="670"/>
      <c r="AP259" s="658"/>
      <c r="AQ259" s="658"/>
      <c r="AR259" s="658"/>
      <c r="AS259" s="658"/>
      <c r="AT259" s="658"/>
      <c r="AU259" s="658"/>
      <c r="AV259" s="658"/>
    </row>
    <row r="260" spans="1:48" ht="13.5" thickBot="1">
      <c r="D260" s="1560"/>
      <c r="M260" s="226" t="s">
        <v>931</v>
      </c>
      <c r="O260" s="1560" t="s">
        <v>1658</v>
      </c>
      <c r="AA260" s="658"/>
      <c r="AB260" s="658"/>
      <c r="AC260" s="658"/>
      <c r="AD260" s="658"/>
      <c r="AE260" s="658"/>
      <c r="AF260" s="658"/>
      <c r="AG260" s="658"/>
      <c r="AH260" s="658"/>
      <c r="AI260" s="658"/>
      <c r="AJ260" s="658"/>
      <c r="AK260" s="658"/>
      <c r="AL260" s="658"/>
      <c r="AN260" s="670"/>
      <c r="AO260" s="670"/>
      <c r="AP260" s="658"/>
      <c r="AQ260" s="658"/>
      <c r="AR260" s="658"/>
      <c r="AS260" s="658"/>
      <c r="AT260" s="658"/>
      <c r="AU260" s="658"/>
      <c r="AV260" s="658"/>
    </row>
    <row r="261" spans="1:48" ht="13.5" thickBot="1">
      <c r="D261" s="1560" t="s">
        <v>1659</v>
      </c>
      <c r="J261" s="220" t="s">
        <v>171</v>
      </c>
      <c r="K261" s="2499">
        <f>IF(M261&lt;&gt;"",ROUND(M261,0),CombatPayNoTax)</f>
        <v>0</v>
      </c>
      <c r="M261" s="1465"/>
      <c r="O261" s="1560" t="s">
        <v>1660</v>
      </c>
      <c r="AA261" s="658"/>
      <c r="AB261" s="658"/>
      <c r="AC261" s="658"/>
      <c r="AD261" s="658"/>
      <c r="AE261" s="658"/>
      <c r="AF261" s="658"/>
      <c r="AG261" s="658"/>
      <c r="AH261" s="658"/>
      <c r="AI261" s="658"/>
      <c r="AJ261" s="658"/>
      <c r="AK261" s="658"/>
      <c r="AL261" s="658"/>
      <c r="AN261" s="670"/>
      <c r="AO261" s="670"/>
      <c r="AP261" s="658"/>
      <c r="AQ261" s="658"/>
      <c r="AR261" s="658"/>
      <c r="AS261" s="658"/>
      <c r="AT261" s="658"/>
      <c r="AU261" s="658"/>
      <c r="AV261" s="658"/>
    </row>
    <row r="262" spans="1:48" ht="15" customHeight="1">
      <c r="D262" s="1560"/>
      <c r="J262" s="220"/>
      <c r="O262" s="1560" t="s">
        <v>1661</v>
      </c>
      <c r="AA262" s="658"/>
      <c r="AB262" s="658"/>
      <c r="AC262" s="658"/>
      <c r="AD262" s="658"/>
      <c r="AE262" s="658"/>
      <c r="AF262" s="658"/>
      <c r="AG262" s="658"/>
      <c r="AH262" s="658"/>
      <c r="AI262" s="658"/>
      <c r="AJ262" s="658"/>
      <c r="AK262" s="658"/>
      <c r="AL262" s="658"/>
      <c r="AN262" s="670"/>
      <c r="AO262" s="670"/>
      <c r="AP262" s="658"/>
      <c r="AQ262" s="658"/>
      <c r="AR262" s="658"/>
      <c r="AS262" s="658"/>
      <c r="AT262" s="658"/>
      <c r="AU262" s="658"/>
      <c r="AV262" s="658"/>
    </row>
    <row r="263" spans="1:48">
      <c r="D263" s="1560"/>
      <c r="J263" s="220"/>
      <c r="AA263" s="658"/>
      <c r="AB263" s="658"/>
      <c r="AC263" s="658"/>
      <c r="AD263" s="658"/>
      <c r="AE263" s="658"/>
      <c r="AF263" s="658"/>
      <c r="AG263" s="658"/>
      <c r="AH263" s="658"/>
      <c r="AI263" s="658"/>
      <c r="AJ263" s="658"/>
      <c r="AK263" s="658"/>
      <c r="AL263" s="658"/>
      <c r="AN263" s="670"/>
      <c r="AO263" s="670"/>
      <c r="AP263" s="658"/>
      <c r="AQ263" s="658"/>
      <c r="AR263" s="658"/>
      <c r="AS263" s="658"/>
      <c r="AT263" s="658"/>
      <c r="AU263" s="658"/>
      <c r="AV263" s="658"/>
    </row>
    <row r="264" spans="1:48">
      <c r="D264" s="2669" t="s">
        <v>1662</v>
      </c>
      <c r="E264" s="2669"/>
      <c r="J264" s="220"/>
      <c r="AA264" s="658"/>
      <c r="AB264" s="658"/>
      <c r="AC264" s="658"/>
      <c r="AD264" s="658"/>
      <c r="AE264" s="658"/>
      <c r="AF264" s="658"/>
      <c r="AG264" s="658"/>
      <c r="AH264" s="658"/>
      <c r="AI264" s="658"/>
      <c r="AJ264" s="658"/>
      <c r="AK264" s="658"/>
      <c r="AL264" s="658"/>
      <c r="AN264" s="670"/>
      <c r="AO264" s="670"/>
      <c r="AP264" s="658"/>
      <c r="AQ264" s="658"/>
      <c r="AR264" s="658"/>
      <c r="AS264" s="658"/>
      <c r="AT264" s="658"/>
      <c r="AU264" s="658"/>
      <c r="AV264" s="658"/>
    </row>
    <row r="265" spans="1:48">
      <c r="D265" s="2669" t="s">
        <v>1663</v>
      </c>
      <c r="J265" s="220"/>
      <c r="AA265" s="658"/>
      <c r="AB265" s="658"/>
      <c r="AC265" s="658"/>
      <c r="AD265" s="658"/>
      <c r="AE265" s="658"/>
      <c r="AF265" s="658"/>
      <c r="AG265" s="658"/>
      <c r="AH265" s="658"/>
      <c r="AI265" s="658"/>
      <c r="AJ265" s="658"/>
      <c r="AK265" s="658"/>
      <c r="AL265" s="658"/>
      <c r="AN265" s="670"/>
      <c r="AO265" s="670"/>
      <c r="AP265" s="658"/>
      <c r="AQ265" s="658"/>
      <c r="AR265" s="658"/>
      <c r="AS265" s="658"/>
      <c r="AT265" s="658"/>
      <c r="AU265" s="658"/>
      <c r="AV265" s="658"/>
    </row>
    <row r="266" spans="1:48">
      <c r="D266" s="2669" t="s">
        <v>1664</v>
      </c>
      <c r="J266" s="220"/>
      <c r="AA266" s="658"/>
      <c r="AB266" s="658"/>
      <c r="AC266" s="658"/>
      <c r="AD266" s="658"/>
      <c r="AE266" s="658"/>
      <c r="AF266" s="658"/>
      <c r="AG266" s="658"/>
      <c r="AH266" s="658"/>
      <c r="AI266" s="658"/>
      <c r="AJ266" s="658"/>
      <c r="AK266" s="658"/>
      <c r="AL266" s="658"/>
      <c r="AN266" s="670"/>
      <c r="AO266" s="670"/>
      <c r="AP266" s="658"/>
      <c r="AQ266" s="658"/>
      <c r="AR266" s="658"/>
      <c r="AS266" s="658"/>
      <c r="AT266" s="658"/>
      <c r="AU266" s="658"/>
      <c r="AV266" s="658"/>
    </row>
    <row r="267" spans="1:48">
      <c r="D267" s="2669" t="s">
        <v>1665</v>
      </c>
      <c r="J267" s="220"/>
      <c r="AA267" s="658"/>
      <c r="AB267" s="658"/>
      <c r="AC267" s="658"/>
      <c r="AD267" s="658"/>
      <c r="AE267" s="658"/>
      <c r="AF267" s="658"/>
      <c r="AG267" s="658"/>
      <c r="AH267" s="658"/>
      <c r="AI267" s="658"/>
      <c r="AJ267" s="658"/>
      <c r="AK267" s="658"/>
      <c r="AL267" s="658"/>
      <c r="AN267" s="670"/>
      <c r="AO267" s="670"/>
      <c r="AP267" s="658"/>
      <c r="AQ267" s="658"/>
      <c r="AR267" s="658"/>
      <c r="AS267" s="658"/>
      <c r="AT267" s="658"/>
      <c r="AU267" s="658"/>
      <c r="AV267" s="658"/>
    </row>
    <row r="268" spans="1:48">
      <c r="D268" s="2669"/>
      <c r="J268" s="220"/>
      <c r="M268" s="226" t="s">
        <v>979</v>
      </c>
      <c r="N268" s="88"/>
      <c r="O268" s="226"/>
      <c r="Q268" s="226"/>
      <c r="AA268" s="658"/>
      <c r="AB268" s="658"/>
      <c r="AC268" s="658"/>
      <c r="AD268" s="658"/>
      <c r="AE268" s="658"/>
      <c r="AF268" s="658"/>
      <c r="AG268" s="658"/>
      <c r="AH268" s="658"/>
      <c r="AI268" s="658"/>
      <c r="AJ268" s="658"/>
      <c r="AK268" s="658"/>
      <c r="AL268" s="658"/>
      <c r="AN268" s="670"/>
      <c r="AO268" s="670"/>
      <c r="AP268" s="658"/>
      <c r="AQ268" s="658"/>
      <c r="AR268" s="658"/>
      <c r="AS268" s="658"/>
      <c r="AT268" s="658"/>
      <c r="AU268" s="658"/>
      <c r="AV268" s="658"/>
    </row>
    <row r="269" spans="1:48" ht="13.5" thickBot="1">
      <c r="C269" s="220" t="s">
        <v>184</v>
      </c>
      <c r="D269" s="1560" t="s">
        <v>4935</v>
      </c>
      <c r="M269" s="226" t="s">
        <v>931</v>
      </c>
      <c r="AA269" s="658"/>
      <c r="AB269" s="658"/>
      <c r="AC269" s="658"/>
      <c r="AD269" s="658"/>
      <c r="AE269" s="658"/>
      <c r="AF269" s="658"/>
      <c r="AG269" s="658"/>
      <c r="AH269" s="658"/>
      <c r="AI269" s="658"/>
      <c r="AJ269" s="658"/>
      <c r="AK269" s="658"/>
      <c r="AL269" s="658"/>
      <c r="AN269" s="670"/>
      <c r="AO269" s="670"/>
      <c r="AP269" s="658"/>
      <c r="AQ269" s="658"/>
      <c r="AR269" s="658"/>
      <c r="AS269" s="658"/>
      <c r="AT269" s="658"/>
      <c r="AU269" s="658"/>
      <c r="AV269" s="658"/>
    </row>
    <row r="270" spans="1:48" ht="13.5" thickBot="1">
      <c r="D270" s="226" t="s">
        <v>4934</v>
      </c>
      <c r="J270" s="220" t="s">
        <v>184</v>
      </c>
      <c r="K270" s="2499" t="str">
        <f>IF(M270&lt;&gt;"",M270,IF(G235,SUM(K254,K261),""))</f>
        <v/>
      </c>
      <c r="M270" s="1465"/>
      <c r="N270" s="88"/>
      <c r="O270" s="226"/>
      <c r="Q270" s="226"/>
      <c r="AA270" s="658"/>
      <c r="AB270" s="658"/>
      <c r="AC270" s="658"/>
      <c r="AD270" s="658"/>
      <c r="AE270" s="658"/>
      <c r="AF270" s="658"/>
      <c r="AG270" s="658"/>
      <c r="AH270" s="658"/>
      <c r="AI270" s="658"/>
      <c r="AJ270" s="658"/>
      <c r="AK270" s="658"/>
      <c r="AL270" s="658"/>
      <c r="AN270" s="670"/>
      <c r="AO270" s="670"/>
      <c r="AP270" s="658"/>
      <c r="AQ270" s="658"/>
      <c r="AR270" s="658"/>
      <c r="AS270" s="658"/>
      <c r="AT270" s="658"/>
      <c r="AU270" s="658"/>
      <c r="AV270" s="658"/>
    </row>
    <row r="271" spans="1:48">
      <c r="C271" s="2681"/>
      <c r="D271" s="226"/>
      <c r="J271" s="220"/>
      <c r="M271" s="189"/>
      <c r="N271" s="88"/>
      <c r="O271" s="226"/>
      <c r="Q271" s="226"/>
      <c r="AA271" s="658"/>
      <c r="AB271" s="658"/>
      <c r="AC271" s="658"/>
      <c r="AD271" s="658"/>
      <c r="AE271" s="658"/>
      <c r="AF271" s="658"/>
      <c r="AG271" s="658"/>
      <c r="AH271" s="658"/>
      <c r="AI271" s="658"/>
      <c r="AJ271" s="658"/>
      <c r="AK271" s="658"/>
      <c r="AL271" s="658"/>
      <c r="AN271" s="670"/>
      <c r="AO271" s="670"/>
      <c r="AP271" s="658"/>
      <c r="AQ271" s="658"/>
      <c r="AR271" s="658"/>
      <c r="AS271" s="658"/>
      <c r="AT271" s="658"/>
      <c r="AU271" s="658"/>
      <c r="AV271" s="658"/>
    </row>
    <row r="272" spans="1:48" ht="9.75" customHeight="1">
      <c r="A272" s="2502"/>
      <c r="C272" s="2501"/>
      <c r="D272" s="1843"/>
      <c r="E272" s="1839"/>
      <c r="F272" s="1839"/>
      <c r="G272" s="1839"/>
      <c r="H272" s="1839"/>
      <c r="I272" s="1839"/>
      <c r="J272" s="1839"/>
      <c r="K272" s="1839"/>
      <c r="AA272" s="658"/>
      <c r="AB272" s="658"/>
      <c r="AC272" s="658"/>
      <c r="AD272" s="658"/>
      <c r="AE272" s="658"/>
      <c r="AF272" s="658"/>
      <c r="AG272" s="658"/>
      <c r="AH272" s="658"/>
      <c r="AI272" s="658"/>
      <c r="AJ272" s="658"/>
      <c r="AK272" s="658"/>
      <c r="AL272" s="658"/>
      <c r="AN272" s="670"/>
      <c r="AO272" s="670"/>
      <c r="AP272" s="658"/>
      <c r="AQ272" s="658"/>
      <c r="AR272" s="658"/>
      <c r="AS272" s="658"/>
      <c r="AT272" s="658"/>
      <c r="AU272" s="658"/>
      <c r="AV272" s="658"/>
    </row>
    <row r="273" spans="1:48">
      <c r="A273" s="2643" t="s">
        <v>161</v>
      </c>
      <c r="B273" s="88" t="str">
        <f>"Were you self-employed at any time in "&amp;TaxYear&amp;", or are you filing Schedule SE because you were a member of the"</f>
        <v>Were you self-employed at any time in 2025, or are you filing Schedule SE because you were a member of the</v>
      </c>
      <c r="C273" s="2648"/>
      <c r="AA273" s="658"/>
      <c r="AB273" s="658"/>
      <c r="AC273" s="658"/>
      <c r="AD273" s="658"/>
      <c r="AE273" s="658"/>
      <c r="AF273" s="658"/>
      <c r="AG273" s="658"/>
      <c r="AH273" s="658"/>
      <c r="AI273" s="658"/>
      <c r="AJ273" s="658"/>
      <c r="AK273" s="658"/>
      <c r="AL273" s="658"/>
      <c r="AN273" s="670"/>
      <c r="AO273" s="670"/>
      <c r="AP273" s="658"/>
      <c r="AQ273" s="658"/>
      <c r="AR273" s="658"/>
      <c r="AS273" s="658"/>
      <c r="AT273" s="658"/>
      <c r="AU273" s="658"/>
      <c r="AV273" s="658"/>
    </row>
    <row r="274" spans="1:48">
      <c r="A274" s="4465" t="b">
        <f>OR(SchSE_Clergy1_You,SchSE_Clergy1_Sp,SchSE_Clergy2_You,SchSE_Clergy2_Sp,ChurchEmployee1,ChurchEmployee2,AND(ChurchEmployeeIncome1&lt;&gt;"",ChurchEmployeeIncome1&gt;0),AND(ChurchEmployeeIncome2&lt;&gt;"",ChurchEmployeeIncome2&gt;0))</f>
        <v>0</v>
      </c>
      <c r="B274" s="1560" t="s">
        <v>1666</v>
      </c>
      <c r="C274" s="2502"/>
      <c r="AA274" s="658"/>
      <c r="AB274" s="658"/>
      <c r="AC274" s="658"/>
      <c r="AD274" s="658"/>
      <c r="AE274" s="658"/>
      <c r="AF274" s="658"/>
      <c r="AG274" s="658"/>
      <c r="AH274" s="658"/>
      <c r="AI274" s="658"/>
      <c r="AJ274" s="658"/>
      <c r="AK274" s="658"/>
      <c r="AL274" s="658"/>
      <c r="AN274" s="670"/>
      <c r="AO274" s="670"/>
      <c r="AP274" s="658"/>
      <c r="AQ274" s="658"/>
      <c r="AR274" s="658"/>
      <c r="AS274" s="658"/>
      <c r="AT274" s="658"/>
      <c r="AU274" s="658"/>
      <c r="AV274" s="658"/>
    </row>
    <row r="275" spans="1:48">
      <c r="A275" s="4465" t="b">
        <f>OR(SchC_StatutoryEmp_1&lt;&gt;"",SchC_StatutoryEmp_2&lt;&gt;"")</f>
        <v>0</v>
      </c>
      <c r="C275" s="2648"/>
      <c r="AA275" s="658"/>
      <c r="AB275" s="658"/>
      <c r="AC275" s="658"/>
      <c r="AD275" s="658"/>
      <c r="AE275" s="658"/>
      <c r="AF275" s="658"/>
      <c r="AG275" s="658"/>
      <c r="AH275" s="658"/>
      <c r="AI275" s="658"/>
      <c r="AJ275" s="658"/>
      <c r="AK275" s="658"/>
      <c r="AL275" s="658"/>
      <c r="AN275" s="670"/>
      <c r="AO275" s="670"/>
      <c r="AP275" s="658"/>
      <c r="AQ275" s="658"/>
      <c r="AR275" s="658"/>
      <c r="AS275" s="658"/>
      <c r="AT275" s="658"/>
      <c r="AU275" s="658"/>
      <c r="AV275" s="658"/>
    </row>
    <row r="276" spans="1:48">
      <c r="A276" s="2651" t="b">
        <f>AND(G235,B276&lt;&gt;"")</f>
        <v>0</v>
      </c>
      <c r="B276" s="325"/>
      <c r="D276" s="1560" t="s">
        <v>1667</v>
      </c>
      <c r="H276" s="2653" t="str">
        <f>IF(L276,"X","")</f>
        <v/>
      </c>
      <c r="J276" s="1560" t="s">
        <v>1668</v>
      </c>
      <c r="L276" s="2679" t="b">
        <f>AND(G235,NOT(A276))</f>
        <v>0</v>
      </c>
      <c r="AA276" s="658"/>
      <c r="AB276" s="658"/>
      <c r="AC276" s="658"/>
      <c r="AD276" s="658"/>
      <c r="AE276" s="658"/>
      <c r="AF276" s="658"/>
      <c r="AG276" s="658"/>
      <c r="AH276" s="658"/>
      <c r="AI276" s="658"/>
      <c r="AJ276" s="658"/>
      <c r="AK276" s="658"/>
      <c r="AL276" s="658"/>
      <c r="AN276" s="670"/>
      <c r="AO276" s="670"/>
      <c r="AP276" s="658"/>
      <c r="AQ276" s="658"/>
      <c r="AR276" s="658"/>
      <c r="AS276" s="658"/>
      <c r="AT276" s="658"/>
      <c r="AU276" s="658"/>
      <c r="AV276" s="658"/>
    </row>
    <row r="277" spans="1:48">
      <c r="A277" s="4465" t="b">
        <f>SUM(SchC_TentativeProfit1,SchC_TentativeProfit2)&lt;&gt;0</f>
        <v>0</v>
      </c>
      <c r="D277" s="1560" t="s">
        <v>1669</v>
      </c>
      <c r="F277" s="2657"/>
      <c r="G277" s="2657" t="str">
        <f>IF(AND(B276&lt;&gt;"",H276&lt;&gt;""),"Check ONLY one.","")</f>
        <v/>
      </c>
      <c r="AA277" s="658"/>
      <c r="AB277" s="658"/>
      <c r="AC277" s="658"/>
      <c r="AD277" s="658"/>
      <c r="AE277" s="658"/>
      <c r="AF277" s="658"/>
      <c r="AG277" s="658"/>
      <c r="AH277" s="658"/>
      <c r="AI277" s="658"/>
      <c r="AJ277" s="658"/>
      <c r="AK277" s="658"/>
      <c r="AL277" s="658"/>
      <c r="AN277" s="670"/>
      <c r="AO277" s="670"/>
      <c r="AP277" s="658"/>
      <c r="AQ277" s="658"/>
      <c r="AR277" s="658"/>
      <c r="AS277" s="658"/>
      <c r="AT277" s="658"/>
      <c r="AU277" s="658"/>
      <c r="AV277" s="658"/>
    </row>
    <row r="278" spans="1:48" ht="12.75" customHeight="1">
      <c r="AA278" s="658"/>
      <c r="AB278" s="658"/>
      <c r="AC278" s="658"/>
      <c r="AD278" s="658"/>
      <c r="AE278" s="658"/>
      <c r="AF278" s="658"/>
      <c r="AG278" s="658"/>
      <c r="AH278" s="658"/>
      <c r="AI278" s="658"/>
      <c r="AJ278" s="658"/>
      <c r="AK278" s="658"/>
      <c r="AL278" s="658"/>
      <c r="AN278" s="670"/>
      <c r="AO278" s="670"/>
      <c r="AP278" s="658"/>
      <c r="AQ278" s="658"/>
      <c r="AR278" s="658"/>
      <c r="AS278" s="658"/>
      <c r="AT278" s="658"/>
      <c r="AU278" s="658"/>
      <c r="AV278" s="658"/>
    </row>
    <row r="279" spans="1:48" ht="9.75" customHeight="1">
      <c r="A279" s="2502"/>
      <c r="C279" s="2501"/>
      <c r="D279" s="1843"/>
      <c r="E279" s="1839"/>
      <c r="F279" s="1839"/>
      <c r="G279" s="1839"/>
      <c r="H279" s="1839"/>
      <c r="I279" s="1839"/>
      <c r="J279" s="1839"/>
      <c r="K279" s="1839"/>
      <c r="AA279" s="658"/>
      <c r="AB279" s="658"/>
      <c r="AC279" s="658"/>
      <c r="AD279" s="658"/>
      <c r="AE279" s="658"/>
      <c r="AF279" s="658"/>
      <c r="AG279" s="658"/>
      <c r="AH279" s="658"/>
      <c r="AI279" s="658"/>
      <c r="AJ279" s="658"/>
      <c r="AK279" s="658"/>
      <c r="AL279" s="658"/>
      <c r="AN279" s="670"/>
      <c r="AO279" s="670"/>
      <c r="AP279" s="658"/>
      <c r="AQ279" s="658"/>
      <c r="AR279" s="658"/>
      <c r="AS279" s="658"/>
      <c r="AT279" s="658"/>
      <c r="AU279" s="658"/>
      <c r="AV279" s="658"/>
    </row>
    <row r="280" spans="1:48">
      <c r="A280" s="220" t="s">
        <v>167</v>
      </c>
      <c r="B280" s="1560" t="s">
        <v>1670</v>
      </c>
      <c r="G280" s="728"/>
      <c r="AA280" s="658"/>
      <c r="AB280" s="658"/>
      <c r="AC280" s="658"/>
      <c r="AD280" s="658"/>
      <c r="AE280" s="658"/>
      <c r="AF280" s="658"/>
      <c r="AG280" s="658"/>
      <c r="AH280" s="658"/>
      <c r="AI280" s="658"/>
      <c r="AJ280" s="658"/>
      <c r="AK280" s="658"/>
      <c r="AL280" s="658"/>
      <c r="AN280" s="670"/>
      <c r="AO280" s="670"/>
      <c r="AP280" s="658"/>
      <c r="AQ280" s="658"/>
      <c r="AR280" s="658"/>
      <c r="AS280" s="658"/>
      <c r="AT280" s="658"/>
      <c r="AU280" s="658"/>
      <c r="AV280" s="658"/>
    </row>
    <row r="281" spans="1:48" ht="7.5" customHeight="1">
      <c r="AA281" s="658"/>
      <c r="AB281" s="658"/>
      <c r="AC281" s="658"/>
      <c r="AD281" s="658"/>
      <c r="AE281" s="658"/>
      <c r="AF281" s="658"/>
      <c r="AG281" s="658"/>
      <c r="AH281" s="658"/>
      <c r="AI281" s="658"/>
      <c r="AJ281" s="658"/>
      <c r="AK281" s="658"/>
      <c r="AL281" s="658"/>
      <c r="AN281" s="670"/>
      <c r="AO281" s="670"/>
      <c r="AP281" s="658"/>
      <c r="AQ281" s="658"/>
      <c r="AR281" s="658"/>
      <c r="AS281" s="658"/>
      <c r="AT281" s="658"/>
      <c r="AU281" s="658"/>
      <c r="AV281" s="658"/>
    </row>
    <row r="282" spans="1:48">
      <c r="B282" s="2682" t="str">
        <f>IF(M283,"®","")</f>
        <v/>
      </c>
      <c r="C282" s="2643" t="s">
        <v>1554</v>
      </c>
      <c r="D282" s="1560" t="s">
        <v>1671</v>
      </c>
      <c r="AA282" s="658"/>
      <c r="AB282" s="658"/>
      <c r="AC282" s="658"/>
      <c r="AD282" s="658"/>
      <c r="AE282" s="658"/>
      <c r="AF282" s="658"/>
      <c r="AG282" s="658"/>
      <c r="AH282" s="658"/>
      <c r="AI282" s="658"/>
      <c r="AJ282" s="658"/>
      <c r="AK282" s="658"/>
      <c r="AL282" s="658"/>
      <c r="AN282" s="670"/>
      <c r="AO282" s="670"/>
      <c r="AP282" s="658"/>
      <c r="AQ282" s="658"/>
      <c r="AR282" s="658"/>
      <c r="AS282" s="658"/>
      <c r="AT282" s="658"/>
      <c r="AU282" s="658"/>
      <c r="AV282" s="658"/>
    </row>
    <row r="283" spans="1:48">
      <c r="B283" s="2652"/>
      <c r="D283" s="88" t="str">
        <f>"Is your earned income less than "&amp;TEXT(N10,"$0,000")&amp;" ("&amp;TEXT(O10,"$0,000")&amp;" if married filing jointly)?"</f>
        <v>Is your earned income less than $61,555 ($68,675 if married filing jointly)?</v>
      </c>
      <c r="L283" s="2657" t="str">
        <f>IF(OR(A276,EICNumQualChild&lt;=3),"",IF(M283,"Yes","No"))</f>
        <v/>
      </c>
      <c r="M283" s="441" t="b">
        <f>OR(AND(L276,File_Marr_Joint&lt;&gt;"",EICNumQualChild&gt;=3,EIC_EarnedIncome&lt;O10),AND(L276,EICNumQualChild&gt;=3,EIC_EarnedIncome&lt;N10))</f>
        <v>0</v>
      </c>
      <c r="AA283" s="658"/>
      <c r="AB283" s="658"/>
      <c r="AC283" s="658"/>
      <c r="AD283" s="658"/>
      <c r="AE283" s="658"/>
      <c r="AF283" s="658"/>
      <c r="AG283" s="658"/>
      <c r="AH283" s="658"/>
      <c r="AI283" s="658"/>
      <c r="AJ283" s="658"/>
      <c r="AK283" s="658"/>
      <c r="AL283" s="658"/>
      <c r="AN283" s="670"/>
      <c r="AO283" s="670"/>
      <c r="AP283" s="658"/>
      <c r="AQ283" s="658"/>
      <c r="AR283" s="658"/>
      <c r="AS283" s="658"/>
      <c r="AT283" s="658"/>
      <c r="AU283" s="658"/>
      <c r="AV283" s="658"/>
    </row>
    <row r="284" spans="1:48">
      <c r="B284" s="2652"/>
      <c r="C284" s="228" t="s">
        <v>1235</v>
      </c>
      <c r="M284" s="441"/>
      <c r="AA284" s="658"/>
      <c r="AB284" s="658"/>
      <c r="AC284" s="658"/>
      <c r="AD284" s="658"/>
      <c r="AE284" s="658"/>
      <c r="AF284" s="658"/>
      <c r="AG284" s="658"/>
      <c r="AH284" s="658"/>
      <c r="AI284" s="658"/>
      <c r="AJ284" s="658"/>
      <c r="AK284" s="658"/>
      <c r="AL284" s="658"/>
      <c r="AN284" s="670"/>
      <c r="AO284" s="670"/>
      <c r="AP284" s="658"/>
      <c r="AQ284" s="658"/>
      <c r="AR284" s="658"/>
      <c r="AS284" s="658"/>
      <c r="AT284" s="658"/>
      <c r="AU284" s="658"/>
      <c r="AV284" s="658"/>
    </row>
    <row r="285" spans="1:48">
      <c r="B285" s="2682" t="str">
        <f>IF(M286,"®","")</f>
        <v/>
      </c>
      <c r="C285" s="2643" t="s">
        <v>1554</v>
      </c>
      <c r="D285" s="1560" t="s">
        <v>1672</v>
      </c>
      <c r="M285" s="441"/>
      <c r="AA285" s="658"/>
      <c r="AB285" s="658"/>
      <c r="AC285" s="658"/>
      <c r="AD285" s="658"/>
      <c r="AE285" s="658"/>
      <c r="AF285" s="658"/>
      <c r="AG285" s="658"/>
      <c r="AH285" s="658"/>
      <c r="AI285" s="658"/>
      <c r="AJ285" s="658"/>
      <c r="AK285" s="658"/>
      <c r="AL285" s="658"/>
      <c r="AN285" s="670"/>
      <c r="AO285" s="670"/>
      <c r="AP285" s="658"/>
      <c r="AQ285" s="658"/>
      <c r="AR285" s="658"/>
      <c r="AS285" s="658"/>
      <c r="AT285" s="658"/>
      <c r="AU285" s="658"/>
      <c r="AV285" s="658"/>
    </row>
    <row r="286" spans="1:48">
      <c r="B286" s="2652"/>
      <c r="D286" s="88" t="str">
        <f>"Is your earned income less than "&amp;TEXT(N13,"$0,000")&amp;" ("&amp;TEXT(O13,"$0,000")&amp;" if married filing jointly)?"</f>
        <v>Is your earned income less than $57,310 ($64,430 if married filing jointly)?</v>
      </c>
      <c r="L286" s="2657" t="str">
        <f>IF(OR(A276,EICNumQualChild&lt;&gt;2),"",IF(M286,"Yes","No"))</f>
        <v/>
      </c>
      <c r="M286" s="441" t="b">
        <f>OR(AND(L276,File_Marr_Joint&lt;&gt;"",EICNumQualChild=2,EIC_EarnedIncome&lt;O13),AND(L276,EICNumQualChild=2,EIC_EarnedIncome&lt;N13))</f>
        <v>0</v>
      </c>
      <c r="AA286" s="658"/>
      <c r="AB286" s="658"/>
      <c r="AC286" s="658"/>
      <c r="AD286" s="658"/>
      <c r="AE286" s="658"/>
      <c r="AF286" s="658"/>
      <c r="AG286" s="658"/>
      <c r="AH286" s="658"/>
      <c r="AI286" s="658"/>
      <c r="AJ286" s="658"/>
      <c r="AK286" s="658"/>
      <c r="AL286" s="658"/>
      <c r="AN286" s="670"/>
      <c r="AO286" s="670"/>
      <c r="AP286" s="658"/>
      <c r="AQ286" s="658"/>
      <c r="AR286" s="658"/>
      <c r="AS286" s="658"/>
      <c r="AT286" s="658"/>
      <c r="AU286" s="658"/>
      <c r="AV286" s="658"/>
    </row>
    <row r="287" spans="1:48">
      <c r="B287" s="2652"/>
      <c r="C287" s="228" t="s">
        <v>1235</v>
      </c>
      <c r="M287" s="441"/>
      <c r="AA287" s="658"/>
      <c r="AB287" s="658"/>
      <c r="AC287" s="658"/>
      <c r="AD287" s="658"/>
      <c r="AE287" s="658"/>
      <c r="AF287" s="658"/>
      <c r="AG287" s="658"/>
      <c r="AH287" s="658"/>
      <c r="AI287" s="658"/>
      <c r="AJ287" s="658"/>
      <c r="AK287" s="658"/>
      <c r="AL287" s="658"/>
      <c r="AN287" s="670"/>
      <c r="AO287" s="670"/>
      <c r="AP287" s="658"/>
      <c r="AQ287" s="658"/>
      <c r="AR287" s="658"/>
      <c r="AS287" s="658"/>
      <c r="AT287" s="658"/>
      <c r="AU287" s="658"/>
      <c r="AV287" s="658"/>
    </row>
    <row r="288" spans="1:48">
      <c r="B288" s="2682" t="str">
        <f>IF(M289,"®","")</f>
        <v/>
      </c>
      <c r="C288" s="2643" t="s">
        <v>1554</v>
      </c>
      <c r="D288" s="1560" t="s">
        <v>1673</v>
      </c>
      <c r="M288" s="441"/>
      <c r="AA288" s="658"/>
      <c r="AB288" s="658"/>
      <c r="AC288" s="658"/>
      <c r="AD288" s="658"/>
      <c r="AE288" s="658"/>
      <c r="AF288" s="658"/>
      <c r="AG288" s="658"/>
      <c r="AH288" s="658"/>
      <c r="AI288" s="658"/>
      <c r="AJ288" s="658"/>
      <c r="AK288" s="658"/>
      <c r="AL288" s="658"/>
      <c r="AN288" s="670"/>
      <c r="AO288" s="670"/>
      <c r="AP288" s="658"/>
      <c r="AQ288" s="658"/>
      <c r="AR288" s="658"/>
      <c r="AS288" s="658"/>
      <c r="AT288" s="658"/>
      <c r="AU288" s="658"/>
      <c r="AV288" s="658"/>
    </row>
    <row r="289" spans="1:48">
      <c r="B289" s="2652"/>
      <c r="D289" s="88" t="str">
        <f>"Is your earned income less than "&amp;TEXT(N16,"$0,000")&amp;" ("&amp;TEXT(O16,"$0,000")&amp;" if married filing jointly)?"</f>
        <v>Is your earned income less than $50,434 ($57,554 if married filing jointly)?</v>
      </c>
      <c r="L289" s="2657" t="str">
        <f>IF(OR(A276,EICNumQualChild&lt;&gt;1),"",IF(M289,"Yes","No"))</f>
        <v/>
      </c>
      <c r="M289" s="441" t="b">
        <f>OR(AND(L276,File_Marr_Joint&lt;&gt;"",EICNumQualChild=1,EIC_EarnedIncome&lt;O16),AND(L276,EICNumQualChild=1,EIC_EarnedIncome&lt;N16))</f>
        <v>0</v>
      </c>
      <c r="AA289" s="658"/>
      <c r="AB289" s="658"/>
      <c r="AC289" s="658"/>
      <c r="AD289" s="658"/>
      <c r="AE289" s="658"/>
      <c r="AF289" s="658"/>
      <c r="AG289" s="658"/>
      <c r="AH289" s="658"/>
      <c r="AI289" s="658"/>
      <c r="AJ289" s="658"/>
      <c r="AK289" s="658"/>
      <c r="AL289" s="658"/>
      <c r="AN289" s="670"/>
      <c r="AO289" s="670"/>
      <c r="AP289" s="658"/>
      <c r="AQ289" s="658"/>
      <c r="AR289" s="658"/>
      <c r="AS289" s="658"/>
      <c r="AT289" s="658"/>
      <c r="AU289" s="658"/>
      <c r="AV289" s="658"/>
    </row>
    <row r="290" spans="1:48">
      <c r="B290" s="2652"/>
      <c r="C290" s="228" t="s">
        <v>1235</v>
      </c>
      <c r="M290" s="441"/>
      <c r="AA290" s="658"/>
      <c r="AB290" s="658"/>
      <c r="AC290" s="658"/>
      <c r="AD290" s="658"/>
      <c r="AE290" s="658"/>
      <c r="AF290" s="658"/>
      <c r="AG290" s="658"/>
      <c r="AH290" s="658"/>
      <c r="AI290" s="658"/>
      <c r="AJ290" s="658"/>
      <c r="AK290" s="658"/>
      <c r="AL290" s="658"/>
      <c r="AN290" s="670"/>
      <c r="AO290" s="670"/>
      <c r="AP290" s="658"/>
      <c r="AQ290" s="658"/>
      <c r="AR290" s="658"/>
      <c r="AS290" s="658"/>
      <c r="AT290" s="658"/>
      <c r="AU290" s="658"/>
      <c r="AV290" s="658"/>
    </row>
    <row r="291" spans="1:48">
      <c r="B291" s="2682" t="str">
        <f>IF(M292,"®","")</f>
        <v/>
      </c>
      <c r="C291" s="2643" t="s">
        <v>1554</v>
      </c>
      <c r="D291" s="88" t="s">
        <v>1674</v>
      </c>
      <c r="M291" s="441"/>
      <c r="AA291" s="658"/>
      <c r="AB291" s="658"/>
      <c r="AC291" s="658"/>
      <c r="AD291" s="658"/>
      <c r="AE291" s="658"/>
      <c r="AF291" s="658"/>
      <c r="AG291" s="658"/>
      <c r="AH291" s="658"/>
      <c r="AI291" s="658"/>
      <c r="AJ291" s="658"/>
      <c r="AK291" s="658"/>
      <c r="AL291" s="658"/>
      <c r="AN291" s="670"/>
      <c r="AO291" s="670"/>
      <c r="AP291" s="658"/>
      <c r="AQ291" s="658"/>
      <c r="AR291" s="658"/>
      <c r="AS291" s="658"/>
      <c r="AT291" s="658"/>
      <c r="AU291" s="658"/>
      <c r="AV291" s="658"/>
    </row>
    <row r="292" spans="1:48">
      <c r="D292" s="88" t="str">
        <f>"Is your earned income less than "&amp;TEXT(N19,"$0,000")&amp;" ("&amp;TEXT(O19,"$0,000")&amp;" if married filing jointly)?"</f>
        <v>Is your earned income less than $19,104 ($26,214 if married filing jointly)?</v>
      </c>
      <c r="L292" s="2657" t="str">
        <f>IF(OR(A276,EICNumQualChild&lt;&gt;0),"",IF(M292,"Yes","No"))</f>
        <v>No</v>
      </c>
      <c r="M292" s="441" t="b">
        <f>OR(AND(L276,File_Marr_Joint&lt;&gt;"",EIC_EarnedIncome&lt;O19),AND(L276,EIC_EarnedIncome&lt;N19))</f>
        <v>0</v>
      </c>
      <c r="N292" s="2683"/>
      <c r="AA292" s="658"/>
      <c r="AB292" s="658"/>
      <c r="AC292" s="658"/>
      <c r="AD292" s="658"/>
      <c r="AE292" s="658"/>
      <c r="AF292" s="658"/>
      <c r="AG292" s="658"/>
      <c r="AH292" s="658"/>
      <c r="AI292" s="658"/>
      <c r="AJ292" s="658"/>
      <c r="AK292" s="658"/>
      <c r="AL292" s="658"/>
      <c r="AN292" s="670"/>
      <c r="AO292" s="670"/>
      <c r="AP292" s="658"/>
      <c r="AQ292" s="658"/>
      <c r="AR292" s="658"/>
      <c r="AS292" s="658"/>
      <c r="AT292" s="658"/>
      <c r="AU292" s="658"/>
      <c r="AV292" s="658"/>
    </row>
    <row r="293" spans="1:48">
      <c r="M293" s="441"/>
      <c r="AA293" s="658"/>
      <c r="AB293" s="658"/>
      <c r="AC293" s="658"/>
      <c r="AD293" s="658"/>
      <c r="AE293" s="658"/>
      <c r="AF293" s="658"/>
      <c r="AG293" s="658"/>
      <c r="AH293" s="658"/>
      <c r="AI293" s="658"/>
      <c r="AJ293" s="658"/>
      <c r="AK293" s="658"/>
      <c r="AL293" s="658"/>
      <c r="AN293" s="670"/>
      <c r="AO293" s="670"/>
      <c r="AP293" s="658"/>
      <c r="AQ293" s="658"/>
      <c r="AR293" s="658"/>
      <c r="AS293" s="658"/>
      <c r="AT293" s="658"/>
      <c r="AU293" s="658"/>
      <c r="AV293" s="658"/>
    </row>
    <row r="294" spans="1:48">
      <c r="A294" s="441" t="b">
        <f>AND(L276,OR(M283,M286,M289,M292))</f>
        <v>0</v>
      </c>
      <c r="B294" s="2658" t="str">
        <f>IF(A294,"X","")</f>
        <v/>
      </c>
      <c r="D294" s="1560" t="s">
        <v>1675</v>
      </c>
      <c r="H294" s="2658" t="str">
        <f>IF(M294,"X","")</f>
        <v/>
      </c>
      <c r="J294" s="1560" t="s">
        <v>1676</v>
      </c>
      <c r="M294" s="2679" t="b">
        <f>AND(L276,NOT(M283),NOT(M286),NOT(M289),NOT(M292))</f>
        <v>0</v>
      </c>
      <c r="AA294" s="658"/>
      <c r="AB294" s="658"/>
      <c r="AC294" s="658"/>
      <c r="AD294" s="658"/>
      <c r="AE294" s="658"/>
      <c r="AF294" s="658"/>
      <c r="AG294" s="658"/>
      <c r="AH294" s="658"/>
      <c r="AI294" s="658"/>
      <c r="AJ294" s="658"/>
      <c r="AK294" s="658"/>
      <c r="AL294" s="658"/>
      <c r="AN294" s="670"/>
      <c r="AO294" s="670"/>
      <c r="AP294" s="658"/>
      <c r="AQ294" s="658"/>
      <c r="AR294" s="658"/>
      <c r="AS294" s="658"/>
      <c r="AT294" s="658"/>
      <c r="AU294" s="658"/>
      <c r="AV294" s="658"/>
    </row>
    <row r="295" spans="1:48" ht="15.75" customHeight="1">
      <c r="AA295" s="658"/>
      <c r="AB295" s="658"/>
      <c r="AC295" s="658"/>
      <c r="AD295" s="658"/>
      <c r="AE295" s="658"/>
      <c r="AF295" s="658"/>
      <c r="AG295" s="658"/>
      <c r="AH295" s="658"/>
      <c r="AI295" s="658"/>
      <c r="AJ295" s="658"/>
      <c r="AK295" s="658"/>
      <c r="AL295" s="658"/>
      <c r="AN295" s="670"/>
      <c r="AO295" s="670"/>
      <c r="AP295" s="658"/>
      <c r="AQ295" s="658"/>
      <c r="AR295" s="658"/>
      <c r="AS295" s="658"/>
      <c r="AT295" s="658"/>
      <c r="AU295" s="658"/>
      <c r="AV295" s="658"/>
    </row>
    <row r="296" spans="1:48" ht="7.5" customHeight="1">
      <c r="AA296" s="658"/>
      <c r="AB296" s="658"/>
      <c r="AC296" s="658"/>
      <c r="AD296" s="658"/>
      <c r="AE296" s="658"/>
      <c r="AF296" s="658"/>
      <c r="AG296" s="658"/>
      <c r="AH296" s="658"/>
      <c r="AI296" s="658"/>
      <c r="AJ296" s="658"/>
      <c r="AK296" s="658"/>
      <c r="AL296" s="658"/>
      <c r="AN296" s="670"/>
      <c r="AO296" s="670"/>
      <c r="AP296" s="658"/>
      <c r="AQ296" s="658"/>
      <c r="AR296" s="658"/>
      <c r="AS296" s="658"/>
      <c r="AT296" s="658"/>
      <c r="AU296" s="658"/>
      <c r="AV296" s="658"/>
    </row>
    <row r="297" spans="1:48" ht="9.75" customHeight="1">
      <c r="A297" s="2502"/>
      <c r="C297" s="2501"/>
      <c r="D297" s="1843"/>
      <c r="E297" s="1839"/>
      <c r="F297" s="1839"/>
      <c r="G297" s="1839"/>
      <c r="H297" s="1839"/>
      <c r="I297" s="1839"/>
      <c r="J297" s="1839"/>
      <c r="K297" s="1839"/>
      <c r="AA297" s="658"/>
      <c r="AB297" s="658"/>
      <c r="AC297" s="658"/>
      <c r="AD297" s="658"/>
      <c r="AE297" s="658"/>
      <c r="AF297" s="658"/>
      <c r="AG297" s="658"/>
      <c r="AH297" s="658"/>
      <c r="AI297" s="658"/>
      <c r="AJ297" s="658"/>
      <c r="AK297" s="658"/>
      <c r="AL297" s="658"/>
      <c r="AN297" s="670"/>
      <c r="AO297" s="670"/>
      <c r="AP297" s="658"/>
      <c r="AQ297" s="658"/>
      <c r="AR297" s="658"/>
      <c r="AS297" s="658"/>
      <c r="AT297" s="658"/>
      <c r="AU297" s="658"/>
      <c r="AV297" s="658"/>
    </row>
    <row r="298" spans="1:48" s="2445" customFormat="1" ht="15.75">
      <c r="A298" s="2646" t="s">
        <v>1677</v>
      </c>
      <c r="B298" s="2647" t="s">
        <v>1678</v>
      </c>
      <c r="C298" s="2642"/>
      <c r="G298" s="728" t="str">
        <f>IF(B276&lt;&gt;"","Skip","")</f>
        <v/>
      </c>
      <c r="N298" s="2662"/>
      <c r="AA298" s="668"/>
      <c r="AB298" s="668"/>
      <c r="AC298" s="668"/>
      <c r="AD298" s="668"/>
      <c r="AE298" s="668"/>
      <c r="AF298" s="668"/>
      <c r="AG298" s="668"/>
      <c r="AH298" s="668"/>
      <c r="AI298" s="668"/>
      <c r="AJ298" s="668"/>
      <c r="AK298" s="668"/>
      <c r="AL298" s="668"/>
      <c r="AN298" s="669"/>
      <c r="AO298" s="669"/>
      <c r="AP298" s="668"/>
      <c r="AQ298" s="668"/>
      <c r="AR298" s="668"/>
      <c r="AS298" s="668"/>
      <c r="AT298" s="668"/>
      <c r="AU298" s="668"/>
      <c r="AV298" s="668"/>
    </row>
    <row r="299" spans="1:48" s="2445" customFormat="1" ht="15.75">
      <c r="A299" s="2642"/>
      <c r="B299" s="2642"/>
      <c r="C299" s="2642"/>
      <c r="N299" s="2662"/>
      <c r="AA299" s="668"/>
      <c r="AB299" s="668"/>
      <c r="AC299" s="668"/>
      <c r="AD299" s="668"/>
      <c r="AE299" s="668"/>
      <c r="AF299" s="668"/>
      <c r="AG299" s="668"/>
      <c r="AH299" s="668"/>
      <c r="AI299" s="668"/>
      <c r="AJ299" s="668"/>
      <c r="AK299" s="668"/>
      <c r="AL299" s="668"/>
      <c r="AN299" s="669"/>
      <c r="AO299" s="669"/>
      <c r="AP299" s="668"/>
      <c r="AQ299" s="668"/>
      <c r="AR299" s="668"/>
      <c r="AS299" s="668"/>
      <c r="AT299" s="668"/>
      <c r="AU299" s="668"/>
      <c r="AV299" s="668"/>
    </row>
    <row r="300" spans="1:48" s="2445" customFormat="1" ht="15.75">
      <c r="A300" s="2642"/>
      <c r="B300" s="2642"/>
      <c r="C300" s="2648" t="s">
        <v>157</v>
      </c>
      <c r="D300" s="88" t="s">
        <v>1679</v>
      </c>
      <c r="N300" s="2662"/>
      <c r="AA300" s="668"/>
      <c r="AB300" s="668"/>
      <c r="AC300" s="668"/>
      <c r="AD300" s="668"/>
      <c r="AE300" s="668"/>
      <c r="AF300" s="668"/>
      <c r="AG300" s="668"/>
      <c r="AH300" s="668"/>
      <c r="AI300" s="668"/>
      <c r="AJ300" s="668"/>
      <c r="AK300" s="668"/>
      <c r="AL300" s="668"/>
      <c r="AN300" s="669"/>
      <c r="AO300" s="669"/>
      <c r="AP300" s="668"/>
      <c r="AQ300" s="668"/>
      <c r="AR300" s="668"/>
      <c r="AS300" s="668"/>
      <c r="AT300" s="668"/>
      <c r="AU300" s="668"/>
      <c r="AV300" s="668"/>
    </row>
    <row r="301" spans="1:48">
      <c r="AA301" s="658"/>
      <c r="AB301" s="658"/>
      <c r="AC301" s="658"/>
      <c r="AD301" s="658"/>
      <c r="AE301" s="658"/>
      <c r="AF301" s="658"/>
      <c r="AG301" s="658"/>
      <c r="AH301" s="658"/>
      <c r="AI301" s="658"/>
      <c r="AJ301" s="658"/>
      <c r="AK301" s="658"/>
      <c r="AL301" s="658"/>
      <c r="AN301" s="670"/>
      <c r="AO301" s="670"/>
      <c r="AP301" s="658"/>
      <c r="AQ301" s="658"/>
      <c r="AR301" s="658"/>
      <c r="AS301" s="658"/>
      <c r="AT301" s="658"/>
      <c r="AU301" s="658"/>
      <c r="AV301" s="658"/>
    </row>
    <row r="302" spans="1:48">
      <c r="A302" s="441" t="b">
        <f>AND(A294,B302&lt;&gt;"")</f>
        <v>0</v>
      </c>
      <c r="B302" s="325"/>
      <c r="D302" s="1560" t="s">
        <v>1680</v>
      </c>
      <c r="H302" s="2658" t="str">
        <f>IF(M302,"X","")</f>
        <v/>
      </c>
      <c r="J302" s="88" t="s">
        <v>1681</v>
      </c>
      <c r="M302" s="441" t="b">
        <f>AND(A294,NOT(A302))</f>
        <v>0</v>
      </c>
      <c r="AA302" s="658"/>
      <c r="AB302" s="658"/>
      <c r="AC302" s="658"/>
      <c r="AD302" s="658"/>
      <c r="AE302" s="658"/>
      <c r="AF302" s="658"/>
      <c r="AG302" s="658"/>
      <c r="AH302" s="658"/>
      <c r="AI302" s="658"/>
      <c r="AJ302" s="658"/>
      <c r="AK302" s="658"/>
      <c r="AL302" s="658"/>
      <c r="AN302" s="670"/>
      <c r="AO302" s="670"/>
      <c r="AP302" s="658"/>
      <c r="AQ302" s="658"/>
      <c r="AR302" s="658"/>
      <c r="AS302" s="658"/>
      <c r="AT302" s="658"/>
      <c r="AU302" s="658"/>
      <c r="AV302" s="658"/>
    </row>
    <row r="303" spans="1:48">
      <c r="D303" s="1560" t="s">
        <v>1682</v>
      </c>
      <c r="AA303" s="658"/>
      <c r="AB303" s="658"/>
      <c r="AC303" s="658"/>
      <c r="AD303" s="658"/>
      <c r="AE303" s="658"/>
      <c r="AF303" s="658"/>
      <c r="AG303" s="658"/>
      <c r="AH303" s="658"/>
      <c r="AI303" s="658"/>
      <c r="AJ303" s="658"/>
      <c r="AK303" s="658"/>
      <c r="AL303" s="658"/>
      <c r="AN303" s="670"/>
      <c r="AO303" s="670"/>
      <c r="AP303" s="658"/>
      <c r="AQ303" s="658"/>
      <c r="AR303" s="658"/>
      <c r="AS303" s="658"/>
      <c r="AT303" s="658"/>
      <c r="AU303" s="658"/>
      <c r="AV303" s="658"/>
    </row>
    <row r="304" spans="1:48">
      <c r="AA304" s="658"/>
      <c r="AB304" s="658"/>
      <c r="AC304" s="658"/>
      <c r="AD304" s="658"/>
      <c r="AE304" s="658"/>
      <c r="AF304" s="658"/>
      <c r="AG304" s="658"/>
      <c r="AH304" s="658"/>
      <c r="AI304" s="658"/>
      <c r="AJ304" s="658"/>
      <c r="AK304" s="658"/>
      <c r="AL304" s="658"/>
      <c r="AN304" s="670"/>
      <c r="AO304" s="670"/>
      <c r="AP304" s="658"/>
      <c r="AQ304" s="658"/>
      <c r="AR304" s="658"/>
      <c r="AS304" s="658"/>
      <c r="AT304" s="658"/>
      <c r="AU304" s="658"/>
      <c r="AV304" s="658"/>
    </row>
    <row r="305" spans="1:48" s="2659" customFormat="1">
      <c r="B305" s="2660"/>
      <c r="N305" s="2661"/>
      <c r="AA305" s="671"/>
      <c r="AB305" s="671"/>
      <c r="AC305" s="671"/>
      <c r="AD305" s="671"/>
      <c r="AE305" s="671"/>
      <c r="AF305" s="671"/>
      <c r="AG305" s="671"/>
      <c r="AH305" s="671"/>
      <c r="AI305" s="671"/>
      <c r="AJ305" s="671"/>
      <c r="AK305" s="671"/>
      <c r="AL305" s="671"/>
      <c r="AN305" s="672"/>
      <c r="AO305" s="672"/>
      <c r="AP305" s="671"/>
      <c r="AQ305" s="671"/>
      <c r="AR305" s="671"/>
      <c r="AS305" s="671"/>
      <c r="AT305" s="671"/>
      <c r="AU305" s="671"/>
      <c r="AV305" s="671"/>
    </row>
    <row r="306" spans="1:48" s="2445" customFormat="1" ht="23.25">
      <c r="A306" s="2642" t="s">
        <v>1683</v>
      </c>
      <c r="B306" s="2642"/>
      <c r="C306" s="2642"/>
      <c r="D306" s="2539" t="str">
        <f>TaxYear&amp;" EIC  —  line 27a"</f>
        <v>2025 EIC  —  line 27a</v>
      </c>
      <c r="L306" s="2684" t="s">
        <v>926</v>
      </c>
      <c r="N306" s="2662"/>
      <c r="AA306" s="668"/>
      <c r="AB306" s="668"/>
      <c r="AC306" s="668"/>
      <c r="AD306" s="668"/>
      <c r="AE306" s="668"/>
      <c r="AF306" s="668"/>
      <c r="AG306" s="668"/>
      <c r="AH306" s="668"/>
      <c r="AI306" s="668"/>
      <c r="AJ306" s="668"/>
      <c r="AK306" s="668"/>
      <c r="AL306" s="668"/>
      <c r="AN306" s="669"/>
      <c r="AO306" s="669"/>
      <c r="AP306" s="668"/>
      <c r="AQ306" s="668"/>
      <c r="AR306" s="668"/>
      <c r="AS306" s="668"/>
      <c r="AT306" s="668"/>
      <c r="AU306" s="668"/>
      <c r="AV306" s="668"/>
    </row>
    <row r="307" spans="1:48" s="2445" customFormat="1" ht="9" customHeight="1">
      <c r="A307" s="2642"/>
      <c r="B307" s="2642"/>
      <c r="C307" s="2642"/>
      <c r="N307" s="2662"/>
      <c r="AA307" s="668"/>
      <c r="AB307" s="668"/>
      <c r="AC307" s="668"/>
      <c r="AD307" s="668"/>
      <c r="AE307" s="668"/>
      <c r="AF307" s="668"/>
      <c r="AG307" s="668"/>
      <c r="AH307" s="668"/>
      <c r="AI307" s="668"/>
      <c r="AJ307" s="668"/>
      <c r="AK307" s="668"/>
      <c r="AL307" s="668"/>
      <c r="AN307" s="669"/>
      <c r="AO307" s="669"/>
      <c r="AP307" s="668"/>
      <c r="AQ307" s="668"/>
      <c r="AR307" s="668"/>
      <c r="AS307" s="668"/>
      <c r="AT307" s="668"/>
      <c r="AU307" s="668"/>
      <c r="AV307" s="668"/>
    </row>
    <row r="308" spans="1:48" s="2445" customFormat="1" ht="15.75">
      <c r="A308" s="2646" t="s">
        <v>1684</v>
      </c>
      <c r="B308" s="2642" t="s">
        <v>1685</v>
      </c>
      <c r="C308" s="2642"/>
      <c r="N308" s="2662"/>
      <c r="AA308" s="668"/>
      <c r="AB308" s="668"/>
      <c r="AC308" s="668"/>
      <c r="AD308" s="668"/>
      <c r="AE308" s="668"/>
      <c r="AF308" s="668"/>
      <c r="AG308" s="668"/>
      <c r="AH308" s="668"/>
      <c r="AI308" s="668"/>
      <c r="AJ308" s="668"/>
      <c r="AK308" s="668"/>
      <c r="AL308" s="668"/>
      <c r="AN308" s="669"/>
      <c r="AO308" s="669"/>
      <c r="AP308" s="668"/>
      <c r="AQ308" s="668"/>
      <c r="AR308" s="668"/>
      <c r="AS308" s="668"/>
      <c r="AT308" s="668"/>
      <c r="AU308" s="668"/>
      <c r="AV308" s="668"/>
    </row>
    <row r="309" spans="1:48">
      <c r="AA309" s="658"/>
      <c r="AB309" s="658"/>
      <c r="AC309" s="658"/>
      <c r="AD309" s="658"/>
      <c r="AE309" s="658"/>
      <c r="AF309" s="658"/>
      <c r="AG309" s="658"/>
      <c r="AH309" s="658"/>
      <c r="AI309" s="658"/>
      <c r="AJ309" s="658"/>
      <c r="AK309" s="658"/>
      <c r="AL309" s="658"/>
      <c r="AN309" s="670"/>
      <c r="AO309" s="670"/>
      <c r="AP309" s="658"/>
      <c r="AQ309" s="658"/>
      <c r="AR309" s="658"/>
      <c r="AS309" s="658"/>
      <c r="AT309" s="658"/>
      <c r="AU309" s="658"/>
      <c r="AV309" s="658"/>
    </row>
    <row r="310" spans="1:48">
      <c r="A310" s="441" t="b">
        <f>AND(L276,M302)</f>
        <v>0</v>
      </c>
      <c r="B310" s="2658" t="str">
        <f>IF(A310,"X","")</f>
        <v/>
      </c>
      <c r="D310" s="1560" t="s">
        <v>1686</v>
      </c>
      <c r="AA310" s="658"/>
      <c r="AB310" s="658"/>
      <c r="AC310" s="658"/>
      <c r="AD310" s="658"/>
      <c r="AE310" s="658"/>
      <c r="AF310" s="658"/>
      <c r="AG310" s="658"/>
      <c r="AH310" s="658"/>
      <c r="AI310" s="658"/>
      <c r="AJ310" s="658"/>
      <c r="AK310" s="658"/>
      <c r="AL310" s="658"/>
      <c r="AN310" s="670"/>
      <c r="AO310" s="670"/>
      <c r="AP310" s="658"/>
      <c r="AQ310" s="658"/>
      <c r="AR310" s="658"/>
      <c r="AS310" s="658"/>
      <c r="AT310" s="658"/>
      <c r="AU310" s="658"/>
      <c r="AV310" s="658"/>
    </row>
    <row r="311" spans="1:48">
      <c r="D311" s="1560" t="s">
        <v>1687</v>
      </c>
      <c r="AA311" s="658"/>
      <c r="AB311" s="658"/>
      <c r="AC311" s="658"/>
      <c r="AD311" s="658"/>
      <c r="AE311" s="658"/>
      <c r="AF311" s="658"/>
      <c r="AG311" s="658"/>
      <c r="AH311" s="658"/>
      <c r="AI311" s="658"/>
      <c r="AJ311" s="658"/>
      <c r="AK311" s="658"/>
      <c r="AL311" s="658"/>
      <c r="AN311" s="670"/>
      <c r="AO311" s="670"/>
      <c r="AP311" s="658"/>
      <c r="AQ311" s="658"/>
      <c r="AR311" s="658"/>
      <c r="AS311" s="658"/>
      <c r="AT311" s="658"/>
      <c r="AU311" s="658"/>
      <c r="AV311" s="658"/>
    </row>
    <row r="312" spans="1:48">
      <c r="D312" s="1560" t="s">
        <v>1688</v>
      </c>
      <c r="AA312" s="658"/>
      <c r="AB312" s="658"/>
      <c r="AC312" s="658"/>
      <c r="AD312" s="658"/>
      <c r="AE312" s="658"/>
      <c r="AF312" s="658"/>
      <c r="AG312" s="658"/>
      <c r="AH312" s="658"/>
      <c r="AI312" s="658"/>
      <c r="AJ312" s="658"/>
      <c r="AK312" s="658"/>
      <c r="AL312" s="658"/>
      <c r="AN312" s="670"/>
      <c r="AO312" s="670"/>
      <c r="AP312" s="658"/>
      <c r="AQ312" s="658"/>
      <c r="AR312" s="658"/>
      <c r="AS312" s="658"/>
      <c r="AT312" s="658"/>
      <c r="AU312" s="658"/>
      <c r="AV312" s="658"/>
    </row>
    <row r="313" spans="1:48">
      <c r="AA313" s="658"/>
      <c r="AB313" s="658"/>
      <c r="AC313" s="658"/>
      <c r="AD313" s="658"/>
      <c r="AE313" s="658"/>
      <c r="AF313" s="658"/>
      <c r="AG313" s="658"/>
      <c r="AH313" s="658"/>
      <c r="AI313" s="658"/>
      <c r="AJ313" s="658"/>
      <c r="AK313" s="658"/>
      <c r="AL313" s="658"/>
      <c r="AN313" s="670"/>
      <c r="AO313" s="670"/>
      <c r="AP313" s="658"/>
      <c r="AQ313" s="658"/>
      <c r="AR313" s="658"/>
      <c r="AS313" s="658"/>
      <c r="AT313" s="658"/>
      <c r="AU313" s="658"/>
      <c r="AV313" s="658"/>
    </row>
    <row r="314" spans="1:48">
      <c r="C314" s="2648" t="s">
        <v>157</v>
      </c>
      <c r="D314" s="1560" t="s">
        <v>1689</v>
      </c>
      <c r="J314" s="220" t="s">
        <v>157</v>
      </c>
      <c r="K314" s="2499" t="str">
        <f>IF(A310,EIC_EarnedIncome,"")</f>
        <v/>
      </c>
      <c r="AA314" s="658"/>
      <c r="AB314" s="658"/>
      <c r="AC314" s="658"/>
      <c r="AD314" s="658"/>
      <c r="AE314" s="658"/>
      <c r="AF314" s="658"/>
      <c r="AG314" s="658"/>
      <c r="AH314" s="658"/>
      <c r="AI314" s="658"/>
      <c r="AJ314" s="658"/>
      <c r="AK314" s="658"/>
      <c r="AL314" s="658"/>
      <c r="AN314" s="670"/>
      <c r="AO314" s="670"/>
      <c r="AP314" s="658"/>
      <c r="AQ314" s="658"/>
      <c r="AR314" s="658"/>
      <c r="AS314" s="658"/>
      <c r="AT314" s="658"/>
      <c r="AU314" s="658"/>
      <c r="AV314" s="658"/>
    </row>
    <row r="315" spans="1:48" ht="13.5" thickBot="1">
      <c r="AA315" s="658"/>
      <c r="AB315" s="658"/>
      <c r="AC315" s="658"/>
      <c r="AD315" s="658"/>
      <c r="AE315" s="658"/>
      <c r="AF315" s="658"/>
      <c r="AG315" s="658"/>
      <c r="AH315" s="658"/>
      <c r="AI315" s="658"/>
      <c r="AJ315" s="658"/>
      <c r="AK315" s="658"/>
      <c r="AL315" s="658"/>
      <c r="AN315" s="664" t="s">
        <v>1690</v>
      </c>
      <c r="AO315" s="670"/>
      <c r="AP315" s="658"/>
      <c r="AQ315" s="658"/>
      <c r="AR315" s="658"/>
      <c r="AS315" s="658"/>
      <c r="AT315" s="658"/>
      <c r="AU315" s="658"/>
      <c r="AV315" s="658"/>
    </row>
    <row r="316" spans="1:48">
      <c r="C316" s="2648" t="s">
        <v>161</v>
      </c>
      <c r="D316" s="1560" t="s">
        <v>1691</v>
      </c>
      <c r="K316" s="220" t="s">
        <v>161</v>
      </c>
      <c r="L316" s="2499" t="str">
        <f>IF(A310,IF(ISERROR(AN320),0,AN320),"")</f>
        <v/>
      </c>
      <c r="AA316" s="658"/>
      <c r="AB316" s="658"/>
      <c r="AC316" s="658"/>
      <c r="AD316" s="658"/>
      <c r="AE316" s="658"/>
      <c r="AF316" s="658"/>
      <c r="AG316" s="658"/>
      <c r="AH316" s="658"/>
      <c r="AI316" s="658"/>
      <c r="AJ316" s="658"/>
      <c r="AK316" s="658"/>
      <c r="AL316" s="658"/>
      <c r="AN316" s="674" t="str">
        <f>EIC_EarnedIncome</f>
        <v/>
      </c>
      <c r="AO316" s="8015" t="s">
        <v>1692</v>
      </c>
      <c r="AP316" s="8016"/>
      <c r="AQ316" s="8015" t="s">
        <v>1693</v>
      </c>
      <c r="AR316" s="8016"/>
      <c r="AS316" s="8015" t="s">
        <v>1694</v>
      </c>
      <c r="AT316" s="8016"/>
      <c r="AU316" s="8015" t="s">
        <v>1695</v>
      </c>
      <c r="AV316" s="8016"/>
    </row>
    <row r="317" spans="1:48">
      <c r="D317" s="1560" t="s">
        <v>1696</v>
      </c>
      <c r="AA317" s="658"/>
      <c r="AB317" s="658"/>
      <c r="AC317" s="658"/>
      <c r="AD317" s="658"/>
      <c r="AE317" s="658"/>
      <c r="AF317" s="658"/>
      <c r="AG317" s="658"/>
      <c r="AH317" s="658"/>
      <c r="AI317" s="658"/>
      <c r="AJ317" s="658"/>
      <c r="AK317" s="658"/>
      <c r="AL317" s="658"/>
      <c r="AN317" s="675" t="str">
        <f>IF(AN316&lt;&gt;"",ROUND(AN316,0),"")</f>
        <v/>
      </c>
      <c r="AO317" s="676" t="s">
        <v>1697</v>
      </c>
      <c r="AP317" s="677" t="s">
        <v>1556</v>
      </c>
      <c r="AQ317" s="676" t="s">
        <v>1697</v>
      </c>
      <c r="AR317" s="677" t="s">
        <v>1556</v>
      </c>
      <c r="AS317" s="676" t="s">
        <v>1697</v>
      </c>
      <c r="AT317" s="678" t="s">
        <v>1556</v>
      </c>
      <c r="AU317" s="676" t="s">
        <v>1697</v>
      </c>
      <c r="AV317" s="678" t="s">
        <v>1556</v>
      </c>
    </row>
    <row r="318" spans="1:48">
      <c r="D318" s="1560" t="s">
        <v>1698</v>
      </c>
      <c r="AA318" s="658"/>
      <c r="AB318" s="658"/>
      <c r="AC318" s="658"/>
      <c r="AD318" s="658"/>
      <c r="AE318" s="658"/>
      <c r="AF318" s="658"/>
      <c r="AG318" s="658"/>
      <c r="AH318" s="658"/>
      <c r="AI318" s="658"/>
      <c r="AJ318" s="658"/>
      <c r="AK318" s="658"/>
      <c r="AL318" s="658"/>
      <c r="AN318" s="675"/>
      <c r="AO318" s="2685" t="e">
        <f>LOOKUP(AN319,'EIC Table'!$A$3:$A$1384,'EIC Table'!$C$3:$C$1384)</f>
        <v>#N/A</v>
      </c>
      <c r="AP318" s="2686" t="e">
        <f>LOOKUP(AN319,'EIC Table'!$A$3:$A$1384,'EIC Table'!$G$3:$G$1384)</f>
        <v>#N/A</v>
      </c>
      <c r="AQ318" s="2685" t="e">
        <f>LOOKUP(AN319,'EIC Table'!$A$3:$A$1384,'EIC Table'!$D$3:$D$1384)</f>
        <v>#N/A</v>
      </c>
      <c r="AR318" s="2686" t="e">
        <f>LOOKUP(AN319,'EIC Table'!$A$3:$A$1384,'EIC Table'!$H$3:$H$1384)</f>
        <v>#N/A</v>
      </c>
      <c r="AS318" s="2687" t="e">
        <f>LOOKUP(AN319,'EIC Table'!$A$3:$A$1384,'EIC Table'!$E$3:$E$1384)</f>
        <v>#N/A</v>
      </c>
      <c r="AT318" s="2686" t="e">
        <f>LOOKUP(AN319,'EIC Table'!$A$3:$A$1384,'EIC Table'!$I$3:$I$1384)</f>
        <v>#N/A</v>
      </c>
      <c r="AU318" s="2687" t="e">
        <f>LOOKUP(AN319,'EIC Table'!$A$3:$A$1384,'EIC Table'!$F$3:$F$1384)</f>
        <v>#N/A</v>
      </c>
      <c r="AV318" s="2686" t="e">
        <f>LOOKUP(AN319,'EIC Table'!$A$3:$A$1384,'EIC Table'!$J$3:$J$1384)</f>
        <v>#N/A</v>
      </c>
    </row>
    <row r="319" spans="1:48" ht="13.5" thickBot="1">
      <c r="D319" s="1560" t="s">
        <v>1699</v>
      </c>
      <c r="AA319" s="658"/>
      <c r="AB319" s="658"/>
      <c r="AC319" s="658"/>
      <c r="AD319" s="658"/>
      <c r="AE319" s="658"/>
      <c r="AF319" s="658"/>
      <c r="AG319" s="658"/>
      <c r="AH319" s="658"/>
      <c r="AI319" s="658"/>
      <c r="AJ319" s="658"/>
      <c r="AK319" s="658"/>
      <c r="AL319" s="658"/>
      <c r="AN319" s="675" t="str">
        <f>IF(AN317="","",AN317)</f>
        <v/>
      </c>
      <c r="AO319" s="679"/>
      <c r="AP319" s="680"/>
      <c r="AQ319" s="679"/>
      <c r="AR319" s="680"/>
      <c r="AS319" s="681"/>
      <c r="AT319" s="680"/>
      <c r="AU319" s="681"/>
      <c r="AV319" s="680"/>
    </row>
    <row r="320" spans="1:48" ht="13.5" thickBot="1">
      <c r="D320" s="1560"/>
      <c r="AA320" s="658"/>
      <c r="AB320" s="658"/>
      <c r="AC320" s="658"/>
      <c r="AD320" s="658"/>
      <c r="AE320" s="658"/>
      <c r="AF320" s="658"/>
      <c r="AG320" s="658"/>
      <c r="AH320" s="658"/>
      <c r="AI320" s="658"/>
      <c r="AJ320" s="658"/>
      <c r="AK320" s="658"/>
      <c r="AL320" s="658"/>
      <c r="AN320" s="682" t="e">
        <f>IF(EICNumQualChild&gt;2,AV320,IF(EICNumQualChild=2,AT320,IF(EICNumQualChild=1,AR320,AP320)))</f>
        <v>#N/A</v>
      </c>
      <c r="AO320" s="683"/>
      <c r="AP320" s="684" t="e">
        <f>IF(File_Marr_Joint&lt;&gt;"",AP318,AO318)</f>
        <v>#N/A</v>
      </c>
      <c r="AQ320" s="683"/>
      <c r="AR320" s="684" t="e">
        <f>IF(File_Marr_Joint&lt;&gt;"",AR318,AQ318)</f>
        <v>#N/A</v>
      </c>
      <c r="AS320" s="685"/>
      <c r="AT320" s="684" t="e">
        <f>IF(File_Marr_Joint&lt;&gt;"",AT318,AS318)</f>
        <v>#N/A</v>
      </c>
      <c r="AU320" s="685"/>
      <c r="AV320" s="684" t="e">
        <f>IF(File_Marr_Joint&lt;&gt;"",AV318,AU318)</f>
        <v>#N/A</v>
      </c>
    </row>
    <row r="321" spans="1:48">
      <c r="A321" s="441" t="b">
        <f>AND(A310,L316=0)</f>
        <v>0</v>
      </c>
      <c r="D321" s="1560" t="s">
        <v>1700</v>
      </c>
      <c r="L321" s="441"/>
      <c r="AA321" s="658"/>
      <c r="AB321" s="658"/>
      <c r="AC321" s="658"/>
      <c r="AD321" s="658"/>
      <c r="AE321" s="658"/>
      <c r="AF321" s="658"/>
      <c r="AG321" s="658"/>
      <c r="AH321" s="658"/>
      <c r="AI321" s="658"/>
      <c r="AJ321" s="658"/>
      <c r="AK321" s="658"/>
      <c r="AL321" s="658"/>
      <c r="AN321" s="670"/>
      <c r="AO321" s="670"/>
      <c r="AP321" s="658"/>
      <c r="AQ321" s="658"/>
      <c r="AR321" s="658"/>
      <c r="AS321" s="658"/>
      <c r="AT321" s="658"/>
      <c r="AU321" s="658"/>
      <c r="AV321" s="658"/>
    </row>
    <row r="322" spans="1:48">
      <c r="D322" s="1560" t="s">
        <v>6110</v>
      </c>
      <c r="N322" s="88"/>
      <c r="AA322" s="658"/>
      <c r="AB322" s="658"/>
      <c r="AC322" s="658"/>
      <c r="AD322" s="658"/>
      <c r="AE322" s="658"/>
      <c r="AF322" s="658"/>
      <c r="AG322" s="658"/>
      <c r="AH322" s="658"/>
      <c r="AI322" s="658"/>
      <c r="AJ322" s="658"/>
      <c r="AK322" s="658"/>
      <c r="AL322" s="658"/>
      <c r="AN322" s="670"/>
      <c r="AO322" s="670"/>
      <c r="AP322" s="658"/>
      <c r="AQ322" s="658"/>
      <c r="AR322" s="658"/>
      <c r="AS322" s="658"/>
      <c r="AT322" s="658"/>
      <c r="AU322" s="658"/>
      <c r="AV322" s="658"/>
    </row>
    <row r="323" spans="1:48">
      <c r="AA323" s="658"/>
      <c r="AB323" s="658"/>
      <c r="AC323" s="658"/>
      <c r="AD323" s="658"/>
      <c r="AE323" s="658"/>
      <c r="AF323" s="658"/>
      <c r="AG323" s="658"/>
      <c r="AH323" s="658"/>
      <c r="AI323" s="658"/>
      <c r="AJ323" s="658"/>
      <c r="AK323" s="658"/>
      <c r="AL323" s="658"/>
      <c r="AN323" s="670"/>
      <c r="AO323" s="670"/>
      <c r="AP323" s="658"/>
      <c r="AQ323" s="658"/>
      <c r="AR323" s="658"/>
      <c r="AS323" s="658"/>
      <c r="AT323" s="658"/>
      <c r="AU323" s="658"/>
      <c r="AV323" s="658"/>
    </row>
    <row r="324" spans="1:48">
      <c r="C324" s="2648" t="s">
        <v>167</v>
      </c>
      <c r="D324" s="1560" t="s">
        <v>1701</v>
      </c>
      <c r="J324" s="220" t="s">
        <v>167</v>
      </c>
      <c r="K324" s="2499" t="str">
        <f>IF(AND(A310,NOT(A321)),Adj_Gross_Inc,"")</f>
        <v/>
      </c>
      <c r="AA324" s="658"/>
      <c r="AB324" s="658"/>
      <c r="AC324" s="658"/>
      <c r="AD324" s="658"/>
      <c r="AE324" s="658"/>
      <c r="AF324" s="658"/>
      <c r="AG324" s="658"/>
      <c r="AH324" s="658"/>
      <c r="AI324" s="658"/>
      <c r="AJ324" s="658"/>
      <c r="AK324" s="658"/>
      <c r="AL324" s="658"/>
      <c r="AN324" s="670"/>
      <c r="AO324" s="670"/>
      <c r="AP324" s="658"/>
      <c r="AQ324" s="658"/>
      <c r="AR324" s="658"/>
      <c r="AS324" s="658"/>
      <c r="AT324" s="658"/>
      <c r="AU324" s="658"/>
      <c r="AV324" s="658"/>
    </row>
    <row r="325" spans="1:48">
      <c r="AA325" s="658"/>
      <c r="AB325" s="658"/>
      <c r="AC325" s="658"/>
      <c r="AD325" s="658"/>
      <c r="AE325" s="658"/>
      <c r="AF325" s="658"/>
      <c r="AG325" s="658"/>
      <c r="AH325" s="658"/>
      <c r="AI325" s="658"/>
      <c r="AJ325" s="658"/>
      <c r="AK325" s="658"/>
      <c r="AL325" s="658"/>
      <c r="AN325" s="670"/>
      <c r="AO325" s="670"/>
      <c r="AP325" s="658"/>
      <c r="AQ325" s="658"/>
      <c r="AR325" s="658"/>
      <c r="AS325" s="658"/>
      <c r="AT325" s="658"/>
      <c r="AU325" s="658"/>
      <c r="AV325" s="658"/>
    </row>
    <row r="326" spans="1:48">
      <c r="C326" s="2648" t="s">
        <v>171</v>
      </c>
      <c r="D326" s="88" t="s">
        <v>1702</v>
      </c>
      <c r="AA326" s="658"/>
      <c r="AB326" s="658"/>
      <c r="AC326" s="658"/>
      <c r="AD326" s="658"/>
      <c r="AE326" s="658"/>
      <c r="AF326" s="658"/>
      <c r="AG326" s="658"/>
      <c r="AH326" s="658"/>
      <c r="AI326" s="658"/>
      <c r="AJ326" s="658"/>
      <c r="AK326" s="658"/>
      <c r="AL326" s="658"/>
      <c r="AN326" s="670"/>
      <c r="AO326" s="670"/>
      <c r="AP326" s="658"/>
      <c r="AQ326" s="658"/>
      <c r="AR326" s="658"/>
      <c r="AS326" s="658"/>
      <c r="AT326" s="658"/>
      <c r="AU326" s="658"/>
      <c r="AV326" s="658"/>
    </row>
    <row r="327" spans="1:48">
      <c r="AA327" s="658"/>
      <c r="AB327" s="658"/>
      <c r="AC327" s="658"/>
      <c r="AD327" s="658"/>
      <c r="AE327" s="658"/>
      <c r="AF327" s="658"/>
      <c r="AG327" s="658"/>
      <c r="AH327" s="658"/>
      <c r="AI327" s="658"/>
      <c r="AJ327" s="658"/>
      <c r="AK327" s="658"/>
      <c r="AL327" s="658"/>
      <c r="AN327" s="670"/>
      <c r="AO327" s="670"/>
      <c r="AP327" s="658"/>
      <c r="AQ327" s="658"/>
      <c r="AR327" s="658"/>
      <c r="AS327" s="658"/>
      <c r="AT327" s="658"/>
      <c r="AU327" s="658"/>
      <c r="AV327" s="658"/>
    </row>
    <row r="328" spans="1:48">
      <c r="A328" s="441" t="b">
        <f>AND(A310,NOT(A321),K324=K314)</f>
        <v>0</v>
      </c>
      <c r="B328" s="2658" t="str">
        <f>IF(A328,"X","")</f>
        <v/>
      </c>
      <c r="D328" s="226" t="s">
        <v>1703</v>
      </c>
      <c r="AA328" s="658"/>
      <c r="AB328" s="658"/>
      <c r="AC328" s="658"/>
      <c r="AD328" s="658"/>
      <c r="AE328" s="658"/>
      <c r="AF328" s="658"/>
      <c r="AG328" s="658"/>
      <c r="AH328" s="658"/>
      <c r="AI328" s="658"/>
      <c r="AJ328" s="658"/>
      <c r="AK328" s="658"/>
      <c r="AL328" s="658"/>
      <c r="AN328" s="670"/>
      <c r="AO328" s="670"/>
      <c r="AP328" s="658"/>
      <c r="AQ328" s="658"/>
      <c r="AR328" s="658"/>
      <c r="AS328" s="658"/>
      <c r="AT328" s="658"/>
      <c r="AU328" s="658"/>
      <c r="AV328" s="658"/>
    </row>
    <row r="329" spans="1:48">
      <c r="AA329" s="658"/>
      <c r="AB329" s="658"/>
      <c r="AC329" s="658"/>
      <c r="AD329" s="658"/>
      <c r="AE329" s="658"/>
      <c r="AF329" s="658"/>
      <c r="AG329" s="658"/>
      <c r="AH329" s="658"/>
      <c r="AI329" s="658"/>
      <c r="AJ329" s="658"/>
      <c r="AK329" s="658"/>
      <c r="AL329" s="658"/>
      <c r="AN329" s="670"/>
      <c r="AO329" s="670"/>
      <c r="AP329" s="658"/>
      <c r="AQ329" s="658"/>
      <c r="AR329" s="658"/>
      <c r="AS329" s="658"/>
      <c r="AT329" s="658"/>
      <c r="AU329" s="658"/>
      <c r="AV329" s="658"/>
    </row>
    <row r="330" spans="1:48">
      <c r="A330" s="441" t="b">
        <f>AND(A310,NOT(A321),K324&lt;&gt;K314)</f>
        <v>0</v>
      </c>
      <c r="B330" s="2658" t="str">
        <f>IF(OR(L316=0,$B$310=""),"",IF(K324=K314,"","X"))</f>
        <v/>
      </c>
      <c r="D330" s="226" t="s">
        <v>1704</v>
      </c>
      <c r="AA330" s="658"/>
      <c r="AB330" s="658"/>
      <c r="AC330" s="658"/>
      <c r="AD330" s="658"/>
      <c r="AE330" s="658"/>
      <c r="AF330" s="658"/>
      <c r="AG330" s="658"/>
      <c r="AH330" s="658"/>
      <c r="AI330" s="658"/>
      <c r="AJ330" s="658"/>
      <c r="AK330" s="658"/>
      <c r="AL330" s="658"/>
      <c r="AN330" s="670"/>
      <c r="AO330" s="670"/>
      <c r="AP330" s="658"/>
      <c r="AQ330" s="658"/>
      <c r="AR330" s="658"/>
      <c r="AS330" s="658"/>
      <c r="AT330" s="658"/>
      <c r="AU330" s="658"/>
      <c r="AV330" s="658"/>
    </row>
    <row r="331" spans="1:48" ht="7.5" customHeight="1">
      <c r="AA331" s="658"/>
      <c r="AB331" s="658"/>
      <c r="AC331" s="658"/>
      <c r="AD331" s="658"/>
      <c r="AE331" s="658"/>
      <c r="AF331" s="658"/>
      <c r="AG331" s="658"/>
      <c r="AH331" s="658"/>
      <c r="AI331" s="658"/>
      <c r="AJ331" s="658"/>
      <c r="AK331" s="658"/>
      <c r="AL331" s="658"/>
      <c r="AN331" s="670"/>
      <c r="AO331" s="670"/>
      <c r="AP331" s="658"/>
      <c r="AQ331" s="658"/>
      <c r="AR331" s="658"/>
      <c r="AS331" s="658"/>
      <c r="AT331" s="658"/>
      <c r="AU331" s="658"/>
      <c r="AV331" s="658"/>
    </row>
    <row r="332" spans="1:48" s="2659" customFormat="1" ht="7.5" customHeight="1">
      <c r="B332" s="2660"/>
      <c r="N332" s="2661"/>
      <c r="AA332" s="671"/>
      <c r="AB332" s="671"/>
      <c r="AC332" s="671"/>
      <c r="AD332" s="671"/>
      <c r="AE332" s="671"/>
      <c r="AF332" s="671"/>
      <c r="AG332" s="671"/>
      <c r="AH332" s="671"/>
      <c r="AI332" s="671"/>
      <c r="AJ332" s="671"/>
      <c r="AK332" s="671"/>
      <c r="AL332" s="671"/>
      <c r="AN332" s="672"/>
      <c r="AO332" s="672"/>
      <c r="AP332" s="671"/>
      <c r="AQ332" s="671"/>
      <c r="AR332" s="671"/>
      <c r="AS332" s="671"/>
      <c r="AT332" s="671"/>
      <c r="AU332" s="671"/>
      <c r="AV332" s="671"/>
    </row>
    <row r="333" spans="1:48" s="2445" customFormat="1" ht="16.5" customHeight="1">
      <c r="A333" s="2646" t="s">
        <v>1705</v>
      </c>
      <c r="B333" s="2688" t="s">
        <v>1706</v>
      </c>
      <c r="C333" s="2642"/>
      <c r="N333" s="2662"/>
      <c r="AA333" s="668"/>
      <c r="AB333" s="668"/>
      <c r="AC333" s="668"/>
      <c r="AD333" s="668"/>
      <c r="AE333" s="668"/>
      <c r="AF333" s="668"/>
      <c r="AG333" s="668"/>
      <c r="AH333" s="668"/>
      <c r="AI333" s="668"/>
      <c r="AJ333" s="668"/>
      <c r="AK333" s="668"/>
      <c r="AL333" s="668"/>
      <c r="AN333" s="669"/>
      <c r="AO333" s="669"/>
      <c r="AP333" s="668"/>
      <c r="AQ333" s="668"/>
      <c r="AR333" s="668"/>
      <c r="AS333" s="668"/>
      <c r="AT333" s="668"/>
      <c r="AU333" s="668"/>
      <c r="AV333" s="668"/>
    </row>
    <row r="334" spans="1:48">
      <c r="AA334" s="658"/>
      <c r="AB334" s="658"/>
      <c r="AC334" s="658"/>
      <c r="AD334" s="658"/>
      <c r="AE334" s="658"/>
      <c r="AF334" s="658"/>
      <c r="AG334" s="658"/>
      <c r="AH334" s="658"/>
      <c r="AI334" s="658"/>
      <c r="AJ334" s="658"/>
      <c r="AK334" s="658"/>
      <c r="AL334" s="658"/>
      <c r="AN334" s="670"/>
      <c r="AO334" s="670"/>
      <c r="AP334" s="658"/>
      <c r="AQ334" s="658"/>
      <c r="AR334" s="658"/>
      <c r="AS334" s="658"/>
      <c r="AT334" s="658"/>
      <c r="AU334" s="658"/>
      <c r="AV334" s="658"/>
    </row>
    <row r="335" spans="1:48">
      <c r="C335" s="2648" t="s">
        <v>184</v>
      </c>
      <c r="D335" s="88" t="s">
        <v>1670</v>
      </c>
      <c r="AA335" s="658"/>
      <c r="AB335" s="658"/>
      <c r="AC335" s="658"/>
      <c r="AD335" s="658"/>
      <c r="AE335" s="658"/>
      <c r="AF335" s="658"/>
      <c r="AG335" s="658"/>
      <c r="AH335" s="658"/>
      <c r="AI335" s="658"/>
      <c r="AJ335" s="658"/>
      <c r="AK335" s="658"/>
      <c r="AL335" s="658"/>
      <c r="AN335" s="670"/>
      <c r="AO335" s="670"/>
      <c r="AP335" s="658"/>
      <c r="AQ335" s="658"/>
      <c r="AR335" s="658"/>
      <c r="AS335" s="658"/>
      <c r="AT335" s="658"/>
      <c r="AU335" s="658"/>
      <c r="AV335" s="658"/>
    </row>
    <row r="336" spans="1:48">
      <c r="B336" s="2682" t="str">
        <f>IF(OR($H$294="X",$B$310="",$B$330=""),"",IF(EICNumQualChild=0,"®",""))</f>
        <v/>
      </c>
      <c r="C336" s="2643" t="s">
        <v>1554</v>
      </c>
      <c r="D336" s="1560" t="s">
        <v>1707</v>
      </c>
      <c r="L336" s="2689"/>
      <c r="M336" s="441"/>
      <c r="N336" s="2468">
        <f>'EIC Table'!N5</f>
        <v>10620</v>
      </c>
      <c r="AA336" s="658"/>
      <c r="AB336" s="658"/>
      <c r="AC336" s="658"/>
      <c r="AD336" s="658"/>
      <c r="AE336" s="658"/>
      <c r="AF336" s="658"/>
      <c r="AG336" s="658"/>
      <c r="AH336" s="658"/>
      <c r="AI336" s="658"/>
      <c r="AJ336" s="658"/>
      <c r="AK336" s="658"/>
      <c r="AL336" s="658"/>
      <c r="AN336" s="670"/>
      <c r="AO336" s="670"/>
      <c r="AP336" s="658"/>
      <c r="AQ336" s="658"/>
      <c r="AR336" s="658"/>
      <c r="AS336" s="658"/>
      <c r="AT336" s="658"/>
      <c r="AU336" s="658"/>
      <c r="AV336" s="658"/>
    </row>
    <row r="337" spans="1:48">
      <c r="D337" s="88" t="str">
        <f>"line 3 less than "&amp;TEXT(N336,"$0,000")&amp;" ("&amp;TEXT(N337,"$0,000")&amp;" if married filing jointly)? "</f>
        <v xml:space="preserve">line 3 less than $10,620 ($17,730 if married filing jointly)? </v>
      </c>
      <c r="L337" s="228" t="str">
        <f>IF(B336&lt;&gt;"®","",IF(M337,"Yes","No"))</f>
        <v/>
      </c>
      <c r="M337" s="441" t="b">
        <f>AND(EICNumQualChild=0,A330,OR(AND(File_Marr_Joint="",$K$324&lt;N336),AND(File_Marr_Joint&lt;&gt;"",$K$324&lt;N337)))</f>
        <v>0</v>
      </c>
      <c r="N337" s="2468">
        <f>'EIC Table'!R5</f>
        <v>17730</v>
      </c>
      <c r="AA337" s="658"/>
      <c r="AB337" s="658"/>
      <c r="AC337" s="658"/>
      <c r="AD337" s="658"/>
      <c r="AE337" s="658"/>
      <c r="AF337" s="658"/>
      <c r="AG337" s="658"/>
      <c r="AH337" s="658"/>
      <c r="AI337" s="658"/>
      <c r="AJ337" s="658"/>
      <c r="AK337" s="658"/>
      <c r="AL337" s="658"/>
      <c r="AN337" s="670"/>
      <c r="AO337" s="670"/>
      <c r="AP337" s="658"/>
      <c r="AQ337" s="658"/>
      <c r="AR337" s="658"/>
      <c r="AS337" s="658"/>
      <c r="AT337" s="658"/>
      <c r="AU337" s="658"/>
      <c r="AV337" s="658"/>
    </row>
    <row r="338" spans="1:48">
      <c r="C338" s="228" t="s">
        <v>1235</v>
      </c>
      <c r="M338" s="441"/>
      <c r="N338" s="2468"/>
      <c r="AA338" s="658"/>
      <c r="AB338" s="658"/>
      <c r="AC338" s="658"/>
      <c r="AD338" s="658"/>
      <c r="AE338" s="658"/>
      <c r="AF338" s="658"/>
      <c r="AG338" s="658"/>
      <c r="AH338" s="658"/>
      <c r="AI338" s="658"/>
      <c r="AJ338" s="658"/>
      <c r="AK338" s="658"/>
      <c r="AL338" s="658"/>
      <c r="AN338" s="670"/>
      <c r="AO338" s="670"/>
      <c r="AP338" s="658"/>
      <c r="AQ338" s="658"/>
      <c r="AR338" s="658"/>
      <c r="AS338" s="658"/>
      <c r="AT338" s="658"/>
      <c r="AU338" s="658"/>
      <c r="AV338" s="658"/>
    </row>
    <row r="339" spans="1:48" ht="14.25" customHeight="1">
      <c r="B339" s="2682" t="str">
        <f>IF(OR($H$294="X",$B$310="",$B$330=""),"",IF(EICNumQualChild&gt;0,"®",""))</f>
        <v/>
      </c>
      <c r="C339" s="2643" t="s">
        <v>1554</v>
      </c>
      <c r="D339" s="1560" t="s">
        <v>1708</v>
      </c>
      <c r="L339" s="2689"/>
      <c r="M339" s="441"/>
      <c r="N339" s="2468">
        <f>'EIC Table'!O5</f>
        <v>23350</v>
      </c>
      <c r="AA339" s="658"/>
      <c r="AB339" s="658"/>
      <c r="AC339" s="658"/>
      <c r="AD339" s="658"/>
      <c r="AE339" s="658"/>
      <c r="AF339" s="658"/>
      <c r="AG339" s="658"/>
      <c r="AH339" s="658"/>
      <c r="AI339" s="658"/>
      <c r="AJ339" s="658"/>
      <c r="AK339" s="658"/>
      <c r="AL339" s="658"/>
      <c r="AN339" s="670"/>
      <c r="AO339" s="670"/>
      <c r="AP339" s="658"/>
      <c r="AQ339" s="658"/>
      <c r="AR339" s="658"/>
      <c r="AS339" s="658"/>
      <c r="AT339" s="658"/>
      <c r="AU339" s="658"/>
      <c r="AV339" s="658"/>
    </row>
    <row r="340" spans="1:48">
      <c r="D340" s="88" t="str">
        <f>"on line 3 less than "&amp;TEXT(N339,"$0,000")&amp;" ("&amp;TEXT(N340,"$0,000")&amp;" if married filing jointly)?"</f>
        <v>on line 3 less than $23,350 ($30,470 if married filing jointly)?</v>
      </c>
      <c r="L340" s="228" t="str">
        <f>IF(B339&lt;&gt;"®","",IF(M340,"Yes","No"))</f>
        <v/>
      </c>
      <c r="M340" s="441" t="b">
        <f>AND(EICNumQualChild&gt;=1,A330,OR(AND(File_Marr_Joint="",$K$324&lt;N339),AND(File_Marr_Joint&lt;&gt;"",$K$324&lt;N340)))</f>
        <v>0</v>
      </c>
      <c r="N340" s="2468">
        <f>'EIC Table'!S5</f>
        <v>30470</v>
      </c>
      <c r="AA340" s="658"/>
      <c r="AB340" s="658"/>
      <c r="AC340" s="658"/>
      <c r="AD340" s="658"/>
      <c r="AE340" s="658"/>
      <c r="AF340" s="658"/>
      <c r="AG340" s="658"/>
      <c r="AH340" s="658"/>
      <c r="AI340" s="658"/>
      <c r="AJ340" s="658"/>
      <c r="AK340" s="658"/>
      <c r="AL340" s="658"/>
      <c r="AN340" s="670"/>
      <c r="AO340" s="670"/>
      <c r="AP340" s="658"/>
      <c r="AQ340" s="658"/>
      <c r="AR340" s="658"/>
      <c r="AS340" s="658"/>
      <c r="AT340" s="658"/>
      <c r="AU340" s="658"/>
      <c r="AV340" s="658"/>
    </row>
    <row r="341" spans="1:48">
      <c r="N341" s="1560"/>
      <c r="AA341" s="658"/>
      <c r="AB341" s="658"/>
      <c r="AC341" s="658"/>
      <c r="AD341" s="658"/>
      <c r="AE341" s="658"/>
      <c r="AF341" s="658"/>
      <c r="AG341" s="658"/>
      <c r="AH341" s="658"/>
      <c r="AI341" s="658"/>
      <c r="AJ341" s="658"/>
      <c r="AK341" s="658"/>
      <c r="AL341" s="658"/>
      <c r="AN341" s="670"/>
      <c r="AO341" s="670"/>
      <c r="AP341" s="658"/>
      <c r="AQ341" s="658"/>
      <c r="AR341" s="658"/>
      <c r="AS341" s="658"/>
      <c r="AT341" s="658"/>
      <c r="AU341" s="658"/>
      <c r="AV341" s="658"/>
    </row>
    <row r="342" spans="1:48">
      <c r="A342" s="441" t="b">
        <f>AND(NOT(A321),A330,OR(M337,M340))</f>
        <v>0</v>
      </c>
      <c r="B342" s="2658" t="str">
        <f>IF(A342,"X","")</f>
        <v/>
      </c>
      <c r="D342" s="226" t="s">
        <v>1709</v>
      </c>
      <c r="AA342" s="658"/>
      <c r="AB342" s="658"/>
      <c r="AC342" s="658"/>
      <c r="AD342" s="658"/>
      <c r="AE342" s="658"/>
      <c r="AF342" s="658"/>
      <c r="AG342" s="658"/>
      <c r="AH342" s="658"/>
      <c r="AI342" s="658"/>
      <c r="AJ342" s="658"/>
      <c r="AK342" s="658"/>
      <c r="AL342" s="658"/>
      <c r="AN342" s="670"/>
      <c r="AO342" s="670"/>
      <c r="AP342" s="658"/>
      <c r="AQ342" s="658"/>
      <c r="AR342" s="658"/>
      <c r="AS342" s="658"/>
      <c r="AT342" s="658"/>
      <c r="AU342" s="658"/>
      <c r="AV342" s="658"/>
    </row>
    <row r="343" spans="1:48" ht="13.5" thickBot="1">
      <c r="AA343" s="658"/>
      <c r="AB343" s="658"/>
      <c r="AC343" s="658"/>
      <c r="AD343" s="658"/>
      <c r="AE343" s="658"/>
      <c r="AF343" s="658"/>
      <c r="AG343" s="658"/>
      <c r="AH343" s="658"/>
      <c r="AI343" s="658"/>
      <c r="AJ343" s="658"/>
      <c r="AK343" s="658"/>
      <c r="AL343" s="658"/>
      <c r="AN343" s="664" t="s">
        <v>1710</v>
      </c>
      <c r="AO343" s="670"/>
      <c r="AP343" s="658"/>
      <c r="AQ343" s="658"/>
      <c r="AR343" s="658"/>
      <c r="AS343" s="658"/>
      <c r="AT343" s="658"/>
      <c r="AU343" s="658"/>
      <c r="AV343" s="658"/>
    </row>
    <row r="344" spans="1:48">
      <c r="A344" s="441" t="b">
        <f>AND(A330,NOT(M337),NOT(M340))</f>
        <v>0</v>
      </c>
      <c r="B344" s="2658" t="str">
        <f>IF(A344,"X","")</f>
        <v/>
      </c>
      <c r="D344" s="2502" t="s">
        <v>1711</v>
      </c>
      <c r="K344" s="220"/>
      <c r="AA344" s="658"/>
      <c r="AB344" s="658"/>
      <c r="AC344" s="658"/>
      <c r="AD344" s="658"/>
      <c r="AE344" s="658"/>
      <c r="AF344" s="658"/>
      <c r="AG344" s="658"/>
      <c r="AH344" s="658"/>
      <c r="AI344" s="658"/>
      <c r="AJ344" s="658"/>
      <c r="AK344" s="658"/>
      <c r="AL344" s="658"/>
      <c r="AN344" s="674">
        <f>Adj_Gross_Inc</f>
        <v>0</v>
      </c>
      <c r="AO344" s="8015" t="s">
        <v>1692</v>
      </c>
      <c r="AP344" s="8016"/>
      <c r="AQ344" s="8015" t="s">
        <v>1693</v>
      </c>
      <c r="AR344" s="8016"/>
      <c r="AS344" s="8015" t="s">
        <v>1694</v>
      </c>
      <c r="AT344" s="8016"/>
      <c r="AU344" s="8015" t="s">
        <v>1695</v>
      </c>
      <c r="AV344" s="8016"/>
    </row>
    <row r="345" spans="1:48">
      <c r="D345" s="1560" t="s">
        <v>1712</v>
      </c>
      <c r="AA345" s="658"/>
      <c r="AB345" s="658"/>
      <c r="AC345" s="658"/>
      <c r="AD345" s="658"/>
      <c r="AE345" s="658"/>
      <c r="AF345" s="658"/>
      <c r="AG345" s="658"/>
      <c r="AH345" s="658"/>
      <c r="AI345" s="658"/>
      <c r="AJ345" s="658"/>
      <c r="AK345" s="658"/>
      <c r="AL345" s="658"/>
      <c r="AN345" s="675">
        <f>IF(AN344&lt;&gt;"",ROUND(AN344,0),"")</f>
        <v>0</v>
      </c>
      <c r="AO345" s="676" t="s">
        <v>1697</v>
      </c>
      <c r="AP345" s="677" t="s">
        <v>1556</v>
      </c>
      <c r="AQ345" s="676" t="s">
        <v>1697</v>
      </c>
      <c r="AR345" s="677" t="s">
        <v>1556</v>
      </c>
      <c r="AS345" s="676" t="s">
        <v>1697</v>
      </c>
      <c r="AT345" s="678" t="s">
        <v>1556</v>
      </c>
      <c r="AU345" s="676" t="s">
        <v>1697</v>
      </c>
      <c r="AV345" s="678" t="s">
        <v>1556</v>
      </c>
    </row>
    <row r="346" spans="1:48">
      <c r="D346" s="1560" t="s">
        <v>1713</v>
      </c>
      <c r="K346" s="220"/>
      <c r="AA346" s="658"/>
      <c r="AB346" s="658"/>
      <c r="AC346" s="658"/>
      <c r="AD346" s="658"/>
      <c r="AE346" s="658"/>
      <c r="AF346" s="658"/>
      <c r="AG346" s="658"/>
      <c r="AH346" s="658"/>
      <c r="AI346" s="658"/>
      <c r="AJ346" s="658"/>
      <c r="AK346" s="658"/>
      <c r="AL346" s="658"/>
      <c r="AN346" s="675"/>
      <c r="AO346" s="2685" t="e">
        <f>LOOKUP(AN347,'EIC Table'!$A$3:$A$1384,'EIC Table'!$C$3:$C$1384)</f>
        <v>#N/A</v>
      </c>
      <c r="AP346" s="2686" t="e">
        <f>LOOKUP(AN347,'EIC Table'!$A$3:$A$1384,'EIC Table'!$G$3:$G$1384)</f>
        <v>#N/A</v>
      </c>
      <c r="AQ346" s="2685" t="e">
        <f>LOOKUP(AN347,'EIC Table'!$A$3:$A$1384,'EIC Table'!$D$3:$D$1384)</f>
        <v>#N/A</v>
      </c>
      <c r="AR346" s="2686" t="e">
        <f>LOOKUP(AN347,'EIC Table'!$A$3:$A$1384,'EIC Table'!$H$3:$H$1384)</f>
        <v>#N/A</v>
      </c>
      <c r="AS346" s="2687" t="e">
        <f>LOOKUP(AN347,'EIC Table'!$A$3:$A$1384,'EIC Table'!$E$3:$E$1384)</f>
        <v>#N/A</v>
      </c>
      <c r="AT346" s="2686" t="e">
        <f>LOOKUP(AN347,'EIC Table'!$A$3:$A$1384,'EIC Table'!$I$3:$I$1384)</f>
        <v>#N/A</v>
      </c>
      <c r="AU346" s="2687" t="e">
        <f>LOOKUP(AN347,'EIC Table'!$A$3:$A$1384,'EIC Table'!$F$3:$F$1384)</f>
        <v>#N/A</v>
      </c>
      <c r="AV346" s="2686" t="e">
        <f>LOOKUP(AN347,'EIC Table'!$A$3:$A$1384,'EIC Table'!$J$3:$J$1384)</f>
        <v>#N/A</v>
      </c>
    </row>
    <row r="347" spans="1:48" ht="13.5" thickBot="1">
      <c r="D347" s="1560" t="s">
        <v>1714</v>
      </c>
      <c r="K347" s="220" t="s">
        <v>184</v>
      </c>
      <c r="L347" s="2499" t="str">
        <f>IF(B330="","",IF(B342&lt;&gt;"","",AN348))</f>
        <v/>
      </c>
      <c r="AA347" s="658"/>
      <c r="AB347" s="658"/>
      <c r="AC347" s="658"/>
      <c r="AD347" s="658"/>
      <c r="AE347" s="658"/>
      <c r="AF347" s="658"/>
      <c r="AG347" s="658"/>
      <c r="AH347" s="658"/>
      <c r="AI347" s="658"/>
      <c r="AJ347" s="658"/>
      <c r="AK347" s="658"/>
      <c r="AL347" s="658"/>
      <c r="AN347" s="675">
        <f>IF(AN345="","",AN345)</f>
        <v>0</v>
      </c>
      <c r="AO347" s="2685"/>
      <c r="AP347" s="2686"/>
      <c r="AQ347" s="2685"/>
      <c r="AR347" s="2686"/>
      <c r="AS347" s="2687"/>
      <c r="AT347" s="2686"/>
      <c r="AU347" s="2687"/>
      <c r="AV347" s="2686"/>
    </row>
    <row r="348" spans="1:48" ht="13.5" thickBot="1">
      <c r="D348" s="88" t="s">
        <v>1715</v>
      </c>
      <c r="AA348" s="658"/>
      <c r="AB348" s="658"/>
      <c r="AC348" s="658"/>
      <c r="AD348" s="658"/>
      <c r="AE348" s="658"/>
      <c r="AF348" s="658"/>
      <c r="AG348" s="658"/>
      <c r="AH348" s="658"/>
      <c r="AI348" s="658"/>
      <c r="AJ348" s="658"/>
      <c r="AK348" s="658"/>
      <c r="AL348" s="658"/>
      <c r="AN348" s="682" t="e">
        <f>IF(EICNumQualChild&gt;2,AV348,IF(EICNumQualChild=2,AT348,IF(EICNumQualChild=1,AR348,AP348)))</f>
        <v>#N/A</v>
      </c>
      <c r="AO348" s="683"/>
      <c r="AP348" s="684" t="e">
        <f>IF(File_Marr_Joint&lt;&gt;"",AP346,AO346)</f>
        <v>#N/A</v>
      </c>
      <c r="AQ348" s="683"/>
      <c r="AR348" s="684" t="e">
        <f>IF(File_Marr_Joint&lt;&gt;"",AR346,AQ346)</f>
        <v>#N/A</v>
      </c>
      <c r="AS348" s="685"/>
      <c r="AT348" s="684" t="e">
        <f>IF(File_Marr_Joint&lt;&gt;"",AT346,AS346)</f>
        <v>#N/A</v>
      </c>
      <c r="AU348" s="685"/>
      <c r="AV348" s="684" t="e">
        <f>IF(File_Marr_Joint&lt;&gt;"",AV346,AU346)</f>
        <v>#N/A</v>
      </c>
    </row>
    <row r="349" spans="1:48">
      <c r="D349" s="1560" t="s">
        <v>1716</v>
      </c>
      <c r="AA349" s="658"/>
      <c r="AB349" s="658"/>
      <c r="AC349" s="658"/>
      <c r="AD349" s="658"/>
      <c r="AE349" s="658"/>
      <c r="AF349" s="658"/>
      <c r="AG349" s="658"/>
      <c r="AH349" s="658"/>
      <c r="AI349" s="658"/>
      <c r="AJ349" s="658"/>
      <c r="AK349" s="658"/>
      <c r="AL349" s="658"/>
      <c r="AN349" s="658"/>
      <c r="AO349" s="658"/>
      <c r="AP349" s="658"/>
      <c r="AQ349" s="658"/>
      <c r="AR349" s="658"/>
      <c r="AS349" s="658"/>
      <c r="AT349" s="658"/>
      <c r="AU349" s="658"/>
      <c r="AV349" s="658"/>
    </row>
    <row r="350" spans="1:48" ht="7.5" customHeight="1">
      <c r="AA350" s="658"/>
      <c r="AB350" s="658"/>
      <c r="AC350" s="658"/>
      <c r="AD350" s="658"/>
      <c r="AE350" s="658"/>
      <c r="AF350" s="658"/>
      <c r="AG350" s="658"/>
      <c r="AH350" s="658"/>
      <c r="AI350" s="658"/>
      <c r="AJ350" s="658"/>
      <c r="AK350" s="658"/>
      <c r="AL350" s="658"/>
      <c r="AN350" s="670"/>
      <c r="AO350" s="670"/>
      <c r="AP350" s="658"/>
      <c r="AQ350" s="658"/>
      <c r="AR350" s="658"/>
      <c r="AS350" s="658"/>
      <c r="AT350" s="658"/>
      <c r="AU350" s="658"/>
      <c r="AV350" s="658"/>
    </row>
    <row r="351" spans="1:48" s="2659" customFormat="1" ht="7.5" customHeight="1">
      <c r="B351" s="2660"/>
      <c r="N351" s="2661"/>
      <c r="AA351" s="671"/>
      <c r="AB351" s="671"/>
      <c r="AC351" s="671"/>
      <c r="AD351" s="671"/>
      <c r="AE351" s="671"/>
      <c r="AF351" s="671"/>
      <c r="AG351" s="671"/>
      <c r="AH351" s="671"/>
      <c r="AI351" s="671"/>
      <c r="AJ351" s="671"/>
      <c r="AK351" s="671"/>
      <c r="AL351" s="671"/>
      <c r="AN351" s="672"/>
      <c r="AO351" s="672"/>
      <c r="AP351" s="671"/>
      <c r="AQ351" s="671"/>
      <c r="AR351" s="671"/>
      <c r="AS351" s="671"/>
      <c r="AT351" s="671"/>
      <c r="AU351" s="671"/>
      <c r="AV351" s="671"/>
    </row>
    <row r="352" spans="1:48" s="2445" customFormat="1" ht="15.75">
      <c r="A352" s="2646" t="s">
        <v>1717</v>
      </c>
      <c r="B352" s="2688" t="s">
        <v>1718</v>
      </c>
      <c r="C352" s="2642"/>
      <c r="N352" s="2662"/>
      <c r="AA352" s="668"/>
      <c r="AB352" s="668"/>
      <c r="AC352" s="668"/>
      <c r="AD352" s="668"/>
      <c r="AE352" s="668"/>
      <c r="AF352" s="668"/>
      <c r="AG352" s="668"/>
      <c r="AH352" s="668"/>
      <c r="AI352" s="668"/>
      <c r="AJ352" s="668"/>
      <c r="AK352" s="668"/>
      <c r="AL352" s="668"/>
      <c r="AN352" s="669"/>
      <c r="AO352" s="669"/>
      <c r="AP352" s="668"/>
      <c r="AQ352" s="668"/>
      <c r="AR352" s="668"/>
      <c r="AS352" s="668"/>
      <c r="AT352" s="668"/>
      <c r="AU352" s="668"/>
      <c r="AV352" s="668"/>
    </row>
    <row r="353" spans="1:48">
      <c r="AA353" s="658"/>
      <c r="AB353" s="658"/>
      <c r="AC353" s="658"/>
      <c r="AD353" s="658"/>
      <c r="AE353" s="658"/>
      <c r="AF353" s="658"/>
      <c r="AG353" s="658"/>
      <c r="AH353" s="658"/>
      <c r="AI353" s="658"/>
      <c r="AJ353" s="658"/>
      <c r="AK353" s="658"/>
      <c r="AL353" s="658"/>
      <c r="AN353" s="670"/>
      <c r="AO353" s="670"/>
      <c r="AP353" s="658"/>
      <c r="AQ353" s="658"/>
      <c r="AR353" s="658"/>
      <c r="AS353" s="658"/>
      <c r="AT353" s="658"/>
      <c r="AU353" s="658"/>
      <c r="AV353" s="658"/>
    </row>
    <row r="354" spans="1:48">
      <c r="C354" s="2052" t="s">
        <v>188</v>
      </c>
      <c r="D354" s="226" t="s">
        <v>1719</v>
      </c>
      <c r="M354" s="220" t="s">
        <v>188</v>
      </c>
      <c r="N354" s="2499" t="str">
        <f>IF(OR(A328,A342),L316,IF(A344,MIN(L316,L347),""))</f>
        <v/>
      </c>
      <c r="O354" s="2651" t="str">
        <f>IF(EIC_WSA_Part3&lt;1000,TEXT(EIC_WSA_Part3,"$0"),TEXT(EIC_WSA_Part3,"$0,000"))</f>
        <v/>
      </c>
      <c r="AA354" s="658"/>
      <c r="AB354" s="658"/>
      <c r="AC354" s="658"/>
      <c r="AD354" s="658"/>
      <c r="AE354" s="658"/>
      <c r="AF354" s="658"/>
      <c r="AG354" s="658"/>
      <c r="AH354" s="658"/>
      <c r="AI354" s="658"/>
      <c r="AJ354" s="658"/>
      <c r="AK354" s="658"/>
      <c r="AL354" s="658"/>
      <c r="AN354" s="670"/>
      <c r="AO354" s="670"/>
      <c r="AP354" s="658"/>
      <c r="AQ354" s="658"/>
      <c r="AR354" s="658"/>
      <c r="AS354" s="658"/>
      <c r="AT354" s="658"/>
      <c r="AU354" s="658"/>
      <c r="AV354" s="658"/>
    </row>
    <row r="355" spans="1:48" ht="21.75" customHeight="1">
      <c r="D355" s="2449"/>
      <c r="K355" s="2441"/>
      <c r="M355" s="2415" t="s">
        <v>4116</v>
      </c>
      <c r="N355" s="2052"/>
      <c r="AA355" s="658"/>
      <c r="AB355" s="658"/>
      <c r="AC355" s="658"/>
      <c r="AD355" s="658"/>
      <c r="AE355" s="658"/>
      <c r="AF355" s="658"/>
      <c r="AG355" s="658"/>
      <c r="AH355" s="658"/>
      <c r="AI355" s="658"/>
      <c r="AJ355" s="658"/>
      <c r="AK355" s="658"/>
      <c r="AL355" s="658"/>
      <c r="AN355" s="670"/>
      <c r="AO355" s="670"/>
      <c r="AP355" s="658"/>
      <c r="AQ355" s="658"/>
      <c r="AR355" s="658"/>
      <c r="AS355" s="658"/>
      <c r="AT355" s="658"/>
      <c r="AU355" s="658"/>
      <c r="AV355" s="658"/>
    </row>
    <row r="356" spans="1:48">
      <c r="B356" s="226" t="s">
        <v>1720</v>
      </c>
      <c r="C356" s="226"/>
      <c r="K356" s="2441"/>
      <c r="M356" s="2415" t="s">
        <v>6505</v>
      </c>
      <c r="N356" s="2052"/>
      <c r="AA356" s="658"/>
      <c r="AB356" s="658"/>
      <c r="AC356" s="658"/>
      <c r="AD356" s="658"/>
      <c r="AE356" s="658"/>
      <c r="AF356" s="658"/>
      <c r="AG356" s="658"/>
      <c r="AH356" s="658"/>
      <c r="AI356" s="658"/>
      <c r="AJ356" s="658"/>
      <c r="AK356" s="658"/>
      <c r="AL356" s="658"/>
      <c r="AN356" s="670"/>
      <c r="AO356" s="670"/>
      <c r="AP356" s="658"/>
      <c r="AQ356" s="658"/>
      <c r="AR356" s="658"/>
      <c r="AS356" s="658"/>
      <c r="AT356" s="658"/>
      <c r="AU356" s="658"/>
      <c r="AV356" s="658"/>
    </row>
    <row r="357" spans="1:48">
      <c r="B357" s="88" t="s">
        <v>1721</v>
      </c>
      <c r="K357" s="2441"/>
      <c r="M357" s="2449" t="s">
        <v>6506</v>
      </c>
      <c r="N357" s="2449"/>
      <c r="AA357" s="658"/>
      <c r="AB357" s="658"/>
      <c r="AC357" s="658"/>
      <c r="AD357" s="658"/>
      <c r="AE357" s="658"/>
      <c r="AF357" s="658"/>
      <c r="AG357" s="658"/>
      <c r="AH357" s="658"/>
      <c r="AI357" s="658"/>
      <c r="AJ357" s="658"/>
      <c r="AK357" s="658"/>
      <c r="AL357" s="658"/>
      <c r="AN357" s="670"/>
      <c r="AO357" s="670"/>
      <c r="AP357" s="658"/>
      <c r="AQ357" s="658"/>
      <c r="AR357" s="658"/>
      <c r="AS357" s="658"/>
      <c r="AT357" s="658"/>
      <c r="AU357" s="658"/>
      <c r="AV357" s="658"/>
    </row>
    <row r="358" spans="1:48">
      <c r="B358" s="2690" t="s">
        <v>1722</v>
      </c>
      <c r="C358" s="2690"/>
      <c r="D358" s="2690"/>
      <c r="M358" s="2449"/>
      <c r="AA358" s="658"/>
      <c r="AB358" s="658"/>
      <c r="AC358" s="658"/>
      <c r="AD358" s="658"/>
      <c r="AE358" s="658"/>
      <c r="AF358" s="658"/>
      <c r="AG358" s="658"/>
      <c r="AH358" s="658"/>
      <c r="AI358" s="658"/>
      <c r="AJ358" s="658"/>
      <c r="AK358" s="658"/>
      <c r="AL358" s="658"/>
      <c r="AN358" s="670"/>
      <c r="AO358" s="670"/>
      <c r="AP358" s="658"/>
      <c r="AQ358" s="658"/>
      <c r="AR358" s="658"/>
      <c r="AS358" s="658"/>
      <c r="AT358" s="658"/>
      <c r="AU358" s="658"/>
      <c r="AV358" s="658"/>
    </row>
    <row r="359" spans="1:48">
      <c r="D359" s="2690"/>
      <c r="AA359" s="658"/>
      <c r="AB359" s="658"/>
      <c r="AC359" s="658"/>
      <c r="AD359" s="658"/>
      <c r="AE359" s="658"/>
      <c r="AF359" s="658"/>
      <c r="AG359" s="658"/>
      <c r="AH359" s="658"/>
      <c r="AI359" s="658"/>
      <c r="AJ359" s="658"/>
      <c r="AK359" s="658"/>
      <c r="AL359" s="658"/>
      <c r="AN359" s="670"/>
      <c r="AO359" s="670"/>
      <c r="AP359" s="658"/>
      <c r="AQ359" s="658"/>
      <c r="AR359" s="658"/>
      <c r="AS359" s="658"/>
      <c r="AT359" s="658"/>
      <c r="AU359" s="658"/>
      <c r="AV359" s="658"/>
    </row>
    <row r="360" spans="1:48">
      <c r="C360" s="1839"/>
      <c r="D360" s="2691"/>
      <c r="E360" s="1839"/>
      <c r="F360" s="1839"/>
      <c r="G360" s="1839"/>
      <c r="H360" s="1839"/>
      <c r="I360" s="1839"/>
      <c r="J360" s="1839"/>
      <c r="AA360" s="658"/>
      <c r="AB360" s="658"/>
      <c r="AC360" s="658"/>
      <c r="AD360" s="658"/>
      <c r="AE360" s="658"/>
      <c r="AF360" s="658"/>
      <c r="AG360" s="658"/>
      <c r="AH360" s="658"/>
      <c r="AI360" s="658"/>
      <c r="AJ360" s="658"/>
      <c r="AK360" s="658"/>
      <c r="AL360" s="658"/>
      <c r="AN360" s="670"/>
      <c r="AO360" s="670"/>
      <c r="AP360" s="658"/>
      <c r="AQ360" s="658"/>
      <c r="AR360" s="658"/>
      <c r="AS360" s="658"/>
      <c r="AT360" s="658"/>
      <c r="AU360" s="658"/>
      <c r="AV360" s="658"/>
    </row>
    <row r="361" spans="1:48">
      <c r="C361" s="2681"/>
      <c r="D361" s="2692" t="s">
        <v>1723</v>
      </c>
      <c r="J361" s="220"/>
      <c r="M361" s="189"/>
      <c r="N361" s="88"/>
      <c r="O361" s="226"/>
      <c r="Q361" s="226"/>
      <c r="AA361" s="658"/>
      <c r="AB361" s="658"/>
      <c r="AC361" s="658"/>
      <c r="AD361" s="658"/>
      <c r="AE361" s="658"/>
      <c r="AF361" s="658"/>
      <c r="AG361" s="658"/>
      <c r="AH361" s="658"/>
      <c r="AI361" s="658"/>
      <c r="AJ361" s="658"/>
      <c r="AK361" s="658"/>
      <c r="AL361" s="658"/>
      <c r="AN361" s="670"/>
      <c r="AO361" s="670"/>
      <c r="AP361" s="658"/>
      <c r="AQ361" s="658"/>
      <c r="AR361" s="658"/>
      <c r="AS361" s="658"/>
      <c r="AT361" s="658"/>
      <c r="AU361" s="658"/>
      <c r="AV361" s="658"/>
    </row>
    <row r="362" spans="1:48">
      <c r="C362" s="2681"/>
      <c r="D362" s="2692" t="s">
        <v>1724</v>
      </c>
      <c r="J362" s="220"/>
      <c r="M362" s="189"/>
      <c r="N362" s="88"/>
      <c r="O362" s="226"/>
      <c r="Q362" s="226"/>
      <c r="AA362" s="658"/>
      <c r="AB362" s="658"/>
      <c r="AC362" s="658"/>
      <c r="AD362" s="658"/>
      <c r="AE362" s="658"/>
      <c r="AF362" s="658"/>
      <c r="AG362" s="658"/>
      <c r="AH362" s="658"/>
      <c r="AI362" s="658"/>
      <c r="AJ362" s="658"/>
      <c r="AK362" s="658"/>
      <c r="AL362" s="658"/>
      <c r="AN362" s="670"/>
      <c r="AO362" s="670"/>
      <c r="AP362" s="658"/>
      <c r="AQ362" s="658"/>
      <c r="AR362" s="658"/>
      <c r="AS362" s="658"/>
      <c r="AT362" s="658"/>
      <c r="AU362" s="658"/>
      <c r="AV362" s="658"/>
    </row>
    <row r="363" spans="1:48">
      <c r="C363" s="2681"/>
      <c r="D363" s="2692" t="str">
        <f>"take the credit for "&amp;TaxYear&amp;"."</f>
        <v>take the credit for 2025.</v>
      </c>
      <c r="J363" s="220"/>
      <c r="M363" s="189"/>
      <c r="N363" s="88"/>
      <c r="O363" s="226"/>
      <c r="Q363" s="226"/>
      <c r="AA363" s="658"/>
      <c r="AB363" s="658"/>
      <c r="AC363" s="658"/>
      <c r="AD363" s="658"/>
      <c r="AE363" s="658"/>
      <c r="AF363" s="658"/>
      <c r="AG363" s="658"/>
      <c r="AH363" s="658"/>
      <c r="AI363" s="658"/>
      <c r="AJ363" s="658"/>
      <c r="AK363" s="658"/>
      <c r="AL363" s="658"/>
      <c r="AN363" s="670"/>
      <c r="AO363" s="670"/>
      <c r="AP363" s="658"/>
      <c r="AQ363" s="658"/>
      <c r="AR363" s="658"/>
      <c r="AS363" s="658"/>
      <c r="AT363" s="658"/>
      <c r="AU363" s="658"/>
      <c r="AV363" s="658"/>
    </row>
    <row r="364" spans="1:48">
      <c r="D364" s="2690"/>
      <c r="AA364" s="658"/>
      <c r="AB364" s="658"/>
      <c r="AC364" s="658"/>
      <c r="AD364" s="658"/>
      <c r="AE364" s="658"/>
      <c r="AF364" s="658"/>
      <c r="AG364" s="658"/>
      <c r="AH364" s="658"/>
      <c r="AI364" s="658"/>
      <c r="AJ364" s="658"/>
      <c r="AK364" s="658"/>
      <c r="AL364" s="658"/>
      <c r="AN364" s="670"/>
      <c r="AO364" s="670"/>
      <c r="AP364" s="658"/>
      <c r="AQ364" s="658"/>
      <c r="AR364" s="658"/>
      <c r="AS364" s="658"/>
      <c r="AT364" s="658"/>
      <c r="AU364" s="658"/>
      <c r="AV364" s="658"/>
    </row>
    <row r="365" spans="1:48">
      <c r="AA365" s="658"/>
      <c r="AB365" s="658"/>
      <c r="AC365" s="658"/>
      <c r="AD365" s="658"/>
      <c r="AE365" s="658"/>
      <c r="AF365" s="658"/>
      <c r="AG365" s="658"/>
      <c r="AH365" s="658"/>
      <c r="AI365" s="658"/>
      <c r="AJ365" s="658"/>
      <c r="AK365" s="658"/>
      <c r="AL365" s="658"/>
      <c r="AN365" s="670"/>
      <c r="AO365" s="670"/>
      <c r="AP365" s="658"/>
      <c r="AQ365" s="658"/>
      <c r="AR365" s="658"/>
      <c r="AS365" s="658"/>
      <c r="AT365" s="658"/>
      <c r="AU365" s="658"/>
      <c r="AV365" s="658"/>
    </row>
    <row r="366" spans="1:48">
      <c r="A366" s="2693"/>
      <c r="B366" s="2694"/>
      <c r="C366" s="2693"/>
      <c r="D366" s="2693"/>
      <c r="E366" s="2693"/>
      <c r="F366" s="2693"/>
      <c r="G366" s="2693"/>
      <c r="H366" s="2693"/>
      <c r="I366" s="2693"/>
      <c r="J366" s="2693"/>
      <c r="K366" s="2693"/>
      <c r="L366" s="2693"/>
      <c r="M366" s="2693"/>
      <c r="N366" s="2695"/>
      <c r="O366" s="2693"/>
      <c r="P366" s="2693"/>
      <c r="Q366" s="2693"/>
      <c r="R366" s="2693"/>
      <c r="S366" s="2693"/>
      <c r="AA366" s="658"/>
      <c r="AB366" s="658"/>
      <c r="AC366" s="658"/>
      <c r="AD366" s="658"/>
      <c r="AE366" s="658"/>
      <c r="AF366" s="658"/>
      <c r="AG366" s="658"/>
      <c r="AH366" s="658"/>
      <c r="AI366" s="658"/>
      <c r="AJ366" s="658"/>
      <c r="AK366" s="658"/>
      <c r="AL366" s="658"/>
      <c r="AN366" s="670"/>
      <c r="AO366" s="670"/>
      <c r="AP366" s="658"/>
      <c r="AQ366" s="658"/>
      <c r="AR366" s="658"/>
      <c r="AS366" s="658"/>
      <c r="AT366" s="658"/>
      <c r="AU366" s="658"/>
      <c r="AV366" s="658"/>
    </row>
    <row r="367" spans="1:48" s="2445" customFormat="1" ht="23.25">
      <c r="A367" s="2642" t="s">
        <v>1725</v>
      </c>
      <c r="B367" s="2642"/>
      <c r="C367" s="2642"/>
      <c r="D367" s="2539" t="str">
        <f>TaxYear&amp;" EIC  —  Line 27a"</f>
        <v>2025 EIC  —  Line 27a</v>
      </c>
      <c r="N367" s="2662"/>
      <c r="O367" s="2696" t="s">
        <v>926</v>
      </c>
      <c r="AA367" s="658"/>
      <c r="AB367" s="658"/>
      <c r="AC367" s="658"/>
      <c r="AD367" s="658"/>
      <c r="AE367" s="658"/>
      <c r="AF367" s="658"/>
      <c r="AG367" s="658"/>
      <c r="AH367" s="658"/>
      <c r="AI367" s="658"/>
      <c r="AJ367" s="658"/>
      <c r="AK367" s="658"/>
      <c r="AL367" s="658"/>
      <c r="AN367" s="2662"/>
      <c r="AO367" s="2662"/>
    </row>
    <row r="368" spans="1:48">
      <c r="AA368" s="658"/>
      <c r="AB368" s="658"/>
      <c r="AC368" s="658"/>
      <c r="AD368" s="658"/>
      <c r="AE368" s="658"/>
      <c r="AF368" s="658"/>
      <c r="AG368" s="658"/>
      <c r="AH368" s="658"/>
      <c r="AI368" s="658"/>
      <c r="AJ368" s="658"/>
      <c r="AK368" s="658"/>
      <c r="AL368" s="658"/>
      <c r="AN368" s="670"/>
      <c r="AO368" s="670"/>
      <c r="AP368" s="658"/>
      <c r="AQ368" s="658"/>
      <c r="AR368" s="658"/>
      <c r="AS368" s="658"/>
      <c r="AT368" s="658"/>
      <c r="AU368" s="658"/>
      <c r="AV368" s="658"/>
    </row>
    <row r="369" spans="1:48" ht="9.75" customHeight="1">
      <c r="A369" s="2502"/>
      <c r="C369" s="2501"/>
      <c r="D369" s="1843"/>
      <c r="E369" s="1839"/>
      <c r="F369" s="1839"/>
      <c r="G369" s="1839"/>
      <c r="H369" s="1839"/>
      <c r="I369" s="1839"/>
      <c r="J369" s="1839"/>
      <c r="K369" s="1839"/>
      <c r="AA369" s="658"/>
      <c r="AB369" s="658"/>
      <c r="AC369" s="658"/>
      <c r="AD369" s="658"/>
      <c r="AE369" s="658"/>
      <c r="AF369" s="658"/>
      <c r="AG369" s="658"/>
      <c r="AH369" s="658"/>
      <c r="AI369" s="658"/>
      <c r="AJ369" s="658"/>
      <c r="AK369" s="658"/>
      <c r="AL369" s="658"/>
      <c r="AN369" s="670"/>
      <c r="AO369" s="670"/>
      <c r="AP369" s="658"/>
      <c r="AQ369" s="658"/>
      <c r="AR369" s="658"/>
      <c r="AS369" s="658"/>
      <c r="AT369" s="658"/>
      <c r="AU369" s="658"/>
      <c r="AV369" s="658"/>
    </row>
    <row r="370" spans="1:48">
      <c r="A370" s="2679" t="b">
        <f>A276</f>
        <v>0</v>
      </c>
      <c r="B370" s="2658" t="str">
        <f>IF(A370,"X","")</f>
        <v/>
      </c>
      <c r="D370" s="226" t="s">
        <v>1726</v>
      </c>
      <c r="AA370" s="658"/>
      <c r="AB370" s="658"/>
      <c r="AC370" s="658"/>
      <c r="AD370" s="658"/>
      <c r="AE370" s="658"/>
      <c r="AF370" s="658"/>
      <c r="AG370" s="658"/>
      <c r="AH370" s="658"/>
      <c r="AI370" s="658"/>
      <c r="AJ370" s="658"/>
      <c r="AK370" s="658"/>
      <c r="AL370" s="658"/>
      <c r="AN370" s="670"/>
      <c r="AO370" s="670"/>
      <c r="AP370" s="658"/>
      <c r="AQ370" s="658"/>
      <c r="AR370" s="658"/>
      <c r="AS370" s="658"/>
      <c r="AT370" s="658"/>
      <c r="AU370" s="658"/>
      <c r="AV370" s="658"/>
    </row>
    <row r="371" spans="1:48">
      <c r="AA371" s="658"/>
      <c r="AB371" s="658"/>
      <c r="AC371" s="658"/>
      <c r="AD371" s="658"/>
      <c r="AE371" s="658"/>
      <c r="AF371" s="658"/>
      <c r="AG371" s="658"/>
      <c r="AH371" s="658"/>
      <c r="AI371" s="658"/>
      <c r="AJ371" s="658"/>
      <c r="AK371" s="658"/>
      <c r="AL371" s="658"/>
      <c r="AN371" s="670"/>
      <c r="AO371" s="670"/>
      <c r="AP371" s="658"/>
      <c r="AQ371" s="658"/>
      <c r="AR371" s="658"/>
      <c r="AS371" s="658"/>
      <c r="AT371" s="658"/>
      <c r="AU371" s="658"/>
      <c r="AV371" s="658"/>
    </row>
    <row r="372" spans="1:48">
      <c r="C372" s="2697" t="s">
        <v>928</v>
      </c>
      <c r="D372" s="88" t="s">
        <v>1727</v>
      </c>
      <c r="AA372" s="658"/>
      <c r="AB372" s="658"/>
      <c r="AC372" s="658"/>
      <c r="AD372" s="658"/>
      <c r="AE372" s="658"/>
      <c r="AF372" s="658"/>
      <c r="AG372" s="658"/>
      <c r="AH372" s="658"/>
      <c r="AI372" s="658"/>
      <c r="AJ372" s="658"/>
      <c r="AK372" s="658"/>
      <c r="AL372" s="658"/>
      <c r="AN372" s="670"/>
      <c r="AO372" s="670"/>
      <c r="AP372" s="658"/>
      <c r="AQ372" s="658"/>
      <c r="AR372" s="658"/>
      <c r="AS372" s="658"/>
      <c r="AT372" s="658"/>
      <c r="AU372" s="658"/>
      <c r="AV372" s="658"/>
    </row>
    <row r="373" spans="1:48" ht="6" customHeight="1">
      <c r="AA373" s="658"/>
      <c r="AB373" s="658"/>
      <c r="AC373" s="658"/>
      <c r="AD373" s="658"/>
      <c r="AE373" s="658"/>
      <c r="AF373" s="658"/>
      <c r="AG373" s="658"/>
      <c r="AH373" s="658"/>
      <c r="AI373" s="658"/>
      <c r="AJ373" s="658"/>
      <c r="AK373" s="658"/>
      <c r="AL373" s="658"/>
      <c r="AN373" s="670"/>
      <c r="AO373" s="670"/>
      <c r="AP373" s="658"/>
      <c r="AQ373" s="658"/>
      <c r="AR373" s="658"/>
      <c r="AS373" s="658"/>
      <c r="AT373" s="658"/>
      <c r="AU373" s="658"/>
      <c r="AV373" s="658"/>
    </row>
    <row r="374" spans="1:48">
      <c r="C374" s="2697" t="s">
        <v>928</v>
      </c>
      <c r="D374" s="247" t="s">
        <v>1728</v>
      </c>
      <c r="AA374" s="658"/>
      <c r="AB374" s="658"/>
      <c r="AC374" s="658"/>
      <c r="AD374" s="658"/>
      <c r="AE374" s="658"/>
      <c r="AF374" s="658"/>
      <c r="AG374" s="658"/>
      <c r="AH374" s="658"/>
      <c r="AI374" s="658"/>
      <c r="AJ374" s="658"/>
      <c r="AK374" s="658"/>
      <c r="AL374" s="658"/>
      <c r="AN374" s="670"/>
      <c r="AO374" s="670"/>
      <c r="AP374" s="658"/>
      <c r="AQ374" s="658"/>
      <c r="AR374" s="658"/>
      <c r="AS374" s="658"/>
      <c r="AT374" s="658"/>
      <c r="AU374" s="658"/>
      <c r="AV374" s="658"/>
    </row>
    <row r="375" spans="1:48" ht="7.5" customHeight="1">
      <c r="AA375" s="658"/>
      <c r="AB375" s="658"/>
      <c r="AC375" s="658"/>
      <c r="AD375" s="658"/>
      <c r="AE375" s="658"/>
      <c r="AF375" s="658"/>
      <c r="AG375" s="658"/>
      <c r="AH375" s="658"/>
      <c r="AI375" s="658"/>
      <c r="AJ375" s="658"/>
      <c r="AK375" s="658"/>
      <c r="AL375" s="658"/>
      <c r="AN375" s="670"/>
      <c r="AO375" s="670"/>
      <c r="AP375" s="658"/>
      <c r="AQ375" s="658"/>
      <c r="AR375" s="658"/>
      <c r="AS375" s="658"/>
      <c r="AT375" s="658"/>
      <c r="AU375" s="658"/>
      <c r="AV375" s="658"/>
    </row>
    <row r="376" spans="1:48" s="2659" customFormat="1" ht="7.5" customHeight="1">
      <c r="B376" s="2660"/>
      <c r="N376" s="2661"/>
      <c r="AA376" s="671"/>
      <c r="AB376" s="671"/>
      <c r="AC376" s="671"/>
      <c r="AD376" s="671"/>
      <c r="AE376" s="671"/>
      <c r="AF376" s="671"/>
      <c r="AG376" s="671"/>
      <c r="AH376" s="671"/>
      <c r="AI376" s="671"/>
      <c r="AJ376" s="671"/>
      <c r="AK376" s="671"/>
      <c r="AL376" s="671"/>
      <c r="AN376" s="672"/>
      <c r="AO376" s="672"/>
      <c r="AP376" s="671"/>
      <c r="AQ376" s="671"/>
      <c r="AR376" s="671"/>
      <c r="AS376" s="671"/>
      <c r="AT376" s="671"/>
      <c r="AU376" s="671"/>
      <c r="AV376" s="671"/>
    </row>
    <row r="377" spans="1:48" s="2445" customFormat="1" ht="15.75">
      <c r="A377" s="2646" t="s">
        <v>1684</v>
      </c>
      <c r="B377" s="2698" t="s">
        <v>1729</v>
      </c>
      <c r="C377" s="2642"/>
      <c r="N377" s="2662"/>
      <c r="AA377" s="668"/>
      <c r="AB377" s="668"/>
      <c r="AC377" s="668"/>
      <c r="AD377" s="668"/>
      <c r="AE377" s="668"/>
      <c r="AF377" s="668"/>
      <c r="AG377" s="668"/>
      <c r="AH377" s="668"/>
      <c r="AI377" s="668"/>
      <c r="AJ377" s="668"/>
      <c r="AK377" s="668"/>
      <c r="AL377" s="668"/>
      <c r="AN377" s="669"/>
      <c r="AO377" s="669"/>
      <c r="AP377" s="668"/>
      <c r="AQ377" s="668"/>
      <c r="AR377" s="668"/>
      <c r="AS377" s="668"/>
      <c r="AT377" s="668"/>
      <c r="AU377" s="668"/>
      <c r="AV377" s="668"/>
    </row>
    <row r="378" spans="1:48">
      <c r="AA378" s="658"/>
      <c r="AB378" s="658"/>
      <c r="AC378" s="658"/>
      <c r="AD378" s="658"/>
      <c r="AE378" s="658"/>
      <c r="AF378" s="658"/>
      <c r="AG378" s="658"/>
      <c r="AH378" s="658"/>
      <c r="AI378" s="658"/>
      <c r="AJ378" s="658"/>
      <c r="AK378" s="658"/>
      <c r="AL378" s="658"/>
      <c r="AN378" s="670"/>
      <c r="AO378" s="670"/>
      <c r="AP378" s="658"/>
      <c r="AQ378" s="658"/>
      <c r="AR378" s="658"/>
      <c r="AS378" s="658"/>
      <c r="AT378" s="658"/>
      <c r="AU378" s="658"/>
      <c r="AV378" s="658"/>
    </row>
    <row r="379" spans="1:48">
      <c r="A379" s="441" t="b">
        <f>AND(A370,B379="X")</f>
        <v>0</v>
      </c>
      <c r="B379" s="325"/>
      <c r="D379" s="226" t="s">
        <v>1730</v>
      </c>
      <c r="AA379" s="658"/>
      <c r="AB379" s="658"/>
      <c r="AC379" s="658"/>
      <c r="AD379" s="658"/>
      <c r="AE379" s="658"/>
      <c r="AF379" s="658"/>
      <c r="AG379" s="658"/>
      <c r="AH379" s="658"/>
      <c r="AI379" s="658"/>
      <c r="AJ379" s="658"/>
      <c r="AK379" s="658"/>
      <c r="AL379" s="658"/>
      <c r="AN379" s="670"/>
      <c r="AO379" s="670"/>
      <c r="AP379" s="658"/>
      <c r="AQ379" s="658"/>
      <c r="AR379" s="658"/>
      <c r="AS379" s="658"/>
      <c r="AT379" s="658"/>
      <c r="AU379" s="658"/>
      <c r="AV379" s="658"/>
    </row>
    <row r="380" spans="1:48">
      <c r="AA380" s="658"/>
      <c r="AB380" s="658"/>
      <c r="AC380" s="658"/>
      <c r="AD380" s="658"/>
      <c r="AE380" s="658"/>
      <c r="AF380" s="658"/>
      <c r="AG380" s="658"/>
      <c r="AH380" s="658"/>
      <c r="AI380" s="658"/>
      <c r="AJ380" s="658"/>
      <c r="AK380" s="658"/>
      <c r="AL380" s="658"/>
      <c r="AN380" s="670"/>
      <c r="AO380" s="670"/>
      <c r="AP380" s="658"/>
      <c r="AQ380" s="658"/>
      <c r="AR380" s="658"/>
      <c r="AS380" s="658"/>
      <c r="AT380" s="658"/>
      <c r="AU380" s="658"/>
      <c r="AV380" s="658"/>
    </row>
    <row r="381" spans="1:48">
      <c r="C381" s="2648" t="s">
        <v>970</v>
      </c>
      <c r="D381" s="1560" t="s">
        <v>1731</v>
      </c>
      <c r="M381" s="2699"/>
      <c r="N381" s="2648" t="s">
        <v>1732</v>
      </c>
      <c r="O381" s="2499" t="str">
        <f>IF(AND(A379,A370),SUM(SchSE_Profit1,SchSE_Profit2),"")</f>
        <v/>
      </c>
      <c r="AA381" s="658"/>
      <c r="AB381" s="658"/>
      <c r="AC381" s="658"/>
      <c r="AD381" s="658"/>
      <c r="AE381" s="658"/>
      <c r="AF381" s="658"/>
      <c r="AG381" s="658"/>
      <c r="AH381" s="658"/>
      <c r="AI381" s="658"/>
      <c r="AJ381" s="658"/>
      <c r="AK381" s="658"/>
      <c r="AL381" s="658"/>
      <c r="AN381" s="670"/>
      <c r="AO381" s="670"/>
      <c r="AP381" s="658"/>
      <c r="AQ381" s="658"/>
      <c r="AR381" s="658"/>
      <c r="AS381" s="658"/>
      <c r="AT381" s="658"/>
      <c r="AU381" s="658"/>
      <c r="AV381" s="658"/>
    </row>
    <row r="382" spans="1:48">
      <c r="AA382" s="658"/>
      <c r="AB382" s="658"/>
      <c r="AC382" s="658"/>
      <c r="AD382" s="658"/>
      <c r="AE382" s="658"/>
      <c r="AF382" s="658"/>
      <c r="AG382" s="658"/>
      <c r="AH382" s="658"/>
      <c r="AI382" s="658"/>
      <c r="AJ382" s="658"/>
      <c r="AK382" s="658"/>
      <c r="AL382" s="658"/>
      <c r="AN382" s="670"/>
      <c r="AO382" s="670"/>
      <c r="AP382" s="658"/>
      <c r="AQ382" s="658"/>
      <c r="AR382" s="658"/>
      <c r="AS382" s="658"/>
      <c r="AT382" s="658"/>
      <c r="AU382" s="658"/>
      <c r="AV382" s="658"/>
    </row>
    <row r="383" spans="1:48">
      <c r="C383" s="2648" t="s">
        <v>1181</v>
      </c>
      <c r="D383" s="1560" t="s">
        <v>1733</v>
      </c>
      <c r="M383" s="2699"/>
      <c r="N383" s="2648" t="s">
        <v>1734</v>
      </c>
      <c r="O383" s="2499" t="str">
        <f>IF(AND(A379,A370),SUM(SchSELine4b1,SchSELine4b2,ChurchEmployeeIncome1,ChurchEmployeeIncome2),"")</f>
        <v/>
      </c>
      <c r="AA383" s="658"/>
      <c r="AB383" s="658"/>
      <c r="AC383" s="658"/>
      <c r="AD383" s="658"/>
      <c r="AE383" s="658"/>
      <c r="AF383" s="658"/>
      <c r="AG383" s="658"/>
      <c r="AH383" s="658"/>
      <c r="AI383" s="658"/>
      <c r="AJ383" s="658"/>
      <c r="AK383" s="658"/>
      <c r="AL383" s="658"/>
      <c r="AN383" s="670"/>
      <c r="AO383" s="670"/>
      <c r="AP383" s="658"/>
      <c r="AQ383" s="658"/>
      <c r="AR383" s="658"/>
      <c r="AS383" s="658"/>
      <c r="AT383" s="658"/>
      <c r="AU383" s="658"/>
      <c r="AV383" s="658"/>
    </row>
    <row r="384" spans="1:48">
      <c r="AA384" s="658"/>
      <c r="AB384" s="658"/>
      <c r="AC384" s="658"/>
      <c r="AD384" s="658"/>
      <c r="AE384" s="658"/>
      <c r="AF384" s="658"/>
      <c r="AG384" s="658"/>
      <c r="AH384" s="658"/>
      <c r="AI384" s="658"/>
      <c r="AJ384" s="658"/>
      <c r="AK384" s="658"/>
      <c r="AL384" s="658"/>
      <c r="AN384" s="670"/>
      <c r="AO384" s="670"/>
      <c r="AP384" s="658"/>
      <c r="AQ384" s="658"/>
      <c r="AR384" s="658"/>
      <c r="AS384" s="658"/>
      <c r="AT384" s="658"/>
      <c r="AU384" s="658"/>
      <c r="AV384" s="658"/>
    </row>
    <row r="385" spans="1:48">
      <c r="C385" s="2648" t="s">
        <v>1196</v>
      </c>
      <c r="D385" s="88" t="s">
        <v>1735</v>
      </c>
      <c r="N385" s="2648" t="s">
        <v>1736</v>
      </c>
      <c r="O385" s="2499" t="str">
        <f>IF(AND(A370,A379,OR(O381&lt;&gt;"",O383&lt;&gt;"")),SUM(O381,O383),"")</f>
        <v/>
      </c>
      <c r="AA385" s="658"/>
      <c r="AB385" s="658"/>
      <c r="AC385" s="658"/>
      <c r="AD385" s="658"/>
      <c r="AE385" s="658"/>
      <c r="AF385" s="658"/>
      <c r="AG385" s="658"/>
      <c r="AH385" s="658"/>
      <c r="AI385" s="658"/>
      <c r="AJ385" s="658"/>
      <c r="AK385" s="658"/>
      <c r="AL385" s="658"/>
      <c r="AN385" s="670"/>
      <c r="AO385" s="670"/>
      <c r="AP385" s="658"/>
      <c r="AQ385" s="658"/>
      <c r="AR385" s="658"/>
      <c r="AS385" s="658"/>
      <c r="AT385" s="658"/>
      <c r="AU385" s="658"/>
      <c r="AV385" s="658"/>
    </row>
    <row r="386" spans="1:48">
      <c r="AA386" s="658"/>
      <c r="AB386" s="658"/>
      <c r="AC386" s="658"/>
      <c r="AD386" s="658"/>
      <c r="AE386" s="658"/>
      <c r="AF386" s="658"/>
      <c r="AG386" s="658"/>
      <c r="AH386" s="658"/>
      <c r="AI386" s="658"/>
      <c r="AJ386" s="658"/>
      <c r="AK386" s="658"/>
      <c r="AL386" s="658"/>
      <c r="AN386" s="670"/>
      <c r="AO386" s="670"/>
      <c r="AP386" s="658"/>
      <c r="AQ386" s="658"/>
      <c r="AR386" s="658"/>
      <c r="AS386" s="658"/>
      <c r="AT386" s="658"/>
      <c r="AU386" s="658"/>
      <c r="AV386" s="658"/>
    </row>
    <row r="387" spans="1:48">
      <c r="C387" s="2648" t="s">
        <v>1204</v>
      </c>
      <c r="D387" s="1560" t="s">
        <v>1737</v>
      </c>
      <c r="N387" s="2648" t="s">
        <v>1738</v>
      </c>
      <c r="O387" s="2499" t="str">
        <f>IF(AND(A370,A379),SUM(SchSEHalfTax1,SchSEHalfTax2),"")</f>
        <v/>
      </c>
      <c r="R387" s="226" t="s">
        <v>979</v>
      </c>
      <c r="AA387" s="658"/>
      <c r="AB387" s="658"/>
      <c r="AC387" s="658"/>
      <c r="AD387" s="658"/>
      <c r="AE387" s="658"/>
      <c r="AF387" s="658"/>
      <c r="AG387" s="658"/>
      <c r="AH387" s="658"/>
      <c r="AI387" s="658"/>
      <c r="AJ387" s="658"/>
      <c r="AK387" s="658"/>
      <c r="AL387" s="658"/>
      <c r="AN387" s="670"/>
      <c r="AO387" s="670"/>
      <c r="AP387" s="658"/>
      <c r="AQ387" s="658"/>
      <c r="AR387" s="658"/>
      <c r="AS387" s="658"/>
      <c r="AT387" s="658"/>
      <c r="AU387" s="658"/>
      <c r="AV387" s="658"/>
    </row>
    <row r="388" spans="1:48">
      <c r="R388" s="226" t="s">
        <v>931</v>
      </c>
      <c r="AA388" s="658"/>
      <c r="AB388" s="658"/>
      <c r="AC388" s="658"/>
      <c r="AD388" s="658"/>
      <c r="AE388" s="658"/>
      <c r="AF388" s="658"/>
      <c r="AG388" s="658"/>
      <c r="AH388" s="658"/>
      <c r="AI388" s="658"/>
      <c r="AJ388" s="658"/>
      <c r="AK388" s="658"/>
      <c r="AL388" s="658"/>
      <c r="AN388" s="670"/>
      <c r="AO388" s="670"/>
      <c r="AP388" s="658"/>
      <c r="AQ388" s="658"/>
      <c r="AR388" s="658"/>
      <c r="AS388" s="658"/>
      <c r="AT388" s="658"/>
      <c r="AU388" s="658"/>
      <c r="AV388" s="658"/>
    </row>
    <row r="389" spans="1:48">
      <c r="C389" s="2648" t="s">
        <v>1211</v>
      </c>
      <c r="D389" s="88" t="s">
        <v>1739</v>
      </c>
      <c r="N389" s="220" t="s">
        <v>1740</v>
      </c>
      <c r="O389" s="2499" t="str">
        <f>IF(R389&lt;&gt;"",ROUND(R389,0),IF(OR(NOT(A370),NOT(A379)),"",IF(OR(O387=0,O387=""),O385,SUM(O385,-O387))))</f>
        <v/>
      </c>
      <c r="R389" s="8010"/>
      <c r="S389" s="8011"/>
      <c r="T389" s="8011"/>
      <c r="U389" s="8011"/>
      <c r="V389" s="8011"/>
      <c r="W389" s="8011"/>
      <c r="X389" s="8011"/>
      <c r="AA389" s="658"/>
      <c r="AB389" s="658"/>
      <c r="AC389" s="658"/>
      <c r="AD389" s="658"/>
      <c r="AE389" s="658"/>
      <c r="AF389" s="658"/>
      <c r="AG389" s="658"/>
      <c r="AH389" s="658"/>
      <c r="AI389" s="658"/>
      <c r="AJ389" s="658"/>
      <c r="AK389" s="658"/>
      <c r="AL389" s="658"/>
      <c r="AN389" s="670"/>
      <c r="AO389" s="670"/>
      <c r="AP389" s="658"/>
      <c r="AQ389" s="658"/>
      <c r="AR389" s="658"/>
      <c r="AS389" s="658"/>
      <c r="AT389" s="658"/>
      <c r="AU389" s="658"/>
      <c r="AV389" s="658"/>
    </row>
    <row r="390" spans="1:48" ht="7.5" customHeight="1"/>
    <row r="391" spans="1:48" s="2659" customFormat="1" ht="7.5" customHeight="1">
      <c r="B391" s="2660"/>
      <c r="N391" s="2661"/>
      <c r="AN391" s="2661"/>
      <c r="AO391" s="2661"/>
    </row>
    <row r="392" spans="1:48" s="2445" customFormat="1" ht="15.75">
      <c r="A392" s="2646" t="s">
        <v>1705</v>
      </c>
      <c r="B392" s="2698" t="s">
        <v>1741</v>
      </c>
      <c r="C392" s="2642"/>
      <c r="K392" s="2657"/>
      <c r="N392" s="2662"/>
      <c r="AN392" s="2662"/>
      <c r="AO392" s="2662"/>
    </row>
    <row r="393" spans="1:48" s="2445" customFormat="1" ht="15" customHeight="1">
      <c r="A393" s="1942"/>
      <c r="B393" s="1942"/>
      <c r="C393" s="2535" t="s">
        <v>1742</v>
      </c>
      <c r="N393" s="2662"/>
      <c r="AN393" s="2662"/>
      <c r="AO393" s="2662"/>
    </row>
    <row r="394" spans="1:48">
      <c r="AA394" s="658"/>
      <c r="AB394" s="658"/>
      <c r="AC394" s="658"/>
      <c r="AD394" s="658"/>
      <c r="AE394" s="658"/>
      <c r="AF394" s="658"/>
      <c r="AG394" s="658"/>
      <c r="AH394" s="658"/>
      <c r="AI394" s="658"/>
      <c r="AJ394" s="658"/>
      <c r="AK394" s="658"/>
      <c r="AL394" s="658"/>
      <c r="AN394" s="670"/>
      <c r="AO394" s="670"/>
      <c r="AP394" s="658"/>
      <c r="AQ394" s="658"/>
      <c r="AR394" s="658"/>
      <c r="AS394" s="658"/>
      <c r="AT394" s="658"/>
      <c r="AU394" s="658"/>
      <c r="AV394" s="658"/>
    </row>
    <row r="395" spans="1:48">
      <c r="A395" s="441" t="b">
        <f>AND(A370,B395="X")</f>
        <v>0</v>
      </c>
      <c r="B395" s="325"/>
      <c r="D395" s="226" t="s">
        <v>1743</v>
      </c>
      <c r="AA395" s="658"/>
      <c r="AB395" s="658"/>
      <c r="AC395" s="658"/>
      <c r="AD395" s="658"/>
      <c r="AE395" s="658"/>
      <c r="AF395" s="658"/>
      <c r="AG395" s="658"/>
      <c r="AH395" s="658"/>
      <c r="AI395" s="658"/>
      <c r="AJ395" s="658"/>
      <c r="AK395" s="658"/>
      <c r="AL395" s="658"/>
      <c r="AN395" s="670"/>
      <c r="AO395" s="670"/>
      <c r="AP395" s="658"/>
      <c r="AQ395" s="658"/>
      <c r="AR395" s="658"/>
      <c r="AS395" s="658"/>
      <c r="AT395" s="658"/>
      <c r="AU395" s="658"/>
      <c r="AV395" s="658"/>
    </row>
    <row r="396" spans="1:48">
      <c r="A396" s="1942"/>
      <c r="B396" s="1942"/>
    </row>
    <row r="397" spans="1:48" ht="13.5" customHeight="1">
      <c r="A397" s="1942"/>
      <c r="B397" s="1942"/>
      <c r="C397" s="2648" t="s">
        <v>161</v>
      </c>
      <c r="D397" s="1560" t="s">
        <v>1744</v>
      </c>
      <c r="R397" s="226" t="s">
        <v>979</v>
      </c>
    </row>
    <row r="398" spans="1:48">
      <c r="A398" s="1942"/>
      <c r="B398" s="1942"/>
      <c r="D398" s="1560" t="s">
        <v>1745</v>
      </c>
      <c r="R398" s="226" t="s">
        <v>931</v>
      </c>
    </row>
    <row r="399" spans="1:48">
      <c r="A399" s="1942"/>
      <c r="B399" s="1942"/>
      <c r="D399" s="1560" t="s">
        <v>1746</v>
      </c>
      <c r="R399" s="226"/>
      <c r="T399" s="226"/>
      <c r="U399" s="2700"/>
      <c r="V399" s="226"/>
      <c r="X399" s="226"/>
    </row>
    <row r="400" spans="1:48">
      <c r="D400" s="1560"/>
      <c r="R400" s="8013"/>
      <c r="S400" s="8013"/>
      <c r="T400" s="8013"/>
      <c r="U400" s="8013"/>
      <c r="V400" s="8013"/>
      <c r="W400" s="8013"/>
      <c r="X400" s="8013"/>
      <c r="AA400" s="1560" t="s">
        <v>1747</v>
      </c>
    </row>
    <row r="401" spans="1:41">
      <c r="C401" s="2648"/>
      <c r="D401" s="2643" t="s">
        <v>1214</v>
      </c>
      <c r="E401" s="1560" t="s">
        <v>1748</v>
      </c>
      <c r="N401" s="2648" t="s">
        <v>1749</v>
      </c>
      <c r="O401" s="443" t="str">
        <f>IF(OR(R400&lt;&gt;"",R401&lt;&gt;""),SUM(ROUND(R400,0),ROUND(R401,0)),IF(A395,FarmProfitNet,""))</f>
        <v/>
      </c>
      <c r="R401" s="8012"/>
      <c r="S401" s="8012"/>
      <c r="T401" s="8012"/>
      <c r="U401" s="8012"/>
      <c r="V401" s="8012"/>
      <c r="W401" s="8012"/>
      <c r="X401" s="8012"/>
      <c r="AA401" s="1560" t="s">
        <v>1750</v>
      </c>
    </row>
    <row r="402" spans="1:41">
      <c r="E402" s="1560" t="s">
        <v>1751</v>
      </c>
      <c r="R402" s="8000"/>
      <c r="S402" s="8000"/>
      <c r="T402" s="8000"/>
      <c r="U402" s="8000"/>
      <c r="V402" s="8000"/>
      <c r="W402" s="8000"/>
      <c r="X402" s="8000"/>
      <c r="Y402" s="2689"/>
      <c r="Z402" s="2689"/>
      <c r="AA402" s="1560"/>
    </row>
    <row r="403" spans="1:41">
      <c r="N403" s="88"/>
      <c r="R403" s="8013"/>
      <c r="S403" s="8013"/>
      <c r="T403" s="8013"/>
      <c r="U403" s="8013"/>
      <c r="V403" s="8013"/>
      <c r="W403" s="8013"/>
      <c r="X403" s="8013"/>
      <c r="Y403" s="2689"/>
      <c r="Z403" s="2689"/>
      <c r="AA403" s="1560" t="s">
        <v>1752</v>
      </c>
      <c r="AN403" s="88"/>
      <c r="AO403" s="88"/>
    </row>
    <row r="404" spans="1:41">
      <c r="C404" s="2648"/>
      <c r="D404" s="2643" t="s">
        <v>1181</v>
      </c>
      <c r="E404" s="1560" t="s">
        <v>1753</v>
      </c>
      <c r="N404" s="2648" t="s">
        <v>1754</v>
      </c>
      <c r="O404" s="2499" t="str">
        <f>IF(OR(R403&lt;&gt;"",R404&lt;&gt;""),SUM(ROUND(R403,0),ROUND(R404,0)),IF(NOT(A395),"",IF(Business_Profit&gt;400,"&gt;$400",IF(AND(SchC_StatutoryEmp_1&lt;&gt;"",SchC_StatutoryEmp_2&lt;&gt;""),SUM(Business_Profit,-'Sch. C'!T23,-'Sch. C'!T137),IF(SchC_StatutoryEmp_1&lt;&gt;"",SUM(SchC_ProfitLoss1,-'Sch. C'!T23),IF(SchC_StatutoryEmp_2&lt;&gt;"",SUM(SchC_ProfitLoss2,-'Sch. C'!T137),Business_Profit))))))</f>
        <v/>
      </c>
      <c r="R404" s="8012"/>
      <c r="S404" s="8012"/>
      <c r="T404" s="8012"/>
      <c r="U404" s="8012"/>
      <c r="V404" s="8012"/>
      <c r="W404" s="8012"/>
      <c r="X404" s="8012"/>
      <c r="Y404" s="2689"/>
      <c r="Z404" s="2689"/>
      <c r="AA404" s="88" t="s">
        <v>1755</v>
      </c>
    </row>
    <row r="405" spans="1:41">
      <c r="E405" s="1560" t="s">
        <v>1756</v>
      </c>
      <c r="R405" s="8019"/>
      <c r="S405" s="8019"/>
      <c r="T405" s="8019"/>
      <c r="U405" s="8019"/>
      <c r="V405" s="8019"/>
      <c r="W405" s="8019"/>
      <c r="X405" s="8019"/>
      <c r="Y405" s="2689"/>
      <c r="Z405" s="2689"/>
    </row>
    <row r="407" spans="1:41">
      <c r="C407" s="2648" t="s">
        <v>1196</v>
      </c>
      <c r="D407" s="88" t="s">
        <v>1757</v>
      </c>
      <c r="N407" s="2648" t="s">
        <v>1758</v>
      </c>
      <c r="O407" s="2499" t="str">
        <f>IF(A395,SUM(O401,O404),"")</f>
        <v/>
      </c>
    </row>
    <row r="409" spans="1:41">
      <c r="D409" s="2669" t="s">
        <v>5066</v>
      </c>
    </row>
    <row r="410" spans="1:41">
      <c r="D410" s="2669" t="s">
        <v>1759</v>
      </c>
    </row>
    <row r="411" spans="1:41">
      <c r="D411" s="2669" t="s">
        <v>1760</v>
      </c>
    </row>
    <row r="413" spans="1:41" s="2659" customFormat="1">
      <c r="B413" s="2660"/>
      <c r="N413" s="2661"/>
      <c r="AN413" s="2661"/>
      <c r="AO413" s="2661"/>
    </row>
    <row r="414" spans="1:41" s="2445" customFormat="1" ht="20.25">
      <c r="A414" s="2642" t="s">
        <v>1761</v>
      </c>
      <c r="B414" s="2642"/>
      <c r="C414" s="2642"/>
      <c r="D414" s="2642" t="str">
        <f>"—  "&amp;TaxYear&amp;" EIC  —"</f>
        <v>—  2025 EIC  —</v>
      </c>
      <c r="F414" s="2642" t="s">
        <v>6508</v>
      </c>
      <c r="N414" s="2662"/>
      <c r="O414" s="2696" t="s">
        <v>926</v>
      </c>
      <c r="AN414" s="2662"/>
      <c r="AO414" s="2662"/>
    </row>
    <row r="416" spans="1:41" s="2445" customFormat="1" ht="15.75">
      <c r="A416" s="2646" t="s">
        <v>1717</v>
      </c>
      <c r="B416" s="2688" t="s">
        <v>1762</v>
      </c>
      <c r="C416" s="2642"/>
      <c r="N416" s="2662"/>
      <c r="R416" s="226" t="s">
        <v>979</v>
      </c>
      <c r="S416" s="88"/>
      <c r="T416" s="226"/>
      <c r="U416" s="88"/>
      <c r="V416" s="226"/>
      <c r="W416" s="88"/>
      <c r="X416" s="226"/>
      <c r="AN416" s="2662"/>
      <c r="AO416" s="2662"/>
    </row>
    <row r="417" spans="1:43">
      <c r="R417" s="226" t="s">
        <v>931</v>
      </c>
      <c r="T417" s="226"/>
      <c r="V417" s="226"/>
      <c r="X417" s="226"/>
    </row>
    <row r="418" spans="1:43">
      <c r="C418" s="2648" t="s">
        <v>167</v>
      </c>
      <c r="D418" s="1560" t="s">
        <v>1763</v>
      </c>
      <c r="N418" s="220" t="s">
        <v>1764</v>
      </c>
      <c r="O418" s="2499" t="str">
        <f>IF(R418&lt;&gt;"",ROUND(R418,0),IF(NOT(A370),"",IF(AND(SchC_StatutoryEmp_1&lt;&gt;"",SchC_StatutoryEmp_2&lt;&gt;""),SUM('Sch. C'!T23,'Sch. C'!T137),IF(SchC_StatutoryEmp_1&lt;&gt;"",'Sch. C'!T23,IF(SchC_StatutoryEmp_2&lt;&gt;"",'Sch. C'!T137,"")))))</f>
        <v/>
      </c>
      <c r="Q418" s="2700"/>
      <c r="R418" s="8020"/>
      <c r="S418" s="8021"/>
      <c r="T418" s="8021"/>
      <c r="U418" s="8021"/>
      <c r="V418" s="8021"/>
      <c r="W418" s="8021"/>
      <c r="X418" s="8022"/>
    </row>
    <row r="419" spans="1:43">
      <c r="D419" s="88" t="s">
        <v>1765</v>
      </c>
      <c r="O419" s="2701"/>
    </row>
    <row r="420" spans="1:43" ht="7.5" customHeight="1"/>
    <row r="421" spans="1:43" s="2659" customFormat="1" ht="7.5" customHeight="1">
      <c r="B421" s="2660"/>
      <c r="N421" s="2661"/>
      <c r="AN421" s="2661"/>
      <c r="AO421" s="2661"/>
    </row>
    <row r="422" spans="1:43" s="2445" customFormat="1" ht="15.75">
      <c r="A422" s="2646" t="s">
        <v>1766</v>
      </c>
      <c r="B422" s="2688" t="s">
        <v>1767</v>
      </c>
      <c r="C422" s="2642"/>
      <c r="N422" s="2662"/>
      <c r="AN422" s="2662"/>
      <c r="AO422" s="2662"/>
    </row>
    <row r="423" spans="1:43" ht="15" customHeight="1">
      <c r="D423" s="226" t="s">
        <v>1768</v>
      </c>
    </row>
    <row r="424" spans="1:43">
      <c r="D424" s="88" t="s">
        <v>1769</v>
      </c>
      <c r="R424" s="226" t="s">
        <v>979</v>
      </c>
      <c r="T424" s="226"/>
      <c r="V424" s="226"/>
      <c r="X424" s="226"/>
      <c r="AA424" s="226"/>
      <c r="AN424" s="88"/>
      <c r="AO424" s="88"/>
      <c r="AP424" s="2441"/>
      <c r="AQ424" s="2441"/>
    </row>
    <row r="425" spans="1:43">
      <c r="R425" s="226" t="s">
        <v>931</v>
      </c>
      <c r="T425" s="226"/>
      <c r="V425" s="226"/>
      <c r="X425" s="226"/>
      <c r="AA425" s="226"/>
      <c r="AN425" s="88"/>
      <c r="AO425" s="88"/>
      <c r="AP425" s="2441"/>
      <c r="AQ425" s="2441"/>
    </row>
    <row r="426" spans="1:43">
      <c r="C426" s="2648" t="s">
        <v>1215</v>
      </c>
      <c r="D426" s="1560" t="s">
        <v>1689</v>
      </c>
      <c r="N426" s="220" t="s">
        <v>1770</v>
      </c>
      <c r="O426" s="2499" t="str">
        <f>IF(R426&lt;&gt;"",R426,IF(NOT(A370),"",EIC_EarnedIncome))</f>
        <v/>
      </c>
      <c r="R426" s="8020"/>
      <c r="S426" s="8021"/>
      <c r="T426" s="8021"/>
      <c r="U426" s="8021"/>
      <c r="V426" s="8021"/>
      <c r="W426" s="8021"/>
      <c r="X426" s="8022"/>
    </row>
    <row r="428" spans="1:43">
      <c r="C428" s="2648" t="s">
        <v>1181</v>
      </c>
      <c r="D428" s="1560" t="s">
        <v>1771</v>
      </c>
      <c r="G428" s="226" t="s">
        <v>1772</v>
      </c>
      <c r="N428" s="220" t="s">
        <v>1773</v>
      </c>
      <c r="O428" s="2499" t="str">
        <f>IF(NOT(A370),"",SUM(O389,O407,O418,O426))</f>
        <v/>
      </c>
    </row>
    <row r="429" spans="1:43">
      <c r="B429" s="88"/>
    </row>
    <row r="430" spans="1:43">
      <c r="A430" s="441" t="b">
        <f>EarnedIncomeWSB&lt;=0</f>
        <v>0</v>
      </c>
      <c r="D430" s="1560" t="s">
        <v>5067</v>
      </c>
    </row>
    <row r="431" spans="1:43">
      <c r="A431" s="441" t="b">
        <f>NOT(A430)</f>
        <v>1</v>
      </c>
      <c r="D431" s="1560" t="s">
        <v>6110</v>
      </c>
    </row>
    <row r="432" spans="1:43">
      <c r="D432" s="1560"/>
    </row>
    <row r="433" spans="1:29">
      <c r="D433" s="1839"/>
      <c r="E433" s="1839"/>
      <c r="F433" s="1839"/>
      <c r="G433" s="1839"/>
      <c r="H433" s="1839"/>
      <c r="I433" s="1839"/>
      <c r="J433" s="1839"/>
      <c r="K433" s="1843"/>
      <c r="L433" s="1560"/>
      <c r="M433" s="1560"/>
      <c r="N433" s="1560"/>
      <c r="O433" s="1560"/>
      <c r="P433" s="1560"/>
      <c r="Q433" s="1560"/>
      <c r="R433" s="1560"/>
      <c r="S433" s="1560"/>
      <c r="T433" s="1560"/>
      <c r="U433" s="1560"/>
      <c r="V433" s="1560"/>
      <c r="W433" s="1560"/>
      <c r="X433" s="1560"/>
      <c r="Y433" s="1560"/>
      <c r="Z433" s="1560"/>
      <c r="AA433" s="1560"/>
      <c r="AB433" s="1560"/>
      <c r="AC433" s="1560"/>
    </row>
    <row r="434" spans="1:29">
      <c r="C434" s="2648" t="s">
        <v>184</v>
      </c>
      <c r="D434" s="88" t="s">
        <v>1670</v>
      </c>
      <c r="K434" s="1560"/>
      <c r="L434" s="1560"/>
      <c r="M434" s="1560"/>
      <c r="N434" s="1560"/>
      <c r="O434" s="1560"/>
      <c r="P434" s="1560"/>
      <c r="Q434" s="1560"/>
      <c r="R434" s="1560"/>
      <c r="S434" s="1560"/>
      <c r="T434" s="1560"/>
      <c r="U434" s="1560"/>
      <c r="V434" s="1560"/>
      <c r="W434" s="1560"/>
      <c r="X434" s="1560"/>
      <c r="Y434" s="1560"/>
      <c r="Z434" s="1560"/>
      <c r="AA434" s="1560"/>
      <c r="AB434" s="1560"/>
      <c r="AC434" s="1560"/>
    </row>
    <row r="435" spans="1:29">
      <c r="B435" s="2682" t="str">
        <f>IF(AND($A$431,M436),"®","")</f>
        <v/>
      </c>
      <c r="C435" s="2643" t="s">
        <v>1554</v>
      </c>
      <c r="D435" s="1560" t="s">
        <v>1774</v>
      </c>
      <c r="K435" s="1560"/>
      <c r="L435" s="1560"/>
      <c r="M435" s="1560"/>
      <c r="N435" s="1560"/>
      <c r="O435" s="1560"/>
      <c r="P435" s="1560"/>
      <c r="Q435" s="1560"/>
      <c r="R435" s="1560"/>
      <c r="S435" s="1560"/>
      <c r="T435" s="1560"/>
      <c r="U435" s="1560"/>
      <c r="V435" s="1560"/>
      <c r="W435" s="1560"/>
      <c r="X435" s="1560"/>
      <c r="Y435" s="1560"/>
      <c r="Z435" s="1560"/>
      <c r="AA435" s="1560"/>
      <c r="AB435" s="1560"/>
      <c r="AC435" s="1560"/>
    </row>
    <row r="436" spans="1:29">
      <c r="B436" s="2702"/>
      <c r="D436" s="1560" t="str">
        <f>"Is line 4b less than "&amp;TEXT(N10,"$0,000")&amp;" ("&amp;TEXT(O10,"$0,000")&amp;" if married filing jointly)?"</f>
        <v>Is line 4b less than $61,555 ($68,675 if married filing jointly)?</v>
      </c>
      <c r="K436" s="1560"/>
      <c r="L436" s="1560"/>
      <c r="M436" s="441" t="b">
        <f>AND($A$370,EICNumQualChild&gt;=3,OR(AND(File_Marr_Joint&lt;&gt;"",EarnedIncomeWSB&lt;O10),EarnedIncomeWSB&lt;N10))</f>
        <v>0</v>
      </c>
      <c r="N436" s="1560"/>
      <c r="O436" s="1560"/>
      <c r="P436" s="1560"/>
      <c r="Q436" s="1560"/>
      <c r="R436" s="1560"/>
      <c r="S436" s="1560"/>
      <c r="T436" s="1560"/>
      <c r="U436" s="1560"/>
      <c r="V436" s="1560"/>
      <c r="W436" s="1560"/>
      <c r="X436" s="1560"/>
      <c r="Y436" s="1560"/>
      <c r="Z436" s="1560"/>
      <c r="AA436" s="1560"/>
      <c r="AB436" s="1560"/>
      <c r="AC436" s="1560"/>
    </row>
    <row r="437" spans="1:29">
      <c r="B437" s="2702"/>
      <c r="C437" s="228" t="s">
        <v>1235</v>
      </c>
      <c r="K437" s="1560"/>
      <c r="L437" s="1560"/>
      <c r="M437" s="1560"/>
      <c r="N437" s="1560"/>
      <c r="O437" s="1560"/>
      <c r="P437" s="1560"/>
      <c r="Q437" s="1560"/>
      <c r="R437" s="1560"/>
      <c r="S437" s="1560"/>
      <c r="T437" s="1560"/>
      <c r="U437" s="1560"/>
      <c r="V437" s="1560"/>
      <c r="W437" s="1560"/>
      <c r="X437" s="1560"/>
      <c r="Y437" s="1560"/>
      <c r="Z437" s="1560"/>
      <c r="AA437" s="1560"/>
      <c r="AB437" s="1560"/>
      <c r="AC437" s="1560"/>
    </row>
    <row r="438" spans="1:29">
      <c r="B438" s="2682" t="str">
        <f>IF(AND($A$431,M439),"®","")</f>
        <v/>
      </c>
      <c r="C438" s="2643" t="s">
        <v>1554</v>
      </c>
      <c r="D438" s="1560" t="s">
        <v>1672</v>
      </c>
      <c r="K438" s="1560"/>
      <c r="L438" s="1560"/>
      <c r="M438" s="1560"/>
      <c r="N438" s="1560"/>
      <c r="O438" s="1560"/>
      <c r="P438" s="1560"/>
      <c r="Q438" s="1560"/>
      <c r="R438" s="1560"/>
      <c r="S438" s="1560"/>
      <c r="T438" s="1560"/>
      <c r="U438" s="1560"/>
      <c r="V438" s="1560"/>
      <c r="W438" s="1560"/>
      <c r="X438" s="1560"/>
      <c r="Y438" s="1560"/>
      <c r="Z438" s="1560"/>
      <c r="AA438" s="1560"/>
      <c r="AB438" s="1560"/>
      <c r="AC438" s="1560"/>
    </row>
    <row r="439" spans="1:29">
      <c r="B439" s="2702"/>
      <c r="D439" s="1560" t="str">
        <f>"Is line 4b less than "&amp;TEXT(N13,"$0,000")&amp;" ("&amp;TEXT(O13,"$0,000")&amp;" if married filing jointly)?"</f>
        <v>Is line 4b less than $57,310 ($64,430 if married filing jointly)?</v>
      </c>
      <c r="K439" s="1560"/>
      <c r="L439" s="1560"/>
      <c r="M439" s="441" t="b">
        <f>AND($A$370,EICNumQualChild=2,OR(AND(File_Marr_Joint&lt;&gt;"",EarnedIncomeWSB&lt;O13),EarnedIncomeWSB&lt;N13))</f>
        <v>0</v>
      </c>
      <c r="N439" s="1560"/>
      <c r="O439" s="1560"/>
      <c r="P439" s="1560"/>
      <c r="Q439" s="1560"/>
      <c r="R439" s="1560"/>
      <c r="S439" s="1560"/>
      <c r="T439" s="1560"/>
      <c r="U439" s="1560"/>
      <c r="V439" s="1560"/>
      <c r="W439" s="1560"/>
      <c r="X439" s="1560"/>
      <c r="Y439" s="1560"/>
      <c r="Z439" s="1560"/>
      <c r="AA439" s="1560"/>
      <c r="AB439" s="1560"/>
      <c r="AC439" s="1560"/>
    </row>
    <row r="440" spans="1:29">
      <c r="B440" s="2702"/>
      <c r="C440" s="228" t="s">
        <v>1235</v>
      </c>
      <c r="K440" s="1560"/>
      <c r="L440" s="1560"/>
      <c r="M440" s="1560"/>
      <c r="N440" s="1560"/>
      <c r="O440" s="1560"/>
      <c r="P440" s="1560"/>
      <c r="Q440" s="1560"/>
      <c r="R440" s="1560"/>
      <c r="S440" s="1560"/>
      <c r="T440" s="1560"/>
      <c r="U440" s="1560"/>
      <c r="V440" s="1560"/>
      <c r="W440" s="1560"/>
      <c r="X440" s="1560"/>
      <c r="Y440" s="1560"/>
      <c r="Z440" s="1560"/>
      <c r="AA440" s="1560"/>
      <c r="AB440" s="1560"/>
      <c r="AC440" s="1560"/>
    </row>
    <row r="441" spans="1:29">
      <c r="B441" s="2682" t="str">
        <f>IF(AND($A$431,M442),"®","")</f>
        <v/>
      </c>
      <c r="C441" s="2643" t="s">
        <v>1554</v>
      </c>
      <c r="D441" s="1560" t="s">
        <v>1673</v>
      </c>
      <c r="K441" s="1560"/>
      <c r="L441" s="1560"/>
      <c r="M441" s="1560"/>
      <c r="N441" s="1560"/>
      <c r="O441" s="1560"/>
      <c r="P441" s="1560"/>
      <c r="Q441" s="1560"/>
      <c r="R441" s="1560"/>
      <c r="S441" s="1560"/>
      <c r="T441" s="1560"/>
      <c r="U441" s="1560"/>
      <c r="V441" s="1560"/>
      <c r="W441" s="1560"/>
      <c r="X441" s="1560"/>
      <c r="Y441" s="1560"/>
      <c r="Z441" s="1560"/>
      <c r="AA441" s="1560"/>
      <c r="AB441" s="1560"/>
      <c r="AC441" s="1560"/>
    </row>
    <row r="442" spans="1:29">
      <c r="B442" s="2702"/>
      <c r="D442" s="1560" t="str">
        <f>"Is line 4b less than "&amp;TEXT(N16,"$0,000")&amp;" ("&amp;TEXT(O16,"$0,000")&amp;" if married filing jointly)?"</f>
        <v>Is line 4b less than $50,434 ($57,554 if married filing jointly)?</v>
      </c>
      <c r="K442" s="1560"/>
      <c r="L442" s="1560"/>
      <c r="M442" s="441" t="b">
        <f>AND($A$370,EICNumQualChild=1,OR(AND(File_Marr_Joint&lt;&gt;"",EarnedIncomeWSB&lt;O16),EarnedIncomeWSB&lt;N16))</f>
        <v>0</v>
      </c>
      <c r="N442" s="1560"/>
      <c r="O442" s="1560"/>
      <c r="P442" s="1560"/>
      <c r="Q442" s="1560"/>
      <c r="R442" s="1560"/>
      <c r="S442" s="1560"/>
      <c r="T442" s="1560"/>
      <c r="U442" s="1560"/>
      <c r="V442" s="1560"/>
      <c r="W442" s="1560"/>
      <c r="X442" s="1560"/>
      <c r="Y442" s="1560"/>
      <c r="Z442" s="1560"/>
      <c r="AA442" s="1560"/>
      <c r="AB442" s="1560"/>
      <c r="AC442" s="1560"/>
    </row>
    <row r="443" spans="1:29">
      <c r="B443" s="2702"/>
      <c r="C443" s="228" t="s">
        <v>1235</v>
      </c>
      <c r="K443" s="1560"/>
      <c r="L443" s="1560"/>
      <c r="M443" s="1560"/>
      <c r="N443" s="1560"/>
      <c r="O443" s="1560"/>
      <c r="P443" s="1560"/>
      <c r="Q443" s="1560"/>
      <c r="R443" s="1560"/>
      <c r="S443" s="1560"/>
      <c r="T443" s="1560"/>
      <c r="U443" s="1560"/>
      <c r="V443" s="1560"/>
      <c r="W443" s="1560"/>
      <c r="X443" s="1560"/>
      <c r="Y443" s="1560"/>
      <c r="Z443" s="1560"/>
      <c r="AA443" s="1560"/>
      <c r="AB443" s="1560"/>
      <c r="AC443" s="1560"/>
    </row>
    <row r="444" spans="1:29">
      <c r="B444" s="2682" t="str">
        <f>IF(AND($A$431,M445),"®","")</f>
        <v/>
      </c>
      <c r="C444" s="2643" t="s">
        <v>1554</v>
      </c>
      <c r="D444" s="88" t="s">
        <v>1674</v>
      </c>
      <c r="K444" s="1560"/>
      <c r="L444" s="1560"/>
      <c r="M444" s="1560"/>
      <c r="N444" s="1560"/>
      <c r="O444" s="1560"/>
      <c r="P444" s="1560"/>
      <c r="Q444" s="1560"/>
      <c r="R444" s="1560"/>
      <c r="S444" s="1560"/>
      <c r="T444" s="1560"/>
      <c r="U444" s="1560"/>
      <c r="V444" s="1560"/>
      <c r="W444" s="1560"/>
      <c r="X444" s="1560"/>
      <c r="Y444" s="1560"/>
      <c r="Z444" s="1560"/>
      <c r="AA444" s="1560"/>
      <c r="AB444" s="1560"/>
      <c r="AC444" s="1560"/>
    </row>
    <row r="445" spans="1:29">
      <c r="D445" s="88" t="str">
        <f>"Is line 4b less than "&amp;TEXT(N19,"$0,000")&amp;" ("&amp;TEXT(O19,"$0,000")&amp;" if married filing jointly)?"</f>
        <v>Is line 4b less than $19,104 ($26,214 if married filing jointly)?</v>
      </c>
      <c r="K445" s="1560"/>
      <c r="L445" s="1560"/>
      <c r="M445" s="441" t="b">
        <f>AND($A$370,EICNumQualChild=0,OR(AND(File_Marr_Joint&lt;&gt;"",EarnedIncomeWSB&lt;O19),EarnedIncomeWSB&lt;N19))</f>
        <v>0</v>
      </c>
      <c r="N445" s="1560"/>
      <c r="O445" s="1560"/>
      <c r="P445" s="1560"/>
      <c r="Q445" s="1560"/>
      <c r="R445" s="1560"/>
      <c r="S445" s="1560"/>
      <c r="T445" s="1560"/>
      <c r="U445" s="1560"/>
      <c r="V445" s="1560"/>
      <c r="W445" s="1560"/>
      <c r="X445" s="1560"/>
      <c r="Y445" s="1560"/>
      <c r="Z445" s="1560"/>
      <c r="AA445" s="1560"/>
      <c r="AB445" s="1560"/>
      <c r="AC445" s="1560"/>
    </row>
    <row r="447" spans="1:29">
      <c r="A447" s="441" t="b">
        <f>AND(A370,OR(M436,M439,M442,M445))</f>
        <v>0</v>
      </c>
      <c r="B447" s="2658" t="str">
        <f>IF(AND($A$431,A447),"X","")</f>
        <v/>
      </c>
      <c r="D447" s="226" t="s">
        <v>1775</v>
      </c>
    </row>
    <row r="448" spans="1:29">
      <c r="D448" s="1560" t="s">
        <v>1776</v>
      </c>
    </row>
    <row r="450" spans="1:48">
      <c r="A450" s="441" t="b">
        <f>AND(A370,NOT(M436),NOT(M439),NOT(M442),NOT(M445),NOT(M448))</f>
        <v>0</v>
      </c>
      <c r="B450" s="2658" t="str">
        <f>IF(AND($A$431,A450),"X","")</f>
        <v/>
      </c>
      <c r="D450" s="1560" t="s">
        <v>6500</v>
      </c>
    </row>
    <row r="451" spans="1:48" ht="7.5" customHeight="1"/>
    <row r="452" spans="1:48" s="2659" customFormat="1" ht="7.5" customHeight="1">
      <c r="B452" s="2660"/>
      <c r="N452" s="2661"/>
      <c r="AN452" s="2661"/>
      <c r="AO452" s="2661"/>
    </row>
    <row r="453" spans="1:48" s="2445" customFormat="1" ht="15.75">
      <c r="A453" s="2646" t="s">
        <v>1777</v>
      </c>
      <c r="B453" s="2688" t="s">
        <v>1767</v>
      </c>
      <c r="C453" s="2642"/>
      <c r="N453" s="2662"/>
      <c r="AN453" s="2662"/>
      <c r="AO453" s="2662"/>
    </row>
    <row r="455" spans="1:48" ht="13.5" thickBot="1">
      <c r="C455" s="2648" t="s">
        <v>188</v>
      </c>
      <c r="D455" s="1560" t="s">
        <v>1778</v>
      </c>
      <c r="L455" s="220" t="s">
        <v>1779</v>
      </c>
      <c r="M455" s="2499" t="str">
        <f>IF(AND($A$431,A447),EarnedIncomeWSB,"")</f>
        <v/>
      </c>
      <c r="O455" s="2703"/>
      <c r="AN455" s="728" t="s">
        <v>5542</v>
      </c>
    </row>
    <row r="456" spans="1:48">
      <c r="C456" s="2648"/>
      <c r="N456" s="2648"/>
      <c r="O456" s="2689"/>
      <c r="AN456" s="2704" t="str">
        <f>M455</f>
        <v/>
      </c>
      <c r="AO456" s="8017" t="s">
        <v>1692</v>
      </c>
      <c r="AP456" s="8018"/>
      <c r="AQ456" s="8017" t="s">
        <v>1693</v>
      </c>
      <c r="AR456" s="8018"/>
      <c r="AS456" s="8017" t="s">
        <v>1694</v>
      </c>
      <c r="AT456" s="8018"/>
      <c r="AU456" s="8017" t="s">
        <v>1695</v>
      </c>
      <c r="AV456" s="8018"/>
    </row>
    <row r="457" spans="1:48">
      <c r="C457" s="2648" t="s">
        <v>198</v>
      </c>
      <c r="D457" s="1560" t="s">
        <v>1780</v>
      </c>
      <c r="N457" s="2648"/>
      <c r="O457" s="2689"/>
      <c r="AN457" s="2705" t="str">
        <f>IF(AN456&lt;&gt;"",ROUND(AN456,0),"")</f>
        <v/>
      </c>
      <c r="AO457" s="2504" t="s">
        <v>1697</v>
      </c>
      <c r="AP457" s="2706" t="s">
        <v>1556</v>
      </c>
      <c r="AQ457" s="2504" t="s">
        <v>1697</v>
      </c>
      <c r="AR457" s="2706" t="s">
        <v>1556</v>
      </c>
      <c r="AS457" s="2504" t="s">
        <v>1697</v>
      </c>
      <c r="AT457" s="2707" t="s">
        <v>1556</v>
      </c>
      <c r="AU457" s="2504" t="s">
        <v>1697</v>
      </c>
      <c r="AV457" s="2707" t="s">
        <v>1556</v>
      </c>
    </row>
    <row r="458" spans="1:48">
      <c r="C458" s="2648"/>
      <c r="D458" s="1560" t="s">
        <v>6501</v>
      </c>
      <c r="N458" s="220" t="s">
        <v>1781</v>
      </c>
      <c r="O458" s="2499" t="str">
        <f>IF(AND($A$431,A447),AN460,"")</f>
        <v/>
      </c>
      <c r="AN458" s="2708"/>
      <c r="AO458" s="2685" t="e">
        <f>LOOKUP(AN459,'EIC Table'!$A$3:$A$1384,'EIC Table'!$C$3:$C$1384)</f>
        <v>#N/A</v>
      </c>
      <c r="AP458" s="2686" t="e">
        <f>LOOKUP(AN459,'EIC Table'!$A$3:$A$1384,'EIC Table'!$G$3:$G$1384)</f>
        <v>#N/A</v>
      </c>
      <c r="AQ458" s="2685" t="e">
        <f>LOOKUP(AN459,'EIC Table'!$A$3:$A$1384,'EIC Table'!$D$3:$D$1384)</f>
        <v>#N/A</v>
      </c>
      <c r="AR458" s="2686" t="e">
        <f>LOOKUP(AN459,'EIC Table'!$A$3:$A$1384,'EIC Table'!$H$3:$H$1384)</f>
        <v>#N/A</v>
      </c>
      <c r="AS458" s="2687" t="e">
        <f>LOOKUP(AN459,'EIC Table'!$A$3:$A$1384,'EIC Table'!$E$3:$E$1384)</f>
        <v>#N/A</v>
      </c>
      <c r="AT458" s="2686" t="e">
        <f>LOOKUP(AN459,'EIC Table'!$A$3:$A$1384,'EIC Table'!$I$3:$I$1384)</f>
        <v>#N/A</v>
      </c>
      <c r="AU458" s="2687" t="e">
        <f>LOOKUP(AN459,'EIC Table'!$A$3:$A$1384,'EIC Table'!$F$3:$F$1384)</f>
        <v>#N/A</v>
      </c>
      <c r="AV458" s="2686" t="e">
        <f>LOOKUP(AN459,'EIC Table'!$A$3:$A$1384,'EIC Table'!$J$3:$J$1384)</f>
        <v>#N/A</v>
      </c>
    </row>
    <row r="459" spans="1:48" ht="13.5" thickBot="1">
      <c r="C459" s="2648"/>
      <c r="D459" s="1560" t="s">
        <v>6503</v>
      </c>
      <c r="N459" s="2648"/>
      <c r="O459" s="2689"/>
      <c r="AN459" s="2705" t="str">
        <f>IF(AN457="","",AN457)</f>
        <v/>
      </c>
      <c r="AO459" s="2685"/>
      <c r="AP459" s="2686"/>
      <c r="AQ459" s="2685"/>
      <c r="AR459" s="2686"/>
      <c r="AS459" s="2687"/>
      <c r="AT459" s="2686"/>
      <c r="AU459" s="2687"/>
      <c r="AV459" s="2686"/>
    </row>
    <row r="460" spans="1:48" ht="13.5" thickBot="1">
      <c r="C460" s="2648"/>
      <c r="D460" s="1560" t="s">
        <v>6502</v>
      </c>
      <c r="N460" s="2648"/>
      <c r="O460" s="2689"/>
      <c r="AN460" s="2709" t="e">
        <f>IF(EICNumQualChild&gt;2,AV460,IF(EICNumQualChild=2,AT460,IF(EICNumQualChild=1,AR460,AP460)))</f>
        <v>#N/A</v>
      </c>
      <c r="AO460" s="2710"/>
      <c r="AP460" s="2711" t="e">
        <f>IF(File_Marr_Joint&lt;&gt;"",AP458,AO458)</f>
        <v>#N/A</v>
      </c>
      <c r="AQ460" s="2710"/>
      <c r="AR460" s="2711" t="e">
        <f>IF(File_Marr_Joint&lt;&gt;"",AR458,AQ458)</f>
        <v>#N/A</v>
      </c>
      <c r="AS460" s="2712"/>
      <c r="AT460" s="2711" t="e">
        <f>IF(File_Marr_Joint&lt;&gt;"",AT458,AS458)</f>
        <v>#N/A</v>
      </c>
      <c r="AU460" s="2712"/>
      <c r="AV460" s="2711" t="e">
        <f>IF(File_Marr_Joint&lt;&gt;"",AV458,AU458)</f>
        <v>#N/A</v>
      </c>
    </row>
    <row r="461" spans="1:48">
      <c r="C461" s="2648"/>
      <c r="N461" s="2648"/>
      <c r="O461" s="2689"/>
      <c r="AN461" s="3824"/>
      <c r="AO461" s="1061"/>
      <c r="AP461" s="1061"/>
      <c r="AQ461" s="1061"/>
      <c r="AR461" s="1061"/>
      <c r="AS461" s="1061"/>
      <c r="AT461" s="1061"/>
      <c r="AU461" s="1061"/>
      <c r="AV461" s="1061"/>
    </row>
    <row r="462" spans="1:48">
      <c r="C462" s="2648"/>
      <c r="D462" s="1560" t="s">
        <v>1782</v>
      </c>
      <c r="N462" s="2648"/>
      <c r="O462" s="2468" t="b">
        <f>AND(B370&lt;&gt;"",O458=0)</f>
        <v>0</v>
      </c>
      <c r="AN462" s="88"/>
      <c r="AO462" s="88"/>
    </row>
    <row r="463" spans="1:48">
      <c r="C463" s="2648"/>
      <c r="D463" s="1560" t="s">
        <v>6110</v>
      </c>
      <c r="N463" s="2648"/>
      <c r="O463" s="2689"/>
      <c r="AN463" s="88"/>
      <c r="AO463" s="88"/>
    </row>
    <row r="464" spans="1:48">
      <c r="C464" s="2648"/>
      <c r="N464" s="2648"/>
      <c r="O464" s="2689"/>
      <c r="AN464" s="88"/>
      <c r="AO464" s="88"/>
    </row>
    <row r="465" spans="1:41">
      <c r="C465" s="2648" t="s">
        <v>200</v>
      </c>
      <c r="D465" s="1560" t="s">
        <v>1701</v>
      </c>
      <c r="L465" s="220" t="s">
        <v>1783</v>
      </c>
      <c r="M465" s="2499" t="str">
        <f>IF(OR($A$430,$B$370="",B450&lt;&gt;""),"",Adj_Gross_Inc)</f>
        <v/>
      </c>
      <c r="N465" s="2648"/>
      <c r="O465" s="2689"/>
      <c r="AN465" s="88"/>
      <c r="AO465" s="88"/>
    </row>
    <row r="466" spans="1:41">
      <c r="C466" s="2648"/>
      <c r="N466" s="2648"/>
      <c r="O466" s="2689"/>
      <c r="AN466" s="88"/>
      <c r="AO466" s="88"/>
    </row>
    <row r="467" spans="1:41">
      <c r="C467" s="2648" t="s">
        <v>205</v>
      </c>
      <c r="D467" s="88" t="s">
        <v>1784</v>
      </c>
      <c r="N467" s="2648"/>
      <c r="O467" s="2689"/>
      <c r="AN467" s="88"/>
      <c r="AO467" s="88"/>
    </row>
    <row r="468" spans="1:41">
      <c r="C468" s="2648"/>
      <c r="N468" s="2648"/>
      <c r="O468" s="2689"/>
      <c r="AN468" s="88"/>
      <c r="AO468" s="88"/>
    </row>
    <row r="469" spans="1:41">
      <c r="A469" s="441" t="b">
        <f>AND(A447,M465=M455)</f>
        <v>0</v>
      </c>
      <c r="B469" s="2658" t="str">
        <f>IF(AND($A$431,A469),"X","")</f>
        <v/>
      </c>
      <c r="D469" s="1560" t="s">
        <v>1785</v>
      </c>
      <c r="AN469" s="88"/>
      <c r="AO469" s="88"/>
    </row>
    <row r="470" spans="1:41">
      <c r="C470" s="2648"/>
      <c r="N470" s="2648"/>
      <c r="O470" s="2689"/>
      <c r="AN470" s="88"/>
      <c r="AO470" s="88"/>
    </row>
    <row r="471" spans="1:41">
      <c r="A471" s="441" t="b">
        <f>AND(A447,NOT(A469))</f>
        <v>0</v>
      </c>
      <c r="B471" s="2658" t="str">
        <f>IF(OR($A$430,$B$370="",B450&lt;&gt;""),"",IF(M465=M455,"","X"))</f>
        <v/>
      </c>
      <c r="D471" s="1560" t="s">
        <v>1786</v>
      </c>
      <c r="AN471" s="88"/>
      <c r="AO471" s="88"/>
    </row>
    <row r="472" spans="1:41" ht="7.5" customHeight="1"/>
    <row r="473" spans="1:41" s="2659" customFormat="1" ht="7.5" customHeight="1">
      <c r="B473" s="2660"/>
      <c r="N473" s="2661"/>
      <c r="AN473" s="2661"/>
      <c r="AO473" s="2661"/>
    </row>
    <row r="474" spans="1:41" s="2445" customFormat="1" ht="15.75">
      <c r="A474" s="2646" t="s">
        <v>1787</v>
      </c>
      <c r="B474" s="2688" t="s">
        <v>1788</v>
      </c>
      <c r="C474" s="2642"/>
      <c r="N474" s="2662"/>
      <c r="AN474" s="2662"/>
      <c r="AO474" s="2662"/>
    </row>
    <row r="476" spans="1:41">
      <c r="C476" s="2648" t="s">
        <v>210</v>
      </c>
      <c r="D476" s="88" t="s">
        <v>1670</v>
      </c>
      <c r="N476" s="88"/>
    </row>
    <row r="477" spans="1:41">
      <c r="C477" s="2648"/>
      <c r="N477" s="88"/>
    </row>
    <row r="478" spans="1:41">
      <c r="A478" s="441" t="b">
        <f>AND(A471,EICNumQualChild=0,OR(AND(File_Marr_Joint&lt;&gt;"",M465&lt;N337),M465&lt;N336))</f>
        <v>0</v>
      </c>
      <c r="B478" s="2682" t="str">
        <f>IF(A478,"®","")</f>
        <v/>
      </c>
      <c r="C478" s="2648" t="s">
        <v>1789</v>
      </c>
      <c r="D478" s="1560" t="s">
        <v>1674</v>
      </c>
      <c r="N478" s="88"/>
    </row>
    <row r="479" spans="1:41">
      <c r="B479" s="2702"/>
      <c r="C479" s="2648"/>
      <c r="D479" s="88" t="str">
        <f>" Is the amount on line 8 less than "&amp;TEXT(N336,"$0,000")&amp;" ("&amp;TEXT(N337,"$0,000")&amp;" if married filing jointly)?"</f>
        <v xml:space="preserve"> Is the amount on line 8 less than $10,620 ($17,730 if married filing jointly)?</v>
      </c>
      <c r="L479" s="228" t="str">
        <f>IF(OR(NOT(A471),EICNumQualChild&lt;&gt;0),"",IF(A478,"Yes","No"))</f>
        <v/>
      </c>
      <c r="M479" s="441" t="b">
        <f>IF(OR(AND(File_Marr_Joint&lt;&gt;"",M465&lt;N337),M465&lt;N336),TRUE,FALSE)</f>
        <v>0</v>
      </c>
      <c r="N479" s="88"/>
    </row>
    <row r="480" spans="1:41">
      <c r="B480" s="2702"/>
      <c r="C480" s="2648"/>
      <c r="N480" s="88"/>
    </row>
    <row r="481" spans="1:48">
      <c r="A481" s="441" t="b">
        <f>AND(A471,EICNumQualChild&gt;=1,OR(AND(File_Marr_Joint&lt;&gt;"",M465&lt;N340),M465&lt;N339))</f>
        <v>0</v>
      </c>
      <c r="B481" s="2682" t="str">
        <f>IF(OR($B$370="",B450&lt;&gt;"",B469&lt;&gt;""),"",IF(AND(File_Marr_Joint,EICNumQualChild&gt;0),"®",IF(EICNumQualChild&gt;0,"®","")))</f>
        <v/>
      </c>
      <c r="C481" s="2648" t="s">
        <v>1789</v>
      </c>
      <c r="D481" s="1560" t="s">
        <v>1790</v>
      </c>
      <c r="N481" s="88"/>
    </row>
    <row r="482" spans="1:48">
      <c r="C482" s="2648"/>
      <c r="D482" s="88" t="str">
        <f>" Is the amount on line 8 less than "&amp;TEXT(N339,"$0,000")&amp;" ("&amp;TEXT(N340,"$0,000")&amp;" if married filing jointly)?"</f>
        <v xml:space="preserve"> Is the amount on line 8 less than $23,350 ($30,470 if married filing jointly)?</v>
      </c>
      <c r="L482" s="228" t="str">
        <f>IF(OR(NOT(A471),EICNumQualChild&lt;1),"",IF(A481,"Yes","No"))</f>
        <v/>
      </c>
      <c r="M482" s="441" t="b">
        <f>IF(OR(AND(File_Marr_Joint&lt;&gt;"",M465&lt;N340),M465&lt;N339),TRUE,FALSE)</f>
        <v>0</v>
      </c>
      <c r="N482" s="88"/>
    </row>
    <row r="483" spans="1:48" ht="13.5" thickBot="1">
      <c r="C483" s="2648"/>
      <c r="N483" s="88"/>
      <c r="AN483" s="728" t="s">
        <v>5543</v>
      </c>
    </row>
    <row r="484" spans="1:48">
      <c r="A484" s="441" t="b">
        <f>OR(A478,A481)</f>
        <v>0</v>
      </c>
      <c r="B484" s="2658" t="str">
        <f>IF(A484,"X","")</f>
        <v/>
      </c>
      <c r="C484" s="2648"/>
      <c r="D484" s="1560" t="s">
        <v>1791</v>
      </c>
      <c r="N484" s="88"/>
      <c r="AN484" s="2704" t="str">
        <f>M465</f>
        <v/>
      </c>
      <c r="AO484" s="8017" t="s">
        <v>1692</v>
      </c>
      <c r="AP484" s="8018"/>
      <c r="AQ484" s="8017" t="s">
        <v>1693</v>
      </c>
      <c r="AR484" s="8018"/>
      <c r="AS484" s="8017" t="s">
        <v>1694</v>
      </c>
      <c r="AT484" s="8018"/>
      <c r="AU484" s="8017" t="s">
        <v>1695</v>
      </c>
      <c r="AV484" s="8018"/>
    </row>
    <row r="485" spans="1:48">
      <c r="C485" s="2648"/>
      <c r="N485" s="88"/>
      <c r="AN485" s="2705" t="str">
        <f>IF(AN484&lt;&gt;"",ROUND(AN484,0),"")</f>
        <v/>
      </c>
      <c r="AO485" s="2504" t="s">
        <v>1697</v>
      </c>
      <c r="AP485" s="2706" t="s">
        <v>1556</v>
      </c>
      <c r="AQ485" s="2504" t="s">
        <v>1697</v>
      </c>
      <c r="AR485" s="2706" t="s">
        <v>1556</v>
      </c>
      <c r="AS485" s="2504" t="s">
        <v>1697</v>
      </c>
      <c r="AT485" s="2707" t="s">
        <v>1556</v>
      </c>
      <c r="AU485" s="2504" t="s">
        <v>1697</v>
      </c>
      <c r="AV485" s="2707" t="s">
        <v>1556</v>
      </c>
    </row>
    <row r="486" spans="1:48">
      <c r="A486" s="441" t="b">
        <f>AND(A471,NOT(A478),NOT(A481))</f>
        <v>0</v>
      </c>
      <c r="B486" s="2658" t="str">
        <f>IF(A486,"X","")</f>
        <v/>
      </c>
      <c r="C486" s="2648"/>
      <c r="D486" s="1560" t="s">
        <v>1792</v>
      </c>
      <c r="N486" s="88"/>
      <c r="AN486" s="2708"/>
      <c r="AO486" s="2685" t="e">
        <f>LOOKUP(AN487,'EIC Table'!$A$3:$A$1384,'EIC Table'!$C$3:$C$1384)</f>
        <v>#N/A</v>
      </c>
      <c r="AP486" s="2686" t="e">
        <f>LOOKUP(AN487,'EIC Table'!$A$3:$A$1384,'EIC Table'!$G$3:$G$1384)</f>
        <v>#N/A</v>
      </c>
      <c r="AQ486" s="2685" t="e">
        <f>LOOKUP(AN487,'EIC Table'!$A$3:$A$1384,'EIC Table'!$D$3:$D$1384)</f>
        <v>#N/A</v>
      </c>
      <c r="AR486" s="2686" t="e">
        <f>LOOKUP(AN487,'EIC Table'!$A$3:$A$1384,'EIC Table'!$H$3:$H$1384)</f>
        <v>#N/A</v>
      </c>
      <c r="AS486" s="2687" t="e">
        <f>LOOKUP(AN487,'EIC Table'!$A$3:$A$1384,'EIC Table'!$E$3:$E$1384)</f>
        <v>#N/A</v>
      </c>
      <c r="AT486" s="2686" t="e">
        <f>LOOKUP(AN487,'EIC Table'!$A$3:$A$1384,'EIC Table'!$I$3:$I$1384)</f>
        <v>#N/A</v>
      </c>
      <c r="AU486" s="2687" t="e">
        <f>LOOKUP(AN487,'EIC Table'!$A$3:$A$1384,'EIC Table'!$F$3:$F$1384)</f>
        <v>#N/A</v>
      </c>
      <c r="AV486" s="2686" t="e">
        <f>LOOKUP(AN487,'EIC Table'!$A$3:$A$1384,'EIC Table'!$J$3:$J$1384)</f>
        <v>#N/A</v>
      </c>
    </row>
    <row r="487" spans="1:48" ht="13.5" thickBot="1">
      <c r="C487" s="2648"/>
      <c r="D487" s="1560" t="s">
        <v>1793</v>
      </c>
      <c r="N487" s="88"/>
      <c r="AN487" s="2705" t="str">
        <f>IF(AN485="","",AN485)</f>
        <v/>
      </c>
      <c r="AO487" s="2685"/>
      <c r="AP487" s="2686"/>
      <c r="AQ487" s="2685"/>
      <c r="AR487" s="2686"/>
      <c r="AS487" s="2687"/>
      <c r="AT487" s="2686"/>
      <c r="AU487" s="2687"/>
      <c r="AV487" s="2686"/>
    </row>
    <row r="488" spans="1:48" ht="13.5" thickBot="1">
      <c r="C488" s="2648"/>
      <c r="D488" s="1560" t="s">
        <v>5068</v>
      </c>
      <c r="N488" s="88"/>
      <c r="AN488" s="2709" t="e">
        <f>IF(EICNumQualChild&gt;2,AV488,IF(EICNumQualChild=2,AT488,IF(EICNumQualChild=1,AR488,AP488)))</f>
        <v>#N/A</v>
      </c>
      <c r="AO488" s="2710"/>
      <c r="AP488" s="2711" t="e">
        <f>IF(File_Marr_Joint&lt;&gt;"",AP486,AO486)</f>
        <v>#N/A</v>
      </c>
      <c r="AQ488" s="2710"/>
      <c r="AR488" s="2711" t="e">
        <f>IF(File_Marr_Joint&lt;&gt;"",AR486,AQ486)</f>
        <v>#N/A</v>
      </c>
      <c r="AS488" s="2712"/>
      <c r="AT488" s="2711" t="e">
        <f>IF(File_Marr_Joint&lt;&gt;"",AT486,AS486)</f>
        <v>#N/A</v>
      </c>
      <c r="AU488" s="2712"/>
      <c r="AV488" s="2711" t="e">
        <f>IF(File_Marr_Joint&lt;&gt;"",AV486,AU486)</f>
        <v>#N/A</v>
      </c>
    </row>
    <row r="489" spans="1:48">
      <c r="C489" s="2648"/>
      <c r="D489" s="1560" t="s">
        <v>6504</v>
      </c>
      <c r="N489" s="2648" t="s">
        <v>1794</v>
      </c>
      <c r="O489" s="2499" t="str">
        <f>IF(OR($B$486="",$B$370=""),"",AN488)</f>
        <v/>
      </c>
    </row>
    <row r="490" spans="1:48">
      <c r="C490" s="2648"/>
      <c r="D490" s="1560"/>
      <c r="N490" s="88"/>
    </row>
    <row r="491" spans="1:48">
      <c r="C491" s="2648"/>
      <c r="D491" s="88" t="s">
        <v>1795</v>
      </c>
      <c r="N491" s="88"/>
    </row>
    <row r="492" spans="1:48">
      <c r="C492" s="2648"/>
      <c r="D492" s="1560" t="s">
        <v>1796</v>
      </c>
      <c r="N492" s="88"/>
      <c r="O492" s="2713">
        <f>MIN(O458,O489)</f>
        <v>0</v>
      </c>
    </row>
    <row r="493" spans="1:48" ht="7.5" customHeight="1"/>
    <row r="494" spans="1:48" s="2659" customFormat="1" ht="7.5" customHeight="1">
      <c r="B494" s="2660"/>
      <c r="N494" s="2661"/>
      <c r="AN494" s="2661"/>
      <c r="AO494" s="2661"/>
    </row>
    <row r="495" spans="1:48" s="2445" customFormat="1" ht="15.75">
      <c r="A495" s="2646" t="s">
        <v>1797</v>
      </c>
      <c r="B495" s="2688" t="s">
        <v>1718</v>
      </c>
      <c r="C495" s="2642"/>
      <c r="N495" s="2662"/>
      <c r="AN495" s="2662"/>
      <c r="AO495" s="2662"/>
    </row>
    <row r="496" spans="1:48">
      <c r="N496" s="2648" t="s">
        <v>1798</v>
      </c>
      <c r="O496" s="2499" t="str">
        <f>IF(OR(A469,A484),O458,IF(A486,O492,""))</f>
        <v/>
      </c>
      <c r="AA496" s="2645" t="str">
        <f>IF(EIC_WSB_Part7&lt;1000,TEXT(EIC_WSB_Part7,"$0"),TEXT(EIC_WSB_Part7,"$0,000"))</f>
        <v/>
      </c>
    </row>
    <row r="497" spans="3:27">
      <c r="C497" s="2608" t="s">
        <v>212</v>
      </c>
      <c r="D497" s="226" t="s">
        <v>1719</v>
      </c>
      <c r="N497" s="1560" t="s">
        <v>4116</v>
      </c>
    </row>
    <row r="498" spans="3:27">
      <c r="C498" s="2648"/>
      <c r="N498" s="1560" t="s">
        <v>6505</v>
      </c>
    </row>
    <row r="499" spans="3:27" ht="12" customHeight="1">
      <c r="C499" s="2648"/>
      <c r="D499" s="226" t="s">
        <v>1799</v>
      </c>
      <c r="N499" s="2449" t="s">
        <v>6506</v>
      </c>
    </row>
    <row r="500" spans="3:27">
      <c r="C500" s="2714" t="s">
        <v>928</v>
      </c>
      <c r="D500" s="88" t="s">
        <v>1721</v>
      </c>
    </row>
    <row r="501" spans="3:27">
      <c r="D501" s="2690" t="s">
        <v>1722</v>
      </c>
    </row>
    <row r="503" spans="3:27">
      <c r="D503" s="1839"/>
      <c r="E503" s="1839"/>
      <c r="F503" s="1839"/>
      <c r="G503" s="1839"/>
      <c r="H503" s="1839"/>
      <c r="I503" s="1839"/>
      <c r="J503" s="1839"/>
      <c r="K503" s="1839"/>
      <c r="O503" s="1560"/>
    </row>
    <row r="504" spans="3:27">
      <c r="E504" s="2669" t="s">
        <v>1723</v>
      </c>
      <c r="O504" s="1560"/>
    </row>
    <row r="505" spans="3:27" ht="13.5" thickBot="1">
      <c r="E505" s="2617" t="s">
        <v>1800</v>
      </c>
    </row>
    <row r="506" spans="3:27" ht="13.5" thickBot="1">
      <c r="E506" s="2669" t="str">
        <f>"8862 to take the credit for "&amp;TaxYear&amp;"."</f>
        <v>8862 to take the credit for 2025.</v>
      </c>
      <c r="N506" s="2715" t="s">
        <v>1801</v>
      </c>
      <c r="O506" s="2716">
        <f>IF(EIC_WSA_Part3&lt;&gt;"",EIC_WSA_Part3,IF(EIC_WSB_Part7&lt;&gt;"",EIC_WSB_Part7,0))</f>
        <v>0</v>
      </c>
      <c r="AA506" s="2645"/>
    </row>
  </sheetData>
  <sheetProtection algorithmName="SHA-512" hashValue="InL+Ao0jxdaBZzpeBBc0LC9mI8oq7x0dmUuYjaqlqKa0Sy0bcE1BSeNtCZqaZwtVMYYWy8nHNM0k30Lrco/dyw==" saltValue="aUryHanGBpGMhxG11wchbg==" spinCount="100000" sheet="1" objects="1" scenarios="1" formatCells="0" formatColumns="0" formatRows="0"/>
  <mergeCells count="40">
    <mergeCell ref="R403:X403"/>
    <mergeCell ref="R404:X404"/>
    <mergeCell ref="AU484:AV484"/>
    <mergeCell ref="AS484:AT484"/>
    <mergeCell ref="AQ484:AR484"/>
    <mergeCell ref="AO484:AP484"/>
    <mergeCell ref="AU456:AV456"/>
    <mergeCell ref="AS456:AT456"/>
    <mergeCell ref="AQ456:AR456"/>
    <mergeCell ref="AO456:AP456"/>
    <mergeCell ref="R405:X405"/>
    <mergeCell ref="R426:X426"/>
    <mergeCell ref="R418:X418"/>
    <mergeCell ref="AU344:AV344"/>
    <mergeCell ref="AS316:AT316"/>
    <mergeCell ref="AO344:AP344"/>
    <mergeCell ref="AQ344:AR344"/>
    <mergeCell ref="AS344:AT344"/>
    <mergeCell ref="AO316:AP316"/>
    <mergeCell ref="AQ316:AR316"/>
    <mergeCell ref="AU316:AV316"/>
    <mergeCell ref="R402:X402"/>
    <mergeCell ref="M91:Y96"/>
    <mergeCell ref="M105:Y108"/>
    <mergeCell ref="R389:X389"/>
    <mergeCell ref="R401:X401"/>
    <mergeCell ref="R400:X400"/>
    <mergeCell ref="M100:Y102"/>
    <mergeCell ref="J166:N170"/>
    <mergeCell ref="B247:I252"/>
    <mergeCell ref="A63:B63"/>
    <mergeCell ref="A151:B151"/>
    <mergeCell ref="A123:B123"/>
    <mergeCell ref="A152:B152"/>
    <mergeCell ref="A153:B153"/>
    <mergeCell ref="A154:B154"/>
    <mergeCell ref="A155:B155"/>
    <mergeCell ref="A129:B129"/>
    <mergeCell ref="A136:B136"/>
    <mergeCell ref="A142:B142"/>
  </mergeCells>
  <conditionalFormatting sqref="A71">
    <cfRule type="expression" dxfId="3199" priority="231">
      <formula>IF(AND($B$71="",$B$73="",$B$76="",$B$79="",H$81="",NOT(NoEICredit)),1,0)</formula>
    </cfRule>
  </conditionalFormatting>
  <conditionalFormatting sqref="A73">
    <cfRule type="expression" dxfId="3198" priority="218">
      <formula>IF(AND($B$71="",$B$73="",$B$76="",$B$79="",H$81="",NOT(NoEICredit)),1,0)</formula>
    </cfRule>
  </conditionalFormatting>
  <conditionalFormatting sqref="A76">
    <cfRule type="expression" dxfId="3197" priority="217">
      <formula>IF(AND($B$71="",$B$73="",$B$76="",$B$79="",H$81="",NOT(NoEICredit)),1,0)</formula>
    </cfRule>
  </conditionalFormatting>
  <conditionalFormatting sqref="A79">
    <cfRule type="expression" dxfId="3196" priority="216">
      <formula>IF(AND($B$71="",$B$73="",$B$76="",$B$79="",H$81="",NOT(NoEICredit)),1,0)</formula>
    </cfRule>
  </conditionalFormatting>
  <conditionalFormatting sqref="A233:B233">
    <cfRule type="expression" dxfId="3195" priority="191">
      <formula>IF(AND(OR($B$125="X",$H$157="X",#REF!="X"),$B$235="",$H$235=""),1,0)</formula>
    </cfRule>
  </conditionalFormatting>
  <conditionalFormatting sqref="A273:B274">
    <cfRule type="expression" dxfId="3194" priority="181">
      <formula>IF(AND(OR($B$235&lt;&gt;"",$H$235&lt;&gt;""),$B$276="",$H$276=""),1,0)</formula>
    </cfRule>
  </conditionalFormatting>
  <conditionalFormatting sqref="B39">
    <cfRule type="expression" dxfId="3193" priority="142">
      <formula>IF(NoColor,1,0)</formula>
    </cfRule>
  </conditionalFormatting>
  <conditionalFormatting sqref="B60">
    <cfRule type="expression" dxfId="3192" priority="140">
      <formula>IF(NoColor,1,0)</formula>
    </cfRule>
  </conditionalFormatting>
  <conditionalFormatting sqref="B65">
    <cfRule type="expression" dxfId="3191" priority="141">
      <formula>IF(NoColor,1,0)</formula>
    </cfRule>
  </conditionalFormatting>
  <conditionalFormatting sqref="B71">
    <cfRule type="expression" dxfId="3190" priority="150">
      <formula>IF(NoColor,1,0)</formula>
    </cfRule>
  </conditionalFormatting>
  <conditionalFormatting sqref="B73">
    <cfRule type="expression" dxfId="3189" priority="149">
      <formula>IF(NoColor,1,0)</formula>
    </cfRule>
  </conditionalFormatting>
  <conditionalFormatting sqref="B76">
    <cfRule type="expression" dxfId="3188" priority="148">
      <formula>IF(NoColor,1,0)</formula>
    </cfRule>
  </conditionalFormatting>
  <conditionalFormatting sqref="B79">
    <cfRule type="expression" dxfId="3187" priority="147">
      <formula>IF(NoColor,1,0)</formula>
    </cfRule>
  </conditionalFormatting>
  <conditionalFormatting sqref="B235">
    <cfRule type="expression" dxfId="3186" priority="162">
      <formula>IF(NoColor,1,0)</formula>
    </cfRule>
  </conditionalFormatting>
  <conditionalFormatting sqref="B276">
    <cfRule type="expression" dxfId="3185" priority="7">
      <formula>IF(NoColor,1,0)</formula>
    </cfRule>
  </conditionalFormatting>
  <conditionalFormatting sqref="B302">
    <cfRule type="expression" dxfId="3184" priority="151">
      <formula>IF(NoColor,1,0)</formula>
    </cfRule>
  </conditionalFormatting>
  <conditionalFormatting sqref="B356:C358 D356:D360 D364 D501">
    <cfRule type="expression" dxfId="3183" priority="7211" stopIfTrue="1">
      <formula>IF(OR($N$354="",$N$354=0),0,IF(AND($H$302&lt;&gt;"",EICNumQualChild&gt;1),1,0))</formula>
    </cfRule>
  </conditionalFormatting>
  <conditionalFormatting sqref="C1">
    <cfRule type="expression" dxfId="3182" priority="330" stopIfTrue="1">
      <formula>IF($A$1=1,1,0)</formula>
    </cfRule>
  </conditionalFormatting>
  <conditionalFormatting sqref="C354">
    <cfRule type="expression" dxfId="3181" priority="7215">
      <formula>IF($B$276&lt;&gt;"",0,IF($N$354&gt;0,1,0))</formula>
    </cfRule>
  </conditionalFormatting>
  <conditionalFormatting sqref="D21">
    <cfRule type="expression" dxfId="3180" priority="291" stopIfTrue="1">
      <formula>IF($B$21="X",1,0)</formula>
    </cfRule>
  </conditionalFormatting>
  <conditionalFormatting sqref="D24:D26">
    <cfRule type="expression" dxfId="3179" priority="287">
      <formula>IF(AND($B$28="",$H$28="",NOT(NoEICredit)),1,0)</formula>
    </cfRule>
  </conditionalFormatting>
  <conditionalFormatting sqref="D28">
    <cfRule type="expression" dxfId="3178" priority="243" stopIfTrue="1">
      <formula>IF($B$28="X",1,0)</formula>
    </cfRule>
  </conditionalFormatting>
  <conditionalFormatting sqref="D32">
    <cfRule type="expression" dxfId="3177" priority="286">
      <formula>IF(AND($B$34="",$H$34="",NOT(NoEICredit)),1,0)</formula>
    </cfRule>
  </conditionalFormatting>
  <conditionalFormatting sqref="D34">
    <cfRule type="expression" dxfId="3176" priority="4873" stopIfTrue="1">
      <formula>IF(AND(B34="X",#REF!="",$H$28="",$H$21=""),1,0)</formula>
    </cfRule>
  </conditionalFormatting>
  <conditionalFormatting sqref="D37">
    <cfRule type="expression" dxfId="3175" priority="8">
      <formula>IF(AND($B$34="",$H$34="",NOT(NoEICredit)),1,0)</formula>
    </cfRule>
  </conditionalFormatting>
  <conditionalFormatting sqref="D39:D40">
    <cfRule type="expression" dxfId="3174" priority="5384" stopIfTrue="1">
      <formula>IF(AND($B$39="X",$B34="",#REF!="",$H$28="",$H$21=""),1,0)</formula>
    </cfRule>
  </conditionalFormatting>
  <conditionalFormatting sqref="D41">
    <cfRule type="expression" dxfId="3173" priority="4925" stopIfTrue="1">
      <formula>IF(AND($B$39="X",$B37="",#REF!="",$H$28="",$H$21=""),1,0)</formula>
    </cfRule>
  </conditionalFormatting>
  <conditionalFormatting sqref="D60">
    <cfRule type="expression" dxfId="3172" priority="9">
      <formula>$A$60</formula>
    </cfRule>
  </conditionalFormatting>
  <conditionalFormatting sqref="D63">
    <cfRule type="expression" dxfId="3171" priority="1327">
      <formula>IF(AND($B$60&lt;&gt;"",$B$65="",H$65="",NOT(NoEICredit)),1,0)</formula>
    </cfRule>
  </conditionalFormatting>
  <conditionalFormatting sqref="D65:D66">
    <cfRule type="expression" dxfId="3170" priority="83">
      <formula>AND($A$60,NOT($N$67))</formula>
    </cfRule>
  </conditionalFormatting>
  <conditionalFormatting sqref="D69">
    <cfRule type="expression" dxfId="3169" priority="279">
      <formula>AND($A$60,$B$71="",$B$73="",$B$76="",$B$79="",H$81="",NOT(NoEICredit))</formula>
    </cfRule>
  </conditionalFormatting>
  <conditionalFormatting sqref="D81:D83">
    <cfRule type="expression" dxfId="3168" priority="238">
      <formula>IF(AND($B$81="X",$H$83=""),1,0)</formula>
    </cfRule>
  </conditionalFormatting>
  <conditionalFormatting sqref="D112">
    <cfRule type="expression" dxfId="3167" priority="329" stopIfTrue="1">
      <formula>IF($B$112="",1,0)</formula>
    </cfRule>
  </conditionalFormatting>
  <conditionalFormatting sqref="D120">
    <cfRule type="expression" dxfId="3166" priority="78">
      <formula>$A$120</formula>
    </cfRule>
  </conditionalFormatting>
  <conditionalFormatting sqref="D125:D126">
    <cfRule type="expression" dxfId="3165" priority="20">
      <formula>$A$125</formula>
    </cfRule>
  </conditionalFormatting>
  <conditionalFormatting sqref="D126 D133">
    <cfRule type="expression" dxfId="3164" priority="334" stopIfTrue="1">
      <formula>IF(AND($B$120="X",$B$157="X",$H$117="",#REF!="",$H$28="",$H$21=""),1,0)</formula>
    </cfRule>
  </conditionalFormatting>
  <conditionalFormatting sqref="D132">
    <cfRule type="expression" dxfId="3163" priority="79">
      <formula>$A$132</formula>
    </cfRule>
  </conditionalFormatting>
  <conditionalFormatting sqref="D139">
    <cfRule type="expression" dxfId="3162" priority="80">
      <formula>$A$139</formula>
    </cfRule>
  </conditionalFormatting>
  <conditionalFormatting sqref="D147">
    <cfRule type="expression" dxfId="3161" priority="77">
      <formula>$A$147</formula>
    </cfRule>
  </conditionalFormatting>
  <conditionalFormatting sqref="D148">
    <cfRule type="expression" dxfId="3160" priority="4952" stopIfTrue="1">
      <formula>IF(AND(B132="X",B148="X",$H$117="",#REF!="",$H$28="",$H$21=""),1,0)</formula>
    </cfRule>
  </conditionalFormatting>
  <conditionalFormatting sqref="D157:D159">
    <cfRule type="expression" dxfId="3159" priority="111" stopIfTrue="1">
      <formula>IF(AND($B$120="X",$B$157="X",$H$117="",#REF!="",$H$28="",$H$21=""),1,0)</formula>
    </cfRule>
    <cfRule type="expression" dxfId="3158" priority="110">
      <formula>$A$157</formula>
    </cfRule>
  </conditionalFormatting>
  <conditionalFormatting sqref="D172">
    <cfRule type="expression" dxfId="3157" priority="4667">
      <formula>IF(AND($B$112=0,#REF!&lt;&gt;""),1,0)</formula>
    </cfRule>
  </conditionalFormatting>
  <conditionalFormatting sqref="D172:D173">
    <cfRule type="expression" dxfId="3156" priority="104">
      <formula>$A$172</formula>
    </cfRule>
  </conditionalFormatting>
  <conditionalFormatting sqref="D185:D186">
    <cfRule type="expression" dxfId="3155" priority="74">
      <formula>$A$185</formula>
    </cfRule>
  </conditionalFormatting>
  <conditionalFormatting sqref="D187:D188">
    <cfRule type="expression" dxfId="3154" priority="56">
      <formula>$A$172</formula>
    </cfRule>
  </conditionalFormatting>
  <conditionalFormatting sqref="D199">
    <cfRule type="expression" dxfId="3153" priority="54">
      <formula>$A199</formula>
    </cfRule>
  </conditionalFormatting>
  <conditionalFormatting sqref="D200:D203">
    <cfRule type="expression" dxfId="3152" priority="48">
      <formula>$A$172</formula>
    </cfRule>
  </conditionalFormatting>
  <conditionalFormatting sqref="D206">
    <cfRule type="expression" dxfId="3151" priority="47">
      <formula>$A206</formula>
    </cfRule>
  </conditionalFormatting>
  <conditionalFormatting sqref="D207:D208">
    <cfRule type="expression" dxfId="3150" priority="46">
      <formula>$A$206</formula>
    </cfRule>
  </conditionalFormatting>
  <conditionalFormatting sqref="D209">
    <cfRule type="expression" dxfId="3149" priority="44">
      <formula>$A$172</formula>
    </cfRule>
  </conditionalFormatting>
  <conditionalFormatting sqref="D216:D217 D219">
    <cfRule type="expression" dxfId="3148" priority="39">
      <formula>$A$216</formula>
    </cfRule>
  </conditionalFormatting>
  <conditionalFormatting sqref="D218">
    <cfRule type="expression" dxfId="3147" priority="3">
      <formula>$G$199</formula>
    </cfRule>
  </conditionalFormatting>
  <conditionalFormatting sqref="D221">
    <cfRule type="expression" dxfId="3146" priority="38">
      <formula>$A$172</formula>
    </cfRule>
  </conditionalFormatting>
  <conditionalFormatting sqref="D226:D227">
    <cfRule type="expression" dxfId="3145" priority="36">
      <formula>$A$226</formula>
    </cfRule>
  </conditionalFormatting>
  <conditionalFormatting sqref="D230">
    <cfRule type="expression" dxfId="3144" priority="35">
      <formula>$A$172</formula>
    </cfRule>
  </conditionalFormatting>
  <conditionalFormatting sqref="D235:D237">
    <cfRule type="expression" dxfId="3143" priority="1295" stopIfTrue="1">
      <formula>IF(AND($B$235="X",#REF!="",$H$28="",$H$21=""),1,0)</formula>
    </cfRule>
  </conditionalFormatting>
  <conditionalFormatting sqref="D272">
    <cfRule type="expression" dxfId="3142" priority="15">
      <formula>$A$172</formula>
    </cfRule>
  </conditionalFormatting>
  <conditionalFormatting sqref="D276:D277">
    <cfRule type="expression" dxfId="3141" priority="249" stopIfTrue="1">
      <formula>IF($B$276="X",1,0)</formula>
    </cfRule>
  </conditionalFormatting>
  <conditionalFormatting sqref="D279">
    <cfRule type="expression" dxfId="3140" priority="14">
      <formula>$A$172</formula>
    </cfRule>
  </conditionalFormatting>
  <conditionalFormatting sqref="D294">
    <cfRule type="expression" dxfId="3139" priority="246" stopIfTrue="1">
      <formula>IF($B$294="X",1,0)</formula>
    </cfRule>
  </conditionalFormatting>
  <conditionalFormatting sqref="D297">
    <cfRule type="expression" dxfId="3138" priority="13">
      <formula>$A$172</formula>
    </cfRule>
  </conditionalFormatting>
  <conditionalFormatting sqref="D302:D303">
    <cfRule type="expression" dxfId="3137" priority="322" stopIfTrue="1">
      <formula>IF(AND($H$302="",$B$302="X"),1,0)</formula>
    </cfRule>
  </conditionalFormatting>
  <conditionalFormatting sqref="D321:D322">
    <cfRule type="expression" dxfId="3136" priority="318" stopIfTrue="1">
      <formula>$A$321</formula>
    </cfRule>
  </conditionalFormatting>
  <conditionalFormatting sqref="D328">
    <cfRule type="expression" dxfId="3135" priority="201">
      <formula>IF(B328="X",1,0)</formula>
    </cfRule>
  </conditionalFormatting>
  <conditionalFormatting sqref="D330">
    <cfRule type="expression" dxfId="3134" priority="202">
      <formula>IF(B330="X",1,0)</formula>
    </cfRule>
  </conditionalFormatting>
  <conditionalFormatting sqref="D342">
    <cfRule type="expression" dxfId="3133" priority="319" stopIfTrue="1">
      <formula>IF($B$342&lt;&gt;"",1,0)</formula>
    </cfRule>
  </conditionalFormatting>
  <conditionalFormatting sqref="D344:D349">
    <cfRule type="expression" dxfId="3132" priority="320" stopIfTrue="1">
      <formula>$A$344</formula>
    </cfRule>
  </conditionalFormatting>
  <conditionalFormatting sqref="D354">
    <cfRule type="expression" dxfId="3131" priority="7216">
      <formula>IF(OR($B$276=0,$B$276&lt;&gt;""),0,IF($N$354&gt;0,1,0))</formula>
    </cfRule>
  </conditionalFormatting>
  <conditionalFormatting sqref="D369">
    <cfRule type="expression" dxfId="3130" priority="12">
      <formula>$A$172</formula>
    </cfRule>
  </conditionalFormatting>
  <conditionalFormatting sqref="D370">
    <cfRule type="expression" dxfId="3129" priority="28">
      <formula>$A$370</formula>
    </cfRule>
  </conditionalFormatting>
  <conditionalFormatting sqref="D430:D432">
    <cfRule type="expression" dxfId="3128" priority="323" stopIfTrue="1">
      <formula>$A$430</formula>
    </cfRule>
  </conditionalFormatting>
  <conditionalFormatting sqref="D435:D436">
    <cfRule type="expression" dxfId="3127" priority="25">
      <formula>$M$436</formula>
    </cfRule>
  </conditionalFormatting>
  <conditionalFormatting sqref="D438:D439">
    <cfRule type="expression" dxfId="3126" priority="26">
      <formula>$M$439</formula>
    </cfRule>
  </conditionalFormatting>
  <conditionalFormatting sqref="D441:D442">
    <cfRule type="expression" dxfId="3125" priority="27">
      <formula>$M$442</formula>
    </cfRule>
  </conditionalFormatting>
  <conditionalFormatting sqref="D447:D448">
    <cfRule type="expression" dxfId="3124" priority="208">
      <formula>AND($A$431,$A$447)</formula>
    </cfRule>
  </conditionalFormatting>
  <conditionalFormatting sqref="D450">
    <cfRule type="expression" dxfId="3123" priority="325" stopIfTrue="1">
      <formula>AND($A$431,B450&lt;&gt;"")</formula>
    </cfRule>
  </conditionalFormatting>
  <conditionalFormatting sqref="D462:D464 D466 D468 D470">
    <cfRule type="expression" dxfId="3122" priority="324" stopIfTrue="1">
      <formula>$O$462</formula>
    </cfRule>
  </conditionalFormatting>
  <conditionalFormatting sqref="D469">
    <cfRule type="expression" dxfId="3121" priority="326" stopIfTrue="1">
      <formula>$A$469</formula>
    </cfRule>
  </conditionalFormatting>
  <conditionalFormatting sqref="D484">
    <cfRule type="expression" dxfId="3120" priority="328" stopIfTrue="1">
      <formula>IF($B$484&lt;&gt;"",1,0)</formula>
    </cfRule>
  </conditionalFormatting>
  <conditionalFormatting sqref="D486:D492">
    <cfRule type="expression" dxfId="3119" priority="327" stopIfTrue="1">
      <formula>$A$486</formula>
    </cfRule>
  </conditionalFormatting>
  <conditionalFormatting sqref="D497">
    <cfRule type="expression" dxfId="3118" priority="198">
      <formula>IF($O$496="",0,IF($O$496&gt;0,1,0))</formula>
    </cfRule>
  </conditionalFormatting>
  <conditionalFormatting sqref="D499:D500">
    <cfRule type="expression" dxfId="3117" priority="332" stopIfTrue="1">
      <formula>IF(AND($B$258&lt;&gt;"",$B$112&gt;0),1,0)</formula>
    </cfRule>
  </conditionalFormatting>
  <conditionalFormatting sqref="D401:E401 E402 D404:E404">
    <cfRule type="expression" dxfId="3116" priority="177">
      <formula>$A$395</formula>
    </cfRule>
  </conditionalFormatting>
  <conditionalFormatting sqref="E405">
    <cfRule type="expression" dxfId="3115" priority="172">
      <formula>$A$395</formula>
    </cfRule>
  </conditionalFormatting>
  <conditionalFormatting sqref="G81">
    <cfRule type="expression" dxfId="3114" priority="215">
      <formula>IF(AND($B$71="",$B$73="",$B$76="",$B$79="",N$81="",NOT(NoEICredit)),1,0)</formula>
    </cfRule>
    <cfRule type="expression" dxfId="3113" priority="203">
      <formula>IF($H$81&lt;&gt;"",1,0)</formula>
    </cfRule>
  </conditionalFormatting>
  <conditionalFormatting sqref="G83">
    <cfRule type="expression" dxfId="3112" priority="235">
      <formula>IF(H83&lt;&gt;"",1,0)</formula>
    </cfRule>
    <cfRule type="expression" dxfId="3111" priority="240">
      <formula>IF($B$81="X",1,0)</formula>
    </cfRule>
  </conditionalFormatting>
  <conditionalFormatting sqref="G280">
    <cfRule type="expression" dxfId="3110" priority="129" stopIfTrue="1">
      <formula>IF(G280&lt;&gt;"",1,0)</formula>
    </cfRule>
  </conditionalFormatting>
  <conditionalFormatting sqref="G298">
    <cfRule type="expression" dxfId="3109" priority="245" stopIfTrue="1">
      <formula>IF(G298&lt;&gt;"",1,0)</formula>
    </cfRule>
  </conditionalFormatting>
  <conditionalFormatting sqref="G428">
    <cfRule type="expression" dxfId="3108" priority="7190">
      <formula>IF(AND($B$276&lt;&gt;"",$H$294&lt;&gt;"X",$O$428&gt;0),1,0)</formula>
    </cfRule>
  </conditionalFormatting>
  <conditionalFormatting sqref="H28">
    <cfRule type="expression" dxfId="3107" priority="168">
      <formula>IF(NoColor,1,0)</formula>
    </cfRule>
  </conditionalFormatting>
  <conditionalFormatting sqref="H39">
    <cfRule type="expression" dxfId="3106" priority="155">
      <formula>IF(NoColor,1,0)</formula>
    </cfRule>
  </conditionalFormatting>
  <conditionalFormatting sqref="H67">
    <cfRule type="expression" dxfId="3105" priority="91">
      <formula>AND($A$60,$A$65)</formula>
    </cfRule>
  </conditionalFormatting>
  <conditionalFormatting sqref="H81">
    <cfRule type="expression" dxfId="3104" priority="156">
      <formula>IF(NoColor,1,0)</formula>
    </cfRule>
  </conditionalFormatting>
  <conditionalFormatting sqref="H83">
    <cfRule type="expression" dxfId="3103" priority="236">
      <formula>IF($B$81="X",1,0)</formula>
    </cfRule>
    <cfRule type="expression" dxfId="3102" priority="145">
      <formula>IF(OR(NoColor,$B$81=""),1,0)</formula>
    </cfRule>
    <cfRule type="expression" dxfId="3101" priority="144">
      <formula>IF($B$81="",1,0)</formula>
    </cfRule>
  </conditionalFormatting>
  <conditionalFormatting sqref="H166">
    <cfRule type="expression" dxfId="3100" priority="1">
      <formula>File_Head&lt;&gt;""</formula>
    </cfRule>
  </conditionalFormatting>
  <conditionalFormatting sqref="H235">
    <cfRule type="expression" dxfId="3099" priority="161">
      <formula>IF(NoColor,1,0)</formula>
    </cfRule>
  </conditionalFormatting>
  <conditionalFormatting sqref="H276">
    <cfRule type="expression" dxfId="3098" priority="153">
      <formula>IF(NoColor,1,0)</formula>
    </cfRule>
  </conditionalFormatting>
  <conditionalFormatting sqref="J21">
    <cfRule type="expression" dxfId="3097" priority="292" stopIfTrue="1">
      <formula>IF(H21="X",1,0)</formula>
    </cfRule>
  </conditionalFormatting>
  <conditionalFormatting sqref="J28">
    <cfRule type="expression" dxfId="3096" priority="1253" stopIfTrue="1">
      <formula>IF(AND(H21="",H28="X"),1,0)</formula>
    </cfRule>
  </conditionalFormatting>
  <conditionalFormatting sqref="J29">
    <cfRule type="expression" dxfId="3095" priority="1254" stopIfTrue="1">
      <formula>IF(AND(H21="",H28="X"),1,0)</formula>
    </cfRule>
  </conditionalFormatting>
  <conditionalFormatting sqref="J34">
    <cfRule type="expression" dxfId="3094" priority="242" stopIfTrue="1">
      <formula>IF($H$34="X",1,0)</formula>
    </cfRule>
  </conditionalFormatting>
  <conditionalFormatting sqref="J39">
    <cfRule type="expression" dxfId="3093" priority="11">
      <formula>$H$39="X"</formula>
    </cfRule>
  </conditionalFormatting>
  <conditionalFormatting sqref="J60">
    <cfRule type="expression" dxfId="3092" priority="10">
      <formula>N60</formula>
    </cfRule>
  </conditionalFormatting>
  <conditionalFormatting sqref="J65">
    <cfRule type="expression" dxfId="3091" priority="4937" stopIfTrue="1">
      <formula>H65="X"</formula>
    </cfRule>
  </conditionalFormatting>
  <conditionalFormatting sqref="J67">
    <cfRule type="expression" dxfId="3090" priority="89">
      <formula>AND($A$65,$H$67&lt;&gt;"")</formula>
    </cfRule>
    <cfRule type="expression" dxfId="3089" priority="90">
      <formula>$A$65</formula>
    </cfRule>
  </conditionalFormatting>
  <conditionalFormatting sqref="J81">
    <cfRule type="expression" dxfId="3088" priority="214">
      <formula>IF($H$81&lt;&gt;"",1,0)</formula>
    </cfRule>
    <cfRule type="expression" dxfId="3087" priority="304">
      <formula>IF(AND($B$71="",$B$73="",$B$76="",$B$79="",N$81="",NOT(NoEICredit)),1,0)</formula>
    </cfRule>
  </conditionalFormatting>
  <conditionalFormatting sqref="J83">
    <cfRule type="expression" dxfId="3086" priority="233">
      <formula>IF(H83&lt;&gt;"",1,0)</formula>
    </cfRule>
    <cfRule type="expression" dxfId="3085" priority="234">
      <formula>IF($B$81="X",1,0)</formula>
    </cfRule>
  </conditionalFormatting>
  <conditionalFormatting sqref="J120">
    <cfRule type="expression" dxfId="3084" priority="300" stopIfTrue="1">
      <formula>IF(B112="",0,IF(AND(H81&lt;&gt;"",EICNumQualChild=0),1,0))</formula>
    </cfRule>
  </conditionalFormatting>
  <conditionalFormatting sqref="J132">
    <cfRule type="expression" dxfId="3083" priority="4953" stopIfTrue="1">
      <formula>IF(AND(H118="X",H132="X",$H$117="",#REF!="",$H$28="",$H$21=""),1,0)</formula>
    </cfRule>
  </conditionalFormatting>
  <conditionalFormatting sqref="J139">
    <cfRule type="expression" dxfId="3082" priority="4882" stopIfTrue="1">
      <formula>IF(AND(H139="X",H124="",#REF!="",$H$28="",$H$21=""),1,0)</formula>
    </cfRule>
  </conditionalFormatting>
  <conditionalFormatting sqref="J147:J148">
    <cfRule type="expression" dxfId="3081" priority="7191">
      <formula>$M$147</formula>
    </cfRule>
    <cfRule type="expression" dxfId="3080" priority="7192" stopIfTrue="1">
      <formula>IF(AND(H147="X",H131="",#REF!="",$H$28="",$H$21=""),1,0)</formula>
    </cfRule>
  </conditionalFormatting>
  <conditionalFormatting sqref="J157 J159:J161">
    <cfRule type="expression" dxfId="3079" priority="4885" stopIfTrue="1">
      <formula>IF(AND(H157="X",H120="",#REF!="",$H$28="",$H$21=""),1,0)</formula>
    </cfRule>
  </conditionalFormatting>
  <conditionalFormatting sqref="J162">
    <cfRule type="expression" dxfId="3078" priority="7207" stopIfTrue="1">
      <formula>IF(AND(H162="X",H124="",#REF!="",$H$28="",$H$21=""),1,0)</formula>
    </cfRule>
  </conditionalFormatting>
  <conditionalFormatting sqref="J172">
    <cfRule type="expression" dxfId="3077" priority="76">
      <formula>$G$172</formula>
    </cfRule>
  </conditionalFormatting>
  <conditionalFormatting sqref="J185:J186">
    <cfRule type="expression" dxfId="3076" priority="16">
      <formula>$G$185</formula>
    </cfRule>
  </conditionalFormatting>
  <conditionalFormatting sqref="J199:J202">
    <cfRule type="expression" dxfId="3075" priority="50">
      <formula>$G$199</formula>
    </cfRule>
  </conditionalFormatting>
  <conditionalFormatting sqref="J206">
    <cfRule type="expression" dxfId="3074" priority="45">
      <formula>$G$206</formula>
    </cfRule>
  </conditionalFormatting>
  <conditionalFormatting sqref="J216">
    <cfRule type="expression" dxfId="3073" priority="43">
      <formula>$G216</formula>
    </cfRule>
  </conditionalFormatting>
  <conditionalFormatting sqref="J226">
    <cfRule type="expression" dxfId="3072" priority="37">
      <formula>$G226</formula>
    </cfRule>
  </conditionalFormatting>
  <conditionalFormatting sqref="J235:J236">
    <cfRule type="expression" dxfId="3071" priority="1304" stopIfTrue="1">
      <formula>$G$235</formula>
    </cfRule>
  </conditionalFormatting>
  <conditionalFormatting sqref="J276">
    <cfRule type="expression" dxfId="3070" priority="248" stopIfTrue="1">
      <formula>IF($H$276="X",1,0)</formula>
    </cfRule>
  </conditionalFormatting>
  <conditionalFormatting sqref="J294">
    <cfRule type="expression" dxfId="3069" priority="247" stopIfTrue="1">
      <formula>IF($H$294="X",1,0)</formula>
    </cfRule>
  </conditionalFormatting>
  <conditionalFormatting sqref="J302 D471">
    <cfRule type="expression" dxfId="3068" priority="321" stopIfTrue="1">
      <formula>IF(AND($B$276="",$B$294="X",B302&lt;&gt;""),1,0)</formula>
    </cfRule>
  </conditionalFormatting>
  <conditionalFormatting sqref="J125:L125">
    <cfRule type="expression" dxfId="3067" priority="2655" stopIfTrue="1">
      <formula>$N$125</formula>
    </cfRule>
  </conditionalFormatting>
  <conditionalFormatting sqref="L283">
    <cfRule type="expression" dxfId="3066" priority="29">
      <formula>IF(M283,1,0)</formula>
    </cfRule>
  </conditionalFormatting>
  <conditionalFormatting sqref="L286">
    <cfRule type="expression" dxfId="3065" priority="34">
      <formula>IF(M286,1,0)</formula>
    </cfRule>
  </conditionalFormatting>
  <conditionalFormatting sqref="L289">
    <cfRule type="expression" dxfId="3064" priority="31">
      <formula>IF(M289,1,0)</formula>
    </cfRule>
  </conditionalFormatting>
  <conditionalFormatting sqref="L292">
    <cfRule type="expression" dxfId="3063" priority="30">
      <formula>IF(M292,1,0)</formula>
    </cfRule>
  </conditionalFormatting>
  <conditionalFormatting sqref="L337">
    <cfRule type="expression" dxfId="3062" priority="199">
      <formula>$M$337</formula>
    </cfRule>
  </conditionalFormatting>
  <conditionalFormatting sqref="L340">
    <cfRule type="expression" dxfId="3061" priority="200">
      <formula>IF(L340="Yes",1,0)</formula>
    </cfRule>
  </conditionalFormatting>
  <conditionalFormatting sqref="L479">
    <cfRule type="expression" dxfId="3060" priority="24">
      <formula>$L$479="Yes"</formula>
    </cfRule>
    <cfRule type="expression" dxfId="3059" priority="23">
      <formula>$L$479="No"</formula>
    </cfRule>
  </conditionalFormatting>
  <conditionalFormatting sqref="L482">
    <cfRule type="expression" dxfId="3058" priority="21">
      <formula>$L$482="No"</formula>
    </cfRule>
    <cfRule type="expression" dxfId="3057" priority="22">
      <formula>$L$482="Yes"</formula>
    </cfRule>
  </conditionalFormatting>
  <conditionalFormatting sqref="M10">
    <cfRule type="expression" dxfId="3056" priority="196">
      <formula>IF(M10="No",1,0)</formula>
    </cfRule>
  </conditionalFormatting>
  <conditionalFormatting sqref="M13">
    <cfRule type="expression" dxfId="3055" priority="195">
      <formula>IF(M13="No",1,0)</formula>
    </cfRule>
  </conditionalFormatting>
  <conditionalFormatting sqref="M16">
    <cfRule type="expression" dxfId="3054" priority="194">
      <formula>IF(M16="No",1,0)</formula>
    </cfRule>
  </conditionalFormatting>
  <conditionalFormatting sqref="M19">
    <cfRule type="expression" dxfId="3053" priority="193">
      <formula>M19="No"</formula>
    </cfRule>
  </conditionalFormatting>
  <conditionalFormatting sqref="M176">
    <cfRule type="expression" dxfId="3052" priority="6">
      <formula>AND(K164,OR(YourAge&lt;25,YourAge&gt;=65))</formula>
    </cfRule>
  </conditionalFormatting>
  <conditionalFormatting sqref="M177">
    <cfRule type="expression" dxfId="3051" priority="5">
      <formula>AND(K164,OR(SpouseAge&lt;25,SpouseAge&gt;=65))</formula>
    </cfRule>
  </conditionalFormatting>
  <conditionalFormatting sqref="N63:Y66">
    <cfRule type="expression" dxfId="3050" priority="92">
      <formula>$N$60</formula>
    </cfRule>
  </conditionalFormatting>
  <conditionalFormatting sqref="O6">
    <cfRule type="expression" dxfId="3049" priority="4">
      <formula>NoColor</formula>
    </cfRule>
  </conditionalFormatting>
  <conditionalFormatting sqref="O502:O504">
    <cfRule type="expression" dxfId="3048" priority="197">
      <formula>IF($O$496="",0,IF($O$496&gt;0,1,0))</formula>
    </cfRule>
  </conditionalFormatting>
  <hyperlinks>
    <hyperlink ref="D501" r:id="rId1" xr:uid="{00000000-0004-0000-1A00-000000000000}"/>
    <hyperlink ref="B358" r:id="rId2" xr:uid="{00000000-0004-0000-1A00-000001000000}"/>
  </hyperlinks>
  <pageMargins left="0.75" right="0.25" top="0.36" bottom="0.28999999999999998" header="0.36" footer="0.21"/>
  <pageSetup scale="67" fitToHeight="0" orientation="portrait" r:id="rId3"/>
  <rowBreaks count="9" manualBreakCount="9">
    <brk id="42" max="16383" man="1"/>
    <brk id="84" max="24" man="1"/>
    <brk id="162" max="24" man="1"/>
    <brk id="229" max="24" man="1"/>
    <brk id="296" max="16383" man="1"/>
    <brk id="304" max="24" man="1"/>
    <brk id="365" max="24" man="1"/>
    <brk id="412" max="24" man="1"/>
    <brk id="472" max="16383" man="1"/>
  </rowBreaks>
  <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5">
    <pageSetUpPr fitToPage="1"/>
  </sheetPr>
  <dimension ref="A1:AY209"/>
  <sheetViews>
    <sheetView zoomScaleNormal="100" zoomScaleSheetLayoutView="100" workbookViewId="0"/>
  </sheetViews>
  <sheetFormatPr defaultRowHeight="12.75"/>
  <cols>
    <col min="1" max="1" width="1.85546875" customWidth="1"/>
    <col min="2" max="2" width="14" customWidth="1"/>
    <col min="3" max="3" width="5.28515625" customWidth="1"/>
    <col min="4" max="4" width="2.140625" customWidth="1"/>
    <col min="5" max="5" width="3.85546875" customWidth="1"/>
    <col min="6" max="6" width="11" customWidth="1"/>
    <col min="7" max="7" width="4.140625" customWidth="1"/>
    <col min="8" max="8" width="24.42578125" customWidth="1"/>
    <col min="9" max="9" width="4.42578125" customWidth="1"/>
    <col min="10" max="10" width="10.5703125" customWidth="1"/>
    <col min="11" max="11" width="3.28515625" customWidth="1"/>
    <col min="12" max="12" width="1.28515625" customWidth="1"/>
    <col min="13" max="13" width="4.28515625" customWidth="1"/>
    <col min="14" max="14" width="15.5703125" customWidth="1"/>
    <col min="15" max="15" width="3.5703125" style="84" customWidth="1"/>
    <col min="16" max="16" width="18.140625" customWidth="1"/>
    <col min="17" max="17" width="2.28515625" customWidth="1"/>
    <col min="18" max="18" width="14" style="212" customWidth="1"/>
    <col min="19" max="19" width="11.7109375" customWidth="1"/>
    <col min="20" max="20" width="18.7109375" customWidth="1"/>
    <col min="21" max="22" width="3.5703125" customWidth="1"/>
    <col min="23" max="23" width="4.5703125" style="1040" customWidth="1"/>
    <col min="24" max="24" width="3.5703125" customWidth="1"/>
    <col min="25" max="25" width="5.42578125" customWidth="1"/>
    <col min="26" max="26" width="9.85546875" customWidth="1"/>
    <col min="27" max="28" width="10.42578125" customWidth="1"/>
    <col min="29" max="29" width="11.85546875" customWidth="1"/>
    <col min="30" max="30" width="24.7109375" customWidth="1"/>
    <col min="31" max="31" width="5.85546875" customWidth="1"/>
    <col min="32" max="32" width="5.28515625" customWidth="1"/>
    <col min="33" max="33" width="13.42578125" customWidth="1"/>
    <col min="34" max="34" width="3.5703125" customWidth="1"/>
    <col min="35" max="35" width="12.7109375" customWidth="1"/>
    <col min="36" max="37" width="3.5703125" customWidth="1"/>
    <col min="38" max="38" width="6.5703125" customWidth="1"/>
    <col min="39" max="39" width="10.5703125" customWidth="1"/>
    <col min="40" max="40" width="4.140625" customWidth="1"/>
    <col min="41" max="41" width="13.7109375" style="1357" customWidth="1"/>
    <col min="42" max="51" width="10.7109375" style="658" customWidth="1"/>
  </cols>
  <sheetData>
    <row r="1" spans="1:41" ht="16.5" customHeight="1" thickBot="1">
      <c r="A1" s="139"/>
      <c r="B1" s="139"/>
      <c r="C1" s="139"/>
      <c r="D1" s="139"/>
      <c r="E1" s="139"/>
      <c r="F1" s="139"/>
      <c r="G1" s="139"/>
      <c r="H1" s="139"/>
      <c r="I1" s="139"/>
      <c r="J1" s="139"/>
      <c r="K1" s="139"/>
      <c r="L1" s="139"/>
      <c r="M1" s="139"/>
      <c r="N1" s="139"/>
      <c r="O1" s="139"/>
      <c r="P1" s="139"/>
      <c r="Q1" s="139"/>
      <c r="T1" s="1224"/>
      <c r="AO1" s="1356" t="s">
        <v>223</v>
      </c>
    </row>
    <row r="2" spans="1:41" ht="14.25" customHeight="1">
      <c r="A2" s="139"/>
      <c r="B2" s="6759"/>
      <c r="C2" s="2907"/>
      <c r="D2" s="377"/>
      <c r="E2" s="377"/>
      <c r="F2" s="377"/>
      <c r="G2" s="377"/>
      <c r="H2" s="377"/>
      <c r="I2" s="377"/>
      <c r="J2" s="377"/>
      <c r="K2" s="377"/>
      <c r="L2" s="377"/>
      <c r="M2" s="378"/>
      <c r="N2" s="139"/>
      <c r="O2" s="6759"/>
      <c r="P2" s="378"/>
      <c r="Q2" s="139"/>
      <c r="T2" s="1224"/>
      <c r="W2" s="6760" t="s">
        <v>1802</v>
      </c>
      <c r="X2" s="377"/>
      <c r="Y2" s="377"/>
      <c r="Z2" s="377"/>
      <c r="AA2" s="377"/>
      <c r="AB2" s="377"/>
      <c r="AC2" s="377"/>
      <c r="AD2" s="377"/>
      <c r="AE2" s="377"/>
      <c r="AF2" s="496" t="s">
        <v>1803</v>
      </c>
      <c r="AG2" s="377"/>
      <c r="AH2" s="377"/>
      <c r="AI2" s="377"/>
      <c r="AJ2" s="6761"/>
      <c r="AK2" s="304"/>
      <c r="AN2" s="185"/>
    </row>
    <row r="3" spans="1:41" ht="15.75" customHeight="1">
      <c r="A3" s="139"/>
      <c r="B3" s="6762" t="s">
        <v>1805</v>
      </c>
      <c r="C3" s="3789"/>
      <c r="D3" s="253"/>
      <c r="E3" s="253"/>
      <c r="F3" s="253"/>
      <c r="G3" s="253"/>
      <c r="H3" s="253"/>
      <c r="I3" s="253"/>
      <c r="J3" s="253"/>
      <c r="K3" s="253"/>
      <c r="L3" s="253"/>
      <c r="M3" s="379"/>
      <c r="N3" s="139"/>
      <c r="O3" s="6763" t="s">
        <v>389</v>
      </c>
      <c r="P3" s="379"/>
      <c r="Q3" s="139"/>
      <c r="T3" s="1224"/>
      <c r="W3" s="2844" t="s">
        <v>1804</v>
      </c>
      <c r="X3" s="253"/>
      <c r="Y3" s="253"/>
      <c r="Z3" s="253"/>
      <c r="AA3" s="253"/>
      <c r="AB3" s="253"/>
      <c r="AC3" s="253"/>
      <c r="AD3" s="343" t="str">
        <f>TEXT(P18,"0.0%")&amp;" of the amount of your adjusted gross income on Form 1040, line 11."</f>
        <v>7.5% of the amount of your adjusted gross income on Form 1040, line 11.</v>
      </c>
      <c r="AE3" s="253"/>
      <c r="AF3" s="253"/>
      <c r="AG3" s="253"/>
      <c r="AH3" s="253"/>
      <c r="AI3" s="253"/>
      <c r="AJ3" s="512"/>
      <c r="AK3" s="6764"/>
      <c r="AN3" s="6765"/>
      <c r="AO3" s="1362" t="s">
        <v>227</v>
      </c>
    </row>
    <row r="4" spans="1:41" ht="12" customHeight="1">
      <c r="A4" s="139"/>
      <c r="B4" s="6766" t="s">
        <v>1807</v>
      </c>
      <c r="C4" s="3789"/>
      <c r="D4" s="253"/>
      <c r="E4" s="253"/>
      <c r="F4" s="253"/>
      <c r="G4" s="253"/>
      <c r="H4" s="253"/>
      <c r="I4" s="253"/>
      <c r="J4" s="253"/>
      <c r="K4" s="253"/>
      <c r="L4" s="253"/>
      <c r="M4" s="379"/>
      <c r="N4" s="139"/>
      <c r="O4" s="6767" t="s">
        <v>1808</v>
      </c>
      <c r="P4" s="379"/>
      <c r="Q4" s="139"/>
      <c r="T4" s="1224"/>
      <c r="W4" s="2846" t="s">
        <v>1806</v>
      </c>
      <c r="X4" s="799"/>
      <c r="Y4" s="799"/>
      <c r="Z4" s="799"/>
      <c r="AA4" s="799"/>
      <c r="AB4" s="799"/>
      <c r="AC4" s="799"/>
      <c r="AD4" s="799"/>
      <c r="AE4" s="799"/>
      <c r="AF4" s="799"/>
      <c r="AG4" s="799"/>
      <c r="AH4" s="343" t="str">
        <f>"of  "&amp;TaxYear&amp;","</f>
        <v>of  2025,</v>
      </c>
      <c r="AI4" s="799"/>
      <c r="AJ4" s="512"/>
      <c r="AK4" s="6768"/>
      <c r="AL4" s="1022"/>
      <c r="AM4" s="1022"/>
      <c r="AN4" s="1022"/>
    </row>
    <row r="5" spans="1:41" ht="13.5" customHeight="1" thickBot="1">
      <c r="A5" s="139"/>
      <c r="B5" s="6766" t="s">
        <v>5417</v>
      </c>
      <c r="C5" s="1665"/>
      <c r="D5" s="253"/>
      <c r="E5" s="253"/>
      <c r="F5" s="253"/>
      <c r="G5" s="253"/>
      <c r="H5" s="253"/>
      <c r="I5" s="253"/>
      <c r="J5" s="253"/>
      <c r="K5" s="253"/>
      <c r="L5" s="253"/>
      <c r="M5" s="379"/>
      <c r="N5" s="139"/>
      <c r="O5" s="6767" t="s">
        <v>6195</v>
      </c>
      <c r="P5" s="379"/>
      <c r="Q5" s="139"/>
      <c r="T5" s="1224"/>
      <c r="W5" s="8053" t="s">
        <v>6136</v>
      </c>
      <c r="X5" s="8054"/>
      <c r="Y5" s="8054"/>
      <c r="Z5" s="8054"/>
      <c r="AA5" s="8054"/>
      <c r="AB5" s="8054"/>
      <c r="AC5" s="8054"/>
      <c r="AD5" s="8054"/>
      <c r="AE5" s="8054"/>
      <c r="AF5" s="8054"/>
      <c r="AG5" s="8054"/>
      <c r="AH5" s="8054"/>
      <c r="AI5" s="8054"/>
      <c r="AJ5" s="8055"/>
      <c r="AK5" s="6768"/>
      <c r="AL5" s="253"/>
      <c r="AM5" s="817" t="s">
        <v>1809</v>
      </c>
      <c r="AN5" s="1022"/>
    </row>
    <row r="6" spans="1:41" ht="13.5" thickBot="1">
      <c r="A6" s="139"/>
      <c r="B6" s="6766"/>
      <c r="C6" s="1665"/>
      <c r="D6" s="253"/>
      <c r="E6" s="253"/>
      <c r="F6" s="253"/>
      <c r="G6" s="253"/>
      <c r="H6" s="253"/>
      <c r="I6" s="253"/>
      <c r="J6" s="253"/>
      <c r="K6" s="253"/>
      <c r="L6" s="253"/>
      <c r="M6" s="379"/>
      <c r="N6" s="139"/>
      <c r="O6" s="6767" t="s">
        <v>6192</v>
      </c>
      <c r="P6" s="379"/>
      <c r="Q6" s="139"/>
      <c r="T6" s="1224"/>
      <c r="W6" s="6769"/>
      <c r="X6" s="3128"/>
      <c r="Y6" s="6770"/>
      <c r="Z6" s="6770"/>
      <c r="AA6" s="6770"/>
      <c r="AB6" s="6770"/>
      <c r="AC6" s="6770"/>
      <c r="AD6" s="6771"/>
      <c r="AE6" s="6770"/>
      <c r="AF6" s="6772"/>
      <c r="AG6" s="6773" t="str">
        <f>IF(File_Marr_Joint="","","You")</f>
        <v/>
      </c>
      <c r="AH6" s="6774"/>
      <c r="AI6" s="6773" t="str">
        <f>IF(File_Marr_Joint="","","Spouse")</f>
        <v/>
      </c>
      <c r="AJ6" s="6775"/>
      <c r="AK6" s="6768"/>
      <c r="AL6" s="185" t="s">
        <v>765</v>
      </c>
      <c r="AM6" s="817" t="s">
        <v>1810</v>
      </c>
      <c r="AN6" s="1022"/>
    </row>
    <row r="7" spans="1:41" ht="13.5" thickBot="1">
      <c r="A7" s="139"/>
      <c r="B7" s="5210"/>
      <c r="C7" s="380"/>
      <c r="D7" s="380"/>
      <c r="E7" s="380"/>
      <c r="F7" s="380"/>
      <c r="G7" s="380"/>
      <c r="H7" s="380"/>
      <c r="I7" s="380"/>
      <c r="J7" s="380"/>
      <c r="K7" s="380"/>
      <c r="L7" s="380"/>
      <c r="M7" s="381"/>
      <c r="N7" s="139"/>
      <c r="O7" s="5210"/>
      <c r="P7" s="381"/>
      <c r="Q7" s="139"/>
      <c r="T7" s="1224"/>
      <c r="W7" s="3137"/>
      <c r="X7" s="1022"/>
      <c r="Y7" s="1022"/>
      <c r="Z7" s="1022"/>
      <c r="AA7" s="1022"/>
      <c r="AB7" s="1022"/>
      <c r="AC7" s="1022"/>
      <c r="AD7" s="1022"/>
      <c r="AE7" s="1022"/>
      <c r="AF7" s="2956" t="str">
        <f>IF(AG7="","","Age:")</f>
        <v/>
      </c>
      <c r="AG7" s="2968" t="str">
        <f>IF(ISERROR(YourAge+1),"",YourAge)</f>
        <v/>
      </c>
      <c r="AH7" s="1022"/>
      <c r="AI7" s="2968" t="str">
        <f>IF(ISERROR(SpouseAge+1),"",SpouseAge)</f>
        <v/>
      </c>
      <c r="AJ7" s="6776"/>
      <c r="AK7" s="6768"/>
      <c r="AL7" s="6777">
        <v>0</v>
      </c>
      <c r="AM7" s="6778">
        <v>480</v>
      </c>
      <c r="AN7" s="1022"/>
    </row>
    <row r="8" spans="1:41" ht="15.75" customHeight="1">
      <c r="A8" s="139"/>
      <c r="B8" s="139"/>
      <c r="C8" s="139"/>
      <c r="D8" s="139"/>
      <c r="E8" s="139"/>
      <c r="F8" s="139"/>
      <c r="G8" s="139"/>
      <c r="H8" s="139"/>
      <c r="I8" s="139"/>
      <c r="J8" s="139"/>
      <c r="K8" s="139"/>
      <c r="L8" s="139"/>
      <c r="M8" s="139"/>
      <c r="N8" s="139"/>
      <c r="O8" s="6779"/>
      <c r="P8" s="6780" t="str">
        <f>IF('Table of Contents'!A33="D","DRAFT","")</f>
        <v/>
      </c>
      <c r="Q8" s="139"/>
      <c r="T8" s="1224"/>
      <c r="W8" s="6781" t="s">
        <v>157</v>
      </c>
      <c r="X8" s="2956" t="s">
        <v>1811</v>
      </c>
      <c r="Y8" s="1022"/>
      <c r="Z8" s="1022"/>
      <c r="AA8" s="1022"/>
      <c r="AB8" s="1022"/>
      <c r="AC8" s="1022"/>
      <c r="AD8" s="1022"/>
      <c r="AE8" s="1022"/>
      <c r="AF8" s="6782" t="str">
        <f>IF(File_Marr_Joint="","1.","1a.")</f>
        <v>1.</v>
      </c>
      <c r="AG8" s="822"/>
      <c r="AH8" s="6782" t="str">
        <f>IF(File_Marr_Joint="","","1b.")</f>
        <v/>
      </c>
      <c r="AI8" s="822"/>
      <c r="AJ8" s="3136"/>
      <c r="AK8" s="1022"/>
      <c r="AL8" s="3912">
        <v>41</v>
      </c>
      <c r="AM8" s="6783">
        <v>900</v>
      </c>
      <c r="AN8" s="1022"/>
    </row>
    <row r="9" spans="1:41" ht="15.75" customHeight="1">
      <c r="A9" s="139"/>
      <c r="B9" s="5199" t="s">
        <v>1812</v>
      </c>
      <c r="C9" s="6784"/>
      <c r="D9" s="8030" t="s">
        <v>1813</v>
      </c>
      <c r="E9" s="8031"/>
      <c r="F9" s="8031"/>
      <c r="G9" s="8031"/>
      <c r="H9" s="8031"/>
      <c r="I9" s="8031"/>
      <c r="J9" s="8031"/>
      <c r="K9" s="8031"/>
      <c r="L9" s="8031"/>
      <c r="M9" s="8031"/>
      <c r="N9" s="8032"/>
      <c r="O9" s="8062" t="str">
        <f>IF(AND(Q9="",'Table of Contents'!A33="D"),"DRAFT","OMB No. 1545-0074")</f>
        <v>OMB No. 1545-0074</v>
      </c>
      <c r="P9" s="8063"/>
      <c r="Q9" s="1251"/>
      <c r="R9" s="6785" t="b">
        <f>OR(ItemizeAnyway,AND(P63&lt;&gt;"",P63&lt;&gt;0,P63&gt;Standard))</f>
        <v>0</v>
      </c>
      <c r="T9" s="1224"/>
      <c r="W9" s="3137"/>
      <c r="X9" s="1022"/>
      <c r="Y9" s="1022"/>
      <c r="Z9" s="1022"/>
      <c r="AA9" s="1022"/>
      <c r="AB9" s="1022"/>
      <c r="AC9" s="1022"/>
      <c r="AD9" s="1022"/>
      <c r="AE9" s="1022"/>
      <c r="AF9" s="1022"/>
      <c r="AG9" s="1022"/>
      <c r="AH9" s="1022"/>
      <c r="AI9" s="1022"/>
      <c r="AJ9" s="3136"/>
      <c r="AK9" s="1022"/>
      <c r="AL9" s="3912">
        <v>51</v>
      </c>
      <c r="AM9" s="6783">
        <v>1800</v>
      </c>
      <c r="AN9" s="1022"/>
    </row>
    <row r="10" spans="1:41" ht="18.75" customHeight="1">
      <c r="A10" s="139"/>
      <c r="B10" s="3570" t="s">
        <v>1815</v>
      </c>
      <c r="C10" s="6786"/>
      <c r="D10" s="8070" t="s">
        <v>1817</v>
      </c>
      <c r="E10" s="8070"/>
      <c r="F10" s="8070"/>
      <c r="G10" s="8070"/>
      <c r="H10" s="8070"/>
      <c r="I10" s="8070"/>
      <c r="J10" s="8070"/>
      <c r="K10" s="8070"/>
      <c r="L10" s="8070"/>
      <c r="M10" s="8070"/>
      <c r="N10" s="8070"/>
      <c r="O10" s="8068">
        <f>TaxYear</f>
        <v>2025</v>
      </c>
      <c r="P10" s="8069"/>
      <c r="Q10" s="6779"/>
      <c r="R10" s="6787"/>
      <c r="S10" s="84"/>
      <c r="T10" s="1224"/>
      <c r="W10" s="6781" t="s">
        <v>161</v>
      </c>
      <c r="X10" s="2956" t="s">
        <v>1814</v>
      </c>
      <c r="Y10" s="1022"/>
      <c r="Z10" s="1022"/>
      <c r="AA10" s="1022"/>
      <c r="AB10" s="1022"/>
      <c r="AC10" s="1022"/>
      <c r="AD10" s="1022"/>
      <c r="AE10" s="1022"/>
      <c r="AF10" s="6782" t="str">
        <f>IF(File_Marr_Joint="","2.","2a.")</f>
        <v>2.</v>
      </c>
      <c r="AG10" s="6788" t="str">
        <f>IF(AG8="","",IF(YourAge="?","Birthdate needed.",LOOKUP(YourAge,AL7:AL11,AM7:AM11)))</f>
        <v/>
      </c>
      <c r="AH10" s="6782" t="str">
        <f>IF(File_Marr_Joint="","","2b.")</f>
        <v/>
      </c>
      <c r="AI10" s="6788" t="str">
        <f>IF(AI8="","",IF(File_Marr_Joint="","",IF(SpouseAge="?","Birthdate needed.",LOOKUP(SpouseAge,AL7:AL11,AM7:AM11))))</f>
        <v/>
      </c>
      <c r="AJ10" s="3136"/>
      <c r="AK10" s="1022"/>
      <c r="AL10" s="3912">
        <v>61</v>
      </c>
      <c r="AM10" s="6783">
        <v>4810</v>
      </c>
      <c r="AN10" s="1022"/>
    </row>
    <row r="11" spans="1:41" ht="13.5" customHeight="1" thickBot="1">
      <c r="A11" s="139"/>
      <c r="B11" s="6789" t="s">
        <v>503</v>
      </c>
      <c r="C11" s="6790"/>
      <c r="D11" s="8071" t="s">
        <v>1816</v>
      </c>
      <c r="E11" s="8071"/>
      <c r="F11" s="8071"/>
      <c r="G11" s="8071"/>
      <c r="H11" s="8071"/>
      <c r="I11" s="8071"/>
      <c r="J11" s="8071"/>
      <c r="K11" s="8071"/>
      <c r="L11" s="8071"/>
      <c r="M11" s="8071"/>
      <c r="N11" s="8071"/>
      <c r="O11" s="6791"/>
      <c r="P11" s="6792" t="s">
        <v>1055</v>
      </c>
      <c r="Q11" s="6779"/>
      <c r="R11" s="6787"/>
      <c r="S11" s="84"/>
      <c r="T11" s="1224"/>
      <c r="W11" s="3137"/>
      <c r="X11" s="1022"/>
      <c r="Y11" s="1022"/>
      <c r="Z11" s="1022"/>
      <c r="AA11" s="1022"/>
      <c r="AB11" s="1022"/>
      <c r="AC11" s="1022"/>
      <c r="AD11" s="1022"/>
      <c r="AE11" s="1022"/>
      <c r="AF11" s="1022"/>
      <c r="AG11" s="1022"/>
      <c r="AH11" s="1022"/>
      <c r="AI11" s="1022"/>
      <c r="AJ11" s="3136"/>
      <c r="AK11" s="1022"/>
      <c r="AL11" s="6793">
        <v>71</v>
      </c>
      <c r="AM11" s="6794">
        <v>6020</v>
      </c>
      <c r="AN11" s="1022"/>
    </row>
    <row r="12" spans="1:41" ht="13.5" customHeight="1" thickBot="1">
      <c r="A12" s="139"/>
      <c r="B12" s="6795" t="s">
        <v>505</v>
      </c>
      <c r="C12" s="6796"/>
      <c r="D12" s="8072" t="s">
        <v>1818</v>
      </c>
      <c r="E12" s="8073"/>
      <c r="F12" s="8073"/>
      <c r="G12" s="8073"/>
      <c r="H12" s="8073"/>
      <c r="I12" s="8073"/>
      <c r="J12" s="8073"/>
      <c r="K12" s="8073"/>
      <c r="L12" s="8073"/>
      <c r="M12" s="8073"/>
      <c r="N12" s="8073"/>
      <c r="O12" s="6797"/>
      <c r="P12" s="6798" t="s">
        <v>1819</v>
      </c>
      <c r="Q12" s="6779"/>
      <c r="R12" s="6799" t="s">
        <v>979</v>
      </c>
      <c r="S12" s="84"/>
      <c r="T12" s="1224"/>
      <c r="W12" s="6781" t="s">
        <v>167</v>
      </c>
      <c r="X12" s="2956" t="str">
        <f>IF(File_Marr_Joint="","Enter the smaller of line 1 or line 2","Enter the smaller of 1.a or 2.a (and of 1.b or 2.b)")</f>
        <v>Enter the smaller of line 1 or line 2</v>
      </c>
      <c r="Y12" s="6800"/>
      <c r="Z12" s="6800"/>
      <c r="AA12" s="6800"/>
      <c r="AB12" s="6800"/>
      <c r="AC12" s="6800"/>
      <c r="AD12" s="6800"/>
      <c r="AE12" s="1022"/>
      <c r="AF12" s="6782" t="str">
        <f>IF(File_Marr_Joint="","3.","3a.")</f>
        <v>3.</v>
      </c>
      <c r="AG12" s="6788" t="str">
        <f>IF(OR(AG8="",ISERROR(AG10+1)),"",MIN(AG8,AG10))</f>
        <v/>
      </c>
      <c r="AH12" s="6782" t="str">
        <f>IF(File_Marr_Joint="","","3b.")</f>
        <v/>
      </c>
      <c r="AI12" s="6788" t="str">
        <f>IF(OR(ISERROR(AI10+1),File_Marr_Joint="", AI8=""),"",MIN(AI8,AI10))</f>
        <v/>
      </c>
      <c r="AJ12" s="3136"/>
      <c r="AK12" s="1022"/>
      <c r="AL12" s="1022"/>
      <c r="AM12" s="1022"/>
      <c r="AN12" s="1022"/>
    </row>
    <row r="13" spans="1:41" ht="15.75" customHeight="1" thickTop="1">
      <c r="A13" s="139"/>
      <c r="B13" s="2753" t="s">
        <v>1820</v>
      </c>
      <c r="C13" s="3097"/>
      <c r="D13" s="2995"/>
      <c r="E13" s="2995"/>
      <c r="F13" s="2995"/>
      <c r="G13" s="2995"/>
      <c r="H13" s="2995"/>
      <c r="I13" s="2755"/>
      <c r="J13" s="2755"/>
      <c r="K13" s="2755"/>
      <c r="L13" s="2755"/>
      <c r="M13" s="2755"/>
      <c r="N13" s="2756"/>
      <c r="O13" s="8066" t="s">
        <v>549</v>
      </c>
      <c r="P13" s="8067"/>
      <c r="Q13" s="6779"/>
      <c r="R13" s="6799" t="s">
        <v>771</v>
      </c>
      <c r="S13" s="84"/>
      <c r="T13" s="1224"/>
      <c r="W13" s="3137"/>
      <c r="X13" s="1022"/>
      <c r="Y13" s="1022"/>
      <c r="Z13" s="1022"/>
      <c r="AA13" s="1022"/>
      <c r="AB13" s="1022"/>
      <c r="AC13" s="1022"/>
      <c r="AD13" s="1022"/>
      <c r="AE13" s="1022"/>
      <c r="AF13" s="1022"/>
      <c r="AG13" s="1022"/>
      <c r="AH13" s="1022"/>
      <c r="AI13" s="1022"/>
      <c r="AJ13" s="3136"/>
    </row>
    <row r="14" spans="1:41" ht="17.25" customHeight="1">
      <c r="A14" s="139"/>
      <c r="B14" s="8074" t="str">
        <f>Names</f>
        <v/>
      </c>
      <c r="C14" s="8074"/>
      <c r="D14" s="8074"/>
      <c r="E14" s="8074"/>
      <c r="F14" s="8074"/>
      <c r="G14" s="8074"/>
      <c r="H14" s="8074"/>
      <c r="I14" s="8074"/>
      <c r="J14" s="8074"/>
      <c r="K14" s="8074"/>
      <c r="L14" s="8074"/>
      <c r="M14" s="8074"/>
      <c r="N14" s="8075"/>
      <c r="O14" s="8064">
        <f>IF(NoSSN,"",SS_Yours)</f>
        <v>1010001</v>
      </c>
      <c r="P14" s="8065"/>
      <c r="Q14" s="6779"/>
      <c r="R14" s="6799" t="s">
        <v>1821</v>
      </c>
      <c r="S14" s="84"/>
      <c r="T14" s="6801">
        <f>IF(File_Marr_Sep&lt;&gt;"",T15,T16)</f>
        <v>10000</v>
      </c>
      <c r="W14" s="6781" t="s">
        <v>171</v>
      </c>
      <c r="X14" s="2956" t="str">
        <f>IF(File_Marr_Joint="","Enter amount from line 3.","Add lines 3a and 3b.")</f>
        <v>Enter amount from line 3.</v>
      </c>
      <c r="Y14" s="1022"/>
      <c r="Z14" s="1022"/>
      <c r="AA14" s="1022"/>
      <c r="AB14" s="1022"/>
      <c r="AC14" s="1022"/>
      <c r="AD14" s="1022"/>
      <c r="AE14" s="1022"/>
      <c r="AF14" s="6782"/>
      <c r="AG14" s="6800"/>
      <c r="AH14" s="6782" t="s">
        <v>171</v>
      </c>
      <c r="AI14" s="6788" t="str">
        <f>IF(AND(AG12="",AI12=""),"",IF(File_Marr_Joint&lt;&gt;"",SUM(AG12,AI12),AG12))</f>
        <v/>
      </c>
      <c r="AJ14" s="3136"/>
      <c r="AO14" s="1360"/>
    </row>
    <row r="15" spans="1:41" ht="14.25" customHeight="1" thickBot="1">
      <c r="A15" s="139"/>
      <c r="B15" s="3574" t="s">
        <v>1822</v>
      </c>
      <c r="C15" s="3097"/>
      <c r="D15" s="3700" t="s">
        <v>1823</v>
      </c>
      <c r="E15" s="2754"/>
      <c r="F15" s="2754"/>
      <c r="G15" s="2754"/>
      <c r="H15" s="2754"/>
      <c r="I15" s="2755"/>
      <c r="J15" s="2755"/>
      <c r="K15" s="5211"/>
      <c r="L15" s="6802"/>
      <c r="M15" s="6803"/>
      <c r="N15" s="2756"/>
      <c r="O15" s="6803"/>
      <c r="P15" s="6804"/>
      <c r="Q15" s="6779"/>
      <c r="R15" s="6805"/>
      <c r="S15" s="84"/>
      <c r="T15" s="6801">
        <v>5000</v>
      </c>
      <c r="W15" s="3137"/>
      <c r="X15" s="1022"/>
      <c r="Y15" s="1022"/>
      <c r="Z15" s="1022"/>
      <c r="AA15" s="1022"/>
      <c r="AB15" s="1022"/>
      <c r="AC15" s="1022"/>
      <c r="AD15" s="1022"/>
      <c r="AE15" s="1022"/>
      <c r="AF15" s="1022"/>
      <c r="AG15" s="1022"/>
      <c r="AH15" s="1022"/>
      <c r="AI15" s="1022"/>
      <c r="AJ15" s="3136"/>
      <c r="AO15" s="1360"/>
    </row>
    <row r="16" spans="1:41" ht="16.5" thickBot="1">
      <c r="A16" s="139"/>
      <c r="B16" s="3574" t="s">
        <v>463</v>
      </c>
      <c r="C16" s="3097">
        <v>1</v>
      </c>
      <c r="D16" s="3592" t="s">
        <v>1824</v>
      </c>
      <c r="E16" s="3627"/>
      <c r="F16" s="3627"/>
      <c r="G16" s="3627"/>
      <c r="H16" s="3627"/>
      <c r="I16" s="3097"/>
      <c r="J16" s="3016"/>
      <c r="K16" s="3016"/>
      <c r="L16" s="3016" t="s">
        <v>624</v>
      </c>
      <c r="M16" s="2773">
        <v>1</v>
      </c>
      <c r="N16" s="6806" t="str">
        <f>IF(R16&lt;&gt;"",ROUND(R16,0),IF(SchA_Blank,"",AI18))</f>
        <v/>
      </c>
      <c r="O16" s="6807"/>
      <c r="P16" s="6808">
        <v>20000</v>
      </c>
      <c r="Q16" s="6779"/>
      <c r="R16" s="213"/>
      <c r="S16" s="84"/>
      <c r="T16" s="6801">
        <v>10000</v>
      </c>
      <c r="W16" s="6781" t="s">
        <v>184</v>
      </c>
      <c r="X16" s="2956" t="s">
        <v>5070</v>
      </c>
      <c r="Y16" s="1022"/>
      <c r="Z16" s="1022"/>
      <c r="AA16" s="1022"/>
      <c r="AB16" s="1022"/>
      <c r="AC16" s="1022"/>
      <c r="AD16" s="1022"/>
      <c r="AE16" s="1022"/>
      <c r="AF16" s="6782"/>
      <c r="AG16" s="6800"/>
      <c r="AH16" s="6782" t="s">
        <v>184</v>
      </c>
      <c r="AI16" s="822"/>
      <c r="AJ16" s="3136"/>
      <c r="AO16" s="1360"/>
    </row>
    <row r="17" spans="1:42" ht="15.75">
      <c r="A17" s="139"/>
      <c r="B17" s="3574" t="s">
        <v>1826</v>
      </c>
      <c r="C17" s="3097">
        <v>2</v>
      </c>
      <c r="D17" s="3592" t="s">
        <v>6129</v>
      </c>
      <c r="E17" s="6809"/>
      <c r="F17" s="6809"/>
      <c r="G17" s="6809"/>
      <c r="H17" s="3016"/>
      <c r="I17" s="3693">
        <v>2</v>
      </c>
      <c r="J17" s="8078" t="str">
        <f>IF(N16="","",IF(SchA_Blank,"",Adj_Gross_Inc))</f>
        <v/>
      </c>
      <c r="K17" s="8079"/>
      <c r="L17" s="8080"/>
      <c r="M17" s="6807"/>
      <c r="N17" s="3004"/>
      <c r="O17" s="6810"/>
      <c r="P17" s="6808">
        <v>40000</v>
      </c>
      <c r="Q17" s="6779"/>
      <c r="R17" s="6805"/>
      <c r="S17" s="84"/>
      <c r="T17" s="6801"/>
      <c r="W17" s="3137"/>
      <c r="X17" s="1022"/>
      <c r="Y17" s="1022"/>
      <c r="Z17" s="1022"/>
      <c r="AA17" s="1022"/>
      <c r="AB17" s="1022"/>
      <c r="AC17" s="1022"/>
      <c r="AD17" s="1022"/>
      <c r="AE17" s="1022"/>
      <c r="AF17" s="1022"/>
      <c r="AG17" s="1022"/>
      <c r="AH17" s="1022"/>
      <c r="AI17" s="1022"/>
      <c r="AJ17" s="3136"/>
      <c r="AO17" s="1360"/>
    </row>
    <row r="18" spans="1:42" ht="14.25" customHeight="1" thickBot="1">
      <c r="A18" s="139"/>
      <c r="B18" s="3574" t="s">
        <v>1828</v>
      </c>
      <c r="C18" s="3097">
        <v>3</v>
      </c>
      <c r="D18" s="3592" t="str">
        <f>"Multiply line 2 above by "&amp;TEXT(P18,"0.0%")&amp;" ("&amp;TEXT(P18,"0.000")&amp;")"</f>
        <v>Multiply line 2 above by 7.5% (0.075)</v>
      </c>
      <c r="E18" s="3627"/>
      <c r="F18" s="3627"/>
      <c r="G18" s="3627"/>
      <c r="H18" s="3627"/>
      <c r="I18" s="3097"/>
      <c r="J18" s="3016"/>
      <c r="K18" s="3016"/>
      <c r="L18" s="3016" t="s">
        <v>648</v>
      </c>
      <c r="M18" s="2773">
        <v>3</v>
      </c>
      <c r="N18" s="6806" t="str">
        <f>IF(SchA_Blank,"",IF(AND(J17&lt;&gt;0,J17&lt;&gt;""),J17*P18,""))</f>
        <v/>
      </c>
      <c r="O18" s="6807"/>
      <c r="P18" s="6811">
        <v>7.4999999999999997E-2</v>
      </c>
      <c r="Q18" s="6779"/>
      <c r="R18" s="6805"/>
      <c r="S18" s="314"/>
      <c r="T18" s="6812">
        <v>0.3</v>
      </c>
      <c r="W18" s="6781" t="s">
        <v>188</v>
      </c>
      <c r="X18" s="2956" t="s">
        <v>1827</v>
      </c>
      <c r="Y18" s="1022"/>
      <c r="Z18" s="1022"/>
      <c r="AA18" s="1022"/>
      <c r="AB18" s="1022"/>
      <c r="AC18" s="1022"/>
      <c r="AD18" s="1022"/>
      <c r="AE18" s="1022"/>
      <c r="AF18" s="6782"/>
      <c r="AG18" s="6800"/>
      <c r="AH18" s="6782" t="s">
        <v>188</v>
      </c>
      <c r="AI18" s="6788" t="str">
        <f>IF(AND(AI14="",AI16=""),"",IF(AI14="",ROUND(AI16,0),SUM(ROUND(AI14,0),ROUND(AI16,0))))</f>
        <v/>
      </c>
      <c r="AJ18" s="3136"/>
      <c r="AO18" s="1360"/>
    </row>
    <row r="19" spans="1:42" ht="13.5" thickBot="1">
      <c r="A19" s="139"/>
      <c r="B19" s="3108"/>
      <c r="C19" s="3108">
        <v>4</v>
      </c>
      <c r="D19" s="3109" t="s">
        <v>1829</v>
      </c>
      <c r="E19" s="5212"/>
      <c r="F19" s="5212"/>
      <c r="G19" s="5212"/>
      <c r="H19" s="5212"/>
      <c r="I19" s="3565"/>
      <c r="J19" s="3565"/>
      <c r="K19" s="5213"/>
      <c r="L19" s="5213"/>
      <c r="M19" s="3565"/>
      <c r="N19" s="6813" t="s">
        <v>702</v>
      </c>
      <c r="O19" s="3693">
        <v>4</v>
      </c>
      <c r="P19" s="6814" t="str">
        <f>IF(R19&lt;&gt;"",ROUND(R19,0),IF(OR(SchA_Blank,N16="",N16=0,J17=0,J17=""),"",IF(N18&lt;0, N16,IF(N18&gt;N16,0,ROUND(N16-N18,0)))))</f>
        <v/>
      </c>
      <c r="Q19" s="6779"/>
      <c r="R19" s="213"/>
      <c r="S19" s="84"/>
      <c r="T19" s="6815" t="b">
        <f>P28</f>
        <v>0</v>
      </c>
      <c r="W19" s="6816"/>
      <c r="X19" s="6817"/>
      <c r="Y19" s="6817"/>
      <c r="Z19" s="6817"/>
      <c r="AA19" s="6817"/>
      <c r="AB19" s="6817"/>
      <c r="AC19" s="6817"/>
      <c r="AD19" s="6817"/>
      <c r="AE19" s="6817"/>
      <c r="AF19" s="6817"/>
      <c r="AG19" s="6817"/>
      <c r="AH19" s="6817"/>
      <c r="AI19" s="6817"/>
      <c r="AJ19" s="3174"/>
    </row>
    <row r="20" spans="1:42" ht="16.5" thickBot="1">
      <c r="A20" s="139"/>
      <c r="B20" s="3574" t="s">
        <v>1830</v>
      </c>
      <c r="C20" s="3097">
        <v>5</v>
      </c>
      <c r="D20" s="3592" t="s">
        <v>6156</v>
      </c>
      <c r="E20" s="3627"/>
      <c r="F20" s="3627"/>
      <c r="G20" s="3627"/>
      <c r="H20" s="3627"/>
      <c r="I20" s="3097"/>
      <c r="J20" s="192"/>
      <c r="K20" s="6818"/>
      <c r="L20" s="6819"/>
      <c r="M20" s="6803"/>
      <c r="N20" s="6820"/>
      <c r="O20" s="6779"/>
      <c r="P20" s="6821">
        <f>ROUND(SUM(StateTaxW2,LocalTaxW2,StateTax_INT,StateTax_DIV,F1099NEC_StateTaxWH,StateTaxIRA,LocalTaxIRA,StateTaxPA,LocalTaxPA,F1099G_StateTaxWH,Add_SALT),0)</f>
        <v>0</v>
      </c>
      <c r="Q20" s="6779"/>
      <c r="R20" s="6805"/>
      <c r="S20" s="84"/>
      <c r="T20" s="6801">
        <f>ModAdjGrossInc</f>
        <v>0</v>
      </c>
    </row>
    <row r="21" spans="1:42" ht="15" customHeight="1" thickBot="1">
      <c r="A21" s="139"/>
      <c r="B21" s="5067" t="s">
        <v>1831</v>
      </c>
      <c r="C21" s="3097"/>
      <c r="D21" s="2984" t="s">
        <v>588</v>
      </c>
      <c r="E21" s="2769" t="s">
        <v>1832</v>
      </c>
      <c r="F21" s="5214"/>
      <c r="G21" s="3627"/>
      <c r="H21" s="3627"/>
      <c r="I21" s="3097"/>
      <c r="J21" s="3591"/>
      <c r="K21" s="6822"/>
      <c r="L21" s="6823"/>
      <c r="M21" s="6807"/>
      <c r="N21" s="6820"/>
      <c r="O21" s="6807"/>
      <c r="P21" s="6824">
        <f>IF(File_Marr_Sep&lt;&gt;"",P16,P17)</f>
        <v>40000</v>
      </c>
      <c r="Q21" s="6779"/>
      <c r="R21" s="6825" t="s">
        <v>1833</v>
      </c>
      <c r="S21" s="84"/>
      <c r="T21" s="6826">
        <v>500000</v>
      </c>
      <c r="W21" s="6827"/>
      <c r="X21" s="496" t="s">
        <v>1803</v>
      </c>
      <c r="Y21" s="377"/>
      <c r="Z21" s="377"/>
      <c r="AA21" s="377"/>
      <c r="AB21" s="377"/>
      <c r="AC21" s="377"/>
      <c r="AD21" s="377"/>
      <c r="AE21" s="377"/>
      <c r="AF21" s="8023" t="s">
        <v>926</v>
      </c>
      <c r="AG21" s="8023"/>
      <c r="AH21" s="8023"/>
      <c r="AI21" s="8023"/>
      <c r="AJ21" s="378"/>
    </row>
    <row r="22" spans="1:42" ht="12.75" customHeight="1" thickBot="1">
      <c r="A22" s="139"/>
      <c r="B22" s="3736"/>
      <c r="C22" s="3097"/>
      <c r="D22" s="3097"/>
      <c r="E22" s="3592" t="s">
        <v>1834</v>
      </c>
      <c r="F22" s="2754"/>
      <c r="G22" s="2754"/>
      <c r="H22" s="2754"/>
      <c r="I22" s="3097"/>
      <c r="J22" s="3016"/>
      <c r="K22" s="6822"/>
      <c r="L22" s="6823"/>
      <c r="M22" s="6807"/>
      <c r="N22" s="6820"/>
      <c r="O22" s="6807"/>
      <c r="P22" s="6824">
        <f>IF(AND(File_Marr_Sep&lt;&gt;"",T19),MAX($T$15,SUM($P$16,-ROUND($T$18*SUM(ModAdjGrossInc,-$T$21),0))),IF(T19,MAX($T$16,SUM(P21,-ROUND($T$18*SUM(ModAdjGrossInc,-$T$21),0))),P17))</f>
        <v>40000</v>
      </c>
      <c r="Q22" s="6779"/>
      <c r="R22" s="213"/>
      <c r="S22" s="84"/>
      <c r="T22" s="6826">
        <f>ROUND(T21/2,0)</f>
        <v>250000</v>
      </c>
      <c r="W22" s="6828" t="s">
        <v>6688</v>
      </c>
      <c r="X22" s="253"/>
      <c r="Y22" s="253"/>
      <c r="Z22" s="253"/>
      <c r="AA22" s="253"/>
      <c r="AB22" s="253"/>
      <c r="AC22" s="253"/>
      <c r="AD22" s="253"/>
      <c r="AE22" s="253"/>
      <c r="AF22" s="8024"/>
      <c r="AG22" s="8024"/>
      <c r="AH22" s="8024"/>
      <c r="AI22" s="8024"/>
      <c r="AJ22" s="379"/>
    </row>
    <row r="23" spans="1:42" ht="12.75" customHeight="1" thickBot="1">
      <c r="A23" s="139"/>
      <c r="B23" s="3736"/>
      <c r="C23" s="3097"/>
      <c r="D23" s="3097"/>
      <c r="E23" s="3592" t="s">
        <v>1835</v>
      </c>
      <c r="F23" s="2754"/>
      <c r="G23" s="2754"/>
      <c r="H23" s="2754"/>
      <c r="I23" s="3097"/>
      <c r="J23" s="3016"/>
      <c r="K23" s="6822"/>
      <c r="L23" s="6823"/>
      <c r="M23" s="6829"/>
      <c r="N23" s="6820"/>
      <c r="O23" s="6807"/>
      <c r="P23" s="6830" t="b">
        <f>IF(K24&lt;&gt;"",FALSE,IF(OR(P20&lt;&gt;0,R22&lt;&gt;""),TRUE,FALSE))</f>
        <v>0</v>
      </c>
      <c r="Q23" s="6779"/>
      <c r="R23" s="6805"/>
      <c r="S23" s="84"/>
      <c r="T23" s="987">
        <f>IF(AND(K24="",R22&lt;&gt;""),ROUND(R22,0),IF(K24="",P20,0))</f>
        <v>0</v>
      </c>
      <c r="W23" s="6831"/>
      <c r="X23" s="380"/>
      <c r="Y23" s="380"/>
      <c r="Z23" s="380"/>
      <c r="AA23" s="380"/>
      <c r="AB23" s="380"/>
      <c r="AC23" s="380"/>
      <c r="AD23" s="380"/>
      <c r="AE23" s="380"/>
      <c r="AF23" s="380"/>
      <c r="AG23" s="380"/>
      <c r="AH23" s="380"/>
      <c r="AI23" s="380"/>
      <c r="AJ23" s="381"/>
    </row>
    <row r="24" spans="1:42" ht="12.75" customHeight="1" thickBot="1">
      <c r="A24" s="139"/>
      <c r="B24" s="2753"/>
      <c r="C24" s="3097"/>
      <c r="D24" s="3097"/>
      <c r="E24" s="3592" t="s">
        <v>1836</v>
      </c>
      <c r="F24" s="5214"/>
      <c r="G24" s="3627"/>
      <c r="H24" s="3627"/>
      <c r="I24" s="3097"/>
      <c r="J24" s="3016" t="s">
        <v>793</v>
      </c>
      <c r="K24" s="276"/>
      <c r="L24" s="6832"/>
      <c r="M24" s="3693" t="s">
        <v>629</v>
      </c>
      <c r="N24" s="6833" t="str">
        <f>IF(SchA_Blank,"",IF(AND(P23,R22&lt;&gt;""),R22,IF(P23,P20,IF(AND(K24&lt;&gt;"",R24&lt;&gt;""),ROUND(R24,0),IF(AND(K24&lt;&gt;"",AI91&lt;&gt;""),ROUND(AI91,0),"")))))</f>
        <v/>
      </c>
      <c r="O24" s="6807"/>
      <c r="P24" s="6834">
        <f>IF(N24="",0,ROUND(N24,0))</f>
        <v>0</v>
      </c>
      <c r="Q24" s="6779"/>
      <c r="R24" s="213"/>
      <c r="S24" s="84"/>
      <c r="T24" s="8026" t="str">
        <f>IF($T$19,"NOTE: Your SALT deduction limit may have been reduced by "&amp;TEXT(T18,"0%")&amp;" of MAGI amounts exeeding "&amp;TEXT(T21,"$0,000")&amp;" but not lower than "&amp;TEXT(T14,"$0,000")&amp;"."&amp;CHAR(10)&amp;"See SALT deduction worksheet below.","")</f>
        <v/>
      </c>
      <c r="W24" s="3137"/>
      <c r="X24" s="1022"/>
      <c r="Y24" s="1022"/>
      <c r="Z24" s="1022"/>
      <c r="AA24" s="1022"/>
      <c r="AB24" s="1022"/>
      <c r="AC24" s="1022"/>
      <c r="AD24" s="1022"/>
      <c r="AE24" s="1022"/>
      <c r="AF24" s="6776"/>
      <c r="AG24" s="6776"/>
      <c r="AH24" s="1022"/>
      <c r="AI24" s="1022"/>
      <c r="AJ24" s="3136"/>
    </row>
    <row r="25" spans="1:42" ht="12.75" customHeight="1">
      <c r="A25" s="139"/>
      <c r="B25" s="2753"/>
      <c r="C25" s="3097"/>
      <c r="D25" s="2984" t="s">
        <v>592</v>
      </c>
      <c r="E25" s="3592" t="s">
        <v>1837</v>
      </c>
      <c r="F25" s="3627"/>
      <c r="G25" s="3627"/>
      <c r="H25" s="3627"/>
      <c r="I25" s="3097"/>
      <c r="J25" s="3016"/>
      <c r="K25" s="3016"/>
      <c r="L25" s="3016" t="s">
        <v>1838</v>
      </c>
      <c r="M25" s="3693" t="s">
        <v>985</v>
      </c>
      <c r="N25" s="802"/>
      <c r="O25" s="6807"/>
      <c r="P25" s="6834">
        <f>ROUND(N25,0)</f>
        <v>0</v>
      </c>
      <c r="Q25" s="6779"/>
      <c r="R25" s="6825" t="s">
        <v>6155</v>
      </c>
      <c r="S25" s="84"/>
      <c r="T25" s="8026"/>
      <c r="W25" s="3137" t="s">
        <v>157</v>
      </c>
      <c r="X25" s="2956" t="str">
        <f>"Enter State and local income taxes paid in "&amp;TaxYear&amp;" for a prior year, such as taxes paid with your "&amp;TaxYear-1&amp;" state or"</f>
        <v>Enter State and local income taxes paid in 2025 for a prior year, such as taxes paid with your 2024 state or</v>
      </c>
      <c r="Y25" s="1022"/>
      <c r="Z25" s="1022"/>
      <c r="AA25" s="1022"/>
      <c r="AB25" s="1022"/>
      <c r="AC25" s="1022"/>
      <c r="AD25" s="1022"/>
      <c r="AE25" s="1022"/>
      <c r="AF25" s="6776"/>
      <c r="AG25" s="6776"/>
      <c r="AH25" s="1022"/>
      <c r="AI25" s="1022"/>
      <c r="AJ25" s="3136"/>
    </row>
    <row r="26" spans="1:42" ht="13.5" customHeight="1">
      <c r="A26" s="139"/>
      <c r="B26" s="2753"/>
      <c r="C26" s="3097"/>
      <c r="D26" s="2984" t="s">
        <v>595</v>
      </c>
      <c r="E26" s="3592" t="s">
        <v>1839</v>
      </c>
      <c r="F26" s="3627"/>
      <c r="G26" s="3627"/>
      <c r="H26" s="3627"/>
      <c r="I26" s="3097"/>
      <c r="J26" s="3097"/>
      <c r="K26" s="3016"/>
      <c r="L26" s="3016" t="s">
        <v>784</v>
      </c>
      <c r="M26" s="3693" t="s">
        <v>1840</v>
      </c>
      <c r="N26" s="802"/>
      <c r="O26" s="6807"/>
      <c r="P26" s="6834">
        <f>ROUND(N26,0)</f>
        <v>0</v>
      </c>
      <c r="Q26" s="6779"/>
      <c r="R26" s="8029" t="str">
        <f>IF(K24&lt;&gt;"","See SALT worksheet. &gt;&gt;&gt;","")</f>
        <v/>
      </c>
      <c r="S26" s="84"/>
      <c r="T26" s="8026"/>
      <c r="W26" s="3137"/>
      <c r="X26" s="2956" t="str">
        <f>"local income tax return. Don't include the portion of State and local taxes paid in "&amp;TaxYear-1&amp;", penalties or interest."</f>
        <v>local income tax return. Don't include the portion of State and local taxes paid in 2024, penalties or interest.</v>
      </c>
      <c r="Y26" s="1022"/>
      <c r="Z26" s="1022"/>
      <c r="AA26" s="1022"/>
      <c r="AB26" s="1022"/>
      <c r="AC26" s="1022"/>
      <c r="AD26" s="1022"/>
      <c r="AE26" s="1022"/>
      <c r="AF26" s="6776"/>
      <c r="AG26" s="6776"/>
      <c r="AH26" s="1022"/>
      <c r="AI26" s="6703"/>
      <c r="AJ26" s="3136"/>
      <c r="AP26" s="664"/>
    </row>
    <row r="27" spans="1:42" ht="12.75" customHeight="1">
      <c r="A27" s="139"/>
      <c r="B27" s="2753"/>
      <c r="C27" s="3097"/>
      <c r="D27" s="2984" t="s">
        <v>599</v>
      </c>
      <c r="E27" s="3592" t="s">
        <v>1841</v>
      </c>
      <c r="F27" s="3627"/>
      <c r="G27" s="3627"/>
      <c r="H27" s="3627"/>
      <c r="I27" s="3097"/>
      <c r="J27" s="3097"/>
      <c r="K27" s="3016"/>
      <c r="L27" s="3016" t="s">
        <v>908</v>
      </c>
      <c r="M27" s="3693" t="s">
        <v>1842</v>
      </c>
      <c r="N27" s="6835">
        <f>IF(SchA_Blank,"",SUM(P24:P26))</f>
        <v>0</v>
      </c>
      <c r="O27" s="6807"/>
      <c r="P27" s="6836">
        <f>IF(File_Marr_Sep&lt;&gt;"",T15,T16)</f>
        <v>10000</v>
      </c>
      <c r="Q27" s="6779"/>
      <c r="R27" s="8029"/>
      <c r="S27" s="84"/>
      <c r="T27" s="8026"/>
      <c r="W27" s="3137"/>
      <c r="X27" s="1022"/>
      <c r="Y27" s="1022"/>
      <c r="Z27" s="1022"/>
      <c r="AA27" s="1022"/>
      <c r="AB27" s="1022"/>
      <c r="AC27" s="1022"/>
      <c r="AD27" s="1022"/>
      <c r="AE27" s="1022"/>
      <c r="AF27" s="6776"/>
      <c r="AG27" s="6776"/>
      <c r="AH27" s="1022"/>
      <c r="AI27" s="1022"/>
      <c r="AJ27" s="3136"/>
    </row>
    <row r="28" spans="1:42" ht="38.25" customHeight="1" thickBot="1">
      <c r="A28" s="139"/>
      <c r="B28" s="2753"/>
      <c r="C28" s="3097"/>
      <c r="D28" s="5183" t="s">
        <v>603</v>
      </c>
      <c r="E28" s="8035" t="str">
        <f>"Enter the smaller of line 5d or "&amp;TEXT(P17,"$0,000")&amp;" ("&amp;TEXT(P16,"$0,000")&amp;" if married filing separately). If Form 1040 or 1040-SR, line 11b is more than "&amp;TEXT(T21,"$0,000")&amp;" ("&amp;TEXT(T22,"$0,000")&amp;" if married filing separately), or if you completed Form 2555,"</f>
        <v>Enter the smaller of line 5d or $40,000 ($20,000 if married filing separately). If Form 1040 or 1040-SR, line 11b is more than $500,000 ($250,000 if married filing separately), or if you completed Form 2555,</v>
      </c>
      <c r="F28" s="8035"/>
      <c r="G28" s="8035"/>
      <c r="H28" s="8035"/>
      <c r="I28" s="8035"/>
      <c r="J28" s="8035"/>
      <c r="K28" s="8035"/>
      <c r="L28" s="3016"/>
      <c r="M28" s="6829"/>
      <c r="N28" s="6837"/>
      <c r="O28" s="6807"/>
      <c r="P28" s="6838" t="b">
        <f>N27&gt;P27</f>
        <v>0</v>
      </c>
      <c r="Q28" s="1251"/>
      <c r="R28" s="6839" t="str">
        <f>IF($T$19,"Hide note.","")</f>
        <v/>
      </c>
      <c r="S28" s="84"/>
      <c r="T28" s="8026"/>
      <c r="W28" s="6840" t="s">
        <v>161</v>
      </c>
      <c r="X28" s="2956" t="str">
        <f>"State and local estimated tax payments made during "&amp;TaxYear&amp;", including any part of a prior year refund that you"</f>
        <v>State and local estimated tax payments made during 2025, including any part of a prior year refund that you</v>
      </c>
      <c r="Y28" s="1022"/>
      <c r="Z28" s="1022"/>
      <c r="AA28" s="1022"/>
      <c r="AB28" s="1022"/>
      <c r="AC28" s="1022"/>
      <c r="AD28" s="1022"/>
      <c r="AE28" s="1022"/>
      <c r="AF28" s="6776"/>
      <c r="AG28" s="6776"/>
      <c r="AH28" s="1022"/>
      <c r="AI28" s="1022"/>
      <c r="AJ28" s="3136"/>
    </row>
    <row r="29" spans="1:42" ht="12.75" customHeight="1" thickBot="1">
      <c r="A29" s="139"/>
      <c r="B29" s="2753"/>
      <c r="C29" s="3097"/>
      <c r="D29" s="2984"/>
      <c r="E29" s="3592" t="s">
        <v>6130</v>
      </c>
      <c r="F29" s="3627"/>
      <c r="G29" s="3627"/>
      <c r="H29" s="3627"/>
      <c r="I29" s="3097"/>
      <c r="J29" s="3097"/>
      <c r="K29" s="3016"/>
      <c r="L29" s="3016" t="s">
        <v>1063</v>
      </c>
      <c r="M29" s="3693" t="s">
        <v>1843</v>
      </c>
      <c r="N29" s="6833">
        <f>IF(R29&lt;&gt;"",ROUND(R29,0),IF(SchA_Blank,"",IF(P28,AI137,MIN(N27,P22))))</f>
        <v>0</v>
      </c>
      <c r="O29" s="6807"/>
      <c r="P29" s="6841" t="str">
        <f>IF(AND($T$19,Q28=""),"See note. &gt;&gt;&gt;","")</f>
        <v/>
      </c>
      <c r="Q29" s="6779"/>
      <c r="R29" s="213"/>
      <c r="S29" s="84"/>
      <c r="T29" s="8026"/>
      <c r="W29" s="3137"/>
      <c r="X29" s="2956" t="str">
        <f>"chose to have credited to your "&amp;TaxYear&amp;" state or local income taxes."</f>
        <v>chose to have credited to your 2025 state or local income taxes.</v>
      </c>
      <c r="Y29" s="1022"/>
      <c r="Z29" s="1022"/>
      <c r="AA29" s="1022"/>
      <c r="AB29" s="1022"/>
      <c r="AC29" s="1022"/>
      <c r="AD29" s="1022"/>
      <c r="AE29" s="1022"/>
      <c r="AF29" s="6776"/>
      <c r="AG29" s="6776"/>
      <c r="AH29" s="1022"/>
      <c r="AI29" s="6703"/>
      <c r="AJ29" s="3136"/>
    </row>
    <row r="30" spans="1:42" ht="12.75" customHeight="1">
      <c r="A30" s="139"/>
      <c r="B30" s="2753"/>
      <c r="C30" s="3097">
        <v>6</v>
      </c>
      <c r="D30" s="3592" t="s">
        <v>1844</v>
      </c>
      <c r="E30" s="3627"/>
      <c r="F30" s="3627"/>
      <c r="G30" s="3627"/>
      <c r="H30" s="3627"/>
      <c r="I30" s="8033"/>
      <c r="J30" s="8033"/>
      <c r="K30" s="8033"/>
      <c r="L30" s="6818"/>
      <c r="M30" s="6779"/>
      <c r="N30" s="6837"/>
      <c r="O30" s="6807"/>
      <c r="P30" s="6842"/>
      <c r="Q30" s="6779"/>
      <c r="R30" s="6805"/>
      <c r="S30" s="84"/>
      <c r="T30" s="391">
        <v>750000</v>
      </c>
      <c r="W30" s="3137"/>
      <c r="X30" s="1022"/>
      <c r="Y30" s="1022"/>
      <c r="Z30" s="1022"/>
      <c r="AA30" s="1022"/>
      <c r="AB30" s="1022"/>
      <c r="AC30" s="1022"/>
      <c r="AD30" s="1022"/>
      <c r="AE30" s="1022"/>
      <c r="AF30" s="6776"/>
      <c r="AG30" s="6776"/>
      <c r="AH30" s="1022"/>
      <c r="AI30" s="1022"/>
      <c r="AJ30" s="3136"/>
    </row>
    <row r="31" spans="1:42" ht="13.5" customHeight="1" thickBot="1">
      <c r="A31" s="139"/>
      <c r="B31" s="2753"/>
      <c r="C31" s="3097"/>
      <c r="D31" s="8034"/>
      <c r="E31" s="8034"/>
      <c r="F31" s="8034"/>
      <c r="G31" s="8034"/>
      <c r="H31" s="8034"/>
      <c r="I31" s="8034"/>
      <c r="J31" s="8034"/>
      <c r="K31" s="8034"/>
      <c r="L31" s="6822"/>
      <c r="M31" s="6779"/>
      <c r="N31" s="6843"/>
      <c r="O31" s="6807"/>
      <c r="P31" s="6844"/>
      <c r="Q31" s="6779"/>
      <c r="R31" s="6805"/>
      <c r="S31" s="84"/>
      <c r="T31" s="391">
        <v>375000</v>
      </c>
      <c r="W31" s="6781" t="s">
        <v>167</v>
      </c>
      <c r="X31" s="2956" t="s">
        <v>6685</v>
      </c>
      <c r="Y31" s="1022"/>
      <c r="Z31" s="1022"/>
      <c r="AA31" s="1022"/>
      <c r="AB31" s="1022"/>
      <c r="AC31" s="1022"/>
      <c r="AD31" s="1022"/>
      <c r="AE31" s="1022"/>
      <c r="AF31" s="6776"/>
      <c r="AG31" s="6776"/>
      <c r="AH31" s="1022"/>
      <c r="AI31" s="1022"/>
      <c r="AJ31" s="3136"/>
    </row>
    <row r="32" spans="1:42" ht="13.5" thickBot="1">
      <c r="A32" s="139"/>
      <c r="B32" s="2753"/>
      <c r="C32" s="3097"/>
      <c r="D32" s="8034"/>
      <c r="E32" s="8034"/>
      <c r="F32" s="8034"/>
      <c r="G32" s="8034"/>
      <c r="H32" s="8034"/>
      <c r="I32" s="8034"/>
      <c r="J32" s="8034"/>
      <c r="K32" s="8034"/>
      <c r="L32" s="6822"/>
      <c r="M32" s="3693">
        <v>6</v>
      </c>
      <c r="N32" s="802"/>
      <c r="O32" s="6807"/>
      <c r="P32" s="6844"/>
      <c r="Q32" s="6779"/>
      <c r="R32" s="213"/>
      <c r="S32" s="84"/>
      <c r="T32" s="6845" t="s">
        <v>1856</v>
      </c>
      <c r="W32" s="6781"/>
      <c r="X32" s="2956" t="s">
        <v>6273</v>
      </c>
      <c r="Y32" s="1022"/>
      <c r="Z32" s="1022"/>
      <c r="AA32" s="1022"/>
      <c r="AB32" s="1022"/>
      <c r="AC32" s="1022"/>
      <c r="AD32" s="1022"/>
      <c r="AE32" s="1022"/>
      <c r="AF32" s="6776"/>
      <c r="AG32" s="6776"/>
      <c r="AH32" s="1022"/>
      <c r="AI32" s="6703"/>
      <c r="AJ32" s="3136"/>
    </row>
    <row r="33" spans="1:36" ht="13.5" thickBot="1">
      <c r="A33" s="139"/>
      <c r="B33" s="3108"/>
      <c r="C33" s="3108">
        <v>7</v>
      </c>
      <c r="D33" s="3109" t="s">
        <v>1845</v>
      </c>
      <c r="E33" s="5212"/>
      <c r="F33" s="5212"/>
      <c r="G33" s="5212"/>
      <c r="H33" s="5212"/>
      <c r="I33" s="3565"/>
      <c r="J33" s="3565"/>
      <c r="K33" s="5215"/>
      <c r="L33" s="5215"/>
      <c r="M33" s="3565"/>
      <c r="N33" s="6813" t="s">
        <v>1846</v>
      </c>
      <c r="O33" s="2773">
        <v>7</v>
      </c>
      <c r="P33" s="6814">
        <f>IF(R33&lt;&gt;"",ROUND(R33,0),IF(SchA_Blank,"",SUM(N29,ROUND(N32,0))))</f>
        <v>0</v>
      </c>
      <c r="Q33" s="6779"/>
      <c r="R33" s="213"/>
      <c r="S33" s="84"/>
      <c r="T33" s="6846">
        <v>43084</v>
      </c>
      <c r="W33" s="6781"/>
      <c r="X33" s="2956"/>
      <c r="Y33" s="1022"/>
      <c r="Z33" s="1022"/>
      <c r="AA33" s="1022"/>
      <c r="AB33" s="1022"/>
      <c r="AC33" s="1022"/>
      <c r="AD33" s="2956" t="s">
        <v>1933</v>
      </c>
      <c r="AE33" s="1022"/>
      <c r="AF33" s="6776"/>
      <c r="AG33" s="6776"/>
      <c r="AH33" s="1022"/>
      <c r="AI33" s="1022"/>
      <c r="AJ33" s="3136"/>
    </row>
    <row r="34" spans="1:36" ht="15.75">
      <c r="A34" s="139"/>
      <c r="B34" s="3574" t="s">
        <v>1920</v>
      </c>
      <c r="C34" s="3097">
        <v>8</v>
      </c>
      <c r="D34" s="2826"/>
      <c r="E34" s="3592" t="s">
        <v>1847</v>
      </c>
      <c r="F34" s="3627"/>
      <c r="G34" s="3627"/>
      <c r="H34" s="3627"/>
      <c r="I34" s="3097"/>
      <c r="J34" s="3097"/>
      <c r="K34" s="6847"/>
      <c r="L34" s="6847"/>
      <c r="M34" s="6803"/>
      <c r="N34" s="6848"/>
      <c r="O34" s="6779"/>
      <c r="P34" s="6849"/>
      <c r="Q34" s="6779"/>
      <c r="R34" s="6805"/>
      <c r="S34" s="84"/>
      <c r="T34" s="6846"/>
      <c r="W34" s="6781" t="s">
        <v>171</v>
      </c>
      <c r="X34" s="2956" t="str">
        <f>"Other SALT paid in "&amp;TaxYear&amp;" but not reported elsewhere."</f>
        <v>Other SALT paid in 2025 but not reported elsewhere.</v>
      </c>
      <c r="Y34" s="1022"/>
      <c r="Z34" s="1022"/>
      <c r="AA34" s="1022"/>
      <c r="AB34" s="1022"/>
      <c r="AC34" s="1022"/>
      <c r="AD34" s="7189"/>
      <c r="AE34" s="7189"/>
      <c r="AF34" s="7189"/>
      <c r="AG34" s="7189"/>
      <c r="AH34" s="1022"/>
      <c r="AI34" s="6703"/>
      <c r="AJ34" s="3136"/>
    </row>
    <row r="35" spans="1:36" ht="12.75" customHeight="1">
      <c r="A35" s="139"/>
      <c r="B35" s="3574" t="s">
        <v>4896</v>
      </c>
      <c r="C35" s="3097"/>
      <c r="D35" s="3627"/>
      <c r="E35" s="3592" t="s">
        <v>1848</v>
      </c>
      <c r="F35" s="3627"/>
      <c r="G35" s="3627"/>
      <c r="H35" s="3627"/>
      <c r="I35" s="3097"/>
      <c r="J35" s="3097"/>
      <c r="K35" s="6818"/>
      <c r="L35" s="6850"/>
      <c r="M35" s="6807"/>
      <c r="N35" s="6851"/>
      <c r="O35" s="6807"/>
      <c r="P35" s="6852"/>
      <c r="Q35" s="6779"/>
      <c r="R35" s="6805"/>
      <c r="S35" s="84"/>
      <c r="T35" s="391">
        <v>1000000</v>
      </c>
      <c r="W35" s="3137"/>
      <c r="X35" s="3048"/>
      <c r="Y35" s="1022"/>
      <c r="Z35" s="1022"/>
      <c r="AA35" s="1022"/>
      <c r="AB35" s="1022"/>
      <c r="AC35" s="1022"/>
      <c r="AD35" s="1022"/>
      <c r="AE35" s="1022"/>
      <c r="AF35" s="6776"/>
      <c r="AG35" s="6776"/>
      <c r="AH35" s="6776"/>
      <c r="AI35" s="6776"/>
      <c r="AJ35" s="3136"/>
    </row>
    <row r="36" spans="1:36" ht="12.75" customHeight="1" thickBot="1">
      <c r="A36" s="139"/>
      <c r="B36" s="2753"/>
      <c r="C36" s="3097"/>
      <c r="D36" s="3627"/>
      <c r="E36" s="3592" t="s">
        <v>1850</v>
      </c>
      <c r="F36" s="3627"/>
      <c r="G36" s="3627"/>
      <c r="H36" s="3627"/>
      <c r="I36" s="3097"/>
      <c r="J36" s="3016" t="s">
        <v>877</v>
      </c>
      <c r="K36" s="1809"/>
      <c r="L36" s="1811"/>
      <c r="M36" s="6807"/>
      <c r="N36" s="6851"/>
      <c r="O36" s="6807"/>
      <c r="P36" s="6852"/>
      <c r="Q36" s="6779"/>
      <c r="R36" s="6805"/>
      <c r="S36" s="84"/>
      <c r="T36" s="391">
        <v>500000</v>
      </c>
      <c r="W36" s="6781" t="s">
        <v>184</v>
      </c>
      <c r="X36" s="2956" t="s">
        <v>6686</v>
      </c>
      <c r="Y36" s="1022"/>
      <c r="Z36" s="1022"/>
      <c r="AA36" s="1022"/>
      <c r="AB36" s="1022"/>
      <c r="AC36" s="1022"/>
      <c r="AD36" s="1022"/>
      <c r="AE36" s="1022"/>
      <c r="AF36" s="6776"/>
      <c r="AG36" s="6776"/>
      <c r="AH36" s="1022"/>
      <c r="AI36" s="1022"/>
      <c r="AJ36" s="3136"/>
    </row>
    <row r="37" spans="1:36" ht="12.75" customHeight="1" thickBot="1">
      <c r="A37" s="139"/>
      <c r="B37" s="8036" t="s">
        <v>5498</v>
      </c>
      <c r="C37" s="3097"/>
      <c r="D37" s="2984" t="s">
        <v>588</v>
      </c>
      <c r="E37" s="3592" t="s">
        <v>1852</v>
      </c>
      <c r="F37" s="3627"/>
      <c r="G37" s="3627"/>
      <c r="H37" s="3627"/>
      <c r="I37" s="3097"/>
      <c r="J37" s="3097"/>
      <c r="K37" s="6818"/>
      <c r="L37" s="6850"/>
      <c r="M37" s="6807"/>
      <c r="N37" s="6851"/>
      <c r="O37" s="6807"/>
      <c r="P37" s="6852"/>
      <c r="Q37" s="6779"/>
      <c r="R37" s="6805"/>
      <c r="S37" s="1040" t="s">
        <v>798</v>
      </c>
      <c r="T37" s="6236"/>
      <c r="W37" s="3137"/>
      <c r="X37" s="2956" t="s">
        <v>6687</v>
      </c>
      <c r="Y37" s="1022"/>
      <c r="Z37" s="1022"/>
      <c r="AA37" s="1022"/>
      <c r="AB37" s="1022"/>
      <c r="AC37" s="1022"/>
      <c r="AD37" s="1022"/>
      <c r="AE37" s="1022"/>
      <c r="AF37" s="6776"/>
      <c r="AG37" s="6776"/>
      <c r="AH37" s="1022"/>
      <c r="AI37" s="6806" t="str">
        <f>IF(AND(AI26="",AI29="",AI32="",AI34=""),"",ROUND(SUM(AI26,AI29,AI32,AI34),0))</f>
        <v/>
      </c>
      <c r="AJ37" s="3136"/>
    </row>
    <row r="38" spans="1:36" ht="13.5" thickBot="1">
      <c r="A38" s="139"/>
      <c r="B38" s="8036"/>
      <c r="C38" s="762"/>
      <c r="D38" s="779"/>
      <c r="E38" s="1051" t="s">
        <v>1853</v>
      </c>
      <c r="F38" s="780"/>
      <c r="G38" s="780"/>
      <c r="H38" s="780"/>
      <c r="I38" s="780"/>
      <c r="J38" s="780"/>
      <c r="K38" s="3016"/>
      <c r="L38" s="3016" t="s">
        <v>811</v>
      </c>
      <c r="M38" s="3693" t="s">
        <v>798</v>
      </c>
      <c r="N38" s="6756">
        <f>IF(SchA_Blank,"",MIN(T42,ROUND(T37,0)))</f>
        <v>0</v>
      </c>
      <c r="O38" s="6807"/>
      <c r="P38" s="6852"/>
      <c r="Q38" s="6779"/>
      <c r="R38" s="6805"/>
      <c r="S38" s="84"/>
      <c r="T38" s="1201" t="s">
        <v>1851</v>
      </c>
      <c r="W38" s="6853"/>
      <c r="X38" s="6817"/>
      <c r="Y38" s="6817"/>
      <c r="Z38" s="6817"/>
      <c r="AA38" s="6817"/>
      <c r="AB38" s="6817"/>
      <c r="AC38" s="6817"/>
      <c r="AD38" s="6817"/>
      <c r="AE38" s="6817"/>
      <c r="AF38" s="6854"/>
      <c r="AG38" s="6854"/>
      <c r="AH38" s="6817"/>
      <c r="AI38" s="6817"/>
      <c r="AJ38" s="3174"/>
    </row>
    <row r="39" spans="1:36" ht="13.5" thickBot="1">
      <c r="A39" s="139"/>
      <c r="B39" s="8036"/>
      <c r="C39" s="3097"/>
      <c r="D39" s="2984" t="s">
        <v>592</v>
      </c>
      <c r="E39" s="1051" t="s">
        <v>1854</v>
      </c>
      <c r="F39" s="780"/>
      <c r="G39" s="780"/>
      <c r="H39" s="780"/>
      <c r="I39" s="780"/>
      <c r="J39" s="780"/>
      <c r="K39" s="6822"/>
      <c r="L39" s="6823"/>
      <c r="M39" s="6807"/>
      <c r="N39" s="6849"/>
      <c r="O39" s="6807"/>
      <c r="P39" s="6849"/>
      <c r="Q39" s="6779"/>
      <c r="R39" s="6805"/>
      <c r="S39" s="84"/>
    </row>
    <row r="40" spans="1:36" ht="15.75" thickBot="1">
      <c r="A40" s="139"/>
      <c r="B40" s="8036"/>
      <c r="C40" s="3097"/>
      <c r="D40" s="781"/>
      <c r="E40" s="1051" t="s">
        <v>1855</v>
      </c>
      <c r="F40" s="780"/>
      <c r="G40" s="780"/>
      <c r="H40" s="780"/>
      <c r="I40" s="780"/>
      <c r="J40" s="780"/>
      <c r="K40" s="6822"/>
      <c r="L40" s="6823"/>
      <c r="M40" s="6807"/>
      <c r="N40" s="6849"/>
      <c r="O40" s="6807"/>
      <c r="P40" s="6849"/>
      <c r="Q40" s="6779"/>
      <c r="R40" s="6805"/>
      <c r="S40" s="185"/>
      <c r="T40" s="983"/>
      <c r="W40" s="6827"/>
      <c r="X40" s="496"/>
      <c r="Y40" s="377"/>
      <c r="Z40" s="377"/>
      <c r="AA40" s="377"/>
      <c r="AB40" s="377"/>
      <c r="AC40" s="377"/>
      <c r="AD40" s="377"/>
      <c r="AE40" s="6855"/>
      <c r="AF40" s="377"/>
      <c r="AG40" s="6855"/>
      <c r="AH40" s="6855"/>
      <c r="AI40" s="6855"/>
      <c r="AJ40" s="378"/>
    </row>
    <row r="41" spans="1:36" ht="16.5" thickBot="1">
      <c r="A41" s="139"/>
      <c r="B41" s="8036"/>
      <c r="C41" s="3097"/>
      <c r="D41" s="781"/>
      <c r="E41" s="1051" t="s">
        <v>1857</v>
      </c>
      <c r="F41" s="780"/>
      <c r="G41" s="780"/>
      <c r="H41" s="780"/>
      <c r="I41" s="780"/>
      <c r="J41" s="780"/>
      <c r="K41" s="6822"/>
      <c r="L41" s="6823"/>
      <c r="M41" s="6807"/>
      <c r="N41" s="6849"/>
      <c r="O41" s="6807"/>
      <c r="P41" s="6849"/>
      <c r="Q41" s="6779"/>
      <c r="R41" s="6805"/>
      <c r="S41" s="84"/>
      <c r="T41" s="6757" t="str">
        <f>IF(AND(N38&lt;&gt;"",T40=""),"Enter Loan Date","Date of Loan")</f>
        <v>Enter Loan Date</v>
      </c>
      <c r="W41" s="6828" t="s">
        <v>6148</v>
      </c>
      <c r="X41" s="6249"/>
      <c r="Y41" s="253"/>
      <c r="Z41" s="253"/>
      <c r="AA41" s="253"/>
      <c r="AB41" s="253"/>
      <c r="AC41" s="253"/>
      <c r="AD41" s="253"/>
      <c r="AE41" s="2320"/>
      <c r="AF41" s="253"/>
      <c r="AG41" s="2320"/>
      <c r="AH41" s="2320"/>
      <c r="AI41" s="2320"/>
      <c r="AJ41" s="379"/>
    </row>
    <row r="42" spans="1:36" ht="15.75" thickBot="1">
      <c r="A42" s="139"/>
      <c r="B42" s="8036"/>
      <c r="C42" s="3097"/>
      <c r="D42" s="781"/>
      <c r="E42" s="1051" t="s">
        <v>1858</v>
      </c>
      <c r="F42" s="780"/>
      <c r="G42" s="780"/>
      <c r="H42" s="780"/>
      <c r="I42" s="780"/>
      <c r="J42" s="780"/>
      <c r="K42" s="3016"/>
      <c r="L42" s="3016" t="s">
        <v>1859</v>
      </c>
      <c r="M42" s="3693" t="s">
        <v>803</v>
      </c>
      <c r="N42" s="802"/>
      <c r="O42" s="6807"/>
      <c r="P42" s="6849"/>
      <c r="Q42" s="6779"/>
      <c r="R42" s="6805"/>
      <c r="S42" s="84"/>
      <c r="T42" s="6856">
        <f>IF(AND(T45,File_Marr_Sep&lt;&gt;""),T31,IF(T45,T30,IF(File_Marr_Sep&lt;&gt;"",T36,T35)))</f>
        <v>1000000</v>
      </c>
      <c r="W42" s="6857"/>
      <c r="X42" s="6249"/>
      <c r="Y42" s="253"/>
      <c r="Z42" s="253"/>
      <c r="AA42" s="253"/>
      <c r="AB42" s="253"/>
      <c r="AC42" s="253"/>
      <c r="AD42" s="253"/>
      <c r="AE42" s="2320"/>
      <c r="AF42" s="253"/>
      <c r="AG42" s="2320"/>
      <c r="AH42" s="2320"/>
      <c r="AI42" s="2320"/>
      <c r="AJ42" s="379"/>
    </row>
    <row r="43" spans="1:36" ht="15.75">
      <c r="A43" s="139"/>
      <c r="B43" s="6858"/>
      <c r="C43" s="3097"/>
      <c r="D43" s="781"/>
      <c r="E43" s="8076"/>
      <c r="F43" s="8076"/>
      <c r="G43" s="8076"/>
      <c r="H43" s="8076"/>
      <c r="I43" s="8076"/>
      <c r="J43" s="8076"/>
      <c r="K43" s="6822"/>
      <c r="L43" s="6823"/>
      <c r="M43" s="6807"/>
      <c r="N43" s="6849"/>
      <c r="O43" s="6807"/>
      <c r="P43" s="6849"/>
      <c r="Q43" s="6779"/>
      <c r="R43" s="6805"/>
      <c r="S43" s="84"/>
      <c r="T43" s="6757" t="s">
        <v>1861</v>
      </c>
      <c r="W43" s="6828"/>
      <c r="X43" s="253"/>
      <c r="Y43" s="4521" t="s">
        <v>6196</v>
      </c>
      <c r="Z43" s="253"/>
      <c r="AA43" s="253"/>
      <c r="AB43" s="253"/>
      <c r="AC43" s="253"/>
      <c r="AD43" s="253"/>
      <c r="AE43" s="2320"/>
      <c r="AF43" s="253"/>
      <c r="AG43" s="2320"/>
      <c r="AH43" s="2320"/>
      <c r="AI43" s="2320"/>
      <c r="AJ43" s="379"/>
    </row>
    <row r="44" spans="1:36" ht="13.5" thickBot="1">
      <c r="A44" s="139"/>
      <c r="B44" s="6858"/>
      <c r="C44" s="3097"/>
      <c r="D44" s="781"/>
      <c r="E44" s="8077"/>
      <c r="F44" s="8077"/>
      <c r="G44" s="8077"/>
      <c r="H44" s="8077"/>
      <c r="I44" s="8077"/>
      <c r="J44" s="8077"/>
      <c r="K44" s="6822"/>
      <c r="L44" s="6823"/>
      <c r="M44" s="6807"/>
      <c r="N44" s="6849"/>
      <c r="O44" s="6807"/>
      <c r="P44" s="6849"/>
      <c r="Q44" s="6779"/>
      <c r="R44" s="6805"/>
      <c r="S44" s="84"/>
      <c r="T44" s="304" t="b">
        <f>AND(T37&lt;&gt;"",T37&gt;T42)</f>
        <v>0</v>
      </c>
      <c r="W44" s="6831"/>
      <c r="X44" s="380"/>
      <c r="Y44" s="380"/>
      <c r="Z44" s="380"/>
      <c r="AA44" s="380"/>
      <c r="AB44" s="380"/>
      <c r="AC44" s="380"/>
      <c r="AD44" s="380"/>
      <c r="AE44" s="380"/>
      <c r="AF44" s="380"/>
      <c r="AG44" s="380"/>
      <c r="AH44" s="380"/>
      <c r="AI44" s="380"/>
      <c r="AJ44" s="381"/>
    </row>
    <row r="45" spans="1:36" ht="18.75" thickBot="1">
      <c r="A45" s="139"/>
      <c r="B45" s="6858"/>
      <c r="C45" s="3097"/>
      <c r="D45" s="2984" t="s">
        <v>595</v>
      </c>
      <c r="E45" s="3592" t="s">
        <v>6176</v>
      </c>
      <c r="F45" s="780"/>
      <c r="G45" s="780"/>
      <c r="H45" s="780"/>
      <c r="I45" s="780"/>
      <c r="J45" s="780"/>
      <c r="K45" s="6822"/>
      <c r="L45" s="6823"/>
      <c r="M45" s="6807"/>
      <c r="N45" s="6849"/>
      <c r="O45" s="6807"/>
      <c r="P45" s="6849"/>
      <c r="Q45" s="6779"/>
      <c r="R45" s="6805"/>
      <c r="S45" s="84"/>
      <c r="T45" s="304" t="b">
        <f>T40&gt;T33</f>
        <v>0</v>
      </c>
      <c r="W45" s="3137"/>
      <c r="X45" s="1022"/>
      <c r="Y45" s="1022"/>
      <c r="Z45" s="6859"/>
      <c r="AA45" s="1022"/>
      <c r="AB45" s="1022"/>
      <c r="AC45" s="1022"/>
      <c r="AD45" s="1022"/>
      <c r="AE45" s="6776"/>
      <c r="AF45" s="1022"/>
      <c r="AG45" s="6776"/>
      <c r="AH45" s="1022"/>
      <c r="AI45" s="1022"/>
      <c r="AJ45" s="3136"/>
    </row>
    <row r="46" spans="1:36" ht="13.5" thickBot="1">
      <c r="A46" s="139"/>
      <c r="B46" s="404"/>
      <c r="C46" s="3097"/>
      <c r="D46" s="781"/>
      <c r="E46" s="3592" t="s">
        <v>6175</v>
      </c>
      <c r="F46" s="780"/>
      <c r="G46" s="780"/>
      <c r="H46" s="780"/>
      <c r="I46" s="780"/>
      <c r="J46" s="780"/>
      <c r="K46" s="3016"/>
      <c r="L46" s="3016" t="s">
        <v>872</v>
      </c>
      <c r="M46" s="3693" t="s">
        <v>806</v>
      </c>
      <c r="N46" s="802"/>
      <c r="O46" s="6807"/>
      <c r="P46" s="6849"/>
      <c r="Q46" s="6779"/>
      <c r="R46" s="6805"/>
      <c r="S46" s="185"/>
      <c r="T46" s="1200"/>
      <c r="W46" s="6860" t="s">
        <v>927</v>
      </c>
      <c r="X46" s="1022"/>
      <c r="Y46" s="1022"/>
      <c r="Z46" s="1022"/>
      <c r="AA46" s="1022" t="s">
        <v>6149</v>
      </c>
      <c r="AB46" s="1022"/>
      <c r="AC46" s="1022"/>
      <c r="AD46" s="1022"/>
      <c r="AE46" s="6234"/>
      <c r="AF46" s="1022"/>
      <c r="AG46" s="6861" t="b">
        <f>OR(AE46="CT",AE46="DC",AE46="IN",AE46="KY",AE46="MA",AE46="MD",AE46="MA",AE46="MI",AE46="NJ",AE46="RI")</f>
        <v>0</v>
      </c>
      <c r="AH46" s="1022"/>
      <c r="AI46" s="1022"/>
      <c r="AJ46" s="3136"/>
    </row>
    <row r="47" spans="1:36" ht="45">
      <c r="A47" s="139"/>
      <c r="B47" s="404"/>
      <c r="C47" s="3097"/>
      <c r="D47" s="2984" t="s">
        <v>599</v>
      </c>
      <c r="E47" s="3592" t="s">
        <v>704</v>
      </c>
      <c r="F47" s="3627"/>
      <c r="G47" s="3627"/>
      <c r="H47" s="3627"/>
      <c r="I47" s="3097"/>
      <c r="J47" s="3097"/>
      <c r="K47" s="3016"/>
      <c r="L47" s="3016" t="s">
        <v>908</v>
      </c>
      <c r="M47" s="3693" t="s">
        <v>809</v>
      </c>
      <c r="N47" s="6862"/>
      <c r="O47" s="6807"/>
      <c r="P47" s="6863"/>
      <c r="Q47" s="1251"/>
      <c r="R47" s="6864"/>
      <c r="S47" s="84"/>
      <c r="T47" s="185" t="s">
        <v>1864</v>
      </c>
      <c r="W47" s="3137"/>
      <c r="X47" s="1022"/>
      <c r="Y47" s="1022"/>
      <c r="Z47" s="6865" t="s">
        <v>6198</v>
      </c>
      <c r="AA47" s="8025" t="s">
        <v>6199</v>
      </c>
      <c r="AB47" s="8025"/>
      <c r="AC47" s="8025"/>
      <c r="AD47" s="8025"/>
      <c r="AE47" s="6866" t="s">
        <v>6197</v>
      </c>
      <c r="AF47" s="1022"/>
      <c r="AG47" s="6776"/>
      <c r="AH47" s="1022"/>
      <c r="AI47" s="1022"/>
      <c r="AJ47" s="3136"/>
    </row>
    <row r="48" spans="1:36">
      <c r="A48" s="139"/>
      <c r="B48" s="404"/>
      <c r="C48" s="3097"/>
      <c r="D48" s="2984" t="s">
        <v>603</v>
      </c>
      <c r="E48" s="3592" t="s">
        <v>5069</v>
      </c>
      <c r="F48" s="3627"/>
      <c r="G48" s="3627"/>
      <c r="H48" s="3627"/>
      <c r="I48" s="3097"/>
      <c r="J48" s="3097"/>
      <c r="K48" s="3016"/>
      <c r="L48" s="3016" t="s">
        <v>908</v>
      </c>
      <c r="M48" s="3693" t="s">
        <v>812</v>
      </c>
      <c r="N48" s="6835">
        <f>IF(SchA_Blank,"",SUM(ROUND(N38,0),ROUND(N42,0),ROUND(N46,0)))</f>
        <v>0</v>
      </c>
      <c r="O48" s="6807"/>
      <c r="P48" s="6863"/>
      <c r="Q48" s="6779"/>
      <c r="R48" s="6805"/>
      <c r="S48" s="84"/>
      <c r="T48" s="185" t="s">
        <v>1867</v>
      </c>
      <c r="W48" s="3137" t="s">
        <v>157</v>
      </c>
      <c r="X48" s="2956" t="str">
        <f>"Enter your state general sales taxes from the "&amp;TaxYear&amp;" Optional State Sales Tax Table"</f>
        <v>Enter your state general sales taxes from the 2025 Optional State Sales Tax Table</v>
      </c>
      <c r="Y48" s="1022"/>
      <c r="Z48" s="1022"/>
      <c r="AA48" s="1022"/>
      <c r="AB48" s="1022"/>
      <c r="AC48" s="1022"/>
      <c r="AD48" s="1022"/>
      <c r="AE48" s="6776"/>
      <c r="AF48" s="1022"/>
      <c r="AG48" s="6776"/>
      <c r="AH48" s="6782" t="s">
        <v>157</v>
      </c>
      <c r="AI48" s="6235"/>
      <c r="AJ48" s="3136"/>
    </row>
    <row r="49" spans="1:51" ht="13.5" thickBot="1">
      <c r="A49" s="139"/>
      <c r="B49" s="2753"/>
      <c r="C49" s="3097">
        <v>9</v>
      </c>
      <c r="D49" s="3627"/>
      <c r="E49" s="3592" t="s">
        <v>1866</v>
      </c>
      <c r="F49" s="3627"/>
      <c r="G49" s="3627"/>
      <c r="H49" s="3627"/>
      <c r="I49" s="3097"/>
      <c r="J49" s="3097"/>
      <c r="K49" s="3016"/>
      <c r="L49" s="3016"/>
      <c r="M49" s="3693">
        <v>9</v>
      </c>
      <c r="N49" s="802"/>
      <c r="O49" s="6807"/>
      <c r="P49" s="6863"/>
      <c r="Q49" s="6779"/>
      <c r="R49" s="6805"/>
      <c r="S49" s="84"/>
      <c r="T49" s="6785">
        <v>109000</v>
      </c>
      <c r="W49" s="3137"/>
      <c r="X49" s="8058" t="s">
        <v>4031</v>
      </c>
      <c r="Y49" s="8058"/>
      <c r="Z49" s="8056" t="str">
        <f>"If, for all of "&amp;TaxYear&amp;", you lived only in Connecticut, the District of Columbia, Indiana, Kentucky, Maine, Maryland,"</f>
        <v>If, for all of 2025, you lived only in Connecticut, the District of Columbia, Indiana, Kentucky, Maine, Maryland,</v>
      </c>
      <c r="AA49" s="8056"/>
      <c r="AB49" s="8056"/>
      <c r="AC49" s="8056"/>
      <c r="AD49" s="8056"/>
      <c r="AE49" s="8056"/>
      <c r="AF49" s="8056"/>
      <c r="AG49" s="8056"/>
      <c r="AH49" s="8056"/>
      <c r="AI49" s="8056"/>
      <c r="AJ49" s="8057"/>
    </row>
    <row r="50" spans="1:51" ht="13.5" thickBot="1">
      <c r="A50" s="139"/>
      <c r="B50" s="3108"/>
      <c r="C50" s="3108">
        <v>10</v>
      </c>
      <c r="D50" s="5212"/>
      <c r="E50" s="3109" t="str">
        <f>"Add lines "&amp;M48&amp;" and "&amp;M49</f>
        <v>Add lines 8e and 9</v>
      </c>
      <c r="F50" s="5212"/>
      <c r="G50" s="5212"/>
      <c r="H50" s="5212"/>
      <c r="I50" s="3565"/>
      <c r="J50" s="3565"/>
      <c r="K50" s="3565"/>
      <c r="L50" s="3565"/>
      <c r="M50" s="3565"/>
      <c r="N50" s="6813" t="s">
        <v>1868</v>
      </c>
      <c r="O50" s="3693">
        <f>C50</f>
        <v>10</v>
      </c>
      <c r="P50" s="6814">
        <f>IF(R50&lt;&gt;"",ROUND(R50,0),IF(SchA_Blank,"",SUM(N48,ROUND(N49,0))))</f>
        <v>0</v>
      </c>
      <c r="Q50" s="6779"/>
      <c r="R50" s="213"/>
      <c r="S50" s="84"/>
      <c r="T50" s="6785">
        <v>100000</v>
      </c>
      <c r="W50" s="3137"/>
      <c r="X50" s="2956" t="s">
        <v>6162</v>
      </c>
      <c r="Y50" s="1022"/>
      <c r="Z50" s="1022"/>
      <c r="AA50" s="1022"/>
      <c r="AB50" s="1022"/>
      <c r="AC50" s="1022"/>
      <c r="AD50" s="1022"/>
      <c r="AE50" s="6776"/>
      <c r="AF50" s="1022"/>
      <c r="AG50" s="6776"/>
      <c r="AH50" s="1022"/>
      <c r="AI50" s="6867">
        <f>IF(AI48&lt;&gt;"",ROUND(AI48,0),0)</f>
        <v>0</v>
      </c>
      <c r="AJ50" s="3136"/>
    </row>
    <row r="51" spans="1:51" ht="13.5" customHeight="1">
      <c r="A51" s="139"/>
      <c r="B51" s="3574" t="s">
        <v>1869</v>
      </c>
      <c r="C51" s="3097">
        <v>11</v>
      </c>
      <c r="D51" s="3098" t="s">
        <v>1870</v>
      </c>
      <c r="E51" s="3627"/>
      <c r="F51" s="3627"/>
      <c r="G51" s="3627"/>
      <c r="H51" s="3627"/>
      <c r="I51" s="3097"/>
      <c r="J51" s="3097"/>
      <c r="K51" s="6819"/>
      <c r="L51" s="6819"/>
      <c r="M51" s="6779"/>
      <c r="N51" s="6849"/>
      <c r="O51" s="6803"/>
      <c r="P51" s="6868" t="str">
        <f>IF(SchA_Blank,"",IF(AND($AG$151,$Q$55=""),"Your charitable",""))</f>
        <v/>
      </c>
      <c r="Q51" s="6779"/>
      <c r="R51" s="6805"/>
      <c r="S51" s="84"/>
      <c r="T51" s="6785">
        <f>IF(File_Marr_Sep&lt;&gt;"",T50,T49)</f>
        <v>109000</v>
      </c>
      <c r="W51" s="3137"/>
      <c r="X51" s="2956" t="s">
        <v>976</v>
      </c>
      <c r="Y51" s="1022"/>
      <c r="Z51" s="1022"/>
      <c r="AA51" s="1022"/>
      <c r="AB51" s="1022"/>
      <c r="AC51" s="1022"/>
      <c r="AD51" s="1022"/>
      <c r="AE51" s="6776"/>
      <c r="AF51" s="1022"/>
      <c r="AG51" s="6776"/>
      <c r="AH51" s="1022"/>
      <c r="AI51" s="1022"/>
      <c r="AJ51" s="3136"/>
    </row>
    <row r="52" spans="1:51" ht="14.25" customHeight="1">
      <c r="A52" s="139"/>
      <c r="B52" s="3574" t="s">
        <v>1871</v>
      </c>
      <c r="C52" s="3097"/>
      <c r="D52" s="3602" t="s">
        <v>1872</v>
      </c>
      <c r="E52" s="2770"/>
      <c r="F52" s="2770"/>
      <c r="G52" s="2770"/>
      <c r="H52" s="2770"/>
      <c r="I52" s="3097"/>
      <c r="J52" s="3097"/>
      <c r="K52" s="6869"/>
      <c r="L52" s="6869" t="s">
        <v>665</v>
      </c>
      <c r="M52" s="3693">
        <f>C51</f>
        <v>11</v>
      </c>
      <c r="N52" s="802"/>
      <c r="O52" s="6807"/>
      <c r="P52" s="6868" t="str">
        <f>IF(SchA_Blank,"",IF(AND($AG$151,$Q$55=""),"contribution",""))</f>
        <v/>
      </c>
      <c r="Q52" s="6779"/>
      <c r="R52" s="6805"/>
      <c r="S52" s="84"/>
      <c r="W52" s="3137"/>
      <c r="X52" s="2956"/>
      <c r="Y52" s="1022"/>
      <c r="Z52" s="1022"/>
      <c r="AA52" s="1022"/>
      <c r="AB52" s="1022"/>
      <c r="AC52" s="1022"/>
      <c r="AD52" s="1022"/>
      <c r="AE52" s="6776"/>
      <c r="AF52" s="1022"/>
      <c r="AG52" s="6776"/>
      <c r="AH52" s="1022"/>
      <c r="AI52" s="1022"/>
      <c r="AJ52" s="3136"/>
    </row>
    <row r="53" spans="1:51" ht="16.5" customHeight="1">
      <c r="A53" s="139"/>
      <c r="B53" s="8059" t="s">
        <v>4897</v>
      </c>
      <c r="C53" s="3097">
        <v>12</v>
      </c>
      <c r="D53" s="2985" t="s">
        <v>1873</v>
      </c>
      <c r="E53" s="3054"/>
      <c r="F53" s="3054"/>
      <c r="G53" s="3054"/>
      <c r="H53" s="3054"/>
      <c r="I53" s="3097"/>
      <c r="J53" s="3097"/>
      <c r="K53" s="6822"/>
      <c r="L53" s="6823"/>
      <c r="M53" s="6779"/>
      <c r="N53" s="6849"/>
      <c r="O53" s="6807"/>
      <c r="P53" s="6868" t="str">
        <f>IF(SchA_Blank,"",IF(AND($AG$151,$Q$55=""),"may be limited.",""))</f>
        <v/>
      </c>
      <c r="Q53" s="6779"/>
      <c r="R53" s="6805"/>
      <c r="S53" s="84"/>
      <c r="W53" s="6840" t="s">
        <v>161</v>
      </c>
      <c r="X53" s="2956" t="s">
        <v>6131</v>
      </c>
      <c r="Y53" s="1022"/>
      <c r="Z53" s="1022"/>
      <c r="AA53" s="1022"/>
      <c r="AB53" s="1022"/>
      <c r="AC53" s="1022"/>
      <c r="AD53" s="1022"/>
      <c r="AE53" s="6776"/>
      <c r="AF53" s="1022"/>
      <c r="AG53" s="6776"/>
      <c r="AH53" s="1022"/>
      <c r="AI53" s="1022"/>
      <c r="AJ53" s="3136"/>
    </row>
    <row r="54" spans="1:51" ht="16.5" customHeight="1">
      <c r="A54" s="139"/>
      <c r="B54" s="8060"/>
      <c r="C54" s="3097"/>
      <c r="D54" s="3561" t="s">
        <v>1874</v>
      </c>
      <c r="E54" s="5217"/>
      <c r="F54" s="5217"/>
      <c r="G54" s="5217"/>
      <c r="H54" s="5217"/>
      <c r="I54" s="3097"/>
      <c r="J54" s="3097"/>
      <c r="K54" s="3016"/>
      <c r="L54" s="3016" t="s">
        <v>627</v>
      </c>
      <c r="M54" s="2773">
        <f>C53</f>
        <v>12</v>
      </c>
      <c r="N54" s="802"/>
      <c r="O54" s="6807"/>
      <c r="P54" s="6868" t="str">
        <f>IF(SchA_Blank,"",IF(AND($AG$151,$Q$55=""),"See 'Limits on",""))</f>
        <v/>
      </c>
      <c r="Q54" s="6779"/>
      <c r="R54" s="6805"/>
      <c r="S54" s="84"/>
      <c r="W54" s="3137"/>
      <c r="X54" s="2956" t="str">
        <f>"North Carolina, South Carolina, Tennessee, Utah, or Virginia in "&amp;TaxYear&amp;"?"</f>
        <v>North Carolina, South Carolina, Tennessee, Utah, or Virginia in 2025?</v>
      </c>
      <c r="Y54" s="1022"/>
      <c r="Z54" s="1022"/>
      <c r="AA54" s="1022"/>
      <c r="AB54" s="1022"/>
      <c r="AC54" s="1022"/>
      <c r="AD54" s="1022"/>
      <c r="AE54" s="1022"/>
      <c r="AF54" s="1022"/>
      <c r="AG54" s="6776" t="b">
        <f>OR(AE46="AL",AE46="AK",AE46="AZ",AE46="AR",AE46="CO",AE46="GA",AE46="IL",AE46="KS",AE46="LA",AE46="MS",AE46="MO",AE46="NY",AE46="NC",AE46="SC",AE46="TN",AE46="UT",AE46="VA")</f>
        <v>0</v>
      </c>
      <c r="AH54" s="1022"/>
      <c r="AI54" s="1022"/>
      <c r="AJ54" s="3136"/>
    </row>
    <row r="55" spans="1:51" ht="16.5" customHeight="1" thickBot="1">
      <c r="A55" s="139"/>
      <c r="B55" s="8060"/>
      <c r="C55" s="3097">
        <v>13</v>
      </c>
      <c r="D55" s="3098" t="s">
        <v>1875</v>
      </c>
      <c r="E55" s="3627"/>
      <c r="F55" s="3627"/>
      <c r="G55" s="3627"/>
      <c r="H55" s="3627"/>
      <c r="I55" s="3097"/>
      <c r="J55" s="3097"/>
      <c r="K55" s="6869"/>
      <c r="L55" s="6869" t="s">
        <v>1876</v>
      </c>
      <c r="M55" s="3693">
        <f>C55</f>
        <v>13</v>
      </c>
      <c r="N55" s="802"/>
      <c r="O55" s="6807"/>
      <c r="P55" s="6868" t="str">
        <f>IF(SchA_Blank,"",IF(AND($AG$151,$Q$55=""),"Deductions-Line 14'",""))</f>
        <v/>
      </c>
      <c r="Q55" s="454"/>
      <c r="R55" s="6870" t="str">
        <f>IF($AG$151,"Hide note.","")</f>
        <v/>
      </c>
      <c r="S55" s="6805"/>
      <c r="T55" s="6805"/>
      <c r="U55" s="6805"/>
      <c r="W55" s="3137"/>
      <c r="X55" s="2956"/>
      <c r="Y55" s="2956"/>
      <c r="Z55" s="1022"/>
      <c r="AA55" s="1022"/>
      <c r="AB55" s="1022"/>
      <c r="AC55" s="1022"/>
      <c r="AD55" s="1022"/>
      <c r="AE55" s="6776"/>
      <c r="AF55" s="6776"/>
      <c r="AG55" s="6776"/>
      <c r="AH55" s="1022"/>
      <c r="AI55" s="1022"/>
      <c r="AJ55" s="3136"/>
    </row>
    <row r="56" spans="1:51" ht="16.5" customHeight="1" thickBot="1">
      <c r="A56" s="139"/>
      <c r="B56" s="8061"/>
      <c r="C56" s="3108">
        <v>14</v>
      </c>
      <c r="D56" s="3110" t="str">
        <f>"Add lines "&amp;C51&amp;" through "&amp;C55</f>
        <v>Add lines 11 through 13</v>
      </c>
      <c r="E56" s="5212"/>
      <c r="F56" s="5212"/>
      <c r="G56" s="5212"/>
      <c r="H56" s="5212"/>
      <c r="I56" s="3108"/>
      <c r="J56" s="3108"/>
      <c r="K56" s="3108"/>
      <c r="L56" s="3108"/>
      <c r="M56" s="3108"/>
      <c r="N56" s="6813" t="s">
        <v>1877</v>
      </c>
      <c r="O56" s="3693">
        <f>C56</f>
        <v>14</v>
      </c>
      <c r="P56" s="6814">
        <f>IF(R56&lt;&gt;"",ROUND(R56,0),IF(SchA_Blank,"",SUM(ROUND(N52,0),ROUND(N54,0),ROUND(N55,0))))</f>
        <v>0</v>
      </c>
      <c r="Q56" s="6779"/>
      <c r="R56" s="213"/>
      <c r="S56" s="6805"/>
      <c r="T56" s="1181" t="s">
        <v>1879</v>
      </c>
      <c r="U56" s="6805"/>
      <c r="W56" s="3137"/>
      <c r="X56" s="1987" t="str">
        <f>IF(OR(AG46,AG54,AE46=""),"","X")</f>
        <v/>
      </c>
      <c r="Y56" s="2956" t="s">
        <v>6132</v>
      </c>
      <c r="Z56" s="1022"/>
      <c r="AA56" s="1022"/>
      <c r="AB56" s="1022"/>
      <c r="AC56" s="1022"/>
      <c r="AD56" s="1022"/>
      <c r="AE56" s="6776"/>
      <c r="AF56" s="6776"/>
      <c r="AG56" s="6776"/>
      <c r="AH56" s="1022"/>
      <c r="AI56" s="1022"/>
      <c r="AJ56" s="3136"/>
    </row>
    <row r="57" spans="1:51" ht="15" customHeight="1" thickBot="1">
      <c r="A57" s="139"/>
      <c r="B57" s="5067" t="s">
        <v>6194</v>
      </c>
      <c r="C57" s="6871">
        <v>15</v>
      </c>
      <c r="D57" s="2354" t="s">
        <v>1878</v>
      </c>
      <c r="E57" s="2263"/>
      <c r="F57" s="2263"/>
      <c r="G57" s="2263"/>
      <c r="H57" s="2263"/>
      <c r="I57" s="2263"/>
      <c r="J57" s="2263"/>
      <c r="K57" s="2263"/>
      <c r="L57" s="2263"/>
      <c r="M57" s="2263"/>
      <c r="N57" s="4471"/>
      <c r="O57" s="6803"/>
      <c r="P57" s="6849"/>
      <c r="Q57" s="6779"/>
      <c r="R57" s="6872"/>
      <c r="S57" s="6805"/>
      <c r="T57" s="1181" t="s">
        <v>1881</v>
      </c>
      <c r="U57" s="6805"/>
      <c r="W57" s="3137"/>
      <c r="X57" s="2956"/>
      <c r="Y57" s="2956"/>
      <c r="Z57" s="1022"/>
      <c r="AA57" s="1022"/>
      <c r="AB57" s="1022"/>
      <c r="AC57" s="1022"/>
      <c r="AD57" s="1022"/>
      <c r="AE57" s="6776"/>
      <c r="AF57" s="1022"/>
      <c r="AG57" s="6776"/>
      <c r="AH57" s="1022"/>
      <c r="AI57" s="1022" t="str">
        <f>IF(X58&lt;&gt;"","↓ Enter here. ↓","")</f>
        <v/>
      </c>
      <c r="AJ57" s="3136"/>
    </row>
    <row r="58" spans="1:51" s="5218" customFormat="1" ht="16.5" customHeight="1" thickBot="1">
      <c r="A58" s="139"/>
      <c r="B58" s="5067" t="s">
        <v>6193</v>
      </c>
      <c r="C58" s="3097"/>
      <c r="D58" s="511" t="s">
        <v>1880</v>
      </c>
      <c r="E58" s="504"/>
      <c r="F58" s="504"/>
      <c r="G58" s="504"/>
      <c r="H58" s="504"/>
      <c r="I58" s="504"/>
      <c r="J58" s="504"/>
      <c r="K58" s="504"/>
      <c r="L58" s="504"/>
      <c r="M58" s="504"/>
      <c r="N58" s="504"/>
      <c r="O58" s="6807"/>
      <c r="P58" s="6849"/>
      <c r="Q58" s="6779"/>
      <c r="R58" s="1790"/>
      <c r="S58" s="6805"/>
      <c r="T58" s="213"/>
      <c r="U58" s="6805"/>
      <c r="V58"/>
      <c r="W58" s="3137"/>
      <c r="X58" s="1987" t="str">
        <f>IF(OR(AG46,AI48=""),"",IF(AG54,"X",""))</f>
        <v/>
      </c>
      <c r="Y58" s="3132" t="s">
        <v>945</v>
      </c>
      <c r="Z58" s="1022" t="str">
        <f>"Enter your local general sales taxes from the "&amp;TaxYear&amp;" Optional Local Sales Tax Tables"</f>
        <v>Enter your local general sales taxes from the 2025 Optional Local Sales Tax Tables</v>
      </c>
      <c r="AA58" s="1022"/>
      <c r="AB58" s="1022"/>
      <c r="AC58" s="1022"/>
      <c r="AD58" s="1022"/>
      <c r="AE58" s="6776"/>
      <c r="AF58" s="6782" t="s">
        <v>161</v>
      </c>
      <c r="AG58" s="6873" t="str">
        <f>IF(X56&lt;&gt;"",0,IF(X58&lt;&gt;"",ROUND(AI58,0),""))</f>
        <v/>
      </c>
      <c r="AH58" s="1022"/>
      <c r="AI58" s="6707"/>
      <c r="AJ58" s="3136"/>
      <c r="AK58"/>
      <c r="AL58"/>
      <c r="AM58"/>
      <c r="AN58"/>
      <c r="AO58" s="1361"/>
      <c r="AP58" s="751"/>
      <c r="AQ58" s="751"/>
      <c r="AR58" s="751"/>
      <c r="AS58" s="751"/>
      <c r="AT58" s="751"/>
      <c r="AU58" s="751"/>
      <c r="AV58" s="751"/>
      <c r="AW58" s="751"/>
      <c r="AX58" s="751"/>
      <c r="AY58" s="751"/>
    </row>
    <row r="59" spans="1:51" ht="16.5" thickBot="1">
      <c r="A59" s="6874"/>
      <c r="B59" s="6875" t="s">
        <v>2367</v>
      </c>
      <c r="C59" s="6875"/>
      <c r="D59" s="3110" t="s">
        <v>1872</v>
      </c>
      <c r="E59" s="6875"/>
      <c r="F59" s="6875"/>
      <c r="G59" s="6875"/>
      <c r="H59" s="6875"/>
      <c r="I59" s="6875"/>
      <c r="J59" s="6875"/>
      <c r="K59" s="6875"/>
      <c r="L59" s="6875"/>
      <c r="M59" s="6875"/>
      <c r="N59" s="6813" t="s">
        <v>2657</v>
      </c>
      <c r="O59" s="3693">
        <f>C57</f>
        <v>15</v>
      </c>
      <c r="P59" s="802"/>
      <c r="Q59" s="6779"/>
      <c r="R59" s="8027" t="s">
        <v>5160</v>
      </c>
      <c r="S59" s="6805"/>
      <c r="T59" s="6876" t="s">
        <v>1884</v>
      </c>
      <c r="U59" s="6805"/>
      <c r="W59" s="3137"/>
      <c r="X59" s="2956"/>
      <c r="Y59" s="3132"/>
      <c r="Z59" s="1022"/>
      <c r="AA59" s="1022"/>
      <c r="AB59" s="1022"/>
      <c r="AC59" s="1022"/>
      <c r="AD59" s="1022"/>
      <c r="AE59" s="1022"/>
      <c r="AF59" s="1022"/>
      <c r="AG59" s="1022"/>
      <c r="AH59" s="1022"/>
      <c r="AI59" s="6776">
        <f>IF(X56&lt;&gt;"",0,IF(AG58&lt;&gt;"",ROUND(AG58,0),0))</f>
        <v>0</v>
      </c>
      <c r="AJ59" s="3136"/>
    </row>
    <row r="60" spans="1:51" ht="16.5" thickBot="1">
      <c r="A60" s="139"/>
      <c r="B60" s="3574" t="s">
        <v>254</v>
      </c>
      <c r="C60" s="3097">
        <v>16</v>
      </c>
      <c r="D60" s="6877" t="s">
        <v>1883</v>
      </c>
      <c r="E60" s="5219"/>
      <c r="F60" s="5219"/>
      <c r="G60" s="5219"/>
      <c r="H60" s="5219"/>
      <c r="I60" s="3752"/>
      <c r="J60" s="8049" t="str">
        <f>T77</f>
        <v xml:space="preserve">  </v>
      </c>
      <c r="K60" s="8049"/>
      <c r="L60" s="8049"/>
      <c r="M60" s="8049"/>
      <c r="N60" s="8050"/>
      <c r="O60" s="6803"/>
      <c r="P60" s="6878"/>
      <c r="Q60" s="1251"/>
      <c r="R60" s="8028"/>
      <c r="S60" s="6805"/>
      <c r="T60" s="1182"/>
      <c r="U60" s="6805"/>
      <c r="W60" s="6879" t="s">
        <v>167</v>
      </c>
      <c r="X60" s="2956" t="str">
        <f>"Did your locality impose a local general sales tax in "&amp;TaxYear&amp;"? Residents of California and Nevada, see the"</f>
        <v>Did your locality impose a local general sales tax in 2025? Residents of California and Nevada, see the</v>
      </c>
      <c r="Y60" s="1022"/>
      <c r="Z60" s="1022"/>
      <c r="AA60" s="1022"/>
      <c r="AB60" s="1022"/>
      <c r="AC60" s="1022"/>
      <c r="AD60" s="1022"/>
      <c r="AE60" s="6776"/>
      <c r="AF60" s="1022"/>
      <c r="AG60" s="6776" t="b">
        <f>OR(AE46="CA",AE46="NV")</f>
        <v>0</v>
      </c>
      <c r="AH60" s="1022"/>
      <c r="AI60" s="1022"/>
      <c r="AJ60" s="3136"/>
    </row>
    <row r="61" spans="1:51" ht="16.5" thickBot="1">
      <c r="A61" s="139"/>
      <c r="B61" s="3574" t="s">
        <v>644</v>
      </c>
      <c r="C61" s="3097"/>
      <c r="D61" s="8045" t="str">
        <f>IF(SchA_Blank,T73&amp;"   "&amp;T72,IF(AND(ItemizedDeduct,NQDisasterLoss&lt;&gt;"",NQDisasterLoss&gt;0),T73,""))</f>
        <v/>
      </c>
      <c r="E61" s="8045"/>
      <c r="F61" s="8045"/>
      <c r="G61" s="8045"/>
      <c r="H61" s="8045"/>
      <c r="I61" s="8045"/>
      <c r="J61" s="8045"/>
      <c r="K61" s="8045"/>
      <c r="L61" s="8045"/>
      <c r="M61" s="8045"/>
      <c r="N61" s="8046"/>
      <c r="O61" s="6807"/>
      <c r="P61" s="6880"/>
      <c r="Q61" s="6779"/>
      <c r="R61" s="6805"/>
      <c r="S61" s="6805"/>
      <c r="T61" s="6876" t="s">
        <v>1885</v>
      </c>
      <c r="U61" s="6805"/>
      <c r="W61" s="3137"/>
      <c r="X61" s="2956" t="s">
        <v>6133</v>
      </c>
      <c r="Y61" s="1022"/>
      <c r="Z61" s="1022"/>
      <c r="AA61" s="1022"/>
      <c r="AB61" s="1022"/>
      <c r="AC61" s="6881" t="str">
        <f>IF(AE46="CA","California",IF(AE46="NV","Nevada",""))</f>
        <v/>
      </c>
      <c r="AD61" s="6882" t="str">
        <f>IF(AE46="CA",0.0725,IF(AE46="NV",0.0685,""))</f>
        <v/>
      </c>
      <c r="AE61" s="6883" t="str">
        <f>IF(AG60,"+","")</f>
        <v/>
      </c>
      <c r="AF61" s="6884" t="s">
        <v>6698</v>
      </c>
      <c r="AG61" s="6709"/>
      <c r="AH61" s="6881" t="str">
        <f>IF(AG60,"=","")</f>
        <v/>
      </c>
      <c r="AI61" s="6882" t="str">
        <f>IF(AG60,SUM(AD61,AG61),"")</f>
        <v/>
      </c>
      <c r="AJ61" s="3136"/>
    </row>
    <row r="62" spans="1:51" ht="16.5" thickBot="1">
      <c r="A62" s="139"/>
      <c r="B62" s="6875" t="s">
        <v>1881</v>
      </c>
      <c r="C62" s="3108"/>
      <c r="D62" s="8047"/>
      <c r="E62" s="8047"/>
      <c r="F62" s="8047"/>
      <c r="G62" s="8047"/>
      <c r="H62" s="8047"/>
      <c r="I62" s="8047"/>
      <c r="J62" s="8047"/>
      <c r="K62" s="8047"/>
      <c r="L62" s="8047"/>
      <c r="M62" s="8047"/>
      <c r="N62" s="8048"/>
      <c r="O62" s="3693">
        <f>C60</f>
        <v>16</v>
      </c>
      <c r="P62" s="6835">
        <f>IF(SchA_Blank,SUM(Standard,ROUND(NQDisasterLoss,0),R62),SUM(T71,R62))</f>
        <v>0</v>
      </c>
      <c r="Q62" s="6779"/>
      <c r="R62" s="1789"/>
      <c r="S62" s="6805"/>
      <c r="T62" s="6805"/>
      <c r="U62" s="6805"/>
      <c r="W62" s="8051" t="b">
        <f>AND(NOT(AG46),AI48&lt;&gt;"")</f>
        <v>0</v>
      </c>
      <c r="X62" s="8052"/>
      <c r="Y62" s="3132"/>
      <c r="Z62" s="1022"/>
      <c r="AA62" s="1022"/>
      <c r="AB62" s="1022"/>
      <c r="AC62" s="1022"/>
      <c r="AD62" s="6885"/>
      <c r="AE62" s="2956"/>
      <c r="AF62" s="6886"/>
      <c r="AG62" s="6776" t="b">
        <f>AND(AG60,(AI61=AD61))</f>
        <v>0</v>
      </c>
      <c r="AH62" s="1022"/>
      <c r="AI62" s="6776" t="b">
        <f>AND(AG60,(AI61=AD61))</f>
        <v>0</v>
      </c>
      <c r="AJ62" s="3136"/>
      <c r="AK62" s="329"/>
    </row>
    <row r="63" spans="1:51" ht="16.5" thickBot="1">
      <c r="A63" s="139"/>
      <c r="B63" s="5067" t="s">
        <v>224</v>
      </c>
      <c r="C63" s="3097">
        <v>17</v>
      </c>
      <c r="D63" s="6887" t="s">
        <v>1886</v>
      </c>
      <c r="E63" s="3627"/>
      <c r="F63" s="3627"/>
      <c r="G63" s="3627"/>
      <c r="H63" s="3627"/>
      <c r="I63" s="3097"/>
      <c r="J63" s="3097"/>
      <c r="K63" s="3097"/>
      <c r="L63" s="3097"/>
      <c r="M63" s="3097"/>
      <c r="N63" s="5220"/>
      <c r="O63" s="6803"/>
      <c r="P63" s="6888">
        <f>IF(R64&lt;&gt;"",ROUND(R64,0),IF(SchA_Blank,"",SUM(P19,SALT_Limited,P50,P56,ROUND(P59,0),T71)))</f>
        <v>0</v>
      </c>
      <c r="Q63" s="6779"/>
      <c r="R63" s="6889" t="s">
        <v>5161</v>
      </c>
      <c r="S63" s="6805"/>
      <c r="T63" s="213"/>
      <c r="U63" s="6805"/>
      <c r="W63" s="3137"/>
      <c r="X63" s="277" t="str">
        <f>IF(AND(AG60,W62,AI62),"X","")</f>
        <v/>
      </c>
      <c r="Y63" s="2956" t="s">
        <v>6134</v>
      </c>
      <c r="Z63" s="2956" t="s">
        <v>6135</v>
      </c>
      <c r="AA63" s="1022"/>
      <c r="AB63" s="1022"/>
      <c r="AC63" s="1022"/>
      <c r="AD63" s="1022"/>
      <c r="AE63" s="6776"/>
      <c r="AF63" s="1022"/>
      <c r="AG63" s="6776"/>
      <c r="AH63" s="1022"/>
      <c r="AI63" s="1022"/>
      <c r="AJ63" s="3136"/>
    </row>
    <row r="64" spans="1:51" ht="12" customHeight="1" thickBot="1">
      <c r="A64" s="139"/>
      <c r="B64" s="5067" t="s">
        <v>644</v>
      </c>
      <c r="C64" s="3097"/>
      <c r="D64" s="3571" t="s">
        <v>6177</v>
      </c>
      <c r="E64" s="3627"/>
      <c r="F64" s="3627"/>
      <c r="G64" s="3627"/>
      <c r="H64" s="3627"/>
      <c r="I64" s="3097"/>
      <c r="J64" s="3097"/>
      <c r="K64" s="3097"/>
      <c r="L64" s="3097"/>
      <c r="M64" s="3097"/>
      <c r="N64" s="5221" t="s">
        <v>691</v>
      </c>
      <c r="O64" s="3693">
        <f>C63</f>
        <v>17</v>
      </c>
      <c r="P64" s="6814">
        <f>IF(SchA_Blank,"",IF(R69,SUM(P62,R64),SUM(P19,SALT_Limited,P50,P56,ROUND(P59,0),P62,R64)))</f>
        <v>0</v>
      </c>
      <c r="Q64" s="6779"/>
      <c r="R64" s="1789"/>
      <c r="S64" s="6805"/>
      <c r="T64" s="6876" t="s">
        <v>1884</v>
      </c>
      <c r="U64" s="6805"/>
      <c r="W64" s="6890"/>
      <c r="X64" s="3148"/>
      <c r="Y64" s="6891" t="str">
        <f>IF(AND(W62,X63="",X65=""),"Check one box.",IF(AND(W62,X63&lt;&gt;"",X65&lt;&gt;""),"Check only ONE box.",""))</f>
        <v/>
      </c>
      <c r="Z64" s="1022"/>
      <c r="AA64" s="1022"/>
      <c r="AB64" s="1022"/>
      <c r="AC64" s="1022"/>
      <c r="AD64" s="1022"/>
      <c r="AE64" s="6776"/>
      <c r="AF64" s="1022"/>
      <c r="AG64" s="6776"/>
      <c r="AH64" s="1022"/>
      <c r="AI64" s="1022"/>
      <c r="AJ64" s="3136"/>
    </row>
    <row r="65" spans="1:37" ht="12.75" customHeight="1" thickBot="1">
      <c r="A65" s="139"/>
      <c r="B65" s="5067" t="s">
        <v>1881</v>
      </c>
      <c r="C65" s="3097">
        <v>18</v>
      </c>
      <c r="D65" s="2985" t="s">
        <v>1887</v>
      </c>
      <c r="E65" s="3627"/>
      <c r="F65" s="3627"/>
      <c r="G65" s="3627"/>
      <c r="H65" s="3627"/>
      <c r="I65" s="3097"/>
      <c r="J65" s="3097"/>
      <c r="K65" s="3097"/>
      <c r="L65" s="3097"/>
      <c r="M65" s="3097"/>
      <c r="N65" s="6892"/>
      <c r="O65" s="6807"/>
      <c r="P65" s="6893"/>
      <c r="Q65" s="6779"/>
      <c r="R65" s="6889" t="s">
        <v>5162</v>
      </c>
      <c r="S65" s="6805"/>
      <c r="T65" s="1182"/>
      <c r="U65" s="6805"/>
      <c r="W65" s="3137"/>
      <c r="X65" s="277" t="str">
        <f>IF(AND(AG60,W62,NOT(AI62)),"X","")</f>
        <v/>
      </c>
      <c r="Y65" s="3132" t="s">
        <v>945</v>
      </c>
      <c r="Z65" s="2956" t="s">
        <v>6138</v>
      </c>
      <c r="AA65" s="1022"/>
      <c r="AB65" s="1022"/>
      <c r="AC65" s="1022"/>
      <c r="AD65" s="1022"/>
      <c r="AE65" s="6776"/>
      <c r="AF65" s="6776"/>
      <c r="AG65" s="6776"/>
      <c r="AH65" s="1022"/>
      <c r="AI65" s="1022"/>
      <c r="AJ65" s="3136"/>
    </row>
    <row r="66" spans="1:37" ht="12.75" customHeight="1" thickBot="1">
      <c r="A66" s="139"/>
      <c r="B66" s="6894" t="b">
        <f>IF(O66&lt;&gt;"",TRUE,FALSE)</f>
        <v>0</v>
      </c>
      <c r="C66" s="6895"/>
      <c r="D66" s="5222" t="s">
        <v>4898</v>
      </c>
      <c r="E66" s="5206"/>
      <c r="F66" s="6896"/>
      <c r="G66" s="6896"/>
      <c r="H66" s="6896"/>
      <c r="I66" s="5206"/>
      <c r="J66" s="5206"/>
      <c r="K66" s="5206"/>
      <c r="L66" s="5206"/>
      <c r="M66" s="5206"/>
      <c r="N66" s="6897" t="s">
        <v>1075</v>
      </c>
      <c r="O66" s="282"/>
      <c r="P66" s="6898"/>
      <c r="Q66" s="6779"/>
      <c r="R66" s="6805"/>
      <c r="S66" s="6805"/>
      <c r="T66" s="6876" t="s">
        <v>1885</v>
      </c>
      <c r="U66" s="6805"/>
      <c r="W66" s="3137"/>
      <c r="X66" s="1022"/>
      <c r="Y66" s="2956" t="s">
        <v>6139</v>
      </c>
      <c r="Z66" s="1022"/>
      <c r="AA66" s="1022"/>
      <c r="AB66" s="1022"/>
      <c r="AC66" s="1022"/>
      <c r="AD66" s="1022"/>
      <c r="AE66" s="6776"/>
      <c r="AF66" s="6776"/>
      <c r="AG66" s="6776"/>
      <c r="AH66" s="6776"/>
      <c r="AI66" s="1022"/>
      <c r="AJ66" s="3136"/>
    </row>
    <row r="67" spans="1:37" ht="13.5" customHeight="1">
      <c r="A67" s="139"/>
      <c r="B67" s="1183" t="s">
        <v>1889</v>
      </c>
      <c r="C67" s="226"/>
      <c r="D67" s="226"/>
      <c r="E67" s="226"/>
      <c r="F67" s="226"/>
      <c r="G67" s="226"/>
      <c r="H67" s="226"/>
      <c r="I67" s="226"/>
      <c r="J67" s="226"/>
      <c r="K67" s="229"/>
      <c r="L67" s="229"/>
      <c r="M67" s="229" t="s">
        <v>1890</v>
      </c>
      <c r="N67" s="227"/>
      <c r="O67" s="228"/>
      <c r="P67" s="6899" t="str">
        <f>"Schedule A (Form 1040) "&amp;TaxYear</f>
        <v>Schedule A (Form 1040) 2025</v>
      </c>
      <c r="Q67" s="6779"/>
      <c r="R67" s="6805"/>
      <c r="S67" s="6805"/>
      <c r="T67" s="6805"/>
      <c r="U67" s="6805"/>
      <c r="W67" s="3137"/>
      <c r="X67" s="1022"/>
      <c r="Y67" s="2956" t="s">
        <v>6140</v>
      </c>
      <c r="Z67" s="1022"/>
      <c r="AA67" s="1022"/>
      <c r="AB67" s="1022"/>
      <c r="AC67" s="1022"/>
      <c r="AD67" s="1022"/>
      <c r="AE67" s="6776"/>
      <c r="AF67" s="6776"/>
      <c r="AG67" s="6776"/>
      <c r="AH67" s="6776"/>
      <c r="AI67" s="1022"/>
      <c r="AJ67" s="3136"/>
    </row>
    <row r="68" spans="1:37">
      <c r="A68" s="289"/>
      <c r="B68" s="479"/>
      <c r="C68" s="479"/>
      <c r="D68" s="479"/>
      <c r="E68" s="479"/>
      <c r="F68" s="479"/>
      <c r="G68" s="479"/>
      <c r="H68" s="479"/>
      <c r="I68" s="6900"/>
      <c r="J68" s="6900"/>
      <c r="K68" s="6900"/>
      <c r="L68" s="6900"/>
      <c r="M68" s="6900"/>
      <c r="N68" s="6901"/>
      <c r="O68" s="6902"/>
      <c r="P68" s="6901"/>
      <c r="Q68" s="6901"/>
      <c r="R68" s="6805"/>
      <c r="T68" s="1330" t="str">
        <f>IF(T60&lt;&gt;"",TEXT(ROUND(T60,0),"$0"),"")</f>
        <v/>
      </c>
      <c r="W68" s="3137"/>
      <c r="X68" s="1022"/>
      <c r="Y68" s="2956" t="s">
        <v>6141</v>
      </c>
      <c r="Z68" s="1022"/>
      <c r="AA68" s="1022"/>
      <c r="AB68" s="1022"/>
      <c r="AC68" s="1022"/>
      <c r="AD68" s="1022"/>
      <c r="AE68" s="6776"/>
      <c r="AF68" s="6782" t="s">
        <v>167</v>
      </c>
      <c r="AG68" s="6708"/>
      <c r="AH68" s="6776"/>
      <c r="AI68" s="6776">
        <f>IF(AG68&lt;&gt;"",ROUND(AG68,3),0)</f>
        <v>0</v>
      </c>
      <c r="AJ68" s="3136"/>
    </row>
    <row r="69" spans="1:37" ht="13.5" thickBot="1">
      <c r="B69" s="1"/>
      <c r="C69" s="1"/>
      <c r="D69" s="3"/>
      <c r="E69" s="3"/>
      <c r="F69" s="3"/>
      <c r="G69" s="3"/>
      <c r="H69" s="3"/>
      <c r="I69" s="1"/>
      <c r="J69" s="1"/>
      <c r="K69" s="1"/>
      <c r="L69" s="1"/>
      <c r="M69" s="1"/>
      <c r="N69" s="2"/>
      <c r="O69" s="1"/>
      <c r="P69" s="304" t="b">
        <f>AND(NQDisasterLoss&lt;&gt;"",NQDisasterLoss&lt;&gt;0)</f>
        <v>0</v>
      </c>
      <c r="Q69" s="1"/>
      <c r="R69" s="6903" t="b">
        <f>AND(StdDeduct,NQDisasterLoss&lt;&gt;"",NQDisasterLoss&gt;0)</f>
        <v>0</v>
      </c>
      <c r="S69" s="304"/>
      <c r="T69" s="1330" t="str">
        <f>IF(T65&lt;&gt;"",TEXT(ROUND(T65,0),"$0"),"")</f>
        <v/>
      </c>
      <c r="U69" s="304"/>
      <c r="V69" s="304"/>
      <c r="W69" s="3137"/>
      <c r="X69" s="3132"/>
      <c r="Y69" s="3132"/>
      <c r="Z69" s="1022"/>
      <c r="AA69" s="1022"/>
      <c r="AB69" s="1022"/>
      <c r="AC69" s="1022"/>
      <c r="AD69" s="1022"/>
      <c r="AE69" s="6776"/>
      <c r="AF69" s="6776"/>
      <c r="AG69" s="6776"/>
      <c r="AH69" s="1022"/>
      <c r="AI69" s="1022"/>
      <c r="AJ69" s="3136"/>
    </row>
    <row r="70" spans="1:37" ht="14.25" thickTop="1" thickBot="1">
      <c r="B70" s="1"/>
      <c r="C70" s="7255" t="s">
        <v>1891</v>
      </c>
      <c r="D70" s="8043"/>
      <c r="E70" s="8043"/>
      <c r="F70" s="8043"/>
      <c r="G70" s="8043"/>
      <c r="H70" s="8043"/>
      <c r="I70" s="8043"/>
      <c r="J70" s="8044"/>
      <c r="K70" s="1"/>
      <c r="L70" s="1"/>
      <c r="M70" s="1"/>
      <c r="N70" s="6904" t="str">
        <f>IF(AND(P69,NOT(SchA_Filed)),"Please check this box.  &gt;",IF(AND(P69,SchA_Filed),"Do NOT check this box. &gt;",""))</f>
        <v/>
      </c>
      <c r="O70" s="1791"/>
      <c r="P70" s="4700" t="str">
        <f>IF(AND($P$69,NOT(SchA_Filed)),"Check this box",IF(AND($P$69,SchA_Filed),"&lt;  This box is only",""))</f>
        <v/>
      </c>
      <c r="Q70" s="1"/>
      <c r="R70" s="6905"/>
      <c r="S70" s="304"/>
      <c r="T70" s="304" t="str">
        <f>T58&amp;" "&amp;T68&amp;"     "&amp;T63&amp;" "&amp;T69</f>
        <v xml:space="preserve">       </v>
      </c>
      <c r="U70" s="304"/>
      <c r="V70" s="304"/>
      <c r="W70" s="6879" t="s">
        <v>171</v>
      </c>
      <c r="X70" s="2956" t="s">
        <v>6137</v>
      </c>
      <c r="Y70" s="3132"/>
      <c r="Z70" s="1022"/>
      <c r="AA70" s="1022"/>
      <c r="AB70" s="1022"/>
      <c r="AC70" s="1022"/>
      <c r="AD70" s="1022"/>
      <c r="AE70" s="6776"/>
      <c r="AF70" s="6776"/>
      <c r="AG70" s="1022"/>
      <c r="AH70" s="1022"/>
      <c r="AI70" s="6906" t="b">
        <f>OR(AI59="",AI59=0)</f>
        <v>1</v>
      </c>
      <c r="AJ70" s="3136"/>
    </row>
    <row r="71" spans="1:37" ht="14.25" thickTop="1" thickBot="1">
      <c r="B71" s="1"/>
      <c r="C71" s="1"/>
      <c r="D71" s="3"/>
      <c r="E71" s="3"/>
      <c r="F71" s="3"/>
      <c r="G71" s="3"/>
      <c r="H71" s="3"/>
      <c r="I71" s="1"/>
      <c r="J71" s="1"/>
      <c r="K71" s="1"/>
      <c r="L71" s="1"/>
      <c r="M71" s="1"/>
      <c r="N71" s="2"/>
      <c r="O71" s="1"/>
      <c r="P71" s="4700" t="str">
        <f>IF(AND($P$69,NOT(SchA_Filed)),"because you are",IF(AND($P$69,SchA_Filed),"checked if you",""))</f>
        <v/>
      </c>
      <c r="Q71" s="1"/>
      <c r="R71" s="6905"/>
      <c r="S71" s="304"/>
      <c r="T71" s="391">
        <f>SUM(ROUND(NQDisasterLoss,0),ROUND(T60,0),ROUND(T65,0))</f>
        <v>0</v>
      </c>
      <c r="U71" s="304"/>
      <c r="V71" s="304"/>
      <c r="W71" s="6879"/>
      <c r="X71" s="2956"/>
      <c r="Y71" s="3132"/>
      <c r="Z71" s="1022"/>
      <c r="AA71" s="1022"/>
      <c r="AB71" s="1022"/>
      <c r="AC71" s="1022"/>
      <c r="AD71" s="1022"/>
      <c r="AE71" s="6776"/>
      <c r="AF71" s="6776"/>
      <c r="AG71" s="6776"/>
      <c r="AH71" s="1022"/>
      <c r="AI71" s="1022"/>
      <c r="AJ71" s="3136"/>
      <c r="AK71" s="329"/>
    </row>
    <row r="72" spans="1:37" ht="14.25" thickTop="1" thickBot="1">
      <c r="B72" s="1"/>
      <c r="C72" s="7255" t="s">
        <v>1894</v>
      </c>
      <c r="D72" s="8043"/>
      <c r="E72" s="8043"/>
      <c r="F72" s="8043"/>
      <c r="G72" s="8043"/>
      <c r="H72" s="8043"/>
      <c r="I72" s="8043"/>
      <c r="J72" s="8044"/>
      <c r="K72" s="1"/>
      <c r="L72" s="1"/>
      <c r="M72" s="1"/>
      <c r="N72" s="2"/>
      <c r="O72" s="1"/>
      <c r="P72" s="4700" t="str">
        <f>IF(AND($P$69,NOT(SchA_Filed)),"claiming the",IF(AND($P$69,SchA_Filed),"are claiming the",""))</f>
        <v/>
      </c>
      <c r="Q72" s="1"/>
      <c r="R72" s="6785"/>
      <c r="S72" s="304"/>
      <c r="T72" s="6907" t="str">
        <f>IF(AND(Standard,NQDisasterLoss&lt;&gt;"",NQDisasterLoss&gt;0),"Claimed with qualified disaster losses = "&amp;TEXT(Standard,"$0,000"),"")</f>
        <v/>
      </c>
      <c r="U72" s="304"/>
      <c r="V72" s="304"/>
      <c r="W72" s="3137"/>
      <c r="X72" s="1987" t="str">
        <f>IF(OR(AG46,AI48="",X63&lt;&gt;"",AI70),"","X")</f>
        <v/>
      </c>
      <c r="Y72" s="2956" t="s">
        <v>6134</v>
      </c>
      <c r="Z72" s="2956" t="s">
        <v>6142</v>
      </c>
      <c r="AA72" s="1022"/>
      <c r="AB72" s="1022"/>
      <c r="AC72" s="1022"/>
      <c r="AD72" s="1022"/>
      <c r="AE72" s="6776"/>
      <c r="AF72" s="6776"/>
      <c r="AG72" s="6776"/>
      <c r="AH72" s="1022"/>
      <c r="AI72" s="1022"/>
      <c r="AJ72" s="3136"/>
    </row>
    <row r="73" spans="1:37" ht="10.5" customHeight="1" thickTop="1" thickBot="1">
      <c r="O73" s="1"/>
      <c r="P73" s="4700" t="str">
        <f>IF(AND($P$69,NOT(SchA_Filed)),"standard deduction.",IF(AND($P$69,SchA_Filed),"standard deduction.",""))</f>
        <v/>
      </c>
      <c r="Q73" s="1"/>
      <c r="R73" s="6785"/>
      <c r="S73" s="304"/>
      <c r="T73" s="6907" t="str">
        <f>IF(AND(NQDisasterLoss&lt;&gt;"",NQDisasterLoss&gt;0,$R$58&gt;999),"Net Qualified Disaster Loss = "&amp;TEXT(NQDisasterLoss,"$0,000"),IF(AND(NQDisasterLoss&lt;&gt;"",NQDisasterLoss&gt;0),"Net Qualified Disaster Loss = "&amp;TEXT(NQDisasterLoss,"$0"),""))</f>
        <v/>
      </c>
      <c r="U73" s="304"/>
      <c r="V73" s="304"/>
      <c r="W73" s="3137"/>
      <c r="X73" s="2956"/>
      <c r="Y73" s="2956"/>
      <c r="Z73" s="1022"/>
      <c r="AA73" s="1022"/>
      <c r="AB73" s="1022"/>
      <c r="AC73" s="1022"/>
      <c r="AD73" s="1022"/>
      <c r="AE73" s="6776"/>
      <c r="AF73" s="6776"/>
      <c r="AG73" s="6776"/>
      <c r="AH73" s="1022"/>
      <c r="AI73" s="1022"/>
      <c r="AJ73" s="3136"/>
    </row>
    <row r="74" spans="1:37" ht="13.5" thickBot="1">
      <c r="O74" s="1"/>
      <c r="P74" s="304" t="b">
        <f>AND(P69,O70&lt;&gt;"")</f>
        <v>0</v>
      </c>
      <c r="Q74" s="1"/>
      <c r="R74" s="391"/>
      <c r="S74" s="304"/>
      <c r="T74" s="854" t="str">
        <f>IF(OR(T65="",T65=0),"",IF(T65&gt;999,T63&amp;" = "&amp;TEXT(T65,"$0,000"),T63&amp;" = "&amp;TEXT(T65,"$0")))</f>
        <v/>
      </c>
      <c r="U74" s="304"/>
      <c r="V74" s="304"/>
      <c r="W74" s="3137"/>
      <c r="X74" s="1987" t="str">
        <f>IF(OR(AG46,AI48=""),"",IF(AND(X63="",AI70),"X",""))</f>
        <v/>
      </c>
      <c r="Y74" s="3132" t="s">
        <v>945</v>
      </c>
      <c r="Z74" s="2956" t="s">
        <v>6143</v>
      </c>
      <c r="AA74" s="1022"/>
      <c r="AB74" s="1022"/>
      <c r="AC74" s="1022"/>
      <c r="AD74" s="1022"/>
      <c r="AE74" s="6776"/>
      <c r="AF74" s="6776"/>
      <c r="AG74" s="6776"/>
      <c r="AH74" s="1022"/>
      <c r="AI74" s="1022"/>
      <c r="AJ74" s="3136"/>
    </row>
    <row r="75" spans="1:37" ht="12.75" customHeight="1">
      <c r="F75" s="184"/>
      <c r="G75" s="8037" t="s">
        <v>42</v>
      </c>
      <c r="H75" s="8038"/>
      <c r="O75" s="1"/>
      <c r="P75" s="6908" t="str">
        <f>IF($P$74,"IMPORTANT!","")</f>
        <v/>
      </c>
      <c r="Q75" s="1"/>
      <c r="R75" s="391"/>
      <c r="S75" s="304"/>
      <c r="T75" s="854" t="str">
        <f>IF(OR(T60="",T60=0),"",IF(T60&gt;999,T58&amp;" = "&amp;TEXT(T60,"$0,000"),T58&amp;" = "&amp;TEXT(T60,"$0")))</f>
        <v/>
      </c>
      <c r="U75" s="304"/>
      <c r="V75" s="304"/>
      <c r="W75" s="3137"/>
      <c r="X75" s="1022"/>
      <c r="Y75" s="2956" t="s">
        <v>6144</v>
      </c>
      <c r="Z75" s="1022"/>
      <c r="AA75" s="1022"/>
      <c r="AB75" s="1022"/>
      <c r="AC75" s="1022"/>
      <c r="AD75" s="1022"/>
      <c r="AE75" s="6776"/>
      <c r="AF75" s="6782" t="s">
        <v>171</v>
      </c>
      <c r="AG75" s="6706"/>
      <c r="AH75" s="1022"/>
      <c r="AI75" s="6909">
        <f>IF(AG75&lt;&gt;"",ROUND(AG75,3),0)</f>
        <v>0</v>
      </c>
      <c r="AJ75" s="3136"/>
    </row>
    <row r="76" spans="1:37" ht="12.75" customHeight="1">
      <c r="B76" s="1"/>
      <c r="C76" s="1"/>
      <c r="D76" s="3"/>
      <c r="E76" s="3"/>
      <c r="F76" s="3"/>
      <c r="G76" s="8039"/>
      <c r="H76" s="8040"/>
      <c r="I76" s="1"/>
      <c r="J76" s="1"/>
      <c r="K76" s="1"/>
      <c r="L76" s="1"/>
      <c r="M76" s="1"/>
      <c r="N76" s="2"/>
      <c r="O76" s="1"/>
      <c r="P76" s="6910" t="str">
        <f>IF($P$74,"Do not enter","")</f>
        <v/>
      </c>
      <c r="Q76" s="1"/>
      <c r="R76" s="6911"/>
      <c r="S76" s="304"/>
      <c r="T76" s="304"/>
      <c r="U76" s="304"/>
      <c r="V76" s="304"/>
      <c r="W76" s="3137"/>
      <c r="X76" s="3132"/>
      <c r="Y76" s="3132"/>
      <c r="Z76" s="1022"/>
      <c r="AA76" s="1022"/>
      <c r="AB76" s="1022"/>
      <c r="AC76" s="1022"/>
      <c r="AD76" s="1022"/>
      <c r="AE76" s="6776"/>
      <c r="AF76" s="6776"/>
      <c r="AG76" s="6776"/>
      <c r="AH76" s="1022"/>
      <c r="AI76" s="1022"/>
      <c r="AJ76" s="3136"/>
    </row>
    <row r="77" spans="1:37" ht="12.75" customHeight="1" thickBot="1">
      <c r="G77" s="8041"/>
      <c r="H77" s="8042"/>
      <c r="O77" s="1"/>
      <c r="P77" s="6910" t="str">
        <f>IF($P$74,"an amount","")</f>
        <v/>
      </c>
      <c r="Q77" s="1"/>
      <c r="R77" s="391"/>
      <c r="S77" s="304"/>
      <c r="T77" s="318" t="str">
        <f>T75&amp;"  "&amp;T74</f>
        <v xml:space="preserve">  </v>
      </c>
      <c r="U77" s="304"/>
      <c r="V77" s="304"/>
      <c r="W77" s="6879" t="s">
        <v>184</v>
      </c>
      <c r="X77" s="3132"/>
      <c r="Y77" s="2956" t="s">
        <v>6145</v>
      </c>
      <c r="Z77" s="1022"/>
      <c r="AA77" s="1022"/>
      <c r="AB77" s="1022"/>
      <c r="AC77" s="1022"/>
      <c r="AD77" s="1022"/>
      <c r="AE77" s="6776"/>
      <c r="AF77" s="6782" t="s">
        <v>184</v>
      </c>
      <c r="AG77" s="6912" t="str">
        <f>IF(OR(AI75=0,X63&lt;&gt;"",AG46,AI48="",NOT(AI70)),"",ROUND(AI68/AI75,6))</f>
        <v/>
      </c>
      <c r="AH77" s="1022"/>
      <c r="AI77" s="1022"/>
      <c r="AJ77" s="3136"/>
    </row>
    <row r="78" spans="1:37" ht="15.75" customHeight="1">
      <c r="O78" s="1"/>
      <c r="P78" s="6910" t="str">
        <f>IF($P$74,"on any other","")</f>
        <v/>
      </c>
      <c r="Q78" s="1"/>
      <c r="R78" s="391"/>
      <c r="T78" s="304"/>
      <c r="W78" s="3137"/>
      <c r="X78" s="2956"/>
      <c r="Y78" s="3132"/>
      <c r="Z78" s="1022"/>
      <c r="AA78" s="1022"/>
      <c r="AB78" s="1022"/>
      <c r="AC78" s="1022"/>
      <c r="AD78" s="1022"/>
      <c r="AE78" s="1022"/>
      <c r="AF78" s="1022"/>
      <c r="AG78" s="1022"/>
      <c r="AH78" s="1022"/>
      <c r="AI78" s="1022"/>
      <c r="AJ78" s="3136"/>
    </row>
    <row r="79" spans="1:37" ht="13.5" customHeight="1">
      <c r="O79" s="1"/>
      <c r="P79" s="6910" t="str">
        <f>IF($P$74,"line of Schedule A.","")</f>
        <v/>
      </c>
      <c r="Q79" s="1"/>
      <c r="T79" s="304"/>
      <c r="W79" s="6879" t="s">
        <v>188</v>
      </c>
      <c r="X79" s="2956" t="s">
        <v>6137</v>
      </c>
      <c r="Y79" s="3132"/>
      <c r="Z79" s="1022"/>
      <c r="AA79" s="1022"/>
      <c r="AB79" s="1022"/>
      <c r="AC79" s="1022"/>
      <c r="AD79" s="1022"/>
      <c r="AE79" s="6776"/>
      <c r="AF79" s="6776"/>
      <c r="AG79" s="6776"/>
      <c r="AH79" s="1022"/>
      <c r="AI79" s="1022"/>
      <c r="AJ79" s="3136"/>
    </row>
    <row r="80" spans="1:37" ht="6.75" customHeight="1" thickBot="1">
      <c r="O80" s="1"/>
      <c r="P80" s="6910" t="str">
        <f>IF($P$74,"(See instructions.)","")</f>
        <v/>
      </c>
      <c r="Q80" s="1"/>
      <c r="T80" s="304"/>
      <c r="W80" s="6879"/>
      <c r="X80" s="2956"/>
      <c r="Y80" s="3132"/>
      <c r="Z80" s="1022"/>
      <c r="AA80" s="1022"/>
      <c r="AB80" s="1022"/>
      <c r="AC80" s="1022"/>
      <c r="AD80" s="1022"/>
      <c r="AE80" s="6776"/>
      <c r="AF80" s="6776"/>
      <c r="AG80" s="6776"/>
      <c r="AH80" s="1022"/>
      <c r="AI80" s="1022"/>
      <c r="AJ80" s="3136"/>
      <c r="AK80" s="329"/>
    </row>
    <row r="81" spans="23:40" ht="14.25" customHeight="1" thickBot="1">
      <c r="W81" s="3137"/>
      <c r="X81" s="6913" t="str">
        <f>IF(OR(AG46,AI48="",X63&lt;&gt;"",AI70),"","X")</f>
        <v/>
      </c>
      <c r="Y81" s="2956" t="s">
        <v>6134</v>
      </c>
      <c r="Z81" s="2956" t="s">
        <v>6146</v>
      </c>
      <c r="AA81" s="1022"/>
      <c r="AB81" s="1022"/>
      <c r="AC81" s="1022"/>
      <c r="AD81" s="1022"/>
      <c r="AE81" s="6776"/>
      <c r="AF81" s="6776"/>
      <c r="AG81" s="6776"/>
      <c r="AH81" s="1022"/>
      <c r="AI81" s="1022"/>
      <c r="AJ81" s="3136"/>
      <c r="AK81" s="6914"/>
    </row>
    <row r="82" spans="23:40" ht="9" customHeight="1" thickBot="1">
      <c r="W82" s="3137"/>
      <c r="X82" s="2956"/>
      <c r="Y82" s="2956"/>
      <c r="Z82" s="1022"/>
      <c r="AA82" s="1022"/>
      <c r="AB82" s="1022"/>
      <c r="AC82" s="1022"/>
      <c r="AD82" s="1022"/>
      <c r="AE82" s="6776"/>
      <c r="AF82" s="6776"/>
      <c r="AG82" s="6776"/>
      <c r="AH82" s="1022"/>
      <c r="AI82" s="1022"/>
      <c r="AJ82" s="3136"/>
      <c r="AK82" s="6914"/>
    </row>
    <row r="83" spans="23:40" ht="14.25" customHeight="1" thickBot="1">
      <c r="W83" s="3137"/>
      <c r="X83" s="1987" t="str">
        <f>IF(OR(AG46,AI48=""),"",IF(AND(X63="",AI70),"X",""))</f>
        <v/>
      </c>
      <c r="Y83" s="3132" t="s">
        <v>945</v>
      </c>
      <c r="Z83" s="2956" t="s">
        <v>6147</v>
      </c>
      <c r="AA83" s="1022"/>
      <c r="AB83" s="1022"/>
      <c r="AC83" s="1022"/>
      <c r="AD83" s="1022"/>
      <c r="AE83" s="6776"/>
      <c r="AF83" s="6776"/>
      <c r="AG83" s="6776"/>
      <c r="AH83" s="1022"/>
      <c r="AI83" s="1022"/>
      <c r="AJ83" s="3136"/>
      <c r="AK83" s="329"/>
    </row>
    <row r="84" spans="23:40" ht="14.25" customHeight="1">
      <c r="W84" s="3137"/>
      <c r="X84" s="1022"/>
      <c r="Y84" s="2956" t="str">
        <f>TaxYear&amp;", see the instructions for line 6 of the worksheet."</f>
        <v>2025, see the instructions for line 6 of the worksheet.</v>
      </c>
      <c r="Z84" s="1022"/>
      <c r="AA84" s="1022"/>
      <c r="AB84" s="1022"/>
      <c r="AC84" s="1022"/>
      <c r="AD84" s="1022"/>
      <c r="AE84" s="6776"/>
      <c r="AF84" s="1022"/>
      <c r="AG84" s="1022"/>
      <c r="AH84" s="6782" t="s">
        <v>188</v>
      </c>
      <c r="AI84" s="6873" t="str">
        <f>IF(AI48="","",IF(OR(AG46,X63&lt;&gt;""),0,IF(AND(AI70,AG77&lt;&gt;""),ROUND(AI50*AG77,0),ROUND(AI59*AI68,0))))</f>
        <v/>
      </c>
      <c r="AJ84" s="3136"/>
      <c r="AK84" s="329"/>
    </row>
    <row r="85" spans="23:40" ht="14.25" customHeight="1">
      <c r="W85" s="3137"/>
      <c r="X85" s="3132"/>
      <c r="Y85" s="3132"/>
      <c r="Z85" s="1022"/>
      <c r="AA85" s="1022"/>
      <c r="AB85" s="1022"/>
      <c r="AC85" s="1022"/>
      <c r="AD85" s="1022"/>
      <c r="AE85" s="6776"/>
      <c r="AF85" s="6776"/>
      <c r="AG85" s="6776"/>
      <c r="AH85" s="1022"/>
      <c r="AI85" s="1022"/>
      <c r="AJ85" s="3136"/>
      <c r="AK85" s="329"/>
    </row>
    <row r="86" spans="23:40" ht="14.25" customHeight="1">
      <c r="W86" s="6781" t="s">
        <v>198</v>
      </c>
      <c r="X86" s="2956" t="s">
        <v>6150</v>
      </c>
      <c r="Y86" s="1022"/>
      <c r="Z86" s="1022"/>
      <c r="AA86" s="1022"/>
      <c r="AB86" s="1022"/>
      <c r="AC86" s="1022"/>
      <c r="AD86" s="1022"/>
      <c r="AE86" s="6776"/>
      <c r="AF86" s="1022"/>
      <c r="AG86" s="6776"/>
      <c r="AH86" s="1022"/>
      <c r="AI86" s="1022"/>
      <c r="AJ86" s="3136"/>
      <c r="AK86" s="329"/>
    </row>
    <row r="87" spans="23:40" ht="14.25" customHeight="1">
      <c r="W87" s="6781"/>
      <c r="X87" s="2956" t="s">
        <v>6151</v>
      </c>
      <c r="Y87" s="1022"/>
      <c r="Z87" s="1022"/>
      <c r="AA87" s="1022"/>
      <c r="AB87" s="1022"/>
      <c r="AC87" s="1022"/>
      <c r="AD87" s="1022"/>
      <c r="AE87" s="6776"/>
      <c r="AF87" s="1022"/>
      <c r="AG87" s="6776"/>
      <c r="AH87" s="6782" t="s">
        <v>198</v>
      </c>
      <c r="AI87" s="6235"/>
      <c r="AJ87" s="3136"/>
      <c r="AK87" s="329"/>
    </row>
    <row r="88" spans="23:40" ht="14.25" customHeight="1">
      <c r="W88" s="6781"/>
      <c r="X88" s="2956"/>
      <c r="Y88" s="1022"/>
      <c r="Z88" s="1022"/>
      <c r="AA88" s="1022"/>
      <c r="AB88" s="1022"/>
      <c r="AC88" s="1022"/>
      <c r="AD88" s="1022"/>
      <c r="AE88" s="6776"/>
      <c r="AF88" s="1022"/>
      <c r="AG88" s="6776"/>
      <c r="AH88" s="1022"/>
      <c r="AI88" s="6915">
        <f>ROUND(AI87,0)</f>
        <v>0</v>
      </c>
      <c r="AJ88" s="3136"/>
      <c r="AK88" s="329"/>
    </row>
    <row r="89" spans="23:40" ht="14.25" customHeight="1">
      <c r="W89" s="6781" t="s">
        <v>200</v>
      </c>
      <c r="X89" s="1022" t="s">
        <v>6152</v>
      </c>
      <c r="Y89" s="1022"/>
      <c r="Z89" s="1022"/>
      <c r="AA89" s="1022"/>
      <c r="AB89" s="1022"/>
      <c r="AC89" s="1022"/>
      <c r="AD89" s="1022"/>
      <c r="AE89" s="6776"/>
      <c r="AF89" s="1022"/>
      <c r="AG89" s="6776"/>
      <c r="AH89" s="1022"/>
      <c r="AI89" s="1022"/>
      <c r="AJ89" s="3136"/>
      <c r="AK89" s="329"/>
    </row>
    <row r="90" spans="23:40" ht="14.25" customHeight="1" thickBot="1">
      <c r="W90" s="6781"/>
      <c r="X90" s="2956" t="s">
        <v>6153</v>
      </c>
      <c r="Y90" s="1022"/>
      <c r="Z90" s="1022"/>
      <c r="AA90" s="1022"/>
      <c r="AB90" s="1022"/>
      <c r="AC90" s="1022"/>
      <c r="AD90" s="1022"/>
      <c r="AE90" s="6776"/>
      <c r="AF90" s="1022"/>
      <c r="AG90" s="6776"/>
      <c r="AH90" s="6776"/>
      <c r="AI90" s="6776"/>
      <c r="AJ90" s="3136"/>
      <c r="AK90" s="329"/>
      <c r="AM90" s="329" t="s">
        <v>771</v>
      </c>
    </row>
    <row r="91" spans="23:40" ht="14.25" customHeight="1" thickBot="1">
      <c r="W91" s="3137"/>
      <c r="X91" s="2956" t="s">
        <v>6154</v>
      </c>
      <c r="Y91" s="1022"/>
      <c r="Z91" s="1022"/>
      <c r="AA91" s="1022"/>
      <c r="AB91" s="1022"/>
      <c r="AC91" s="1022"/>
      <c r="AD91" s="1022"/>
      <c r="AE91" s="6776"/>
      <c r="AF91" s="1022"/>
      <c r="AG91" s="6776"/>
      <c r="AH91" s="6782" t="s">
        <v>200</v>
      </c>
      <c r="AI91" s="6873" t="str">
        <f>IF(AM91&lt;&gt;"",ROUND(AM91,0),IF(AND(AI48="",AI84="",AI87=""),"",SUM(AI50,AI84,AI88)))</f>
        <v/>
      </c>
      <c r="AJ91" s="3136"/>
      <c r="AK91" s="329"/>
      <c r="AM91" s="6237"/>
    </row>
    <row r="92" spans="23:40" ht="14.25" customHeight="1" thickBot="1">
      <c r="W92" s="6853"/>
      <c r="X92" s="6817"/>
      <c r="Y92" s="6817"/>
      <c r="Z92" s="6817"/>
      <c r="AA92" s="6817"/>
      <c r="AB92" s="6817"/>
      <c r="AC92" s="6817"/>
      <c r="AD92" s="6817"/>
      <c r="AE92" s="6854"/>
      <c r="AF92" s="6817"/>
      <c r="AG92" s="6854"/>
      <c r="AH92" s="6817"/>
      <c r="AI92" s="6817"/>
      <c r="AJ92" s="3174"/>
      <c r="AK92" s="329"/>
    </row>
    <row r="93" spans="23:40" ht="14.25" customHeight="1" thickBot="1">
      <c r="AK93" s="329"/>
    </row>
    <row r="94" spans="23:40" ht="14.25" customHeight="1">
      <c r="W94" s="6827"/>
      <c r="X94" s="496"/>
      <c r="Y94" s="377"/>
      <c r="Z94" s="377"/>
      <c r="AA94" s="377"/>
      <c r="AB94" s="377"/>
      <c r="AC94" s="377"/>
      <c r="AD94" s="377"/>
      <c r="AE94" s="6855"/>
      <c r="AF94" s="377"/>
      <c r="AG94" s="6855"/>
      <c r="AH94" s="6855"/>
      <c r="AI94" s="6855"/>
      <c r="AJ94" s="378"/>
      <c r="AK94" s="329"/>
    </row>
    <row r="95" spans="23:40" ht="14.25" customHeight="1">
      <c r="W95" s="6828" t="s">
        <v>6157</v>
      </c>
      <c r="X95" s="253"/>
      <c r="Y95" s="253"/>
      <c r="Z95" s="253"/>
      <c r="AA95" s="253"/>
      <c r="AB95" s="253"/>
      <c r="AC95" s="253"/>
      <c r="AD95" s="253"/>
      <c r="AE95" s="2320"/>
      <c r="AF95" s="253"/>
      <c r="AG95" s="2320"/>
      <c r="AH95" s="2320"/>
      <c r="AI95" s="2320"/>
      <c r="AJ95" s="379"/>
      <c r="AK95" s="329"/>
      <c r="AM95" s="801"/>
      <c r="AN95" s="801"/>
    </row>
    <row r="96" spans="23:40" ht="14.25" customHeight="1" thickBot="1">
      <c r="W96" s="6831"/>
      <c r="X96" s="380"/>
      <c r="Y96" s="380"/>
      <c r="Z96" s="380"/>
      <c r="AA96" s="380"/>
      <c r="AB96" s="380"/>
      <c r="AC96" s="380"/>
      <c r="AD96" s="380"/>
      <c r="AE96" s="380"/>
      <c r="AF96" s="380"/>
      <c r="AG96" s="380"/>
      <c r="AH96" s="380"/>
      <c r="AI96" s="380"/>
      <c r="AJ96" s="381"/>
      <c r="AK96" s="329"/>
      <c r="AM96" s="1250"/>
      <c r="AN96" s="1250"/>
    </row>
    <row r="97" spans="23:40" ht="14.25" customHeight="1">
      <c r="W97" s="6916" t="s">
        <v>6159</v>
      </c>
      <c r="X97" s="377"/>
      <c r="Y97" s="377"/>
      <c r="Z97" s="6917"/>
      <c r="AA97" s="516" t="str">
        <f>"If the amount on Schedule A, line 5d is "&amp;TEXT($T$14,"$0,000")&amp;" ("&amp;TEXT($T$15,"$0,000")&amp;" if married filing separately) or less, enter the amount"</f>
        <v>If the amount on Schedule A, line 5d is $10,000 ($5,000 if married filing separately) or less, enter the amount</v>
      </c>
      <c r="AB97" s="377"/>
      <c r="AC97" s="377"/>
      <c r="AD97" s="377"/>
      <c r="AE97" s="6918"/>
      <c r="AF97" s="377"/>
      <c r="AG97" s="6918"/>
      <c r="AH97" s="377"/>
      <c r="AI97" s="377"/>
      <c r="AJ97" s="378"/>
      <c r="AK97" s="329"/>
      <c r="AM97" s="1250"/>
      <c r="AN97" s="1250"/>
    </row>
    <row r="98" spans="23:40" ht="14.25" customHeight="1">
      <c r="W98" s="6919"/>
      <c r="X98" s="253"/>
      <c r="Y98" s="253"/>
      <c r="Z98" s="253"/>
      <c r="AA98" s="344" t="s">
        <v>6158</v>
      </c>
      <c r="AB98" s="253"/>
      <c r="AC98" s="253"/>
      <c r="AD98" s="253"/>
      <c r="AE98" s="6920"/>
      <c r="AF98" s="6920"/>
      <c r="AG98" s="6920"/>
      <c r="AH98" s="253"/>
      <c r="AI98" s="253"/>
      <c r="AJ98" s="379"/>
      <c r="AK98" s="329"/>
      <c r="AM98" s="304"/>
      <c r="AN98" s="304"/>
    </row>
    <row r="99" spans="23:40" ht="14.25" customHeight="1" thickBot="1">
      <c r="W99" s="6831"/>
      <c r="X99" s="380"/>
      <c r="Y99" s="380"/>
      <c r="Z99" s="6921"/>
      <c r="AA99" s="498"/>
      <c r="AB99" s="380"/>
      <c r="AC99" s="380"/>
      <c r="AD99" s="380"/>
      <c r="AE99" s="6758"/>
      <c r="AF99" s="380"/>
      <c r="AG99" s="6922"/>
      <c r="AH99" s="380"/>
      <c r="AI99" s="380"/>
      <c r="AJ99" s="381"/>
      <c r="AK99" s="329"/>
      <c r="AM99" s="6923"/>
      <c r="AN99" s="6923"/>
    </row>
    <row r="100" spans="23:40" ht="14.25" customHeight="1">
      <c r="W100" s="3137"/>
      <c r="X100" s="1022"/>
      <c r="Y100" s="1022"/>
      <c r="Z100" s="1022"/>
      <c r="AA100" s="1022"/>
      <c r="AB100" s="1022"/>
      <c r="AC100" s="1022"/>
      <c r="AD100" s="1022"/>
      <c r="AE100" s="6924"/>
      <c r="AF100" s="1022"/>
      <c r="AG100" s="6776">
        <f>K24</f>
        <v>0</v>
      </c>
      <c r="AH100" s="1022"/>
      <c r="AI100" s="1022"/>
      <c r="AJ100" s="3136"/>
      <c r="AK100" s="329"/>
      <c r="AM100" s="6923"/>
      <c r="AN100" s="6923"/>
    </row>
    <row r="101" spans="23:40" ht="14.25" customHeight="1">
      <c r="W101" s="6781" t="s">
        <v>157</v>
      </c>
      <c r="X101" s="2956" t="str">
        <f>"Is the amount on Schedule A, line 5d more than "&amp;TEXT($T$14,"$0,000")&amp;" ("&amp;TEXT($T$15,"$0,000")&amp;" if married filing separately)?"</f>
        <v>Is the amount on Schedule A, line 5d more than $10,000 ($5,000 if married filing separately)?</v>
      </c>
      <c r="Y101" s="1022"/>
      <c r="Z101" s="1022"/>
      <c r="AA101" s="1022"/>
      <c r="AB101" s="1022"/>
      <c r="AC101" s="1022"/>
      <c r="AD101" s="1022"/>
      <c r="AE101" s="6924"/>
      <c r="AF101" s="1022"/>
      <c r="AG101" s="6925" t="b">
        <f>P28</f>
        <v>0</v>
      </c>
      <c r="AH101" s="1022"/>
      <c r="AI101" s="1022"/>
      <c r="AJ101" s="3136"/>
      <c r="AK101" s="329"/>
      <c r="AM101" s="6923"/>
      <c r="AN101" s="6923"/>
    </row>
    <row r="102" spans="23:40" ht="14.25" customHeight="1" thickBot="1">
      <c r="W102" s="3137"/>
      <c r="X102" s="1022"/>
      <c r="Y102" s="1022"/>
      <c r="Z102" s="1022"/>
      <c r="AA102" s="1022"/>
      <c r="AB102" s="1022"/>
      <c r="AC102" s="1022"/>
      <c r="AD102" s="1022"/>
      <c r="AE102" s="6924"/>
      <c r="AF102" s="1022"/>
      <c r="AG102" s="6776"/>
      <c r="AH102" s="1022"/>
      <c r="AI102" s="1022"/>
      <c r="AJ102" s="3136"/>
      <c r="AK102" s="329"/>
      <c r="AM102" s="6923"/>
      <c r="AN102" s="6923"/>
    </row>
    <row r="103" spans="23:40" ht="14.25" customHeight="1" thickBot="1">
      <c r="W103" s="3137"/>
      <c r="X103" s="277" t="str">
        <f>IF(AG101,"","X")</f>
        <v>X</v>
      </c>
      <c r="Y103" s="2956" t="s">
        <v>6134</v>
      </c>
      <c r="Z103" s="6883" t="s">
        <v>943</v>
      </c>
      <c r="AA103" s="2956" t="s">
        <v>6160</v>
      </c>
      <c r="AB103" s="1022"/>
      <c r="AC103" s="1022"/>
      <c r="AD103" s="1022"/>
      <c r="AE103" s="6924"/>
      <c r="AF103" s="1022"/>
      <c r="AG103" s="6776"/>
      <c r="AH103" s="1022"/>
      <c r="AI103" s="1022"/>
      <c r="AJ103" s="3136"/>
      <c r="AK103" s="329"/>
      <c r="AM103" s="6923"/>
      <c r="AN103" s="6923"/>
    </row>
    <row r="104" spans="23:40" ht="14.25" customHeight="1">
      <c r="W104" s="3137"/>
      <c r="X104" s="1022"/>
      <c r="Y104" s="1022"/>
      <c r="Z104" s="1022" t="s">
        <v>6161</v>
      </c>
      <c r="AA104" s="1022"/>
      <c r="AB104" s="1022"/>
      <c r="AC104" s="1022"/>
      <c r="AD104" s="1022"/>
      <c r="AE104" s="6924"/>
      <c r="AF104" s="1022"/>
      <c r="AG104" s="6776"/>
      <c r="AH104" s="1022"/>
      <c r="AI104" s="1022"/>
      <c r="AJ104" s="3136"/>
      <c r="AK104" s="329"/>
      <c r="AM104" s="6923"/>
      <c r="AN104" s="6923"/>
    </row>
    <row r="105" spans="23:40" ht="14.25" customHeight="1" thickBot="1">
      <c r="W105" s="3137"/>
      <c r="X105" s="1022"/>
      <c r="Y105" s="1022"/>
      <c r="Z105" s="1022"/>
      <c r="AA105" s="1022"/>
      <c r="AB105" s="1022"/>
      <c r="AC105" s="1022"/>
      <c r="AD105" s="1022"/>
      <c r="AE105" s="6924"/>
      <c r="AF105" s="1022"/>
      <c r="AG105" s="6776"/>
      <c r="AH105" s="1022"/>
      <c r="AI105" s="1022"/>
      <c r="AJ105" s="3136"/>
      <c r="AK105" s="329"/>
      <c r="AM105" s="6923"/>
      <c r="AN105" s="6923"/>
    </row>
    <row r="106" spans="23:40" ht="14.25" customHeight="1" thickBot="1">
      <c r="W106" s="3137"/>
      <c r="X106" s="277" t="str">
        <f>IF(AG101,"X","")</f>
        <v/>
      </c>
      <c r="Y106" s="3132" t="s">
        <v>945</v>
      </c>
      <c r="Z106" s="1022" t="str">
        <f>"Enter "&amp;TEXT(P17,"$0,000")</f>
        <v>Enter $40,000</v>
      </c>
      <c r="AA106" s="1022"/>
      <c r="AB106" s="1022"/>
      <c r="AC106" s="1022"/>
      <c r="AD106" s="1022"/>
      <c r="AE106" s="6924"/>
      <c r="AF106" s="1022"/>
      <c r="AG106" s="6776"/>
      <c r="AH106" s="6782" t="s">
        <v>157</v>
      </c>
      <c r="AI106" s="6873" t="str">
        <f>IF($AG$101,P17,"")</f>
        <v/>
      </c>
      <c r="AJ106" s="3136"/>
      <c r="AK106" s="329"/>
      <c r="AM106" s="6923"/>
      <c r="AN106" s="6923"/>
    </row>
    <row r="107" spans="23:40" ht="14.25" customHeight="1">
      <c r="W107" s="3137"/>
      <c r="X107" s="1022"/>
      <c r="Y107" s="1022"/>
      <c r="Z107" s="1022"/>
      <c r="AA107" s="1022"/>
      <c r="AB107" s="1022"/>
      <c r="AC107" s="1022"/>
      <c r="AD107" s="1022"/>
      <c r="AE107" s="6924"/>
      <c r="AF107" s="1022"/>
      <c r="AG107" s="6776"/>
      <c r="AH107" s="1022"/>
      <c r="AI107" s="1022"/>
      <c r="AJ107" s="3136"/>
      <c r="AK107" s="329"/>
      <c r="AM107" s="6923"/>
      <c r="AN107" s="6923"/>
    </row>
    <row r="108" spans="23:40" ht="14.25" customHeight="1">
      <c r="W108" s="6781" t="s">
        <v>161</v>
      </c>
      <c r="X108" s="6926" t="s">
        <v>6163</v>
      </c>
      <c r="Y108" s="1022"/>
      <c r="Z108" s="1022"/>
      <c r="AA108" s="1022"/>
      <c r="AB108" s="1022"/>
      <c r="AC108" s="1022"/>
      <c r="AD108" s="1022"/>
      <c r="AE108" s="6924"/>
      <c r="AF108" s="1022"/>
      <c r="AG108" s="6776"/>
      <c r="AH108" s="6782" t="s">
        <v>161</v>
      </c>
      <c r="AI108" s="6873" t="str">
        <f>IF($AG$101,Adj_Gross_Inc_Pg2,"")</f>
        <v/>
      </c>
      <c r="AJ108" s="3136"/>
      <c r="AK108" s="329"/>
      <c r="AM108" s="6923"/>
      <c r="AN108" s="6923"/>
    </row>
    <row r="109" spans="23:40" ht="14.25" customHeight="1">
      <c r="W109" s="3137"/>
      <c r="X109" s="1022"/>
      <c r="Y109" s="1022"/>
      <c r="Z109" s="1022"/>
      <c r="AA109" s="1022"/>
      <c r="AB109" s="1022"/>
      <c r="AC109" s="1022"/>
      <c r="AD109" s="1022"/>
      <c r="AE109" s="6924"/>
      <c r="AF109" s="1022"/>
      <c r="AG109" s="6776"/>
      <c r="AH109" s="1022"/>
      <c r="AI109" s="1022"/>
      <c r="AJ109" s="3136"/>
      <c r="AK109" s="329"/>
      <c r="AM109" s="6923"/>
      <c r="AN109" s="6923"/>
    </row>
    <row r="110" spans="23:40" ht="14.25" customHeight="1">
      <c r="W110" s="6781" t="s">
        <v>6164</v>
      </c>
      <c r="X110" s="6926" t="s">
        <v>5765</v>
      </c>
      <c r="Y110" s="1022"/>
      <c r="Z110" s="1022"/>
      <c r="AA110" s="1022"/>
      <c r="AB110" s="1022"/>
      <c r="AC110" s="1022"/>
      <c r="AD110" s="1022"/>
      <c r="AE110" s="6924"/>
      <c r="AF110" s="6782" t="s">
        <v>6164</v>
      </c>
      <c r="AG110" s="6235"/>
      <c r="AH110" s="1022"/>
      <c r="AI110" s="6776">
        <f>IF(AG110&lt;&gt;"",ROUND(AG110,0),0)</f>
        <v>0</v>
      </c>
      <c r="AJ110" s="3136"/>
      <c r="AK110" s="329"/>
      <c r="AM110" s="6923"/>
      <c r="AN110" s="6923"/>
    </row>
    <row r="111" spans="23:40" ht="14.25" customHeight="1">
      <c r="W111" s="3137"/>
      <c r="X111" s="6926"/>
      <c r="Y111" s="1022"/>
      <c r="Z111" s="1022"/>
      <c r="AA111" s="1022"/>
      <c r="AB111" s="1022"/>
      <c r="AC111" s="1022"/>
      <c r="AD111" s="1022"/>
      <c r="AE111" s="6924"/>
      <c r="AF111" s="1022"/>
      <c r="AG111" s="6776"/>
      <c r="AH111" s="1022"/>
      <c r="AI111" s="1022"/>
      <c r="AJ111" s="3136"/>
      <c r="AK111" s="329"/>
      <c r="AM111" s="6923"/>
      <c r="AN111" s="6923"/>
    </row>
    <row r="112" spans="23:40" ht="14.25" customHeight="1">
      <c r="W112" s="3137" t="s">
        <v>1181</v>
      </c>
      <c r="X112" s="6926" t="s">
        <v>5766</v>
      </c>
      <c r="Y112" s="1022"/>
      <c r="Z112" s="1022"/>
      <c r="AA112" s="1022"/>
      <c r="AB112" s="1022"/>
      <c r="AC112" s="1022"/>
      <c r="AD112" s="1022"/>
      <c r="AE112" s="6924"/>
      <c r="AF112" s="6782" t="s">
        <v>6166</v>
      </c>
      <c r="AG112" s="6873" t="str">
        <f>IF(AG101,F2555_Line45_Total,"")</f>
        <v/>
      </c>
      <c r="AH112" s="1022"/>
      <c r="AI112" s="1022"/>
      <c r="AJ112" s="3136"/>
      <c r="AK112" s="329"/>
      <c r="AM112" s="6923"/>
      <c r="AN112" s="6923"/>
    </row>
    <row r="113" spans="23:40" ht="14.25" customHeight="1">
      <c r="W113" s="3137"/>
      <c r="X113" s="6926"/>
      <c r="Y113" s="1022"/>
      <c r="Z113" s="1022"/>
      <c r="AA113" s="1022"/>
      <c r="AB113" s="1022"/>
      <c r="AC113" s="1022"/>
      <c r="AD113" s="1022"/>
      <c r="AE113" s="6924"/>
      <c r="AF113" s="1022"/>
      <c r="AG113" s="6776"/>
      <c r="AH113" s="1022"/>
      <c r="AI113" s="1022"/>
      <c r="AJ113" s="3136"/>
      <c r="AK113" s="329"/>
      <c r="AM113" s="6923"/>
      <c r="AN113" s="6923"/>
    </row>
    <row r="114" spans="23:40" ht="14.25" customHeight="1">
      <c r="W114" s="3137" t="s">
        <v>1196</v>
      </c>
      <c r="X114" s="6927" t="s">
        <v>5767</v>
      </c>
      <c r="Y114" s="1022"/>
      <c r="Z114" s="1022"/>
      <c r="AA114" s="1022"/>
      <c r="AB114" s="1022"/>
      <c r="AC114" s="1022"/>
      <c r="AD114" s="1022"/>
      <c r="AE114" s="6924"/>
      <c r="AF114" s="6782" t="s">
        <v>6167</v>
      </c>
      <c r="AG114" s="6873" t="str">
        <f>IF(AG103,ForeignHousingDeductionTotal,"")</f>
        <v/>
      </c>
      <c r="AH114" s="1022"/>
      <c r="AI114" s="1022"/>
      <c r="AJ114" s="3136"/>
      <c r="AK114" s="329"/>
      <c r="AM114" s="6923"/>
      <c r="AN114" s="6923"/>
    </row>
    <row r="115" spans="23:40" ht="14.25" customHeight="1">
      <c r="W115" s="3137"/>
      <c r="X115" s="6926"/>
      <c r="Y115" s="1022"/>
      <c r="Z115" s="1022"/>
      <c r="AA115" s="1022"/>
      <c r="AB115" s="1022"/>
      <c r="AC115" s="1022"/>
      <c r="AD115" s="1022"/>
      <c r="AE115" s="6924"/>
      <c r="AF115" s="1022"/>
      <c r="AG115" s="6776"/>
      <c r="AH115" s="1022"/>
      <c r="AI115" s="1022"/>
      <c r="AJ115" s="3136"/>
      <c r="AK115" s="329"/>
      <c r="AM115" s="6923"/>
      <c r="AN115" s="6923"/>
    </row>
    <row r="116" spans="23:40" ht="14.25" customHeight="1">
      <c r="W116" s="3137" t="s">
        <v>1204</v>
      </c>
      <c r="X116" s="6927" t="s">
        <v>5768</v>
      </c>
      <c r="Y116" s="1022"/>
      <c r="Z116" s="1022"/>
      <c r="AA116" s="1022"/>
      <c r="AB116" s="1022"/>
      <c r="AC116" s="1022"/>
      <c r="AD116" s="1022"/>
      <c r="AE116" s="6924"/>
      <c r="AF116" s="6782" t="s">
        <v>6168</v>
      </c>
      <c r="AG116" s="6235"/>
      <c r="AH116" s="1022"/>
      <c r="AI116" s="6776">
        <f>IF(AG116&lt;&gt;"",ROUND(AG116,0),0)</f>
        <v>0</v>
      </c>
      <c r="AJ116" s="3136"/>
      <c r="AK116" s="329"/>
      <c r="AM116" s="6923"/>
      <c r="AN116" s="6923"/>
    </row>
    <row r="117" spans="23:40" ht="14.25" customHeight="1">
      <c r="W117" s="3137"/>
      <c r="X117" s="6926"/>
      <c r="Y117" s="1022"/>
      <c r="Z117" s="1022"/>
      <c r="AA117" s="1022"/>
      <c r="AB117" s="1022"/>
      <c r="AC117" s="1022"/>
      <c r="AD117" s="1022"/>
      <c r="AE117" s="6924"/>
      <c r="AF117" s="1022"/>
      <c r="AG117" s="6776"/>
      <c r="AH117" s="1022"/>
      <c r="AI117" s="1022"/>
      <c r="AJ117" s="3136"/>
      <c r="AK117" s="329"/>
      <c r="AM117" s="6923"/>
      <c r="AN117" s="6923"/>
    </row>
    <row r="118" spans="23:40" ht="14.25" customHeight="1">
      <c r="W118" s="3137" t="s">
        <v>1211</v>
      </c>
      <c r="X118" s="6927" t="s">
        <v>6165</v>
      </c>
      <c r="Y118" s="1022"/>
      <c r="Z118" s="1022"/>
      <c r="AA118" s="1022"/>
      <c r="AB118" s="1022"/>
      <c r="AC118" s="1022"/>
      <c r="AD118" s="1022"/>
      <c r="AE118" s="6924"/>
      <c r="AF118" s="1022"/>
      <c r="AG118" s="6776"/>
      <c r="AH118" s="6782" t="s">
        <v>6169</v>
      </c>
      <c r="AI118" s="6873" t="str">
        <f>IF(AG101,SUM(AI110,AG112,AG114,AI116),"")</f>
        <v/>
      </c>
      <c r="AJ118" s="3136"/>
      <c r="AK118" s="329"/>
      <c r="AM118" s="6923"/>
      <c r="AN118" s="6923"/>
    </row>
    <row r="119" spans="23:40" ht="14.25" customHeight="1">
      <c r="W119" s="3137"/>
      <c r="X119" s="6926"/>
      <c r="Y119" s="1022"/>
      <c r="Z119" s="1022"/>
      <c r="AA119" s="1022"/>
      <c r="AB119" s="1022"/>
      <c r="AC119" s="1022"/>
      <c r="AD119" s="1022"/>
      <c r="AE119" s="6924"/>
      <c r="AF119" s="1022"/>
      <c r="AG119" s="6776"/>
      <c r="AH119" s="1022"/>
      <c r="AI119" s="1022"/>
      <c r="AJ119" s="3136"/>
      <c r="AK119" s="329"/>
      <c r="AM119" s="6923"/>
      <c r="AN119" s="6923"/>
    </row>
    <row r="120" spans="23:40" ht="14.25" customHeight="1">
      <c r="W120" s="6781" t="s">
        <v>171</v>
      </c>
      <c r="X120" s="6927" t="s">
        <v>6170</v>
      </c>
      <c r="Y120" s="1022"/>
      <c r="Z120" s="1022"/>
      <c r="AA120" s="1022"/>
      <c r="AB120" s="1022"/>
      <c r="AC120" s="1022"/>
      <c r="AD120" s="1022"/>
      <c r="AE120" s="6924"/>
      <c r="AF120" s="1022"/>
      <c r="AG120" s="6776"/>
      <c r="AH120" s="6782" t="s">
        <v>171</v>
      </c>
      <c r="AI120" s="6873" t="str">
        <f>IF(AG101,SUM(AI108,AI118),"")</f>
        <v/>
      </c>
      <c r="AJ120" s="3136"/>
      <c r="AK120" s="329"/>
      <c r="AM120" s="6923"/>
      <c r="AN120" s="6923"/>
    </row>
    <row r="121" spans="23:40" ht="14.25" customHeight="1">
      <c r="W121" s="3137"/>
      <c r="X121" s="6927"/>
      <c r="Y121" s="1022"/>
      <c r="Z121" s="1022"/>
      <c r="AA121" s="1022"/>
      <c r="AB121" s="1022"/>
      <c r="AC121" s="1022"/>
      <c r="AD121" s="1022"/>
      <c r="AE121" s="6924"/>
      <c r="AF121" s="1022"/>
      <c r="AG121" s="6776"/>
      <c r="AH121" s="1022"/>
      <c r="AI121" s="1022"/>
      <c r="AJ121" s="3136"/>
      <c r="AK121" s="329"/>
      <c r="AM121" s="6923"/>
      <c r="AN121" s="6923"/>
    </row>
    <row r="122" spans="23:40" ht="14.25" customHeight="1">
      <c r="W122" s="6781" t="s">
        <v>184</v>
      </c>
      <c r="X122" s="6927" t="str">
        <f>"Enter "&amp;TEXT(T21,"$0,000")&amp;" ("&amp;TEXT(T22,"$0,000")&amp;" if married filing separately)"</f>
        <v>Enter $500,000 ($250,000 if married filing separately)</v>
      </c>
      <c r="Y122" s="1022"/>
      <c r="Z122" s="1022"/>
      <c r="AA122" s="1022"/>
      <c r="AB122" s="1022"/>
      <c r="AC122" s="1022"/>
      <c r="AD122" s="1022"/>
      <c r="AE122" s="6924"/>
      <c r="AF122" s="1022"/>
      <c r="AG122" s="6776"/>
      <c r="AH122" s="6782" t="s">
        <v>184</v>
      </c>
      <c r="AI122" s="6873" t="str">
        <f>IF(AND($AG$101,File_Marr_Sep&lt;&gt;""),T22,IF($AG$101,T21,""))</f>
        <v/>
      </c>
      <c r="AJ122" s="3136"/>
      <c r="AK122" s="329"/>
      <c r="AM122" s="6923"/>
      <c r="AN122" s="6923"/>
    </row>
    <row r="123" spans="23:40" ht="14.25" customHeight="1">
      <c r="W123" s="6781"/>
      <c r="X123" s="6927"/>
      <c r="Y123" s="1022"/>
      <c r="Z123" s="1022"/>
      <c r="AA123" s="1022"/>
      <c r="AB123" s="1022"/>
      <c r="AC123" s="1022"/>
      <c r="AD123" s="1022"/>
      <c r="AE123" s="6924"/>
      <c r="AF123" s="1022"/>
      <c r="AG123" s="6776"/>
      <c r="AH123" s="1022"/>
      <c r="AI123" s="1022"/>
      <c r="AJ123" s="3136"/>
      <c r="AK123" s="329"/>
      <c r="AM123" s="6923"/>
      <c r="AN123" s="6923"/>
    </row>
    <row r="124" spans="23:40" ht="14.25" customHeight="1">
      <c r="W124" s="6781" t="s">
        <v>188</v>
      </c>
      <c r="X124" s="6927" t="s">
        <v>1047</v>
      </c>
      <c r="Y124" s="1022"/>
      <c r="Z124" s="1022"/>
      <c r="AA124" s="1022"/>
      <c r="AB124" s="1022"/>
      <c r="AC124" s="1022"/>
      <c r="AD124" s="1022"/>
      <c r="AE124" s="6924"/>
      <c r="AF124" s="1022"/>
      <c r="AG124" s="6776"/>
      <c r="AH124" s="1022"/>
      <c r="AI124" s="6776" t="b">
        <f>AND(AG101,AI120&gt;AI122)</f>
        <v>0</v>
      </c>
      <c r="AJ124" s="3136"/>
      <c r="AK124" s="329"/>
    </row>
    <row r="125" spans="23:40" ht="14.25" customHeight="1" thickBot="1">
      <c r="W125" s="6781"/>
      <c r="X125" s="6927"/>
      <c r="Y125" s="1022"/>
      <c r="Z125" s="1022"/>
      <c r="AA125" s="1022"/>
      <c r="AB125" s="1022"/>
      <c r="AC125" s="1022"/>
      <c r="AD125" s="1022"/>
      <c r="AE125" s="6924"/>
      <c r="AF125" s="1022"/>
      <c r="AG125" s="6776"/>
      <c r="AH125" s="1022"/>
      <c r="AI125" s="1022"/>
      <c r="AJ125" s="3136"/>
      <c r="AK125" s="329"/>
    </row>
    <row r="126" spans="23:40" ht="14.25" customHeight="1" thickBot="1">
      <c r="W126" s="3137"/>
      <c r="X126" s="1987" t="str">
        <f>IF(AND(AG101,NOT(AI124)),"X","")</f>
        <v/>
      </c>
      <c r="Y126" s="2956" t="s">
        <v>6134</v>
      </c>
      <c r="Z126" s="1022" t="s">
        <v>6171</v>
      </c>
      <c r="AA126" s="1022"/>
      <c r="AB126" s="1022"/>
      <c r="AC126" s="1022"/>
      <c r="AD126" s="1022"/>
      <c r="AE126" s="6924"/>
      <c r="AF126" s="1022"/>
      <c r="AG126" s="6776"/>
      <c r="AH126" s="1022"/>
      <c r="AI126" s="1022"/>
      <c r="AJ126" s="3136"/>
      <c r="AK126" s="329"/>
    </row>
    <row r="127" spans="23:40" ht="14.25" customHeight="1" thickBot="1">
      <c r="W127" s="3137"/>
      <c r="X127" s="1022"/>
      <c r="Y127" s="1022"/>
      <c r="Z127" s="1022"/>
      <c r="AA127" s="1022"/>
      <c r="AB127" s="1022"/>
      <c r="AC127" s="1022"/>
      <c r="AD127" s="1022"/>
      <c r="AE127" s="6924"/>
      <c r="AF127" s="1022"/>
      <c r="AG127" s="6776"/>
      <c r="AH127" s="1022"/>
      <c r="AI127" s="1022"/>
      <c r="AJ127" s="3136"/>
      <c r="AK127" s="329"/>
    </row>
    <row r="128" spans="23:40" ht="14.25" customHeight="1" thickBot="1">
      <c r="W128" s="3137"/>
      <c r="X128" s="1987" t="str">
        <f>IF(AND(AG101,AI124),"X","")</f>
        <v/>
      </c>
      <c r="Y128" s="3132" t="s">
        <v>945</v>
      </c>
      <c r="Z128" s="1022" t="s">
        <v>1050</v>
      </c>
      <c r="AA128" s="1022"/>
      <c r="AB128" s="1022"/>
      <c r="AC128" s="1022"/>
      <c r="AD128" s="1022"/>
      <c r="AE128" s="6924"/>
      <c r="AF128" s="6782" t="s">
        <v>188</v>
      </c>
      <c r="AG128" s="6873" t="str">
        <f>IF(AND(AG101,AI124),SUM(AI120,-AI122),"")</f>
        <v/>
      </c>
      <c r="AH128" s="1022"/>
      <c r="AI128" s="1022"/>
      <c r="AJ128" s="3136"/>
      <c r="AK128" s="329"/>
    </row>
    <row r="129" spans="23:40" ht="14.25" customHeight="1">
      <c r="W129" s="3137"/>
      <c r="X129" s="1022"/>
      <c r="Y129" s="1022"/>
      <c r="Z129" s="1022"/>
      <c r="AA129" s="1022"/>
      <c r="AB129" s="1022"/>
      <c r="AC129" s="1022"/>
      <c r="AD129" s="1022"/>
      <c r="AE129" s="6924"/>
      <c r="AF129" s="1022"/>
      <c r="AG129" s="6776"/>
      <c r="AH129" s="1022"/>
      <c r="AI129" s="6776">
        <v>0.3</v>
      </c>
      <c r="AJ129" s="3136"/>
      <c r="AK129" s="329"/>
      <c r="AN129" s="1252"/>
    </row>
    <row r="130" spans="23:40" ht="14.25" customHeight="1">
      <c r="W130" s="6781" t="s">
        <v>198</v>
      </c>
      <c r="X130" s="6927" t="str">
        <f>"Multiply line 6 by "&amp;TEXT(AI129,"0%")&amp;" ("&amp;TEXT(AI129,"0.00")&amp;")"</f>
        <v>Multiply line 6 by 30% (0.30)</v>
      </c>
      <c r="Y130" s="1022"/>
      <c r="Z130" s="1022"/>
      <c r="AA130" s="1022"/>
      <c r="AB130" s="1022"/>
      <c r="AC130" s="1022"/>
      <c r="AD130" s="1022"/>
      <c r="AE130" s="6924"/>
      <c r="AF130" s="6782" t="s">
        <v>198</v>
      </c>
      <c r="AG130" s="6873" t="str">
        <f>IF(AND(AG101,AI124),ROUND(AG128*AI129,0),"")</f>
        <v/>
      </c>
      <c r="AH130" s="1022"/>
      <c r="AI130" s="1022"/>
      <c r="AJ130" s="3136"/>
      <c r="AK130" s="329"/>
      <c r="AN130" s="1326"/>
    </row>
    <row r="131" spans="23:40" ht="14.25" customHeight="1">
      <c r="W131" s="6781"/>
      <c r="X131" s="6927"/>
      <c r="Y131" s="1022"/>
      <c r="Z131" s="1022"/>
      <c r="AA131" s="1022"/>
      <c r="AB131" s="1022"/>
      <c r="AC131" s="1022"/>
      <c r="AD131" s="1022"/>
      <c r="AE131" s="6924"/>
      <c r="AF131" s="1022"/>
      <c r="AG131" s="6776"/>
      <c r="AH131" s="1022"/>
      <c r="AI131" s="1022"/>
      <c r="AJ131" s="3136"/>
      <c r="AK131" s="329"/>
    </row>
    <row r="132" spans="23:40" ht="14.25" customHeight="1">
      <c r="W132" s="6781" t="s">
        <v>200</v>
      </c>
      <c r="X132" s="6927" t="s">
        <v>6172</v>
      </c>
      <c r="Y132" s="1022"/>
      <c r="Z132" s="1022"/>
      <c r="AA132" s="1022"/>
      <c r="AB132" s="1022"/>
      <c r="AC132" s="1022"/>
      <c r="AD132" s="1022"/>
      <c r="AE132" s="6924"/>
      <c r="AF132" s="6782" t="s">
        <v>200</v>
      </c>
      <c r="AG132" s="6873" t="str">
        <f>IF(AND(AG101,AI124),SUM(AI106,-AG130),"")</f>
        <v/>
      </c>
      <c r="AH132" s="1022"/>
      <c r="AI132" s="1022"/>
      <c r="AJ132" s="3136"/>
    </row>
    <row r="133" spans="23:40" ht="14.25" customHeight="1">
      <c r="W133" s="6781"/>
      <c r="X133" s="6927"/>
      <c r="Y133" s="1022"/>
      <c r="Z133" s="1022"/>
      <c r="AA133" s="1022"/>
      <c r="AB133" s="1022"/>
      <c r="AC133" s="1022"/>
      <c r="AD133" s="1022"/>
      <c r="AE133" s="6924"/>
      <c r="AF133" s="1022"/>
      <c r="AG133" s="6776"/>
      <c r="AH133" s="1022"/>
      <c r="AI133" s="1022"/>
      <c r="AJ133" s="3136"/>
    </row>
    <row r="134" spans="23:40" ht="14.25" customHeight="1">
      <c r="W134" s="6781" t="s">
        <v>205</v>
      </c>
      <c r="X134" s="6927" t="str">
        <f>"Enter the larger of the amount on line 8 or "&amp;TEXT(AG134,"$0,000")</f>
        <v>Enter the larger of the amount on line 8 or $10,000</v>
      </c>
      <c r="Y134" s="1022"/>
      <c r="Z134" s="1022"/>
      <c r="AA134" s="1022"/>
      <c r="AB134" s="1022"/>
      <c r="AC134" s="1022"/>
      <c r="AD134" s="1022"/>
      <c r="AE134" s="6924"/>
      <c r="AF134" s="1022"/>
      <c r="AG134" s="6776">
        <v>10000</v>
      </c>
      <c r="AH134" s="6782" t="s">
        <v>205</v>
      </c>
      <c r="AI134" s="6873" t="str">
        <f>IF(NOT(AG101),"",IF(NOT(AI124),AI106,MAX(AG132,AG134)))</f>
        <v/>
      </c>
      <c r="AJ134" s="3136"/>
    </row>
    <row r="135" spans="23:40" ht="14.25" customHeight="1">
      <c r="W135" s="6781"/>
      <c r="X135" s="6927"/>
      <c r="Y135" s="1022"/>
      <c r="Z135" s="1022"/>
      <c r="AA135" s="1022"/>
      <c r="AB135" s="1022"/>
      <c r="AC135" s="1022"/>
      <c r="AD135" s="1022"/>
      <c r="AE135" s="6924"/>
      <c r="AF135" s="1022"/>
      <c r="AG135" s="6776"/>
      <c r="AH135" s="1022"/>
      <c r="AI135" s="6776" t="str">
        <f>IF(File_Marr_Sep&lt;&gt;"",ROUND(AI134/2,0),AI134)</f>
        <v/>
      </c>
      <c r="AJ135" s="3136"/>
      <c r="AK135" s="329"/>
    </row>
    <row r="136" spans="23:40" ht="14.25" customHeight="1" thickBot="1">
      <c r="W136" s="6781" t="s">
        <v>210</v>
      </c>
      <c r="X136" s="6927" t="s">
        <v>6173</v>
      </c>
      <c r="Y136" s="1022"/>
      <c r="Z136" s="1022"/>
      <c r="AA136" s="1022"/>
      <c r="AB136" s="1022"/>
      <c r="AC136" s="1022"/>
      <c r="AD136" s="1022"/>
      <c r="AE136" s="6924"/>
      <c r="AF136" s="1022"/>
      <c r="AG136" s="6776"/>
      <c r="AH136" s="1022"/>
      <c r="AI136" s="1022"/>
      <c r="AJ136" s="3136"/>
      <c r="AM136" s="329" t="s">
        <v>771</v>
      </c>
    </row>
    <row r="137" spans="23:40" ht="14.25" customHeight="1" thickBot="1">
      <c r="W137" s="6781"/>
      <c r="X137" s="6927" t="s">
        <v>6174</v>
      </c>
      <c r="Y137" s="1022"/>
      <c r="Z137" s="1022"/>
      <c r="AA137" s="1022"/>
      <c r="AB137" s="1022"/>
      <c r="AC137" s="1022"/>
      <c r="AD137" s="1022"/>
      <c r="AE137" s="6924"/>
      <c r="AF137" s="1022"/>
      <c r="AG137" s="6776"/>
      <c r="AH137" s="6782" t="s">
        <v>210</v>
      </c>
      <c r="AI137" s="6873" t="str">
        <f>IF(AM137&lt;&gt;"",ROUND(AM137,0),IF(AG101,MIN(AI135,N27),""))</f>
        <v/>
      </c>
      <c r="AJ137" s="3136"/>
      <c r="AM137" s="6237"/>
    </row>
    <row r="138" spans="23:40" ht="14.25" customHeight="1" thickBot="1">
      <c r="W138" s="6928"/>
      <c r="X138" s="6929"/>
      <c r="Y138" s="6817"/>
      <c r="Z138" s="6817"/>
      <c r="AA138" s="6817"/>
      <c r="AB138" s="6817"/>
      <c r="AC138" s="6817"/>
      <c r="AD138" s="6817"/>
      <c r="AE138" s="6930"/>
      <c r="AF138" s="6817"/>
      <c r="AG138" s="6854"/>
      <c r="AH138" s="6817"/>
      <c r="AI138" s="6817"/>
      <c r="AJ138" s="3174"/>
    </row>
    <row r="139" spans="23:40" ht="14.25" customHeight="1" thickBot="1"/>
    <row r="140" spans="23:40" ht="14.25" customHeight="1">
      <c r="W140" s="6827"/>
      <c r="X140" s="377"/>
      <c r="Y140" s="377"/>
      <c r="Z140" s="377"/>
      <c r="AA140" s="377"/>
      <c r="AB140" s="377"/>
      <c r="AC140" s="377"/>
      <c r="AD140" s="377"/>
      <c r="AE140" s="377"/>
      <c r="AF140" s="377"/>
      <c r="AG140" s="377"/>
      <c r="AH140" s="377"/>
      <c r="AI140" s="377"/>
      <c r="AJ140" s="378"/>
    </row>
    <row r="141" spans="23:40" ht="14.25" customHeight="1">
      <c r="W141" s="6931" t="s">
        <v>1860</v>
      </c>
      <c r="X141" s="253"/>
      <c r="Y141" s="253"/>
      <c r="Z141" s="253"/>
      <c r="AA141" s="253"/>
      <c r="AB141" s="253"/>
      <c r="AC141" s="349"/>
      <c r="AD141" s="349"/>
      <c r="AE141" s="253"/>
      <c r="AF141" s="253"/>
      <c r="AG141" s="253"/>
      <c r="AH141" s="3779"/>
      <c r="AI141" s="253"/>
      <c r="AJ141" s="379"/>
    </row>
    <row r="142" spans="23:40" ht="14.25" customHeight="1" thickBot="1">
      <c r="W142" s="6831"/>
      <c r="X142" s="498"/>
      <c r="Y142" s="498"/>
      <c r="Z142" s="6932"/>
      <c r="AA142" s="6933"/>
      <c r="AB142" s="6933"/>
      <c r="AC142" s="6933"/>
      <c r="AD142" s="6933"/>
      <c r="AE142" s="498"/>
      <c r="AF142" s="6933"/>
      <c r="AG142" s="6933"/>
      <c r="AH142" s="498"/>
      <c r="AI142" s="498"/>
      <c r="AJ142" s="499"/>
    </row>
    <row r="143" spans="23:40" ht="14.25" customHeight="1">
      <c r="W143" s="6934"/>
      <c r="X143" s="6935" t="s">
        <v>1862</v>
      </c>
      <c r="Y143" s="6935"/>
      <c r="Z143" s="6935"/>
      <c r="AA143" s="6935"/>
      <c r="AB143" s="6935"/>
      <c r="AC143" s="6935"/>
      <c r="AD143" s="6935"/>
      <c r="AE143" s="6935"/>
      <c r="AF143" s="6935"/>
      <c r="AG143" s="6935"/>
      <c r="AH143" s="6935"/>
      <c r="AI143" s="6935"/>
      <c r="AJ143" s="6936"/>
    </row>
    <row r="144" spans="23:40" ht="14.25" customHeight="1">
      <c r="W144" s="6937" t="str">
        <f>"•"</f>
        <v>•</v>
      </c>
      <c r="X144" s="2977" t="str">
        <f>"On or before December 15, 2017:  Interest on up to "&amp;TEXT(T35,"$0,000")&amp;" ("&amp;TEXT(T36,"$0,000")&amp;" if you are married filing separately) of that debt."</f>
        <v>On or before December 15, 2017:  Interest on up to $1,000,000 ($500,000 if you are married filing separately) of that debt.</v>
      </c>
      <c r="Y144" s="1022"/>
      <c r="Z144" s="1022"/>
      <c r="AA144" s="1022"/>
      <c r="AB144" s="1022"/>
      <c r="AC144" s="1022"/>
      <c r="AD144" s="1022"/>
      <c r="AE144" s="1022"/>
      <c r="AF144" s="1022"/>
      <c r="AG144" s="1022"/>
      <c r="AH144" s="1022"/>
      <c r="AI144" s="1022"/>
      <c r="AJ144" s="3136"/>
    </row>
    <row r="145" spans="23:36" ht="14.25" customHeight="1">
      <c r="W145" s="6938"/>
      <c r="X145" s="2977"/>
      <c r="Y145" s="1022" t="s">
        <v>1863</v>
      </c>
      <c r="Z145" s="1022"/>
      <c r="AA145" s="1022"/>
      <c r="AB145" s="1022"/>
      <c r="AC145" s="1022"/>
      <c r="AD145" s="1022"/>
      <c r="AE145" s="1022"/>
      <c r="AF145" s="1022"/>
      <c r="AG145" s="1022"/>
      <c r="AH145" s="1022"/>
      <c r="AI145" s="1022"/>
      <c r="AJ145" s="3136"/>
    </row>
    <row r="146" spans="23:36" ht="14.25" customHeight="1">
      <c r="W146" s="6937" t="str">
        <f>"•"</f>
        <v>•</v>
      </c>
      <c r="X146" s="2977" t="str">
        <f>"After December 15, 2017:  Interest on up to "&amp;TEXT(T30,"$0,000")&amp;" ("&amp;TEXT(T31,"$0,000")&amp;" if you are married filing separately) of that debt."</f>
        <v>After December 15, 2017:  Interest on up to $750,000 ($375,000 if you are married filing separately) of that debt.</v>
      </c>
      <c r="Y146" s="1022"/>
      <c r="Z146" s="1022"/>
      <c r="AA146" s="1022"/>
      <c r="AB146" s="1022"/>
      <c r="AC146" s="1022"/>
      <c r="AD146" s="1022"/>
      <c r="AE146" s="1022"/>
      <c r="AF146" s="1022"/>
      <c r="AG146" s="1022"/>
      <c r="AH146" s="1022"/>
      <c r="AI146" s="1022"/>
      <c r="AJ146" s="3136"/>
    </row>
    <row r="147" spans="23:36" ht="14.25" customHeight="1" thickBot="1">
      <c r="W147" s="6853"/>
      <c r="X147" s="3169"/>
      <c r="Y147" s="6939" t="s">
        <v>1865</v>
      </c>
      <c r="Z147" s="6817"/>
      <c r="AA147" s="6817"/>
      <c r="AB147" s="6817"/>
      <c r="AC147" s="6817"/>
      <c r="AD147" s="6817"/>
      <c r="AE147" s="6817"/>
      <c r="AF147" s="6817"/>
      <c r="AG147" s="6817"/>
      <c r="AH147" s="6817"/>
      <c r="AI147" s="6817"/>
      <c r="AJ147" s="3174"/>
    </row>
    <row r="148" spans="23:36" ht="14.25" customHeight="1" thickBot="1"/>
    <row r="149" spans="23:36" ht="14.25" customHeight="1">
      <c r="W149" s="6827"/>
      <c r="X149" s="377"/>
      <c r="Y149" s="377"/>
      <c r="Z149" s="377"/>
      <c r="AA149" s="377"/>
      <c r="AB149" s="377"/>
      <c r="AC149" s="377"/>
      <c r="AD149" s="377"/>
      <c r="AE149" s="377"/>
      <c r="AF149" s="377"/>
      <c r="AG149" s="377"/>
      <c r="AH149" s="377"/>
      <c r="AI149" s="377"/>
      <c r="AJ149" s="378"/>
    </row>
    <row r="150" spans="23:36" ht="14.25" customHeight="1">
      <c r="W150" s="6931" t="s">
        <v>1896</v>
      </c>
      <c r="X150" s="253"/>
      <c r="Y150" s="253"/>
      <c r="Z150" s="253"/>
      <c r="AA150" s="253"/>
      <c r="AB150" s="253"/>
      <c r="AC150" s="349" t="s">
        <v>1897</v>
      </c>
      <c r="AD150" s="349" t="s">
        <v>1898</v>
      </c>
      <c r="AE150" s="253"/>
      <c r="AF150" s="253"/>
      <c r="AG150" s="253"/>
      <c r="AH150" s="253"/>
      <c r="AI150" s="253"/>
      <c r="AJ150" s="379"/>
    </row>
    <row r="151" spans="23:36" ht="14.25" customHeight="1" thickBot="1">
      <c r="W151" s="6831"/>
      <c r="X151" s="498"/>
      <c r="Y151" s="498"/>
      <c r="Z151" s="6932"/>
      <c r="AA151" s="6933" t="b">
        <f>IF(P56="",FALSE,AND(P56&lt;&gt;"",P56&gt;0,P56&gt;AF151*Adj_Gross_Inc))</f>
        <v>0</v>
      </c>
      <c r="AB151" s="6933" t="b">
        <f>IF(P56="",FALSE,IF(P56&gt;AD151*Adj_Gross_Inc,TRUE,FALSE))</f>
        <v>0</v>
      </c>
      <c r="AC151" s="6933" t="b">
        <f>IF(P56="",FALSE,IF(P56&gt;AF151*Adj_Gross_Inc,TRUE,FALSE))</f>
        <v>0</v>
      </c>
      <c r="AD151" s="6933">
        <v>0.6</v>
      </c>
      <c r="AE151" s="498"/>
      <c r="AF151" s="6933">
        <v>0.2</v>
      </c>
      <c r="AG151" s="6933" t="b">
        <f>OR(AND(AA151,AC151),AB151)</f>
        <v>0</v>
      </c>
      <c r="AH151" s="498"/>
      <c r="AI151" s="498"/>
      <c r="AJ151" s="499"/>
    </row>
    <row r="152" spans="23:36" ht="14.25" customHeight="1">
      <c r="W152" s="3137"/>
      <c r="X152" s="3048"/>
      <c r="Y152" s="1022"/>
      <c r="Z152" s="1022"/>
      <c r="AA152" s="1022"/>
      <c r="AB152" s="1022"/>
      <c r="AC152" s="1022"/>
      <c r="AD152" s="1022"/>
      <c r="AE152" s="1022"/>
      <c r="AF152" s="1022"/>
      <c r="AG152" s="1022"/>
      <c r="AH152" s="1022"/>
      <c r="AI152" s="1022"/>
      <c r="AJ152" s="3136"/>
    </row>
    <row r="153" spans="23:36" ht="14.25" customHeight="1">
      <c r="W153" s="6940" t="s">
        <v>157</v>
      </c>
      <c r="X153" s="2977" t="str">
        <f>"If your total contributions for the year are "&amp;TEXT(AF151,"0%")&amp;" or less of your adjusted gross income, the limits discussed in this section"</f>
        <v>If your total contributions for the year are 20% or less of your adjusted gross income, the limits discussed in this section</v>
      </c>
      <c r="Y153" s="6941"/>
      <c r="Z153" s="6942"/>
      <c r="AA153" s="2977"/>
      <c r="AB153" s="1022"/>
      <c r="AC153" s="1022"/>
      <c r="AD153" s="1022"/>
      <c r="AE153" s="1022"/>
      <c r="AF153" s="1022"/>
      <c r="AG153" s="1022"/>
      <c r="AH153" s="1022"/>
      <c r="AI153" s="1022"/>
      <c r="AJ153" s="3136"/>
    </row>
    <row r="154" spans="23:36" ht="14.25" customHeight="1">
      <c r="W154" s="6938"/>
      <c r="X154" s="2977" t="s">
        <v>1899</v>
      </c>
      <c r="Y154" s="6941"/>
      <c r="Z154" s="6942"/>
      <c r="AA154" s="2977"/>
      <c r="AB154" s="1022"/>
      <c r="AC154" s="1022"/>
      <c r="AD154" s="1022"/>
      <c r="AE154" s="1022"/>
      <c r="AF154" s="1022"/>
      <c r="AG154" s="1022"/>
      <c r="AH154" s="1022"/>
      <c r="AI154" s="1022"/>
      <c r="AJ154" s="3136"/>
    </row>
    <row r="155" spans="23:36" ht="14.25" customHeight="1">
      <c r="W155" s="3137"/>
      <c r="X155" s="3048"/>
      <c r="Y155" s="1022"/>
      <c r="Z155" s="1022"/>
      <c r="AA155" s="1022"/>
      <c r="AB155" s="1022"/>
      <c r="AC155" s="1022"/>
      <c r="AD155" s="1022"/>
      <c r="AE155" s="1022"/>
      <c r="AF155" s="1022"/>
      <c r="AG155" s="1022"/>
      <c r="AH155" s="1022"/>
      <c r="AI155" s="1022"/>
      <c r="AJ155" s="3136"/>
    </row>
    <row r="156" spans="23:36" ht="14.25" customHeight="1">
      <c r="W156" s="6940" t="s">
        <v>161</v>
      </c>
      <c r="X156" s="2977" t="s">
        <v>1900</v>
      </c>
      <c r="Y156" s="1022"/>
      <c r="Z156" s="1022"/>
      <c r="AA156" s="1022"/>
      <c r="AB156" s="1022"/>
      <c r="AC156" s="1022"/>
      <c r="AD156" s="1022"/>
      <c r="AE156" s="1022"/>
      <c r="AF156" s="1022"/>
      <c r="AG156" s="1022"/>
      <c r="AH156" s="1022"/>
      <c r="AI156" s="1022"/>
      <c r="AJ156" s="3136"/>
    </row>
    <row r="157" spans="23:36" ht="14.25" customHeight="1">
      <c r="W157" s="3137"/>
      <c r="X157" s="3148" t="s">
        <v>1901</v>
      </c>
      <c r="Y157" s="1022"/>
      <c r="Z157" s="1022"/>
      <c r="AA157" s="1022"/>
      <c r="AB157" s="1022"/>
      <c r="AC157" s="1022"/>
      <c r="AD157" s="1022"/>
      <c r="AE157" s="1022"/>
      <c r="AF157" s="1022"/>
      <c r="AG157" s="1022"/>
      <c r="AH157" s="1022"/>
      <c r="AI157" s="1022"/>
      <c r="AJ157" s="3136"/>
    </row>
    <row r="158" spans="23:36" ht="14.25" customHeight="1">
      <c r="W158" s="3137"/>
      <c r="X158" s="3148" t="s">
        <v>1902</v>
      </c>
      <c r="Y158" s="1022"/>
      <c r="Z158" s="1022"/>
      <c r="AA158" s="1022"/>
      <c r="AB158" s="1022"/>
      <c r="AC158" s="1022"/>
      <c r="AD158" s="1022"/>
      <c r="AE158" s="1022"/>
      <c r="AF158" s="1022"/>
      <c r="AG158" s="1022"/>
      <c r="AH158" s="1022"/>
      <c r="AI158" s="1022"/>
      <c r="AJ158" s="3136"/>
    </row>
    <row r="159" spans="23:36" ht="14.25" customHeight="1">
      <c r="W159" s="3137"/>
      <c r="X159" s="3148" t="s">
        <v>1903</v>
      </c>
      <c r="Y159" s="1022"/>
      <c r="Z159" s="1022"/>
      <c r="AA159" s="1022"/>
      <c r="AB159" s="1022"/>
      <c r="AC159" s="1022"/>
      <c r="AD159" s="1022"/>
      <c r="AE159" s="1022"/>
      <c r="AF159" s="1022"/>
      <c r="AG159" s="1022"/>
      <c r="AH159" s="1022"/>
      <c r="AI159" s="1022"/>
      <c r="AJ159" s="3136"/>
    </row>
    <row r="160" spans="23:36" ht="14.25" customHeight="1" thickBot="1">
      <c r="W160" s="6853"/>
      <c r="X160" s="3169"/>
      <c r="Y160" s="6817"/>
      <c r="Z160" s="6817"/>
      <c r="AA160" s="6817"/>
      <c r="AB160" s="6817"/>
      <c r="AC160" s="6817"/>
      <c r="AD160" s="6817"/>
      <c r="AE160" s="6817"/>
      <c r="AF160" s="6817"/>
      <c r="AG160" s="6817"/>
      <c r="AH160" s="6817"/>
      <c r="AI160" s="6817"/>
      <c r="AJ160" s="3174"/>
    </row>
    <row r="161" spans="23:25">
      <c r="W161"/>
    </row>
    <row r="162" spans="23:25">
      <c r="W162"/>
    </row>
    <row r="163" spans="23:25">
      <c r="W163"/>
    </row>
    <row r="164" spans="23:25">
      <c r="W164"/>
    </row>
    <row r="165" spans="23:25">
      <c r="W165"/>
    </row>
    <row r="166" spans="23:25">
      <c r="W166"/>
    </row>
    <row r="167" spans="23:25">
      <c r="W167"/>
    </row>
    <row r="168" spans="23:25">
      <c r="W168" s="304"/>
      <c r="X168" s="304"/>
      <c r="Y168" s="304"/>
    </row>
    <row r="169" spans="23:25">
      <c r="W169" s="304"/>
      <c r="X169" s="304"/>
      <c r="Y169" s="304"/>
    </row>
    <row r="170" spans="23:25">
      <c r="W170" s="304"/>
      <c r="X170" s="304"/>
      <c r="Y170" s="304"/>
    </row>
    <row r="171" spans="23:25">
      <c r="W171" s="304"/>
      <c r="X171" s="304"/>
      <c r="Y171" s="304"/>
    </row>
    <row r="172" spans="23:25">
      <c r="W172" s="304"/>
      <c r="X172" s="304"/>
      <c r="Y172" s="304"/>
    </row>
    <row r="173" spans="23:25">
      <c r="W173" s="304"/>
      <c r="X173" s="304"/>
      <c r="Y173" s="304"/>
    </row>
    <row r="174" spans="23:25">
      <c r="W174" s="304"/>
      <c r="X174" s="304"/>
      <c r="Y174" s="304"/>
    </row>
    <row r="175" spans="23:25">
      <c r="W175" s="304"/>
      <c r="X175" s="304"/>
      <c r="Y175" s="304"/>
    </row>
    <row r="176" spans="23:25">
      <c r="W176" s="304"/>
      <c r="X176" s="304"/>
      <c r="Y176" s="304"/>
    </row>
    <row r="177" spans="23:23">
      <c r="W177"/>
    </row>
    <row r="178" spans="23:23">
      <c r="W178"/>
    </row>
    <row r="179" spans="23:23">
      <c r="W179"/>
    </row>
    <row r="180" spans="23:23">
      <c r="W180"/>
    </row>
    <row r="181" spans="23:23">
      <c r="W181"/>
    </row>
    <row r="182" spans="23:23">
      <c r="W182"/>
    </row>
    <row r="183" spans="23:23">
      <c r="W183"/>
    </row>
    <row r="184" spans="23:23">
      <c r="W184"/>
    </row>
    <row r="185" spans="23:23">
      <c r="W185"/>
    </row>
    <row r="186" spans="23:23">
      <c r="W186"/>
    </row>
    <row r="187" spans="23:23">
      <c r="W187"/>
    </row>
    <row r="188" spans="23:23">
      <c r="W188"/>
    </row>
    <row r="189" spans="23:23">
      <c r="W189"/>
    </row>
    <row r="190" spans="23:23">
      <c r="W190"/>
    </row>
    <row r="191" spans="23:23">
      <c r="W191"/>
    </row>
    <row r="192" spans="23:23">
      <c r="W192"/>
    </row>
    <row r="193" spans="23:23">
      <c r="W193"/>
    </row>
    <row r="194" spans="23:23">
      <c r="W194"/>
    </row>
    <row r="195" spans="23:23">
      <c r="W195"/>
    </row>
    <row r="196" spans="23:23">
      <c r="W196"/>
    </row>
    <row r="197" spans="23:23">
      <c r="W197"/>
    </row>
    <row r="198" spans="23:23">
      <c r="W198"/>
    </row>
    <row r="199" spans="23:23">
      <c r="W199"/>
    </row>
    <row r="200" spans="23:23">
      <c r="W200"/>
    </row>
    <row r="201" spans="23:23">
      <c r="W201"/>
    </row>
    <row r="202" spans="23:23">
      <c r="W202"/>
    </row>
    <row r="203" spans="23:23">
      <c r="W203"/>
    </row>
    <row r="204" spans="23:23">
      <c r="W204"/>
    </row>
    <row r="205" spans="23:23">
      <c r="W205"/>
    </row>
    <row r="206" spans="23:23">
      <c r="W206"/>
    </row>
    <row r="207" spans="23:23">
      <c r="W207"/>
    </row>
    <row r="208" spans="23:23">
      <c r="W208"/>
    </row>
    <row r="209" spans="23:23">
      <c r="W209"/>
    </row>
  </sheetData>
  <sheetProtection algorithmName="SHA-512" hashValue="uxOrhsCFd3CdUXDc42fy+oSEZeY2y7P5RU+XlgsItjzTpFAHIewqc5KhuNRrVwDGCoU4EYhURgoV1iPzgPda7A==" saltValue="cP+Y1S6lW6XQU4YDh0g+bQ==" spinCount="100000" sheet="1" formatCells="0" formatColumns="0" formatRows="0"/>
  <mergeCells count="34">
    <mergeCell ref="W62:X62"/>
    <mergeCell ref="W5:AJ5"/>
    <mergeCell ref="Z49:AJ49"/>
    <mergeCell ref="X49:Y49"/>
    <mergeCell ref="B53:B56"/>
    <mergeCell ref="O9:P9"/>
    <mergeCell ref="O14:P14"/>
    <mergeCell ref="O13:P13"/>
    <mergeCell ref="O10:P10"/>
    <mergeCell ref="D10:N10"/>
    <mergeCell ref="D11:N11"/>
    <mergeCell ref="D12:N12"/>
    <mergeCell ref="B14:N14"/>
    <mergeCell ref="E43:J43"/>
    <mergeCell ref="E44:J44"/>
    <mergeCell ref="J17:L17"/>
    <mergeCell ref="B37:B42"/>
    <mergeCell ref="G75:H77"/>
    <mergeCell ref="C72:J72"/>
    <mergeCell ref="C70:J70"/>
    <mergeCell ref="D61:N61"/>
    <mergeCell ref="D62:N62"/>
    <mergeCell ref="J60:N60"/>
    <mergeCell ref="D9:N9"/>
    <mergeCell ref="I30:K30"/>
    <mergeCell ref="D32:K32"/>
    <mergeCell ref="E28:K28"/>
    <mergeCell ref="D31:K31"/>
    <mergeCell ref="AF21:AI22"/>
    <mergeCell ref="AD34:AG34"/>
    <mergeCell ref="AA47:AD47"/>
    <mergeCell ref="T24:T29"/>
    <mergeCell ref="R59:R60"/>
    <mergeCell ref="R26:R27"/>
  </mergeCells>
  <phoneticPr fontId="13" type="noConversion"/>
  <conditionalFormatting sqref="B14">
    <cfRule type="expression" dxfId="3047" priority="322">
      <formula>IF(NoColor,1,0)</formula>
    </cfRule>
  </conditionalFormatting>
  <conditionalFormatting sqref="D31:D32">
    <cfRule type="expression" dxfId="3046" priority="312">
      <formula>IF(NoColor,1,0)</formula>
    </cfRule>
  </conditionalFormatting>
  <conditionalFormatting sqref="D46">
    <cfRule type="expression" dxfId="3045" priority="165">
      <formula>IF(NoColor,1,0)</formula>
    </cfRule>
  </conditionalFormatting>
  <conditionalFormatting sqref="D61:D62">
    <cfRule type="expression" dxfId="3044" priority="119">
      <formula>IF(NoColor,1,0)</formula>
    </cfRule>
  </conditionalFormatting>
  <conditionalFormatting sqref="D38:J38 E39:J39">
    <cfRule type="expression" dxfId="3043" priority="306">
      <formula>IF(NoColor,1,0)</formula>
    </cfRule>
  </conditionalFormatting>
  <conditionalFormatting sqref="D40:J41 D42:D43 D44:E44 F45:J46">
    <cfRule type="expression" dxfId="3042" priority="164">
      <formula>IF(NoColor,1,0)</formula>
    </cfRule>
  </conditionalFormatting>
  <conditionalFormatting sqref="E43">
    <cfRule type="expression" dxfId="3041" priority="67">
      <formula>IF(NoColor,1,0)</formula>
    </cfRule>
  </conditionalFormatting>
  <conditionalFormatting sqref="E42:J42">
    <cfRule type="expression" dxfId="3040" priority="68">
      <formula>IF(NoColor,1,0)</formula>
    </cfRule>
  </conditionalFormatting>
  <conditionalFormatting sqref="I30">
    <cfRule type="expression" dxfId="3039" priority="313">
      <formula>IF(NoColor,1,0)</formula>
    </cfRule>
  </conditionalFormatting>
  <conditionalFormatting sqref="J17">
    <cfRule type="expression" dxfId="3038" priority="319">
      <formula>IF(NoColor,1,0)</formula>
    </cfRule>
  </conditionalFormatting>
  <conditionalFormatting sqref="K24:L24">
    <cfRule type="expression" dxfId="3037" priority="150">
      <formula>NoColor</formula>
    </cfRule>
  </conditionalFormatting>
  <conditionalFormatting sqref="K36:L36">
    <cfRule type="expression" dxfId="3036" priority="157">
      <formula>NoColor</formula>
    </cfRule>
  </conditionalFormatting>
  <conditionalFormatting sqref="N16">
    <cfRule type="expression" dxfId="3035" priority="154">
      <formula>IF(NoColor,1,0)</formula>
    </cfRule>
  </conditionalFormatting>
  <conditionalFormatting sqref="N18">
    <cfRule type="expression" dxfId="3034" priority="282">
      <formula>IF(NoColor,1,0)</formula>
    </cfRule>
  </conditionalFormatting>
  <conditionalFormatting sqref="N20:N27">
    <cfRule type="expression" dxfId="3033" priority="167">
      <formula>IF(NoColor,1,0)</formula>
    </cfRule>
  </conditionalFormatting>
  <conditionalFormatting sqref="N29">
    <cfRule type="expression" dxfId="3032" priority="168">
      <formula>IF(NoColor,1,0)</formula>
    </cfRule>
  </conditionalFormatting>
  <conditionalFormatting sqref="N32">
    <cfRule type="expression" dxfId="3031" priority="311">
      <formula>IF(NoColor,1,0)</formula>
    </cfRule>
  </conditionalFormatting>
  <conditionalFormatting sqref="N34">
    <cfRule type="expression" dxfId="3030" priority="310">
      <formula>IF(NoColor,1,0)</formula>
    </cfRule>
  </conditionalFormatting>
  <conditionalFormatting sqref="N38">
    <cfRule type="expression" dxfId="3029" priority="166">
      <formula>IF(NoColor,1,0)</formula>
    </cfRule>
  </conditionalFormatting>
  <conditionalFormatting sqref="N42">
    <cfRule type="expression" dxfId="3028" priority="66">
      <formula>IF(NoColor,1,0)</formula>
    </cfRule>
  </conditionalFormatting>
  <conditionalFormatting sqref="N46">
    <cfRule type="expression" dxfId="3027" priority="162">
      <formula>IF(NoColor,1,0)</formula>
    </cfRule>
  </conditionalFormatting>
  <conditionalFormatting sqref="N48:N49">
    <cfRule type="expression" dxfId="3026" priority="159">
      <formula>IF(NoColor,1,0)</formula>
    </cfRule>
  </conditionalFormatting>
  <conditionalFormatting sqref="N52">
    <cfRule type="expression" dxfId="3025" priority="305">
      <formula>IF(NoColor,1,0)</formula>
    </cfRule>
  </conditionalFormatting>
  <conditionalFormatting sqref="N54:N55">
    <cfRule type="expression" dxfId="3024" priority="303">
      <formula>IF(NoColor,1,0)</formula>
    </cfRule>
  </conditionalFormatting>
  <conditionalFormatting sqref="N70">
    <cfRule type="expression" dxfId="3023" priority="61">
      <formula>AND(P69,SchA_Filed)</formula>
    </cfRule>
  </conditionalFormatting>
  <conditionalFormatting sqref="O66">
    <cfRule type="expression" dxfId="3022" priority="291">
      <formula>IF(NoColor,1,0)</formula>
    </cfRule>
  </conditionalFormatting>
  <conditionalFormatting sqref="O70">
    <cfRule type="expression" dxfId="3021" priority="64">
      <formula>$P$69</formula>
    </cfRule>
  </conditionalFormatting>
  <conditionalFormatting sqref="O14:P14">
    <cfRule type="expression" dxfId="3019" priority="321">
      <formula>IF(NoColor,1,0)</formula>
    </cfRule>
  </conditionalFormatting>
  <conditionalFormatting sqref="P19">
    <cfRule type="expression" dxfId="3018" priority="280">
      <formula>IF(NoColor,1,0)</formula>
    </cfRule>
  </conditionalFormatting>
  <conditionalFormatting sqref="P33">
    <cfRule type="expression" dxfId="3017" priority="278">
      <formula>IF(NoColor,1,0)</formula>
    </cfRule>
  </conditionalFormatting>
  <conditionalFormatting sqref="P50">
    <cfRule type="expression" dxfId="3016" priority="276">
      <formula>IF(NoColor,1,0)</formula>
    </cfRule>
  </conditionalFormatting>
  <conditionalFormatting sqref="P56">
    <cfRule type="expression" dxfId="3015" priority="274">
      <formula>IF(NoColor,1,0)</formula>
    </cfRule>
  </conditionalFormatting>
  <conditionalFormatting sqref="P59">
    <cfRule type="expression" dxfId="3014" priority="301">
      <formula>IF(NoColor,1,0)</formula>
    </cfRule>
  </conditionalFormatting>
  <conditionalFormatting sqref="P62">
    <cfRule type="expression" dxfId="3013" priority="293">
      <formula>IF(NoColor,1,0)</formula>
    </cfRule>
  </conditionalFormatting>
  <conditionalFormatting sqref="P64">
    <cfRule type="expression" dxfId="3012" priority="158">
      <formula>IF(NoColor,1,0)</formula>
    </cfRule>
  </conditionalFormatting>
  <conditionalFormatting sqref="P70:P73">
    <cfRule type="expression" dxfId="3011" priority="58">
      <formula>AND($P$69,SchA_Filed)</formula>
    </cfRule>
    <cfRule type="expression" dxfId="3010" priority="59">
      <formula>SchA_Blank</formula>
    </cfRule>
  </conditionalFormatting>
  <conditionalFormatting sqref="Q28">
    <cfRule type="expression" dxfId="3008" priority="51">
      <formula>$T$19</formula>
    </cfRule>
  </conditionalFormatting>
  <conditionalFormatting sqref="Q47">
    <cfRule type="expression" dxfId="3007" priority="5147">
      <formula>#REF!</formula>
    </cfRule>
  </conditionalFormatting>
  <conditionalFormatting sqref="Q55">
    <cfRule type="expression" dxfId="3006" priority="213">
      <formula>IF($AG$151,1,0)</formula>
    </cfRule>
  </conditionalFormatting>
  <conditionalFormatting sqref="Q60">
    <cfRule type="expression" dxfId="3005" priority="65">
      <formula>AND(Q60="",$R$69)</formula>
    </cfRule>
  </conditionalFormatting>
  <conditionalFormatting sqref="R26">
    <cfRule type="expression" dxfId="3004" priority="17">
      <formula>$K$24&lt;&gt;""</formula>
    </cfRule>
  </conditionalFormatting>
  <conditionalFormatting sqref="R28">
    <cfRule type="expression" dxfId="3003" priority="50">
      <formula>$T$19</formula>
    </cfRule>
  </conditionalFormatting>
  <conditionalFormatting sqref="R47">
    <cfRule type="expression" dxfId="3002" priority="5148">
      <formula>#REF!</formula>
    </cfRule>
  </conditionalFormatting>
  <conditionalFormatting sqref="R55">
    <cfRule type="expression" dxfId="3001" priority="214">
      <formula>IF($AG$151,1,0)</formula>
    </cfRule>
  </conditionalFormatting>
  <conditionalFormatting sqref="S46">
    <cfRule type="expression" dxfId="3000" priority="72">
      <formula>$T$37=""</formula>
    </cfRule>
  </conditionalFormatting>
  <conditionalFormatting sqref="T24:T29">
    <cfRule type="expression" dxfId="2999" priority="52">
      <formula>$T$19</formula>
    </cfRule>
  </conditionalFormatting>
  <conditionalFormatting sqref="T32 T41">
    <cfRule type="expression" dxfId="2998" priority="128">
      <formula>$N$48=0</formula>
    </cfRule>
  </conditionalFormatting>
  <conditionalFormatting sqref="T40">
    <cfRule type="expression" dxfId="2997" priority="130">
      <formula>$N$48=0</formula>
    </cfRule>
  </conditionalFormatting>
  <conditionalFormatting sqref="T42">
    <cfRule type="expression" dxfId="2996" priority="124">
      <formula>$N$48=0</formula>
    </cfRule>
  </conditionalFormatting>
  <conditionalFormatting sqref="T43">
    <cfRule type="expression" dxfId="2995" priority="6767">
      <formula>$T$44</formula>
    </cfRule>
    <cfRule type="expression" dxfId="2994" priority="6768">
      <formula>$N$38=0</formula>
    </cfRule>
  </conditionalFormatting>
  <conditionalFormatting sqref="T46">
    <cfRule type="expression" dxfId="2993" priority="69">
      <formula>$T$37=""</formula>
    </cfRule>
  </conditionalFormatting>
  <conditionalFormatting sqref="T47:T48">
    <cfRule type="expression" dxfId="2992" priority="70">
      <formula>$T$37=""</formula>
    </cfRule>
  </conditionalFormatting>
  <conditionalFormatting sqref="W145">
    <cfRule type="expression" dxfId="2991" priority="140" stopIfTrue="1">
      <formula>IF(AND($AA$151,NOT($AC$151)),1,0)</formula>
    </cfRule>
    <cfRule type="expression" dxfId="2990" priority="141">
      <formula>IF($AA$151,1,0)</formula>
    </cfRule>
  </conditionalFormatting>
  <conditionalFormatting sqref="W154">
    <cfRule type="expression" dxfId="2989" priority="204">
      <formula>IF($AB$151,1,0)</formula>
    </cfRule>
  </conditionalFormatting>
  <conditionalFormatting sqref="W156">
    <cfRule type="expression" dxfId="2988" priority="196">
      <formula>IF($AB$151,1,0)</formula>
    </cfRule>
  </conditionalFormatting>
  <conditionalFormatting sqref="W153:X153">
    <cfRule type="expression" dxfId="2987" priority="199">
      <formula>IF(AND($AA$151,NOT($AC$151)),1,0)</formula>
    </cfRule>
  </conditionalFormatting>
  <conditionalFormatting sqref="X50:X52">
    <cfRule type="expression" dxfId="2986" priority="34">
      <formula>$AG$46</formula>
    </cfRule>
  </conditionalFormatting>
  <conditionalFormatting sqref="X144">
    <cfRule type="expression" dxfId="2985" priority="4182">
      <formula>AND(T40&lt;&gt;"",NOT($T$45),$T$44)</formula>
    </cfRule>
  </conditionalFormatting>
  <conditionalFormatting sqref="X144:X146">
    <cfRule type="expression" dxfId="2984" priority="139" stopIfTrue="1">
      <formula>IF(AND($AA$151,NOT($AC$151)),1,0)</formula>
    </cfRule>
  </conditionalFormatting>
  <conditionalFormatting sqref="X146">
    <cfRule type="expression" dxfId="2983" priority="5155">
      <formula>AND(T40&lt;&gt;"",T45,$T$44)</formula>
    </cfRule>
  </conditionalFormatting>
  <conditionalFormatting sqref="X154">
    <cfRule type="expression" dxfId="2982" priority="177">
      <formula>IF(AND($AA$151,NOT($AC$151)),1,0)</formula>
    </cfRule>
  </conditionalFormatting>
  <conditionalFormatting sqref="X156:X159">
    <cfRule type="expression" dxfId="2981" priority="194">
      <formula>$AB$151</formula>
    </cfRule>
  </conditionalFormatting>
  <conditionalFormatting sqref="Z63">
    <cfRule type="expression" dxfId="2980" priority="36">
      <formula>$X$63&lt;&gt;""</formula>
    </cfRule>
  </conditionalFormatting>
  <conditionalFormatting sqref="Z72">
    <cfRule type="expression" dxfId="2979" priority="37">
      <formula>AND($X$63="",$X$72&lt;&gt;"")</formula>
    </cfRule>
  </conditionalFormatting>
  <conditionalFormatting sqref="Z103">
    <cfRule type="expression" dxfId="2978" priority="19">
      <formula>NOT($AG$101)</formula>
    </cfRule>
  </conditionalFormatting>
  <conditionalFormatting sqref="Z49:AJ49">
    <cfRule type="expression" dxfId="2977" priority="35">
      <formula>$AG$46</formula>
    </cfRule>
  </conditionalFormatting>
  <conditionalFormatting sqref="AF61">
    <cfRule type="expression" dxfId="2976" priority="1">
      <formula>$AG$60</formula>
    </cfRule>
  </conditionalFormatting>
  <conditionalFormatting sqref="AG6">
    <cfRule type="expression" dxfId="2975" priority="151">
      <formula>(File_Marr_Joint="")</formula>
    </cfRule>
  </conditionalFormatting>
  <conditionalFormatting sqref="AG8">
    <cfRule type="expression" dxfId="2974" priority="148">
      <formula>NoColor</formula>
    </cfRule>
  </conditionalFormatting>
  <conditionalFormatting sqref="AG10">
    <cfRule type="expression" dxfId="2973" priority="146">
      <formula>NoColor</formula>
    </cfRule>
  </conditionalFormatting>
  <conditionalFormatting sqref="AG12">
    <cfRule type="expression" dxfId="2972" priority="145">
      <formula>NoColor</formula>
    </cfRule>
  </conditionalFormatting>
  <conditionalFormatting sqref="AG58">
    <cfRule type="expression" dxfId="2971" priority="6">
      <formula>IF(NoColor,1,0)</formula>
    </cfRule>
  </conditionalFormatting>
  <conditionalFormatting sqref="AG61">
    <cfRule type="expression" dxfId="2970" priority="2">
      <formula>$AG$60</formula>
    </cfRule>
  </conditionalFormatting>
  <conditionalFormatting sqref="AG68">
    <cfRule type="expression" dxfId="2969" priority="5">
      <formula>IF(NoColor,1,0)</formula>
    </cfRule>
  </conditionalFormatting>
  <conditionalFormatting sqref="AG75">
    <cfRule type="expression" dxfId="2968" priority="4">
      <formula>IF(NoColor,1,0)</formula>
    </cfRule>
  </conditionalFormatting>
  <conditionalFormatting sqref="AG77">
    <cfRule type="expression" dxfId="2967" priority="46">
      <formula>IF(NoColor,1,0)</formula>
    </cfRule>
  </conditionalFormatting>
  <conditionalFormatting sqref="AG110">
    <cfRule type="expression" dxfId="2966" priority="31">
      <formula>IF(NoColor,1,0)</formula>
    </cfRule>
  </conditionalFormatting>
  <conditionalFormatting sqref="AG112">
    <cfRule type="expression" dxfId="2965" priority="30">
      <formula>IF(NoColor,1,0)</formula>
    </cfRule>
  </conditionalFormatting>
  <conditionalFormatting sqref="AG114">
    <cfRule type="expression" dxfId="2964" priority="18">
      <formula>IF(NoColor,1,0)</formula>
    </cfRule>
  </conditionalFormatting>
  <conditionalFormatting sqref="AG116">
    <cfRule type="expression" dxfId="2963" priority="28">
      <formula>IF(NoColor,1,0)</formula>
    </cfRule>
  </conditionalFormatting>
  <conditionalFormatting sqref="AG128">
    <cfRule type="expression" dxfId="2962" priority="13">
      <formula>IF(NoColor,1,0)</formula>
    </cfRule>
  </conditionalFormatting>
  <conditionalFormatting sqref="AG130">
    <cfRule type="expression" dxfId="2961" priority="24">
      <formula>IF(NoColor,1,0)</formula>
    </cfRule>
  </conditionalFormatting>
  <conditionalFormatting sqref="AG132">
    <cfRule type="expression" dxfId="2960" priority="16">
      <formula>IF(NoColor,1,0)</formula>
    </cfRule>
  </conditionalFormatting>
  <conditionalFormatting sqref="AI6">
    <cfRule type="expression" dxfId="2959" priority="152">
      <formula>(File_Marr_Joint="")</formula>
    </cfRule>
  </conditionalFormatting>
  <conditionalFormatting sqref="AI8:AI12">
    <cfRule type="expression" dxfId="2958" priority="153">
      <formula>(File_Marr_Joint="")</formula>
    </cfRule>
  </conditionalFormatting>
  <conditionalFormatting sqref="AI14">
    <cfRule type="expression" dxfId="2957" priority="144">
      <formula>NoColor</formula>
    </cfRule>
  </conditionalFormatting>
  <conditionalFormatting sqref="AI16">
    <cfRule type="expression" dxfId="2956" priority="147">
      <formula>NoColor</formula>
    </cfRule>
  </conditionalFormatting>
  <conditionalFormatting sqref="AI18">
    <cfRule type="expression" dxfId="2955" priority="143">
      <formula>NoColor</formula>
    </cfRule>
  </conditionalFormatting>
  <conditionalFormatting sqref="AI26">
    <cfRule type="expression" dxfId="2954" priority="12">
      <formula>IF(NoColor,1,0)</formula>
    </cfRule>
  </conditionalFormatting>
  <conditionalFormatting sqref="AI29">
    <cfRule type="expression" dxfId="2953" priority="10">
      <formula>IF(NoColor,1,0)</formula>
    </cfRule>
  </conditionalFormatting>
  <conditionalFormatting sqref="AI32">
    <cfRule type="expression" dxfId="2952" priority="9">
      <formula>IF(NoColor,1,0)</formula>
    </cfRule>
  </conditionalFormatting>
  <conditionalFormatting sqref="AI34">
    <cfRule type="expression" dxfId="2951" priority="7">
      <formula>IF(NoColor,1,0)</formula>
    </cfRule>
  </conditionalFormatting>
  <conditionalFormatting sqref="AI37">
    <cfRule type="expression" dxfId="2950" priority="11">
      <formula>IF(NoColor,1,0)</formula>
    </cfRule>
  </conditionalFormatting>
  <conditionalFormatting sqref="AI48">
    <cfRule type="expression" dxfId="2949" priority="43">
      <formula>IF(NoColor,1,0)</formula>
    </cfRule>
  </conditionalFormatting>
  <conditionalFormatting sqref="AI58">
    <cfRule type="expression" dxfId="2948" priority="3">
      <formula>($X$58&lt;&gt;"")</formula>
    </cfRule>
  </conditionalFormatting>
  <conditionalFormatting sqref="AI84">
    <cfRule type="expression" dxfId="2947" priority="40">
      <formula>IF(NoColor,1,0)</formula>
    </cfRule>
  </conditionalFormatting>
  <conditionalFormatting sqref="AI87">
    <cfRule type="expression" dxfId="2946" priority="39">
      <formula>IF(NoColor,1,0)</formula>
    </cfRule>
  </conditionalFormatting>
  <conditionalFormatting sqref="AI91">
    <cfRule type="expression" dxfId="2945" priority="38">
      <formula>IF(NoColor,1,0)</formula>
    </cfRule>
  </conditionalFormatting>
  <conditionalFormatting sqref="AI106">
    <cfRule type="expression" dxfId="2944" priority="33">
      <formula>IF(NoColor,1,0)</formula>
    </cfRule>
  </conditionalFormatting>
  <conditionalFormatting sqref="AI108">
    <cfRule type="expression" dxfId="2943" priority="20">
      <formula>IF(NoColor,1,0)</formula>
    </cfRule>
  </conditionalFormatting>
  <conditionalFormatting sqref="AI118">
    <cfRule type="expression" dxfId="2942" priority="27">
      <formula>IF(NoColor,1,0)</formula>
    </cfRule>
  </conditionalFormatting>
  <conditionalFormatting sqref="AI120">
    <cfRule type="expression" dxfId="2941" priority="26">
      <formula>IF(NoColor,1,0)</formula>
    </cfRule>
  </conditionalFormatting>
  <conditionalFormatting sqref="AI122">
    <cfRule type="expression" dxfId="2940" priority="25">
      <formula>IF(NoColor,1,0)</formula>
    </cfRule>
  </conditionalFormatting>
  <conditionalFormatting sqref="AI134">
    <cfRule type="expression" dxfId="2939" priority="15">
      <formula>IF(NoColor,1,0)</formula>
    </cfRule>
  </conditionalFormatting>
  <conditionalFormatting sqref="AI137">
    <cfRule type="expression" dxfId="2938" priority="14">
      <formula>IF(NoColor,1,0)</formula>
    </cfRule>
  </conditionalFormatting>
  <hyperlinks>
    <hyperlink ref="C70:J70" r:id="rId1" display="Download Form 1040 Schedules A&amp;B" xr:uid="{00000000-0004-0000-1B00-000000000000}"/>
    <hyperlink ref="C72:J72" r:id="rId2" display="Download Form 1040 Schedule A&amp;B Instructions" xr:uid="{00000000-0004-0000-1B00-000001000000}"/>
    <hyperlink ref="G75:H77" location="'Table of Contents'!A1" display="Table of Contents" xr:uid="{00000000-0004-0000-1B00-000002000000}"/>
  </hyperlinks>
  <pageMargins left="0.75" right="0.25" top="0.36" bottom="0.28999999999999998" header="0.36" footer="0.21"/>
  <pageSetup scale="80" fitToHeight="0" orientation="portrait" r:id="rId3"/>
  <drawing r:id="rId4"/>
  <extLst>
    <ext xmlns:x14="http://schemas.microsoft.com/office/spreadsheetml/2009/9/main" uri="{78C0D931-6437-407d-A8EE-F0AAD7539E65}">
      <x14:conditionalFormattings>
        <x14:conditionalFormatting xmlns:xm="http://schemas.microsoft.com/office/excel/2006/main">
          <x14:cfRule type="expression" priority="53" id="{23251967-E40F-4137-8955-AFA85F2EFEA9}">
            <xm:f>AND(Q9="",'Table of Contents'!$A$33="D")</xm:f>
            <x14:dxf>
              <font>
                <b/>
                <i val="0"/>
                <color rgb="FFC00000"/>
              </font>
            </x14:dxf>
          </x14:cfRule>
          <xm:sqref>O9:P9</xm:sqref>
        </x14:conditionalFormatting>
        <x14:conditionalFormatting xmlns:xm="http://schemas.microsoft.com/office/excel/2006/main">
          <x14:cfRule type="expression" priority="55" id="{F9D5409B-6527-4407-8787-77C58DD15BFE}">
            <xm:f>'Table of Contents'!$A$33="D"</xm:f>
            <x14:dxf>
              <fill>
                <patternFill>
                  <bgColor theme="0"/>
                </patternFill>
              </fill>
              <border>
                <right style="thin">
                  <color auto="1"/>
                </right>
                <top style="thin">
                  <color auto="1"/>
                </top>
                <bottom style="thin">
                  <color auto="1"/>
                </bottom>
                <vertical/>
                <horizontal/>
              </border>
            </x14:dxf>
          </x14:cfRule>
          <xm:sqref>Q9</xm:sqref>
        </x14:conditionalFormatting>
      </x14:conditionalFormatting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6">
    <pageSetUpPr fitToPage="1"/>
  </sheetPr>
  <dimension ref="A1:AF94"/>
  <sheetViews>
    <sheetView zoomScaleNormal="100" zoomScaleSheetLayoutView="80" workbookViewId="0"/>
  </sheetViews>
  <sheetFormatPr defaultRowHeight="12.75"/>
  <cols>
    <col min="1" max="1" width="1.85546875" style="26" customWidth="1"/>
    <col min="2" max="2" width="15.5703125" customWidth="1"/>
    <col min="3" max="3" width="2.7109375" customWidth="1"/>
    <col min="4" max="4" width="19.85546875" customWidth="1"/>
    <col min="5" max="5" width="19" customWidth="1"/>
    <col min="6" max="6" width="9.140625" customWidth="1"/>
    <col min="7" max="7" width="20" customWidth="1"/>
    <col min="8" max="8" width="3.140625" customWidth="1"/>
    <col min="9" max="9" width="3.42578125" customWidth="1"/>
    <col min="10" max="10" width="1.5703125" customWidth="1"/>
    <col min="11" max="11" width="2.140625" customWidth="1"/>
    <col min="12" max="12" width="1.85546875" customWidth="1"/>
    <col min="13" max="13" width="1.5703125" customWidth="1"/>
    <col min="14" max="14" width="2.140625" customWidth="1"/>
    <col min="15" max="15" width="2.42578125" customWidth="1"/>
    <col min="16" max="16" width="1.85546875" customWidth="1"/>
    <col min="17" max="17" width="2.5703125" customWidth="1"/>
    <col min="18" max="18" width="4.42578125" style="84" customWidth="1"/>
    <col min="19" max="29" width="10.7109375" style="658" customWidth="1"/>
    <col min="30" max="31" width="4.42578125" style="84" customWidth="1"/>
  </cols>
  <sheetData>
    <row r="1" spans="1:32" ht="15">
      <c r="A1" s="275"/>
      <c r="B1" s="275"/>
      <c r="C1" s="275"/>
      <c r="D1" s="275"/>
      <c r="E1" s="275"/>
      <c r="F1" s="275"/>
      <c r="G1" s="275"/>
      <c r="H1" s="275"/>
      <c r="I1" s="275"/>
      <c r="J1" s="275"/>
      <c r="K1" s="275"/>
      <c r="L1" s="275"/>
      <c r="M1" s="275"/>
      <c r="N1" s="275"/>
      <c r="O1" s="275"/>
      <c r="P1" s="275"/>
      <c r="Q1" s="275"/>
      <c r="R1" s="460"/>
      <c r="S1" s="657" t="s">
        <v>223</v>
      </c>
    </row>
    <row r="2" spans="1:32" ht="15">
      <c r="A2" s="275"/>
      <c r="B2" s="1041" t="s">
        <v>1904</v>
      </c>
      <c r="C2" s="1042"/>
      <c r="D2" s="275"/>
      <c r="E2" s="275"/>
      <c r="F2" s="275"/>
      <c r="G2" s="275"/>
      <c r="H2" s="275"/>
      <c r="I2" s="275"/>
      <c r="J2" s="275"/>
      <c r="K2" s="275"/>
      <c r="L2" s="275"/>
      <c r="M2" s="275"/>
      <c r="N2" s="275"/>
      <c r="O2" s="275"/>
      <c r="P2" s="275"/>
      <c r="Q2" s="275"/>
      <c r="R2" s="460"/>
    </row>
    <row r="3" spans="1:32" ht="15.75">
      <c r="A3" s="275"/>
      <c r="B3" s="1038" t="s">
        <v>637</v>
      </c>
      <c r="C3" s="1043" t="str">
        <f>"You had over "&amp;TEXT(H44,"$0,000")&amp;" of taxable interest or ordinary dividends. "</f>
        <v xml:space="preserve">You had over $1,500 of taxable interest or ordinary dividends. </v>
      </c>
      <c r="D3" s="1042"/>
      <c r="E3" s="275"/>
      <c r="F3" s="275"/>
      <c r="G3" s="275"/>
      <c r="H3" s="275"/>
      <c r="I3" s="275"/>
      <c r="J3" s="275"/>
      <c r="K3" s="275"/>
      <c r="L3" s="275"/>
      <c r="M3" s="275"/>
      <c r="N3" s="275"/>
      <c r="O3" s="275"/>
      <c r="P3" s="275"/>
      <c r="Q3" s="275"/>
      <c r="R3" s="275"/>
      <c r="AF3" s="84"/>
    </row>
    <row r="4" spans="1:32" ht="15.75">
      <c r="A4" s="275"/>
      <c r="B4" s="1038" t="s">
        <v>637</v>
      </c>
      <c r="C4" s="1043" t="s">
        <v>1905</v>
      </c>
      <c r="D4" s="1042"/>
      <c r="E4" s="275"/>
      <c r="F4" s="275"/>
      <c r="G4" s="275"/>
      <c r="H4" s="275"/>
      <c r="I4" s="275"/>
      <c r="J4" s="275"/>
      <c r="K4" s="275"/>
      <c r="L4" s="275"/>
      <c r="M4" s="275"/>
      <c r="N4" s="275"/>
      <c r="O4" s="275"/>
      <c r="P4" s="275"/>
      <c r="Q4" s="275"/>
      <c r="R4" s="275"/>
      <c r="AF4" s="84"/>
    </row>
    <row r="5" spans="1:32" ht="15.75">
      <c r="A5" s="275"/>
      <c r="B5" s="1038" t="s">
        <v>637</v>
      </c>
      <c r="C5" s="1043" t="s">
        <v>1906</v>
      </c>
      <c r="D5" s="1042"/>
      <c r="E5" s="275"/>
      <c r="F5" s="275"/>
      <c r="G5" s="275"/>
      <c r="H5" s="275"/>
      <c r="I5" s="275"/>
      <c r="J5" s="275"/>
      <c r="K5" s="275"/>
      <c r="L5" s="275"/>
      <c r="M5" s="275"/>
      <c r="N5" s="275"/>
      <c r="O5" s="275"/>
      <c r="P5" s="275"/>
      <c r="Q5" s="275"/>
      <c r="R5" s="275"/>
      <c r="AF5" s="84"/>
    </row>
    <row r="6" spans="1:32" ht="15.75">
      <c r="A6" s="275"/>
      <c r="B6" s="1038" t="s">
        <v>637</v>
      </c>
      <c r="C6" s="1043" t="s">
        <v>1907</v>
      </c>
      <c r="D6" s="1042"/>
      <c r="E6" s="275"/>
      <c r="F6" s="275"/>
      <c r="G6" s="275"/>
      <c r="H6" s="275"/>
      <c r="I6" s="275"/>
      <c r="J6" s="275"/>
      <c r="K6" s="275"/>
      <c r="L6" s="275"/>
      <c r="M6" s="275"/>
      <c r="N6" s="275"/>
      <c r="O6" s="275"/>
      <c r="P6" s="275"/>
      <c r="Q6" s="275"/>
      <c r="R6" s="275"/>
      <c r="AF6" s="84"/>
    </row>
    <row r="7" spans="1:32" ht="15.75">
      <c r="A7" s="275"/>
      <c r="B7" s="1038" t="s">
        <v>637</v>
      </c>
      <c r="C7" s="1043" t="s">
        <v>1908</v>
      </c>
      <c r="D7" s="1042"/>
      <c r="E7" s="275"/>
      <c r="F7" s="275"/>
      <c r="G7" s="275"/>
      <c r="H7" s="275"/>
      <c r="I7" s="275"/>
      <c r="J7" s="275"/>
      <c r="K7" s="275"/>
      <c r="L7" s="275"/>
      <c r="M7" s="275"/>
      <c r="N7" s="275"/>
      <c r="O7" s="275"/>
      <c r="P7" s="275"/>
      <c r="Q7" s="275"/>
      <c r="R7" s="275"/>
      <c r="AF7" s="84"/>
    </row>
    <row r="8" spans="1:32" ht="15.75">
      <c r="A8" s="275"/>
      <c r="B8" s="1038" t="s">
        <v>637</v>
      </c>
      <c r="C8" s="1043" t="s">
        <v>1909</v>
      </c>
      <c r="D8" s="1042"/>
      <c r="E8" s="275"/>
      <c r="F8" s="275"/>
      <c r="G8" s="275"/>
      <c r="H8" s="275"/>
      <c r="I8" s="275"/>
      <c r="J8" s="275"/>
      <c r="K8" s="275"/>
      <c r="L8" s="275"/>
      <c r="M8" s="275"/>
      <c r="N8" s="275"/>
      <c r="O8" s="275"/>
      <c r="P8" s="275"/>
      <c r="Q8" s="275"/>
      <c r="R8" s="275"/>
      <c r="AF8" s="84"/>
    </row>
    <row r="9" spans="1:32" ht="15.75">
      <c r="A9" s="275"/>
      <c r="B9" s="1038" t="s">
        <v>637</v>
      </c>
      <c r="C9" s="1043" t="s">
        <v>1910</v>
      </c>
      <c r="D9" s="1042"/>
      <c r="E9" s="275"/>
      <c r="F9" s="275"/>
      <c r="G9" s="275"/>
      <c r="H9" s="275"/>
      <c r="I9" s="275"/>
      <c r="J9" s="275"/>
      <c r="K9" s="275"/>
      <c r="L9" s="275"/>
      <c r="M9" s="275"/>
      <c r="N9" s="275"/>
      <c r="O9" s="275"/>
      <c r="P9" s="275"/>
      <c r="Q9" s="275"/>
      <c r="R9" s="275"/>
      <c r="AF9" s="84"/>
    </row>
    <row r="10" spans="1:32" ht="15.75">
      <c r="A10" s="275"/>
      <c r="B10" s="1038" t="s">
        <v>637</v>
      </c>
      <c r="C10" s="1043" t="s">
        <v>1911</v>
      </c>
      <c r="D10" s="1042"/>
      <c r="E10" s="275"/>
      <c r="F10" s="275"/>
      <c r="G10" s="275"/>
      <c r="H10" s="275"/>
      <c r="I10" s="275"/>
      <c r="J10" s="275"/>
      <c r="K10" s="275"/>
      <c r="L10" s="275"/>
      <c r="M10" s="275"/>
      <c r="N10" s="275"/>
      <c r="O10" s="275"/>
      <c r="P10" s="275"/>
      <c r="Q10" s="275"/>
      <c r="R10" s="275"/>
      <c r="AF10" s="84"/>
    </row>
    <row r="11" spans="1:32">
      <c r="A11" s="275"/>
      <c r="B11" s="275"/>
      <c r="C11" s="1043" t="s">
        <v>1912</v>
      </c>
      <c r="D11" s="1043"/>
      <c r="E11" s="275"/>
      <c r="F11" s="275"/>
      <c r="G11" s="275"/>
      <c r="H11" s="275"/>
      <c r="I11" s="275"/>
      <c r="J11" s="275"/>
      <c r="K11" s="275"/>
      <c r="L11" s="275"/>
      <c r="M11" s="275"/>
      <c r="N11" s="275"/>
      <c r="O11" s="275"/>
      <c r="P11" s="275"/>
      <c r="Q11" s="275"/>
      <c r="R11" s="275"/>
      <c r="AF11" s="84"/>
    </row>
    <row r="12" spans="1:32">
      <c r="A12" s="275"/>
      <c r="B12" s="275"/>
      <c r="C12" s="275"/>
      <c r="D12" s="275"/>
      <c r="E12" s="275"/>
      <c r="F12" s="275"/>
      <c r="G12" s="275"/>
      <c r="H12" s="275"/>
      <c r="I12" s="275"/>
      <c r="J12" s="275"/>
      <c r="K12" s="275"/>
      <c r="L12" s="275"/>
      <c r="M12" s="275"/>
      <c r="N12" s="275"/>
      <c r="O12" s="275"/>
      <c r="P12" s="275"/>
      <c r="Q12" s="275"/>
      <c r="R12" s="460"/>
    </row>
    <row r="13" spans="1:32" s="26" customFormat="1" ht="15.75" customHeight="1">
      <c r="A13" s="37"/>
      <c r="B13" s="37"/>
      <c r="C13" s="37"/>
      <c r="D13" s="37"/>
      <c r="E13" s="37"/>
      <c r="F13" s="37"/>
      <c r="G13" s="37"/>
      <c r="H13" s="37"/>
      <c r="I13" s="8110" t="str">
        <f>IF('Table of Contents'!A34="D","DRAFT","")</f>
        <v/>
      </c>
      <c r="J13" s="8110"/>
      <c r="K13" s="8110"/>
      <c r="L13" s="8110"/>
      <c r="M13" s="8110"/>
      <c r="N13" s="8110"/>
      <c r="O13" s="8110"/>
      <c r="P13" s="37"/>
      <c r="Q13" s="275"/>
      <c r="R13" s="460"/>
      <c r="S13" s="658"/>
      <c r="T13" s="658"/>
      <c r="U13" s="658"/>
      <c r="V13" s="658"/>
      <c r="W13" s="658"/>
      <c r="X13" s="658"/>
      <c r="Y13" s="658"/>
      <c r="Z13" s="658"/>
      <c r="AA13" s="658"/>
      <c r="AB13" s="658"/>
      <c r="AC13" s="658"/>
      <c r="AD13" s="94"/>
      <c r="AE13" s="94"/>
    </row>
    <row r="14" spans="1:32" s="26" customFormat="1" ht="8.25" customHeight="1">
      <c r="A14" s="37"/>
      <c r="B14" s="22"/>
      <c r="C14" s="83"/>
      <c r="D14" s="22"/>
      <c r="E14" s="22"/>
      <c r="F14" s="22"/>
      <c r="G14" s="22"/>
      <c r="H14" s="22"/>
      <c r="I14" s="8117" t="s">
        <v>543</v>
      </c>
      <c r="J14" s="8118"/>
      <c r="K14" s="8118"/>
      <c r="L14" s="8118"/>
      <c r="M14" s="8118"/>
      <c r="N14" s="8118"/>
      <c r="O14" s="8118"/>
      <c r="P14" s="37"/>
      <c r="Q14" s="8143" t="str">
        <f>IF('Table of Contents'!A34="D","Hide 'DRAFT'.","")</f>
        <v/>
      </c>
      <c r="R14" s="8143"/>
      <c r="S14" s="658"/>
      <c r="T14" s="658"/>
      <c r="U14" s="658"/>
      <c r="V14" s="658"/>
      <c r="W14" s="658"/>
      <c r="X14" s="658"/>
      <c r="Y14" s="658"/>
      <c r="Z14" s="658"/>
      <c r="AA14" s="658"/>
      <c r="AB14" s="658"/>
      <c r="AC14" s="658"/>
      <c r="AD14" s="94"/>
      <c r="AE14" s="94"/>
    </row>
    <row r="15" spans="1:32" s="26" customFormat="1" ht="12.75" customHeight="1">
      <c r="A15" s="37"/>
      <c r="B15" s="103" t="s">
        <v>1913</v>
      </c>
      <c r="C15" s="83"/>
      <c r="D15" s="785"/>
      <c r="E15" s="5989" t="str">
        <f>IF(AND(P15="",'Table of Contents'!A34="D"),"DRAFT","")</f>
        <v/>
      </c>
      <c r="F15" s="782"/>
      <c r="G15" s="782"/>
      <c r="H15" s="783"/>
      <c r="I15" s="8119"/>
      <c r="J15" s="8120"/>
      <c r="K15" s="8120"/>
      <c r="L15" s="8120"/>
      <c r="M15" s="8120"/>
      <c r="N15" s="8120"/>
      <c r="O15" s="8120"/>
      <c r="P15" s="805"/>
      <c r="Q15" s="8143"/>
      <c r="R15" s="8143"/>
      <c r="S15" s="658"/>
      <c r="T15" s="658"/>
      <c r="U15" s="658"/>
      <c r="V15" s="658"/>
      <c r="W15" s="658"/>
      <c r="X15" s="658"/>
      <c r="Y15" s="658"/>
      <c r="Z15" s="658"/>
      <c r="AA15" s="658"/>
      <c r="AB15" s="658"/>
      <c r="AC15" s="658"/>
      <c r="AD15" s="94"/>
      <c r="AE15" s="94"/>
    </row>
    <row r="16" spans="1:32" s="26" customFormat="1" ht="16.5" customHeight="1">
      <c r="A16" s="37"/>
      <c r="B16" s="1451" t="s">
        <v>1815</v>
      </c>
      <c r="C16" s="83"/>
      <c r="D16" s="8114" t="s">
        <v>1914</v>
      </c>
      <c r="E16" s="8115"/>
      <c r="F16" s="8115"/>
      <c r="G16" s="8115"/>
      <c r="H16" s="8116"/>
      <c r="I16" s="8121">
        <f>TaxYear</f>
        <v>2025</v>
      </c>
      <c r="J16" s="8122"/>
      <c r="K16" s="8122"/>
      <c r="L16" s="8122"/>
      <c r="M16" s="8122"/>
      <c r="N16" s="8122"/>
      <c r="O16" s="8122"/>
      <c r="P16" s="37"/>
      <c r="Q16" s="275"/>
      <c r="R16" s="460"/>
      <c r="S16" s="658"/>
      <c r="T16" s="658"/>
      <c r="U16" s="658"/>
      <c r="V16" s="658"/>
      <c r="W16" s="658"/>
      <c r="X16" s="658"/>
      <c r="Y16" s="658"/>
      <c r="Z16" s="658"/>
      <c r="AA16" s="658"/>
      <c r="AB16" s="658"/>
      <c r="AC16" s="658"/>
      <c r="AD16" s="94"/>
      <c r="AE16" s="94"/>
    </row>
    <row r="17" spans="1:31" s="26" customFormat="1" ht="8.25" customHeight="1">
      <c r="A17" s="37"/>
      <c r="B17" s="784"/>
      <c r="C17" s="83"/>
      <c r="D17" s="8111"/>
      <c r="E17" s="8112"/>
      <c r="F17" s="8112"/>
      <c r="G17" s="8112"/>
      <c r="H17" s="8113"/>
      <c r="I17" s="8123"/>
      <c r="J17" s="8124"/>
      <c r="K17" s="8124"/>
      <c r="L17" s="8124"/>
      <c r="M17" s="8124"/>
      <c r="N17" s="8124"/>
      <c r="O17" s="8124"/>
      <c r="P17" s="37"/>
      <c r="Q17" s="275"/>
      <c r="R17" s="460"/>
      <c r="S17" s="658"/>
      <c r="T17" s="658"/>
      <c r="U17" s="658"/>
      <c r="V17" s="658"/>
      <c r="W17" s="658"/>
      <c r="X17" s="658"/>
      <c r="Y17" s="658"/>
      <c r="Z17" s="658"/>
      <c r="AA17" s="658"/>
      <c r="AB17" s="658"/>
      <c r="AC17" s="658"/>
      <c r="AD17" s="94"/>
      <c r="AE17" s="94"/>
    </row>
    <row r="18" spans="1:31" s="26" customFormat="1" ht="13.5" customHeight="1">
      <c r="A18" s="37"/>
      <c r="B18" s="102" t="s">
        <v>503</v>
      </c>
      <c r="C18" s="83"/>
      <c r="D18" s="8128" t="s">
        <v>1817</v>
      </c>
      <c r="E18" s="8129"/>
      <c r="F18" s="8129"/>
      <c r="G18" s="8129"/>
      <c r="H18" s="8130"/>
      <c r="I18" s="1814" t="s">
        <v>1916</v>
      </c>
      <c r="J18" s="1202"/>
      <c r="K18" s="1202"/>
      <c r="L18" s="1202"/>
      <c r="M18" s="1202"/>
      <c r="N18" s="8139" t="s">
        <v>5236</v>
      </c>
      <c r="O18" s="8140"/>
      <c r="P18" s="37"/>
      <c r="Q18" s="275"/>
      <c r="R18" s="460"/>
      <c r="S18" s="658"/>
      <c r="T18" s="658"/>
      <c r="U18" s="658"/>
      <c r="V18" s="658"/>
      <c r="W18" s="658"/>
      <c r="X18" s="658"/>
      <c r="Y18" s="658"/>
      <c r="Z18" s="658"/>
      <c r="AA18" s="658"/>
      <c r="AB18" s="658"/>
      <c r="AC18" s="658"/>
      <c r="AD18" s="94"/>
      <c r="AE18" s="94"/>
    </row>
    <row r="19" spans="1:31" ht="12.75" customHeight="1" thickBot="1">
      <c r="A19" s="37"/>
      <c r="B19" s="102" t="s">
        <v>1917</v>
      </c>
      <c r="C19" s="199"/>
      <c r="D19" s="8111" t="s">
        <v>1915</v>
      </c>
      <c r="E19" s="8112"/>
      <c r="F19" s="8112"/>
      <c r="G19" s="8112"/>
      <c r="H19" s="8113"/>
      <c r="I19" s="1813" t="s">
        <v>3082</v>
      </c>
      <c r="J19" s="1812"/>
      <c r="K19" s="1812"/>
      <c r="L19" s="1812"/>
      <c r="M19" s="1812"/>
      <c r="N19" s="8141"/>
      <c r="O19" s="8141"/>
      <c r="P19" s="139"/>
      <c r="Q19" s="253"/>
      <c r="R19" s="416"/>
    </row>
    <row r="20" spans="1:31" ht="11.25" customHeight="1">
      <c r="A20" s="37"/>
      <c r="B20" s="127" t="s">
        <v>1918</v>
      </c>
      <c r="C20" s="73"/>
      <c r="D20" s="1594"/>
      <c r="E20" s="1594"/>
      <c r="F20" s="1594"/>
      <c r="G20" s="1595"/>
      <c r="H20" s="8131" t="s">
        <v>549</v>
      </c>
      <c r="I20" s="8132"/>
      <c r="J20" s="8132"/>
      <c r="K20" s="8132"/>
      <c r="L20" s="8132"/>
      <c r="M20" s="8132"/>
      <c r="N20" s="8132"/>
      <c r="O20" s="8132"/>
      <c r="P20" s="139"/>
      <c r="Q20" s="253"/>
      <c r="R20" s="416"/>
    </row>
    <row r="21" spans="1:31" ht="17.25" customHeight="1">
      <c r="A21" s="37"/>
      <c r="B21" s="316" t="str">
        <f>Names</f>
        <v/>
      </c>
      <c r="C21" s="317"/>
      <c r="D21" s="1596"/>
      <c r="E21" s="1596"/>
      <c r="F21" s="1596"/>
      <c r="G21" s="1596"/>
      <c r="H21" s="8133">
        <f>IF(NoSSN,"",SS_Yours)</f>
        <v>1010001</v>
      </c>
      <c r="I21" s="8134"/>
      <c r="J21" s="8134"/>
      <c r="K21" s="8134"/>
      <c r="L21" s="8134"/>
      <c r="M21" s="8134"/>
      <c r="N21" s="8134"/>
      <c r="O21" s="8134"/>
      <c r="P21" s="139"/>
      <c r="Q21" s="253"/>
      <c r="R21" s="416"/>
    </row>
    <row r="22" spans="1:31" ht="15.75" customHeight="1">
      <c r="A22" s="37"/>
      <c r="B22" s="1223" t="s">
        <v>780</v>
      </c>
      <c r="C22" s="17">
        <v>1</v>
      </c>
      <c r="D22" s="221" t="s">
        <v>1919</v>
      </c>
      <c r="E22" s="16"/>
      <c r="F22" s="16"/>
      <c r="G22" s="16"/>
      <c r="H22" s="99"/>
      <c r="I22" s="8135" t="s">
        <v>858</v>
      </c>
      <c r="J22" s="8136"/>
      <c r="K22" s="8136"/>
      <c r="L22" s="8136"/>
      <c r="M22" s="8136"/>
      <c r="N22" s="8136"/>
      <c r="O22" s="8136"/>
      <c r="P22" s="139"/>
      <c r="Q22" s="253"/>
      <c r="R22" s="416"/>
    </row>
    <row r="23" spans="1:31" ht="12" customHeight="1">
      <c r="A23" s="37"/>
      <c r="B23" s="1424" t="s">
        <v>1920</v>
      </c>
      <c r="C23" s="17"/>
      <c r="D23" s="221" t="s">
        <v>1921</v>
      </c>
      <c r="E23" s="16"/>
      <c r="F23" s="16"/>
      <c r="G23" s="16"/>
      <c r="H23" s="100"/>
      <c r="I23" s="8137"/>
      <c r="J23" s="8138"/>
      <c r="K23" s="8138"/>
      <c r="L23" s="8138"/>
      <c r="M23" s="8138"/>
      <c r="N23" s="8138"/>
      <c r="O23" s="8138"/>
      <c r="P23" s="139"/>
      <c r="Q23" s="253"/>
      <c r="R23" s="416"/>
    </row>
    <row r="24" spans="1:31" ht="12.75" customHeight="1">
      <c r="A24" s="37"/>
      <c r="B24" s="16"/>
      <c r="C24" s="17"/>
      <c r="D24" s="221" t="s">
        <v>4901</v>
      </c>
      <c r="E24" s="16"/>
      <c r="F24" s="16"/>
      <c r="G24" s="81"/>
      <c r="H24" s="100"/>
      <c r="I24" s="8125"/>
      <c r="J24" s="8126"/>
      <c r="K24" s="8126"/>
      <c r="L24" s="8126"/>
      <c r="M24" s="8126"/>
      <c r="N24" s="8126"/>
      <c r="O24" s="8127"/>
      <c r="P24" s="139"/>
      <c r="Q24" s="253"/>
      <c r="R24" s="416"/>
      <c r="T24" s="664"/>
    </row>
    <row r="25" spans="1:31" ht="12.75" customHeight="1">
      <c r="A25" s="37"/>
      <c r="B25" s="221" t="s">
        <v>1922</v>
      </c>
      <c r="C25" s="17"/>
      <c r="D25" s="8084" t="str">
        <f>IF('1099-INT'!D30="","Use sheet '1099-INT' to enter interest amounts.",'1099-INT'!D30)</f>
        <v>Use sheet '1099-INT' to enter interest amounts.</v>
      </c>
      <c r="E25" s="8085"/>
      <c r="F25" s="8085"/>
      <c r="G25" s="8086"/>
      <c r="H25" s="100"/>
      <c r="I25" s="8087" t="str">
        <f>IF(AND('1099-INT'!D6="",'1099-INT'!D26="",'1099-INT'!D17=""),"",ROUND(SUM('1099-INT'!D6,'1099-INT'!D17,'1099-INT'!D26),2))</f>
        <v/>
      </c>
      <c r="J25" s="8088"/>
      <c r="K25" s="8088"/>
      <c r="L25" s="8088"/>
      <c r="M25" s="8088"/>
      <c r="N25" s="8088"/>
      <c r="O25" s="8089"/>
      <c r="P25" s="139"/>
      <c r="Q25" s="253"/>
      <c r="R25" s="1039"/>
      <c r="S25" s="664" t="s">
        <v>389</v>
      </c>
      <c r="AD25" s="318"/>
      <c r="AE25" s="318"/>
    </row>
    <row r="26" spans="1:31" ht="12.75" customHeight="1">
      <c r="A26" s="37"/>
      <c r="B26" s="221" t="s">
        <v>1923</v>
      </c>
      <c r="C26" s="17"/>
      <c r="D26" s="8084" t="str">
        <f>IF('1099-INT'!E30="","",'1099-INT'!E30)</f>
        <v/>
      </c>
      <c r="E26" s="8085"/>
      <c r="F26" s="8085"/>
      <c r="G26" s="8086"/>
      <c r="H26" s="100"/>
      <c r="I26" s="8087" t="str">
        <f>IF(AND('1099-INT'!E6="",'1099-INT'!E26="",'1099-INT'!E17=""),"",ROUND(SUM('1099-INT'!E6,'1099-INT'!E17,'1099-INT'!E26),2))</f>
        <v/>
      </c>
      <c r="J26" s="8088"/>
      <c r="K26" s="8088"/>
      <c r="L26" s="8088"/>
      <c r="M26" s="8088"/>
      <c r="N26" s="8088"/>
      <c r="O26" s="8089"/>
      <c r="P26" s="139"/>
      <c r="Q26" s="253"/>
      <c r="R26" s="1039"/>
      <c r="S26" s="664" t="s">
        <v>1924</v>
      </c>
      <c r="AD26" s="318"/>
      <c r="AE26" s="318"/>
    </row>
    <row r="27" spans="1:31" ht="12.75" customHeight="1">
      <c r="A27" s="37"/>
      <c r="B27" s="221" t="s">
        <v>5861</v>
      </c>
      <c r="C27" s="17"/>
      <c r="D27" s="8084" t="str">
        <f>IF('1099-INT'!F27="","",'1099-INT'!F30)</f>
        <v/>
      </c>
      <c r="E27" s="8085"/>
      <c r="F27" s="8085"/>
      <c r="G27" s="8086"/>
      <c r="H27" s="100"/>
      <c r="I27" s="8087" t="str">
        <f>IF(AND('1099-INT'!F6="",'1099-INT'!F26="",'1099-INT'!F17=""),"",ROUND(SUM('1099-INT'!F6,'1099-INT'!F$17,'1099-INT'!F$26),2))</f>
        <v/>
      </c>
      <c r="J27" s="8088"/>
      <c r="K27" s="8088"/>
      <c r="L27" s="8088"/>
      <c r="M27" s="8088"/>
      <c r="N27" s="8088"/>
      <c r="O27" s="8089"/>
      <c r="P27" s="139"/>
      <c r="Q27" s="253"/>
      <c r="R27" s="1039"/>
      <c r="AD27" s="318"/>
      <c r="AE27" s="318"/>
    </row>
    <row r="28" spans="1:31" ht="12.75" customHeight="1">
      <c r="A28" s="37"/>
      <c r="B28" s="221" t="s">
        <v>4900</v>
      </c>
      <c r="C28" s="17"/>
      <c r="D28" s="8084" t="str">
        <f>IF('1099-INT'!G27="","",'1099-INT'!G30)</f>
        <v/>
      </c>
      <c r="E28" s="8085"/>
      <c r="F28" s="8085"/>
      <c r="G28" s="8086"/>
      <c r="H28" s="100"/>
      <c r="I28" s="8087" t="str">
        <f>IF(AND('1099-INT'!G6="",'1099-INT'!G26="",'1099-INT'!G17=""),"",ROUND(SUM('1099-INT'!G6,'1099-INT'!G$17,'1099-INT'!G$26),2))</f>
        <v/>
      </c>
      <c r="J28" s="8088"/>
      <c r="K28" s="8088"/>
      <c r="L28" s="8088"/>
      <c r="M28" s="8088"/>
      <c r="N28" s="8088"/>
      <c r="O28" s="8089"/>
      <c r="P28" s="139"/>
      <c r="Q28" s="253"/>
      <c r="R28" s="1039"/>
      <c r="S28" s="658" t="s">
        <v>1926</v>
      </c>
      <c r="AD28" s="318"/>
      <c r="AE28" s="318"/>
    </row>
    <row r="29" spans="1:31" ht="12.75" customHeight="1">
      <c r="A29" s="37"/>
      <c r="B29" s="221" t="s">
        <v>4899</v>
      </c>
      <c r="C29" s="17"/>
      <c r="D29" s="8084" t="str">
        <f>IF('1099-INT'!H27="","",'1099-INT'!H30)</f>
        <v/>
      </c>
      <c r="E29" s="8085"/>
      <c r="F29" s="8085"/>
      <c r="G29" s="8086"/>
      <c r="H29" s="100"/>
      <c r="I29" s="8087" t="str">
        <f>IF(AND('1099-INT'!H6="",'1099-INT'!H26="",'1099-INT'!H17=""),"",ROUND(SUM('1099-INT'!H6,'1099-INT'!H$17,'1099-INT'!H$26),2))</f>
        <v/>
      </c>
      <c r="J29" s="8088"/>
      <c r="K29" s="8088"/>
      <c r="L29" s="8088"/>
      <c r="M29" s="8088"/>
      <c r="N29" s="8088"/>
      <c r="O29" s="8089"/>
      <c r="P29" s="139"/>
      <c r="Q29" s="253"/>
      <c r="R29" s="1039"/>
      <c r="AD29" s="318"/>
      <c r="AE29" s="318"/>
    </row>
    <row r="30" spans="1:31" ht="12.75" customHeight="1">
      <c r="A30" s="37"/>
      <c r="B30" s="76"/>
      <c r="C30" s="17"/>
      <c r="D30" s="8084" t="str">
        <f>IF('1099-INT'!D56="","",'1099-INT'!D59)</f>
        <v/>
      </c>
      <c r="E30" s="8085"/>
      <c r="F30" s="8085"/>
      <c r="G30" s="8086"/>
      <c r="H30" s="100"/>
      <c r="I30" s="8087" t="str">
        <f>IF(AND('1099-INT'!D35="",'1099-INT'!D55="",'1099-INT'!D46=""),"",ROUND(SUM('1099-INT'!D$35,'1099-INT'!D$46,'1099-INT'!D$55),2))</f>
        <v/>
      </c>
      <c r="J30" s="8088"/>
      <c r="K30" s="8088"/>
      <c r="L30" s="8088"/>
      <c r="M30" s="8088"/>
      <c r="N30" s="8088"/>
      <c r="O30" s="8089"/>
      <c r="P30" s="139"/>
      <c r="Q30" s="253"/>
      <c r="R30" s="1039"/>
      <c r="S30" s="664" t="s">
        <v>1927</v>
      </c>
      <c r="AD30" s="318"/>
      <c r="AE30" s="318"/>
    </row>
    <row r="31" spans="1:31" ht="12.75" customHeight="1">
      <c r="A31" s="37"/>
      <c r="B31" s="8142" t="s">
        <v>5234</v>
      </c>
      <c r="C31" s="17"/>
      <c r="D31" s="8084" t="str">
        <f>IF('1099-INT'!E56="","",'1099-INT'!E59)</f>
        <v/>
      </c>
      <c r="E31" s="8085"/>
      <c r="F31" s="8085"/>
      <c r="G31" s="8086"/>
      <c r="H31" s="100"/>
      <c r="I31" s="8087" t="str">
        <f>IF(AND('1099-INT'!E35="",'1099-INT'!E55="",'1099-INT'!E46=""),"",ROUND(SUM('1099-INT'!E$35,'1099-INT'!E$46,'1099-INT'!E$55),2))</f>
        <v/>
      </c>
      <c r="J31" s="8088"/>
      <c r="K31" s="8088"/>
      <c r="L31" s="8088"/>
      <c r="M31" s="8088"/>
      <c r="N31" s="8088"/>
      <c r="O31" s="8089"/>
      <c r="P31" s="139"/>
      <c r="Q31" s="253"/>
      <c r="R31" s="1039"/>
      <c r="AD31" s="318"/>
      <c r="AE31" s="318"/>
    </row>
    <row r="32" spans="1:31" ht="12.75" customHeight="1">
      <c r="A32" s="37"/>
      <c r="B32" s="8142"/>
      <c r="C32" s="17"/>
      <c r="D32" s="8084" t="str">
        <f>IF('1099-INT'!F56="","",'1099-INT'!F59)</f>
        <v/>
      </c>
      <c r="E32" s="8085"/>
      <c r="F32" s="8085"/>
      <c r="G32" s="8086"/>
      <c r="H32" s="100"/>
      <c r="I32" s="8087" t="str">
        <f>IF(AND('1099-INT'!F35="",'1099-INT'!F55="",'1099-INT'!F46=""),"",ROUND(SUM('1099-INT'!F$35,'1099-INT'!F$46,'1099-INT'!F$55),2))</f>
        <v/>
      </c>
      <c r="J32" s="8088"/>
      <c r="K32" s="8088"/>
      <c r="L32" s="8088"/>
      <c r="M32" s="8088"/>
      <c r="N32" s="8088"/>
      <c r="O32" s="8089"/>
      <c r="P32" s="139"/>
      <c r="Q32" s="253"/>
      <c r="R32" s="1039"/>
      <c r="AD32" s="318"/>
      <c r="AE32" s="318"/>
    </row>
    <row r="33" spans="1:31" ht="12.75" customHeight="1">
      <c r="A33" s="37"/>
      <c r="B33" s="8142"/>
      <c r="C33" s="17"/>
      <c r="D33" s="8084" t="str">
        <f>IF('1099-INT'!G56="","",'1099-INT'!G59)</f>
        <v/>
      </c>
      <c r="E33" s="8085"/>
      <c r="F33" s="8085"/>
      <c r="G33" s="8086"/>
      <c r="H33" s="100">
        <v>1</v>
      </c>
      <c r="I33" s="8087" t="str">
        <f>IF(AND('1099-INT'!G35="",'1099-INT'!G55="",'1099-INT'!G46=""),"",ROUND(SUM('1099-INT'!G$35,'1099-INT'!G$46,'1099-INT'!G$55),2))</f>
        <v/>
      </c>
      <c r="J33" s="8088"/>
      <c r="K33" s="8088"/>
      <c r="L33" s="8088"/>
      <c r="M33" s="8088"/>
      <c r="N33" s="8088"/>
      <c r="O33" s="8089"/>
      <c r="P33" s="139"/>
      <c r="Q33" s="253"/>
      <c r="R33" s="1039"/>
      <c r="AD33" s="318"/>
      <c r="AE33" s="318"/>
    </row>
    <row r="34" spans="1:31" ht="12.75" customHeight="1">
      <c r="A34" s="37"/>
      <c r="B34" s="8142"/>
      <c r="C34" s="17"/>
      <c r="D34" s="8084" t="str">
        <f>IF('1099-INT'!H56="","",'1099-INT'!H59)</f>
        <v/>
      </c>
      <c r="E34" s="8085"/>
      <c r="F34" s="8085"/>
      <c r="G34" s="8086"/>
      <c r="H34" s="100"/>
      <c r="I34" s="8087" t="str">
        <f>IF(AND('1099-INT'!H35="",'1099-INT'!H55="",'1099-INT'!H46=""),"",ROUND(SUM('1099-INT'!H$35,'1099-INT'!H$46,'1099-INT'!H$55),2))</f>
        <v/>
      </c>
      <c r="J34" s="8088"/>
      <c r="K34" s="8088"/>
      <c r="L34" s="8088"/>
      <c r="M34" s="8088"/>
      <c r="N34" s="8088"/>
      <c r="O34" s="8089"/>
      <c r="P34" s="139"/>
      <c r="Q34" s="253"/>
      <c r="R34" s="1039"/>
      <c r="AD34" s="318"/>
      <c r="AE34" s="318"/>
    </row>
    <row r="35" spans="1:31" ht="12.75" customHeight="1">
      <c r="A35" s="37"/>
      <c r="B35" s="8142"/>
      <c r="C35" s="17"/>
      <c r="D35" s="8084" t="str">
        <f>IF('1099-INT'!D86="","",'1099-INT'!D89)</f>
        <v/>
      </c>
      <c r="E35" s="8085"/>
      <c r="F35" s="8085"/>
      <c r="G35" s="8086"/>
      <c r="H35" s="100"/>
      <c r="I35" s="8096" t="str">
        <f>IF(AND('1099-INT'!D65="",'1099-INT'!D85="",'1099-INT'!D76=""),"",ROUND(SUM('1099-INT'!D65,'1099-INT'!D76,'1099-INT'!D85),2))</f>
        <v/>
      </c>
      <c r="J35" s="8097"/>
      <c r="K35" s="8097"/>
      <c r="L35" s="8097"/>
      <c r="M35" s="8097"/>
      <c r="N35" s="8097"/>
      <c r="O35" s="8098"/>
      <c r="P35" s="139"/>
      <c r="Q35" s="253"/>
      <c r="R35" s="1039"/>
      <c r="AD35" s="318"/>
      <c r="AE35" s="318"/>
    </row>
    <row r="36" spans="1:31" ht="12.75" customHeight="1">
      <c r="A36" s="37"/>
      <c r="B36" s="8142"/>
      <c r="C36" s="17"/>
      <c r="D36" s="8084" t="str">
        <f>IF('1099-INT'!E86="","",'1099-INT'!E89)</f>
        <v/>
      </c>
      <c r="E36" s="8085"/>
      <c r="F36" s="8085"/>
      <c r="G36" s="8086"/>
      <c r="H36" s="100"/>
      <c r="I36" s="8096" t="str">
        <f>IF(AND('1099-INT'!E65="",'1099-INT'!E85="",'1099-INT'!E76=""),"",ROUND(SUM('1099-INT'!E65,'1099-INT'!E76,'1099-INT'!E85),2))</f>
        <v/>
      </c>
      <c r="J36" s="8097"/>
      <c r="K36" s="8097"/>
      <c r="L36" s="8097"/>
      <c r="M36" s="8097"/>
      <c r="N36" s="8097"/>
      <c r="O36" s="8098"/>
      <c r="P36" s="139"/>
      <c r="Q36" s="253"/>
      <c r="R36" s="1039"/>
      <c r="AD36" s="318"/>
      <c r="AE36" s="318"/>
    </row>
    <row r="37" spans="1:31" ht="12.75" customHeight="1">
      <c r="A37" s="37"/>
      <c r="B37" s="8142"/>
      <c r="C37" s="17"/>
      <c r="D37" s="8084" t="str">
        <f>IF('1099-INT'!F86="","",'1099-INT'!F89)</f>
        <v/>
      </c>
      <c r="E37" s="8085"/>
      <c r="F37" s="8085"/>
      <c r="G37" s="8086"/>
      <c r="H37" s="100"/>
      <c r="I37" s="8096" t="str">
        <f>IF(AND('1099-INT'!F65="",'1099-INT'!F85="",'1099-INT'!F76=""),"",ROUND(SUM('1099-INT'!F65,'1099-INT'!F76,'1099-INT'!F85),2))</f>
        <v/>
      </c>
      <c r="J37" s="8097"/>
      <c r="K37" s="8097"/>
      <c r="L37" s="8097"/>
      <c r="M37" s="8097"/>
      <c r="N37" s="8097"/>
      <c r="O37" s="8098"/>
      <c r="P37" s="139"/>
      <c r="Q37" s="253"/>
      <c r="R37" s="1039"/>
      <c r="AD37" s="318"/>
      <c r="AE37" s="318"/>
    </row>
    <row r="38" spans="1:31" ht="12.75" customHeight="1">
      <c r="A38" s="37"/>
      <c r="B38" s="8142"/>
      <c r="C38" s="17"/>
      <c r="D38" s="8084" t="str">
        <f>IF('1099-INT'!G86="","",'1099-INT'!G89)</f>
        <v/>
      </c>
      <c r="E38" s="8085"/>
      <c r="F38" s="8085"/>
      <c r="G38" s="8086"/>
      <c r="H38" s="100"/>
      <c r="I38" s="8096" t="str">
        <f>IF(AND('1099-INT'!G65="",'1099-INT'!G85="",'1099-INT'!G76=""),"",ROUND(SUM('1099-INT'!G65,'1099-INT'!G76,'1099-INT'!G85),2))</f>
        <v/>
      </c>
      <c r="J38" s="8097"/>
      <c r="K38" s="8097"/>
      <c r="L38" s="8097"/>
      <c r="M38" s="8097"/>
      <c r="N38" s="8097"/>
      <c r="O38" s="8098"/>
      <c r="P38" s="139"/>
      <c r="Q38" s="253"/>
      <c r="R38" s="1039"/>
      <c r="AD38" s="318"/>
      <c r="AE38" s="318"/>
    </row>
    <row r="39" spans="1:31" ht="12.75" customHeight="1">
      <c r="A39" s="37"/>
      <c r="B39" s="8142"/>
      <c r="C39" s="17"/>
      <c r="D39" s="8084" t="str">
        <f>IF('1099-INT'!H86="","",'1099-INT'!H89)</f>
        <v/>
      </c>
      <c r="E39" s="8085"/>
      <c r="F39" s="8085"/>
      <c r="G39" s="8086"/>
      <c r="H39" s="98"/>
      <c r="I39" s="8096" t="str">
        <f>IF(AND('1099-INT'!H65="",'1099-INT'!H85="",'1099-INT'!H76=""),"",ROUND(SUM('1099-INT'!H65,'1099-INT'!H76,'1099-INT'!H85),2))</f>
        <v/>
      </c>
      <c r="J39" s="8097"/>
      <c r="K39" s="8097"/>
      <c r="L39" s="8097"/>
      <c r="M39" s="8097"/>
      <c r="N39" s="8097"/>
      <c r="O39" s="8098"/>
      <c r="P39" s="139"/>
      <c r="Q39" s="253"/>
      <c r="R39" s="1039"/>
      <c r="AD39" s="318"/>
      <c r="AE39" s="318"/>
    </row>
    <row r="40" spans="1:31" ht="12.75" customHeight="1">
      <c r="A40" s="37"/>
      <c r="B40" s="8142"/>
      <c r="C40" s="17">
        <v>2</v>
      </c>
      <c r="D40" s="221" t="s">
        <v>1928</v>
      </c>
      <c r="E40" s="16"/>
      <c r="F40" s="16"/>
      <c r="G40" s="16"/>
      <c r="H40" s="101">
        <v>2</v>
      </c>
      <c r="I40" s="8103">
        <f>ROUND(SUM(I25:I39),0)</f>
        <v>0</v>
      </c>
      <c r="J40" s="8104"/>
      <c r="K40" s="8104"/>
      <c r="L40" s="8104"/>
      <c r="M40" s="8104"/>
      <c r="N40" s="8104"/>
      <c r="O40" s="8104"/>
      <c r="P40" s="139"/>
      <c r="Q40" s="253"/>
      <c r="R40" s="1039"/>
      <c r="AD40" s="318"/>
      <c r="AE40" s="318"/>
    </row>
    <row r="41" spans="1:31" ht="12.75" customHeight="1">
      <c r="A41" s="37"/>
      <c r="B41" s="8142"/>
      <c r="C41" s="17">
        <v>3</v>
      </c>
      <c r="D41" s="221" t="s">
        <v>1929</v>
      </c>
      <c r="E41" s="16"/>
      <c r="F41" s="16"/>
      <c r="G41" s="16"/>
      <c r="H41" s="99"/>
      <c r="I41" s="69"/>
      <c r="J41" s="69"/>
      <c r="K41" s="69"/>
      <c r="L41" s="69"/>
      <c r="M41" s="69"/>
      <c r="N41" s="69"/>
      <c r="O41" s="69"/>
      <c r="P41" s="139"/>
      <c r="Q41" s="253"/>
      <c r="R41" s="416"/>
    </row>
    <row r="42" spans="1:31" ht="12.75" customHeight="1">
      <c r="A42" s="37"/>
      <c r="B42" s="8142"/>
      <c r="C42" s="17"/>
      <c r="D42" s="221" t="s">
        <v>1930</v>
      </c>
      <c r="E42" s="16"/>
      <c r="F42" s="16"/>
      <c r="G42" s="230" t="s">
        <v>1931</v>
      </c>
      <c r="H42" s="98">
        <v>3</v>
      </c>
      <c r="I42" s="8099"/>
      <c r="J42" s="8100"/>
      <c r="K42" s="8100"/>
      <c r="L42" s="8100"/>
      <c r="M42" s="8100"/>
      <c r="N42" s="8100"/>
      <c r="O42" s="8100"/>
      <c r="P42" s="139"/>
      <c r="Q42" s="253"/>
      <c r="R42" s="416"/>
    </row>
    <row r="43" spans="1:31" ht="12.75" customHeight="1">
      <c r="A43" s="37"/>
      <c r="B43" s="8142"/>
      <c r="C43" s="17">
        <v>4</v>
      </c>
      <c r="D43" s="76" t="s">
        <v>1932</v>
      </c>
      <c r="E43" s="16"/>
      <c r="F43" s="16"/>
      <c r="G43" s="230"/>
      <c r="H43" s="98">
        <f>C43</f>
        <v>4</v>
      </c>
      <c r="I43" s="8144">
        <f>(I40)-ROUND(I42,0)</f>
        <v>0</v>
      </c>
      <c r="J43" s="8145"/>
      <c r="K43" s="8145"/>
      <c r="L43" s="8145"/>
      <c r="M43" s="8145"/>
      <c r="N43" s="8145"/>
      <c r="O43" s="8145"/>
      <c r="P43" s="139"/>
      <c r="Q43" s="253"/>
      <c r="R43" s="416"/>
    </row>
    <row r="44" spans="1:31">
      <c r="A44" s="37"/>
      <c r="B44" s="13"/>
      <c r="C44" s="222" t="s">
        <v>1933</v>
      </c>
      <c r="D44" s="360" t="str">
        <f>"If line 4 is over "&amp;TEXT(H44,"$0,000")&amp;", you must complete Part III."</f>
        <v>If line 4 is over $1,500, you must complete Part III.</v>
      </c>
      <c r="E44" s="68"/>
      <c r="F44" s="68"/>
      <c r="G44" s="271" t="b">
        <f>AND($I$43&gt;$H$44,OR(AND(K73="",N73=""),AND(N73="",K77="",N77=""),AND(K83="",N83="")))</f>
        <v>0</v>
      </c>
      <c r="H44" s="1597">
        <v>1500</v>
      </c>
      <c r="I44" s="8135" t="s">
        <v>858</v>
      </c>
      <c r="J44" s="8136"/>
      <c r="K44" s="8136"/>
      <c r="L44" s="8136"/>
      <c r="M44" s="8136"/>
      <c r="N44" s="8136"/>
      <c r="O44" s="8136"/>
      <c r="P44" s="139"/>
      <c r="Q44" s="253"/>
      <c r="R44" s="416"/>
    </row>
    <row r="45" spans="1:31" ht="15" customHeight="1">
      <c r="A45" s="37"/>
      <c r="B45" s="1815" t="s">
        <v>868</v>
      </c>
      <c r="C45" s="17">
        <v>5</v>
      </c>
      <c r="D45" s="283" t="s">
        <v>1934</v>
      </c>
      <c r="E45" s="8090"/>
      <c r="F45" s="8091"/>
      <c r="G45" s="8091"/>
      <c r="H45" s="100"/>
      <c r="I45" s="8096"/>
      <c r="J45" s="8097"/>
      <c r="K45" s="8097"/>
      <c r="L45" s="8097"/>
      <c r="M45" s="8097"/>
      <c r="N45" s="8097"/>
      <c r="O45" s="8098"/>
      <c r="P45" s="139"/>
      <c r="Q45" s="253"/>
      <c r="R45" s="1039"/>
      <c r="S45" s="664" t="s">
        <v>389</v>
      </c>
      <c r="T45" s="664"/>
      <c r="AD45" s="318"/>
      <c r="AE45" s="318"/>
    </row>
    <row r="46" spans="1:31" ht="12.75" customHeight="1">
      <c r="A46" s="37"/>
      <c r="B46" s="8081" t="s">
        <v>5237</v>
      </c>
      <c r="C46" s="17"/>
      <c r="D46" s="8084" t="str">
        <f>IF('1099-DIV'!D6="","Use sheet '1099-DIV' to enter dividend amounts.",'1099-DIV'!D30)</f>
        <v>Use sheet '1099-DIV' to enter dividend amounts.</v>
      </c>
      <c r="E46" s="8085"/>
      <c r="F46" s="8085"/>
      <c r="G46" s="8086"/>
      <c r="H46" s="100"/>
      <c r="I46" s="8096" t="str">
        <f>IF('1099-DIV'!D6="","",ROUND('1099-DIV'!D6,2))</f>
        <v/>
      </c>
      <c r="J46" s="8097"/>
      <c r="K46" s="8097"/>
      <c r="L46" s="8097"/>
      <c r="M46" s="8097"/>
      <c r="N46" s="8097"/>
      <c r="O46" s="8098"/>
      <c r="P46" s="139"/>
      <c r="Q46" s="253"/>
      <c r="R46" s="1039"/>
      <c r="S46" s="664" t="s">
        <v>1935</v>
      </c>
      <c r="AD46" s="318"/>
      <c r="AE46" s="318"/>
    </row>
    <row r="47" spans="1:31" ht="12.75" customHeight="1">
      <c r="A47" s="37"/>
      <c r="B47" s="8081"/>
      <c r="C47" s="17"/>
      <c r="D47" s="8084" t="str">
        <f>IF('1099-DIV'!E6="","",'1099-DIV'!E30)</f>
        <v/>
      </c>
      <c r="E47" s="8085"/>
      <c r="F47" s="8085"/>
      <c r="G47" s="8086"/>
      <c r="H47" s="100"/>
      <c r="I47" s="8096" t="str">
        <f>IF('1099-DIV'!E6="","",ROUND('1099-DIV'!E6,2))</f>
        <v/>
      </c>
      <c r="J47" s="8097"/>
      <c r="K47" s="8097"/>
      <c r="L47" s="8097"/>
      <c r="M47" s="8097"/>
      <c r="N47" s="8097"/>
      <c r="O47" s="8098"/>
      <c r="P47" s="139"/>
      <c r="Q47" s="253"/>
      <c r="R47" s="1039"/>
      <c r="AD47" s="318"/>
      <c r="AE47" s="318"/>
    </row>
    <row r="48" spans="1:31" ht="12.75" customHeight="1">
      <c r="A48" s="37"/>
      <c r="B48" s="8081"/>
      <c r="C48" s="17"/>
      <c r="D48" s="8084" t="str">
        <f>IF('1099-DIV'!F6="","",'1099-DIV'!F30)</f>
        <v/>
      </c>
      <c r="E48" s="8085"/>
      <c r="F48" s="8085"/>
      <c r="G48" s="8086"/>
      <c r="H48" s="100"/>
      <c r="I48" s="8096" t="str">
        <f>IF('1099-DIV'!F6="","",ROUND('1099-DIV'!F6,2))</f>
        <v/>
      </c>
      <c r="J48" s="8097"/>
      <c r="K48" s="8097"/>
      <c r="L48" s="8097"/>
      <c r="M48" s="8097"/>
      <c r="N48" s="8097"/>
      <c r="O48" s="8098"/>
      <c r="P48" s="139"/>
      <c r="Q48" s="253"/>
      <c r="R48" s="1039"/>
      <c r="S48" s="658" t="s">
        <v>1926</v>
      </c>
      <c r="AD48" s="318"/>
      <c r="AE48" s="318"/>
    </row>
    <row r="49" spans="1:31" ht="12.75" customHeight="1">
      <c r="A49" s="37"/>
      <c r="B49" s="76" t="s">
        <v>1922</v>
      </c>
      <c r="C49" s="17"/>
      <c r="D49" s="8084" t="str">
        <f>IF('1099-DIV'!G6="","",'1099-DIV'!G30)</f>
        <v/>
      </c>
      <c r="E49" s="8085"/>
      <c r="F49" s="8085"/>
      <c r="G49" s="8086"/>
      <c r="H49" s="100"/>
      <c r="I49" s="8096" t="str">
        <f>IF('1099-DIV'!G6="","",ROUND('1099-DIV'!G6,2))</f>
        <v/>
      </c>
      <c r="J49" s="8097"/>
      <c r="K49" s="8097"/>
      <c r="L49" s="8097"/>
      <c r="M49" s="8097"/>
      <c r="N49" s="8097"/>
      <c r="O49" s="8098"/>
      <c r="P49" s="139"/>
      <c r="Q49" s="253"/>
      <c r="R49" s="1039"/>
      <c r="AD49" s="318"/>
      <c r="AE49" s="318"/>
    </row>
    <row r="50" spans="1:31" ht="12.75" customHeight="1">
      <c r="A50" s="37"/>
      <c r="B50" s="76" t="s">
        <v>1923</v>
      </c>
      <c r="C50" s="17"/>
      <c r="D50" s="8084" t="str">
        <f>IF('1099-DIV'!H6="","",'1099-DIV'!H30)</f>
        <v/>
      </c>
      <c r="E50" s="8085"/>
      <c r="F50" s="8085"/>
      <c r="G50" s="8086"/>
      <c r="H50" s="100"/>
      <c r="I50" s="8096" t="str">
        <f>IF('1099-DIV'!H6="","",ROUND('1099-DIV'!H6,2))</f>
        <v/>
      </c>
      <c r="J50" s="8097"/>
      <c r="K50" s="8097"/>
      <c r="L50" s="8097"/>
      <c r="M50" s="8097"/>
      <c r="N50" s="8097"/>
      <c r="O50" s="8098"/>
      <c r="P50" s="139"/>
      <c r="Q50" s="253"/>
      <c r="R50" s="1039"/>
      <c r="S50" s="664" t="s">
        <v>1936</v>
      </c>
      <c r="AD50" s="318"/>
      <c r="AE50" s="318"/>
    </row>
    <row r="51" spans="1:31" ht="12.75" customHeight="1">
      <c r="A51" s="37"/>
      <c r="B51" s="76" t="s">
        <v>1925</v>
      </c>
      <c r="C51" s="17"/>
      <c r="D51" s="8084" t="str">
        <f>IF('1099-DIV'!D35="","",'1099-DIV'!D59)</f>
        <v/>
      </c>
      <c r="E51" s="8085"/>
      <c r="F51" s="8085"/>
      <c r="G51" s="8086"/>
      <c r="H51" s="100"/>
      <c r="I51" s="8096" t="str">
        <f>IF('1099-DIV'!D35="","",ROUND('1099-DIV'!D35,2))</f>
        <v/>
      </c>
      <c r="J51" s="8097"/>
      <c r="K51" s="8097"/>
      <c r="L51" s="8097"/>
      <c r="M51" s="8097"/>
      <c r="N51" s="8097"/>
      <c r="O51" s="8098"/>
      <c r="P51" s="139"/>
      <c r="Q51" s="253"/>
      <c r="R51" s="1039"/>
      <c r="AD51" s="318"/>
      <c r="AE51" s="318"/>
    </row>
    <row r="52" spans="1:31" ht="12.75" customHeight="1">
      <c r="A52" s="37"/>
      <c r="B52" s="76" t="s">
        <v>4900</v>
      </c>
      <c r="C52" s="17"/>
      <c r="D52" s="8084" t="str">
        <f>IF('1099-DIV'!E35="","",'1099-DIV'!E59)</f>
        <v/>
      </c>
      <c r="E52" s="8085"/>
      <c r="F52" s="8085"/>
      <c r="G52" s="8086"/>
      <c r="H52" s="100"/>
      <c r="I52" s="8096" t="str">
        <f>IF('1099-DIV'!E35="","",ROUND('1099-DIV'!E35,2))</f>
        <v/>
      </c>
      <c r="J52" s="8097"/>
      <c r="K52" s="8097"/>
      <c r="L52" s="8097"/>
      <c r="M52" s="8097"/>
      <c r="N52" s="8097"/>
      <c r="O52" s="8098"/>
      <c r="P52" s="139"/>
      <c r="Q52" s="253"/>
      <c r="R52" s="1039"/>
      <c r="AD52" s="318"/>
      <c r="AE52" s="318"/>
    </row>
    <row r="53" spans="1:31" ht="12.75" customHeight="1">
      <c r="A53" s="37"/>
      <c r="B53" s="76" t="s">
        <v>4902</v>
      </c>
      <c r="C53" s="17"/>
      <c r="D53" s="8084" t="str">
        <f>IF('1099-DIV'!F35="","",'1099-DIV'!F59)</f>
        <v/>
      </c>
      <c r="E53" s="8085"/>
      <c r="F53" s="8085"/>
      <c r="G53" s="8086"/>
      <c r="H53" s="100">
        <v>5</v>
      </c>
      <c r="I53" s="8096" t="str">
        <f>IF('1099-DIV'!F35="","",ROUND('1099-DIV'!F35,2))</f>
        <v/>
      </c>
      <c r="J53" s="8097"/>
      <c r="K53" s="8097"/>
      <c r="L53" s="8097"/>
      <c r="M53" s="8097"/>
      <c r="N53" s="8097"/>
      <c r="O53" s="8098"/>
      <c r="P53" s="139"/>
      <c r="Q53" s="253"/>
      <c r="R53" s="1039"/>
      <c r="AD53" s="318"/>
      <c r="AE53" s="318"/>
    </row>
    <row r="54" spans="1:31" ht="12.75" customHeight="1">
      <c r="A54" s="37"/>
      <c r="B54" s="63"/>
      <c r="C54" s="17"/>
      <c r="D54" s="8084" t="str">
        <f>IF('1099-DIV'!G35="","",'1099-DIV'!G59)</f>
        <v/>
      </c>
      <c r="E54" s="8085"/>
      <c r="F54" s="8085"/>
      <c r="G54" s="8086"/>
      <c r="H54" s="100"/>
      <c r="I54" s="8096" t="str">
        <f>IF('1099-DIV'!G35="","",ROUND('1099-DIV'!G35,2))</f>
        <v/>
      </c>
      <c r="J54" s="8097"/>
      <c r="K54" s="8097"/>
      <c r="L54" s="8097"/>
      <c r="M54" s="8097"/>
      <c r="N54" s="8097"/>
      <c r="O54" s="8098"/>
      <c r="P54" s="139"/>
      <c r="Q54" s="253"/>
      <c r="R54" s="1039"/>
      <c r="AD54" s="318"/>
      <c r="AE54" s="318"/>
    </row>
    <row r="55" spans="1:31" ht="12.75" customHeight="1">
      <c r="A55" s="37"/>
      <c r="B55" s="8142" t="s">
        <v>5235</v>
      </c>
      <c r="C55" s="17"/>
      <c r="D55" s="8084" t="str">
        <f>IF('1099-DIV'!H35="","",'1099-DIV'!H59)</f>
        <v/>
      </c>
      <c r="E55" s="8085"/>
      <c r="F55" s="8085"/>
      <c r="G55" s="8086"/>
      <c r="H55" s="100"/>
      <c r="I55" s="8096" t="str">
        <f>IF('1099-DIV'!H35="","",ROUND('1099-DIV'!H35,2))</f>
        <v/>
      </c>
      <c r="J55" s="8097"/>
      <c r="K55" s="8097"/>
      <c r="L55" s="8097"/>
      <c r="M55" s="8097"/>
      <c r="N55" s="8097"/>
      <c r="O55" s="8098"/>
      <c r="P55" s="139"/>
      <c r="Q55" s="253"/>
      <c r="R55" s="1039"/>
      <c r="AD55" s="318"/>
      <c r="AE55" s="318"/>
    </row>
    <row r="56" spans="1:31" ht="12.75" customHeight="1">
      <c r="A56" s="37"/>
      <c r="B56" s="8142"/>
      <c r="C56" s="17"/>
      <c r="D56" s="8084" t="str">
        <f>IF('1099-DIV'!D64="","",'1099-DIV'!D88)</f>
        <v/>
      </c>
      <c r="E56" s="8085"/>
      <c r="F56" s="8085"/>
      <c r="G56" s="8086"/>
      <c r="H56" s="100"/>
      <c r="I56" s="8096" t="str">
        <f>IF('1099-DIV'!D64="","",ROUND('1099-DIV'!D64,2))</f>
        <v/>
      </c>
      <c r="J56" s="8097"/>
      <c r="K56" s="8097"/>
      <c r="L56" s="8097"/>
      <c r="M56" s="8097"/>
      <c r="N56" s="8097"/>
      <c r="O56" s="8098"/>
      <c r="P56" s="139"/>
      <c r="Q56" s="253"/>
      <c r="R56" s="1039"/>
      <c r="AD56" s="318"/>
      <c r="AE56" s="318"/>
    </row>
    <row r="57" spans="1:31" ht="12.75" customHeight="1">
      <c r="A57" s="37"/>
      <c r="B57" s="8142"/>
      <c r="C57" s="17"/>
      <c r="D57" s="8084" t="str">
        <f>IF('1099-DIV'!E64="","",'1099-DIV'!E88)</f>
        <v/>
      </c>
      <c r="E57" s="8085"/>
      <c r="F57" s="8085"/>
      <c r="G57" s="8086"/>
      <c r="H57" s="100"/>
      <c r="I57" s="8096" t="str">
        <f>IF('1099-DIV'!E64="","",ROUND('1099-DIV'!E64,2))</f>
        <v/>
      </c>
      <c r="J57" s="8097"/>
      <c r="K57" s="8097"/>
      <c r="L57" s="8097"/>
      <c r="M57" s="8097"/>
      <c r="N57" s="8097"/>
      <c r="O57" s="8098"/>
      <c r="P57" s="139"/>
      <c r="Q57" s="253"/>
      <c r="R57" s="1039"/>
      <c r="AD57" s="318"/>
      <c r="AE57" s="318"/>
    </row>
    <row r="58" spans="1:31" ht="12.75" customHeight="1">
      <c r="A58" s="37"/>
      <c r="B58" s="8142"/>
      <c r="C58" s="17"/>
      <c r="D58" s="8084" t="str">
        <f>IF('1099-DIV'!F64="","",'1099-DIV'!F88)</f>
        <v/>
      </c>
      <c r="E58" s="8085"/>
      <c r="F58" s="8085"/>
      <c r="G58" s="8086"/>
      <c r="H58" s="100"/>
      <c r="I58" s="8096" t="str">
        <f>IF('1099-DIV'!F64="","",ROUND('1099-DIV'!F64,2))</f>
        <v/>
      </c>
      <c r="J58" s="8097"/>
      <c r="K58" s="8097"/>
      <c r="L58" s="8097"/>
      <c r="M58" s="8097"/>
      <c r="N58" s="8097"/>
      <c r="O58" s="8098"/>
      <c r="P58" s="139"/>
      <c r="Q58" s="253"/>
      <c r="R58" s="1039"/>
      <c r="AD58" s="318"/>
      <c r="AE58" s="318"/>
    </row>
    <row r="59" spans="1:31" ht="12.75" customHeight="1">
      <c r="A59" s="37"/>
      <c r="B59" s="8142"/>
      <c r="C59" s="17"/>
      <c r="D59" s="8084" t="str">
        <f>IF('1099-DIV'!G64="","",'1099-DIV'!G88)</f>
        <v/>
      </c>
      <c r="E59" s="8085"/>
      <c r="F59" s="8085"/>
      <c r="G59" s="8086"/>
      <c r="H59" s="100"/>
      <c r="I59" s="8096" t="str">
        <f>IF('1099-DIV'!G64="","",ROUND('1099-DIV'!G64,2))</f>
        <v/>
      </c>
      <c r="J59" s="8097"/>
      <c r="K59" s="8097"/>
      <c r="L59" s="8097"/>
      <c r="M59" s="8097"/>
      <c r="N59" s="8097"/>
      <c r="O59" s="8098"/>
      <c r="P59" s="139"/>
      <c r="Q59" s="253"/>
      <c r="R59" s="1039"/>
      <c r="AD59" s="318"/>
      <c r="AE59" s="318"/>
    </row>
    <row r="60" spans="1:31" ht="12.75" customHeight="1">
      <c r="A60" s="37"/>
      <c r="B60" s="8142"/>
      <c r="C60" s="17"/>
      <c r="D60" s="8084" t="str">
        <f>IF('1099-DIV'!H64="","",'1099-DIV'!H88)</f>
        <v/>
      </c>
      <c r="E60" s="8085"/>
      <c r="F60" s="8085"/>
      <c r="G60" s="8086"/>
      <c r="H60" s="100"/>
      <c r="I60" s="8096" t="str">
        <f>IF('1099-DIV'!H64="","",ROUND('1099-DIV'!H64,2))</f>
        <v/>
      </c>
      <c r="J60" s="8097"/>
      <c r="K60" s="8097"/>
      <c r="L60" s="8097"/>
      <c r="M60" s="8097"/>
      <c r="N60" s="8097"/>
      <c r="O60" s="8098"/>
      <c r="P60" s="139"/>
      <c r="Q60" s="253"/>
      <c r="R60" s="1039"/>
      <c r="AD60" s="318"/>
      <c r="AE60" s="318"/>
    </row>
    <row r="61" spans="1:31" ht="12.75" customHeight="1">
      <c r="A61" s="37"/>
      <c r="B61" s="8142"/>
      <c r="C61" s="17"/>
      <c r="D61" s="8084" t="str">
        <f>IF('1099-DIV'!D93="","",'1099-DIV'!D117)</f>
        <v/>
      </c>
      <c r="E61" s="8085"/>
      <c r="F61" s="8085"/>
      <c r="G61" s="8086"/>
      <c r="H61" s="100"/>
      <c r="I61" s="8096" t="str">
        <f>IF('1099-DIV'!D93="","",ROUND('1099-DIV'!D93,2))</f>
        <v/>
      </c>
      <c r="J61" s="8097"/>
      <c r="K61" s="8097"/>
      <c r="L61" s="8097"/>
      <c r="M61" s="8097"/>
      <c r="N61" s="8097"/>
      <c r="O61" s="8098"/>
      <c r="P61" s="139"/>
      <c r="Q61" s="253"/>
      <c r="R61" s="1039"/>
      <c r="AD61" s="318"/>
      <c r="AE61" s="318"/>
    </row>
    <row r="62" spans="1:31" ht="12.75" customHeight="1">
      <c r="A62" s="37"/>
      <c r="B62" s="8142"/>
      <c r="C62" s="17"/>
      <c r="D62" s="8084" t="str">
        <f>IF('1099-DIV'!E93="","",'1099-DIV'!E117)</f>
        <v/>
      </c>
      <c r="E62" s="8085"/>
      <c r="F62" s="8085"/>
      <c r="G62" s="8086"/>
      <c r="H62" s="100"/>
      <c r="I62" s="8096" t="str">
        <f>IF('1099-DIV'!E93="","",ROUND('1099-DIV'!E93,2))</f>
        <v/>
      </c>
      <c r="J62" s="8097"/>
      <c r="K62" s="8097"/>
      <c r="L62" s="8097"/>
      <c r="M62" s="8097"/>
      <c r="N62" s="8097"/>
      <c r="O62" s="8098"/>
      <c r="P62" s="139"/>
      <c r="Q62" s="253"/>
      <c r="R62" s="1039"/>
      <c r="AD62" s="318"/>
      <c r="AE62" s="318"/>
    </row>
    <row r="63" spans="1:31" ht="12.75" customHeight="1">
      <c r="A63" s="37"/>
      <c r="B63" s="8142"/>
      <c r="C63" s="17"/>
      <c r="D63" s="8084" t="str">
        <f>IF('1099-DIV'!F93="","",'1099-DIV'!F117)</f>
        <v/>
      </c>
      <c r="E63" s="8085"/>
      <c r="F63" s="8085"/>
      <c r="G63" s="8086"/>
      <c r="H63" s="100"/>
      <c r="I63" s="8096" t="str">
        <f>IF('1099-DIV'!F93="","",ROUND('1099-DIV'!F93,2))</f>
        <v/>
      </c>
      <c r="J63" s="8097"/>
      <c r="K63" s="8097"/>
      <c r="L63" s="8097"/>
      <c r="M63" s="8097"/>
      <c r="N63" s="8097"/>
      <c r="O63" s="8098"/>
      <c r="P63" s="139"/>
      <c r="Q63" s="253"/>
      <c r="R63" s="1039"/>
      <c r="AD63" s="318"/>
      <c r="AE63" s="318"/>
    </row>
    <row r="64" spans="1:31" ht="12.75" customHeight="1">
      <c r="A64" s="37"/>
      <c r="B64" s="8142"/>
      <c r="C64" s="17"/>
      <c r="D64" s="8084" t="str">
        <f>IF('1099-DIV'!G93="","",'1099-DIV'!G117)</f>
        <v/>
      </c>
      <c r="E64" s="8085"/>
      <c r="F64" s="8085"/>
      <c r="G64" s="8086"/>
      <c r="H64" s="100"/>
      <c r="I64" s="8096" t="str">
        <f>IF('1099-DIV'!G93="","",ROUND('1099-DIV'!G93,2))</f>
        <v/>
      </c>
      <c r="J64" s="8097"/>
      <c r="K64" s="8097"/>
      <c r="L64" s="8097"/>
      <c r="M64" s="8097"/>
      <c r="N64" s="8097"/>
      <c r="O64" s="8098"/>
      <c r="P64" s="139"/>
      <c r="Q64" s="253"/>
      <c r="R64" s="1039"/>
      <c r="AD64" s="318"/>
      <c r="AE64" s="318"/>
    </row>
    <row r="65" spans="1:31" ht="12.75" customHeight="1">
      <c r="A65" s="37"/>
      <c r="B65" s="8142"/>
      <c r="C65" s="17"/>
      <c r="D65" s="8084"/>
      <c r="E65" s="8085"/>
      <c r="F65" s="8085"/>
      <c r="G65" s="8086"/>
      <c r="H65" s="98"/>
      <c r="I65" s="8096"/>
      <c r="J65" s="8097"/>
      <c r="K65" s="8097"/>
      <c r="L65" s="8097"/>
      <c r="M65" s="8097"/>
      <c r="N65" s="8097"/>
      <c r="O65" s="8098"/>
      <c r="P65" s="139"/>
      <c r="Q65" s="253"/>
      <c r="R65" s="1039"/>
      <c r="AD65" s="318"/>
      <c r="AE65" s="318"/>
    </row>
    <row r="66" spans="1:31" ht="12.75" customHeight="1">
      <c r="A66" s="37"/>
      <c r="B66" s="8142"/>
      <c r="C66" s="17">
        <v>6</v>
      </c>
      <c r="D66" s="76" t="s">
        <v>1937</v>
      </c>
      <c r="E66" s="16"/>
      <c r="F66" s="16"/>
      <c r="G66" s="230"/>
      <c r="H66" s="98">
        <v>6</v>
      </c>
      <c r="I66" s="8103">
        <f>ROUND(SUM(I45:I64),0)</f>
        <v>0</v>
      </c>
      <c r="J66" s="8104"/>
      <c r="K66" s="8104"/>
      <c r="L66" s="8104"/>
      <c r="M66" s="8104"/>
      <c r="N66" s="8104"/>
      <c r="O66" s="8104"/>
      <c r="P66" s="139"/>
      <c r="Q66" s="253"/>
      <c r="R66" s="1039"/>
      <c r="AD66" s="318"/>
      <c r="AE66" s="318"/>
    </row>
    <row r="67" spans="1:31" ht="12.75" customHeight="1" thickBot="1">
      <c r="A67" s="37"/>
      <c r="B67" s="71"/>
      <c r="C67" s="1816" t="s">
        <v>1933</v>
      </c>
      <c r="D67" s="1817" t="str">
        <f>"If line 6 is over "&amp;TEXT(H44,"$0,000")&amp;", you must complete Part III."</f>
        <v>If line 6 is over $1,500, you must complete Part III.</v>
      </c>
      <c r="E67" s="234"/>
      <c r="F67" s="234"/>
      <c r="G67" s="272" t="b">
        <f>AND($I$66&gt;$H$44,OR(AND(K73="",N73=""),AND(N73="",K77="",N77=""),AND(K83="",N83="")))</f>
        <v>0</v>
      </c>
      <c r="H67" s="235"/>
      <c r="I67" s="236"/>
      <c r="J67" s="236"/>
      <c r="K67" s="236"/>
      <c r="L67" s="236"/>
      <c r="M67" s="236"/>
      <c r="N67" s="236"/>
      <c r="O67" s="236"/>
      <c r="P67" s="139"/>
      <c r="Q67" s="253"/>
      <c r="R67" s="416"/>
    </row>
    <row r="68" spans="1:31" ht="16.5" customHeight="1">
      <c r="A68" s="37"/>
      <c r="B68" s="390" t="s">
        <v>1938</v>
      </c>
      <c r="C68" s="221" t="s">
        <v>4905</v>
      </c>
      <c r="D68" s="16"/>
      <c r="E68" s="16"/>
      <c r="F68" s="221" t="str">
        <f>TEXT(H44,"$0,000")&amp;" of interest or dividends;"</f>
        <v>$1,500 of interest or dividends;</v>
      </c>
      <c r="G68" s="16"/>
      <c r="H68" s="17" t="s">
        <v>4904</v>
      </c>
      <c r="I68" s="17"/>
      <c r="J68" s="17"/>
      <c r="K68" s="17"/>
      <c r="L68" s="17"/>
      <c r="M68" s="17"/>
      <c r="N68" s="17"/>
      <c r="O68" s="17"/>
      <c r="P68" s="139"/>
      <c r="Q68" s="253"/>
      <c r="R68" s="416"/>
    </row>
    <row r="69" spans="1:31" ht="19.5" customHeight="1">
      <c r="A69" s="37"/>
      <c r="B69" s="8081" t="s">
        <v>1939</v>
      </c>
      <c r="C69" s="1648" t="s">
        <v>4903</v>
      </c>
      <c r="D69" s="64"/>
      <c r="E69" s="64"/>
      <c r="F69" s="64"/>
      <c r="G69" s="64"/>
      <c r="H69" s="13"/>
      <c r="I69" s="13"/>
      <c r="J69" s="13"/>
      <c r="K69" s="13"/>
      <c r="L69" s="13"/>
      <c r="M69" s="13"/>
      <c r="N69" s="13"/>
      <c r="O69" s="13"/>
      <c r="P69" s="139"/>
      <c r="Q69" s="253"/>
      <c r="R69" s="416"/>
    </row>
    <row r="70" spans="1:31" ht="13.5" customHeight="1">
      <c r="A70" s="37"/>
      <c r="B70" s="8081"/>
      <c r="C70" s="388"/>
      <c r="D70" s="16"/>
      <c r="E70" s="16"/>
      <c r="F70" s="16"/>
      <c r="G70" s="16"/>
      <c r="H70" s="17"/>
      <c r="I70" s="77"/>
      <c r="J70" s="8105" t="s">
        <v>568</v>
      </c>
      <c r="K70" s="8106"/>
      <c r="L70" s="8107"/>
      <c r="M70" s="8105" t="s">
        <v>569</v>
      </c>
      <c r="N70" s="8106"/>
      <c r="O70" s="8106"/>
      <c r="P70" s="139"/>
      <c r="Q70" s="253"/>
      <c r="R70" s="416"/>
    </row>
    <row r="71" spans="1:31" ht="13.5" customHeight="1">
      <c r="A71" s="37"/>
      <c r="B71" s="8081"/>
      <c r="C71" s="70" t="s">
        <v>372</v>
      </c>
      <c r="D71" s="76" t="str">
        <f>"At any time during "&amp;TaxYear&amp;", did you have interest in or a signature or other authority over a financial"</f>
        <v>At any time during 2025, did you have interest in or a signature or other authority over a financial</v>
      </c>
      <c r="E71" s="16"/>
      <c r="F71" s="16"/>
      <c r="G71" s="16"/>
      <c r="H71" s="17"/>
      <c r="I71" s="77"/>
      <c r="J71" s="786"/>
      <c r="K71" s="139"/>
      <c r="L71" s="787"/>
      <c r="M71" s="139"/>
      <c r="N71" s="139"/>
      <c r="O71" s="139"/>
      <c r="P71" s="139"/>
      <c r="Q71" s="253"/>
      <c r="R71" s="416"/>
    </row>
    <row r="72" spans="1:31" ht="9.75" customHeight="1">
      <c r="A72" s="37"/>
      <c r="B72" s="8082" t="s">
        <v>1940</v>
      </c>
      <c r="C72" s="61"/>
      <c r="D72" s="76" t="s">
        <v>1941</v>
      </c>
      <c r="E72" s="16"/>
      <c r="F72" s="16"/>
      <c r="G72" s="16"/>
      <c r="H72" s="17"/>
      <c r="I72" s="77"/>
      <c r="J72" s="231"/>
      <c r="K72" s="62"/>
      <c r="L72" s="77"/>
      <c r="M72" s="231"/>
      <c r="N72" s="62"/>
      <c r="O72" s="62"/>
      <c r="P72" s="139"/>
      <c r="Q72" s="253"/>
      <c r="R72" s="416"/>
    </row>
    <row r="73" spans="1:31" ht="9.75" customHeight="1">
      <c r="A73" s="37"/>
      <c r="B73" s="8082"/>
      <c r="C73" s="61"/>
      <c r="D73" s="76" t="s">
        <v>1942</v>
      </c>
      <c r="E73" s="16"/>
      <c r="F73" s="16"/>
      <c r="G73" s="16"/>
      <c r="H73" s="17"/>
      <c r="I73" s="230" t="s">
        <v>4906</v>
      </c>
      <c r="J73" s="231"/>
      <c r="K73" s="337"/>
      <c r="L73" s="77"/>
      <c r="M73" s="231"/>
      <c r="N73" s="337"/>
      <c r="O73" s="62"/>
      <c r="P73" s="139"/>
      <c r="Q73" s="253"/>
      <c r="R73" s="416"/>
    </row>
    <row r="74" spans="1:31" ht="11.25" customHeight="1">
      <c r="A74" s="37"/>
      <c r="B74" s="8082"/>
      <c r="C74" s="61"/>
      <c r="D74" s="16"/>
      <c r="E74" s="16"/>
      <c r="F74" s="16"/>
      <c r="G74" s="16"/>
      <c r="H74" s="17"/>
      <c r="I74" s="230"/>
      <c r="J74" s="789"/>
      <c r="K74" s="1529"/>
      <c r="L74" s="128"/>
      <c r="M74" s="789"/>
      <c r="N74" s="1529"/>
      <c r="O74" s="14"/>
      <c r="P74" s="139"/>
      <c r="Q74" s="253"/>
      <c r="R74" s="416"/>
    </row>
    <row r="75" spans="1:31" ht="10.5" customHeight="1">
      <c r="A75" s="37"/>
      <c r="B75" s="8082"/>
      <c r="C75" s="61"/>
      <c r="D75" s="76" t="s">
        <v>1943</v>
      </c>
      <c r="E75" s="16"/>
      <c r="F75" s="16"/>
      <c r="G75" s="16"/>
      <c r="H75" s="17"/>
      <c r="I75" s="230"/>
      <c r="J75" s="786"/>
      <c r="K75" s="139"/>
      <c r="L75" s="787"/>
      <c r="M75" s="139"/>
      <c r="N75" s="139"/>
      <c r="O75" s="139"/>
      <c r="P75" s="139"/>
      <c r="Q75" s="253"/>
      <c r="R75" s="416"/>
    </row>
    <row r="76" spans="1:31" ht="9.75" customHeight="1">
      <c r="A76" s="37"/>
      <c r="B76" s="8082"/>
      <c r="C76" s="61"/>
      <c r="D76" s="76" t="s">
        <v>1944</v>
      </c>
      <c r="E76" s="16"/>
      <c r="F76" s="16"/>
      <c r="G76" s="16"/>
      <c r="H76" s="17"/>
      <c r="I76" s="230"/>
      <c r="J76" s="231"/>
      <c r="K76" s="62"/>
      <c r="L76" s="77"/>
      <c r="M76" s="231"/>
      <c r="N76" s="62"/>
      <c r="O76" s="62"/>
      <c r="P76" s="139"/>
      <c r="Q76" s="253"/>
      <c r="R76" s="416"/>
    </row>
    <row r="77" spans="1:31" ht="9.75" customHeight="1">
      <c r="A77" s="37"/>
      <c r="B77" s="8082"/>
      <c r="C77" s="61"/>
      <c r="D77" s="76" t="s">
        <v>1945</v>
      </c>
      <c r="E77" s="16"/>
      <c r="F77" s="16"/>
      <c r="G77" s="16"/>
      <c r="H77" s="17"/>
      <c r="I77" s="230" t="s">
        <v>1128</v>
      </c>
      <c r="J77" s="231"/>
      <c r="K77" s="337"/>
      <c r="L77" s="77"/>
      <c r="M77" s="231"/>
      <c r="N77" s="337"/>
      <c r="O77" s="62"/>
      <c r="P77" s="139"/>
      <c r="Q77" s="253"/>
      <c r="R77" s="416"/>
    </row>
    <row r="78" spans="1:31" ht="5.25" customHeight="1">
      <c r="A78" s="37"/>
      <c r="B78" s="8082"/>
      <c r="C78" s="61"/>
      <c r="D78" s="16"/>
      <c r="E78" s="16"/>
      <c r="F78" s="16"/>
      <c r="G78" s="16"/>
      <c r="H78" s="17"/>
      <c r="I78" s="230"/>
      <c r="J78" s="789"/>
      <c r="K78" s="1529"/>
      <c r="L78" s="128"/>
      <c r="M78" s="789"/>
      <c r="N78" s="1529"/>
      <c r="O78" s="14"/>
      <c r="P78" s="139"/>
      <c r="Q78" s="253"/>
      <c r="R78" s="416"/>
    </row>
    <row r="79" spans="1:31" ht="12.75" customHeight="1">
      <c r="A79" s="37"/>
      <c r="B79" s="8082"/>
      <c r="C79" s="70" t="s">
        <v>592</v>
      </c>
      <c r="D79" s="76" t="s">
        <v>1946</v>
      </c>
      <c r="E79" s="16"/>
      <c r="F79" s="16"/>
      <c r="G79" s="16"/>
      <c r="H79" s="17"/>
      <c r="I79" s="230"/>
      <c r="J79" s="786"/>
      <c r="K79" s="139"/>
      <c r="L79" s="787"/>
      <c r="M79" s="139"/>
      <c r="N79" s="139"/>
      <c r="O79" s="139"/>
      <c r="P79" s="139"/>
      <c r="Q79" s="253"/>
      <c r="R79" s="416"/>
    </row>
    <row r="80" spans="1:31" ht="12" customHeight="1">
      <c r="A80" s="37"/>
      <c r="B80" s="8082"/>
      <c r="C80" s="70"/>
      <c r="D80" s="76" t="s">
        <v>5862</v>
      </c>
      <c r="E80" s="232"/>
      <c r="F80" s="8108"/>
      <c r="G80" s="8108"/>
      <c r="H80" s="8108"/>
      <c r="I80" s="8109"/>
      <c r="J80" s="786"/>
      <c r="K80" s="139"/>
      <c r="L80" s="787"/>
      <c r="M80" s="139"/>
      <c r="N80" s="139"/>
      <c r="O80" s="139"/>
      <c r="P80" s="139"/>
      <c r="Q80" s="253"/>
      <c r="R80" s="416"/>
    </row>
    <row r="81" spans="1:18" ht="12" customHeight="1">
      <c r="A81" s="37"/>
      <c r="B81" s="8082"/>
      <c r="C81" s="70"/>
      <c r="D81" s="8094"/>
      <c r="E81" s="8094"/>
      <c r="F81" s="8094"/>
      <c r="G81" s="8094"/>
      <c r="H81" s="8094"/>
      <c r="I81" s="8095"/>
      <c r="J81" s="786"/>
      <c r="K81" s="139"/>
      <c r="L81" s="787"/>
      <c r="M81" s="139"/>
      <c r="N81" s="139"/>
      <c r="O81" s="139"/>
      <c r="P81" s="139"/>
      <c r="Q81" s="253"/>
      <c r="R81" s="416"/>
    </row>
    <row r="82" spans="1:18" ht="15" customHeight="1">
      <c r="A82" s="37"/>
      <c r="B82" s="8082"/>
      <c r="C82" s="8092">
        <v>8</v>
      </c>
      <c r="D82" s="76" t="str">
        <f>"During "&amp;TaxYear&amp;", did you receive a distribution from, or were you the grantor of, or transferor to, a"</f>
        <v>During 2025, did you receive a distribution from, or were you the grantor of, or transferor to, a</v>
      </c>
      <c r="E82" s="16"/>
      <c r="F82" s="16"/>
      <c r="G82" s="16"/>
      <c r="H82" s="17"/>
      <c r="I82" s="77"/>
      <c r="J82" s="267"/>
      <c r="K82" s="268"/>
      <c r="L82" s="269"/>
      <c r="M82" s="267"/>
      <c r="N82" s="268"/>
      <c r="O82" s="268"/>
      <c r="P82" s="139"/>
      <c r="Q82" s="253"/>
      <c r="R82" s="416"/>
    </row>
    <row r="83" spans="1:18" ht="9.75" customHeight="1">
      <c r="A83" s="37"/>
      <c r="B83" s="8082"/>
      <c r="C83" s="8093"/>
      <c r="D83" s="76" t="s">
        <v>1947</v>
      </c>
      <c r="E83" s="16"/>
      <c r="F83" s="16"/>
      <c r="G83" s="16"/>
      <c r="H83" s="17"/>
      <c r="I83" s="230" t="s">
        <v>1948</v>
      </c>
      <c r="J83" s="231"/>
      <c r="K83" s="337"/>
      <c r="L83" s="77"/>
      <c r="M83" s="231"/>
      <c r="N83" s="337"/>
      <c r="O83" s="62"/>
      <c r="P83" s="139"/>
      <c r="Q83" s="253"/>
      <c r="R83" s="416"/>
    </row>
    <row r="84" spans="1:18" ht="5.25" customHeight="1" thickBot="1">
      <c r="A84" s="37"/>
      <c r="B84" s="8083"/>
      <c r="C84" s="265"/>
      <c r="D84" s="72"/>
      <c r="E84" s="72"/>
      <c r="F84" s="72"/>
      <c r="G84" s="72"/>
      <c r="H84" s="71"/>
      <c r="I84" s="1598"/>
      <c r="J84" s="266"/>
      <c r="K84" s="1599"/>
      <c r="L84" s="270"/>
      <c r="M84" s="266"/>
      <c r="N84" s="1600"/>
      <c r="O84" s="788"/>
      <c r="P84" s="139"/>
      <c r="Q84" s="253"/>
      <c r="R84" s="416"/>
    </row>
    <row r="85" spans="1:18" ht="13.5" customHeight="1">
      <c r="A85" s="37"/>
      <c r="B85" s="82" t="s">
        <v>865</v>
      </c>
      <c r="C85" s="73"/>
      <c r="D85" s="73"/>
      <c r="E85" s="73"/>
      <c r="F85" s="237" t="s">
        <v>1949</v>
      </c>
      <c r="G85" s="73"/>
      <c r="H85" s="73"/>
      <c r="I85" s="233" t="str">
        <f>"Schedule B (Form 1040)  "&amp;TaxYear</f>
        <v>Schedule B (Form 1040)  2025</v>
      </c>
      <c r="J85" s="233"/>
      <c r="K85" s="133"/>
      <c r="L85" s="111"/>
      <c r="M85" s="111"/>
      <c r="N85" s="111"/>
      <c r="O85" s="6478" t="s">
        <v>6370</v>
      </c>
      <c r="P85" s="139"/>
      <c r="Q85" s="253"/>
      <c r="R85" s="416"/>
    </row>
    <row r="86" spans="1:18" ht="9.75" customHeight="1">
      <c r="A86" s="37"/>
      <c r="B86" s="148"/>
      <c r="C86" s="148"/>
      <c r="D86" s="149"/>
      <c r="E86" s="149"/>
      <c r="F86" s="149"/>
      <c r="G86" s="149"/>
      <c r="H86" s="148"/>
      <c r="I86" s="150"/>
      <c r="J86" s="150"/>
      <c r="K86" s="150"/>
      <c r="L86" s="150"/>
      <c r="M86" s="150"/>
      <c r="N86" s="150"/>
      <c r="O86" s="150"/>
      <c r="P86" s="139"/>
      <c r="Q86" s="253"/>
      <c r="R86" s="416"/>
    </row>
    <row r="87" spans="1:18" ht="15" customHeight="1">
      <c r="A87" s="1"/>
      <c r="B87" s="1"/>
      <c r="C87" s="1"/>
      <c r="D87" s="3"/>
      <c r="E87" s="3"/>
      <c r="F87" s="3"/>
      <c r="G87" s="3"/>
      <c r="H87" s="1"/>
      <c r="I87" s="4"/>
      <c r="J87" s="4"/>
      <c r="K87" s="4"/>
      <c r="L87" s="4"/>
      <c r="M87" s="4"/>
      <c r="N87" s="4"/>
      <c r="O87" s="4"/>
    </row>
    <row r="88" spans="1:18">
      <c r="C88" s="1"/>
      <c r="D88" s="3"/>
      <c r="E88" s="3"/>
      <c r="F88" s="3"/>
      <c r="G88" s="3"/>
      <c r="H88" s="1"/>
      <c r="I88" s="4"/>
      <c r="J88" s="4"/>
      <c r="K88" s="4"/>
      <c r="L88" s="4"/>
      <c r="M88" s="4"/>
      <c r="N88" s="4"/>
      <c r="O88" s="4"/>
    </row>
    <row r="89" spans="1:18" ht="13.5" thickBot="1">
      <c r="B89" s="1"/>
      <c r="C89" s="1"/>
      <c r="D89" s="3"/>
      <c r="E89" s="3"/>
      <c r="F89" s="3"/>
      <c r="G89" s="3"/>
      <c r="H89" s="1"/>
      <c r="I89" s="4"/>
      <c r="J89" s="4"/>
      <c r="K89" s="4"/>
      <c r="L89" s="4"/>
      <c r="M89" s="4"/>
      <c r="N89" s="4"/>
      <c r="O89" s="4"/>
    </row>
    <row r="90" spans="1:18" ht="14.25" thickTop="1" thickBot="1">
      <c r="B90" s="1"/>
      <c r="C90" s="7255" t="s">
        <v>1950</v>
      </c>
      <c r="D90" s="8101"/>
      <c r="E90" s="8101"/>
      <c r="F90" s="8101"/>
      <c r="G90" s="8102"/>
      <c r="H90" s="1"/>
      <c r="I90" s="4"/>
      <c r="J90" s="4"/>
      <c r="K90" s="4"/>
      <c r="L90" s="4"/>
      <c r="M90" s="4"/>
      <c r="N90" s="4"/>
      <c r="O90" s="4"/>
    </row>
    <row r="91" spans="1:18" ht="14.25" thickTop="1" thickBot="1">
      <c r="B91" s="1"/>
      <c r="C91" s="1"/>
      <c r="D91" s="3"/>
      <c r="E91" s="3"/>
      <c r="F91" s="3"/>
      <c r="G91" s="3"/>
      <c r="H91" s="1"/>
      <c r="I91" s="4"/>
      <c r="J91" s="4"/>
      <c r="K91" s="4"/>
      <c r="L91" s="4"/>
      <c r="M91" s="4"/>
      <c r="N91" s="4"/>
      <c r="O91" s="4"/>
    </row>
    <row r="92" spans="1:18">
      <c r="C92" s="8037" t="s">
        <v>42</v>
      </c>
      <c r="D92" s="8038"/>
    </row>
    <row r="93" spans="1:18">
      <c r="C93" s="8039"/>
      <c r="D93" s="8040"/>
    </row>
    <row r="94" spans="1:18" ht="13.5" thickBot="1">
      <c r="C94" s="8041"/>
      <c r="D94" s="8042"/>
    </row>
  </sheetData>
  <sheetProtection algorithmName="SHA-512" hashValue="i4SGDuviepFykYc/KCYXOWkrG/w32L5KeAlFjVO4nH42Y/H6aQQ81k83xUJQirfSnRpCk2P2pE0Dt9DIb98TvA==" saltValue="YZRlPfdHT3r8o4ZKDUkzUQ==" spinCount="100000" sheet="1" objects="1" scenarios="1" formatCells="0" formatColumns="0" formatRows="0"/>
  <mergeCells count="103">
    <mergeCell ref="D36:G36"/>
    <mergeCell ref="D37:G37"/>
    <mergeCell ref="I56:O56"/>
    <mergeCell ref="D29:G29"/>
    <mergeCell ref="D30:G30"/>
    <mergeCell ref="I30:O30"/>
    <mergeCell ref="I31:O31"/>
    <mergeCell ref="Q14:R15"/>
    <mergeCell ref="I51:O51"/>
    <mergeCell ref="I48:O48"/>
    <mergeCell ref="I47:O47"/>
    <mergeCell ref="D31:G31"/>
    <mergeCell ref="I32:O32"/>
    <mergeCell ref="I33:O33"/>
    <mergeCell ref="I29:O29"/>
    <mergeCell ref="I35:O35"/>
    <mergeCell ref="I36:O36"/>
    <mergeCell ref="I38:O38"/>
    <mergeCell ref="I39:O39"/>
    <mergeCell ref="I40:O40"/>
    <mergeCell ref="I34:O34"/>
    <mergeCell ref="I44:O44"/>
    <mergeCell ref="I43:O43"/>
    <mergeCell ref="B31:B43"/>
    <mergeCell ref="B55:B66"/>
    <mergeCell ref="B46:B48"/>
    <mergeCell ref="I49:O49"/>
    <mergeCell ref="I50:O50"/>
    <mergeCell ref="I57:O57"/>
    <mergeCell ref="I58:O58"/>
    <mergeCell ref="D56:G56"/>
    <mergeCell ref="D57:G57"/>
    <mergeCell ref="D51:G51"/>
    <mergeCell ref="D32:G32"/>
    <mergeCell ref="D34:G34"/>
    <mergeCell ref="D35:G35"/>
    <mergeCell ref="D38:G38"/>
    <mergeCell ref="D39:G39"/>
    <mergeCell ref="D46:G46"/>
    <mergeCell ref="D48:G48"/>
    <mergeCell ref="D49:G49"/>
    <mergeCell ref="D33:G33"/>
    <mergeCell ref="I53:O53"/>
    <mergeCell ref="I52:O52"/>
    <mergeCell ref="I54:O54"/>
    <mergeCell ref="I45:O45"/>
    <mergeCell ref="I46:O46"/>
    <mergeCell ref="I13:O13"/>
    <mergeCell ref="D17:H17"/>
    <mergeCell ref="D16:H16"/>
    <mergeCell ref="D27:G27"/>
    <mergeCell ref="I28:O28"/>
    <mergeCell ref="D19:H19"/>
    <mergeCell ref="I14:O15"/>
    <mergeCell ref="I26:O26"/>
    <mergeCell ref="I27:O27"/>
    <mergeCell ref="I16:O17"/>
    <mergeCell ref="I24:O24"/>
    <mergeCell ref="D18:H18"/>
    <mergeCell ref="H20:O20"/>
    <mergeCell ref="H21:O21"/>
    <mergeCell ref="I22:O22"/>
    <mergeCell ref="I23:O23"/>
    <mergeCell ref="D26:G26"/>
    <mergeCell ref="D28:G28"/>
    <mergeCell ref="N18:O19"/>
    <mergeCell ref="C92:D94"/>
    <mergeCell ref="C90:G90"/>
    <mergeCell ref="D65:G65"/>
    <mergeCell ref="I66:O66"/>
    <mergeCell ref="I65:O65"/>
    <mergeCell ref="I63:O63"/>
    <mergeCell ref="I64:O64"/>
    <mergeCell ref="I59:O59"/>
    <mergeCell ref="I60:O60"/>
    <mergeCell ref="J70:L70"/>
    <mergeCell ref="M70:O70"/>
    <mergeCell ref="F80:I80"/>
    <mergeCell ref="I62:O62"/>
    <mergeCell ref="B69:B71"/>
    <mergeCell ref="B72:B84"/>
    <mergeCell ref="D47:G47"/>
    <mergeCell ref="D25:G25"/>
    <mergeCell ref="I25:O25"/>
    <mergeCell ref="E45:G45"/>
    <mergeCell ref="D50:G50"/>
    <mergeCell ref="D55:G55"/>
    <mergeCell ref="D52:G52"/>
    <mergeCell ref="D54:G54"/>
    <mergeCell ref="D53:G53"/>
    <mergeCell ref="D64:G64"/>
    <mergeCell ref="D58:G58"/>
    <mergeCell ref="D60:G60"/>
    <mergeCell ref="D61:G61"/>
    <mergeCell ref="D59:G59"/>
    <mergeCell ref="D63:G63"/>
    <mergeCell ref="D62:G62"/>
    <mergeCell ref="C82:C83"/>
    <mergeCell ref="D81:I81"/>
    <mergeCell ref="I61:O61"/>
    <mergeCell ref="I37:O37"/>
    <mergeCell ref="I42:O42"/>
    <mergeCell ref="I55:O55"/>
  </mergeCells>
  <phoneticPr fontId="13" type="noConversion"/>
  <conditionalFormatting sqref="B17">
    <cfRule type="expression" dxfId="2937" priority="9">
      <formula>NOT(Draft)</formula>
    </cfRule>
  </conditionalFormatting>
  <conditionalFormatting sqref="B21:O21">
    <cfRule type="expression" dxfId="2936" priority="67">
      <formula>IF(NoColor,1,0)</formula>
    </cfRule>
  </conditionalFormatting>
  <conditionalFormatting sqref="C3">
    <cfRule type="expression" dxfId="2935" priority="7">
      <formula>Sch.B_Reqd</formula>
    </cfRule>
  </conditionalFormatting>
  <conditionalFormatting sqref="C44">
    <cfRule type="expression" dxfId="2934" priority="71" stopIfTrue="1">
      <formula>$G$44</formula>
    </cfRule>
  </conditionalFormatting>
  <conditionalFormatting sqref="C67:D67">
    <cfRule type="expression" dxfId="2933" priority="68" stopIfTrue="1">
      <formula>IF($G$67,1,0)</formula>
    </cfRule>
  </conditionalFormatting>
  <conditionalFormatting sqref="D15">
    <cfRule type="expression" dxfId="2932" priority="8">
      <formula>NOT(Draft)</formula>
    </cfRule>
  </conditionalFormatting>
  <conditionalFormatting sqref="D44">
    <cfRule type="expression" dxfId="2931" priority="70" stopIfTrue="1">
      <formula>IF($G$44,TRUE,FALSE)</formula>
    </cfRule>
  </conditionalFormatting>
  <conditionalFormatting sqref="D25:G39">
    <cfRule type="expression" dxfId="2930" priority="27">
      <formula>IF(NoColor,1,0)</formula>
    </cfRule>
  </conditionalFormatting>
  <conditionalFormatting sqref="D46:G65">
    <cfRule type="expression" dxfId="2929" priority="10">
      <formula>IF(NoColor,1,0)</formula>
    </cfRule>
  </conditionalFormatting>
  <conditionalFormatting sqref="E45:G45">
    <cfRule type="expression" dxfId="2928" priority="61">
      <formula>IF(NoColor,1,0)</formula>
    </cfRule>
  </conditionalFormatting>
  <conditionalFormatting sqref="F80">
    <cfRule type="expression" dxfId="2927" priority="52">
      <formula>IF(NoColor,1,0)</formula>
    </cfRule>
  </conditionalFormatting>
  <conditionalFormatting sqref="I25:I39">
    <cfRule type="expression" dxfId="2926" priority="11">
      <formula>IF(R25&lt;&gt;0,TRUE,FALSE)</formula>
    </cfRule>
  </conditionalFormatting>
  <conditionalFormatting sqref="I45:I65">
    <cfRule type="expression" dxfId="2925" priority="4">
      <formula>IF(R45&lt;&gt;0,1,0)</formula>
    </cfRule>
  </conditionalFormatting>
  <conditionalFormatting sqref="I25:O40">
    <cfRule type="expression" dxfId="2924" priority="12">
      <formula>IF(NoColor,1,0)</formula>
    </cfRule>
  </conditionalFormatting>
  <conditionalFormatting sqref="I42:O43">
    <cfRule type="expression" dxfId="2923" priority="63">
      <formula>IF(NoColor,1,0)</formula>
    </cfRule>
  </conditionalFormatting>
  <conditionalFormatting sqref="I45:O66">
    <cfRule type="expression" dxfId="2922" priority="5">
      <formula>IF(NoColor,1,0)</formula>
    </cfRule>
  </conditionalFormatting>
  <conditionalFormatting sqref="J25:O39">
    <cfRule type="expression" dxfId="2921" priority="13">
      <formula>IF(#REF!&lt;&gt;0,TRUE,FALSE)</formula>
    </cfRule>
  </conditionalFormatting>
  <conditionalFormatting sqref="J45:O65">
    <cfRule type="expression" dxfId="2920" priority="6">
      <formula>IF(#REF!&lt;&gt;0,1,0)</formula>
    </cfRule>
  </conditionalFormatting>
  <conditionalFormatting sqref="K73">
    <cfRule type="expression" dxfId="2919" priority="58">
      <formula>IF(NoColor,1,0)</formula>
    </cfRule>
  </conditionalFormatting>
  <conditionalFormatting sqref="K77">
    <cfRule type="expression" dxfId="2918" priority="56">
      <formula>IF(NoColor,1,0)</formula>
    </cfRule>
  </conditionalFormatting>
  <conditionalFormatting sqref="K83">
    <cfRule type="expression" dxfId="2917" priority="54">
      <formula>IF(NoColor,1,0)</formula>
    </cfRule>
  </conditionalFormatting>
  <conditionalFormatting sqref="N73">
    <cfRule type="expression" dxfId="2916" priority="57">
      <formula>IF(NoColor,1,0)</formula>
    </cfRule>
  </conditionalFormatting>
  <conditionalFormatting sqref="N77">
    <cfRule type="expression" dxfId="2915" priority="55">
      <formula>IF(NoColor,1,0)</formula>
    </cfRule>
  </conditionalFormatting>
  <conditionalFormatting sqref="N83">
    <cfRule type="expression" dxfId="2914" priority="53">
      <formula>IF(NoColor,1,0)</formula>
    </cfRule>
  </conditionalFormatting>
  <hyperlinks>
    <hyperlink ref="C90:G90" r:id="rId1" display="Download Form 1040 Schedules A&amp;B" xr:uid="{00000000-0004-0000-1C00-000000000000}"/>
    <hyperlink ref="C92:D94" location="'Table of Contents'!A1" display="Table of Contents" xr:uid="{00000000-0004-0000-1C00-000001000000}"/>
  </hyperlinks>
  <pageMargins left="0.75" right="0.25" top="0.36" bottom="0.28999999999999998" header="0.36" footer="0.21"/>
  <pageSetup scale="85" orientation="portrait" r:id="rId2"/>
  <extLst>
    <ext xmlns:x14="http://schemas.microsoft.com/office/spreadsheetml/2009/9/main" uri="{78C0D931-6437-407d-A8EE-F0AAD7539E65}">
      <x14:conditionalFormattings>
        <x14:conditionalFormatting xmlns:xm="http://schemas.microsoft.com/office/excel/2006/main">
          <x14:cfRule type="expression" priority="2" id="{5D8847BE-AEA3-4789-AFCC-E078CD3B2C66}">
            <xm:f>'Table of Contents'!A34="D"</xm:f>
            <x14:dxf>
              <fill>
                <patternFill>
                  <bgColor theme="0"/>
                </patternFill>
              </fill>
              <border>
                <right style="thin">
                  <color auto="1"/>
                </right>
                <top style="thin">
                  <color auto="1"/>
                </top>
                <bottom style="thin">
                  <color auto="1"/>
                </bottom>
                <vertical/>
                <horizontal/>
              </border>
            </x14:dxf>
          </x14:cfRule>
          <xm:sqref>P15</xm:sqref>
        </x14:conditionalFormatting>
      </x14:conditionalFormatting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7">
    <pageSetUpPr fitToPage="1"/>
  </sheetPr>
  <dimension ref="A1:AM239"/>
  <sheetViews>
    <sheetView topLeftCell="A107" zoomScaleNormal="100" zoomScaleSheetLayoutView="100" workbookViewId="0">
      <selection activeCell="Q137" sqref="Q137"/>
    </sheetView>
  </sheetViews>
  <sheetFormatPr defaultRowHeight="12.75"/>
  <cols>
    <col min="1" max="1" width="2" customWidth="1"/>
    <col min="2" max="2" width="7" customWidth="1"/>
    <col min="3" max="3" width="14" customWidth="1"/>
    <col min="4" max="4" width="9.7109375" customWidth="1"/>
    <col min="5" max="5" width="3" customWidth="1"/>
    <col min="6" max="6" width="4.85546875" customWidth="1"/>
    <col min="7" max="7" width="3.5703125" customWidth="1"/>
    <col min="8" max="8" width="4" customWidth="1"/>
    <col min="9" max="9" width="14.7109375" customWidth="1"/>
    <col min="10" max="10" width="3" customWidth="1"/>
    <col min="11" max="11" width="3.42578125" customWidth="1"/>
    <col min="12" max="12" width="10.85546875" customWidth="1"/>
    <col min="13" max="19" width="4.5703125" customWidth="1"/>
    <col min="20" max="20" width="4.42578125" customWidth="1"/>
    <col min="21" max="21" width="11" customWidth="1"/>
    <col min="22" max="22" width="2.85546875" customWidth="1"/>
    <col min="23" max="23" width="14.85546875" customWidth="1"/>
    <col min="24" max="24" width="2.5703125" style="502" customWidth="1"/>
    <col min="25" max="25" width="10.7109375" customWidth="1"/>
    <col min="26" max="26" width="33" customWidth="1"/>
    <col min="27" max="27" width="12.28515625" customWidth="1"/>
    <col min="28" max="28" width="20" bestFit="1" customWidth="1"/>
    <col min="29" max="39" width="10.7109375" style="658" customWidth="1"/>
    <col min="40" max="41" width="10.7109375" customWidth="1"/>
  </cols>
  <sheetData>
    <row r="1" spans="1:29" ht="21.75" customHeight="1">
      <c r="A1" s="139"/>
      <c r="B1" s="139"/>
      <c r="C1" s="139"/>
      <c r="D1" s="139"/>
      <c r="E1" s="139"/>
      <c r="F1" s="844" t="s">
        <v>1951</v>
      </c>
      <c r="G1" s="139"/>
      <c r="H1" s="139"/>
      <c r="I1" s="139"/>
      <c r="J1" s="139"/>
      <c r="K1" s="139"/>
      <c r="L1" s="139"/>
      <c r="M1" s="139"/>
      <c r="N1" s="139"/>
      <c r="O1" s="139"/>
      <c r="P1" s="139"/>
      <c r="Q1" s="139"/>
      <c r="R1" s="8230" t="str">
        <f>IF('Table of Contents'!A35="D","DRAFT","")</f>
        <v/>
      </c>
      <c r="S1" s="8230"/>
      <c r="T1" s="8230"/>
      <c r="U1" s="8230"/>
      <c r="V1" s="139"/>
      <c r="W1" s="2875"/>
      <c r="X1" s="5233"/>
      <c r="AC1" s="657" t="s">
        <v>223</v>
      </c>
    </row>
    <row r="2" spans="1:29" ht="20.25" customHeight="1">
      <c r="A2" s="139"/>
      <c r="B2" s="3574" t="s">
        <v>1952</v>
      </c>
      <c r="C2" s="5234"/>
      <c r="D2" s="5235"/>
      <c r="E2" s="2754"/>
      <c r="F2" s="5236"/>
      <c r="G2" s="5237"/>
      <c r="H2" s="5237"/>
      <c r="I2" s="5228" t="s">
        <v>1953</v>
      </c>
      <c r="J2" s="2756"/>
      <c r="K2" s="2756"/>
      <c r="L2" s="3097"/>
      <c r="M2" s="2756"/>
      <c r="N2" s="5237"/>
      <c r="O2" s="5237"/>
      <c r="P2" s="4240"/>
      <c r="Q2" s="5238"/>
      <c r="R2" s="8167" t="str">
        <f>IF(AND(V2="",'Table of Contents'!A35="D"),"DRAFT","OMB No. 1545-0074")</f>
        <v>OMB No. 1545-0074</v>
      </c>
      <c r="S2" s="8168"/>
      <c r="T2" s="8168"/>
      <c r="U2" s="8168"/>
      <c r="V2" s="805"/>
      <c r="W2" s="5239" t="s">
        <v>1954</v>
      </c>
      <c r="X2" s="1846" t="str">
        <f>IF(X3&lt;&gt;"","","X")</f>
        <v>X</v>
      </c>
      <c r="Y2" s="304" t="b">
        <f>X2&lt;&gt;""</f>
        <v>1</v>
      </c>
      <c r="Z2" s="1224"/>
      <c r="AA2" s="1224"/>
      <c r="AB2" s="1224"/>
    </row>
    <row r="3" spans="1:29" ht="18.75" customHeight="1">
      <c r="A3" s="139"/>
      <c r="B3" s="3662" t="s">
        <v>1815</v>
      </c>
      <c r="C3" s="5234"/>
      <c r="D3" s="5240"/>
      <c r="E3" s="2754"/>
      <c r="F3" s="2754"/>
      <c r="G3" s="2754"/>
      <c r="H3" s="5241"/>
      <c r="I3" s="5229" t="s">
        <v>1955</v>
      </c>
      <c r="J3" s="2995"/>
      <c r="K3" s="2995"/>
      <c r="L3" s="2754"/>
      <c r="M3" s="3627"/>
      <c r="N3" s="5241"/>
      <c r="O3" s="5241"/>
      <c r="P3" s="4240"/>
      <c r="Q3" s="2754"/>
      <c r="R3" s="8169">
        <f>TaxYear</f>
        <v>2025</v>
      </c>
      <c r="S3" s="8122"/>
      <c r="T3" s="8170"/>
      <c r="U3" s="7850"/>
      <c r="V3" s="139"/>
      <c r="W3" s="5239" t="s">
        <v>1956</v>
      </c>
      <c r="X3" s="299"/>
      <c r="Y3" s="304" t="b">
        <f>X3&lt;&gt;""</f>
        <v>0</v>
      </c>
    </row>
    <row r="4" spans="1:29" ht="12" customHeight="1">
      <c r="A4" s="139"/>
      <c r="B4" s="8171" t="s">
        <v>1957</v>
      </c>
      <c r="C4" s="8172"/>
      <c r="D4" s="8185" t="s">
        <v>1961</v>
      </c>
      <c r="E4" s="7250"/>
      <c r="F4" s="7250"/>
      <c r="G4" s="7250"/>
      <c r="H4" s="7250"/>
      <c r="I4" s="7250"/>
      <c r="J4" s="7250"/>
      <c r="K4" s="7250"/>
      <c r="L4" s="7250"/>
      <c r="M4" s="7250"/>
      <c r="N4" s="7250"/>
      <c r="O4" s="7250"/>
      <c r="P4" s="7250"/>
      <c r="Q4" s="8186"/>
      <c r="R4" s="8188" t="s">
        <v>1959</v>
      </c>
      <c r="S4" s="8189"/>
      <c r="T4" s="8189"/>
      <c r="U4" s="8192" t="s">
        <v>1960</v>
      </c>
      <c r="V4" s="139"/>
      <c r="W4" s="2875"/>
      <c r="X4" s="5233"/>
    </row>
    <row r="5" spans="1:29" ht="11.25" customHeight="1">
      <c r="A5" s="139"/>
      <c r="B5" s="8173"/>
      <c r="C5" s="8174"/>
      <c r="D5" s="8175" t="s">
        <v>1958</v>
      </c>
      <c r="E5" s="7273"/>
      <c r="F5" s="7273"/>
      <c r="G5" s="7273"/>
      <c r="H5" s="7273"/>
      <c r="I5" s="7273"/>
      <c r="J5" s="7273"/>
      <c r="K5" s="7273"/>
      <c r="L5" s="7273"/>
      <c r="M5" s="7273"/>
      <c r="N5" s="7273"/>
      <c r="O5" s="7273"/>
      <c r="P5" s="7273"/>
      <c r="Q5" s="8197"/>
      <c r="R5" s="8190"/>
      <c r="S5" s="8191"/>
      <c r="T5" s="8191"/>
      <c r="U5" s="8193"/>
      <c r="V5" s="139"/>
      <c r="W5" s="8221" t="str">
        <f>IF(Y11,"Invalid selection.",IF(AND(NOT(Y6),NOT(Y8),NOT(Y10)),"Indicate which "&amp;CHAR(10)&amp;"Sch. SE is to be linked to this form.",IF(AND(Y6,Y8),"This Sch. C is linked to both "&amp;CHAR(10)&amp;"Sch. SEs",IF(Y6,"This Sch. C is linked to the first "&amp;CHAR(10)&amp;"Sch. SE",IF(Y8,"This Sch. C is linked to the second "&amp;CHAR(10)&amp;"Sch. SE",IF(Y10,"This Sch. C is not linked to either Sch. SE.",""))))))</f>
        <v>This Sch. C is linked to the first 
Sch. SE</v>
      </c>
      <c r="X5" s="299" t="s">
        <v>2119</v>
      </c>
      <c r="Y5" s="329" t="s">
        <v>1963</v>
      </c>
      <c r="Z5" s="329"/>
      <c r="AA5" s="329"/>
      <c r="AB5" s="329"/>
    </row>
    <row r="6" spans="1:29" ht="12" customHeight="1">
      <c r="A6" s="139"/>
      <c r="B6" s="3627" t="s">
        <v>1964</v>
      </c>
      <c r="C6" s="2754"/>
      <c r="D6" s="2754"/>
      <c r="E6" s="2754"/>
      <c r="F6" s="2755"/>
      <c r="G6" s="2755"/>
      <c r="H6" s="2756"/>
      <c r="I6" s="2753"/>
      <c r="J6" s="2753"/>
      <c r="K6" s="2753"/>
      <c r="L6" s="5242"/>
      <c r="M6" s="5243" t="s">
        <v>1965</v>
      </c>
      <c r="N6" s="2756"/>
      <c r="O6" s="2756"/>
      <c r="P6" s="2756"/>
      <c r="Q6" s="2755"/>
      <c r="R6" s="2755"/>
      <c r="S6" s="2755"/>
      <c r="T6" s="2755"/>
      <c r="U6" s="2755"/>
      <c r="V6" s="139"/>
      <c r="W6" s="8221"/>
      <c r="X6" s="5233"/>
      <c r="Y6" s="304" t="b">
        <f>(X5&lt;&gt;"")</f>
        <v>1</v>
      </c>
      <c r="Z6" s="304"/>
      <c r="AA6" s="304"/>
      <c r="AB6" s="304"/>
    </row>
    <row r="7" spans="1:29" ht="14.25" customHeight="1" thickBot="1">
      <c r="A7" s="139"/>
      <c r="B7" s="8200"/>
      <c r="C7" s="8200"/>
      <c r="D7" s="8200"/>
      <c r="E7" s="8200"/>
      <c r="F7" s="8200"/>
      <c r="G7" s="8200"/>
      <c r="H7" s="8200"/>
      <c r="I7" s="8200"/>
      <c r="J7" s="8200"/>
      <c r="K7" s="8200"/>
      <c r="L7" s="8201"/>
      <c r="M7" s="8194">
        <f>IF(AND(SS_Yours&lt;&gt;"",X2&lt;&gt;""),SS_Yours,IF(SS_Spouse&lt;&gt;"",SS_Spouse,1))</f>
        <v>1010001</v>
      </c>
      <c r="N7" s="8195"/>
      <c r="O7" s="8195"/>
      <c r="P7" s="8195"/>
      <c r="Q7" s="8195"/>
      <c r="R7" s="8195"/>
      <c r="S7" s="8195"/>
      <c r="T7" s="8195"/>
      <c r="U7" s="8195"/>
      <c r="V7" s="139"/>
      <c r="W7" s="8221"/>
      <c r="X7" s="299"/>
      <c r="Y7" s="329" t="s">
        <v>1966</v>
      </c>
      <c r="Z7" s="329"/>
      <c r="AA7" s="329"/>
      <c r="AB7" s="329"/>
    </row>
    <row r="8" spans="1:29" ht="12.75" customHeight="1" thickTop="1">
      <c r="A8" s="139"/>
      <c r="B8" s="2826" t="s">
        <v>510</v>
      </c>
      <c r="C8" s="3627" t="s">
        <v>1967</v>
      </c>
      <c r="D8" s="3627"/>
      <c r="E8" s="2754"/>
      <c r="F8" s="2755"/>
      <c r="G8" s="2755"/>
      <c r="H8" s="2756"/>
      <c r="I8" s="2753"/>
      <c r="J8" s="2753"/>
      <c r="K8" s="2753"/>
      <c r="L8" s="2756"/>
      <c r="M8" s="5244" t="s">
        <v>1968</v>
      </c>
      <c r="N8" s="3555"/>
      <c r="O8" s="3555"/>
      <c r="P8" s="3555"/>
      <c r="Q8" s="3554"/>
      <c r="R8" s="3554"/>
      <c r="S8" s="3554"/>
      <c r="T8" s="3554"/>
      <c r="U8" s="5245"/>
      <c r="V8" s="139"/>
      <c r="W8" s="8221"/>
      <c r="X8" s="5233"/>
      <c r="Y8" s="304" t="b">
        <f>(X7&lt;&gt;"")</f>
        <v>0</v>
      </c>
      <c r="Z8" s="304"/>
      <c r="AA8" s="304"/>
      <c r="AB8" s="304"/>
    </row>
    <row r="9" spans="1:29" ht="12.75" customHeight="1" thickBot="1">
      <c r="A9" s="139"/>
      <c r="B9" s="8202"/>
      <c r="C9" s="8202"/>
      <c r="D9" s="8202"/>
      <c r="E9" s="8202"/>
      <c r="F9" s="8202"/>
      <c r="G9" s="8202"/>
      <c r="H9" s="8202"/>
      <c r="I9" s="8202"/>
      <c r="J9" s="8202"/>
      <c r="K9" s="8202"/>
      <c r="L9" s="8203"/>
      <c r="M9" s="5246"/>
      <c r="N9" s="1659"/>
      <c r="O9" s="1659"/>
      <c r="P9" s="1659"/>
      <c r="Q9" s="1659"/>
      <c r="R9" s="1659"/>
      <c r="S9" s="1659"/>
      <c r="T9" s="5247"/>
      <c r="U9" s="5248"/>
      <c r="V9" s="139"/>
      <c r="W9" s="8221"/>
      <c r="X9" s="299"/>
      <c r="Y9" s="329" t="s">
        <v>1969</v>
      </c>
      <c r="Z9" s="329"/>
      <c r="AA9" s="329"/>
      <c r="AB9" s="329"/>
    </row>
    <row r="10" spans="1:29" ht="12" customHeight="1" thickTop="1">
      <c r="A10" s="139"/>
      <c r="B10" s="2826" t="s">
        <v>518</v>
      </c>
      <c r="C10" s="3627" t="s">
        <v>1970</v>
      </c>
      <c r="D10" s="3627"/>
      <c r="E10" s="2754"/>
      <c r="F10" s="2755"/>
      <c r="G10" s="2755"/>
      <c r="H10" s="2756"/>
      <c r="I10" s="2753"/>
      <c r="J10" s="2753"/>
      <c r="K10" s="2753"/>
      <c r="L10" s="5242"/>
      <c r="M10" s="5249" t="s">
        <v>1971</v>
      </c>
      <c r="N10" s="2756"/>
      <c r="O10" s="2756"/>
      <c r="P10" s="2756"/>
      <c r="Q10" s="2755"/>
      <c r="R10" s="2755"/>
      <c r="S10" s="2755"/>
      <c r="T10" s="2755"/>
      <c r="U10" s="2755"/>
      <c r="V10" s="139"/>
      <c r="W10" s="2875"/>
      <c r="X10" s="5233"/>
      <c r="Y10" s="304" t="b">
        <f>(X9&lt;&gt;"")</f>
        <v>0</v>
      </c>
      <c r="Z10" s="304"/>
      <c r="AA10" s="304"/>
      <c r="AB10" s="304"/>
    </row>
    <row r="11" spans="1:29" ht="14.25" customHeight="1">
      <c r="A11" s="139"/>
      <c r="B11" s="8202"/>
      <c r="C11" s="8202"/>
      <c r="D11" s="8202"/>
      <c r="E11" s="8202"/>
      <c r="F11" s="8202"/>
      <c r="G11" s="8202"/>
      <c r="H11" s="8202"/>
      <c r="I11" s="8202"/>
      <c r="J11" s="8202"/>
      <c r="K11" s="8202"/>
      <c r="L11" s="8204"/>
      <c r="M11" s="284"/>
      <c r="N11" s="285"/>
      <c r="O11" s="286"/>
      <c r="P11" s="284"/>
      <c r="Q11" s="284"/>
      <c r="R11" s="284"/>
      <c r="S11" s="284"/>
      <c r="T11" s="1601"/>
      <c r="U11" s="1795"/>
      <c r="V11" s="139"/>
      <c r="W11" s="2875"/>
      <c r="X11" s="5233"/>
      <c r="Y11" s="304" t="b">
        <f>OR(AND(Y6,Y10),AND(Y8,Y10))</f>
        <v>0</v>
      </c>
      <c r="Z11" s="304"/>
      <c r="AA11" s="304"/>
      <c r="AB11" s="304"/>
    </row>
    <row r="12" spans="1:29" ht="11.25" customHeight="1">
      <c r="A12" s="139"/>
      <c r="B12" s="2826" t="s">
        <v>524</v>
      </c>
      <c r="C12" s="3627" t="s">
        <v>1972</v>
      </c>
      <c r="D12" s="3627"/>
      <c r="E12" s="2754"/>
      <c r="F12" s="2755"/>
      <c r="G12" s="2755"/>
      <c r="H12" s="5250"/>
      <c r="I12" s="8205"/>
      <c r="J12" s="8205"/>
      <c r="K12" s="8205"/>
      <c r="L12" s="8205"/>
      <c r="M12" s="8205"/>
      <c r="N12" s="8205"/>
      <c r="O12" s="8205"/>
      <c r="P12" s="8205"/>
      <c r="Q12" s="8205"/>
      <c r="R12" s="8205"/>
      <c r="S12" s="8205"/>
      <c r="T12" s="8205"/>
      <c r="U12" s="8205"/>
      <c r="V12" s="139"/>
      <c r="W12" s="2875"/>
      <c r="X12" s="5233"/>
    </row>
    <row r="13" spans="1:29" ht="11.25" customHeight="1">
      <c r="A13" s="139"/>
      <c r="B13" s="5251"/>
      <c r="C13" s="5212" t="s">
        <v>1973</v>
      </c>
      <c r="D13" s="5212"/>
      <c r="E13" s="5101"/>
      <c r="F13" s="3565"/>
      <c r="G13" s="3565"/>
      <c r="H13" s="3565"/>
      <c r="I13" s="8213"/>
      <c r="J13" s="8213"/>
      <c r="K13" s="8213"/>
      <c r="L13" s="8213"/>
      <c r="M13" s="8213"/>
      <c r="N13" s="8213"/>
      <c r="O13" s="8213"/>
      <c r="P13" s="8213"/>
      <c r="Q13" s="8213"/>
      <c r="R13" s="8213"/>
      <c r="S13" s="8213"/>
      <c r="T13" s="8213"/>
      <c r="U13" s="8213"/>
      <c r="V13" s="139"/>
      <c r="W13" s="2875"/>
      <c r="X13" s="5233"/>
    </row>
    <row r="14" spans="1:29" ht="3" customHeight="1" thickBot="1">
      <c r="A14" s="139"/>
      <c r="B14" s="5252"/>
      <c r="C14" s="3627"/>
      <c r="D14" s="3627"/>
      <c r="E14" s="2754"/>
      <c r="F14" s="2755"/>
      <c r="G14" s="2755"/>
      <c r="H14" s="2755"/>
      <c r="I14" s="1602"/>
      <c r="J14" s="238"/>
      <c r="K14" s="5253"/>
      <c r="L14" s="239"/>
      <c r="M14" s="239"/>
      <c r="N14" s="239"/>
      <c r="O14" s="239"/>
      <c r="P14" s="239"/>
      <c r="Q14" s="239"/>
      <c r="R14" s="239"/>
      <c r="S14" s="239"/>
      <c r="T14" s="239"/>
      <c r="U14" s="239"/>
      <c r="V14" s="139"/>
      <c r="W14" s="2875"/>
      <c r="X14" s="5233"/>
    </row>
    <row r="15" spans="1:29" ht="14.25" customHeight="1" thickBot="1">
      <c r="A15" s="139"/>
      <c r="B15" s="3599" t="s">
        <v>1974</v>
      </c>
      <c r="C15" s="3627" t="s">
        <v>1975</v>
      </c>
      <c r="D15" s="3627"/>
      <c r="E15" s="282"/>
      <c r="F15" s="5254" t="s">
        <v>1976</v>
      </c>
      <c r="G15" s="2768" t="str">
        <f>"(2) "</f>
        <v xml:space="preserve">(2) </v>
      </c>
      <c r="H15" s="282"/>
      <c r="I15" s="3627" t="s">
        <v>1977</v>
      </c>
      <c r="J15" s="2768" t="str">
        <f>"(3) "</f>
        <v xml:space="preserve">(3) </v>
      </c>
      <c r="K15" s="282"/>
      <c r="L15" s="3627" t="s">
        <v>1978</v>
      </c>
      <c r="M15" s="3627"/>
      <c r="N15" s="8196"/>
      <c r="O15" s="7638"/>
      <c r="P15" s="7638"/>
      <c r="Q15" s="7638"/>
      <c r="R15" s="7638"/>
      <c r="S15" s="7638"/>
      <c r="T15" s="7638"/>
      <c r="U15" s="7638"/>
      <c r="V15" s="139"/>
      <c r="W15" s="2875"/>
      <c r="X15" s="5233"/>
    </row>
    <row r="16" spans="1:29" ht="3.75" customHeight="1" thickBot="1">
      <c r="A16" s="139"/>
      <c r="B16" s="2826"/>
      <c r="C16" s="3627"/>
      <c r="D16" s="3627"/>
      <c r="E16" s="1603"/>
      <c r="F16" s="2755"/>
      <c r="G16" s="2768"/>
      <c r="H16" s="1604"/>
      <c r="I16" s="3627"/>
      <c r="J16" s="3016"/>
      <c r="K16" s="1604"/>
      <c r="L16" s="3627"/>
      <c r="M16" s="3627"/>
      <c r="N16" s="5255"/>
      <c r="O16" s="1605"/>
      <c r="P16" s="1605"/>
      <c r="Q16" s="1605"/>
      <c r="R16" s="1605"/>
      <c r="S16" s="1605"/>
      <c r="T16" s="1605"/>
      <c r="U16" s="1605"/>
      <c r="V16" s="139"/>
      <c r="W16" s="2875"/>
      <c r="X16" s="5233"/>
    </row>
    <row r="17" spans="1:28" ht="12.75" customHeight="1" thickBot="1">
      <c r="A17" s="139"/>
      <c r="B17" s="2826" t="s">
        <v>1979</v>
      </c>
      <c r="C17" s="3627" t="str">
        <f>"Did you 'materially participate' in the operation of this business during "&amp;TaxYear&amp;"? If 'No,' see instructions for limit on losses."</f>
        <v>Did you 'materially participate' in the operation of this business during 2025? If 'No,' see instructions for limit on losses.</v>
      </c>
      <c r="D17" s="2753"/>
      <c r="E17" s="2755"/>
      <c r="F17" s="2755"/>
      <c r="G17" s="2768"/>
      <c r="H17" s="2755"/>
      <c r="I17" s="3627"/>
      <c r="J17" s="3016"/>
      <c r="K17" s="3016"/>
      <c r="L17" s="2755"/>
      <c r="M17" s="3627"/>
      <c r="N17" s="2755"/>
      <c r="O17" s="2755"/>
      <c r="P17" s="2755"/>
      <c r="Q17" s="2755"/>
      <c r="R17" s="282"/>
      <c r="S17" s="2995" t="s">
        <v>568</v>
      </c>
      <c r="T17" s="282"/>
      <c r="U17" s="2995" t="s">
        <v>569</v>
      </c>
      <c r="V17" s="139"/>
      <c r="W17" s="2875"/>
      <c r="X17" s="5233"/>
    </row>
    <row r="18" spans="1:28" ht="12.75" customHeight="1" thickBot="1">
      <c r="A18" s="139"/>
      <c r="B18" s="2826" t="s">
        <v>1980</v>
      </c>
      <c r="C18" s="3627" t="str">
        <f>"If you started or acquired this business during "&amp;TaxYear&amp;", check here"</f>
        <v>If you started or acquired this business during 2025, check here</v>
      </c>
      <c r="D18" s="3627"/>
      <c r="E18" s="2754"/>
      <c r="F18" s="2755"/>
      <c r="G18" s="2755"/>
      <c r="H18" s="5255"/>
      <c r="I18" s="5256"/>
      <c r="J18" s="5256"/>
      <c r="K18" s="5256"/>
      <c r="L18" s="5255"/>
      <c r="M18" s="5256"/>
      <c r="N18" s="5255"/>
      <c r="O18" s="5255"/>
      <c r="P18" s="5255"/>
      <c r="Q18" s="3016" t="s">
        <v>793</v>
      </c>
      <c r="R18" s="282"/>
      <c r="S18" s="3016"/>
      <c r="T18" s="241"/>
      <c r="U18" s="2755"/>
      <c r="V18" s="139"/>
      <c r="W18" s="2875"/>
      <c r="X18" s="5233"/>
    </row>
    <row r="19" spans="1:28" ht="12.75" customHeight="1" thickBot="1">
      <c r="A19" s="139"/>
      <c r="B19" s="2826" t="s">
        <v>1981</v>
      </c>
      <c r="C19" s="3627" t="str">
        <f>"Did you make any payments in "&amp;TaxYear&amp;" that would require you to file Form(s) 1099? (see instructions) "</f>
        <v xml:space="preserve">Did you make any payments in 2025 that would require you to file Form(s) 1099? (see instructions) </v>
      </c>
      <c r="D19" s="2753"/>
      <c r="E19" s="2755"/>
      <c r="F19" s="2755"/>
      <c r="G19" s="2768"/>
      <c r="H19" s="2755"/>
      <c r="I19" s="3627"/>
      <c r="J19" s="3016"/>
      <c r="K19" s="3016"/>
      <c r="L19" s="2755"/>
      <c r="M19" s="3627"/>
      <c r="N19" s="2755"/>
      <c r="O19" s="2755"/>
      <c r="P19" s="2755"/>
      <c r="Q19" s="3016" t="s">
        <v>1838</v>
      </c>
      <c r="R19" s="282"/>
      <c r="S19" s="2995" t="s">
        <v>568</v>
      </c>
      <c r="T19" s="282"/>
      <c r="U19" s="2995" t="s">
        <v>569</v>
      </c>
      <c r="V19" s="139"/>
      <c r="W19" s="2875"/>
      <c r="X19" s="5233"/>
    </row>
    <row r="20" spans="1:28" ht="12.75" customHeight="1" thickBot="1">
      <c r="A20" s="139"/>
      <c r="B20" s="2826" t="s">
        <v>1982</v>
      </c>
      <c r="C20" s="3627" t="s">
        <v>4976</v>
      </c>
      <c r="D20" s="2753"/>
      <c r="E20" s="2755"/>
      <c r="F20" s="2755"/>
      <c r="G20" s="2768"/>
      <c r="H20" s="2755"/>
      <c r="I20" s="3627"/>
      <c r="J20" s="3016"/>
      <c r="K20" s="3016"/>
      <c r="L20" s="2755"/>
      <c r="M20" s="3627"/>
      <c r="N20" s="2755"/>
      <c r="O20" s="2755"/>
      <c r="P20" s="2755"/>
      <c r="Q20" s="3016" t="s">
        <v>1983</v>
      </c>
      <c r="R20" s="282"/>
      <c r="S20" s="2995" t="s">
        <v>568</v>
      </c>
      <c r="T20" s="282"/>
      <c r="U20" s="2995" t="s">
        <v>569</v>
      </c>
      <c r="V20" s="139"/>
      <c r="W20" s="1" t="s">
        <v>979</v>
      </c>
      <c r="X20" s="5233"/>
    </row>
    <row r="21" spans="1:28" ht="15" customHeight="1">
      <c r="A21" s="139"/>
      <c r="B21" s="2978" t="s">
        <v>780</v>
      </c>
      <c r="C21" s="5227" t="s">
        <v>1984</v>
      </c>
      <c r="D21" s="5227"/>
      <c r="E21" s="5257"/>
      <c r="F21" s="5110"/>
      <c r="G21" s="5110"/>
      <c r="H21" s="5110"/>
      <c r="I21" s="5112"/>
      <c r="J21" s="5112"/>
      <c r="K21" s="5112"/>
      <c r="L21" s="5112"/>
      <c r="M21" s="5112"/>
      <c r="N21" s="5110"/>
      <c r="O21" s="5110"/>
      <c r="P21" s="5258"/>
      <c r="Q21" s="5110"/>
      <c r="R21" s="5110"/>
      <c r="S21" s="5110"/>
      <c r="T21" s="5110"/>
      <c r="U21" s="5110"/>
      <c r="V21" s="139"/>
      <c r="W21" s="1" t="s">
        <v>931</v>
      </c>
      <c r="X21" s="5233"/>
    </row>
    <row r="22" spans="1:28" ht="13.5" customHeight="1" thickBot="1">
      <c r="A22" s="139"/>
      <c r="B22" s="2984">
        <v>1</v>
      </c>
      <c r="C22" s="2769" t="s">
        <v>1985</v>
      </c>
      <c r="D22" s="2770"/>
      <c r="E22" s="5230"/>
      <c r="F22" s="5230"/>
      <c r="G22" s="5230"/>
      <c r="H22" s="5230"/>
      <c r="I22" s="5259"/>
      <c r="J22" s="5259"/>
      <c r="K22" s="5259"/>
      <c r="L22" s="5259"/>
      <c r="M22" s="3016"/>
      <c r="N22" s="5230"/>
      <c r="O22" s="5230"/>
      <c r="P22" s="5230"/>
      <c r="Q22" s="5260"/>
      <c r="R22" s="3016"/>
      <c r="S22" s="5261"/>
      <c r="T22" s="8228">
        <f>IF(Y2,NonEmployeeComp_You,IF(Y3,NonEmployeeComp_Spouse,0))</f>
        <v>0</v>
      </c>
      <c r="U22" s="8229"/>
      <c r="V22" s="139"/>
      <c r="W22" s="2875"/>
      <c r="X22" s="5233"/>
      <c r="Y22" s="304" t="b">
        <f>(M7=SS_Spouse)</f>
        <v>0</v>
      </c>
      <c r="Z22" s="304"/>
      <c r="AA22" s="304"/>
      <c r="AB22" s="304"/>
    </row>
    <row r="23" spans="1:28" ht="12" customHeight="1" thickBot="1">
      <c r="A23" s="139"/>
      <c r="B23" s="2984"/>
      <c r="C23" s="2769" t="s">
        <v>1986</v>
      </c>
      <c r="D23" s="2770"/>
      <c r="E23" s="5230"/>
      <c r="F23" s="5230"/>
      <c r="G23" s="5230"/>
      <c r="H23" s="5230"/>
      <c r="I23" s="5259"/>
      <c r="J23" s="5259"/>
      <c r="K23" s="5259"/>
      <c r="L23" s="5259"/>
      <c r="M23" s="3016"/>
      <c r="N23" s="5230"/>
      <c r="O23" s="3016" t="s">
        <v>784</v>
      </c>
      <c r="P23" s="5230"/>
      <c r="Q23" s="282"/>
      <c r="R23" s="3016"/>
      <c r="S23" s="2773">
        <v>1</v>
      </c>
      <c r="T23" s="8206" t="str">
        <f>IF(W23&lt;&gt;"",ROUND(W23,0),IF(T22=0,"",T22))</f>
        <v/>
      </c>
      <c r="U23" s="8207"/>
      <c r="V23" s="139"/>
      <c r="W23" s="949"/>
      <c r="X23" s="5233"/>
      <c r="Y23" s="5263">
        <f>IF(AND(Y22,SchC_StatutoryEmp_1&lt;&gt;""),T23,0)</f>
        <v>0</v>
      </c>
      <c r="Z23" s="6683" t="s">
        <v>6667</v>
      </c>
      <c r="AA23" s="5263"/>
      <c r="AB23" s="5263"/>
    </row>
    <row r="24" spans="1:28" ht="12.75" customHeight="1">
      <c r="A24" s="139"/>
      <c r="B24" s="2984">
        <v>2</v>
      </c>
      <c r="C24" s="2769" t="s">
        <v>1987</v>
      </c>
      <c r="D24" s="2770"/>
      <c r="E24" s="5230"/>
      <c r="F24" s="5230"/>
      <c r="G24" s="5230"/>
      <c r="H24" s="5230"/>
      <c r="I24" s="5259"/>
      <c r="J24" s="5259"/>
      <c r="K24" s="5259"/>
      <c r="L24" s="5259"/>
      <c r="M24" s="5259"/>
      <c r="N24" s="5230"/>
      <c r="O24" s="5230"/>
      <c r="P24" s="5264"/>
      <c r="Q24" s="5230"/>
      <c r="R24" s="5265" t="s">
        <v>1155</v>
      </c>
      <c r="S24" s="2773">
        <v>2</v>
      </c>
      <c r="T24" s="8209"/>
      <c r="U24" s="8210"/>
      <c r="V24" s="139"/>
      <c r="W24" s="2875"/>
      <c r="X24" s="5233"/>
      <c r="Y24" s="5263">
        <f>IF(AND(NOT(Y22),SchC_StatutoryEmp_1&lt;&gt;""),T23,0)</f>
        <v>0</v>
      </c>
      <c r="Z24" s="5263"/>
      <c r="AA24" s="5263"/>
      <c r="AB24" s="5263"/>
    </row>
    <row r="25" spans="1:28" ht="12.75" customHeight="1">
      <c r="A25" s="139"/>
      <c r="B25" s="2984">
        <v>3</v>
      </c>
      <c r="C25" s="5266" t="s">
        <v>1988</v>
      </c>
      <c r="D25" s="5267"/>
      <c r="E25" s="5267"/>
      <c r="F25" s="5264"/>
      <c r="G25" s="5264"/>
      <c r="H25" s="5264"/>
      <c r="I25" s="5267"/>
      <c r="J25" s="5267"/>
      <c r="K25" s="5267"/>
      <c r="L25" s="5267"/>
      <c r="M25" s="5267"/>
      <c r="N25" s="5264"/>
      <c r="O25" s="5264"/>
      <c r="P25" s="5267"/>
      <c r="Q25" s="5264"/>
      <c r="R25" s="5265" t="s">
        <v>1989</v>
      </c>
      <c r="S25" s="3693">
        <v>3</v>
      </c>
      <c r="T25" s="8198" t="str">
        <f>IF(AND(T23="",T24=""),"",SUM(T23,-T24))</f>
        <v/>
      </c>
      <c r="U25" s="8199"/>
      <c r="V25" s="139"/>
      <c r="W25" s="2875"/>
      <c r="X25" s="5233"/>
    </row>
    <row r="26" spans="1:28" ht="12.75" customHeight="1">
      <c r="A26" s="139"/>
      <c r="B26" s="2984">
        <v>4</v>
      </c>
      <c r="C26" s="5266" t="s">
        <v>1990</v>
      </c>
      <c r="D26" s="5267"/>
      <c r="E26" s="5267"/>
      <c r="F26" s="5264"/>
      <c r="G26" s="5264"/>
      <c r="H26" s="5264"/>
      <c r="I26" s="5267"/>
      <c r="J26" s="5267"/>
      <c r="K26" s="5267"/>
      <c r="L26" s="5267"/>
      <c r="M26" s="5267"/>
      <c r="N26" s="5264"/>
      <c r="O26" s="5264"/>
      <c r="P26" s="5267"/>
      <c r="Q26" s="5264"/>
      <c r="R26" s="5265" t="s">
        <v>2090</v>
      </c>
      <c r="S26" s="3693">
        <v>4</v>
      </c>
      <c r="T26" s="8198" t="str">
        <f>IF(W26&lt;&gt;"",W26,T86)</f>
        <v/>
      </c>
      <c r="U26" s="8199"/>
      <c r="V26" s="139"/>
      <c r="W26" s="949"/>
      <c r="X26" s="5233"/>
      <c r="Y26" s="304">
        <f>IF(T26="",0,T26)</f>
        <v>0</v>
      </c>
    </row>
    <row r="27" spans="1:28" ht="12.75" customHeight="1">
      <c r="A27" s="139"/>
      <c r="B27" s="2984">
        <v>5</v>
      </c>
      <c r="C27" s="5268" t="s">
        <v>1992</v>
      </c>
      <c r="D27" s="5256"/>
      <c r="E27" s="5267"/>
      <c r="F27" s="5264"/>
      <c r="G27" s="5264"/>
      <c r="H27" s="5264"/>
      <c r="I27" s="5267"/>
      <c r="J27" s="5267"/>
      <c r="K27" s="5267"/>
      <c r="L27" s="5267"/>
      <c r="M27" s="5267"/>
      <c r="N27" s="5264"/>
      <c r="O27" s="5264"/>
      <c r="P27" s="5267"/>
      <c r="Q27" s="5264"/>
      <c r="R27" s="5265" t="s">
        <v>787</v>
      </c>
      <c r="S27" s="3693">
        <v>5</v>
      </c>
      <c r="T27" s="8198" t="str">
        <f>IF(AND(T25="",T26=""),"",SUM(T25,-Y26))</f>
        <v/>
      </c>
      <c r="U27" s="8199"/>
      <c r="V27" s="139"/>
      <c r="W27" s="2875"/>
      <c r="X27" s="5233"/>
    </row>
    <row r="28" spans="1:28" ht="12.75" customHeight="1">
      <c r="A28" s="139"/>
      <c r="B28" s="2984">
        <v>6</v>
      </c>
      <c r="C28" s="5266" t="s">
        <v>1993</v>
      </c>
      <c r="D28" s="5267"/>
      <c r="E28" s="5267"/>
      <c r="F28" s="5264"/>
      <c r="G28" s="5264"/>
      <c r="H28" s="5264"/>
      <c r="I28" s="5267"/>
      <c r="J28" s="5267"/>
      <c r="K28" s="5267"/>
      <c r="L28" s="5267"/>
      <c r="M28" s="5267"/>
      <c r="N28" s="5264"/>
      <c r="O28" s="5264"/>
      <c r="P28" s="5267"/>
      <c r="Q28" s="5264"/>
      <c r="R28" s="5265" t="s">
        <v>842</v>
      </c>
      <c r="S28" s="3693">
        <v>6</v>
      </c>
      <c r="T28" s="8187"/>
      <c r="U28" s="8154"/>
      <c r="V28" s="139"/>
      <c r="W28" s="2875"/>
      <c r="X28" s="5233"/>
    </row>
    <row r="29" spans="1:28" ht="12.75" customHeight="1">
      <c r="A29" s="139"/>
      <c r="B29" s="2984">
        <v>7</v>
      </c>
      <c r="C29" s="3097" t="s">
        <v>1994</v>
      </c>
      <c r="D29" s="2754"/>
      <c r="E29" s="3627"/>
      <c r="F29" s="5230"/>
      <c r="G29" s="5230"/>
      <c r="H29" s="5226"/>
      <c r="I29" s="5267"/>
      <c r="J29" s="5267"/>
      <c r="K29" s="5267"/>
      <c r="L29" s="5220"/>
      <c r="M29" s="5267"/>
      <c r="N29" s="5226"/>
      <c r="O29" s="5226"/>
      <c r="P29" s="5267"/>
      <c r="Q29" s="5230"/>
      <c r="R29" s="3016" t="s">
        <v>2657</v>
      </c>
      <c r="S29" s="3693">
        <v>7</v>
      </c>
      <c r="T29" s="8198" t="str">
        <f>IF(AND(T27="",T28=""),"",SUM(T27,T28))</f>
        <v/>
      </c>
      <c r="U29" s="8199"/>
      <c r="V29" s="139"/>
      <c r="W29" s="2875"/>
      <c r="X29" s="5233"/>
    </row>
    <row r="30" spans="1:28" ht="15.75">
      <c r="A30" s="139"/>
      <c r="B30" s="2978" t="s">
        <v>868</v>
      </c>
      <c r="C30" s="5269" t="s">
        <v>1995</v>
      </c>
      <c r="D30" s="5270" t="s">
        <v>1996</v>
      </c>
      <c r="E30" s="5110"/>
      <c r="F30" s="5110"/>
      <c r="G30" s="5110"/>
      <c r="H30" s="5257"/>
      <c r="I30" s="5110"/>
      <c r="J30" s="5110"/>
      <c r="K30" s="5110"/>
      <c r="L30" s="5110"/>
      <c r="M30" s="5110"/>
      <c r="N30" s="5110"/>
      <c r="O30" s="5110"/>
      <c r="P30" s="5110"/>
      <c r="Q30" s="5110"/>
      <c r="R30" s="5110"/>
      <c r="S30" s="5110"/>
      <c r="T30" s="5271"/>
      <c r="U30" s="5271"/>
      <c r="V30" s="139"/>
      <c r="W30" s="2875"/>
      <c r="X30" s="5233"/>
    </row>
    <row r="31" spans="1:28" ht="14.25" customHeight="1">
      <c r="A31" s="139"/>
      <c r="B31" s="2984">
        <v>8</v>
      </c>
      <c r="C31" s="3592" t="s">
        <v>1997</v>
      </c>
      <c r="D31" s="3592"/>
      <c r="E31" s="5230"/>
      <c r="F31" s="5230"/>
      <c r="G31" s="5226"/>
      <c r="H31" s="2773">
        <f>B31</f>
        <v>8</v>
      </c>
      <c r="I31" s="752"/>
      <c r="J31" s="2768">
        <v>18</v>
      </c>
      <c r="K31" s="3592"/>
      <c r="L31" s="2769" t="s">
        <v>1998</v>
      </c>
      <c r="M31" s="3098"/>
      <c r="N31" s="3098"/>
      <c r="O31" s="3098"/>
      <c r="P31" s="3098"/>
      <c r="Q31" s="3098"/>
      <c r="R31" s="3016" t="s">
        <v>717</v>
      </c>
      <c r="S31" s="3693">
        <f>J31</f>
        <v>18</v>
      </c>
      <c r="T31" s="8178"/>
      <c r="U31" s="8179"/>
      <c r="V31" s="139"/>
      <c r="W31" s="2875"/>
      <c r="X31" s="5233"/>
    </row>
    <row r="32" spans="1:28" ht="14.25" customHeight="1">
      <c r="A32" s="139"/>
      <c r="B32" s="2984">
        <v>9</v>
      </c>
      <c r="C32" s="3592" t="s">
        <v>1999</v>
      </c>
      <c r="D32" s="3592"/>
      <c r="E32" s="5230"/>
      <c r="F32" s="5230"/>
      <c r="G32" s="5226"/>
      <c r="H32" s="5216"/>
      <c r="I32" s="5272"/>
      <c r="J32" s="2768">
        <v>19</v>
      </c>
      <c r="K32" s="2826"/>
      <c r="L32" s="3003" t="s">
        <v>2000</v>
      </c>
      <c r="M32" s="3624"/>
      <c r="N32" s="3592"/>
      <c r="O32" s="3592"/>
      <c r="P32" s="5266"/>
      <c r="Q32" s="5187"/>
      <c r="R32" s="3016" t="s">
        <v>717</v>
      </c>
      <c r="S32" s="3693">
        <f>J32</f>
        <v>19</v>
      </c>
      <c r="T32" s="8178"/>
      <c r="U32" s="8179"/>
      <c r="V32" s="139"/>
      <c r="W32" s="2875"/>
      <c r="X32" s="5233"/>
    </row>
    <row r="33" spans="1:25" ht="14.25" customHeight="1">
      <c r="A33" s="139"/>
      <c r="B33" s="2984"/>
      <c r="C33" s="3592" t="s">
        <v>2018</v>
      </c>
      <c r="D33" s="3592"/>
      <c r="E33" s="5230"/>
      <c r="F33" s="5230"/>
      <c r="G33" s="3016" t="s">
        <v>877</v>
      </c>
      <c r="H33" s="2773">
        <f>B32</f>
        <v>9</v>
      </c>
      <c r="I33" s="753"/>
      <c r="J33" s="2768">
        <v>20</v>
      </c>
      <c r="K33" s="2826"/>
      <c r="L33" s="3003" t="s">
        <v>2002</v>
      </c>
      <c r="M33" s="3624"/>
      <c r="N33" s="3065"/>
      <c r="O33" s="3065"/>
      <c r="P33" s="5266"/>
      <c r="Q33" s="5187"/>
      <c r="R33" s="5187"/>
      <c r="S33" s="5273"/>
      <c r="T33" s="5274"/>
      <c r="U33" s="5275"/>
      <c r="V33" s="139"/>
      <c r="W33" s="2875"/>
      <c r="X33" s="5233"/>
    </row>
    <row r="34" spans="1:25" ht="14.25" customHeight="1">
      <c r="A34" s="139"/>
      <c r="B34" s="2984">
        <v>10</v>
      </c>
      <c r="C34" s="3592" t="s">
        <v>2003</v>
      </c>
      <c r="D34" s="3592"/>
      <c r="E34" s="5230"/>
      <c r="F34" s="5230"/>
      <c r="G34" s="3016" t="s">
        <v>1838</v>
      </c>
      <c r="H34" s="5276">
        <f>B34</f>
        <v>10</v>
      </c>
      <c r="I34" s="752"/>
      <c r="J34" s="2768"/>
      <c r="K34" s="2826" t="s">
        <v>588</v>
      </c>
      <c r="L34" s="3003" t="s">
        <v>2004</v>
      </c>
      <c r="M34" s="3624"/>
      <c r="N34" s="3592"/>
      <c r="O34" s="3592"/>
      <c r="P34" s="5266"/>
      <c r="Q34" s="5187"/>
      <c r="R34" s="3016" t="s">
        <v>627</v>
      </c>
      <c r="S34" s="3693" t="s">
        <v>2005</v>
      </c>
      <c r="T34" s="8153"/>
      <c r="U34" s="8154"/>
      <c r="V34" s="139"/>
      <c r="W34" s="2875"/>
      <c r="X34" s="5233"/>
    </row>
    <row r="35" spans="1:25" ht="14.25" customHeight="1">
      <c r="A35" s="139"/>
      <c r="B35" s="2984">
        <v>11</v>
      </c>
      <c r="C35" s="3592" t="s">
        <v>2006</v>
      </c>
      <c r="D35" s="3592"/>
      <c r="E35" s="5230"/>
      <c r="F35" s="5230"/>
      <c r="G35" s="3016" t="s">
        <v>2007</v>
      </c>
      <c r="H35" s="2773">
        <f>B35</f>
        <v>11</v>
      </c>
      <c r="I35" s="753"/>
      <c r="J35" s="2768"/>
      <c r="K35" s="2826" t="s">
        <v>592</v>
      </c>
      <c r="L35" s="2769" t="s">
        <v>2008</v>
      </c>
      <c r="M35" s="5266"/>
      <c r="N35" s="3592"/>
      <c r="O35" s="3592"/>
      <c r="P35" s="5266"/>
      <c r="Q35" s="5187"/>
      <c r="R35" s="3016" t="s">
        <v>2009</v>
      </c>
      <c r="S35" s="3693" t="s">
        <v>2010</v>
      </c>
      <c r="T35" s="8178"/>
      <c r="U35" s="8179"/>
      <c r="V35" s="139"/>
      <c r="W35" s="2875"/>
      <c r="X35" s="5233"/>
    </row>
    <row r="36" spans="1:25" ht="14.25" customHeight="1">
      <c r="A36" s="139"/>
      <c r="B36" s="2984">
        <v>12</v>
      </c>
      <c r="C36" s="3592" t="s">
        <v>2011</v>
      </c>
      <c r="D36" s="3592"/>
      <c r="E36" s="5230"/>
      <c r="F36" s="5230"/>
      <c r="G36" s="5226"/>
      <c r="H36" s="2773">
        <f>B36</f>
        <v>12</v>
      </c>
      <c r="I36" s="752"/>
      <c r="J36" s="2768">
        <v>21</v>
      </c>
      <c r="K36" s="2826"/>
      <c r="L36" s="2769" t="s">
        <v>2012</v>
      </c>
      <c r="M36" s="2769"/>
      <c r="N36" s="2769"/>
      <c r="O36" s="2769"/>
      <c r="P36" s="2769"/>
      <c r="Q36" s="2769"/>
      <c r="R36" s="3016" t="s">
        <v>2013</v>
      </c>
      <c r="S36" s="3693">
        <f>J36</f>
        <v>21</v>
      </c>
      <c r="T36" s="8178"/>
      <c r="U36" s="8179"/>
      <c r="V36" s="139"/>
      <c r="W36" s="2875"/>
      <c r="X36" s="5233"/>
    </row>
    <row r="37" spans="1:25" ht="14.25" customHeight="1">
      <c r="A37" s="139"/>
      <c r="B37" s="2984">
        <v>13</v>
      </c>
      <c r="C37" s="3592" t="s">
        <v>2014</v>
      </c>
      <c r="D37" s="3592"/>
      <c r="E37" s="5230"/>
      <c r="F37" s="5230"/>
      <c r="G37" s="5226"/>
      <c r="H37" s="5216"/>
      <c r="I37" s="5272"/>
      <c r="J37" s="2768">
        <v>22</v>
      </c>
      <c r="K37" s="2826"/>
      <c r="L37" s="2769" t="s">
        <v>2015</v>
      </c>
      <c r="M37" s="2769"/>
      <c r="N37" s="2769"/>
      <c r="O37" s="2769"/>
      <c r="P37" s="2769"/>
      <c r="Q37" s="2769"/>
      <c r="R37" s="3016" t="s">
        <v>717</v>
      </c>
      <c r="S37" s="3693">
        <v>22</v>
      </c>
      <c r="T37" s="8178"/>
      <c r="U37" s="8179"/>
      <c r="V37" s="139"/>
      <c r="W37" s="2875"/>
      <c r="X37" s="5233"/>
    </row>
    <row r="38" spans="1:25" ht="14.25" customHeight="1">
      <c r="A38" s="139"/>
      <c r="B38" s="2984"/>
      <c r="C38" s="3592" t="s">
        <v>4911</v>
      </c>
      <c r="D38" s="3592"/>
      <c r="E38" s="5230"/>
      <c r="F38" s="5230"/>
      <c r="G38" s="5226"/>
      <c r="H38" s="5216"/>
      <c r="I38" s="5277"/>
      <c r="J38" s="2768">
        <v>23</v>
      </c>
      <c r="K38" s="2826"/>
      <c r="L38" s="2769" t="s">
        <v>2017</v>
      </c>
      <c r="M38" s="2769"/>
      <c r="N38" s="2769"/>
      <c r="O38" s="2769"/>
      <c r="P38" s="2769"/>
      <c r="Q38" s="2769"/>
      <c r="R38" s="3016" t="s">
        <v>670</v>
      </c>
      <c r="S38" s="3693">
        <v>23</v>
      </c>
      <c r="T38" s="8178"/>
      <c r="U38" s="8179"/>
      <c r="V38" s="139"/>
      <c r="W38" s="2875"/>
      <c r="X38" s="5233"/>
    </row>
    <row r="39" spans="1:25" ht="14.25" customHeight="1">
      <c r="A39" s="139"/>
      <c r="B39" s="2984"/>
      <c r="C39" s="3592" t="s">
        <v>2018</v>
      </c>
      <c r="D39" s="3592"/>
      <c r="E39" s="5230"/>
      <c r="F39" s="5230"/>
      <c r="G39" s="3016" t="s">
        <v>877</v>
      </c>
      <c r="H39" s="2773">
        <f>B37</f>
        <v>13</v>
      </c>
      <c r="I39" s="753"/>
      <c r="J39" s="2768">
        <v>24</v>
      </c>
      <c r="K39" s="2826"/>
      <c r="L39" s="2769" t="s">
        <v>2019</v>
      </c>
      <c r="M39" s="2769"/>
      <c r="N39" s="2769"/>
      <c r="O39" s="2769"/>
      <c r="P39" s="2769"/>
      <c r="Q39" s="2769"/>
      <c r="R39" s="2769"/>
      <c r="S39" s="5273"/>
      <c r="T39" s="5274"/>
      <c r="U39" s="5275"/>
      <c r="V39" s="139"/>
      <c r="W39" s="2875"/>
      <c r="X39" s="5233"/>
    </row>
    <row r="40" spans="1:25" ht="14.25" customHeight="1">
      <c r="A40" s="139"/>
      <c r="B40" s="2984">
        <v>14</v>
      </c>
      <c r="C40" s="3592" t="s">
        <v>2020</v>
      </c>
      <c r="D40" s="3592"/>
      <c r="E40" s="5230"/>
      <c r="F40" s="5230"/>
      <c r="G40" s="5226"/>
      <c r="H40" s="5216"/>
      <c r="I40" s="5272"/>
      <c r="J40" s="2768"/>
      <c r="K40" s="2826" t="s">
        <v>588</v>
      </c>
      <c r="L40" s="2769" t="s">
        <v>2021</v>
      </c>
      <c r="M40" s="2769"/>
      <c r="N40" s="2769"/>
      <c r="O40" s="2769"/>
      <c r="P40" s="2769"/>
      <c r="Q40" s="2769"/>
      <c r="R40" s="3016" t="s">
        <v>597</v>
      </c>
      <c r="S40" s="3693" t="s">
        <v>895</v>
      </c>
      <c r="T40" s="8153"/>
      <c r="U40" s="8154"/>
      <c r="V40" s="139"/>
      <c r="W40" s="2875"/>
      <c r="X40" s="5233"/>
    </row>
    <row r="41" spans="1:25" ht="14.25" customHeight="1">
      <c r="A41" s="139"/>
      <c r="B41" s="2984"/>
      <c r="C41" s="3592" t="s">
        <v>2022</v>
      </c>
      <c r="D41" s="3592"/>
      <c r="E41" s="5230"/>
      <c r="F41" s="5230"/>
      <c r="G41" s="3016" t="s">
        <v>842</v>
      </c>
      <c r="H41" s="2773">
        <f>B40</f>
        <v>14</v>
      </c>
      <c r="I41" s="753"/>
      <c r="J41" s="2768"/>
      <c r="K41" s="2826" t="s">
        <v>592</v>
      </c>
      <c r="L41" s="2769" t="s">
        <v>4909</v>
      </c>
      <c r="M41" s="253"/>
      <c r="N41" s="253"/>
      <c r="O41" s="253"/>
      <c r="P41" s="253"/>
      <c r="Q41" s="253"/>
      <c r="R41" s="3016"/>
      <c r="S41" s="3693" t="s">
        <v>897</v>
      </c>
      <c r="T41" s="8153"/>
      <c r="U41" s="8154"/>
      <c r="V41" s="139"/>
      <c r="W41" s="2875"/>
      <c r="X41" s="5233"/>
    </row>
    <row r="42" spans="1:25" ht="14.25" customHeight="1">
      <c r="A42" s="139"/>
      <c r="B42" s="2984">
        <v>15</v>
      </c>
      <c r="C42" s="3098" t="s">
        <v>2023</v>
      </c>
      <c r="D42" s="3592"/>
      <c r="E42" s="5230"/>
      <c r="F42" s="5230"/>
      <c r="G42" s="3016" t="s">
        <v>875</v>
      </c>
      <c r="H42" s="2773">
        <f>B42</f>
        <v>15</v>
      </c>
      <c r="I42" s="752"/>
      <c r="J42" s="2768">
        <v>25</v>
      </c>
      <c r="K42" s="2826"/>
      <c r="L42" s="2769" t="s">
        <v>2025</v>
      </c>
      <c r="M42" s="2769"/>
      <c r="N42" s="2769"/>
      <c r="O42" s="2769"/>
      <c r="P42" s="2769"/>
      <c r="Q42" s="2769"/>
      <c r="R42" s="3016" t="s">
        <v>597</v>
      </c>
      <c r="S42" s="3693">
        <v>25</v>
      </c>
      <c r="T42" s="8178"/>
      <c r="U42" s="8179"/>
      <c r="V42" s="139"/>
      <c r="W42" s="2875"/>
      <c r="X42" s="5233"/>
    </row>
    <row r="43" spans="1:25" ht="14.25" customHeight="1">
      <c r="A43" s="139"/>
      <c r="B43" s="2984">
        <v>16</v>
      </c>
      <c r="C43" s="3592" t="s">
        <v>2024</v>
      </c>
      <c r="D43" s="3592"/>
      <c r="E43" s="5230"/>
      <c r="F43" s="5230"/>
      <c r="G43" s="5226"/>
      <c r="H43" s="5273"/>
      <c r="I43" s="5272"/>
      <c r="J43" s="2768">
        <v>26</v>
      </c>
      <c r="K43" s="2826"/>
      <c r="L43" s="2769" t="s">
        <v>2028</v>
      </c>
      <c r="M43" s="2769"/>
      <c r="N43" s="2769"/>
      <c r="O43" s="2769"/>
      <c r="P43" s="2769"/>
      <c r="Q43" s="2769"/>
      <c r="R43" s="3016" t="s">
        <v>717</v>
      </c>
      <c r="S43" s="3693">
        <v>26</v>
      </c>
      <c r="T43" s="8178"/>
      <c r="U43" s="8179"/>
      <c r="V43" s="139"/>
      <c r="W43" s="2875"/>
      <c r="X43" s="5233"/>
    </row>
    <row r="44" spans="1:25" ht="14.25" customHeight="1">
      <c r="A44" s="139"/>
      <c r="B44" s="2768" t="s">
        <v>588</v>
      </c>
      <c r="C44" s="3592" t="s">
        <v>2026</v>
      </c>
      <c r="D44" s="3592"/>
      <c r="E44" s="5230"/>
      <c r="F44" s="5230"/>
      <c r="G44" s="5226"/>
      <c r="H44" s="2773" t="s">
        <v>2027</v>
      </c>
      <c r="I44" s="753"/>
      <c r="J44" s="5278">
        <v>27</v>
      </c>
      <c r="K44" s="2826" t="s">
        <v>588</v>
      </c>
      <c r="L44" s="2769" t="s">
        <v>4907</v>
      </c>
      <c r="M44" s="2769"/>
      <c r="N44" s="2769"/>
      <c r="O44" s="2769"/>
      <c r="P44" s="2769"/>
      <c r="Q44" s="2769"/>
      <c r="R44" s="3016"/>
      <c r="S44" s="2805"/>
      <c r="T44" s="6470"/>
      <c r="U44" s="6471"/>
      <c r="V44" s="139"/>
      <c r="W44" s="2875"/>
      <c r="X44" s="5233"/>
    </row>
    <row r="45" spans="1:25" ht="14.25" customHeight="1">
      <c r="A45" s="139"/>
      <c r="B45" s="2768" t="s">
        <v>592</v>
      </c>
      <c r="C45" s="3592" t="s">
        <v>2029</v>
      </c>
      <c r="D45" s="3592"/>
      <c r="E45" s="5230"/>
      <c r="F45" s="5230"/>
      <c r="G45" s="5226"/>
      <c r="H45" s="2773" t="s">
        <v>2030</v>
      </c>
      <c r="I45" s="754"/>
      <c r="J45" s="2768"/>
      <c r="K45" s="2826"/>
      <c r="L45" s="3592" t="s">
        <v>4908</v>
      </c>
      <c r="M45" s="2769"/>
      <c r="N45" s="2769"/>
      <c r="O45" s="2769"/>
      <c r="P45" s="2769"/>
      <c r="Q45" s="2769"/>
      <c r="R45" s="5286" t="s">
        <v>708</v>
      </c>
      <c r="S45" s="2773" t="s">
        <v>2032</v>
      </c>
      <c r="T45" s="8153"/>
      <c r="U45" s="8154"/>
      <c r="V45" s="139"/>
      <c r="W45" s="2875"/>
      <c r="X45" s="5233"/>
    </row>
    <row r="46" spans="1:25" ht="14.25" customHeight="1" thickBot="1">
      <c r="A46" s="139"/>
      <c r="B46" s="3667">
        <v>17</v>
      </c>
      <c r="C46" s="5205" t="s">
        <v>2033</v>
      </c>
      <c r="D46" s="5205"/>
      <c r="E46" s="5279"/>
      <c r="F46" s="5279"/>
      <c r="G46" s="5280"/>
      <c r="H46" s="3742">
        <v>17</v>
      </c>
      <c r="I46" s="755"/>
      <c r="J46" s="5281"/>
      <c r="K46" s="5282" t="s">
        <v>592</v>
      </c>
      <c r="L46" s="5205" t="s">
        <v>2031</v>
      </c>
      <c r="M46" s="5205"/>
      <c r="N46" s="5205"/>
      <c r="O46" s="5205"/>
      <c r="P46" s="5205"/>
      <c r="Q46" s="5205"/>
      <c r="R46" s="5283" t="s">
        <v>708</v>
      </c>
      <c r="S46" s="3742" t="s">
        <v>2034</v>
      </c>
      <c r="T46" s="8216" t="str">
        <f>IF(W46&lt;&gt;"",ROUND(W46,0),T114)</f>
        <v/>
      </c>
      <c r="U46" s="8217"/>
      <c r="V46" s="139"/>
      <c r="W46" s="949"/>
      <c r="X46" s="5233"/>
    </row>
    <row r="47" spans="1:25" ht="14.25" customHeight="1">
      <c r="A47" s="139"/>
      <c r="B47" s="2984">
        <v>28</v>
      </c>
      <c r="C47" s="5268" t="s">
        <v>4912</v>
      </c>
      <c r="D47" s="5256"/>
      <c r="E47" s="5267"/>
      <c r="F47" s="5264"/>
      <c r="G47" s="5264"/>
      <c r="H47" s="5264"/>
      <c r="I47" s="5267"/>
      <c r="J47" s="5267"/>
      <c r="K47" s="5267"/>
      <c r="L47" s="5267"/>
      <c r="M47" s="5267"/>
      <c r="N47" s="5264"/>
      <c r="O47" s="5264"/>
      <c r="P47" s="5267"/>
      <c r="Q47" s="5264"/>
      <c r="R47" s="5265" t="s">
        <v>2035</v>
      </c>
      <c r="S47" s="3693">
        <v>28</v>
      </c>
      <c r="T47" s="8198" t="str">
        <f>IF(W47&lt;&gt;"",ROUND(W47,0),IF(SUM(I31:I46,T31:T46)=0,"",ROUND(SUM(I31:I46,T31:T46),0)))</f>
        <v/>
      </c>
      <c r="U47" s="8199"/>
      <c r="V47" s="139"/>
      <c r="W47" s="949"/>
      <c r="X47" s="5233"/>
      <c r="Y47" s="304">
        <f>IF(T47="",0,T47)</f>
        <v>0</v>
      </c>
    </row>
    <row r="48" spans="1:25" ht="15" customHeight="1">
      <c r="A48" s="139"/>
      <c r="B48" s="2984">
        <v>29</v>
      </c>
      <c r="C48" s="5266" t="s">
        <v>2036</v>
      </c>
      <c r="D48" s="5267"/>
      <c r="E48" s="5267"/>
      <c r="F48" s="5264"/>
      <c r="G48" s="5264"/>
      <c r="H48" s="5264"/>
      <c r="I48" s="5267"/>
      <c r="J48" s="5267"/>
      <c r="K48" s="5267"/>
      <c r="L48" s="5267"/>
      <c r="M48" s="5267"/>
      <c r="N48" s="5264"/>
      <c r="O48" s="5264"/>
      <c r="P48" s="5267"/>
      <c r="Q48" s="5264"/>
      <c r="R48" s="5265" t="s">
        <v>891</v>
      </c>
      <c r="S48" s="3693">
        <v>29</v>
      </c>
      <c r="T48" s="8198" t="str">
        <f>IF(AND(T29="",T47=""),"",SUM(T29,-Y47))</f>
        <v/>
      </c>
      <c r="U48" s="8199"/>
      <c r="V48" s="139"/>
      <c r="W48" s="2875"/>
      <c r="X48" s="5233"/>
    </row>
    <row r="49" spans="1:28" ht="12.75" customHeight="1">
      <c r="A49" s="139"/>
      <c r="B49" s="2984">
        <v>30</v>
      </c>
      <c r="C49" s="5266" t="s">
        <v>2037</v>
      </c>
      <c r="D49" s="5267"/>
      <c r="E49" s="5267"/>
      <c r="F49" s="5264"/>
      <c r="G49" s="5264"/>
      <c r="H49" s="5264"/>
      <c r="I49" s="5267"/>
      <c r="J49" s="5267"/>
      <c r="K49" s="5267"/>
      <c r="L49" s="5267"/>
      <c r="M49" s="5267"/>
      <c r="N49" s="5264"/>
      <c r="O49" s="5264"/>
      <c r="P49" s="5267"/>
      <c r="Q49" s="5264"/>
      <c r="R49" s="5264"/>
      <c r="S49" s="3688"/>
      <c r="T49" s="8219" t="str">
        <f>IF(AND(V49="",O52),"The number in",IF(AND(V49="",Q52),"The area you use",""))</f>
        <v/>
      </c>
      <c r="U49" s="8220"/>
      <c r="V49" s="805"/>
      <c r="W49" s="2875" t="str">
        <f>IF(Y50,"Hide note.","")</f>
        <v/>
      </c>
      <c r="X49" s="5233"/>
    </row>
    <row r="50" spans="1:28" ht="14.25" customHeight="1">
      <c r="A50" s="139"/>
      <c r="B50" s="2984"/>
      <c r="C50" s="5266" t="s">
        <v>2038</v>
      </c>
      <c r="D50" s="5267"/>
      <c r="E50" s="5267"/>
      <c r="F50" s="5264"/>
      <c r="G50" s="5264"/>
      <c r="H50" s="5264"/>
      <c r="I50" s="5267"/>
      <c r="J50" s="5267"/>
      <c r="K50" s="5267"/>
      <c r="L50" s="2769"/>
      <c r="M50" s="5267"/>
      <c r="N50" s="5264"/>
      <c r="O50" s="5264"/>
      <c r="P50" s="5267"/>
      <c r="Q50" s="8155">
        <v>300</v>
      </c>
      <c r="R50" s="8156"/>
      <c r="S50" s="5284"/>
      <c r="T50" s="8157" t="str">
        <f>IF(AND(V49="",O52),"line 30a must be",IF(AND(V49="",Q52),"to figure your",""))</f>
        <v/>
      </c>
      <c r="U50" s="8158"/>
      <c r="V50" s="139"/>
      <c r="W50" s="2875"/>
      <c r="X50" s="5233"/>
      <c r="Y50" s="304" t="b">
        <f>OR(O52,Q52)</f>
        <v>0</v>
      </c>
      <c r="Z50" s="304"/>
      <c r="AA50" s="304"/>
      <c r="AB50" s="304"/>
    </row>
    <row r="51" spans="1:28" ht="14.25" customHeight="1">
      <c r="A51" s="139"/>
      <c r="B51" s="2984"/>
      <c r="C51" s="5266" t="s">
        <v>2040</v>
      </c>
      <c r="D51" s="5267"/>
      <c r="E51" s="5267"/>
      <c r="F51" s="5264"/>
      <c r="G51" s="5264"/>
      <c r="H51" s="5264"/>
      <c r="I51" s="5267"/>
      <c r="J51" s="5267"/>
      <c r="K51" s="5267"/>
      <c r="L51" s="5267"/>
      <c r="M51" s="8218"/>
      <c r="N51" s="8218"/>
      <c r="O51" s="8218"/>
      <c r="P51" s="8218"/>
      <c r="Q51" s="8218"/>
      <c r="R51" s="5264"/>
      <c r="S51" s="5284"/>
      <c r="T51" s="8157" t="str">
        <f>IF(AND(V49="",O52),"larger than the",IF(AND(V49="",Q52),"deduction, cannot",""))</f>
        <v/>
      </c>
      <c r="U51" s="8158"/>
      <c r="V51" s="139"/>
      <c r="W51" s="2875"/>
      <c r="X51" s="5233"/>
      <c r="Y51" s="5285" t="s">
        <v>2039</v>
      </c>
      <c r="Z51" s="406"/>
      <c r="AA51" s="406"/>
      <c r="AB51" s="407"/>
    </row>
    <row r="52" spans="1:28" ht="14.25" customHeight="1">
      <c r="A52" s="139"/>
      <c r="B52" s="2984"/>
      <c r="C52" s="5266" t="s">
        <v>2042</v>
      </c>
      <c r="D52" s="5267"/>
      <c r="E52" s="5267"/>
      <c r="F52" s="5264"/>
      <c r="G52" s="5264"/>
      <c r="H52" s="5267"/>
      <c r="I52" s="5264"/>
      <c r="J52" s="8218"/>
      <c r="K52" s="8218"/>
      <c r="L52" s="8218"/>
      <c r="M52" s="8218"/>
      <c r="N52" s="5267"/>
      <c r="O52" s="8155" t="b">
        <f>J52&gt;M51</f>
        <v>0</v>
      </c>
      <c r="P52" s="8155"/>
      <c r="Q52" s="8155" t="b">
        <f>J52&gt;Q50</f>
        <v>0</v>
      </c>
      <c r="R52" s="8156"/>
      <c r="S52" s="5284"/>
      <c r="T52" s="8157" t="str">
        <f>IF(AND(V49="",O52),"one in line 30b.",IF(AND(V49="",Q52),"exceed "&amp;TEXT(Q50,"0")&amp;" sq. ft.",""))</f>
        <v/>
      </c>
      <c r="U52" s="8158"/>
      <c r="V52" s="139"/>
      <c r="W52" s="2875"/>
      <c r="X52" s="5233"/>
      <c r="Y52" s="1400" t="s">
        <v>157</v>
      </c>
      <c r="Z52" s="1401" t="s">
        <v>2041</v>
      </c>
      <c r="AA52" s="253"/>
      <c r="AB52" s="409"/>
    </row>
    <row r="53" spans="1:28" ht="14.25" customHeight="1">
      <c r="A53" s="139"/>
      <c r="B53" s="2984"/>
      <c r="C53" s="5266" t="s">
        <v>2045</v>
      </c>
      <c r="D53" s="5267"/>
      <c r="E53" s="5267"/>
      <c r="F53" s="5264"/>
      <c r="G53" s="5264"/>
      <c r="H53" s="5264"/>
      <c r="I53" s="5267"/>
      <c r="J53" s="5267"/>
      <c r="K53" s="5267"/>
      <c r="L53" s="5267"/>
      <c r="M53" s="5267"/>
      <c r="N53" s="5264"/>
      <c r="O53" s="5264"/>
      <c r="P53" s="5267"/>
      <c r="Q53" s="5264"/>
      <c r="R53" s="5286" t="s">
        <v>2013</v>
      </c>
      <c r="S53" s="3693">
        <v>30</v>
      </c>
      <c r="T53" s="8222" t="str">
        <f>IF(W53&lt;&gt;"",ROUND(W53,0),IF(F8829_SchC_1,F8829_Deduction,IF(OR(AND(M51="",J52=""),Y50),"",AA65)))</f>
        <v/>
      </c>
      <c r="U53" s="8207"/>
      <c r="V53" s="139"/>
      <c r="W53" s="949"/>
      <c r="X53" s="5233"/>
      <c r="Y53" s="1061" t="s">
        <v>2043</v>
      </c>
      <c r="Z53" s="1061" t="s">
        <v>2044</v>
      </c>
      <c r="AA53" s="2499" t="str">
        <f>SchC_TentativeProfit1</f>
        <v/>
      </c>
      <c r="AB53" s="409"/>
    </row>
    <row r="54" spans="1:28" ht="14.25" customHeight="1">
      <c r="A54" s="139"/>
      <c r="B54" s="2984">
        <v>31</v>
      </c>
      <c r="C54" s="3097" t="s">
        <v>2048</v>
      </c>
      <c r="D54" s="2754"/>
      <c r="E54" s="3627"/>
      <c r="F54" s="5230"/>
      <c r="G54" s="5230"/>
      <c r="H54" s="5226"/>
      <c r="I54" s="5220"/>
      <c r="J54" s="5220"/>
      <c r="K54" s="5220"/>
      <c r="L54" s="5220"/>
      <c r="M54" s="5220"/>
      <c r="N54" s="5226"/>
      <c r="O54" s="5226"/>
      <c r="P54" s="5267"/>
      <c r="Q54" s="5230"/>
      <c r="R54" s="5230"/>
      <c r="S54" s="5287"/>
      <c r="T54" s="5288"/>
      <c r="U54" s="5289"/>
      <c r="V54" s="139"/>
      <c r="W54" s="2875"/>
      <c r="X54" s="5233"/>
      <c r="Y54" s="1061" t="s">
        <v>2046</v>
      </c>
      <c r="Z54" s="1061" t="s">
        <v>2047</v>
      </c>
      <c r="AA54" s="1402"/>
      <c r="AB54" s="409"/>
    </row>
    <row r="55" spans="1:28" ht="12.75" customHeight="1">
      <c r="A55" s="139"/>
      <c r="B55" s="2984"/>
      <c r="C55" s="3098" t="s">
        <v>2051</v>
      </c>
      <c r="D55" s="5290"/>
      <c r="E55" s="3627"/>
      <c r="F55" s="5230"/>
      <c r="G55" s="5230"/>
      <c r="H55" s="5226"/>
      <c r="I55" s="5267"/>
      <c r="J55" s="5267"/>
      <c r="K55" s="5267"/>
      <c r="L55" s="5220"/>
      <c r="M55" s="5267"/>
      <c r="N55" s="5226"/>
      <c r="O55" s="5226"/>
      <c r="P55" s="5267"/>
      <c r="Q55" s="5230"/>
      <c r="R55" s="5230"/>
      <c r="S55" s="2805"/>
      <c r="T55" s="5291"/>
      <c r="U55" s="248"/>
      <c r="V55" s="139"/>
      <c r="W55" s="2875"/>
      <c r="X55" s="5233"/>
      <c r="Y55" s="1061" t="s">
        <v>2049</v>
      </c>
      <c r="Z55" s="1061" t="s">
        <v>2050</v>
      </c>
      <c r="AA55" s="5223">
        <f>SUM(AA53,AA54)</f>
        <v>0</v>
      </c>
      <c r="AB55" s="409"/>
    </row>
    <row r="56" spans="1:28" ht="12.75" customHeight="1">
      <c r="A56" s="139"/>
      <c r="B56" s="2768"/>
      <c r="C56" s="3098" t="s">
        <v>2054</v>
      </c>
      <c r="D56" s="3627"/>
      <c r="E56" s="3627"/>
      <c r="F56" s="5230"/>
      <c r="G56" s="5230"/>
      <c r="H56" s="5230"/>
      <c r="I56" s="3627"/>
      <c r="J56" s="3627"/>
      <c r="K56" s="3627"/>
      <c r="L56" s="5220"/>
      <c r="M56" s="3627"/>
      <c r="N56" s="5230"/>
      <c r="O56" s="5230"/>
      <c r="P56" s="5267"/>
      <c r="Q56" s="5230"/>
      <c r="R56" s="5230"/>
      <c r="S56" s="3693">
        <v>31</v>
      </c>
      <c r="T56" s="8198" t="str">
        <f>IF(W56&lt;&gt;"",ROUND(W56,0),IF(AND(Y50,V49&lt;&gt;"",W53=""),SchC_TentativeProfit1,IF(T53="",T48,ROUND(SUM(T48,-T53),0))))</f>
        <v/>
      </c>
      <c r="U56" s="8199"/>
      <c r="V56" s="139"/>
      <c r="W56" s="949"/>
      <c r="X56" s="5233"/>
      <c r="Y56" s="1061" t="s">
        <v>2052</v>
      </c>
      <c r="Z56" s="1061" t="s">
        <v>4973</v>
      </c>
      <c r="AB56" s="409"/>
    </row>
    <row r="57" spans="1:28" ht="12.75" customHeight="1">
      <c r="A57" s="139"/>
      <c r="B57" s="2768"/>
      <c r="C57" s="3098" t="s">
        <v>2057</v>
      </c>
      <c r="D57" s="5290"/>
      <c r="E57" s="3627"/>
      <c r="F57" s="5230"/>
      <c r="G57" s="5230"/>
      <c r="H57" s="5230"/>
      <c r="I57" s="3627"/>
      <c r="J57" s="3627"/>
      <c r="K57" s="3627"/>
      <c r="L57" s="5220"/>
      <c r="M57" s="3627"/>
      <c r="N57" s="5230"/>
      <c r="O57" s="5230"/>
      <c r="P57" s="5267"/>
      <c r="Q57" s="5230"/>
      <c r="R57" s="5292"/>
      <c r="S57" s="5241"/>
      <c r="T57" s="3004"/>
      <c r="U57" s="3004"/>
      <c r="V57" s="139"/>
      <c r="W57" s="2875"/>
      <c r="X57" s="5233"/>
      <c r="Y57" s="1061"/>
      <c r="Z57" s="1061" t="s">
        <v>4974</v>
      </c>
      <c r="AA57" s="1403"/>
      <c r="AB57" s="567" t="s">
        <v>2053</v>
      </c>
    </row>
    <row r="58" spans="1:28" ht="12.75" customHeight="1" thickBot="1">
      <c r="A58" s="139"/>
      <c r="B58" s="2984">
        <v>32</v>
      </c>
      <c r="C58" s="3592" t="s">
        <v>2059</v>
      </c>
      <c r="D58" s="3592"/>
      <c r="E58" s="3592"/>
      <c r="F58" s="5187"/>
      <c r="G58" s="5187"/>
      <c r="H58" s="5187"/>
      <c r="I58" s="3592"/>
      <c r="J58" s="3592"/>
      <c r="K58" s="3592"/>
      <c r="L58" s="3624"/>
      <c r="M58" s="3592"/>
      <c r="N58" s="5187"/>
      <c r="O58" s="5187"/>
      <c r="P58" s="5267"/>
      <c r="Q58" s="5230"/>
      <c r="R58" s="5292"/>
      <c r="S58" s="5241"/>
      <c r="T58" s="3004"/>
      <c r="U58" s="3004"/>
      <c r="V58" s="139"/>
      <c r="W58" s="5293" t="str">
        <f>IF(Y68,"Check only",IF(Y70,"Check ONLY",""))</f>
        <v/>
      </c>
      <c r="X58" s="5233"/>
      <c r="Y58" s="1061" t="s">
        <v>2055</v>
      </c>
      <c r="Z58" s="1061" t="s">
        <v>2056</v>
      </c>
      <c r="AA58" s="5223">
        <f>IF(AA57="",AA55,SUM(AA55,-AA57))</f>
        <v>0</v>
      </c>
      <c r="AB58" s="409"/>
    </row>
    <row r="59" spans="1:28" ht="12.75" customHeight="1" thickBot="1">
      <c r="A59" s="139"/>
      <c r="B59" s="2768"/>
      <c r="C59" s="3592" t="s">
        <v>2061</v>
      </c>
      <c r="D59" s="5290"/>
      <c r="E59" s="3627"/>
      <c r="F59" s="5230"/>
      <c r="G59" s="5230"/>
      <c r="H59" s="5230"/>
      <c r="I59" s="3627"/>
      <c r="J59" s="3627"/>
      <c r="K59" s="3627"/>
      <c r="L59" s="5220"/>
      <c r="M59" s="3627"/>
      <c r="N59" s="5230"/>
      <c r="O59" s="5230"/>
      <c r="P59" s="5267"/>
      <c r="Q59" s="3016" t="s">
        <v>2062</v>
      </c>
      <c r="R59" s="282"/>
      <c r="S59" s="2771" t="s">
        <v>2063</v>
      </c>
      <c r="T59" s="5294"/>
      <c r="U59" s="5294"/>
      <c r="V59" s="139"/>
      <c r="W59" s="5293" t="str">
        <f>IF(Y68,"if Line 31",IF(Y70,"one.",""))</f>
        <v/>
      </c>
      <c r="X59" s="5233"/>
      <c r="Y59" s="1400" t="s">
        <v>161</v>
      </c>
      <c r="Z59" s="1401" t="s">
        <v>2058</v>
      </c>
      <c r="AA59" s="5295">
        <f>IF(J52="",0,MIN(Q50,J52))</f>
        <v>0</v>
      </c>
      <c r="AB59" s="567" t="str">
        <f>"(&lt;= "&amp;Q50&amp;" sq. ft.)"</f>
        <v>(&lt;= 300 sq. ft.)</v>
      </c>
    </row>
    <row r="60" spans="1:28" ht="12.75" customHeight="1" thickBot="1">
      <c r="A60" s="139"/>
      <c r="B60" s="2768"/>
      <c r="C60" s="3592" t="s">
        <v>2065</v>
      </c>
      <c r="D60" s="3627"/>
      <c r="E60" s="3627"/>
      <c r="F60" s="5230"/>
      <c r="G60" s="5230"/>
      <c r="H60" s="5230"/>
      <c r="I60" s="3627"/>
      <c r="J60" s="3627"/>
      <c r="K60" s="3627"/>
      <c r="L60" s="5220"/>
      <c r="M60" s="3627"/>
      <c r="N60" s="5230"/>
      <c r="O60" s="5230"/>
      <c r="P60" s="5267"/>
      <c r="Q60" s="3016" t="s">
        <v>2066</v>
      </c>
      <c r="R60" s="282"/>
      <c r="S60" s="5232" t="s">
        <v>2067</v>
      </c>
      <c r="T60" s="3004"/>
      <c r="U60" s="3004"/>
      <c r="V60" s="139"/>
      <c r="W60" s="5293" t="str">
        <f>IF(Y68,"is a loss.","")</f>
        <v/>
      </c>
      <c r="X60" s="5233"/>
      <c r="Y60" s="1400" t="s">
        <v>167</v>
      </c>
      <c r="Z60" s="1401" t="s">
        <v>2060</v>
      </c>
      <c r="AB60" s="409"/>
    </row>
    <row r="61" spans="1:28" ht="13.5" customHeight="1">
      <c r="A61" s="139"/>
      <c r="B61" s="2768"/>
      <c r="C61" s="3592" t="s">
        <v>2070</v>
      </c>
      <c r="D61" s="3627"/>
      <c r="E61" s="3627"/>
      <c r="F61" s="5230"/>
      <c r="G61" s="5230"/>
      <c r="H61" s="5230"/>
      <c r="I61" s="3627"/>
      <c r="J61" s="3627"/>
      <c r="K61" s="3627"/>
      <c r="L61" s="5220"/>
      <c r="M61" s="3627"/>
      <c r="N61" s="5230"/>
      <c r="O61" s="5230"/>
      <c r="P61" s="5267"/>
      <c r="Q61" s="5225"/>
      <c r="R61" s="3004"/>
      <c r="S61" s="5296" t="s">
        <v>2071</v>
      </c>
      <c r="T61" s="3004"/>
      <c r="U61" s="3004"/>
      <c r="V61" s="139"/>
      <c r="W61" s="5293"/>
      <c r="X61" s="5233"/>
      <c r="Y61" s="1061" t="s">
        <v>1214</v>
      </c>
      <c r="Z61" s="1061" t="s">
        <v>2064</v>
      </c>
      <c r="AA61" s="5297">
        <v>5</v>
      </c>
      <c r="AB61" s="409"/>
    </row>
    <row r="62" spans="1:28" ht="14.25" customHeight="1" thickBot="1">
      <c r="A62" s="139"/>
      <c r="B62" s="3741"/>
      <c r="C62" s="5298" t="s">
        <v>2073</v>
      </c>
      <c r="D62" s="5299"/>
      <c r="E62" s="3669"/>
      <c r="F62" s="5279"/>
      <c r="G62" s="5279"/>
      <c r="H62" s="5279"/>
      <c r="I62" s="3669"/>
      <c r="J62" s="3669"/>
      <c r="K62" s="3669"/>
      <c r="L62" s="5300"/>
      <c r="M62" s="3669"/>
      <c r="N62" s="5279"/>
      <c r="O62" s="5279"/>
      <c r="P62" s="5301"/>
      <c r="Q62" s="5279"/>
      <c r="R62" s="5279"/>
      <c r="S62" s="5302"/>
      <c r="T62" s="3081"/>
      <c r="U62" s="3081"/>
      <c r="V62" s="139"/>
      <c r="W62" s="2875"/>
      <c r="X62" s="5233"/>
      <c r="Y62" s="1061" t="s">
        <v>1181</v>
      </c>
      <c r="Z62" s="1061" t="s">
        <v>2068</v>
      </c>
      <c r="AA62" s="1404">
        <v>1</v>
      </c>
      <c r="AB62" s="567" t="s">
        <v>2069</v>
      </c>
    </row>
    <row r="63" spans="1:28" ht="14.25" customHeight="1">
      <c r="A63" s="139"/>
      <c r="B63" s="5303" t="s">
        <v>2075</v>
      </c>
      <c r="C63" s="4246"/>
      <c r="D63" s="4246"/>
      <c r="E63" s="4246"/>
      <c r="F63" s="5304"/>
      <c r="G63" s="5304"/>
      <c r="H63" s="5304"/>
      <c r="I63" s="4246"/>
      <c r="J63" s="4246"/>
      <c r="K63" s="4246"/>
      <c r="L63" s="5305" t="s">
        <v>2076</v>
      </c>
      <c r="M63" s="5305"/>
      <c r="N63" s="5305"/>
      <c r="O63" s="5304"/>
      <c r="P63" s="5306"/>
      <c r="Q63" s="5304"/>
      <c r="R63" s="5304"/>
      <c r="S63" s="5348" t="str">
        <f>"Schedule C   (Form 1040)  "&amp;TaxYear</f>
        <v>Schedule C   (Form 1040)  2025</v>
      </c>
      <c r="T63" s="5348"/>
      <c r="U63" s="6578" t="s">
        <v>6511</v>
      </c>
      <c r="V63" s="139"/>
      <c r="W63" s="2875"/>
      <c r="X63" s="5233"/>
      <c r="Y63" s="1061" t="s">
        <v>1196</v>
      </c>
      <c r="Z63" s="1061" t="s">
        <v>2072</v>
      </c>
      <c r="AA63" s="5309">
        <f>ROUND(AA61*AA62,2)</f>
        <v>5</v>
      </c>
      <c r="AB63" s="409"/>
    </row>
    <row r="64" spans="1:28" ht="22.5" customHeight="1" thickBot="1">
      <c r="A64" s="139"/>
      <c r="B64" s="5267" t="str">
        <f>"Schedule C (Form 1040) "&amp;TaxYear</f>
        <v>Schedule C (Form 1040) 2025</v>
      </c>
      <c r="C64" s="5267"/>
      <c r="D64" s="5267"/>
      <c r="E64" s="5267"/>
      <c r="F64" s="5267"/>
      <c r="G64" s="5267"/>
      <c r="H64" s="5267"/>
      <c r="I64" s="5267"/>
      <c r="J64" s="5267"/>
      <c r="K64" s="5267"/>
      <c r="L64" s="5267"/>
      <c r="M64" s="5267"/>
      <c r="N64" s="5267"/>
      <c r="O64" s="5267"/>
      <c r="P64" s="5267"/>
      <c r="Q64" s="5267"/>
      <c r="R64" s="5310"/>
      <c r="S64" s="5310"/>
      <c r="T64" s="5310" t="s">
        <v>2079</v>
      </c>
      <c r="U64" s="5311" t="str">
        <f>"2"</f>
        <v>2</v>
      </c>
      <c r="V64" s="139"/>
      <c r="W64" s="2875"/>
      <c r="X64" s="5233"/>
      <c r="Y64" s="1400" t="s">
        <v>171</v>
      </c>
      <c r="Z64" s="1401" t="s">
        <v>2074</v>
      </c>
      <c r="AA64" s="5309">
        <f>ROUND(AA59*AA63,2)</f>
        <v>0</v>
      </c>
      <c r="AB64" s="409"/>
    </row>
    <row r="65" spans="1:28" ht="19.5" customHeight="1">
      <c r="A65" s="139"/>
      <c r="B65" s="5312" t="s">
        <v>1938</v>
      </c>
      <c r="C65" s="5313" t="s">
        <v>2080</v>
      </c>
      <c r="D65" s="5314"/>
      <c r="E65" s="5314"/>
      <c r="F65" s="5314"/>
      <c r="G65" s="5314"/>
      <c r="H65" s="5314"/>
      <c r="I65" s="5314"/>
      <c r="J65" s="5314"/>
      <c r="K65" s="5314"/>
      <c r="L65" s="5314"/>
      <c r="M65" s="5314"/>
      <c r="N65" s="5314"/>
      <c r="O65" s="5314"/>
      <c r="P65" s="5314"/>
      <c r="Q65" s="5314"/>
      <c r="R65" s="5314"/>
      <c r="S65" s="5314"/>
      <c r="T65" s="5314"/>
      <c r="U65" s="5314"/>
      <c r="V65" s="139"/>
      <c r="W65" s="2875"/>
      <c r="X65" s="5233"/>
      <c r="Y65" s="1400" t="s">
        <v>184</v>
      </c>
      <c r="Z65" s="1061" t="s">
        <v>2077</v>
      </c>
      <c r="AA65" s="5309">
        <f>MAX(0,MIN(AA58,AA64))</f>
        <v>0</v>
      </c>
      <c r="AB65" s="567" t="s">
        <v>2078</v>
      </c>
    </row>
    <row r="66" spans="1:28" ht="4.5" customHeight="1">
      <c r="A66" s="139"/>
      <c r="B66" s="3592"/>
      <c r="C66" s="3098"/>
      <c r="D66" s="3098"/>
      <c r="E66" s="3098"/>
      <c r="F66" s="3098"/>
      <c r="G66" s="3098"/>
      <c r="H66" s="3098"/>
      <c r="I66" s="3098"/>
      <c r="J66" s="3098"/>
      <c r="K66" s="3098"/>
      <c r="L66" s="3098"/>
      <c r="M66" s="3098"/>
      <c r="N66" s="3098"/>
      <c r="O66" s="3098"/>
      <c r="P66" s="3098"/>
      <c r="Q66" s="3098"/>
      <c r="R66" s="3098"/>
      <c r="S66" s="3098"/>
      <c r="T66" s="3098"/>
      <c r="U66" s="3098"/>
      <c r="V66" s="139"/>
      <c r="W66" s="2875"/>
      <c r="X66" s="5233"/>
      <c r="Y66" s="413"/>
      <c r="Z66" s="413"/>
      <c r="AA66" s="413"/>
      <c r="AB66" s="414"/>
    </row>
    <row r="67" spans="1:28" ht="15" customHeight="1" thickBot="1">
      <c r="A67" s="139"/>
      <c r="B67" s="2984">
        <v>33</v>
      </c>
      <c r="C67" s="3592" t="s">
        <v>2081</v>
      </c>
      <c r="D67" s="3627"/>
      <c r="E67" s="3627"/>
      <c r="F67" s="3627"/>
      <c r="G67" s="3627"/>
      <c r="H67" s="3627"/>
      <c r="I67" s="3627"/>
      <c r="J67" s="3627"/>
      <c r="K67" s="3627"/>
      <c r="L67" s="3627"/>
      <c r="M67" s="3627"/>
      <c r="N67" s="3627"/>
      <c r="O67" s="3627"/>
      <c r="P67" s="3627"/>
      <c r="Q67" s="3627"/>
      <c r="R67" s="3627"/>
      <c r="S67" s="3627"/>
      <c r="T67" s="3627"/>
      <c r="U67" s="3627"/>
      <c r="V67" s="139"/>
      <c r="W67" s="2875"/>
      <c r="X67" s="5233"/>
      <c r="Y67" s="1250">
        <f>SUM(SchC_ProfitLoss1,SchC_ProfitLoss2)</f>
        <v>0</v>
      </c>
      <c r="Z67" s="1250"/>
      <c r="AA67" s="1250"/>
      <c r="AB67" s="1250"/>
    </row>
    <row r="68" spans="1:28" ht="14.25" customHeight="1" thickBot="1">
      <c r="A68" s="139"/>
      <c r="B68" s="2984"/>
      <c r="C68" s="3592" t="s">
        <v>2082</v>
      </c>
      <c r="D68" s="3627"/>
      <c r="E68" s="282"/>
      <c r="F68" s="3592" t="s">
        <v>2083</v>
      </c>
      <c r="G68" s="2768" t="s">
        <v>2084</v>
      </c>
      <c r="H68" s="282"/>
      <c r="I68" s="3592" t="s">
        <v>2085</v>
      </c>
      <c r="J68" s="3016"/>
      <c r="K68" s="3627"/>
      <c r="L68" s="2768" t="s">
        <v>2086</v>
      </c>
      <c r="M68" s="282"/>
      <c r="N68" s="3592" t="s">
        <v>2087</v>
      </c>
      <c r="O68" s="3627"/>
      <c r="P68" s="3627"/>
      <c r="Q68" s="3627"/>
      <c r="R68" s="3627"/>
      <c r="S68" s="3627"/>
      <c r="T68" s="3627"/>
      <c r="U68" s="3627"/>
      <c r="V68" s="139"/>
      <c r="W68" s="2875"/>
      <c r="X68" s="5233"/>
      <c r="Y68" s="304" t="b">
        <f>IF(AND(R59&lt;&gt;"",R60&lt;&gt;""),FALSE,IF(AND(T56&gt;=0,OR(R59&lt;&gt;"",R60&lt;&gt;"")),TRUE,FALSE))</f>
        <v>0</v>
      </c>
      <c r="Z68" s="304"/>
      <c r="AA68" s="304"/>
      <c r="AB68" s="304"/>
    </row>
    <row r="69" spans="1:28" ht="15.75" customHeight="1" thickBot="1">
      <c r="A69" s="139"/>
      <c r="B69" s="2984">
        <v>34</v>
      </c>
      <c r="C69" s="5266" t="s">
        <v>2088</v>
      </c>
      <c r="D69" s="5267"/>
      <c r="E69" s="5267"/>
      <c r="F69" s="5267"/>
      <c r="G69" s="5267"/>
      <c r="H69" s="5267"/>
      <c r="I69" s="5267"/>
      <c r="J69" s="5267"/>
      <c r="K69" s="3627"/>
      <c r="L69" s="3627"/>
      <c r="M69" s="3627"/>
      <c r="N69" s="3627"/>
      <c r="O69" s="3627"/>
      <c r="P69" s="3627"/>
      <c r="Q69" s="5267"/>
      <c r="R69" s="5267"/>
      <c r="S69" s="5267"/>
      <c r="T69" s="5267"/>
      <c r="U69" s="5267"/>
      <c r="V69" s="139"/>
      <c r="W69" s="2875"/>
      <c r="X69" s="5233"/>
      <c r="Y69" s="304" t="b">
        <f>OR(Y68,Y70)</f>
        <v>0</v>
      </c>
      <c r="Z69" s="304"/>
      <c r="AA69" s="304"/>
      <c r="AB69" s="304"/>
    </row>
    <row r="70" spans="1:28" ht="15" customHeight="1" thickBot="1">
      <c r="A70" s="139"/>
      <c r="B70" s="2984"/>
      <c r="C70" s="5266" t="s">
        <v>2089</v>
      </c>
      <c r="D70" s="5267"/>
      <c r="E70" s="5267"/>
      <c r="F70" s="5267"/>
      <c r="G70" s="5267"/>
      <c r="H70" s="5267"/>
      <c r="I70" s="5267"/>
      <c r="J70" s="5267"/>
      <c r="K70" s="5267"/>
      <c r="L70" s="5267"/>
      <c r="M70" s="5267"/>
      <c r="N70" s="5267"/>
      <c r="O70" s="5256"/>
      <c r="P70" s="5265" t="s">
        <v>2090</v>
      </c>
      <c r="Q70" s="282"/>
      <c r="R70" s="5256" t="s">
        <v>568</v>
      </c>
      <c r="S70" s="5315"/>
      <c r="T70" s="282"/>
      <c r="U70" s="5256" t="s">
        <v>569</v>
      </c>
      <c r="V70" s="139"/>
      <c r="W70" s="2875"/>
      <c r="X70" s="5233"/>
      <c r="Y70" s="304" t="b">
        <f>AND(R59&lt;&gt;"",R60&lt;&gt;"")</f>
        <v>0</v>
      </c>
      <c r="Z70" s="304"/>
      <c r="AA70" s="304"/>
      <c r="AB70" s="304"/>
    </row>
    <row r="71" spans="1:28" ht="7.5" customHeight="1">
      <c r="A71" s="139"/>
      <c r="B71" s="2984"/>
      <c r="C71" s="5266"/>
      <c r="D71" s="5267"/>
      <c r="E71" s="5267"/>
      <c r="F71" s="5267"/>
      <c r="G71" s="5267"/>
      <c r="H71" s="5267"/>
      <c r="I71" s="5267"/>
      <c r="J71" s="5267"/>
      <c r="K71" s="5267"/>
      <c r="L71" s="5267"/>
      <c r="M71" s="5267"/>
      <c r="N71" s="5267"/>
      <c r="O71" s="5267"/>
      <c r="P71" s="5267"/>
      <c r="Q71" s="5267"/>
      <c r="R71" s="5267"/>
      <c r="S71" s="5267"/>
      <c r="T71" s="5267"/>
      <c r="U71" s="5267"/>
      <c r="V71" s="139"/>
      <c r="W71" s="2875"/>
      <c r="X71" s="5233"/>
      <c r="Y71" s="5316"/>
      <c r="Z71" s="318"/>
      <c r="AA71" s="318"/>
      <c r="AB71" s="318"/>
    </row>
    <row r="72" spans="1:28" ht="14.25" customHeight="1">
      <c r="A72" s="139"/>
      <c r="B72" s="2984">
        <v>35</v>
      </c>
      <c r="C72" s="5266" t="s">
        <v>2091</v>
      </c>
      <c r="D72" s="5267"/>
      <c r="E72" s="5267"/>
      <c r="F72" s="5267"/>
      <c r="G72" s="5267"/>
      <c r="H72" s="5267"/>
      <c r="I72" s="5267"/>
      <c r="J72" s="5267"/>
      <c r="K72" s="5267"/>
      <c r="L72" s="5267"/>
      <c r="M72" s="5267"/>
      <c r="N72" s="5267"/>
      <c r="O72" s="5267"/>
      <c r="P72" s="5267"/>
      <c r="Q72" s="5267"/>
      <c r="R72" s="5265" t="s">
        <v>624</v>
      </c>
      <c r="S72" s="3693">
        <v>35</v>
      </c>
      <c r="T72" s="8209"/>
      <c r="U72" s="8210"/>
      <c r="V72" s="139"/>
      <c r="W72" s="2875"/>
      <c r="X72" s="5233"/>
    </row>
    <row r="73" spans="1:28" ht="12.75" customHeight="1">
      <c r="A73" s="139"/>
      <c r="B73" s="2984"/>
      <c r="C73" s="5266"/>
      <c r="D73" s="5267"/>
      <c r="E73" s="5267"/>
      <c r="F73" s="5267"/>
      <c r="G73" s="5267"/>
      <c r="H73" s="5267"/>
      <c r="I73" s="5267"/>
      <c r="J73" s="5267"/>
      <c r="K73" s="5267"/>
      <c r="L73" s="5267"/>
      <c r="M73" s="5267"/>
      <c r="N73" s="5267"/>
      <c r="O73" s="5267"/>
      <c r="P73" s="5267"/>
      <c r="Q73" s="5267"/>
      <c r="R73" s="5267"/>
      <c r="S73" s="5287"/>
      <c r="T73" s="1649"/>
      <c r="U73" s="1650"/>
      <c r="V73" s="139"/>
      <c r="W73" s="2875"/>
      <c r="X73" s="5233"/>
    </row>
    <row r="74" spans="1:28" ht="14.25" customHeight="1">
      <c r="A74" s="139"/>
      <c r="B74" s="2984">
        <v>36</v>
      </c>
      <c r="C74" s="5266" t="s">
        <v>2092</v>
      </c>
      <c r="D74" s="5267"/>
      <c r="E74" s="5267"/>
      <c r="F74" s="5267"/>
      <c r="G74" s="5267"/>
      <c r="H74" s="5267"/>
      <c r="I74" s="5267"/>
      <c r="J74" s="5267"/>
      <c r="K74" s="5267"/>
      <c r="L74" s="5267"/>
      <c r="M74" s="5267"/>
      <c r="N74" s="5267"/>
      <c r="O74" s="5267"/>
      <c r="P74" s="5267"/>
      <c r="Q74" s="5267"/>
      <c r="R74" s="5265" t="s">
        <v>677</v>
      </c>
      <c r="S74" s="3693">
        <v>36</v>
      </c>
      <c r="T74" s="8209"/>
      <c r="U74" s="8210"/>
      <c r="V74" s="139"/>
      <c r="W74" s="2875"/>
      <c r="X74" s="5233"/>
    </row>
    <row r="75" spans="1:28">
      <c r="A75" s="139"/>
      <c r="B75" s="2984"/>
      <c r="C75" s="5266"/>
      <c r="D75" s="5267"/>
      <c r="E75" s="5267"/>
      <c r="F75" s="5267"/>
      <c r="G75" s="5267"/>
      <c r="H75" s="5267"/>
      <c r="I75" s="5267"/>
      <c r="J75" s="5267"/>
      <c r="K75" s="5267"/>
      <c r="L75" s="5267"/>
      <c r="M75" s="5267"/>
      <c r="N75" s="5267"/>
      <c r="O75" s="5267"/>
      <c r="P75" s="5267"/>
      <c r="Q75" s="5267"/>
      <c r="R75" s="5267"/>
      <c r="S75" s="5287"/>
      <c r="T75" s="1649"/>
      <c r="U75" s="1650"/>
      <c r="V75" s="139"/>
      <c r="W75" s="2875"/>
      <c r="X75" s="5233"/>
    </row>
    <row r="76" spans="1:28" ht="14.25" customHeight="1">
      <c r="A76" s="139"/>
      <c r="B76" s="2984">
        <v>37</v>
      </c>
      <c r="C76" s="5266" t="s">
        <v>2093</v>
      </c>
      <c r="D76" s="5267"/>
      <c r="E76" s="5267"/>
      <c r="F76" s="5267"/>
      <c r="G76" s="5267"/>
      <c r="H76" s="5267"/>
      <c r="I76" s="5267"/>
      <c r="J76" s="5267"/>
      <c r="K76" s="5267"/>
      <c r="L76" s="5267"/>
      <c r="M76" s="5267"/>
      <c r="N76" s="5267"/>
      <c r="O76" s="5267"/>
      <c r="P76" s="5267"/>
      <c r="Q76" s="5267"/>
      <c r="R76" s="5265" t="s">
        <v>665</v>
      </c>
      <c r="S76" s="3693">
        <v>37</v>
      </c>
      <c r="T76" s="8209"/>
      <c r="U76" s="8210"/>
      <c r="V76" s="139"/>
      <c r="W76" s="2875"/>
      <c r="X76" s="5233"/>
    </row>
    <row r="77" spans="1:28">
      <c r="A77" s="139"/>
      <c r="B77" s="2984"/>
      <c r="C77" s="5266"/>
      <c r="D77" s="5267"/>
      <c r="E77" s="5267"/>
      <c r="F77" s="5267"/>
      <c r="G77" s="5267"/>
      <c r="H77" s="5267"/>
      <c r="I77" s="5267"/>
      <c r="J77" s="5267"/>
      <c r="K77" s="5267"/>
      <c r="L77" s="5267"/>
      <c r="M77" s="5267"/>
      <c r="N77" s="5267"/>
      <c r="O77" s="5267"/>
      <c r="P77" s="5267"/>
      <c r="Q77" s="5267"/>
      <c r="R77" s="5267"/>
      <c r="S77" s="5287"/>
      <c r="T77" s="1649"/>
      <c r="U77" s="1650"/>
      <c r="V77" s="139"/>
      <c r="W77" s="2875"/>
      <c r="X77" s="5233"/>
    </row>
    <row r="78" spans="1:28" ht="14.25" customHeight="1">
      <c r="A78" s="139"/>
      <c r="B78" s="2984">
        <v>38</v>
      </c>
      <c r="C78" s="5266" t="s">
        <v>2094</v>
      </c>
      <c r="D78" s="5267"/>
      <c r="E78" s="5267"/>
      <c r="F78" s="5267"/>
      <c r="G78" s="5267"/>
      <c r="H78" s="5267"/>
      <c r="I78" s="5267"/>
      <c r="J78" s="5267"/>
      <c r="K78" s="5267"/>
      <c r="L78" s="5267"/>
      <c r="M78" s="5267"/>
      <c r="N78" s="5267"/>
      <c r="O78" s="5267"/>
      <c r="P78" s="5267"/>
      <c r="Q78" s="5267"/>
      <c r="R78" s="5265" t="s">
        <v>2095</v>
      </c>
      <c r="S78" s="3693">
        <v>38</v>
      </c>
      <c r="T78" s="8209"/>
      <c r="U78" s="8210"/>
      <c r="V78" s="139"/>
      <c r="W78" s="2875"/>
      <c r="X78" s="5233"/>
    </row>
    <row r="79" spans="1:28">
      <c r="A79" s="139"/>
      <c r="B79" s="2984"/>
      <c r="C79" s="5266"/>
      <c r="D79" s="5267"/>
      <c r="E79" s="5267"/>
      <c r="F79" s="5267"/>
      <c r="G79" s="5267"/>
      <c r="H79" s="5267"/>
      <c r="I79" s="5267"/>
      <c r="J79" s="5267"/>
      <c r="K79" s="5267"/>
      <c r="L79" s="5267"/>
      <c r="M79" s="5267"/>
      <c r="N79" s="5267"/>
      <c r="O79" s="5267"/>
      <c r="P79" s="5267"/>
      <c r="Q79" s="5267"/>
      <c r="R79" s="5267"/>
      <c r="S79" s="5287"/>
      <c r="T79" s="1649"/>
      <c r="U79" s="1650"/>
      <c r="V79" s="139"/>
      <c r="W79" s="2875"/>
      <c r="X79" s="5233"/>
    </row>
    <row r="80" spans="1:28" ht="14.25" customHeight="1" thickBot="1">
      <c r="A80" s="139"/>
      <c r="B80" s="2984">
        <v>39</v>
      </c>
      <c r="C80" s="5266" t="s">
        <v>2096</v>
      </c>
      <c r="D80" s="5267"/>
      <c r="E80" s="5267"/>
      <c r="F80" s="5267"/>
      <c r="G80" s="5267"/>
      <c r="H80" s="5267"/>
      <c r="I80" s="5267"/>
      <c r="J80" s="5267"/>
      <c r="K80" s="5267"/>
      <c r="L80" s="5267"/>
      <c r="M80" s="5267"/>
      <c r="N80" s="5267"/>
      <c r="O80" s="5267"/>
      <c r="P80" s="5267"/>
      <c r="Q80" s="5267"/>
      <c r="R80" s="5265" t="s">
        <v>2097</v>
      </c>
      <c r="S80" s="4303">
        <v>39</v>
      </c>
      <c r="T80" s="8231"/>
      <c r="U80" s="8232"/>
      <c r="V80" s="139"/>
      <c r="W80" s="2875"/>
      <c r="X80" s="5233"/>
    </row>
    <row r="81" spans="1:28">
      <c r="A81" s="139"/>
      <c r="B81" s="2984"/>
      <c r="C81" s="5266"/>
      <c r="D81" s="5267"/>
      <c r="E81" s="5267"/>
      <c r="F81" s="5267"/>
      <c r="G81" s="5267"/>
      <c r="H81" s="5267"/>
      <c r="I81" s="5267"/>
      <c r="J81" s="5267"/>
      <c r="K81" s="5267"/>
      <c r="L81" s="5267"/>
      <c r="M81" s="5267"/>
      <c r="N81" s="5267"/>
      <c r="O81" s="5267"/>
      <c r="P81" s="5267"/>
      <c r="Q81" s="5267"/>
      <c r="R81" s="5267"/>
      <c r="S81" s="5287"/>
      <c r="T81" s="1651"/>
      <c r="U81" s="1652"/>
      <c r="V81" s="139"/>
      <c r="W81" s="2875"/>
      <c r="X81" s="5233"/>
    </row>
    <row r="82" spans="1:28" ht="14.25" customHeight="1">
      <c r="A82" s="139"/>
      <c r="B82" s="2984">
        <v>40</v>
      </c>
      <c r="C82" s="5266" t="s">
        <v>2098</v>
      </c>
      <c r="D82" s="5267"/>
      <c r="E82" s="5267"/>
      <c r="F82" s="5267"/>
      <c r="G82" s="5267"/>
      <c r="H82" s="5267"/>
      <c r="I82" s="5267"/>
      <c r="J82" s="5267"/>
      <c r="K82" s="5267"/>
      <c r="L82" s="5267"/>
      <c r="M82" s="5267"/>
      <c r="N82" s="5267"/>
      <c r="O82" s="5267"/>
      <c r="P82" s="5267"/>
      <c r="Q82" s="5267"/>
      <c r="R82" s="5265" t="s">
        <v>2099</v>
      </c>
      <c r="S82" s="3693">
        <v>40</v>
      </c>
      <c r="T82" s="8198" t="str">
        <f>IF(ROUND(SUM(T72:U80),0)=0,"",ROUND(SUM(T72:U80),0))</f>
        <v/>
      </c>
      <c r="U82" s="8199"/>
      <c r="V82" s="139"/>
      <c r="W82" s="2875"/>
      <c r="X82" s="5233"/>
    </row>
    <row r="83" spans="1:28">
      <c r="A83" s="139"/>
      <c r="B83" s="2984"/>
      <c r="C83" s="5266"/>
      <c r="D83" s="5267"/>
      <c r="E83" s="5267"/>
      <c r="F83" s="5267"/>
      <c r="G83" s="5267"/>
      <c r="H83" s="5267"/>
      <c r="I83" s="5267"/>
      <c r="J83" s="5267"/>
      <c r="K83" s="5267"/>
      <c r="L83" s="5267"/>
      <c r="M83" s="5267"/>
      <c r="N83" s="5267"/>
      <c r="O83" s="5267"/>
      <c r="P83" s="5267"/>
      <c r="Q83" s="5267"/>
      <c r="R83" s="5267"/>
      <c r="S83" s="5287"/>
      <c r="T83" s="1649"/>
      <c r="U83" s="1650"/>
      <c r="V83" s="139"/>
      <c r="W83" s="2875"/>
      <c r="X83" s="5233"/>
    </row>
    <row r="84" spans="1:28" ht="14.25" customHeight="1" thickBot="1">
      <c r="A84" s="139"/>
      <c r="B84" s="2984">
        <v>41</v>
      </c>
      <c r="C84" s="5266" t="s">
        <v>2100</v>
      </c>
      <c r="D84" s="5267"/>
      <c r="E84" s="5267"/>
      <c r="F84" s="5267"/>
      <c r="G84" s="5267"/>
      <c r="H84" s="5267"/>
      <c r="I84" s="5267"/>
      <c r="J84" s="5267"/>
      <c r="K84" s="5267"/>
      <c r="L84" s="5267"/>
      <c r="M84" s="5267"/>
      <c r="N84" s="5267"/>
      <c r="O84" s="5267"/>
      <c r="P84" s="5267"/>
      <c r="Q84" s="5267"/>
      <c r="R84" s="5265" t="s">
        <v>2099</v>
      </c>
      <c r="S84" s="4303">
        <v>41</v>
      </c>
      <c r="T84" s="8231"/>
      <c r="U84" s="8232"/>
      <c r="V84" s="139"/>
      <c r="W84" s="2875"/>
      <c r="X84" s="5233"/>
    </row>
    <row r="85" spans="1:28">
      <c r="A85" s="139"/>
      <c r="B85" s="2984"/>
      <c r="C85" s="5266"/>
      <c r="D85" s="5267"/>
      <c r="E85" s="5267"/>
      <c r="F85" s="5267"/>
      <c r="G85" s="5267"/>
      <c r="H85" s="5267"/>
      <c r="I85" s="5267"/>
      <c r="J85" s="5267"/>
      <c r="K85" s="5267"/>
      <c r="L85" s="5267"/>
      <c r="M85" s="5267"/>
      <c r="N85" s="5267"/>
      <c r="O85" s="5267"/>
      <c r="P85" s="5267"/>
      <c r="Q85" s="5267"/>
      <c r="R85" s="5267"/>
      <c r="S85" s="5287"/>
      <c r="T85" s="1651"/>
      <c r="U85" s="1652"/>
      <c r="V85" s="139"/>
      <c r="W85" s="2875"/>
      <c r="X85" s="5233"/>
    </row>
    <row r="86" spans="1:28" ht="14.25" customHeight="1" thickBot="1">
      <c r="A86" s="139"/>
      <c r="B86" s="2984">
        <v>42</v>
      </c>
      <c r="C86" s="5268" t="s">
        <v>2101</v>
      </c>
      <c r="D86" s="5256"/>
      <c r="E86" s="5267"/>
      <c r="F86" s="5267"/>
      <c r="G86" s="5267"/>
      <c r="H86" s="5267"/>
      <c r="I86" s="5267"/>
      <c r="J86" s="5267"/>
      <c r="K86" s="5267"/>
      <c r="L86" s="5267"/>
      <c r="M86" s="5267"/>
      <c r="N86" s="5267"/>
      <c r="O86" s="5267"/>
      <c r="P86" s="5267"/>
      <c r="Q86" s="5267"/>
      <c r="R86" s="5265" t="s">
        <v>670</v>
      </c>
      <c r="S86" s="3693">
        <v>42</v>
      </c>
      <c r="T86" s="8146" t="str">
        <f>IF(AND(T82="",T84=""),"",ROUND(SUM(T82,-T84),0))</f>
        <v/>
      </c>
      <c r="U86" s="8147"/>
      <c r="V86" s="139"/>
      <c r="W86" s="2875"/>
      <c r="X86" s="5233"/>
    </row>
    <row r="87" spans="1:28" ht="15">
      <c r="A87" s="139"/>
      <c r="B87" s="2978" t="s">
        <v>2102</v>
      </c>
      <c r="C87" s="5317" t="s">
        <v>2103</v>
      </c>
      <c r="D87" s="5317"/>
      <c r="E87" s="5317"/>
      <c r="F87" s="5317"/>
      <c r="G87" s="5317" t="s">
        <v>2104</v>
      </c>
      <c r="H87" s="5317"/>
      <c r="I87" s="5317"/>
      <c r="J87" s="5317"/>
      <c r="K87" s="5317"/>
      <c r="L87" s="5317"/>
      <c r="M87" s="5317"/>
      <c r="N87" s="5317"/>
      <c r="O87" s="5317"/>
      <c r="P87" s="5317"/>
      <c r="Q87" s="5317"/>
      <c r="R87" s="5317"/>
      <c r="S87" s="5317"/>
      <c r="T87" s="5317"/>
      <c r="U87" s="5317"/>
      <c r="V87" s="139"/>
      <c r="W87" s="2875"/>
      <c r="X87" s="5233"/>
    </row>
    <row r="88" spans="1:28" ht="12.75" customHeight="1">
      <c r="A88" s="139"/>
      <c r="B88" s="5241"/>
      <c r="C88" s="5318" t="s">
        <v>2105</v>
      </c>
      <c r="D88" s="5266"/>
      <c r="E88" s="5318"/>
      <c r="F88" s="5318"/>
      <c r="G88" s="5318"/>
      <c r="H88" s="5318"/>
      <c r="I88" s="5318"/>
      <c r="J88" s="5318"/>
      <c r="K88" s="5318"/>
      <c r="L88" s="5318"/>
      <c r="M88" s="5318"/>
      <c r="N88" s="5318"/>
      <c r="O88" s="5318"/>
      <c r="P88" s="5318"/>
      <c r="Q88" s="5318"/>
      <c r="R88" s="5318"/>
      <c r="S88" s="5318"/>
      <c r="T88" s="5318"/>
      <c r="U88" s="5318"/>
      <c r="V88" s="139"/>
      <c r="W88" s="2875"/>
      <c r="X88" s="5233"/>
    </row>
    <row r="89" spans="1:28" ht="12.75" customHeight="1">
      <c r="A89" s="139"/>
      <c r="B89" s="5319"/>
      <c r="C89" s="5320" t="s">
        <v>2106</v>
      </c>
      <c r="D89" s="5321"/>
      <c r="E89" s="5322"/>
      <c r="F89" s="5322"/>
      <c r="G89" s="5322"/>
      <c r="H89" s="5322"/>
      <c r="I89" s="5322"/>
      <c r="J89" s="5322"/>
      <c r="K89" s="5322"/>
      <c r="L89" s="5322"/>
      <c r="M89" s="5322"/>
      <c r="N89" s="5322"/>
      <c r="O89" s="5322"/>
      <c r="P89" s="5322"/>
      <c r="Q89" s="5322"/>
      <c r="R89" s="5322"/>
      <c r="S89" s="5322"/>
      <c r="T89" s="5322"/>
      <c r="U89" s="5322"/>
      <c r="V89" s="139"/>
      <c r="W89" s="2875"/>
      <c r="X89" s="5233"/>
    </row>
    <row r="90" spans="1:28" ht="12.75" customHeight="1">
      <c r="A90" s="139"/>
      <c r="B90" s="5241"/>
      <c r="C90" s="5267"/>
      <c r="D90" s="5267"/>
      <c r="E90" s="5267"/>
      <c r="F90" s="5267"/>
      <c r="G90" s="5267"/>
      <c r="H90" s="5267"/>
      <c r="I90" s="5267"/>
      <c r="J90" s="5267"/>
      <c r="K90" s="5267"/>
      <c r="L90" s="5267"/>
      <c r="M90" s="5267"/>
      <c r="N90" s="5267"/>
      <c r="O90" s="5267"/>
      <c r="P90" s="5267"/>
      <c r="Q90" s="5267"/>
      <c r="R90" s="5267"/>
      <c r="S90" s="5267"/>
      <c r="T90" s="5267"/>
      <c r="U90" s="5267"/>
      <c r="V90" s="139"/>
      <c r="W90" s="2875"/>
      <c r="X90" s="5233"/>
    </row>
    <row r="91" spans="1:28" ht="12.75" customHeight="1">
      <c r="A91" s="139"/>
      <c r="B91" s="2984">
        <v>43</v>
      </c>
      <c r="C91" s="5323" t="s">
        <v>2107</v>
      </c>
      <c r="D91" s="5323"/>
      <c r="E91" s="5267"/>
      <c r="F91" s="5267"/>
      <c r="G91" s="5267"/>
      <c r="H91" s="5267"/>
      <c r="I91" s="5267"/>
      <c r="J91" s="5267"/>
      <c r="K91" s="5267"/>
      <c r="L91" s="5267"/>
      <c r="M91" s="8152"/>
      <c r="N91" s="8152"/>
      <c r="O91" s="5324" t="s">
        <v>2108</v>
      </c>
      <c r="P91" s="8152"/>
      <c r="Q91" s="8152"/>
      <c r="R91" s="5324" t="s">
        <v>2108</v>
      </c>
      <c r="S91" s="8152"/>
      <c r="T91" s="8152"/>
      <c r="U91" s="5256"/>
      <c r="V91" s="139"/>
      <c r="W91" s="2875"/>
      <c r="X91" s="5233"/>
    </row>
    <row r="92" spans="1:28" ht="13.5" customHeight="1">
      <c r="A92" s="139"/>
      <c r="B92" s="5241"/>
      <c r="C92" s="5267"/>
      <c r="D92" s="5267"/>
      <c r="E92" s="5267"/>
      <c r="F92" s="5267"/>
      <c r="G92" s="5267"/>
      <c r="H92" s="5267"/>
      <c r="I92" s="5267"/>
      <c r="J92" s="5267"/>
      <c r="K92" s="5267"/>
      <c r="L92" s="5267"/>
      <c r="M92" s="5267"/>
      <c r="N92" s="5267"/>
      <c r="O92" s="5267"/>
      <c r="P92" s="5267"/>
      <c r="Q92" s="5267"/>
      <c r="R92" s="5267"/>
      <c r="S92" s="5267"/>
      <c r="T92" s="5267"/>
      <c r="U92" s="5267"/>
      <c r="V92" s="139"/>
      <c r="W92" s="2875"/>
      <c r="X92" s="5233"/>
    </row>
    <row r="93" spans="1:28" ht="14.25" customHeight="1">
      <c r="A93" s="139"/>
      <c r="B93" s="2984">
        <v>44</v>
      </c>
      <c r="C93" s="5267" t="str">
        <f>"Of the total number of miles you drove your vehicle during "&amp;TaxYear&amp;", enter the number of miles you used your vehicle for:"</f>
        <v>Of the total number of miles you drove your vehicle during 2025, enter the number of miles you used your vehicle for:</v>
      </c>
      <c r="D93" s="5267"/>
      <c r="E93" s="5267"/>
      <c r="F93" s="5267"/>
      <c r="G93" s="5267"/>
      <c r="H93" s="5267"/>
      <c r="I93" s="5267"/>
      <c r="J93" s="5267"/>
      <c r="K93" s="5267"/>
      <c r="L93" s="5267"/>
      <c r="M93" s="5267"/>
      <c r="N93" s="5267"/>
      <c r="O93" s="5267"/>
      <c r="P93" s="5267"/>
      <c r="Q93" s="5267"/>
      <c r="R93" s="5267"/>
      <c r="S93" s="5267"/>
      <c r="T93" s="5267"/>
      <c r="U93" s="5267"/>
      <c r="V93" s="139"/>
      <c r="W93" s="2875"/>
      <c r="X93" s="5233"/>
    </row>
    <row r="94" spans="1:28">
      <c r="A94" s="139"/>
      <c r="B94" s="3016"/>
      <c r="C94" s="5325" t="s">
        <v>2109</v>
      </c>
      <c r="D94" s="8208"/>
      <c r="E94" s="8208"/>
      <c r="F94" s="5326"/>
      <c r="G94" s="5310"/>
      <c r="H94" s="5310"/>
      <c r="I94" s="5327" t="s">
        <v>2110</v>
      </c>
      <c r="J94" s="8182"/>
      <c r="K94" s="8183"/>
      <c r="L94" s="8183"/>
      <c r="M94" s="5265"/>
      <c r="N94" s="5328" t="s">
        <v>595</v>
      </c>
      <c r="O94" s="8214" t="s">
        <v>254</v>
      </c>
      <c r="P94" s="8215"/>
      <c r="Q94" s="8208"/>
      <c r="R94" s="8208"/>
      <c r="S94" s="8208"/>
      <c r="T94" s="8208"/>
      <c r="U94" s="5329"/>
      <c r="V94" s="139"/>
      <c r="W94" s="5330" t="str">
        <f>IF(Y96,"Check","")</f>
        <v/>
      </c>
      <c r="X94" s="5233"/>
    </row>
    <row r="95" spans="1:28" ht="15" customHeight="1" thickBot="1">
      <c r="A95" s="139"/>
      <c r="B95" s="5241"/>
      <c r="C95" s="5267"/>
      <c r="D95" s="5267"/>
      <c r="E95" s="5267"/>
      <c r="F95" s="5267"/>
      <c r="G95" s="5267"/>
      <c r="H95" s="5267"/>
      <c r="I95" s="5267"/>
      <c r="J95" s="5267"/>
      <c r="K95" s="5267"/>
      <c r="L95" s="5267"/>
      <c r="M95" s="5267"/>
      <c r="N95" s="5267"/>
      <c r="O95" s="5267"/>
      <c r="P95" s="5267"/>
      <c r="Q95" s="5267"/>
      <c r="R95" s="5331"/>
      <c r="S95" s="5267"/>
      <c r="T95" s="5267"/>
      <c r="U95" s="5267"/>
      <c r="V95" s="139"/>
      <c r="W95" s="5330"/>
      <c r="X95" s="5233"/>
    </row>
    <row r="96" spans="1:28" ht="14.25" customHeight="1" thickBot="1">
      <c r="A96" s="139"/>
      <c r="B96" s="2984">
        <v>45</v>
      </c>
      <c r="C96" s="5266" t="s">
        <v>2111</v>
      </c>
      <c r="D96" s="5267"/>
      <c r="E96" s="5267"/>
      <c r="F96" s="5267"/>
      <c r="G96" s="5267"/>
      <c r="H96" s="5267"/>
      <c r="I96" s="5332"/>
      <c r="J96" s="2826"/>
      <c r="K96" s="5267"/>
      <c r="L96" s="2826"/>
      <c r="M96" s="5267"/>
      <c r="N96" s="5267"/>
      <c r="O96" s="5267"/>
      <c r="P96" s="5265" t="s">
        <v>1448</v>
      </c>
      <c r="Q96" s="282"/>
      <c r="R96" s="2826" t="s">
        <v>568</v>
      </c>
      <c r="S96" s="5267"/>
      <c r="T96" s="282"/>
      <c r="U96" s="5268" t="s">
        <v>569</v>
      </c>
      <c r="V96" s="139"/>
      <c r="W96" s="5330" t="str">
        <f>IF(Y98,"ONLY one.","")</f>
        <v/>
      </c>
      <c r="X96" s="5233"/>
      <c r="Y96" s="304" t="b">
        <f>OR(Y98,Y100,Y102,Y104)</f>
        <v>0</v>
      </c>
      <c r="Z96" s="304"/>
      <c r="AA96" s="304"/>
      <c r="AB96" s="304"/>
    </row>
    <row r="97" spans="1:28" ht="12.75" customHeight="1" thickBot="1">
      <c r="A97" s="139"/>
      <c r="B97" s="3016"/>
      <c r="C97" s="2776"/>
      <c r="D97" s="5310"/>
      <c r="E97" s="5310"/>
      <c r="F97" s="5310"/>
      <c r="G97" s="5310"/>
      <c r="H97" s="5310"/>
      <c r="I97" s="5310"/>
      <c r="J97" s="5310"/>
      <c r="K97" s="5310"/>
      <c r="L97" s="5310"/>
      <c r="M97" s="5310"/>
      <c r="N97" s="5310"/>
      <c r="O97" s="5267"/>
      <c r="P97" s="5310"/>
      <c r="Q97" s="5310"/>
      <c r="R97" s="5310"/>
      <c r="S97" s="5310"/>
      <c r="T97" s="5267"/>
      <c r="U97" s="5267"/>
      <c r="V97" s="139"/>
      <c r="W97" s="2875"/>
      <c r="X97" s="5233"/>
      <c r="Y97" s="304"/>
      <c r="Z97" s="304"/>
      <c r="AA97" s="304"/>
      <c r="AB97" s="304"/>
    </row>
    <row r="98" spans="1:28" ht="14.25" customHeight="1" thickBot="1">
      <c r="A98" s="139"/>
      <c r="B98" s="2984">
        <v>46</v>
      </c>
      <c r="C98" s="5266" t="s">
        <v>2112</v>
      </c>
      <c r="D98" s="5267"/>
      <c r="E98" s="5267"/>
      <c r="F98" s="5267"/>
      <c r="G98" s="5267"/>
      <c r="H98" s="5267"/>
      <c r="I98" s="5267"/>
      <c r="J98" s="5267"/>
      <c r="K98" s="5332"/>
      <c r="L98" s="5267"/>
      <c r="M98" s="2826"/>
      <c r="N98" s="2826"/>
      <c r="O98" s="5267"/>
      <c r="P98" s="5265" t="s">
        <v>1405</v>
      </c>
      <c r="Q98" s="282"/>
      <c r="R98" s="2826" t="s">
        <v>568</v>
      </c>
      <c r="S98" s="5267"/>
      <c r="T98" s="282"/>
      <c r="U98" s="5268" t="s">
        <v>569</v>
      </c>
      <c r="V98" s="139"/>
      <c r="W98" s="5330" t="str">
        <f>IF(Y100,"ONLY one.","")</f>
        <v/>
      </c>
      <c r="X98" s="5233"/>
      <c r="Y98" s="304" t="b">
        <f>IF(AND(Q96&lt;&gt;"",T96&lt;&gt;""),TRUE,FALSE)</f>
        <v>0</v>
      </c>
      <c r="Z98" s="304"/>
      <c r="AA98" s="304"/>
      <c r="AB98" s="304"/>
    </row>
    <row r="99" spans="1:28" ht="13.5" thickBot="1">
      <c r="A99" s="139"/>
      <c r="B99" s="5241"/>
      <c r="C99" s="5266"/>
      <c r="D99" s="5267"/>
      <c r="E99" s="5267"/>
      <c r="F99" s="5267"/>
      <c r="G99" s="5267"/>
      <c r="H99" s="5267"/>
      <c r="I99" s="5267"/>
      <c r="J99" s="5267"/>
      <c r="K99" s="5267"/>
      <c r="L99" s="5267"/>
      <c r="M99" s="5267"/>
      <c r="N99" s="5267"/>
      <c r="O99" s="5267"/>
      <c r="P99" s="5267"/>
      <c r="Q99" s="5267"/>
      <c r="R99" s="5331"/>
      <c r="S99" s="5267"/>
      <c r="T99" s="5267"/>
      <c r="U99" s="5267"/>
      <c r="V99" s="139"/>
      <c r="W99" s="2875"/>
      <c r="X99" s="5233"/>
      <c r="Y99" s="304"/>
      <c r="Z99" s="304"/>
      <c r="AA99" s="304"/>
      <c r="AB99" s="304"/>
    </row>
    <row r="100" spans="1:28" ht="14.25" customHeight="1" thickBot="1">
      <c r="A100" s="139"/>
      <c r="B100" s="2984" t="s">
        <v>2113</v>
      </c>
      <c r="C100" s="5266" t="s">
        <v>2114</v>
      </c>
      <c r="D100" s="5267"/>
      <c r="E100" s="5267"/>
      <c r="F100" s="5267"/>
      <c r="G100" s="5267"/>
      <c r="H100" s="5267"/>
      <c r="I100" s="5332"/>
      <c r="J100" s="5267"/>
      <c r="K100" s="5267"/>
      <c r="L100" s="5267"/>
      <c r="M100" s="5267"/>
      <c r="N100" s="5267"/>
      <c r="O100" s="5267"/>
      <c r="P100" s="5265" t="s">
        <v>1426</v>
      </c>
      <c r="Q100" s="282"/>
      <c r="R100" s="2826" t="s">
        <v>568</v>
      </c>
      <c r="S100" s="5267"/>
      <c r="T100" s="282"/>
      <c r="U100" s="5268" t="s">
        <v>569</v>
      </c>
      <c r="V100" s="139"/>
      <c r="W100" s="5330" t="str">
        <f>IF(Y102,"ONLY one.","")</f>
        <v/>
      </c>
      <c r="X100" s="5233"/>
      <c r="Y100" s="304" t="b">
        <f>IF(AND(Q98&lt;&gt;"",T98&lt;&gt;""),TRUE,FALSE)</f>
        <v>0</v>
      </c>
      <c r="Z100" s="304"/>
      <c r="AA100" s="304"/>
      <c r="AB100" s="304"/>
    </row>
    <row r="101" spans="1:28" ht="13.5" thickBot="1">
      <c r="A101" s="139"/>
      <c r="B101" s="5241"/>
      <c r="C101" s="5266"/>
      <c r="D101" s="5267"/>
      <c r="E101" s="5267"/>
      <c r="F101" s="5267"/>
      <c r="G101" s="5267"/>
      <c r="H101" s="5267"/>
      <c r="I101" s="5267"/>
      <c r="J101" s="5267"/>
      <c r="K101" s="5267"/>
      <c r="L101" s="5267"/>
      <c r="M101" s="5267"/>
      <c r="N101" s="5267"/>
      <c r="O101" s="5267"/>
      <c r="P101" s="5267"/>
      <c r="Q101" s="5267"/>
      <c r="R101" s="5331"/>
      <c r="S101" s="5267"/>
      <c r="T101" s="5267"/>
      <c r="U101" s="5267"/>
      <c r="V101" s="139"/>
      <c r="W101" s="2875"/>
      <c r="X101" s="5233"/>
      <c r="Y101" s="304"/>
      <c r="Z101" s="304"/>
      <c r="AA101" s="304"/>
      <c r="AB101" s="304"/>
    </row>
    <row r="102" spans="1:28" ht="14.25" customHeight="1" thickBot="1">
      <c r="A102" s="139"/>
      <c r="B102" s="3016" t="s">
        <v>592</v>
      </c>
      <c r="C102" s="5266" t="s">
        <v>2115</v>
      </c>
      <c r="D102" s="5267"/>
      <c r="E102" s="5267"/>
      <c r="F102" s="5267"/>
      <c r="G102" s="5332"/>
      <c r="H102" s="5267"/>
      <c r="I102" s="5267"/>
      <c r="J102" s="5267"/>
      <c r="K102" s="5267"/>
      <c r="L102" s="5267"/>
      <c r="M102" s="5267"/>
      <c r="N102" s="5267"/>
      <c r="O102" s="5267"/>
      <c r="P102" s="5265" t="s">
        <v>2116</v>
      </c>
      <c r="Q102" s="282"/>
      <c r="R102" s="2826" t="s">
        <v>568</v>
      </c>
      <c r="S102" s="5267"/>
      <c r="T102" s="282"/>
      <c r="U102" s="5268" t="s">
        <v>569</v>
      </c>
      <c r="V102" s="139"/>
      <c r="W102" s="5330" t="str">
        <f>IF(Y104,"ONLY one.","")</f>
        <v/>
      </c>
      <c r="X102" s="5233"/>
      <c r="Y102" s="304" t="b">
        <f>IF(AND(Q100&lt;&gt;"",T100&lt;&gt;""),TRUE,FALSE)</f>
        <v>0</v>
      </c>
      <c r="Z102" s="304"/>
      <c r="AA102" s="304"/>
      <c r="AB102" s="304"/>
    </row>
    <row r="103" spans="1:28" ht="7.5" customHeight="1" thickBot="1">
      <c r="A103" s="139"/>
      <c r="B103" s="5241"/>
      <c r="C103" s="5267"/>
      <c r="D103" s="5267"/>
      <c r="E103" s="5267"/>
      <c r="F103" s="5267"/>
      <c r="G103" s="5267"/>
      <c r="H103" s="5267"/>
      <c r="I103" s="5267"/>
      <c r="J103" s="5267"/>
      <c r="K103" s="5267"/>
      <c r="L103" s="5267"/>
      <c r="M103" s="5267"/>
      <c r="N103" s="5267"/>
      <c r="O103" s="5267"/>
      <c r="P103" s="5267"/>
      <c r="Q103" s="5267"/>
      <c r="R103" s="5267"/>
      <c r="S103" s="5267"/>
      <c r="T103" s="5267"/>
      <c r="U103" s="5267"/>
      <c r="V103" s="139"/>
      <c r="W103" s="2875"/>
      <c r="X103" s="5233"/>
      <c r="Y103" s="304"/>
      <c r="Z103" s="304"/>
      <c r="AA103" s="304"/>
      <c r="AB103" s="304"/>
    </row>
    <row r="104" spans="1:28" ht="18" customHeight="1">
      <c r="A104" s="139"/>
      <c r="B104" s="2978" t="s">
        <v>2117</v>
      </c>
      <c r="C104" s="5314" t="s">
        <v>6353</v>
      </c>
      <c r="D104" s="5314"/>
      <c r="E104" s="5314"/>
      <c r="F104" s="5314"/>
      <c r="G104" s="5314"/>
      <c r="H104" s="5314"/>
      <c r="I104" s="5314"/>
      <c r="J104" s="5314"/>
      <c r="K104" s="5314"/>
      <c r="L104" s="5314"/>
      <c r="M104" s="5314"/>
      <c r="N104" s="5314"/>
      <c r="O104" s="5314"/>
      <c r="P104" s="5314"/>
      <c r="Q104" s="5314"/>
      <c r="R104" s="5314"/>
      <c r="S104" s="5314"/>
      <c r="T104" s="5314"/>
      <c r="U104" s="5314"/>
      <c r="V104" s="139"/>
      <c r="W104" s="2875"/>
      <c r="X104" s="5233"/>
      <c r="Y104" s="304" t="b">
        <f>IF(AND(Q102&lt;&gt;"",T102&lt;&gt;""),TRUE,FALSE)</f>
        <v>0</v>
      </c>
      <c r="Z104" s="304"/>
      <c r="AA104" s="304"/>
      <c r="AB104" s="304"/>
    </row>
    <row r="105" spans="1:28" ht="27" customHeight="1">
      <c r="A105" s="139"/>
      <c r="B105" s="8211"/>
      <c r="C105" s="8211"/>
      <c r="D105" s="8211"/>
      <c r="E105" s="8211"/>
      <c r="F105" s="8211"/>
      <c r="G105" s="8211"/>
      <c r="H105" s="8211"/>
      <c r="I105" s="8211"/>
      <c r="J105" s="8211"/>
      <c r="K105" s="8211"/>
      <c r="L105" s="8211"/>
      <c r="M105" s="8211"/>
      <c r="N105" s="8211"/>
      <c r="O105" s="8211"/>
      <c r="P105" s="8211"/>
      <c r="Q105" s="8211"/>
      <c r="R105" s="8211"/>
      <c r="S105" s="8212"/>
      <c r="T105" s="8148"/>
      <c r="U105" s="8149"/>
      <c r="V105" s="139"/>
      <c r="W105" s="2875"/>
      <c r="X105" s="5233"/>
      <c r="Y105" s="382" t="b">
        <f>T105&lt;&gt;""</f>
        <v>0</v>
      </c>
    </row>
    <row r="106" spans="1:28" ht="27.75" customHeight="1">
      <c r="A106" s="139"/>
      <c r="B106" s="8165"/>
      <c r="C106" s="8165"/>
      <c r="D106" s="8165"/>
      <c r="E106" s="8165"/>
      <c r="F106" s="8165"/>
      <c r="G106" s="8165"/>
      <c r="H106" s="8165"/>
      <c r="I106" s="8165"/>
      <c r="J106" s="8165"/>
      <c r="K106" s="8165"/>
      <c r="L106" s="8165"/>
      <c r="M106" s="8165"/>
      <c r="N106" s="8165"/>
      <c r="O106" s="8165"/>
      <c r="P106" s="8165"/>
      <c r="Q106" s="8165"/>
      <c r="R106" s="8165"/>
      <c r="S106" s="8166"/>
      <c r="T106" s="8148"/>
      <c r="U106" s="8149"/>
      <c r="V106" s="139"/>
      <c r="W106" s="2875"/>
      <c r="X106" s="5233"/>
      <c r="Y106" s="382" t="b">
        <f t="shared" ref="Y106:Y113" si="0">T106&lt;&gt;""</f>
        <v>0</v>
      </c>
    </row>
    <row r="107" spans="1:28" ht="27.75" customHeight="1">
      <c r="A107" s="139"/>
      <c r="B107" s="8165"/>
      <c r="C107" s="8165"/>
      <c r="D107" s="8165"/>
      <c r="E107" s="8165"/>
      <c r="F107" s="8165"/>
      <c r="G107" s="8165"/>
      <c r="H107" s="8165"/>
      <c r="I107" s="8165"/>
      <c r="J107" s="8165"/>
      <c r="K107" s="8165"/>
      <c r="L107" s="8165"/>
      <c r="M107" s="8165"/>
      <c r="N107" s="8165"/>
      <c r="O107" s="8165"/>
      <c r="P107" s="8165"/>
      <c r="Q107" s="8165"/>
      <c r="R107" s="8165"/>
      <c r="S107" s="8166"/>
      <c r="T107" s="8148"/>
      <c r="U107" s="8149"/>
      <c r="V107" s="139"/>
      <c r="W107" s="2875"/>
      <c r="X107" s="5233"/>
      <c r="Y107" s="382" t="b">
        <f t="shared" si="0"/>
        <v>0</v>
      </c>
    </row>
    <row r="108" spans="1:28" ht="27.75" customHeight="1">
      <c r="A108" s="139"/>
      <c r="B108" s="8165"/>
      <c r="C108" s="8165"/>
      <c r="D108" s="8165"/>
      <c r="E108" s="8165"/>
      <c r="F108" s="8165"/>
      <c r="G108" s="8165"/>
      <c r="H108" s="8165"/>
      <c r="I108" s="8165"/>
      <c r="J108" s="8165"/>
      <c r="K108" s="8165"/>
      <c r="L108" s="8165"/>
      <c r="M108" s="8165"/>
      <c r="N108" s="8165"/>
      <c r="O108" s="8165"/>
      <c r="P108" s="8165"/>
      <c r="Q108" s="8165"/>
      <c r="R108" s="8165"/>
      <c r="S108" s="8166"/>
      <c r="T108" s="8148"/>
      <c r="U108" s="8149"/>
      <c r="V108" s="139"/>
      <c r="W108" s="2875"/>
      <c r="X108" s="5233"/>
      <c r="Y108" s="382" t="b">
        <f t="shared" si="0"/>
        <v>0</v>
      </c>
    </row>
    <row r="109" spans="1:28" ht="27.75" customHeight="1">
      <c r="A109" s="139"/>
      <c r="B109" s="8165"/>
      <c r="C109" s="8165"/>
      <c r="D109" s="8165"/>
      <c r="E109" s="8165"/>
      <c r="F109" s="8165"/>
      <c r="G109" s="8165"/>
      <c r="H109" s="8165"/>
      <c r="I109" s="8165"/>
      <c r="J109" s="8165"/>
      <c r="K109" s="8165"/>
      <c r="L109" s="8165"/>
      <c r="M109" s="8165"/>
      <c r="N109" s="8165"/>
      <c r="O109" s="8165"/>
      <c r="P109" s="8165"/>
      <c r="Q109" s="8165"/>
      <c r="R109" s="8165"/>
      <c r="S109" s="8166"/>
      <c r="T109" s="8148"/>
      <c r="U109" s="8149"/>
      <c r="V109" s="139"/>
      <c r="W109" s="2875"/>
      <c r="X109" s="5233"/>
      <c r="Y109" s="382" t="b">
        <f t="shared" si="0"/>
        <v>0</v>
      </c>
    </row>
    <row r="110" spans="1:28" ht="27.75" customHeight="1">
      <c r="A110" s="139"/>
      <c r="B110" s="8165"/>
      <c r="C110" s="8165"/>
      <c r="D110" s="8165"/>
      <c r="E110" s="8165"/>
      <c r="F110" s="8165"/>
      <c r="G110" s="8165"/>
      <c r="H110" s="8165"/>
      <c r="I110" s="8165"/>
      <c r="J110" s="8165"/>
      <c r="K110" s="8165"/>
      <c r="L110" s="8165"/>
      <c r="M110" s="8165"/>
      <c r="N110" s="8165"/>
      <c r="O110" s="8165"/>
      <c r="P110" s="8165"/>
      <c r="Q110" s="8165"/>
      <c r="R110" s="8165"/>
      <c r="S110" s="8166"/>
      <c r="T110" s="8148"/>
      <c r="U110" s="8149"/>
      <c r="V110" s="139"/>
      <c r="W110" s="2875"/>
      <c r="X110" s="5233"/>
      <c r="Y110" s="382" t="b">
        <f t="shared" si="0"/>
        <v>0</v>
      </c>
    </row>
    <row r="111" spans="1:28" ht="27.75" customHeight="1">
      <c r="A111" s="139"/>
      <c r="B111" s="8165"/>
      <c r="C111" s="8165"/>
      <c r="D111" s="8165"/>
      <c r="E111" s="8165"/>
      <c r="F111" s="8165"/>
      <c r="G111" s="8165"/>
      <c r="H111" s="8165"/>
      <c r="I111" s="8165"/>
      <c r="J111" s="8165"/>
      <c r="K111" s="8165"/>
      <c r="L111" s="8165"/>
      <c r="M111" s="8165"/>
      <c r="N111" s="8165"/>
      <c r="O111" s="8165"/>
      <c r="P111" s="8165"/>
      <c r="Q111" s="8165"/>
      <c r="R111" s="8165"/>
      <c r="S111" s="8166"/>
      <c r="T111" s="8148"/>
      <c r="U111" s="8149"/>
      <c r="V111" s="139"/>
      <c r="W111" s="2875"/>
      <c r="X111" s="5233"/>
      <c r="Y111" s="382" t="b">
        <f t="shared" si="0"/>
        <v>0</v>
      </c>
    </row>
    <row r="112" spans="1:28" ht="27.75" customHeight="1">
      <c r="A112" s="139"/>
      <c r="B112" s="8165"/>
      <c r="C112" s="8165"/>
      <c r="D112" s="8165"/>
      <c r="E112" s="8165"/>
      <c r="F112" s="8165"/>
      <c r="G112" s="8165"/>
      <c r="H112" s="8165"/>
      <c r="I112" s="8165"/>
      <c r="J112" s="8165"/>
      <c r="K112" s="8165"/>
      <c r="L112" s="8165"/>
      <c r="M112" s="8165"/>
      <c r="N112" s="8165"/>
      <c r="O112" s="8165"/>
      <c r="P112" s="8165"/>
      <c r="Q112" s="8165"/>
      <c r="R112" s="8165"/>
      <c r="S112" s="8166"/>
      <c r="T112" s="8148"/>
      <c r="U112" s="8149"/>
      <c r="V112" s="139"/>
      <c r="W112" s="2875"/>
      <c r="X112" s="5233"/>
      <c r="Y112" s="382" t="b">
        <f t="shared" si="0"/>
        <v>0</v>
      </c>
    </row>
    <row r="113" spans="1:28" ht="27.75" customHeight="1">
      <c r="A113" s="139"/>
      <c r="B113" s="8150"/>
      <c r="C113" s="8150"/>
      <c r="D113" s="8150"/>
      <c r="E113" s="8150"/>
      <c r="F113" s="8150"/>
      <c r="G113" s="8150"/>
      <c r="H113" s="8150"/>
      <c r="I113" s="8150"/>
      <c r="J113" s="8150"/>
      <c r="K113" s="8150"/>
      <c r="L113" s="8150"/>
      <c r="M113" s="8150"/>
      <c r="N113" s="8150"/>
      <c r="O113" s="8150"/>
      <c r="P113" s="8150"/>
      <c r="Q113" s="8150"/>
      <c r="R113" s="8150"/>
      <c r="S113" s="8151"/>
      <c r="T113" s="8148"/>
      <c r="U113" s="8149"/>
      <c r="V113" s="139"/>
      <c r="W113" s="2875"/>
      <c r="X113" s="5233"/>
      <c r="Y113" s="382" t="b">
        <f t="shared" si="0"/>
        <v>0</v>
      </c>
    </row>
    <row r="114" spans="1:28" ht="27.75" customHeight="1" thickBot="1">
      <c r="A114" s="139"/>
      <c r="B114" s="6572">
        <v>48</v>
      </c>
      <c r="C114" s="6573" t="s">
        <v>6512</v>
      </c>
      <c r="D114" s="6574"/>
      <c r="E114" s="6575"/>
      <c r="F114" s="6575"/>
      <c r="G114" s="6575"/>
      <c r="H114" s="6575"/>
      <c r="I114" s="6575"/>
      <c r="J114" s="6575"/>
      <c r="K114" s="6575"/>
      <c r="L114" s="6575"/>
      <c r="M114" s="6575"/>
      <c r="N114" s="6575"/>
      <c r="O114" s="6575"/>
      <c r="P114" s="6575"/>
      <c r="Q114" s="6573"/>
      <c r="R114" s="6576" t="s">
        <v>5238</v>
      </c>
      <c r="S114" s="6577">
        <v>48</v>
      </c>
      <c r="T114" s="8225" t="str">
        <f>IF(Y114,ROUND(SUM(T105,T106,T107,T108,T109,T110,T111,T112,T113),0),"")</f>
        <v/>
      </c>
      <c r="U114" s="8226"/>
      <c r="V114" s="139"/>
      <c r="W114" s="2875"/>
      <c r="X114" s="5233"/>
      <c r="Y114" s="382" t="b">
        <f>OR(Y105:Y113)</f>
        <v>0</v>
      </c>
    </row>
    <row r="115" spans="1:28" ht="16.5" customHeight="1" thickTop="1">
      <c r="A115" s="139"/>
      <c r="B115" s="6566"/>
      <c r="C115" s="6566"/>
      <c r="D115" s="6566"/>
      <c r="E115" s="6566"/>
      <c r="F115" s="6567"/>
      <c r="G115" s="6567"/>
      <c r="H115" s="6567"/>
      <c r="I115" s="6568"/>
      <c r="J115" s="6568"/>
      <c r="K115" s="6568"/>
      <c r="L115" s="6569"/>
      <c r="M115" s="6568"/>
      <c r="N115" s="6567"/>
      <c r="O115" s="6567"/>
      <c r="P115" s="6570"/>
      <c r="Q115" s="6567"/>
      <c r="R115" s="6567"/>
      <c r="S115" s="6571"/>
      <c r="T115" s="6571"/>
      <c r="U115" s="6571" t="str">
        <f>"Schedule C   (Form 1040)  "&amp;TaxYear</f>
        <v>Schedule C   (Form 1040)  2025</v>
      </c>
      <c r="V115" s="139"/>
      <c r="W115" s="2875"/>
      <c r="X115" s="5233"/>
    </row>
    <row r="116" spans="1:28" ht="20.25" customHeight="1">
      <c r="A116" s="139"/>
      <c r="B116" s="3574" t="s">
        <v>1952</v>
      </c>
      <c r="C116" s="5234"/>
      <c r="D116" s="5235"/>
      <c r="E116" s="2754"/>
      <c r="F116" s="5236"/>
      <c r="G116" s="5237"/>
      <c r="H116" s="5237"/>
      <c r="I116" s="5228" t="s">
        <v>1953</v>
      </c>
      <c r="J116" s="2756"/>
      <c r="K116" s="2756"/>
      <c r="L116" s="3097"/>
      <c r="M116" s="2756"/>
      <c r="N116" s="5237"/>
      <c r="O116" s="5237"/>
      <c r="P116" s="4240"/>
      <c r="Q116" s="5238"/>
      <c r="R116" s="8167" t="str">
        <f>IF(AND(V116="",'Table of Contents'!A35="D"),"DRAFT","OMB No. 1545-0074")</f>
        <v>OMB No. 1545-0074</v>
      </c>
      <c r="S116" s="8168"/>
      <c r="T116" s="8168"/>
      <c r="U116" s="8168"/>
      <c r="V116" s="1810"/>
      <c r="W116" s="5239" t="s">
        <v>1954</v>
      </c>
      <c r="X116" s="1846" t="str">
        <f>IF(X117&lt;&gt;"","","X")</f>
        <v/>
      </c>
      <c r="Y116" s="304" t="b">
        <f>X116&lt;&gt;""</f>
        <v>0</v>
      </c>
    </row>
    <row r="117" spans="1:28" ht="20.25" customHeight="1">
      <c r="A117" s="139"/>
      <c r="B117" s="3662" t="s">
        <v>1815</v>
      </c>
      <c r="C117" s="5234"/>
      <c r="D117" s="5240"/>
      <c r="E117" s="2754"/>
      <c r="F117" s="2754"/>
      <c r="G117" s="2754"/>
      <c r="H117" s="5241"/>
      <c r="I117" s="5183" t="s">
        <v>1955</v>
      </c>
      <c r="J117" s="2995"/>
      <c r="K117" s="2995"/>
      <c r="L117" s="2754"/>
      <c r="M117" s="3627"/>
      <c r="N117" s="5241"/>
      <c r="O117" s="5241"/>
      <c r="P117" s="4240"/>
      <c r="Q117" s="2754"/>
      <c r="R117" s="8169">
        <f>TaxYear</f>
        <v>2025</v>
      </c>
      <c r="S117" s="8122"/>
      <c r="T117" s="8170"/>
      <c r="U117" s="7850"/>
      <c r="V117" s="139"/>
      <c r="W117" s="5239" t="s">
        <v>1956</v>
      </c>
      <c r="X117" s="299" t="s">
        <v>2119</v>
      </c>
      <c r="Y117" s="304" t="b">
        <f>X117&lt;&gt;""</f>
        <v>1</v>
      </c>
    </row>
    <row r="118" spans="1:28" ht="18.75" customHeight="1">
      <c r="A118" s="139"/>
      <c r="B118" s="8171" t="s">
        <v>1957</v>
      </c>
      <c r="C118" s="8172"/>
      <c r="D118" s="8233" t="s">
        <v>1961</v>
      </c>
      <c r="E118" s="8071"/>
      <c r="F118" s="8071"/>
      <c r="G118" s="8071"/>
      <c r="H118" s="8071"/>
      <c r="I118" s="8071"/>
      <c r="J118" s="8071"/>
      <c r="K118" s="8071"/>
      <c r="L118" s="8071"/>
      <c r="M118" s="8071"/>
      <c r="N118" s="8071"/>
      <c r="O118" s="8071"/>
      <c r="P118" s="8071"/>
      <c r="Q118" s="8234"/>
      <c r="R118" s="8188" t="s">
        <v>2118</v>
      </c>
      <c r="S118" s="8189"/>
      <c r="T118" s="8189"/>
      <c r="U118" s="8192" t="s">
        <v>1960</v>
      </c>
      <c r="V118" s="139"/>
      <c r="W118" s="2875"/>
      <c r="X118" s="5233"/>
    </row>
    <row r="119" spans="1:28" ht="12" customHeight="1">
      <c r="A119" s="139"/>
      <c r="B119" s="8173"/>
      <c r="C119" s="8174"/>
      <c r="D119" s="8175" t="s">
        <v>1958</v>
      </c>
      <c r="E119" s="8176"/>
      <c r="F119" s="8176"/>
      <c r="G119" s="8176"/>
      <c r="H119" s="8176"/>
      <c r="I119" s="8176"/>
      <c r="J119" s="8176"/>
      <c r="K119" s="8176"/>
      <c r="L119" s="8176"/>
      <c r="M119" s="8176"/>
      <c r="N119" s="8176"/>
      <c r="O119" s="8176"/>
      <c r="P119" s="8176"/>
      <c r="Q119" s="8177"/>
      <c r="R119" s="8190"/>
      <c r="S119" s="8191"/>
      <c r="T119" s="8191"/>
      <c r="U119" s="8193"/>
      <c r="V119" s="139"/>
      <c r="W119" s="8221" t="str">
        <f>IF(Y125,"Invalid selection.",IF(AND(NOT(Y120),NOT(Y122),NOT(Y124)),"Indicate which "&amp;CHAR(10)&amp;"Sch. SE is to be linked to this form.",IF(AND(Y120,Y122),"This Sch. C is linked to both "&amp;CHAR(10)&amp;"Sch. SEs",IF(Y120,"This Sch. C is linked to the first "&amp;CHAR(10)&amp;"Sch. SE",IF(Y122,"This Sch. C is linked to the second "&amp;CHAR(10)&amp;"Sch. SE",IF(Y124,"This Sch. C is not linked to either Sch. SE.",""))))))</f>
        <v>This Sch. C is linked to the second 
Sch. SE</v>
      </c>
      <c r="X119" s="299"/>
      <c r="Y119" s="329" t="s">
        <v>1963</v>
      </c>
      <c r="Z119" s="329"/>
      <c r="AA119" s="329"/>
      <c r="AB119" s="329"/>
    </row>
    <row r="120" spans="1:28" ht="11.25" customHeight="1">
      <c r="A120" s="139"/>
      <c r="B120" s="3627" t="s">
        <v>1964</v>
      </c>
      <c r="C120" s="2754"/>
      <c r="D120" s="2754"/>
      <c r="E120" s="2754"/>
      <c r="F120" s="2755"/>
      <c r="G120" s="2755"/>
      <c r="H120" s="2756"/>
      <c r="I120" s="2753"/>
      <c r="J120" s="2753"/>
      <c r="K120" s="2753"/>
      <c r="L120" s="5242"/>
      <c r="M120" s="5243" t="s">
        <v>1965</v>
      </c>
      <c r="N120" s="2756"/>
      <c r="O120" s="2756"/>
      <c r="P120" s="2756"/>
      <c r="Q120" s="2755"/>
      <c r="R120" s="2755"/>
      <c r="S120" s="2755"/>
      <c r="T120" s="2755"/>
      <c r="U120" s="2755"/>
      <c r="V120" s="139"/>
      <c r="W120" s="8221"/>
      <c r="X120" s="5233"/>
      <c r="Y120" s="304" t="b">
        <f>(X119&lt;&gt;"")</f>
        <v>0</v>
      </c>
      <c r="Z120" s="304"/>
      <c r="AA120" s="304"/>
      <c r="AB120" s="304"/>
    </row>
    <row r="121" spans="1:28" ht="12" customHeight="1" thickBot="1">
      <c r="A121" s="139"/>
      <c r="B121" s="8200"/>
      <c r="C121" s="8200"/>
      <c r="D121" s="8200"/>
      <c r="E121" s="8200"/>
      <c r="F121" s="8200"/>
      <c r="G121" s="8200"/>
      <c r="H121" s="8200"/>
      <c r="I121" s="8200"/>
      <c r="J121" s="8200"/>
      <c r="K121" s="8200"/>
      <c r="L121" s="8201"/>
      <c r="M121" s="8194" t="str">
        <f>IF(AND(SS_Yours&lt;&gt;"",X116&lt;&gt;""),SS_Yours,IF(SS_Spouse&lt;&gt;"",SS_Spouse,2))</f>
        <v>Filing status?</v>
      </c>
      <c r="N121" s="8195"/>
      <c r="O121" s="8195"/>
      <c r="P121" s="8195"/>
      <c r="Q121" s="8195"/>
      <c r="R121" s="8195"/>
      <c r="S121" s="8195"/>
      <c r="T121" s="8195"/>
      <c r="U121" s="8195"/>
      <c r="V121" s="139"/>
      <c r="W121" s="8221"/>
      <c r="X121" s="299" t="s">
        <v>2119</v>
      </c>
      <c r="Y121" s="329" t="s">
        <v>1966</v>
      </c>
      <c r="Z121" s="329"/>
      <c r="AA121" s="329"/>
      <c r="AB121" s="329"/>
    </row>
    <row r="122" spans="1:28" ht="14.25" customHeight="1" thickTop="1">
      <c r="A122" s="139"/>
      <c r="B122" s="2826" t="s">
        <v>510</v>
      </c>
      <c r="C122" s="3627" t="s">
        <v>1967</v>
      </c>
      <c r="D122" s="3627"/>
      <c r="E122" s="2754"/>
      <c r="F122" s="2755"/>
      <c r="G122" s="2755"/>
      <c r="H122" s="2756"/>
      <c r="I122" s="2753"/>
      <c r="J122" s="2753"/>
      <c r="K122" s="2753"/>
      <c r="L122" s="2756"/>
      <c r="M122" s="5244" t="s">
        <v>1968</v>
      </c>
      <c r="N122" s="3555"/>
      <c r="O122" s="3555"/>
      <c r="P122" s="3555"/>
      <c r="Q122" s="3554"/>
      <c r="R122" s="3554"/>
      <c r="S122" s="3554"/>
      <c r="T122" s="3554"/>
      <c r="U122" s="5245"/>
      <c r="V122" s="139"/>
      <c r="W122" s="8221"/>
      <c r="X122" s="5233"/>
      <c r="Y122" s="304" t="b">
        <f>(X121&lt;&gt;"")</f>
        <v>1</v>
      </c>
      <c r="Z122" s="304"/>
      <c r="AA122" s="304"/>
      <c r="AB122" s="304"/>
    </row>
    <row r="123" spans="1:28" ht="12.75" customHeight="1" thickBot="1">
      <c r="A123" s="139"/>
      <c r="B123" s="8202"/>
      <c r="C123" s="8202"/>
      <c r="D123" s="8202"/>
      <c r="E123" s="8202"/>
      <c r="F123" s="8202"/>
      <c r="G123" s="8202"/>
      <c r="H123" s="8202"/>
      <c r="I123" s="8202"/>
      <c r="J123" s="8202"/>
      <c r="K123" s="8202"/>
      <c r="L123" s="8203"/>
      <c r="M123" s="5246"/>
      <c r="N123" s="1659"/>
      <c r="O123" s="1659"/>
      <c r="P123" s="1659"/>
      <c r="Q123" s="1659"/>
      <c r="R123" s="1659"/>
      <c r="S123" s="1659"/>
      <c r="T123" s="5247"/>
      <c r="U123" s="5248"/>
      <c r="V123" s="139"/>
      <c r="W123" s="8221"/>
      <c r="X123" s="299"/>
      <c r="Y123" s="329" t="s">
        <v>1969</v>
      </c>
      <c r="Z123" s="329"/>
      <c r="AA123" s="329"/>
      <c r="AB123" s="329"/>
    </row>
    <row r="124" spans="1:28" ht="12.75" customHeight="1" thickTop="1">
      <c r="A124" s="139"/>
      <c r="B124" s="2826" t="s">
        <v>518</v>
      </c>
      <c r="C124" s="3627" t="s">
        <v>1970</v>
      </c>
      <c r="D124" s="3627"/>
      <c r="E124" s="2754"/>
      <c r="F124" s="2755"/>
      <c r="G124" s="2755"/>
      <c r="H124" s="2756"/>
      <c r="I124" s="2753"/>
      <c r="J124" s="2753"/>
      <c r="K124" s="2753"/>
      <c r="L124" s="5242"/>
      <c r="M124" s="5249" t="s">
        <v>1971</v>
      </c>
      <c r="N124" s="2756"/>
      <c r="O124" s="2756"/>
      <c r="P124" s="2756"/>
      <c r="Q124" s="2755"/>
      <c r="R124" s="2755"/>
      <c r="S124" s="2755"/>
      <c r="T124" s="2755"/>
      <c r="U124" s="2755"/>
      <c r="V124" s="139"/>
      <c r="W124" s="2875"/>
      <c r="X124" s="5233"/>
      <c r="Y124" s="304" t="b">
        <f>(X123&lt;&gt;"")</f>
        <v>0</v>
      </c>
      <c r="Z124" s="304"/>
      <c r="AA124" s="304"/>
      <c r="AB124" s="304"/>
    </row>
    <row r="125" spans="1:28" ht="12" customHeight="1">
      <c r="A125" s="139"/>
      <c r="B125" s="8202"/>
      <c r="C125" s="8202"/>
      <c r="D125" s="8202"/>
      <c r="E125" s="8202"/>
      <c r="F125" s="8202"/>
      <c r="G125" s="8202"/>
      <c r="H125" s="8202"/>
      <c r="I125" s="8202"/>
      <c r="J125" s="8202"/>
      <c r="K125" s="8202"/>
      <c r="L125" s="8204"/>
      <c r="M125" s="284"/>
      <c r="N125" s="285"/>
      <c r="O125" s="286"/>
      <c r="P125" s="284"/>
      <c r="Q125" s="284"/>
      <c r="R125" s="284"/>
      <c r="S125" s="284"/>
      <c r="T125" s="1601"/>
      <c r="U125" s="1795"/>
      <c r="V125" s="139"/>
      <c r="W125" s="2875"/>
      <c r="X125" s="5233"/>
      <c r="Y125" s="304" t="b">
        <f>OR(AND(Y120,Y124),AND(Y122,Y124))</f>
        <v>0</v>
      </c>
      <c r="Z125" s="304"/>
      <c r="AA125" s="304"/>
      <c r="AB125" s="304"/>
    </row>
    <row r="126" spans="1:28" ht="14.25" customHeight="1">
      <c r="A126" s="139"/>
      <c r="B126" s="2826" t="s">
        <v>524</v>
      </c>
      <c r="C126" s="3627" t="s">
        <v>1972</v>
      </c>
      <c r="D126" s="3627"/>
      <c r="E126" s="2754"/>
      <c r="F126" s="2755"/>
      <c r="G126" s="2755"/>
      <c r="H126" s="5337"/>
      <c r="I126" s="8205"/>
      <c r="J126" s="8205"/>
      <c r="K126" s="8205"/>
      <c r="L126" s="8205"/>
      <c r="M126" s="8205"/>
      <c r="N126" s="8205"/>
      <c r="O126" s="8205"/>
      <c r="P126" s="8205"/>
      <c r="Q126" s="8205"/>
      <c r="R126" s="8205"/>
      <c r="S126" s="8205"/>
      <c r="T126" s="8205"/>
      <c r="U126" s="8205"/>
      <c r="V126" s="139"/>
      <c r="W126" s="2875"/>
      <c r="X126" s="5233"/>
    </row>
    <row r="127" spans="1:28" ht="11.25" customHeight="1">
      <c r="A127" s="139"/>
      <c r="B127" s="5251"/>
      <c r="C127" s="5212" t="s">
        <v>1973</v>
      </c>
      <c r="D127" s="5212"/>
      <c r="E127" s="5101"/>
      <c r="F127" s="3565"/>
      <c r="G127" s="3565"/>
      <c r="H127" s="3565"/>
      <c r="I127" s="8213"/>
      <c r="J127" s="8213"/>
      <c r="K127" s="8213"/>
      <c r="L127" s="8213"/>
      <c r="M127" s="8213"/>
      <c r="N127" s="8213"/>
      <c r="O127" s="8213"/>
      <c r="P127" s="8213"/>
      <c r="Q127" s="8213"/>
      <c r="R127" s="8213"/>
      <c r="S127" s="8213"/>
      <c r="T127" s="8213"/>
      <c r="U127" s="8213"/>
      <c r="V127" s="139"/>
      <c r="W127" s="2875"/>
      <c r="X127" s="5233"/>
    </row>
    <row r="128" spans="1:28" ht="4.5" customHeight="1" thickBot="1">
      <c r="A128" s="139"/>
      <c r="B128" s="5252"/>
      <c r="C128" s="3627"/>
      <c r="D128" s="3627"/>
      <c r="E128" s="2754"/>
      <c r="F128" s="2755"/>
      <c r="G128" s="2755"/>
      <c r="H128" s="2755"/>
      <c r="I128" s="1602"/>
      <c r="J128" s="238"/>
      <c r="K128" s="5253"/>
      <c r="L128" s="239"/>
      <c r="M128" s="239"/>
      <c r="N128" s="239"/>
      <c r="O128" s="239"/>
      <c r="P128" s="239"/>
      <c r="Q128" s="239"/>
      <c r="R128" s="239"/>
      <c r="S128" s="239"/>
      <c r="T128" s="239"/>
      <c r="U128" s="239"/>
      <c r="V128" s="139"/>
      <c r="W128" s="2875"/>
      <c r="X128" s="5233"/>
    </row>
    <row r="129" spans="1:28" ht="13.5" customHeight="1" thickBot="1">
      <c r="A129" s="139"/>
      <c r="B129" s="2826" t="s">
        <v>1974</v>
      </c>
      <c r="C129" s="3627" t="s">
        <v>1975</v>
      </c>
      <c r="D129" s="3627"/>
      <c r="E129" s="282"/>
      <c r="F129" s="5254" t="s">
        <v>1976</v>
      </c>
      <c r="G129" s="2768" t="str">
        <f>"(2) "</f>
        <v xml:space="preserve">(2) </v>
      </c>
      <c r="H129" s="282"/>
      <c r="I129" s="3627" t="s">
        <v>1977</v>
      </c>
      <c r="J129" s="2768" t="str">
        <f>"(3)"</f>
        <v>(3)</v>
      </c>
      <c r="K129" s="282"/>
      <c r="L129" s="3627" t="s">
        <v>1978</v>
      </c>
      <c r="M129" s="3627"/>
      <c r="N129" s="8196"/>
      <c r="O129" s="7638"/>
      <c r="P129" s="7638"/>
      <c r="Q129" s="7638"/>
      <c r="R129" s="7638"/>
      <c r="S129" s="7638"/>
      <c r="T129" s="7638"/>
      <c r="U129" s="7638"/>
      <c r="V129" s="139"/>
      <c r="W129" s="2875"/>
      <c r="X129" s="5233"/>
    </row>
    <row r="130" spans="1:28" ht="5.25" customHeight="1" thickBot="1">
      <c r="A130" s="139"/>
      <c r="B130" s="2826"/>
      <c r="C130" s="3627"/>
      <c r="D130" s="3627"/>
      <c r="E130" s="1603"/>
      <c r="F130" s="2755"/>
      <c r="G130" s="2768"/>
      <c r="H130" s="1604"/>
      <c r="I130" s="3627"/>
      <c r="J130" s="3016"/>
      <c r="K130" s="1604"/>
      <c r="L130" s="3627"/>
      <c r="M130" s="3627"/>
      <c r="N130" s="5255"/>
      <c r="O130" s="1605"/>
      <c r="P130" s="1605"/>
      <c r="Q130" s="1605"/>
      <c r="R130" s="1605"/>
      <c r="S130" s="1605"/>
      <c r="T130" s="1605"/>
      <c r="U130" s="1605"/>
      <c r="V130" s="139"/>
      <c r="W130" s="2875"/>
      <c r="X130" s="5233"/>
    </row>
    <row r="131" spans="1:28" ht="15" customHeight="1" thickBot="1">
      <c r="A131" s="139"/>
      <c r="B131" s="2826" t="s">
        <v>1979</v>
      </c>
      <c r="C131" s="3627" t="str">
        <f>"Did you 'materially participate' in the operation of this business during "&amp;TaxYear&amp;"? If 'No,' see instructions for limit on losses."</f>
        <v>Did you 'materially participate' in the operation of this business during 2025? If 'No,' see instructions for limit on losses.</v>
      </c>
      <c r="D131" s="2753"/>
      <c r="E131" s="2755"/>
      <c r="F131" s="2755"/>
      <c r="G131" s="2768"/>
      <c r="H131" s="2755"/>
      <c r="I131" s="3627"/>
      <c r="J131" s="3016"/>
      <c r="K131" s="3016"/>
      <c r="L131" s="2755"/>
      <c r="M131" s="3627"/>
      <c r="N131" s="2755"/>
      <c r="O131" s="2755"/>
      <c r="P131" s="2755"/>
      <c r="Q131" s="2755"/>
      <c r="R131" s="282"/>
      <c r="S131" s="2995" t="s">
        <v>568</v>
      </c>
      <c r="T131" s="282"/>
      <c r="U131" s="2995" t="s">
        <v>569</v>
      </c>
      <c r="V131" s="139"/>
      <c r="W131" s="2875"/>
      <c r="X131" s="5233"/>
    </row>
    <row r="132" spans="1:28" ht="12.75" customHeight="1" thickBot="1">
      <c r="A132" s="139"/>
      <c r="B132" s="2826" t="s">
        <v>1980</v>
      </c>
      <c r="C132" s="3627" t="str">
        <f>"If you started or acquired this business during "&amp;TaxYear&amp;", check here"</f>
        <v>If you started or acquired this business during 2025, check here</v>
      </c>
      <c r="D132" s="3627"/>
      <c r="E132" s="2754"/>
      <c r="F132" s="2755"/>
      <c r="G132" s="2755"/>
      <c r="H132" s="5255"/>
      <c r="I132" s="5256"/>
      <c r="J132" s="5256"/>
      <c r="K132" s="5256"/>
      <c r="L132" s="5255"/>
      <c r="M132" s="5256"/>
      <c r="N132" s="5255"/>
      <c r="O132" s="5255"/>
      <c r="P132" s="5255"/>
      <c r="Q132" s="3016" t="s">
        <v>793</v>
      </c>
      <c r="R132" s="282"/>
      <c r="S132" s="3016"/>
      <c r="T132" s="241"/>
      <c r="U132" s="2755"/>
      <c r="V132" s="139"/>
      <c r="W132" s="2875"/>
      <c r="X132" s="5233"/>
    </row>
    <row r="133" spans="1:28" ht="12.75" customHeight="1" thickBot="1">
      <c r="A133" s="139"/>
      <c r="B133" s="2826" t="s">
        <v>1981</v>
      </c>
      <c r="C133" s="3627" t="str">
        <f>"Did you make any payments in "&amp;TaxYear&amp;" that would require you to file Form(s) 1099? (see instructions) "</f>
        <v xml:space="preserve">Did you make any payments in 2025 that would require you to file Form(s) 1099? (see instructions) </v>
      </c>
      <c r="D133" s="2753"/>
      <c r="E133" s="2755"/>
      <c r="F133" s="2755"/>
      <c r="G133" s="2768"/>
      <c r="H133" s="2755"/>
      <c r="I133" s="3627"/>
      <c r="J133" s="3016"/>
      <c r="K133" s="3016"/>
      <c r="L133" s="2755"/>
      <c r="M133" s="3627"/>
      <c r="N133" s="2755"/>
      <c r="O133" s="2755"/>
      <c r="P133" s="2755"/>
      <c r="Q133" s="3016" t="s">
        <v>1838</v>
      </c>
      <c r="R133" s="282"/>
      <c r="S133" s="2995" t="s">
        <v>568</v>
      </c>
      <c r="T133" s="282"/>
      <c r="U133" s="2995" t="s">
        <v>569</v>
      </c>
      <c r="V133" s="139"/>
      <c r="W133" s="2875"/>
      <c r="X133" s="5233"/>
    </row>
    <row r="134" spans="1:28" ht="12.75" customHeight="1" thickBot="1">
      <c r="A134" s="139"/>
      <c r="B134" s="2826" t="s">
        <v>1982</v>
      </c>
      <c r="C134" s="3627" t="s">
        <v>4976</v>
      </c>
      <c r="D134" s="2753"/>
      <c r="E134" s="2755"/>
      <c r="F134" s="2755"/>
      <c r="G134" s="2768"/>
      <c r="H134" s="2755"/>
      <c r="I134" s="3627"/>
      <c r="J134" s="3016"/>
      <c r="K134" s="3016"/>
      <c r="L134" s="2755"/>
      <c r="M134" s="3627"/>
      <c r="N134" s="2755"/>
      <c r="O134" s="2755"/>
      <c r="P134" s="2755"/>
      <c r="Q134" s="3016" t="s">
        <v>1983</v>
      </c>
      <c r="R134" s="282"/>
      <c r="S134" s="2995" t="s">
        <v>568</v>
      </c>
      <c r="T134" s="282"/>
      <c r="U134" s="2995" t="s">
        <v>569</v>
      </c>
      <c r="V134" s="139"/>
      <c r="W134" s="1" t="s">
        <v>979</v>
      </c>
      <c r="X134" s="5233"/>
    </row>
    <row r="135" spans="1:28" ht="12.75" customHeight="1">
      <c r="A135" s="139"/>
      <c r="B135" s="5312" t="s">
        <v>780</v>
      </c>
      <c r="C135" s="5227" t="s">
        <v>1984</v>
      </c>
      <c r="D135" s="5227"/>
      <c r="E135" s="5257"/>
      <c r="F135" s="5110"/>
      <c r="G135" s="5110"/>
      <c r="H135" s="5110"/>
      <c r="I135" s="5112"/>
      <c r="J135" s="5112"/>
      <c r="K135" s="5112"/>
      <c r="L135" s="5112"/>
      <c r="M135" s="5112"/>
      <c r="N135" s="5110"/>
      <c r="O135" s="5110"/>
      <c r="P135" s="5258"/>
      <c r="Q135" s="5110"/>
      <c r="R135" s="5110"/>
      <c r="S135" s="5110"/>
      <c r="T135" s="5110"/>
      <c r="U135" s="5110"/>
      <c r="V135" s="139"/>
      <c r="W135" s="1" t="s">
        <v>931</v>
      </c>
      <c r="X135" s="5233"/>
    </row>
    <row r="136" spans="1:28" ht="15" customHeight="1" thickBot="1">
      <c r="A136" s="139"/>
      <c r="B136" s="2984">
        <v>1</v>
      </c>
      <c r="C136" s="2769" t="s">
        <v>1985</v>
      </c>
      <c r="D136" s="2770"/>
      <c r="E136" s="5230"/>
      <c r="F136" s="5230"/>
      <c r="G136" s="5230"/>
      <c r="H136" s="5230"/>
      <c r="I136" s="5259"/>
      <c r="J136" s="5259"/>
      <c r="K136" s="5259"/>
      <c r="L136" s="5259"/>
      <c r="M136" s="3016"/>
      <c r="N136" s="5230"/>
      <c r="O136" s="5230"/>
      <c r="P136" s="5230"/>
      <c r="Q136" s="5260"/>
      <c r="R136" s="3016"/>
      <c r="S136" s="5261"/>
      <c r="T136" s="8228">
        <f>IF(Y116,NonEmployeeComp_You,IF(Y117,NonEmployeeComp_Spouse,0))</f>
        <v>0</v>
      </c>
      <c r="U136" s="8229"/>
      <c r="V136" s="139"/>
      <c r="W136" s="2875"/>
      <c r="X136" s="5233"/>
      <c r="Y136" s="304" t="b">
        <f>(M121=SS_Spouse)</f>
        <v>1</v>
      </c>
      <c r="Z136" s="304"/>
      <c r="AA136" s="304"/>
      <c r="AB136" s="304"/>
    </row>
    <row r="137" spans="1:28" ht="12.75" customHeight="1" thickBot="1">
      <c r="A137" s="139"/>
      <c r="B137" s="2984"/>
      <c r="C137" s="2769" t="s">
        <v>1986</v>
      </c>
      <c r="D137" s="2770"/>
      <c r="E137" s="5230"/>
      <c r="F137" s="5230"/>
      <c r="G137" s="5230"/>
      <c r="H137" s="5230"/>
      <c r="I137" s="5259"/>
      <c r="J137" s="5259"/>
      <c r="K137" s="5259"/>
      <c r="L137" s="5259"/>
      <c r="M137" s="3016"/>
      <c r="N137" s="5230"/>
      <c r="O137" s="3016" t="s">
        <v>2120</v>
      </c>
      <c r="P137" s="5230"/>
      <c r="Q137" s="282"/>
      <c r="R137" s="3016"/>
      <c r="S137" s="2773">
        <v>1</v>
      </c>
      <c r="T137" s="8206">
        <f>IF(W137&lt;&gt;"",ROUND(W137,0),IF(Y116,NonEmployeeComp_You,IF(Y117,NonEmployeeComp_Spouse,0)))</f>
        <v>0</v>
      </c>
      <c r="U137" s="8207"/>
      <c r="V137" s="139"/>
      <c r="W137" s="949"/>
      <c r="X137" s="5233"/>
      <c r="Y137" s="5263">
        <f>IF(AND(Y136,SchC_StatutoryEmp_2&lt;&gt;""),T137,0)</f>
        <v>0</v>
      </c>
      <c r="Z137" s="6683" t="s">
        <v>6667</v>
      </c>
      <c r="AA137" s="5263"/>
      <c r="AB137" s="5263"/>
    </row>
    <row r="138" spans="1:28" ht="12.75" customHeight="1">
      <c r="A138" s="139"/>
      <c r="B138" s="2984">
        <v>2</v>
      </c>
      <c r="C138" s="2769" t="s">
        <v>1987</v>
      </c>
      <c r="D138" s="2770"/>
      <c r="E138" s="5230"/>
      <c r="F138" s="5230"/>
      <c r="G138" s="5230"/>
      <c r="H138" s="5230"/>
      <c r="I138" s="5259"/>
      <c r="J138" s="5259"/>
      <c r="K138" s="5259"/>
      <c r="L138" s="5259"/>
      <c r="M138" s="5259"/>
      <c r="N138" s="5230"/>
      <c r="O138" s="5230"/>
      <c r="P138" s="5264"/>
      <c r="Q138" s="5230"/>
      <c r="R138" s="5265" t="s">
        <v>1155</v>
      </c>
      <c r="S138" s="2773">
        <v>2</v>
      </c>
      <c r="T138" s="8209"/>
      <c r="U138" s="8210"/>
      <c r="V138" s="139"/>
      <c r="W138" s="2875"/>
      <c r="X138" s="5233"/>
      <c r="Y138" s="5263">
        <f>IF(AND(NOT(Y136),SchC_StatutoryEmp_2&lt;&gt;""),T137,0)</f>
        <v>0</v>
      </c>
      <c r="Z138" s="5263"/>
      <c r="AA138" s="5263"/>
      <c r="AB138" s="5263"/>
    </row>
    <row r="139" spans="1:28" ht="12.75" customHeight="1">
      <c r="A139" s="139"/>
      <c r="B139" s="2984">
        <v>3</v>
      </c>
      <c r="C139" s="5266" t="s">
        <v>1988</v>
      </c>
      <c r="D139" s="5267"/>
      <c r="E139" s="5267"/>
      <c r="F139" s="5264"/>
      <c r="G139" s="5264"/>
      <c r="H139" s="5264"/>
      <c r="I139" s="5267"/>
      <c r="J139" s="5267"/>
      <c r="K139" s="5267"/>
      <c r="L139" s="5267"/>
      <c r="M139" s="5267"/>
      <c r="N139" s="5264"/>
      <c r="O139" s="5264"/>
      <c r="P139" s="5267"/>
      <c r="Q139" s="5264"/>
      <c r="R139" s="5265" t="s">
        <v>1989</v>
      </c>
      <c r="S139" s="3693">
        <v>3</v>
      </c>
      <c r="T139" s="8198">
        <f>IF(AND(T137="",T138=""),"",SUM(T137,-T138))</f>
        <v>0</v>
      </c>
      <c r="U139" s="8199"/>
      <c r="V139" s="139"/>
      <c r="W139" s="2875"/>
      <c r="X139" s="5233"/>
      <c r="Y139" s="304">
        <f>SUM(Y23,Y137)</f>
        <v>0</v>
      </c>
      <c r="Z139" s="304"/>
      <c r="AA139" s="304"/>
      <c r="AB139" s="304"/>
    </row>
    <row r="140" spans="1:28" ht="12.75" customHeight="1">
      <c r="A140" s="139"/>
      <c r="B140" s="2984">
        <v>4</v>
      </c>
      <c r="C140" s="5266" t="s">
        <v>1990</v>
      </c>
      <c r="D140" s="5267"/>
      <c r="E140" s="5267"/>
      <c r="F140" s="5264"/>
      <c r="G140" s="5264"/>
      <c r="H140" s="5264"/>
      <c r="I140" s="5267"/>
      <c r="J140" s="5267"/>
      <c r="K140" s="5267"/>
      <c r="L140" s="5267"/>
      <c r="M140" s="5267"/>
      <c r="N140" s="5264"/>
      <c r="O140" s="5264"/>
      <c r="P140" s="5267"/>
      <c r="Q140" s="5264"/>
      <c r="R140" s="5265" t="s">
        <v>2090</v>
      </c>
      <c r="S140" s="3693">
        <v>4</v>
      </c>
      <c r="T140" s="8198" t="str">
        <f>IF(W140&lt;&gt;"",W140,T200)</f>
        <v/>
      </c>
      <c r="U140" s="8199"/>
      <c r="V140" s="139"/>
      <c r="W140" s="949"/>
      <c r="X140" s="5233"/>
      <c r="Y140" s="304">
        <f>SUM(Y24,Y138)</f>
        <v>0</v>
      </c>
      <c r="Z140" s="304">
        <f>IF(T140="",0,T140)</f>
        <v>0</v>
      </c>
      <c r="AA140" s="304"/>
      <c r="AB140" s="304"/>
    </row>
    <row r="141" spans="1:28" ht="12.75" customHeight="1">
      <c r="A141" s="139"/>
      <c r="B141" s="2984">
        <v>5</v>
      </c>
      <c r="C141" s="5268" t="s">
        <v>1992</v>
      </c>
      <c r="D141" s="5256"/>
      <c r="E141" s="5267"/>
      <c r="F141" s="5264"/>
      <c r="G141" s="5264"/>
      <c r="H141" s="5264"/>
      <c r="I141" s="5267"/>
      <c r="J141" s="5267"/>
      <c r="K141" s="5267"/>
      <c r="L141" s="5267"/>
      <c r="M141" s="5267"/>
      <c r="N141" s="5264"/>
      <c r="O141" s="5264"/>
      <c r="P141" s="5267"/>
      <c r="Q141" s="5264"/>
      <c r="R141" s="5265" t="s">
        <v>871</v>
      </c>
      <c r="S141" s="3693">
        <v>5</v>
      </c>
      <c r="T141" s="8198">
        <f>IF(AND(T139="",T140=""),"",SUM(T139,-Z140))</f>
        <v>0</v>
      </c>
      <c r="U141" s="8199"/>
      <c r="V141" s="139"/>
      <c r="W141" s="2875"/>
      <c r="X141" s="5233"/>
      <c r="Y141" s="304">
        <f>SUM(SchC_Sp_StatEmp_Inc,SchC_You_StatEmp_Inc)</f>
        <v>0</v>
      </c>
      <c r="Z141" s="304"/>
      <c r="AA141" s="304"/>
      <c r="AB141" s="304"/>
    </row>
    <row r="142" spans="1:28" ht="12.75" customHeight="1">
      <c r="A142" s="139"/>
      <c r="B142" s="2984">
        <v>6</v>
      </c>
      <c r="C142" s="5266" t="s">
        <v>1993</v>
      </c>
      <c r="D142" s="5267"/>
      <c r="E142" s="5267"/>
      <c r="F142" s="5264"/>
      <c r="G142" s="5264"/>
      <c r="H142" s="5264"/>
      <c r="I142" s="5267"/>
      <c r="J142" s="5267"/>
      <c r="K142" s="5267"/>
      <c r="L142" s="5267"/>
      <c r="M142" s="5267"/>
      <c r="N142" s="5264"/>
      <c r="O142" s="5264"/>
      <c r="P142" s="5267"/>
      <c r="Q142" s="5264"/>
      <c r="R142" s="5265" t="s">
        <v>842</v>
      </c>
      <c r="S142" s="3693">
        <v>6</v>
      </c>
      <c r="T142" s="8187"/>
      <c r="U142" s="8154"/>
      <c r="V142" s="139"/>
      <c r="W142" s="2875"/>
      <c r="X142" s="5233"/>
    </row>
    <row r="143" spans="1:28" ht="12.75" customHeight="1">
      <c r="A143" s="139"/>
      <c r="B143" s="2984">
        <v>7</v>
      </c>
      <c r="C143" s="3097" t="s">
        <v>1994</v>
      </c>
      <c r="D143" s="2754"/>
      <c r="E143" s="3627"/>
      <c r="F143" s="5230"/>
      <c r="G143" s="5230"/>
      <c r="H143" s="5226"/>
      <c r="I143" s="5267"/>
      <c r="J143" s="5267"/>
      <c r="K143" s="5267"/>
      <c r="L143" s="5220"/>
      <c r="M143" s="5267"/>
      <c r="N143" s="5226"/>
      <c r="O143" s="5226"/>
      <c r="P143" s="5267"/>
      <c r="Q143" s="5230"/>
      <c r="R143" s="3016" t="s">
        <v>3758</v>
      </c>
      <c r="S143" s="3693">
        <v>7</v>
      </c>
      <c r="T143" s="8198">
        <f>IF(AND(T141="",T142=""),"",SUM(T141,T142))</f>
        <v>0</v>
      </c>
      <c r="U143" s="8199"/>
      <c r="V143" s="139"/>
      <c r="W143" s="2875"/>
      <c r="X143" s="5233"/>
    </row>
    <row r="144" spans="1:28" ht="12.75" customHeight="1">
      <c r="A144" s="139"/>
      <c r="B144" s="5312" t="s">
        <v>868</v>
      </c>
      <c r="C144" s="5270" t="s">
        <v>2121</v>
      </c>
      <c r="D144" s="5110" t="s">
        <v>2122</v>
      </c>
      <c r="E144" s="5110"/>
      <c r="F144" s="5110"/>
      <c r="G144" s="5110"/>
      <c r="H144" s="5257"/>
      <c r="I144" s="5110"/>
      <c r="J144" s="5110"/>
      <c r="K144" s="5110"/>
      <c r="L144" s="5110"/>
      <c r="M144" s="5110"/>
      <c r="N144" s="5110"/>
      <c r="O144" s="5110"/>
      <c r="P144" s="5110"/>
      <c r="Q144" s="5110"/>
      <c r="R144" s="5110"/>
      <c r="S144" s="5110"/>
      <c r="T144" s="5271"/>
      <c r="U144" s="5271"/>
      <c r="V144" s="139"/>
      <c r="W144" s="2875"/>
      <c r="X144" s="5233"/>
    </row>
    <row r="145" spans="1:24" ht="14.25">
      <c r="A145" s="139"/>
      <c r="B145" s="2984">
        <v>8</v>
      </c>
      <c r="C145" s="3592" t="s">
        <v>1997</v>
      </c>
      <c r="D145" s="3592"/>
      <c r="E145" s="5230"/>
      <c r="F145" s="5230"/>
      <c r="G145" s="5226"/>
      <c r="H145" s="2773">
        <f>B145</f>
        <v>8</v>
      </c>
      <c r="I145" s="752"/>
      <c r="J145" s="2768">
        <v>18</v>
      </c>
      <c r="K145" s="3592"/>
      <c r="L145" s="2769" t="s">
        <v>1998</v>
      </c>
      <c r="M145" s="3098"/>
      <c r="N145" s="3098"/>
      <c r="O145" s="3098"/>
      <c r="P145" s="3098"/>
      <c r="Q145" s="3098"/>
      <c r="R145" s="3016" t="s">
        <v>717</v>
      </c>
      <c r="S145" s="3693">
        <f>J145</f>
        <v>18</v>
      </c>
      <c r="T145" s="8178"/>
      <c r="U145" s="8179"/>
      <c r="V145" s="139"/>
      <c r="W145" s="2875"/>
      <c r="X145" s="5233"/>
    </row>
    <row r="146" spans="1:24" ht="14.25" customHeight="1">
      <c r="A146" s="139"/>
      <c r="B146" s="2984">
        <v>9</v>
      </c>
      <c r="C146" s="3592" t="s">
        <v>1999</v>
      </c>
      <c r="D146" s="3592"/>
      <c r="E146" s="5230"/>
      <c r="F146" s="5230"/>
      <c r="G146" s="5226"/>
      <c r="H146" s="5216"/>
      <c r="I146" s="5272"/>
      <c r="J146" s="2768">
        <v>19</v>
      </c>
      <c r="K146" s="2826"/>
      <c r="L146" s="3003" t="s">
        <v>2000</v>
      </c>
      <c r="M146" s="3624"/>
      <c r="N146" s="3592"/>
      <c r="O146" s="3592"/>
      <c r="P146" s="5266"/>
      <c r="Q146" s="5187"/>
      <c r="R146" s="3016" t="s">
        <v>717</v>
      </c>
      <c r="S146" s="3693">
        <f>J146</f>
        <v>19</v>
      </c>
      <c r="T146" s="8178"/>
      <c r="U146" s="8179"/>
      <c r="V146" s="139"/>
      <c r="W146" s="2875"/>
      <c r="X146" s="5233"/>
    </row>
    <row r="147" spans="1:24" ht="14.25" customHeight="1">
      <c r="A147" s="139"/>
      <c r="B147" s="2984"/>
      <c r="C147" s="3592" t="s">
        <v>2001</v>
      </c>
      <c r="D147" s="3592"/>
      <c r="E147" s="5230"/>
      <c r="F147" s="5230"/>
      <c r="G147" s="5226"/>
      <c r="H147" s="2773">
        <f>B146</f>
        <v>9</v>
      </c>
      <c r="I147" s="753"/>
      <c r="J147" s="2768">
        <v>20</v>
      </c>
      <c r="K147" s="2826"/>
      <c r="L147" s="3003" t="s">
        <v>2002</v>
      </c>
      <c r="M147" s="3624"/>
      <c r="N147" s="3065"/>
      <c r="O147" s="3065"/>
      <c r="P147" s="5266"/>
      <c r="Q147" s="5187"/>
      <c r="R147" s="5187"/>
      <c r="S147" s="5273"/>
      <c r="T147" s="5274"/>
      <c r="U147" s="5275"/>
      <c r="V147" s="139"/>
      <c r="W147" s="2875"/>
      <c r="X147" s="5233"/>
    </row>
    <row r="148" spans="1:24" ht="14.25" customHeight="1">
      <c r="A148" s="139"/>
      <c r="B148" s="2984">
        <v>10</v>
      </c>
      <c r="C148" s="3592" t="s">
        <v>2003</v>
      </c>
      <c r="D148" s="3592"/>
      <c r="E148" s="5230"/>
      <c r="F148" s="5230"/>
      <c r="G148" s="3016" t="s">
        <v>1838</v>
      </c>
      <c r="H148" s="5276">
        <f>B148</f>
        <v>10</v>
      </c>
      <c r="I148" s="752"/>
      <c r="J148" s="2768"/>
      <c r="K148" s="2826" t="s">
        <v>588</v>
      </c>
      <c r="L148" s="3003" t="s">
        <v>2004</v>
      </c>
      <c r="M148" s="3624"/>
      <c r="N148" s="3592"/>
      <c r="O148" s="3592"/>
      <c r="P148" s="5266"/>
      <c r="Q148" s="5187"/>
      <c r="R148" s="3016" t="s">
        <v>627</v>
      </c>
      <c r="S148" s="3693" t="s">
        <v>2005</v>
      </c>
      <c r="T148" s="8153"/>
      <c r="U148" s="8154"/>
      <c r="V148" s="139"/>
      <c r="W148" s="2875"/>
      <c r="X148" s="5233"/>
    </row>
    <row r="149" spans="1:24" ht="14.25" customHeight="1">
      <c r="A149" s="139"/>
      <c r="B149" s="2984">
        <v>11</v>
      </c>
      <c r="C149" s="3592" t="s">
        <v>2006</v>
      </c>
      <c r="D149" s="3592"/>
      <c r="E149" s="5230"/>
      <c r="F149" s="5230"/>
      <c r="G149" s="3016" t="s">
        <v>2007</v>
      </c>
      <c r="H149" s="2773">
        <f>B149</f>
        <v>11</v>
      </c>
      <c r="I149" s="753"/>
      <c r="J149" s="2768"/>
      <c r="K149" s="2826" t="s">
        <v>592</v>
      </c>
      <c r="L149" s="2769" t="s">
        <v>2008</v>
      </c>
      <c r="M149" s="5266"/>
      <c r="N149" s="3592"/>
      <c r="O149" s="3592"/>
      <c r="P149" s="5266"/>
      <c r="Q149" s="5187"/>
      <c r="R149" s="3016" t="s">
        <v>2009</v>
      </c>
      <c r="S149" s="3693" t="s">
        <v>2010</v>
      </c>
      <c r="T149" s="8178"/>
      <c r="U149" s="8179"/>
      <c r="V149" s="139"/>
      <c r="W149" s="2875"/>
      <c r="X149" s="5233"/>
    </row>
    <row r="150" spans="1:24" ht="14.25" customHeight="1">
      <c r="A150" s="139"/>
      <c r="B150" s="2984">
        <v>12</v>
      </c>
      <c r="C150" s="3592" t="s">
        <v>2011</v>
      </c>
      <c r="D150" s="3592"/>
      <c r="E150" s="5230"/>
      <c r="F150" s="5230"/>
      <c r="G150" s="5226"/>
      <c r="H150" s="2773">
        <f>B150</f>
        <v>12</v>
      </c>
      <c r="I150" s="752"/>
      <c r="J150" s="2768">
        <v>21</v>
      </c>
      <c r="K150" s="2826"/>
      <c r="L150" s="2769" t="s">
        <v>2012</v>
      </c>
      <c r="M150" s="2769"/>
      <c r="N150" s="2769"/>
      <c r="O150" s="2769"/>
      <c r="P150" s="2769"/>
      <c r="Q150" s="2769"/>
      <c r="R150" s="3016" t="s">
        <v>2013</v>
      </c>
      <c r="S150" s="3693">
        <f>J150</f>
        <v>21</v>
      </c>
      <c r="T150" s="8178"/>
      <c r="U150" s="8179"/>
      <c r="V150" s="139"/>
      <c r="W150" s="2875"/>
      <c r="X150" s="5233"/>
    </row>
    <row r="151" spans="1:24" ht="14.25" customHeight="1">
      <c r="A151" s="139"/>
      <c r="B151" s="2984">
        <v>13</v>
      </c>
      <c r="C151" s="3592" t="s">
        <v>2014</v>
      </c>
      <c r="D151" s="3592"/>
      <c r="E151" s="5230"/>
      <c r="F151" s="5230"/>
      <c r="G151" s="5226"/>
      <c r="H151" s="5216"/>
      <c r="I151" s="5272"/>
      <c r="J151" s="2768">
        <v>22</v>
      </c>
      <c r="K151" s="2826"/>
      <c r="L151" s="2769" t="s">
        <v>2015</v>
      </c>
      <c r="M151" s="2769"/>
      <c r="N151" s="2769"/>
      <c r="O151" s="2769"/>
      <c r="P151" s="2769"/>
      <c r="Q151" s="2769"/>
      <c r="R151" s="3016" t="s">
        <v>717</v>
      </c>
      <c r="S151" s="3693">
        <v>22</v>
      </c>
      <c r="T151" s="8178"/>
      <c r="U151" s="8179"/>
      <c r="V151" s="139"/>
      <c r="W151" s="2875"/>
      <c r="X151" s="5233"/>
    </row>
    <row r="152" spans="1:24" ht="14.25" customHeight="1">
      <c r="A152" s="139"/>
      <c r="B152" s="2984"/>
      <c r="C152" s="3592" t="s">
        <v>2016</v>
      </c>
      <c r="D152" s="3592"/>
      <c r="E152" s="5230"/>
      <c r="F152" s="5230"/>
      <c r="G152" s="5226"/>
      <c r="H152" s="5216"/>
      <c r="I152" s="5277"/>
      <c r="J152" s="2768">
        <v>23</v>
      </c>
      <c r="K152" s="2826"/>
      <c r="L152" s="2769" t="s">
        <v>2017</v>
      </c>
      <c r="M152" s="2769"/>
      <c r="N152" s="2769"/>
      <c r="O152" s="2769"/>
      <c r="P152" s="2769"/>
      <c r="Q152" s="2769"/>
      <c r="R152" s="3016" t="s">
        <v>670</v>
      </c>
      <c r="S152" s="3693">
        <v>23</v>
      </c>
      <c r="T152" s="8178"/>
      <c r="U152" s="8179"/>
      <c r="V152" s="139"/>
      <c r="W152" s="2875"/>
      <c r="X152" s="5233"/>
    </row>
    <row r="153" spans="1:24" ht="14.25" customHeight="1">
      <c r="A153" s="139"/>
      <c r="B153" s="2984"/>
      <c r="C153" s="3592" t="s">
        <v>2018</v>
      </c>
      <c r="D153" s="3592"/>
      <c r="E153" s="5230"/>
      <c r="F153" s="5230"/>
      <c r="G153" s="3016" t="s">
        <v>2123</v>
      </c>
      <c r="H153" s="2773">
        <f>B151</f>
        <v>13</v>
      </c>
      <c r="I153" s="753"/>
      <c r="J153" s="2768">
        <v>24</v>
      </c>
      <c r="K153" s="2826"/>
      <c r="L153" s="2769" t="s">
        <v>2019</v>
      </c>
      <c r="M153" s="2769"/>
      <c r="N153" s="2769"/>
      <c r="O153" s="2769"/>
      <c r="P153" s="2769"/>
      <c r="Q153" s="2769"/>
      <c r="R153" s="2769"/>
      <c r="S153" s="5273"/>
      <c r="T153" s="5274"/>
      <c r="U153" s="5275"/>
      <c r="V153" s="139"/>
      <c r="W153" s="2875"/>
      <c r="X153" s="5233"/>
    </row>
    <row r="154" spans="1:24" ht="14.25" customHeight="1">
      <c r="A154" s="139"/>
      <c r="B154" s="2984">
        <v>14</v>
      </c>
      <c r="C154" s="3592" t="s">
        <v>2020</v>
      </c>
      <c r="D154" s="3592"/>
      <c r="E154" s="5230"/>
      <c r="F154" s="5230"/>
      <c r="G154" s="5226"/>
      <c r="H154" s="5216"/>
      <c r="I154" s="5272"/>
      <c r="J154" s="2768"/>
      <c r="K154" s="2826" t="s">
        <v>588</v>
      </c>
      <c r="L154" s="2769" t="s">
        <v>2021</v>
      </c>
      <c r="M154" s="2769"/>
      <c r="N154" s="2769"/>
      <c r="O154" s="2769"/>
      <c r="P154" s="2769"/>
      <c r="Q154" s="2769"/>
      <c r="R154" s="3016" t="s">
        <v>597</v>
      </c>
      <c r="S154" s="3693" t="s">
        <v>895</v>
      </c>
      <c r="T154" s="8153"/>
      <c r="U154" s="8154"/>
      <c r="V154" s="139"/>
      <c r="W154" s="2875"/>
      <c r="X154" s="5233"/>
    </row>
    <row r="155" spans="1:24" ht="14.25" customHeight="1">
      <c r="A155" s="139"/>
      <c r="B155" s="2984"/>
      <c r="C155" s="3592" t="s">
        <v>2124</v>
      </c>
      <c r="D155" s="3592"/>
      <c r="E155" s="5230"/>
      <c r="F155" s="5230"/>
      <c r="G155" s="5226"/>
      <c r="H155" s="2773">
        <f>B154</f>
        <v>14</v>
      </c>
      <c r="I155" s="753"/>
      <c r="J155" s="2768"/>
      <c r="K155" s="2826" t="s">
        <v>592</v>
      </c>
      <c r="L155" s="2769" t="s">
        <v>4910</v>
      </c>
      <c r="M155" s="253"/>
      <c r="N155" s="253"/>
      <c r="O155" s="253"/>
      <c r="P155" s="253"/>
      <c r="Q155" s="253"/>
      <c r="R155" s="3016"/>
      <c r="S155" s="3693" t="s">
        <v>897</v>
      </c>
      <c r="T155" s="8153"/>
      <c r="U155" s="8154"/>
      <c r="V155" s="139"/>
      <c r="W155" s="2875"/>
      <c r="X155" s="5233"/>
    </row>
    <row r="156" spans="1:24" ht="14.25" customHeight="1">
      <c r="A156" s="139"/>
      <c r="B156" s="2984">
        <v>15</v>
      </c>
      <c r="C156" s="3592" t="s">
        <v>2125</v>
      </c>
      <c r="D156" s="3592"/>
      <c r="E156" s="5230"/>
      <c r="F156" s="5230"/>
      <c r="G156" s="5226"/>
      <c r="H156" s="2773">
        <f>B156</f>
        <v>15</v>
      </c>
      <c r="I156" s="752"/>
      <c r="J156" s="2768">
        <v>25</v>
      </c>
      <c r="K156" s="2826"/>
      <c r="L156" s="2769" t="s">
        <v>2025</v>
      </c>
      <c r="M156" s="2769"/>
      <c r="N156" s="2769"/>
      <c r="O156" s="2769"/>
      <c r="P156" s="2769"/>
      <c r="Q156" s="2769"/>
      <c r="R156" s="3016" t="s">
        <v>597</v>
      </c>
      <c r="S156" s="3693">
        <v>25</v>
      </c>
      <c r="T156" s="8178"/>
      <c r="U156" s="8179"/>
      <c r="V156" s="139"/>
      <c r="W156" s="2875"/>
      <c r="X156" s="5233"/>
    </row>
    <row r="157" spans="1:24" ht="14.25" customHeight="1">
      <c r="A157" s="139"/>
      <c r="B157" s="2984">
        <v>16</v>
      </c>
      <c r="C157" s="3592" t="s">
        <v>2024</v>
      </c>
      <c r="D157" s="3592"/>
      <c r="E157" s="5230"/>
      <c r="F157" s="5230"/>
      <c r="G157" s="5226"/>
      <c r="H157" s="5273"/>
      <c r="I157" s="5272"/>
      <c r="J157" s="2768">
        <v>26</v>
      </c>
      <c r="K157" s="2826"/>
      <c r="L157" s="2769" t="s">
        <v>2028</v>
      </c>
      <c r="M157" s="2769"/>
      <c r="N157" s="2769"/>
      <c r="O157" s="2769"/>
      <c r="P157" s="2769"/>
      <c r="Q157" s="2769"/>
      <c r="R157" s="3016" t="s">
        <v>717</v>
      </c>
      <c r="S157" s="3693">
        <v>26</v>
      </c>
      <c r="T157" s="8178"/>
      <c r="U157" s="8179"/>
      <c r="V157" s="139"/>
      <c r="W157" s="2875"/>
      <c r="X157" s="5233"/>
    </row>
    <row r="158" spans="1:24" ht="14.25" customHeight="1">
      <c r="A158" s="139"/>
      <c r="B158" s="3746" t="s">
        <v>588</v>
      </c>
      <c r="C158" s="3592" t="s">
        <v>2026</v>
      </c>
      <c r="D158" s="3592"/>
      <c r="E158" s="5230"/>
      <c r="F158" s="5230"/>
      <c r="G158" s="5226"/>
      <c r="H158" s="2773" t="s">
        <v>2027</v>
      </c>
      <c r="I158" s="753"/>
      <c r="J158" s="5278">
        <v>27</v>
      </c>
      <c r="K158" s="2826" t="s">
        <v>588</v>
      </c>
      <c r="L158" s="2769" t="s">
        <v>4907</v>
      </c>
      <c r="M158" s="2769"/>
      <c r="N158" s="2769"/>
      <c r="O158" s="2769"/>
      <c r="P158" s="2769"/>
      <c r="Q158" s="2769"/>
      <c r="R158" s="3016" t="s">
        <v>717</v>
      </c>
      <c r="S158" s="2805"/>
      <c r="T158" s="8223"/>
      <c r="U158" s="8224"/>
      <c r="V158" s="139"/>
      <c r="W158" s="2875"/>
      <c r="X158" s="5233"/>
    </row>
    <row r="159" spans="1:24" ht="14.25" customHeight="1">
      <c r="A159" s="139"/>
      <c r="B159" s="3746" t="s">
        <v>592</v>
      </c>
      <c r="C159" s="3592" t="s">
        <v>2029</v>
      </c>
      <c r="D159" s="3592"/>
      <c r="E159" s="5230"/>
      <c r="F159" s="5230"/>
      <c r="G159" s="5226"/>
      <c r="H159" s="2773" t="s">
        <v>2030</v>
      </c>
      <c r="I159" s="754"/>
      <c r="J159" s="2768"/>
      <c r="K159" s="2826"/>
      <c r="L159" s="3592" t="s">
        <v>4908</v>
      </c>
      <c r="M159" s="2769"/>
      <c r="N159" s="2769"/>
      <c r="O159" s="2769"/>
      <c r="P159" s="2769"/>
      <c r="Q159" s="2769"/>
      <c r="R159" s="5338"/>
      <c r="S159" s="6472" t="s">
        <v>2032</v>
      </c>
      <c r="T159" s="8153"/>
      <c r="U159" s="8154"/>
      <c r="V159" s="139"/>
      <c r="W159" s="2875"/>
      <c r="X159" s="5233"/>
    </row>
    <row r="160" spans="1:24" ht="14.25" customHeight="1" thickBot="1">
      <c r="A160" s="139"/>
      <c r="B160" s="3667">
        <v>17</v>
      </c>
      <c r="C160" s="5205" t="s">
        <v>2033</v>
      </c>
      <c r="D160" s="5205"/>
      <c r="E160" s="5279"/>
      <c r="F160" s="5279"/>
      <c r="G160" s="5280"/>
      <c r="H160" s="3742">
        <v>17</v>
      </c>
      <c r="I160" s="755"/>
      <c r="J160" s="5281"/>
      <c r="K160" s="5282" t="s">
        <v>592</v>
      </c>
      <c r="L160" s="4299" t="s">
        <v>2031</v>
      </c>
      <c r="M160" s="5205"/>
      <c r="N160" s="5205"/>
      <c r="O160" s="5205"/>
      <c r="P160" s="5205"/>
      <c r="Q160" s="5205"/>
      <c r="R160" s="5283" t="s">
        <v>717</v>
      </c>
      <c r="S160" s="5336" t="s">
        <v>2034</v>
      </c>
      <c r="T160" s="8216" t="str">
        <f>IF(W160&lt;&gt;"",ROUND(W160,0),T228)</f>
        <v/>
      </c>
      <c r="U160" s="8217"/>
      <c r="V160" s="139"/>
      <c r="W160" s="949"/>
      <c r="X160" s="5233"/>
    </row>
    <row r="161" spans="1:39" ht="14.25" customHeight="1">
      <c r="A161" s="139"/>
      <c r="B161" s="2984">
        <v>28</v>
      </c>
      <c r="C161" s="5268" t="s">
        <v>4912</v>
      </c>
      <c r="D161" s="5256"/>
      <c r="E161" s="5267"/>
      <c r="F161" s="5264"/>
      <c r="G161" s="5264"/>
      <c r="H161" s="5264"/>
      <c r="I161" s="5267"/>
      <c r="J161" s="5267"/>
      <c r="K161" s="5267"/>
      <c r="L161" s="5267"/>
      <c r="M161" s="5267"/>
      <c r="N161" s="5264"/>
      <c r="O161" s="5264"/>
      <c r="P161" s="5267"/>
      <c r="Q161" s="5264"/>
      <c r="R161" s="5265" t="s">
        <v>2126</v>
      </c>
      <c r="S161" s="3693">
        <v>28</v>
      </c>
      <c r="T161" s="8198" t="str">
        <f>IF(W161&lt;&gt;"",ROUND(W161,0),IF(SUM(I145:I160,T145:T160)=0,"",ROUND(SUM(I145:I160,T145:T160),0)))</f>
        <v/>
      </c>
      <c r="U161" s="8199"/>
      <c r="V161" s="139"/>
      <c r="W161" s="949"/>
      <c r="X161" s="5233"/>
      <c r="Y161" s="304">
        <f>IF(T161="",0,T161)</f>
        <v>0</v>
      </c>
    </row>
    <row r="162" spans="1:39" ht="15" customHeight="1">
      <c r="A162" s="139"/>
      <c r="B162" s="2984">
        <v>29</v>
      </c>
      <c r="C162" s="5266" t="s">
        <v>2036</v>
      </c>
      <c r="D162" s="5267"/>
      <c r="E162" s="5267"/>
      <c r="F162" s="5264"/>
      <c r="G162" s="5264"/>
      <c r="H162" s="5264"/>
      <c r="I162" s="5267"/>
      <c r="J162" s="5267"/>
      <c r="K162" s="5267"/>
      <c r="L162" s="5267"/>
      <c r="M162" s="5267"/>
      <c r="N162" s="5264"/>
      <c r="O162" s="5264"/>
      <c r="P162" s="5267"/>
      <c r="Q162" s="5264"/>
      <c r="R162" s="5265" t="s">
        <v>891</v>
      </c>
      <c r="S162" s="3693">
        <v>29</v>
      </c>
      <c r="T162" s="8198">
        <f>IF(AND(T143="",T161=""),"",SUM(T143,-Y161))</f>
        <v>0</v>
      </c>
      <c r="U162" s="8199"/>
      <c r="V162" s="139"/>
      <c r="W162" s="2875"/>
      <c r="X162" s="5233"/>
    </row>
    <row r="163" spans="1:39" ht="12.75" customHeight="1">
      <c r="A163" s="139"/>
      <c r="B163" s="2984">
        <v>30</v>
      </c>
      <c r="C163" s="5266" t="s">
        <v>2037</v>
      </c>
      <c r="D163" s="5267"/>
      <c r="E163" s="5267"/>
      <c r="F163" s="5264"/>
      <c r="G163" s="5264"/>
      <c r="H163" s="5264"/>
      <c r="I163" s="5267"/>
      <c r="J163" s="5267"/>
      <c r="K163" s="5267"/>
      <c r="L163" s="5267"/>
      <c r="M163" s="5267"/>
      <c r="N163" s="5264"/>
      <c r="O163" s="5264"/>
      <c r="P163" s="5267"/>
      <c r="Q163" s="5264"/>
      <c r="R163" s="5264"/>
      <c r="S163" s="5340"/>
      <c r="T163" s="8219" t="str">
        <f>IF(AND(V163="",O166),"The number in",IF(AND(V163="",Q166),"The area you use",""))</f>
        <v/>
      </c>
      <c r="U163" s="8220"/>
      <c r="V163" s="805"/>
      <c r="W163" s="2875" t="str">
        <f>IF(Y164,"Hide note.","")</f>
        <v/>
      </c>
      <c r="X163" s="5233"/>
    </row>
    <row r="164" spans="1:39" ht="14.25" customHeight="1">
      <c r="A164" s="139"/>
      <c r="B164" s="5241"/>
      <c r="C164" s="5266" t="s">
        <v>2038</v>
      </c>
      <c r="D164" s="5267"/>
      <c r="E164" s="5267"/>
      <c r="F164" s="5264"/>
      <c r="G164" s="5264"/>
      <c r="H164" s="5264"/>
      <c r="I164" s="5267"/>
      <c r="J164" s="5267"/>
      <c r="K164" s="5267"/>
      <c r="L164" s="2769" t="s">
        <v>2031</v>
      </c>
      <c r="M164" s="5267"/>
      <c r="N164" s="5264"/>
      <c r="O164" s="5264"/>
      <c r="P164" s="5267"/>
      <c r="Q164" s="8155">
        <v>300</v>
      </c>
      <c r="R164" s="8156"/>
      <c r="S164" s="5341"/>
      <c r="T164" s="8157" t="str">
        <f>IF(AND(V163="",O166),"line 30a must be",IF(AND(V163="",Q166),"to figure your",""))</f>
        <v/>
      </c>
      <c r="U164" s="8158"/>
      <c r="V164" s="139"/>
      <c r="W164" s="2875"/>
      <c r="X164" s="5233"/>
      <c r="Y164" s="304" t="b">
        <f>OR(O166,Q166)</f>
        <v>0</v>
      </c>
      <c r="Z164" s="304"/>
      <c r="AA164" s="304"/>
      <c r="AB164" s="304"/>
    </row>
    <row r="165" spans="1:39" ht="14.25" customHeight="1">
      <c r="A165" s="139"/>
      <c r="B165" s="5241"/>
      <c r="C165" s="5266" t="s">
        <v>2040</v>
      </c>
      <c r="D165" s="5267"/>
      <c r="E165" s="5267"/>
      <c r="F165" s="5264"/>
      <c r="G165" s="5264"/>
      <c r="H165" s="5264"/>
      <c r="I165" s="5267"/>
      <c r="J165" s="5267"/>
      <c r="K165" s="5267"/>
      <c r="L165" s="5267"/>
      <c r="M165" s="8235"/>
      <c r="N165" s="8236"/>
      <c r="O165" s="8236"/>
      <c r="P165" s="8236"/>
      <c r="Q165" s="8236"/>
      <c r="R165" s="5264"/>
      <c r="S165" s="5341"/>
      <c r="T165" s="8157" t="str">
        <f>IF(AND(V163="",O166),"larger than the",IF(AND(V163="",Q166),"deduction, cannot",""))</f>
        <v/>
      </c>
      <c r="U165" s="8158"/>
      <c r="V165" s="139"/>
      <c r="W165" s="2875"/>
      <c r="X165" s="5233"/>
      <c r="Y165" s="5285" t="s">
        <v>2039</v>
      </c>
      <c r="Z165" s="406"/>
      <c r="AA165" s="406"/>
      <c r="AB165" s="407"/>
    </row>
    <row r="166" spans="1:39" ht="14.25" customHeight="1">
      <c r="A166" s="139"/>
      <c r="B166" s="5241"/>
      <c r="C166" s="5266" t="s">
        <v>2042</v>
      </c>
      <c r="D166" s="5267"/>
      <c r="E166" s="5267"/>
      <c r="F166" s="5264"/>
      <c r="G166" s="5264"/>
      <c r="H166" s="5264"/>
      <c r="I166" s="5264"/>
      <c r="J166" s="8236"/>
      <c r="K166" s="8236"/>
      <c r="L166" s="8236"/>
      <c r="M166" s="8236"/>
      <c r="N166" s="5267"/>
      <c r="O166" s="8155" t="b">
        <f>J166&gt;M165</f>
        <v>0</v>
      </c>
      <c r="P166" s="8155"/>
      <c r="Q166" s="8155" t="b">
        <f>J166&gt;Q164</f>
        <v>0</v>
      </c>
      <c r="R166" s="8156"/>
      <c r="S166" s="5341"/>
      <c r="T166" s="8157" t="str">
        <f>IF(AND(V163="",O166),"one in line 30b.",IF(AND(V163="",Q166),"exceed "&amp;TEXT(Q164,"0")&amp;" sq. ft.",""))</f>
        <v/>
      </c>
      <c r="U166" s="8158"/>
      <c r="V166" s="139"/>
      <c r="W166" s="2875"/>
      <c r="X166" s="5233"/>
      <c r="Y166" s="1400" t="s">
        <v>157</v>
      </c>
      <c r="Z166" s="1401" t="s">
        <v>2041</v>
      </c>
      <c r="AA166" s="253"/>
      <c r="AB166" s="409"/>
    </row>
    <row r="167" spans="1:39" ht="14.25" customHeight="1">
      <c r="A167" s="139"/>
      <c r="B167" s="5241"/>
      <c r="C167" s="5266" t="s">
        <v>2045</v>
      </c>
      <c r="D167" s="5267"/>
      <c r="E167" s="5267"/>
      <c r="F167" s="5264"/>
      <c r="G167" s="5264"/>
      <c r="H167" s="5264"/>
      <c r="I167" s="5267"/>
      <c r="J167" s="5267"/>
      <c r="K167" s="5267"/>
      <c r="L167" s="5267"/>
      <c r="M167" s="5267"/>
      <c r="N167" s="5264"/>
      <c r="O167" s="5264"/>
      <c r="P167" s="5267"/>
      <c r="Q167" s="5264"/>
      <c r="R167" s="5286" t="s">
        <v>643</v>
      </c>
      <c r="S167" s="3693">
        <v>30</v>
      </c>
      <c r="T167" s="8222" t="str">
        <f>IF(W167&lt;&gt;"",ROUND(W167,0),IF(F8829_SchC_2,F8829_Deduction,IF(OR(AND(M165="",J166=""),Y164),"",AA179)))</f>
        <v/>
      </c>
      <c r="U167" s="8207"/>
      <c r="V167" s="139"/>
      <c r="W167" s="949"/>
      <c r="X167" s="5233"/>
      <c r="Y167" s="1061" t="s">
        <v>2043</v>
      </c>
      <c r="Z167" s="1061" t="s">
        <v>2044</v>
      </c>
      <c r="AA167" s="2499">
        <f>SchC_TentativeProfit2</f>
        <v>0</v>
      </c>
      <c r="AB167" s="409"/>
    </row>
    <row r="168" spans="1:39" ht="14.25" customHeight="1">
      <c r="A168" s="139"/>
      <c r="B168" s="2984">
        <v>31</v>
      </c>
      <c r="C168" s="3097" t="s">
        <v>2048</v>
      </c>
      <c r="D168" s="2754"/>
      <c r="E168" s="3627"/>
      <c r="F168" s="5230"/>
      <c r="G168" s="5230"/>
      <c r="H168" s="5226"/>
      <c r="I168" s="5220"/>
      <c r="J168" s="5220"/>
      <c r="K168" s="5220"/>
      <c r="L168" s="5220"/>
      <c r="M168" s="5220"/>
      <c r="N168" s="5226"/>
      <c r="O168" s="5226"/>
      <c r="P168" s="5267"/>
      <c r="Q168" s="5230"/>
      <c r="R168" s="5230"/>
      <c r="S168" s="5287"/>
      <c r="T168" s="5288"/>
      <c r="U168" s="5289"/>
      <c r="V168" s="139"/>
      <c r="W168" s="2875"/>
      <c r="X168" s="5233"/>
      <c r="Y168" s="1061" t="s">
        <v>2046</v>
      </c>
      <c r="Z168" s="1061" t="s">
        <v>2047</v>
      </c>
      <c r="AA168" s="1402"/>
      <c r="AB168" s="409"/>
    </row>
    <row r="169" spans="1:39" ht="12.75" customHeight="1">
      <c r="A169" s="139"/>
      <c r="B169" s="5241"/>
      <c r="C169" s="3098" t="s">
        <v>2051</v>
      </c>
      <c r="D169" s="5290"/>
      <c r="E169" s="3627"/>
      <c r="F169" s="5230"/>
      <c r="G169" s="5230"/>
      <c r="H169" s="5226"/>
      <c r="I169" s="5267"/>
      <c r="J169" s="5267"/>
      <c r="K169" s="5267"/>
      <c r="L169" s="5220"/>
      <c r="M169" s="5267"/>
      <c r="N169" s="5226"/>
      <c r="O169" s="5226"/>
      <c r="P169" s="5267"/>
      <c r="Q169" s="5230"/>
      <c r="R169" s="5230"/>
      <c r="S169" s="2805"/>
      <c r="T169" s="5291"/>
      <c r="U169" s="248"/>
      <c r="V169" s="139"/>
      <c r="W169" s="2875"/>
      <c r="X169" s="5233"/>
      <c r="Y169" s="1061" t="s">
        <v>2049</v>
      </c>
      <c r="Z169" s="1061" t="s">
        <v>2050</v>
      </c>
      <c r="AA169" s="5223">
        <f>SUM(AA167,AA168)</f>
        <v>0</v>
      </c>
      <c r="AB169" s="409"/>
    </row>
    <row r="170" spans="1:39" ht="12.75" customHeight="1">
      <c r="A170" s="139"/>
      <c r="B170" s="3016"/>
      <c r="C170" s="3098" t="s">
        <v>2054</v>
      </c>
      <c r="D170" s="3627"/>
      <c r="E170" s="3627"/>
      <c r="F170" s="5230"/>
      <c r="G170" s="5230"/>
      <c r="H170" s="5230"/>
      <c r="I170" s="3627"/>
      <c r="J170" s="3627"/>
      <c r="K170" s="3627"/>
      <c r="L170" s="5220"/>
      <c r="M170" s="3627"/>
      <c r="N170" s="5230"/>
      <c r="O170" s="5230"/>
      <c r="P170" s="5267"/>
      <c r="Q170" s="5230"/>
      <c r="R170" s="5230"/>
      <c r="S170" s="3693">
        <v>31</v>
      </c>
      <c r="T170" s="8198">
        <f>IF(W170&lt;&gt;"",ROUND(W170,0),IF(AND(Y164,V163&lt;&gt;"",W167=""),SchC_TentativeProfit2,IF(T167="",T162,ROUND(SUM(T162,-T167),0))))</f>
        <v>0</v>
      </c>
      <c r="U170" s="8199"/>
      <c r="V170" s="139"/>
      <c r="W170" s="949"/>
      <c r="X170" s="5233"/>
      <c r="Y170" s="1061" t="s">
        <v>2052</v>
      </c>
      <c r="Z170" s="1061" t="s">
        <v>4973</v>
      </c>
      <c r="AB170" s="409"/>
    </row>
    <row r="171" spans="1:39" ht="12.75" customHeight="1">
      <c r="A171" s="139"/>
      <c r="B171" s="3016"/>
      <c r="C171" s="3098" t="s">
        <v>2057</v>
      </c>
      <c r="D171" s="5290"/>
      <c r="E171" s="3627"/>
      <c r="F171" s="5230"/>
      <c r="G171" s="5230"/>
      <c r="H171" s="5230"/>
      <c r="I171" s="3627"/>
      <c r="J171" s="3627"/>
      <c r="K171" s="3627"/>
      <c r="L171" s="5220"/>
      <c r="M171" s="3627"/>
      <c r="N171" s="5230"/>
      <c r="O171" s="5230"/>
      <c r="P171" s="5267"/>
      <c r="Q171" s="5230"/>
      <c r="R171" s="5292"/>
      <c r="S171" s="5241"/>
      <c r="T171" s="3004"/>
      <c r="U171" s="3004"/>
      <c r="V171" s="139"/>
      <c r="W171" s="2875"/>
      <c r="X171" s="5233"/>
      <c r="Y171" s="1061"/>
      <c r="Z171" s="1061" t="s">
        <v>4974</v>
      </c>
      <c r="AA171" s="1403"/>
      <c r="AB171" s="567" t="s">
        <v>2053</v>
      </c>
    </row>
    <row r="172" spans="1:39" ht="12.75" customHeight="1" thickBot="1">
      <c r="A172" s="139"/>
      <c r="B172" s="2984">
        <v>32</v>
      </c>
      <c r="C172" s="3592" t="s">
        <v>2127</v>
      </c>
      <c r="D172" s="3592"/>
      <c r="E172" s="3592"/>
      <c r="F172" s="5187"/>
      <c r="G172" s="5187"/>
      <c r="H172" s="5187"/>
      <c r="I172" s="3592"/>
      <c r="J172" s="3592"/>
      <c r="K172" s="3592"/>
      <c r="L172" s="3624"/>
      <c r="M172" s="3592"/>
      <c r="N172" s="5187"/>
      <c r="O172" s="5187"/>
      <c r="P172" s="5267"/>
      <c r="Q172" s="5230"/>
      <c r="R172" s="5292"/>
      <c r="S172" s="5241"/>
      <c r="T172" s="3004"/>
      <c r="U172" s="3004"/>
      <c r="V172" s="139"/>
      <c r="W172" s="5293" t="str">
        <f>IF(Y181,"Check only",IF(Y183,"Check ONLY",""))</f>
        <v/>
      </c>
      <c r="X172" s="5233"/>
      <c r="Y172" s="1061" t="s">
        <v>2055</v>
      </c>
      <c r="Z172" s="1061" t="s">
        <v>2056</v>
      </c>
      <c r="AA172" s="5223">
        <f>IF(AA171="",AA169,SUM(AA169,-AA171))</f>
        <v>0</v>
      </c>
      <c r="AB172" s="409"/>
    </row>
    <row r="173" spans="1:39" ht="12.75" customHeight="1" thickBot="1">
      <c r="A173" s="139"/>
      <c r="B173" s="3016"/>
      <c r="C173" s="3592" t="s">
        <v>2128</v>
      </c>
      <c r="D173" s="5290"/>
      <c r="E173" s="3627"/>
      <c r="F173" s="5230"/>
      <c r="G173" s="5230"/>
      <c r="H173" s="5230"/>
      <c r="I173" s="3627"/>
      <c r="J173" s="3627"/>
      <c r="K173" s="3627"/>
      <c r="L173" s="5220"/>
      <c r="M173" s="3627"/>
      <c r="N173" s="5230"/>
      <c r="O173" s="5230"/>
      <c r="P173" s="5267"/>
      <c r="Q173" s="5241" t="s">
        <v>2129</v>
      </c>
      <c r="R173" s="282"/>
      <c r="S173" s="2771" t="s">
        <v>2063</v>
      </c>
      <c r="T173" s="5294"/>
      <c r="U173" s="5294"/>
      <c r="V173" s="139"/>
      <c r="W173" s="5293" t="str">
        <f>IF(Y181,"if Line 31",IF(Y183,"one.",""))</f>
        <v/>
      </c>
      <c r="X173" s="5233"/>
      <c r="Y173" s="1400" t="s">
        <v>161</v>
      </c>
      <c r="Z173" s="1401" t="s">
        <v>2058</v>
      </c>
      <c r="AA173" s="5295">
        <f>IF(J166="",0,MIN(Q164,J166))</f>
        <v>0</v>
      </c>
      <c r="AB173" s="567" t="str">
        <f>"(&lt;= "&amp;Q164&amp;" sq. ft.)"</f>
        <v>(&lt;= 300 sq. ft.)</v>
      </c>
    </row>
    <row r="174" spans="1:39" ht="12.75" customHeight="1" thickBot="1">
      <c r="A174" s="144"/>
      <c r="B174" s="5260"/>
      <c r="C174" s="3626" t="s">
        <v>2065</v>
      </c>
      <c r="D174" s="5217"/>
      <c r="E174" s="5217"/>
      <c r="F174" s="5231"/>
      <c r="G174" s="5231"/>
      <c r="H174" s="5231"/>
      <c r="I174" s="5217"/>
      <c r="J174" s="5217"/>
      <c r="K174" s="5217"/>
      <c r="L174" s="5342"/>
      <c r="M174" s="5217"/>
      <c r="N174" s="5231"/>
      <c r="O174" s="5231"/>
      <c r="P174" s="5343"/>
      <c r="Q174" s="5224" t="s">
        <v>2130</v>
      </c>
      <c r="R174" s="282"/>
      <c r="S174" s="5344" t="s">
        <v>2067</v>
      </c>
      <c r="T174" s="5345"/>
      <c r="U174" s="5345"/>
      <c r="V174" s="144"/>
      <c r="W174" s="5330" t="str">
        <f>IF(Y181,"is a loss.","")</f>
        <v/>
      </c>
      <c r="X174" s="5233"/>
      <c r="Y174" s="1400" t="s">
        <v>167</v>
      </c>
      <c r="Z174" s="1401" t="s">
        <v>2060</v>
      </c>
      <c r="AB174" s="409"/>
    </row>
    <row r="175" spans="1:39" s="141" customFormat="1" ht="12.75" customHeight="1">
      <c r="A175" s="139"/>
      <c r="B175" s="3016"/>
      <c r="C175" s="3097" t="s">
        <v>2131</v>
      </c>
      <c r="D175" s="3627"/>
      <c r="E175" s="3627"/>
      <c r="F175" s="5230"/>
      <c r="G175" s="5230"/>
      <c r="H175" s="5230"/>
      <c r="I175" s="3627"/>
      <c r="J175" s="3627"/>
      <c r="K175" s="3627"/>
      <c r="L175" s="5220"/>
      <c r="M175" s="3627"/>
      <c r="N175" s="5230"/>
      <c r="O175" s="5230"/>
      <c r="P175" s="5267"/>
      <c r="Q175" s="3004"/>
      <c r="R175" s="3004"/>
      <c r="S175" s="5296" t="s">
        <v>2071</v>
      </c>
      <c r="T175" s="3004"/>
      <c r="U175" s="3004"/>
      <c r="V175" s="139"/>
      <c r="W175" s="2875"/>
      <c r="X175" s="5233"/>
      <c r="Y175" s="1061" t="s">
        <v>1214</v>
      </c>
      <c r="Z175" s="1061" t="s">
        <v>2064</v>
      </c>
      <c r="AA175" s="5297">
        <v>5</v>
      </c>
      <c r="AB175" s="409"/>
      <c r="AC175" s="665"/>
      <c r="AD175" s="665"/>
      <c r="AE175" s="665"/>
      <c r="AF175" s="665"/>
      <c r="AG175" s="665"/>
      <c r="AH175" s="665"/>
      <c r="AI175" s="665"/>
      <c r="AJ175" s="665"/>
      <c r="AK175" s="665"/>
      <c r="AL175" s="665"/>
      <c r="AM175" s="665"/>
    </row>
    <row r="176" spans="1:39" ht="15" customHeight="1" thickBot="1">
      <c r="A176" s="139"/>
      <c r="B176" s="5346"/>
      <c r="C176" s="5205" t="s">
        <v>2073</v>
      </c>
      <c r="D176" s="5299"/>
      <c r="E176" s="3669"/>
      <c r="F176" s="5279"/>
      <c r="G176" s="5279"/>
      <c r="H176" s="5279"/>
      <c r="I176" s="3669"/>
      <c r="J176" s="3669"/>
      <c r="K176" s="3669"/>
      <c r="L176" s="5300"/>
      <c r="M176" s="3669"/>
      <c r="N176" s="5279"/>
      <c r="O176" s="5279"/>
      <c r="P176" s="5301"/>
      <c r="Q176" s="5279"/>
      <c r="R176" s="5279"/>
      <c r="S176" s="5302"/>
      <c r="T176" s="3081"/>
      <c r="U176" s="3081"/>
      <c r="V176" s="139"/>
      <c r="W176" s="2875"/>
      <c r="X176" s="5233"/>
      <c r="Y176" s="1061" t="s">
        <v>1181</v>
      </c>
      <c r="Z176" s="1061" t="s">
        <v>2068</v>
      </c>
      <c r="AA176" s="1404">
        <v>1</v>
      </c>
      <c r="AB176" s="567" t="s">
        <v>2069</v>
      </c>
    </row>
    <row r="177" spans="1:28" ht="12.75" customHeight="1">
      <c r="A177" s="139"/>
      <c r="B177" s="5303" t="s">
        <v>2075</v>
      </c>
      <c r="C177" s="4246"/>
      <c r="D177" s="4246"/>
      <c r="E177" s="4246"/>
      <c r="F177" s="5304"/>
      <c r="G177" s="5304"/>
      <c r="H177" s="5304"/>
      <c r="I177" s="4246"/>
      <c r="J177" s="4246"/>
      <c r="K177" s="4246"/>
      <c r="L177" s="5305" t="s">
        <v>2076</v>
      </c>
      <c r="M177" s="5305"/>
      <c r="N177" s="5305"/>
      <c r="O177" s="5304"/>
      <c r="P177" s="5306"/>
      <c r="Q177" s="5304"/>
      <c r="R177" s="5304"/>
      <c r="S177" s="5348" t="str">
        <f>"Schedule C   (Form 1040)  "&amp;TaxYear</f>
        <v>Schedule C   (Form 1040)  2025</v>
      </c>
      <c r="T177" s="5308"/>
      <c r="U177" s="6578" t="s">
        <v>6511</v>
      </c>
      <c r="V177" s="139"/>
      <c r="W177" s="2875"/>
      <c r="X177" s="5233"/>
      <c r="Y177" s="1061" t="s">
        <v>1196</v>
      </c>
      <c r="Z177" s="1061" t="s">
        <v>2072</v>
      </c>
      <c r="AA177" s="5309">
        <f>ROUND(AA175*AA176,2)</f>
        <v>5</v>
      </c>
      <c r="AB177" s="409"/>
    </row>
    <row r="178" spans="1:28" ht="22.5" customHeight="1" thickBot="1">
      <c r="A178" s="139"/>
      <c r="B178" s="5267" t="str">
        <f>"Schedule C (Form 1040) "&amp;TaxYear</f>
        <v>Schedule C (Form 1040) 2025</v>
      </c>
      <c r="C178" s="5267"/>
      <c r="D178" s="5267"/>
      <c r="E178" s="5267"/>
      <c r="F178" s="5267"/>
      <c r="G178" s="5267"/>
      <c r="H178" s="5267"/>
      <c r="I178" s="5267"/>
      <c r="J178" s="5267"/>
      <c r="K178" s="5267"/>
      <c r="L178" s="5267"/>
      <c r="M178" s="5267"/>
      <c r="N178" s="5267"/>
      <c r="O178" s="5267"/>
      <c r="P178" s="5267"/>
      <c r="Q178" s="5267"/>
      <c r="R178" s="5310"/>
      <c r="S178" s="5310"/>
      <c r="T178" s="5310" t="s">
        <v>2079</v>
      </c>
      <c r="U178" s="5311" t="str">
        <f>"2"</f>
        <v>2</v>
      </c>
      <c r="V178" s="139"/>
      <c r="W178" s="2875"/>
      <c r="X178" s="5233"/>
      <c r="Y178" s="1400" t="s">
        <v>171</v>
      </c>
      <c r="Z178" s="1401" t="s">
        <v>2074</v>
      </c>
      <c r="AA178" s="5309">
        <f>ROUND(AA173*AA177,2)</f>
        <v>0</v>
      </c>
      <c r="AB178" s="409"/>
    </row>
    <row r="179" spans="1:28" ht="19.5" customHeight="1">
      <c r="A179" s="139"/>
      <c r="B179" s="5312" t="s">
        <v>1938</v>
      </c>
      <c r="C179" s="5313" t="s">
        <v>4913</v>
      </c>
      <c r="D179" s="5314"/>
      <c r="E179" s="5314"/>
      <c r="F179" s="5314"/>
      <c r="G179" s="5314"/>
      <c r="H179" s="5314"/>
      <c r="I179" s="5314"/>
      <c r="J179" s="5314"/>
      <c r="K179" s="5314"/>
      <c r="L179" s="5314"/>
      <c r="M179" s="5314"/>
      <c r="N179" s="5314"/>
      <c r="O179" s="5314"/>
      <c r="P179" s="5314"/>
      <c r="Q179" s="5314"/>
      <c r="R179" s="5314"/>
      <c r="S179" s="5314"/>
      <c r="T179" s="5314"/>
      <c r="U179" s="5314"/>
      <c r="V179" s="139"/>
      <c r="W179" s="2875"/>
      <c r="X179" s="5233"/>
      <c r="Y179" s="1400" t="s">
        <v>184</v>
      </c>
      <c r="Z179" s="1061" t="s">
        <v>2077</v>
      </c>
      <c r="AA179" s="5309">
        <f>MAX(0,MIN(AA172,AA178))</f>
        <v>0</v>
      </c>
      <c r="AB179" s="567" t="s">
        <v>2078</v>
      </c>
    </row>
    <row r="180" spans="1:28" ht="6" customHeight="1">
      <c r="A180" s="139"/>
      <c r="B180" s="3098"/>
      <c r="C180" s="3098"/>
      <c r="D180" s="3098"/>
      <c r="E180" s="3098"/>
      <c r="F180" s="3098"/>
      <c r="G180" s="3098"/>
      <c r="H180" s="3098"/>
      <c r="I180" s="3098"/>
      <c r="J180" s="3098"/>
      <c r="K180" s="3098"/>
      <c r="L180" s="3098"/>
      <c r="M180" s="3098"/>
      <c r="N180" s="3098"/>
      <c r="O180" s="3098"/>
      <c r="P180" s="3098"/>
      <c r="Q180" s="3098"/>
      <c r="R180" s="3098"/>
      <c r="S180" s="3098"/>
      <c r="T180" s="3098"/>
      <c r="U180" s="3098"/>
      <c r="V180" s="139"/>
      <c r="W180" s="2875"/>
      <c r="X180" s="5233"/>
      <c r="Y180" s="413"/>
      <c r="Z180" s="413"/>
      <c r="AA180" s="413"/>
      <c r="AB180" s="414"/>
    </row>
    <row r="181" spans="1:28" ht="13.5" customHeight="1" thickBot="1">
      <c r="A181" s="139"/>
      <c r="B181" s="2984">
        <v>33</v>
      </c>
      <c r="C181" s="3592" t="s">
        <v>2081</v>
      </c>
      <c r="D181" s="3627"/>
      <c r="E181" s="3627"/>
      <c r="F181" s="3627"/>
      <c r="G181" s="3627"/>
      <c r="H181" s="3627"/>
      <c r="I181" s="3627"/>
      <c r="J181" s="3627"/>
      <c r="K181" s="3627"/>
      <c r="L181" s="3627"/>
      <c r="M181" s="3627"/>
      <c r="N181" s="3627"/>
      <c r="O181" s="3627"/>
      <c r="P181" s="3627"/>
      <c r="Q181" s="3627"/>
      <c r="R181" s="3627"/>
      <c r="S181" s="3627"/>
      <c r="T181" s="3627"/>
      <c r="U181" s="3627"/>
      <c r="V181" s="139"/>
      <c r="W181" s="2875"/>
      <c r="X181" s="5233"/>
      <c r="Y181" s="304" t="b">
        <f>IF(AND(R173&lt;&gt;"",R174&lt;&gt;""),FALSE,IF(AND(T170&gt;=0,OR(R173&lt;&gt;"",R174&lt;&gt;"")),TRUE,FALSE))</f>
        <v>0</v>
      </c>
      <c r="Z181" s="304"/>
      <c r="AA181" s="304"/>
      <c r="AB181" s="304"/>
    </row>
    <row r="182" spans="1:28" ht="14.25" customHeight="1" thickBot="1">
      <c r="A182" s="139"/>
      <c r="B182" s="2984"/>
      <c r="C182" s="3592" t="s">
        <v>2132</v>
      </c>
      <c r="D182" s="3627"/>
      <c r="E182" s="282"/>
      <c r="F182" s="3592" t="s">
        <v>2133</v>
      </c>
      <c r="G182" s="2768" t="s">
        <v>592</v>
      </c>
      <c r="H182" s="282"/>
      <c r="I182" s="3592" t="s">
        <v>2134</v>
      </c>
      <c r="J182" s="3016"/>
      <c r="K182" s="3627"/>
      <c r="L182" s="3016" t="s">
        <v>595</v>
      </c>
      <c r="M182" s="282"/>
      <c r="N182" s="3592" t="s">
        <v>2135</v>
      </c>
      <c r="O182" s="3627"/>
      <c r="P182" s="3627"/>
      <c r="Q182" s="3627"/>
      <c r="R182" s="3627"/>
      <c r="S182" s="3627"/>
      <c r="T182" s="3627"/>
      <c r="U182" s="3627"/>
      <c r="V182" s="139"/>
      <c r="W182" s="2875"/>
      <c r="X182" s="5233"/>
      <c r="Y182" s="304" t="b">
        <f>OR(Y181,Y183)</f>
        <v>0</v>
      </c>
      <c r="Z182" s="304"/>
      <c r="AA182" s="304"/>
      <c r="AB182" s="304"/>
    </row>
    <row r="183" spans="1:28" ht="18" customHeight="1" thickBot="1">
      <c r="A183" s="139"/>
      <c r="B183" s="2984">
        <v>34</v>
      </c>
      <c r="C183" s="5266" t="s">
        <v>2088</v>
      </c>
      <c r="D183" s="5267"/>
      <c r="E183" s="5267"/>
      <c r="F183" s="5267"/>
      <c r="G183" s="5267"/>
      <c r="H183" s="5267"/>
      <c r="I183" s="5267"/>
      <c r="J183" s="5267"/>
      <c r="K183" s="3627"/>
      <c r="L183" s="3627"/>
      <c r="M183" s="3627"/>
      <c r="N183" s="3627"/>
      <c r="O183" s="3627"/>
      <c r="P183" s="3627"/>
      <c r="Q183" s="5267"/>
      <c r="R183" s="5267"/>
      <c r="S183" s="5267"/>
      <c r="T183" s="5267"/>
      <c r="U183" s="5267"/>
      <c r="V183" s="139"/>
      <c r="W183" s="2875"/>
      <c r="X183" s="5233"/>
      <c r="Y183" s="304" t="b">
        <f>IF(AND(R173&lt;&gt;"",R174&lt;&gt;""),TRUE,FALSE)</f>
        <v>0</v>
      </c>
      <c r="Z183" s="304"/>
      <c r="AA183" s="304"/>
      <c r="AB183" s="304"/>
    </row>
    <row r="184" spans="1:28" ht="15" customHeight="1" thickBot="1">
      <c r="A184" s="139"/>
      <c r="B184" s="2984"/>
      <c r="C184" s="5266" t="s">
        <v>2089</v>
      </c>
      <c r="D184" s="5267"/>
      <c r="E184" s="5267"/>
      <c r="F184" s="5267"/>
      <c r="G184" s="5267"/>
      <c r="H184" s="5267"/>
      <c r="I184" s="5267"/>
      <c r="J184" s="5267"/>
      <c r="K184" s="5267"/>
      <c r="L184" s="5267"/>
      <c r="M184" s="5267"/>
      <c r="N184" s="5267"/>
      <c r="O184" s="5267"/>
      <c r="P184" s="5265" t="s">
        <v>2090</v>
      </c>
      <c r="Q184" s="282"/>
      <c r="R184" s="5256" t="s">
        <v>568</v>
      </c>
      <c r="S184" s="5315"/>
      <c r="T184" s="282"/>
      <c r="U184" s="5256" t="s">
        <v>569</v>
      </c>
      <c r="V184" s="139"/>
      <c r="W184" s="2875"/>
      <c r="X184" s="5233"/>
    </row>
    <row r="185" spans="1:28" ht="5.25" customHeight="1">
      <c r="A185" s="139"/>
      <c r="B185" s="2984"/>
      <c r="C185" s="5266"/>
      <c r="D185" s="5267"/>
      <c r="E185" s="5267"/>
      <c r="F185" s="5267"/>
      <c r="G185" s="5267"/>
      <c r="H185" s="5267"/>
      <c r="I185" s="5267"/>
      <c r="J185" s="5267"/>
      <c r="K185" s="5267"/>
      <c r="L185" s="5267"/>
      <c r="M185" s="5267"/>
      <c r="N185" s="5267"/>
      <c r="O185" s="5267"/>
      <c r="P185" s="5267"/>
      <c r="Q185" s="5267"/>
      <c r="R185" s="5267"/>
      <c r="S185" s="5267"/>
      <c r="T185" s="5267"/>
      <c r="U185" s="5267"/>
      <c r="V185" s="139"/>
      <c r="W185" s="2875"/>
      <c r="X185" s="5233"/>
    </row>
    <row r="186" spans="1:28" ht="15.75" customHeight="1">
      <c r="A186" s="139"/>
      <c r="B186" s="2984">
        <v>35</v>
      </c>
      <c r="C186" s="5266" t="s">
        <v>2091</v>
      </c>
      <c r="D186" s="5267"/>
      <c r="E186" s="5267"/>
      <c r="F186" s="5267"/>
      <c r="G186" s="5267"/>
      <c r="H186" s="5267"/>
      <c r="I186" s="5267"/>
      <c r="J186" s="5267"/>
      <c r="K186" s="5267"/>
      <c r="L186" s="5267"/>
      <c r="M186" s="5267"/>
      <c r="N186" s="5267"/>
      <c r="O186" s="5267"/>
      <c r="P186" s="5267"/>
      <c r="Q186" s="5267"/>
      <c r="R186" s="5265" t="s">
        <v>624</v>
      </c>
      <c r="S186" s="3693">
        <v>35</v>
      </c>
      <c r="T186" s="8209"/>
      <c r="U186" s="8210"/>
      <c r="V186" s="139"/>
      <c r="W186" s="2875"/>
      <c r="X186" s="5233"/>
    </row>
    <row r="187" spans="1:28" ht="12.75" customHeight="1">
      <c r="A187" s="139"/>
      <c r="B187" s="2984"/>
      <c r="C187" s="5266"/>
      <c r="D187" s="5267"/>
      <c r="E187" s="5267"/>
      <c r="F187" s="5267"/>
      <c r="G187" s="5267"/>
      <c r="H187" s="5267"/>
      <c r="I187" s="5267"/>
      <c r="J187" s="5267"/>
      <c r="K187" s="5267"/>
      <c r="L187" s="5267"/>
      <c r="M187" s="5267"/>
      <c r="N187" s="5267"/>
      <c r="O187" s="5267"/>
      <c r="P187" s="5267"/>
      <c r="Q187" s="5267"/>
      <c r="R187" s="5267"/>
      <c r="S187" s="5287"/>
      <c r="T187" s="1649"/>
      <c r="U187" s="1650"/>
      <c r="V187" s="139"/>
      <c r="W187" s="2875"/>
      <c r="X187" s="5233"/>
    </row>
    <row r="188" spans="1:28" ht="12" customHeight="1">
      <c r="A188" s="139"/>
      <c r="B188" s="2984">
        <v>36</v>
      </c>
      <c r="C188" s="5266" t="s">
        <v>2092</v>
      </c>
      <c r="D188" s="5267"/>
      <c r="E188" s="5267"/>
      <c r="F188" s="5267"/>
      <c r="G188" s="5267"/>
      <c r="H188" s="5267"/>
      <c r="I188" s="5267"/>
      <c r="J188" s="5267"/>
      <c r="K188" s="5267"/>
      <c r="L188" s="5267"/>
      <c r="M188" s="5267"/>
      <c r="N188" s="5267"/>
      <c r="O188" s="5267"/>
      <c r="P188" s="5267"/>
      <c r="Q188" s="5267"/>
      <c r="R188" s="5265" t="s">
        <v>677</v>
      </c>
      <c r="S188" s="3693">
        <v>36</v>
      </c>
      <c r="T188" s="8209"/>
      <c r="U188" s="8210"/>
      <c r="V188" s="139"/>
      <c r="W188" s="2875"/>
      <c r="X188" s="5233"/>
    </row>
    <row r="189" spans="1:28">
      <c r="A189" s="139"/>
      <c r="B189" s="2984"/>
      <c r="C189" s="5266"/>
      <c r="D189" s="5267"/>
      <c r="E189" s="5267"/>
      <c r="F189" s="5267"/>
      <c r="G189" s="5267"/>
      <c r="H189" s="5267"/>
      <c r="I189" s="5267"/>
      <c r="J189" s="5267"/>
      <c r="K189" s="5267"/>
      <c r="L189" s="5267"/>
      <c r="M189" s="5267"/>
      <c r="N189" s="5267"/>
      <c r="O189" s="5267"/>
      <c r="P189" s="5267"/>
      <c r="Q189" s="5267"/>
      <c r="R189" s="5267"/>
      <c r="S189" s="5287"/>
      <c r="T189" s="1649"/>
      <c r="U189" s="1650"/>
      <c r="V189" s="139"/>
      <c r="W189" s="2875"/>
      <c r="X189" s="5233"/>
    </row>
    <row r="190" spans="1:28" ht="12" customHeight="1">
      <c r="A190" s="139"/>
      <c r="B190" s="2984">
        <v>37</v>
      </c>
      <c r="C190" s="5266" t="s">
        <v>2093</v>
      </c>
      <c r="D190" s="5267"/>
      <c r="E190" s="5267"/>
      <c r="F190" s="5267"/>
      <c r="G190" s="5267"/>
      <c r="H190" s="5267"/>
      <c r="I190" s="5267"/>
      <c r="J190" s="5267"/>
      <c r="K190" s="5267"/>
      <c r="L190" s="5267"/>
      <c r="M190" s="5267"/>
      <c r="N190" s="5267"/>
      <c r="O190" s="5267"/>
      <c r="P190" s="5267"/>
      <c r="Q190" s="5267"/>
      <c r="R190" s="5265" t="s">
        <v>612</v>
      </c>
      <c r="S190" s="3693">
        <v>37</v>
      </c>
      <c r="T190" s="8209"/>
      <c r="U190" s="8210"/>
      <c r="V190" s="139"/>
      <c r="W190" s="2875"/>
      <c r="X190" s="5233"/>
    </row>
    <row r="191" spans="1:28">
      <c r="A191" s="139"/>
      <c r="B191" s="2984"/>
      <c r="C191" s="5266"/>
      <c r="D191" s="5267"/>
      <c r="E191" s="5267"/>
      <c r="F191" s="5267"/>
      <c r="G191" s="5267"/>
      <c r="H191" s="5267"/>
      <c r="I191" s="5267"/>
      <c r="J191" s="5267"/>
      <c r="K191" s="5267"/>
      <c r="L191" s="5267"/>
      <c r="M191" s="5267"/>
      <c r="N191" s="5267"/>
      <c r="O191" s="5267"/>
      <c r="P191" s="5267"/>
      <c r="Q191" s="5267"/>
      <c r="R191" s="5267"/>
      <c r="S191" s="5287"/>
      <c r="T191" s="1649"/>
      <c r="U191" s="1650"/>
      <c r="V191" s="139"/>
      <c r="W191" s="2875"/>
      <c r="X191" s="5233"/>
    </row>
    <row r="192" spans="1:28" ht="14.25" customHeight="1">
      <c r="A192" s="139"/>
      <c r="B192" s="2984">
        <v>38</v>
      </c>
      <c r="C192" s="5266" t="s">
        <v>2094</v>
      </c>
      <c r="D192" s="5267"/>
      <c r="E192" s="5267"/>
      <c r="F192" s="5267"/>
      <c r="G192" s="5267"/>
      <c r="H192" s="5267"/>
      <c r="I192" s="5267"/>
      <c r="J192" s="5267"/>
      <c r="K192" s="5267"/>
      <c r="L192" s="5267"/>
      <c r="M192" s="5267"/>
      <c r="N192" s="5267"/>
      <c r="O192" s="5267"/>
      <c r="P192" s="5267"/>
      <c r="Q192" s="5267"/>
      <c r="R192" s="5265" t="s">
        <v>2095</v>
      </c>
      <c r="S192" s="3693">
        <v>38</v>
      </c>
      <c r="T192" s="8209"/>
      <c r="U192" s="8210"/>
      <c r="V192" s="139"/>
      <c r="W192" s="2875"/>
      <c r="X192" s="5233"/>
    </row>
    <row r="193" spans="1:24">
      <c r="A193" s="139"/>
      <c r="B193" s="2984"/>
      <c r="C193" s="5266"/>
      <c r="D193" s="5267"/>
      <c r="E193" s="5267"/>
      <c r="F193" s="5267"/>
      <c r="G193" s="5267"/>
      <c r="H193" s="5267"/>
      <c r="I193" s="5267"/>
      <c r="J193" s="5267"/>
      <c r="K193" s="5267"/>
      <c r="L193" s="5267"/>
      <c r="M193" s="5267"/>
      <c r="N193" s="5267"/>
      <c r="O193" s="5267"/>
      <c r="P193" s="5267"/>
      <c r="Q193" s="5267"/>
      <c r="R193" s="5267"/>
      <c r="S193" s="5287"/>
      <c r="T193" s="1649"/>
      <c r="U193" s="1650"/>
      <c r="V193" s="139"/>
      <c r="W193" s="2875"/>
      <c r="X193" s="5233"/>
    </row>
    <row r="194" spans="1:24" ht="14.25" customHeight="1" thickBot="1">
      <c r="A194" s="139"/>
      <c r="B194" s="2984">
        <v>39</v>
      </c>
      <c r="C194" s="5266" t="s">
        <v>2096</v>
      </c>
      <c r="D194" s="5267"/>
      <c r="E194" s="5267"/>
      <c r="F194" s="5267"/>
      <c r="G194" s="5267"/>
      <c r="H194" s="5267"/>
      <c r="I194" s="5267"/>
      <c r="J194" s="5267"/>
      <c r="K194" s="5267"/>
      <c r="L194" s="5267"/>
      <c r="M194" s="5267"/>
      <c r="N194" s="5267"/>
      <c r="O194" s="5267"/>
      <c r="P194" s="5267"/>
      <c r="Q194" s="5267"/>
      <c r="R194" s="5265" t="s">
        <v>2097</v>
      </c>
      <c r="S194" s="4303">
        <v>39</v>
      </c>
      <c r="T194" s="8231"/>
      <c r="U194" s="8232"/>
      <c r="V194" s="139"/>
      <c r="W194" s="2875"/>
      <c r="X194" s="5233"/>
    </row>
    <row r="195" spans="1:24">
      <c r="A195" s="139"/>
      <c r="B195" s="2984"/>
      <c r="C195" s="5266"/>
      <c r="D195" s="5267"/>
      <c r="E195" s="5267"/>
      <c r="F195" s="5267"/>
      <c r="G195" s="5267"/>
      <c r="H195" s="5267"/>
      <c r="I195" s="5267"/>
      <c r="J195" s="5267"/>
      <c r="K195" s="5267"/>
      <c r="L195" s="5267"/>
      <c r="M195" s="5267"/>
      <c r="N195" s="5267"/>
      <c r="O195" s="5267"/>
      <c r="P195" s="5267"/>
      <c r="Q195" s="5267"/>
      <c r="R195" s="5267"/>
      <c r="S195" s="5287"/>
      <c r="T195" s="1651"/>
      <c r="U195" s="1652"/>
      <c r="V195" s="139"/>
      <c r="W195" s="2875"/>
      <c r="X195" s="5233"/>
    </row>
    <row r="196" spans="1:24" ht="13.5" customHeight="1">
      <c r="A196" s="139"/>
      <c r="B196" s="2984">
        <v>40</v>
      </c>
      <c r="C196" s="5266" t="s">
        <v>2098</v>
      </c>
      <c r="D196" s="5267"/>
      <c r="E196" s="5267"/>
      <c r="F196" s="5267"/>
      <c r="G196" s="5267"/>
      <c r="H196" s="5267"/>
      <c r="I196" s="5267"/>
      <c r="J196" s="5267"/>
      <c r="K196" s="5267"/>
      <c r="L196" s="5267"/>
      <c r="M196" s="5267"/>
      <c r="N196" s="5267"/>
      <c r="O196" s="5267"/>
      <c r="P196" s="5267"/>
      <c r="Q196" s="5267"/>
      <c r="R196" s="5265" t="s">
        <v>2099</v>
      </c>
      <c r="S196" s="3693">
        <v>40</v>
      </c>
      <c r="T196" s="8198" t="str">
        <f>IF(ROUND(SUM(T186:U194),0)=0,"",ROUND(SUM(T186:U194),0))</f>
        <v/>
      </c>
      <c r="U196" s="8199"/>
      <c r="V196" s="139"/>
      <c r="W196" s="2875"/>
      <c r="X196" s="5233"/>
    </row>
    <row r="197" spans="1:24">
      <c r="A197" s="139"/>
      <c r="B197" s="2984"/>
      <c r="C197" s="5266"/>
      <c r="D197" s="5267"/>
      <c r="E197" s="5267"/>
      <c r="F197" s="5267"/>
      <c r="G197" s="5267"/>
      <c r="H197" s="5267"/>
      <c r="I197" s="5267"/>
      <c r="J197" s="5267"/>
      <c r="K197" s="5267"/>
      <c r="L197" s="5267"/>
      <c r="M197" s="5267"/>
      <c r="N197" s="5267"/>
      <c r="O197" s="5267"/>
      <c r="P197" s="5267"/>
      <c r="Q197" s="5267"/>
      <c r="R197" s="5267"/>
      <c r="S197" s="5287"/>
      <c r="T197" s="1649"/>
      <c r="U197" s="1650"/>
      <c r="V197" s="139"/>
      <c r="W197" s="2875"/>
      <c r="X197" s="5233"/>
    </row>
    <row r="198" spans="1:24" ht="13.5" customHeight="1" thickBot="1">
      <c r="A198" s="139"/>
      <c r="B198" s="2984">
        <v>41</v>
      </c>
      <c r="C198" s="5266" t="s">
        <v>2100</v>
      </c>
      <c r="D198" s="5267"/>
      <c r="E198" s="5267"/>
      <c r="F198" s="5267"/>
      <c r="G198" s="5267"/>
      <c r="H198" s="5267"/>
      <c r="I198" s="5267"/>
      <c r="J198" s="5267"/>
      <c r="K198" s="5267"/>
      <c r="L198" s="5267"/>
      <c r="M198" s="5267"/>
      <c r="N198" s="5267"/>
      <c r="O198" s="5267"/>
      <c r="P198" s="5267"/>
      <c r="Q198" s="5267"/>
      <c r="R198" s="5265" t="s">
        <v>2099</v>
      </c>
      <c r="S198" s="4303">
        <v>41</v>
      </c>
      <c r="T198" s="8231"/>
      <c r="U198" s="8232"/>
      <c r="V198" s="139"/>
      <c r="W198" s="2875"/>
      <c r="X198" s="5233"/>
    </row>
    <row r="199" spans="1:24">
      <c r="A199" s="139"/>
      <c r="B199" s="2984"/>
      <c r="C199" s="5266"/>
      <c r="D199" s="5267"/>
      <c r="E199" s="5267"/>
      <c r="F199" s="5267"/>
      <c r="G199" s="5267"/>
      <c r="H199" s="5267"/>
      <c r="I199" s="5267"/>
      <c r="J199" s="5267"/>
      <c r="K199" s="5267"/>
      <c r="L199" s="5267"/>
      <c r="M199" s="5267"/>
      <c r="N199" s="5267"/>
      <c r="O199" s="5267"/>
      <c r="P199" s="5267"/>
      <c r="Q199" s="5267"/>
      <c r="R199" s="5267"/>
      <c r="S199" s="5287"/>
      <c r="T199" s="1651"/>
      <c r="U199" s="1652"/>
      <c r="V199" s="139"/>
      <c r="W199" s="2875"/>
      <c r="X199" s="5233"/>
    </row>
    <row r="200" spans="1:24" ht="13.5" customHeight="1" thickBot="1">
      <c r="A200" s="139"/>
      <c r="B200" s="2984">
        <v>42</v>
      </c>
      <c r="C200" s="5268" t="s">
        <v>2101</v>
      </c>
      <c r="D200" s="5256"/>
      <c r="E200" s="5267"/>
      <c r="F200" s="5267"/>
      <c r="G200" s="5267"/>
      <c r="H200" s="5267"/>
      <c r="I200" s="5267"/>
      <c r="J200" s="5267"/>
      <c r="K200" s="5267"/>
      <c r="L200" s="5267"/>
      <c r="M200" s="5267"/>
      <c r="N200" s="5267"/>
      <c r="O200" s="5267"/>
      <c r="P200" s="5267"/>
      <c r="Q200" s="5267"/>
      <c r="R200" s="5265" t="s">
        <v>670</v>
      </c>
      <c r="S200" s="3693">
        <v>42</v>
      </c>
      <c r="T200" s="8146" t="str">
        <f>IF(AND(T196="",T198=""),"",ROUND(SUM(T196,-T198),0))</f>
        <v/>
      </c>
      <c r="U200" s="8147"/>
      <c r="V200" s="139"/>
      <c r="W200" s="2875"/>
      <c r="X200" s="5233"/>
    </row>
    <row r="201" spans="1:24" ht="15">
      <c r="A201" s="139"/>
      <c r="B201" s="5312" t="s">
        <v>2102</v>
      </c>
      <c r="C201" s="5317" t="s">
        <v>2103</v>
      </c>
      <c r="D201" s="5317"/>
      <c r="E201" s="5317"/>
      <c r="F201" s="5317"/>
      <c r="G201" s="5317" t="s">
        <v>2104</v>
      </c>
      <c r="H201" s="5317"/>
      <c r="I201" s="5317"/>
      <c r="J201" s="5317"/>
      <c r="K201" s="5317"/>
      <c r="L201" s="5317"/>
      <c r="M201" s="5317"/>
      <c r="N201" s="5317"/>
      <c r="O201" s="5317"/>
      <c r="P201" s="5317"/>
      <c r="Q201" s="5317"/>
      <c r="R201" s="5317"/>
      <c r="S201" s="5317"/>
      <c r="T201" s="5317"/>
      <c r="U201" s="5317"/>
      <c r="V201" s="139"/>
      <c r="W201" s="2875"/>
      <c r="X201" s="5233"/>
    </row>
    <row r="202" spans="1:24" ht="13.5" customHeight="1">
      <c r="A202" s="139"/>
      <c r="B202" s="5241"/>
      <c r="C202" s="5318" t="s">
        <v>2105</v>
      </c>
      <c r="D202" s="5266"/>
      <c r="E202" s="5318"/>
      <c r="F202" s="5318"/>
      <c r="G202" s="5318"/>
      <c r="H202" s="5318"/>
      <c r="I202" s="5318"/>
      <c r="J202" s="5318"/>
      <c r="K202" s="5318"/>
      <c r="L202" s="5318"/>
      <c r="M202" s="5318"/>
      <c r="N202" s="5318"/>
      <c r="O202" s="5318"/>
      <c r="P202" s="5318"/>
      <c r="Q202" s="5318"/>
      <c r="R202" s="5318"/>
      <c r="S202" s="5318"/>
      <c r="T202" s="5318"/>
      <c r="U202" s="5318"/>
      <c r="V202" s="139"/>
      <c r="W202" s="2875"/>
      <c r="X202" s="5233"/>
    </row>
    <row r="203" spans="1:24" ht="12.75" customHeight="1">
      <c r="A203" s="139"/>
      <c r="B203" s="5319"/>
      <c r="C203" s="5320" t="s">
        <v>2106</v>
      </c>
      <c r="D203" s="5321"/>
      <c r="E203" s="5322"/>
      <c r="F203" s="5322"/>
      <c r="G203" s="5322"/>
      <c r="H203" s="5322"/>
      <c r="I203" s="5322"/>
      <c r="J203" s="5322"/>
      <c r="K203" s="5322"/>
      <c r="L203" s="5322"/>
      <c r="M203" s="5322"/>
      <c r="N203" s="5322"/>
      <c r="O203" s="5322"/>
      <c r="P203" s="5322"/>
      <c r="Q203" s="5322"/>
      <c r="R203" s="5322"/>
      <c r="S203" s="5322"/>
      <c r="T203" s="5322"/>
      <c r="U203" s="5322"/>
      <c r="V203" s="139"/>
      <c r="W203" s="2875"/>
      <c r="X203" s="5233"/>
    </row>
    <row r="204" spans="1:24" ht="12.75" customHeight="1">
      <c r="A204" s="139"/>
      <c r="B204" s="5241"/>
      <c r="C204" s="5267"/>
      <c r="D204" s="5267"/>
      <c r="E204" s="5267"/>
      <c r="F204" s="5267"/>
      <c r="G204" s="5267"/>
      <c r="H204" s="5267"/>
      <c r="I204" s="5267"/>
      <c r="J204" s="5267"/>
      <c r="K204" s="5267"/>
      <c r="L204" s="5267"/>
      <c r="M204" s="5267"/>
      <c r="N204" s="5267"/>
      <c r="O204" s="5267"/>
      <c r="P204" s="5267"/>
      <c r="Q204" s="5267"/>
      <c r="R204" s="5267"/>
      <c r="S204" s="5267"/>
      <c r="T204" s="5267"/>
      <c r="U204" s="5267"/>
      <c r="V204" s="139"/>
      <c r="W204" s="2875"/>
      <c r="X204" s="5233"/>
    </row>
    <row r="205" spans="1:24" ht="12.75" customHeight="1">
      <c r="A205" s="139"/>
      <c r="B205" s="2984">
        <v>43</v>
      </c>
      <c r="C205" s="5323" t="s">
        <v>2107</v>
      </c>
      <c r="D205" s="5323"/>
      <c r="E205" s="5267"/>
      <c r="F205" s="5267"/>
      <c r="G205" s="5267"/>
      <c r="H205" s="5267"/>
      <c r="I205" s="5267"/>
      <c r="J205" s="5267"/>
      <c r="K205" s="5267"/>
      <c r="L205" s="5267"/>
      <c r="M205" s="8152"/>
      <c r="N205" s="8152"/>
      <c r="O205" s="5324" t="s">
        <v>2108</v>
      </c>
      <c r="P205" s="8152"/>
      <c r="Q205" s="8152"/>
      <c r="R205" s="5324" t="s">
        <v>2108</v>
      </c>
      <c r="S205" s="8152"/>
      <c r="T205" s="8152"/>
      <c r="U205" s="5256"/>
      <c r="V205" s="139"/>
      <c r="W205" s="2875"/>
      <c r="X205" s="5233"/>
    </row>
    <row r="206" spans="1:24" ht="9" customHeight="1">
      <c r="A206" s="139"/>
      <c r="B206" s="2984"/>
      <c r="C206" s="5266"/>
      <c r="D206" s="5267"/>
      <c r="E206" s="5267"/>
      <c r="F206" s="5267"/>
      <c r="G206" s="5267"/>
      <c r="H206" s="5267"/>
      <c r="I206" s="5267"/>
      <c r="J206" s="5267"/>
      <c r="K206" s="5267"/>
      <c r="L206" s="5267"/>
      <c r="M206" s="5267"/>
      <c r="N206" s="5267"/>
      <c r="O206" s="5267"/>
      <c r="P206" s="5267"/>
      <c r="Q206" s="5267"/>
      <c r="R206" s="5267"/>
      <c r="S206" s="5267"/>
      <c r="T206" s="5267"/>
      <c r="U206" s="5267"/>
      <c r="V206" s="139"/>
      <c r="W206" s="2875"/>
      <c r="X206" s="5233"/>
    </row>
    <row r="207" spans="1:24" ht="13.5" customHeight="1">
      <c r="A207" s="139"/>
      <c r="B207" s="2984">
        <v>44</v>
      </c>
      <c r="C207" s="5266" t="str">
        <f>"Of the total number of miles you drove your vehicle during "&amp;TaxYear&amp;", enter the number of miles you used your vehicle for:"</f>
        <v>Of the total number of miles you drove your vehicle during 2025, enter the number of miles you used your vehicle for:</v>
      </c>
      <c r="D207" s="5267"/>
      <c r="E207" s="5267"/>
      <c r="F207" s="5267"/>
      <c r="G207" s="5267"/>
      <c r="H207" s="5267"/>
      <c r="I207" s="5267"/>
      <c r="J207" s="5267"/>
      <c r="K207" s="5267"/>
      <c r="L207" s="5267"/>
      <c r="M207" s="5267"/>
      <c r="N207" s="5267"/>
      <c r="O207" s="5267"/>
      <c r="P207" s="5267"/>
      <c r="Q207" s="5267"/>
      <c r="R207" s="5267"/>
      <c r="S207" s="5267"/>
      <c r="T207" s="5267"/>
      <c r="U207" s="5267"/>
      <c r="V207" s="139"/>
      <c r="W207" s="2875"/>
      <c r="X207" s="5233"/>
    </row>
    <row r="208" spans="1:24">
      <c r="A208" s="139"/>
      <c r="B208" s="2768"/>
      <c r="C208" s="2776" t="s">
        <v>2136</v>
      </c>
      <c r="D208" s="8208"/>
      <c r="E208" s="8208"/>
      <c r="F208" s="5326"/>
      <c r="G208" s="5310"/>
      <c r="H208" s="5310"/>
      <c r="I208" s="5265" t="s">
        <v>2137</v>
      </c>
      <c r="J208" s="8182"/>
      <c r="K208" s="8183"/>
      <c r="L208" s="8183"/>
      <c r="M208" s="5265"/>
      <c r="N208" s="5265" t="s">
        <v>595</v>
      </c>
      <c r="O208" s="8184" t="s">
        <v>254</v>
      </c>
      <c r="P208" s="7996"/>
      <c r="Q208" s="8227"/>
      <c r="R208" s="8227"/>
      <c r="S208" s="8227"/>
      <c r="T208" s="8227"/>
      <c r="U208" s="5329"/>
      <c r="V208" s="139"/>
      <c r="W208" s="5330" t="str">
        <f>IF(Y211,"Check","")</f>
        <v/>
      </c>
      <c r="X208" s="5233"/>
    </row>
    <row r="209" spans="1:28" ht="15" customHeight="1" thickBot="1">
      <c r="A209" s="139"/>
      <c r="B209" s="2984"/>
      <c r="C209" s="5266"/>
      <c r="D209" s="5267"/>
      <c r="E209" s="5267"/>
      <c r="F209" s="5267"/>
      <c r="G209" s="5267"/>
      <c r="H209" s="5267"/>
      <c r="I209" s="5267"/>
      <c r="J209" s="5267"/>
      <c r="K209" s="5267"/>
      <c r="L209" s="5267"/>
      <c r="M209" s="5267"/>
      <c r="N209" s="5267"/>
      <c r="O209" s="5267"/>
      <c r="P209" s="5267"/>
      <c r="Q209" s="5267"/>
      <c r="R209" s="5331"/>
      <c r="S209" s="5267"/>
      <c r="T209" s="5267"/>
      <c r="U209" s="5267"/>
      <c r="V209" s="139"/>
      <c r="W209" s="5330"/>
      <c r="X209" s="5233"/>
    </row>
    <row r="210" spans="1:28" ht="13.5" customHeight="1" thickBot="1">
      <c r="A210" s="139"/>
      <c r="B210" s="2984">
        <v>45</v>
      </c>
      <c r="C210" s="5266" t="s">
        <v>2111</v>
      </c>
      <c r="D210" s="5267"/>
      <c r="E210" s="5267"/>
      <c r="F210" s="5267"/>
      <c r="G210" s="5267"/>
      <c r="H210" s="5267"/>
      <c r="I210" s="5267"/>
      <c r="J210" s="5267"/>
      <c r="K210" s="5332"/>
      <c r="L210" s="5267"/>
      <c r="M210" s="2826"/>
      <c r="N210" s="2826"/>
      <c r="O210" s="5267"/>
      <c r="P210" s="5265" t="s">
        <v>1448</v>
      </c>
      <c r="Q210" s="282"/>
      <c r="R210" s="2826" t="s">
        <v>568</v>
      </c>
      <c r="S210" s="5267"/>
      <c r="T210" s="282"/>
      <c r="U210" s="5268" t="s">
        <v>569</v>
      </c>
      <c r="V210" s="139"/>
      <c r="W210" s="5330" t="str">
        <f>IF(Y213,"ONLY one.","")</f>
        <v/>
      </c>
      <c r="X210" s="5233"/>
    </row>
    <row r="211" spans="1:28" ht="12.75" customHeight="1" thickBot="1">
      <c r="A211" s="139"/>
      <c r="B211" s="2768"/>
      <c r="C211" s="2776"/>
      <c r="D211" s="5310"/>
      <c r="E211" s="5310"/>
      <c r="F211" s="5310"/>
      <c r="G211" s="5310"/>
      <c r="H211" s="5310"/>
      <c r="I211" s="5310"/>
      <c r="J211" s="5310"/>
      <c r="K211" s="5310"/>
      <c r="L211" s="5310"/>
      <c r="M211" s="5267"/>
      <c r="N211" s="5267"/>
      <c r="O211" s="5310"/>
      <c r="P211" s="5310"/>
      <c r="Q211" s="5310"/>
      <c r="R211" s="5310"/>
      <c r="S211" s="5267"/>
      <c r="T211" s="5310"/>
      <c r="U211" s="5310"/>
      <c r="V211" s="139"/>
      <c r="W211" s="2875"/>
      <c r="X211" s="5233"/>
      <c r="Y211" s="304" t="b">
        <f>OR(Y213,Y215,Y217,Y219)</f>
        <v>0</v>
      </c>
      <c r="Z211" s="304"/>
      <c r="AA211" s="304"/>
      <c r="AB211" s="304"/>
    </row>
    <row r="212" spans="1:28" ht="13.5" customHeight="1" thickBot="1">
      <c r="A212" s="139"/>
      <c r="B212" s="2984">
        <v>46</v>
      </c>
      <c r="C212" s="5266" t="s">
        <v>2112</v>
      </c>
      <c r="D212" s="5267"/>
      <c r="E212" s="5267"/>
      <c r="F212" s="5267"/>
      <c r="G212" s="5267"/>
      <c r="H212" s="5267"/>
      <c r="I212" s="5267"/>
      <c r="J212" s="5267"/>
      <c r="K212" s="5332"/>
      <c r="L212" s="5267"/>
      <c r="M212" s="2826"/>
      <c r="N212" s="2826"/>
      <c r="O212" s="5267"/>
      <c r="P212" s="5265" t="s">
        <v>1405</v>
      </c>
      <c r="Q212" s="282"/>
      <c r="R212" s="2826" t="s">
        <v>568</v>
      </c>
      <c r="S212" s="5267"/>
      <c r="T212" s="282"/>
      <c r="U212" s="5268" t="s">
        <v>569</v>
      </c>
      <c r="V212" s="139"/>
      <c r="W212" s="5330" t="str">
        <f>IF(Y215,"ONLY one.","")</f>
        <v/>
      </c>
      <c r="X212" s="5233"/>
      <c r="Y212" s="304"/>
      <c r="Z212" s="304"/>
      <c r="AA212" s="304"/>
      <c r="AB212" s="304"/>
    </row>
    <row r="213" spans="1:28" ht="13.5" thickBot="1">
      <c r="A213" s="139"/>
      <c r="B213" s="2984"/>
      <c r="C213" s="5266"/>
      <c r="D213" s="5267"/>
      <c r="E213" s="5267"/>
      <c r="F213" s="5267"/>
      <c r="G213" s="5267"/>
      <c r="H213" s="5267"/>
      <c r="I213" s="5267"/>
      <c r="J213" s="5267"/>
      <c r="K213" s="5331"/>
      <c r="L213" s="5267"/>
      <c r="M213" s="5267"/>
      <c r="N213" s="5267"/>
      <c r="O213" s="5267"/>
      <c r="P213" s="5267"/>
      <c r="Q213" s="5267"/>
      <c r="R213" s="5267"/>
      <c r="S213" s="5267"/>
      <c r="T213" s="5267"/>
      <c r="U213" s="5267"/>
      <c r="V213" s="139"/>
      <c r="W213" s="2875"/>
      <c r="X213" s="5233"/>
      <c r="Y213" s="304" t="b">
        <f>IF(AND(Q210&lt;&gt;"",T210&lt;&gt;""),TRUE,FALSE)</f>
        <v>0</v>
      </c>
      <c r="Z213" s="304"/>
      <c r="AA213" s="304"/>
      <c r="AB213" s="304"/>
    </row>
    <row r="214" spans="1:28" ht="13.5" customHeight="1" thickBot="1">
      <c r="A214" s="139"/>
      <c r="B214" s="2826" t="s">
        <v>2138</v>
      </c>
      <c r="C214" s="5266" t="s">
        <v>2114</v>
      </c>
      <c r="D214" s="5267"/>
      <c r="E214" s="5267"/>
      <c r="F214" s="5267"/>
      <c r="G214" s="5267"/>
      <c r="H214" s="5267"/>
      <c r="I214" s="5267"/>
      <c r="J214" s="5267"/>
      <c r="K214" s="5332"/>
      <c r="L214" s="5267"/>
      <c r="M214" s="5267"/>
      <c r="N214" s="5267"/>
      <c r="O214" s="5267"/>
      <c r="P214" s="5265" t="s">
        <v>1426</v>
      </c>
      <c r="Q214" s="282"/>
      <c r="R214" s="2826" t="s">
        <v>568</v>
      </c>
      <c r="S214" s="5267"/>
      <c r="T214" s="282"/>
      <c r="U214" s="5268" t="s">
        <v>569</v>
      </c>
      <c r="V214" s="139"/>
      <c r="W214" s="5330" t="str">
        <f>IF(Y217,"ONLY one.","")</f>
        <v/>
      </c>
      <c r="X214" s="5233"/>
      <c r="Y214" s="304"/>
      <c r="Z214" s="304"/>
      <c r="AA214" s="304"/>
      <c r="AB214" s="304"/>
    </row>
    <row r="215" spans="1:28" ht="13.5" thickBot="1">
      <c r="A215" s="139"/>
      <c r="B215" s="2984"/>
      <c r="C215" s="5266"/>
      <c r="D215" s="5267"/>
      <c r="E215" s="5267"/>
      <c r="F215" s="5267"/>
      <c r="G215" s="5267"/>
      <c r="H215" s="5267"/>
      <c r="I215" s="5267"/>
      <c r="J215" s="5267"/>
      <c r="K215" s="5331"/>
      <c r="L215" s="5267"/>
      <c r="M215" s="5267"/>
      <c r="N215" s="5267"/>
      <c r="O215" s="5267"/>
      <c r="P215" s="5267"/>
      <c r="Q215" s="5267"/>
      <c r="R215" s="5267"/>
      <c r="S215" s="5267"/>
      <c r="T215" s="5267"/>
      <c r="U215" s="5267"/>
      <c r="V215" s="139"/>
      <c r="W215" s="2875"/>
      <c r="X215" s="5233"/>
      <c r="Y215" s="304" t="b">
        <f>IF(AND(Q212&lt;&gt;"",T212&lt;&gt;""),TRUE,FALSE)</f>
        <v>0</v>
      </c>
      <c r="Z215" s="304"/>
      <c r="AA215" s="304"/>
      <c r="AB215" s="304"/>
    </row>
    <row r="216" spans="1:28" ht="13.5" customHeight="1" thickBot="1">
      <c r="A216" s="139"/>
      <c r="B216" s="2768" t="s">
        <v>592</v>
      </c>
      <c r="C216" s="5266" t="s">
        <v>2115</v>
      </c>
      <c r="D216" s="5267"/>
      <c r="E216" s="5267"/>
      <c r="F216" s="5267"/>
      <c r="G216" s="5267"/>
      <c r="H216" s="5267"/>
      <c r="I216" s="5267"/>
      <c r="J216" s="5267"/>
      <c r="K216" s="5332"/>
      <c r="L216" s="5267"/>
      <c r="M216" s="5267"/>
      <c r="N216" s="5267"/>
      <c r="O216" s="5267"/>
      <c r="P216" s="5265" t="s">
        <v>2116</v>
      </c>
      <c r="Q216" s="282"/>
      <c r="R216" s="2826" t="s">
        <v>568</v>
      </c>
      <c r="S216" s="5267"/>
      <c r="T216" s="282"/>
      <c r="U216" s="5268" t="s">
        <v>569</v>
      </c>
      <c r="V216" s="139"/>
      <c r="W216" s="5330" t="str">
        <f>IF(Y219,"ONLY one.","")</f>
        <v/>
      </c>
      <c r="X216" s="5233"/>
      <c r="Y216" s="304"/>
      <c r="Z216" s="304"/>
      <c r="AA216" s="304"/>
      <c r="AB216" s="304"/>
    </row>
    <row r="217" spans="1:28" ht="6.75" customHeight="1" thickBot="1">
      <c r="A217" s="139"/>
      <c r="B217" s="5241"/>
      <c r="C217" s="5267"/>
      <c r="D217" s="5267"/>
      <c r="E217" s="5267"/>
      <c r="F217" s="5267"/>
      <c r="G217" s="5267"/>
      <c r="H217" s="5267"/>
      <c r="I217" s="5267"/>
      <c r="J217" s="5267"/>
      <c r="K217" s="5267"/>
      <c r="L217" s="5267"/>
      <c r="M217" s="5267"/>
      <c r="N217" s="5267"/>
      <c r="O217" s="5267"/>
      <c r="P217" s="5267"/>
      <c r="Q217" s="5267"/>
      <c r="R217" s="5267"/>
      <c r="S217" s="5267"/>
      <c r="T217" s="5267"/>
      <c r="U217" s="5267"/>
      <c r="V217" s="139"/>
      <c r="W217" s="2875"/>
      <c r="X217" s="5233"/>
      <c r="Y217" s="304" t="b">
        <f>IF(AND(Q214&lt;&gt;"",T214&lt;&gt;""),TRUE,FALSE)</f>
        <v>0</v>
      </c>
      <c r="Z217" s="304"/>
      <c r="AA217" s="304"/>
      <c r="AB217" s="304"/>
    </row>
    <row r="218" spans="1:28" ht="18" customHeight="1">
      <c r="A218" s="139"/>
      <c r="B218" s="2978" t="s">
        <v>2117</v>
      </c>
      <c r="C218" s="5314" t="s">
        <v>6353</v>
      </c>
      <c r="D218" s="5314"/>
      <c r="E218" s="5314"/>
      <c r="F218" s="5314"/>
      <c r="G218" s="5314"/>
      <c r="H218" s="5314"/>
      <c r="I218" s="5314"/>
      <c r="J218" s="5314"/>
      <c r="K218" s="5314"/>
      <c r="L218" s="5314"/>
      <c r="M218" s="5314"/>
      <c r="N218" s="5314"/>
      <c r="O218" s="5314"/>
      <c r="P218" s="5314"/>
      <c r="Q218" s="5314"/>
      <c r="R218" s="5314"/>
      <c r="S218" s="5314"/>
      <c r="T218" s="5314"/>
      <c r="U218" s="5314"/>
      <c r="V218" s="139"/>
      <c r="W218" s="2875"/>
      <c r="X218" s="5233"/>
      <c r="Y218" s="304"/>
      <c r="Z218" s="304"/>
      <c r="AA218" s="304"/>
      <c r="AB218" s="304"/>
    </row>
    <row r="219" spans="1:28" ht="27.75" customHeight="1">
      <c r="A219" s="139"/>
      <c r="B219" s="8211"/>
      <c r="C219" s="8211"/>
      <c r="D219" s="8211"/>
      <c r="E219" s="8211"/>
      <c r="F219" s="8211"/>
      <c r="G219" s="8211"/>
      <c r="H219" s="8211"/>
      <c r="I219" s="8211"/>
      <c r="J219" s="8211"/>
      <c r="K219" s="8211"/>
      <c r="L219" s="8211"/>
      <c r="M219" s="8211"/>
      <c r="N219" s="8211"/>
      <c r="O219" s="8211"/>
      <c r="P219" s="8211"/>
      <c r="Q219" s="8211"/>
      <c r="R219" s="8211"/>
      <c r="S219" s="8212"/>
      <c r="T219" s="8148"/>
      <c r="U219" s="8149"/>
      <c r="V219" s="139"/>
      <c r="W219" s="2875"/>
      <c r="X219" s="5233"/>
      <c r="Y219" s="382" t="b">
        <f>T219&lt;&gt;""</f>
        <v>0</v>
      </c>
      <c r="Z219" s="304"/>
      <c r="AA219" s="304"/>
      <c r="AB219" s="304"/>
    </row>
    <row r="220" spans="1:28" ht="27.75" customHeight="1">
      <c r="A220" s="139"/>
      <c r="B220" s="8165"/>
      <c r="C220" s="8165"/>
      <c r="D220" s="8165"/>
      <c r="E220" s="8165"/>
      <c r="F220" s="8165"/>
      <c r="G220" s="8165"/>
      <c r="H220" s="8165"/>
      <c r="I220" s="8165"/>
      <c r="J220" s="8165"/>
      <c r="K220" s="8165"/>
      <c r="L220" s="8165"/>
      <c r="M220" s="8165"/>
      <c r="N220" s="8165"/>
      <c r="O220" s="8165"/>
      <c r="P220" s="8165"/>
      <c r="Q220" s="8165"/>
      <c r="R220" s="8165"/>
      <c r="S220" s="8166"/>
      <c r="T220" s="8148"/>
      <c r="U220" s="8149"/>
      <c r="V220" s="139"/>
      <c r="W220" s="2875"/>
      <c r="X220" s="5233"/>
      <c r="Y220" s="382" t="b">
        <f t="shared" ref="Y220:Y227" si="1">T220&lt;&gt;""</f>
        <v>0</v>
      </c>
    </row>
    <row r="221" spans="1:28" ht="27.75" customHeight="1">
      <c r="A221" s="139"/>
      <c r="B221" s="8165"/>
      <c r="C221" s="8165"/>
      <c r="D221" s="8165"/>
      <c r="E221" s="8165"/>
      <c r="F221" s="8165"/>
      <c r="G221" s="8165"/>
      <c r="H221" s="8165"/>
      <c r="I221" s="8165"/>
      <c r="J221" s="8165"/>
      <c r="K221" s="8165"/>
      <c r="L221" s="8165"/>
      <c r="M221" s="8165"/>
      <c r="N221" s="8165"/>
      <c r="O221" s="8165"/>
      <c r="P221" s="8165"/>
      <c r="Q221" s="8165"/>
      <c r="R221" s="8165"/>
      <c r="S221" s="8166"/>
      <c r="T221" s="8148"/>
      <c r="U221" s="8149"/>
      <c r="V221" s="139"/>
      <c r="W221" s="2875"/>
      <c r="X221" s="5233"/>
      <c r="Y221" s="382" t="b">
        <f t="shared" si="1"/>
        <v>0</v>
      </c>
    </row>
    <row r="222" spans="1:28" ht="27.75" customHeight="1">
      <c r="A222" s="139"/>
      <c r="B222" s="8165"/>
      <c r="C222" s="8165"/>
      <c r="D222" s="8165"/>
      <c r="E222" s="8165"/>
      <c r="F222" s="8165"/>
      <c r="G222" s="8165"/>
      <c r="H222" s="8165"/>
      <c r="I222" s="8165"/>
      <c r="J222" s="8165"/>
      <c r="K222" s="8165"/>
      <c r="L222" s="8165"/>
      <c r="M222" s="8165"/>
      <c r="N222" s="8165"/>
      <c r="O222" s="8165"/>
      <c r="P222" s="8165"/>
      <c r="Q222" s="8165"/>
      <c r="R222" s="8165"/>
      <c r="S222" s="8166"/>
      <c r="T222" s="8148"/>
      <c r="U222" s="8149"/>
      <c r="V222" s="139"/>
      <c r="W222" s="2875"/>
      <c r="X222" s="5233"/>
      <c r="Y222" s="382" t="b">
        <f t="shared" si="1"/>
        <v>0</v>
      </c>
    </row>
    <row r="223" spans="1:28" ht="27.75" customHeight="1">
      <c r="A223" s="139"/>
      <c r="B223" s="8165"/>
      <c r="C223" s="8165"/>
      <c r="D223" s="8165"/>
      <c r="E223" s="8165"/>
      <c r="F223" s="8165"/>
      <c r="G223" s="8165"/>
      <c r="H223" s="8165"/>
      <c r="I223" s="8165"/>
      <c r="J223" s="8165"/>
      <c r="K223" s="8165"/>
      <c r="L223" s="8165"/>
      <c r="M223" s="8165"/>
      <c r="N223" s="8165"/>
      <c r="O223" s="8165"/>
      <c r="P223" s="8165"/>
      <c r="Q223" s="8165"/>
      <c r="R223" s="8165"/>
      <c r="S223" s="8166"/>
      <c r="T223" s="8148"/>
      <c r="U223" s="8149"/>
      <c r="V223" s="139"/>
      <c r="W223" s="2875"/>
      <c r="X223" s="5233"/>
      <c r="Y223" s="382" t="b">
        <f t="shared" si="1"/>
        <v>0</v>
      </c>
    </row>
    <row r="224" spans="1:28" ht="27.75" customHeight="1">
      <c r="A224" s="139"/>
      <c r="B224" s="8165"/>
      <c r="C224" s="8165"/>
      <c r="D224" s="8165"/>
      <c r="E224" s="8165"/>
      <c r="F224" s="8165"/>
      <c r="G224" s="8165"/>
      <c r="H224" s="8165"/>
      <c r="I224" s="8165"/>
      <c r="J224" s="8165"/>
      <c r="K224" s="8165"/>
      <c r="L224" s="8165"/>
      <c r="M224" s="8165"/>
      <c r="N224" s="8165"/>
      <c r="O224" s="8165"/>
      <c r="P224" s="8165"/>
      <c r="Q224" s="8165"/>
      <c r="R224" s="8165"/>
      <c r="S224" s="8166"/>
      <c r="T224" s="8148"/>
      <c r="U224" s="8149"/>
      <c r="V224" s="139"/>
      <c r="W224" s="2875"/>
      <c r="X224" s="5233"/>
      <c r="Y224" s="382" t="b">
        <f t="shared" si="1"/>
        <v>0</v>
      </c>
    </row>
    <row r="225" spans="1:25" ht="27.75" customHeight="1">
      <c r="A225" s="139"/>
      <c r="B225" s="8165"/>
      <c r="C225" s="8165"/>
      <c r="D225" s="8165"/>
      <c r="E225" s="8165"/>
      <c r="F225" s="8165"/>
      <c r="G225" s="8165"/>
      <c r="H225" s="8165"/>
      <c r="I225" s="8165"/>
      <c r="J225" s="8165"/>
      <c r="K225" s="8165"/>
      <c r="L225" s="8165"/>
      <c r="M225" s="8165"/>
      <c r="N225" s="8165"/>
      <c r="O225" s="8165"/>
      <c r="P225" s="8165"/>
      <c r="Q225" s="8165"/>
      <c r="R225" s="8165"/>
      <c r="S225" s="8166"/>
      <c r="T225" s="8148"/>
      <c r="U225" s="8149"/>
      <c r="V225" s="139"/>
      <c r="W225" s="2875"/>
      <c r="X225" s="5233"/>
      <c r="Y225" s="382" t="b">
        <f t="shared" si="1"/>
        <v>0</v>
      </c>
    </row>
    <row r="226" spans="1:25" ht="27.75" customHeight="1">
      <c r="A226" s="139"/>
      <c r="B226" s="8165"/>
      <c r="C226" s="8165"/>
      <c r="D226" s="8165"/>
      <c r="E226" s="8165"/>
      <c r="F226" s="8165"/>
      <c r="G226" s="8165"/>
      <c r="H226" s="8165"/>
      <c r="I226" s="8165"/>
      <c r="J226" s="8165"/>
      <c r="K226" s="8165"/>
      <c r="L226" s="8165"/>
      <c r="M226" s="8165"/>
      <c r="N226" s="8165"/>
      <c r="O226" s="8165"/>
      <c r="P226" s="8165"/>
      <c r="Q226" s="8165"/>
      <c r="R226" s="8165"/>
      <c r="S226" s="8166"/>
      <c r="T226" s="8148"/>
      <c r="U226" s="8149"/>
      <c r="V226" s="139"/>
      <c r="W226" s="2875"/>
      <c r="X226" s="5233"/>
      <c r="Y226" s="382" t="b">
        <f t="shared" si="1"/>
        <v>0</v>
      </c>
    </row>
    <row r="227" spans="1:25" ht="27.75" customHeight="1">
      <c r="A227" s="139"/>
      <c r="B227" s="8150"/>
      <c r="C227" s="8150"/>
      <c r="D227" s="8150"/>
      <c r="E227" s="8150"/>
      <c r="F227" s="8150"/>
      <c r="G227" s="8150"/>
      <c r="H227" s="8150"/>
      <c r="I227" s="8150"/>
      <c r="J227" s="8150"/>
      <c r="K227" s="8150"/>
      <c r="L227" s="8150"/>
      <c r="M227" s="8150"/>
      <c r="N227" s="8150"/>
      <c r="O227" s="8150"/>
      <c r="P227" s="8150"/>
      <c r="Q227" s="8150"/>
      <c r="R227" s="8150"/>
      <c r="S227" s="8151"/>
      <c r="T227" s="8148"/>
      <c r="U227" s="8149"/>
      <c r="V227" s="139"/>
      <c r="W227" s="2875"/>
      <c r="X227" s="5233"/>
      <c r="Y227" s="382" t="b">
        <f t="shared" si="1"/>
        <v>0</v>
      </c>
    </row>
    <row r="228" spans="1:25" ht="27.75" customHeight="1" thickBot="1">
      <c r="A228" s="139"/>
      <c r="B228" s="3667">
        <v>48</v>
      </c>
      <c r="C228" s="5333" t="s">
        <v>6512</v>
      </c>
      <c r="D228" s="5334"/>
      <c r="E228" s="5301"/>
      <c r="F228" s="5301"/>
      <c r="G228" s="5301"/>
      <c r="H228" s="5301"/>
      <c r="I228" s="5301"/>
      <c r="J228" s="5301"/>
      <c r="K228" s="5301"/>
      <c r="L228" s="5301"/>
      <c r="M228" s="5301"/>
      <c r="N228" s="5301"/>
      <c r="O228" s="5301"/>
      <c r="P228" s="5301"/>
      <c r="Q228" s="5333"/>
      <c r="R228" s="5335" t="s">
        <v>5239</v>
      </c>
      <c r="S228" s="5336">
        <v>48</v>
      </c>
      <c r="T228" s="8180" t="str">
        <f>IF(Y228,ROUND(SUM(T219,T220,T221,T222,T223,T224,T225,T226,T227),0),"")</f>
        <v/>
      </c>
      <c r="U228" s="8181"/>
      <c r="V228" s="139"/>
      <c r="W228" s="2875"/>
      <c r="X228" s="5233"/>
      <c r="Y228" s="382" t="b">
        <f>OR(Y219:Y227)</f>
        <v>0</v>
      </c>
    </row>
    <row r="229" spans="1:25" ht="16.5" customHeight="1">
      <c r="A229" s="139"/>
      <c r="B229" s="5069"/>
      <c r="C229" s="5069"/>
      <c r="D229" s="5069"/>
      <c r="E229" s="5069"/>
      <c r="F229" s="5217"/>
      <c r="G229" s="5217"/>
      <c r="H229" s="5217"/>
      <c r="I229" s="5342"/>
      <c r="J229" s="5342"/>
      <c r="K229" s="5342"/>
      <c r="L229" s="5209"/>
      <c r="M229" s="5342"/>
      <c r="N229" s="5217"/>
      <c r="O229" s="5217"/>
      <c r="P229" s="5347"/>
      <c r="Q229" s="5217"/>
      <c r="R229" s="5217"/>
      <c r="S229" s="6571"/>
      <c r="T229" s="6571"/>
      <c r="U229" s="6571" t="str">
        <f>"Schedule C   (Form 1040)  "&amp;TaxYear</f>
        <v>Schedule C   (Form 1040)  2025</v>
      </c>
      <c r="V229" s="139"/>
      <c r="W229" s="2875"/>
      <c r="X229" s="5233"/>
    </row>
    <row r="230" spans="1:25" ht="20.25" customHeight="1">
      <c r="A230" s="139"/>
      <c r="B230" s="5349"/>
      <c r="C230" s="5349"/>
      <c r="D230" s="5349"/>
      <c r="E230" s="5349"/>
      <c r="F230" s="2733"/>
      <c r="G230" s="2733"/>
      <c r="H230" s="2733"/>
      <c r="I230" s="5350"/>
      <c r="J230" s="5350"/>
      <c r="K230" s="5350"/>
      <c r="L230" s="5350"/>
      <c r="M230" s="5350"/>
      <c r="N230" s="2733"/>
      <c r="O230" s="2733"/>
      <c r="P230" s="5351"/>
      <c r="Q230" s="2733"/>
      <c r="R230" s="2733"/>
      <c r="S230" s="2733"/>
      <c r="T230" s="2733"/>
      <c r="U230" s="2733"/>
      <c r="V230" s="139"/>
      <c r="W230" s="2875"/>
      <c r="X230" s="5233"/>
    </row>
    <row r="231" spans="1:25" ht="8.25" customHeight="1">
      <c r="B231" s="2938"/>
      <c r="C231" s="2939"/>
      <c r="D231" s="2939"/>
      <c r="E231" s="2939"/>
      <c r="F231" s="2939"/>
      <c r="G231" s="2939"/>
      <c r="H231" s="2939"/>
      <c r="I231" s="5352"/>
      <c r="J231" s="5352"/>
      <c r="K231" s="5352"/>
      <c r="L231" s="5352"/>
      <c r="M231" s="4248"/>
      <c r="N231" s="2939"/>
      <c r="O231" s="2939"/>
      <c r="P231" s="5353"/>
      <c r="Q231" s="2939"/>
      <c r="R231" s="2939"/>
      <c r="S231" s="2939"/>
      <c r="T231" s="2939"/>
      <c r="U231" s="2939"/>
    </row>
    <row r="232" spans="1:25" ht="13.5" thickBot="1">
      <c r="B232" s="2938"/>
      <c r="C232" s="2939"/>
      <c r="D232" s="2939"/>
      <c r="E232" s="2939"/>
      <c r="F232" s="2939"/>
      <c r="G232" s="2939"/>
      <c r="H232" s="2939"/>
      <c r="I232" s="5352"/>
      <c r="J232" s="5352"/>
      <c r="K232" s="5352"/>
      <c r="L232" s="2938"/>
      <c r="M232" s="5354"/>
      <c r="N232" s="2939"/>
      <c r="O232" s="2939"/>
      <c r="P232" s="5353"/>
      <c r="Q232" s="2939"/>
      <c r="R232" s="2939"/>
      <c r="S232" s="2939"/>
      <c r="T232" s="2939"/>
      <c r="U232" s="2939"/>
    </row>
    <row r="233" spans="1:25" ht="14.25" thickTop="1" thickBot="1">
      <c r="B233" s="2940"/>
      <c r="C233" s="8162" t="s">
        <v>2139</v>
      </c>
      <c r="D233" s="8163"/>
      <c r="E233" s="8163"/>
      <c r="F233" s="8163"/>
      <c r="G233" s="8164"/>
      <c r="H233" s="2941"/>
      <c r="I233" s="5355"/>
      <c r="J233" s="5355"/>
      <c r="K233" s="5355"/>
      <c r="L233" s="2940"/>
      <c r="M233" s="131"/>
      <c r="N233" s="2941"/>
      <c r="O233" s="2941"/>
      <c r="P233" s="5356"/>
      <c r="Q233" s="2941"/>
      <c r="R233" s="2941"/>
      <c r="S233" s="2941"/>
      <c r="T233" s="2941"/>
      <c r="U233" s="2941"/>
    </row>
    <row r="234" spans="1:25" ht="20.25" customHeight="1" thickTop="1" thickBot="1">
      <c r="B234" s="2940"/>
      <c r="C234" s="2941"/>
      <c r="D234" s="2941"/>
      <c r="E234" s="2941"/>
      <c r="F234" s="2941"/>
      <c r="G234" s="2941"/>
      <c r="H234" s="2941"/>
      <c r="I234" s="5355"/>
      <c r="J234" s="5355"/>
      <c r="K234" s="5355"/>
      <c r="L234" s="2940"/>
      <c r="M234" s="131"/>
      <c r="N234" s="2941"/>
      <c r="O234" s="2941"/>
      <c r="P234" s="5356"/>
      <c r="Q234" s="2941"/>
      <c r="R234" s="2941"/>
      <c r="S234" s="2941"/>
      <c r="T234" s="2941"/>
      <c r="U234" s="2941"/>
    </row>
    <row r="235" spans="1:25" ht="27.75" customHeight="1" thickTop="1" thickBot="1">
      <c r="B235" s="2940"/>
      <c r="C235" s="8159" t="s">
        <v>2140</v>
      </c>
      <c r="D235" s="8160"/>
      <c r="E235" s="8160"/>
      <c r="F235" s="8160"/>
      <c r="G235" s="8161"/>
      <c r="H235" s="2941"/>
      <c r="I235" s="5355"/>
      <c r="J235" s="5355"/>
      <c r="K235" s="5355"/>
      <c r="L235" s="2940"/>
      <c r="M235" s="131"/>
      <c r="N235" s="2941"/>
      <c r="O235" s="2941"/>
      <c r="P235" s="5356"/>
      <c r="Q235" s="2941"/>
      <c r="R235" s="2941"/>
      <c r="S235" s="2941"/>
      <c r="T235" s="2941"/>
      <c r="U235" s="2941"/>
    </row>
    <row r="236" spans="1:25" ht="27.75" customHeight="1" thickTop="1" thickBot="1"/>
    <row r="237" spans="1:25">
      <c r="C237" s="8037" t="s">
        <v>42</v>
      </c>
      <c r="D237" s="8038"/>
    </row>
    <row r="238" spans="1:25">
      <c r="C238" s="8039"/>
      <c r="D238" s="8040"/>
    </row>
    <row r="239" spans="1:25" ht="13.5" thickBot="1">
      <c r="C239" s="8041"/>
      <c r="D239" s="8042"/>
    </row>
  </sheetData>
  <sheetProtection formatCells="0" formatColumns="0" formatRows="0"/>
  <mergeCells count="171">
    <mergeCell ref="B221:S221"/>
    <mergeCell ref="T220:U220"/>
    <mergeCell ref="M165:Q165"/>
    <mergeCell ref="J166:M166"/>
    <mergeCell ref="T145:U145"/>
    <mergeCell ref="T146:U146"/>
    <mergeCell ref="T148:U148"/>
    <mergeCell ref="T149:U149"/>
    <mergeCell ref="T150:U150"/>
    <mergeCell ref="T163:U163"/>
    <mergeCell ref="T164:U164"/>
    <mergeCell ref="T155:U155"/>
    <mergeCell ref="T156:U156"/>
    <mergeCell ref="T166:U166"/>
    <mergeCell ref="M205:N205"/>
    <mergeCell ref="P205:Q205"/>
    <mergeCell ref="S205:T205"/>
    <mergeCell ref="O166:P166"/>
    <mergeCell ref="Q166:R166"/>
    <mergeCell ref="Q164:R164"/>
    <mergeCell ref="T165:U165"/>
    <mergeCell ref="B219:S219"/>
    <mergeCell ref="T190:U190"/>
    <mergeCell ref="T192:U192"/>
    <mergeCell ref="D208:E208"/>
    <mergeCell ref="Q208:T208"/>
    <mergeCell ref="T22:U22"/>
    <mergeCell ref="T136:U136"/>
    <mergeCell ref="R1:U1"/>
    <mergeCell ref="O52:P52"/>
    <mergeCell ref="T56:U56"/>
    <mergeCell ref="T74:U74"/>
    <mergeCell ref="T76:U76"/>
    <mergeCell ref="T78:U78"/>
    <mergeCell ref="T80:U80"/>
    <mergeCell ref="T82:U82"/>
    <mergeCell ref="T52:U52"/>
    <mergeCell ref="T84:U84"/>
    <mergeCell ref="D118:Q118"/>
    <mergeCell ref="I126:U126"/>
    <mergeCell ref="B125:L125"/>
    <mergeCell ref="B123:L123"/>
    <mergeCell ref="B121:L121"/>
    <mergeCell ref="T188:U188"/>
    <mergeCell ref="T196:U196"/>
    <mergeCell ref="T198:U198"/>
    <mergeCell ref="T194:U194"/>
    <mergeCell ref="T142:U142"/>
    <mergeCell ref="T227:U227"/>
    <mergeCell ref="B223:S223"/>
    <mergeCell ref="T222:U222"/>
    <mergeCell ref="B224:S224"/>
    <mergeCell ref="T223:U223"/>
    <mergeCell ref="B225:S225"/>
    <mergeCell ref="T224:U224"/>
    <mergeCell ref="B226:S226"/>
    <mergeCell ref="B222:S222"/>
    <mergeCell ref="T143:U143"/>
    <mergeCell ref="I127:U127"/>
    <mergeCell ref="T139:U139"/>
    <mergeCell ref="T140:U140"/>
    <mergeCell ref="B112:S112"/>
    <mergeCell ref="B113:S113"/>
    <mergeCell ref="T109:U109"/>
    <mergeCell ref="T111:U111"/>
    <mergeCell ref="T114:U114"/>
    <mergeCell ref="T159:U159"/>
    <mergeCell ref="B109:S109"/>
    <mergeCell ref="T108:U108"/>
    <mergeCell ref="M121:U121"/>
    <mergeCell ref="W5:W9"/>
    <mergeCell ref="W119:W123"/>
    <mergeCell ref="T167:U167"/>
    <mergeCell ref="T157:U157"/>
    <mergeCell ref="T158:U158"/>
    <mergeCell ref="T160:U160"/>
    <mergeCell ref="T161:U161"/>
    <mergeCell ref="T162:U162"/>
    <mergeCell ref="T42:U42"/>
    <mergeCell ref="T38:U38"/>
    <mergeCell ref="S91:T91"/>
    <mergeCell ref="N129:U129"/>
    <mergeCell ref="T137:U137"/>
    <mergeCell ref="T138:U138"/>
    <mergeCell ref="R118:T119"/>
    <mergeCell ref="U118:U119"/>
    <mergeCell ref="T34:U34"/>
    <mergeCell ref="T53:U53"/>
    <mergeCell ref="T105:U105"/>
    <mergeCell ref="Q52:R52"/>
    <mergeCell ref="M91:N91"/>
    <mergeCell ref="R2:U2"/>
    <mergeCell ref="R3:U3"/>
    <mergeCell ref="T26:U26"/>
    <mergeCell ref="B105:S105"/>
    <mergeCell ref="B107:S107"/>
    <mergeCell ref="B108:S108"/>
    <mergeCell ref="T106:U106"/>
    <mergeCell ref="T107:U107"/>
    <mergeCell ref="I13:U13"/>
    <mergeCell ref="T86:U86"/>
    <mergeCell ref="O94:P94"/>
    <mergeCell ref="T43:U43"/>
    <mergeCell ref="T24:U24"/>
    <mergeCell ref="T25:U25"/>
    <mergeCell ref="T48:U48"/>
    <mergeCell ref="T46:U46"/>
    <mergeCell ref="J94:L94"/>
    <mergeCell ref="B106:S106"/>
    <mergeCell ref="J52:M52"/>
    <mergeCell ref="T49:U49"/>
    <mergeCell ref="T50:U50"/>
    <mergeCell ref="M51:Q51"/>
    <mergeCell ref="T32:U32"/>
    <mergeCell ref="T72:U72"/>
    <mergeCell ref="T37:U37"/>
    <mergeCell ref="T31:U31"/>
    <mergeCell ref="T47:U47"/>
    <mergeCell ref="T40:U40"/>
    <mergeCell ref="T41:U41"/>
    <mergeCell ref="T29:U29"/>
    <mergeCell ref="T35:U35"/>
    <mergeCell ref="T36:U36"/>
    <mergeCell ref="T221:U221"/>
    <mergeCell ref="J208:L208"/>
    <mergeCell ref="O208:P208"/>
    <mergeCell ref="B220:S220"/>
    <mergeCell ref="B4:C5"/>
    <mergeCell ref="D4:Q4"/>
    <mergeCell ref="T28:U28"/>
    <mergeCell ref="R4:T5"/>
    <mergeCell ref="U4:U5"/>
    <mergeCell ref="M7:U7"/>
    <mergeCell ref="N15:U15"/>
    <mergeCell ref="D5:Q5"/>
    <mergeCell ref="T27:U27"/>
    <mergeCell ref="B7:L7"/>
    <mergeCell ref="B9:L9"/>
    <mergeCell ref="B11:L11"/>
    <mergeCell ref="I12:U12"/>
    <mergeCell ref="T23:U23"/>
    <mergeCell ref="D94:E94"/>
    <mergeCell ref="Q94:T94"/>
    <mergeCell ref="T170:U170"/>
    <mergeCell ref="T186:U186"/>
    <mergeCell ref="T219:U219"/>
    <mergeCell ref="T141:U141"/>
    <mergeCell ref="T200:U200"/>
    <mergeCell ref="T225:U225"/>
    <mergeCell ref="B227:S227"/>
    <mergeCell ref="T226:U226"/>
    <mergeCell ref="P91:Q91"/>
    <mergeCell ref="T45:U45"/>
    <mergeCell ref="Q50:R50"/>
    <mergeCell ref="T51:U51"/>
    <mergeCell ref="C237:D239"/>
    <mergeCell ref="C235:G235"/>
    <mergeCell ref="C233:G233"/>
    <mergeCell ref="B110:S110"/>
    <mergeCell ref="B111:S111"/>
    <mergeCell ref="R116:U116"/>
    <mergeCell ref="R117:U117"/>
    <mergeCell ref="B118:C119"/>
    <mergeCell ref="D119:Q119"/>
    <mergeCell ref="T110:U110"/>
    <mergeCell ref="T151:U151"/>
    <mergeCell ref="T152:U152"/>
    <mergeCell ref="T154:U154"/>
    <mergeCell ref="T228:U228"/>
    <mergeCell ref="T112:U112"/>
    <mergeCell ref="T113:U113"/>
  </mergeCells>
  <phoneticPr fontId="13" type="noConversion"/>
  <conditionalFormatting sqref="B7 M7 AA53:AA55 AA57:AA59 AA167:AA169 AA171:AA173">
    <cfRule type="expression" dxfId="2912" priority="207">
      <formula>NoColor</formula>
    </cfRule>
  </conditionalFormatting>
  <conditionalFormatting sqref="B9 T31:U45 I31:I46 T46 T47:U52 B105:B113 B121 B123 B125 M125:U125 I126:I127 T145:U159 T160 T161:U166 B219:B227">
    <cfRule type="expression" dxfId="2911" priority="206">
      <formula>IF(NoColor,1,0)</formula>
    </cfRule>
  </conditionalFormatting>
  <conditionalFormatting sqref="B11 M11:U11">
    <cfRule type="expression" dxfId="2910" priority="203">
      <formula>IF(NoColor,1,0)</formula>
    </cfRule>
  </conditionalFormatting>
  <conditionalFormatting sqref="C57">
    <cfRule type="expression" dxfId="2909" priority="59">
      <formula>AND(T56&lt;0,R59="",R60="")</formula>
    </cfRule>
  </conditionalFormatting>
  <conditionalFormatting sqref="C171">
    <cfRule type="expression" dxfId="2908" priority="60">
      <formula>AND(T170&lt;0,R173="",R174="")</formula>
    </cfRule>
  </conditionalFormatting>
  <conditionalFormatting sqref="D2:D3">
    <cfRule type="expression" dxfId="2907" priority="141">
      <formula>NOT(Draft)</formula>
    </cfRule>
  </conditionalFormatting>
  <conditionalFormatting sqref="D94">
    <cfRule type="expression" dxfId="2906" priority="173">
      <formula>IF(NoColor,1,0)</formula>
    </cfRule>
  </conditionalFormatting>
  <conditionalFormatting sqref="D116:D117">
    <cfRule type="expression" dxfId="2905" priority="82">
      <formula>NOT(Draft)</formula>
    </cfRule>
  </conditionalFormatting>
  <conditionalFormatting sqref="D208">
    <cfRule type="expression" dxfId="2904" priority="105">
      <formula>IF(NoColor,1,0)</formula>
    </cfRule>
  </conditionalFormatting>
  <conditionalFormatting sqref="E15">
    <cfRule type="expression" dxfId="2903" priority="201">
      <formula>IF(NoColor,1,0)</formula>
    </cfRule>
  </conditionalFormatting>
  <conditionalFormatting sqref="E68">
    <cfRule type="expression" dxfId="2902" priority="188">
      <formula>IF(NoColor,1,0)</formula>
    </cfRule>
  </conditionalFormatting>
  <conditionalFormatting sqref="E129">
    <cfRule type="expression" dxfId="2901" priority="79">
      <formula>IF(NoColor,1,0)</formula>
    </cfRule>
  </conditionalFormatting>
  <conditionalFormatting sqref="E182">
    <cfRule type="expression" dxfId="2900" priority="120">
      <formula>IF(NoColor,1,0)</formula>
    </cfRule>
  </conditionalFormatting>
  <conditionalFormatting sqref="H15">
    <cfRule type="expression" dxfId="2899" priority="200">
      <formula>IF(NoColor,1,0)</formula>
    </cfRule>
  </conditionalFormatting>
  <conditionalFormatting sqref="H68">
    <cfRule type="expression" dxfId="2898" priority="187">
      <formula>IF(NoColor,1,0)</formula>
    </cfRule>
  </conditionalFormatting>
  <conditionalFormatting sqref="H129">
    <cfRule type="expression" dxfId="2897" priority="78">
      <formula>IF(NoColor,1,0)</formula>
    </cfRule>
  </conditionalFormatting>
  <conditionalFormatting sqref="H182">
    <cfRule type="expression" dxfId="2896" priority="119">
      <formula>IF(NoColor,1,0)</formula>
    </cfRule>
  </conditionalFormatting>
  <conditionalFormatting sqref="I12:I13">
    <cfRule type="expression" dxfId="2895" priority="202">
      <formula>IF(NoColor,1,0)</formula>
    </cfRule>
  </conditionalFormatting>
  <conditionalFormatting sqref="I145:I160">
    <cfRule type="expression" dxfId="2894" priority="124">
      <formula>IF(NoColor,1,0)</formula>
    </cfRule>
  </conditionalFormatting>
  <conditionalFormatting sqref="J52">
    <cfRule type="expression" dxfId="2893" priority="160">
      <formula>IF(NoColor,1,0)</formula>
    </cfRule>
  </conditionalFormatting>
  <conditionalFormatting sqref="J166">
    <cfRule type="expression" dxfId="2892" priority="94">
      <formula>IF(NoColor,1,0)</formula>
    </cfRule>
  </conditionalFormatting>
  <conditionalFormatting sqref="J94:L94">
    <cfRule type="expression" dxfId="2891" priority="171">
      <formula>IF(NoColor,1,0)</formula>
    </cfRule>
  </conditionalFormatting>
  <conditionalFormatting sqref="J208:L208">
    <cfRule type="expression" dxfId="2890" priority="103">
      <formula>IF(NoColor,1,0)</formula>
    </cfRule>
  </conditionalFormatting>
  <conditionalFormatting sqref="K15">
    <cfRule type="expression" dxfId="2889" priority="199">
      <formula>IF(NoColor,1,0)</formula>
    </cfRule>
  </conditionalFormatting>
  <conditionalFormatting sqref="K129">
    <cfRule type="expression" dxfId="2888" priority="77">
      <formula>IF(NoColor,1,0)</formula>
    </cfRule>
  </conditionalFormatting>
  <conditionalFormatting sqref="M7">
    <cfRule type="expression" dxfId="2887" priority="72">
      <formula>AND(NoSSN,NoColor)</formula>
    </cfRule>
    <cfRule type="expression" dxfId="2886" priority="73">
      <formula>NoSSN</formula>
    </cfRule>
  </conditionalFormatting>
  <conditionalFormatting sqref="M68">
    <cfRule type="expression" dxfId="2885" priority="186">
      <formula>IF(NoColor,1,0)</formula>
    </cfRule>
  </conditionalFormatting>
  <conditionalFormatting sqref="M91">
    <cfRule type="expression" dxfId="2884" priority="48">
      <formula>IF(NoColor,1,0)</formula>
    </cfRule>
  </conditionalFormatting>
  <conditionalFormatting sqref="M121">
    <cfRule type="expression" dxfId="2883" priority="52">
      <formula>NoSSN</formula>
    </cfRule>
    <cfRule type="expression" dxfId="2882" priority="53">
      <formula>NoColor</formula>
    </cfRule>
    <cfRule type="expression" dxfId="2881" priority="51">
      <formula>AND(NoSSN,NoColor)</formula>
    </cfRule>
  </conditionalFormatting>
  <conditionalFormatting sqref="M182">
    <cfRule type="expression" dxfId="2880" priority="118">
      <formula>IF(NoColor,1,0)</formula>
    </cfRule>
  </conditionalFormatting>
  <conditionalFormatting sqref="M205">
    <cfRule type="expression" dxfId="2879" priority="44">
      <formula>IF(NoColor,1,0)</formula>
    </cfRule>
  </conditionalFormatting>
  <conditionalFormatting sqref="M51:Q51">
    <cfRule type="expression" dxfId="2878" priority="161">
      <formula>IF(NoColor,1,0)</formula>
    </cfRule>
  </conditionalFormatting>
  <conditionalFormatting sqref="M165:Q165">
    <cfRule type="expression" dxfId="2877" priority="95">
      <formula>IF(NoColor,1,0)</formula>
    </cfRule>
  </conditionalFormatting>
  <conditionalFormatting sqref="N9:U9">
    <cfRule type="expression" dxfId="2876" priority="204">
      <formula>IF(NoColor,1,0)</formula>
    </cfRule>
  </conditionalFormatting>
  <conditionalFormatting sqref="N15:U15">
    <cfRule type="expression" dxfId="2875" priority="195">
      <formula>IF(NoColor,1,0)</formula>
    </cfRule>
  </conditionalFormatting>
  <conditionalFormatting sqref="N123:U123">
    <cfRule type="expression" dxfId="2874" priority="6">
      <formula>IF(NoColor,1,0)</formula>
    </cfRule>
  </conditionalFormatting>
  <conditionalFormatting sqref="N129:U129">
    <cfRule type="expression" dxfId="2873" priority="127">
      <formula>IF(NoColor,1,0)</formula>
    </cfRule>
  </conditionalFormatting>
  <conditionalFormatting sqref="P91">
    <cfRule type="expression" dxfId="2872" priority="46">
      <formula>IF(NoColor,1,0)</formula>
    </cfRule>
  </conditionalFormatting>
  <conditionalFormatting sqref="P205">
    <cfRule type="expression" dxfId="2871" priority="43">
      <formula>IF(NoColor,1,0)</formula>
    </cfRule>
  </conditionalFormatting>
  <conditionalFormatting sqref="Q2">
    <cfRule type="expression" dxfId="2870" priority="140">
      <formula>NOT(Draft)</formula>
    </cfRule>
  </conditionalFormatting>
  <conditionalFormatting sqref="Q23">
    <cfRule type="expression" dxfId="2869" priority="194">
      <formula>IF(NoColor,1,0)</formula>
    </cfRule>
  </conditionalFormatting>
  <conditionalFormatting sqref="Q70">
    <cfRule type="expression" dxfId="2868" priority="184">
      <formula>IF(NoColor,1,0)</formula>
    </cfRule>
  </conditionalFormatting>
  <conditionalFormatting sqref="Q94">
    <cfRule type="expression" dxfId="2867" priority="170">
      <formula>IF(NoColor,1,0)</formula>
    </cfRule>
  </conditionalFormatting>
  <conditionalFormatting sqref="Q96">
    <cfRule type="expression" dxfId="2866" priority="181">
      <formula>IF(NoColor,1,0)</formula>
    </cfRule>
  </conditionalFormatting>
  <conditionalFormatting sqref="Q98">
    <cfRule type="expression" dxfId="2865" priority="182">
      <formula>IF(NoColor,1,0)</formula>
    </cfRule>
  </conditionalFormatting>
  <conditionalFormatting sqref="Q100">
    <cfRule type="expression" dxfId="2864" priority="180">
      <formula>IF(NoColor,1,0)</formula>
    </cfRule>
  </conditionalFormatting>
  <conditionalFormatting sqref="Q102">
    <cfRule type="expression" dxfId="2863" priority="179">
      <formula>IF(NoColor,1,0)</formula>
    </cfRule>
  </conditionalFormatting>
  <conditionalFormatting sqref="Q116">
    <cfRule type="expression" dxfId="2862" priority="81">
      <formula>NOT(Draft)</formula>
    </cfRule>
  </conditionalFormatting>
  <conditionalFormatting sqref="Q137">
    <cfRule type="expression" dxfId="2861" priority="126">
      <formula>IF(NoColor,1,0)</formula>
    </cfRule>
  </conditionalFormatting>
  <conditionalFormatting sqref="Q184">
    <cfRule type="expression" dxfId="2860" priority="74">
      <formula>IF(NoColor,1,0)</formula>
    </cfRule>
  </conditionalFormatting>
  <conditionalFormatting sqref="Q208">
    <cfRule type="expression" dxfId="2859" priority="102">
      <formula>IF(NoColor,1,0)</formula>
    </cfRule>
  </conditionalFormatting>
  <conditionalFormatting sqref="Q210">
    <cfRule type="expression" dxfId="2858" priority="113">
      <formula>IF(NoColor,1,0)</formula>
    </cfRule>
  </conditionalFormatting>
  <conditionalFormatting sqref="Q212">
    <cfRule type="expression" dxfId="2857" priority="114">
      <formula>IF(NoColor,1,0)</formula>
    </cfRule>
  </conditionalFormatting>
  <conditionalFormatting sqref="Q214">
    <cfRule type="expression" dxfId="2856" priority="112">
      <formula>IF(NoColor,1,0)</formula>
    </cfRule>
  </conditionalFormatting>
  <conditionalFormatting sqref="Q216">
    <cfRule type="expression" dxfId="2855" priority="111">
      <formula>IF(NoColor,1,0)</formula>
    </cfRule>
  </conditionalFormatting>
  <conditionalFormatting sqref="R17:R20">
    <cfRule type="expression" dxfId="2854" priority="198">
      <formula>IF(NoColor,1,0)</formula>
    </cfRule>
  </conditionalFormatting>
  <conditionalFormatting sqref="R59:R60">
    <cfRule type="expression" dxfId="2853" priority="189">
      <formula>IF(NoColor,1,0)</formula>
    </cfRule>
  </conditionalFormatting>
  <conditionalFormatting sqref="R131:R134">
    <cfRule type="expression" dxfId="2852" priority="130">
      <formula>IF(NoColor,1,0)</formula>
    </cfRule>
  </conditionalFormatting>
  <conditionalFormatting sqref="R173:R174">
    <cfRule type="expression" dxfId="2851" priority="121">
      <formula>IF(NoColor,1,0)</formula>
    </cfRule>
  </conditionalFormatting>
  <conditionalFormatting sqref="S91">
    <cfRule type="expression" dxfId="2848" priority="45">
      <formula>IF(NoColor,1,0)</formula>
    </cfRule>
  </conditionalFormatting>
  <conditionalFormatting sqref="S205">
    <cfRule type="expression" dxfId="2847" priority="42">
      <formula>IF(NoColor,1,0)</formula>
    </cfRule>
  </conditionalFormatting>
  <conditionalFormatting sqref="T17">
    <cfRule type="expression" dxfId="2846" priority="196">
      <formula>IF(NoColor,1,0)</formula>
    </cfRule>
  </conditionalFormatting>
  <conditionalFormatting sqref="T19:T20">
    <cfRule type="expression" dxfId="2845" priority="197">
      <formula>IF(NoColor,1,0)</formula>
    </cfRule>
  </conditionalFormatting>
  <conditionalFormatting sqref="T70">
    <cfRule type="expression" dxfId="2844" priority="80">
      <formula>IF(NoColor,1,0)</formula>
    </cfRule>
  </conditionalFormatting>
  <conditionalFormatting sqref="T96">
    <cfRule type="expression" dxfId="2843" priority="177">
      <formula>IF(NoColor,1,0)</formula>
    </cfRule>
  </conditionalFormatting>
  <conditionalFormatting sqref="T98">
    <cfRule type="expression" dxfId="2842" priority="178">
      <formula>IF(NoColor,1,0)</formula>
    </cfRule>
  </conditionalFormatting>
  <conditionalFormatting sqref="T100">
    <cfRule type="expression" dxfId="2841" priority="176">
      <formula>IF(NoColor,1,0)</formula>
    </cfRule>
  </conditionalFormatting>
  <conditionalFormatting sqref="T102">
    <cfRule type="expression" dxfId="2840" priority="175">
      <formula>IF(NoColor,1,0)</formula>
    </cfRule>
  </conditionalFormatting>
  <conditionalFormatting sqref="T131">
    <cfRule type="expression" dxfId="2839" priority="128">
      <formula>IF(NoColor,1,0)</formula>
    </cfRule>
  </conditionalFormatting>
  <conditionalFormatting sqref="T133:T134">
    <cfRule type="expression" dxfId="2838" priority="129">
      <formula>IF(NoColor,1,0)</formula>
    </cfRule>
  </conditionalFormatting>
  <conditionalFormatting sqref="T184">
    <cfRule type="expression" dxfId="2837" priority="75">
      <formula>IF(NoColor,1,0)</formula>
    </cfRule>
  </conditionalFormatting>
  <conditionalFormatting sqref="T196">
    <cfRule type="expression" dxfId="2836" priority="1">
      <formula>IF(NoColor,1,0)</formula>
    </cfRule>
  </conditionalFormatting>
  <conditionalFormatting sqref="T210">
    <cfRule type="expression" dxfId="2835" priority="109">
      <formula>IF(NoColor,1,0)</formula>
    </cfRule>
  </conditionalFormatting>
  <conditionalFormatting sqref="T212">
    <cfRule type="expression" dxfId="2834" priority="110">
      <formula>IF(NoColor,1,0)</formula>
    </cfRule>
  </conditionalFormatting>
  <conditionalFormatting sqref="T214">
    <cfRule type="expression" dxfId="2833" priority="108">
      <formula>IF(NoColor,1,0)</formula>
    </cfRule>
  </conditionalFormatting>
  <conditionalFormatting sqref="T216">
    <cfRule type="expression" dxfId="2832" priority="107">
      <formula>IF(NoColor,1,0)</formula>
    </cfRule>
  </conditionalFormatting>
  <conditionalFormatting sqref="T23:U29">
    <cfRule type="expression" dxfId="2831" priority="162">
      <formula>IF(NoColor,1,0)</formula>
    </cfRule>
  </conditionalFormatting>
  <conditionalFormatting sqref="T53:U55">
    <cfRule type="expression" dxfId="2830" priority="11">
      <formula>NoColor</formula>
    </cfRule>
  </conditionalFormatting>
  <conditionalFormatting sqref="T56:U56">
    <cfRule type="expression" dxfId="2829" priority="40">
      <formula>IF(NoColor,1,0)</formula>
    </cfRule>
  </conditionalFormatting>
  <conditionalFormatting sqref="T72:U73 T74 T75:U75 T76 T77:U77 T78 T79:U79 T80 T81:U81 T82 T83:U83 T84 T85:U86">
    <cfRule type="expression" dxfId="2828" priority="183">
      <formula>IF(NoColor,1,0)</formula>
    </cfRule>
  </conditionalFormatting>
  <conditionalFormatting sqref="T105:U114">
    <cfRule type="expression" dxfId="2827" priority="168">
      <formula>IF(NoColor,1,0)</formula>
    </cfRule>
  </conditionalFormatting>
  <conditionalFormatting sqref="T137:U143">
    <cfRule type="expression" dxfId="2826" priority="96">
      <formula>IF(NoColor,1,0)</formula>
    </cfRule>
  </conditionalFormatting>
  <conditionalFormatting sqref="T167:U167">
    <cfRule type="expression" dxfId="2825" priority="9">
      <formula>NoColor</formula>
    </cfRule>
  </conditionalFormatting>
  <conditionalFormatting sqref="T168:U170">
    <cfRule type="expression" dxfId="2824" priority="20">
      <formula>IF(NoColor,1,0)</formula>
    </cfRule>
  </conditionalFormatting>
  <conditionalFormatting sqref="T186:U187 T188 T189:U189 T190 T191:U191 T192 T193:U193 T194">
    <cfRule type="expression" dxfId="2823" priority="8">
      <formula>IF(NoColor,1,0)</formula>
    </cfRule>
  </conditionalFormatting>
  <conditionalFormatting sqref="T195:U195 T197:U197 T198 T199:U200">
    <cfRule type="expression" dxfId="2822" priority="7">
      <formula>IF(NoColor,1,0)</formula>
    </cfRule>
  </conditionalFormatting>
  <conditionalFormatting sqref="T219:U228">
    <cfRule type="expression" dxfId="2821" priority="100">
      <formula>IF(NoColor,1,0)</formula>
    </cfRule>
  </conditionalFormatting>
  <conditionalFormatting sqref="V49">
    <cfRule type="expression" dxfId="2819" priority="31">
      <formula>$Y$50</formula>
    </cfRule>
  </conditionalFormatting>
  <conditionalFormatting sqref="V163">
    <cfRule type="expression" dxfId="2817" priority="29">
      <formula>$Y$164</formula>
    </cfRule>
  </conditionalFormatting>
  <conditionalFormatting sqref="W49">
    <cfRule type="expression" dxfId="2816" priority="30">
      <formula>$Y$50</formula>
    </cfRule>
  </conditionalFormatting>
  <conditionalFormatting sqref="W58">
    <cfRule type="expression" dxfId="2815" priority="158">
      <formula>(Y69)</formula>
    </cfRule>
  </conditionalFormatting>
  <conditionalFormatting sqref="W59">
    <cfRule type="expression" dxfId="2814" priority="153">
      <formula>IF($Y$69,1,0)</formula>
    </cfRule>
  </conditionalFormatting>
  <conditionalFormatting sqref="W60:W61">
    <cfRule type="expression" dxfId="2813" priority="152">
      <formula>IF($Y$68,1,0)</formula>
    </cfRule>
  </conditionalFormatting>
  <conditionalFormatting sqref="W94:W95">
    <cfRule type="expression" dxfId="2812" priority="143">
      <formula>IF($Y$96,1,0)</formula>
    </cfRule>
  </conditionalFormatting>
  <conditionalFormatting sqref="W96">
    <cfRule type="expression" dxfId="2811" priority="151">
      <formula>IF(Y98,1,0)</formula>
    </cfRule>
  </conditionalFormatting>
  <conditionalFormatting sqref="W98">
    <cfRule type="expression" dxfId="2810" priority="147">
      <formula>IF(Y100,1,0)</formula>
    </cfRule>
  </conditionalFormatting>
  <conditionalFormatting sqref="W100">
    <cfRule type="expression" dxfId="2809" priority="146">
      <formula>IF(Y102,1,0)</formula>
    </cfRule>
  </conditionalFormatting>
  <conditionalFormatting sqref="W102">
    <cfRule type="expression" dxfId="2808" priority="145">
      <formula>IF(Y104,1,0)</formula>
    </cfRule>
  </conditionalFormatting>
  <conditionalFormatting sqref="W163">
    <cfRule type="expression" dxfId="2807" priority="28">
      <formula>$Y$164</formula>
    </cfRule>
  </conditionalFormatting>
  <conditionalFormatting sqref="W172">
    <cfRule type="expression" dxfId="2806" priority="58">
      <formula>(Y182)</formula>
    </cfRule>
  </conditionalFormatting>
  <conditionalFormatting sqref="W173">
    <cfRule type="expression" dxfId="2805" priority="91">
      <formula>(Y182)</formula>
    </cfRule>
  </conditionalFormatting>
  <conditionalFormatting sqref="W174">
    <cfRule type="expression" dxfId="2804" priority="90">
      <formula>(Y181)</formula>
    </cfRule>
  </conditionalFormatting>
  <conditionalFormatting sqref="W208:W209">
    <cfRule type="expression" dxfId="2803" priority="84">
      <formula>IF($Y$96,1,0)</formula>
    </cfRule>
  </conditionalFormatting>
  <conditionalFormatting sqref="W210">
    <cfRule type="expression" dxfId="2802" priority="89">
      <formula>IF(Y213,1,0)</formula>
    </cfRule>
  </conditionalFormatting>
  <conditionalFormatting sqref="W212">
    <cfRule type="expression" dxfId="2801" priority="88">
      <formula>IF(Y215,1,0)</formula>
    </cfRule>
  </conditionalFormatting>
  <conditionalFormatting sqref="W214">
    <cfRule type="expression" dxfId="2800" priority="87">
      <formula>IF(Y217,1,0)</formula>
    </cfRule>
  </conditionalFormatting>
  <conditionalFormatting sqref="W216">
    <cfRule type="expression" dxfId="2799" priority="86">
      <formula>IF(Y219,1,0)</formula>
    </cfRule>
  </conditionalFormatting>
  <conditionalFormatting sqref="X49">
    <cfRule type="expression" priority="32">
      <formula>$Y$49</formula>
    </cfRule>
  </conditionalFormatting>
  <conditionalFormatting sqref="AA61:AA65">
    <cfRule type="expression" dxfId="2798" priority="18">
      <formula>NoColor</formula>
    </cfRule>
  </conditionalFormatting>
  <conditionalFormatting sqref="AA175:AA179">
    <cfRule type="expression" dxfId="2797" priority="14">
      <formula>NoColor</formula>
    </cfRule>
  </conditionalFormatting>
  <conditionalFormatting sqref="AB59">
    <cfRule type="expression" dxfId="2796" priority="17">
      <formula>J52&gt;Q50</formula>
    </cfRule>
  </conditionalFormatting>
  <conditionalFormatting sqref="AB173">
    <cfRule type="expression" dxfId="2795" priority="13">
      <formula>J166&gt;Q164</formula>
    </cfRule>
  </conditionalFormatting>
  <hyperlinks>
    <hyperlink ref="C233:G233" r:id="rId1" display="Download Form 1040 Schedule C" xr:uid="{00000000-0004-0000-1D00-000000000000}"/>
    <hyperlink ref="C235:G235" r:id="rId2" display="Download Form 1040 Schedule C Instructions" xr:uid="{00000000-0004-0000-1D00-000001000000}"/>
    <hyperlink ref="C237:D239" location="'Table of Contents'!A1" display="Table of Contents" xr:uid="{00000000-0004-0000-1D00-000002000000}"/>
  </hyperlinks>
  <pageMargins left="0.75" right="0.25" top="0.36" bottom="0.28999999999999998" header="0.36" footer="0.21"/>
  <pageSetup scale="77" fitToHeight="0" orientation="portrait" r:id="rId3"/>
  <rowBreaks count="3" manualBreakCount="3">
    <brk id="63" min="1" max="20" man="1"/>
    <brk id="115" min="1" max="20" man="1"/>
    <brk id="177" min="1" max="20" man="1"/>
  </rowBreaks>
  <drawing r:id="rId4"/>
  <extLst>
    <ext xmlns:x14="http://schemas.microsoft.com/office/spreadsheetml/2009/9/main" uri="{78C0D931-6437-407d-A8EE-F0AAD7539E65}">
      <x14:conditionalFormattings>
        <x14:conditionalFormatting xmlns:xm="http://schemas.microsoft.com/office/excel/2006/main">
          <x14:cfRule type="expression" priority="5" id="{07B267AB-F3B7-4B0D-B46F-19755136F85D}">
            <xm:f>AND('Table of Contents'!A35="D",$V$2="")</xm:f>
            <x14:dxf>
              <font>
                <b/>
                <i val="0"/>
                <color rgb="FFC00000"/>
              </font>
            </x14:dxf>
          </x14:cfRule>
          <xm:sqref>R2:U2</xm:sqref>
        </x14:conditionalFormatting>
        <x14:conditionalFormatting xmlns:xm="http://schemas.microsoft.com/office/excel/2006/main">
          <x14:cfRule type="expression" priority="3" id="{98BB565E-68BD-40E6-A46B-D0D052ADE46B}">
            <xm:f>AND(V116="",'Table of Contents'!A35="D")</xm:f>
            <x14:dxf>
              <font>
                <b/>
                <i val="0"/>
                <color rgb="FFC00000"/>
              </font>
              <border>
                <vertical/>
                <horizontal/>
              </border>
            </x14:dxf>
          </x14:cfRule>
          <xm:sqref>R116:U116</xm:sqref>
        </x14:conditionalFormatting>
        <x14:conditionalFormatting xmlns:xm="http://schemas.microsoft.com/office/excel/2006/main">
          <x14:cfRule type="expression" priority="4" id="{A10E68F9-2A5E-43FF-A54E-E3645FC1C1A4}">
            <xm:f>('Table of Contents'!A35="D")</xm:f>
            <x14:dxf>
              <fill>
                <patternFill>
                  <bgColor theme="0"/>
                </patternFill>
              </fill>
              <border>
                <right style="thin">
                  <color auto="1"/>
                </right>
                <top style="thin">
                  <color auto="1"/>
                </top>
                <bottom style="thin">
                  <color auto="1"/>
                </bottom>
                <vertical/>
                <horizontal/>
              </border>
            </x14:dxf>
          </x14:cfRule>
          <xm:sqref>V2</xm:sqref>
        </x14:conditionalFormatting>
        <x14:conditionalFormatting xmlns:xm="http://schemas.microsoft.com/office/excel/2006/main">
          <x14:cfRule type="expression" priority="2" id="{2A2AA144-F169-4D60-B4CB-9214511F1188}">
            <xm:f>('Table of Contents'!A35="D")</xm:f>
            <x14:dxf>
              <fill>
                <patternFill>
                  <bgColor theme="0"/>
                </patternFill>
              </fill>
              <border>
                <right style="thin">
                  <color auto="1"/>
                </right>
                <top style="thin">
                  <color auto="1"/>
                </top>
                <bottom style="thin">
                  <color auto="1"/>
                </bottom>
                <vertical/>
                <horizontal/>
              </border>
            </x14:dxf>
          </x14:cfRule>
          <xm:sqref>V116</xm:sqref>
        </x14:conditionalFormatting>
      </x14:conditionalFormatting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8">
    <pageSetUpPr fitToPage="1"/>
  </sheetPr>
  <dimension ref="A1:BK109"/>
  <sheetViews>
    <sheetView topLeftCell="X1" zoomScaleNormal="100" zoomScaleSheetLayoutView="100" workbookViewId="0">
      <selection activeCell="AH38" sqref="AH38"/>
    </sheetView>
  </sheetViews>
  <sheetFormatPr defaultColWidth="8.7109375" defaultRowHeight="12.75"/>
  <cols>
    <col min="1" max="1" width="3.28515625" style="579" customWidth="1"/>
    <col min="2" max="2" width="3.5703125" customWidth="1"/>
    <col min="3" max="3" width="2.5703125" customWidth="1"/>
    <col min="4" max="4" width="3" customWidth="1"/>
    <col min="5" max="5" width="13.42578125" customWidth="1"/>
    <col min="6" max="6" width="10.42578125" customWidth="1"/>
    <col min="7" max="7" width="3.5703125" customWidth="1"/>
    <col min="8" max="8" width="9.42578125" customWidth="1"/>
    <col min="9" max="9" width="10" customWidth="1"/>
    <col min="10" max="10" width="5.140625" customWidth="1"/>
    <col min="11" max="11" width="16" customWidth="1"/>
    <col min="12" max="12" width="2.42578125" customWidth="1"/>
    <col min="13" max="13" width="10.5703125" customWidth="1"/>
    <col min="14" max="14" width="4.140625" customWidth="1"/>
    <col min="15" max="15" width="3" customWidth="1"/>
    <col min="16" max="16" width="13.28515625" customWidth="1"/>
    <col min="17" max="17" width="4.5703125" customWidth="1"/>
    <col min="18" max="18" width="1.42578125" customWidth="1"/>
    <col min="19" max="19" width="3.140625" customWidth="1"/>
    <col min="20" max="20" width="13.28515625" customWidth="1"/>
    <col min="21" max="21" width="1.5703125" customWidth="1"/>
    <col min="22" max="24" width="15.140625" customWidth="1"/>
    <col min="25" max="26" width="4.28515625" customWidth="1"/>
    <col min="27" max="27" width="7.28515625" customWidth="1"/>
    <col min="28" max="32" width="7.7109375" style="3" customWidth="1"/>
    <col min="33" max="33" width="4.28515625" customWidth="1"/>
    <col min="34" max="37" width="7.7109375" style="3" customWidth="1"/>
    <col min="38" max="38" width="4.28515625" customWidth="1"/>
    <col min="39" max="42" width="7.7109375" style="3" customWidth="1"/>
    <col min="43" max="43" width="4.28515625" customWidth="1"/>
    <col min="44" max="47" width="7.7109375" style="3" customWidth="1"/>
    <col min="48" max="48" width="4.28515625" customWidth="1"/>
    <col min="49" max="52" width="7.7109375" style="3" customWidth="1"/>
    <col min="53" max="53" width="4.28515625" customWidth="1"/>
    <col min="54" max="63" width="10.7109375" style="658" customWidth="1"/>
  </cols>
  <sheetData>
    <row r="1" spans="1:63" ht="16.5" customHeight="1">
      <c r="A1" s="5065"/>
      <c r="B1" s="139"/>
      <c r="C1" s="139"/>
      <c r="D1" s="139"/>
      <c r="E1" s="139"/>
      <c r="F1" s="139"/>
      <c r="G1" s="139"/>
      <c r="H1" s="139"/>
      <c r="I1" s="139"/>
      <c r="J1" s="139"/>
      <c r="K1" s="139"/>
      <c r="L1" s="139"/>
      <c r="M1" s="139"/>
      <c r="N1" s="8237" t="str">
        <f>IF('Table of Contents'!A36="D","DRAFT","")</f>
        <v/>
      </c>
      <c r="O1" s="8237"/>
      <c r="P1" s="8237"/>
      <c r="Q1" s="8237"/>
      <c r="R1" s="8237"/>
      <c r="S1" s="289"/>
      <c r="T1" s="139"/>
      <c r="U1" s="139"/>
      <c r="BB1" s="657" t="s">
        <v>223</v>
      </c>
    </row>
    <row r="2" spans="1:63" s="141" customFormat="1" ht="12.75" customHeight="1">
      <c r="A2" s="5066"/>
      <c r="B2" s="5067" t="s">
        <v>2141</v>
      </c>
      <c r="C2" s="5067"/>
      <c r="D2" s="5068"/>
      <c r="E2" s="5069"/>
      <c r="F2" s="5070"/>
      <c r="G2" s="5993"/>
      <c r="H2" s="8031" t="s">
        <v>2142</v>
      </c>
      <c r="I2" s="8031"/>
      <c r="J2" s="8031"/>
      <c r="K2" s="8031"/>
      <c r="L2" s="8031"/>
      <c r="M2" s="5071"/>
      <c r="N2" s="8239" t="str">
        <f>IF(AND(S2="",'Table of Contents'!A36="D"),"DRAFT","OMB No. 1545-0074")</f>
        <v>OMB No. 1545-0074</v>
      </c>
      <c r="O2" s="8240"/>
      <c r="P2" s="8240"/>
      <c r="Q2" s="8240"/>
      <c r="R2" s="5072"/>
      <c r="S2" s="1818"/>
      <c r="T2" s="5073" t="s">
        <v>979</v>
      </c>
      <c r="U2" s="144"/>
      <c r="V2" s="961"/>
      <c r="W2" s="961"/>
      <c r="X2" s="961"/>
      <c r="Y2" s="5074"/>
      <c r="AB2" s="5075"/>
      <c r="AC2" s="302"/>
      <c r="AD2" s="302"/>
      <c r="AE2" s="302"/>
      <c r="AF2" s="302"/>
      <c r="AH2" s="5075"/>
      <c r="AI2" s="302"/>
      <c r="AJ2" s="302"/>
      <c r="AK2" s="302"/>
      <c r="AM2" s="5075"/>
      <c r="AN2" s="302"/>
      <c r="AO2" s="302"/>
      <c r="AP2" s="302"/>
      <c r="AR2" s="5075"/>
      <c r="AS2" s="302"/>
      <c r="AT2" s="302"/>
      <c r="AU2" s="302"/>
      <c r="AW2" s="5075"/>
      <c r="AX2" s="302"/>
      <c r="AY2" s="302"/>
      <c r="AZ2" s="302"/>
      <c r="BB2" s="665"/>
      <c r="BC2" s="665"/>
      <c r="BD2" s="665"/>
      <c r="BE2" s="665"/>
      <c r="BF2" s="665"/>
      <c r="BG2" s="665"/>
      <c r="BH2" s="665"/>
      <c r="BI2" s="665"/>
      <c r="BJ2" s="665"/>
      <c r="BK2" s="665"/>
    </row>
    <row r="3" spans="1:63" ht="14.25" customHeight="1">
      <c r="A3" s="5065"/>
      <c r="B3" s="3570" t="s">
        <v>1815</v>
      </c>
      <c r="C3" s="3574"/>
      <c r="D3" s="5076"/>
      <c r="E3" s="2754"/>
      <c r="F3" s="5077"/>
      <c r="G3" s="5994"/>
      <c r="H3" s="8031"/>
      <c r="I3" s="8031"/>
      <c r="J3" s="8031"/>
      <c r="K3" s="8031"/>
      <c r="L3" s="8031"/>
      <c r="M3" s="5078"/>
      <c r="N3" s="8335">
        <f>TaxYear</f>
        <v>2025</v>
      </c>
      <c r="O3" s="8336"/>
      <c r="P3" s="8336"/>
      <c r="Q3" s="8336"/>
      <c r="R3" s="247"/>
      <c r="S3" s="5079"/>
      <c r="T3" s="148" t="s">
        <v>931</v>
      </c>
      <c r="U3" s="139"/>
      <c r="V3" s="3"/>
      <c r="W3" s="12"/>
      <c r="X3" s="12"/>
      <c r="Y3" s="2"/>
      <c r="AB3" s="1201"/>
      <c r="AH3" s="1201"/>
      <c r="AM3" s="1201"/>
      <c r="AR3" s="1201"/>
      <c r="AW3" s="1201"/>
    </row>
    <row r="4" spans="1:63" ht="14.25" customHeight="1">
      <c r="A4" s="5065"/>
      <c r="B4" s="5080"/>
      <c r="C4" s="3574"/>
      <c r="D4" s="2754"/>
      <c r="E4" s="5076"/>
      <c r="F4" s="8302" t="s">
        <v>2144</v>
      </c>
      <c r="G4" s="8303"/>
      <c r="H4" s="7996"/>
      <c r="I4" s="7996"/>
      <c r="J4" s="7996"/>
      <c r="K4" s="7996"/>
      <c r="L4" s="7996"/>
      <c r="M4" s="8304"/>
      <c r="N4" s="8335"/>
      <c r="O4" s="8336"/>
      <c r="P4" s="8336"/>
      <c r="Q4" s="8336"/>
      <c r="R4" s="247"/>
      <c r="S4" s="5079"/>
      <c r="T4" s="139"/>
      <c r="U4" s="139"/>
      <c r="V4" s="12"/>
      <c r="W4" s="12"/>
      <c r="X4" s="12"/>
      <c r="Y4" s="2"/>
      <c r="AB4" s="1201"/>
      <c r="AH4" s="1201"/>
      <c r="AM4" s="1201"/>
      <c r="AR4" s="1201"/>
      <c r="AW4" s="1201"/>
    </row>
    <row r="5" spans="1:63" ht="12.75" customHeight="1">
      <c r="A5" s="5065"/>
      <c r="B5" s="2753" t="s">
        <v>503</v>
      </c>
      <c r="C5" s="2753"/>
      <c r="D5" s="5076"/>
      <c r="E5" s="2754"/>
      <c r="F5" s="8298" t="s">
        <v>2146</v>
      </c>
      <c r="G5" s="8071"/>
      <c r="H5" s="8299"/>
      <c r="I5" s="8299"/>
      <c r="J5" s="8299"/>
      <c r="K5" s="8299"/>
      <c r="L5" s="8299"/>
      <c r="M5" s="8300"/>
      <c r="N5" s="5081"/>
      <c r="O5" s="5990" t="s">
        <v>1055</v>
      </c>
      <c r="P5" s="5082"/>
      <c r="Q5" s="8346">
        <v>12</v>
      </c>
      <c r="R5" s="343"/>
      <c r="S5" s="5083"/>
      <c r="T5" s="139"/>
      <c r="U5" s="139"/>
      <c r="V5" s="12"/>
      <c r="W5" s="12"/>
      <c r="X5" s="12"/>
      <c r="Y5" s="2"/>
      <c r="AB5" s="1201"/>
      <c r="AH5" s="1201"/>
      <c r="AM5" s="1201"/>
      <c r="AR5" s="1201"/>
      <c r="AW5" s="1201"/>
    </row>
    <row r="6" spans="1:63" ht="13.5" customHeight="1" thickBot="1">
      <c r="A6" s="5065"/>
      <c r="B6" s="3548" t="s">
        <v>1917</v>
      </c>
      <c r="C6" s="2753"/>
      <c r="D6" s="5076"/>
      <c r="E6" s="2754"/>
      <c r="F6" s="8298" t="s">
        <v>2145</v>
      </c>
      <c r="G6" s="8071"/>
      <c r="H6" s="8299"/>
      <c r="I6" s="8299"/>
      <c r="J6" s="8299"/>
      <c r="K6" s="8299"/>
      <c r="L6" s="8299"/>
      <c r="M6" s="8300"/>
      <c r="N6" s="5084"/>
      <c r="O6" s="5991" t="s">
        <v>3082</v>
      </c>
      <c r="P6" s="5085"/>
      <c r="Q6" s="8346"/>
      <c r="R6" s="5086"/>
      <c r="S6" s="5087"/>
      <c r="T6" s="139"/>
      <c r="U6" s="139"/>
      <c r="V6" s="329"/>
      <c r="W6" s="329"/>
      <c r="X6" s="329"/>
      <c r="Y6" s="2"/>
      <c r="AB6" s="1201"/>
      <c r="AH6" s="1201"/>
      <c r="AM6" s="1201"/>
      <c r="AR6" s="1201"/>
      <c r="AW6" s="1201"/>
    </row>
    <row r="7" spans="1:63" ht="11.25" customHeight="1" thickTop="1">
      <c r="A7" s="5065"/>
      <c r="B7" s="3552" t="s">
        <v>1918</v>
      </c>
      <c r="C7" s="3552"/>
      <c r="D7" s="3553"/>
      <c r="E7" s="3553"/>
      <c r="F7" s="3553"/>
      <c r="G7" s="3553"/>
      <c r="H7" s="3554"/>
      <c r="I7" s="3555"/>
      <c r="J7" s="3555"/>
      <c r="K7" s="3552"/>
      <c r="L7" s="3555"/>
      <c r="M7" s="8356" t="s">
        <v>549</v>
      </c>
      <c r="N7" s="8357"/>
      <c r="O7" s="8357"/>
      <c r="P7" s="8357"/>
      <c r="Q7" s="8357"/>
      <c r="R7" s="229"/>
      <c r="S7" s="5083"/>
      <c r="T7" s="139"/>
      <c r="U7" s="139"/>
      <c r="V7" s="329"/>
      <c r="W7" s="329"/>
      <c r="X7" s="1"/>
      <c r="Y7" s="1"/>
    </row>
    <row r="8" spans="1:63" ht="14.25" customHeight="1" thickBot="1">
      <c r="A8" s="5065"/>
      <c r="B8" s="5088" t="str">
        <f>Names</f>
        <v/>
      </c>
      <c r="C8" s="5089"/>
      <c r="D8" s="3758"/>
      <c r="E8" s="3758"/>
      <c r="F8" s="3758"/>
      <c r="G8" s="3758"/>
      <c r="H8" s="3759"/>
      <c r="I8" s="3760"/>
      <c r="J8" s="3760"/>
      <c r="K8" s="3761"/>
      <c r="L8" s="3760"/>
      <c r="M8" s="8064">
        <f>IF(NoSSN,"",SS_Yours)</f>
        <v>1010001</v>
      </c>
      <c r="N8" s="8358"/>
      <c r="O8" s="8358"/>
      <c r="P8" s="8358"/>
      <c r="Q8" s="8358"/>
      <c r="R8" s="88"/>
      <c r="S8" s="289"/>
      <c r="T8" s="139"/>
      <c r="U8" s="139"/>
      <c r="V8" s="329"/>
      <c r="W8" s="329"/>
      <c r="X8" s="1"/>
      <c r="Y8" s="1"/>
      <c r="AB8" s="8238" t="s">
        <v>2147</v>
      </c>
      <c r="AC8" s="8238"/>
      <c r="AD8" s="8238"/>
      <c r="AE8" s="8238"/>
      <c r="AF8" s="7603"/>
      <c r="AH8" s="8238" t="s">
        <v>2148</v>
      </c>
      <c r="AI8" s="8238"/>
      <c r="AJ8" s="8238"/>
      <c r="AK8" s="8238"/>
      <c r="AM8" s="8238" t="s">
        <v>2149</v>
      </c>
      <c r="AN8" s="8238"/>
      <c r="AO8" s="8238"/>
      <c r="AP8" s="8238"/>
      <c r="AR8" s="8238" t="s">
        <v>2150</v>
      </c>
      <c r="AS8" s="8238"/>
      <c r="AT8" s="8238"/>
      <c r="AU8" s="8238"/>
      <c r="AW8" s="8238" t="s">
        <v>2151</v>
      </c>
      <c r="AX8" s="8238"/>
      <c r="AY8" s="8238"/>
      <c r="AZ8" s="8238"/>
    </row>
    <row r="9" spans="1:63" ht="4.5" customHeight="1" thickBot="1">
      <c r="A9" s="5065"/>
      <c r="B9" s="5090"/>
      <c r="C9" s="3084"/>
      <c r="D9" s="2827"/>
      <c r="E9" s="2827"/>
      <c r="F9" s="5091"/>
      <c r="G9" s="5091"/>
      <c r="H9" s="5091"/>
      <c r="I9" s="5092"/>
      <c r="J9" s="5092"/>
      <c r="K9" s="5093"/>
      <c r="L9" s="5094"/>
      <c r="M9" s="5094"/>
      <c r="N9" s="1054"/>
      <c r="O9" s="1054"/>
      <c r="P9" s="5095"/>
      <c r="Q9" s="5096"/>
      <c r="R9" s="5086"/>
      <c r="S9" s="5087"/>
      <c r="T9" s="139"/>
      <c r="U9" s="139"/>
      <c r="V9" s="329"/>
      <c r="W9" s="329"/>
      <c r="X9" s="329"/>
      <c r="Y9" s="2"/>
      <c r="AB9" s="1201"/>
      <c r="AH9" s="1201"/>
      <c r="AM9" s="1201"/>
      <c r="AR9" s="1201"/>
      <c r="AW9" s="1201"/>
    </row>
    <row r="10" spans="1:63" ht="13.5" customHeight="1" thickBot="1">
      <c r="A10" s="5065"/>
      <c r="B10" s="5992" t="s">
        <v>2152</v>
      </c>
      <c r="C10" s="2753"/>
      <c r="D10" s="2754"/>
      <c r="E10" s="2754"/>
      <c r="F10" s="5097"/>
      <c r="G10" s="5097"/>
      <c r="H10" s="5097"/>
      <c r="I10" s="5098"/>
      <c r="J10" s="5098"/>
      <c r="K10" s="5099"/>
      <c r="L10" s="1056"/>
      <c r="M10" s="4327" t="s">
        <v>568</v>
      </c>
      <c r="N10" s="1052"/>
      <c r="O10" s="1056"/>
      <c r="P10" s="4327" t="s">
        <v>569</v>
      </c>
      <c r="Q10" s="1053"/>
      <c r="R10" s="5086"/>
      <c r="S10" s="5087"/>
      <c r="T10" s="139"/>
      <c r="U10" s="139"/>
      <c r="V10" s="329"/>
      <c r="W10" s="329"/>
      <c r="X10" s="329"/>
      <c r="Y10" s="2"/>
      <c r="AB10" s="1201"/>
      <c r="AH10" s="1201"/>
      <c r="AM10" s="1201"/>
      <c r="AR10" s="1201"/>
      <c r="AW10" s="1201"/>
    </row>
    <row r="11" spans="1:63" ht="13.5" customHeight="1">
      <c r="A11" s="5065"/>
      <c r="B11" s="5100" t="s">
        <v>2153</v>
      </c>
      <c r="C11" s="3582"/>
      <c r="D11" s="5101"/>
      <c r="E11" s="5101"/>
      <c r="F11" s="5102"/>
      <c r="G11" s="5102"/>
      <c r="H11" s="5102"/>
      <c r="I11" s="5103"/>
      <c r="J11" s="5103"/>
      <c r="K11" s="5104"/>
      <c r="L11" s="5105"/>
      <c r="M11" s="5105"/>
      <c r="N11" s="1055"/>
      <c r="O11" s="1055"/>
      <c r="P11" s="5106"/>
      <c r="Q11" s="5107"/>
      <c r="R11" s="5086"/>
      <c r="S11" s="5087"/>
      <c r="T11" s="139"/>
      <c r="U11" s="139"/>
      <c r="V11" s="329"/>
      <c r="W11" s="329"/>
      <c r="X11" s="329"/>
      <c r="Y11" s="2"/>
      <c r="AB11" s="1201"/>
      <c r="AH11" s="1201"/>
      <c r="AM11" s="1201"/>
      <c r="AR11" s="1201"/>
      <c r="AW11" s="1201"/>
    </row>
    <row r="12" spans="1:63" ht="19.5" customHeight="1">
      <c r="A12" s="5065"/>
      <c r="B12" s="8347" t="s">
        <v>2154</v>
      </c>
      <c r="C12" s="8347"/>
      <c r="D12" s="8347"/>
      <c r="E12" s="5108" t="s">
        <v>2155</v>
      </c>
      <c r="F12" s="5109"/>
      <c r="G12" s="5109"/>
      <c r="H12" s="5110"/>
      <c r="I12" s="5108" t="s">
        <v>6216</v>
      </c>
      <c r="J12" s="5111"/>
      <c r="K12" s="5109"/>
      <c r="L12" s="5112"/>
      <c r="M12" s="3111"/>
      <c r="N12" s="6280" t="s">
        <v>2018</v>
      </c>
      <c r="O12" s="3099"/>
      <c r="P12" s="5114"/>
      <c r="Q12" s="5114"/>
      <c r="R12" s="5115"/>
      <c r="S12" s="5116"/>
      <c r="T12" s="139"/>
      <c r="U12" s="139"/>
      <c r="V12" s="139"/>
      <c r="W12" s="139"/>
      <c r="X12" s="139"/>
      <c r="Y12" s="148"/>
    </row>
    <row r="13" spans="1:63" ht="16.5" customHeight="1">
      <c r="A13" s="5065"/>
      <c r="B13" s="8315" t="s">
        <v>5863</v>
      </c>
      <c r="C13" s="8316"/>
      <c r="D13" s="8316"/>
      <c r="E13" s="8316"/>
      <c r="F13" s="8316"/>
      <c r="G13" s="8316"/>
      <c r="H13" s="8317"/>
      <c r="I13" s="8257" t="s">
        <v>2156</v>
      </c>
      <c r="J13" s="8258"/>
      <c r="K13" s="8251" t="s">
        <v>2157</v>
      </c>
      <c r="L13" s="8276" t="s">
        <v>2158</v>
      </c>
      <c r="M13" s="8277"/>
      <c r="N13" s="8339"/>
      <c r="O13" s="8276" t="s">
        <v>2159</v>
      </c>
      <c r="P13" s="8277"/>
      <c r="Q13" s="8277"/>
      <c r="R13" s="5117"/>
      <c r="S13" s="5118"/>
      <c r="T13" s="139"/>
      <c r="U13" s="139"/>
      <c r="V13" s="8248" t="s">
        <v>2160</v>
      </c>
      <c r="W13" s="8245" t="s">
        <v>2157</v>
      </c>
      <c r="X13" s="8251" t="s">
        <v>2161</v>
      </c>
      <c r="Y13" s="148"/>
    </row>
    <row r="14" spans="1:63" ht="16.5" customHeight="1">
      <c r="A14" s="5065"/>
      <c r="B14" s="8318"/>
      <c r="C14" s="7250"/>
      <c r="D14" s="7250"/>
      <c r="E14" s="7250"/>
      <c r="F14" s="7250"/>
      <c r="G14" s="7250"/>
      <c r="H14" s="7251"/>
      <c r="I14" s="8259"/>
      <c r="J14" s="8260"/>
      <c r="K14" s="8337"/>
      <c r="L14" s="8340"/>
      <c r="M14" s="8341"/>
      <c r="N14" s="8342"/>
      <c r="O14" s="8278"/>
      <c r="P14" s="8279"/>
      <c r="Q14" s="8279"/>
      <c r="R14" s="5119"/>
      <c r="S14" s="5120"/>
      <c r="T14" s="148" t="s">
        <v>2162</v>
      </c>
      <c r="U14" s="139"/>
      <c r="V14" s="8249"/>
      <c r="W14" s="8246"/>
      <c r="X14" s="8252"/>
      <c r="Y14" s="148"/>
    </row>
    <row r="15" spans="1:63" ht="16.5" customHeight="1">
      <c r="A15" s="5065"/>
      <c r="B15" s="8319"/>
      <c r="C15" s="8320"/>
      <c r="D15" s="8320"/>
      <c r="E15" s="8320"/>
      <c r="F15" s="8320"/>
      <c r="G15" s="8320"/>
      <c r="H15" s="8321"/>
      <c r="I15" s="8261"/>
      <c r="J15" s="8262"/>
      <c r="K15" s="8338"/>
      <c r="L15" s="8343"/>
      <c r="M15" s="8344"/>
      <c r="N15" s="8345"/>
      <c r="O15" s="8280"/>
      <c r="P15" s="8281"/>
      <c r="Q15" s="8281"/>
      <c r="R15" s="5121"/>
      <c r="S15" s="5122"/>
      <c r="T15" s="139"/>
      <c r="U15" s="139"/>
      <c r="V15" s="8250"/>
      <c r="W15" s="8247"/>
      <c r="X15" s="8253"/>
      <c r="Y15" s="148"/>
      <c r="AB15" s="688" t="s">
        <v>2163</v>
      </c>
      <c r="AC15" s="688" t="s">
        <v>2164</v>
      </c>
      <c r="AD15" s="688" t="s">
        <v>2165</v>
      </c>
      <c r="AE15" s="688" t="s">
        <v>2166</v>
      </c>
      <c r="AH15" s="688" t="s">
        <v>2163</v>
      </c>
      <c r="AI15" s="688" t="s">
        <v>2164</v>
      </c>
      <c r="AJ15" s="688" t="s">
        <v>2165</v>
      </c>
      <c r="AK15" s="688" t="s">
        <v>2166</v>
      </c>
      <c r="AM15" s="688" t="s">
        <v>2163</v>
      </c>
      <c r="AN15" s="688" t="s">
        <v>2164</v>
      </c>
      <c r="AO15" s="688" t="s">
        <v>2165</v>
      </c>
      <c r="AP15" s="688" t="s">
        <v>2166</v>
      </c>
      <c r="AR15" s="688" t="s">
        <v>2163</v>
      </c>
      <c r="AS15" s="688" t="s">
        <v>2164</v>
      </c>
      <c r="AT15" s="688" t="s">
        <v>2165</v>
      </c>
      <c r="AU15" s="688" t="s">
        <v>2166</v>
      </c>
      <c r="AW15" s="688" t="s">
        <v>2163</v>
      </c>
      <c r="AX15" s="688" t="s">
        <v>2164</v>
      </c>
      <c r="AY15" s="688" t="s">
        <v>2165</v>
      </c>
      <c r="AZ15" s="688" t="s">
        <v>2166</v>
      </c>
    </row>
    <row r="16" spans="1:63" ht="60" customHeight="1">
      <c r="A16" s="5065"/>
      <c r="B16" s="5123" t="s">
        <v>333</v>
      </c>
      <c r="C16" s="8305" t="s">
        <v>5865</v>
      </c>
      <c r="D16" s="8305"/>
      <c r="E16" s="8305"/>
      <c r="F16" s="8305"/>
      <c r="G16" s="8305"/>
      <c r="H16" s="8306"/>
      <c r="I16" s="320"/>
      <c r="J16" s="321"/>
      <c r="K16" s="5124"/>
      <c r="L16" s="5125"/>
      <c r="M16" s="5126"/>
      <c r="N16" s="5127"/>
      <c r="O16" s="5128"/>
      <c r="P16" s="322"/>
      <c r="Q16" s="322"/>
      <c r="R16" s="5121"/>
      <c r="S16" s="5122"/>
      <c r="T16" s="139"/>
      <c r="U16" s="139"/>
      <c r="V16" s="5129"/>
      <c r="W16" s="5130"/>
      <c r="X16" s="5131"/>
      <c r="Y16" s="148"/>
      <c r="AB16" s="688"/>
      <c r="AC16" s="688"/>
      <c r="AD16" s="688"/>
      <c r="AE16" s="688"/>
      <c r="AH16" s="688"/>
      <c r="AI16" s="688"/>
      <c r="AJ16" s="688"/>
      <c r="AK16" s="688"/>
      <c r="AM16" s="688"/>
      <c r="AN16" s="688"/>
      <c r="AO16" s="688"/>
      <c r="AP16" s="688"/>
      <c r="AR16" s="688"/>
      <c r="AS16" s="688"/>
      <c r="AT16" s="688"/>
      <c r="AU16" s="688"/>
      <c r="AW16" s="688"/>
      <c r="AX16" s="688"/>
      <c r="AY16" s="688"/>
      <c r="AZ16" s="688"/>
    </row>
    <row r="17" spans="1:52" ht="12.75" customHeight="1">
      <c r="A17" s="5065"/>
      <c r="B17" s="319"/>
      <c r="C17" s="8307" t="s">
        <v>5864</v>
      </c>
      <c r="D17" s="8307"/>
      <c r="E17" s="8307"/>
      <c r="F17" s="8307"/>
      <c r="G17" s="8308" t="s">
        <v>877</v>
      </c>
      <c r="H17" s="8309"/>
      <c r="I17" s="8187"/>
      <c r="J17" s="8301"/>
      <c r="K17" s="288"/>
      <c r="L17" s="8291"/>
      <c r="M17" s="8292"/>
      <c r="N17" s="8293"/>
      <c r="O17" s="8198" t="str">
        <f>IF(OR(I17&lt;&gt;"",K17&lt;&gt;""),ROUND(SUM(I17,-K17),0),"")</f>
        <v/>
      </c>
      <c r="P17" s="8199"/>
      <c r="Q17" s="8267"/>
      <c r="R17" s="5121"/>
      <c r="S17" s="5122"/>
      <c r="T17" s="139"/>
      <c r="U17" s="139"/>
      <c r="V17" s="5129" t="str">
        <f>"---"</f>
        <v>---</v>
      </c>
      <c r="W17" s="5129" t="str">
        <f>"---"</f>
        <v>---</v>
      </c>
      <c r="X17" s="5132"/>
      <c r="Y17" s="148"/>
      <c r="AA17" s="688" t="s">
        <v>5870</v>
      </c>
      <c r="AB17" s="688"/>
      <c r="AC17" s="688"/>
      <c r="AD17" s="688"/>
      <c r="AE17" s="688"/>
      <c r="AH17" s="688"/>
      <c r="AI17" s="688"/>
      <c r="AJ17" s="688"/>
      <c r="AK17" s="688"/>
      <c r="AM17" s="688"/>
      <c r="AN17" s="688"/>
      <c r="AO17" s="688"/>
      <c r="AP17" s="688"/>
      <c r="AR17" s="688"/>
      <c r="AS17" s="688"/>
      <c r="AT17" s="688"/>
      <c r="AU17" s="688"/>
      <c r="AW17" s="688"/>
      <c r="AX17" s="688"/>
      <c r="AY17" s="688"/>
      <c r="AZ17" s="688"/>
    </row>
    <row r="18" spans="1:52" ht="12.75" customHeight="1">
      <c r="A18" s="5065"/>
      <c r="B18" s="5123" t="s">
        <v>335</v>
      </c>
      <c r="C18" s="8348" t="s">
        <v>5866</v>
      </c>
      <c r="D18" s="8349"/>
      <c r="E18" s="8349"/>
      <c r="F18" s="8349"/>
      <c r="G18" s="8349"/>
      <c r="H18" s="8350"/>
      <c r="I18" s="8241"/>
      <c r="J18" s="8242"/>
      <c r="K18" s="5133"/>
      <c r="L18" s="8241"/>
      <c r="M18" s="8243"/>
      <c r="N18" s="8244"/>
      <c r="O18" s="8255" t="b">
        <f>IF(AND(AF19,AF25),ROUND(SUM(AW19:AZ19,AW25:AZ25),0),IF(AF19,ROUND(SUM(AW19:AZ19),0),IF(AF25,ROUND(SUM(AW25:AZ25),0))))</f>
        <v>0</v>
      </c>
      <c r="P18" s="8256"/>
      <c r="Q18" s="5134"/>
      <c r="R18" s="245"/>
      <c r="S18" s="290"/>
      <c r="T18" s="139"/>
      <c r="U18" s="139"/>
      <c r="V18" s="5135"/>
      <c r="W18" s="5136"/>
      <c r="X18" s="5137"/>
      <c r="Y18" s="148"/>
    </row>
    <row r="19" spans="1:52" ht="13.5" customHeight="1">
      <c r="A19" s="5065"/>
      <c r="B19" s="5138"/>
      <c r="C19" s="8351"/>
      <c r="D19" s="8351"/>
      <c r="E19" s="8351"/>
      <c r="F19" s="8351"/>
      <c r="G19" s="8351"/>
      <c r="H19" s="8352"/>
      <c r="I19" s="8198" t="str">
        <f>IF(V19&lt;&gt;"",ROUND(V19,0),IF(AND($AF19,$AF25),ROUND(SUM(AH19:AK19,AH25:AK25),0),IF($AF19,ROUND(SUM(AH19:AK19),0),IF($AF25,ROUND(SUM(AH25:AK25),0),""))))</f>
        <v/>
      </c>
      <c r="J19" s="8254"/>
      <c r="K19" s="5139" t="str">
        <f>IF(W19&lt;&gt;"",ROUND(W19,0),IF(AND($AF19,$AF25),ROUND(SUM(AM19:AP19,AM25:AP25),0),IF($AF19,ROUND(SUM(AM19:AP19),0),IF($AF25,ROUND(SUM(AM25:AP25),0),""))))</f>
        <v/>
      </c>
      <c r="L19" s="8198" t="str">
        <f>IF(X19&lt;&gt;"",ROUND(X19,0),IF(AND($AF19,$AF25),ROUND(SUM(AR19:AU19,AR25:AU25),0),IF($AF19,ROUND(SUM(AR19:AU19),0),IF($AF25,ROUND(SUM(AR25:AU25),0),""))))</f>
        <v/>
      </c>
      <c r="M19" s="8199"/>
      <c r="N19" s="8254"/>
      <c r="O19" s="8198" t="str">
        <f>IF(AND(I19="",K19="",L19=""),"",IF(AND(W19="",OR(V19&lt;&gt;"",X19&lt;&gt;"")),SUM(I19,L19),IF(OR(V19&lt;&gt;"",W19&lt;&gt;"",X19&lt;&gt;""),SUM(I19,-K19,L19),O18)))</f>
        <v/>
      </c>
      <c r="P19" s="8199"/>
      <c r="Q19" s="8267"/>
      <c r="R19" s="245"/>
      <c r="S19" s="290"/>
      <c r="T19" s="139"/>
      <c r="U19" s="139"/>
      <c r="V19" s="287"/>
      <c r="W19" s="288"/>
      <c r="X19" s="5063"/>
      <c r="Y19" s="148"/>
      <c r="AA19" s="688" t="s">
        <v>510</v>
      </c>
      <c r="AB19" s="3">
        <f>IF(F8949ASBOXA&lt;&gt;"",F8949AST,0)</f>
        <v>0</v>
      </c>
      <c r="AC19" s="3">
        <f>IF(F8949BSBOXA&lt;&gt;"",F8949BST,0)</f>
        <v>0</v>
      </c>
      <c r="AD19" s="3">
        <f>IF(F8949CSBOXA&lt;&gt;"",F8949CST,0)</f>
        <v>0</v>
      </c>
      <c r="AE19" s="3">
        <f>IF(F8949DSBOXA&lt;&gt;"",F8949DST,0)</f>
        <v>0</v>
      </c>
      <c r="AF19" s="3" t="b">
        <f>IF(SUM(AB19:AE19)&gt;0,TRUE,FALSE)</f>
        <v>0</v>
      </c>
      <c r="AH19" s="3">
        <f>IF(F8949ASBOXA&lt;&gt;"",F8949ASTD,0)</f>
        <v>0</v>
      </c>
      <c r="AI19" s="3" cm="1">
        <f t="array" ref="AI19">IF(F8949BSBOXA&lt;&gt;"",F8949BSTD,0)</f>
        <v>0</v>
      </c>
      <c r="AJ19" s="3">
        <f>IF(F8949CSBOXA&lt;&gt;"",F8949CSTD,0)</f>
        <v>0</v>
      </c>
      <c r="AK19" s="3">
        <f>IF(F8949DSBOXA&lt;&gt;"",F8949DSTD,0)</f>
        <v>0</v>
      </c>
      <c r="AM19" s="3">
        <f>IF(F8949ASBOXA&lt;&gt;"",F8949ASTE,0)</f>
        <v>0</v>
      </c>
      <c r="AN19" s="3" cm="1">
        <f t="array" ref="AN19">IF(F8949BSBOXA&lt;&gt;"",F8949BSTE,0)</f>
        <v>0</v>
      </c>
      <c r="AO19" s="3">
        <f>IF(F8949CSBOXA&lt;&gt;"",F8949CSTE,0)</f>
        <v>0</v>
      </c>
      <c r="AP19" s="3">
        <f>IF(F8949DSBOXA&lt;&gt;"",F8949DSTE,0)</f>
        <v>0</v>
      </c>
      <c r="AR19" s="3">
        <f>IF(F8949ASBOXA&lt;&gt;"",F8949ASTG,0)</f>
        <v>0</v>
      </c>
      <c r="AS19" s="3" cm="1">
        <f t="array" ref="AS19">IF(F8949BSBOXA&lt;&gt;"",F8949BSTG,0)</f>
        <v>0</v>
      </c>
      <c r="AT19" s="3">
        <f>IF(F8949CSBOXA&lt;&gt;"",F8949CSTG,0)</f>
        <v>0</v>
      </c>
      <c r="AU19" s="3">
        <f>IF(F8949DSBOXA&lt;&gt;"",F8949DSTG,0)</f>
        <v>0</v>
      </c>
      <c r="AW19" s="3">
        <f>IF(F8949ASBOXA&lt;&gt;"",F8949ASTH,0)</f>
        <v>0</v>
      </c>
      <c r="AX19" s="3" cm="1">
        <f t="array" ref="AX19">IF(F8949BSBOXA&lt;&gt;"",F8949BSTH,0)</f>
        <v>0</v>
      </c>
      <c r="AY19" s="3">
        <f>IF(F8949CSBOXA&lt;&gt;"",F8949CSTH,0)</f>
        <v>0</v>
      </c>
      <c r="AZ19" s="3">
        <f>IF(F8949DSBOXA&lt;&gt;"",F8949DSTH,0)</f>
        <v>0</v>
      </c>
    </row>
    <row r="20" spans="1:52" ht="12" customHeight="1">
      <c r="A20" s="5065"/>
      <c r="B20" s="5123">
        <v>2</v>
      </c>
      <c r="C20" s="8348" t="s">
        <v>6200</v>
      </c>
      <c r="D20" s="8353"/>
      <c r="E20" s="8353"/>
      <c r="F20" s="8353"/>
      <c r="G20" s="8353"/>
      <c r="H20" s="8354"/>
      <c r="I20" s="8241"/>
      <c r="J20" s="8242"/>
      <c r="K20" s="5133"/>
      <c r="L20" s="8241"/>
      <c r="M20" s="8243"/>
      <c r="N20" s="8244"/>
      <c r="O20" s="8255" t="b">
        <f>IF(AND(AF21,AF27),ROUND(SUM(AW21:AZ21,AW27:AZ27),0),IF(AF21,ROUND(SUM(AW21:AZ21),0),IF(AF27,ROUND(SUM(AW27:AZ27),0))))</f>
        <v>0</v>
      </c>
      <c r="P20" s="8256"/>
      <c r="Q20" s="5134"/>
      <c r="R20" s="245"/>
      <c r="S20" s="290"/>
      <c r="T20" s="139"/>
      <c r="U20" s="139"/>
      <c r="V20" s="5135"/>
      <c r="W20" s="5136"/>
      <c r="X20" s="5137"/>
      <c r="Y20" s="148"/>
      <c r="AA20" s="688"/>
    </row>
    <row r="21" spans="1:52" ht="13.5" customHeight="1">
      <c r="A21" s="5065"/>
      <c r="B21" s="5138"/>
      <c r="C21" s="8061"/>
      <c r="D21" s="8061"/>
      <c r="E21" s="8061"/>
      <c r="F21" s="8061"/>
      <c r="G21" s="8061"/>
      <c r="H21" s="8355"/>
      <c r="I21" s="8198" t="str">
        <f>IF(V21&lt;&gt;"",ROUND(V21,0),IF(AND($AF21,$AF27),ROUND(SUM(AH21:AK21,AH27:AK27),0),IF($AF21,ROUND(SUM(AH21:AK21),0),IF($AF27,ROUND(SUM(AH27:AK27),0),""))))</f>
        <v/>
      </c>
      <c r="J21" s="8254"/>
      <c r="K21" s="5139" t="str">
        <f>IF(W21&lt;&gt;"",ROUND(W21,0),IF(AND($AF21,$AF27),ROUND(SUM(AM21:AP21,AM27:AP27),0),IF($AF21,ROUND(SUM(AM21:AP21),0),IF($AF27,ROUND(SUM(AM27:AP27),0),""))))</f>
        <v/>
      </c>
      <c r="L21" s="8198" t="str">
        <f>IF(X21&lt;&gt;"",ROUND(X21,0),IF(AND($AF21,$AF27),ROUND(SUM(AR21:AU21,AR27:AU27),0),IF($AF21,ROUND(SUM(AR21:AU21),0),IF($AF27,ROUND(SUM(AR27:AU27),0),""))))</f>
        <v/>
      </c>
      <c r="M21" s="8199"/>
      <c r="N21" s="8254"/>
      <c r="O21" s="8198" t="str">
        <f>IF(AND(I21="",K21="",L21=""),"",IF(AND(W21="",OR(V21&lt;&gt;"",X21&lt;&gt;"")),SUM(I21,L21),IF(OR(V21&lt;&gt;"",W21&lt;&gt;"",X21&lt;&gt;""),SUM(I21,-K21,L21),O20)))</f>
        <v/>
      </c>
      <c r="P21" s="8199"/>
      <c r="Q21" s="8267"/>
      <c r="R21" s="245"/>
      <c r="S21" s="290"/>
      <c r="T21" s="139"/>
      <c r="U21" s="139"/>
      <c r="V21" s="287"/>
      <c r="W21" s="288"/>
      <c r="X21" s="5063"/>
      <c r="Y21" s="148"/>
      <c r="AA21" s="688" t="s">
        <v>516</v>
      </c>
      <c r="AB21" s="3">
        <f>IF(F8949ASBOXB&lt;&gt;"",F8949AST,0)</f>
        <v>0</v>
      </c>
      <c r="AC21" s="3">
        <f>IF(F8949BSBOXB&lt;&gt;"",F8949BST,0)</f>
        <v>0</v>
      </c>
      <c r="AD21" s="3">
        <f>IF(F8949CSBOXB&lt;&gt;"",F8949CST,0)</f>
        <v>0</v>
      </c>
      <c r="AE21" s="3">
        <f>IF(F8949DSBOXB&lt;&gt;"",F8949DST,0)</f>
        <v>0</v>
      </c>
      <c r="AF21" s="3" t="b">
        <f>IF(SUM(AB21:AE21)&gt;0,TRUE,FALSE)</f>
        <v>0</v>
      </c>
      <c r="AH21" s="3">
        <f>IF(F8949ASBOXB&lt;&gt;"",F8949ASTD,0)</f>
        <v>0</v>
      </c>
      <c r="AI21" s="3" cm="1">
        <f t="array" ref="AI21">IF(F8949BSBOXB&lt;&gt;"",F8949BSTD,0)</f>
        <v>0</v>
      </c>
      <c r="AJ21" s="3">
        <f>IF(F8949CSBOXB&lt;&gt;"",F8949CSTD,0)</f>
        <v>0</v>
      </c>
      <c r="AK21" s="3">
        <f>IF(F8949DSBOXB&lt;&gt;"",F8949DSTD,0)</f>
        <v>0</v>
      </c>
      <c r="AM21" s="3">
        <f>IF(F8949ASBOXB&lt;&gt;"",F8949ASTE,0)</f>
        <v>0</v>
      </c>
      <c r="AN21" s="3" cm="1">
        <f t="array" ref="AN21">IF(F8949BSBOXB&lt;&gt;"",F8949BSTE,0)</f>
        <v>0</v>
      </c>
      <c r="AO21" s="3">
        <f>IF(F8949CSBOXB&lt;&gt;"",F8949CSTE,0)</f>
        <v>0</v>
      </c>
      <c r="AP21" s="3">
        <f>IF(F8949DSBOXB&lt;&gt;"",F8949DSTE,0)</f>
        <v>0</v>
      </c>
      <c r="AR21" s="3">
        <f>IF(F8949ASBOXB&lt;&gt;"",F8949ASTG,0)</f>
        <v>0</v>
      </c>
      <c r="AS21" s="3" cm="1">
        <f t="array" ref="AS21">IF(F8949BSBOXB&lt;&gt;"",F8949BSTG,0)</f>
        <v>0</v>
      </c>
      <c r="AT21" s="3">
        <f>IF(F8949CSBOXB&lt;&gt;"",F8949CSTG,0)</f>
        <v>0</v>
      </c>
      <c r="AU21" s="3">
        <f>IF(F8949DSBOXB&lt;&gt;"",F8949DSTG,0)</f>
        <v>0</v>
      </c>
      <c r="AW21" s="3">
        <f>IF(F8949ASBOXB&lt;&gt;"",F8949ASTH,0)</f>
        <v>0</v>
      </c>
      <c r="AX21" s="3" cm="1">
        <f t="array" ref="AX21">IF(F8949BSBOXB&lt;&gt;"",F8949BSTH,0)</f>
        <v>0</v>
      </c>
      <c r="AY21" s="3">
        <f>IF(F8949CSBOXB&lt;&gt;"",F8949CSTH,0)</f>
        <v>0</v>
      </c>
      <c r="AZ21" s="3">
        <f>IF(F8949DSBOXB&lt;&gt;"",F8949DSTH,0)</f>
        <v>0</v>
      </c>
    </row>
    <row r="22" spans="1:52" ht="13.5" customHeight="1">
      <c r="A22" s="5065"/>
      <c r="B22" s="5123">
        <v>3</v>
      </c>
      <c r="C22" s="8310" t="s">
        <v>6201</v>
      </c>
      <c r="D22" s="8311"/>
      <c r="E22" s="8311"/>
      <c r="F22" s="8311"/>
      <c r="G22" s="8311"/>
      <c r="H22" s="8312"/>
      <c r="I22" s="8241"/>
      <c r="J22" s="8242"/>
      <c r="K22" s="5133"/>
      <c r="L22" s="8241"/>
      <c r="M22" s="8243"/>
      <c r="N22" s="8244"/>
      <c r="O22" s="8255" t="b">
        <f>IF(AND(AF23,AF29),ROUND(SUM(AW23:AZ23,AW29:AZ29),0),IF(AF23,ROUND(SUM(AW23:AZ23),0),IF(AF29,ROUND(SUM(AW29:AZ29),0))))</f>
        <v>0</v>
      </c>
      <c r="P22" s="8256"/>
      <c r="Q22" s="5134"/>
      <c r="R22" s="245"/>
      <c r="S22" s="290"/>
      <c r="T22" s="139"/>
      <c r="U22" s="139"/>
      <c r="V22" s="5135"/>
      <c r="W22" s="5136"/>
      <c r="X22" s="5137"/>
      <c r="Y22" s="148"/>
      <c r="AA22" s="688"/>
    </row>
    <row r="23" spans="1:52" ht="12.75" customHeight="1">
      <c r="A23" s="5065"/>
      <c r="B23" s="5138"/>
      <c r="C23" s="8313"/>
      <c r="D23" s="8313"/>
      <c r="E23" s="8313"/>
      <c r="F23" s="8313"/>
      <c r="G23" s="8313"/>
      <c r="H23" s="8314"/>
      <c r="I23" s="8198" t="str">
        <f>IF(V23&lt;&gt;"",ROUND(V23,0),IF(AND($AF23,$AF29),ROUND(SUM(AH23:AK23,AH29:AK29),0),IF($AF23,ROUND(SUM(AH23:AK23),0),IF($AF29,ROUND(SUM(AH29:AK29),0),""))))</f>
        <v/>
      </c>
      <c r="J23" s="8254"/>
      <c r="K23" s="5139" t="str">
        <f>IF(W23&lt;&gt;"",ROUND(W23,0),IF(AND($AF23,$AF29),ROUND(SUM(AM23:AP23,AM29:AP29),0),IF($AF23,ROUND(SUM(AM23:AP23),0),IF($AF29,ROUND(SUM(AM29:AP29),0),""))))</f>
        <v/>
      </c>
      <c r="L23" s="8198" t="str">
        <f>IF(X23&lt;&gt;"",ROUND(X23,0),IF(AND($AF23,$AF29),ROUND(SUM(AR23:AU23,AR29:AU29),0),IF($AF23,ROUND(SUM(AR23:AU23),0),IF($AF29,ROUND(SUM(AR29:AU29),0),""))))</f>
        <v/>
      </c>
      <c r="M23" s="8199"/>
      <c r="N23" s="8254"/>
      <c r="O23" s="8198" t="str">
        <f>IF(AND(I23="",K23="",L23=""),"",IF(AND(W23="",OR(V23&lt;&gt;"",X23&lt;&gt;"")),SUM(I23,L23),IF(OR(V23&lt;&gt;"",W23&lt;&gt;"",X23&lt;&gt;""),SUM(I23,-K23,L23),O22)))</f>
        <v/>
      </c>
      <c r="P23" s="8199"/>
      <c r="Q23" s="8267"/>
      <c r="R23" s="245"/>
      <c r="S23" s="290"/>
      <c r="T23" s="139"/>
      <c r="U23" s="139"/>
      <c r="V23" s="287"/>
      <c r="W23" s="288"/>
      <c r="X23" s="5063"/>
      <c r="Y23" s="148"/>
      <c r="AA23" s="688" t="s">
        <v>518</v>
      </c>
      <c r="AB23" s="3">
        <f>IF(F8949ASBOXC&lt;&gt;"",F8949AST,0)</f>
        <v>0</v>
      </c>
      <c r="AC23" s="3">
        <f>IF(F8949BSBOXC&lt;&gt;"",F8949BST,0)</f>
        <v>0</v>
      </c>
      <c r="AD23" s="3">
        <f>IF(F8949CSBOXC&lt;&gt;"",F8949CST,0)</f>
        <v>0</v>
      </c>
      <c r="AE23" s="3">
        <f>IF(F8949DSBOXC&lt;&gt;"",F8949DST,0)</f>
        <v>0</v>
      </c>
      <c r="AF23" s="3" t="b">
        <f>IF(SUM(AB23:AE23)&gt;0,TRUE,FALSE)</f>
        <v>0</v>
      </c>
      <c r="AH23" s="3">
        <f>IF(F8949ASBOXC&lt;&gt;"",F8949ASTD,0)</f>
        <v>0</v>
      </c>
      <c r="AI23" s="3" cm="1">
        <f t="array" ref="AI23">IF(F8949BSBOXC&lt;&gt;"",F8949BSTD,0)</f>
        <v>0</v>
      </c>
      <c r="AJ23" s="3">
        <f>IF(F8949CSBOXC&lt;&gt;"",F8949CSTD,0)</f>
        <v>0</v>
      </c>
      <c r="AK23" s="3">
        <f>IF(F8949DSBOXC&lt;&gt;"",F8949DSTD,0)</f>
        <v>0</v>
      </c>
      <c r="AM23" s="3">
        <f>IF(F8949ASBOXC&lt;&gt;"",F8949ASTE,0)</f>
        <v>0</v>
      </c>
      <c r="AN23" s="3" cm="1">
        <f t="array" ref="AN23">IF(F8949BSBOXC&lt;&gt;"",F8949BSTE,0)</f>
        <v>0</v>
      </c>
      <c r="AO23" s="3">
        <f>IF(F8949CSBOXC&lt;&gt;"",F8949CSTE,0)</f>
        <v>0</v>
      </c>
      <c r="AP23" s="3">
        <f>IF(F8949DSBOXC&lt;&gt;"",F8949DSTE,0)</f>
        <v>0</v>
      </c>
      <c r="AR23" s="3">
        <f>IF(F8949ASBOXC&lt;&gt;"",F8949ASTG,0)</f>
        <v>0</v>
      </c>
      <c r="AS23" s="3" cm="1">
        <f t="array" ref="AS23">IF(F8949BSBOXC&lt;&gt;"",F8949BSTG,0)</f>
        <v>0</v>
      </c>
      <c r="AT23" s="3">
        <f>IF(F8949CSBOXC&lt;&gt;"",F8949CSTG,0)</f>
        <v>0</v>
      </c>
      <c r="AU23" s="3">
        <f>IF(F8949DSBOXC&lt;&gt;"",F8949DSTG,0)</f>
        <v>0</v>
      </c>
      <c r="AW23" s="3">
        <f>IF(F8949ASBOXC&lt;&gt;"",F8949ASTH,0)</f>
        <v>0</v>
      </c>
      <c r="AX23" s="3" cm="1">
        <f t="array" ref="AX23">IF(F8949BSBOXC&lt;&gt;"",F8949BSTH,0)</f>
        <v>0</v>
      </c>
      <c r="AY23" s="3">
        <f>IF(F8949CSBOXC&lt;&gt;"",F8949CSTH,0)</f>
        <v>0</v>
      </c>
      <c r="AZ23" s="3">
        <f>IF(F8949DSBOXC&lt;&gt;"",F8949DSTH,0)</f>
        <v>0</v>
      </c>
    </row>
    <row r="24" spans="1:52" ht="15.75" customHeight="1">
      <c r="A24" s="5065"/>
      <c r="B24" s="3676" t="str">
        <f>"4"</f>
        <v>4</v>
      </c>
      <c r="C24" s="3626" t="s">
        <v>5867</v>
      </c>
      <c r="D24" s="3627"/>
      <c r="E24" s="3627"/>
      <c r="F24" s="3627"/>
      <c r="G24" s="3627"/>
      <c r="H24" s="5140"/>
      <c r="I24" s="2755"/>
      <c r="J24" s="2755"/>
      <c r="K24" s="2755"/>
      <c r="L24" s="2768"/>
      <c r="M24" s="2768"/>
      <c r="N24" s="2773" t="str">
        <f>B24</f>
        <v>4</v>
      </c>
      <c r="O24" s="8187"/>
      <c r="P24" s="8011"/>
      <c r="Q24" s="8275"/>
      <c r="R24" s="245"/>
      <c r="S24" s="290"/>
      <c r="T24" s="139"/>
      <c r="U24" s="139"/>
      <c r="V24" s="139"/>
      <c r="W24" s="139"/>
      <c r="X24" s="139"/>
      <c r="Y24" s="148"/>
    </row>
    <row r="25" spans="1:52">
      <c r="A25" s="5065"/>
      <c r="B25" s="2768" t="str">
        <f>"5"</f>
        <v>5</v>
      </c>
      <c r="C25" s="3592" t="s">
        <v>6205</v>
      </c>
      <c r="D25" s="3627"/>
      <c r="E25" s="3627"/>
      <c r="F25" s="3627"/>
      <c r="G25" s="3627"/>
      <c r="H25" s="5140"/>
      <c r="I25" s="2755"/>
      <c r="J25" s="2755"/>
      <c r="K25" s="2755"/>
      <c r="L25" s="2768"/>
      <c r="M25" s="2768"/>
      <c r="N25" s="2773">
        <v>5</v>
      </c>
      <c r="O25" s="8187"/>
      <c r="P25" s="8011"/>
      <c r="Q25" s="8275"/>
      <c r="R25" s="246"/>
      <c r="S25" s="291"/>
      <c r="T25" s="5141"/>
      <c r="U25" s="139"/>
      <c r="V25" s="8282" t="str">
        <f>IF(AND(T27&lt;&gt;"",T27&gt;0),"This positive amount is being used as a negative amount.","")</f>
        <v/>
      </c>
      <c r="W25" s="329"/>
      <c r="X25" s="329"/>
      <c r="Y25" s="329"/>
      <c r="AA25" s="688" t="s">
        <v>1979</v>
      </c>
      <c r="AB25" s="3">
        <f>IF(F8949ASBOXG&lt;&gt;"",F8949AST,0)</f>
        <v>0</v>
      </c>
      <c r="AC25" s="3">
        <f>IF(F8949BSBOXG&lt;&gt;"",F8949BST,0)</f>
        <v>0</v>
      </c>
      <c r="AD25" s="3">
        <f>IF(F8949CSBOXA&lt;&gt;"",F8949CST,0)</f>
        <v>0</v>
      </c>
      <c r="AE25" s="3">
        <f>IF(F8949DSBOXG&lt;&gt;"",F8949DST,0)</f>
        <v>0</v>
      </c>
      <c r="AF25" s="3" t="b">
        <f>IF(SUM(AB25:AE25)&gt;0,TRUE,FALSE)</f>
        <v>0</v>
      </c>
      <c r="AH25" s="3">
        <f>IF(F8949ASBOXG&lt;&gt;"",F8949ASTD,0)</f>
        <v>0</v>
      </c>
      <c r="AI25" s="3" cm="1">
        <f t="array" ref="AI25">IF(F8949BSBOXG&lt;&gt;"",F8949BSTD,0)</f>
        <v>0</v>
      </c>
      <c r="AJ25" s="3">
        <f>IF(F8949CSBOXG&lt;&gt;"",F8949CSTD,0)</f>
        <v>0</v>
      </c>
      <c r="AK25" s="3">
        <f>IF(F8949DSBOXG&lt;&gt;"",F8949DSTD,0)</f>
        <v>0</v>
      </c>
      <c r="AM25" s="3">
        <f>IF(F8949ASBOXG&lt;&gt;"",F8949ASTE,0)</f>
        <v>0</v>
      </c>
      <c r="AN25" s="3" cm="1">
        <f t="array" ref="AN25">IF(F8949BSBOXG&lt;&gt;"",F8949BSTE,0)</f>
        <v>0</v>
      </c>
      <c r="AO25" s="3">
        <f>IF(F8949CSBOXG&lt;&gt;"",F8949CSTE,0)</f>
        <v>0</v>
      </c>
      <c r="AP25" s="3">
        <f>IF(F8949DSBOXG&lt;&gt;"",F8949DSTE,0)</f>
        <v>0</v>
      </c>
      <c r="AR25" s="3">
        <f>IF(F8949ASBOXG&lt;&gt;"",F8949ASTG,0)</f>
        <v>0</v>
      </c>
      <c r="AS25" s="3" cm="1">
        <f t="array" ref="AS25">IF(F8949BSBOXG&lt;&gt;"",F8949BSTG,0)</f>
        <v>0</v>
      </c>
      <c r="AT25" s="3">
        <f>IF(F8949CSBOXG&lt;&gt;"",F8949CSTG,0)</f>
        <v>0</v>
      </c>
      <c r="AU25" s="3">
        <f>IF(F8949DSBOXG&lt;&gt;"",F8949DSTG,0)</f>
        <v>0</v>
      </c>
      <c r="AW25" s="3">
        <f>IF(F8949ASBOXG&lt;&gt;"",F8949ASTH,0)</f>
        <v>0</v>
      </c>
      <c r="AX25" s="3" cm="1">
        <f t="array" ref="AX25">IF(F8949BSBOXG&lt;&gt;"",F8949BSTH,0)</f>
        <v>0</v>
      </c>
      <c r="AY25" s="3">
        <f>IF(F8949CSBOXG&lt;&gt;"",F8949CSTH,0)</f>
        <v>0</v>
      </c>
      <c r="AZ25" s="3">
        <f>IF(F8949DSBOXG&lt;&gt;"",F8949DSTH,0)</f>
        <v>0</v>
      </c>
    </row>
    <row r="26" spans="1:52" ht="12.75" customHeight="1">
      <c r="A26" s="5065"/>
      <c r="B26" s="2768" t="str">
        <f>"6"</f>
        <v>6</v>
      </c>
      <c r="C26" s="3592" t="s">
        <v>6211</v>
      </c>
      <c r="D26" s="3627"/>
      <c r="E26" s="3627"/>
      <c r="F26" s="3627"/>
      <c r="G26" s="3627"/>
      <c r="H26" s="5140"/>
      <c r="I26" s="5140"/>
      <c r="J26" s="5140"/>
      <c r="K26" s="2755"/>
      <c r="L26" s="2756"/>
      <c r="M26" s="2756"/>
      <c r="N26" s="5142"/>
      <c r="O26" s="5143"/>
      <c r="P26" s="5144">
        <f>IF(P27="",0,-P27)</f>
        <v>0</v>
      </c>
      <c r="Q26" s="4155"/>
      <c r="R26" s="5145"/>
      <c r="S26" s="5146"/>
      <c r="T26" s="5141"/>
      <c r="U26" s="139"/>
      <c r="V26" s="8282"/>
      <c r="W26" s="329"/>
      <c r="X26" s="329"/>
      <c r="Y26" s="329"/>
      <c r="AA26" s="688"/>
    </row>
    <row r="27" spans="1:52">
      <c r="A27" s="5065"/>
      <c r="B27" s="3097"/>
      <c r="C27" s="3097" t="s">
        <v>6210</v>
      </c>
      <c r="D27" s="3097"/>
      <c r="E27" s="3097"/>
      <c r="F27" s="3592"/>
      <c r="G27" s="3592"/>
      <c r="H27" s="5140"/>
      <c r="I27" s="5140"/>
      <c r="J27" s="5140"/>
      <c r="K27" s="2755"/>
      <c r="L27" s="2768"/>
      <c r="M27" s="2768" t="s">
        <v>647</v>
      </c>
      <c r="N27" s="2773" t="str">
        <f>B26</f>
        <v>6</v>
      </c>
      <c r="O27" s="5147" t="s">
        <v>799</v>
      </c>
      <c r="P27" s="2943" t="str">
        <f>IF(AND(T27&lt;&gt;"",T27&gt;=0),ROUND(T27,0),IF(T27&lt;&gt;"",-ROUND(T27,0),IF('Sch. D WS'!R26="","",'Sch. D WS'!R26)))</f>
        <v/>
      </c>
      <c r="Q27" s="5148" t="s">
        <v>800</v>
      </c>
      <c r="R27" s="5145"/>
      <c r="S27" s="5146"/>
      <c r="T27" s="803"/>
      <c r="U27" s="139"/>
      <c r="V27" s="8282"/>
      <c r="W27" s="329"/>
      <c r="X27" s="329"/>
      <c r="Y27" s="329"/>
      <c r="AA27" s="688" t="s">
        <v>1980</v>
      </c>
      <c r="AB27" s="3">
        <f>IF(F8949ASBOXH&lt;&gt;"",F8949AST,0)</f>
        <v>0</v>
      </c>
      <c r="AC27" s="3">
        <f>IF(F8949BSBOXH&lt;&gt;"",F8949BST,0)</f>
        <v>0</v>
      </c>
      <c r="AD27" s="3">
        <f>IF(F8949CSBOXH&lt;&gt;"",F8949CST,0)</f>
        <v>0</v>
      </c>
      <c r="AE27" s="3">
        <f>IF(F8949DSBOXH&lt;&gt;"",F8949DST,0)</f>
        <v>0</v>
      </c>
      <c r="AF27" s="3" t="b">
        <f>IF(SUM(AB27:AE27)&gt;0,TRUE,FALSE)</f>
        <v>0</v>
      </c>
      <c r="AH27" s="3">
        <f>IF(F8949ASBOXH&lt;&gt;"",F8949ASTD,0)</f>
        <v>0</v>
      </c>
      <c r="AI27" s="3" cm="1">
        <f t="array" ref="AI27">IF(F8949BSBOXH&lt;&gt;"",F8949BSTD,0)</f>
        <v>0</v>
      </c>
      <c r="AJ27" s="3">
        <f>IF(F8949CSBOXH&lt;&gt;"",F8949CSTD,0)</f>
        <v>0</v>
      </c>
      <c r="AK27" s="3">
        <f>IF(F8949DSBOXH&lt;&gt;"",F8949DSTD,0)</f>
        <v>0</v>
      </c>
      <c r="AM27" s="3">
        <f>IF(F8949ASBOXH&lt;&gt;"",F8949ASTE,0)</f>
        <v>0</v>
      </c>
      <c r="AN27" s="3" cm="1">
        <f t="array" ref="AN27">IF(F8949BSBOXH&lt;&gt;"",F8949BSTE,0)</f>
        <v>0</v>
      </c>
      <c r="AO27" s="3">
        <f>IF(F8949CSBOXH&lt;&gt;"",F8949CSTE,0)</f>
        <v>0</v>
      </c>
      <c r="AP27" s="3">
        <f>IF(F8949DSBOXH&lt;&gt;"",F8949DSTE,0)</f>
        <v>0</v>
      </c>
      <c r="AR27" s="3">
        <f>IF(F8949ASBOXH&lt;&gt;"",F8949ASTG,0)</f>
        <v>0</v>
      </c>
      <c r="AS27" s="3" cm="1">
        <f t="array" ref="AS27">IF(F8949BSBOXH&lt;&gt;"",F8949BSTG,0)</f>
        <v>0</v>
      </c>
      <c r="AT27" s="3">
        <f>IF(F8949CSBOXH&lt;&gt;"",F8949CSTG,0)</f>
        <v>0</v>
      </c>
      <c r="AU27" s="3">
        <f>IF(F8949DSBOXH&lt;&gt;"",F8949DSTG,0)</f>
        <v>0</v>
      </c>
      <c r="AW27" s="3">
        <f>IF(F8949ASBOXH&lt;&gt;"",F8949ASTH,0)</f>
        <v>0</v>
      </c>
      <c r="AX27" s="3" cm="1">
        <f t="array" ref="AX27">IF(F8949BSBOXH&lt;&gt;"",F8949BSTH,0)</f>
        <v>0</v>
      </c>
      <c r="AY27" s="3">
        <f>IF(F8949CSBOXH&lt;&gt;"",F8949CSTH,0)</f>
        <v>0</v>
      </c>
      <c r="AZ27" s="3">
        <f>IF(F8949DSBOXH&lt;&gt;"",F8949DSTH,0)</f>
        <v>0</v>
      </c>
    </row>
    <row r="28" spans="1:52" ht="13.5" customHeight="1">
      <c r="A28" s="5065"/>
      <c r="B28" s="5149">
        <v>7</v>
      </c>
      <c r="C28" s="5150" t="s">
        <v>6209</v>
      </c>
      <c r="D28" s="979"/>
      <c r="E28" s="979"/>
      <c r="F28" s="979"/>
      <c r="G28" s="979"/>
      <c r="H28" s="979"/>
      <c r="I28" s="979"/>
      <c r="J28" s="979"/>
      <c r="K28" s="979"/>
      <c r="L28" s="979"/>
      <c r="M28" s="567"/>
      <c r="N28" s="2996"/>
      <c r="O28" s="8273"/>
      <c r="P28" s="8274"/>
      <c r="Q28" s="193"/>
      <c r="R28" s="5151"/>
      <c r="S28" s="5152"/>
      <c r="T28" s="5153"/>
      <c r="U28" s="139"/>
      <c r="V28" s="8282"/>
      <c r="W28" s="329"/>
      <c r="X28" s="329"/>
      <c r="Y28" s="329"/>
      <c r="AA28" s="688"/>
    </row>
    <row r="29" spans="1:52" ht="13.5" customHeight="1" thickBot="1">
      <c r="A29" s="5065"/>
      <c r="B29" s="5154"/>
      <c r="C29" s="981" t="s">
        <v>6208</v>
      </c>
      <c r="D29" s="981"/>
      <c r="E29" s="981"/>
      <c r="F29" s="981"/>
      <c r="G29" s="981"/>
      <c r="H29" s="981"/>
      <c r="I29" s="981"/>
      <c r="J29" s="981"/>
      <c r="K29" s="981"/>
      <c r="L29" s="981"/>
      <c r="M29" s="1658"/>
      <c r="N29" s="3742">
        <f>B28</f>
        <v>7</v>
      </c>
      <c r="O29" s="8146" t="str">
        <f>IF(T29&lt;&gt;"",T29,IF(AND(O17="",O19="",O21="",O23="",O24="",O25="",OR(P26=0,P26="")),"",SUM(O17,O19,O21,O23,O24,O25,P26)))</f>
        <v/>
      </c>
      <c r="P29" s="8268"/>
      <c r="Q29" s="8269"/>
      <c r="R29" s="5151"/>
      <c r="S29" s="5152"/>
      <c r="T29" s="803"/>
      <c r="U29" s="139"/>
      <c r="V29" s="329"/>
      <c r="W29" s="329"/>
      <c r="X29" s="329"/>
      <c r="Y29" s="329"/>
      <c r="AA29" s="688" t="s">
        <v>1981</v>
      </c>
      <c r="AB29" s="3">
        <f>IF(F8949ASBOXI&lt;&gt;"",F8949AST,0)</f>
        <v>0</v>
      </c>
      <c r="AC29" s="3">
        <f>IF(F8949BSBOXI&lt;&gt;"",F8949BST,0)</f>
        <v>0</v>
      </c>
      <c r="AD29" s="3">
        <f>IF(F8949CSBOXI&lt;&gt;"",F8949CST,0)</f>
        <v>0</v>
      </c>
      <c r="AE29" s="3">
        <f>IF(F8949DSBOXI&lt;&gt;"",F8949DST,0)</f>
        <v>0</v>
      </c>
      <c r="AF29" s="3" t="b">
        <f>IF(SUM(AB29:AE29)&gt;0,TRUE,FALSE)</f>
        <v>0</v>
      </c>
      <c r="AH29" s="3">
        <f>IF(F8949ASBOXI&lt;&gt;"",F8949ASTD,0)</f>
        <v>0</v>
      </c>
      <c r="AI29" s="3" cm="1">
        <f t="array" ref="AI29">IF(F8949BSBOXI&lt;&gt;"",F8949BSTD,0)</f>
        <v>0</v>
      </c>
      <c r="AJ29" s="3">
        <f>IF(F8949CSBOXI&lt;&gt;"",F8949CSTD,0)</f>
        <v>0</v>
      </c>
      <c r="AK29" s="3">
        <f>IF(F8949DSBOXI&lt;&gt;"",F8949DSTD,0)</f>
        <v>0</v>
      </c>
      <c r="AM29" s="3">
        <f>IF(F8949ASBOXI&lt;&gt;"",F8949ASTE,0)</f>
        <v>0</v>
      </c>
      <c r="AN29" s="3" cm="1">
        <f t="array" ref="AN29">IF(F8949BSBOXI&lt;&gt;"",F8949BSTE,0)</f>
        <v>0</v>
      </c>
      <c r="AO29" s="3">
        <f>IF(F8949CSBOXI&lt;&gt;"",F8949CSTE,0)</f>
        <v>0</v>
      </c>
      <c r="AP29" s="3">
        <f>IF(F8949DSBOXI&lt;&gt;"",F8949DSTE,0)</f>
        <v>0</v>
      </c>
      <c r="AR29" s="3">
        <f>IF(F8949ASBOXI&lt;&gt;"",F8949ASTG,0)</f>
        <v>0</v>
      </c>
      <c r="AS29" s="3" cm="1">
        <f t="array" ref="AS29">IF(F8949BSBOXI&lt;&gt;"",F8949BSTG,0)</f>
        <v>0</v>
      </c>
      <c r="AT29" s="3">
        <f>IF(F8949CSBOXI&lt;&gt;"",F8949CSTG,0)</f>
        <v>0</v>
      </c>
      <c r="AU29" s="3">
        <f>IF(F8949DSBOXI&gt;"",F8949DSTG,0)</f>
        <v>0</v>
      </c>
      <c r="AW29" s="3">
        <f>IF(F8949ASBOXI&lt;&gt;"",F8949ASTH,0)</f>
        <v>0</v>
      </c>
      <c r="AX29" s="3" cm="1">
        <f t="array" ref="AX29">IF(F8949BSBOXI&lt;&gt;"",F8949BSTH,0)</f>
        <v>0</v>
      </c>
      <c r="AY29" s="3">
        <f>IF(F8949CSBOXI&lt;&gt;"",F8949CSTH,0)</f>
        <v>0</v>
      </c>
      <c r="AZ29" s="3">
        <f>IF(F8949DSBOXI&lt;&gt;"",F8949DSTH,0)</f>
        <v>0</v>
      </c>
    </row>
    <row r="30" spans="1:52" ht="13.5" customHeight="1">
      <c r="A30" s="5065"/>
      <c r="B30" s="8334" t="s">
        <v>868</v>
      </c>
      <c r="C30" s="8334"/>
      <c r="D30" s="8334"/>
      <c r="E30" s="5108" t="s">
        <v>5240</v>
      </c>
      <c r="F30" s="5109"/>
      <c r="G30" s="5109"/>
      <c r="H30" s="3565"/>
      <c r="I30" s="5108"/>
      <c r="J30" s="5111"/>
      <c r="K30" s="5109"/>
      <c r="L30" s="5155"/>
      <c r="M30" s="5155"/>
      <c r="N30" s="5156"/>
      <c r="O30" s="5113"/>
      <c r="P30" s="5114" t="s">
        <v>2018</v>
      </c>
      <c r="Q30" s="5114"/>
      <c r="R30" s="3298"/>
      <c r="S30" s="5157"/>
      <c r="T30" s="139"/>
      <c r="U30" s="139"/>
      <c r="V30" s="139"/>
      <c r="W30" s="139"/>
      <c r="X30" s="139"/>
      <c r="Y30" s="139"/>
    </row>
    <row r="31" spans="1:52" ht="19.5" customHeight="1">
      <c r="A31" s="5065"/>
      <c r="B31" s="8315" t="s">
        <v>5869</v>
      </c>
      <c r="C31" s="8316"/>
      <c r="D31" s="8316"/>
      <c r="E31" s="8316"/>
      <c r="F31" s="8316"/>
      <c r="G31" s="8316"/>
      <c r="H31" s="8317"/>
      <c r="I31" s="8322" t="s">
        <v>2168</v>
      </c>
      <c r="J31" s="8323"/>
      <c r="K31" s="8328" t="s">
        <v>2169</v>
      </c>
      <c r="L31" s="8276" t="s">
        <v>2170</v>
      </c>
      <c r="M31" s="8277"/>
      <c r="N31" s="8331"/>
      <c r="O31" s="8276" t="s">
        <v>2159</v>
      </c>
      <c r="P31" s="8277"/>
      <c r="Q31" s="8277"/>
      <c r="R31" s="5117"/>
      <c r="S31" s="5118"/>
      <c r="T31" s="139"/>
      <c r="U31" s="139"/>
      <c r="V31" s="8248" t="s">
        <v>2160</v>
      </c>
      <c r="W31" s="8245" t="s">
        <v>2157</v>
      </c>
      <c r="X31" s="8251" t="s">
        <v>2171</v>
      </c>
      <c r="Y31" s="148"/>
    </row>
    <row r="32" spans="1:52" ht="16.5" customHeight="1">
      <c r="A32" s="5065"/>
      <c r="B32" s="8318"/>
      <c r="C32" s="7250"/>
      <c r="D32" s="7250"/>
      <c r="E32" s="7250"/>
      <c r="F32" s="7250"/>
      <c r="G32" s="7250"/>
      <c r="H32" s="7251"/>
      <c r="I32" s="8324"/>
      <c r="J32" s="8325"/>
      <c r="K32" s="8329"/>
      <c r="L32" s="8278"/>
      <c r="M32" s="8279"/>
      <c r="N32" s="8332"/>
      <c r="O32" s="8278"/>
      <c r="P32" s="8279"/>
      <c r="Q32" s="8279"/>
      <c r="R32" s="5119"/>
      <c r="S32" s="5120"/>
      <c r="T32" s="148" t="s">
        <v>2162</v>
      </c>
      <c r="U32" s="139"/>
      <c r="V32" s="8249"/>
      <c r="W32" s="8246"/>
      <c r="X32" s="8252"/>
      <c r="Y32" s="148"/>
    </row>
    <row r="33" spans="1:52" ht="16.5" customHeight="1">
      <c r="A33" s="5065"/>
      <c r="B33" s="8319"/>
      <c r="C33" s="8320"/>
      <c r="D33" s="8320"/>
      <c r="E33" s="8320"/>
      <c r="F33" s="8320"/>
      <c r="G33" s="8320"/>
      <c r="H33" s="8321"/>
      <c r="I33" s="8326"/>
      <c r="J33" s="8327"/>
      <c r="K33" s="8330"/>
      <c r="L33" s="8280"/>
      <c r="M33" s="8281"/>
      <c r="N33" s="8333"/>
      <c r="O33" s="8280"/>
      <c r="P33" s="8281"/>
      <c r="Q33" s="8281"/>
      <c r="R33" s="5121"/>
      <c r="S33" s="5122"/>
      <c r="T33" s="139"/>
      <c r="U33" s="139"/>
      <c r="V33" s="8250"/>
      <c r="W33" s="8247"/>
      <c r="X33" s="8253"/>
      <c r="Y33" s="148"/>
    </row>
    <row r="34" spans="1:52" ht="16.5" customHeight="1">
      <c r="A34" s="5065"/>
      <c r="B34" s="5123" t="s">
        <v>798</v>
      </c>
      <c r="C34" s="8294" t="s">
        <v>5868</v>
      </c>
      <c r="D34" s="7577"/>
      <c r="E34" s="7577"/>
      <c r="F34" s="7577"/>
      <c r="G34" s="7577"/>
      <c r="H34" s="8295"/>
      <c r="I34" s="320"/>
      <c r="J34" s="321"/>
      <c r="K34" s="5124"/>
      <c r="L34" s="5125"/>
      <c r="M34" s="5126"/>
      <c r="N34" s="5127"/>
      <c r="O34" s="5128"/>
      <c r="P34" s="322"/>
      <c r="Q34" s="322"/>
      <c r="R34" s="5121"/>
      <c r="S34" s="5122"/>
      <c r="T34" s="139"/>
      <c r="U34" s="139"/>
      <c r="V34" s="5129"/>
      <c r="W34" s="5130"/>
      <c r="X34" s="5131"/>
      <c r="Y34" s="148"/>
      <c r="AB34" s="688" t="s">
        <v>2163</v>
      </c>
      <c r="AC34" s="688" t="s">
        <v>2164</v>
      </c>
      <c r="AD34" s="688" t="s">
        <v>2165</v>
      </c>
      <c r="AE34" s="688" t="s">
        <v>2166</v>
      </c>
      <c r="AH34" s="688" t="s">
        <v>2163</v>
      </c>
      <c r="AI34" s="688" t="s">
        <v>2164</v>
      </c>
      <c r="AJ34" s="688" t="s">
        <v>2165</v>
      </c>
      <c r="AK34" s="688" t="s">
        <v>2166</v>
      </c>
      <c r="AM34" s="688" t="s">
        <v>2163</v>
      </c>
      <c r="AN34" s="688" t="s">
        <v>2164</v>
      </c>
      <c r="AO34" s="688" t="s">
        <v>2165</v>
      </c>
      <c r="AP34" s="688" t="s">
        <v>2166</v>
      </c>
      <c r="AR34" s="688" t="s">
        <v>2163</v>
      </c>
      <c r="AS34" s="688" t="s">
        <v>2164</v>
      </c>
      <c r="AT34" s="688" t="s">
        <v>2165</v>
      </c>
      <c r="AU34" s="688" t="s">
        <v>2166</v>
      </c>
      <c r="AW34" s="688" t="s">
        <v>2163</v>
      </c>
      <c r="AX34" s="688" t="s">
        <v>2164</v>
      </c>
      <c r="AY34" s="688" t="s">
        <v>2165</v>
      </c>
      <c r="AZ34" s="688" t="s">
        <v>2166</v>
      </c>
    </row>
    <row r="35" spans="1:52" ht="46.5" customHeight="1">
      <c r="A35" s="5065"/>
      <c r="B35" s="319"/>
      <c r="C35" s="8296"/>
      <c r="D35" s="8296"/>
      <c r="E35" s="8296"/>
      <c r="F35" s="8296"/>
      <c r="G35" s="8296"/>
      <c r="H35" s="8297"/>
      <c r="I35" s="8187"/>
      <c r="J35" s="8301"/>
      <c r="K35" s="5063"/>
      <c r="L35" s="8291"/>
      <c r="M35" s="8292"/>
      <c r="N35" s="8293"/>
      <c r="O35" s="8198" t="str">
        <f>IF(OR(I35&lt;&gt;"",K35&lt;&gt;""),ROUND(SUM(I35,-K35),0),"")</f>
        <v/>
      </c>
      <c r="P35" s="8199"/>
      <c r="Q35" s="8267"/>
      <c r="R35" s="5121"/>
      <c r="S35" s="5122"/>
      <c r="T35" s="139"/>
      <c r="U35" s="139"/>
      <c r="V35" s="5129" t="str">
        <f>"---"</f>
        <v>---</v>
      </c>
      <c r="W35" s="5129" t="str">
        <f>"---"</f>
        <v>---</v>
      </c>
      <c r="X35" s="5132"/>
      <c r="Y35" s="148"/>
      <c r="AB35" s="688"/>
      <c r="AC35" s="688"/>
      <c r="AD35" s="688"/>
      <c r="AE35" s="688"/>
      <c r="AH35" s="688"/>
      <c r="AI35" s="688"/>
      <c r="AJ35" s="688"/>
      <c r="AK35" s="688"/>
      <c r="AM35" s="688"/>
      <c r="AN35" s="688"/>
      <c r="AO35" s="688"/>
      <c r="AP35" s="688"/>
      <c r="AR35" s="688"/>
      <c r="AS35" s="688"/>
      <c r="AT35" s="688"/>
      <c r="AU35" s="688"/>
      <c r="AW35" s="688"/>
      <c r="AX35" s="688"/>
      <c r="AY35" s="688"/>
      <c r="AZ35" s="688"/>
    </row>
    <row r="36" spans="1:52" ht="15.75" customHeight="1">
      <c r="A36" s="5065"/>
      <c r="B36" s="5123" t="s">
        <v>803</v>
      </c>
      <c r="C36" s="8286" t="s">
        <v>6202</v>
      </c>
      <c r="D36" s="8287"/>
      <c r="E36" s="8287"/>
      <c r="F36" s="8287"/>
      <c r="G36" s="8287"/>
      <c r="H36" s="8288"/>
      <c r="I36" s="8241"/>
      <c r="J36" s="8242"/>
      <c r="K36" s="5133"/>
      <c r="L36" s="8241"/>
      <c r="M36" s="8243"/>
      <c r="N36" s="8244"/>
      <c r="O36" s="8255" t="b">
        <f>IF(AND(AF38,AF44),ROUND(SUM(AW38:AZ38,AW44:AZ44),0),IF(AF38,ROUND(SUM(AW38:AZ38),0),IF(AF44,ROUND(SUM(AW44:AZ44),0))))</f>
        <v>0</v>
      </c>
      <c r="P36" s="8256"/>
      <c r="Q36" s="5134"/>
      <c r="R36" s="245"/>
      <c r="S36" s="290"/>
      <c r="T36" s="139"/>
      <c r="U36" s="139"/>
      <c r="V36" s="5135"/>
      <c r="W36" s="5158"/>
      <c r="X36" s="5137"/>
      <c r="Y36" s="148"/>
      <c r="AA36" s="688" t="s">
        <v>5870</v>
      </c>
      <c r="AB36" s="688"/>
      <c r="AC36" s="688"/>
      <c r="AD36" s="688"/>
      <c r="AE36" s="688"/>
      <c r="AH36" s="688"/>
      <c r="AI36" s="688"/>
      <c r="AJ36" s="688"/>
      <c r="AK36" s="688"/>
      <c r="AM36" s="688"/>
      <c r="AN36" s="688"/>
      <c r="AO36" s="688"/>
      <c r="AP36" s="688"/>
      <c r="AR36" s="688"/>
      <c r="AS36" s="688"/>
      <c r="AT36" s="688"/>
      <c r="AU36" s="688"/>
      <c r="AW36" s="688"/>
      <c r="AX36" s="688"/>
      <c r="AY36" s="688"/>
      <c r="AZ36" s="688"/>
    </row>
    <row r="37" spans="1:52" ht="13.5" customHeight="1">
      <c r="A37" s="5065"/>
      <c r="B37" s="5138"/>
      <c r="C37" s="8289"/>
      <c r="D37" s="8289"/>
      <c r="E37" s="8289"/>
      <c r="F37" s="8289"/>
      <c r="G37" s="8289"/>
      <c r="H37" s="8290"/>
      <c r="I37" s="8198" t="str">
        <f>IF(V37&lt;&gt;"",ROUND(V37,0),IF(AND($AF38,$AF44),ROUND(SUM(AH38:AK38,AH44:AK44),0),IF($AF38,ROUND(SUM(AH38:AK38),0),IF($AF44,ROUND(SUM(AH44:AK44),0),""))))</f>
        <v/>
      </c>
      <c r="J37" s="8254"/>
      <c r="K37" s="5139" t="str">
        <f>IF(W37&lt;&gt;"",ROUND(W37,0),IF(AND($AF38,$AF44),ROUND(SUM(AM38:AP38,AM44:AP44),0),IF($AF38,ROUND(SUM(AM38:AP38),0),IF($AF44,ROUND(SUM(AM44:AP44),0),""))))</f>
        <v/>
      </c>
      <c r="L37" s="8198" t="str">
        <f>IF(X37&lt;&gt;"",ROUND(X37,0),IF(AND($AF38,$AF44),ROUND(SUM(AR38:AU38,AR44:AU44),0),IF($AF38,ROUND(SUM(AR38:AU38),0),IF($AF44,ROUND(SUM(AR44:AU44),0),""))))</f>
        <v/>
      </c>
      <c r="M37" s="8199"/>
      <c r="N37" s="8254"/>
      <c r="O37" s="8198" t="str">
        <f>IF(AND(I37="",K37="",L37=""),"",IF(AND(W37="",OR(V37&lt;&gt;"",X37&lt;&gt;"")),SUM(I37,L37),IF(OR(V37&lt;&gt;"",W37&lt;&gt;"",X37&lt;&gt;""),SUM(I37,-K37,L37),O36)))</f>
        <v/>
      </c>
      <c r="P37" s="8199"/>
      <c r="Q37" s="8267"/>
      <c r="R37" s="245"/>
      <c r="S37" s="290"/>
      <c r="T37" s="139"/>
      <c r="U37" s="139"/>
      <c r="V37" s="287"/>
      <c r="W37" s="288"/>
      <c r="X37" s="5063"/>
      <c r="Y37" s="148"/>
    </row>
    <row r="38" spans="1:52" ht="13.5" customHeight="1">
      <c r="A38" s="5065"/>
      <c r="B38" s="5123">
        <v>9</v>
      </c>
      <c r="C38" s="8286" t="s">
        <v>6203</v>
      </c>
      <c r="D38" s="8287"/>
      <c r="E38" s="8287"/>
      <c r="F38" s="8287"/>
      <c r="G38" s="8287"/>
      <c r="H38" s="8288"/>
      <c r="I38" s="8241"/>
      <c r="J38" s="8242"/>
      <c r="K38" s="5133"/>
      <c r="L38" s="8241"/>
      <c r="M38" s="8243"/>
      <c r="N38" s="8244"/>
      <c r="O38" s="8255" t="b">
        <f>IF(AND(AF40,AF46),ROUND(SUM(AW40:AZ40,AW46:AZ46),0),IF(AF40,ROUND(SUM(AW40:AZ40),0),IF(AF46,ROUND(SUM(AW46:AZ46),0))))</f>
        <v>0</v>
      </c>
      <c r="P38" s="8256"/>
      <c r="Q38" s="5134"/>
      <c r="R38" s="245"/>
      <c r="S38" s="290"/>
      <c r="T38" s="139"/>
      <c r="U38" s="139"/>
      <c r="V38" s="5135"/>
      <c r="W38" s="5158"/>
      <c r="X38" s="5137"/>
      <c r="Y38" s="148"/>
      <c r="AA38" s="688" t="s">
        <v>521</v>
      </c>
      <c r="AB38" s="3">
        <f>IF(F8949ALBOXD&lt;&gt;"",F8949ALT,0)</f>
        <v>0</v>
      </c>
      <c r="AC38" s="3" cm="1">
        <f t="array" ref="AC38">IF(F8949BLBOXD&lt;&gt;"",F8949BLT,0)</f>
        <v>0</v>
      </c>
      <c r="AD38" s="3">
        <f>IF(F8949CLBOXD&lt;&gt;"",F8949CLT,0)</f>
        <v>0</v>
      </c>
      <c r="AE38" s="3">
        <f>IF(F8949DLBOXD&lt;&gt;"",F8949DLT,0)</f>
        <v>0</v>
      </c>
      <c r="AF38" s="3" t="b">
        <f>IF(SUM(AB38:AE38)&gt;0,TRUE,FALSE)</f>
        <v>0</v>
      </c>
      <c r="AH38" s="3">
        <f>IF(F8949ALBOXD&lt;&gt;"",F8949ALTD,0)</f>
        <v>0</v>
      </c>
      <c r="AI38" s="3" cm="1">
        <f t="array" ref="AI38">IF(F8949BLBOXD&lt;&gt;"",F8949BLTD,0)</f>
        <v>0</v>
      </c>
      <c r="AJ38" s="3">
        <f>IF(F8949CLBOXD&lt;&gt;"",F8949CLTD,0)</f>
        <v>0</v>
      </c>
      <c r="AK38" s="3">
        <f>IF(F8949DLBOXD&lt;&gt;"",F8949DLTD,0)</f>
        <v>0</v>
      </c>
      <c r="AM38" s="3">
        <f>IF(F8949ALBOXD&lt;&gt;"",F8949ALTE,0)</f>
        <v>0</v>
      </c>
      <c r="AN38" s="3" cm="1">
        <f t="array" ref="AN38">IF(F8949BLBOXD&lt;&gt;"",F8949BLTE,0)</f>
        <v>0</v>
      </c>
      <c r="AO38" s="3">
        <f>IF(F8949CLBOXD&lt;&gt;"",F8949CLTE,0)</f>
        <v>0</v>
      </c>
      <c r="AP38" s="3">
        <f>IF(F8949DLBOXD&lt;&gt;"",F8949DLTE,0)</f>
        <v>0</v>
      </c>
      <c r="AR38" s="3">
        <f>IF(F8949ALBOXD&lt;&gt;"",F8949ALTG,0)</f>
        <v>0</v>
      </c>
      <c r="AS38" s="3" cm="1">
        <f t="array" ref="AS38">IF(F8949BLBOXD&lt;&gt;"",F8949BLTG,0)</f>
        <v>0</v>
      </c>
      <c r="AT38" s="3">
        <f>IF(F8949CLBOXD&lt;&gt;"",F8949CLTG,0)</f>
        <v>0</v>
      </c>
      <c r="AU38" s="3">
        <f>IF(F8949DLBOXD&lt;&gt;"",F8949DLTG,0)</f>
        <v>0</v>
      </c>
      <c r="AW38" s="3">
        <f>IF(F8949ALBOXD&lt;&gt;"",F8949ALTH,0)</f>
        <v>0</v>
      </c>
      <c r="AX38" s="3" cm="1">
        <f t="array" ref="AX38">IF(F8949BLBOXD&lt;&gt;"",F8949BLTH,0)</f>
        <v>0</v>
      </c>
      <c r="AY38" s="3">
        <f>IF(F8949CLBOXD&lt;&gt;"",F8949CLTH,0)</f>
        <v>0</v>
      </c>
      <c r="AZ38" s="3">
        <f>IF(F8949DLBOXD&lt;&gt;"",F8949DLTH,0)</f>
        <v>0</v>
      </c>
    </row>
    <row r="39" spans="1:52" ht="13.5" customHeight="1">
      <c r="A39" s="5065"/>
      <c r="B39" s="5138"/>
      <c r="C39" s="8289"/>
      <c r="D39" s="8289"/>
      <c r="E39" s="8289"/>
      <c r="F39" s="8289"/>
      <c r="G39" s="8289"/>
      <c r="H39" s="8290"/>
      <c r="I39" s="8198" t="str">
        <f>IF(V39&lt;&gt;"",ROUND(V39,0),IF(AND($AF40,$AF46),ROUND(SUM(AH40:AK40,AH46:AK46),0),IF($AF40,ROUND(SUM(AH40:AK40),0),IF($AF46,ROUND(SUM(AH46:AK46),0),""))))</f>
        <v/>
      </c>
      <c r="J39" s="8254"/>
      <c r="K39" s="5139" t="str">
        <f>IF(W39&lt;&gt;"",ROUND(W39,0),IF(AND($AF40,$AF46),ROUND(SUM(AM40:AP40,AM46:AP46),0),IF($AF40,ROUND(SUM(AM40:AP40),0),IF($AF46,ROUND(SUM(AM46:AP46),0),""))))</f>
        <v/>
      </c>
      <c r="L39" s="8198" t="str">
        <f>IF(X39&lt;&gt;"",ROUND(X39,0),IF(AND($AF40,$AF46),ROUND(SUM(AR40:AU40,AR46:AU46),0),IF($AF40,ROUND(SUM(AR40:AU40),0),IF($AF46,ROUND(SUM(AR46:AU46),0),""))))</f>
        <v/>
      </c>
      <c r="M39" s="8199"/>
      <c r="N39" s="8254"/>
      <c r="O39" s="8198" t="str">
        <f>IF(AND(I39="",K39="",L39=""),"",IF(AND(W39="",OR(V39&lt;&gt;"",X39&lt;&gt;"")),SUM(I39,L39),IF(OR(V39&lt;&gt;"",W39&lt;&gt;"",X39&lt;&gt;""),SUM(I39,-K39,L39),O38)))</f>
        <v/>
      </c>
      <c r="P39" s="8199"/>
      <c r="Q39" s="8267"/>
      <c r="R39" s="245"/>
      <c r="S39" s="290"/>
      <c r="T39" s="139"/>
      <c r="U39" s="139"/>
      <c r="V39" s="287"/>
      <c r="W39" s="288"/>
      <c r="X39" s="5063"/>
      <c r="Y39" s="148"/>
      <c r="AA39" s="688"/>
    </row>
    <row r="40" spans="1:52" ht="12.75" customHeight="1">
      <c r="A40" s="5065"/>
      <c r="B40" s="5123">
        <v>10</v>
      </c>
      <c r="C40" s="8286" t="s">
        <v>6204</v>
      </c>
      <c r="D40" s="8287"/>
      <c r="E40" s="8287"/>
      <c r="F40" s="8287"/>
      <c r="G40" s="8287"/>
      <c r="H40" s="8288"/>
      <c r="I40" s="8241"/>
      <c r="J40" s="8242"/>
      <c r="K40" s="5133"/>
      <c r="L40" s="8241"/>
      <c r="M40" s="8243"/>
      <c r="N40" s="8244"/>
      <c r="O40" s="8255" t="b">
        <f>IF(AND(AF42,AF48),ROUND(SUM(AW42:AZ42,AW48:AZ48),0),IF(AF42,ROUND(SUM(AW42:AZ42),0),IF(AF48,ROUND(SUM(AW48:AZ48),0))))</f>
        <v>0</v>
      </c>
      <c r="P40" s="8256"/>
      <c r="Q40" s="5134"/>
      <c r="R40" s="245"/>
      <c r="S40" s="290"/>
      <c r="T40" s="139"/>
      <c r="U40" s="139"/>
      <c r="V40" s="5135"/>
      <c r="W40" s="5158"/>
      <c r="X40" s="5137"/>
      <c r="Y40" s="148"/>
      <c r="AA40" s="688" t="s">
        <v>524</v>
      </c>
      <c r="AB40" s="3">
        <f>IF(F8949ALBOXE&lt;&gt;"",F8949ALT,0)</f>
        <v>0</v>
      </c>
      <c r="AC40" s="3">
        <f>IF(F8949BLBOXE&lt;&gt;"",F8949BLT,0)</f>
        <v>0</v>
      </c>
      <c r="AD40" s="3">
        <f>IF(F8949CLBOXE&lt;&gt;"",F8949CLT,0)</f>
        <v>0</v>
      </c>
      <c r="AE40" s="3">
        <f>IF(F8949DLBOXE&lt;&gt;"",F8949DLT,0)</f>
        <v>0</v>
      </c>
      <c r="AF40" s="3" t="b">
        <f>IF(SUM(AB40:AE40)&gt;0,TRUE,FALSE)</f>
        <v>0</v>
      </c>
      <c r="AH40" s="3">
        <f>IF(F8949ALBOXE&lt;&gt;"",F8949ALTD,0)</f>
        <v>0</v>
      </c>
      <c r="AI40" s="3" cm="1">
        <f t="array" ref="AI40">IF(F8949BLBOXE&lt;&gt;"",F8949BLTD,0)</f>
        <v>0</v>
      </c>
      <c r="AJ40" s="3">
        <f>IF(F8949CLBOXE&lt;&gt;"",F8949CLTD,0)</f>
        <v>0</v>
      </c>
      <c r="AK40" s="3">
        <f>IF(F8949DLBOXE&lt;&gt;"",F8949DLTD,0)</f>
        <v>0</v>
      </c>
      <c r="AM40" s="3">
        <f>IF(F8949ALBOXE&lt;&gt;"",F8949ALTE,0)</f>
        <v>0</v>
      </c>
      <c r="AN40" s="3" cm="1">
        <f t="array" ref="AN40">IF(F8949BLBOXE&lt;&gt;"",F8949BLTE,0)</f>
        <v>0</v>
      </c>
      <c r="AO40" s="3">
        <f>IF(F8949CLBOXE&lt;&gt;"",F8949CLTE,0)</f>
        <v>0</v>
      </c>
      <c r="AP40" s="3">
        <f>IF(F8949DLBOXE&lt;&gt;"",F8949DLTE,0)</f>
        <v>0</v>
      </c>
      <c r="AR40" s="3">
        <f>IF(F8949ALBOXE&lt;&gt;"",F8949ALTG,0)</f>
        <v>0</v>
      </c>
      <c r="AS40" s="3" cm="1">
        <f t="array" ref="AS40">IF(F8949BLBOXE&lt;&gt;"",F8949BLTG,0)</f>
        <v>0</v>
      </c>
      <c r="AT40" s="3">
        <f>IF(F8949CLBOXE&lt;&gt;"",F8949CLTG,0)</f>
        <v>0</v>
      </c>
      <c r="AU40" s="3">
        <f>IF(F8949DLBOXE&lt;&gt;"",F8949DLTG,0)</f>
        <v>0</v>
      </c>
      <c r="AW40" s="3">
        <f>IF(F8949ALBOXE&lt;&gt;"",F8949ALTH,0)</f>
        <v>0</v>
      </c>
      <c r="AX40" s="3" cm="1">
        <f t="array" ref="AX40">IF(F8949BLBOXE&lt;&gt;"",F8949BLTH,0)</f>
        <v>0</v>
      </c>
      <c r="AY40" s="3">
        <f>IF(F8949CLBOXE&lt;&gt;"",F8949CLTH,0)</f>
        <v>0</v>
      </c>
      <c r="AZ40" s="3">
        <f>IF(F8949DLBOXE&lt;&gt;"",F8949DLTH,0)</f>
        <v>0</v>
      </c>
    </row>
    <row r="41" spans="1:52" ht="12.75" customHeight="1">
      <c r="A41" s="5065"/>
      <c r="B41" s="5138"/>
      <c r="C41" s="8289"/>
      <c r="D41" s="8289"/>
      <c r="E41" s="8289"/>
      <c r="F41" s="8289"/>
      <c r="G41" s="8289"/>
      <c r="H41" s="8290"/>
      <c r="I41" s="8198" t="str">
        <f>IF(V41&lt;&gt;"",ROUND(V41,0),IF(AND($AF42,$AF48),ROUND(SUM(AH42:AK42,AH48:AK48),0),IF($AF42,ROUND(SUM(AH42:AK42),0),IF($AF48,ROUND(SUM(AH48:AK48),0),""))))</f>
        <v/>
      </c>
      <c r="J41" s="8254"/>
      <c r="K41" s="5139" t="str">
        <f>IF(W41&lt;&gt;"",ROUND(W41,0),IF(AND($AF42,$AF48),ROUND(SUM(AM42:AP42,AM48:AP48),0),IF($AF42,ROUND(SUM(AM42:AP42),0),IF($AF48,ROUND(SUM(AM48:AP48),0),""))))</f>
        <v/>
      </c>
      <c r="L41" s="8198" t="str">
        <f>IF(X41&lt;&gt;"",ROUND(X41,0),IF(AND($AF42,$AF48),ROUND(SUM(AR42:AU42,AR48:AU48),0),IF($AF42,ROUND(SUM(AR42:AU42),0),IF($AF48,ROUND(SUM(AR48:AU48),0),""))))</f>
        <v/>
      </c>
      <c r="M41" s="8199"/>
      <c r="N41" s="8254"/>
      <c r="O41" s="8198" t="str">
        <f>IF(AND(I41="",K41="",L41=""),"",IF(AND(W41="",OR(V41&lt;&gt;"",X41&lt;&gt;"")),SUM(I41,L41),IF(OR(V41&lt;&gt;"",W41&lt;&gt;"",X41&lt;&gt;""),SUM(I41,-K41,L41),O40)))</f>
        <v/>
      </c>
      <c r="P41" s="8199"/>
      <c r="Q41" s="8267"/>
      <c r="R41" s="245"/>
      <c r="S41" s="290"/>
      <c r="T41" s="139"/>
      <c r="U41" s="139"/>
      <c r="V41" s="287"/>
      <c r="W41" s="288"/>
      <c r="X41" s="5063"/>
      <c r="Y41" s="148"/>
      <c r="AA41" s="688"/>
    </row>
    <row r="42" spans="1:52" ht="12.75" customHeight="1">
      <c r="A42" s="5065"/>
      <c r="B42" s="5149">
        <v>11</v>
      </c>
      <c r="C42" s="5159" t="s">
        <v>4962</v>
      </c>
      <c r="D42" s="5160"/>
      <c r="E42" s="5160"/>
      <c r="F42" s="5160"/>
      <c r="G42" s="5160"/>
      <c r="H42" s="5160"/>
      <c r="I42" s="5160"/>
      <c r="J42" s="5160"/>
      <c r="K42" s="5160"/>
      <c r="L42" s="5160"/>
      <c r="M42" s="5161"/>
      <c r="N42" s="5162"/>
      <c r="O42" s="8265"/>
      <c r="P42" s="8266"/>
      <c r="Q42" s="848"/>
      <c r="R42" s="245"/>
      <c r="S42" s="290"/>
      <c r="T42" s="139"/>
      <c r="U42" s="139"/>
      <c r="V42" s="139"/>
      <c r="W42" s="139"/>
      <c r="X42" s="139"/>
      <c r="Y42" s="139"/>
      <c r="AA42" s="688" t="s">
        <v>1974</v>
      </c>
      <c r="AB42" s="3">
        <f>IF(F8949ALBOXF&lt;&gt;"",F8949ALT,0)</f>
        <v>0</v>
      </c>
      <c r="AC42" s="3" cm="1">
        <f t="array" ref="AC42">IF(F8949BLBOXF&lt;&gt;"",F8949BLT,0)</f>
        <v>0</v>
      </c>
      <c r="AD42" s="3">
        <f>IF(F8949CLBOXF&lt;&gt;"",F8949CLT,0)</f>
        <v>0</v>
      </c>
      <c r="AE42" s="3">
        <f>IF(F8949DLBOXF&lt;&gt;"",F8949DLT,0)</f>
        <v>0</v>
      </c>
      <c r="AF42" s="3" t="b">
        <f>IF(SUM(AB42:AE42)&gt;0,TRUE,FALSE)</f>
        <v>0</v>
      </c>
      <c r="AH42" s="3">
        <f>IF(F8949ALBOXF&lt;&gt;"",F8949ALTD,0)</f>
        <v>0</v>
      </c>
      <c r="AI42" s="3" cm="1">
        <f t="array" ref="AI42">IF(F8949BLBOXF&lt;&gt;"",F8949BLTD,0)</f>
        <v>0</v>
      </c>
      <c r="AJ42" s="3">
        <f>IF(F8949CLBOXF&lt;&gt;"",F8949CLTD,0)</f>
        <v>0</v>
      </c>
      <c r="AK42" s="3">
        <f>IF(F8949DLBOXF&lt;&gt;"",F8949DLTD,0)</f>
        <v>0</v>
      </c>
      <c r="AM42" s="3">
        <f>IF(F8949ALBOXF&lt;&gt;"",F8949ALTE,0)</f>
        <v>0</v>
      </c>
      <c r="AN42" s="3" cm="1">
        <f t="array" ref="AN42">IF(F8949BLBOXF&lt;&gt;"",F8949BLTE,0)</f>
        <v>0</v>
      </c>
      <c r="AO42" s="3">
        <f>IF(F8949CLBOXF&lt;&gt;"",F8949CLTE,0)</f>
        <v>0</v>
      </c>
      <c r="AP42" s="3">
        <f>IF(F8949DLBOXF&lt;&gt;"",F8949DLTE,0)</f>
        <v>0</v>
      </c>
      <c r="AR42" s="3">
        <f>IF(F8949ALBOXF&lt;&gt;"",F8949ALTG,0)</f>
        <v>0</v>
      </c>
      <c r="AS42" s="3" cm="1">
        <f t="array" ref="AS42">IF(F8949BLBOXF&lt;&gt;"",F8949BLTG,0)</f>
        <v>0</v>
      </c>
      <c r="AT42" s="3">
        <f>IF(F8949CLBOXF&lt;&gt;"",F8949CLTG,0)</f>
        <v>0</v>
      </c>
      <c r="AU42" s="3">
        <f>IF(F8949DLBOXF&lt;&gt;"",F8949DLTG,0)</f>
        <v>0</v>
      </c>
      <c r="AW42" s="3">
        <f>IF(F8949ALBOXF&lt;&gt;"",F8949ALTH,0)</f>
        <v>0</v>
      </c>
      <c r="AX42" s="3" cm="1">
        <f t="array" ref="AX42">IF(F8949BLBOXF&lt;&gt;"",F8949BLTH,0)</f>
        <v>0</v>
      </c>
      <c r="AY42" s="3">
        <f>IF(F8949CLBOXF&lt;&gt;"",F8949CLTH,0)</f>
        <v>0</v>
      </c>
      <c r="AZ42" s="3">
        <f>IF(F8949DLBOXF&lt;&gt;"",F8949DLTH,0)</f>
        <v>0</v>
      </c>
    </row>
    <row r="43" spans="1:52" ht="12.75" customHeight="1">
      <c r="A43" s="5065"/>
      <c r="B43" s="5149"/>
      <c r="C43" s="759" t="s">
        <v>4963</v>
      </c>
      <c r="D43" s="1009"/>
      <c r="E43" s="1009"/>
      <c r="F43" s="1009"/>
      <c r="G43" s="1009"/>
      <c r="H43" s="1009"/>
      <c r="I43" s="1009"/>
      <c r="J43" s="1009"/>
      <c r="K43" s="1009"/>
      <c r="L43" s="1009"/>
      <c r="M43" s="1657" t="s">
        <v>872</v>
      </c>
      <c r="N43" s="2773">
        <f>B42</f>
        <v>11</v>
      </c>
      <c r="O43" s="8187"/>
      <c r="P43" s="8013"/>
      <c r="Q43" s="8270"/>
      <c r="R43" s="245"/>
      <c r="S43" s="290"/>
      <c r="T43" s="139"/>
      <c r="U43" s="139"/>
      <c r="V43" s="139"/>
      <c r="W43" s="139"/>
      <c r="X43" s="139"/>
      <c r="Y43" s="139"/>
    </row>
    <row r="44" spans="1:52" ht="13.5" customHeight="1">
      <c r="A44" s="5065"/>
      <c r="B44" s="2768">
        <v>12</v>
      </c>
      <c r="C44" s="3592" t="s">
        <v>6710</v>
      </c>
      <c r="D44" s="3627"/>
      <c r="E44" s="3627"/>
      <c r="F44" s="3627"/>
      <c r="G44" s="3627"/>
      <c r="H44" s="5140"/>
      <c r="I44" s="2755"/>
      <c r="J44" s="2755"/>
      <c r="K44" s="2755"/>
      <c r="L44" s="2768"/>
      <c r="M44" s="2768"/>
      <c r="N44" s="2773">
        <f>B44</f>
        <v>12</v>
      </c>
      <c r="O44" s="8187"/>
      <c r="P44" s="8013"/>
      <c r="Q44" s="8270"/>
      <c r="R44" s="246"/>
      <c r="S44" s="291"/>
      <c r="T44" s="139"/>
      <c r="U44" s="139"/>
      <c r="V44" s="8263" t="str">
        <f>IF(AND(T47&lt;&gt;"",T47&gt;0),"This positive amount is being used as a negative amount.","")</f>
        <v/>
      </c>
      <c r="W44" s="329"/>
      <c r="X44" s="329"/>
      <c r="Y44" s="329"/>
      <c r="AA44" s="688" t="s">
        <v>1982</v>
      </c>
      <c r="AB44" s="3">
        <f>IF(F8949ALBOXJ&lt;&gt;"",F8949ALT,0)</f>
        <v>0</v>
      </c>
      <c r="AC44" s="3" cm="1">
        <f t="array" ref="AC44">IF(F8949BLBOXJ&lt;&gt;"",F8949BLT,0)</f>
        <v>0</v>
      </c>
      <c r="AD44" s="3">
        <f>IF(F8949CLBOXJ&lt;&gt;"",F8949CLT,0)</f>
        <v>0</v>
      </c>
      <c r="AE44" s="3">
        <f>IF(F8949DLBOXJ&lt;&gt;"",F8949DLT,0)</f>
        <v>0</v>
      </c>
      <c r="AF44" s="3" t="b">
        <f>IF(SUM(AB44:AE44)&gt;0,TRUE,FALSE)</f>
        <v>0</v>
      </c>
      <c r="AH44" s="3">
        <f>IF(F8949ALBOXJ&lt;&gt;"",F8949ALTD,0)</f>
        <v>0</v>
      </c>
      <c r="AI44" s="3" cm="1">
        <f t="array" ref="AI44">IF(F8949BLBOXJ&lt;&gt;"",F8949BLTD,0)</f>
        <v>0</v>
      </c>
      <c r="AJ44" s="3">
        <f>IF(F8949CLBOXJ&lt;&gt;"",F8949CLTD,0)</f>
        <v>0</v>
      </c>
      <c r="AK44" s="3">
        <f>IF(F8949DLBOXJ&lt;&gt;"",F8949DLTD,0)</f>
        <v>0</v>
      </c>
      <c r="AM44" s="3">
        <f>IF(F8949ALBOXJ&lt;&gt;"",F8949ALTE,0)</f>
        <v>0</v>
      </c>
      <c r="AN44" s="3" cm="1">
        <f t="array" ref="AN44">IF(F8949BLBOXJ&lt;&gt;"",F8949BLTE,0)</f>
        <v>0</v>
      </c>
      <c r="AO44" s="3">
        <f>IF(F8949CLBOXJ&lt;&gt;"",F8949CLTE,0)</f>
        <v>0</v>
      </c>
      <c r="AP44" s="3">
        <f>IF(F8949DLBOXJ&lt;&gt;"",F8949DLTE,0)</f>
        <v>0</v>
      </c>
      <c r="AR44" s="3">
        <f>IF(F8949ALBOXJ&lt;&gt;"",F8949ALTG,0)</f>
        <v>0</v>
      </c>
      <c r="AS44" s="3" cm="1">
        <f t="array" ref="AS44">IF(F8949BLBOXJ&lt;&gt;"",F8949BLTG,0)</f>
        <v>0</v>
      </c>
      <c r="AT44" s="3">
        <f>IF(F8949CLBOXJ&lt;&gt;"",F8949CLTG,0)</f>
        <v>0</v>
      </c>
      <c r="AU44" s="3">
        <f>IF(F8949DLBOXJ&lt;&gt;"",F8949DLTG,0)</f>
        <v>0</v>
      </c>
      <c r="AW44" s="3">
        <f>IF(F8949ALBOXJ&lt;&gt;"",F8949ALTH,0)</f>
        <v>0</v>
      </c>
      <c r="AX44" s="3" cm="1">
        <f t="array" ref="AX44">IF(F8949BLBOXJ&lt;&gt;"",F8949BLTH,0)</f>
        <v>0</v>
      </c>
      <c r="AY44" s="3">
        <f>IF(F8949CLBOXJ&lt;&gt;"",F8949CLTH,0)</f>
        <v>0</v>
      </c>
      <c r="AZ44" s="3">
        <f>IF(F8949DLBOXJ&lt;&gt;"",F8949DLTH,0)</f>
        <v>0</v>
      </c>
    </row>
    <row r="45" spans="1:52" ht="12.75" customHeight="1">
      <c r="A45" s="5065"/>
      <c r="B45" s="3097">
        <v>13</v>
      </c>
      <c r="C45" s="3592" t="s">
        <v>2172</v>
      </c>
      <c r="D45" s="3097"/>
      <c r="E45" s="3097"/>
      <c r="F45" s="3592"/>
      <c r="G45" s="3592"/>
      <c r="H45" s="5140"/>
      <c r="I45" s="5140"/>
      <c r="J45" s="5140"/>
      <c r="K45" s="2755"/>
      <c r="L45" s="2768"/>
      <c r="M45" s="2768" t="s">
        <v>793</v>
      </c>
      <c r="N45" s="2773">
        <f>B45</f>
        <v>13</v>
      </c>
      <c r="O45" s="8198" t="str">
        <f>IF(T45&lt;&gt;"",ROUND(T45,0),IF('1099-DIV'!H95=0,"",'1099-DIV'!H95))</f>
        <v/>
      </c>
      <c r="P45" s="8199"/>
      <c r="Q45" s="8267"/>
      <c r="R45" s="5145"/>
      <c r="S45" s="5146"/>
      <c r="T45" s="803"/>
      <c r="U45" s="139"/>
      <c r="V45" s="8263"/>
      <c r="W45" s="329"/>
      <c r="X45" s="329"/>
      <c r="Y45" s="329"/>
      <c r="AA45" s="688"/>
    </row>
    <row r="46" spans="1:52" ht="13.5" customHeight="1">
      <c r="A46" s="5065"/>
      <c r="B46" s="2768">
        <v>14</v>
      </c>
      <c r="C46" s="3592" t="s">
        <v>6217</v>
      </c>
      <c r="D46" s="3627"/>
      <c r="E46" s="3627"/>
      <c r="F46" s="3627"/>
      <c r="G46" s="3627"/>
      <c r="H46" s="5140"/>
      <c r="I46" s="5140"/>
      <c r="J46" s="5140"/>
      <c r="K46" s="2755"/>
      <c r="L46" s="2756"/>
      <c r="M46" s="2756"/>
      <c r="N46" s="5142"/>
      <c r="O46" s="5163"/>
      <c r="P46" s="5164">
        <f>IF(P47="",0,-P47)</f>
        <v>0</v>
      </c>
      <c r="Q46" s="193"/>
      <c r="R46" s="5145"/>
      <c r="S46" s="5146"/>
      <c r="T46" s="5153"/>
      <c r="U46" s="139"/>
      <c r="V46" s="8263"/>
      <c r="W46" s="329"/>
      <c r="X46" s="329"/>
      <c r="Y46" s="329"/>
      <c r="AA46" s="688" t="s">
        <v>5913</v>
      </c>
      <c r="AB46" s="3">
        <f>IF(F8949ALBOXK&lt;&gt;"",F8949ALT,0)</f>
        <v>0</v>
      </c>
      <c r="AC46" s="3" cm="1">
        <f t="array" ref="AC46">IF(F8949BLBOXK&lt;&gt;"",F8949BLT,0)</f>
        <v>0</v>
      </c>
      <c r="AD46" s="3">
        <f>IF(F8949CLBOXK&lt;&gt;"",F8949CLT,0)</f>
        <v>0</v>
      </c>
      <c r="AE46" s="3">
        <f>IF(F8949DLBOXK&lt;&gt;"",F8949DLT,0)</f>
        <v>0</v>
      </c>
      <c r="AF46" s="3" t="b">
        <f>IF(SUM(AB46:AE46)&gt;0,TRUE,FALSE)</f>
        <v>0</v>
      </c>
      <c r="AH46" s="3">
        <f>IF(F8949ALBOXK&lt;&gt;"",F8949ALTD,0)</f>
        <v>0</v>
      </c>
      <c r="AI46" s="3" cm="1">
        <f t="array" ref="AI46">IF(F8949BLBOXK&lt;&gt;"",F8949BLTD,0)</f>
        <v>0</v>
      </c>
      <c r="AJ46" s="3">
        <f>IF(F8949CLBOXK&lt;&gt;"",F8949CLTD,0)</f>
        <v>0</v>
      </c>
      <c r="AK46" s="3">
        <f>IF(F8949DLBOXK&lt;&gt;"",F8949DLTD,0)</f>
        <v>0</v>
      </c>
      <c r="AM46" s="3">
        <f>IF(F8949ALBOXK&lt;&gt;"",F8949ALTE,0)</f>
        <v>0</v>
      </c>
      <c r="AN46" s="3" cm="1">
        <f t="array" ref="AN46">IF(F8949BLBOXK&lt;&gt;"",F8949BLTE,0)</f>
        <v>0</v>
      </c>
      <c r="AO46" s="3">
        <f>IF(F8949CLBOXK&lt;&gt;"",F8949CLTE,0)</f>
        <v>0</v>
      </c>
      <c r="AP46" s="3">
        <f>IF(F8949DLBOXK&lt;&gt;"",F8949DLTE,0)</f>
        <v>0</v>
      </c>
      <c r="AR46" s="3">
        <f>IF(F8949ALBOXK&lt;&gt;"",F8949ALTG,0)</f>
        <v>0</v>
      </c>
      <c r="AS46" s="3" cm="1">
        <f t="array" ref="AS46">IF(F8949BLBOXK&lt;&gt;"",F8949BLTG,0)</f>
        <v>0</v>
      </c>
      <c r="AT46" s="3">
        <f>IF(F8949CLBOXK&lt;&gt;"",F8949CLTG,0)</f>
        <v>0</v>
      </c>
      <c r="AU46" s="3">
        <f>IF(F8949DLBOXK&lt;&gt;"",F8949DLTG,0)</f>
        <v>0</v>
      </c>
      <c r="AW46" s="3">
        <f>IF(F8949ALBOXK&lt;&gt;"",F8949ALTH,0)</f>
        <v>0</v>
      </c>
      <c r="AX46" s="3" cm="1">
        <f t="array" ref="AX46">IF(F8949BLBOXK&lt;&gt;"",F8949BLTH,0)</f>
        <v>0</v>
      </c>
      <c r="AY46" s="3">
        <f>IF(F8949CLBOXK&lt;&gt;"",F8949CLTH,0)</f>
        <v>0</v>
      </c>
      <c r="AZ46" s="3">
        <f>IF(F8949DLBOXK&lt;&gt;"",F8949DLTH,0)</f>
        <v>0</v>
      </c>
    </row>
    <row r="47" spans="1:52">
      <c r="A47" s="5065"/>
      <c r="B47" s="3097"/>
      <c r="C47" s="3097" t="s">
        <v>6210</v>
      </c>
      <c r="D47" s="3097"/>
      <c r="E47" s="3097"/>
      <c r="F47" s="3592"/>
      <c r="G47" s="3592"/>
      <c r="H47" s="5140"/>
      <c r="I47" s="5140"/>
      <c r="J47" s="5140"/>
      <c r="K47" s="2755"/>
      <c r="L47" s="2768"/>
      <c r="M47" s="2768" t="s">
        <v>887</v>
      </c>
      <c r="N47" s="2773">
        <f>B46</f>
        <v>14</v>
      </c>
      <c r="O47" s="5147" t="s">
        <v>799</v>
      </c>
      <c r="P47" s="2943" t="str">
        <f>IF(AND(T47&lt;&gt;"",T47&gt;=0),ROUND(T47,0),IF(T47&lt;&gt;0,-ROUND(T47,0),IF('Sch. D WS'!R33="","",'Sch. D WS'!R33)))</f>
        <v/>
      </c>
      <c r="Q47" s="5148" t="s">
        <v>800</v>
      </c>
      <c r="R47" s="5145"/>
      <c r="S47" s="5146"/>
      <c r="T47" s="803"/>
      <c r="U47" s="139"/>
      <c r="V47" s="8263"/>
      <c r="W47" s="329"/>
      <c r="X47" s="329"/>
      <c r="Y47" s="329"/>
      <c r="AA47" s="688"/>
    </row>
    <row r="48" spans="1:52" ht="13.5" customHeight="1">
      <c r="A48" s="5065"/>
      <c r="B48" s="5149">
        <v>15</v>
      </c>
      <c r="C48" s="5150" t="s">
        <v>6207</v>
      </c>
      <c r="D48" s="979"/>
      <c r="E48" s="979"/>
      <c r="F48" s="979"/>
      <c r="G48" s="979"/>
      <c r="H48" s="979"/>
      <c r="I48" s="979"/>
      <c r="J48" s="979"/>
      <c r="K48" s="979"/>
      <c r="L48" s="979"/>
      <c r="M48" s="567"/>
      <c r="N48" s="2996"/>
      <c r="O48" s="8273"/>
      <c r="P48" s="8274"/>
      <c r="Q48" s="193"/>
      <c r="R48" s="5151"/>
      <c r="S48" s="5152"/>
      <c r="T48" s="5153"/>
      <c r="U48" s="139"/>
      <c r="V48" s="329"/>
      <c r="W48" s="329"/>
      <c r="X48" s="329"/>
      <c r="Y48" s="329"/>
      <c r="AA48" s="688" t="s">
        <v>5914</v>
      </c>
      <c r="AB48" s="3">
        <f>IF(F8949ALBOXL&lt;&gt;"",F8949ALT,0)</f>
        <v>0</v>
      </c>
      <c r="AC48" s="3" cm="1">
        <f t="array" ref="AC48">IF(F8949BLBOXL&lt;&gt;"",F8949BLT,0)</f>
        <v>0</v>
      </c>
      <c r="AD48" s="3">
        <f>IF(F8949CBOXL&lt;&gt;"",F8949CLT,0)</f>
        <v>0</v>
      </c>
      <c r="AE48" s="3">
        <f>IF(F8949DLBOXL&lt;&gt;"",F8949DLT,0)</f>
        <v>0</v>
      </c>
      <c r="AF48" s="3" t="b">
        <f>IF(SUM(AB48:AE48)&gt;0,TRUE,FALSE)</f>
        <v>0</v>
      </c>
      <c r="AH48" s="3">
        <f>IF(F8949ALBOXL&lt;&gt;"",F8949ALTD,0)</f>
        <v>0</v>
      </c>
      <c r="AI48" s="3" cm="1">
        <f t="array" ref="AI48">IF(F8949BLBOXL&lt;&gt;"",F8949BLTD,0)</f>
        <v>0</v>
      </c>
      <c r="AJ48" s="3">
        <f>IF(F8949CLBOXL&lt;&gt;"",F8949CLTD,0)</f>
        <v>0</v>
      </c>
      <c r="AK48" s="3" cm="1">
        <f t="array" ref="AK48">IF(F8949DLBOXL&lt;&gt;"",F8949DLTD,0)</f>
        <v>0</v>
      </c>
      <c r="AM48" s="3">
        <f>IF(F8949ALBOXL&lt;&gt;"",F8949ALTE,0)</f>
        <v>0</v>
      </c>
      <c r="AN48" s="3" cm="1">
        <f t="array" ref="AN48">IF(F8949BLBOXL&lt;&gt;"",F8949BLTE,0)</f>
        <v>0</v>
      </c>
      <c r="AO48" s="3">
        <f>IF(F8949CLBOXL&lt;&gt;"",F8949CLTE,0)</f>
        <v>0</v>
      </c>
      <c r="AP48" s="3">
        <f>IF(F8949DLBOXL&lt;&gt;"",F8949DLTE,0)</f>
        <v>0</v>
      </c>
      <c r="AR48" s="3">
        <f>IF(F8949ALBOXL&lt;&gt;"",F8949ALTG,0)</f>
        <v>0</v>
      </c>
      <c r="AS48" s="3" cm="1">
        <f t="array" ref="AS48">IF(F8949BLBOXL&lt;&gt;"",F8949BLTG,0)</f>
        <v>0</v>
      </c>
      <c r="AT48" s="3">
        <f>IF(F8949CLBOXL&lt;&gt;"",F8949CLTG,0)</f>
        <v>0</v>
      </c>
      <c r="AU48" s="3">
        <f>IF(F8949DLBOXL&lt;&gt;"",F8949DLTG,0)</f>
        <v>0</v>
      </c>
      <c r="AW48" s="3">
        <f>IF(F8949ALBOXL&lt;&gt;"",F8949ALTH,0)</f>
        <v>0</v>
      </c>
      <c r="AX48" s="3" cm="1">
        <f t="array" ref="AX48">IF(F8949BLBOXL&lt;&gt;"",F8949BLTH,0)</f>
        <v>0</v>
      </c>
      <c r="AY48" s="3">
        <f>IF(F8949CLBOXL&lt;&gt;"",F8949CLTH,0)</f>
        <v>0</v>
      </c>
      <c r="AZ48" s="3">
        <f>IF(F8949DLBOXL&lt;&gt;"",F8949DLTH,0)</f>
        <v>0</v>
      </c>
    </row>
    <row r="49" spans="1:63" ht="12.75" customHeight="1" thickBot="1">
      <c r="A49" s="5065"/>
      <c r="B49" s="5154"/>
      <c r="C49" s="981" t="s">
        <v>6206</v>
      </c>
      <c r="D49" s="981"/>
      <c r="E49" s="981"/>
      <c r="F49" s="981"/>
      <c r="G49" s="981"/>
      <c r="H49" s="981"/>
      <c r="I49" s="981"/>
      <c r="J49" s="981"/>
      <c r="K49" s="981"/>
      <c r="L49" s="981"/>
      <c r="M49" s="1658" t="s">
        <v>2657</v>
      </c>
      <c r="N49" s="3742">
        <f>B48</f>
        <v>15</v>
      </c>
      <c r="O49" s="8146" t="str">
        <f>IF(T49&lt;&gt;"",ROUND(T49,0),IF(AND(O35="",O37="",O39="",O41="",O43="",O44="",O45="",OR(P46=0,P46="")),"",SUM(O35,O37,O39,O41,O43,O44,O45,P46)))</f>
        <v/>
      </c>
      <c r="P49" s="8268"/>
      <c r="Q49" s="8269"/>
      <c r="R49" s="5151"/>
      <c r="S49" s="5152"/>
      <c r="T49" s="803"/>
      <c r="U49" s="139"/>
      <c r="V49" s="329"/>
      <c r="W49" s="329"/>
      <c r="X49" s="329"/>
      <c r="Y49" s="329"/>
    </row>
    <row r="50" spans="1:63" ht="12.75" customHeight="1">
      <c r="A50" s="5065"/>
      <c r="B50" s="3071" t="s">
        <v>865</v>
      </c>
      <c r="C50" s="2754"/>
      <c r="D50" s="3071"/>
      <c r="E50" s="3071"/>
      <c r="F50" s="3071"/>
      <c r="G50" s="3071"/>
      <c r="H50" s="3071"/>
      <c r="I50" s="3071"/>
      <c r="J50" s="3071"/>
      <c r="K50" s="2772" t="s">
        <v>2173</v>
      </c>
      <c r="L50" s="2772"/>
      <c r="M50" s="3072"/>
      <c r="N50" s="3072"/>
      <c r="O50" s="3072"/>
      <c r="P50" s="3300"/>
      <c r="Q50" s="3300" t="str">
        <f>"Schedule D (Form 1040)   "&amp;TaxYear</f>
        <v>Schedule D (Form 1040)   2025</v>
      </c>
      <c r="R50" s="5165"/>
      <c r="S50" s="5166"/>
      <c r="T50" s="139"/>
      <c r="U50" s="139"/>
      <c r="V50" s="1201"/>
      <c r="W50" s="1201"/>
      <c r="X50" s="1201"/>
      <c r="Y50" s="1201"/>
    </row>
    <row r="51" spans="1:63" ht="12" customHeight="1">
      <c r="A51" s="5065"/>
      <c r="B51" s="2754"/>
      <c r="C51" s="2754"/>
      <c r="D51" s="3071"/>
      <c r="E51" s="3071"/>
      <c r="F51" s="3071"/>
      <c r="G51" s="3071"/>
      <c r="H51" s="3071"/>
      <c r="I51" s="3071"/>
      <c r="J51" s="3071"/>
      <c r="K51" s="3073"/>
      <c r="L51" s="3073"/>
      <c r="M51" s="3072"/>
      <c r="N51" s="3072"/>
      <c r="O51" s="3072"/>
      <c r="P51" s="2075"/>
      <c r="Q51" s="2075"/>
      <c r="R51" s="5167"/>
      <c r="S51" s="5168"/>
      <c r="T51" s="139"/>
      <c r="U51" s="139"/>
      <c r="V51" s="1201"/>
      <c r="W51" s="1201"/>
      <c r="X51" s="1201"/>
      <c r="Y51" s="1201"/>
      <c r="AB51" s="1201"/>
      <c r="AC51" s="1201"/>
      <c r="AD51" s="1201"/>
      <c r="AE51" s="1201"/>
      <c r="AH51" s="1201"/>
      <c r="AI51" s="1201"/>
      <c r="AJ51" s="1201"/>
      <c r="AK51" s="1201"/>
      <c r="AM51" s="1201"/>
      <c r="AN51" s="1201"/>
      <c r="AO51" s="1201"/>
      <c r="AP51" s="1201"/>
      <c r="AR51" s="1201"/>
      <c r="AS51" s="1201"/>
      <c r="AT51" s="1201"/>
      <c r="AU51" s="1201"/>
      <c r="AW51" s="1201"/>
      <c r="AX51" s="1201"/>
      <c r="AY51" s="1201"/>
      <c r="AZ51" s="1201"/>
    </row>
    <row r="52" spans="1:63" ht="13.5" customHeight="1" thickBot="1">
      <c r="A52" s="5065"/>
      <c r="B52" s="2753" t="str">
        <f>"Schedule D ( Form 1040)  "&amp;TaxYear</f>
        <v>Schedule D ( Form 1040)  2025</v>
      </c>
      <c r="C52" s="2753"/>
      <c r="D52" s="3071"/>
      <c r="E52" s="3071"/>
      <c r="F52" s="3071"/>
      <c r="G52" s="3071"/>
      <c r="H52" s="3071"/>
      <c r="I52" s="3071"/>
      <c r="J52" s="3071"/>
      <c r="K52" s="3072"/>
      <c r="L52" s="3072"/>
      <c r="M52" s="3072"/>
      <c r="N52" s="3072"/>
      <c r="O52" s="3072"/>
      <c r="P52" s="5169"/>
      <c r="Q52" s="3079" t="s">
        <v>2174</v>
      </c>
      <c r="R52" s="5165"/>
      <c r="S52" s="5166"/>
      <c r="T52" s="139"/>
      <c r="U52" s="139"/>
      <c r="V52" s="1201"/>
      <c r="W52" s="1201"/>
      <c r="X52" s="1201"/>
      <c r="Y52" s="1201"/>
      <c r="AB52" s="1201"/>
      <c r="AC52" s="1201"/>
      <c r="AD52" s="1201"/>
      <c r="AE52" s="1201"/>
      <c r="AH52" s="1201"/>
      <c r="AI52" s="1201"/>
      <c r="AJ52" s="1201"/>
      <c r="AK52" s="1201"/>
      <c r="AM52" s="1201"/>
      <c r="AN52" s="1201"/>
      <c r="AO52" s="1201"/>
      <c r="AP52" s="1201"/>
      <c r="AR52" s="1201"/>
      <c r="AS52" s="1201"/>
      <c r="AT52" s="1201"/>
      <c r="AU52" s="1201"/>
      <c r="AW52" s="1201"/>
      <c r="AX52" s="1201"/>
      <c r="AY52" s="1201"/>
      <c r="AZ52" s="1201"/>
    </row>
    <row r="53" spans="1:63" ht="6" customHeight="1">
      <c r="A53" s="5065"/>
      <c r="B53" s="3084"/>
      <c r="C53" s="3084"/>
      <c r="D53" s="2828"/>
      <c r="E53" s="2828"/>
      <c r="F53" s="2828"/>
      <c r="G53" s="2828"/>
      <c r="H53" s="2828"/>
      <c r="I53" s="2828"/>
      <c r="J53" s="2828"/>
      <c r="K53" s="2829"/>
      <c r="L53" s="2829"/>
      <c r="M53" s="2829"/>
      <c r="N53" s="2829"/>
      <c r="O53" s="2829"/>
      <c r="P53" s="2832"/>
      <c r="Q53" s="2832"/>
      <c r="R53" s="5167"/>
      <c r="S53" s="5168"/>
      <c r="T53" s="139"/>
      <c r="U53" s="139"/>
      <c r="V53" s="1201"/>
      <c r="W53" s="1201"/>
      <c r="X53" s="1201"/>
      <c r="Y53" s="1201"/>
      <c r="AB53" s="1201"/>
      <c r="AC53" s="1201"/>
      <c r="AD53" s="1201"/>
      <c r="AE53" s="1201"/>
      <c r="AH53" s="1201"/>
      <c r="AI53" s="1201"/>
      <c r="AJ53" s="1201"/>
      <c r="AK53" s="1201"/>
      <c r="AM53" s="1201"/>
      <c r="AN53" s="1201"/>
      <c r="AO53" s="1201"/>
      <c r="AP53" s="1201"/>
      <c r="AR53" s="1201"/>
      <c r="AS53" s="1201"/>
      <c r="AT53" s="1201"/>
      <c r="AU53" s="1201"/>
      <c r="AW53" s="1201"/>
      <c r="AX53" s="1201"/>
      <c r="AY53" s="1201"/>
      <c r="AZ53" s="1201"/>
    </row>
    <row r="54" spans="1:63" ht="15.75" customHeight="1">
      <c r="A54" s="5065"/>
      <c r="B54" s="8283" t="s">
        <v>2175</v>
      </c>
      <c r="C54" s="8283"/>
      <c r="D54" s="8093"/>
      <c r="E54" s="5067" t="s">
        <v>2176</v>
      </c>
      <c r="F54" s="5170"/>
      <c r="G54" s="5170"/>
      <c r="H54" s="3686"/>
      <c r="I54" s="3686"/>
      <c r="J54" s="3686"/>
      <c r="K54" s="5171"/>
      <c r="L54" s="5171"/>
      <c r="M54" s="5170"/>
      <c r="N54" s="5171"/>
      <c r="O54" s="5171"/>
      <c r="P54" s="5171"/>
      <c r="Q54" s="5171"/>
      <c r="R54" s="5165"/>
      <c r="S54" s="5166"/>
      <c r="T54" s="139"/>
      <c r="U54" s="139"/>
      <c r="V54" s="4766"/>
      <c r="W54" s="4766"/>
      <c r="X54" s="4766"/>
      <c r="Y54" s="4766"/>
      <c r="AB54" s="1201"/>
      <c r="AC54" s="1201"/>
      <c r="AD54" s="1201"/>
      <c r="AE54" s="1201"/>
      <c r="AH54" s="1201"/>
      <c r="AI54" s="1201"/>
      <c r="AJ54" s="1201"/>
      <c r="AK54" s="1201"/>
      <c r="AM54" s="1201"/>
      <c r="AN54" s="1201"/>
      <c r="AO54" s="1201"/>
      <c r="AP54" s="1201"/>
      <c r="AR54" s="1201"/>
      <c r="AS54" s="1201"/>
      <c r="AT54" s="1201"/>
      <c r="AU54" s="1201"/>
      <c r="AW54" s="1201"/>
      <c r="AX54" s="1201"/>
      <c r="AY54" s="1201"/>
      <c r="AZ54" s="1201"/>
    </row>
    <row r="55" spans="1:63" s="141" customFormat="1" ht="6" customHeight="1">
      <c r="A55" s="5065"/>
      <c r="B55" s="5101"/>
      <c r="C55" s="5101"/>
      <c r="D55" s="5172"/>
      <c r="E55" s="5172"/>
      <c r="F55" s="5172"/>
      <c r="G55" s="5172"/>
      <c r="H55" s="5172"/>
      <c r="I55" s="5172"/>
      <c r="J55" s="5172"/>
      <c r="K55" s="5173"/>
      <c r="L55" s="5173"/>
      <c r="M55" s="5174"/>
      <c r="N55" s="5174"/>
      <c r="O55" s="5174"/>
      <c r="P55" s="5175"/>
      <c r="Q55" s="5175"/>
      <c r="R55" s="5167"/>
      <c r="S55" s="5168"/>
      <c r="T55" s="139"/>
      <c r="U55" s="139"/>
      <c r="V55" s="1201"/>
      <c r="W55" s="1201"/>
      <c r="X55" s="1201"/>
      <c r="Y55" s="1201"/>
      <c r="AB55" s="302"/>
      <c r="AC55" s="302"/>
      <c r="AD55" s="302"/>
      <c r="AE55" s="302"/>
      <c r="AF55" s="302"/>
      <c r="AH55" s="302"/>
      <c r="AI55" s="302"/>
      <c r="AJ55" s="302"/>
      <c r="AK55" s="302"/>
      <c r="AM55" s="302"/>
      <c r="AN55" s="302"/>
      <c r="AO55" s="302"/>
      <c r="AP55" s="302"/>
      <c r="AR55" s="302"/>
      <c r="AS55" s="302"/>
      <c r="AT55" s="302"/>
      <c r="AU55" s="302"/>
      <c r="AW55" s="302"/>
      <c r="AX55" s="302"/>
      <c r="AY55" s="302"/>
      <c r="AZ55" s="302"/>
      <c r="BB55" s="665"/>
      <c r="BC55" s="665"/>
      <c r="BD55" s="665"/>
      <c r="BE55" s="665"/>
      <c r="BF55" s="665"/>
      <c r="BG55" s="665"/>
      <c r="BH55" s="665"/>
      <c r="BI55" s="665"/>
      <c r="BJ55" s="665"/>
      <c r="BK55" s="665"/>
    </row>
    <row r="56" spans="1:63" ht="7.5" customHeight="1">
      <c r="A56" s="5065"/>
      <c r="B56" s="2984"/>
      <c r="C56" s="3592"/>
      <c r="D56" s="3626"/>
      <c r="E56" s="3626"/>
      <c r="F56" s="3592"/>
      <c r="G56" s="3592"/>
      <c r="H56" s="5140"/>
      <c r="I56" s="2755"/>
      <c r="J56" s="2755"/>
      <c r="K56" s="2755"/>
      <c r="L56" s="2768"/>
      <c r="M56" s="2768"/>
      <c r="N56" s="5162"/>
      <c r="O56" s="8284" t="b">
        <f>SchDLine16&lt;&gt;""</f>
        <v>0</v>
      </c>
      <c r="P56" s="8285"/>
      <c r="Q56" s="5176"/>
      <c r="R56" s="5167"/>
      <c r="S56" s="5168"/>
      <c r="T56" s="139"/>
      <c r="U56" s="139"/>
      <c r="V56" s="329"/>
      <c r="W56" s="329"/>
      <c r="X56" s="329"/>
      <c r="Y56" s="329"/>
      <c r="AB56" s="1201"/>
      <c r="AC56" s="1201"/>
      <c r="AD56" s="1201"/>
      <c r="AE56" s="1201"/>
      <c r="AH56" s="1201"/>
      <c r="AI56" s="1201"/>
      <c r="AJ56" s="1201"/>
      <c r="AK56" s="1201"/>
      <c r="AM56" s="1201"/>
      <c r="AN56" s="1201"/>
      <c r="AO56" s="1201"/>
      <c r="AP56" s="1201"/>
      <c r="AR56" s="1201"/>
      <c r="AS56" s="1201"/>
      <c r="AT56" s="1201"/>
      <c r="AU56" s="1201"/>
      <c r="AW56" s="1201"/>
      <c r="AX56" s="1201"/>
      <c r="AY56" s="1201"/>
      <c r="AZ56" s="1201"/>
    </row>
    <row r="57" spans="1:63" ht="12.75" customHeight="1">
      <c r="A57" s="5065"/>
      <c r="B57" s="2984">
        <v>16</v>
      </c>
      <c r="C57" s="3098" t="s">
        <v>2177</v>
      </c>
      <c r="D57" s="3626"/>
      <c r="E57" s="3626"/>
      <c r="F57" s="3592"/>
      <c r="G57" s="3592"/>
      <c r="H57" s="5140"/>
      <c r="I57" s="2755"/>
      <c r="J57" s="2755"/>
      <c r="K57" s="2755"/>
      <c r="L57" s="2768"/>
      <c r="M57" s="2768" t="s">
        <v>2178</v>
      </c>
      <c r="N57" s="3039">
        <f>B57</f>
        <v>16</v>
      </c>
      <c r="O57" s="8198" t="str">
        <f>IF(T57&lt;&gt;"",ROUND(T57,0),IF(AND(O29="",O49=""),"",SUM(O29,O49)))</f>
        <v/>
      </c>
      <c r="P57" s="8271"/>
      <c r="Q57" s="8272"/>
      <c r="R57" s="5167"/>
      <c r="S57" s="5168"/>
      <c r="T57" s="803"/>
      <c r="U57" s="139"/>
      <c r="V57" s="329"/>
      <c r="W57" s="329"/>
      <c r="X57" s="329"/>
      <c r="Y57" s="329"/>
    </row>
    <row r="58" spans="1:63" ht="6" customHeight="1">
      <c r="A58" s="5065"/>
      <c r="B58" s="2984"/>
      <c r="C58" s="3592"/>
      <c r="D58" s="3626"/>
      <c r="E58" s="3626"/>
      <c r="F58" s="3592"/>
      <c r="G58" s="3592"/>
      <c r="H58" s="5140"/>
      <c r="I58" s="2755"/>
      <c r="J58" s="2755"/>
      <c r="K58" s="2755"/>
      <c r="L58" s="2768"/>
      <c r="M58" s="2768"/>
      <c r="N58" s="5177"/>
      <c r="O58" s="5178"/>
      <c r="P58" s="5179"/>
      <c r="Q58" s="5179"/>
      <c r="R58" s="5167"/>
      <c r="S58" s="5168"/>
      <c r="T58" s="139"/>
      <c r="U58" s="139"/>
      <c r="V58" s="329"/>
      <c r="W58" s="329"/>
      <c r="X58" s="329"/>
      <c r="Y58" s="329"/>
    </row>
    <row r="59" spans="1:63">
      <c r="A59" s="5180" t="b">
        <f>AND(SchDLine16&lt;&gt;"",SchDLine16&gt;0)</f>
        <v>0</v>
      </c>
      <c r="B59" s="6281" t="s">
        <v>830</v>
      </c>
      <c r="C59" s="2769" t="s">
        <v>6218</v>
      </c>
      <c r="D59" s="2770"/>
      <c r="E59" s="3097"/>
      <c r="F59" s="3097"/>
      <c r="G59" s="3097"/>
      <c r="H59" s="3097"/>
      <c r="I59" s="3097"/>
      <c r="J59" s="3097"/>
      <c r="K59" s="3624"/>
      <c r="L59" s="3624"/>
      <c r="M59" s="5181"/>
      <c r="N59" s="5177"/>
      <c r="O59" s="5178"/>
      <c r="P59" s="5179"/>
      <c r="Q59" s="5179"/>
      <c r="R59" s="5165"/>
      <c r="S59" s="5166"/>
      <c r="T59" s="139"/>
      <c r="U59" s="139"/>
      <c r="V59" s="1"/>
      <c r="W59" s="1"/>
      <c r="X59" s="1"/>
      <c r="Y59" s="1"/>
    </row>
    <row r="60" spans="1:63" s="80" customFormat="1" ht="13.5" customHeight="1">
      <c r="A60" s="2510"/>
      <c r="B60" s="5182"/>
      <c r="C60" s="3214" t="s">
        <v>2179</v>
      </c>
      <c r="D60" s="2770"/>
      <c r="E60" s="3097"/>
      <c r="F60" s="3097"/>
      <c r="G60" s="3097"/>
      <c r="H60" s="3097"/>
      <c r="I60" s="3097"/>
      <c r="J60" s="3097"/>
      <c r="K60" s="3624"/>
      <c r="L60" s="3624"/>
      <c r="M60" s="5181"/>
      <c r="N60" s="5177"/>
      <c r="O60" s="5178"/>
      <c r="P60" s="5179"/>
      <c r="Q60" s="5179"/>
      <c r="R60" s="5165"/>
      <c r="S60" s="5166"/>
      <c r="T60" s="139"/>
      <c r="U60" s="139"/>
      <c r="V60" s="1"/>
      <c r="W60" s="1"/>
      <c r="X60" s="1"/>
      <c r="Y60" s="1"/>
      <c r="Z60" s="329"/>
      <c r="AA60" s="329"/>
      <c r="AB60" s="1201"/>
      <c r="AC60" s="1201"/>
      <c r="AD60" s="1201"/>
      <c r="AE60" s="1201"/>
      <c r="AF60" s="3"/>
      <c r="AG60" s="329"/>
      <c r="AH60" s="1201"/>
      <c r="AI60" s="1201"/>
      <c r="AJ60" s="1201"/>
      <c r="AK60" s="1201"/>
      <c r="AL60" s="329"/>
      <c r="AM60" s="1201"/>
      <c r="AN60" s="1201"/>
      <c r="AO60" s="1201"/>
      <c r="AP60" s="1201"/>
      <c r="AQ60" s="329"/>
      <c r="AR60" s="1201"/>
      <c r="AS60" s="1201"/>
      <c r="AT60" s="1201"/>
      <c r="AU60" s="1201"/>
      <c r="AV60" s="329"/>
      <c r="AW60" s="1201"/>
      <c r="AX60" s="1201"/>
      <c r="AY60" s="1201"/>
      <c r="AZ60" s="1201"/>
      <c r="BA60" s="329"/>
      <c r="BB60" s="664"/>
      <c r="BC60" s="664"/>
      <c r="BD60" s="664"/>
      <c r="BE60" s="664"/>
      <c r="BF60" s="664"/>
      <c r="BG60" s="664"/>
      <c r="BH60" s="664"/>
      <c r="BI60" s="664"/>
      <c r="BJ60" s="664"/>
      <c r="BK60" s="664"/>
    </row>
    <row r="61" spans="1:63" s="80" customFormat="1" ht="11.25" customHeight="1">
      <c r="A61" s="5180" t="b">
        <f>AND(SchDLine16&lt;&gt;"",SchDLine16&lt;0)</f>
        <v>0</v>
      </c>
      <c r="B61" s="6281" t="s">
        <v>830</v>
      </c>
      <c r="C61" s="2769" t="s">
        <v>6215</v>
      </c>
      <c r="D61" s="2770"/>
      <c r="E61" s="3097"/>
      <c r="F61" s="3097"/>
      <c r="G61" s="3097"/>
      <c r="H61" s="3097"/>
      <c r="I61" s="3097"/>
      <c r="J61" s="3097"/>
      <c r="K61" s="3624"/>
      <c r="L61" s="3624"/>
      <c r="M61" s="5181"/>
      <c r="N61" s="5177"/>
      <c r="O61" s="5178"/>
      <c r="P61" s="5179"/>
      <c r="Q61" s="5179"/>
      <c r="R61" s="5165"/>
      <c r="S61" s="5166"/>
      <c r="T61" s="139"/>
      <c r="U61" s="139"/>
      <c r="V61" s="1"/>
      <c r="W61" s="1"/>
      <c r="X61" s="1"/>
      <c r="Y61" s="1"/>
      <c r="Z61" s="329"/>
      <c r="AA61" s="329"/>
      <c r="AB61" s="1201"/>
      <c r="AC61" s="1201"/>
      <c r="AD61" s="1201"/>
      <c r="AE61" s="1201"/>
      <c r="AF61" s="3"/>
      <c r="AG61" s="329"/>
      <c r="AH61" s="1201"/>
      <c r="AI61" s="1201"/>
      <c r="AJ61" s="1201"/>
      <c r="AK61" s="1201"/>
      <c r="AL61" s="329"/>
      <c r="AM61" s="1201"/>
      <c r="AN61" s="1201"/>
      <c r="AO61" s="1201"/>
      <c r="AP61" s="1201"/>
      <c r="AQ61" s="329"/>
      <c r="AR61" s="1201"/>
      <c r="AS61" s="1201"/>
      <c r="AT61" s="1201"/>
      <c r="AU61" s="1201"/>
      <c r="AV61" s="329"/>
      <c r="AW61" s="1201"/>
      <c r="AX61" s="1201"/>
      <c r="AY61" s="1201"/>
      <c r="AZ61" s="1201"/>
      <c r="BA61" s="329"/>
      <c r="BB61" s="664"/>
      <c r="BC61" s="664"/>
      <c r="BD61" s="664"/>
      <c r="BE61" s="664"/>
      <c r="BF61" s="664"/>
      <c r="BG61" s="664"/>
      <c r="BH61" s="664"/>
      <c r="BI61" s="664"/>
      <c r="BJ61" s="664"/>
      <c r="BK61" s="664"/>
    </row>
    <row r="62" spans="1:63" s="80" customFormat="1" ht="15" customHeight="1">
      <c r="A62" s="2510"/>
      <c r="B62" s="5182"/>
      <c r="C62" s="3214" t="s">
        <v>2180</v>
      </c>
      <c r="D62" s="2770"/>
      <c r="E62" s="3097"/>
      <c r="F62" s="3097"/>
      <c r="G62" s="3097"/>
      <c r="H62" s="3097"/>
      <c r="I62" s="3097"/>
      <c r="J62" s="3097"/>
      <c r="K62" s="3624"/>
      <c r="L62" s="3624"/>
      <c r="M62" s="5181"/>
      <c r="N62" s="5177"/>
      <c r="O62" s="5178"/>
      <c r="P62" s="5179"/>
      <c r="Q62" s="5179"/>
      <c r="R62" s="5165"/>
      <c r="S62" s="5166"/>
      <c r="T62" s="139"/>
      <c r="U62" s="139"/>
      <c r="V62" s="1"/>
      <c r="W62" s="1"/>
      <c r="X62" s="1"/>
      <c r="Y62" s="1"/>
      <c r="Z62" s="329"/>
      <c r="AA62" s="329"/>
      <c r="AB62" s="1201"/>
      <c r="AC62" s="1201"/>
      <c r="AD62" s="1201"/>
      <c r="AE62" s="1201"/>
      <c r="AF62" s="3"/>
      <c r="AG62" s="329"/>
      <c r="AH62" s="1201"/>
      <c r="AI62" s="1201"/>
      <c r="AJ62" s="1201"/>
      <c r="AK62" s="1201"/>
      <c r="AL62" s="329"/>
      <c r="AM62" s="1201"/>
      <c r="AN62" s="1201"/>
      <c r="AO62" s="1201"/>
      <c r="AP62" s="1201"/>
      <c r="AQ62" s="329"/>
      <c r="AR62" s="1201"/>
      <c r="AS62" s="1201"/>
      <c r="AT62" s="1201"/>
      <c r="AU62" s="1201"/>
      <c r="AV62" s="329"/>
      <c r="AW62" s="1201"/>
      <c r="AX62" s="1201"/>
      <c r="AY62" s="1201"/>
      <c r="AZ62" s="1201"/>
      <c r="BA62" s="329"/>
      <c r="BB62" s="664"/>
      <c r="BC62" s="664"/>
      <c r="BD62" s="664"/>
      <c r="BE62" s="664"/>
      <c r="BF62" s="664"/>
      <c r="BG62" s="664"/>
      <c r="BH62" s="664"/>
      <c r="BI62" s="664"/>
      <c r="BJ62" s="664"/>
      <c r="BK62" s="664"/>
    </row>
    <row r="63" spans="1:63" s="80" customFormat="1" ht="13.5" customHeight="1">
      <c r="A63" s="5180" t="b">
        <f>AND(SchDLine16&lt;&gt;"",SchDLine16=0)</f>
        <v>0</v>
      </c>
      <c r="B63" s="6281" t="s">
        <v>830</v>
      </c>
      <c r="C63" s="2769" t="s">
        <v>6220</v>
      </c>
      <c r="D63" s="2770"/>
      <c r="E63" s="3097"/>
      <c r="F63" s="3097"/>
      <c r="G63" s="3097"/>
      <c r="H63" s="3097"/>
      <c r="I63" s="3097"/>
      <c r="J63" s="3097"/>
      <c r="K63" s="3624"/>
      <c r="L63" s="3624"/>
      <c r="M63" s="5181"/>
      <c r="N63" s="5177"/>
      <c r="O63" s="5178"/>
      <c r="P63" s="5179"/>
      <c r="Q63" s="5179"/>
      <c r="R63" s="5165"/>
      <c r="S63" s="5166"/>
      <c r="T63" s="139"/>
      <c r="U63" s="139"/>
      <c r="V63" s="1"/>
      <c r="W63" s="1"/>
      <c r="X63" s="1"/>
      <c r="Y63" s="1"/>
      <c r="Z63" s="329"/>
      <c r="AA63" s="329"/>
      <c r="AB63" s="1201"/>
      <c r="AC63" s="1201"/>
      <c r="AD63" s="1201"/>
      <c r="AE63" s="1201"/>
      <c r="AF63" s="3"/>
      <c r="AG63" s="329"/>
      <c r="AH63" s="1201"/>
      <c r="AI63" s="1201"/>
      <c r="AJ63" s="1201"/>
      <c r="AK63" s="1201"/>
      <c r="AL63" s="329"/>
      <c r="AM63" s="1201"/>
      <c r="AN63" s="1201"/>
      <c r="AO63" s="1201"/>
      <c r="AP63" s="1201"/>
      <c r="AQ63" s="329"/>
      <c r="AR63" s="1201"/>
      <c r="AS63" s="1201"/>
      <c r="AT63" s="1201"/>
      <c r="AU63" s="1201"/>
      <c r="AV63" s="329"/>
      <c r="AW63" s="1201"/>
      <c r="AX63" s="1201"/>
      <c r="AY63" s="1201"/>
      <c r="AZ63" s="1201"/>
      <c r="BA63" s="329"/>
      <c r="BB63" s="664"/>
      <c r="BC63" s="664"/>
      <c r="BD63" s="664"/>
      <c r="BE63" s="664"/>
      <c r="BF63" s="664"/>
      <c r="BG63" s="664"/>
      <c r="BH63" s="664"/>
      <c r="BI63" s="664"/>
      <c r="BJ63" s="664"/>
      <c r="BK63" s="664"/>
    </row>
    <row r="64" spans="1:63" s="80" customFormat="1" ht="15" customHeight="1">
      <c r="A64" s="2510"/>
      <c r="B64" s="5182"/>
      <c r="C64" s="3214" t="s">
        <v>6219</v>
      </c>
      <c r="D64" s="2770"/>
      <c r="E64" s="3097"/>
      <c r="F64" s="3097"/>
      <c r="G64" s="3097"/>
      <c r="H64" s="3097"/>
      <c r="I64" s="3097"/>
      <c r="J64" s="3097"/>
      <c r="K64" s="3624"/>
      <c r="L64" s="3624"/>
      <c r="M64" s="5181"/>
      <c r="N64" s="5177"/>
      <c r="O64" s="5178"/>
      <c r="P64" s="5179"/>
      <c r="Q64" s="5179"/>
      <c r="R64" s="5165"/>
      <c r="S64" s="5166"/>
      <c r="T64" s="139"/>
      <c r="U64" s="139"/>
      <c r="V64" s="1"/>
      <c r="W64" s="1"/>
      <c r="X64" s="1"/>
      <c r="Y64" s="1"/>
      <c r="Z64" s="329"/>
      <c r="AA64" s="329"/>
      <c r="AB64" s="1201"/>
      <c r="AC64" s="1201"/>
      <c r="AD64" s="1201"/>
      <c r="AE64" s="1201"/>
      <c r="AF64" s="3"/>
      <c r="AG64" s="329"/>
      <c r="AH64" s="1201"/>
      <c r="AI64" s="1201"/>
      <c r="AJ64" s="1201"/>
      <c r="AK64" s="1201"/>
      <c r="AL64" s="329"/>
      <c r="AM64" s="1201"/>
      <c r="AN64" s="1201"/>
      <c r="AO64" s="1201"/>
      <c r="AP64" s="1201"/>
      <c r="AQ64" s="329"/>
      <c r="AR64" s="1201"/>
      <c r="AS64" s="1201"/>
      <c r="AT64" s="1201"/>
      <c r="AU64" s="1201"/>
      <c r="AV64" s="329"/>
      <c r="AW64" s="1201"/>
      <c r="AX64" s="1201"/>
      <c r="AY64" s="1201"/>
      <c r="AZ64" s="1201"/>
      <c r="BA64" s="329"/>
      <c r="BB64" s="664"/>
      <c r="BC64" s="664"/>
      <c r="BD64" s="664"/>
      <c r="BE64" s="664"/>
      <c r="BF64" s="664"/>
      <c r="BG64" s="664"/>
      <c r="BH64" s="664"/>
      <c r="BI64" s="664"/>
      <c r="BJ64" s="664"/>
      <c r="BK64" s="664"/>
    </row>
    <row r="65" spans="1:63" s="80" customFormat="1" ht="6" customHeight="1">
      <c r="A65" s="2510"/>
      <c r="B65" s="2984"/>
      <c r="C65" s="3097"/>
      <c r="D65" s="3097"/>
      <c r="E65" s="3097"/>
      <c r="F65" s="3097"/>
      <c r="G65" s="3097"/>
      <c r="H65" s="3097"/>
      <c r="I65" s="3097"/>
      <c r="J65" s="3097"/>
      <c r="K65" s="3624"/>
      <c r="L65" s="3624"/>
      <c r="M65" s="5181"/>
      <c r="N65" s="5177"/>
      <c r="O65" s="5178"/>
      <c r="P65" s="5179"/>
      <c r="Q65" s="5179"/>
      <c r="R65" s="5165"/>
      <c r="S65" s="5166"/>
      <c r="T65" s="139"/>
      <c r="U65" s="139"/>
      <c r="V65" s="1"/>
      <c r="W65" s="1"/>
      <c r="X65" s="1"/>
      <c r="Y65" s="1"/>
      <c r="Z65" s="329"/>
      <c r="AA65" s="329"/>
      <c r="AB65" s="1201"/>
      <c r="AC65" s="1201"/>
      <c r="AD65" s="1201"/>
      <c r="AE65" s="1201"/>
      <c r="AF65" s="3"/>
      <c r="AG65" s="329"/>
      <c r="AH65" s="1201"/>
      <c r="AI65" s="1201"/>
      <c r="AJ65" s="1201"/>
      <c r="AK65" s="1201"/>
      <c r="AL65" s="329"/>
      <c r="AM65" s="1201"/>
      <c r="AN65" s="1201"/>
      <c r="AO65" s="1201"/>
      <c r="AP65" s="1201"/>
      <c r="AQ65" s="329"/>
      <c r="AR65" s="1201"/>
      <c r="AS65" s="1201"/>
      <c r="AT65" s="1201"/>
      <c r="AU65" s="1201"/>
      <c r="AV65" s="329"/>
      <c r="AW65" s="1201"/>
      <c r="AX65" s="1201"/>
      <c r="AY65" s="1201"/>
      <c r="AZ65" s="1201"/>
      <c r="BA65" s="329"/>
      <c r="BB65" s="664"/>
      <c r="BC65" s="664"/>
      <c r="BD65" s="664"/>
      <c r="BE65" s="664"/>
      <c r="BF65" s="664"/>
      <c r="BG65" s="664"/>
      <c r="BH65" s="664"/>
      <c r="BI65" s="664"/>
      <c r="BJ65" s="664"/>
      <c r="BK65" s="664"/>
    </row>
    <row r="66" spans="1:63" s="6277" customFormat="1" ht="18" customHeight="1">
      <c r="A66" s="6266"/>
      <c r="B66" s="5183">
        <v>17</v>
      </c>
      <c r="C66" s="3561" t="s">
        <v>2181</v>
      </c>
      <c r="D66" s="3571"/>
      <c r="E66" s="3571"/>
      <c r="F66" s="3570"/>
      <c r="G66" s="3570"/>
      <c r="H66" s="3570"/>
      <c r="I66" s="3570"/>
      <c r="J66" s="3570"/>
      <c r="K66" s="6267"/>
      <c r="L66" s="6267"/>
      <c r="M66" s="6268"/>
      <c r="N66" s="6269"/>
      <c r="O66" s="6270"/>
      <c r="P66" s="6271"/>
      <c r="Q66" s="6271"/>
      <c r="R66" s="6272"/>
      <c r="S66" s="6273"/>
      <c r="T66" s="151"/>
      <c r="U66" s="151"/>
      <c r="V66" s="6274"/>
      <c r="W66" s="6274"/>
      <c r="X66" s="6274"/>
      <c r="Y66" s="6274"/>
      <c r="Z66" s="4784"/>
      <c r="AA66" s="4784"/>
      <c r="AB66" s="6275"/>
      <c r="AC66" s="6275"/>
      <c r="AD66" s="6275"/>
      <c r="AE66" s="6275"/>
      <c r="AF66" s="6276"/>
      <c r="AG66" s="4784"/>
      <c r="AH66" s="6275"/>
      <c r="AI66" s="6275"/>
      <c r="AJ66" s="6275"/>
      <c r="AK66" s="6275"/>
      <c r="AL66" s="4784"/>
      <c r="AM66" s="6275"/>
      <c r="AN66" s="6275"/>
      <c r="AO66" s="6275"/>
      <c r="AP66" s="6275"/>
      <c r="AQ66" s="4784"/>
      <c r="AR66" s="6275"/>
      <c r="AS66" s="6275"/>
      <c r="AT66" s="6275"/>
      <c r="AU66" s="6275"/>
      <c r="AV66" s="4784"/>
      <c r="AW66" s="6275"/>
      <c r="AX66" s="6275"/>
      <c r="AY66" s="6275"/>
      <c r="AZ66" s="6275"/>
      <c r="BA66" s="4784"/>
      <c r="BB66" s="1151"/>
      <c r="BC66" s="1151"/>
      <c r="BD66" s="1151"/>
      <c r="BE66" s="1151"/>
      <c r="BF66" s="1151"/>
      <c r="BG66" s="1151"/>
      <c r="BH66" s="1151"/>
      <c r="BI66" s="1151"/>
      <c r="BJ66" s="1151"/>
      <c r="BK66" s="1151"/>
    </row>
    <row r="67" spans="1:63" s="5184" customFormat="1" ht="13.5" customHeight="1">
      <c r="A67" s="5180" t="b">
        <f>AND(A59,SchDLine15&lt;&gt;"",SchDLine15&gt;0,SchDLine16&lt;&gt;"",SchDLine16&gt;0)</f>
        <v>0</v>
      </c>
      <c r="B67" s="2984"/>
      <c r="C67" s="5185" t="str">
        <f>IF(A67,"X","")</f>
        <v/>
      </c>
      <c r="D67" s="1611"/>
      <c r="E67" s="3097" t="s">
        <v>2182</v>
      </c>
      <c r="F67" s="3097"/>
      <c r="G67" s="3097"/>
      <c r="H67" s="3097"/>
      <c r="I67" s="3097"/>
      <c r="J67" s="3097"/>
      <c r="K67" s="3624"/>
      <c r="L67" s="3624"/>
      <c r="M67" s="5181"/>
      <c r="N67" s="5177"/>
      <c r="O67" s="5178"/>
      <c r="P67" s="5179"/>
      <c r="Q67" s="5179"/>
      <c r="R67" s="4076"/>
      <c r="S67" s="5186"/>
      <c r="T67" s="139"/>
      <c r="U67" s="139"/>
      <c r="V67" s="1"/>
      <c r="W67" s="1"/>
      <c r="X67" s="1"/>
      <c r="Y67" s="1"/>
      <c r="Z67" s="961"/>
      <c r="AA67" s="961"/>
      <c r="AB67" s="5075"/>
      <c r="AC67" s="5075"/>
      <c r="AD67" s="5075"/>
      <c r="AE67" s="5075"/>
      <c r="AF67" s="302"/>
      <c r="AG67" s="961"/>
      <c r="AH67" s="5075"/>
      <c r="AI67" s="5075"/>
      <c r="AJ67" s="5075"/>
      <c r="AK67" s="5075"/>
      <c r="AL67" s="961"/>
      <c r="AM67" s="5075"/>
      <c r="AN67" s="5075"/>
      <c r="AO67" s="5075"/>
      <c r="AP67" s="5075"/>
      <c r="AQ67" s="961"/>
      <c r="AR67" s="5075"/>
      <c r="AS67" s="5075"/>
      <c r="AT67" s="5075"/>
      <c r="AU67" s="5075"/>
      <c r="AV67" s="961"/>
      <c r="AW67" s="5075"/>
      <c r="AX67" s="5075"/>
      <c r="AY67" s="5075"/>
      <c r="AZ67" s="5075"/>
      <c r="BA67" s="961"/>
      <c r="BB67" s="1610"/>
      <c r="BC67" s="1610"/>
      <c r="BD67" s="1610"/>
      <c r="BE67" s="1610"/>
      <c r="BF67" s="1610"/>
      <c r="BG67" s="1610"/>
      <c r="BH67" s="1610"/>
      <c r="BI67" s="1610"/>
      <c r="BJ67" s="1610"/>
      <c r="BK67" s="1610"/>
    </row>
    <row r="68" spans="1:63" s="80" customFormat="1" ht="6.75" customHeight="1">
      <c r="A68" s="2510"/>
      <c r="B68" s="2984"/>
      <c r="C68" s="3097"/>
      <c r="D68" s="3097"/>
      <c r="E68" s="3097"/>
      <c r="F68" s="3097"/>
      <c r="G68" s="3097"/>
      <c r="H68" s="3097"/>
      <c r="I68" s="3097"/>
      <c r="J68" s="3097"/>
      <c r="K68" s="3624"/>
      <c r="L68" s="3624"/>
      <c r="M68" s="5181"/>
      <c r="N68" s="5177"/>
      <c r="O68" s="5178"/>
      <c r="P68" s="5179"/>
      <c r="Q68" s="5179"/>
      <c r="R68" s="4076"/>
      <c r="S68" s="5186"/>
      <c r="T68" s="139"/>
      <c r="U68" s="139"/>
      <c r="V68" s="1"/>
      <c r="W68" s="1"/>
      <c r="X68" s="1"/>
      <c r="Y68" s="1"/>
      <c r="Z68" s="329"/>
      <c r="AA68" s="329"/>
      <c r="AB68" s="1201"/>
      <c r="AC68" s="1201"/>
      <c r="AD68" s="1201"/>
      <c r="AE68" s="1201"/>
      <c r="AF68" s="3"/>
      <c r="AG68" s="329"/>
      <c r="AH68" s="1201"/>
      <c r="AI68" s="1201"/>
      <c r="AJ68" s="1201"/>
      <c r="AK68" s="1201"/>
      <c r="AL68" s="329"/>
      <c r="AM68" s="1201"/>
      <c r="AN68" s="1201"/>
      <c r="AO68" s="1201"/>
      <c r="AP68" s="1201"/>
      <c r="AQ68" s="329"/>
      <c r="AR68" s="1201"/>
      <c r="AS68" s="1201"/>
      <c r="AT68" s="1201"/>
      <c r="AU68" s="1201"/>
      <c r="AV68" s="329"/>
      <c r="AW68" s="1201"/>
      <c r="AX68" s="1201"/>
      <c r="AY68" s="1201"/>
      <c r="AZ68" s="1201"/>
      <c r="BA68" s="329"/>
      <c r="BB68" s="664"/>
      <c r="BC68" s="664"/>
      <c r="BD68" s="664"/>
      <c r="BE68" s="664"/>
      <c r="BF68" s="664"/>
      <c r="BG68" s="664"/>
      <c r="BH68" s="664"/>
      <c r="BI68" s="664"/>
      <c r="BJ68" s="664"/>
      <c r="BK68" s="664"/>
    </row>
    <row r="69" spans="1:63" s="80" customFormat="1" ht="13.5" customHeight="1">
      <c r="A69" s="5180" t="b">
        <f>AND(A59,NOT(A67))</f>
        <v>0</v>
      </c>
      <c r="B69" s="2984"/>
      <c r="C69" s="5185" t="str">
        <f>IF(A69,"X","")</f>
        <v/>
      </c>
      <c r="D69" s="1611"/>
      <c r="E69" s="3097" t="s">
        <v>2183</v>
      </c>
      <c r="F69" s="3097"/>
      <c r="G69" s="3097"/>
      <c r="H69" s="3097"/>
      <c r="I69" s="3097"/>
      <c r="J69" s="3097"/>
      <c r="K69" s="3624"/>
      <c r="L69" s="3624"/>
      <c r="M69" s="5181"/>
      <c r="N69" s="5177"/>
      <c r="O69" s="5178"/>
      <c r="P69" s="5179"/>
      <c r="Q69" s="5179"/>
      <c r="R69" s="4076"/>
      <c r="S69" s="5186"/>
      <c r="T69" s="148"/>
      <c r="U69" s="139"/>
      <c r="V69" s="1"/>
      <c r="W69" s="1"/>
      <c r="X69" s="1"/>
      <c r="Y69" s="1"/>
      <c r="Z69" s="329"/>
      <c r="AA69" s="329"/>
      <c r="AB69" s="1201"/>
      <c r="AC69" s="1201"/>
      <c r="AD69" s="1201"/>
      <c r="AE69" s="1201"/>
      <c r="AF69" s="3"/>
      <c r="AG69" s="329"/>
      <c r="AH69" s="1201"/>
      <c r="AI69" s="1201"/>
      <c r="AJ69" s="1201"/>
      <c r="AK69" s="1201"/>
      <c r="AL69" s="329"/>
      <c r="AM69" s="1201"/>
      <c r="AN69" s="1201"/>
      <c r="AO69" s="1201"/>
      <c r="AP69" s="1201"/>
      <c r="AQ69" s="329"/>
      <c r="AR69" s="1201"/>
      <c r="AS69" s="1201"/>
      <c r="AT69" s="1201"/>
      <c r="AU69" s="1201"/>
      <c r="AV69" s="329"/>
      <c r="AW69" s="1201"/>
      <c r="AX69" s="1201"/>
      <c r="AY69" s="1201"/>
      <c r="AZ69" s="1201"/>
      <c r="BA69" s="329"/>
      <c r="BB69" s="664"/>
      <c r="BC69" s="664"/>
      <c r="BD69" s="664"/>
      <c r="BE69" s="664"/>
      <c r="BF69" s="664"/>
      <c r="BG69" s="664"/>
      <c r="BH69" s="664"/>
      <c r="BI69" s="664"/>
      <c r="BJ69" s="664"/>
      <c r="BK69" s="664"/>
    </row>
    <row r="70" spans="1:63" s="80" customFormat="1" ht="11.25" customHeight="1">
      <c r="A70" s="2510"/>
      <c r="B70" s="2984"/>
      <c r="C70" s="3097"/>
      <c r="D70" s="3097"/>
      <c r="E70" s="3097"/>
      <c r="F70" s="3097"/>
      <c r="G70" s="3097"/>
      <c r="H70" s="3097"/>
      <c r="I70" s="3097"/>
      <c r="J70" s="3097"/>
      <c r="K70" s="3624"/>
      <c r="L70" s="3624"/>
      <c r="M70" s="5181"/>
      <c r="N70" s="5177"/>
      <c r="O70" s="5178"/>
      <c r="P70" s="5179"/>
      <c r="Q70" s="5179"/>
      <c r="R70" s="4076"/>
      <c r="S70" s="5186"/>
      <c r="T70" s="148" t="s">
        <v>979</v>
      </c>
      <c r="U70" s="139"/>
      <c r="V70" s="1"/>
      <c r="W70" s="1"/>
      <c r="X70" s="1"/>
      <c r="Y70" s="1"/>
      <c r="Z70" s="329"/>
      <c r="AA70" s="329"/>
      <c r="AB70" s="1201"/>
      <c r="AC70" s="1201"/>
      <c r="AD70" s="1201"/>
      <c r="AE70" s="1201"/>
      <c r="AF70" s="3"/>
      <c r="AG70" s="329"/>
      <c r="AH70" s="1201"/>
      <c r="AI70" s="1201"/>
      <c r="AJ70" s="1201"/>
      <c r="AK70" s="1201"/>
      <c r="AL70" s="329"/>
      <c r="AM70" s="1201"/>
      <c r="AN70" s="1201"/>
      <c r="AO70" s="1201"/>
      <c r="AP70" s="1201"/>
      <c r="AQ70" s="329"/>
      <c r="AR70" s="1201"/>
      <c r="AS70" s="1201"/>
      <c r="AT70" s="1201"/>
      <c r="AU70" s="1201"/>
      <c r="AV70" s="329"/>
      <c r="AW70" s="1201"/>
      <c r="AX70" s="1201"/>
      <c r="AY70" s="1201"/>
      <c r="AZ70" s="1201"/>
      <c r="BA70" s="329"/>
      <c r="BB70" s="664"/>
      <c r="BC70" s="664"/>
      <c r="BD70" s="664"/>
      <c r="BE70" s="664"/>
      <c r="BF70" s="664"/>
      <c r="BG70" s="664"/>
      <c r="BH70" s="664"/>
      <c r="BI70" s="664"/>
      <c r="BJ70" s="664"/>
      <c r="BK70" s="664"/>
    </row>
    <row r="71" spans="1:63" s="80" customFormat="1" ht="15" customHeight="1">
      <c r="A71" s="2510"/>
      <c r="B71" s="2984">
        <v>18</v>
      </c>
      <c r="C71" s="3098" t="s">
        <v>2184</v>
      </c>
      <c r="D71" s="3097"/>
      <c r="E71" s="3097"/>
      <c r="F71" s="3097"/>
      <c r="G71" s="3097"/>
      <c r="H71" s="3097"/>
      <c r="I71" s="3097"/>
      <c r="J71" s="3097"/>
      <c r="K71" s="3624"/>
      <c r="L71" s="3624"/>
      <c r="M71" s="5181"/>
      <c r="N71" s="5177"/>
      <c r="O71" s="5178"/>
      <c r="P71" s="5179"/>
      <c r="Q71" s="5179"/>
      <c r="R71" s="4076"/>
      <c r="S71" s="5186"/>
      <c r="T71" s="148" t="s">
        <v>931</v>
      </c>
      <c r="U71" s="139"/>
      <c r="V71" s="1"/>
      <c r="W71" s="1"/>
      <c r="X71" s="1"/>
      <c r="Y71" s="1"/>
      <c r="Z71" s="329"/>
      <c r="AA71" s="329"/>
      <c r="AB71" s="1201"/>
      <c r="AC71" s="1201"/>
      <c r="AD71" s="1201"/>
      <c r="AE71" s="1201"/>
      <c r="AF71" s="3"/>
      <c r="AG71" s="329"/>
      <c r="AH71" s="1201"/>
      <c r="AI71" s="1201"/>
      <c r="AJ71" s="1201"/>
      <c r="AK71" s="1201"/>
      <c r="AL71" s="329"/>
      <c r="AM71" s="1201"/>
      <c r="AN71" s="1201"/>
      <c r="AO71" s="1201"/>
      <c r="AP71" s="1201"/>
      <c r="AQ71" s="329"/>
      <c r="AR71" s="1201"/>
      <c r="AS71" s="1201"/>
      <c r="AT71" s="1201"/>
      <c r="AU71" s="1201"/>
      <c r="AV71" s="329"/>
      <c r="AW71" s="1201"/>
      <c r="AX71" s="1201"/>
      <c r="AY71" s="1201"/>
      <c r="AZ71" s="1201"/>
      <c r="BA71" s="329"/>
      <c r="BB71" s="664"/>
      <c r="BC71" s="664"/>
      <c r="BD71" s="664"/>
      <c r="BE71" s="664"/>
      <c r="BF71" s="664"/>
      <c r="BG71" s="664"/>
      <c r="BH71" s="664"/>
      <c r="BI71" s="664"/>
      <c r="BJ71" s="664"/>
      <c r="BK71" s="664"/>
    </row>
    <row r="72" spans="1:63" s="80" customFormat="1" ht="15" customHeight="1">
      <c r="A72" s="2510"/>
      <c r="B72" s="2984"/>
      <c r="C72" s="3098" t="s">
        <v>2185</v>
      </c>
      <c r="D72" s="3592"/>
      <c r="E72" s="3097"/>
      <c r="F72" s="3097"/>
      <c r="G72" s="3097"/>
      <c r="H72" s="3097"/>
      <c r="I72" s="3097"/>
      <c r="J72" s="3097"/>
      <c r="K72" s="3624"/>
      <c r="L72" s="3624"/>
      <c r="M72" s="2768" t="s">
        <v>2186</v>
      </c>
      <c r="N72" s="3039">
        <f>B71</f>
        <v>18</v>
      </c>
      <c r="O72" s="8198" t="str">
        <f>IF(T72&lt;&gt;"",T72,IF(AND(A59,C67="X",pc28RateGainWS),'Sch. D WS'!O56,""))</f>
        <v/>
      </c>
      <c r="P72" s="8199"/>
      <c r="Q72" s="8199"/>
      <c r="R72" s="4076"/>
      <c r="S72" s="5186"/>
      <c r="T72" s="1612"/>
      <c r="U72" s="139"/>
      <c r="V72" s="1"/>
      <c r="W72" s="1"/>
      <c r="X72" s="1"/>
      <c r="Y72" s="1"/>
      <c r="Z72" s="329"/>
      <c r="AA72" s="329"/>
      <c r="AB72" s="1201"/>
      <c r="AC72" s="1201"/>
      <c r="AD72" s="1201"/>
      <c r="AE72" s="1201"/>
      <c r="AF72" s="3"/>
      <c r="AG72" s="329"/>
      <c r="AH72" s="1201"/>
      <c r="AI72" s="1201"/>
      <c r="AJ72" s="1201"/>
      <c r="AK72" s="1201"/>
      <c r="AL72" s="329"/>
      <c r="AM72" s="1201"/>
      <c r="AN72" s="1201"/>
      <c r="AO72" s="1201"/>
      <c r="AP72" s="1201"/>
      <c r="AQ72" s="329"/>
      <c r="AR72" s="1201"/>
      <c r="AS72" s="1201"/>
      <c r="AT72" s="1201"/>
      <c r="AU72" s="1201"/>
      <c r="AV72" s="329"/>
      <c r="AW72" s="1201"/>
      <c r="AX72" s="1201"/>
      <c r="AY72" s="1201"/>
      <c r="AZ72" s="1201"/>
      <c r="BA72" s="329"/>
      <c r="BB72" s="664"/>
      <c r="BC72" s="664"/>
      <c r="BD72" s="664"/>
      <c r="BE72" s="664"/>
      <c r="BF72" s="664"/>
      <c r="BG72" s="664"/>
      <c r="BH72" s="664"/>
      <c r="BI72" s="664"/>
      <c r="BJ72" s="664"/>
      <c r="BK72" s="664"/>
    </row>
    <row r="73" spans="1:63" s="80" customFormat="1" ht="10.5" customHeight="1">
      <c r="A73" s="2510"/>
      <c r="B73" s="5187"/>
      <c r="C73" s="3592"/>
      <c r="D73" s="3592"/>
      <c r="E73" s="3592"/>
      <c r="F73" s="3592"/>
      <c r="G73" s="3592"/>
      <c r="H73" s="3592"/>
      <c r="I73" s="3592"/>
      <c r="J73" s="3592"/>
      <c r="K73" s="3624"/>
      <c r="L73" s="3624"/>
      <c r="M73" s="3624"/>
      <c r="N73" s="5177"/>
      <c r="O73" s="5178"/>
      <c r="P73" s="5179"/>
      <c r="Q73" s="5179"/>
      <c r="R73" s="4736"/>
      <c r="S73" s="5188"/>
      <c r="T73" s="139"/>
      <c r="U73" s="139"/>
      <c r="V73" s="329"/>
      <c r="W73" s="329"/>
      <c r="X73" s="329"/>
      <c r="Y73" s="329"/>
      <c r="Z73" s="329"/>
      <c r="AA73" s="329"/>
      <c r="AB73" s="1201"/>
      <c r="AC73" s="1201"/>
      <c r="AD73" s="1201"/>
      <c r="AE73" s="1201"/>
      <c r="AF73" s="3"/>
      <c r="AG73" s="329"/>
      <c r="AH73" s="1201"/>
      <c r="AI73" s="1201"/>
      <c r="AJ73" s="1201"/>
      <c r="AK73" s="1201"/>
      <c r="AL73" s="329"/>
      <c r="AM73" s="1201"/>
      <c r="AN73" s="1201"/>
      <c r="AO73" s="1201"/>
      <c r="AP73" s="1201"/>
      <c r="AQ73" s="329"/>
      <c r="AR73" s="1201"/>
      <c r="AS73" s="1201"/>
      <c r="AT73" s="1201"/>
      <c r="AU73" s="1201"/>
      <c r="AV73" s="329"/>
      <c r="AW73" s="1201"/>
      <c r="AX73" s="1201"/>
      <c r="AY73" s="1201"/>
      <c r="AZ73" s="1201"/>
      <c r="BA73" s="329"/>
      <c r="BB73" s="664"/>
      <c r="BC73" s="664"/>
      <c r="BD73" s="664"/>
      <c r="BE73" s="664"/>
      <c r="BF73" s="664"/>
      <c r="BG73" s="664"/>
      <c r="BH73" s="664"/>
      <c r="BI73" s="664"/>
      <c r="BJ73" s="664"/>
      <c r="BK73" s="664"/>
    </row>
    <row r="74" spans="1:63" s="80" customFormat="1" ht="13.5" customHeight="1">
      <c r="A74" s="2510"/>
      <c r="B74" s="2984">
        <v>19</v>
      </c>
      <c r="C74" s="3098" t="s">
        <v>2187</v>
      </c>
      <c r="D74" s="3592"/>
      <c r="E74" s="3097"/>
      <c r="F74" s="3097"/>
      <c r="G74" s="3097"/>
      <c r="H74" s="3097"/>
      <c r="I74" s="3097"/>
      <c r="J74" s="3097"/>
      <c r="K74" s="3624"/>
      <c r="L74" s="3624"/>
      <c r="M74" s="5181"/>
      <c r="N74" s="5177"/>
      <c r="O74" s="5178"/>
      <c r="P74" s="5179"/>
      <c r="Q74" s="5179"/>
      <c r="R74" s="4076"/>
      <c r="S74" s="5186"/>
      <c r="T74" s="139"/>
      <c r="U74" s="139"/>
      <c r="V74" s="1"/>
      <c r="W74" s="1"/>
      <c r="X74" s="1"/>
      <c r="Y74" s="1"/>
      <c r="Z74" s="329"/>
      <c r="AA74" s="329"/>
      <c r="AB74" s="3"/>
      <c r="AC74" s="3"/>
      <c r="AD74" s="3"/>
      <c r="AE74" s="3"/>
      <c r="AF74" s="3"/>
      <c r="AG74" s="329"/>
      <c r="AH74" s="3"/>
      <c r="AI74" s="3"/>
      <c r="AJ74" s="3"/>
      <c r="AK74" s="3"/>
      <c r="AL74" s="329"/>
      <c r="AM74" s="3"/>
      <c r="AN74" s="3"/>
      <c r="AO74" s="3"/>
      <c r="AP74" s="3"/>
      <c r="AQ74" s="329"/>
      <c r="AR74" s="3"/>
      <c r="AS74" s="3"/>
      <c r="AT74" s="3"/>
      <c r="AU74" s="3"/>
      <c r="AV74" s="329"/>
      <c r="AW74" s="3"/>
      <c r="AX74" s="3"/>
      <c r="AY74" s="3"/>
      <c r="AZ74" s="3"/>
      <c r="BA74" s="329"/>
      <c r="BB74" s="664"/>
      <c r="BC74" s="664"/>
      <c r="BD74" s="664"/>
      <c r="BE74" s="664"/>
      <c r="BF74" s="664"/>
      <c r="BG74" s="664"/>
      <c r="BH74" s="664"/>
      <c r="BI74" s="664"/>
      <c r="BJ74" s="664"/>
      <c r="BK74" s="664"/>
    </row>
    <row r="75" spans="1:63" s="80" customFormat="1" ht="14.25">
      <c r="A75" s="2510"/>
      <c r="B75" s="2984"/>
      <c r="C75" s="3098" t="s">
        <v>2188</v>
      </c>
      <c r="D75" s="3592"/>
      <c r="E75" s="3097"/>
      <c r="F75" s="3097"/>
      <c r="G75" s="3097"/>
      <c r="H75" s="3097"/>
      <c r="I75" s="3097"/>
      <c r="J75" s="3097"/>
      <c r="K75" s="3624"/>
      <c r="L75" s="3624"/>
      <c r="M75" s="2768" t="s">
        <v>601</v>
      </c>
      <c r="N75" s="3039">
        <f>B74</f>
        <v>19</v>
      </c>
      <c r="O75" s="8187"/>
      <c r="P75" s="8264"/>
      <c r="Q75" s="8264"/>
      <c r="R75" s="4076"/>
      <c r="S75" s="5186"/>
      <c r="T75" s="139"/>
      <c r="U75" s="139"/>
      <c r="V75" s="1"/>
      <c r="W75" s="1"/>
      <c r="X75" s="1"/>
      <c r="Y75" s="1"/>
      <c r="Z75" s="329"/>
      <c r="AA75" s="329"/>
      <c r="AB75" s="1201"/>
      <c r="AC75" s="1201"/>
      <c r="AD75" s="1201"/>
      <c r="AE75" s="1201"/>
      <c r="AF75" s="3"/>
      <c r="AG75" s="329"/>
      <c r="AH75" s="1201"/>
      <c r="AI75" s="1201"/>
      <c r="AJ75" s="1201"/>
      <c r="AK75" s="1201"/>
      <c r="AL75" s="329"/>
      <c r="AM75" s="1201"/>
      <c r="AN75" s="1201"/>
      <c r="AO75" s="1201"/>
      <c r="AP75" s="1201"/>
      <c r="AQ75" s="329"/>
      <c r="AR75" s="1201"/>
      <c r="AS75" s="1201"/>
      <c r="AT75" s="1201"/>
      <c r="AU75" s="1201"/>
      <c r="AV75" s="329"/>
      <c r="AW75" s="1201"/>
      <c r="AX75" s="1201"/>
      <c r="AY75" s="1201"/>
      <c r="AZ75" s="1201"/>
      <c r="BA75" s="329"/>
      <c r="BB75" s="664"/>
      <c r="BC75" s="664"/>
      <c r="BD75" s="664"/>
      <c r="BE75" s="664"/>
      <c r="BF75" s="664"/>
      <c r="BG75" s="664"/>
      <c r="BH75" s="664"/>
      <c r="BI75" s="664"/>
      <c r="BJ75" s="664"/>
      <c r="BK75" s="664"/>
    </row>
    <row r="76" spans="1:63" s="80" customFormat="1" ht="9" customHeight="1">
      <c r="A76" s="2510"/>
      <c r="B76" s="5187"/>
      <c r="C76" s="3592"/>
      <c r="D76" s="3592"/>
      <c r="E76" s="3592"/>
      <c r="F76" s="3592"/>
      <c r="G76" s="3592"/>
      <c r="H76" s="3592"/>
      <c r="I76" s="3592"/>
      <c r="J76" s="3592"/>
      <c r="K76" s="3624"/>
      <c r="L76" s="3624"/>
      <c r="M76" s="3624"/>
      <c r="N76" s="5177"/>
      <c r="O76" s="5189"/>
      <c r="P76" s="5190"/>
      <c r="Q76" s="5191"/>
      <c r="R76" s="4736"/>
      <c r="S76" s="5188"/>
      <c r="T76" s="139"/>
      <c r="U76" s="139"/>
      <c r="V76" s="329"/>
      <c r="W76" s="329"/>
      <c r="X76" s="329"/>
      <c r="Y76" s="329"/>
      <c r="Z76" s="329"/>
      <c r="AA76" s="329"/>
      <c r="AB76" s="1201"/>
      <c r="AC76" s="1201"/>
      <c r="AD76" s="1201"/>
      <c r="AE76" s="1201"/>
      <c r="AF76" s="3"/>
      <c r="AG76" s="329"/>
      <c r="AH76" s="1201"/>
      <c r="AI76" s="1201"/>
      <c r="AJ76" s="1201"/>
      <c r="AK76" s="1201"/>
      <c r="AL76" s="329"/>
      <c r="AM76" s="1201"/>
      <c r="AN76" s="1201"/>
      <c r="AO76" s="1201"/>
      <c r="AP76" s="1201"/>
      <c r="AQ76" s="329"/>
      <c r="AR76" s="1201"/>
      <c r="AS76" s="1201"/>
      <c r="AT76" s="1201"/>
      <c r="AU76" s="1201"/>
      <c r="AV76" s="329"/>
      <c r="AW76" s="1201"/>
      <c r="AX76" s="1201"/>
      <c r="AY76" s="1201"/>
      <c r="AZ76" s="1201"/>
      <c r="BA76" s="329"/>
      <c r="BB76" s="664"/>
      <c r="BC76" s="664"/>
      <c r="BD76" s="664"/>
      <c r="BE76" s="664"/>
      <c r="BF76" s="664"/>
      <c r="BG76" s="664"/>
      <c r="BH76" s="664"/>
      <c r="BI76" s="664"/>
      <c r="BJ76" s="664"/>
      <c r="BK76" s="664"/>
    </row>
    <row r="77" spans="1:63" s="80" customFormat="1" ht="17.25" customHeight="1" thickBot="1">
      <c r="A77" s="2510"/>
      <c r="B77" s="5183">
        <v>20</v>
      </c>
      <c r="C77" s="3561" t="s">
        <v>2189</v>
      </c>
      <c r="D77" s="3626"/>
      <c r="E77" s="3626"/>
      <c r="F77" s="3626"/>
      <c r="G77" s="3626"/>
      <c r="H77" s="3626"/>
      <c r="I77" s="3626"/>
      <c r="J77" s="3626"/>
      <c r="K77" s="3710"/>
      <c r="L77" s="3710"/>
      <c r="M77" s="3710"/>
      <c r="N77" s="5177"/>
      <c r="O77" s="5193"/>
      <c r="P77" s="5194"/>
      <c r="Q77" s="5191"/>
      <c r="R77" s="5195"/>
      <c r="S77" s="5196"/>
      <c r="T77" s="139"/>
      <c r="U77" s="139"/>
      <c r="V77" s="961"/>
      <c r="W77" s="961"/>
      <c r="X77" s="961"/>
      <c r="Y77" s="961"/>
      <c r="Z77" s="329"/>
      <c r="AA77" s="329"/>
      <c r="AB77" s="3"/>
      <c r="AC77" s="3"/>
      <c r="AD77" s="3"/>
      <c r="AE77" s="3"/>
      <c r="AF77" s="3"/>
      <c r="AG77" s="329"/>
      <c r="AH77" s="3"/>
      <c r="AI77" s="3"/>
      <c r="AJ77" s="3"/>
      <c r="AK77" s="3"/>
      <c r="AL77" s="329"/>
      <c r="AM77" s="3"/>
      <c r="AN77" s="3"/>
      <c r="AO77" s="3"/>
      <c r="AP77" s="3"/>
      <c r="AQ77" s="329"/>
      <c r="AR77" s="3"/>
      <c r="AS77" s="3"/>
      <c r="AT77" s="3"/>
      <c r="AU77" s="3"/>
      <c r="AV77" s="329"/>
      <c r="AW77" s="3"/>
      <c r="AX77" s="3"/>
      <c r="AY77" s="3"/>
      <c r="AZ77" s="3"/>
      <c r="BA77" s="329"/>
      <c r="BB77" s="664"/>
      <c r="BC77" s="664"/>
      <c r="BD77" s="664"/>
      <c r="BE77" s="664"/>
      <c r="BF77" s="664"/>
      <c r="BG77" s="664"/>
      <c r="BH77" s="664"/>
      <c r="BI77" s="664"/>
      <c r="BJ77" s="664"/>
      <c r="BK77" s="664"/>
    </row>
    <row r="78" spans="1:63" s="5184" customFormat="1" ht="13.5" customHeight="1" thickBot="1">
      <c r="A78" s="5180" t="b">
        <f>AND(SchDLine16&lt;&gt;"",A67,OR(SchDLine18="",SchDLine18=0),OR(SchDLine19="",SchDLine19=0),NOT(Form4952_Filed))</f>
        <v>0</v>
      </c>
      <c r="B78" s="2984"/>
      <c r="C78" s="5185" t="str">
        <f>IF(A78,"X","")</f>
        <v/>
      </c>
      <c r="D78" s="1611"/>
      <c r="E78" s="3700" t="s">
        <v>6212</v>
      </c>
      <c r="F78" s="3097"/>
      <c r="G78" s="3097"/>
      <c r="H78" s="3097"/>
      <c r="I78" s="3097"/>
      <c r="J78" s="3097"/>
      <c r="K78" s="3624"/>
      <c r="L78" s="3624"/>
      <c r="M78" s="5181"/>
      <c r="N78" s="5177"/>
      <c r="O78" s="5193"/>
      <c r="P78" s="5194" t="b">
        <f>S78&lt;&gt;""</f>
        <v>0</v>
      </c>
      <c r="Q78" s="5191"/>
      <c r="R78" s="4076"/>
      <c r="S78" s="1411"/>
      <c r="T78" s="5197" t="s">
        <v>2190</v>
      </c>
      <c r="U78" s="139"/>
      <c r="V78" s="1"/>
      <c r="W78" s="1"/>
      <c r="X78" s="1"/>
      <c r="Y78" s="1"/>
      <c r="Z78" s="961"/>
      <c r="AA78" s="961"/>
      <c r="AB78" s="302"/>
      <c r="AC78" s="302"/>
      <c r="AD78" s="302"/>
      <c r="AE78" s="302"/>
      <c r="AF78" s="302"/>
      <c r="AG78" s="961"/>
      <c r="AH78" s="302"/>
      <c r="AI78" s="302"/>
      <c r="AJ78" s="302"/>
      <c r="AK78" s="302"/>
      <c r="AL78" s="961"/>
      <c r="AM78" s="302"/>
      <c r="AN78" s="302"/>
      <c r="AO78" s="302"/>
      <c r="AP78" s="302"/>
      <c r="AQ78" s="961"/>
      <c r="AR78" s="302"/>
      <c r="AS78" s="302"/>
      <c r="AT78" s="302"/>
      <c r="AU78" s="302"/>
      <c r="AV78" s="961"/>
      <c r="AW78" s="302"/>
      <c r="AX78" s="302"/>
      <c r="AY78" s="302"/>
      <c r="AZ78" s="302"/>
      <c r="BA78" s="961"/>
      <c r="BB78" s="1610"/>
      <c r="BC78" s="1610"/>
      <c r="BD78" s="1610"/>
      <c r="BE78" s="1610"/>
      <c r="BF78" s="1610"/>
      <c r="BG78" s="1610"/>
      <c r="BH78" s="1610"/>
      <c r="BI78" s="1610"/>
      <c r="BJ78" s="1610"/>
      <c r="BK78" s="1610"/>
    </row>
    <row r="79" spans="1:63" s="80" customFormat="1" ht="12" customHeight="1">
      <c r="A79" s="2510"/>
      <c r="B79" s="5187"/>
      <c r="C79" s="3592"/>
      <c r="D79" s="3592"/>
      <c r="E79" s="3626" t="s">
        <v>6213</v>
      </c>
      <c r="F79" s="3592"/>
      <c r="G79" s="3592"/>
      <c r="H79" s="3592"/>
      <c r="I79" s="3592"/>
      <c r="J79" s="3592"/>
      <c r="K79" s="3624"/>
      <c r="L79" s="3624"/>
      <c r="M79" s="3624"/>
      <c r="N79" s="5177"/>
      <c r="O79" s="5193"/>
      <c r="P79" s="5191"/>
      <c r="Q79" s="5191"/>
      <c r="R79" s="4736"/>
      <c r="S79" s="5188"/>
      <c r="T79" s="5198" t="s">
        <v>2191</v>
      </c>
      <c r="U79" s="139"/>
      <c r="V79" s="329"/>
      <c r="W79" s="329"/>
      <c r="X79" s="329"/>
      <c r="Y79" s="329"/>
      <c r="Z79" s="329"/>
      <c r="AA79" s="329"/>
      <c r="AB79" s="1201"/>
      <c r="AC79" s="1201"/>
      <c r="AD79" s="1201"/>
      <c r="AE79" s="1201"/>
      <c r="AF79" s="3"/>
      <c r="AG79" s="329"/>
      <c r="AH79" s="1201"/>
      <c r="AI79" s="1201"/>
      <c r="AJ79" s="1201"/>
      <c r="AK79" s="1201"/>
      <c r="AL79" s="329"/>
      <c r="AM79" s="1201"/>
      <c r="AN79" s="1201"/>
      <c r="AO79" s="1201"/>
      <c r="AP79" s="1201"/>
      <c r="AQ79" s="329"/>
      <c r="AR79" s="1201"/>
      <c r="AS79" s="1201"/>
      <c r="AT79" s="1201"/>
      <c r="AU79" s="1201"/>
      <c r="AV79" s="329"/>
      <c r="AW79" s="1201"/>
      <c r="AX79" s="1201"/>
      <c r="AY79" s="1201"/>
      <c r="AZ79" s="1201"/>
      <c r="BA79" s="329"/>
      <c r="BB79" s="664"/>
      <c r="BC79" s="664"/>
      <c r="BD79" s="664"/>
      <c r="BE79" s="664"/>
      <c r="BF79" s="664"/>
      <c r="BG79" s="664"/>
      <c r="BH79" s="664"/>
      <c r="BI79" s="664"/>
      <c r="BJ79" s="664"/>
      <c r="BK79" s="664"/>
    </row>
    <row r="80" spans="1:63" s="80" customFormat="1" ht="6" customHeight="1">
      <c r="A80" s="2510"/>
      <c r="B80" s="5187"/>
      <c r="C80" s="3592"/>
      <c r="D80" s="3592"/>
      <c r="E80" s="3098"/>
      <c r="F80" s="3592"/>
      <c r="G80" s="3592"/>
      <c r="H80" s="3592"/>
      <c r="I80" s="3592"/>
      <c r="J80" s="3592"/>
      <c r="K80" s="3624"/>
      <c r="L80" s="3624"/>
      <c r="M80" s="3624"/>
      <c r="N80" s="5177"/>
      <c r="O80" s="5193"/>
      <c r="P80" s="5191"/>
      <c r="Q80" s="5191"/>
      <c r="R80" s="4736"/>
      <c r="S80" s="5188"/>
      <c r="T80" s="139"/>
      <c r="U80" s="139"/>
      <c r="V80" s="329"/>
      <c r="W80" s="329"/>
      <c r="X80" s="329"/>
      <c r="Y80" s="329"/>
      <c r="Z80" s="329"/>
      <c r="AA80" s="329"/>
      <c r="AB80" s="3"/>
      <c r="AC80" s="3"/>
      <c r="AD80" s="3"/>
      <c r="AE80" s="3"/>
      <c r="AF80" s="3"/>
      <c r="AG80" s="329"/>
      <c r="AH80" s="3"/>
      <c r="AI80" s="3"/>
      <c r="AJ80" s="3"/>
      <c r="AK80" s="3"/>
      <c r="AL80" s="329"/>
      <c r="AM80" s="3"/>
      <c r="AN80" s="3"/>
      <c r="AO80" s="3"/>
      <c r="AP80" s="3"/>
      <c r="AQ80" s="329"/>
      <c r="AR80" s="3"/>
      <c r="AS80" s="3"/>
      <c r="AT80" s="3"/>
      <c r="AU80" s="3"/>
      <c r="AV80" s="329"/>
      <c r="AW80" s="3"/>
      <c r="AX80" s="3"/>
      <c r="AY80" s="3"/>
      <c r="AZ80" s="3"/>
      <c r="BA80" s="329"/>
      <c r="BB80" s="664"/>
      <c r="BC80" s="664"/>
      <c r="BD80" s="664"/>
      <c r="BE80" s="664"/>
      <c r="BF80" s="664"/>
      <c r="BG80" s="664"/>
      <c r="BH80" s="664"/>
      <c r="BI80" s="664"/>
      <c r="BJ80" s="664"/>
      <c r="BK80" s="664"/>
    </row>
    <row r="81" spans="1:63" s="80" customFormat="1" ht="13.5" customHeight="1">
      <c r="A81" s="5180" t="b">
        <f>AND(SchDLine16&lt;&gt;"",A67,NOT(A78))</f>
        <v>0</v>
      </c>
      <c r="B81" s="2984"/>
      <c r="C81" s="5185" t="str">
        <f>IF(A81,"X","")</f>
        <v/>
      </c>
      <c r="D81" s="1611"/>
      <c r="E81" s="3097" t="s">
        <v>6214</v>
      </c>
      <c r="F81" s="3097"/>
      <c r="G81" s="3097"/>
      <c r="H81" s="3097"/>
      <c r="I81" s="3097"/>
      <c r="J81" s="3097"/>
      <c r="K81" s="3624"/>
      <c r="L81" s="3624"/>
      <c r="M81" s="5181"/>
      <c r="N81" s="5177"/>
      <c r="O81" s="5193"/>
      <c r="P81" s="5191"/>
      <c r="Q81" s="5191"/>
      <c r="R81" s="4076"/>
      <c r="S81" s="5186"/>
      <c r="T81" s="139"/>
      <c r="U81" s="139"/>
      <c r="V81" s="1"/>
      <c r="W81" s="1"/>
      <c r="X81" s="1"/>
      <c r="Y81" s="1"/>
      <c r="Z81" s="329"/>
      <c r="AA81" s="329"/>
      <c r="AB81" s="3"/>
      <c r="AC81" s="3"/>
      <c r="AD81" s="3"/>
      <c r="AE81" s="3"/>
      <c r="AF81" s="3"/>
      <c r="AG81" s="329"/>
      <c r="AH81" s="3"/>
      <c r="AI81" s="3"/>
      <c r="AJ81" s="3"/>
      <c r="AK81" s="3"/>
      <c r="AL81" s="329"/>
      <c r="AM81" s="3"/>
      <c r="AN81" s="3"/>
      <c r="AO81" s="3"/>
      <c r="AP81" s="3"/>
      <c r="AQ81" s="329"/>
      <c r="AR81" s="3"/>
      <c r="AS81" s="3"/>
      <c r="AT81" s="3"/>
      <c r="AU81" s="3"/>
      <c r="AV81" s="329"/>
      <c r="AW81" s="3"/>
      <c r="AX81" s="3"/>
      <c r="AY81" s="3"/>
      <c r="AZ81" s="3"/>
      <c r="BA81" s="329"/>
      <c r="BB81" s="664"/>
      <c r="BC81" s="664"/>
      <c r="BD81" s="664"/>
      <c r="BE81" s="664"/>
      <c r="BF81" s="664"/>
      <c r="BG81" s="664"/>
      <c r="BH81" s="664"/>
      <c r="BI81" s="664"/>
      <c r="BJ81" s="664"/>
      <c r="BK81" s="664"/>
    </row>
    <row r="82" spans="1:63" s="80" customFormat="1">
      <c r="A82" s="2510"/>
      <c r="B82" s="5187"/>
      <c r="C82" s="3592"/>
      <c r="D82" s="3592"/>
      <c r="E82" s="3592" t="s">
        <v>2192</v>
      </c>
      <c r="F82" s="3592"/>
      <c r="G82" s="3592"/>
      <c r="H82" s="3592"/>
      <c r="I82" s="3592"/>
      <c r="J82" s="3592"/>
      <c r="K82" s="3624"/>
      <c r="L82" s="3624"/>
      <c r="M82" s="3624"/>
      <c r="N82" s="5177"/>
      <c r="O82" s="5193"/>
      <c r="P82" s="5191"/>
      <c r="Q82" s="5191"/>
      <c r="R82" s="4736"/>
      <c r="S82" s="5188"/>
      <c r="T82" s="139"/>
      <c r="U82" s="139"/>
      <c r="V82" s="329"/>
      <c r="W82" s="329"/>
      <c r="X82" s="329"/>
      <c r="Y82" s="329"/>
      <c r="Z82" s="329"/>
      <c r="AA82" s="329"/>
      <c r="AB82" s="1201"/>
      <c r="AC82" s="1201"/>
      <c r="AD82" s="1201"/>
      <c r="AE82" s="1201"/>
      <c r="AF82" s="3"/>
      <c r="AG82" s="329"/>
      <c r="AH82" s="1201"/>
      <c r="AI82" s="1201"/>
      <c r="AJ82" s="1201"/>
      <c r="AK82" s="1201"/>
      <c r="AL82" s="329"/>
      <c r="AM82" s="1201"/>
      <c r="AN82" s="1201"/>
      <c r="AO82" s="1201"/>
      <c r="AP82" s="1201"/>
      <c r="AQ82" s="329"/>
      <c r="AR82" s="1201"/>
      <c r="AS82" s="1201"/>
      <c r="AT82" s="1201"/>
      <c r="AU82" s="1201"/>
      <c r="AV82" s="329"/>
      <c r="AW82" s="1201"/>
      <c r="AX82" s="1201"/>
      <c r="AY82" s="1201"/>
      <c r="AZ82" s="1201"/>
      <c r="BA82" s="329"/>
      <c r="BB82" s="664"/>
      <c r="BC82" s="664"/>
      <c r="BD82" s="664"/>
      <c r="BE82" s="664"/>
      <c r="BF82" s="664"/>
      <c r="BG82" s="664"/>
      <c r="BH82" s="664"/>
      <c r="BI82" s="664"/>
      <c r="BJ82" s="664"/>
      <c r="BK82" s="664"/>
    </row>
    <row r="83" spans="1:63" s="80" customFormat="1" ht="10.5" customHeight="1">
      <c r="A83" s="2510"/>
      <c r="B83" s="5187"/>
      <c r="C83" s="3592"/>
      <c r="D83" s="3592"/>
      <c r="E83" s="3592"/>
      <c r="F83" s="3592"/>
      <c r="G83" s="3592"/>
      <c r="H83" s="3592"/>
      <c r="I83" s="3592"/>
      <c r="J83" s="3592"/>
      <c r="K83" s="3624"/>
      <c r="L83" s="3624"/>
      <c r="M83" s="3624"/>
      <c r="N83" s="5177"/>
      <c r="O83" s="5193"/>
      <c r="P83" s="5191"/>
      <c r="Q83" s="5191"/>
      <c r="R83" s="4736"/>
      <c r="S83" s="5188"/>
      <c r="T83" s="148"/>
      <c r="U83" s="139"/>
      <c r="V83" s="8263" t="str">
        <f>IF(AND(T86&lt;&gt;"",T86&gt;0),"This positive amount is being used as a negative amount.","")</f>
        <v/>
      </c>
      <c r="W83" s="329"/>
      <c r="X83" s="329"/>
      <c r="Y83" s="329"/>
      <c r="Z83" s="329"/>
      <c r="AA83" s="329"/>
      <c r="AB83" s="3"/>
      <c r="AC83" s="3"/>
      <c r="AD83" s="3"/>
      <c r="AE83" s="3"/>
      <c r="AF83" s="3"/>
      <c r="AG83" s="329"/>
      <c r="AH83" s="3"/>
      <c r="AI83" s="3"/>
      <c r="AJ83" s="3"/>
      <c r="AK83" s="3"/>
      <c r="AL83" s="329"/>
      <c r="AM83" s="3"/>
      <c r="AN83" s="3"/>
      <c r="AO83" s="3"/>
      <c r="AP83" s="3"/>
      <c r="AQ83" s="329"/>
      <c r="AR83" s="3"/>
      <c r="AS83" s="3"/>
      <c r="AT83" s="3"/>
      <c r="AU83" s="3"/>
      <c r="AV83" s="329"/>
      <c r="AW83" s="3"/>
      <c r="AX83" s="3"/>
      <c r="AY83" s="3"/>
      <c r="AZ83" s="3"/>
      <c r="BA83" s="329"/>
      <c r="BB83" s="664"/>
      <c r="BC83" s="664"/>
      <c r="BD83" s="664"/>
      <c r="BE83" s="664"/>
      <c r="BF83" s="664"/>
      <c r="BG83" s="664"/>
      <c r="BH83" s="664"/>
      <c r="BI83" s="664"/>
      <c r="BJ83" s="664"/>
      <c r="BK83" s="664"/>
    </row>
    <row r="84" spans="1:63" s="80" customFormat="1" ht="15.75" customHeight="1">
      <c r="A84" s="2510"/>
      <c r="B84" s="5192">
        <v>21</v>
      </c>
      <c r="C84" s="3592" t="s">
        <v>6221</v>
      </c>
      <c r="D84" s="3592"/>
      <c r="E84" s="3592"/>
      <c r="F84" s="3592"/>
      <c r="G84" s="3592"/>
      <c r="H84" s="3592"/>
      <c r="I84" s="3592"/>
      <c r="J84" s="3592"/>
      <c r="K84" s="3624"/>
      <c r="L84" s="3624"/>
      <c r="M84" s="3624"/>
      <c r="N84" s="5177"/>
      <c r="O84" s="5193"/>
      <c r="P84" s="5191"/>
      <c r="Q84" s="5191"/>
      <c r="R84" s="4736"/>
      <c r="S84" s="5188"/>
      <c r="T84" s="148" t="s">
        <v>979</v>
      </c>
      <c r="U84" s="139"/>
      <c r="V84" s="8263"/>
      <c r="W84" s="329"/>
      <c r="X84" s="329"/>
      <c r="Y84" s="329"/>
      <c r="Z84" s="329"/>
      <c r="AA84" s="329"/>
      <c r="AB84" s="3"/>
      <c r="AC84" s="3"/>
      <c r="AD84" s="3"/>
      <c r="AE84" s="3"/>
      <c r="AF84" s="3"/>
      <c r="AG84" s="329"/>
      <c r="AH84" s="3"/>
      <c r="AI84" s="3"/>
      <c r="AJ84" s="3"/>
      <c r="AK84" s="3"/>
      <c r="AL84" s="329"/>
      <c r="AM84" s="3"/>
      <c r="AN84" s="3"/>
      <c r="AO84" s="3"/>
      <c r="AP84" s="3"/>
      <c r="AQ84" s="329"/>
      <c r="AR84" s="3"/>
      <c r="AS84" s="3"/>
      <c r="AT84" s="3"/>
      <c r="AU84" s="3"/>
      <c r="AV84" s="329"/>
      <c r="AW84" s="3"/>
      <c r="AX84" s="3"/>
      <c r="AY84" s="3"/>
      <c r="AZ84" s="3"/>
      <c r="BA84" s="329"/>
      <c r="BB84" s="664"/>
      <c r="BC84" s="664"/>
      <c r="BD84" s="664"/>
      <c r="BE84" s="664"/>
      <c r="BF84" s="664"/>
      <c r="BG84" s="664"/>
      <c r="BH84" s="664"/>
      <c r="BI84" s="664"/>
      <c r="BJ84" s="664"/>
      <c r="BK84" s="664"/>
    </row>
    <row r="85" spans="1:63" s="80" customFormat="1" ht="10.5" customHeight="1">
      <c r="A85" s="2510"/>
      <c r="B85" s="5187"/>
      <c r="C85" s="3317"/>
      <c r="D85" s="2769"/>
      <c r="E85" s="3592"/>
      <c r="F85" s="3592"/>
      <c r="G85" s="3592"/>
      <c r="H85" s="3592"/>
      <c r="I85" s="3592"/>
      <c r="J85" s="3592"/>
      <c r="K85" s="3624"/>
      <c r="L85" s="3624"/>
      <c r="M85" s="2768"/>
      <c r="N85" s="5177"/>
      <c r="O85" s="5193"/>
      <c r="P85" s="5191"/>
      <c r="Q85" s="5191"/>
      <c r="R85" s="4736"/>
      <c r="S85" s="5188"/>
      <c r="T85" s="148" t="s">
        <v>931</v>
      </c>
      <c r="U85" s="139"/>
      <c r="V85" s="8263"/>
      <c r="W85" s="329"/>
      <c r="X85" s="329"/>
      <c r="Y85" s="329"/>
      <c r="Z85" s="329"/>
      <c r="AA85" s="329"/>
      <c r="AB85" s="3"/>
      <c r="AC85" s="3"/>
      <c r="AD85" s="3"/>
      <c r="AE85" s="3"/>
      <c r="AF85" s="3"/>
      <c r="AG85" s="329"/>
      <c r="AH85" s="3"/>
      <c r="AI85" s="3"/>
      <c r="AJ85" s="3"/>
      <c r="AK85" s="3"/>
      <c r="AL85" s="329"/>
      <c r="AM85" s="3"/>
      <c r="AN85" s="3"/>
      <c r="AO85" s="3"/>
      <c r="AP85" s="3"/>
      <c r="AQ85" s="329"/>
      <c r="AR85" s="3"/>
      <c r="AS85" s="3"/>
      <c r="AT85" s="3"/>
      <c r="AU85" s="3"/>
      <c r="AV85" s="329"/>
      <c r="AW85" s="3"/>
      <c r="AX85" s="3"/>
      <c r="AY85" s="3"/>
      <c r="AZ85" s="3"/>
      <c r="BA85" s="329"/>
      <c r="BB85" s="664"/>
      <c r="BC85" s="664"/>
      <c r="BD85" s="664"/>
      <c r="BE85" s="664"/>
      <c r="BF85" s="664"/>
      <c r="BG85" s="664"/>
      <c r="BH85" s="664"/>
      <c r="BI85" s="664"/>
      <c r="BJ85" s="664"/>
      <c r="BK85" s="664"/>
    </row>
    <row r="86" spans="1:63" s="80" customFormat="1" ht="12.75" customHeight="1">
      <c r="A86" s="2510"/>
      <c r="B86" s="5187"/>
      <c r="C86" s="6281" t="s">
        <v>830</v>
      </c>
      <c r="D86" s="3602" t="s">
        <v>2193</v>
      </c>
      <c r="E86" s="3592"/>
      <c r="F86" s="3592"/>
      <c r="G86" s="3592"/>
      <c r="H86" s="3592"/>
      <c r="I86" s="3592"/>
      <c r="J86" s="3592"/>
      <c r="K86" s="3624"/>
      <c r="L86" s="3624"/>
      <c r="M86" s="2768" t="s">
        <v>2509</v>
      </c>
      <c r="N86" s="3039">
        <f>B84</f>
        <v>21</v>
      </c>
      <c r="O86" s="5200" t="s">
        <v>799</v>
      </c>
      <c r="P86" s="5201" t="str">
        <f>IF(AND(T86&lt;&gt;"",T86&gt;=0),ROUND(T86,0),IF(A63,"",IF(T86&lt;&gt;"",-ROUND(T86,0),IF(P87="","",-P87))))</f>
        <v/>
      </c>
      <c r="Q86" s="5202" t="s">
        <v>800</v>
      </c>
      <c r="R86" s="4736"/>
      <c r="S86" s="5188"/>
      <c r="T86" s="1613"/>
      <c r="U86" s="139"/>
      <c r="V86" s="8263"/>
      <c r="W86" s="329"/>
      <c r="X86" s="329"/>
      <c r="Y86" s="329"/>
      <c r="Z86" s="329"/>
      <c r="AA86" s="329"/>
      <c r="AB86" s="3"/>
      <c r="AC86" s="3"/>
      <c r="AD86" s="3"/>
      <c r="AE86" s="3"/>
      <c r="AF86" s="3"/>
      <c r="AG86" s="329"/>
      <c r="AH86" s="3"/>
      <c r="AI86" s="3"/>
      <c r="AJ86" s="3"/>
      <c r="AK86" s="3"/>
      <c r="AL86" s="329"/>
      <c r="AM86" s="3"/>
      <c r="AN86" s="3"/>
      <c r="AO86" s="3"/>
      <c r="AP86" s="3"/>
      <c r="AQ86" s="329"/>
      <c r="AR86" s="3"/>
      <c r="AS86" s="3"/>
      <c r="AT86" s="3"/>
      <c r="AU86" s="3"/>
      <c r="AV86" s="329"/>
      <c r="AW86" s="3"/>
      <c r="AX86" s="3"/>
      <c r="AY86" s="3"/>
      <c r="AZ86" s="3"/>
      <c r="BA86" s="329"/>
      <c r="BB86" s="664"/>
      <c r="BC86" s="664"/>
      <c r="BD86" s="664"/>
      <c r="BE86" s="664"/>
      <c r="BF86" s="664"/>
      <c r="BG86" s="664"/>
      <c r="BH86" s="664"/>
      <c r="BI86" s="664"/>
      <c r="BJ86" s="664"/>
      <c r="BK86" s="664"/>
    </row>
    <row r="87" spans="1:63" s="80" customFormat="1" ht="12.75" customHeight="1">
      <c r="A87" s="2510"/>
      <c r="B87" s="5187"/>
      <c r="C87" s="6281" t="s">
        <v>830</v>
      </c>
      <c r="D87" s="5203" t="str">
        <f>TEXT(T88,"($0,000)")&amp;", or if married filing separately, "&amp;TEXT(T89,"($0,000)")</f>
        <v>($3,000), or if married filing separately, ($1,500)</v>
      </c>
      <c r="E87" s="3592"/>
      <c r="F87" s="3592"/>
      <c r="G87" s="3592"/>
      <c r="H87" s="3592"/>
      <c r="I87" s="3592"/>
      <c r="J87" s="3592"/>
      <c r="K87" s="3728"/>
      <c r="L87" s="3624"/>
      <c r="M87" s="3624"/>
      <c r="N87" s="6252"/>
      <c r="O87" s="6253"/>
      <c r="P87" s="6254" t="str">
        <f>IF(O57&lt;0,-MIN(-O57,-T90),"")</f>
        <v/>
      </c>
      <c r="Q87" s="6253"/>
      <c r="R87" s="4736"/>
      <c r="S87" s="5188"/>
      <c r="T87" s="139"/>
      <c r="U87" s="139"/>
      <c r="V87" s="329"/>
      <c r="W87" s="329"/>
      <c r="X87" s="329"/>
      <c r="Y87" s="329"/>
      <c r="Z87" s="329"/>
      <c r="AA87" s="329"/>
      <c r="AB87" s="3"/>
      <c r="AC87" s="3"/>
      <c r="AD87" s="3"/>
      <c r="AE87" s="3"/>
      <c r="AF87" s="3"/>
      <c r="AG87" s="329"/>
      <c r="AH87" s="3"/>
      <c r="AI87" s="3"/>
      <c r="AJ87" s="3"/>
      <c r="AK87" s="3"/>
      <c r="AL87" s="329"/>
      <c r="AM87" s="3"/>
      <c r="AN87" s="3"/>
      <c r="AO87" s="3"/>
      <c r="AP87" s="3"/>
      <c r="AQ87" s="329"/>
      <c r="AR87" s="3"/>
      <c r="AS87" s="3"/>
      <c r="AT87" s="3"/>
      <c r="AU87" s="3"/>
      <c r="AV87" s="329"/>
      <c r="AW87" s="3"/>
      <c r="AX87" s="3"/>
      <c r="AY87" s="3"/>
      <c r="AZ87" s="3"/>
      <c r="BA87" s="329"/>
      <c r="BB87" s="664"/>
      <c r="BC87" s="664"/>
      <c r="BD87" s="664"/>
      <c r="BE87" s="664"/>
      <c r="BF87" s="664"/>
      <c r="BG87" s="664"/>
      <c r="BH87" s="664"/>
      <c r="BI87" s="664"/>
      <c r="BJ87" s="664"/>
      <c r="BK87" s="664"/>
    </row>
    <row r="88" spans="1:63" s="80" customFormat="1" ht="5.25" customHeight="1">
      <c r="A88" s="2510"/>
      <c r="B88" s="5187"/>
      <c r="C88" s="3317"/>
      <c r="D88" s="3317"/>
      <c r="E88" s="3592"/>
      <c r="F88" s="3592"/>
      <c r="G88" s="3592"/>
      <c r="H88" s="3592"/>
      <c r="I88" s="3592"/>
      <c r="J88" s="3592"/>
      <c r="K88" s="3624"/>
      <c r="L88" s="3624"/>
      <c r="M88" s="3624"/>
      <c r="N88" s="6255"/>
      <c r="O88" s="6256"/>
      <c r="P88" s="6257"/>
      <c r="Q88" s="6257"/>
      <c r="R88" s="4736"/>
      <c r="S88" s="5188"/>
      <c r="T88" s="3540">
        <v>3000</v>
      </c>
      <c r="U88" s="139"/>
      <c r="V88" s="329"/>
      <c r="W88" s="329"/>
      <c r="X88" s="329"/>
      <c r="Y88" s="329"/>
      <c r="Z88" s="329"/>
      <c r="AA88" s="329"/>
      <c r="AB88" s="3"/>
      <c r="AC88" s="3"/>
      <c r="AD88" s="3"/>
      <c r="AE88" s="3"/>
      <c r="AF88" s="3"/>
      <c r="AG88" s="329"/>
      <c r="AH88" s="3"/>
      <c r="AI88" s="3"/>
      <c r="AJ88" s="3"/>
      <c r="AK88" s="3"/>
      <c r="AL88" s="329"/>
      <c r="AM88" s="3"/>
      <c r="AN88" s="3"/>
      <c r="AO88" s="3"/>
      <c r="AP88" s="3"/>
      <c r="AQ88" s="329"/>
      <c r="AR88" s="3"/>
      <c r="AS88" s="3"/>
      <c r="AT88" s="3"/>
      <c r="AU88" s="3"/>
      <c r="AV88" s="329"/>
      <c r="AW88" s="3"/>
      <c r="AX88" s="3"/>
      <c r="AY88" s="3"/>
      <c r="AZ88" s="3"/>
      <c r="BA88" s="329"/>
      <c r="BB88" s="664"/>
      <c r="BC88" s="664"/>
      <c r="BD88" s="664"/>
      <c r="BE88" s="664"/>
      <c r="BF88" s="664"/>
      <c r="BG88" s="664"/>
      <c r="BH88" s="664"/>
      <c r="BI88" s="664"/>
      <c r="BJ88" s="664"/>
      <c r="BK88" s="664"/>
    </row>
    <row r="89" spans="1:63" s="80" customFormat="1" ht="15">
      <c r="A89" s="2510"/>
      <c r="B89" s="5187"/>
      <c r="C89" s="3599" t="s">
        <v>4966</v>
      </c>
      <c r="D89" s="2826"/>
      <c r="E89" s="3592"/>
      <c r="F89" s="3592"/>
      <c r="G89" s="3592"/>
      <c r="H89" s="3592"/>
      <c r="I89" s="3592"/>
      <c r="J89" s="3592"/>
      <c r="K89" s="3624"/>
      <c r="L89" s="3624"/>
      <c r="M89" s="3624"/>
      <c r="N89" s="6258"/>
      <c r="O89" s="6259"/>
      <c r="P89" s="6260"/>
      <c r="Q89" s="6260"/>
      <c r="R89" s="4736"/>
      <c r="S89" s="5188"/>
      <c r="T89" s="3540">
        <v>1500</v>
      </c>
      <c r="U89" s="139"/>
      <c r="V89" s="329"/>
      <c r="W89" s="329"/>
      <c r="X89" s="329"/>
      <c r="Y89" s="329"/>
      <c r="Z89" s="329"/>
      <c r="AA89" s="329"/>
      <c r="AB89" s="3"/>
      <c r="AC89" s="3"/>
      <c r="AD89" s="3"/>
      <c r="AE89" s="3"/>
      <c r="AF89" s="3"/>
      <c r="AG89" s="329"/>
      <c r="AH89" s="3"/>
      <c r="AI89" s="3"/>
      <c r="AJ89" s="3"/>
      <c r="AK89" s="3"/>
      <c r="AL89" s="329"/>
      <c r="AM89" s="3"/>
      <c r="AN89" s="3"/>
      <c r="AO89" s="3"/>
      <c r="AP89" s="3"/>
      <c r="AQ89" s="329"/>
      <c r="AR89" s="3"/>
      <c r="AS89" s="3"/>
      <c r="AT89" s="3"/>
      <c r="AU89" s="3"/>
      <c r="AV89" s="329"/>
      <c r="AW89" s="3"/>
      <c r="AX89" s="3"/>
      <c r="AY89" s="3"/>
      <c r="AZ89" s="3"/>
      <c r="BA89" s="329"/>
      <c r="BB89" s="664"/>
      <c r="BC89" s="664"/>
      <c r="BD89" s="664"/>
      <c r="BE89" s="664"/>
      <c r="BF89" s="664"/>
      <c r="BG89" s="664"/>
      <c r="BH89" s="664"/>
      <c r="BI89" s="664"/>
      <c r="BJ89" s="664"/>
      <c r="BK89" s="664"/>
    </row>
    <row r="90" spans="1:63" s="80" customFormat="1" ht="12.75" customHeight="1">
      <c r="A90" s="2510"/>
      <c r="B90" s="5187"/>
      <c r="C90" s="3317"/>
      <c r="D90" s="3317"/>
      <c r="E90" s="3592"/>
      <c r="F90" s="3592"/>
      <c r="G90" s="3592"/>
      <c r="H90" s="3592"/>
      <c r="I90" s="3592"/>
      <c r="J90" s="3592"/>
      <c r="K90" s="3624"/>
      <c r="L90" s="3624"/>
      <c r="M90" s="3624"/>
      <c r="N90" s="6258"/>
      <c r="O90" s="6259"/>
      <c r="P90" s="6260"/>
      <c r="Q90" s="6260"/>
      <c r="R90" s="4736"/>
      <c r="S90" s="5188"/>
      <c r="T90" s="2510">
        <f>IF(File_Marr_Sep="",-T88,-T89)</f>
        <v>-3000</v>
      </c>
      <c r="U90" s="139"/>
      <c r="V90" s="329"/>
      <c r="W90" s="329"/>
      <c r="X90" s="329"/>
      <c r="Y90" s="329"/>
      <c r="Z90" s="329"/>
      <c r="AA90" s="329"/>
      <c r="AB90" s="3"/>
      <c r="AC90" s="3"/>
      <c r="AD90" s="3"/>
      <c r="AE90" s="3"/>
      <c r="AF90" s="3"/>
      <c r="AG90" s="329"/>
      <c r="AH90" s="3"/>
      <c r="AI90" s="3"/>
      <c r="AJ90" s="3"/>
      <c r="AK90" s="3"/>
      <c r="AL90" s="329"/>
      <c r="AM90" s="3"/>
      <c r="AN90" s="3"/>
      <c r="AO90" s="3"/>
      <c r="AP90" s="3"/>
      <c r="AQ90" s="329"/>
      <c r="AR90" s="3"/>
      <c r="AS90" s="3"/>
      <c r="AT90" s="3"/>
      <c r="AU90" s="3"/>
      <c r="AV90" s="329"/>
      <c r="AW90" s="3"/>
      <c r="AX90" s="3"/>
      <c r="AY90" s="3"/>
      <c r="AZ90" s="3"/>
      <c r="BA90" s="329"/>
      <c r="BB90" s="664"/>
      <c r="BC90" s="664"/>
      <c r="BD90" s="664"/>
      <c r="BE90" s="664"/>
      <c r="BF90" s="664"/>
      <c r="BG90" s="664"/>
      <c r="BH90" s="664"/>
      <c r="BI90" s="664"/>
      <c r="BJ90" s="664"/>
      <c r="BK90" s="664"/>
    </row>
    <row r="91" spans="1:63" s="80" customFormat="1" ht="12.75" customHeight="1">
      <c r="A91" s="2510"/>
      <c r="B91" s="5192">
        <v>22</v>
      </c>
      <c r="C91" s="3686" t="s">
        <v>2194</v>
      </c>
      <c r="D91" s="3626"/>
      <c r="E91" s="3626"/>
      <c r="F91" s="3626"/>
      <c r="G91" s="3626"/>
      <c r="H91" s="3626"/>
      <c r="I91" s="3626"/>
      <c r="J91" s="3626"/>
      <c r="K91" s="3710"/>
      <c r="L91" s="3710"/>
      <c r="M91" s="3710"/>
      <c r="N91" s="6261"/>
      <c r="O91" s="6253"/>
      <c r="P91" s="6262"/>
      <c r="Q91" s="6262"/>
      <c r="R91" s="5195"/>
      <c r="S91" s="5196"/>
      <c r="T91" s="3540" t="str">
        <f>IF(O57&gt;=0,O57,P87)</f>
        <v/>
      </c>
      <c r="U91" s="139"/>
      <c r="V91" s="961"/>
      <c r="W91" s="961"/>
      <c r="X91" s="961"/>
      <c r="Y91" s="961"/>
      <c r="Z91" s="329"/>
      <c r="AA91" s="329"/>
      <c r="AB91" s="3"/>
      <c r="AC91" s="3"/>
      <c r="AD91" s="3"/>
      <c r="AE91" s="3"/>
      <c r="AF91" s="3"/>
      <c r="AG91" s="329"/>
      <c r="AH91" s="3"/>
      <c r="AI91" s="3"/>
      <c r="AJ91" s="3"/>
      <c r="AK91" s="3"/>
      <c r="AL91" s="329"/>
      <c r="AM91" s="3"/>
      <c r="AN91" s="3"/>
      <c r="AO91" s="3"/>
      <c r="AP91" s="3"/>
      <c r="AQ91" s="329"/>
      <c r="AR91" s="3"/>
      <c r="AS91" s="3"/>
      <c r="AT91" s="3"/>
      <c r="AU91" s="3"/>
      <c r="AV91" s="329"/>
      <c r="AW91" s="3"/>
      <c r="AX91" s="3"/>
      <c r="AY91" s="3"/>
      <c r="AZ91" s="3"/>
      <c r="BA91" s="329"/>
      <c r="BB91" s="664"/>
      <c r="BC91" s="664"/>
      <c r="BD91" s="664"/>
      <c r="BE91" s="664"/>
      <c r="BF91" s="664"/>
      <c r="BG91" s="664"/>
      <c r="BH91" s="664"/>
      <c r="BI91" s="664"/>
      <c r="BJ91" s="664"/>
      <c r="BK91" s="664"/>
    </row>
    <row r="92" spans="1:63" s="5184" customFormat="1" ht="8.25" customHeight="1">
      <c r="A92" s="2510"/>
      <c r="B92" s="5192"/>
      <c r="C92" s="3626"/>
      <c r="D92" s="3626"/>
      <c r="E92" s="3626"/>
      <c r="F92" s="3626"/>
      <c r="G92" s="3626"/>
      <c r="H92" s="3626"/>
      <c r="I92" s="3626"/>
      <c r="J92" s="3626"/>
      <c r="K92" s="3710"/>
      <c r="L92" s="3710"/>
      <c r="M92" s="3710"/>
      <c r="N92" s="6261"/>
      <c r="O92" s="6253"/>
      <c r="P92" s="6262"/>
      <c r="Q92" s="6262"/>
      <c r="R92" s="5195"/>
      <c r="S92" s="5196"/>
      <c r="T92" s="3540"/>
      <c r="U92" s="139"/>
      <c r="V92" s="961"/>
      <c r="W92" s="961"/>
      <c r="X92" s="961"/>
      <c r="Y92" s="961"/>
      <c r="Z92" s="961"/>
      <c r="AA92" s="961"/>
      <c r="AB92" s="302"/>
      <c r="AC92" s="302"/>
      <c r="AD92" s="302"/>
      <c r="AE92" s="302"/>
      <c r="AF92" s="302"/>
      <c r="AG92" s="961"/>
      <c r="AH92" s="302"/>
      <c r="AI92" s="302"/>
      <c r="AJ92" s="302"/>
      <c r="AK92" s="302"/>
      <c r="AL92" s="961"/>
      <c r="AM92" s="302"/>
      <c r="AN92" s="302"/>
      <c r="AO92" s="302"/>
      <c r="AP92" s="302"/>
      <c r="AQ92" s="961"/>
      <c r="AR92" s="302"/>
      <c r="AS92" s="302"/>
      <c r="AT92" s="302"/>
      <c r="AU92" s="302"/>
      <c r="AV92" s="961"/>
      <c r="AW92" s="302"/>
      <c r="AX92" s="302"/>
      <c r="AY92" s="302"/>
      <c r="AZ92" s="302"/>
      <c r="BA92" s="961"/>
      <c r="BB92" s="1610"/>
      <c r="BC92" s="1610"/>
      <c r="BD92" s="1610"/>
      <c r="BE92" s="1610"/>
      <c r="BF92" s="1610"/>
      <c r="BG92" s="1610"/>
      <c r="BH92" s="1610"/>
      <c r="BI92" s="1610"/>
      <c r="BJ92" s="1610"/>
      <c r="BK92" s="1610"/>
    </row>
    <row r="93" spans="1:63" s="5184" customFormat="1" ht="13.5" customHeight="1">
      <c r="A93" s="5180" t="b">
        <f>AND(SchDLine16&lt;&gt;"",OR(A61,A63,A69),AND(Qualified_Dividends&gt;0,Qualified_Dividends&lt;&gt;""))</f>
        <v>0</v>
      </c>
      <c r="B93" s="2984"/>
      <c r="C93" s="5185" t="str">
        <f>IF(A93,"X","")</f>
        <v/>
      </c>
      <c r="D93" s="1611"/>
      <c r="E93" s="5199" t="s">
        <v>4969</v>
      </c>
      <c r="F93" s="3097"/>
      <c r="G93" s="3097"/>
      <c r="H93" s="3097"/>
      <c r="I93" s="3097"/>
      <c r="J93" s="3097"/>
      <c r="K93" s="3624"/>
      <c r="L93" s="3624"/>
      <c r="M93" s="5181"/>
      <c r="N93" s="6261"/>
      <c r="O93" s="6253"/>
      <c r="P93" s="6262"/>
      <c r="Q93" s="6262"/>
      <c r="R93" s="4076"/>
      <c r="S93" s="5186"/>
      <c r="T93" s="139"/>
      <c r="U93" s="139"/>
      <c r="V93" s="1"/>
      <c r="W93" s="1"/>
      <c r="X93" s="1"/>
      <c r="Y93" s="1"/>
      <c r="Z93" s="961"/>
      <c r="AA93" s="961"/>
      <c r="AB93" s="302"/>
      <c r="AC93" s="302"/>
      <c r="AD93" s="302"/>
      <c r="AE93" s="302"/>
      <c r="AF93" s="302"/>
      <c r="AG93" s="961"/>
      <c r="AH93" s="302"/>
      <c r="AI93" s="302"/>
      <c r="AJ93" s="302"/>
      <c r="AK93" s="302"/>
      <c r="AL93" s="961"/>
      <c r="AM93" s="302"/>
      <c r="AN93" s="302"/>
      <c r="AO93" s="302"/>
      <c r="AP93" s="302"/>
      <c r="AQ93" s="961"/>
      <c r="AR93" s="302"/>
      <c r="AS93" s="302"/>
      <c r="AT93" s="302"/>
      <c r="AU93" s="302"/>
      <c r="AV93" s="961"/>
      <c r="AW93" s="302"/>
      <c r="AX93" s="302"/>
      <c r="AY93" s="302"/>
      <c r="AZ93" s="302"/>
      <c r="BA93" s="961"/>
      <c r="BB93" s="1610"/>
      <c r="BC93" s="1610"/>
      <c r="BD93" s="1610"/>
      <c r="BE93" s="1610"/>
      <c r="BF93" s="1610"/>
      <c r="BG93" s="1610"/>
      <c r="BH93" s="1610"/>
      <c r="BI93" s="1610"/>
      <c r="BJ93" s="1610"/>
      <c r="BK93" s="1610"/>
    </row>
    <row r="94" spans="1:63" s="80" customFormat="1" ht="12" customHeight="1">
      <c r="A94" s="2510"/>
      <c r="B94" s="5187"/>
      <c r="C94" s="3592"/>
      <c r="D94" s="3592"/>
      <c r="E94" s="3098" t="s">
        <v>4968</v>
      </c>
      <c r="F94" s="3592"/>
      <c r="G94" s="3592"/>
      <c r="H94" s="3592"/>
      <c r="I94" s="3592"/>
      <c r="J94" s="3592"/>
      <c r="K94" s="3624"/>
      <c r="L94" s="3624"/>
      <c r="M94" s="3624"/>
      <c r="N94" s="6261"/>
      <c r="O94" s="6253"/>
      <c r="P94" s="6262"/>
      <c r="Q94" s="6262"/>
      <c r="R94" s="4736"/>
      <c r="S94" s="5188"/>
      <c r="T94" s="139"/>
      <c r="U94" s="139"/>
      <c r="V94" s="329"/>
      <c r="W94" s="329"/>
      <c r="X94" s="329"/>
      <c r="Y94" s="329"/>
      <c r="Z94" s="329"/>
      <c r="AA94" s="329"/>
      <c r="AB94" s="1201"/>
      <c r="AC94" s="1201"/>
      <c r="AD94" s="1201"/>
      <c r="AE94" s="1201"/>
      <c r="AF94" s="3"/>
      <c r="AG94" s="329"/>
      <c r="AH94" s="1201"/>
      <c r="AI94" s="1201"/>
      <c r="AJ94" s="1201"/>
      <c r="AK94" s="1201"/>
      <c r="AL94" s="329"/>
      <c r="AM94" s="1201"/>
      <c r="AN94" s="1201"/>
      <c r="AO94" s="1201"/>
      <c r="AP94" s="1201"/>
      <c r="AQ94" s="329"/>
      <c r="AR94" s="1201"/>
      <c r="AS94" s="1201"/>
      <c r="AT94" s="1201"/>
      <c r="AU94" s="1201"/>
      <c r="AV94" s="329"/>
      <c r="AW94" s="1201"/>
      <c r="AX94" s="1201"/>
      <c r="AY94" s="1201"/>
      <c r="AZ94" s="1201"/>
      <c r="BA94" s="329"/>
      <c r="BB94" s="664"/>
      <c r="BC94" s="664"/>
      <c r="BD94" s="664"/>
      <c r="BE94" s="664"/>
      <c r="BF94" s="664"/>
      <c r="BG94" s="664"/>
      <c r="BH94" s="664"/>
      <c r="BI94" s="664"/>
      <c r="BJ94" s="664"/>
      <c r="BK94" s="664"/>
    </row>
    <row r="95" spans="1:63" s="80" customFormat="1" ht="6.75" customHeight="1">
      <c r="A95" s="2510"/>
      <c r="B95" s="5187"/>
      <c r="C95" s="3592"/>
      <c r="D95" s="3592"/>
      <c r="E95" s="3561"/>
      <c r="F95" s="3592"/>
      <c r="G95" s="3592"/>
      <c r="H95" s="3592"/>
      <c r="I95" s="3592"/>
      <c r="J95" s="3592"/>
      <c r="K95" s="3624"/>
      <c r="L95" s="3624"/>
      <c r="M95" s="3624"/>
      <c r="N95" s="6261"/>
      <c r="O95" s="6253"/>
      <c r="P95" s="6262"/>
      <c r="Q95" s="6262"/>
      <c r="R95" s="4736"/>
      <c r="S95" s="5188"/>
      <c r="T95" s="139"/>
      <c r="U95" s="139"/>
      <c r="V95" s="329"/>
      <c r="W95" s="329"/>
      <c r="X95" s="329"/>
      <c r="Y95" s="329"/>
      <c r="Z95" s="329"/>
      <c r="AA95" s="329"/>
      <c r="AB95" s="3"/>
      <c r="AC95" s="3"/>
      <c r="AD95" s="3"/>
      <c r="AE95" s="3"/>
      <c r="AF95" s="3"/>
      <c r="AG95" s="329"/>
      <c r="AH95" s="3"/>
      <c r="AI95" s="3"/>
      <c r="AJ95" s="3"/>
      <c r="AK95" s="3"/>
      <c r="AL95" s="329"/>
      <c r="AM95" s="3"/>
      <c r="AN95" s="3"/>
      <c r="AO95" s="3"/>
      <c r="AP95" s="3"/>
      <c r="AQ95" s="329"/>
      <c r="AR95" s="3"/>
      <c r="AS95" s="3"/>
      <c r="AT95" s="3"/>
      <c r="AU95" s="3"/>
      <c r="AV95" s="329"/>
      <c r="AW95" s="3"/>
      <c r="AX95" s="3"/>
      <c r="AY95" s="3"/>
      <c r="AZ95" s="3"/>
      <c r="BA95" s="329"/>
      <c r="BB95" s="664"/>
      <c r="BC95" s="664"/>
      <c r="BD95" s="664"/>
      <c r="BE95" s="664"/>
      <c r="BF95" s="664"/>
      <c r="BG95" s="664"/>
      <c r="BH95" s="664"/>
      <c r="BI95" s="664"/>
      <c r="BJ95" s="664"/>
      <c r="BK95" s="664"/>
    </row>
    <row r="96" spans="1:63" s="80" customFormat="1" ht="13.5" customHeight="1">
      <c r="A96" s="5180" t="b">
        <f>AND(SchDLine16&lt;&gt;"",OR(A61,A63,A69),NOT(A93))</f>
        <v>0</v>
      </c>
      <c r="B96" s="5187"/>
      <c r="C96" s="5185" t="str">
        <f>IF(A96,"X","")</f>
        <v/>
      </c>
      <c r="D96" s="1611"/>
      <c r="E96" s="5199" t="s">
        <v>4967</v>
      </c>
      <c r="F96" s="3592"/>
      <c r="G96" s="3592"/>
      <c r="H96" s="3592"/>
      <c r="I96" s="3592"/>
      <c r="J96" s="3592"/>
      <c r="K96" s="3624"/>
      <c r="L96" s="3624"/>
      <c r="M96" s="3624"/>
      <c r="N96" s="6261"/>
      <c r="O96" s="6253"/>
      <c r="P96" s="6262"/>
      <c r="Q96" s="6262"/>
      <c r="R96" s="4736"/>
      <c r="S96" s="5188"/>
      <c r="T96" s="139"/>
      <c r="U96" s="139"/>
      <c r="V96" s="329"/>
      <c r="W96" s="329"/>
      <c r="X96" s="329"/>
      <c r="Y96" s="329"/>
      <c r="Z96" s="329"/>
      <c r="AA96" s="329"/>
      <c r="AB96" s="3"/>
      <c r="AC96" s="3"/>
      <c r="AD96" s="3"/>
      <c r="AE96" s="3"/>
      <c r="AF96" s="3"/>
      <c r="AG96" s="329"/>
      <c r="AH96" s="3"/>
      <c r="AI96" s="3"/>
      <c r="AJ96" s="3"/>
      <c r="AK96" s="3"/>
      <c r="AL96" s="329"/>
      <c r="AM96" s="3"/>
      <c r="AN96" s="3"/>
      <c r="AO96" s="3"/>
      <c r="AP96" s="3"/>
      <c r="AQ96" s="329"/>
      <c r="AR96" s="3"/>
      <c r="AS96" s="3"/>
      <c r="AT96" s="3"/>
      <c r="AU96" s="3"/>
      <c r="AV96" s="329"/>
      <c r="AW96" s="3"/>
      <c r="AX96" s="3"/>
      <c r="AY96" s="3"/>
      <c r="AZ96" s="3"/>
      <c r="BA96" s="329"/>
      <c r="BB96" s="664"/>
      <c r="BC96" s="664"/>
      <c r="BD96" s="664"/>
      <c r="BE96" s="664"/>
      <c r="BF96" s="664"/>
      <c r="BG96" s="664"/>
      <c r="BH96" s="664"/>
      <c r="BI96" s="664"/>
      <c r="BJ96" s="664"/>
      <c r="BK96" s="664"/>
    </row>
    <row r="97" spans="1:63" s="80" customFormat="1" ht="12.75" customHeight="1" thickBot="1">
      <c r="A97" s="5065"/>
      <c r="B97" s="5204"/>
      <c r="C97" s="5205"/>
      <c r="D97" s="5205"/>
      <c r="E97" s="5206"/>
      <c r="F97" s="5205"/>
      <c r="G97" s="5205"/>
      <c r="H97" s="5205"/>
      <c r="I97" s="5205"/>
      <c r="J97" s="5205"/>
      <c r="K97" s="5207"/>
      <c r="L97" s="5207"/>
      <c r="M97" s="5207"/>
      <c r="N97" s="6263"/>
      <c r="O97" s="6264"/>
      <c r="P97" s="6265"/>
      <c r="Q97" s="6265"/>
      <c r="R97" s="4736"/>
      <c r="S97" s="5188"/>
      <c r="T97" s="139"/>
      <c r="U97" s="139"/>
      <c r="V97" s="329"/>
      <c r="W97" s="329"/>
      <c r="X97" s="329"/>
      <c r="Y97" s="329"/>
      <c r="Z97" s="329"/>
      <c r="AA97" s="329"/>
      <c r="AB97" s="3"/>
      <c r="AC97" s="3"/>
      <c r="AD97" s="3"/>
      <c r="AE97" s="3"/>
      <c r="AF97" s="3"/>
      <c r="AG97" s="329"/>
      <c r="AH97" s="3"/>
      <c r="AI97" s="3"/>
      <c r="AJ97" s="3"/>
      <c r="AK97" s="3"/>
      <c r="AL97" s="329"/>
      <c r="AM97" s="3"/>
      <c r="AN97" s="3"/>
      <c r="AO97" s="3"/>
      <c r="AP97" s="3"/>
      <c r="AQ97" s="329"/>
      <c r="AR97" s="3"/>
      <c r="AS97" s="3"/>
      <c r="AT97" s="3"/>
      <c r="AU97" s="3"/>
      <c r="AV97" s="329"/>
      <c r="AW97" s="3"/>
      <c r="AX97" s="3"/>
      <c r="AY97" s="3"/>
      <c r="AZ97" s="3"/>
      <c r="BA97" s="329"/>
      <c r="BB97" s="664"/>
      <c r="BC97" s="664"/>
      <c r="BD97" s="664"/>
      <c r="BE97" s="664"/>
      <c r="BF97" s="664"/>
      <c r="BG97" s="664"/>
      <c r="BH97" s="664"/>
      <c r="BI97" s="664"/>
      <c r="BJ97" s="664"/>
      <c r="BK97" s="664"/>
    </row>
    <row r="98" spans="1:63" s="80" customFormat="1" ht="15" customHeight="1">
      <c r="A98" s="5065"/>
      <c r="B98" s="3592"/>
      <c r="C98" s="3592"/>
      <c r="D98" s="3592"/>
      <c r="E98" s="3097"/>
      <c r="F98" s="3592"/>
      <c r="G98" s="3592"/>
      <c r="H98" s="3592"/>
      <c r="I98" s="3592"/>
      <c r="J98" s="3592"/>
      <c r="K98" s="3624"/>
      <c r="L98" s="3624"/>
      <c r="M98" s="3624"/>
      <c r="N98" s="3624"/>
      <c r="O98" s="3624"/>
      <c r="P98" s="5208"/>
      <c r="Q98" s="5209" t="str">
        <f>"Schedule D (Form 1040)   "&amp;TaxYear</f>
        <v>Schedule D (Form 1040)   2025</v>
      </c>
      <c r="R98" s="4736"/>
      <c r="S98" s="5188"/>
      <c r="T98" s="139"/>
      <c r="U98" s="139"/>
      <c r="V98" s="329"/>
      <c r="W98" s="329"/>
      <c r="X98" s="329"/>
      <c r="Y98" s="329"/>
      <c r="Z98" s="329"/>
      <c r="AA98" s="329"/>
      <c r="AB98" s="3"/>
      <c r="AC98" s="3"/>
      <c r="AD98" s="3"/>
      <c r="AE98" s="3"/>
      <c r="AF98" s="3"/>
      <c r="AG98" s="329"/>
      <c r="AH98" s="3"/>
      <c r="AI98" s="3"/>
      <c r="AJ98" s="3"/>
      <c r="AK98" s="3"/>
      <c r="AL98" s="329"/>
      <c r="AM98" s="3"/>
      <c r="AN98" s="3"/>
      <c r="AO98" s="3"/>
      <c r="AP98" s="3"/>
      <c r="AQ98" s="329"/>
      <c r="AR98" s="3"/>
      <c r="AS98" s="3"/>
      <c r="AT98" s="3"/>
      <c r="AU98" s="3"/>
      <c r="AV98" s="329"/>
      <c r="AW98" s="3"/>
      <c r="AX98" s="3"/>
      <c r="AY98" s="3"/>
      <c r="AZ98" s="3"/>
      <c r="BA98" s="329"/>
      <c r="BB98" s="664"/>
      <c r="BC98" s="664"/>
      <c r="BD98" s="664"/>
      <c r="BE98" s="664"/>
      <c r="BF98" s="664"/>
      <c r="BG98" s="664"/>
      <c r="BH98" s="664"/>
      <c r="BI98" s="664"/>
      <c r="BJ98" s="664"/>
      <c r="BK98" s="664"/>
    </row>
    <row r="99" spans="1:63" s="80" customFormat="1" ht="15" customHeight="1">
      <c r="A99" s="5065"/>
      <c r="B99" s="139"/>
      <c r="C99" s="139"/>
      <c r="D99" s="139"/>
      <c r="E99" s="139"/>
      <c r="F99" s="139"/>
      <c r="G99" s="139"/>
      <c r="H99" s="139"/>
      <c r="I99" s="139"/>
      <c r="J99" s="139"/>
      <c r="K99" s="139"/>
      <c r="L99" s="139"/>
      <c r="M99" s="139"/>
      <c r="N99" s="139"/>
      <c r="O99" s="139"/>
      <c r="P99" s="139"/>
      <c r="Q99" s="139"/>
      <c r="R99" s="139"/>
      <c r="S99" s="289"/>
      <c r="T99" s="139"/>
      <c r="U99" s="139"/>
      <c r="V99" s="329"/>
      <c r="W99" s="329"/>
      <c r="X99" s="329"/>
      <c r="Y99" s="329"/>
      <c r="Z99" s="329"/>
      <c r="AA99" s="329"/>
      <c r="AB99" s="3"/>
      <c r="AC99" s="3"/>
      <c r="AD99" s="3"/>
      <c r="AE99" s="3"/>
      <c r="AF99" s="3"/>
      <c r="AG99" s="329"/>
      <c r="AH99" s="3"/>
      <c r="AI99" s="3"/>
      <c r="AJ99" s="3"/>
      <c r="AK99" s="3"/>
      <c r="AL99" s="329"/>
      <c r="AM99" s="3"/>
      <c r="AN99" s="3"/>
      <c r="AO99" s="3"/>
      <c r="AP99" s="3"/>
      <c r="AQ99" s="329"/>
      <c r="AR99" s="3"/>
      <c r="AS99" s="3"/>
      <c r="AT99" s="3"/>
      <c r="AU99" s="3"/>
      <c r="AV99" s="329"/>
      <c r="AW99" s="3"/>
      <c r="AX99" s="3"/>
      <c r="AY99" s="3"/>
      <c r="AZ99" s="3"/>
      <c r="BA99" s="329"/>
      <c r="BB99" s="664"/>
      <c r="BC99" s="664"/>
      <c r="BD99" s="664"/>
      <c r="BE99" s="664"/>
      <c r="BF99" s="664"/>
      <c r="BG99" s="664"/>
      <c r="BH99" s="664"/>
      <c r="BI99" s="664"/>
      <c r="BJ99" s="664"/>
      <c r="BK99" s="664"/>
    </row>
    <row r="100" spans="1:63" s="80" customFormat="1" ht="9" customHeight="1">
      <c r="A100" s="5065"/>
      <c r="B100" s="139"/>
      <c r="C100" s="139"/>
      <c r="D100" s="139"/>
      <c r="E100" s="139"/>
      <c r="F100" s="139"/>
      <c r="G100" s="139"/>
      <c r="H100" s="139"/>
      <c r="I100" s="139"/>
      <c r="J100" s="139"/>
      <c r="K100" s="139"/>
      <c r="L100" s="139"/>
      <c r="M100" s="139"/>
      <c r="N100" s="139"/>
      <c r="O100" s="139"/>
      <c r="P100" s="139"/>
      <c r="Q100" s="139"/>
      <c r="R100" s="139"/>
      <c r="S100" s="289"/>
      <c r="T100" s="139"/>
      <c r="U100" s="139"/>
      <c r="V100" s="329"/>
      <c r="W100" s="329"/>
      <c r="X100" s="329"/>
      <c r="Y100" s="329"/>
      <c r="Z100" s="329"/>
      <c r="AA100" s="329"/>
      <c r="AB100" s="3"/>
      <c r="AC100" s="3"/>
      <c r="AD100" s="3"/>
      <c r="AE100" s="3"/>
      <c r="AF100" s="3"/>
      <c r="AG100" s="329"/>
      <c r="AH100" s="3"/>
      <c r="AI100" s="3"/>
      <c r="AJ100" s="3"/>
      <c r="AK100" s="3"/>
      <c r="AL100" s="329"/>
      <c r="AM100" s="3"/>
      <c r="AN100" s="3"/>
      <c r="AO100" s="3"/>
      <c r="AP100" s="3"/>
      <c r="AQ100" s="329"/>
      <c r="AR100" s="3"/>
      <c r="AS100" s="3"/>
      <c r="AT100" s="3"/>
      <c r="AU100" s="3"/>
      <c r="AV100" s="329"/>
      <c r="AW100" s="3"/>
      <c r="AX100" s="3"/>
      <c r="AY100" s="3"/>
      <c r="AZ100" s="3"/>
      <c r="BA100" s="329"/>
      <c r="BB100" s="664"/>
      <c r="BC100" s="664"/>
      <c r="BD100" s="664"/>
      <c r="BE100" s="664"/>
      <c r="BF100" s="664"/>
      <c r="BG100" s="664"/>
      <c r="BH100" s="664"/>
      <c r="BI100" s="664"/>
      <c r="BJ100" s="664"/>
      <c r="BK100" s="664"/>
    </row>
    <row r="101" spans="1:63" s="80" customFormat="1" ht="12.75" customHeight="1">
      <c r="A101" s="5065"/>
      <c r="B101" s="139"/>
      <c r="C101" s="139"/>
      <c r="D101" s="139"/>
      <c r="E101" s="139"/>
      <c r="F101" s="139"/>
      <c r="G101" s="139"/>
      <c r="H101" s="139"/>
      <c r="I101" s="139"/>
      <c r="J101" s="139"/>
      <c r="K101" s="139"/>
      <c r="L101" s="139"/>
      <c r="M101" s="139"/>
      <c r="N101" s="139"/>
      <c r="O101" s="139"/>
      <c r="P101" s="139"/>
      <c r="Q101" s="139"/>
      <c r="R101" s="139"/>
      <c r="S101" s="289"/>
      <c r="T101" s="139"/>
      <c r="U101" s="139"/>
      <c r="V101" s="329"/>
      <c r="W101" s="329"/>
      <c r="X101" s="329"/>
      <c r="Y101" s="329"/>
      <c r="Z101" s="329"/>
      <c r="AA101" s="329"/>
      <c r="AB101" s="3"/>
      <c r="AC101" s="3"/>
      <c r="AD101" s="3"/>
      <c r="AE101" s="3"/>
      <c r="AF101" s="3"/>
      <c r="AG101" s="329"/>
      <c r="AH101" s="3"/>
      <c r="AI101" s="3"/>
      <c r="AJ101" s="3"/>
      <c r="AK101" s="3"/>
      <c r="AL101" s="329"/>
      <c r="AM101" s="3"/>
      <c r="AN101" s="3"/>
      <c r="AO101" s="3"/>
      <c r="AP101" s="3"/>
      <c r="AQ101" s="329"/>
      <c r="AR101" s="3"/>
      <c r="AS101" s="3"/>
      <c r="AT101" s="3"/>
      <c r="AU101" s="3"/>
      <c r="AV101" s="329"/>
      <c r="AW101" s="3"/>
      <c r="AX101" s="3"/>
      <c r="AY101" s="3"/>
      <c r="AZ101" s="3"/>
      <c r="BA101" s="329"/>
      <c r="BB101" s="664"/>
      <c r="BC101" s="664"/>
      <c r="BD101" s="664"/>
      <c r="BE101" s="664"/>
      <c r="BF101" s="664"/>
      <c r="BG101" s="664"/>
      <c r="BH101" s="664"/>
      <c r="BI101" s="664"/>
      <c r="BJ101" s="664"/>
      <c r="BK101" s="664"/>
    </row>
    <row r="102" spans="1:63" ht="13.5" customHeight="1">
      <c r="A102" s="5065"/>
      <c r="B102" s="139"/>
      <c r="C102" s="139"/>
      <c r="D102" s="139"/>
      <c r="E102" s="139"/>
      <c r="F102" s="139"/>
      <c r="G102" s="139"/>
      <c r="H102" s="139"/>
      <c r="I102" s="139"/>
      <c r="J102" s="139"/>
      <c r="K102" s="139"/>
      <c r="L102" s="139"/>
      <c r="M102" s="139"/>
      <c r="N102" s="139"/>
      <c r="O102" s="139"/>
      <c r="P102" s="139"/>
      <c r="Q102" s="139"/>
      <c r="R102" s="139"/>
      <c r="S102" s="289"/>
      <c r="T102" s="139"/>
      <c r="U102" s="139"/>
      <c r="V102" s="329"/>
      <c r="W102" s="329"/>
      <c r="X102" s="329"/>
      <c r="Y102" s="329"/>
    </row>
    <row r="103" spans="1:63" ht="13.5" customHeight="1">
      <c r="B103" s="329"/>
      <c r="C103" s="329"/>
      <c r="D103" s="329"/>
      <c r="E103" s="329"/>
      <c r="F103" s="329"/>
      <c r="G103" s="329"/>
      <c r="H103" s="329"/>
      <c r="I103" s="329"/>
      <c r="J103" s="329"/>
      <c r="K103" s="329"/>
      <c r="L103" s="329"/>
      <c r="M103" s="329"/>
      <c r="N103" s="329"/>
      <c r="O103" s="329"/>
      <c r="P103" s="329"/>
      <c r="Q103" s="329"/>
      <c r="R103" s="329"/>
      <c r="S103" s="329"/>
      <c r="T103" s="329"/>
      <c r="U103" s="329"/>
      <c r="V103" s="329"/>
      <c r="W103" s="329"/>
      <c r="X103" s="329"/>
      <c r="Y103" s="329"/>
    </row>
    <row r="104" spans="1:63" ht="13.5" thickBot="1">
      <c r="B104" s="1"/>
      <c r="C104" s="1"/>
      <c r="D104" s="12"/>
      <c r="E104" s="12"/>
      <c r="F104" s="12"/>
      <c r="G104" s="12"/>
      <c r="K104" s="4"/>
      <c r="L104" s="4"/>
      <c r="M104" s="4"/>
      <c r="N104" s="4"/>
      <c r="O104" s="4"/>
      <c r="P104" s="4"/>
      <c r="Q104" s="4"/>
      <c r="R104" s="4"/>
      <c r="S104" s="4"/>
      <c r="T104" s="4"/>
      <c r="U104" s="4"/>
      <c r="V104" s="329"/>
      <c r="W104" s="329"/>
      <c r="X104" s="329"/>
      <c r="Y104" s="329"/>
    </row>
    <row r="105" spans="1:63" ht="14.25" thickTop="1" thickBot="1">
      <c r="D105" s="7255" t="s">
        <v>2195</v>
      </c>
      <c r="E105" s="8101"/>
      <c r="F105" s="8101"/>
      <c r="G105" s="8101"/>
      <c r="H105" s="8101"/>
      <c r="I105" s="8102"/>
      <c r="J105" s="143"/>
      <c r="K105" s="4"/>
      <c r="L105" s="4"/>
      <c r="M105" s="4"/>
      <c r="N105" s="4"/>
      <c r="O105" s="4"/>
      <c r="P105" s="4"/>
      <c r="Q105" s="4"/>
      <c r="R105" s="4"/>
      <c r="S105" s="4"/>
      <c r="T105" s="4"/>
      <c r="U105" s="4"/>
      <c r="V105" s="329"/>
      <c r="W105" s="329"/>
      <c r="X105" s="329"/>
      <c r="Y105" s="329"/>
    </row>
    <row r="106" spans="1:63" ht="14.25" thickTop="1" thickBot="1">
      <c r="D106" s="12"/>
      <c r="E106" s="12"/>
      <c r="I106" s="4"/>
      <c r="J106" s="4"/>
      <c r="K106" s="4"/>
      <c r="L106" s="4"/>
      <c r="M106" s="4"/>
      <c r="N106" s="4"/>
      <c r="O106" s="4"/>
      <c r="P106" s="4"/>
      <c r="Q106" s="4"/>
      <c r="R106" s="4"/>
      <c r="S106" s="4"/>
      <c r="U106" s="4"/>
      <c r="V106" s="329"/>
      <c r="W106" s="329"/>
      <c r="X106" s="329"/>
      <c r="Y106" s="329"/>
    </row>
    <row r="107" spans="1:63" ht="14.25" thickTop="1" thickBot="1">
      <c r="D107" s="7255" t="s">
        <v>2196</v>
      </c>
      <c r="E107" s="8101"/>
      <c r="F107" s="8101"/>
      <c r="G107" s="8101"/>
      <c r="H107" s="8101"/>
      <c r="I107" s="8102"/>
      <c r="J107" s="143"/>
      <c r="K107" s="4"/>
      <c r="L107" s="4"/>
      <c r="M107" s="4"/>
      <c r="N107" s="4"/>
      <c r="O107" s="4"/>
      <c r="P107" s="4"/>
      <c r="Q107" s="4"/>
      <c r="R107" s="4"/>
      <c r="S107" s="4"/>
      <c r="U107" s="4"/>
      <c r="V107" s="329"/>
      <c r="W107" s="329"/>
      <c r="X107" s="329"/>
      <c r="Y107" s="329"/>
    </row>
    <row r="108" spans="1:63" ht="13.5" thickTop="1">
      <c r="R108" s="4"/>
      <c r="S108" s="4"/>
      <c r="U108" s="4"/>
    </row>
    <row r="109" spans="1:63">
      <c r="R109" s="4"/>
      <c r="S109" s="4"/>
    </row>
  </sheetData>
  <sheetProtection formatCells="0" formatColumns="0" formatRows="0"/>
  <mergeCells count="105">
    <mergeCell ref="C36:H37"/>
    <mergeCell ref="I35:J35"/>
    <mergeCell ref="C22:H23"/>
    <mergeCell ref="B31:H33"/>
    <mergeCell ref="I31:J33"/>
    <mergeCell ref="K31:K33"/>
    <mergeCell ref="L31:N33"/>
    <mergeCell ref="B30:D30"/>
    <mergeCell ref="N3:Q4"/>
    <mergeCell ref="K13:K15"/>
    <mergeCell ref="L20:N20"/>
    <mergeCell ref="O20:P20"/>
    <mergeCell ref="L13:N15"/>
    <mergeCell ref="Q5:Q6"/>
    <mergeCell ref="F6:M6"/>
    <mergeCell ref="B12:D12"/>
    <mergeCell ref="B13:H15"/>
    <mergeCell ref="I20:J20"/>
    <mergeCell ref="I19:J19"/>
    <mergeCell ref="C18:H19"/>
    <mergeCell ref="C20:H21"/>
    <mergeCell ref="O13:Q15"/>
    <mergeCell ref="M7:Q7"/>
    <mergeCell ref="M8:Q8"/>
    <mergeCell ref="H2:L3"/>
    <mergeCell ref="F5:M5"/>
    <mergeCell ref="I17:J17"/>
    <mergeCell ref="L17:N17"/>
    <mergeCell ref="F4:M4"/>
    <mergeCell ref="C16:H16"/>
    <mergeCell ref="C17:F17"/>
    <mergeCell ref="G17:H17"/>
    <mergeCell ref="O17:Q17"/>
    <mergeCell ref="O19:Q19"/>
    <mergeCell ref="O21:Q21"/>
    <mergeCell ref="V31:V33"/>
    <mergeCell ref="D107:I107"/>
    <mergeCell ref="D105:I105"/>
    <mergeCell ref="B54:D54"/>
    <mergeCell ref="L37:N37"/>
    <mergeCell ref="L41:N41"/>
    <mergeCell ref="I41:J41"/>
    <mergeCell ref="I39:J39"/>
    <mergeCell ref="L39:N39"/>
    <mergeCell ref="O36:P36"/>
    <mergeCell ref="O56:P56"/>
    <mergeCell ref="O48:P48"/>
    <mergeCell ref="O38:P38"/>
    <mergeCell ref="C38:H39"/>
    <mergeCell ref="I36:J36"/>
    <mergeCell ref="L36:N36"/>
    <mergeCell ref="I38:J38"/>
    <mergeCell ref="C40:H41"/>
    <mergeCell ref="L35:N35"/>
    <mergeCell ref="C34:H35"/>
    <mergeCell ref="L38:N38"/>
    <mergeCell ref="V83:V86"/>
    <mergeCell ref="W31:W33"/>
    <mergeCell ref="X31:X33"/>
    <mergeCell ref="O28:P28"/>
    <mergeCell ref="O23:Q23"/>
    <mergeCell ref="O24:Q24"/>
    <mergeCell ref="O22:P22"/>
    <mergeCell ref="O25:Q25"/>
    <mergeCell ref="O29:Q29"/>
    <mergeCell ref="O31:Q33"/>
    <mergeCell ref="V25:V28"/>
    <mergeCell ref="V44:V47"/>
    <mergeCell ref="O75:Q75"/>
    <mergeCell ref="O42:P42"/>
    <mergeCell ref="O45:Q45"/>
    <mergeCell ref="O49:Q49"/>
    <mergeCell ref="O35:Q35"/>
    <mergeCell ref="O37:Q37"/>
    <mergeCell ref="O39:Q39"/>
    <mergeCell ref="O41:Q41"/>
    <mergeCell ref="O43:Q43"/>
    <mergeCell ref="O44:Q44"/>
    <mergeCell ref="O40:P40"/>
    <mergeCell ref="O57:Q57"/>
    <mergeCell ref="O72:Q72"/>
    <mergeCell ref="N1:R1"/>
    <mergeCell ref="AM8:AP8"/>
    <mergeCell ref="AR8:AU8"/>
    <mergeCell ref="AW8:AZ8"/>
    <mergeCell ref="N2:Q2"/>
    <mergeCell ref="AB8:AF8"/>
    <mergeCell ref="I40:J40"/>
    <mergeCell ref="L40:N40"/>
    <mergeCell ref="W13:W15"/>
    <mergeCell ref="V13:V15"/>
    <mergeCell ref="X13:X15"/>
    <mergeCell ref="I23:J23"/>
    <mergeCell ref="I22:J22"/>
    <mergeCell ref="L22:N22"/>
    <mergeCell ref="L23:N23"/>
    <mergeCell ref="L19:N19"/>
    <mergeCell ref="O18:P18"/>
    <mergeCell ref="I13:J15"/>
    <mergeCell ref="L18:N18"/>
    <mergeCell ref="L21:N21"/>
    <mergeCell ref="I18:J18"/>
    <mergeCell ref="I21:J21"/>
    <mergeCell ref="I37:J37"/>
    <mergeCell ref="AH8:AK8"/>
  </mergeCells>
  <phoneticPr fontId="13" type="noConversion"/>
  <conditionalFormatting sqref="B8:M8">
    <cfRule type="expression" dxfId="2794" priority="164">
      <formula>IF(NoColor,1,0)</formula>
    </cfRule>
  </conditionalFormatting>
  <conditionalFormatting sqref="I12 K12">
    <cfRule type="expression" dxfId="2793" priority="586" stopIfTrue="1">
      <formula>IF(SUM(#REF!)&gt;0,1,0)</formula>
    </cfRule>
  </conditionalFormatting>
  <conditionalFormatting sqref="I30">
    <cfRule type="expression" dxfId="2792" priority="70" stopIfTrue="1">
      <formula>IF(SUM(#REF!)&gt;0,1,0)</formula>
    </cfRule>
  </conditionalFormatting>
  <conditionalFormatting sqref="I23:N23">
    <cfRule type="expression" dxfId="2791" priority="24">
      <formula>IF(NoColor,1,0)</formula>
    </cfRule>
  </conditionalFormatting>
  <conditionalFormatting sqref="I17:P17">
    <cfRule type="expression" dxfId="2790" priority="94">
      <formula>IF(NoColor,1,0)</formula>
    </cfRule>
  </conditionalFormatting>
  <conditionalFormatting sqref="I19:P19">
    <cfRule type="expression" dxfId="2789" priority="7">
      <formula>IF(NoColor,1,0)</formula>
    </cfRule>
  </conditionalFormatting>
  <conditionalFormatting sqref="I21:P21">
    <cfRule type="expression" dxfId="2788" priority="8">
      <formula>IF(NoColor,1,0)</formula>
    </cfRule>
  </conditionalFormatting>
  <conditionalFormatting sqref="I35:P35">
    <cfRule type="expression" dxfId="2787" priority="116">
      <formula>IF(NoColor,1,0)</formula>
    </cfRule>
  </conditionalFormatting>
  <conditionalFormatting sqref="I37:P37">
    <cfRule type="expression" dxfId="2786" priority="1">
      <formula>IF(NoColor,1,0)</formula>
    </cfRule>
  </conditionalFormatting>
  <conditionalFormatting sqref="I39:P39">
    <cfRule type="expression" dxfId="2785" priority="2">
      <formula>IF(NoColor,1,0)</formula>
    </cfRule>
  </conditionalFormatting>
  <conditionalFormatting sqref="I41:P41">
    <cfRule type="expression" dxfId="2784" priority="13">
      <formula>IF(NoColor,1,0)</formula>
    </cfRule>
  </conditionalFormatting>
  <conditionalFormatting sqref="K30">
    <cfRule type="expression" dxfId="2783" priority="239" stopIfTrue="1">
      <formula>IF(SUM(#REF!)&gt;0,1,0)</formula>
    </cfRule>
  </conditionalFormatting>
  <conditionalFormatting sqref="L10">
    <cfRule type="expression" dxfId="2782" priority="38">
      <formula>NoColor</formula>
    </cfRule>
  </conditionalFormatting>
  <conditionalFormatting sqref="N30">
    <cfRule type="expression" dxfId="2781" priority="34" stopIfTrue="1">
      <formula>IF(SUM(#REF!)&gt;0,1,0)</formula>
    </cfRule>
  </conditionalFormatting>
  <conditionalFormatting sqref="O10">
    <cfRule type="expression" dxfId="2779" priority="37">
      <formula>NoColor</formula>
    </cfRule>
  </conditionalFormatting>
  <conditionalFormatting sqref="O72">
    <cfRule type="expression" dxfId="2778" priority="146">
      <formula>IF(NoColor,1,0)</formula>
    </cfRule>
  </conditionalFormatting>
  <conditionalFormatting sqref="O75">
    <cfRule type="expression" dxfId="2777" priority="145">
      <formula>IF(NoColor,1,0)</formula>
    </cfRule>
  </conditionalFormatting>
  <conditionalFormatting sqref="O23:P25">
    <cfRule type="expression" dxfId="2776" priority="23">
      <formula>IF(NoColor,1,0)</formula>
    </cfRule>
  </conditionalFormatting>
  <conditionalFormatting sqref="O29:P29">
    <cfRule type="expression" dxfId="2775" priority="52">
      <formula>IF(NoColor,1,0)</formula>
    </cfRule>
  </conditionalFormatting>
  <conditionalFormatting sqref="O43:P45">
    <cfRule type="expression" dxfId="2774" priority="47">
      <formula>IF(NoColor,1,0)</formula>
    </cfRule>
  </conditionalFormatting>
  <conditionalFormatting sqref="O49:P49">
    <cfRule type="expression" dxfId="2773" priority="45">
      <formula>IF(NoColor,1,0)</formula>
    </cfRule>
  </conditionalFormatting>
  <conditionalFormatting sqref="O57:P57">
    <cfRule type="expression" dxfId="2772" priority="147">
      <formula>IF(NoColor,1,0)</formula>
    </cfRule>
  </conditionalFormatting>
  <conditionalFormatting sqref="O27:Q27">
    <cfRule type="expression" dxfId="2771" priority="44">
      <formula>IF(NoColor,1,0)</formula>
    </cfRule>
  </conditionalFormatting>
  <conditionalFormatting sqref="O47:Q47">
    <cfRule type="expression" dxfId="2770" priority="35">
      <formula>IF(NoColor,1,0)</formula>
    </cfRule>
  </conditionalFormatting>
  <conditionalFormatting sqref="O86:Q86">
    <cfRule type="expression" dxfId="2769" priority="39">
      <formula>IF(NoColor,1,0)</formula>
    </cfRule>
  </conditionalFormatting>
  <conditionalFormatting sqref="V19:X19">
    <cfRule type="expression" dxfId="2767" priority="113">
      <formula>IF(NoColor,1,0)</formula>
    </cfRule>
  </conditionalFormatting>
  <conditionalFormatting sqref="V21:X21">
    <cfRule type="expression" dxfId="2766" priority="87">
      <formula>IF(NoColor,1,0)</formula>
    </cfRule>
  </conditionalFormatting>
  <conditionalFormatting sqref="V23:X23">
    <cfRule type="expression" dxfId="2765" priority="111">
      <formula>IF(NoColor,1,0)</formula>
    </cfRule>
  </conditionalFormatting>
  <conditionalFormatting sqref="V37:X37">
    <cfRule type="expression" dxfId="2764" priority="101">
      <formula>IF(NoColor,1,0)</formula>
    </cfRule>
  </conditionalFormatting>
  <conditionalFormatting sqref="V39:X39">
    <cfRule type="expression" dxfId="2763" priority="97">
      <formula>IF(NoColor,1,0)</formula>
    </cfRule>
  </conditionalFormatting>
  <conditionalFormatting sqref="V41:X41">
    <cfRule type="expression" dxfId="2762" priority="96">
      <formula>IF(NoColor,1,0)</formula>
    </cfRule>
  </conditionalFormatting>
  <hyperlinks>
    <hyperlink ref="D105:I105" r:id="rId1" display="Download Form 1040 Schedule D" xr:uid="{00000000-0004-0000-1E00-000000000000}"/>
    <hyperlink ref="D107:I107" r:id="rId2" display="Download Form 1040 Schedule D Instructions" xr:uid="{00000000-0004-0000-1E00-000001000000}"/>
  </hyperlinks>
  <pageMargins left="0.75" right="0.25" top="0.36" bottom="0.28999999999999998" header="0.36" footer="0.21"/>
  <pageSetup scale="83" fitToHeight="0" orientation="portrait" r:id="rId3"/>
  <rowBreaks count="2" manualBreakCount="2">
    <brk id="50" min="1" max="15" man="1"/>
    <brk id="100" min="1" max="12" man="1"/>
  </rowBreaks>
  <drawing r:id="rId4"/>
  <extLst>
    <ext xmlns:x14="http://schemas.microsoft.com/office/spreadsheetml/2009/9/main" uri="{78C0D931-6437-407d-A8EE-F0AAD7539E65}">
      <x14:conditionalFormattings>
        <x14:conditionalFormatting xmlns:xm="http://schemas.microsoft.com/office/excel/2006/main">
          <x14:cfRule type="expression" priority="33" id="{0EEFEBC6-8A07-43BA-93F0-697374CA0C13}">
            <xm:f>AND(S2="",'Table of Contents'!B36="D")</xm:f>
            <x14:dxf>
              <font>
                <b/>
                <i val="0"/>
                <color rgb="FFC00000"/>
              </font>
            </x14:dxf>
          </x14:cfRule>
          <xm:sqref>N2:Q2</xm:sqref>
        </x14:conditionalFormatting>
        <x14:conditionalFormatting xmlns:xm="http://schemas.microsoft.com/office/excel/2006/main">
          <x14:cfRule type="expression" priority="32" id="{EEFF5971-81EC-4481-A07E-1FA84A825156}">
            <xm:f>'Table of Contents'!B36="D"</xm:f>
            <x14:dxf>
              <fill>
                <patternFill>
                  <bgColor theme="0"/>
                </patternFill>
              </fill>
              <border>
                <right style="thin">
                  <color auto="1"/>
                </right>
                <top style="thin">
                  <color auto="1"/>
                </top>
                <bottom style="thin">
                  <color auto="1"/>
                </bottom>
                <vertical/>
                <horizontal/>
              </border>
            </x14:dxf>
          </x14:cfRule>
          <xm:sqref>S2</xm:sqref>
        </x14:conditionalFormatting>
      </x14:conditionalFormatting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9">
    <pageSetUpPr fitToPage="1"/>
  </sheetPr>
  <dimension ref="A1:AU153"/>
  <sheetViews>
    <sheetView zoomScaleNormal="100" zoomScaleSheetLayoutView="100" workbookViewId="0">
      <selection activeCell="AH38" sqref="AH38"/>
    </sheetView>
  </sheetViews>
  <sheetFormatPr defaultRowHeight="12.75"/>
  <cols>
    <col min="1" max="1" width="4" customWidth="1"/>
    <col min="2" max="2" width="4.5703125" customWidth="1"/>
    <col min="3" max="3" width="1.5703125" customWidth="1"/>
    <col min="4" max="4" width="3" customWidth="1"/>
    <col min="5" max="5" width="16.42578125" customWidth="1"/>
    <col min="6" max="6" width="11.42578125" customWidth="1"/>
    <col min="7" max="7" width="12.7109375" customWidth="1"/>
    <col min="8" max="8" width="6.85546875" customWidth="1"/>
    <col min="9" max="9" width="3.85546875" customWidth="1"/>
    <col min="10" max="10" width="14.42578125" customWidth="1"/>
    <col min="11" max="11" width="5" customWidth="1"/>
    <col min="12" max="12" width="13.140625" customWidth="1"/>
    <col min="13" max="13" width="3.5703125" customWidth="1"/>
    <col min="14" max="14" width="2" customWidth="1"/>
    <col min="15" max="15" width="13.140625" customWidth="1"/>
    <col min="16" max="16" width="2" customWidth="1"/>
    <col min="17" max="17" width="3.7109375" customWidth="1"/>
    <col min="18" max="18" width="11.7109375" customWidth="1"/>
    <col min="19" max="19" width="1.5703125" customWidth="1"/>
    <col min="20" max="20" width="7.28515625" customWidth="1"/>
    <col min="21" max="21" width="23.85546875" customWidth="1"/>
    <col min="22" max="22" width="6.7109375" customWidth="1"/>
    <col min="23" max="23" width="3.28515625" customWidth="1"/>
    <col min="24" max="24" width="10.140625" customWidth="1"/>
    <col min="25" max="27" width="12.28515625" customWidth="1"/>
    <col min="28" max="28" width="4" customWidth="1"/>
    <col min="29" max="33" width="12.28515625" hidden="1" customWidth="1"/>
    <col min="34" max="36" width="9.140625" hidden="1" customWidth="1"/>
    <col min="37" max="37" width="9.85546875" hidden="1" customWidth="1"/>
    <col min="38" max="39" width="9.140625" hidden="1" customWidth="1"/>
    <col min="40" max="40" width="3.28515625" customWidth="1"/>
    <col min="41" max="47" width="10.7109375" style="815" customWidth="1"/>
  </cols>
  <sheetData>
    <row r="1" spans="1:47" ht="18.75" customHeight="1">
      <c r="A1" s="88"/>
      <c r="B1" s="2768"/>
      <c r="C1" s="2768"/>
      <c r="D1" s="2769"/>
      <c r="E1" s="2769"/>
      <c r="F1" s="2769"/>
      <c r="G1" s="2751"/>
      <c r="H1" s="2768"/>
      <c r="I1" s="2768"/>
      <c r="J1" s="2751"/>
      <c r="K1" s="2751"/>
      <c r="L1" s="2751"/>
      <c r="M1" s="2751"/>
      <c r="N1" s="2751"/>
      <c r="O1" s="2751"/>
      <c r="P1" s="2751"/>
      <c r="Q1" s="3222"/>
      <c r="R1" s="3223"/>
      <c r="S1" s="3224"/>
      <c r="T1" s="3225"/>
      <c r="U1" s="3224"/>
      <c r="V1" s="3224"/>
      <c r="W1" s="253"/>
      <c r="X1" s="253"/>
      <c r="Y1" s="253"/>
      <c r="Z1" s="253"/>
      <c r="AA1" s="253"/>
      <c r="AB1" s="253"/>
      <c r="AC1" s="253"/>
      <c r="AD1" s="253"/>
      <c r="AE1" s="253"/>
      <c r="AF1" s="253"/>
      <c r="AG1" s="253"/>
      <c r="AH1" s="253"/>
      <c r="AI1" s="253"/>
      <c r="AJ1" s="253"/>
      <c r="AK1" s="253"/>
      <c r="AL1" s="253"/>
      <c r="AM1" s="253"/>
      <c r="AN1" s="253"/>
      <c r="AO1" s="825" t="s">
        <v>223</v>
      </c>
      <c r="AP1" s="658"/>
      <c r="AQ1" s="658"/>
      <c r="AR1" s="658"/>
      <c r="AS1" s="658"/>
      <c r="AT1" s="658"/>
      <c r="AU1" s="658"/>
    </row>
    <row r="2" spans="1:47" ht="18" customHeight="1" thickBot="1">
      <c r="A2" s="88"/>
      <c r="B2" s="2815"/>
      <c r="C2" s="2815"/>
      <c r="D2" s="2815" t="s">
        <v>2197</v>
      </c>
      <c r="E2" s="2815"/>
      <c r="F2" s="2815"/>
      <c r="G2" s="2751"/>
      <c r="H2" s="2768"/>
      <c r="I2" s="2768"/>
      <c r="J2" s="2751"/>
      <c r="K2" s="2751"/>
      <c r="L2" s="2751"/>
      <c r="M2" s="3226" t="str">
        <f>IF('Table of Contents'!A37="D","DRAFT Instructions","Keep for Your Records")</f>
        <v>Keep for Your Records</v>
      </c>
      <c r="N2" s="3226"/>
      <c r="O2" s="3226"/>
      <c r="P2" s="3226"/>
      <c r="Q2" s="3224"/>
      <c r="R2" s="3224"/>
      <c r="S2" s="3224"/>
      <c r="T2" s="3227" t="b">
        <f>(T3&lt;&gt;"")</f>
        <v>0</v>
      </c>
      <c r="U2" s="3224"/>
      <c r="V2" s="3224"/>
      <c r="W2" s="253"/>
      <c r="X2" s="253"/>
      <c r="Y2" s="253"/>
      <c r="Z2" s="253"/>
      <c r="AA2" s="253"/>
      <c r="AB2" s="253"/>
      <c r="AC2" s="253"/>
      <c r="AD2" s="253"/>
      <c r="AE2" s="253"/>
      <c r="AF2" s="253"/>
      <c r="AG2" s="253"/>
      <c r="AH2" s="253"/>
      <c r="AI2" s="253"/>
      <c r="AJ2" s="253"/>
      <c r="AK2" s="253"/>
      <c r="AL2" s="253"/>
      <c r="AM2" s="253"/>
      <c r="AN2" s="253"/>
      <c r="AO2" s="826" t="s">
        <v>227</v>
      </c>
      <c r="AP2" s="658"/>
      <c r="AQ2" s="658"/>
      <c r="AR2" s="658"/>
      <c r="AS2" s="658"/>
      <c r="AT2" s="658"/>
      <c r="AU2" s="658"/>
    </row>
    <row r="3" spans="1:47" ht="17.25" customHeight="1" thickBot="1">
      <c r="A3" s="88"/>
      <c r="B3" s="3228"/>
      <c r="C3" s="3229"/>
      <c r="D3" s="3230"/>
      <c r="E3" s="3230"/>
      <c r="F3" s="3230"/>
      <c r="G3" s="3231"/>
      <c r="H3" s="3229"/>
      <c r="I3" s="3229"/>
      <c r="J3" s="3231"/>
      <c r="K3" s="3231"/>
      <c r="L3" s="3231"/>
      <c r="M3" s="3231"/>
      <c r="N3" s="3231"/>
      <c r="O3" s="3232"/>
      <c r="P3" s="3231"/>
      <c r="Q3" s="3231"/>
      <c r="R3" s="3233"/>
      <c r="S3" s="3234"/>
      <c r="T3" s="1520"/>
      <c r="U3" s="2497" t="str">
        <f>"&lt;&lt; Check here if "&amp;TaxYear-1&amp;" filing status was MFS."</f>
        <v>&lt;&lt; Check here if 2024 filing status was MFS.</v>
      </c>
      <c r="V3" s="229"/>
      <c r="W3" s="253"/>
      <c r="X3" s="3235" t="b">
        <f>IF(SUM(W4:W8)&gt;0,TRUE,FALSE)</f>
        <v>0</v>
      </c>
      <c r="Y3" s="512"/>
      <c r="Z3" s="512"/>
      <c r="AA3" s="512"/>
      <c r="AB3" s="512"/>
      <c r="AC3" s="253"/>
      <c r="AD3" s="253"/>
      <c r="AE3" s="253"/>
      <c r="AF3" s="253"/>
      <c r="AG3" s="253"/>
      <c r="AH3" s="253"/>
      <c r="AI3" s="253"/>
      <c r="AJ3" s="253"/>
      <c r="AK3" s="253"/>
      <c r="AL3" s="253"/>
      <c r="AM3" s="253"/>
      <c r="AN3" s="253"/>
      <c r="AO3" s="827"/>
      <c r="AP3" s="658"/>
      <c r="AQ3" s="658"/>
      <c r="AR3" s="658"/>
      <c r="AS3" s="658"/>
      <c r="AT3" s="658"/>
      <c r="AU3" s="658"/>
    </row>
    <row r="4" spans="1:47" ht="17.25" customHeight="1">
      <c r="A4" s="88"/>
      <c r="B4" s="3236"/>
      <c r="C4" s="3237" t="str">
        <f>"Use this worksheet to figure your capital loss carryovers from "&amp;TaxYear-1&amp;" to "&amp;TaxYear&amp;" if your "&amp;TaxYear-1&amp;" Schedule D, line 21, is a loss and"</f>
        <v>Use this worksheet to figure your capital loss carryovers from 2024 to 2025 if your 2024 Schedule D, line 21, is a loss and</v>
      </c>
      <c r="D4" s="3237"/>
      <c r="E4" s="3237"/>
      <c r="F4" s="3237"/>
      <c r="G4" s="3238"/>
      <c r="H4" s="3239"/>
      <c r="I4" s="3239"/>
      <c r="J4" s="3238"/>
      <c r="K4" s="3238"/>
      <c r="L4" s="3238"/>
      <c r="M4" s="3238"/>
      <c r="N4" s="3238"/>
      <c r="O4" s="3238"/>
      <c r="P4" s="3238"/>
      <c r="Q4" s="3238"/>
      <c r="R4" s="352"/>
      <c r="S4" s="3240"/>
      <c r="T4" s="3225"/>
      <c r="U4" s="2497" t="str">
        <f>TaxYear-1&amp;" Sch. D, Line 7, (S.T. capital gains)"</f>
        <v>2024 Sch. D, Line 7, (S.T. capital gains)</v>
      </c>
      <c r="V4" s="229"/>
      <c r="W4" s="1318">
        <f>IF(R4="",0,1)</f>
        <v>0</v>
      </c>
      <c r="X4" s="3241" t="b">
        <f>IF(R7&lt;0,TRUE,FALSE)</f>
        <v>0</v>
      </c>
      <c r="Y4" s="3243" t="str">
        <f>"&lt;---  "&amp;TaxYear-1&amp;" Sch. D, line 21 is a loss,     AND"</f>
        <v>&lt;---  2024 Sch. D, line 21 is a loss,     AND</v>
      </c>
      <c r="Z4" s="3242"/>
      <c r="AA4" s="3242"/>
      <c r="AB4" s="3244"/>
      <c r="AC4" s="253"/>
      <c r="AD4" s="253"/>
      <c r="AE4" s="253"/>
      <c r="AF4" s="253"/>
      <c r="AG4" s="253"/>
      <c r="AH4" s="253"/>
      <c r="AI4" s="253"/>
      <c r="AJ4" s="253"/>
      <c r="AK4" s="253"/>
      <c r="AL4" s="253"/>
      <c r="AM4" s="253"/>
      <c r="AN4" s="253"/>
      <c r="AO4" s="827"/>
      <c r="AP4" s="658"/>
      <c r="AQ4" s="658"/>
      <c r="AR4" s="658"/>
      <c r="AS4" s="658"/>
      <c r="AT4" s="658"/>
      <c r="AU4" s="658"/>
    </row>
    <row r="5" spans="1:47" ht="13.5" customHeight="1">
      <c r="A5" s="88"/>
      <c r="B5" s="3236"/>
      <c r="C5" s="3237"/>
      <c r="D5" s="3237"/>
      <c r="E5" s="3237"/>
      <c r="F5" s="3237"/>
      <c r="G5" s="3238"/>
      <c r="H5" s="3239"/>
      <c r="I5" s="3239"/>
      <c r="J5" s="3238"/>
      <c r="K5" s="3238"/>
      <c r="L5" s="3238"/>
      <c r="M5" s="3238"/>
      <c r="N5" s="3238"/>
      <c r="O5" s="3238"/>
      <c r="P5" s="3238"/>
      <c r="Q5" s="3238"/>
      <c r="R5" s="352"/>
      <c r="S5" s="3240"/>
      <c r="T5" s="3225"/>
      <c r="U5" s="2497" t="str">
        <f>TaxYear-1&amp;" Sch. D, Line 15 (L.T. capital gains)"</f>
        <v>2024 Sch. D, Line 15 (L.T. capital gains)</v>
      </c>
      <c r="V5" s="229"/>
      <c r="W5" s="1318">
        <f>IF(R5="",0,1)</f>
        <v>0</v>
      </c>
      <c r="X5" s="1965"/>
      <c r="Y5" s="3245"/>
      <c r="Z5" s="253"/>
      <c r="AA5" s="253"/>
      <c r="AB5" s="409"/>
      <c r="AC5" s="253"/>
      <c r="AD5" s="253"/>
      <c r="AE5" s="253"/>
      <c r="AF5" s="253"/>
      <c r="AG5" s="253"/>
      <c r="AH5" s="253"/>
      <c r="AI5" s="253"/>
      <c r="AJ5" s="253"/>
      <c r="AK5" s="253"/>
      <c r="AL5" s="253"/>
      <c r="AM5" s="253"/>
      <c r="AN5" s="253"/>
      <c r="AO5" s="827"/>
      <c r="AP5" s="658"/>
      <c r="AQ5" s="658"/>
      <c r="AR5" s="658"/>
      <c r="AS5" s="658"/>
      <c r="AT5" s="658"/>
      <c r="AU5" s="658"/>
    </row>
    <row r="6" spans="1:47" ht="13.5" customHeight="1">
      <c r="A6" s="88"/>
      <c r="B6" s="3236"/>
      <c r="C6" s="3237"/>
      <c r="D6" s="3237"/>
      <c r="E6" s="3237"/>
      <c r="F6" s="3237"/>
      <c r="G6" s="3238"/>
      <c r="H6" s="3239"/>
      <c r="I6" s="3239"/>
      <c r="J6" s="3238"/>
      <c r="K6" s="3238"/>
      <c r="L6" s="3238"/>
      <c r="M6" s="3238"/>
      <c r="N6" s="3238"/>
      <c r="O6" s="3238"/>
      <c r="P6" s="3238"/>
      <c r="Q6" s="3238"/>
      <c r="R6" s="2628" t="str">
        <f>IF(AND(R4="",R5=""),"",ROUND(SUM(R4,R5),0))</f>
        <v/>
      </c>
      <c r="S6" s="3240"/>
      <c r="T6" s="3225"/>
      <c r="U6" s="2497" t="str">
        <f>TaxYear-1&amp;" Sch. D, Line 16 (Combine lines 7 &amp;15)"</f>
        <v>2024 Sch. D, Line 16 (Combine lines 7 &amp;15)</v>
      </c>
      <c r="V6" s="229"/>
      <c r="W6" s="1318"/>
      <c r="X6" s="1965"/>
      <c r="Y6" s="3245"/>
      <c r="Z6" s="253"/>
      <c r="AA6" s="253"/>
      <c r="AB6" s="409"/>
      <c r="AC6" s="253"/>
      <c r="AD6" s="253"/>
      <c r="AE6" s="253"/>
      <c r="AF6" s="253"/>
      <c r="AG6" s="253"/>
      <c r="AH6" s="253"/>
      <c r="AI6" s="253"/>
      <c r="AJ6" s="253"/>
      <c r="AK6" s="253"/>
      <c r="AL6" s="253"/>
      <c r="AM6" s="253"/>
      <c r="AN6" s="253"/>
      <c r="AO6" s="827"/>
      <c r="AP6" s="658"/>
      <c r="AQ6" s="658"/>
      <c r="AR6" s="658"/>
      <c r="AS6" s="658"/>
      <c r="AT6" s="658"/>
      <c r="AU6" s="658"/>
    </row>
    <row r="7" spans="1:47" ht="13.5" customHeight="1">
      <c r="A7" s="88"/>
      <c r="B7" s="3236"/>
      <c r="C7" s="3237"/>
      <c r="D7" s="3239" t="s">
        <v>2198</v>
      </c>
      <c r="E7" s="3237" t="str">
        <f>" that loss is a smaller loss than the loss on your "&amp;TaxYear-1&amp;" Schedule D, line 16,"</f>
        <v xml:space="preserve"> that loss is a smaller loss than the loss on your 2024 Schedule D, line 16,</v>
      </c>
      <c r="F7" s="3237"/>
      <c r="G7" s="3238"/>
      <c r="H7" s="3239"/>
      <c r="I7" s="3239"/>
      <c r="J7" s="3238"/>
      <c r="K7" s="3246" t="s">
        <v>1235</v>
      </c>
      <c r="L7" s="3238"/>
      <c r="M7" s="3238"/>
      <c r="N7" s="3238"/>
      <c r="O7" s="3247"/>
      <c r="P7" s="3238"/>
      <c r="Q7" s="3238"/>
      <c r="R7" s="352"/>
      <c r="S7" s="3240"/>
      <c r="T7" s="3225"/>
      <c r="U7" s="3248" t="str">
        <f>TaxYear-1&amp;" Sch. D, Line 21"</f>
        <v>2024 Sch. D, Line 21</v>
      </c>
      <c r="V7" s="229"/>
      <c r="W7" s="1318">
        <f>IF(R7="",0,1)</f>
        <v>0</v>
      </c>
      <c r="X7" s="1965" t="b">
        <f>IF(R6="",FALSE,IF(AND(X4,R6&lt;0,ABS(R7)&lt;ABS(R6)),TRUE,FALSE))</f>
        <v>0</v>
      </c>
      <c r="Y7" s="3245" t="str">
        <f>"&lt;---  "&amp;TaxYear-1&amp;" Sch. D, line 21, loss is &lt; line 16 loss,  OR"</f>
        <v>&lt;---  2024 Sch. D, line 21, loss is &lt; line 16 loss,  OR</v>
      </c>
      <c r="Z7" s="253"/>
      <c r="AA7" s="253"/>
      <c r="AB7" s="409"/>
      <c r="AC7" s="253"/>
      <c r="AD7" s="253"/>
      <c r="AE7" s="253"/>
      <c r="AF7" s="253"/>
      <c r="AG7" s="253"/>
      <c r="AH7" s="253"/>
      <c r="AI7" s="253"/>
      <c r="AJ7" s="253"/>
      <c r="AK7" s="253"/>
      <c r="AL7" s="253"/>
      <c r="AM7" s="253"/>
      <c r="AN7" s="253"/>
      <c r="AO7" s="827"/>
      <c r="AP7" s="658"/>
      <c r="AQ7" s="658"/>
      <c r="AR7" s="658"/>
      <c r="AS7" s="658"/>
      <c r="AT7" s="658"/>
      <c r="AU7" s="658"/>
    </row>
    <row r="8" spans="1:47" ht="13.5" customHeight="1">
      <c r="A8" s="88"/>
      <c r="B8" s="3236"/>
      <c r="C8" s="3237"/>
      <c r="D8" s="3246" t="s">
        <v>2199</v>
      </c>
      <c r="E8" s="3237" t="str">
        <f>" if the amount on your "&amp;TaxYear-1&amp;" Form 1040, 1040-SR, or 1040-NR, line 15 would be"</f>
        <v xml:space="preserve"> if the amount on your 2024 Form 1040, 1040-SR, or 1040-NR, line 15 would be</v>
      </c>
      <c r="F8" s="3237"/>
      <c r="G8" s="3238"/>
      <c r="H8" s="3237"/>
      <c r="I8" s="3239"/>
      <c r="J8" s="3238"/>
      <c r="K8" s="3238"/>
      <c r="L8" s="3238"/>
      <c r="M8" s="3238"/>
      <c r="N8" s="3238"/>
      <c r="O8" s="3238"/>
      <c r="P8" s="3238"/>
      <c r="Q8" s="3238"/>
      <c r="R8" s="352"/>
      <c r="S8" s="3240"/>
      <c r="T8" s="3225"/>
      <c r="U8" s="2497" t="str">
        <f>TaxYear-1&amp;" Form 1040, Line 15 (Taxable Income)"</f>
        <v>2024 Form 1040, Line 15 (Taxable Income)</v>
      </c>
      <c r="V8" s="229"/>
      <c r="W8" s="1318">
        <f>IF(R8="",0,1)</f>
        <v>0</v>
      </c>
      <c r="X8" s="3249" t="b">
        <f>AND(R8&lt;&gt;"",R8&lt;&gt;0)</f>
        <v>0</v>
      </c>
      <c r="Y8" s="3251" t="str">
        <f>"&lt;---  "&amp;TaxYear-1&amp;" Form 1040, line 15, would have been &lt; $0."</f>
        <v>&lt;---  2024 Form 1040, line 15, would have been &lt; $0.</v>
      </c>
      <c r="Z8" s="3250"/>
      <c r="AA8" s="3250"/>
      <c r="AB8" s="3252"/>
      <c r="AC8" s="253"/>
      <c r="AD8" s="253"/>
      <c r="AE8" s="253"/>
      <c r="AF8" s="253"/>
      <c r="AG8" s="253"/>
      <c r="AH8" s="253"/>
      <c r="AI8" s="253"/>
      <c r="AJ8" s="253"/>
      <c r="AK8" s="253"/>
      <c r="AL8" s="253"/>
      <c r="AM8" s="253"/>
      <c r="AN8" s="253"/>
      <c r="AO8" s="827"/>
      <c r="AP8" s="658"/>
      <c r="AQ8" s="658"/>
      <c r="AR8" s="658"/>
      <c r="AS8" s="658"/>
      <c r="AT8" s="658"/>
      <c r="AU8" s="658"/>
    </row>
    <row r="9" spans="1:47" ht="13.5" customHeight="1">
      <c r="A9" s="88"/>
      <c r="B9" s="3236"/>
      <c r="C9" s="3253"/>
      <c r="D9" s="3253"/>
      <c r="E9" s="3237" t="s">
        <v>2200</v>
      </c>
      <c r="F9" s="3237"/>
      <c r="G9" s="3237"/>
      <c r="H9" s="3254"/>
      <c r="I9" s="3237"/>
      <c r="J9" s="3238"/>
      <c r="K9" s="3238"/>
      <c r="L9" s="3238"/>
      <c r="M9" s="3238"/>
      <c r="N9" s="3238"/>
      <c r="O9" s="3247"/>
      <c r="P9" s="3238"/>
      <c r="Q9" s="3238"/>
      <c r="R9" s="8364"/>
      <c r="S9" s="3240"/>
      <c r="T9" s="3225"/>
      <c r="U9" s="2703" t="str">
        <f>IF(U12,"The amount of loss on Sch. D, Line 21,","")</f>
        <v/>
      </c>
      <c r="V9" s="229"/>
      <c r="W9" s="712"/>
      <c r="X9" s="3255" t="b">
        <f>OR(W9&lt;&gt;"",AND(X3,X4,OR(X7,X8)))</f>
        <v>0</v>
      </c>
      <c r="Y9" s="462" t="str">
        <f>IF(X9,"&lt;---  If true, then this WS is applicable.","&lt;---  If false, you don't have any carryovers.")</f>
        <v>&lt;---  If false, you don't have any carryovers.</v>
      </c>
      <c r="Z9" s="413"/>
      <c r="AA9" s="413"/>
      <c r="AB9" s="414"/>
      <c r="AC9" s="253"/>
      <c r="AD9" s="253"/>
      <c r="AE9" s="253"/>
      <c r="AF9" s="253"/>
      <c r="AG9" s="253"/>
      <c r="AH9" s="253"/>
      <c r="AI9" s="253"/>
      <c r="AJ9" s="253"/>
      <c r="AK9" s="253"/>
      <c r="AL9" s="253"/>
      <c r="AM9" s="253"/>
      <c r="AN9" s="253"/>
      <c r="AO9" s="827"/>
      <c r="AP9" s="658"/>
      <c r="AQ9" s="658"/>
      <c r="AR9" s="658"/>
      <c r="AS9" s="658"/>
      <c r="AT9" s="658"/>
      <c r="AU9" s="658"/>
    </row>
    <row r="10" spans="1:47" ht="13.5" customHeight="1">
      <c r="A10" s="88"/>
      <c r="B10" s="3236"/>
      <c r="C10" s="3237"/>
      <c r="D10" s="3237"/>
      <c r="E10" s="3237"/>
      <c r="F10" s="3237"/>
      <c r="G10" s="3238"/>
      <c r="H10" s="3239"/>
      <c r="I10" s="3239"/>
      <c r="J10" s="3238"/>
      <c r="K10" s="3238"/>
      <c r="L10" s="3238"/>
      <c r="M10" s="3238"/>
      <c r="N10" s="3238"/>
      <c r="O10" s="3238"/>
      <c r="P10" s="3238"/>
      <c r="Q10" s="3238"/>
      <c r="R10" s="8365"/>
      <c r="S10" s="3240"/>
      <c r="T10" s="3256" t="b">
        <f>AND(R4="",R5="",R7="",R8="")</f>
        <v>1</v>
      </c>
      <c r="U10" s="2703" t="str">
        <f>IF(U12,"should not have been more than "&amp;TEXT(-T12,"$0,000")&amp;".","")</f>
        <v/>
      </c>
      <c r="V10" s="229"/>
      <c r="W10" s="3257" t="str">
        <f>IF(OR(W9&lt;&gt;"",AND(X3,NOT(X9))),"Check box if you wish to use the worksheet anyway.","")</f>
        <v/>
      </c>
      <c r="X10" s="343"/>
      <c r="Y10" s="253"/>
      <c r="Z10" s="253"/>
      <c r="AA10" s="253"/>
      <c r="AB10" s="253"/>
      <c r="AC10" s="253"/>
      <c r="AD10" s="253"/>
      <c r="AE10" s="253"/>
      <c r="AF10" s="253"/>
      <c r="AG10" s="253"/>
      <c r="AH10" s="253"/>
      <c r="AI10" s="253"/>
      <c r="AJ10" s="253"/>
      <c r="AK10" s="253"/>
      <c r="AL10" s="253"/>
      <c r="AM10" s="253"/>
      <c r="AN10" s="253"/>
      <c r="AO10" s="827"/>
      <c r="AP10" s="658"/>
      <c r="AQ10" s="658"/>
      <c r="AR10" s="658"/>
      <c r="AS10" s="658"/>
      <c r="AT10" s="658"/>
      <c r="AU10" s="658"/>
    </row>
    <row r="11" spans="1:47" ht="13.5" customHeight="1">
      <c r="A11" s="88"/>
      <c r="B11" s="3236"/>
      <c r="C11" s="3237" t="str">
        <f>"If you and your spouse once filed a joint return and are filing separate returns for "&amp;TaxYear&amp;","</f>
        <v>If you and your spouse once filed a joint return and are filing separate returns for 2025,</v>
      </c>
      <c r="D11" s="3237"/>
      <c r="E11" s="3237"/>
      <c r="F11" s="3237"/>
      <c r="G11" s="3238"/>
      <c r="H11" s="3239"/>
      <c r="I11" s="3239"/>
      <c r="J11" s="3238"/>
      <c r="K11" s="3238"/>
      <c r="L11" s="3238"/>
      <c r="M11" s="3238"/>
      <c r="N11" s="3238"/>
      <c r="O11" s="3238"/>
      <c r="P11" s="3238"/>
      <c r="Q11" s="3238"/>
      <c r="R11" s="8365"/>
      <c r="S11" s="3240"/>
      <c r="T11" s="3225"/>
      <c r="U11" s="3258"/>
      <c r="V11" s="229"/>
      <c r="W11" s="253"/>
      <c r="X11" s="343"/>
      <c r="Y11" s="253"/>
      <c r="Z11" s="253"/>
      <c r="AA11" s="253"/>
      <c r="AB11" s="253"/>
      <c r="AC11" s="253"/>
      <c r="AD11" s="253"/>
      <c r="AE11" s="253"/>
      <c r="AF11" s="253"/>
      <c r="AG11" s="253"/>
      <c r="AH11" s="253"/>
      <c r="AI11" s="253"/>
      <c r="AJ11" s="253"/>
      <c r="AK11" s="253"/>
      <c r="AL11" s="253"/>
      <c r="AM11" s="253"/>
      <c r="AN11" s="253"/>
      <c r="AO11" s="827"/>
      <c r="AP11" s="658"/>
      <c r="AQ11" s="658"/>
      <c r="AR11" s="658"/>
      <c r="AS11" s="658"/>
      <c r="AT11" s="658"/>
      <c r="AU11" s="658"/>
    </row>
    <row r="12" spans="1:47" ht="13.5" customHeight="1">
      <c r="A12" s="88"/>
      <c r="B12" s="3236"/>
      <c r="C12" s="3237" t="s">
        <v>2201</v>
      </c>
      <c r="D12" s="3237"/>
      <c r="E12" s="3237"/>
      <c r="F12" s="3237"/>
      <c r="G12" s="3238"/>
      <c r="H12" s="3239"/>
      <c r="I12" s="3239"/>
      <c r="J12" s="3238"/>
      <c r="K12" s="3238"/>
      <c r="L12" s="3238"/>
      <c r="M12" s="3238"/>
      <c r="N12" s="3238"/>
      <c r="O12" s="3238"/>
      <c r="P12" s="3238"/>
      <c r="Q12" s="3238"/>
      <c r="R12" s="8365"/>
      <c r="S12" s="3240"/>
      <c r="T12" s="3259">
        <f>IF(T2,-1500,-3000)</f>
        <v>-3000</v>
      </c>
      <c r="U12" s="3260" t="b">
        <f>R7&lt;T12</f>
        <v>0</v>
      </c>
      <c r="V12" s="229"/>
      <c r="W12" s="253"/>
      <c r="X12" s="343"/>
      <c r="Y12" s="253"/>
      <c r="Z12" s="253"/>
      <c r="AA12" s="253"/>
      <c r="AB12" s="253"/>
      <c r="AC12" s="253"/>
      <c r="AD12" s="253"/>
      <c r="AE12" s="253"/>
      <c r="AF12" s="253"/>
      <c r="AG12" s="253"/>
      <c r="AH12" s="253"/>
      <c r="AI12" s="253"/>
      <c r="AJ12" s="253"/>
      <c r="AK12" s="253"/>
      <c r="AL12" s="253"/>
      <c r="AM12" s="253"/>
      <c r="AN12" s="253"/>
      <c r="AO12" s="827"/>
      <c r="AP12" s="658"/>
      <c r="AQ12" s="658"/>
      <c r="AR12" s="658"/>
      <c r="AS12" s="658"/>
      <c r="AT12" s="658"/>
      <c r="AU12" s="658"/>
    </row>
    <row r="13" spans="1:47" ht="9" customHeight="1">
      <c r="A13" s="88"/>
      <c r="B13" s="3236"/>
      <c r="C13" s="3237"/>
      <c r="D13" s="3237"/>
      <c r="E13" s="3237"/>
      <c r="F13" s="3237"/>
      <c r="G13" s="3238"/>
      <c r="H13" s="3239"/>
      <c r="I13" s="3239"/>
      <c r="J13" s="3238"/>
      <c r="K13" s="3238"/>
      <c r="L13" s="3238"/>
      <c r="M13" s="3238"/>
      <c r="N13" s="3238"/>
      <c r="O13" s="3238"/>
      <c r="P13" s="3238"/>
      <c r="Q13" s="3238"/>
      <c r="R13" s="3261"/>
      <c r="S13" s="3240"/>
      <c r="T13" s="3225"/>
      <c r="U13" s="2988"/>
      <c r="V13" s="228"/>
      <c r="W13" s="253"/>
      <c r="X13" s="343"/>
      <c r="Y13" s="253"/>
      <c r="Z13" s="253"/>
      <c r="AA13" s="253"/>
      <c r="AB13" s="253"/>
      <c r="AC13" s="253"/>
      <c r="AD13" s="253"/>
      <c r="AE13" s="253"/>
      <c r="AF13" s="253"/>
      <c r="AG13" s="253"/>
      <c r="AH13" s="253"/>
      <c r="AI13" s="253"/>
      <c r="AJ13" s="253"/>
      <c r="AK13" s="253"/>
      <c r="AL13" s="253"/>
      <c r="AM13" s="253"/>
      <c r="AN13" s="253"/>
      <c r="AO13" s="827"/>
      <c r="AP13" s="658"/>
      <c r="AQ13" s="658"/>
      <c r="AR13" s="658"/>
      <c r="AS13" s="658"/>
      <c r="AT13" s="658"/>
      <c r="AU13" s="658"/>
    </row>
    <row r="14" spans="1:47" s="141" customFormat="1" ht="21" customHeight="1">
      <c r="A14" s="182"/>
      <c r="B14" s="3262"/>
      <c r="C14" s="3263" t="str">
        <f>"If you excluded canceled debt from income in "&amp;TaxYear&amp;", see Pub. 4681."</f>
        <v>If you excluded canceled debt from income in 2025, see Pub. 4681.</v>
      </c>
      <c r="D14" s="3263"/>
      <c r="E14" s="3263"/>
      <c r="F14" s="3263"/>
      <c r="G14" s="3264"/>
      <c r="H14" s="3265"/>
      <c r="I14" s="3265"/>
      <c r="J14" s="3264"/>
      <c r="K14" s="3264"/>
      <c r="L14" s="3264"/>
      <c r="M14" s="3264"/>
      <c r="N14" s="3264"/>
      <c r="O14" s="3264"/>
      <c r="P14" s="3264"/>
      <c r="Q14" s="3264"/>
      <c r="R14" s="3264"/>
      <c r="S14" s="3266"/>
      <c r="T14" s="3267"/>
      <c r="U14" s="3218"/>
      <c r="V14" s="3268"/>
      <c r="X14" s="302"/>
      <c r="AO14" s="1307"/>
      <c r="AP14" s="665"/>
      <c r="AQ14" s="665"/>
      <c r="AR14" s="665"/>
      <c r="AS14" s="665"/>
      <c r="AT14" s="665"/>
      <c r="AU14" s="665"/>
    </row>
    <row r="15" spans="1:47">
      <c r="A15" s="88"/>
      <c r="B15" s="3269"/>
      <c r="C15" s="3270"/>
      <c r="D15" s="3271"/>
      <c r="E15" s="3271"/>
      <c r="F15" s="3237"/>
      <c r="G15" s="3238"/>
      <c r="H15" s="3239"/>
      <c r="I15" s="3239"/>
      <c r="J15" s="3238"/>
      <c r="K15" s="3238"/>
      <c r="L15" s="3238"/>
      <c r="M15" s="3272"/>
      <c r="N15" s="3272"/>
      <c r="O15" s="3273"/>
      <c r="P15" s="3272"/>
      <c r="Q15" s="3274"/>
      <c r="R15" s="3238"/>
      <c r="S15" s="3275"/>
      <c r="T15" s="3225"/>
      <c r="U15" s="229"/>
      <c r="V15" s="229"/>
      <c r="X15" s="3"/>
      <c r="AO15" s="827"/>
      <c r="AP15" s="658"/>
      <c r="AQ15" s="658"/>
      <c r="AR15" s="658"/>
      <c r="AS15" s="658"/>
      <c r="AT15" s="658"/>
      <c r="AU15" s="658"/>
    </row>
    <row r="16" spans="1:47" ht="14.25" customHeight="1">
      <c r="A16" s="88"/>
      <c r="B16" s="3269" t="s">
        <v>157</v>
      </c>
      <c r="C16" s="3239"/>
      <c r="D16" s="3237" t="str">
        <f>"Enter the amount from your "&amp;TaxYear-1&amp;" Form 1040, 1040-SR, or 1040-NR, line 15 (Taxable Income)."</f>
        <v>Enter the amount from your 2024 Form 1040, 1040-SR, or 1040-NR, line 15 (Taxable Income).</v>
      </c>
      <c r="E16" s="3237"/>
      <c r="F16" s="3237"/>
      <c r="G16" s="3238"/>
      <c r="H16" s="3239"/>
      <c r="I16" s="3239"/>
      <c r="J16" s="3238"/>
      <c r="K16" s="3238"/>
      <c r="L16" s="3238"/>
      <c r="M16" s="3238"/>
      <c r="N16" s="3238"/>
      <c r="O16" s="3238"/>
      <c r="P16" s="3238"/>
      <c r="Q16" s="3238"/>
      <c r="R16" s="3238"/>
      <c r="S16" s="3275"/>
      <c r="T16" s="3225"/>
      <c r="U16" s="3276"/>
      <c r="V16" s="1879"/>
      <c r="X16" s="3"/>
      <c r="AO16" s="827"/>
      <c r="AP16" s="658"/>
      <c r="AQ16" s="658"/>
      <c r="AR16" s="658"/>
      <c r="AS16" s="658"/>
      <c r="AT16" s="658"/>
      <c r="AU16" s="658"/>
    </row>
    <row r="17" spans="1:47" ht="13.5" customHeight="1">
      <c r="A17" s="88"/>
      <c r="B17" s="3236"/>
      <c r="C17" s="3239"/>
      <c r="D17" s="3237" t="s">
        <v>2202</v>
      </c>
      <c r="E17" s="3237"/>
      <c r="F17" s="3237"/>
      <c r="G17" s="3238"/>
      <c r="H17" s="3239"/>
      <c r="I17" s="3239"/>
      <c r="J17" s="3238"/>
      <c r="K17" s="3238"/>
      <c r="L17" s="3238"/>
      <c r="M17" s="3238"/>
      <c r="N17" s="3238"/>
      <c r="O17" s="3277"/>
      <c r="P17" s="3238"/>
      <c r="Q17" s="3270" t="s">
        <v>157</v>
      </c>
      <c r="R17" s="2628" t="str">
        <f>IF(NOT($X$9),"",ROUND(R8,0))</f>
        <v/>
      </c>
      <c r="S17" s="3275"/>
      <c r="T17" s="3225"/>
      <c r="U17" s="3278" t="str">
        <f>IF(T10,"Enter amounts above.",IF(NOT(X9),"You don't have any carryovers.",""))</f>
        <v>Enter amounts above.</v>
      </c>
      <c r="V17" s="1879"/>
      <c r="X17" s="3"/>
      <c r="AO17" s="827"/>
      <c r="AP17" s="658"/>
      <c r="AQ17" s="658"/>
      <c r="AR17" s="658"/>
      <c r="AS17" s="658"/>
      <c r="AT17" s="658"/>
      <c r="AU17" s="658"/>
    </row>
    <row r="18" spans="1:47">
      <c r="A18" s="88"/>
      <c r="B18" s="3269" t="s">
        <v>161</v>
      </c>
      <c r="C18" s="3270"/>
      <c r="D18" s="3237" t="str">
        <f>"Enter the loss from your "&amp;TaxYear-1&amp;" Schedule D, line 21, as a positive amount"</f>
        <v>Enter the loss from your 2024 Schedule D, line 21, as a positive amount</v>
      </c>
      <c r="E18" s="3237"/>
      <c r="F18" s="3237"/>
      <c r="G18" s="3238"/>
      <c r="H18" s="3239"/>
      <c r="I18" s="3239"/>
      <c r="J18" s="3238"/>
      <c r="K18" s="3238"/>
      <c r="L18" s="3238"/>
      <c r="M18" s="3238"/>
      <c r="N18" s="3238"/>
      <c r="O18" s="3277" t="str">
        <f>IF(R18&lt;0,"Enter as a positive amount."," .   .   .   .   .   .   .   .   .   .   .   .   .   .   .   .   .   .   .   .   .   .   .   .   .   .   ")</f>
        <v xml:space="preserve"> .   .   .   .   .   .   .   .   .   .   .   .   .   .   .   .   .   .   .   .   .   .   .   .   .   .   </v>
      </c>
      <c r="P18" s="3238"/>
      <c r="Q18" s="3270" t="s">
        <v>161</v>
      </c>
      <c r="R18" s="2628" t="str">
        <f>IF(NOT($X$9),"",IF(ROUND(R7,0)&gt;0,0,-ROUND(R7,0)))</f>
        <v/>
      </c>
      <c r="S18" s="3275"/>
      <c r="T18" s="3225"/>
      <c r="U18" s="3276"/>
      <c r="V18" s="1879"/>
      <c r="X18" s="3"/>
      <c r="AO18" s="827"/>
      <c r="AP18" s="658"/>
      <c r="AQ18" s="658"/>
      <c r="AR18" s="658"/>
      <c r="AS18" s="658"/>
      <c r="AT18" s="658"/>
      <c r="AU18" s="658"/>
    </row>
    <row r="19" spans="1:47">
      <c r="A19" s="88"/>
      <c r="B19" s="3269" t="s">
        <v>167</v>
      </c>
      <c r="C19" s="3270"/>
      <c r="D19" s="3237" t="s">
        <v>2203</v>
      </c>
      <c r="E19" s="3237"/>
      <c r="F19" s="3237"/>
      <c r="G19" s="3238"/>
      <c r="H19" s="3239"/>
      <c r="I19" s="3239"/>
      <c r="J19" s="3238"/>
      <c r="K19" s="3238"/>
      <c r="L19" s="3238"/>
      <c r="M19" s="3238"/>
      <c r="N19" s="3238"/>
      <c r="O19" s="3277" t="s">
        <v>2204</v>
      </c>
      <c r="P19" s="3238"/>
      <c r="Q19" s="3270" t="s">
        <v>167</v>
      </c>
      <c r="R19" s="2628" t="str">
        <f>IF(NOT($X$9),"",IF(ROUND(SUM(R17,R18),0)&lt;0,0,ROUND(SUM(R17,R18),0)))</f>
        <v/>
      </c>
      <c r="S19" s="3275"/>
      <c r="T19" s="3225"/>
      <c r="U19" s="3276"/>
      <c r="V19" s="228"/>
      <c r="AO19" s="827"/>
      <c r="AP19" s="658"/>
      <c r="AQ19" s="658"/>
      <c r="AR19" s="658"/>
      <c r="AS19" s="658"/>
      <c r="AT19" s="658"/>
      <c r="AU19" s="658"/>
    </row>
    <row r="20" spans="1:47">
      <c r="A20" s="88"/>
      <c r="B20" s="3269" t="s">
        <v>171</v>
      </c>
      <c r="C20" s="3270"/>
      <c r="D20" s="3237" t="s">
        <v>2205</v>
      </c>
      <c r="E20" s="3237"/>
      <c r="F20" s="3237"/>
      <c r="G20" s="3238"/>
      <c r="H20" s="3239"/>
      <c r="I20" s="3239"/>
      <c r="J20" s="3238"/>
      <c r="K20" s="3238"/>
      <c r="L20" s="3277" t="s">
        <v>2167</v>
      </c>
      <c r="M20" s="8372" t="s">
        <v>171</v>
      </c>
      <c r="N20" s="8372"/>
      <c r="O20" s="2628" t="str">
        <f>IF(NOT($X$9),"",MIN(R18,R19))</f>
        <v/>
      </c>
      <c r="P20" s="3279"/>
      <c r="Q20" s="3274"/>
      <c r="R20" s="3274"/>
      <c r="S20" s="3275"/>
      <c r="T20" s="3225"/>
      <c r="U20" s="3276"/>
      <c r="V20" s="1879"/>
      <c r="AO20" s="827"/>
      <c r="AP20" s="658"/>
      <c r="AQ20" s="658"/>
      <c r="AR20" s="658"/>
      <c r="AS20" s="658"/>
      <c r="AT20" s="658"/>
      <c r="AU20" s="658"/>
    </row>
    <row r="21" spans="1:47">
      <c r="A21" s="88"/>
      <c r="B21" s="3269"/>
      <c r="C21" s="3270"/>
      <c r="D21" s="3246" t="str">
        <f>"If line 7 of your "&amp;TaxYear-1&amp;" Schedule D is a loss, go to line 5; otherwise, enter -0- on line 5 and go to line 9."</f>
        <v>If line 7 of your 2024 Schedule D is a loss, go to line 5; otherwise, enter -0- on line 5 and go to line 9.</v>
      </c>
      <c r="E21" s="3271"/>
      <c r="F21" s="3237"/>
      <c r="G21" s="3238"/>
      <c r="H21" s="3239"/>
      <c r="I21" s="3239"/>
      <c r="J21" s="3238"/>
      <c r="K21" s="3238"/>
      <c r="L21" s="3238"/>
      <c r="M21" s="3272"/>
      <c r="N21" s="3272"/>
      <c r="O21" s="3280" t="str">
        <f>IF(OR(NOT($X$9),R21),"","Go to Line 9.")</f>
        <v/>
      </c>
      <c r="P21" s="3272"/>
      <c r="Q21" s="3274"/>
      <c r="R21" s="3281" t="b">
        <f>IF(R4&lt;0,TRUE,FALSE)</f>
        <v>0</v>
      </c>
      <c r="S21" s="3275"/>
      <c r="T21" s="3225"/>
      <c r="U21" s="2988"/>
      <c r="V21" s="229"/>
      <c r="AO21" s="827"/>
      <c r="AP21" s="658"/>
      <c r="AQ21" s="658"/>
      <c r="AR21" s="658"/>
      <c r="AS21" s="658"/>
      <c r="AT21" s="658"/>
      <c r="AU21" s="658"/>
    </row>
    <row r="22" spans="1:47">
      <c r="A22" s="88"/>
      <c r="B22" s="3269" t="s">
        <v>184</v>
      </c>
      <c r="C22" s="3270"/>
      <c r="D22" s="3237" t="str">
        <f>"Enter the loss from your "&amp;TaxYear-1&amp;" Schedule D, line 7, as a positive amount"</f>
        <v>Enter the loss from your 2024 Schedule D, line 7, as a positive amount</v>
      </c>
      <c r="E22" s="3237"/>
      <c r="F22" s="3237"/>
      <c r="G22" s="3238"/>
      <c r="H22" s="3239"/>
      <c r="I22" s="3239"/>
      <c r="J22" s="3238"/>
      <c r="K22" s="3238"/>
      <c r="L22" s="3238"/>
      <c r="M22" s="3238"/>
      <c r="N22" s="3238"/>
      <c r="O22" s="3277" t="s">
        <v>1163</v>
      </c>
      <c r="P22" s="3238"/>
      <c r="Q22" s="3270" t="s">
        <v>184</v>
      </c>
      <c r="R22" s="2628" t="str">
        <f>IF(NOT(X9),"",IF(NOT(R21),0,IF(ROUND(R4,0)&lt;0,-ROUND(R4,0),0)))</f>
        <v/>
      </c>
      <c r="S22" s="3275"/>
      <c r="T22" s="3225"/>
      <c r="U22" s="3276"/>
      <c r="V22" s="1879"/>
      <c r="AO22" s="827"/>
      <c r="AP22" s="658"/>
      <c r="AQ22" s="658"/>
      <c r="AR22" s="658"/>
      <c r="AS22" s="658"/>
      <c r="AT22" s="658"/>
      <c r="AU22" s="658"/>
    </row>
    <row r="23" spans="1:47" ht="13.5" customHeight="1">
      <c r="A23" s="88"/>
      <c r="B23" s="3269" t="s">
        <v>188</v>
      </c>
      <c r="C23" s="3239"/>
      <c r="D23" s="3237" t="str">
        <f>"Enter any gain from your "&amp;TaxYear-1&amp;" Schedule D, line 15. If a loss, enter -0-"</f>
        <v>Enter any gain from your 2024 Schedule D, line 15. If a loss, enter -0-</v>
      </c>
      <c r="E23" s="3237"/>
      <c r="F23" s="3237"/>
      <c r="G23" s="3238"/>
      <c r="H23" s="3239"/>
      <c r="I23" s="3239"/>
      <c r="J23" s="3238"/>
      <c r="K23" s="3238"/>
      <c r="L23" s="3277" t="s">
        <v>2206</v>
      </c>
      <c r="M23" s="8372" t="s">
        <v>188</v>
      </c>
      <c r="N23" s="8372"/>
      <c r="O23" s="2628" t="str">
        <f>IF(OR(NOT(X9),NOT(R21)),"",MAX(0,ROUND(R5,0),0))</f>
        <v/>
      </c>
      <c r="P23" s="3279"/>
      <c r="Q23" s="3274"/>
      <c r="R23" s="3238"/>
      <c r="S23" s="3275"/>
      <c r="T23" s="3225"/>
      <c r="U23" s="229"/>
      <c r="V23" s="229"/>
      <c r="AO23" s="827"/>
      <c r="AP23" s="658"/>
      <c r="AQ23" s="658"/>
      <c r="AR23" s="658"/>
      <c r="AS23" s="658"/>
      <c r="AT23" s="658"/>
      <c r="AU23" s="658"/>
    </row>
    <row r="24" spans="1:47">
      <c r="A24" s="88"/>
      <c r="B24" s="3269" t="s">
        <v>198</v>
      </c>
      <c r="C24" s="3270"/>
      <c r="D24" s="3237" t="s">
        <v>2207</v>
      </c>
      <c r="E24" s="3237"/>
      <c r="F24" s="3237"/>
      <c r="G24" s="3238"/>
      <c r="H24" s="3239"/>
      <c r="I24" s="3239"/>
      <c r="J24" s="3238"/>
      <c r="K24" s="3238"/>
      <c r="L24" s="3238"/>
      <c r="M24" s="3238"/>
      <c r="N24" s="3238"/>
      <c r="O24" s="3277" t="s">
        <v>2208</v>
      </c>
      <c r="P24" s="3238"/>
      <c r="Q24" s="3270" t="s">
        <v>198</v>
      </c>
      <c r="R24" s="2628" t="str">
        <f>IF(OR(NOT(X9),NOT(R21)),"",SUM(O20,O23))</f>
        <v/>
      </c>
      <c r="S24" s="3275"/>
      <c r="T24" s="3225"/>
      <c r="U24" s="3276"/>
      <c r="V24" s="229"/>
      <c r="AO24" s="827"/>
      <c r="AP24" s="658"/>
      <c r="AQ24" s="658"/>
      <c r="AR24" s="658"/>
      <c r="AS24" s="658"/>
      <c r="AT24" s="658"/>
      <c r="AU24" s="658"/>
    </row>
    <row r="25" spans="1:47" ht="14.25" customHeight="1">
      <c r="A25" s="88"/>
      <c r="B25" s="3269" t="s">
        <v>200</v>
      </c>
      <c r="C25" s="3239"/>
      <c r="D25" s="3246" t="str">
        <f>"Short-term capital loss carryover for "&amp;TaxYear&amp;". "</f>
        <v xml:space="preserve">Short-term capital loss carryover for 2025. </v>
      </c>
      <c r="E25" s="3237"/>
      <c r="F25" s="3237"/>
      <c r="G25" s="3238"/>
      <c r="H25" s="3237" t="s">
        <v>2209</v>
      </c>
      <c r="I25" s="3239"/>
      <c r="J25" s="3238"/>
      <c r="K25" s="3238"/>
      <c r="L25" s="3238"/>
      <c r="M25" s="3238"/>
      <c r="N25" s="3238"/>
      <c r="O25" s="3238"/>
      <c r="P25" s="3238"/>
      <c r="Q25" s="3238"/>
      <c r="R25" s="3238"/>
      <c r="S25" s="3275"/>
      <c r="T25" s="3225"/>
      <c r="U25" s="2988"/>
      <c r="V25" s="228"/>
      <c r="AO25" s="827"/>
      <c r="AP25" s="658"/>
      <c r="AQ25" s="658"/>
      <c r="AR25" s="658"/>
      <c r="AS25" s="658"/>
      <c r="AT25" s="658"/>
      <c r="AU25" s="658"/>
    </row>
    <row r="26" spans="1:47" ht="13.5" customHeight="1">
      <c r="A26" s="88"/>
      <c r="B26" s="3236"/>
      <c r="C26" s="3239"/>
      <c r="D26" s="3237" t="s">
        <v>2210</v>
      </c>
      <c r="E26" s="3237"/>
      <c r="F26" s="3237"/>
      <c r="G26" s="3238"/>
      <c r="H26" s="3239"/>
      <c r="I26" s="3239"/>
      <c r="J26" s="3238"/>
      <c r="K26" s="3238"/>
      <c r="L26" s="3238"/>
      <c r="M26" s="3238"/>
      <c r="N26" s="3238"/>
      <c r="O26" s="3277" t="s">
        <v>1168</v>
      </c>
      <c r="P26" s="3238"/>
      <c r="Q26" s="3270" t="s">
        <v>200</v>
      </c>
      <c r="R26" s="2628" t="str">
        <f>IF(OR(NOT(X9),NOT(R21)),"",MAX(0,SUM(R22,-R24)))</f>
        <v/>
      </c>
      <c r="S26" s="3275"/>
      <c r="T26" s="3225"/>
      <c r="U26" s="229"/>
      <c r="V26" s="1879"/>
      <c r="AO26" s="827"/>
      <c r="AP26" s="658"/>
      <c r="AQ26" s="658"/>
      <c r="AR26" s="658"/>
      <c r="AS26" s="658"/>
      <c r="AT26" s="658"/>
      <c r="AU26" s="658"/>
    </row>
    <row r="27" spans="1:47">
      <c r="A27" s="88"/>
      <c r="B27" s="3269"/>
      <c r="C27" s="3270"/>
      <c r="D27" s="3246" t="str">
        <f>"If line 15 of your "&amp;TaxYear-1&amp;" Schedule D is a loss, go to line 9; otherwise, skip lines 9 through 13."</f>
        <v>If line 15 of your 2024 Schedule D is a loss, go to line 9; otherwise, skip lines 9 through 13.</v>
      </c>
      <c r="E27" s="3271"/>
      <c r="F27" s="3237"/>
      <c r="G27" s="3238"/>
      <c r="H27" s="3239"/>
      <c r="I27" s="3239"/>
      <c r="J27" s="3238"/>
      <c r="K27" s="3238"/>
      <c r="L27" s="3238"/>
      <c r="M27" s="3272"/>
      <c r="N27" s="3272"/>
      <c r="O27" s="3280" t="str">
        <f>IF(OR(NOT($X$9),R27),"","Skip lines 9 thru 13.")</f>
        <v/>
      </c>
      <c r="P27" s="3272"/>
      <c r="Q27" s="3274"/>
      <c r="R27" s="3281" t="b">
        <f>IF(R5&lt;0,TRUE,FALSE)</f>
        <v>0</v>
      </c>
      <c r="S27" s="3275"/>
      <c r="T27" s="3225"/>
      <c r="U27" s="2988"/>
      <c r="V27" s="229"/>
      <c r="AO27" s="827"/>
      <c r="AP27" s="658"/>
      <c r="AQ27" s="658"/>
      <c r="AR27" s="658"/>
      <c r="AS27" s="658"/>
      <c r="AT27" s="658"/>
      <c r="AU27" s="658"/>
    </row>
    <row r="28" spans="1:47">
      <c r="A28" s="88"/>
      <c r="B28" s="3269" t="s">
        <v>205</v>
      </c>
      <c r="C28" s="3270"/>
      <c r="D28" s="3237" t="str">
        <f>"Enter the loss from your "&amp;TaxYear-1&amp;" Schedule D, line 15, as a positive amount"</f>
        <v>Enter the loss from your 2024 Schedule D, line 15, as a positive amount</v>
      </c>
      <c r="E28" s="3237"/>
      <c r="F28" s="3237"/>
      <c r="G28" s="3238"/>
      <c r="H28" s="3239"/>
      <c r="I28" s="3239"/>
      <c r="J28" s="3238"/>
      <c r="K28" s="3238"/>
      <c r="L28" s="3238"/>
      <c r="M28" s="3238"/>
      <c r="N28" s="3238"/>
      <c r="O28" s="3277" t="s">
        <v>1163</v>
      </c>
      <c r="P28" s="3238"/>
      <c r="Q28" s="3270" t="s">
        <v>205</v>
      </c>
      <c r="R28" s="2628" t="str">
        <f>IF(OR(NOT(X9),NOT(R27)),"",IF(ROUND(R5,0)&lt;0,-ROUND(R5,0),0))</f>
        <v/>
      </c>
      <c r="S28" s="3275"/>
      <c r="T28" s="3225"/>
      <c r="U28" s="3276"/>
      <c r="V28" s="229"/>
      <c r="AO28" s="827"/>
      <c r="AP28" s="658"/>
      <c r="AQ28" s="658"/>
      <c r="AR28" s="658"/>
      <c r="AS28" s="658"/>
      <c r="AT28" s="658"/>
      <c r="AU28" s="658"/>
    </row>
    <row r="29" spans="1:47" ht="13.5" customHeight="1">
      <c r="A29" s="88"/>
      <c r="B29" s="3269" t="s">
        <v>210</v>
      </c>
      <c r="C29" s="3239"/>
      <c r="D29" s="3237" t="str">
        <f>"Enter any gain from your "&amp;TaxYear-1&amp;" Schedule D, line 7. If a loss, enter -0-"</f>
        <v>Enter any gain from your 2024 Schedule D, line 7. If a loss, enter -0-</v>
      </c>
      <c r="E29" s="3237"/>
      <c r="F29" s="3237"/>
      <c r="G29" s="3238"/>
      <c r="H29" s="3239"/>
      <c r="I29" s="3239"/>
      <c r="J29" s="3238"/>
      <c r="K29" s="3238"/>
      <c r="L29" s="3277" t="s">
        <v>2206</v>
      </c>
      <c r="M29" s="8372" t="s">
        <v>210</v>
      </c>
      <c r="N29" s="8372"/>
      <c r="O29" s="2628" t="str">
        <f>IF(OR(NOT(X9),NOT(R27)),"",MAX(0,ROUND(R4,0)))</f>
        <v/>
      </c>
      <c r="P29" s="3279"/>
      <c r="Q29" s="3274"/>
      <c r="R29" s="3238"/>
      <c r="S29" s="3275"/>
      <c r="T29" s="3225"/>
      <c r="U29" s="229"/>
      <c r="V29" s="1879"/>
      <c r="AO29" s="827"/>
      <c r="AP29" s="658"/>
      <c r="AQ29" s="658"/>
      <c r="AR29" s="658"/>
      <c r="AS29" s="658"/>
      <c r="AT29" s="658"/>
      <c r="AU29" s="658"/>
    </row>
    <row r="30" spans="1:47" ht="13.5" customHeight="1">
      <c r="A30" s="88"/>
      <c r="B30" s="3269" t="s">
        <v>212</v>
      </c>
      <c r="C30" s="3239"/>
      <c r="D30" s="3237" t="s">
        <v>2211</v>
      </c>
      <c r="E30" s="3237"/>
      <c r="F30" s="3237"/>
      <c r="G30" s="3238"/>
      <c r="H30" s="3239"/>
      <c r="I30" s="3239"/>
      <c r="J30" s="3238"/>
      <c r="K30" s="3238"/>
      <c r="L30" s="3277" t="s">
        <v>677</v>
      </c>
      <c r="M30" s="8372" t="s">
        <v>212</v>
      </c>
      <c r="N30" s="8372"/>
      <c r="O30" s="2628" t="str">
        <f>IF(OR(NOT(X9),NOT(R27)),"",MAX(0,SUM(O20,-R22)))</f>
        <v/>
      </c>
      <c r="P30" s="3279"/>
      <c r="Q30" s="3274"/>
      <c r="R30" s="3238"/>
      <c r="S30" s="3275"/>
      <c r="T30" s="3225"/>
      <c r="U30" s="229"/>
      <c r="V30" s="229"/>
      <c r="AO30" s="827"/>
      <c r="AP30" s="658"/>
      <c r="AQ30" s="658"/>
      <c r="AR30" s="658"/>
      <c r="AS30" s="658"/>
      <c r="AT30" s="658"/>
      <c r="AU30" s="658"/>
    </row>
    <row r="31" spans="1:47">
      <c r="A31" s="88"/>
      <c r="B31" s="3269" t="s">
        <v>1366</v>
      </c>
      <c r="C31" s="3270"/>
      <c r="D31" s="3237" t="s">
        <v>2212</v>
      </c>
      <c r="E31" s="3237"/>
      <c r="F31" s="3237"/>
      <c r="G31" s="3238"/>
      <c r="H31" s="3239"/>
      <c r="I31" s="3239"/>
      <c r="J31" s="3238"/>
      <c r="K31" s="3238"/>
      <c r="L31" s="3238"/>
      <c r="M31" s="3238"/>
      <c r="N31" s="3238"/>
      <c r="O31" s="3277" t="s">
        <v>2213</v>
      </c>
      <c r="P31" s="3238"/>
      <c r="Q31" s="3270" t="s">
        <v>1366</v>
      </c>
      <c r="R31" s="2628" t="str">
        <f>IF(OR(NOT(X9),NOT(R27)),"",SUM(O29,O30))</f>
        <v/>
      </c>
      <c r="S31" s="3275"/>
      <c r="T31" s="3225"/>
      <c r="U31" s="3276"/>
      <c r="V31" s="229"/>
      <c r="AO31" s="827"/>
      <c r="AP31" s="658"/>
      <c r="AQ31" s="658"/>
      <c r="AR31" s="658"/>
      <c r="AS31" s="658"/>
      <c r="AT31" s="658"/>
      <c r="AU31" s="658"/>
    </row>
    <row r="32" spans="1:47" ht="14.25" customHeight="1">
      <c r="A32" s="88"/>
      <c r="B32" s="3269" t="s">
        <v>1368</v>
      </c>
      <c r="C32" s="3239"/>
      <c r="D32" s="3246" t="str">
        <f>"Long-term capital loss carryover for "&amp;TaxYear&amp;". "</f>
        <v xml:space="preserve">Long-term capital loss carryover for 2025. </v>
      </c>
      <c r="E32" s="3237"/>
      <c r="F32" s="3237"/>
      <c r="G32" s="3238"/>
      <c r="H32" s="3237" t="s">
        <v>2214</v>
      </c>
      <c r="I32" s="3239"/>
      <c r="J32" s="3238"/>
      <c r="K32" s="3238"/>
      <c r="L32" s="3238"/>
      <c r="M32" s="3238"/>
      <c r="N32" s="3238"/>
      <c r="O32" s="3238"/>
      <c r="P32" s="3238"/>
      <c r="Q32" s="3238"/>
      <c r="R32" s="3238"/>
      <c r="S32" s="3275"/>
      <c r="T32" s="3225"/>
      <c r="U32" s="2988"/>
      <c r="V32" s="228"/>
      <c r="AO32" s="827"/>
      <c r="AP32" s="658"/>
      <c r="AQ32" s="658"/>
      <c r="AR32" s="658"/>
      <c r="AS32" s="658"/>
      <c r="AT32" s="658"/>
      <c r="AU32" s="658"/>
    </row>
    <row r="33" spans="1:47" ht="13.5" customHeight="1">
      <c r="A33" s="88"/>
      <c r="B33" s="3236"/>
      <c r="C33" s="3239"/>
      <c r="D33" s="3237" t="s">
        <v>2215</v>
      </c>
      <c r="E33" s="3237"/>
      <c r="F33" s="3237"/>
      <c r="G33" s="3238"/>
      <c r="H33" s="3239"/>
      <c r="I33" s="3239"/>
      <c r="J33" s="3238"/>
      <c r="K33" s="3238"/>
      <c r="L33" s="3238"/>
      <c r="M33" s="3238"/>
      <c r="N33" s="3238"/>
      <c r="O33" s="3277" t="s">
        <v>2216</v>
      </c>
      <c r="P33" s="3238"/>
      <c r="Q33" s="3270" t="s">
        <v>1368</v>
      </c>
      <c r="R33" s="2628" t="str">
        <f>IF(OR(NOT(X9),NOT(R27)),"",MAX(0,SUM(R28,-R31)))</f>
        <v/>
      </c>
      <c r="S33" s="3275"/>
      <c r="T33" s="3225"/>
      <c r="U33" s="229"/>
      <c r="V33" s="1879"/>
      <c r="AO33" s="827"/>
      <c r="AP33" s="658"/>
      <c r="AQ33" s="658"/>
      <c r="AR33" s="658"/>
      <c r="AS33" s="658"/>
      <c r="AT33" s="658"/>
      <c r="AU33" s="658"/>
    </row>
    <row r="34" spans="1:47">
      <c r="A34" s="88"/>
      <c r="B34" s="3282"/>
      <c r="C34" s="3283"/>
      <c r="D34" s="3283"/>
      <c r="E34" s="3283"/>
      <c r="F34" s="3283"/>
      <c r="G34" s="3283"/>
      <c r="H34" s="3283"/>
      <c r="I34" s="3283"/>
      <c r="J34" s="3283"/>
      <c r="K34" s="3283"/>
      <c r="L34" s="3283"/>
      <c r="M34" s="3283"/>
      <c r="N34" s="3283"/>
      <c r="O34" s="3283"/>
      <c r="P34" s="3283"/>
      <c r="Q34" s="3283"/>
      <c r="R34" s="3283"/>
      <c r="S34" s="3284"/>
      <c r="T34" s="3225"/>
      <c r="U34" s="229"/>
      <c r="V34" s="229"/>
      <c r="AO34" s="827"/>
      <c r="AP34" s="658"/>
      <c r="AQ34" s="658"/>
      <c r="AR34" s="658"/>
      <c r="AS34" s="658"/>
      <c r="AT34" s="658"/>
      <c r="AU34" s="658"/>
    </row>
    <row r="35" spans="1:47" ht="50.25" customHeight="1">
      <c r="A35" s="88"/>
      <c r="B35" s="3285"/>
      <c r="C35" s="3285"/>
      <c r="D35" s="3285" t="s">
        <v>2217</v>
      </c>
      <c r="E35" s="3285"/>
      <c r="F35" s="3285"/>
      <c r="G35" s="3286"/>
      <c r="H35" s="3107"/>
      <c r="I35" s="3107"/>
      <c r="J35" s="3286"/>
      <c r="K35" s="3286"/>
      <c r="L35" s="3286"/>
      <c r="M35" s="3287"/>
      <c r="N35" s="3287"/>
      <c r="O35" s="3287"/>
      <c r="P35" s="3287"/>
      <c r="Q35" s="3288" t="str">
        <f>IF('Table of Contents'!A37="D","DRAFT Instructions","Keep for Your Records")</f>
        <v>Keep for Your Records</v>
      </c>
      <c r="R35" s="3287"/>
      <c r="S35" s="3289"/>
      <c r="T35" s="3227"/>
      <c r="U35" s="3224"/>
      <c r="V35" s="229"/>
      <c r="AO35" s="827"/>
      <c r="AP35" s="658"/>
      <c r="AQ35" s="658"/>
      <c r="AR35" s="658"/>
      <c r="AS35" s="658"/>
      <c r="AT35" s="658"/>
      <c r="AU35" s="658"/>
    </row>
    <row r="36" spans="1:47" ht="13.5" customHeight="1">
      <c r="A36" s="88"/>
      <c r="B36" s="3236"/>
      <c r="C36" s="3239"/>
      <c r="D36" s="3237"/>
      <c r="E36" s="3237"/>
      <c r="F36" s="3237"/>
      <c r="G36" s="3238"/>
      <c r="H36" s="3239"/>
      <c r="I36" s="3239"/>
      <c r="J36" s="3238"/>
      <c r="K36" s="3238"/>
      <c r="L36" s="3238"/>
      <c r="M36" s="3238"/>
      <c r="N36" s="3238"/>
      <c r="O36" s="3238"/>
      <c r="P36" s="3238"/>
      <c r="Q36" s="3238"/>
      <c r="R36" s="3238"/>
      <c r="S36" s="3240"/>
      <c r="T36" s="3225"/>
      <c r="U36" s="229"/>
      <c r="V36" s="228"/>
      <c r="AO36" s="827"/>
      <c r="AP36" s="658"/>
      <c r="AQ36" s="658"/>
      <c r="AR36" s="658"/>
      <c r="AS36" s="658"/>
      <c r="AT36" s="658"/>
      <c r="AU36" s="658"/>
    </row>
    <row r="37" spans="1:47" ht="14.25" customHeight="1">
      <c r="A37" s="88"/>
      <c r="B37" s="3269" t="s">
        <v>157</v>
      </c>
      <c r="C37" s="3239"/>
      <c r="D37" s="3237" t="s">
        <v>5242</v>
      </c>
      <c r="E37" s="3237"/>
      <c r="F37" s="3237"/>
      <c r="G37" s="3238"/>
      <c r="H37" s="3239"/>
      <c r="I37" s="3239"/>
      <c r="J37" s="3238"/>
      <c r="K37" s="3238"/>
      <c r="L37" s="3238"/>
      <c r="M37" s="8359" t="s">
        <v>157</v>
      </c>
      <c r="N37" s="8359"/>
      <c r="O37" s="352"/>
      <c r="P37" s="3270"/>
      <c r="Q37" s="3274"/>
      <c r="R37" s="3238"/>
      <c r="S37" s="3275"/>
      <c r="T37" s="3225"/>
      <c r="U37" s="2988"/>
      <c r="V37" s="228"/>
      <c r="AO37" s="827"/>
      <c r="AP37" s="658"/>
      <c r="AQ37" s="658"/>
      <c r="AR37" s="658"/>
      <c r="AS37" s="658"/>
      <c r="AT37" s="658"/>
      <c r="AU37" s="658"/>
    </row>
    <row r="38" spans="1:47">
      <c r="A38" s="88"/>
      <c r="B38" s="3269" t="s">
        <v>161</v>
      </c>
      <c r="C38" s="3270"/>
      <c r="D38" s="3237" t="s">
        <v>2218</v>
      </c>
      <c r="E38" s="3237"/>
      <c r="F38" s="3237"/>
      <c r="G38" s="3238"/>
      <c r="H38" s="3239"/>
      <c r="I38" s="3239"/>
      <c r="J38" s="3238"/>
      <c r="K38" s="3238"/>
      <c r="L38" s="3238"/>
      <c r="M38" s="3272"/>
      <c r="N38" s="3272"/>
      <c r="O38" s="3273"/>
      <c r="P38" s="3272"/>
      <c r="Q38" s="3274"/>
      <c r="R38" s="3238"/>
      <c r="S38" s="3275"/>
      <c r="T38" s="3225"/>
      <c r="U38" s="2988"/>
      <c r="V38" s="228"/>
      <c r="AO38" s="827"/>
      <c r="AP38" s="658"/>
      <c r="AQ38" s="658"/>
      <c r="AR38" s="658"/>
      <c r="AS38" s="658"/>
      <c r="AT38" s="658"/>
      <c r="AU38" s="658"/>
    </row>
    <row r="39" spans="1:47">
      <c r="A39" s="88"/>
      <c r="B39" s="3269"/>
      <c r="C39" s="3270"/>
      <c r="D39" s="3290" t="s">
        <v>2219</v>
      </c>
      <c r="E39" s="3237" t="s">
        <v>2220</v>
      </c>
      <c r="F39" s="3237"/>
      <c r="G39" s="3238"/>
      <c r="H39" s="3239"/>
      <c r="I39" s="3239"/>
      <c r="J39" s="3238"/>
      <c r="K39" s="3238"/>
      <c r="L39" s="3238"/>
      <c r="M39" s="3272"/>
      <c r="N39" s="3272"/>
      <c r="O39" s="3273"/>
      <c r="P39" s="3272"/>
      <c r="Q39" s="3274"/>
      <c r="R39" s="3238"/>
      <c r="S39" s="3275"/>
      <c r="T39" s="3225"/>
      <c r="U39" s="2988"/>
      <c r="V39" s="228"/>
      <c r="AO39" s="827"/>
      <c r="AP39" s="658"/>
      <c r="AQ39" s="658"/>
      <c r="AR39" s="658"/>
      <c r="AS39" s="658"/>
      <c r="AT39" s="658"/>
      <c r="AU39" s="658"/>
    </row>
    <row r="40" spans="1:47">
      <c r="A40" s="88"/>
      <c r="B40" s="3269"/>
      <c r="C40" s="3270"/>
      <c r="D40" s="3271"/>
      <c r="E40" s="3237" t="s">
        <v>4970</v>
      </c>
      <c r="F40" s="3237"/>
      <c r="G40" s="3238"/>
      <c r="H40" s="3239"/>
      <c r="I40" s="3239"/>
      <c r="J40" s="3238"/>
      <c r="K40" s="3238"/>
      <c r="L40" s="3238"/>
      <c r="M40" s="3272"/>
      <c r="N40" s="3272"/>
      <c r="O40" s="3273"/>
      <c r="P40" s="3272"/>
      <c r="Q40" s="3274"/>
      <c r="R40" s="3238"/>
      <c r="S40" s="3275"/>
      <c r="T40" s="3225"/>
      <c r="U40" s="2988"/>
      <c r="V40" s="228"/>
      <c r="AO40" s="827"/>
      <c r="AP40" s="658"/>
      <c r="AQ40" s="658"/>
      <c r="AR40" s="658"/>
      <c r="AS40" s="658"/>
      <c r="AT40" s="658"/>
      <c r="AU40" s="658"/>
    </row>
    <row r="41" spans="1:47">
      <c r="A41" s="88"/>
      <c r="B41" s="3269"/>
      <c r="C41" s="3270"/>
      <c r="D41" s="3290" t="s">
        <v>2219</v>
      </c>
      <c r="E41" s="3237" t="s">
        <v>2221</v>
      </c>
      <c r="F41" s="3237"/>
      <c r="G41" s="3238"/>
      <c r="H41" s="3239"/>
      <c r="I41" s="3239"/>
      <c r="J41" s="3238"/>
      <c r="K41" s="3238"/>
      <c r="L41" s="3291" t="s">
        <v>1036</v>
      </c>
      <c r="M41" s="8360" t="str">
        <f>B38</f>
        <v>2.</v>
      </c>
      <c r="N41" s="8360"/>
      <c r="O41" s="352"/>
      <c r="P41" s="3272"/>
      <c r="Q41" s="3274"/>
      <c r="R41" s="3238"/>
      <c r="S41" s="3275"/>
      <c r="T41" s="3225"/>
      <c r="U41" s="2988"/>
      <c r="V41" s="228"/>
      <c r="AO41" s="827"/>
      <c r="AP41" s="658"/>
      <c r="AQ41" s="658"/>
      <c r="AR41" s="658"/>
      <c r="AS41" s="658"/>
      <c r="AT41" s="658"/>
      <c r="AU41" s="658"/>
    </row>
    <row r="42" spans="1:47">
      <c r="A42" s="88"/>
      <c r="B42" s="3269"/>
      <c r="C42" s="3270"/>
      <c r="D42" s="3271"/>
      <c r="E42" s="3237" t="s">
        <v>4971</v>
      </c>
      <c r="F42" s="3237"/>
      <c r="G42" s="3238"/>
      <c r="H42" s="3239"/>
      <c r="I42" s="3239"/>
      <c r="J42" s="3238"/>
      <c r="K42" s="3238"/>
      <c r="L42" s="3238"/>
      <c r="M42" s="3272"/>
      <c r="N42" s="3272"/>
      <c r="O42" s="3273"/>
      <c r="P42" s="3272"/>
      <c r="Q42" s="3274"/>
      <c r="R42" s="3238"/>
      <c r="S42" s="3275"/>
      <c r="T42" s="3225"/>
      <c r="U42" s="2988"/>
      <c r="V42" s="228"/>
      <c r="AO42" s="827"/>
      <c r="AP42" s="658"/>
      <c r="AQ42" s="658"/>
      <c r="AR42" s="658"/>
      <c r="AS42" s="658"/>
      <c r="AT42" s="658"/>
      <c r="AU42" s="658"/>
    </row>
    <row r="43" spans="1:47">
      <c r="A43" s="88"/>
      <c r="B43" s="3269"/>
      <c r="C43" s="3270"/>
      <c r="D43" s="3290" t="s">
        <v>2219</v>
      </c>
      <c r="E43" s="3237" t="s">
        <v>2222</v>
      </c>
      <c r="F43" s="3237"/>
      <c r="G43" s="3238"/>
      <c r="H43" s="3239"/>
      <c r="I43" s="3239"/>
      <c r="J43" s="3238"/>
      <c r="K43" s="3238"/>
      <c r="L43" s="3238"/>
      <c r="M43" s="3272"/>
      <c r="N43" s="3272"/>
      <c r="O43" s="3273"/>
      <c r="P43" s="3272"/>
      <c r="Q43" s="3274"/>
      <c r="R43" s="3238"/>
      <c r="S43" s="3275"/>
      <c r="T43" s="3225"/>
      <c r="U43" s="3276"/>
      <c r="V43" s="228"/>
      <c r="AO43" s="827"/>
      <c r="AP43" s="658"/>
      <c r="AQ43" s="658"/>
      <c r="AR43" s="658"/>
      <c r="AS43" s="658"/>
      <c r="AT43" s="658"/>
      <c r="AU43" s="658"/>
    </row>
    <row r="44" spans="1:47">
      <c r="A44" s="88"/>
      <c r="B44" s="3236"/>
      <c r="C44" s="3239"/>
      <c r="D44" s="3239"/>
      <c r="E44" s="3237" t="s">
        <v>4972</v>
      </c>
      <c r="F44" s="3237"/>
      <c r="G44" s="3238"/>
      <c r="H44" s="3239"/>
      <c r="I44" s="3239"/>
      <c r="J44" s="3238"/>
      <c r="K44" s="3238"/>
      <c r="L44" s="3238"/>
      <c r="M44" s="3272"/>
      <c r="N44" s="3272"/>
      <c r="O44" s="461"/>
      <c r="P44" s="3272"/>
      <c r="Q44" s="3274"/>
      <c r="R44" s="3238"/>
      <c r="S44" s="3275"/>
      <c r="T44" s="3225"/>
      <c r="U44" s="3276"/>
      <c r="V44" s="2975"/>
      <c r="AO44" s="827"/>
      <c r="AP44" s="658"/>
      <c r="AQ44" s="658"/>
      <c r="AR44" s="658"/>
      <c r="AS44" s="658"/>
      <c r="AT44" s="658"/>
      <c r="AU44" s="658"/>
    </row>
    <row r="45" spans="1:47">
      <c r="A45" s="88"/>
      <c r="B45" s="3236"/>
      <c r="C45" s="3239"/>
      <c r="D45" s="3239"/>
      <c r="E45" s="3237" t="s">
        <v>2223</v>
      </c>
      <c r="F45" s="3237"/>
      <c r="G45" s="3238"/>
      <c r="H45" s="3239"/>
      <c r="I45" s="3239"/>
      <c r="J45" s="3238"/>
      <c r="K45" s="3238"/>
      <c r="L45" s="3238"/>
      <c r="M45" s="3272"/>
      <c r="N45" s="3272"/>
      <c r="O45" s="461"/>
      <c r="P45" s="3272"/>
      <c r="Q45" s="3274"/>
      <c r="R45" s="3238"/>
      <c r="S45" s="3275"/>
      <c r="T45" s="3225"/>
      <c r="U45" s="3276"/>
      <c r="V45" s="229"/>
      <c r="AO45" s="827"/>
      <c r="AP45" s="658"/>
      <c r="AQ45" s="658"/>
      <c r="AR45" s="658"/>
      <c r="AS45" s="658"/>
      <c r="AT45" s="658"/>
      <c r="AU45" s="658"/>
    </row>
    <row r="46" spans="1:47">
      <c r="A46" s="88"/>
      <c r="B46" s="3269" t="s">
        <v>167</v>
      </c>
      <c r="C46" s="3270"/>
      <c r="D46" s="3237" t="s">
        <v>5243</v>
      </c>
      <c r="E46" s="3237"/>
      <c r="F46" s="3237"/>
      <c r="G46" s="3238"/>
      <c r="H46" s="3239"/>
      <c r="I46" s="3239"/>
      <c r="J46" s="3238"/>
      <c r="K46" s="3238"/>
      <c r="L46" s="3238"/>
      <c r="M46" s="3272"/>
      <c r="N46" s="3272"/>
      <c r="O46" s="3273"/>
      <c r="P46" s="3272"/>
      <c r="Q46" s="3274"/>
      <c r="R46" s="352">
        <f>'1099-DIV'!H98</f>
        <v>0</v>
      </c>
      <c r="S46" s="3275"/>
      <c r="T46" s="3225"/>
      <c r="U46" s="2497" t="str">
        <f>E49</f>
        <v>Form 1099-DIV, box 2d;</v>
      </c>
      <c r="V46" s="229"/>
      <c r="AO46" s="827"/>
      <c r="AP46" s="658"/>
      <c r="AQ46" s="658"/>
      <c r="AR46" s="658"/>
      <c r="AS46" s="658"/>
      <c r="AT46" s="658"/>
      <c r="AU46" s="658"/>
    </row>
    <row r="47" spans="1:47" ht="13.5" customHeight="1">
      <c r="A47" s="88"/>
      <c r="B47" s="3236"/>
      <c r="C47" s="3239"/>
      <c r="D47" s="3237" t="s">
        <v>5244</v>
      </c>
      <c r="E47" s="3237"/>
      <c r="F47" s="3237"/>
      <c r="G47" s="3238"/>
      <c r="H47" s="3239"/>
      <c r="I47" s="3239"/>
      <c r="J47" s="3238"/>
      <c r="K47" s="3238"/>
      <c r="L47" s="3238"/>
      <c r="M47" s="8360" t="str">
        <f>B46</f>
        <v>3.</v>
      </c>
      <c r="N47" s="8360"/>
      <c r="O47" s="352"/>
      <c r="P47" s="3272"/>
      <c r="Q47" s="3274"/>
      <c r="R47" s="3274"/>
      <c r="S47" s="3275"/>
      <c r="T47" s="3225"/>
      <c r="U47" s="229"/>
      <c r="V47" s="229"/>
      <c r="AO47" s="827"/>
      <c r="AP47" s="658"/>
      <c r="AQ47" s="658"/>
      <c r="AR47" s="658"/>
      <c r="AS47" s="658"/>
      <c r="AT47" s="658"/>
      <c r="AU47" s="658"/>
    </row>
    <row r="48" spans="1:47">
      <c r="A48" s="88"/>
      <c r="B48" s="3269" t="s">
        <v>171</v>
      </c>
      <c r="C48" s="3270"/>
      <c r="D48" s="3237" t="s">
        <v>2224</v>
      </c>
      <c r="E48" s="3237"/>
      <c r="F48" s="3237"/>
      <c r="G48" s="3238"/>
      <c r="H48" s="3239"/>
      <c r="I48" s="3239"/>
      <c r="J48" s="3238"/>
      <c r="K48" s="3238"/>
      <c r="L48" s="3238"/>
      <c r="M48" s="3272"/>
      <c r="N48" s="3272"/>
      <c r="O48" s="3273"/>
      <c r="P48" s="3272"/>
      <c r="Q48" s="3274"/>
      <c r="R48" s="352"/>
      <c r="S48" s="3275"/>
      <c r="T48" s="3225"/>
      <c r="U48" s="2497" t="str">
        <f>E50</f>
        <v>Form 2439, box 1d; and</v>
      </c>
      <c r="V48" s="229"/>
      <c r="AO48" s="827"/>
      <c r="AP48" s="658"/>
      <c r="AQ48" s="658"/>
      <c r="AR48" s="658"/>
      <c r="AS48" s="658"/>
      <c r="AT48" s="658"/>
      <c r="AU48" s="658"/>
    </row>
    <row r="49" spans="1:47" ht="13.5" customHeight="1">
      <c r="A49" s="88"/>
      <c r="B49" s="3292"/>
      <c r="C49" s="3293"/>
      <c r="D49" s="3290" t="s">
        <v>2219</v>
      </c>
      <c r="E49" s="3237" t="s">
        <v>2225</v>
      </c>
      <c r="F49" s="3290"/>
      <c r="G49" s="3237"/>
      <c r="H49" s="3239"/>
      <c r="I49" s="3239"/>
      <c r="J49" s="3238"/>
      <c r="K49" s="3238"/>
      <c r="L49" s="3238"/>
      <c r="M49" s="3272"/>
      <c r="N49" s="3272"/>
      <c r="O49" s="3273"/>
      <c r="P49" s="3272"/>
      <c r="Q49" s="3274"/>
      <c r="R49" s="3274"/>
      <c r="S49" s="3275"/>
      <c r="T49" s="3225"/>
      <c r="U49" s="3276"/>
      <c r="V49" s="229"/>
      <c r="AI49" s="314" t="s">
        <v>5183</v>
      </c>
      <c r="AO49" s="658"/>
      <c r="AP49" s="658"/>
      <c r="AQ49" s="658"/>
      <c r="AR49" s="658"/>
      <c r="AS49" s="658"/>
      <c r="AT49" s="658"/>
      <c r="AU49" s="658"/>
    </row>
    <row r="50" spans="1:47" ht="13.5" customHeight="1">
      <c r="A50" s="88"/>
      <c r="B50" s="3292"/>
      <c r="C50" s="3293"/>
      <c r="D50" s="3290" t="s">
        <v>2219</v>
      </c>
      <c r="E50" s="3237" t="s">
        <v>2226</v>
      </c>
      <c r="F50" s="3290"/>
      <c r="G50" s="3237"/>
      <c r="H50" s="3239"/>
      <c r="I50" s="3239"/>
      <c r="J50" s="3238"/>
      <c r="K50" s="3238"/>
      <c r="L50" s="3291" t="s">
        <v>1893</v>
      </c>
      <c r="M50" s="8360" t="str">
        <f>B48</f>
        <v>4.</v>
      </c>
      <c r="N50" s="8360"/>
      <c r="O50" s="2628">
        <f>SUM(R46,R48,R51)</f>
        <v>0</v>
      </c>
      <c r="P50" s="3272"/>
      <c r="Q50" s="3274"/>
      <c r="R50" s="3274"/>
      <c r="S50" s="3275"/>
      <c r="T50" s="3225"/>
      <c r="U50" s="2497" t="str">
        <f>LEFT(E51,19)</f>
        <v>Schedule K-1 from a</v>
      </c>
      <c r="V50" s="229"/>
      <c r="AC50" s="314" t="s">
        <v>2236</v>
      </c>
      <c r="AD50" s="314" t="s">
        <v>2236</v>
      </c>
      <c r="AE50" s="314" t="s">
        <v>5179</v>
      </c>
      <c r="AF50" s="314" t="s">
        <v>2238</v>
      </c>
      <c r="AG50" s="314" t="s">
        <v>2236</v>
      </c>
      <c r="AH50" s="314" t="s">
        <v>2236</v>
      </c>
      <c r="AI50" s="314" t="s">
        <v>2238</v>
      </c>
      <c r="AO50" s="658"/>
      <c r="AP50" s="658"/>
      <c r="AQ50" s="658"/>
      <c r="AR50" s="658"/>
      <c r="AS50" s="658"/>
      <c r="AT50" s="658"/>
      <c r="AU50" s="658"/>
    </row>
    <row r="51" spans="1:47" ht="13.5" customHeight="1">
      <c r="A51" s="88"/>
      <c r="B51" s="3292"/>
      <c r="C51" s="3293"/>
      <c r="D51" s="3290" t="s">
        <v>2219</v>
      </c>
      <c r="E51" s="3237" t="s">
        <v>2227</v>
      </c>
      <c r="F51" s="3290"/>
      <c r="G51" s="3237"/>
      <c r="H51" s="3239"/>
      <c r="I51" s="3239"/>
      <c r="J51" s="3238"/>
      <c r="K51" s="3238"/>
      <c r="L51" s="3238"/>
      <c r="M51" s="3272"/>
      <c r="N51" s="3272"/>
      <c r="O51" s="5064" t="b">
        <f>OR(AND(O37&lt;&gt;"",O37&lt;&gt;0),AND(O41&lt;&gt;"",O41&lt;&gt;0),AND(O47&lt;&gt;"",O47&lt;&gt;0),AND(O50&lt;&gt;"",O50&lt;&gt;0),AND(R53&lt;&gt;"",R53&lt;&gt;0))</f>
        <v>0</v>
      </c>
      <c r="P51" s="3272"/>
      <c r="Q51" s="3274"/>
      <c r="R51" s="352"/>
      <c r="S51" s="3275"/>
      <c r="T51" s="3225"/>
      <c r="U51" s="2497" t="str">
        <f>MID(E51,21,27)</f>
        <v>partnership, S corporation,</v>
      </c>
      <c r="V51" s="1879"/>
      <c r="AC51" s="3217" t="s">
        <v>2241</v>
      </c>
      <c r="AD51" s="3217" t="s">
        <v>2242</v>
      </c>
      <c r="AE51" s="3217" t="s">
        <v>5180</v>
      </c>
      <c r="AF51" s="3217" t="s">
        <v>2243</v>
      </c>
      <c r="AG51" s="3217" t="s">
        <v>5178</v>
      </c>
      <c r="AH51" s="3217" t="s">
        <v>2245</v>
      </c>
      <c r="AI51" s="3217" t="s">
        <v>2244</v>
      </c>
      <c r="AO51" s="658"/>
      <c r="AP51" s="658"/>
      <c r="AQ51" s="658"/>
      <c r="AR51" s="658"/>
      <c r="AS51" s="658"/>
      <c r="AT51" s="658"/>
      <c r="AU51" s="658"/>
    </row>
    <row r="52" spans="1:47" ht="13.5" customHeight="1">
      <c r="A52" s="88"/>
      <c r="B52" s="3269" t="s">
        <v>184</v>
      </c>
      <c r="C52" s="3270"/>
      <c r="D52" s="3237" t="s">
        <v>2228</v>
      </c>
      <c r="E52" s="3237"/>
      <c r="F52" s="3237"/>
      <c r="G52" s="3238"/>
      <c r="H52" s="3239"/>
      <c r="I52" s="3239"/>
      <c r="J52" s="3238"/>
      <c r="K52" s="3238"/>
      <c r="L52" s="3238"/>
      <c r="M52" s="3272"/>
      <c r="N52" s="3272"/>
      <c r="O52" s="3273"/>
      <c r="P52" s="3272"/>
      <c r="Q52" s="3274"/>
      <c r="R52" s="3274"/>
      <c r="S52" s="3275"/>
      <c r="T52" s="3225"/>
      <c r="U52" s="2497" t="str">
        <f>RIGHT(E51,16)</f>
        <v>state, or trust.</v>
      </c>
      <c r="V52" s="1879"/>
      <c r="AC52" t="b">
        <f>AND(SchDLine18&lt;&gt;"",SchDLine18&gt;0)</f>
        <v>0</v>
      </c>
      <c r="AD52" t="b">
        <f>AND(SchDLine19&lt;&gt;"",SchDLine19&gt;0)</f>
        <v>0</v>
      </c>
      <c r="AE52" t="b">
        <f t="array" ref="AE52">F4952_Line_4g</f>
        <v>0</v>
      </c>
      <c r="AF52" t="b">
        <f>OR(Qualified_Dividends="",Qualified_Dividends=0)</f>
        <v>1</v>
      </c>
      <c r="AG52" t="b">
        <f>AND(SchDLine15&lt;&gt;"",SchDLine15&gt;0)</f>
        <v>0</v>
      </c>
      <c r="AH52" t="b">
        <f>AND(SchDLine16&lt;&gt;"",SchDLine16&gt;0)</f>
        <v>0</v>
      </c>
      <c r="AI52" t="b">
        <f>OR(Taxable_Inc="",Taxable_Inc&lt;=0)</f>
        <v>1</v>
      </c>
      <c r="AO52" s="658"/>
      <c r="AP52" s="658"/>
      <c r="AQ52" s="658"/>
      <c r="AR52" s="658"/>
      <c r="AS52" s="658"/>
      <c r="AT52" s="658"/>
      <c r="AU52" s="658"/>
    </row>
    <row r="53" spans="1:47" ht="12.75" customHeight="1">
      <c r="A53" s="88"/>
      <c r="B53" s="3236"/>
      <c r="C53" s="3239"/>
      <c r="D53" s="3237" t="s">
        <v>2229</v>
      </c>
      <c r="E53" s="3237"/>
      <c r="F53" s="3237"/>
      <c r="G53" s="3238"/>
      <c r="H53" s="3239"/>
      <c r="I53" s="3239"/>
      <c r="J53" s="3238"/>
      <c r="K53" s="3238"/>
      <c r="L53" s="3277" t="s">
        <v>2230</v>
      </c>
      <c r="M53" s="3272" t="str">
        <f>B52</f>
        <v>5.</v>
      </c>
      <c r="N53" s="3279" t="s">
        <v>799</v>
      </c>
      <c r="O53" s="2628">
        <f>SUM('Sch. D'!P47,R53)</f>
        <v>0</v>
      </c>
      <c r="P53" s="6982" t="s">
        <v>800</v>
      </c>
      <c r="Q53" s="3274"/>
      <c r="R53" s="352"/>
      <c r="S53" s="3275"/>
      <c r="T53" s="3225"/>
      <c r="U53" s="2988" t="s">
        <v>2231</v>
      </c>
      <c r="V53" s="1879"/>
      <c r="AO53" s="827"/>
      <c r="AP53" s="658"/>
      <c r="AQ53" s="658"/>
      <c r="AR53" s="658"/>
      <c r="AS53" s="658"/>
      <c r="AT53" s="658"/>
      <c r="AU53" s="658"/>
    </row>
    <row r="54" spans="1:47">
      <c r="A54" s="88"/>
      <c r="B54" s="3269" t="s">
        <v>188</v>
      </c>
      <c r="C54" s="3270"/>
      <c r="D54" s="3237" t="s">
        <v>2232</v>
      </c>
      <c r="E54" s="3237"/>
      <c r="F54" s="3237"/>
      <c r="G54" s="3238"/>
      <c r="H54" s="3239"/>
      <c r="I54" s="3239"/>
      <c r="J54" s="3238"/>
      <c r="K54" s="3238"/>
      <c r="L54" s="3291" t="s">
        <v>526</v>
      </c>
      <c r="M54" s="3272" t="str">
        <f>B54</f>
        <v>6.</v>
      </c>
      <c r="N54" s="3279" t="s">
        <v>799</v>
      </c>
      <c r="O54" s="2628">
        <f>IF('Sch. D'!O29&lt;0,-'Sch. D'!O29,0)</f>
        <v>0</v>
      </c>
      <c r="P54" s="6982" t="s">
        <v>800</v>
      </c>
      <c r="Q54" s="3274"/>
      <c r="R54" s="3274"/>
      <c r="S54" s="3275"/>
      <c r="T54" s="3225"/>
      <c r="U54" s="3276"/>
      <c r="V54" s="1879"/>
      <c r="AC54" t="b">
        <f>OR(AC52,AD52)</f>
        <v>0</v>
      </c>
      <c r="AD54" s="329" t="s">
        <v>5175</v>
      </c>
      <c r="AO54" s="827"/>
      <c r="AP54" s="658"/>
      <c r="AQ54" s="658"/>
      <c r="AR54" s="658"/>
      <c r="AS54" s="658"/>
      <c r="AT54" s="658"/>
      <c r="AU54" s="658"/>
    </row>
    <row r="55" spans="1:47">
      <c r="A55" s="88"/>
      <c r="B55" s="3269" t="s">
        <v>198</v>
      </c>
      <c r="C55" s="3270"/>
      <c r="D55" s="3237" t="s">
        <v>2233</v>
      </c>
      <c r="E55" s="3237"/>
      <c r="F55" s="3237"/>
      <c r="G55" s="3238"/>
      <c r="H55" s="3239"/>
      <c r="I55" s="3239"/>
      <c r="J55" s="3238"/>
      <c r="K55" s="3238"/>
      <c r="L55" s="3238"/>
      <c r="M55" s="3272"/>
      <c r="N55" s="3272"/>
      <c r="O55" s="6983">
        <f>SUM(O37,O41,O47,O50,-O53,-O54)</f>
        <v>0</v>
      </c>
      <c r="P55" s="3272"/>
      <c r="Q55" s="3274"/>
      <c r="R55" s="3274"/>
      <c r="S55" s="3275"/>
      <c r="T55" s="3225"/>
      <c r="U55" s="229"/>
      <c r="V55" s="1879"/>
      <c r="AC55" s="329" t="b">
        <f>AND(AG52,AH52)</f>
        <v>0</v>
      </c>
      <c r="AD55" s="329" t="s">
        <v>5176</v>
      </c>
      <c r="AO55" s="827"/>
      <c r="AP55" s="658"/>
      <c r="AQ55" s="658"/>
      <c r="AR55" s="658"/>
      <c r="AS55" s="658"/>
      <c r="AT55" s="658"/>
      <c r="AU55" s="658"/>
    </row>
    <row r="56" spans="1:47">
      <c r="A56" s="88"/>
      <c r="B56" s="3236"/>
      <c r="C56" s="3239"/>
      <c r="D56" s="3237" t="s">
        <v>2234</v>
      </c>
      <c r="E56" s="3237"/>
      <c r="F56" s="3237"/>
      <c r="G56" s="3238"/>
      <c r="H56" s="3239"/>
      <c r="I56" s="3239"/>
      <c r="J56" s="3238"/>
      <c r="K56" s="3238"/>
      <c r="L56" s="3277" t="s">
        <v>2235</v>
      </c>
      <c r="M56" s="8360" t="str">
        <f>B55</f>
        <v>7.</v>
      </c>
      <c r="N56" s="8360"/>
      <c r="O56" s="2628">
        <f>MAX(0,O55)</f>
        <v>0</v>
      </c>
      <c r="P56" s="3272"/>
      <c r="Q56" s="3274"/>
      <c r="R56" s="3274"/>
      <c r="S56" s="3275"/>
      <c r="T56" s="3225"/>
      <c r="U56" s="229"/>
      <c r="V56" s="1879"/>
      <c r="AC56" t="b">
        <f>AE52</f>
        <v>0</v>
      </c>
      <c r="AD56" s="329" t="s">
        <v>5177</v>
      </c>
      <c r="AO56" s="827"/>
      <c r="AP56" s="658"/>
      <c r="AQ56" s="658"/>
      <c r="AR56" s="658"/>
      <c r="AS56" s="658"/>
      <c r="AT56" s="658"/>
      <c r="AU56" s="658"/>
    </row>
    <row r="57" spans="1:47" ht="13.5" thickBot="1">
      <c r="A57" s="88"/>
      <c r="B57" s="3294"/>
      <c r="C57" s="3295"/>
      <c r="D57" s="3295"/>
      <c r="E57" s="3295"/>
      <c r="F57" s="3295"/>
      <c r="G57" s="3295"/>
      <c r="H57" s="3295"/>
      <c r="I57" s="3295"/>
      <c r="J57" s="3295"/>
      <c r="K57" s="3295"/>
      <c r="L57" s="3295"/>
      <c r="M57" s="3295"/>
      <c r="N57" s="3295"/>
      <c r="O57" s="3295"/>
      <c r="P57" s="3295"/>
      <c r="Q57" s="3295"/>
      <c r="R57" s="3295"/>
      <c r="S57" s="3296"/>
      <c r="T57" s="3225"/>
      <c r="U57" s="229"/>
      <c r="V57" s="1879"/>
      <c r="AC57" s="3297" t="b">
        <f>OR(AND(AC54,AC55),AC56)</f>
        <v>0</v>
      </c>
      <c r="AD57" s="329" t="s">
        <v>5174</v>
      </c>
      <c r="AO57" s="827"/>
      <c r="AP57" s="658"/>
      <c r="AQ57" s="658"/>
      <c r="AR57" s="658"/>
      <c r="AS57" s="658"/>
      <c r="AT57" s="658"/>
      <c r="AU57" s="658"/>
    </row>
    <row r="58" spans="1:47">
      <c r="A58" s="88"/>
      <c r="B58" s="247"/>
      <c r="C58" s="247"/>
      <c r="D58" s="247"/>
      <c r="E58" s="247"/>
      <c r="F58" s="247"/>
      <c r="G58" s="88"/>
      <c r="H58" s="88"/>
      <c r="I58" s="88"/>
      <c r="J58" s="3298"/>
      <c r="K58" s="3298"/>
      <c r="L58" s="3298"/>
      <c r="M58" s="3298"/>
      <c r="N58" s="3298"/>
      <c r="O58" s="3298"/>
      <c r="P58" s="3298"/>
      <c r="Q58" s="3298"/>
      <c r="R58" s="3298"/>
      <c r="S58" s="3298"/>
      <c r="T58" s="3299"/>
      <c r="U58" s="3300"/>
      <c r="V58" s="229"/>
      <c r="AO58" s="827"/>
      <c r="AP58" s="658"/>
      <c r="AQ58" s="658"/>
      <c r="AR58" s="658"/>
      <c r="AS58" s="658"/>
      <c r="AT58" s="658"/>
      <c r="AU58" s="658"/>
    </row>
    <row r="59" spans="1:47" ht="18.75" customHeight="1">
      <c r="A59" s="88"/>
      <c r="B59" s="3285" t="s">
        <v>1482</v>
      </c>
      <c r="C59" s="3285"/>
      <c r="D59" s="3301"/>
      <c r="E59" s="3301"/>
      <c r="F59" s="3301"/>
      <c r="G59" s="3286"/>
      <c r="H59" s="3286"/>
      <c r="I59" s="3286"/>
      <c r="J59" s="3286"/>
      <c r="K59" s="3286"/>
      <c r="L59" s="3286"/>
      <c r="M59" s="3286"/>
      <c r="N59" s="3286"/>
      <c r="O59" s="3286"/>
      <c r="P59" s="3286"/>
      <c r="Q59" s="3287" t="str">
        <f>IF('Table of Contents'!A37="D","DRAFT Instructions","Keep for Your Records")</f>
        <v>Keep for Your Records</v>
      </c>
      <c r="R59" s="3302"/>
      <c r="S59" s="3300"/>
      <c r="T59" s="2806"/>
      <c r="U59" s="1810"/>
      <c r="V59" s="229"/>
      <c r="W59" s="304"/>
      <c r="AC59" s="1614" t="s">
        <v>5173</v>
      </c>
      <c r="AO59" s="827"/>
      <c r="AP59" s="658"/>
      <c r="AQ59" s="658"/>
      <c r="AR59" s="658"/>
      <c r="AS59" s="658"/>
      <c r="AT59" s="658"/>
      <c r="AU59" s="658"/>
    </row>
    <row r="60" spans="1:47" ht="14.25" customHeight="1">
      <c r="A60" s="88"/>
      <c r="B60" s="3303" t="s">
        <v>2239</v>
      </c>
      <c r="C60" s="2995" t="s">
        <v>2240</v>
      </c>
      <c r="D60" s="2769"/>
      <c r="E60" s="2769"/>
      <c r="F60" s="2769"/>
      <c r="G60" s="2751"/>
      <c r="H60" s="2751"/>
      <c r="I60" s="2751"/>
      <c r="J60" s="2751"/>
      <c r="K60" s="2995"/>
      <c r="L60" s="2995"/>
      <c r="M60" s="2751"/>
      <c r="N60" s="2751"/>
      <c r="O60" s="2751"/>
      <c r="P60" s="2751"/>
      <c r="Q60" s="2751"/>
      <c r="R60" s="3304"/>
      <c r="S60" s="3305"/>
      <c r="T60" s="3306"/>
      <c r="U60" s="1810"/>
      <c r="V60" s="229"/>
      <c r="W60" s="304"/>
      <c r="AC60" t="b">
        <f>OR(NOT(AG52),NOT(AH52))</f>
        <v>1</v>
      </c>
      <c r="AD60" s="329" t="s">
        <v>5500</v>
      </c>
      <c r="AO60" s="827"/>
      <c r="AP60" s="658"/>
      <c r="AQ60" s="658"/>
      <c r="AR60" s="658"/>
      <c r="AS60" s="658"/>
      <c r="AT60" s="658"/>
      <c r="AU60" s="658"/>
    </row>
    <row r="61" spans="1:47" ht="14.25" customHeight="1" thickBot="1">
      <c r="A61" s="88"/>
      <c r="B61" s="3307"/>
      <c r="C61" s="2995" t="s">
        <v>2246</v>
      </c>
      <c r="D61" s="2769"/>
      <c r="E61" s="2769"/>
      <c r="F61" s="2769"/>
      <c r="G61" s="2751"/>
      <c r="H61" s="2751"/>
      <c r="I61" s="2751"/>
      <c r="J61" s="2751"/>
      <c r="K61" s="2995"/>
      <c r="L61" s="2995"/>
      <c r="M61" s="2751"/>
      <c r="N61" s="2751"/>
      <c r="O61" s="2751"/>
      <c r="P61" s="2751"/>
      <c r="Q61" s="2751"/>
      <c r="R61" s="3304"/>
      <c r="S61" s="3300"/>
      <c r="T61" s="3306"/>
      <c r="U61" s="1810" t="s">
        <v>2247</v>
      </c>
      <c r="V61" s="229"/>
      <c r="W61" s="304"/>
      <c r="AC61" t="b">
        <f>AF52</f>
        <v>1</v>
      </c>
      <c r="AD61" s="329" t="s">
        <v>5501</v>
      </c>
      <c r="AO61" s="827"/>
      <c r="AP61" s="658"/>
      <c r="AQ61" s="658"/>
      <c r="AR61" s="658"/>
      <c r="AS61" s="658"/>
      <c r="AT61" s="658"/>
      <c r="AU61" s="658"/>
    </row>
    <row r="62" spans="1:47" ht="13.5" thickBot="1">
      <c r="A62" s="88"/>
      <c r="B62" s="3308"/>
      <c r="C62" s="3309" t="s">
        <v>2248</v>
      </c>
      <c r="D62" s="2769"/>
      <c r="E62" s="2769"/>
      <c r="F62" s="2769"/>
      <c r="G62" s="2751"/>
      <c r="H62" s="2751"/>
      <c r="I62" s="2751"/>
      <c r="J62" s="2751"/>
      <c r="K62" s="2751"/>
      <c r="L62" s="2751"/>
      <c r="M62" s="2751"/>
      <c r="N62" s="2751"/>
      <c r="O62" s="2751"/>
      <c r="P62" s="2751"/>
      <c r="Q62" s="2751"/>
      <c r="R62" s="3304"/>
      <c r="S62" s="3300"/>
      <c r="T62" s="3310"/>
      <c r="U62" s="3311" t="str">
        <f>IF(AC72,"Yes",IF(AC65,"Yes","No"))</f>
        <v>No</v>
      </c>
      <c r="V62" s="229"/>
      <c r="W62" s="304"/>
      <c r="AC62" t="b">
        <f>AI52</f>
        <v>1</v>
      </c>
      <c r="AD62" s="329" t="s">
        <v>5499</v>
      </c>
      <c r="AO62" s="827"/>
      <c r="AP62" s="658"/>
      <c r="AQ62" s="658"/>
      <c r="AR62" s="658"/>
      <c r="AS62" s="658"/>
      <c r="AT62" s="658"/>
      <c r="AU62" s="658"/>
    </row>
    <row r="63" spans="1:47" ht="12.75" customHeight="1">
      <c r="A63" s="88"/>
      <c r="B63" s="3308"/>
      <c r="C63" s="3312" t="s">
        <v>2249</v>
      </c>
      <c r="D63" s="2769"/>
      <c r="E63" s="2769"/>
      <c r="F63" s="2769"/>
      <c r="G63" s="2751"/>
      <c r="H63" s="2751"/>
      <c r="I63" s="2751"/>
      <c r="J63" s="2751"/>
      <c r="K63" s="2751"/>
      <c r="L63" s="2751"/>
      <c r="M63" s="2751"/>
      <c r="N63" s="2751"/>
      <c r="O63" s="3313" t="s">
        <v>1488</v>
      </c>
      <c r="P63" s="2751"/>
      <c r="Q63" s="3314" t="s">
        <v>5181</v>
      </c>
      <c r="R63" s="1797"/>
      <c r="S63" s="3300"/>
      <c r="T63" s="3310"/>
      <c r="U63" s="8366" t="str">
        <f>IF(AC72,"Override used.",IF(AE52,"Form 4952 is used",IF(SchD_Line1819_GT_0,"","Neither Sch. D, Line 18"&amp;CHAR(10)&amp;"nor Line 19 are &gt;0")))</f>
        <v>Neither Sch. D, Line 18
nor Line 19 are &gt;0</v>
      </c>
      <c r="V63" s="229"/>
      <c r="W63" s="304"/>
      <c r="AC63" s="3297" t="b">
        <f>OR(AC60,AC61,AC62)</f>
        <v>1</v>
      </c>
      <c r="AD63" s="329" t="s">
        <v>5182</v>
      </c>
      <c r="AO63" s="827"/>
      <c r="AP63" s="658"/>
      <c r="AQ63" s="658"/>
      <c r="AR63" s="658"/>
      <c r="AS63" s="658"/>
      <c r="AT63" s="658"/>
      <c r="AU63" s="658"/>
    </row>
    <row r="64" spans="1:47" ht="12.75" customHeight="1" thickBot="1">
      <c r="A64" s="88"/>
      <c r="B64" s="3308"/>
      <c r="C64" s="3312" t="s">
        <v>2250</v>
      </c>
      <c r="D64" s="2769"/>
      <c r="E64" s="2769"/>
      <c r="F64" s="2769"/>
      <c r="G64" s="2751"/>
      <c r="H64" s="2751"/>
      <c r="I64" s="2751"/>
      <c r="J64" s="2751"/>
      <c r="K64" s="2751"/>
      <c r="L64" s="2751"/>
      <c r="M64" s="2751"/>
      <c r="N64" s="2751"/>
      <c r="O64" s="2751"/>
      <c r="P64" s="2751"/>
      <c r="Q64" s="2751"/>
      <c r="R64" s="3304"/>
      <c r="S64" s="3300"/>
      <c r="T64" s="3310"/>
      <c r="U64" s="8367"/>
      <c r="V64" s="229"/>
      <c r="W64" s="304"/>
      <c r="AO64" s="827"/>
      <c r="AP64" s="658"/>
      <c r="AQ64" s="658"/>
      <c r="AR64" s="658"/>
      <c r="AS64" s="658"/>
      <c r="AT64" s="658"/>
      <c r="AU64" s="658"/>
    </row>
    <row r="65" spans="1:47" ht="13.5" customHeight="1" thickBot="1">
      <c r="A65" s="88"/>
      <c r="B65" s="3308"/>
      <c r="C65" s="2995" t="s">
        <v>2251</v>
      </c>
      <c r="D65" s="2769"/>
      <c r="E65" s="2769"/>
      <c r="F65" s="2769"/>
      <c r="G65" s="2751"/>
      <c r="H65" s="2995"/>
      <c r="I65" s="2751"/>
      <c r="J65" s="2751"/>
      <c r="K65" s="2751"/>
      <c r="L65" s="2751"/>
      <c r="M65" s="2751"/>
      <c r="N65" s="2751"/>
      <c r="O65" s="2751"/>
      <c r="P65" s="2751"/>
      <c r="Q65" s="2751"/>
      <c r="R65" s="3304"/>
      <c r="S65" s="3300"/>
      <c r="T65" s="3316"/>
      <c r="U65" s="8366" t="str">
        <f>IF(AC72,"",IF(AND(SchDTW_Used,NOT(AC72),AC57,SchD_Line1819_GT_0,SchD_Line1516_GT_0,NOT(AC56)),"Sch. D Line 18 or 19 &gt;0  "&amp;CHAR(10)&amp;"AND",IF(AND(NOT(AC56),NOT(SchD_Line1516_GT_0)),"Sch. D, Lines 15 and 16 are not both gains.","")))</f>
        <v>Sch. D, Lines 15 and 16 are not both gains.</v>
      </c>
      <c r="V65" s="229"/>
      <c r="W65" s="304"/>
      <c r="AC65" s="3315" t="b">
        <f xml:space="preserve"> OR(AC72,AND(NOT(Exception_QDCG_TW_SchD_TW),AC57))</f>
        <v>0</v>
      </c>
      <c r="AD65" s="329" t="s">
        <v>5172</v>
      </c>
      <c r="AO65" s="827"/>
      <c r="AP65" s="658"/>
      <c r="AQ65" s="658"/>
      <c r="AR65" s="658"/>
      <c r="AS65" s="658"/>
      <c r="AT65" s="658"/>
      <c r="AU65" s="658"/>
    </row>
    <row r="66" spans="1:47" ht="12" customHeight="1">
      <c r="A66" s="88"/>
      <c r="B66" s="8368" t="b">
        <f>AND(NOT(AC72),Exception_QDCG_TW_SchD_TW)</f>
        <v>1</v>
      </c>
      <c r="C66" s="8369"/>
      <c r="D66" s="3317" t="s">
        <v>830</v>
      </c>
      <c r="E66" s="2770" t="s">
        <v>2252</v>
      </c>
      <c r="F66" s="2769"/>
      <c r="G66" s="2751"/>
      <c r="H66" s="2995"/>
      <c r="I66" s="2770"/>
      <c r="J66" s="2751"/>
      <c r="K66" s="2751"/>
      <c r="L66" s="2751"/>
      <c r="M66" s="2751"/>
      <c r="N66" s="2751"/>
      <c r="O66" s="3318"/>
      <c r="P66" s="2751"/>
      <c r="Q66" s="3319"/>
      <c r="R66" s="3318"/>
      <c r="S66" s="3300"/>
      <c r="T66" s="3310"/>
      <c r="U66" s="8366"/>
      <c r="V66" s="229"/>
      <c r="AO66" s="827"/>
      <c r="AP66" s="658"/>
      <c r="AQ66" s="658"/>
      <c r="AR66" s="658"/>
      <c r="AS66" s="658"/>
      <c r="AT66" s="658"/>
      <c r="AU66" s="658"/>
    </row>
    <row r="67" spans="1:47" ht="12" customHeight="1">
      <c r="A67" s="88"/>
      <c r="B67" s="3320"/>
      <c r="C67" s="1614" t="s">
        <v>1235</v>
      </c>
      <c r="D67" s="3317"/>
      <c r="E67" s="2770"/>
      <c r="F67" s="2769"/>
      <c r="G67" s="2751"/>
      <c r="H67" s="2995"/>
      <c r="I67" s="2770"/>
      <c r="J67" s="2751"/>
      <c r="K67" s="2751"/>
      <c r="L67" s="2751"/>
      <c r="M67" s="2751"/>
      <c r="N67" s="2751"/>
      <c r="O67" s="3318"/>
      <c r="P67" s="2751"/>
      <c r="Q67" s="3319"/>
      <c r="R67" s="3318"/>
      <c r="S67" s="3300"/>
      <c r="T67" s="3321"/>
      <c r="U67" s="3322" t="str">
        <f>IF(OR(B66,B68),"Exception met.","")</f>
        <v>Exception met.</v>
      </c>
      <c r="V67" s="229"/>
      <c r="AC67" t="b">
        <f>AND(NOT(AC72),SchDTW_Used,NOT(Exception_QDCG_TW_SchD_TW),SchD_Line1819_GT_0,SchD_Line1516_GT_0,AG52)</f>
        <v>0</v>
      </c>
      <c r="AO67" s="827"/>
      <c r="AP67" s="658"/>
      <c r="AQ67" s="658"/>
      <c r="AR67" s="658"/>
      <c r="AS67" s="658"/>
      <c r="AT67" s="658"/>
      <c r="AU67" s="658"/>
    </row>
    <row r="68" spans="1:47" ht="12" customHeight="1">
      <c r="A68" s="88"/>
      <c r="B68" s="8368" t="b">
        <f>AND(NOT(AC72),Exception_QDCG_TW_SchD_TW)</f>
        <v>1</v>
      </c>
      <c r="C68" s="8369"/>
      <c r="D68" s="3317" t="s">
        <v>830</v>
      </c>
      <c r="E68" s="2770" t="s">
        <v>5245</v>
      </c>
      <c r="F68" s="2769"/>
      <c r="G68" s="2751"/>
      <c r="H68" s="2751"/>
      <c r="I68" s="2751"/>
      <c r="J68" s="2751"/>
      <c r="K68" s="2751"/>
      <c r="L68" s="2751"/>
      <c r="M68" s="2751"/>
      <c r="N68" s="2751"/>
      <c r="O68" s="3318"/>
      <c r="P68" s="2751"/>
      <c r="Q68" s="3319"/>
      <c r="R68" s="3304"/>
      <c r="S68" s="3300"/>
      <c r="T68" s="3321"/>
      <c r="U68" s="3322"/>
      <c r="V68" s="229"/>
      <c r="AO68" s="827"/>
      <c r="AP68" s="658"/>
      <c r="AQ68" s="658"/>
      <c r="AR68" s="658"/>
      <c r="AS68" s="658"/>
      <c r="AT68" s="658"/>
      <c r="AU68" s="658"/>
    </row>
    <row r="69" spans="1:47" ht="12" customHeight="1">
      <c r="A69" s="88"/>
      <c r="B69" s="3323"/>
      <c r="C69" s="2770" t="s">
        <v>2253</v>
      </c>
      <c r="D69" s="2770"/>
      <c r="E69" s="2770"/>
      <c r="F69" s="2770"/>
      <c r="G69" s="2770"/>
      <c r="H69" s="2770"/>
      <c r="I69" s="2770"/>
      <c r="J69" s="2770"/>
      <c r="K69" s="2770"/>
      <c r="L69" s="2770"/>
      <c r="M69" s="2770"/>
      <c r="N69" s="2770"/>
      <c r="O69" s="3318"/>
      <c r="P69" s="2770"/>
      <c r="Q69" s="2770"/>
      <c r="R69" s="3324"/>
      <c r="S69" s="3004"/>
      <c r="T69" s="3306"/>
      <c r="U69" s="8371" t="str">
        <f>IF(AC72,"",IF(AI52,"Form 1040, Line 15 is &lt;= 0",""))</f>
        <v>Form 1040, Line 15 is &lt;= 0</v>
      </c>
      <c r="V69" s="229"/>
      <c r="AO69" s="827"/>
      <c r="AP69" s="658"/>
      <c r="AQ69" s="658"/>
      <c r="AR69" s="658"/>
      <c r="AS69" s="658"/>
      <c r="AT69" s="658"/>
      <c r="AU69" s="658"/>
    </row>
    <row r="70" spans="1:47" ht="7.5" customHeight="1" thickBot="1">
      <c r="A70" s="88"/>
      <c r="B70" s="3325"/>
      <c r="C70" s="3326"/>
      <c r="D70" s="3326"/>
      <c r="E70" s="3326"/>
      <c r="F70" s="3326"/>
      <c r="G70" s="3326"/>
      <c r="H70" s="3326"/>
      <c r="I70" s="3326"/>
      <c r="J70" s="3326"/>
      <c r="K70" s="3326"/>
      <c r="L70" s="3326"/>
      <c r="M70" s="3326"/>
      <c r="N70" s="3326"/>
      <c r="O70" s="3326"/>
      <c r="P70" s="3326"/>
      <c r="Q70" s="3326"/>
      <c r="R70" s="3327"/>
      <c r="S70" s="3328"/>
      <c r="T70" s="3306"/>
      <c r="U70" s="8371"/>
      <c r="V70" s="229"/>
      <c r="AO70" s="827"/>
      <c r="AP70" s="658"/>
      <c r="AQ70" s="658"/>
      <c r="AR70" s="658"/>
      <c r="AS70" s="658"/>
      <c r="AT70" s="658"/>
      <c r="AU70" s="658"/>
    </row>
    <row r="71" spans="1:47" ht="14.25" customHeight="1" thickBot="1">
      <c r="A71" s="88"/>
      <c r="B71" s="3323"/>
      <c r="C71" s="2770"/>
      <c r="D71" s="2770"/>
      <c r="E71" s="2770"/>
      <c r="F71" s="2770"/>
      <c r="G71" s="2770"/>
      <c r="H71" s="2770"/>
      <c r="I71" s="2770"/>
      <c r="J71" s="2770"/>
      <c r="K71" s="2770"/>
      <c r="L71" s="2770"/>
      <c r="M71" s="2770"/>
      <c r="N71" s="2770"/>
      <c r="O71" s="2770"/>
      <c r="P71" s="2770"/>
      <c r="Q71" s="2770"/>
      <c r="R71" s="3329"/>
      <c r="S71" s="3004"/>
      <c r="T71" s="3306"/>
      <c r="U71" s="3330"/>
      <c r="V71" s="229"/>
      <c r="AD71" s="829" t="s">
        <v>1482</v>
      </c>
      <c r="AE71" s="830"/>
      <c r="AF71" s="830"/>
      <c r="AG71" s="830" t="b">
        <f>SchDTW_Used</f>
        <v>0</v>
      </c>
      <c r="AH71" s="843" t="s">
        <v>1483</v>
      </c>
      <c r="AO71" s="827"/>
      <c r="AP71" s="658"/>
      <c r="AQ71" s="658"/>
      <c r="AR71" s="658"/>
      <c r="AS71" s="658"/>
      <c r="AT71" s="658"/>
      <c r="AU71" s="658"/>
    </row>
    <row r="72" spans="1:47" ht="12" customHeight="1" thickBot="1">
      <c r="A72" s="88"/>
      <c r="B72" s="3331">
        <v>1</v>
      </c>
      <c r="C72" s="2770"/>
      <c r="D72" s="2769" t="s">
        <v>5246</v>
      </c>
      <c r="E72" s="2770"/>
      <c r="F72" s="2770"/>
      <c r="G72" s="2770"/>
      <c r="H72" s="2770"/>
      <c r="I72" s="2770"/>
      <c r="J72" s="2770"/>
      <c r="K72" s="2770"/>
      <c r="L72" s="2770"/>
      <c r="M72" s="2770"/>
      <c r="N72" s="2770"/>
      <c r="O72" s="2770"/>
      <c r="P72" s="2770"/>
      <c r="Q72" s="2770"/>
      <c r="R72" s="3324"/>
      <c r="S72" s="3004"/>
      <c r="T72" s="3306"/>
      <c r="U72" s="148" t="s">
        <v>979</v>
      </c>
      <c r="V72" s="229"/>
      <c r="W72" s="4466"/>
      <c r="X72" s="3" t="s">
        <v>2254</v>
      </c>
      <c r="AC72" s="3297" t="b">
        <f>W72&lt;&gt;""</f>
        <v>0</v>
      </c>
      <c r="AD72" s="3332" t="s">
        <v>157</v>
      </c>
      <c r="AE72" s="329" t="s">
        <v>2255</v>
      </c>
      <c r="AG72" s="2628">
        <v>0</v>
      </c>
      <c r="AH72" s="832"/>
      <c r="AO72" s="827"/>
      <c r="AP72" s="658"/>
      <c r="AQ72" s="658"/>
      <c r="AR72" s="658"/>
      <c r="AS72" s="658"/>
      <c r="AT72" s="658"/>
      <c r="AU72" s="658"/>
    </row>
    <row r="73" spans="1:47" ht="12.75" customHeight="1">
      <c r="A73" s="88"/>
      <c r="B73" s="3323"/>
      <c r="C73" s="2770"/>
      <c r="D73" s="3214" t="s">
        <v>2256</v>
      </c>
      <c r="E73" s="2770"/>
      <c r="F73" s="2770"/>
      <c r="G73" s="2770"/>
      <c r="H73" s="2770"/>
      <c r="I73" s="2770"/>
      <c r="J73" s="2770"/>
      <c r="K73" s="2770"/>
      <c r="L73" s="2770"/>
      <c r="M73" s="2770"/>
      <c r="N73" s="2770"/>
      <c r="O73" s="2770"/>
      <c r="P73" s="2770"/>
      <c r="Q73" s="2770"/>
      <c r="R73" s="3324"/>
      <c r="S73" s="3004"/>
      <c r="T73" s="3306"/>
      <c r="U73" s="148" t="s">
        <v>931</v>
      </c>
      <c r="V73" s="229"/>
      <c r="X73" s="3" t="s">
        <v>2257</v>
      </c>
      <c r="AD73" s="833" t="s">
        <v>161</v>
      </c>
      <c r="AE73" s="329" t="s">
        <v>1487</v>
      </c>
      <c r="AG73" s="2628">
        <f>Qualified_Dividends</f>
        <v>0</v>
      </c>
      <c r="AH73" s="832"/>
      <c r="AO73" s="827"/>
      <c r="AP73" s="658"/>
      <c r="AQ73" s="658"/>
      <c r="AR73" s="658"/>
      <c r="AS73" s="658"/>
      <c r="AT73" s="658"/>
      <c r="AU73" s="658"/>
    </row>
    <row r="74" spans="1:47" ht="12.75" customHeight="1">
      <c r="A74" s="88"/>
      <c r="B74" s="3323"/>
      <c r="C74" s="2768"/>
      <c r="D74" s="2769" t="s">
        <v>2258</v>
      </c>
      <c r="E74" s="2769"/>
      <c r="F74" s="2769"/>
      <c r="G74" s="2751"/>
      <c r="H74" s="2751"/>
      <c r="I74" s="2751"/>
      <c r="J74" s="2771"/>
      <c r="K74" s="2771"/>
      <c r="L74" s="2771"/>
      <c r="M74" s="2771"/>
      <c r="N74" s="2771"/>
      <c r="O74" s="3300" t="s">
        <v>594</v>
      </c>
      <c r="P74" s="2771"/>
      <c r="Q74" s="3333">
        <f>B72</f>
        <v>1</v>
      </c>
      <c r="R74" s="2628" t="str">
        <f>IF(U74&lt;&gt;"",ROUND(U74,0),IF(NOT(SchDTW_Used),"",IF(Form2555_Used,FEI_TW_Line3,IF(Taxable_Inc&lt;&gt;"",Taxable_Inc,0))))</f>
        <v/>
      </c>
      <c r="S74" s="3224"/>
      <c r="T74" s="3334"/>
      <c r="U74" s="324"/>
      <c r="V74" s="229"/>
      <c r="X74" s="3" t="s">
        <v>2259</v>
      </c>
      <c r="AD74" s="834" t="s">
        <v>167</v>
      </c>
      <c r="AE74" s="329" t="s">
        <v>1488</v>
      </c>
      <c r="AG74" s="2628">
        <f>Form4952_Line4g</f>
        <v>0</v>
      </c>
      <c r="AH74" s="832"/>
      <c r="AO74" s="827"/>
      <c r="AP74" s="658"/>
      <c r="AQ74" s="658"/>
      <c r="AR74" s="658"/>
      <c r="AS74" s="658"/>
      <c r="AT74" s="658"/>
      <c r="AU74" s="658"/>
    </row>
    <row r="75" spans="1:47" ht="12.75" customHeight="1">
      <c r="A75" s="88"/>
      <c r="B75" s="3331">
        <v>2</v>
      </c>
      <c r="C75" s="2768"/>
      <c r="D75" s="2769" t="s">
        <v>5247</v>
      </c>
      <c r="E75" s="2769"/>
      <c r="F75" s="2769"/>
      <c r="G75" s="2751"/>
      <c r="H75" s="2751"/>
      <c r="I75" s="2751"/>
      <c r="J75" s="2771"/>
      <c r="K75" s="2771"/>
      <c r="L75" s="2771"/>
      <c r="M75" s="2771"/>
      <c r="N75" s="2771"/>
      <c r="O75" s="3300"/>
      <c r="P75" s="2771"/>
      <c r="Q75" s="3300"/>
      <c r="R75" s="2776"/>
      <c r="S75" s="3224"/>
      <c r="T75" s="3334"/>
      <c r="U75" s="3335"/>
      <c r="V75" s="229"/>
      <c r="AD75" s="834" t="s">
        <v>171</v>
      </c>
      <c r="AE75" s="329" t="s">
        <v>1490</v>
      </c>
      <c r="AG75" s="2628">
        <f>Form4952_Line4e</f>
        <v>0</v>
      </c>
      <c r="AH75" s="832"/>
      <c r="AO75" s="827"/>
      <c r="AP75" s="658"/>
      <c r="AQ75" s="658"/>
      <c r="AR75" s="658"/>
      <c r="AS75" s="658"/>
      <c r="AT75" s="658"/>
      <c r="AU75" s="658"/>
    </row>
    <row r="76" spans="1:47" ht="13.5" customHeight="1">
      <c r="A76" s="88"/>
      <c r="B76" s="3331"/>
      <c r="C76" s="2768"/>
      <c r="D76" s="3336" t="s">
        <v>2260</v>
      </c>
      <c r="E76" s="2769"/>
      <c r="F76" s="2769"/>
      <c r="G76" s="2751"/>
      <c r="H76" s="2751"/>
      <c r="I76" s="2751"/>
      <c r="J76" s="3300" t="s">
        <v>665</v>
      </c>
      <c r="K76" s="3333">
        <f>B75</f>
        <v>2</v>
      </c>
      <c r="L76" s="2628" t="str">
        <f>IF(U76&lt;&gt;"",U76,IF(NOT(SchDTW_Used),"",Qualified_Dividends))</f>
        <v/>
      </c>
      <c r="M76" s="3197"/>
      <c r="N76" s="3197"/>
      <c r="O76" s="3197"/>
      <c r="P76" s="3197"/>
      <c r="Q76" s="3073"/>
      <c r="R76" s="2776"/>
      <c r="S76" s="2776"/>
      <c r="T76" s="3337"/>
      <c r="U76" s="324"/>
      <c r="V76" s="229"/>
      <c r="X76" s="329"/>
      <c r="AD76" s="833" t="s">
        <v>184</v>
      </c>
      <c r="AE76" s="329" t="s">
        <v>1491</v>
      </c>
      <c r="AG76" s="2628">
        <f>MAX(0,SUM(AG74-AG75))</f>
        <v>0</v>
      </c>
      <c r="AH76" s="832"/>
      <c r="AO76" s="827"/>
      <c r="AP76" s="658"/>
      <c r="AQ76" s="658"/>
      <c r="AR76" s="658"/>
      <c r="AS76" s="658"/>
      <c r="AT76" s="658"/>
      <c r="AU76" s="658"/>
    </row>
    <row r="77" spans="1:47" ht="12.75" customHeight="1">
      <c r="A77" s="88"/>
      <c r="B77" s="3338" t="s">
        <v>167</v>
      </c>
      <c r="C77" s="2768"/>
      <c r="D77" s="8035" t="s">
        <v>2261</v>
      </c>
      <c r="E77" s="8370"/>
      <c r="F77" s="8370"/>
      <c r="G77" s="7976"/>
      <c r="H77" s="7976"/>
      <c r="I77" s="3016"/>
      <c r="J77" s="2751"/>
      <c r="K77" s="2751"/>
      <c r="L77" s="2751"/>
      <c r="M77" s="2768"/>
      <c r="N77" s="2768"/>
      <c r="O77" s="3197"/>
      <c r="P77" s="2768"/>
      <c r="Q77" s="3073"/>
      <c r="R77" s="2776"/>
      <c r="S77" s="2776"/>
      <c r="T77" s="3337"/>
      <c r="U77" s="3335"/>
      <c r="V77" s="229"/>
      <c r="AD77" s="835" t="s">
        <v>188</v>
      </c>
      <c r="AE77" s="329" t="s">
        <v>1492</v>
      </c>
      <c r="AG77" s="2628">
        <f>MAX(0,SUM(AG73,-AG76))</f>
        <v>0</v>
      </c>
      <c r="AH77" s="832"/>
      <c r="AO77" s="827"/>
      <c r="AP77" s="658"/>
      <c r="AQ77" s="658"/>
      <c r="AR77" s="658"/>
      <c r="AS77" s="658"/>
      <c r="AT77" s="658"/>
      <c r="AU77" s="658"/>
    </row>
    <row r="78" spans="1:47" ht="14.25" customHeight="1">
      <c r="A78" s="88"/>
      <c r="B78" s="3338"/>
      <c r="C78" s="2768"/>
      <c r="D78" s="8035" t="s">
        <v>2262</v>
      </c>
      <c r="E78" s="8370"/>
      <c r="F78" s="8370"/>
      <c r="G78" s="7976"/>
      <c r="H78" s="7976"/>
      <c r="I78" s="3339" t="str">
        <f>B77</f>
        <v>3.</v>
      </c>
      <c r="J78" s="2628">
        <f>ROUND(R63,0)</f>
        <v>0</v>
      </c>
      <c r="K78" s="2751" t="str">
        <f>IF(R63&lt;&gt;"",""," (See Cell P63.) (used to figure investment interest expense deduction)")</f>
        <v xml:space="preserve"> (See Cell P63.) (used to figure investment interest expense deduction)</v>
      </c>
      <c r="L78" s="2751"/>
      <c r="M78" s="2768"/>
      <c r="N78" s="2768"/>
      <c r="O78" s="3197"/>
      <c r="P78" s="2768"/>
      <c r="Q78" s="3073"/>
      <c r="R78" s="2776"/>
      <c r="S78" s="2776"/>
      <c r="T78" s="3337"/>
      <c r="U78" s="3335"/>
      <c r="V78" s="229"/>
      <c r="AD78" s="833" t="s">
        <v>198</v>
      </c>
      <c r="AE78" s="329" t="s">
        <v>1493</v>
      </c>
      <c r="AG78" s="2628">
        <f>MIN(SchDLine15,SchDLine16)</f>
        <v>0</v>
      </c>
      <c r="AH78" s="832"/>
      <c r="AO78" s="827"/>
      <c r="AP78" s="658"/>
      <c r="AQ78" s="658"/>
      <c r="AR78" s="658"/>
      <c r="AS78" s="658"/>
      <c r="AT78" s="658"/>
      <c r="AU78" s="658"/>
    </row>
    <row r="79" spans="1:47" ht="13.5" customHeight="1">
      <c r="A79" s="88"/>
      <c r="B79" s="3340" t="s">
        <v>171</v>
      </c>
      <c r="C79" s="2768"/>
      <c r="D79" s="2769" t="s">
        <v>2263</v>
      </c>
      <c r="E79" s="2769"/>
      <c r="F79" s="2769"/>
      <c r="G79" s="2751"/>
      <c r="H79" s="2751"/>
      <c r="I79" s="3016" t="str">
        <f>B79</f>
        <v>4.</v>
      </c>
      <c r="J79" s="352"/>
      <c r="K79" s="2768"/>
      <c r="L79" s="2768"/>
      <c r="M79" s="2768"/>
      <c r="N79" s="2768"/>
      <c r="O79" s="3197"/>
      <c r="P79" s="2768"/>
      <c r="Q79" s="3073"/>
      <c r="R79" s="2987" t="b">
        <f>AND(Form4952_Line4g&lt;&gt;"",Form4952_Line4g&gt;0)</f>
        <v>0</v>
      </c>
      <c r="S79" s="2776"/>
      <c r="T79" s="3337"/>
      <c r="U79" s="3335"/>
      <c r="V79" s="229"/>
      <c r="AD79" s="833" t="s">
        <v>200</v>
      </c>
      <c r="AE79" s="329" t="s">
        <v>1494</v>
      </c>
      <c r="AG79" s="2628">
        <f>MIN(AG74,AG75)</f>
        <v>0</v>
      </c>
      <c r="AH79" s="832"/>
      <c r="AO79" s="827"/>
      <c r="AP79" s="658"/>
      <c r="AQ79" s="658"/>
      <c r="AR79" s="658"/>
      <c r="AS79" s="658"/>
      <c r="AT79" s="658"/>
      <c r="AU79" s="658"/>
    </row>
    <row r="80" spans="1:47" ht="14.25" customHeight="1">
      <c r="A80" s="88"/>
      <c r="B80" s="3340" t="s">
        <v>184</v>
      </c>
      <c r="C80" s="2768"/>
      <c r="D80" s="2769" t="s">
        <v>2264</v>
      </c>
      <c r="E80" s="2769"/>
      <c r="F80" s="2769"/>
      <c r="G80" s="2751"/>
      <c r="H80" s="2751"/>
      <c r="I80" s="2751"/>
      <c r="J80" s="2075" t="s">
        <v>1893</v>
      </c>
      <c r="K80" s="2768" t="str">
        <f>B80</f>
        <v>5.</v>
      </c>
      <c r="L80" s="2628" t="str">
        <f>IF(NOT(SchDTW_Used),"",MAX(0,J78-J79))</f>
        <v/>
      </c>
      <c r="M80" s="3197"/>
      <c r="N80" s="3197"/>
      <c r="O80" s="3197"/>
      <c r="P80" s="3197"/>
      <c r="Q80" s="3073"/>
      <c r="R80" s="2776"/>
      <c r="S80" s="2776"/>
      <c r="T80" s="3337"/>
      <c r="U80" s="3335"/>
      <c r="V80" s="229"/>
      <c r="AD80" s="835" t="s">
        <v>205</v>
      </c>
      <c r="AE80" s="329" t="s">
        <v>1495</v>
      </c>
      <c r="AG80" s="2628">
        <f>MAX(0,SUM(AG78,-AG79))</f>
        <v>0</v>
      </c>
      <c r="AH80" s="832"/>
      <c r="AO80" s="827"/>
      <c r="AP80" s="658"/>
      <c r="AQ80" s="658"/>
      <c r="AR80" s="658"/>
      <c r="AS80" s="658"/>
      <c r="AT80" s="658"/>
      <c r="AU80" s="658"/>
    </row>
    <row r="81" spans="1:47">
      <c r="A81" s="88"/>
      <c r="B81" s="3340" t="s">
        <v>188</v>
      </c>
      <c r="C81" s="2768"/>
      <c r="D81" s="2769" t="s">
        <v>2265</v>
      </c>
      <c r="E81" s="2769"/>
      <c r="F81" s="2769"/>
      <c r="G81" s="2751"/>
      <c r="H81" s="2751"/>
      <c r="I81" s="2751"/>
      <c r="J81" s="2771"/>
      <c r="K81" s="2768"/>
      <c r="L81" s="3222" t="s">
        <v>2266</v>
      </c>
      <c r="M81" s="8363" t="str">
        <f>B81</f>
        <v>6.</v>
      </c>
      <c r="N81" s="8363"/>
      <c r="O81" s="2628" t="str">
        <f>IF(NOT(SchDTW_Used),"",MAX(0,L76-L80))</f>
        <v/>
      </c>
      <c r="P81" s="2768"/>
      <c r="Q81" s="3073"/>
      <c r="R81" s="2776"/>
      <c r="S81" s="2776"/>
      <c r="T81" s="3337"/>
      <c r="U81" s="3335"/>
      <c r="V81" s="229"/>
      <c r="AD81" s="833" t="s">
        <v>210</v>
      </c>
      <c r="AE81" s="329" t="s">
        <v>1496</v>
      </c>
      <c r="AG81" s="2628">
        <f>SUM(AG77,AG80)</f>
        <v>0</v>
      </c>
      <c r="AH81" s="832"/>
      <c r="AO81" s="827"/>
      <c r="AP81" s="658"/>
      <c r="AQ81" s="658"/>
      <c r="AR81" s="658"/>
      <c r="AS81" s="658"/>
      <c r="AT81" s="658"/>
      <c r="AU81" s="658"/>
    </row>
    <row r="82" spans="1:47">
      <c r="A82" s="88"/>
      <c r="B82" s="3340" t="s">
        <v>198</v>
      </c>
      <c r="C82" s="2768"/>
      <c r="D82" s="2769" t="s">
        <v>2267</v>
      </c>
      <c r="E82" s="2769"/>
      <c r="F82" s="2769"/>
      <c r="G82" s="2751"/>
      <c r="H82" s="2751"/>
      <c r="I82" s="2751"/>
      <c r="J82" s="2075" t="s">
        <v>1893</v>
      </c>
      <c r="K82" s="2768" t="str">
        <f>B82</f>
        <v>7.</v>
      </c>
      <c r="L82" s="2628" t="str">
        <f>IF(NOT(SchDTW_Used),"",MIN(SchDLine15,SchDLine16))</f>
        <v/>
      </c>
      <c r="M82" s="3197"/>
      <c r="N82" s="3197"/>
      <c r="O82" s="3341"/>
      <c r="P82" s="3197"/>
      <c r="Q82" s="3073"/>
      <c r="R82" s="2776"/>
      <c r="S82" s="2776"/>
      <c r="T82" s="3337"/>
      <c r="U82" s="3335"/>
      <c r="V82" s="229"/>
      <c r="X82" s="3342"/>
      <c r="AD82" s="835" t="s">
        <v>212</v>
      </c>
      <c r="AE82" s="329" t="s">
        <v>1497</v>
      </c>
      <c r="AG82" s="2628">
        <f>SUM(SchDLine18,SchDLine19)</f>
        <v>0</v>
      </c>
      <c r="AH82" s="832"/>
      <c r="AO82" s="827"/>
      <c r="AP82" s="658"/>
      <c r="AQ82" s="658"/>
      <c r="AR82" s="658"/>
      <c r="AS82" s="658"/>
      <c r="AT82" s="658"/>
      <c r="AU82" s="658"/>
    </row>
    <row r="83" spans="1:47">
      <c r="A83" s="88"/>
      <c r="B83" s="3340" t="s">
        <v>200</v>
      </c>
      <c r="C83" s="2768"/>
      <c r="D83" s="2769" t="s">
        <v>2268</v>
      </c>
      <c r="E83" s="2769"/>
      <c r="F83" s="2769"/>
      <c r="G83" s="2751"/>
      <c r="H83" s="2751"/>
      <c r="I83" s="2751"/>
      <c r="J83" s="2075" t="s">
        <v>1332</v>
      </c>
      <c r="K83" s="2768" t="str">
        <f>B83</f>
        <v>8.</v>
      </c>
      <c r="L83" s="2628" t="str">
        <f>IF(NOT(SchDTW_Used),"",MIN(J78,J79))</f>
        <v/>
      </c>
      <c r="M83" s="3197"/>
      <c r="N83" s="3197"/>
      <c r="O83" s="3034"/>
      <c r="P83" s="3197"/>
      <c r="Q83" s="3073"/>
      <c r="R83" s="2776"/>
      <c r="S83" s="2776"/>
      <c r="T83" s="3337"/>
      <c r="U83" s="3335"/>
      <c r="V83" s="229"/>
      <c r="AD83" s="833" t="s">
        <v>1366</v>
      </c>
      <c r="AE83" s="329" t="s">
        <v>1498</v>
      </c>
      <c r="AG83" s="2628">
        <f>MIN(AG80,AG82)</f>
        <v>0</v>
      </c>
      <c r="AH83" s="832"/>
      <c r="AO83" s="827"/>
      <c r="AP83" s="658"/>
      <c r="AQ83" s="658"/>
      <c r="AR83" s="658"/>
      <c r="AS83" s="658"/>
      <c r="AT83" s="658"/>
      <c r="AU83" s="658"/>
    </row>
    <row r="84" spans="1:47">
      <c r="A84" s="88"/>
      <c r="B84" s="3340" t="s">
        <v>205</v>
      </c>
      <c r="C84" s="2768"/>
      <c r="D84" s="2769" t="s">
        <v>2269</v>
      </c>
      <c r="E84" s="2769"/>
      <c r="F84" s="2769"/>
      <c r="G84" s="2751"/>
      <c r="H84" s="2751"/>
      <c r="I84" s="2751"/>
      <c r="J84" s="2771"/>
      <c r="K84" s="2768"/>
      <c r="L84" s="3222" t="s">
        <v>2266</v>
      </c>
      <c r="M84" s="8363" t="str">
        <f>B84</f>
        <v>9.</v>
      </c>
      <c r="N84" s="8363"/>
      <c r="O84" s="2628" t="str">
        <f>IF(NOT(SchDTW_Used),"",MAX(0,L82-L83))</f>
        <v/>
      </c>
      <c r="P84" s="2768"/>
      <c r="Q84" s="3073"/>
      <c r="R84" s="2776"/>
      <c r="S84" s="2776"/>
      <c r="T84" s="3337"/>
      <c r="U84" s="148" t="s">
        <v>979</v>
      </c>
      <c r="V84" s="229"/>
      <c r="AD84" s="831" t="s">
        <v>1368</v>
      </c>
      <c r="AE84" s="329" t="s">
        <v>1499</v>
      </c>
      <c r="AG84" s="2628">
        <f>SUM(AG81,-AG83)</f>
        <v>0</v>
      </c>
      <c r="AH84" s="832"/>
      <c r="AO84" s="827"/>
      <c r="AP84" s="658"/>
      <c r="AQ84" s="658"/>
      <c r="AR84" s="658"/>
      <c r="AS84" s="658"/>
      <c r="AT84" s="658"/>
      <c r="AU84" s="658"/>
    </row>
    <row r="85" spans="1:47" ht="13.5" customHeight="1">
      <c r="A85" s="88"/>
      <c r="B85" s="3340" t="s">
        <v>210</v>
      </c>
      <c r="C85" s="2768"/>
      <c r="D85" s="2769" t="s">
        <v>1496</v>
      </c>
      <c r="E85" s="2769"/>
      <c r="F85" s="2769"/>
      <c r="G85" s="2751"/>
      <c r="H85" s="2751"/>
      <c r="I85" s="2751"/>
      <c r="J85" s="2075" t="s">
        <v>1285</v>
      </c>
      <c r="K85" s="2768" t="str">
        <f>B85</f>
        <v>10.</v>
      </c>
      <c r="L85" s="2628" t="str">
        <f>IF(NOT(SchDTW_Used),"",O81+O84)</f>
        <v/>
      </c>
      <c r="M85" s="2776"/>
      <c r="N85" s="2776"/>
      <c r="O85" s="3343"/>
      <c r="P85" s="2776"/>
      <c r="Q85" s="2776"/>
      <c r="R85" s="2776"/>
      <c r="S85" s="2776"/>
      <c r="T85" s="3337"/>
      <c r="U85" s="148" t="s">
        <v>931</v>
      </c>
      <c r="V85" s="229"/>
      <c r="X85" s="329"/>
      <c r="AD85" s="831" t="s">
        <v>1369</v>
      </c>
      <c r="AE85" s="329" t="s">
        <v>1500</v>
      </c>
      <c r="AG85" s="2628">
        <f>MAX(0,SUM(AG72,-AG84))</f>
        <v>0</v>
      </c>
      <c r="AH85" s="832"/>
      <c r="AO85" s="827"/>
      <c r="AP85" s="658"/>
      <c r="AQ85" s="658"/>
      <c r="AR85" s="658"/>
      <c r="AS85" s="658"/>
      <c r="AT85" s="658"/>
      <c r="AU85" s="658"/>
    </row>
    <row r="86" spans="1:47">
      <c r="A86" s="88"/>
      <c r="B86" s="3340" t="s">
        <v>212</v>
      </c>
      <c r="C86" s="2768"/>
      <c r="D86" s="2769" t="s">
        <v>2270</v>
      </c>
      <c r="E86" s="2769"/>
      <c r="F86" s="2769"/>
      <c r="G86" s="2751"/>
      <c r="H86" s="2751"/>
      <c r="I86" s="2751"/>
      <c r="J86" s="2771"/>
      <c r="K86" s="2771"/>
      <c r="L86" s="3222" t="s">
        <v>962</v>
      </c>
      <c r="M86" s="8363" t="str">
        <f>B86</f>
        <v>11.</v>
      </c>
      <c r="N86" s="8363"/>
      <c r="O86" s="2628" t="str">
        <f>IF(U86&lt;&gt;"",U86,IF(NOT(SchDTW_Used),"",SUM('Sch. D'!O72,'Sch. D'!O75)))</f>
        <v/>
      </c>
      <c r="P86" s="2768"/>
      <c r="Q86" s="3073"/>
      <c r="R86" s="2776"/>
      <c r="S86" s="2776"/>
      <c r="T86" s="3337"/>
      <c r="U86" s="324"/>
      <c r="V86" s="229"/>
      <c r="AD86" s="833" t="s">
        <v>1371</v>
      </c>
      <c r="AE86" s="329" t="s">
        <v>1501</v>
      </c>
      <c r="AG86" s="2628" t="str">
        <f>SchDTW_Line15</f>
        <v>Filing status?</v>
      </c>
      <c r="AH86" s="832"/>
      <c r="AO86" s="827"/>
      <c r="AP86" s="658"/>
      <c r="AQ86" s="658"/>
      <c r="AR86" s="658"/>
      <c r="AS86" s="658"/>
      <c r="AT86" s="658"/>
      <c r="AU86" s="658"/>
    </row>
    <row r="87" spans="1:47">
      <c r="A87" s="88"/>
      <c r="B87" s="3340" t="s">
        <v>1366</v>
      </c>
      <c r="C87" s="2768"/>
      <c r="D87" s="2769" t="s">
        <v>2271</v>
      </c>
      <c r="E87" s="2769"/>
      <c r="F87" s="2769"/>
      <c r="G87" s="2751"/>
      <c r="H87" s="2751"/>
      <c r="I87" s="2751"/>
      <c r="J87" s="2771"/>
      <c r="K87" s="2768" t="str">
        <f>B87</f>
        <v>12.</v>
      </c>
      <c r="L87" s="2628" t="str">
        <f>IF(NOT(SchDTW_Used),"",MIN(O84,O86))</f>
        <v/>
      </c>
      <c r="M87" s="2768"/>
      <c r="N87" s="2768"/>
      <c r="O87" s="2772"/>
      <c r="P87" s="2768"/>
      <c r="Q87" s="3073"/>
      <c r="R87" s="2776"/>
      <c r="S87" s="2776"/>
      <c r="T87" s="3337"/>
      <c r="U87" s="3335"/>
      <c r="V87" s="229"/>
      <c r="AD87" s="835" t="s">
        <v>1372</v>
      </c>
      <c r="AE87" s="329" t="s">
        <v>1502</v>
      </c>
      <c r="AG87" s="2628">
        <f>MIN(AG72,AG86)</f>
        <v>0</v>
      </c>
      <c r="AH87" s="832"/>
      <c r="AO87" s="827"/>
      <c r="AP87" s="658"/>
      <c r="AQ87" s="658"/>
      <c r="AR87" s="658"/>
      <c r="AS87" s="658"/>
      <c r="AT87" s="658"/>
      <c r="AU87" s="658"/>
    </row>
    <row r="88" spans="1:47">
      <c r="A88" s="88"/>
      <c r="B88" s="3340" t="s">
        <v>1368</v>
      </c>
      <c r="C88" s="2768"/>
      <c r="D88" s="2769" t="s">
        <v>2272</v>
      </c>
      <c r="E88" s="2770"/>
      <c r="F88" s="2770"/>
      <c r="G88" s="2751"/>
      <c r="H88" s="2751"/>
      <c r="I88" s="2751"/>
      <c r="J88" s="2771"/>
      <c r="K88" s="2768"/>
      <c r="L88" s="2768"/>
      <c r="M88" s="2768"/>
      <c r="N88" s="2768"/>
      <c r="O88" s="3222" t="s">
        <v>2273</v>
      </c>
      <c r="P88" s="2768"/>
      <c r="Q88" s="3222" t="str">
        <f>B88</f>
        <v>13.</v>
      </c>
      <c r="R88" s="2628" t="str">
        <f>IF(NOT(SchDTW_Used),"",L85-L87)</f>
        <v/>
      </c>
      <c r="S88" s="2776"/>
      <c r="T88" s="3337"/>
      <c r="U88" s="3344"/>
      <c r="V88" s="229"/>
      <c r="AD88" s="833" t="s">
        <v>1373</v>
      </c>
      <c r="AE88" s="329" t="s">
        <v>1503</v>
      </c>
      <c r="AG88" s="2628">
        <f>MIN(AG85,AG87)</f>
        <v>0</v>
      </c>
      <c r="AH88" s="832"/>
      <c r="AO88" s="827"/>
      <c r="AP88" s="658"/>
      <c r="AQ88" s="658"/>
      <c r="AR88" s="658"/>
      <c r="AS88" s="658"/>
      <c r="AT88" s="658"/>
      <c r="AU88" s="658"/>
    </row>
    <row r="89" spans="1:47" ht="12.75" customHeight="1">
      <c r="A89" s="88"/>
      <c r="B89" s="3340" t="s">
        <v>1369</v>
      </c>
      <c r="C89" s="2768"/>
      <c r="D89" s="2769" t="s">
        <v>2274</v>
      </c>
      <c r="E89" s="2770"/>
      <c r="F89" s="2770"/>
      <c r="G89" s="2751"/>
      <c r="H89" s="2751"/>
      <c r="I89" s="2751"/>
      <c r="J89" s="2771"/>
      <c r="K89" s="2768"/>
      <c r="L89" s="2768"/>
      <c r="M89" s="2768"/>
      <c r="N89" s="2768"/>
      <c r="O89" s="3222" t="s">
        <v>1318</v>
      </c>
      <c r="P89" s="2768"/>
      <c r="Q89" s="3222" t="str">
        <f>B89</f>
        <v>14.</v>
      </c>
      <c r="R89" s="2628" t="str">
        <f>IF(U89&lt;&gt;"",ROUND(U89,0),IF(NOT(SchDTW_Used),"",IF(SchDTW_Line1-R88&lt;0,0,SchDTW_Line1-R88)))</f>
        <v/>
      </c>
      <c r="S89" s="2776"/>
      <c r="T89" s="3337"/>
      <c r="U89" s="324"/>
      <c r="V89" s="229"/>
      <c r="AD89" s="833" t="s">
        <v>1374</v>
      </c>
      <c r="AE89" s="329" t="s">
        <v>1504</v>
      </c>
      <c r="AG89" s="2628">
        <f>MAX(0,SUM(AG72,-AG81))</f>
        <v>0</v>
      </c>
      <c r="AH89" s="832"/>
      <c r="AO89" s="827"/>
      <c r="AP89" s="658"/>
      <c r="AQ89" s="658"/>
      <c r="AR89" s="658"/>
      <c r="AS89" s="658"/>
      <c r="AT89" s="658"/>
      <c r="AU89" s="658"/>
    </row>
    <row r="90" spans="1:47" ht="14.25" customHeight="1">
      <c r="A90" s="88"/>
      <c r="B90" s="3340" t="s">
        <v>1371</v>
      </c>
      <c r="C90" s="2768"/>
      <c r="D90" s="2769" t="s">
        <v>2275</v>
      </c>
      <c r="E90" s="2769"/>
      <c r="F90" s="2769"/>
      <c r="G90" s="2751"/>
      <c r="H90" s="2751"/>
      <c r="I90" s="2751"/>
      <c r="J90" s="2771"/>
      <c r="K90" s="2771"/>
      <c r="L90" s="2771"/>
      <c r="M90" s="2771"/>
      <c r="N90" s="2771"/>
      <c r="O90" s="2772"/>
      <c r="P90" s="2771"/>
      <c r="Q90" s="2772"/>
      <c r="R90" s="2772"/>
      <c r="S90" s="2806"/>
      <c r="T90" s="3334"/>
      <c r="U90" s="3345"/>
      <c r="V90" s="229"/>
      <c r="AD90" s="835" t="s">
        <v>1377</v>
      </c>
      <c r="AE90" s="329" t="s">
        <v>1505</v>
      </c>
      <c r="AG90" s="2628">
        <f>IF(AG72="",0,MIN(AG72,SchDTW_Line19))</f>
        <v>0</v>
      </c>
      <c r="AH90" s="832"/>
      <c r="AO90" s="827"/>
      <c r="AP90" s="658"/>
      <c r="AQ90" s="658"/>
      <c r="AR90" s="658"/>
      <c r="AS90" s="658"/>
      <c r="AT90" s="658"/>
      <c r="AU90" s="658"/>
    </row>
    <row r="91" spans="1:47">
      <c r="A91" s="88"/>
      <c r="B91" s="3209" t="b">
        <f>IF(OR(File_Single&lt;&gt;"",File_Marr_Sep&lt;&gt;""),TRUE,FALSE)</f>
        <v>0</v>
      </c>
      <c r="C91" s="2768"/>
      <c r="D91" s="3346" t="s">
        <v>830</v>
      </c>
      <c r="E91" s="2769" t="str">
        <f>TEXT(O91,"$0,000")&amp;" if single or married filing separately;"</f>
        <v>$48,350 if single or married filing separately;</v>
      </c>
      <c r="F91" s="3317"/>
      <c r="G91" s="2751"/>
      <c r="H91" s="2751"/>
      <c r="I91" s="2751"/>
      <c r="J91" s="2771"/>
      <c r="K91" s="2771"/>
      <c r="L91" s="3347" t="str">
        <f>IF(OR(File_Single&lt;&gt;"",File_Marr_Sep&lt;&gt;""),O91,IF(OR(File_Marr_Joint&lt;&gt;"",File_Qual_Widow&lt;&gt;""),O92,IF(File_Head&lt;&gt;"",O93,"Filing status?")))</f>
        <v>Filing status?</v>
      </c>
      <c r="M91" s="3348"/>
      <c r="N91" s="3348"/>
      <c r="O91" s="3349">
        <f>CGTW_Line6_SMFS</f>
        <v>48350</v>
      </c>
      <c r="P91" s="3348"/>
      <c r="Q91" s="2772"/>
      <c r="R91" s="2772"/>
      <c r="S91" s="2806"/>
      <c r="T91" s="3334"/>
      <c r="U91" s="3335"/>
      <c r="V91" s="229"/>
      <c r="AD91" s="835" t="s">
        <v>1381</v>
      </c>
      <c r="AE91" s="329" t="s">
        <v>1506</v>
      </c>
      <c r="AG91" s="2628">
        <f>MIN(AG85,AG90)</f>
        <v>0</v>
      </c>
      <c r="AH91" s="832"/>
      <c r="AO91" s="827"/>
      <c r="AP91" s="658"/>
      <c r="AQ91" s="658"/>
      <c r="AR91" s="658"/>
      <c r="AS91" s="658"/>
      <c r="AT91" s="658"/>
      <c r="AU91" s="658"/>
    </row>
    <row r="92" spans="1:47" ht="13.5" customHeight="1">
      <c r="A92" s="88"/>
      <c r="B92" s="3209" t="b">
        <f>IF(OR(File_Marr_Joint&lt;&gt;"",File_Qual_Widow&lt;&gt;""),TRUE,FALSE)</f>
        <v>0</v>
      </c>
      <c r="C92" s="2768"/>
      <c r="D92" s="3346" t="s">
        <v>830</v>
      </c>
      <c r="E92" s="2769" t="str">
        <f>TEXT(O92,"$0,000")&amp;" if married filing jointly or qualifying widow(er); or"</f>
        <v>$96,700 if married filing jointly or qualifying widow(er); or</v>
      </c>
      <c r="F92" s="3317"/>
      <c r="G92" s="2751"/>
      <c r="H92" s="2751"/>
      <c r="I92" s="2751"/>
      <c r="J92" s="3300" t="s">
        <v>2276</v>
      </c>
      <c r="K92" s="3333" t="str">
        <f>B90</f>
        <v>15.</v>
      </c>
      <c r="L92" s="2628" t="str">
        <f>IF(NOT(SchDTW_Used),"",L91)</f>
        <v/>
      </c>
      <c r="M92" s="3197"/>
      <c r="N92" s="3197"/>
      <c r="O92" s="3349">
        <f>CGTW_Line6_MFJQW</f>
        <v>96700</v>
      </c>
      <c r="P92" s="3197"/>
      <c r="Q92" s="2772"/>
      <c r="R92" s="2772"/>
      <c r="S92" s="2806"/>
      <c r="T92" s="3334"/>
      <c r="U92" s="3344"/>
      <c r="V92" s="229"/>
      <c r="AD92" s="833" t="s">
        <v>1383</v>
      </c>
      <c r="AE92" s="329" t="s">
        <v>1507</v>
      </c>
      <c r="AG92" s="2628">
        <f>MAX(AG89,AG91)</f>
        <v>0</v>
      </c>
      <c r="AH92" s="832"/>
      <c r="AO92" s="827"/>
      <c r="AP92" s="658"/>
      <c r="AQ92" s="658"/>
      <c r="AR92" s="658"/>
      <c r="AS92" s="658"/>
      <c r="AT92" s="658"/>
      <c r="AU92" s="658"/>
    </row>
    <row r="93" spans="1:47" ht="13.5" customHeight="1">
      <c r="A93" s="88"/>
      <c r="B93" s="3209" t="b">
        <f>IF(File_Head&lt;&gt;"",TRUE,FALSE)</f>
        <v>0</v>
      </c>
      <c r="C93" s="2768"/>
      <c r="D93" s="3346" t="s">
        <v>830</v>
      </c>
      <c r="E93" s="2769" t="str">
        <f>TEXT(O93,"$0,000")&amp;" if head of household."</f>
        <v>$64,750 if head of household.</v>
      </c>
      <c r="F93" s="3317"/>
      <c r="G93" s="2751"/>
      <c r="H93" s="2751"/>
      <c r="I93" s="2751"/>
      <c r="J93" s="2771"/>
      <c r="K93" s="2771"/>
      <c r="L93" s="2771"/>
      <c r="M93" s="2771"/>
      <c r="N93" s="2771"/>
      <c r="O93" s="3349">
        <f>CGTW_Line6_HOH</f>
        <v>64750</v>
      </c>
      <c r="P93" s="2771"/>
      <c r="Q93" s="2772"/>
      <c r="R93" s="2772"/>
      <c r="S93" s="2806"/>
      <c r="T93" s="3334"/>
      <c r="U93" s="3344"/>
      <c r="V93" s="229"/>
      <c r="AD93" s="835">
        <v>22</v>
      </c>
      <c r="AE93" s="329" t="s">
        <v>1508</v>
      </c>
      <c r="AG93" s="2628">
        <f>SUM(AG87,-AG88)</f>
        <v>0</v>
      </c>
      <c r="AH93" s="832"/>
      <c r="AO93" s="827"/>
      <c r="AP93" s="658"/>
      <c r="AQ93" s="658"/>
      <c r="AR93" s="658"/>
      <c r="AS93" s="658"/>
      <c r="AT93" s="658"/>
      <c r="AU93" s="658"/>
    </row>
    <row r="94" spans="1:47" ht="12.75" customHeight="1">
      <c r="A94" s="88"/>
      <c r="B94" s="3066" t="s">
        <v>1372</v>
      </c>
      <c r="C94" s="2768"/>
      <c r="D94" s="2769" t="s">
        <v>2277</v>
      </c>
      <c r="E94" s="2769"/>
      <c r="F94" s="2769"/>
      <c r="G94" s="2751"/>
      <c r="H94" s="2751"/>
      <c r="I94" s="2751"/>
      <c r="J94" s="2771"/>
      <c r="K94" s="2771"/>
      <c r="L94" s="3222" t="s">
        <v>962</v>
      </c>
      <c r="M94" s="8363" t="str">
        <f>B94</f>
        <v>16.</v>
      </c>
      <c r="N94" s="8363"/>
      <c r="O94" s="2628" t="str">
        <f>IF(NOT(SchDTW_Used),"",MIN(SchDTW_Line1,L92))</f>
        <v/>
      </c>
      <c r="P94" s="2768"/>
      <c r="Q94" s="3222"/>
      <c r="R94" s="2772"/>
      <c r="S94" s="2776"/>
      <c r="T94" s="3337"/>
      <c r="U94" s="3335"/>
      <c r="V94" s="229"/>
      <c r="AD94" s="833" t="s">
        <v>1387</v>
      </c>
      <c r="AE94" s="329" t="s">
        <v>1509</v>
      </c>
      <c r="AG94" s="2628" t="str">
        <f>IF(AH94,"",MIN(AG72,AG84))</f>
        <v/>
      </c>
      <c r="AH94" s="1186" t="b">
        <f>IF(AG72="",AG87=0,AG72=AG87)</f>
        <v>1</v>
      </c>
      <c r="AO94" s="827"/>
      <c r="AP94" s="658"/>
      <c r="AQ94" s="658"/>
      <c r="AR94" s="658"/>
      <c r="AS94" s="658"/>
      <c r="AT94" s="658"/>
      <c r="AU94" s="658"/>
    </row>
    <row r="95" spans="1:47" ht="12.75" customHeight="1">
      <c r="A95" s="88"/>
      <c r="B95" s="3066" t="s">
        <v>1373</v>
      </c>
      <c r="C95" s="2768"/>
      <c r="D95" s="2769" t="s">
        <v>2278</v>
      </c>
      <c r="E95" s="2769"/>
      <c r="F95" s="2769"/>
      <c r="G95" s="2751"/>
      <c r="H95" s="2751"/>
      <c r="I95" s="2751"/>
      <c r="J95" s="3222" t="s">
        <v>608</v>
      </c>
      <c r="K95" s="2768" t="str">
        <f>B95</f>
        <v>17.</v>
      </c>
      <c r="L95" s="2628" t="str">
        <f>IF(NOT(SchDTW_Used),"",MIN(R89,O94))</f>
        <v/>
      </c>
      <c r="M95" s="3197"/>
      <c r="N95" s="3197"/>
      <c r="O95" s="3350"/>
      <c r="P95" s="3197"/>
      <c r="Q95" s="2772"/>
      <c r="R95" s="2772"/>
      <c r="S95" s="3224"/>
      <c r="T95" s="3334"/>
      <c r="U95" s="3344"/>
      <c r="V95" s="229"/>
      <c r="AD95" s="833" t="s">
        <v>1388</v>
      </c>
      <c r="AE95" s="329" t="s">
        <v>1510</v>
      </c>
      <c r="AG95" s="2628" t="str">
        <f>IF(AH94,"",IF(AG93="",0,AG93))</f>
        <v/>
      </c>
      <c r="AH95" s="832"/>
      <c r="AO95" s="827"/>
      <c r="AP95" s="658"/>
      <c r="AQ95" s="658"/>
      <c r="AR95" s="658"/>
      <c r="AS95" s="658"/>
      <c r="AT95" s="658"/>
      <c r="AU95" s="658"/>
    </row>
    <row r="96" spans="1:47" ht="12.75" customHeight="1">
      <c r="A96" s="88"/>
      <c r="B96" s="3066" t="s">
        <v>1374</v>
      </c>
      <c r="C96" s="2768"/>
      <c r="D96" s="2769" t="s">
        <v>2279</v>
      </c>
      <c r="E96" s="2769"/>
      <c r="F96" s="2769"/>
      <c r="G96" s="2751"/>
      <c r="H96" s="2751"/>
      <c r="I96" s="2751"/>
      <c r="J96" s="3222" t="s">
        <v>601</v>
      </c>
      <c r="K96" s="2768" t="str">
        <f>B96</f>
        <v>18.</v>
      </c>
      <c r="L96" s="2628" t="str">
        <f>IF(NOT(SchDTW_Used),"",MAX(0,SUM(SchDTW_Line1,-L85)))</f>
        <v/>
      </c>
      <c r="M96" s="3197"/>
      <c r="N96" s="3197"/>
      <c r="O96" s="2772"/>
      <c r="P96" s="3197"/>
      <c r="Q96" s="2772"/>
      <c r="R96" s="2772"/>
      <c r="S96" s="2776"/>
      <c r="T96" s="3337"/>
      <c r="U96" s="3344"/>
      <c r="V96" s="229"/>
      <c r="AD96" s="833" t="s">
        <v>1390</v>
      </c>
      <c r="AE96" s="329" t="s">
        <v>1511</v>
      </c>
      <c r="AG96" s="2628" t="str">
        <f>IF(AH94,"",MAX(0,SUM(AG94,-AG95)))</f>
        <v/>
      </c>
      <c r="AH96" s="832"/>
      <c r="AO96" s="827"/>
      <c r="AP96" s="658"/>
      <c r="AQ96" s="658"/>
      <c r="AR96" s="658"/>
      <c r="AS96" s="658"/>
      <c r="AT96" s="658"/>
      <c r="AU96" s="658"/>
    </row>
    <row r="97" spans="1:47" ht="14.25" customHeight="1">
      <c r="A97" s="88"/>
      <c r="B97" s="3340" t="s">
        <v>1377</v>
      </c>
      <c r="C97" s="2768"/>
      <c r="D97" s="2769" t="s">
        <v>2280</v>
      </c>
      <c r="E97" s="2769"/>
      <c r="F97" s="2769"/>
      <c r="G97" s="2751"/>
      <c r="H97" s="2751"/>
      <c r="I97" s="2751"/>
      <c r="J97" s="2771"/>
      <c r="K97" s="2771"/>
      <c r="L97" s="2771"/>
      <c r="M97" s="2771"/>
      <c r="N97" s="2771"/>
      <c r="O97" s="2772"/>
      <c r="P97" s="2771"/>
      <c r="Q97" s="2772"/>
      <c r="R97" s="2772"/>
      <c r="S97" s="2806"/>
      <c r="T97" s="3334"/>
      <c r="U97" s="3335"/>
      <c r="V97" s="229"/>
      <c r="AD97" s="835">
        <v>26</v>
      </c>
      <c r="AE97" s="329" t="s">
        <v>1512</v>
      </c>
      <c r="AG97" s="2628" t="str">
        <f>IF(AH94,"",SchDTW_Line26)</f>
        <v/>
      </c>
      <c r="AH97" s="832"/>
      <c r="AO97" s="827"/>
      <c r="AP97" s="658"/>
      <c r="AQ97" s="658"/>
      <c r="AR97" s="658"/>
      <c r="AS97" s="658"/>
      <c r="AT97" s="658"/>
      <c r="AU97" s="658"/>
    </row>
    <row r="98" spans="1:47">
      <c r="A98" s="88"/>
      <c r="B98" s="3209" t="b">
        <f>IF(OR(File_Single&lt;&gt;"",File_Marr_Sep&lt;&gt;""),TRUE,FALSE)</f>
        <v>0</v>
      </c>
      <c r="C98" s="2768"/>
      <c r="D98" s="3317" t="s">
        <v>830</v>
      </c>
      <c r="E98" s="2769" t="str">
        <f>TEXT(O98,"$0,000")&amp;" if single or married filing separately;"</f>
        <v>$197,300 if single or married filing separately;</v>
      </c>
      <c r="F98" s="3317"/>
      <c r="G98" s="2751"/>
      <c r="H98" s="2751"/>
      <c r="I98" s="2751"/>
      <c r="J98" s="2771"/>
      <c r="K98" s="2771"/>
      <c r="L98" s="3347" t="str">
        <f>IF(OR(File_Single&lt;&gt;"",File_Marr_Sep&lt;&gt;""),O98,IF(OR(File_Marr_Joint&lt;&gt;"",File_Qual_Widow&lt;&gt;""),O99,IF(File_Head&lt;&gt;"",O100,"Filing status?")))</f>
        <v>Filing status?</v>
      </c>
      <c r="M98" s="3348"/>
      <c r="N98" s="3348"/>
      <c r="O98" s="3349">
        <f>BOTT_A5</f>
        <v>197300</v>
      </c>
      <c r="P98" s="3348"/>
      <c r="Q98" s="2772"/>
      <c r="R98" s="2772"/>
      <c r="S98" s="2806"/>
      <c r="T98" s="3334"/>
      <c r="U98" s="3345"/>
      <c r="V98" s="229"/>
      <c r="AD98" s="835" t="s">
        <v>1513</v>
      </c>
      <c r="AE98" s="329" t="s">
        <v>1514</v>
      </c>
      <c r="AG98" s="2628" t="str">
        <f>IF(AH94,"",IF(AG72="",MIN(0,AG97),MIN(AG72,AG97)))</f>
        <v/>
      </c>
      <c r="AH98" s="832"/>
      <c r="AO98" s="827"/>
      <c r="AP98" s="658"/>
      <c r="AQ98" s="658"/>
      <c r="AR98" s="658"/>
      <c r="AS98" s="658"/>
      <c r="AT98" s="658"/>
      <c r="AU98" s="658"/>
    </row>
    <row r="99" spans="1:47" ht="13.5" customHeight="1">
      <c r="A99" s="88"/>
      <c r="B99" s="3209" t="b">
        <f>IF(OR(File_Marr_Joint&lt;&gt;"",File_Qual_Widow&lt;&gt;""),TRUE,FALSE)</f>
        <v>0</v>
      </c>
      <c r="C99" s="2768"/>
      <c r="D99" s="3317" t="s">
        <v>830</v>
      </c>
      <c r="E99" s="2769" t="str">
        <f>TEXT(O99,"$0,000")&amp;" if married filing jointly or qualifying widow(er); or"</f>
        <v>$394,600 if married filing jointly or qualifying widow(er); or</v>
      </c>
      <c r="F99" s="3317"/>
      <c r="G99" s="2751"/>
      <c r="H99" s="2751"/>
      <c r="I99" s="2751"/>
      <c r="J99" s="3300" t="s">
        <v>2276</v>
      </c>
      <c r="K99" s="3333" t="str">
        <f>B97</f>
        <v>19.</v>
      </c>
      <c r="L99" s="2628" t="str">
        <f>IF(NOT(SchDTW_Used),"",MIN(SchDTW_Line1,L98))</f>
        <v/>
      </c>
      <c r="M99" s="3197"/>
      <c r="N99" s="3197"/>
      <c r="O99" s="3349">
        <f>BOTT_B5</f>
        <v>394600</v>
      </c>
      <c r="P99" s="3197"/>
      <c r="Q99" s="2772"/>
      <c r="R99" s="2772"/>
      <c r="S99" s="2806"/>
      <c r="T99" s="3334"/>
      <c r="U99" s="3335"/>
      <c r="V99" s="229"/>
      <c r="AD99" s="835" t="s">
        <v>1515</v>
      </c>
      <c r="AE99" s="329" t="s">
        <v>1516</v>
      </c>
      <c r="AG99" s="2628" t="str">
        <f>IF(AH94,"",SUM(AG92,AG93))</f>
        <v/>
      </c>
      <c r="AH99" s="832"/>
      <c r="AO99" s="827"/>
      <c r="AP99" s="658"/>
      <c r="AQ99" s="658"/>
      <c r="AR99" s="658"/>
      <c r="AS99" s="658"/>
      <c r="AT99" s="658"/>
      <c r="AU99" s="658"/>
    </row>
    <row r="100" spans="1:47" ht="13.5" customHeight="1">
      <c r="A100" s="88"/>
      <c r="B100" s="3209" t="b">
        <f>IF(File_Head&lt;&gt;"",TRUE,FALSE)</f>
        <v>0</v>
      </c>
      <c r="C100" s="2768"/>
      <c r="D100" s="3317" t="s">
        <v>830</v>
      </c>
      <c r="E100" s="2769" t="str">
        <f>TEXT(O100,"$0,000")&amp;" if head of household."</f>
        <v>$197,300 if head of household.</v>
      </c>
      <c r="F100" s="3317"/>
      <c r="G100" s="2751"/>
      <c r="H100" s="2751"/>
      <c r="I100" s="2751"/>
      <c r="J100" s="2771"/>
      <c r="K100" s="2771"/>
      <c r="L100" s="2771"/>
      <c r="M100" s="2771"/>
      <c r="N100" s="2771"/>
      <c r="O100" s="3349">
        <f>BOTT_D5</f>
        <v>197300</v>
      </c>
      <c r="P100" s="2771"/>
      <c r="Q100" s="2772"/>
      <c r="R100" s="2772"/>
      <c r="S100" s="2806"/>
      <c r="T100" s="3334"/>
      <c r="U100" s="3344"/>
      <c r="V100" s="229"/>
      <c r="AD100" s="835" t="s">
        <v>1517</v>
      </c>
      <c r="AE100" s="329" t="s">
        <v>1518</v>
      </c>
      <c r="AG100" s="2628" t="str">
        <f>IF(AH94,"",MAX(0,SUM(AG98,-AG99)))</f>
        <v/>
      </c>
      <c r="AH100" s="832"/>
      <c r="AO100" s="827"/>
      <c r="AP100" s="658"/>
      <c r="AQ100" s="658"/>
      <c r="AR100" s="658"/>
      <c r="AS100" s="658"/>
      <c r="AT100" s="658"/>
      <c r="AU100" s="658"/>
    </row>
    <row r="101" spans="1:47" ht="12.75" customHeight="1">
      <c r="A101" s="88"/>
      <c r="B101" s="3066" t="s">
        <v>1381</v>
      </c>
      <c r="C101" s="2768"/>
      <c r="D101" s="2769" t="s">
        <v>2281</v>
      </c>
      <c r="E101" s="2769"/>
      <c r="F101" s="2769"/>
      <c r="G101" s="2751"/>
      <c r="H101" s="2751"/>
      <c r="I101" s="2751"/>
      <c r="J101" s="3222" t="s">
        <v>594</v>
      </c>
      <c r="K101" s="2768" t="str">
        <f>B101</f>
        <v>20.</v>
      </c>
      <c r="L101" s="2628" t="str">
        <f>IF(NOT(SchDTW_Used),"",MIN(R89,L99))</f>
        <v/>
      </c>
      <c r="M101" s="2768"/>
      <c r="N101" s="2768"/>
      <c r="O101" s="3351"/>
      <c r="P101" s="2768"/>
      <c r="Q101" s="3222"/>
      <c r="R101" s="2772"/>
      <c r="S101" s="2776"/>
      <c r="T101" s="3337"/>
      <c r="U101" s="3335"/>
      <c r="V101" s="229"/>
      <c r="W101" s="329"/>
      <c r="AD101" s="1185" t="s">
        <v>1519</v>
      </c>
      <c r="AE101" s="329" t="s">
        <v>1520</v>
      </c>
      <c r="AG101" s="2628" t="str">
        <f>IF(AH94,"",MIN(AG94,AG100))</f>
        <v/>
      </c>
      <c r="AH101" s="832"/>
      <c r="AO101" s="827"/>
      <c r="AP101" s="658"/>
      <c r="AQ101" s="658"/>
      <c r="AR101" s="658"/>
      <c r="AS101" s="658"/>
      <c r="AT101" s="658"/>
      <c r="AU101" s="658"/>
    </row>
    <row r="102" spans="1:47" ht="12.75" customHeight="1">
      <c r="A102" s="88"/>
      <c r="B102" s="3066" t="s">
        <v>1383</v>
      </c>
      <c r="C102" s="2768"/>
      <c r="D102" s="2769" t="s">
        <v>2282</v>
      </c>
      <c r="E102" s="2769"/>
      <c r="F102" s="2769"/>
      <c r="G102" s="2751"/>
      <c r="H102" s="2751"/>
      <c r="I102" s="2751"/>
      <c r="J102" s="2771"/>
      <c r="K102" s="2771"/>
      <c r="L102" s="3222" t="s">
        <v>677</v>
      </c>
      <c r="M102" s="8363" t="str">
        <f>B102</f>
        <v>21.</v>
      </c>
      <c r="N102" s="8363"/>
      <c r="O102" s="2628" t="str">
        <f>IF(NOT(SchDTW_Used),"",MAX(L96,L101))</f>
        <v/>
      </c>
      <c r="P102" s="2768"/>
      <c r="Q102" s="3222"/>
      <c r="R102" s="2772"/>
      <c r="S102" s="2776"/>
      <c r="T102" s="3337"/>
      <c r="U102" s="3335"/>
      <c r="V102" s="229"/>
      <c r="W102" s="329"/>
      <c r="AD102" s="831" t="s">
        <v>1521</v>
      </c>
      <c r="AE102" s="329" t="str">
        <f>"Multiply line 30 by "&amp;TEXT(AH102,"0%")</f>
        <v>Multiply line 30 by 15%</v>
      </c>
      <c r="AG102" s="2628" t="str">
        <f>IF(AH94,"",ROUND(AG101*AH102,0))</f>
        <v/>
      </c>
      <c r="AH102" s="836">
        <f>SchDTW_Line31Rate</f>
        <v>0.15</v>
      </c>
      <c r="AO102" s="827"/>
      <c r="AP102" s="658"/>
      <c r="AQ102" s="658"/>
      <c r="AR102" s="658"/>
      <c r="AS102" s="658"/>
      <c r="AT102" s="658"/>
      <c r="AU102" s="658"/>
    </row>
    <row r="103" spans="1:47" ht="12.75" customHeight="1">
      <c r="A103" s="88"/>
      <c r="B103" s="3066" t="s">
        <v>1385</v>
      </c>
      <c r="C103" s="2768"/>
      <c r="D103" s="2769" t="s">
        <v>2283</v>
      </c>
      <c r="E103" s="2769"/>
      <c r="F103" s="2769"/>
      <c r="G103" s="2751"/>
      <c r="H103" s="2751"/>
      <c r="I103" s="2751"/>
      <c r="J103" s="2771"/>
      <c r="K103" s="2771"/>
      <c r="L103" s="3222" t="s">
        <v>597</v>
      </c>
      <c r="M103" s="8363" t="str">
        <f>B103</f>
        <v>22.</v>
      </c>
      <c r="N103" s="8363"/>
      <c r="O103" s="2628" t="str">
        <f>IF(NOT(SchDTW_Used),"",SUM(O94,-L95))</f>
        <v/>
      </c>
      <c r="P103" s="2768"/>
      <c r="Q103" s="3222"/>
      <c r="R103" s="3352">
        <f>IF(O103&lt;&gt;"",O103,0)</f>
        <v>0</v>
      </c>
      <c r="S103" s="3224"/>
      <c r="T103" s="3334"/>
      <c r="U103" s="3335"/>
      <c r="V103" s="229"/>
      <c r="AD103" s="833" t="s">
        <v>1522</v>
      </c>
      <c r="AE103" s="329" t="s">
        <v>1523</v>
      </c>
      <c r="AG103" s="2628" t="str">
        <f>IF(AH94,"",SUM(AG95,AG101))</f>
        <v/>
      </c>
      <c r="AH103" s="1186" t="b">
        <f>IF(AG72="",AG103=0,AG72=AG103)</f>
        <v>0</v>
      </c>
      <c r="AO103" s="827"/>
      <c r="AP103" s="658"/>
      <c r="AQ103" s="658"/>
      <c r="AR103" s="658"/>
      <c r="AS103" s="658"/>
      <c r="AT103" s="658"/>
      <c r="AU103" s="658"/>
    </row>
    <row r="104" spans="1:47" s="3357" customFormat="1" ht="12.75" customHeight="1">
      <c r="A104" s="88"/>
      <c r="B104" s="2802"/>
      <c r="C104" s="2768"/>
      <c r="D104" s="2826" t="s">
        <v>2284</v>
      </c>
      <c r="E104" s="2826"/>
      <c r="F104" s="2826"/>
      <c r="G104" s="2751"/>
      <c r="H104" s="2751"/>
      <c r="I104" s="2751"/>
      <c r="J104" s="2771"/>
      <c r="K104" s="2771"/>
      <c r="L104" s="2771"/>
      <c r="M104" s="2771"/>
      <c r="N104" s="2771"/>
      <c r="O104" s="3353"/>
      <c r="P104" s="2771"/>
      <c r="Q104" s="3222"/>
      <c r="R104" s="3354"/>
      <c r="S104" s="3224"/>
      <c r="T104" s="3355"/>
      <c r="U104" s="3356" t="b">
        <f>(SchDTW_Line1=O94)</f>
        <v>1</v>
      </c>
      <c r="V104" s="229"/>
      <c r="W104"/>
      <c r="X104" s="1661"/>
      <c r="Y104" s="329"/>
      <c r="Z104" s="329"/>
      <c r="AA104" s="329"/>
      <c r="AB104" s="329"/>
      <c r="AC104"/>
      <c r="AD104" s="835" t="s">
        <v>1524</v>
      </c>
      <c r="AE104" s="329" t="s">
        <v>1525</v>
      </c>
      <c r="AF104"/>
      <c r="AG104" s="2628" t="str">
        <f>IF(OR(AH94,AH103),"",SUM(AG94,-AG103))</f>
        <v/>
      </c>
      <c r="AH104" s="1186"/>
      <c r="AI104" s="329"/>
      <c r="AJ104" s="329"/>
      <c r="AK104" s="329"/>
      <c r="AL104" s="329"/>
      <c r="AM104" s="329"/>
      <c r="AN104" s="329"/>
      <c r="AO104" s="826"/>
      <c r="AP104" s="664"/>
      <c r="AQ104" s="664"/>
      <c r="AR104" s="664"/>
      <c r="AS104" s="664"/>
      <c r="AT104" s="664"/>
      <c r="AU104" s="664"/>
    </row>
    <row r="105" spans="1:47" ht="12.75" customHeight="1">
      <c r="A105" s="88"/>
      <c r="B105" s="3066" t="s">
        <v>1387</v>
      </c>
      <c r="C105" s="2768"/>
      <c r="D105" s="2769" t="s">
        <v>2285</v>
      </c>
      <c r="E105" s="2769"/>
      <c r="F105" s="2769"/>
      <c r="G105" s="2751"/>
      <c r="H105" s="2751"/>
      <c r="I105" s="2751"/>
      <c r="J105" s="3222" t="s">
        <v>1266</v>
      </c>
      <c r="K105" s="2768" t="str">
        <f>B105</f>
        <v>23.</v>
      </c>
      <c r="L105" s="2628" t="str">
        <f>IF(NOT(SchDTW_Used),"",IF(Skip2343,"",MIN(SchDTW_Line1,R88)))</f>
        <v/>
      </c>
      <c r="M105" s="3197"/>
      <c r="N105" s="3197"/>
      <c r="O105" s="3350"/>
      <c r="P105" s="3197"/>
      <c r="Q105" s="2772"/>
      <c r="R105" s="2772"/>
      <c r="S105" s="3224"/>
      <c r="T105" s="3334"/>
      <c r="U105" s="3358" t="str">
        <f>IF(NOT(SchDTW_Used),"",IF(Skip2343,"Skip lines 23 through 43.","Go to Line 23."))</f>
        <v/>
      </c>
      <c r="V105" s="229"/>
      <c r="AD105" s="831" t="s">
        <v>1526</v>
      </c>
      <c r="AE105" s="329" t="str">
        <f>"Multiply line 33 by "&amp;TEXT(AH105,"0%")</f>
        <v>Multiply line 33 by 20%</v>
      </c>
      <c r="AG105" s="2628" t="str">
        <f>IF(OR(AH94,AH103),"",ROUND(AG104*AH105,0))</f>
        <v/>
      </c>
      <c r="AH105" s="836">
        <f>SchDTW_Line34Rate</f>
        <v>0.2</v>
      </c>
      <c r="AO105" s="827"/>
      <c r="AP105" s="658"/>
      <c r="AQ105" s="658"/>
      <c r="AR105" s="658"/>
      <c r="AS105" s="658"/>
      <c r="AT105" s="658"/>
      <c r="AU105" s="658"/>
    </row>
    <row r="106" spans="1:47" ht="12.75" customHeight="1">
      <c r="A106" s="88"/>
      <c r="B106" s="3066" t="s">
        <v>1388</v>
      </c>
      <c r="C106" s="2768"/>
      <c r="D106" s="2769" t="s">
        <v>2286</v>
      </c>
      <c r="E106" s="2769"/>
      <c r="F106" s="2769"/>
      <c r="G106" s="2751"/>
      <c r="H106" s="2751"/>
      <c r="I106" s="2751"/>
      <c r="J106" s="2075" t="s">
        <v>1036</v>
      </c>
      <c r="K106" s="2768" t="str">
        <f>B106</f>
        <v>24.</v>
      </c>
      <c r="L106" s="2628" t="str">
        <f>IF(NOT(SchDTW_Used),"",IF(Skip2343,"",IF(O103="",0,O103)))</f>
        <v/>
      </c>
      <c r="M106" s="3197"/>
      <c r="N106" s="3197"/>
      <c r="O106" s="2772"/>
      <c r="P106" s="3197"/>
      <c r="Q106" s="2772"/>
      <c r="R106" s="2772"/>
      <c r="S106" s="2776"/>
      <c r="T106" s="3337"/>
      <c r="U106" s="3335"/>
      <c r="V106" s="229"/>
      <c r="AD106" s="833" t="s">
        <v>1527</v>
      </c>
      <c r="AE106" s="329" t="s">
        <v>1528</v>
      </c>
      <c r="AG106" s="2628" t="str">
        <f>IF(OR(AH94,AH103,AH106),"",MIN(AG80,SchDLine19))</f>
        <v/>
      </c>
      <c r="AH106" s="1186" t="b">
        <f>OR(SchDLine19=0,SchDLine19="")</f>
        <v>1</v>
      </c>
      <c r="AO106" s="827"/>
      <c r="AP106" s="658"/>
      <c r="AQ106" s="658"/>
      <c r="AR106" s="658"/>
      <c r="AS106" s="658"/>
      <c r="AT106" s="658"/>
      <c r="AU106" s="658"/>
    </row>
    <row r="107" spans="1:47" ht="12.75" customHeight="1">
      <c r="A107" s="88"/>
      <c r="B107" s="3066" t="s">
        <v>1390</v>
      </c>
      <c r="C107" s="2768"/>
      <c r="D107" s="2769" t="s">
        <v>2287</v>
      </c>
      <c r="E107" s="2769"/>
      <c r="F107" s="2769"/>
      <c r="G107" s="2751"/>
      <c r="H107" s="2751"/>
      <c r="I107" s="2751"/>
      <c r="J107" s="2771"/>
      <c r="K107" s="2771"/>
      <c r="L107" s="3222" t="s">
        <v>1279</v>
      </c>
      <c r="M107" s="8363" t="str">
        <f>B107</f>
        <v>25.</v>
      </c>
      <c r="N107" s="8363"/>
      <c r="O107" s="2628" t="str">
        <f>IF(OR(NOT(SchDTW_Used),Skip2343),"",MAX(0,SUM(L105,-L106)))</f>
        <v/>
      </c>
      <c r="P107" s="2768"/>
      <c r="Q107" s="3222"/>
      <c r="R107" s="3359"/>
      <c r="S107" s="2776"/>
      <c r="T107" s="3337"/>
      <c r="U107" s="148"/>
      <c r="V107" s="229"/>
      <c r="AD107" s="837" t="s">
        <v>1529</v>
      </c>
      <c r="AE107" s="329" t="s">
        <v>1530</v>
      </c>
      <c r="AG107" s="2628" t="str">
        <f>IF(OR(AH94,AH103,AH106),"",SUM(AG81,AG92))</f>
        <v/>
      </c>
      <c r="AH107" s="832"/>
      <c r="AO107" s="827"/>
      <c r="AP107" s="658"/>
      <c r="AQ107" s="658"/>
      <c r="AR107" s="658"/>
      <c r="AS107" s="658"/>
      <c r="AT107" s="658"/>
      <c r="AU107" s="658"/>
    </row>
    <row r="108" spans="1:47" ht="14.25" customHeight="1">
      <c r="A108" s="88"/>
      <c r="B108" s="3340">
        <v>26</v>
      </c>
      <c r="C108" s="2768"/>
      <c r="D108" s="2769" t="s">
        <v>2275</v>
      </c>
      <c r="E108" s="2769"/>
      <c r="F108" s="2769"/>
      <c r="G108" s="2751"/>
      <c r="H108" s="2751"/>
      <c r="I108" s="2751"/>
      <c r="J108" s="2771"/>
      <c r="K108" s="2771"/>
      <c r="L108" s="2771"/>
      <c r="M108" s="2771"/>
      <c r="N108" s="2771"/>
      <c r="O108" s="2772"/>
      <c r="P108" s="2771"/>
      <c r="Q108" s="2772"/>
      <c r="R108" s="2772"/>
      <c r="S108" s="2806"/>
      <c r="T108" s="3334"/>
      <c r="U108" s="148"/>
      <c r="V108" s="229"/>
      <c r="AD108" s="837" t="s">
        <v>1531</v>
      </c>
      <c r="AE108" s="329" t="s">
        <v>1532</v>
      </c>
      <c r="AG108" s="2628" t="str">
        <f>IF(OR(AH94,AH103,AH106),"",IF(AG72="",0,AG72))</f>
        <v/>
      </c>
      <c r="AH108" s="832"/>
      <c r="AO108" s="827"/>
      <c r="AP108" s="658"/>
      <c r="AQ108" s="658"/>
      <c r="AR108" s="658"/>
      <c r="AS108" s="658"/>
      <c r="AT108" s="658"/>
      <c r="AU108" s="658"/>
    </row>
    <row r="109" spans="1:47" ht="14.25" customHeight="1">
      <c r="A109" s="88"/>
      <c r="B109" s="3209" t="b">
        <f>IF(File_Single&lt;&gt;"",TRUE,FALSE)</f>
        <v>0</v>
      </c>
      <c r="C109" s="2768"/>
      <c r="D109" s="3317" t="s">
        <v>830</v>
      </c>
      <c r="E109" s="2769" t="str">
        <f>TEXT(O109,"$0,000")&amp;" if single;"</f>
        <v>$533,400 if single;</v>
      </c>
      <c r="F109" s="2769"/>
      <c r="G109" s="2769"/>
      <c r="H109" s="2751"/>
      <c r="I109" s="2751"/>
      <c r="J109" s="2771"/>
      <c r="K109" s="2771"/>
      <c r="L109" s="2771"/>
      <c r="M109" s="2771"/>
      <c r="N109" s="2771"/>
      <c r="O109" s="3349">
        <f>CGTW_Line13_Single</f>
        <v>533400</v>
      </c>
      <c r="P109" s="2771"/>
      <c r="Q109" s="2772"/>
      <c r="R109" s="2772"/>
      <c r="S109" s="2806"/>
      <c r="T109" s="3334"/>
      <c r="U109" s="3345"/>
      <c r="V109" s="229"/>
      <c r="AD109" s="833" t="s">
        <v>1533</v>
      </c>
      <c r="AE109" s="329" t="s">
        <v>1534</v>
      </c>
      <c r="AG109" s="2628" t="str">
        <f>IF(OR(AH94,AH103,AH106),"",MAX(0,SUM(AG107,-AG108)))</f>
        <v/>
      </c>
      <c r="AH109" s="832"/>
      <c r="AO109" s="827"/>
      <c r="AP109" s="658"/>
      <c r="AQ109" s="658"/>
      <c r="AR109" s="658"/>
      <c r="AS109" s="658"/>
      <c r="AT109" s="658"/>
      <c r="AU109" s="658"/>
    </row>
    <row r="110" spans="1:47">
      <c r="A110" s="88"/>
      <c r="B110" s="3209" t="b">
        <f>IF(File_Marr_Sep&lt;&gt;"",TRUE,FALSE)</f>
        <v>0</v>
      </c>
      <c r="C110" s="2768"/>
      <c r="D110" s="3317" t="s">
        <v>830</v>
      </c>
      <c r="E110" s="2769" t="str">
        <f>TEXT(O110,"$0,000")&amp;" if married filing separately;"</f>
        <v>$300,000 if married filing separately;</v>
      </c>
      <c r="F110" s="3317"/>
      <c r="G110" s="2751"/>
      <c r="H110" s="2751"/>
      <c r="I110" s="2751"/>
      <c r="J110" s="2771"/>
      <c r="K110" s="2771"/>
      <c r="L110" s="3347" t="str">
        <f>IF(File_Single&lt;&gt;"",O109,IF(File_Marr_Sep&lt;&gt;"",O110,IF(OR(File_Marr_Joint&lt;&gt;"",File_Qual_Widow),O111,IF(File_Head&lt;&gt;"",O112,"Filing status?"))))</f>
        <v>Filing status?</v>
      </c>
      <c r="M110" s="3348"/>
      <c r="N110" s="3348"/>
      <c r="O110" s="3349">
        <f>CGTW_Line13_MFS</f>
        <v>300000</v>
      </c>
      <c r="P110" s="3348"/>
      <c r="Q110" s="2772"/>
      <c r="R110" s="2772"/>
      <c r="S110" s="2806"/>
      <c r="T110" s="3334"/>
      <c r="U110" s="3335"/>
      <c r="V110" s="229"/>
      <c r="AD110" s="835" t="s">
        <v>1535</v>
      </c>
      <c r="AE110" s="329" t="s">
        <v>1536</v>
      </c>
      <c r="AG110" s="2628" t="str">
        <f>IF(OR(AH94,AH103,AH106),"",MAX(0,SUM(AG106,-AG109)))</f>
        <v/>
      </c>
      <c r="AH110" s="832"/>
      <c r="AO110" s="827"/>
      <c r="AP110" s="658"/>
      <c r="AQ110" s="658"/>
      <c r="AR110" s="658"/>
      <c r="AS110" s="658"/>
      <c r="AT110" s="658"/>
      <c r="AU110" s="658"/>
    </row>
    <row r="111" spans="1:47" ht="13.5" customHeight="1">
      <c r="A111" s="88"/>
      <c r="B111" s="3209" t="b">
        <f>IF(OR(File_Marr_Joint&lt;&gt;"",File_Qual_Widow&lt;&gt;""),TRUE,FALSE)</f>
        <v>0</v>
      </c>
      <c r="C111" s="2768"/>
      <c r="D111" s="3317" t="s">
        <v>830</v>
      </c>
      <c r="E111" s="2769" t="str">
        <f>TEXT(O111,"$0,000")&amp;" if married filing jointly or qualifying widow(er); or"</f>
        <v>$600,050 if married filing jointly or qualifying widow(er); or</v>
      </c>
      <c r="F111" s="3317"/>
      <c r="G111" s="2751"/>
      <c r="H111" s="2751"/>
      <c r="I111" s="2751"/>
      <c r="J111" s="3300" t="s">
        <v>2276</v>
      </c>
      <c r="K111" s="3333">
        <f>B108</f>
        <v>26</v>
      </c>
      <c r="L111" s="2628" t="str">
        <f>IF(OR(NOT(SchDTW_Used),Skip2343),"",L110)</f>
        <v/>
      </c>
      <c r="M111" s="3197"/>
      <c r="N111" s="3197"/>
      <c r="O111" s="3349">
        <f>CGTW_Line13_MFJQW</f>
        <v>600050</v>
      </c>
      <c r="P111" s="3197"/>
      <c r="Q111" s="2772"/>
      <c r="R111" s="2772"/>
      <c r="S111" s="2806"/>
      <c r="T111" s="3334"/>
      <c r="U111" s="3335"/>
      <c r="V111" s="229"/>
      <c r="AD111" s="831" t="s">
        <v>1537</v>
      </c>
      <c r="AE111" s="329" t="str">
        <f>"Multiply line 39 by "&amp;TEXT(AH111,"0%")</f>
        <v>Multiply line 39 by 25%</v>
      </c>
      <c r="AG111" s="2628" t="str">
        <f>IF(OR(AH94,AH103,AH106),"",ROUND(AG110*AH111,0))</f>
        <v/>
      </c>
      <c r="AH111" s="836">
        <f>SchDTW_Line40Rate</f>
        <v>0.25</v>
      </c>
      <c r="AO111" s="827"/>
      <c r="AP111" s="658"/>
      <c r="AQ111" s="658"/>
      <c r="AR111" s="658"/>
      <c r="AS111" s="658"/>
      <c r="AT111" s="658"/>
      <c r="AU111" s="658"/>
    </row>
    <row r="112" spans="1:47" ht="13.5" customHeight="1">
      <c r="A112" s="88"/>
      <c r="B112" s="3209" t="b">
        <f>IF(File_Head&lt;&gt;"",TRUE,FALSE)</f>
        <v>0</v>
      </c>
      <c r="C112" s="2768"/>
      <c r="D112" s="3317" t="s">
        <v>830</v>
      </c>
      <c r="E112" s="2769" t="str">
        <f>TEXT(O112,"$0,000")&amp;" if head of household."</f>
        <v>$566,700 if head of household.</v>
      </c>
      <c r="F112" s="3317"/>
      <c r="G112" s="2751"/>
      <c r="H112" s="2751"/>
      <c r="I112" s="2751"/>
      <c r="J112" s="2771"/>
      <c r="K112" s="2771"/>
      <c r="L112" s="2771"/>
      <c r="M112" s="2771"/>
      <c r="N112" s="2771"/>
      <c r="O112" s="3349">
        <f>CGTW_Line13_HOH</f>
        <v>566700</v>
      </c>
      <c r="P112" s="2771"/>
      <c r="Q112" s="2772"/>
      <c r="R112" s="2772"/>
      <c r="S112" s="2806"/>
      <c r="T112" s="3334"/>
      <c r="U112" s="3344"/>
      <c r="V112" s="229"/>
      <c r="AD112" s="835" t="s">
        <v>1538</v>
      </c>
      <c r="AE112" s="329" t="s">
        <v>1539</v>
      </c>
      <c r="AG112" s="2628" t="str">
        <f>IF(OR(AH94,AH103,AH112),"",SUM(AG92,AG93,AG101,AG104,AG110))</f>
        <v/>
      </c>
      <c r="AH112" s="832" t="b">
        <f>OR(SchDLine18=0,SchDLine18="")</f>
        <v>1</v>
      </c>
      <c r="AO112" s="827"/>
      <c r="AP112" s="658"/>
      <c r="AQ112" s="658"/>
      <c r="AR112" s="658"/>
      <c r="AS112" s="658"/>
      <c r="AT112" s="658"/>
      <c r="AU112" s="658"/>
    </row>
    <row r="113" spans="1:47" ht="13.5" customHeight="1">
      <c r="A113" s="88"/>
      <c r="B113" s="3340">
        <v>27</v>
      </c>
      <c r="C113" s="2768"/>
      <c r="D113" s="2769" t="s">
        <v>2288</v>
      </c>
      <c r="E113" s="2769"/>
      <c r="F113" s="3317"/>
      <c r="G113" s="2751"/>
      <c r="H113" s="2751"/>
      <c r="I113" s="2751"/>
      <c r="J113" s="2771"/>
      <c r="K113" s="3333">
        <f>B113</f>
        <v>27</v>
      </c>
      <c r="L113" s="2628" t="str">
        <f>IF(OR(NOT(SchDTW_Used),Skip2343),"",MIN(SchDTW_Line1,L111))</f>
        <v/>
      </c>
      <c r="M113" s="2771"/>
      <c r="N113" s="2771"/>
      <c r="O113" s="3360"/>
      <c r="P113" s="2771"/>
      <c r="Q113" s="2772"/>
      <c r="R113" s="2772"/>
      <c r="S113" s="2806"/>
      <c r="T113" s="3334"/>
      <c r="U113" s="3335"/>
      <c r="V113" s="229"/>
      <c r="AD113" s="835" t="s">
        <v>1540</v>
      </c>
      <c r="AE113" s="329" t="s">
        <v>1541</v>
      </c>
      <c r="AG113" s="2628" t="str">
        <f>IF(OR(AH94,AH103,AH112),"",SUM(AG72,-AG112))</f>
        <v/>
      </c>
      <c r="AH113" s="832"/>
      <c r="AO113" s="827"/>
      <c r="AP113" s="658"/>
      <c r="AQ113" s="658"/>
      <c r="AR113" s="658"/>
      <c r="AS113" s="658"/>
      <c r="AT113" s="658"/>
      <c r="AU113" s="658"/>
    </row>
    <row r="114" spans="1:47" ht="13.5" customHeight="1">
      <c r="A114" s="88"/>
      <c r="B114" s="3340">
        <v>28</v>
      </c>
      <c r="C114" s="2768"/>
      <c r="D114" s="2769" t="s">
        <v>1516</v>
      </c>
      <c r="E114" s="2769"/>
      <c r="F114" s="3317"/>
      <c r="G114" s="2751"/>
      <c r="H114" s="2751"/>
      <c r="I114" s="2751"/>
      <c r="J114" s="2771"/>
      <c r="K114" s="3333">
        <f>B114</f>
        <v>28</v>
      </c>
      <c r="L114" s="2628" t="str">
        <f>IF(OR(NOT(SchDTW_Used),Skip2343),"",SUM(SchDTW_Line21,O103))</f>
        <v/>
      </c>
      <c r="M114" s="2771"/>
      <c r="N114" s="2771"/>
      <c r="O114" s="3360"/>
      <c r="P114" s="2771"/>
      <c r="Q114" s="2772"/>
      <c r="R114" s="2772"/>
      <c r="S114" s="2806"/>
      <c r="T114" s="3334"/>
      <c r="U114" s="3335"/>
      <c r="V114" s="229"/>
      <c r="AD114" s="831" t="s">
        <v>1542</v>
      </c>
      <c r="AE114" s="329" t="str">
        <f>"Multiply line 42 by "&amp;TEXT(AH114,"0%")</f>
        <v>Multiply line 42 by 28%</v>
      </c>
      <c r="AG114" s="2628" t="str">
        <f>IF(OR(AH94,AH103,AH112),"",ROUND(AG113*AH114,0))</f>
        <v/>
      </c>
      <c r="AH114" s="836">
        <f>SchDTW_Line43Rate</f>
        <v>0.28000000000000003</v>
      </c>
      <c r="AO114" s="827"/>
      <c r="AP114" s="658"/>
      <c r="AQ114" s="658"/>
      <c r="AR114" s="658"/>
      <c r="AS114" s="658"/>
      <c r="AT114" s="658"/>
      <c r="AU114" s="658"/>
    </row>
    <row r="115" spans="1:47" ht="13.5" customHeight="1">
      <c r="A115" s="88"/>
      <c r="B115" s="3340">
        <v>29</v>
      </c>
      <c r="C115" s="2768"/>
      <c r="D115" s="2769" t="s">
        <v>2289</v>
      </c>
      <c r="E115" s="2769"/>
      <c r="F115" s="3317"/>
      <c r="G115" s="2751"/>
      <c r="H115" s="2751"/>
      <c r="I115" s="2751"/>
      <c r="J115" s="2771"/>
      <c r="K115" s="3333">
        <f>B115</f>
        <v>29</v>
      </c>
      <c r="L115" s="2628" t="str">
        <f>IF(OR(NOT(SchDTW_Used),Skip2343),"",MAX(0,SUM(L113,-L114)))</f>
        <v/>
      </c>
      <c r="M115" s="2771"/>
      <c r="N115" s="2771"/>
      <c r="O115" s="3347"/>
      <c r="P115" s="2771"/>
      <c r="Q115" s="2772"/>
      <c r="R115" s="2772"/>
      <c r="S115" s="2806"/>
      <c r="T115" s="3334"/>
      <c r="U115" s="3335"/>
      <c r="V115" s="229"/>
      <c r="AD115" s="831" t="s">
        <v>1543</v>
      </c>
      <c r="AE115" s="329" t="s">
        <v>1544</v>
      </c>
      <c r="AG115" s="2628" t="str">
        <f>AH120</f>
        <v>FilingStatus?</v>
      </c>
      <c r="AH115" s="832"/>
      <c r="AO115" s="827"/>
      <c r="AP115" s="658"/>
      <c r="AQ115" s="658"/>
      <c r="AR115" s="658"/>
      <c r="AS115" s="658"/>
      <c r="AT115" s="658"/>
      <c r="AU115" s="658"/>
    </row>
    <row r="116" spans="1:47" ht="13.5" customHeight="1" thickBot="1">
      <c r="A116" s="88"/>
      <c r="B116" s="3340">
        <v>30</v>
      </c>
      <c r="C116" s="2768"/>
      <c r="D116" s="2769" t="s">
        <v>2290</v>
      </c>
      <c r="E116" s="2769"/>
      <c r="F116" s="3317"/>
      <c r="G116" s="2751"/>
      <c r="H116" s="2751"/>
      <c r="I116" s="2751"/>
      <c r="J116" s="2771"/>
      <c r="K116" s="3333"/>
      <c r="L116" s="3222" t="s">
        <v>872</v>
      </c>
      <c r="M116" s="8361">
        <f>B116</f>
        <v>30</v>
      </c>
      <c r="N116" s="8361"/>
      <c r="O116" s="2628" t="str">
        <f>IF(OR(NOT(SchDTW_Used),Skip2343),"",MIN(O107,L115))</f>
        <v/>
      </c>
      <c r="P116" s="3333"/>
      <c r="Q116" s="2772"/>
      <c r="R116" s="2772"/>
      <c r="S116" s="2806"/>
      <c r="T116" s="3334"/>
      <c r="U116" s="3335"/>
      <c r="V116" s="229"/>
      <c r="AD116" s="2634" t="s">
        <v>5518</v>
      </c>
      <c r="AE116" s="84" t="s">
        <v>13</v>
      </c>
      <c r="AF116" s="84" t="s">
        <v>663</v>
      </c>
      <c r="AG116" s="84" t="s">
        <v>21</v>
      </c>
      <c r="AH116" s="838" t="s">
        <v>24</v>
      </c>
      <c r="AO116" s="827"/>
      <c r="AP116" s="658"/>
      <c r="AQ116" s="658"/>
      <c r="AR116" s="658"/>
      <c r="AS116" s="658"/>
      <c r="AT116" s="658"/>
      <c r="AU116" s="658"/>
    </row>
    <row r="117" spans="1:47" ht="13.5" customHeight="1" thickTop="1" thickBot="1">
      <c r="A117" s="88"/>
      <c r="B117" s="3340">
        <v>31</v>
      </c>
      <c r="C117" s="2768"/>
      <c r="D117" s="2769" t="str">
        <f>"Multiply line 30 by "&amp;TEXT(T117,"0%")&amp;" ("&amp;TEXT(T117,"0.00")&amp;")"</f>
        <v>Multiply line 30 by 15% (0.15)</v>
      </c>
      <c r="E117" s="2769"/>
      <c r="F117" s="3317"/>
      <c r="G117" s="2751"/>
      <c r="H117" s="2751"/>
      <c r="I117" s="2751"/>
      <c r="J117" s="2771"/>
      <c r="K117" s="2771"/>
      <c r="L117" s="2771"/>
      <c r="M117" s="2771"/>
      <c r="N117" s="2771"/>
      <c r="O117" s="3222" t="s">
        <v>2204</v>
      </c>
      <c r="P117" s="2771"/>
      <c r="Q117" s="3333">
        <f>B117</f>
        <v>31</v>
      </c>
      <c r="R117" s="2628" t="str">
        <f>IF(OR(NOT(SchDTW_Used),Skip2343),"",ROUND($O$116*T117,0))</f>
        <v/>
      </c>
      <c r="S117" s="2806"/>
      <c r="T117" s="3334">
        <v>0.15</v>
      </c>
      <c r="U117" s="3335"/>
      <c r="V117" s="229"/>
      <c r="AD117" s="5358">
        <f>AG92</f>
        <v>0</v>
      </c>
      <c r="AE117" s="2572">
        <f>LOOKUP(AD117,'Tax Table'!$B$2:$B$2063,'Tax Table'!$D$2:$D$2063)</f>
        <v>0</v>
      </c>
      <c r="AF117" s="2572">
        <f>LOOKUP(AD117,'Tax Table'!$B$2:$B$2063,'Tax Table'!$E$2:$E$2063)</f>
        <v>0</v>
      </c>
      <c r="AG117" s="2572">
        <f>LOOKUP(AD117,'Tax Table'!$B$2:$B$2063,'Tax Table'!$F$2:$F$2063)</f>
        <v>0</v>
      </c>
      <c r="AH117" s="2573">
        <f>LOOKUP(AD117,'Tax Table'!$B$2:$B$2063,'Tax Table'!$G$2:$G$2063)</f>
        <v>0</v>
      </c>
      <c r="AO117" s="827"/>
      <c r="AP117" s="658"/>
      <c r="AQ117" s="658"/>
      <c r="AR117" s="658"/>
      <c r="AS117" s="658"/>
      <c r="AT117" s="658"/>
      <c r="AU117" s="658"/>
    </row>
    <row r="118" spans="1:47" ht="13.5" customHeight="1" thickBot="1">
      <c r="A118" s="88"/>
      <c r="B118" s="3340">
        <v>32</v>
      </c>
      <c r="C118" s="2768"/>
      <c r="D118" s="2769" t="s">
        <v>1523</v>
      </c>
      <c r="E118" s="2769"/>
      <c r="F118" s="3317"/>
      <c r="G118" s="2751"/>
      <c r="H118" s="2751"/>
      <c r="I118" s="2751"/>
      <c r="J118" s="3222" t="s">
        <v>617</v>
      </c>
      <c r="K118" s="3333">
        <f>B118</f>
        <v>32</v>
      </c>
      <c r="L118" s="2628" t="str">
        <f>IF(OR(NOT(SchDTW_Used),Skip2343),"",SUM(L106,O116))</f>
        <v/>
      </c>
      <c r="M118" s="2771"/>
      <c r="N118" s="2771"/>
      <c r="O118" s="3347"/>
      <c r="P118" s="2771"/>
      <c r="Q118" s="2772"/>
      <c r="R118" s="2772"/>
      <c r="S118" s="2806"/>
      <c r="T118" s="3334"/>
      <c r="U118" s="3335"/>
      <c r="V118" s="229"/>
      <c r="AD118" s="4640"/>
      <c r="AE118" s="2574" t="str">
        <f>IF(AD117&lt;SectA_a2,"---",IF(AD117&lt;=SectA_a3,ROUND(AD117*(SectA_b3/100),0)-SectA_d3,IF(AD117&lt;=SectA_a4,ROUND(AD117*(SectA_b4/100),0)-SectA_d4,IF(AD117&lt;=SectA_a5,ROUND(AD117*(SectA_b5/100),0)-SectA_d5,IF(AD117&lt;=SectA_a6,ROUND(AD117*(SectA_b6/100),0)-SectA_d6,ROUND(AD117*(SectA_b7/100),0)-SectA_d7)))))</f>
        <v>---</v>
      </c>
      <c r="AF118" s="2574" t="str">
        <f>IF(AD117&lt;SectB_a2,"---",IF(AD117&lt;=SectB_a3,ROUND(AD117*(SectB_b3/100),0)-SectB_d3,IF(AD117&lt;=SectB_a4,ROUND(AD117*(SectB_b4/100),0)-SectB_d4,IF(AD117&lt;=SectB_a5,ROUND(AD117*(SectB_b5/100),0)-SectB_d5,IF(AD117&lt;=SectB_a6,ROUND(AD117*(SectB_b6/100),0)-SectB_d6,ROUND(AD117*(SectB_b7/100),0)-SectB_d7)))))</f>
        <v>---</v>
      </c>
      <c r="AG118" s="2574" t="str">
        <f>IF(AD117&lt;SectC_a1,"---",IF(AD117&lt;=SectC_a2,ROUND(AD117*(SectC_b2/100),0)-SectC_d2,IF(AD117&lt;=SectC_a3,ROUND(AD117*(SectC_b3/100),0)-SectC_d3,IF(AD117&lt;=SectC_a4,ROUND(AD117*(SectC_b4/100),0)-SectC_d4,IF(AD117&lt;=SectC_a5,ROUND(AD117*(SectC_b5/100),0)-SectC_d5,ROUND(AD117*(SectC_b6/100),0)-SectC_d6)))))</f>
        <v>---</v>
      </c>
      <c r="AH118" s="2575" t="str">
        <f>IF(AD117&lt;SectD_a2,"---",IF(AD117&lt;=SectD_a3,ROUND(AD117*(SectD_b3/100),0)-SectD_d3,IF(AD117&lt;=SectD_a4,ROUND(AD117*(SectD_b4/100),0)-SectD_d4,IF(AD117&lt;=SectD_a5,ROUND(AD117*(SectD_b5/100),0)-SectD_d5,IF(AD117&lt;=SectD_a6,ROUND(AD117*(SectD_b6/100),0)-SectD_d6,ROUND(AD117*(SectD_b7/100),0)-SectD_d7)))))</f>
        <v>---</v>
      </c>
      <c r="AO118" s="827"/>
      <c r="AP118" s="658"/>
      <c r="AQ118" s="658"/>
      <c r="AR118" s="658"/>
      <c r="AS118" s="658"/>
      <c r="AT118" s="658"/>
      <c r="AU118" s="658"/>
    </row>
    <row r="119" spans="1:47" ht="13.5" customHeight="1" thickBot="1">
      <c r="A119" s="88"/>
      <c r="B119" s="2802"/>
      <c r="C119" s="2768"/>
      <c r="D119" s="2826" t="s">
        <v>2291</v>
      </c>
      <c r="E119" s="2769"/>
      <c r="F119" s="3317"/>
      <c r="G119" s="2751"/>
      <c r="H119" s="2751"/>
      <c r="I119" s="2751"/>
      <c r="J119" s="2771"/>
      <c r="K119" s="2771"/>
      <c r="L119" s="2771"/>
      <c r="M119" s="2771"/>
      <c r="N119" s="2771"/>
      <c r="O119" s="3347"/>
      <c r="P119" s="2771"/>
      <c r="Q119" s="2772"/>
      <c r="R119" s="2772"/>
      <c r="S119" s="2806"/>
      <c r="T119" s="3334"/>
      <c r="U119" s="3356" t="b">
        <f>IF(OR(NOT(SchDTW_Used),Skip2343),FALSE,IF(SchDTW_Line1=L118,TRUE,FALSE))</f>
        <v>0</v>
      </c>
      <c r="V119" s="229"/>
      <c r="AD119" s="2576" t="str">
        <f>IF(File_Single&lt;&gt;"",AE117,IF(File_Marr_Joint&lt;&gt;"",AF117,IF(File_Marr_Sep&lt;&gt;"", AG117,IF(File_Head&lt;&gt;"",AH117,IF(File_Qual_Widow&lt;&gt;"",AF117,"Filing status?")))))</f>
        <v>Filing status?</v>
      </c>
      <c r="AE119" s="1061" t="str">
        <f>"&lt;100k"</f>
        <v>&lt;100k</v>
      </c>
      <c r="AF119" s="1061"/>
      <c r="AG119" s="1061"/>
      <c r="AH119" s="2577"/>
      <c r="AO119" s="827"/>
      <c r="AP119" s="658"/>
      <c r="AQ119" s="658"/>
      <c r="AR119" s="658"/>
      <c r="AS119" s="658"/>
      <c r="AT119" s="658"/>
      <c r="AU119" s="658"/>
    </row>
    <row r="120" spans="1:47" ht="13.5" customHeight="1" thickBot="1">
      <c r="A120" s="88"/>
      <c r="B120" s="3340">
        <v>33</v>
      </c>
      <c r="C120" s="2768"/>
      <c r="D120" s="2769" t="s">
        <v>2292</v>
      </c>
      <c r="E120" s="2769"/>
      <c r="F120" s="3317"/>
      <c r="G120" s="2751"/>
      <c r="H120" s="2751"/>
      <c r="I120" s="2751"/>
      <c r="J120" s="2771"/>
      <c r="K120" s="2771"/>
      <c r="L120" s="3222" t="s">
        <v>653</v>
      </c>
      <c r="M120" s="8361">
        <f>B120</f>
        <v>33</v>
      </c>
      <c r="N120" s="8361"/>
      <c r="O120" s="2628" t="str">
        <f>IF(OR(NOT(SchDTW_Used),Skip2343,Skip3343),"",SUM(L105,-L118))</f>
        <v/>
      </c>
      <c r="P120" s="3333"/>
      <c r="Q120" s="2772"/>
      <c r="R120" s="2772"/>
      <c r="S120" s="2806"/>
      <c r="T120" s="3334"/>
      <c r="U120" s="3358" t="str">
        <f>IF(OR(NOT(SchDTW_Used),Skip2343),"",IF(Skip3343,"Skip lines 33 through 42.","Go to Line 33."))</f>
        <v/>
      </c>
      <c r="V120" s="229"/>
      <c r="AD120" s="2579" t="str">
        <f>IF(File_Single&lt;&gt;"",AE118,IF(OR(File_Marr_Joint&lt;&gt;"",File_Qual_Widow&lt;&gt;""),AF118,IF(File_Marr_Sep&lt;&gt;"", AG118,IF(File_Head&lt;&gt;"",AH118,"Filing status?"))))</f>
        <v>Filing status?</v>
      </c>
      <c r="AE120" s="2580" t="str">
        <f>"&gt;=100k"</f>
        <v>&gt;=100k</v>
      </c>
      <c r="AF120" s="2580"/>
      <c r="AG120" s="2580" t="s">
        <v>672</v>
      </c>
      <c r="AH120" s="2581" t="str">
        <f>IF(NumFileStatusBoxes=0,"FilingStatus?",IF(AD117&gt;100000,ROUND(AD120,0),ROUND(AD119,0)))</f>
        <v>FilingStatus?</v>
      </c>
      <c r="AO120" s="827"/>
      <c r="AP120" s="658"/>
      <c r="AQ120" s="658"/>
      <c r="AR120" s="658"/>
      <c r="AS120" s="658"/>
      <c r="AT120" s="658"/>
      <c r="AU120" s="658"/>
    </row>
    <row r="121" spans="1:47" ht="12.75" customHeight="1" thickTop="1">
      <c r="A121" s="88"/>
      <c r="B121" s="3066" t="s">
        <v>1526</v>
      </c>
      <c r="C121" s="2768"/>
      <c r="D121" s="2769" t="str">
        <f>"Multiply line 33 by "&amp;TEXT(T121,"0%")&amp;" ("&amp;TEXT(T121,"0.00")&amp;")"</f>
        <v>Multiply line 33 by 20% (0.20)</v>
      </c>
      <c r="E121" s="2769"/>
      <c r="F121" s="2769"/>
      <c r="G121" s="2751"/>
      <c r="H121" s="2751"/>
      <c r="I121" s="2751"/>
      <c r="J121" s="2771"/>
      <c r="K121" s="2768"/>
      <c r="L121" s="2768"/>
      <c r="M121" s="2768"/>
      <c r="N121" s="2768"/>
      <c r="O121" s="3222" t="s">
        <v>2204</v>
      </c>
      <c r="P121" s="2768"/>
      <c r="Q121" s="3222" t="str">
        <f>B121</f>
        <v>34.</v>
      </c>
      <c r="R121" s="2628" t="str">
        <f>IF(OR(NOT(SchDTW_Used),Skip2343,Skip3343),"",ROUND((O120*T121),0))</f>
        <v/>
      </c>
      <c r="S121" s="2776"/>
      <c r="T121" s="3334">
        <v>0.2</v>
      </c>
      <c r="U121" s="3335"/>
      <c r="V121" s="229"/>
      <c r="AD121" s="831" t="s">
        <v>1545</v>
      </c>
      <c r="AE121" s="329" t="s">
        <v>1546</v>
      </c>
      <c r="AG121" s="2628">
        <f>SUM(AG102,AG105,AG111,AG114,AG115)</f>
        <v>0</v>
      </c>
      <c r="AH121" s="832"/>
      <c r="AO121" s="827"/>
      <c r="AP121" s="658"/>
      <c r="AQ121" s="658"/>
      <c r="AR121" s="658"/>
      <c r="AS121" s="658"/>
      <c r="AT121" s="658"/>
      <c r="AU121" s="658"/>
    </row>
    <row r="122" spans="1:47" ht="12.75" customHeight="1">
      <c r="A122" s="88"/>
      <c r="B122" s="2802"/>
      <c r="C122" s="2768"/>
      <c r="D122" s="2826" t="s">
        <v>2293</v>
      </c>
      <c r="E122" s="2826"/>
      <c r="F122" s="2826"/>
      <c r="G122" s="2751"/>
      <c r="H122" s="2751"/>
      <c r="I122" s="2751"/>
      <c r="J122" s="2771"/>
      <c r="K122" s="2771"/>
      <c r="L122" s="2771"/>
      <c r="M122" s="2771"/>
      <c r="N122" s="2771"/>
      <c r="O122" s="3353"/>
      <c r="P122" s="2771"/>
      <c r="Q122" s="3222"/>
      <c r="R122" s="3361"/>
      <c r="S122" s="3224"/>
      <c r="T122" s="3334"/>
      <c r="U122" s="3356" t="b">
        <f>OR(SchDLine19=0,SchDLine19="")</f>
        <v>1</v>
      </c>
      <c r="V122" s="229"/>
      <c r="AD122" s="831" t="s">
        <v>1547</v>
      </c>
      <c r="AE122" s="329" t="s">
        <v>1548</v>
      </c>
      <c r="AG122" s="2628" t="str">
        <f>AH127</f>
        <v>FilingStatus?</v>
      </c>
      <c r="AH122" s="832"/>
      <c r="AO122" s="827"/>
      <c r="AP122" s="658"/>
      <c r="AQ122" s="658"/>
      <c r="AR122" s="658"/>
      <c r="AS122" s="658"/>
      <c r="AT122" s="658"/>
      <c r="AU122" s="658"/>
    </row>
    <row r="123" spans="1:47" ht="12.75" customHeight="1" thickBot="1">
      <c r="A123" s="88"/>
      <c r="B123" s="3066" t="s">
        <v>1527</v>
      </c>
      <c r="C123" s="2768"/>
      <c r="D123" s="2769" t="s">
        <v>2294</v>
      </c>
      <c r="E123" s="2769"/>
      <c r="F123" s="2769"/>
      <c r="G123" s="2751"/>
      <c r="H123" s="2751"/>
      <c r="I123" s="2751"/>
      <c r="J123" s="2075" t="s">
        <v>631</v>
      </c>
      <c r="K123" s="2768" t="str">
        <f>B123</f>
        <v>35.</v>
      </c>
      <c r="L123" s="2628" t="str">
        <f>IF(OR(NOT(SchDTW_Used),Skip2343,Skip3343,Skip3540),"",MIN(O84,'Sch. D'!O75))</f>
        <v/>
      </c>
      <c r="M123" s="3197"/>
      <c r="N123" s="3197"/>
      <c r="O123" s="3197"/>
      <c r="P123" s="3197"/>
      <c r="Q123" s="3222"/>
      <c r="R123" s="3034"/>
      <c r="S123" s="3224"/>
      <c r="T123" s="3334"/>
      <c r="U123" s="3344" t="str">
        <f>IF(OR(NOT(SchDTW_Used),Skip2343,Skip3343),"",IF(Skip3540,"Skip lines 33 through 38.","Go to line 33."))</f>
        <v/>
      </c>
      <c r="V123" s="229"/>
      <c r="AD123" s="2634" t="s">
        <v>5519</v>
      </c>
      <c r="AE123" s="84" t="s">
        <v>13</v>
      </c>
      <c r="AF123" s="84" t="s">
        <v>663</v>
      </c>
      <c r="AG123" s="84" t="s">
        <v>21</v>
      </c>
      <c r="AH123" s="838" t="s">
        <v>24</v>
      </c>
      <c r="AO123" s="827"/>
      <c r="AP123" s="658"/>
      <c r="AQ123" s="658"/>
      <c r="AR123" s="658"/>
      <c r="AS123" s="658"/>
      <c r="AT123" s="658"/>
      <c r="AU123" s="658"/>
    </row>
    <row r="124" spans="1:47" ht="12.75" customHeight="1" thickTop="1" thickBot="1">
      <c r="A124" s="88"/>
      <c r="B124" s="3340">
        <v>36</v>
      </c>
      <c r="C124" s="2768"/>
      <c r="D124" s="2769" t="s">
        <v>1530</v>
      </c>
      <c r="E124" s="2769"/>
      <c r="F124" s="2769"/>
      <c r="G124" s="2751"/>
      <c r="H124" s="2768" t="s">
        <v>702</v>
      </c>
      <c r="I124" s="3362">
        <f>B124</f>
        <v>36</v>
      </c>
      <c r="J124" s="2628" t="str">
        <f>IF(OR(NOT(SchDTW_Used),Skip2343,Skip3343,Skip3540),"",SUM(L85,SchDTW_Line21))</f>
        <v/>
      </c>
      <c r="K124" s="2768"/>
      <c r="L124" s="3353"/>
      <c r="M124" s="3353"/>
      <c r="N124" s="3353"/>
      <c r="O124" s="3353"/>
      <c r="P124" s="3353"/>
      <c r="Q124" s="3222"/>
      <c r="R124" s="3034"/>
      <c r="S124" s="3224"/>
      <c r="T124" s="3334"/>
      <c r="U124" s="3344"/>
      <c r="V124" s="229"/>
      <c r="AD124" s="5358">
        <f>AG72</f>
        <v>0</v>
      </c>
      <c r="AE124" s="2572">
        <f>LOOKUP(AD124,'Tax Table'!$B$2:$B$2063,'Tax Table'!$D$2:$D$2063)</f>
        <v>0</v>
      </c>
      <c r="AF124" s="2572">
        <f>LOOKUP(AD124,'Tax Table'!$B$2:$B$2063,'Tax Table'!$E$2:$E$2063)</f>
        <v>0</v>
      </c>
      <c r="AG124" s="2572">
        <f>LOOKUP(AD124,'Tax Table'!$B$2:$B$2063,'Tax Table'!$F$2:$F$2063)</f>
        <v>0</v>
      </c>
      <c r="AH124" s="2573">
        <f>LOOKUP(AD124,'Tax Table'!$B$2:$B$2063,'Tax Table'!$G$2:$G$2063)</f>
        <v>0</v>
      </c>
      <c r="AO124" s="827"/>
      <c r="AP124" s="658"/>
      <c r="AQ124" s="658"/>
      <c r="AR124" s="658"/>
      <c r="AS124" s="658"/>
      <c r="AT124" s="658"/>
      <c r="AU124" s="658"/>
    </row>
    <row r="125" spans="1:47" ht="12.75" customHeight="1" thickBot="1">
      <c r="B125" s="3340">
        <v>37</v>
      </c>
      <c r="C125" s="2768"/>
      <c r="D125" s="2769" t="s">
        <v>2295</v>
      </c>
      <c r="E125" s="2769"/>
      <c r="F125" s="2769"/>
      <c r="G125" s="2751"/>
      <c r="H125" s="2768" t="s">
        <v>2296</v>
      </c>
      <c r="I125" s="3362">
        <f>B125</f>
        <v>37</v>
      </c>
      <c r="J125" s="2628" t="str">
        <f>IF(OR(NOT(SchDTW_Used),Skip2343,Skip3343,Skip3540),"",SchDTW_Line1)</f>
        <v/>
      </c>
      <c r="K125" s="2768"/>
      <c r="L125" s="3353"/>
      <c r="M125" s="3353"/>
      <c r="N125" s="3353"/>
      <c r="O125" s="3353"/>
      <c r="P125" s="3353"/>
      <c r="Q125" s="3222"/>
      <c r="R125" s="3034"/>
      <c r="S125" s="3224"/>
      <c r="T125" s="3334"/>
      <c r="U125" s="3344"/>
      <c r="V125" s="229"/>
      <c r="AD125" s="4640"/>
      <c r="AE125" s="2574" t="str">
        <f>IF(AD124&lt;SectA_a2,"---",IF(AD124&lt;=SectA_a3,ROUND(AD124*(SectA_b3/100),0)-SectA_d3,IF(AD124&lt;=SectA_a4,ROUND(AD124*(SectA_b4/100),0)-SectA_d4,IF(AD124&lt;=SectA_a5,ROUND(AD124*(SectA_b5/100),0)-SectA_d5,IF(AD124&lt;=SectA_a6,ROUND(AD124*(SectA_b6/100),0)-SectA_d6,ROUND(AD124*(SectA_b7/100),0)-SectA_d7)))))</f>
        <v>---</v>
      </c>
      <c r="AF125" s="2574" t="str">
        <f>IF(AD124&lt;SectB_a2,"---",IF(AD124&lt;=SectB_a3,ROUND(AD124*(SectB_b3/100),0)-SectB_d3,IF(AD124&lt;=SectB_a4,ROUND(AD124*(SectB_b4/100),0)-SectB_d4,IF(AD124&lt;=SectB_a5,ROUND(AD124*(SectB_b5/100),0)-SectB_d5,IF(AD124&lt;=SectB_a6,ROUND(AD124*(SectB_b6/100),0)-SectB_d6,ROUND(AD124*(SectB_b7/100),0)-SectB_d7)))))</f>
        <v>---</v>
      </c>
      <c r="AG125" s="2574" t="str">
        <f>IF(AD124&lt;SectC_a1,"---",IF(AD124&lt;=SectC_a2,ROUND(AD124*(SectC_b2/100),0)-SectC_d2,IF(AD124&lt;=SectC_a3,ROUND(AD124*(SectC_b3/100),0)-SectC_d3,IF(AD124&lt;=SectC_a4,ROUND(AD124*(SectC_b4/100),0)-SectC_d4,IF(AD124&lt;=SectC_a5,ROUND(AD124*(SectC_b5/100),0)-SectC_d5,ROUND(AD124*(SectC_b6/100),0)-SectC_d6)))))</f>
        <v>---</v>
      </c>
      <c r="AH125" s="2575" t="str">
        <f>IF(AD124&lt;SectD_a2,"---",IF(AD124&lt;=SectD_a3,ROUND(AD124*(SectD_b3/100),0)-SectD_d3,IF(AD124&lt;=SectD_a4,ROUND(AD124*(SectD_b4/100),0)-SectD_d4,IF(AD124&lt;=SectD_a5,ROUND(AD124*(SectD_b5/100),0)-SectD_d5,IF(AD124&lt;=SectD_a6,ROUND(AD124*(SectD_b6/100),0)-SectD_d6,ROUND(AD124*(SectD_b7/100),0)-SectD_d7)))))</f>
        <v>---</v>
      </c>
      <c r="AO125" s="827"/>
      <c r="AP125" s="658"/>
      <c r="AQ125" s="658"/>
      <c r="AR125" s="658"/>
      <c r="AS125" s="658"/>
      <c r="AT125" s="658"/>
      <c r="AU125" s="658"/>
    </row>
    <row r="126" spans="1:47" ht="12.75" customHeight="1" thickBot="1">
      <c r="A126" s="220"/>
      <c r="B126" s="3340">
        <v>38</v>
      </c>
      <c r="C126" s="2768"/>
      <c r="D126" s="2769" t="s">
        <v>2297</v>
      </c>
      <c r="E126" s="2769"/>
      <c r="F126" s="2769"/>
      <c r="G126" s="2751"/>
      <c r="H126" s="2751"/>
      <c r="I126" s="2751"/>
      <c r="J126" s="3222" t="s">
        <v>1825</v>
      </c>
      <c r="K126" s="3362">
        <f>B126</f>
        <v>38</v>
      </c>
      <c r="L126" s="2628" t="str">
        <f>IF(OR(NOT(SchDTW_Used),Skip2343,Skip3343,Skip3540),"",MAX(0,SUM(J124,-J125)))</f>
        <v/>
      </c>
      <c r="M126" s="3197"/>
      <c r="N126" s="3197"/>
      <c r="O126" s="3197"/>
      <c r="P126" s="3197"/>
      <c r="Q126" s="3222"/>
      <c r="R126" s="3034"/>
      <c r="S126" s="3224"/>
      <c r="T126" s="3334"/>
      <c r="U126" s="3344"/>
      <c r="V126" s="229"/>
      <c r="AD126" s="2576" t="str">
        <f>IF(File_Single&lt;&gt;"",AE124,IF(File_Marr_Joint&lt;&gt;"",AF124,IF(File_Marr_Sep&lt;&gt;"", AG124,IF(File_Head&lt;&gt;"",AH124,IF(File_Qual_Widow&lt;&gt;"",AF124,"Filing status?")))))</f>
        <v>Filing status?</v>
      </c>
      <c r="AE126" s="1061" t="str">
        <f>"&lt;100k"</f>
        <v>&lt;100k</v>
      </c>
      <c r="AF126" s="1061"/>
      <c r="AG126" s="1061"/>
      <c r="AH126" s="2577"/>
      <c r="AO126" s="827"/>
      <c r="AP126" s="658"/>
      <c r="AQ126" s="658"/>
      <c r="AR126" s="658"/>
      <c r="AS126" s="658"/>
      <c r="AT126" s="658"/>
      <c r="AU126" s="658"/>
    </row>
    <row r="127" spans="1:47" ht="12.75" customHeight="1" thickBot="1">
      <c r="A127" s="220"/>
      <c r="B127" s="3340">
        <v>39</v>
      </c>
      <c r="C127" s="2768"/>
      <c r="D127" s="2769" t="s">
        <v>2298</v>
      </c>
      <c r="E127" s="2769"/>
      <c r="F127" s="2769"/>
      <c r="G127" s="2751"/>
      <c r="H127" s="2751"/>
      <c r="I127" s="2751"/>
      <c r="J127" s="2771"/>
      <c r="K127" s="2771"/>
      <c r="L127" s="3222" t="s">
        <v>1876</v>
      </c>
      <c r="M127" s="8362">
        <f>B127</f>
        <v>39</v>
      </c>
      <c r="N127" s="8362"/>
      <c r="O127" s="2628" t="str">
        <f>IF(OR(NOT(SchDTW_Used),Skip2343,Skip3343,Skip3540),"",MAX(0,SUM(L123,-L126)))</f>
        <v/>
      </c>
      <c r="P127" s="3362"/>
      <c r="Q127" s="3222"/>
      <c r="R127" s="3034"/>
      <c r="S127" s="3224"/>
      <c r="T127" s="3334"/>
      <c r="U127" s="3344"/>
      <c r="V127" s="229"/>
      <c r="AD127" s="2579" t="str">
        <f>IF(File_Single&lt;&gt;"",AE125,IF(OR(File_Marr_Joint&lt;&gt;"",File_Qual_Widow&lt;&gt;""),AF125,IF(File_Marr_Sep&lt;&gt;"", AG125,IF(File_Head&lt;&gt;"",AH125,"Filing status?"))))</f>
        <v>Filing status?</v>
      </c>
      <c r="AE127" s="2580" t="str">
        <f>"&gt;=100k"</f>
        <v>&gt;=100k</v>
      </c>
      <c r="AF127" s="2580"/>
      <c r="AG127" s="2580" t="s">
        <v>672</v>
      </c>
      <c r="AH127" s="2581" t="str">
        <f>IF(NumFileStatusBoxes=0,"FilingStatus?",IF(AD124&gt;100000,ROUND(AD127,0),ROUND(AD126,0)))</f>
        <v>FilingStatus?</v>
      </c>
      <c r="AO127" s="827"/>
      <c r="AP127" s="658"/>
      <c r="AQ127" s="658"/>
      <c r="AR127" s="658"/>
      <c r="AS127" s="658"/>
      <c r="AT127" s="658"/>
      <c r="AU127" s="658"/>
    </row>
    <row r="128" spans="1:47" ht="12.75" customHeight="1" thickTop="1">
      <c r="A128" s="220"/>
      <c r="B128" s="3340">
        <v>40</v>
      </c>
      <c r="C128" s="2768"/>
      <c r="D128" s="2769" t="str">
        <f>"Multiply line 39 by "&amp;TEXT(T128,"0%")&amp;" ("&amp;TEXT(T128,"0.00")&amp;")"</f>
        <v>Multiply line 39 by 25% (0.25)</v>
      </c>
      <c r="E128" s="2769"/>
      <c r="F128" s="2769"/>
      <c r="G128" s="2751"/>
      <c r="H128" s="2751"/>
      <c r="I128" s="2751"/>
      <c r="J128" s="2771"/>
      <c r="K128" s="2771"/>
      <c r="L128" s="2771"/>
      <c r="M128" s="2771"/>
      <c r="N128" s="2771"/>
      <c r="O128" s="3222" t="s">
        <v>1121</v>
      </c>
      <c r="P128" s="2771"/>
      <c r="Q128" s="3362">
        <f>B128</f>
        <v>40</v>
      </c>
      <c r="R128" s="2628" t="str">
        <f>IF(OR(NOT(SchDTW_Used),Skip2343,Skip3343,Skip3540),"",ROUND((O127*T128),0))</f>
        <v/>
      </c>
      <c r="S128" s="3224"/>
      <c r="T128" s="3334">
        <v>0.25</v>
      </c>
      <c r="U128" s="3344"/>
      <c r="V128" s="229"/>
      <c r="AD128" s="839" t="s">
        <v>1549</v>
      </c>
      <c r="AE128" s="840" t="s">
        <v>1550</v>
      </c>
      <c r="AF128" s="841"/>
      <c r="AG128" s="2635">
        <f>IF(NOT(AG71),MIN(AG121,AG122))</f>
        <v>0</v>
      </c>
      <c r="AH128" s="842"/>
      <c r="AO128" s="827"/>
      <c r="AP128" s="658"/>
      <c r="AQ128" s="658"/>
      <c r="AR128" s="658"/>
      <c r="AS128" s="658"/>
      <c r="AT128" s="658"/>
      <c r="AU128" s="658"/>
    </row>
    <row r="129" spans="1:47" ht="12.75" customHeight="1">
      <c r="A129" s="220"/>
      <c r="B129" s="2802"/>
      <c r="C129" s="2768"/>
      <c r="D129" s="2826" t="s">
        <v>2299</v>
      </c>
      <c r="E129" s="2826"/>
      <c r="F129" s="2826"/>
      <c r="G129" s="2751"/>
      <c r="H129" s="2751"/>
      <c r="I129" s="2751"/>
      <c r="J129" s="2771"/>
      <c r="K129" s="2771"/>
      <c r="L129" s="2771"/>
      <c r="M129" s="2771"/>
      <c r="N129" s="2771"/>
      <c r="O129" s="3353"/>
      <c r="P129" s="2771"/>
      <c r="Q129" s="3222"/>
      <c r="R129" s="3361"/>
      <c r="S129" s="3224"/>
      <c r="T129" s="3334"/>
      <c r="U129" s="3356" t="b">
        <f>IF(OR(SchDLine18=0,SchDLine18=""),TRUE,FALSE)</f>
        <v>1</v>
      </c>
      <c r="V129" s="229"/>
      <c r="AO129" s="827"/>
      <c r="AP129" s="658"/>
      <c r="AQ129" s="658"/>
      <c r="AR129" s="658"/>
      <c r="AS129" s="658"/>
      <c r="AT129" s="658"/>
      <c r="AU129" s="658"/>
    </row>
    <row r="130" spans="1:47" ht="12.75" customHeight="1">
      <c r="A130" s="220"/>
      <c r="B130" s="3340">
        <v>41</v>
      </c>
      <c r="C130" s="2768"/>
      <c r="D130" s="2769" t="s">
        <v>2300</v>
      </c>
      <c r="E130" s="2769"/>
      <c r="F130" s="2769"/>
      <c r="G130" s="2751"/>
      <c r="H130" s="2751"/>
      <c r="I130" s="2751"/>
      <c r="J130" s="2771"/>
      <c r="K130" s="2771"/>
      <c r="L130" s="3222" t="s">
        <v>691</v>
      </c>
      <c r="M130" s="8362">
        <f>B130</f>
        <v>41</v>
      </c>
      <c r="N130" s="8362"/>
      <c r="O130" s="2628" t="str">
        <f>IF(OR(NOT(SchDTW_Used),Skip2343,Skip3343,Skip4143),"",SUM(SchDTW_Line21,O103,$O$116,O120,O127))</f>
        <v/>
      </c>
      <c r="P130" s="3362"/>
      <c r="Q130" s="3222"/>
      <c r="R130" s="3359"/>
      <c r="S130" s="3224"/>
      <c r="T130" s="3334"/>
      <c r="U130" s="3344" t="str">
        <f>IF(OR(NOT(SchDTW_Used),Skip2343,Skip3343,Skip3540),"",IF(Skip4143,"Skip lines 39 through 41.","Go to line 39."))</f>
        <v/>
      </c>
      <c r="V130" s="229"/>
      <c r="AO130" s="827"/>
      <c r="AP130" s="658"/>
      <c r="AQ130" s="658"/>
      <c r="AR130" s="658"/>
      <c r="AS130" s="658"/>
      <c r="AT130" s="658"/>
      <c r="AU130" s="658"/>
    </row>
    <row r="131" spans="1:47" ht="12.75" customHeight="1" thickBot="1">
      <c r="A131" s="220"/>
      <c r="B131" s="3340">
        <v>42</v>
      </c>
      <c r="C131" s="2768"/>
      <c r="D131" s="2769" t="s">
        <v>2301</v>
      </c>
      <c r="E131" s="2769"/>
      <c r="F131" s="2769"/>
      <c r="G131" s="2751"/>
      <c r="H131" s="2751"/>
      <c r="I131" s="2751"/>
      <c r="J131" s="2771"/>
      <c r="K131" s="2771"/>
      <c r="L131" s="3222" t="s">
        <v>668</v>
      </c>
      <c r="M131" s="8362">
        <f>B131</f>
        <v>42</v>
      </c>
      <c r="N131" s="8362"/>
      <c r="O131" s="2628" t="str">
        <f>IF(OR(NOT(SchDTW_Used),Skip2343,Skip3343,Skip4143),"",SUM(SchDTW_Line1,-O130))</f>
        <v/>
      </c>
      <c r="P131" s="3362"/>
      <c r="Q131" s="3222"/>
      <c r="R131" s="3363"/>
      <c r="S131" s="3224"/>
      <c r="T131" s="3334"/>
      <c r="U131" s="3344"/>
      <c r="V131" s="229"/>
      <c r="AD131" s="688" t="s">
        <v>2302</v>
      </c>
      <c r="AE131" s="84" t="s">
        <v>13</v>
      </c>
      <c r="AF131" s="84" t="s">
        <v>663</v>
      </c>
      <c r="AG131" s="84" t="s">
        <v>21</v>
      </c>
      <c r="AH131" s="84" t="s">
        <v>24</v>
      </c>
      <c r="AO131" s="827"/>
      <c r="AP131" s="658"/>
      <c r="AQ131" s="658"/>
      <c r="AR131" s="658"/>
      <c r="AS131" s="658"/>
      <c r="AT131" s="658"/>
      <c r="AU131" s="658"/>
    </row>
    <row r="132" spans="1:47" ht="12.75" customHeight="1" thickTop="1" thickBot="1">
      <c r="A132" s="220"/>
      <c r="B132" s="3340">
        <v>43</v>
      </c>
      <c r="C132" s="2768"/>
      <c r="D132" s="2769" t="str">
        <f>"Multiply line 42 by "&amp;TEXT(T132,"0%")&amp;" ("&amp;TEXT(T132,"0.00")&amp;")"</f>
        <v>Multiply line 42 by 28% (0.28)</v>
      </c>
      <c r="E132" s="2769"/>
      <c r="F132" s="2769"/>
      <c r="G132" s="2751"/>
      <c r="H132" s="2751"/>
      <c r="I132" s="2751"/>
      <c r="J132" s="2771"/>
      <c r="K132" s="2771"/>
      <c r="L132" s="2771"/>
      <c r="M132" s="2771"/>
      <c r="N132" s="2771"/>
      <c r="O132" s="3222" t="s">
        <v>1882</v>
      </c>
      <c r="P132" s="2771"/>
      <c r="Q132" s="3362">
        <f>B132</f>
        <v>43</v>
      </c>
      <c r="R132" s="2628" t="str">
        <f>IF(OR(NOT(SchDTW_Used),Skip2343,Skip3343,Skip4143),"",ROUND(O131*T132,0))</f>
        <v/>
      </c>
      <c r="S132" s="3224"/>
      <c r="T132" s="3334">
        <v>0.28000000000000003</v>
      </c>
      <c r="U132" s="148" t="s">
        <v>979</v>
      </c>
      <c r="V132" s="229"/>
      <c r="AD132" s="5358" t="str">
        <f>SchDTW_Line21</f>
        <v/>
      </c>
      <c r="AE132" s="2572" t="e">
        <f>LOOKUP(AD132,'Tax Table'!$B$2:$B$2063,'Tax Table'!$D$2:$D$2063)</f>
        <v>#N/A</v>
      </c>
      <c r="AF132" s="2572" t="e">
        <f>LOOKUP(AD132,'Tax Table'!$B$2:$B$2063,'Tax Table'!$E$2:$E$2063)</f>
        <v>#N/A</v>
      </c>
      <c r="AG132" s="2572" t="e">
        <f>LOOKUP(AD132,'Tax Table'!$B$2:$B$2063,'Tax Table'!$F$2:$F$2063)</f>
        <v>#N/A</v>
      </c>
      <c r="AH132" s="2573" t="e">
        <f>LOOKUP(AD132,'Tax Table'!$B$2:$B$2063,'Tax Table'!$G$2:$G$2063)</f>
        <v>#N/A</v>
      </c>
      <c r="AO132" s="827"/>
      <c r="AP132" s="658"/>
      <c r="AQ132" s="658"/>
      <c r="AR132" s="658"/>
      <c r="AS132" s="658"/>
      <c r="AT132" s="658"/>
      <c r="AU132" s="658"/>
    </row>
    <row r="133" spans="1:47" ht="12.75" customHeight="1" thickBot="1">
      <c r="A133" s="220"/>
      <c r="B133" s="3340">
        <v>44</v>
      </c>
      <c r="C133" s="2768"/>
      <c r="D133" s="2769" t="s">
        <v>2303</v>
      </c>
      <c r="E133" s="2769"/>
      <c r="F133" s="2769"/>
      <c r="G133" s="2751"/>
      <c r="H133" s="2751"/>
      <c r="I133" s="2751"/>
      <c r="J133" s="2771"/>
      <c r="K133" s="2771"/>
      <c r="L133" s="2771"/>
      <c r="M133" s="2771"/>
      <c r="N133" s="2771"/>
      <c r="O133" s="3222"/>
      <c r="P133" s="2771"/>
      <c r="Q133" s="3362"/>
      <c r="R133" s="3341"/>
      <c r="S133" s="3224"/>
      <c r="T133" s="3334"/>
      <c r="U133" s="148" t="s">
        <v>931</v>
      </c>
      <c r="V133" s="229"/>
      <c r="AD133" s="4640"/>
      <c r="AE133" s="2574" t="e">
        <f>IF(AD132&lt;SectA_a2,"---",IF(AD132&lt;=SectA_a3,ROUND(AD132*(SectA_b3/100),0)-SectA_d3,IF(AD132&lt;=SectA_a4,ROUND(AD132*(SectA_b4/100),0)-SectA_d4,IF(AD132&lt;=SectA_a5,ROUND(AD132*(SectA_b5/100),0)-SectA_d5,IF(AD132&lt;=SectA_a6,ROUND(AD132*(SectA_b6/100),0)-SectA_d6,ROUND(AD132*(SectA_b7/100),0)-SectA_d7)))))</f>
        <v>#VALUE!</v>
      </c>
      <c r="AF133" s="2574" t="e">
        <f>IF(AD132&lt;SectB_a2,"---",IF(AD132&lt;=SectB_a3,ROUND(AD132*(SectB_b3/100),0)-SectB_d3,IF(AD132&lt;=SectB_a4,ROUND(AD132*(SectB_b4/100),0)-SectB_d4,IF(AD132&lt;=SectB_a5,ROUND(AD132*(SectB_b5/100),0)-SectB_d5,IF(AD132&lt;=SectB_a6,ROUND(AD132*(SectB_b6/100),0)-SectB_d6,ROUND(AD132*(SectB_b7/100),0)-SectB_d7)))))</f>
        <v>#VALUE!</v>
      </c>
      <c r="AG133" s="2574" t="e">
        <f>IF(AD132&lt;SectC_a1,"---",IF(AD132&lt;=SectC_a2,ROUND(AD132*(SectC_b2/100),0)-SectC_d2,IF(AD132&lt;=SectC_a3,ROUND(AD132*(SectC_b3/100),0)-SectC_d3,IF(AD132&lt;=SectC_a4,ROUND(AD132*(SectC_b4/100),0)-SectC_d4,IF(AD132&lt;=SectC_a5,ROUND(AD132*(SectC_b5/100),0)-SectC_d5,ROUND(AD132*(SectC_b6/100),0)-SectC_d6)))))</f>
        <v>#VALUE!</v>
      </c>
      <c r="AH133" s="2575" t="e">
        <f>IF(AD132&lt;SectD_a2,"---",IF(AD132&lt;=SectD_a3,ROUND(AD132*(SectD_b3/100),0)-SectD_d3,IF(AD132&lt;=SectD_a4,ROUND(AD132*(SectD_b4/100),0)-SectD_d4,IF(AD132&lt;=SectD_a5,ROUND(AD132*(SectD_b5/100),0)-SectD_d5,IF(AD132&lt;=SectD_a6,ROUND(AD132*(SectD_b6/100),0)-SectD_d6,ROUND(AD132*(SectD_b7/100),0)-SectD_d7)))))</f>
        <v>#VALUE!</v>
      </c>
      <c r="AO133" s="827"/>
      <c r="AP133" s="658"/>
      <c r="AQ133" s="658"/>
      <c r="AR133" s="658"/>
      <c r="AS133" s="658"/>
      <c r="AT133" s="658"/>
      <c r="AU133" s="658"/>
    </row>
    <row r="134" spans="1:47" ht="12.75" customHeight="1" thickBot="1">
      <c r="A134" s="220"/>
      <c r="B134" s="3340"/>
      <c r="C134" s="2768"/>
      <c r="D134" s="2769" t="s">
        <v>2304</v>
      </c>
      <c r="E134" s="2769"/>
      <c r="F134" s="2769"/>
      <c r="G134" s="2751"/>
      <c r="H134" s="2751"/>
      <c r="I134" s="2751"/>
      <c r="J134" s="2771"/>
      <c r="K134" s="2771"/>
      <c r="L134" s="2768"/>
      <c r="M134" s="2768"/>
      <c r="N134" s="2768"/>
      <c r="O134" s="3222" t="s">
        <v>590</v>
      </c>
      <c r="P134" s="2768"/>
      <c r="Q134" s="3362">
        <f>B133</f>
        <v>44</v>
      </c>
      <c r="R134" s="2628" t="str">
        <f>IF(U134&lt;&gt;"",U134,IF(NOT(SchDTW_Used),"",AH135))</f>
        <v/>
      </c>
      <c r="S134" s="3224"/>
      <c r="T134" s="3334"/>
      <c r="U134" s="324"/>
      <c r="V134" s="229"/>
      <c r="AD134" s="2576" t="str">
        <f>IF(File_Single&lt;&gt;"",AE132,IF(File_Marr_Joint&lt;&gt;"",AF132,IF(File_Marr_Sep&lt;&gt;"", AG132,IF(File_Head&lt;&gt;"",AH132,IF(File_Qual_Widow&lt;&gt;"",AF132,"Filing status?")))))</f>
        <v>Filing status?</v>
      </c>
      <c r="AE134" s="1061" t="str">
        <f>"&lt;100k"</f>
        <v>&lt;100k</v>
      </c>
      <c r="AF134" s="1061"/>
      <c r="AG134" s="1061"/>
      <c r="AH134" s="2577"/>
      <c r="AO134" s="827"/>
      <c r="AP134" s="658"/>
      <c r="AQ134" s="658"/>
      <c r="AR134" s="658"/>
      <c r="AS134" s="658"/>
      <c r="AT134" s="658"/>
      <c r="AU134" s="658"/>
    </row>
    <row r="135" spans="1:47" ht="12.75" customHeight="1" thickBot="1">
      <c r="A135" s="88"/>
      <c r="B135" s="3340">
        <v>45</v>
      </c>
      <c r="C135" s="2768"/>
      <c r="D135" s="2769" t="s">
        <v>2305</v>
      </c>
      <c r="E135" s="2769"/>
      <c r="F135" s="2769"/>
      <c r="G135" s="2751"/>
      <c r="H135" s="2768"/>
      <c r="I135" s="2768"/>
      <c r="J135" s="2751"/>
      <c r="K135" s="2751"/>
      <c r="L135" s="2751"/>
      <c r="M135" s="2751"/>
      <c r="N135" s="2751"/>
      <c r="O135" s="3222" t="s">
        <v>1882</v>
      </c>
      <c r="P135" s="2751"/>
      <c r="Q135" s="3362">
        <f>B135</f>
        <v>45</v>
      </c>
      <c r="R135" s="2628" t="str">
        <f>IF(NOT(SchDTW_Used),"",SUM(R117,R121,R128,R132,R134))</f>
        <v/>
      </c>
      <c r="S135" s="3224"/>
      <c r="T135" s="3334"/>
      <c r="U135" s="3335"/>
      <c r="V135" s="229"/>
      <c r="AD135" s="2579" t="str">
        <f>IF(File_Single&lt;&gt;"",AE133,IF(OR(File_Marr_Joint&lt;&gt;"",File_Qual_Widow&lt;&gt;""),AF133,IF(File_Marr_Sep&lt;&gt;"", AG133,IF(File_Head&lt;&gt;"",AH133,"Filing status?"))))</f>
        <v>Filing status?</v>
      </c>
      <c r="AE135" s="2580" t="str">
        <f>"&gt;=100k"</f>
        <v>&gt;=100k</v>
      </c>
      <c r="AF135" s="2580"/>
      <c r="AG135" s="2580" t="s">
        <v>672</v>
      </c>
      <c r="AH135" s="2581" t="str">
        <f>IF(NumFileStatusBoxes=0,"FilingStatus?",IF(AD132&gt;100000,ROUND(AD135,0),ROUND(AD134,0)))</f>
        <v>FilingStatus?</v>
      </c>
      <c r="AO135" s="827"/>
      <c r="AP135" s="658"/>
      <c r="AQ135" s="658"/>
      <c r="AR135" s="658"/>
      <c r="AS135" s="658"/>
      <c r="AT135" s="658"/>
      <c r="AU135" s="658"/>
    </row>
    <row r="136" spans="1:47" ht="12.75" customHeight="1" thickTop="1">
      <c r="A136" s="88"/>
      <c r="B136" s="3340">
        <v>46</v>
      </c>
      <c r="C136" s="2768"/>
      <c r="D136" s="2769" t="s">
        <v>2306</v>
      </c>
      <c r="E136" s="2769"/>
      <c r="F136" s="2769"/>
      <c r="G136" s="2751"/>
      <c r="H136" s="2768"/>
      <c r="I136" s="2768"/>
      <c r="J136" s="2751"/>
      <c r="K136" s="2751"/>
      <c r="L136" s="2751"/>
      <c r="M136" s="2751"/>
      <c r="N136" s="2751"/>
      <c r="O136" s="3222"/>
      <c r="P136" s="2751"/>
      <c r="Q136" s="3222"/>
      <c r="R136" s="3341"/>
      <c r="S136" s="3224"/>
      <c r="T136" s="3334"/>
      <c r="U136" s="3335"/>
      <c r="V136" s="229"/>
      <c r="AO136" s="827"/>
      <c r="AP136" s="658"/>
      <c r="AQ136" s="658"/>
      <c r="AR136" s="658"/>
      <c r="AS136" s="658"/>
      <c r="AT136" s="658"/>
      <c r="AU136" s="658"/>
    </row>
    <row r="137" spans="1:47" ht="12.75" customHeight="1">
      <c r="A137" s="220"/>
      <c r="B137" s="3340"/>
      <c r="C137" s="2768"/>
      <c r="D137" s="2769" t="s">
        <v>2307</v>
      </c>
      <c r="E137" s="2769"/>
      <c r="F137" s="2769"/>
      <c r="G137" s="2751"/>
      <c r="H137" s="2751"/>
      <c r="I137" s="2751"/>
      <c r="J137" s="2771"/>
      <c r="K137" s="2771"/>
      <c r="L137" s="2768"/>
      <c r="M137" s="2768"/>
      <c r="N137" s="2768"/>
      <c r="O137" s="3222" t="s">
        <v>597</v>
      </c>
      <c r="P137" s="2768"/>
      <c r="Q137" s="3362">
        <f>B136</f>
        <v>46</v>
      </c>
      <c r="R137" s="2628" t="str">
        <f>IF(U137&lt;&gt;"",U137,IF(NOT(SchDTW_Used),"",AH144))</f>
        <v/>
      </c>
      <c r="S137" s="3224"/>
      <c r="T137" s="3334"/>
      <c r="U137" s="324"/>
      <c r="V137" s="229"/>
      <c r="AO137" s="827"/>
      <c r="AP137" s="658"/>
      <c r="AQ137" s="658"/>
      <c r="AR137" s="658"/>
      <c r="AS137" s="658"/>
      <c r="AT137" s="658"/>
      <c r="AU137" s="658"/>
    </row>
    <row r="138" spans="1:47" ht="12.75" customHeight="1">
      <c r="A138" s="88"/>
      <c r="B138" s="3340">
        <v>47</v>
      </c>
      <c r="C138" s="2768"/>
      <c r="D138" s="2826" t="s">
        <v>2308</v>
      </c>
      <c r="E138" s="2826"/>
      <c r="F138" s="2826"/>
      <c r="G138" s="2751"/>
      <c r="H138" s="2751"/>
      <c r="I138" s="2751"/>
      <c r="J138" s="2771"/>
      <c r="K138" s="2771"/>
      <c r="L138" s="2768"/>
      <c r="M138" s="2768"/>
      <c r="N138" s="2768"/>
      <c r="O138" s="3353"/>
      <c r="P138" s="2768"/>
      <c r="Q138" s="3222"/>
      <c r="R138" s="3034"/>
      <c r="S138" s="3224"/>
      <c r="T138" s="3334"/>
      <c r="U138" s="3335"/>
      <c r="V138" s="229"/>
      <c r="AO138" s="827"/>
      <c r="AP138" s="658"/>
      <c r="AQ138" s="658"/>
      <c r="AR138" s="658"/>
      <c r="AS138" s="658"/>
      <c r="AT138" s="658"/>
      <c r="AU138" s="658"/>
    </row>
    <row r="139" spans="1:47" ht="12.75" customHeight="1">
      <c r="A139" s="88"/>
      <c r="B139" s="3066"/>
      <c r="C139" s="2768"/>
      <c r="D139" s="2769" t="s">
        <v>2309</v>
      </c>
      <c r="E139" s="2826"/>
      <c r="F139" s="2826"/>
      <c r="G139" s="2751"/>
      <c r="H139" s="2751"/>
      <c r="I139" s="2751"/>
      <c r="J139" s="2771"/>
      <c r="K139" s="2771"/>
      <c r="L139" s="2768"/>
      <c r="M139" s="2768"/>
      <c r="N139" s="2768"/>
      <c r="O139" s="3353"/>
      <c r="P139" s="2768"/>
      <c r="Q139" s="3222"/>
      <c r="R139" s="3034"/>
      <c r="S139" s="3224"/>
      <c r="T139" s="3334"/>
      <c r="U139" s="3335"/>
      <c r="V139" s="229"/>
      <c r="AO139" s="827"/>
      <c r="AP139" s="658"/>
      <c r="AQ139" s="658"/>
      <c r="AR139" s="658"/>
      <c r="AS139" s="658"/>
      <c r="AT139" s="658"/>
      <c r="AU139" s="658"/>
    </row>
    <row r="140" spans="1:47" ht="12.75" customHeight="1" thickBot="1">
      <c r="A140" s="88"/>
      <c r="B140" s="3066"/>
      <c r="C140" s="2768"/>
      <c r="D140" s="2769" t="s">
        <v>2310</v>
      </c>
      <c r="E140" s="2826"/>
      <c r="F140" s="2826"/>
      <c r="G140" s="2751"/>
      <c r="H140" s="2751"/>
      <c r="I140" s="2751"/>
      <c r="J140" s="2771"/>
      <c r="K140" s="2771"/>
      <c r="L140" s="2768"/>
      <c r="M140" s="2768"/>
      <c r="N140" s="2768"/>
      <c r="O140" s="3353"/>
      <c r="P140" s="2768"/>
      <c r="Q140" s="3222"/>
      <c r="R140" s="3034"/>
      <c r="S140" s="3224"/>
      <c r="T140" s="3334"/>
      <c r="U140" s="3335"/>
      <c r="V140" s="229"/>
      <c r="AD140" s="688" t="s">
        <v>2311</v>
      </c>
      <c r="AE140" s="84" t="s">
        <v>13</v>
      </c>
      <c r="AF140" s="84" t="s">
        <v>663</v>
      </c>
      <c r="AG140" s="84" t="s">
        <v>21</v>
      </c>
      <c r="AH140" s="84" t="s">
        <v>24</v>
      </c>
      <c r="AO140" s="827"/>
      <c r="AP140" s="658"/>
      <c r="AQ140" s="658"/>
      <c r="AR140" s="658"/>
      <c r="AS140" s="658"/>
      <c r="AT140" s="658"/>
      <c r="AU140" s="658"/>
    </row>
    <row r="141" spans="1:47" ht="12" customHeight="1" thickTop="1" thickBot="1">
      <c r="A141" s="88"/>
      <c r="B141" s="2802"/>
      <c r="C141" s="2768"/>
      <c r="D141" s="2769" t="s">
        <v>5071</v>
      </c>
      <c r="E141" s="2769"/>
      <c r="F141" s="2769"/>
      <c r="G141" s="2751"/>
      <c r="H141" s="2751"/>
      <c r="I141" s="2751"/>
      <c r="J141" s="2771"/>
      <c r="K141" s="2771"/>
      <c r="L141" s="2768"/>
      <c r="M141" s="2768"/>
      <c r="N141" s="2768"/>
      <c r="O141" s="3222" t="s">
        <v>5072</v>
      </c>
      <c r="P141" s="2768"/>
      <c r="Q141" s="3362">
        <f>B138</f>
        <v>47</v>
      </c>
      <c r="R141" s="2628" t="str">
        <f>IF(U141&lt;&gt;"",U141,IF(NOT(SchDTW_Used),"",MIN(R135,R137)))</f>
        <v/>
      </c>
      <c r="S141" s="3224"/>
      <c r="T141" s="3334"/>
      <c r="U141" s="324"/>
      <c r="V141" s="229"/>
      <c r="AD141" s="5358" t="str">
        <f>SchDTW_Line1</f>
        <v/>
      </c>
      <c r="AE141" s="2572" t="e">
        <f>LOOKUP(AD141,'Tax Table'!$B$2:$B$2063,'Tax Table'!$D$2:$D$2063)</f>
        <v>#N/A</v>
      </c>
      <c r="AF141" s="2572" t="e">
        <f>LOOKUP(AD141,'Tax Table'!$B$2:$B$2063,'Tax Table'!$E$2:$E$2063)</f>
        <v>#N/A</v>
      </c>
      <c r="AG141" s="2572" t="e">
        <f>LOOKUP(AD141,'Tax Table'!$B$2:$B$2063,'Tax Table'!$F$2:$F$2063)</f>
        <v>#N/A</v>
      </c>
      <c r="AH141" s="2573" t="e">
        <f>LOOKUP(AD141,'Tax Table'!$B$2:$B$2063,'Tax Table'!$G$2:$G$2063)</f>
        <v>#N/A</v>
      </c>
      <c r="AO141" s="827"/>
      <c r="AP141" s="658"/>
      <c r="AQ141" s="658"/>
      <c r="AR141" s="658"/>
      <c r="AS141" s="658"/>
      <c r="AT141" s="658"/>
      <c r="AU141" s="658"/>
    </row>
    <row r="142" spans="1:47" ht="13.5" thickBot="1">
      <c r="A142" s="88"/>
      <c r="B142" s="2802"/>
      <c r="C142" s="2768"/>
      <c r="D142" s="3364"/>
      <c r="E142" s="3364"/>
      <c r="F142" s="3364"/>
      <c r="G142" s="3286"/>
      <c r="H142" s="3286"/>
      <c r="I142" s="3286"/>
      <c r="J142" s="3365"/>
      <c r="K142" s="3365"/>
      <c r="L142" s="3107"/>
      <c r="M142" s="3107"/>
      <c r="N142" s="3107"/>
      <c r="O142" s="3366"/>
      <c r="P142" s="3107"/>
      <c r="Q142" s="3222"/>
      <c r="R142" s="3222"/>
      <c r="S142" s="3224"/>
      <c r="T142" s="3334"/>
      <c r="U142" s="3335"/>
      <c r="V142" s="229"/>
      <c r="AD142" s="4640"/>
      <c r="AE142" s="2574" t="e">
        <f>IF(AD141&lt;SectA_a2,"---",IF(AD141&lt;=SectA_a3,ROUND(AD141*(SectA_b3/100),0)-SectA_d3,IF(AD141&lt;=SectA_a4,ROUND(AD141*(SectA_b4/100),0)-SectA_d4,IF(AD141&lt;=SectA_a5,ROUND(AD141*(SectA_b5/100),0)-SectA_d5,IF(AD141&lt;=SectA_a6,ROUND(AD141*(SectA_b6/100),0)-SectA_d6,ROUND(AD141*(SectA_b7/100),0)-SectA_d7)))))</f>
        <v>#VALUE!</v>
      </c>
      <c r="AF142" s="2574" t="e">
        <f>IF(AD141&lt;SectB_a2,"---",IF(AD141&lt;=SectB_a3,ROUND(AD141*(SectB_b3/100),0)-SectB_d3,IF(AD141&lt;=SectB_a4,ROUND(AD141*(SectB_b4/100),0)-SectB_d4,IF(AD141&lt;=SectB_a5,ROUND(AD141*(SectB_b5/100),0)-SectB_d5,IF(AD141&lt;=SectB_a6,ROUND(AD141*(SectB_b6/100),0)-SectB_d6,ROUND(AD141*(SectB_b7/100),0)-SectB_d7)))))</f>
        <v>#VALUE!</v>
      </c>
      <c r="AG142" s="2574" t="e">
        <f>IF(AD141&lt;SectC_a1,"---",IF(AD141&lt;=SectC_a2,ROUND(AD141*(SectC_b2/100),0)-SectC_d2,IF(AD141&lt;=SectC_a3,ROUND(AD141*(SectC_b3/100),0)-SectC_d3,IF(AD141&lt;=SectC_a4,ROUND(AD141*(SectC_b4/100),0)-SectC_d4,IF(AD141&lt;=SectC_a5,ROUND(AD141*(SectC_b5/100),0)-SectC_d5,ROUND(AD141*(SectC_b6/100),0)-SectC_d6)))))</f>
        <v>#VALUE!</v>
      </c>
      <c r="AH142" s="2575" t="e">
        <f>IF(AD141&lt;SectD_a2,"---",IF(AD141&lt;=SectD_a3,ROUND(AD141*(SectD_b3/100),0)-SectD_d3,IF(AD141&lt;=SectD_a4,ROUND(AD141*(SectD_b4/100),0)-SectD_d4,IF(AD141&lt;=SectD_a5,ROUND(AD141*(SectD_b5/100),0)-SectD_d5,IF(AD141&lt;=SectD_a6,ROUND(AD141*(SectD_b6/100),0)-SectD_d6,ROUND(AD141*(SectD_b7/100),0)-SectD_d7)))))</f>
        <v>#VALUE!</v>
      </c>
      <c r="AO142" s="827"/>
      <c r="AP142" s="658"/>
      <c r="AQ142" s="658"/>
      <c r="AR142" s="658"/>
      <c r="AS142" s="658"/>
      <c r="AT142" s="658"/>
      <c r="AU142" s="658"/>
    </row>
    <row r="143" spans="1:47" ht="16.5" thickBot="1">
      <c r="A143" s="88"/>
      <c r="B143" s="2802"/>
      <c r="C143" s="2768"/>
      <c r="D143" s="2769" t="s">
        <v>2312</v>
      </c>
      <c r="E143" s="2769"/>
      <c r="F143" s="2769"/>
      <c r="G143" s="2751"/>
      <c r="H143" s="2751"/>
      <c r="I143" s="2751"/>
      <c r="J143" s="2771"/>
      <c r="K143" s="2771"/>
      <c r="L143" s="2768"/>
      <c r="M143" s="2768"/>
      <c r="N143" s="2768"/>
      <c r="O143" s="3353"/>
      <c r="P143" s="2768"/>
      <c r="Q143" s="3222"/>
      <c r="R143" s="3034"/>
      <c r="S143" s="3224"/>
      <c r="T143" s="3334"/>
      <c r="U143" s="3335"/>
      <c r="V143" s="229"/>
      <c r="AD143" s="2576" t="str">
        <f>IF(File_Single&lt;&gt;"",AE141,IF(File_Marr_Joint&lt;&gt;"",AF141,IF(File_Marr_Sep&lt;&gt;"", AG141,IF(File_Head&lt;&gt;"",AH141,IF(File_Qual_Widow&lt;&gt;"",AF141,"Filing status?")))))</f>
        <v>Filing status?</v>
      </c>
      <c r="AE143" s="1061" t="str">
        <f>"&lt;100k"</f>
        <v>&lt;100k</v>
      </c>
      <c r="AF143" s="1061"/>
      <c r="AG143" s="1061"/>
      <c r="AH143" s="2577"/>
      <c r="AO143" s="827"/>
      <c r="AP143" s="658"/>
      <c r="AQ143" s="658"/>
      <c r="AR143" s="658"/>
      <c r="AS143" s="658"/>
      <c r="AT143" s="658"/>
      <c r="AU143" s="658"/>
    </row>
    <row r="144" spans="1:47" ht="14.25" customHeight="1" thickBot="1">
      <c r="A144" s="88"/>
      <c r="B144" s="2802"/>
      <c r="C144" s="2768"/>
      <c r="D144" s="2769" t="s">
        <v>2313</v>
      </c>
      <c r="E144" s="2769"/>
      <c r="F144" s="2769"/>
      <c r="G144" s="2751"/>
      <c r="H144" s="2751"/>
      <c r="I144" s="2751"/>
      <c r="J144" s="2771"/>
      <c r="K144" s="2771"/>
      <c r="L144" s="2768"/>
      <c r="M144" s="2768"/>
      <c r="N144" s="2768"/>
      <c r="O144" s="3353"/>
      <c r="P144" s="2768"/>
      <c r="Q144" s="3222"/>
      <c r="R144" s="3034"/>
      <c r="S144" s="3224"/>
      <c r="T144" s="3334"/>
      <c r="U144" s="3335"/>
      <c r="V144" s="1560"/>
      <c r="AD144" s="2579" t="str">
        <f>IF(File_Single&lt;&gt;"",AE142,IF(OR(File_Marr_Joint&lt;&gt;"",File_Qual_Widow&lt;&gt;""),AF142,IF(File_Marr_Sep&lt;&gt;"", AG142,IF(File_Head&lt;&gt;"",AH142,"Filing status?"))))</f>
        <v>Filing status?</v>
      </c>
      <c r="AE144" s="2580" t="str">
        <f>"&gt;=100k"</f>
        <v>&gt;=100k</v>
      </c>
      <c r="AF144" s="2580"/>
      <c r="AG144" s="2580" t="s">
        <v>672</v>
      </c>
      <c r="AH144" s="2581" t="str">
        <f>IF(NumFileStatusBoxes=0,"FilingStatus?",IF(AD141&gt;100000,ROUND(AD144,0),ROUND(AD143,0)))</f>
        <v>FilingStatus?</v>
      </c>
      <c r="AO144" s="827"/>
      <c r="AP144" s="658"/>
      <c r="AQ144" s="658"/>
      <c r="AR144" s="658"/>
      <c r="AS144" s="658"/>
      <c r="AT144" s="658"/>
      <c r="AU144" s="658"/>
    </row>
    <row r="145" spans="1:47" ht="12" customHeight="1" thickTop="1">
      <c r="A145" s="88"/>
      <c r="B145" s="2802"/>
      <c r="C145" s="2768"/>
      <c r="D145" s="2769" t="s">
        <v>2314</v>
      </c>
      <c r="E145" s="2769"/>
      <c r="F145" s="2769"/>
      <c r="G145" s="2751"/>
      <c r="H145" s="2751"/>
      <c r="I145" s="2751"/>
      <c r="J145" s="2771"/>
      <c r="K145" s="2771"/>
      <c r="L145" s="2768"/>
      <c r="M145" s="2768"/>
      <c r="N145" s="2768"/>
      <c r="O145" s="3353"/>
      <c r="P145" s="2768"/>
      <c r="Q145" s="3222"/>
      <c r="R145" s="3034"/>
      <c r="S145" s="3367"/>
      <c r="T145" s="3334"/>
      <c r="U145" s="3335"/>
      <c r="V145" s="1560"/>
      <c r="AO145" s="827"/>
      <c r="AP145" s="658"/>
      <c r="AQ145" s="658"/>
      <c r="AR145" s="658"/>
      <c r="AS145" s="658"/>
      <c r="AT145" s="658"/>
      <c r="AU145" s="658"/>
    </row>
    <row r="146" spans="1:47" ht="12" customHeight="1" thickBot="1">
      <c r="A146" s="88"/>
      <c r="B146" s="3368"/>
      <c r="C146" s="3369"/>
      <c r="D146" s="3370"/>
      <c r="E146" s="3370"/>
      <c r="F146" s="3370"/>
      <c r="G146" s="3371"/>
      <c r="H146" s="3369"/>
      <c r="I146" s="3369"/>
      <c r="J146" s="3371"/>
      <c r="K146" s="3371"/>
      <c r="L146" s="3371"/>
      <c r="M146" s="3371"/>
      <c r="N146" s="3371"/>
      <c r="O146" s="3371"/>
      <c r="P146" s="3371"/>
      <c r="Q146" s="3371"/>
      <c r="R146" s="3371"/>
      <c r="S146" s="3372"/>
      <c r="T146" s="3334"/>
      <c r="U146" s="3335"/>
      <c r="V146" s="1560"/>
      <c r="AO146" s="827"/>
      <c r="AP146" s="658"/>
      <c r="AQ146" s="658"/>
      <c r="AR146" s="658"/>
      <c r="AS146" s="658"/>
      <c r="AT146" s="658"/>
      <c r="AU146" s="658"/>
    </row>
    <row r="147" spans="1:47" ht="12" customHeight="1" thickTop="1">
      <c r="B147" s="226"/>
      <c r="C147" s="226"/>
      <c r="D147" s="247"/>
      <c r="E147" s="247"/>
      <c r="F147" s="247"/>
      <c r="G147" s="88"/>
      <c r="H147" s="88"/>
      <c r="I147" s="88"/>
      <c r="J147" s="3373"/>
      <c r="K147" s="3298"/>
      <c r="L147" s="3298"/>
      <c r="M147" s="3298"/>
      <c r="N147" s="3298"/>
      <c r="O147" s="3298"/>
      <c r="P147" s="3298"/>
      <c r="Q147" s="3298"/>
      <c r="R147" s="3298"/>
      <c r="S147" s="3298"/>
      <c r="T147" s="3374"/>
      <c r="U147" s="1560"/>
      <c r="V147" s="329"/>
      <c r="AO147" s="827"/>
      <c r="AP147" s="658"/>
      <c r="AQ147" s="658"/>
      <c r="AR147" s="658"/>
      <c r="AS147" s="658"/>
      <c r="AT147" s="658"/>
      <c r="AU147" s="658"/>
    </row>
    <row r="148" spans="1:47">
      <c r="B148" s="226"/>
      <c r="C148" s="226"/>
      <c r="D148" s="247"/>
      <c r="E148" s="247"/>
      <c r="F148" s="247"/>
      <c r="G148" s="88"/>
      <c r="H148" s="88"/>
      <c r="I148" s="88"/>
      <c r="J148" s="3298"/>
      <c r="K148" s="3298"/>
      <c r="L148" s="3298"/>
      <c r="M148" s="3298"/>
      <c r="N148" s="3298"/>
      <c r="O148" s="3298"/>
      <c r="P148" s="3298"/>
      <c r="Q148" s="3298"/>
      <c r="R148" s="3298"/>
      <c r="S148" s="3298"/>
      <c r="T148" s="3298"/>
      <c r="U148" s="1560"/>
      <c r="V148" s="329"/>
      <c r="AO148" s="827"/>
      <c r="AP148" s="658"/>
      <c r="AQ148" s="658"/>
      <c r="AR148" s="658"/>
      <c r="AS148" s="658"/>
      <c r="AT148" s="658"/>
      <c r="AU148" s="658"/>
    </row>
    <row r="149" spans="1:47" ht="13.5" thickBot="1">
      <c r="B149" s="1"/>
      <c r="C149" s="1"/>
      <c r="D149" s="12"/>
      <c r="E149" s="12"/>
      <c r="F149" s="12"/>
      <c r="J149" s="4"/>
      <c r="K149" s="4"/>
      <c r="L149" s="4"/>
      <c r="M149" s="4"/>
      <c r="N149" s="4"/>
      <c r="O149" s="4"/>
      <c r="P149" s="4"/>
      <c r="Q149" s="4"/>
      <c r="R149" s="4"/>
      <c r="S149" s="4"/>
      <c r="T149" s="4"/>
      <c r="U149" s="329"/>
      <c r="V149" s="329"/>
      <c r="AO149" s="827"/>
      <c r="AP149" s="658"/>
      <c r="AQ149" s="658"/>
      <c r="AR149" s="658"/>
      <c r="AS149" s="658"/>
      <c r="AT149" s="658"/>
      <c r="AU149" s="658"/>
    </row>
    <row r="150" spans="1:47" ht="14.25" thickTop="1" thickBot="1">
      <c r="D150" s="7255" t="s">
        <v>2195</v>
      </c>
      <c r="E150" s="8101"/>
      <c r="F150" s="8101"/>
      <c r="G150" s="8101"/>
      <c r="H150" s="8102"/>
      <c r="I150" s="143"/>
      <c r="J150" s="4"/>
      <c r="K150" s="4"/>
      <c r="L150" s="4"/>
      <c r="M150" s="4"/>
      <c r="N150" s="4"/>
      <c r="O150" s="4"/>
      <c r="P150" s="4"/>
      <c r="Q150" s="4"/>
      <c r="R150" s="4"/>
      <c r="S150" s="4"/>
      <c r="T150" s="329"/>
      <c r="U150" s="329"/>
      <c r="V150" s="329"/>
    </row>
    <row r="151" spans="1:47" ht="14.25" thickTop="1" thickBot="1">
      <c r="D151" s="12"/>
      <c r="E151" s="12"/>
      <c r="H151" s="4"/>
      <c r="I151" s="4"/>
      <c r="J151" s="4"/>
      <c r="K151" s="4"/>
      <c r="L151" s="4"/>
      <c r="M151" s="4"/>
      <c r="N151" s="4"/>
      <c r="O151" s="4"/>
      <c r="P151" s="4"/>
      <c r="Q151" s="4"/>
      <c r="R151" s="4"/>
      <c r="S151" s="4"/>
      <c r="T151" s="329"/>
      <c r="U151" s="329"/>
    </row>
    <row r="152" spans="1:47" ht="14.25" thickTop="1" thickBot="1">
      <c r="D152" s="7255" t="s">
        <v>2196</v>
      </c>
      <c r="E152" s="8101"/>
      <c r="F152" s="8101"/>
      <c r="G152" s="8101"/>
      <c r="H152" s="8102"/>
      <c r="I152" s="143"/>
      <c r="J152" s="4"/>
      <c r="K152" s="4"/>
      <c r="L152" s="4"/>
      <c r="M152" s="4"/>
      <c r="N152" s="4"/>
      <c r="O152" s="4"/>
      <c r="P152" s="4"/>
      <c r="Q152" s="4"/>
      <c r="R152" s="4"/>
      <c r="S152" s="4"/>
      <c r="T152" s="329"/>
    </row>
    <row r="153" spans="1:47" ht="13.5" thickTop="1"/>
  </sheetData>
  <sheetProtection algorithmName="SHA-512" hashValue="F5GSWG+1EJCAZsO1FM7I8ftyU1seC6fiXwPMlpaitz02lvUYBLhnMUcSsVfPPPtBLFLATFoM3fMF2JKNF3bfkw==" saltValue="hr0QwRAPHEWM5CcYXch4BQ==" spinCount="100000" sheet="1" formatCells="0" formatColumns="0" formatRows="0"/>
  <mergeCells count="31">
    <mergeCell ref="R9:R12"/>
    <mergeCell ref="U63:U64"/>
    <mergeCell ref="D150:H150"/>
    <mergeCell ref="D152:H152"/>
    <mergeCell ref="B66:C66"/>
    <mergeCell ref="B68:C68"/>
    <mergeCell ref="D78:H78"/>
    <mergeCell ref="D77:H77"/>
    <mergeCell ref="U65:U66"/>
    <mergeCell ref="U69:U70"/>
    <mergeCell ref="M20:N20"/>
    <mergeCell ref="M23:N23"/>
    <mergeCell ref="M29:N29"/>
    <mergeCell ref="M30:N30"/>
    <mergeCell ref="M81:N81"/>
    <mergeCell ref="M84:N84"/>
    <mergeCell ref="M86:N86"/>
    <mergeCell ref="M94:N94"/>
    <mergeCell ref="M102:N102"/>
    <mergeCell ref="M103:N103"/>
    <mergeCell ref="M107:N107"/>
    <mergeCell ref="M116:N116"/>
    <mergeCell ref="M120:N120"/>
    <mergeCell ref="M127:N127"/>
    <mergeCell ref="M130:N130"/>
    <mergeCell ref="M131:N131"/>
    <mergeCell ref="M37:N37"/>
    <mergeCell ref="M41:N41"/>
    <mergeCell ref="M47:N47"/>
    <mergeCell ref="M50:N50"/>
    <mergeCell ref="M56:N56"/>
  </mergeCells>
  <phoneticPr fontId="13" type="noConversion"/>
  <conditionalFormatting sqref="B60:B61">
    <cfRule type="expression" dxfId="2761" priority="5431">
      <formula>NOT(AND($Y$50,$Y$51))</formula>
    </cfRule>
    <cfRule type="expression" dxfId="2760" priority="5432">
      <formula>AND($Y$50,$Y$51)</formula>
    </cfRule>
  </conditionalFormatting>
  <conditionalFormatting sqref="B66:C66">
    <cfRule type="expression" dxfId="2759" priority="10">
      <formula>OR($AC$67,$AC$68)</formula>
    </cfRule>
  </conditionalFormatting>
  <conditionalFormatting sqref="B68:C68">
    <cfRule type="expression" dxfId="2758" priority="9">
      <formula>OR($AC$67,$AC$68)</formula>
    </cfRule>
  </conditionalFormatting>
  <conditionalFormatting sqref="B20:M20 B21:N22 B23:M23 B24:N24">
    <cfRule type="expression" dxfId="2757" priority="236">
      <formula>IF(NoColor,1,0)</formula>
    </cfRule>
  </conditionalFormatting>
  <conditionalFormatting sqref="B3:P4">
    <cfRule type="expression" dxfId="2756" priority="3">
      <formula>IF(NoColor,1,0)</formula>
    </cfRule>
  </conditionalFormatting>
  <conditionalFormatting sqref="B27:P28 B29:M30 O29:P30 B31:P31">
    <cfRule type="expression" dxfId="2755" priority="114">
      <formula>IF(NoColor,1,0)</formula>
    </cfRule>
  </conditionalFormatting>
  <conditionalFormatting sqref="B5:Q15">
    <cfRule type="expression" dxfId="2754" priority="24">
      <formula>IF(NoColor,1,0)</formula>
    </cfRule>
  </conditionalFormatting>
  <conditionalFormatting sqref="B25:R26">
    <cfRule type="expression" dxfId="2753" priority="115">
      <formula>IF(NoColor,1,0)</formula>
    </cfRule>
  </conditionalFormatting>
  <conditionalFormatting sqref="B32:R33">
    <cfRule type="expression" dxfId="2752" priority="111">
      <formula>IF(NoColor,1,0)</formula>
    </cfRule>
  </conditionalFormatting>
  <conditionalFormatting sqref="B16:S19">
    <cfRule type="expression" dxfId="2751" priority="39">
      <formula>IF(NoColor,1,0)</formula>
    </cfRule>
  </conditionalFormatting>
  <conditionalFormatting sqref="B36:S36 B37:M37 O37:S37 B38:S40 B41:M41 O41:S41 B42:S46 B47:M47 O47:S47 B48:S49 B50:M50 O50:S50 B51:S55 B56:M56 O56:S56 B57:S57">
    <cfRule type="expression" dxfId="2750" priority="101">
      <formula>IF(NoColor,1,0)</formula>
    </cfRule>
  </conditionalFormatting>
  <conditionalFormatting sqref="C60:C61">
    <cfRule type="expression" dxfId="2749" priority="407">
      <formula>IF($W61&gt;0,1,0)</formula>
    </cfRule>
  </conditionalFormatting>
  <conditionalFormatting sqref="C65">
    <cfRule type="expression" dxfId="2748" priority="12">
      <formula>IF(OR($W62&gt;0,$W64&gt;0,$W65&gt;0),TRUE,FALSE)</formula>
    </cfRule>
    <cfRule type="expression" dxfId="2747" priority="8">
      <formula>OR(B66,B68)</formula>
    </cfRule>
  </conditionalFormatting>
  <conditionalFormatting sqref="D91:D93">
    <cfRule type="expression" dxfId="2746" priority="17">
      <formula>IF(B91,0,1)</formula>
    </cfRule>
  </conditionalFormatting>
  <conditionalFormatting sqref="D98:D100">
    <cfRule type="expression" dxfId="2745" priority="30">
      <formula>IF(B98,0,1)</formula>
    </cfRule>
  </conditionalFormatting>
  <conditionalFormatting sqref="D109:D112">
    <cfRule type="expression" dxfId="2744" priority="341">
      <formula>IF(B109,0,1)</formula>
    </cfRule>
  </conditionalFormatting>
  <conditionalFormatting sqref="D144:D145">
    <cfRule type="expression" dxfId="2743" priority="340">
      <formula>IF(Form2555_Used,1,0)</formula>
    </cfRule>
  </conditionalFormatting>
  <conditionalFormatting sqref="E66">
    <cfRule type="expression" dxfId="2742" priority="11">
      <formula>$B$66</formula>
    </cfRule>
  </conditionalFormatting>
  <conditionalFormatting sqref="E68">
    <cfRule type="expression" dxfId="2741" priority="13" stopIfTrue="1">
      <formula>$B$68</formula>
    </cfRule>
  </conditionalFormatting>
  <conditionalFormatting sqref="J78:J79">
    <cfRule type="expression" dxfId="2740" priority="395">
      <formula>IF(NoColor,1,0)</formula>
    </cfRule>
  </conditionalFormatting>
  <conditionalFormatting sqref="J124:J125">
    <cfRule type="expression" dxfId="2739" priority="362">
      <formula>IF(NoColor,1,0)</formula>
    </cfRule>
  </conditionalFormatting>
  <conditionalFormatting sqref="L76">
    <cfRule type="expression" dxfId="2738" priority="397">
      <formula>IF(NoColor,1,0)</formula>
    </cfRule>
  </conditionalFormatting>
  <conditionalFormatting sqref="L80">
    <cfRule type="expression" dxfId="2737" priority="394">
      <formula>IF(NoColor,1,0)</formula>
    </cfRule>
  </conditionalFormatting>
  <conditionalFormatting sqref="L82:L83">
    <cfRule type="expression" dxfId="2736" priority="391">
      <formula>IF(NoColor,1,0)</formula>
    </cfRule>
  </conditionalFormatting>
  <conditionalFormatting sqref="L85">
    <cfRule type="expression" dxfId="2735" priority="389">
      <formula>IF(NoColor,1,0)</formula>
    </cfRule>
  </conditionalFormatting>
  <conditionalFormatting sqref="L87">
    <cfRule type="expression" dxfId="2734" priority="388">
      <formula>IF(NoColor,1,0)</formula>
    </cfRule>
  </conditionalFormatting>
  <conditionalFormatting sqref="L92">
    <cfRule type="expression" dxfId="2733" priority="384">
      <formula>IF(NoColor,1,0)</formula>
    </cfRule>
  </conditionalFormatting>
  <conditionalFormatting sqref="L95:L96">
    <cfRule type="expression" dxfId="2732" priority="381">
      <formula>IF(NoColor,1,0)</formula>
    </cfRule>
  </conditionalFormatting>
  <conditionalFormatting sqref="L99">
    <cfRule type="expression" dxfId="2731" priority="37">
      <formula>IF(NoColor,1,0)</formula>
    </cfRule>
  </conditionalFormatting>
  <conditionalFormatting sqref="L101">
    <cfRule type="expression" dxfId="2730" priority="27">
      <formula>IF(NoColor,1,0)</formula>
    </cfRule>
  </conditionalFormatting>
  <conditionalFormatting sqref="L105:L106">
    <cfRule type="expression" dxfId="2729" priority="377">
      <formula>IF(NoColor,1,0)</formula>
    </cfRule>
  </conditionalFormatting>
  <conditionalFormatting sqref="L111">
    <cfRule type="expression" dxfId="2728" priority="375">
      <formula>IF(NoColor,1,0)</formula>
    </cfRule>
  </conditionalFormatting>
  <conditionalFormatting sqref="L113:L115">
    <cfRule type="expression" dxfId="2727" priority="372">
      <formula>IF(NoColor,1,0)</formula>
    </cfRule>
  </conditionalFormatting>
  <conditionalFormatting sqref="L118">
    <cfRule type="expression" dxfId="2726" priority="369">
      <formula>IF(NoColor,1,0)</formula>
    </cfRule>
  </conditionalFormatting>
  <conditionalFormatting sqref="L123">
    <cfRule type="expression" dxfId="2725" priority="366">
      <formula>IF(NoColor,1,0)</formula>
    </cfRule>
  </conditionalFormatting>
  <conditionalFormatting sqref="L126">
    <cfRule type="expression" dxfId="2724" priority="361">
      <formula>IF(NoColor,1,0)</formula>
    </cfRule>
  </conditionalFormatting>
  <conditionalFormatting sqref="O18">
    <cfRule type="expression" dxfId="2722" priority="2626" stopIfTrue="1">
      <formula>IF(#REF!&lt;&gt;"",1,0)</formula>
    </cfRule>
    <cfRule type="expression" dxfId="2721" priority="2625">
      <formula>IF(R18&lt;0,1,0)</formula>
    </cfRule>
  </conditionalFormatting>
  <conditionalFormatting sqref="O81">
    <cfRule type="expression" dxfId="2720" priority="393">
      <formula>IF(NoColor,1,0)</formula>
    </cfRule>
  </conditionalFormatting>
  <conditionalFormatting sqref="O84">
    <cfRule type="expression" dxfId="2719" priority="390">
      <formula>IF(NoColor,1,0)</formula>
    </cfRule>
  </conditionalFormatting>
  <conditionalFormatting sqref="O86">
    <cfRule type="expression" dxfId="2718" priority="387">
      <formula>IF(NoColor,1,0)</formula>
    </cfRule>
  </conditionalFormatting>
  <conditionalFormatting sqref="O94">
    <cfRule type="expression" dxfId="2717" priority="383">
      <formula>IF(NoColor,1,0)</formula>
    </cfRule>
  </conditionalFormatting>
  <conditionalFormatting sqref="O102:O103">
    <cfRule type="expression" dxfId="2716" priority="379">
      <formula>IF(NoColor,1,0)</formula>
    </cfRule>
  </conditionalFormatting>
  <conditionalFormatting sqref="O107">
    <cfRule type="expression" dxfId="2715" priority="376">
      <formula>IF(NoColor,1,0)</formula>
    </cfRule>
  </conditionalFormatting>
  <conditionalFormatting sqref="O116">
    <cfRule type="expression" dxfId="2714" priority="371">
      <formula>IF(NoColor,1,0)</formula>
    </cfRule>
  </conditionalFormatting>
  <conditionalFormatting sqref="O120">
    <cfRule type="expression" dxfId="2713" priority="370">
      <formula>IF(NoColor,1,0)</formula>
    </cfRule>
  </conditionalFormatting>
  <conditionalFormatting sqref="O127">
    <cfRule type="expression" dxfId="2712" priority="360">
      <formula>IF(NoColor,1,0)</formula>
    </cfRule>
  </conditionalFormatting>
  <conditionalFormatting sqref="O130:O131">
    <cfRule type="expression" dxfId="2711" priority="357">
      <formula>IF(NoColor,1,0)</formula>
    </cfRule>
  </conditionalFormatting>
  <conditionalFormatting sqref="O20:P24">
    <cfRule type="expression" dxfId="2710" priority="2">
      <formula>IF(NoColor,1,0)</formula>
    </cfRule>
  </conditionalFormatting>
  <conditionalFormatting sqref="Q4 S10:S12 R13:S15 Q20:S21 Q27:S27 B34:S34">
    <cfRule type="expression" dxfId="2708" priority="400">
      <formula>IF(NoColor,1,0)</formula>
    </cfRule>
  </conditionalFormatting>
  <conditionalFormatting sqref="Q22:R24">
    <cfRule type="expression" dxfId="2705" priority="116">
      <formula>IF(NoColor,1,0)</formula>
    </cfRule>
  </conditionalFormatting>
  <conditionalFormatting sqref="Q28:R31">
    <cfRule type="expression" dxfId="2704" priority="112">
      <formula>IF(NoColor,1,0)</formula>
    </cfRule>
  </conditionalFormatting>
  <conditionalFormatting sqref="Q3:S3">
    <cfRule type="expression" dxfId="2703" priority="333">
      <formula>IF(NoColor,1,0)</formula>
    </cfRule>
  </conditionalFormatting>
  <conditionalFormatting sqref="R63">
    <cfRule type="expression" dxfId="2702" priority="23">
      <formula>NoColor</formula>
    </cfRule>
  </conditionalFormatting>
  <conditionalFormatting sqref="R74">
    <cfRule type="expression" dxfId="2701" priority="398">
      <formula>IF(NoColor,1,0)</formula>
    </cfRule>
  </conditionalFormatting>
  <conditionalFormatting sqref="R88:R89">
    <cfRule type="expression" dxfId="2700" priority="385">
      <formula>IF(NoColor,1,0)</formula>
    </cfRule>
  </conditionalFormatting>
  <conditionalFormatting sqref="R117">
    <cfRule type="expression" dxfId="2699" priority="368">
      <formula>IF(NoColor,1,0)</formula>
    </cfRule>
  </conditionalFormatting>
  <conditionalFormatting sqref="R121">
    <cfRule type="expression" dxfId="2698" priority="367">
      <formula>IF(NoColor,1,0)</formula>
    </cfRule>
  </conditionalFormatting>
  <conditionalFormatting sqref="R128">
    <cfRule type="expression" dxfId="2697" priority="359">
      <formula>IF(NoColor,1,0)</formula>
    </cfRule>
  </conditionalFormatting>
  <conditionalFormatting sqref="R132">
    <cfRule type="expression" dxfId="2696" priority="356">
      <formula>IF(NoColor,1,0)</formula>
    </cfRule>
  </conditionalFormatting>
  <conditionalFormatting sqref="R134:R135">
    <cfRule type="expression" dxfId="2695" priority="354">
      <formula>IF(NoColor,1,0)</formula>
    </cfRule>
  </conditionalFormatting>
  <conditionalFormatting sqref="R137">
    <cfRule type="expression" dxfId="2694" priority="353">
      <formula>IF(NoColor,1,0)</formula>
    </cfRule>
  </conditionalFormatting>
  <conditionalFormatting sqref="R141">
    <cfRule type="expression" dxfId="2693" priority="352">
      <formula>IF(NoColor,1,0)</formula>
    </cfRule>
  </conditionalFormatting>
  <conditionalFormatting sqref="R4:S9">
    <cfRule type="expression" dxfId="2692" priority="103">
      <formula>IF(NoColor,1,0)</formula>
    </cfRule>
  </conditionalFormatting>
  <conditionalFormatting sqref="S22:S26">
    <cfRule type="expression" dxfId="2691" priority="219">
      <formula>IF(NoColor,1,0)</formula>
    </cfRule>
  </conditionalFormatting>
  <conditionalFormatting sqref="S28:S33">
    <cfRule type="expression" dxfId="2690" priority="146">
      <formula>IF(NoColor,1,0)</formula>
    </cfRule>
  </conditionalFormatting>
  <conditionalFormatting sqref="U62">
    <cfRule type="cellIs" dxfId="2689" priority="418" stopIfTrue="1" operator="equal">
      <formula>"Yes"</formula>
    </cfRule>
  </conditionalFormatting>
  <conditionalFormatting sqref="U63:U64">
    <cfRule type="expression" dxfId="2688" priority="4">
      <formula>$AC$65</formula>
    </cfRule>
  </conditionalFormatting>
  <conditionalFormatting sqref="U65:U66">
    <cfRule type="expression" dxfId="2687" priority="6">
      <formula>AND(SchDTW_Used,NOT(AC72),SchD_Line1819_GT_0)</formula>
    </cfRule>
  </conditionalFormatting>
  <conditionalFormatting sqref="U67">
    <cfRule type="expression" dxfId="2686" priority="5">
      <formula>$AC$67</formula>
    </cfRule>
  </conditionalFormatting>
  <conditionalFormatting sqref="W9">
    <cfRule type="expression" dxfId="2685" priority="99">
      <formula>IF(NOT(X3),FALSE,IF(OR(NOT(X4),AND(NOT(X7),NOT(X8))),TRUE,FALSE))</formula>
    </cfRule>
  </conditionalFormatting>
  <conditionalFormatting sqref="Y9">
    <cfRule type="expression" dxfId="2684" priority="98">
      <formula>X9</formula>
    </cfRule>
    <cfRule type="expression" dxfId="2683" priority="97">
      <formula>NOT(X9)</formula>
    </cfRule>
  </conditionalFormatting>
  <conditionalFormatting sqref="AG72:AG115">
    <cfRule type="expression" dxfId="2682" priority="28">
      <formula>IF(NoColor,1,0)</formula>
    </cfRule>
  </conditionalFormatting>
  <conditionalFormatting sqref="AG121:AG122">
    <cfRule type="expression" dxfId="2681" priority="46">
      <formula>IF(NoColor,1,0)</formula>
    </cfRule>
  </conditionalFormatting>
  <conditionalFormatting sqref="AG128">
    <cfRule type="expression" dxfId="2680" priority="45">
      <formula>IF(NoColor,1,0)</formula>
    </cfRule>
  </conditionalFormatting>
  <hyperlinks>
    <hyperlink ref="D150:H150" r:id="rId1" display="Download Form 1040 Schedule D" xr:uid="{00000000-0004-0000-1F00-000000000000}"/>
    <hyperlink ref="D152:H152" r:id="rId2" display="Download Form 1040 Schedule D Instructions" xr:uid="{00000000-0004-0000-1F00-000001000000}"/>
  </hyperlinks>
  <pageMargins left="0.75" right="0.25" top="0.36" bottom="0.28999999999999998" header="0.36" footer="0.21"/>
  <pageSetup scale="74" fitToHeight="0" orientation="portrait" r:id="rId3"/>
  <rowBreaks count="2" manualBreakCount="2">
    <brk id="34" max="16383" man="1"/>
    <brk id="57" min="1" max="16" man="1"/>
  </rowBreaks>
  <drawing r:id="rId4"/>
  <extLst>
    <ext xmlns:x14="http://schemas.microsoft.com/office/spreadsheetml/2009/9/main" uri="{78C0D931-6437-407d-A8EE-F0AAD7539E65}">
      <x14:conditionalFormattings>
        <x14:conditionalFormatting xmlns:xm="http://schemas.microsoft.com/office/excel/2006/main">
          <x14:cfRule type="expression" priority="16" id="{F15D6716-A0A1-4901-90AB-D1968D537DEB}">
            <xm:f>'Table of Contents'!$A$37="D"</xm:f>
            <x14:dxf>
              <font>
                <color rgb="FFC00000"/>
              </font>
            </x14:dxf>
          </x14:cfRule>
          <xm:sqref>M2:N2</xm:sqref>
        </x14:conditionalFormatting>
        <x14:conditionalFormatting xmlns:xm="http://schemas.microsoft.com/office/excel/2006/main">
          <x14:cfRule type="expression" priority="1" id="{E1B32D12-00D1-49EC-B319-047260FEAA67}">
            <xm:f>'Table of Contents'!$A$37="D"</xm:f>
            <x14:dxf>
              <font>
                <color rgb="FFC00000"/>
              </font>
            </x14:dxf>
          </x14:cfRule>
          <xm:sqref>P2</xm:sqref>
        </x14:conditionalFormatting>
        <x14:conditionalFormatting xmlns:xm="http://schemas.microsoft.com/office/excel/2006/main">
          <x14:cfRule type="expression" priority="15" id="{ABF1BF04-7103-49D1-9644-FBDEC7469CBC}">
            <xm:f>'Table of Contents'!C37="D"</xm:f>
            <x14:dxf>
              <font>
                <b/>
                <i/>
                <color rgb="FFC00000"/>
              </font>
            </x14:dxf>
          </x14:cfRule>
          <xm:sqref>Q35</xm:sqref>
        </x14:conditionalFormatting>
        <x14:conditionalFormatting xmlns:xm="http://schemas.microsoft.com/office/excel/2006/main">
          <x14:cfRule type="expression" priority="14" id="{62ECBD9D-8319-4446-8575-CD06655038E3}">
            <xm:f>'Table of Contents'!C37="D"</xm:f>
            <x14:dxf>
              <font>
                <b/>
                <i/>
                <color rgb="FFC00000"/>
              </font>
            </x14:dxf>
          </x14:cfRule>
          <xm:sqref>Q59</xm:sqref>
        </x14:conditionalFormatting>
      </x14:conditionalFormatting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pageSetUpPr fitToPage="1"/>
  </sheetPr>
  <dimension ref="A1:BQ266"/>
  <sheetViews>
    <sheetView zoomScaleNormal="100" zoomScaleSheetLayoutView="100" workbookViewId="0"/>
  </sheetViews>
  <sheetFormatPr defaultColWidth="3.42578125" defaultRowHeight="12.75"/>
  <cols>
    <col min="2" max="2" width="3.85546875" customWidth="1"/>
    <col min="5" max="5" width="2.5703125" customWidth="1"/>
    <col min="6" max="6" width="4.28515625" customWidth="1"/>
    <col min="8" max="8" width="3.7109375" customWidth="1"/>
    <col min="9" max="10" width="2.85546875" customWidth="1"/>
    <col min="12" max="12" width="4" customWidth="1"/>
    <col min="13" max="14" width="3" customWidth="1"/>
    <col min="15" max="18" width="2.7109375" customWidth="1"/>
    <col min="19" max="19" width="4.5703125" customWidth="1"/>
    <col min="20" max="25" width="3.28515625" customWidth="1"/>
    <col min="26" max="29" width="2.7109375" customWidth="1"/>
    <col min="32" max="33" width="3.7109375" customWidth="1"/>
    <col min="34" max="34" width="3.5703125" customWidth="1"/>
    <col min="36" max="36" width="4" customWidth="1"/>
    <col min="43" max="43" width="3.42578125" customWidth="1"/>
    <col min="44" max="46" width="10.28515625" customWidth="1"/>
    <col min="47" max="47" width="3.85546875" customWidth="1"/>
    <col min="48" max="55" width="10.28515625" hidden="1" customWidth="1"/>
    <col min="56" max="56" width="10.140625" hidden="1" customWidth="1"/>
    <col min="57" max="57" width="10.28515625" hidden="1" customWidth="1"/>
    <col min="59" max="59" width="10.7109375" style="816" customWidth="1"/>
    <col min="60" max="69" width="10.7109375" style="815" customWidth="1"/>
  </cols>
  <sheetData>
    <row r="1" spans="1:69" ht="21.75" customHeight="1">
      <c r="A1" s="1277"/>
      <c r="B1" s="1277"/>
      <c r="C1" s="4749" t="s">
        <v>2315</v>
      </c>
      <c r="D1" s="1277"/>
      <c r="E1" s="1277"/>
      <c r="F1" s="1277"/>
      <c r="G1" s="1277"/>
      <c r="H1" s="1277"/>
      <c r="I1" s="1277"/>
      <c r="J1" s="1277"/>
      <c r="K1" s="1277"/>
      <c r="L1" s="1277"/>
      <c r="M1" s="1277"/>
      <c r="N1" s="1277"/>
      <c r="O1" s="1277"/>
      <c r="P1" s="1277"/>
      <c r="Q1" s="1277"/>
      <c r="R1" s="1277"/>
      <c r="S1" s="1277"/>
      <c r="T1" s="1277"/>
      <c r="U1" s="1277"/>
      <c r="V1" s="1277"/>
      <c r="W1" s="1277"/>
      <c r="X1" s="1277"/>
      <c r="Y1" s="1277"/>
      <c r="Z1" s="1277"/>
      <c r="AA1" s="1277"/>
      <c r="AB1" s="1277"/>
      <c r="AC1" s="1277"/>
      <c r="AD1" s="1277"/>
      <c r="AE1" s="1277"/>
      <c r="AF1" s="1277"/>
      <c r="AG1" s="1277"/>
      <c r="AH1" s="1277"/>
      <c r="AI1" s="8621" t="str">
        <f>IF('Table of Contents'!A38="D","DRAFT","")</f>
        <v/>
      </c>
      <c r="AJ1" s="8621"/>
      <c r="AK1" s="8621"/>
      <c r="AL1" s="8621"/>
      <c r="AM1" s="8621"/>
      <c r="AN1" s="8621"/>
      <c r="AO1" s="8621"/>
      <c r="AP1" s="1277"/>
      <c r="BG1" s="768" t="s">
        <v>223</v>
      </c>
      <c r="BH1" s="658"/>
      <c r="BI1" s="658"/>
      <c r="BJ1" s="658"/>
      <c r="BK1" s="658"/>
      <c r="BL1" s="658"/>
      <c r="BM1" s="658"/>
      <c r="BN1" s="658"/>
      <c r="BO1" s="658"/>
      <c r="BP1" s="658"/>
    </row>
    <row r="2" spans="1:69" ht="18" customHeight="1">
      <c r="A2" s="1277"/>
      <c r="B2" s="8448" t="s">
        <v>2316</v>
      </c>
      <c r="C2" s="8449"/>
      <c r="D2" s="8449"/>
      <c r="E2" s="8449"/>
      <c r="F2" s="8449"/>
      <c r="G2" s="8450"/>
      <c r="H2" s="4750"/>
      <c r="I2" s="253"/>
      <c r="J2" s="253"/>
      <c r="K2" s="253"/>
      <c r="L2" s="253"/>
      <c r="M2" s="2329"/>
      <c r="N2" s="253"/>
      <c r="O2" s="253"/>
      <c r="P2" s="253"/>
      <c r="Q2" s="253"/>
      <c r="R2" s="253"/>
      <c r="S2" s="253"/>
      <c r="T2" s="253"/>
      <c r="U2" s="253"/>
      <c r="V2" s="253"/>
      <c r="W2" s="253"/>
      <c r="X2" s="253"/>
      <c r="Y2" s="253"/>
      <c r="Z2" s="253"/>
      <c r="AA2" s="253"/>
      <c r="AB2" s="253"/>
      <c r="AC2" s="253"/>
      <c r="AD2" s="253"/>
      <c r="AE2" s="253"/>
      <c r="AF2" s="253"/>
      <c r="AG2" s="253"/>
      <c r="AH2" s="253"/>
      <c r="AI2" s="8578" t="str">
        <f>IF(AND('Table of Contents'!A38="D",AP2=""),"DRAFT","OMB No. 1545-0074")</f>
        <v>OMB No. 1545-0074</v>
      </c>
      <c r="AJ2" s="8458"/>
      <c r="AK2" s="8458"/>
      <c r="AL2" s="8458"/>
      <c r="AM2" s="8458"/>
      <c r="AN2" s="8458"/>
      <c r="AO2" s="8458"/>
      <c r="AP2" s="770"/>
      <c r="BG2" s="795" t="s">
        <v>289</v>
      </c>
      <c r="BH2" s="658"/>
      <c r="BI2" s="658"/>
      <c r="BJ2" s="658"/>
      <c r="BK2" s="658"/>
      <c r="BL2" s="658"/>
      <c r="BM2" s="658"/>
      <c r="BN2" s="658"/>
      <c r="BO2" s="658"/>
      <c r="BP2" s="658"/>
    </row>
    <row r="3" spans="1:69" ht="25.5" customHeight="1">
      <c r="A3" s="1277"/>
      <c r="B3" s="8581" t="s">
        <v>1815</v>
      </c>
      <c r="C3" s="8582"/>
      <c r="D3" s="8582"/>
      <c r="E3" s="8582"/>
      <c r="F3" s="8582"/>
      <c r="G3" s="8583"/>
      <c r="H3" s="4751" t="s">
        <v>2317</v>
      </c>
      <c r="I3" s="4752"/>
      <c r="J3" s="4752"/>
      <c r="K3" s="4752"/>
      <c r="L3" s="4752"/>
      <c r="M3" s="4752"/>
      <c r="N3" s="4752"/>
      <c r="O3" s="4752"/>
      <c r="P3" s="4752"/>
      <c r="Q3" s="4752"/>
      <c r="R3" s="4752"/>
      <c r="S3" s="4752"/>
      <c r="T3" s="4752"/>
      <c r="U3" s="4752"/>
      <c r="V3" s="4752"/>
      <c r="W3" s="4752"/>
      <c r="X3" s="4752"/>
      <c r="Y3" s="4752"/>
      <c r="Z3" s="4752"/>
      <c r="AA3" s="4752"/>
      <c r="AB3" s="4752"/>
      <c r="AC3" s="4752"/>
      <c r="AD3" s="4752"/>
      <c r="AE3" s="4752"/>
      <c r="AF3" s="4752"/>
      <c r="AG3" s="4752"/>
      <c r="AH3" s="4753"/>
      <c r="AI3" s="8586">
        <f>TaxYear</f>
        <v>2025</v>
      </c>
      <c r="AJ3" s="8587"/>
      <c r="AK3" s="8587"/>
      <c r="AL3" s="8587"/>
      <c r="AM3" s="8587"/>
      <c r="AN3" s="8587"/>
      <c r="AO3" s="8587"/>
      <c r="AP3" s="1277"/>
      <c r="BG3" s="769"/>
      <c r="BH3" s="658"/>
      <c r="BI3" s="658"/>
      <c r="BJ3" s="658"/>
      <c r="BK3" s="658"/>
      <c r="BL3" s="658"/>
      <c r="BM3" s="658"/>
      <c r="BN3" s="658"/>
      <c r="BO3" s="658"/>
      <c r="BP3" s="658"/>
    </row>
    <row r="4" spans="1:69">
      <c r="A4" s="1277"/>
      <c r="B4" s="7613" t="s">
        <v>2318</v>
      </c>
      <c r="C4" s="7925"/>
      <c r="D4" s="7925"/>
      <c r="E4" s="7925"/>
      <c r="F4" s="7925"/>
      <c r="G4" s="8579"/>
      <c r="H4" s="4443" t="str">
        <f>"(From rental real estate, royalties, partnerships, S corporations, estates, trusts, REMICs, etc.)"</f>
        <v>(From rental real estate, royalties, partnerships, S corporations, estates, trusts, REMICs, etc.)</v>
      </c>
      <c r="I4" s="4033"/>
      <c r="J4" s="4033"/>
      <c r="K4" s="4033"/>
      <c r="L4" s="4033"/>
      <c r="M4" s="4033"/>
      <c r="N4" s="4033"/>
      <c r="O4" s="4033"/>
      <c r="P4" s="4033"/>
      <c r="Q4" s="4033"/>
      <c r="R4" s="4033"/>
      <c r="S4" s="4033"/>
      <c r="T4" s="4754"/>
      <c r="U4" s="4033"/>
      <c r="V4" s="4033"/>
      <c r="W4" s="4033"/>
      <c r="X4" s="4033"/>
      <c r="Y4" s="4033"/>
      <c r="Z4" s="4033"/>
      <c r="AA4" s="4033"/>
      <c r="AB4" s="4033"/>
      <c r="AC4" s="4033"/>
      <c r="AD4" s="4033"/>
      <c r="AE4" s="4033"/>
      <c r="AF4" s="4033"/>
      <c r="AG4" s="4033"/>
      <c r="AH4" s="4033"/>
      <c r="AI4" s="8588"/>
      <c r="AJ4" s="8589"/>
      <c r="AK4" s="8589"/>
      <c r="AL4" s="8589"/>
      <c r="AM4" s="8589"/>
      <c r="AN4" s="8589"/>
      <c r="AO4" s="8589"/>
      <c r="AP4" s="1277"/>
      <c r="BG4" s="769"/>
      <c r="BH4" s="658"/>
      <c r="BI4" s="658"/>
      <c r="BJ4" s="658"/>
      <c r="BK4" s="658"/>
      <c r="BL4" s="658"/>
      <c r="BM4" s="658"/>
      <c r="BN4" s="658"/>
      <c r="BO4" s="658"/>
      <c r="BP4" s="658"/>
    </row>
    <row r="5" spans="1:69">
      <c r="A5" s="1277"/>
      <c r="B5" s="7613"/>
      <c r="C5" s="7925"/>
      <c r="D5" s="7925"/>
      <c r="E5" s="7925"/>
      <c r="F5" s="7925"/>
      <c r="G5" s="8579"/>
      <c r="H5" s="341"/>
      <c r="I5" s="253"/>
      <c r="J5" s="253"/>
      <c r="K5" s="253"/>
      <c r="L5" s="253"/>
      <c r="M5" s="253"/>
      <c r="N5" s="253"/>
      <c r="O5" s="253"/>
      <c r="P5" s="253"/>
      <c r="Q5" s="253"/>
      <c r="R5" s="253"/>
      <c r="S5" s="253"/>
      <c r="T5" s="733" t="s">
        <v>2319</v>
      </c>
      <c r="U5" s="253"/>
      <c r="V5" s="253"/>
      <c r="W5" s="253"/>
      <c r="X5" s="253"/>
      <c r="Y5" s="253"/>
      <c r="Z5" s="253"/>
      <c r="AA5" s="253"/>
      <c r="AB5" s="253"/>
      <c r="AC5" s="253"/>
      <c r="AD5" s="253"/>
      <c r="AE5" s="253"/>
      <c r="AF5" s="253"/>
      <c r="AG5" s="253"/>
      <c r="AH5" s="253"/>
      <c r="AI5" s="4755"/>
      <c r="AJ5" s="8584" t="s">
        <v>2320</v>
      </c>
      <c r="AK5" s="8370"/>
      <c r="AL5" s="8370"/>
      <c r="AM5" s="8370"/>
      <c r="AN5" s="1861"/>
      <c r="AO5" s="1861"/>
      <c r="AP5" s="1277"/>
      <c r="BG5" s="769"/>
      <c r="BH5" s="658"/>
      <c r="BI5" s="658"/>
      <c r="BJ5" s="658"/>
      <c r="BK5" s="658"/>
      <c r="BL5" s="658"/>
      <c r="BM5" s="658"/>
      <c r="BN5" s="658"/>
      <c r="BO5" s="658"/>
      <c r="BP5" s="658"/>
    </row>
    <row r="6" spans="1:69" ht="15.75" customHeight="1" thickBot="1">
      <c r="A6" s="1277"/>
      <c r="B6" s="7926"/>
      <c r="C6" s="7926"/>
      <c r="D6" s="7926"/>
      <c r="E6" s="7926"/>
      <c r="F6" s="7926"/>
      <c r="G6" s="8580"/>
      <c r="H6" s="4756" t="s">
        <v>2321</v>
      </c>
      <c r="I6" s="2879"/>
      <c r="J6" s="2879"/>
      <c r="K6" s="2879"/>
      <c r="L6" s="2879"/>
      <c r="M6" s="2879"/>
      <c r="N6" s="2879"/>
      <c r="O6" s="2879"/>
      <c r="P6" s="2879"/>
      <c r="Q6" s="2879"/>
      <c r="R6" s="2879"/>
      <c r="S6" s="2879"/>
      <c r="T6" s="2879"/>
      <c r="U6" s="2879"/>
      <c r="V6" s="2879"/>
      <c r="W6" s="2879"/>
      <c r="X6" s="2879"/>
      <c r="Y6" s="2879"/>
      <c r="Z6" s="2879"/>
      <c r="AA6" s="2879"/>
      <c r="AB6" s="2879"/>
      <c r="AC6" s="2879"/>
      <c r="AD6" s="2879"/>
      <c r="AE6" s="2879"/>
      <c r="AF6" s="2879"/>
      <c r="AG6" s="2879"/>
      <c r="AH6" s="2879"/>
      <c r="AI6" s="4757"/>
      <c r="AJ6" s="8585"/>
      <c r="AK6" s="8585"/>
      <c r="AL6" s="8585"/>
      <c r="AM6" s="8585"/>
      <c r="AN6" s="8593">
        <v>13</v>
      </c>
      <c r="AO6" s="8593"/>
      <c r="AP6" s="1277"/>
      <c r="BG6" s="769"/>
      <c r="BH6" s="658"/>
      <c r="BI6" s="658"/>
      <c r="BJ6" s="658"/>
      <c r="BK6" s="658"/>
      <c r="BL6" s="658"/>
      <c r="BM6" s="658"/>
      <c r="BN6" s="658"/>
      <c r="BO6" s="658"/>
      <c r="BP6" s="658"/>
    </row>
    <row r="7" spans="1:69">
      <c r="A7" s="1277"/>
      <c r="B7" s="344" t="s">
        <v>1918</v>
      </c>
      <c r="C7" s="253"/>
      <c r="D7" s="253"/>
      <c r="E7" s="253"/>
      <c r="F7" s="253"/>
      <c r="G7" s="253"/>
      <c r="H7" s="253"/>
      <c r="I7" s="253"/>
      <c r="J7" s="253"/>
      <c r="K7" s="253"/>
      <c r="L7" s="253"/>
      <c r="M7" s="253"/>
      <c r="N7" s="253"/>
      <c r="O7" s="253"/>
      <c r="P7" s="253"/>
      <c r="Q7" s="253"/>
      <c r="R7" s="253"/>
      <c r="S7" s="253"/>
      <c r="T7" s="253"/>
      <c r="U7" s="253"/>
      <c r="V7" s="253"/>
      <c r="W7" s="253"/>
      <c r="X7" s="253"/>
      <c r="Y7" s="253"/>
      <c r="Z7" s="253"/>
      <c r="AA7" s="253"/>
      <c r="AB7" s="253"/>
      <c r="AC7" s="253"/>
      <c r="AD7" s="253"/>
      <c r="AE7" s="253"/>
      <c r="AF7" s="253"/>
      <c r="AG7" s="8598" t="s">
        <v>549</v>
      </c>
      <c r="AH7" s="8599"/>
      <c r="AI7" s="8599"/>
      <c r="AJ7" s="8599"/>
      <c r="AK7" s="8599"/>
      <c r="AL7" s="8599"/>
      <c r="AM7" s="8599"/>
      <c r="AN7" s="8599"/>
      <c r="AO7" s="8599"/>
      <c r="AP7" s="1277"/>
      <c r="BG7" s="769"/>
      <c r="BH7" s="658"/>
      <c r="BI7" s="658"/>
      <c r="BJ7" s="658"/>
      <c r="BK7" s="658"/>
      <c r="BL7" s="658"/>
      <c r="BM7" s="658"/>
      <c r="BN7" s="658"/>
      <c r="BO7" s="658"/>
      <c r="BP7" s="658"/>
    </row>
    <row r="8" spans="1:69" ht="9.75" customHeight="1">
      <c r="A8" s="1277"/>
      <c r="B8" s="7600" t="str">
        <f>Names</f>
        <v/>
      </c>
      <c r="C8" s="7601"/>
      <c r="D8" s="7601"/>
      <c r="E8" s="7601"/>
      <c r="F8" s="7601"/>
      <c r="G8" s="7601"/>
      <c r="H8" s="7601"/>
      <c r="I8" s="7601"/>
      <c r="J8" s="7601"/>
      <c r="K8" s="7601"/>
      <c r="L8" s="7601"/>
      <c r="M8" s="7601"/>
      <c r="N8" s="7601"/>
      <c r="O8" s="7601"/>
      <c r="P8" s="7601"/>
      <c r="Q8" s="7601"/>
      <c r="R8" s="7601"/>
      <c r="S8" s="7601"/>
      <c r="T8" s="7601"/>
      <c r="U8" s="7601"/>
      <c r="V8" s="7601"/>
      <c r="W8" s="7601"/>
      <c r="X8" s="7601"/>
      <c r="Y8" s="7601"/>
      <c r="Z8" s="7601"/>
      <c r="AA8" s="7601"/>
      <c r="AB8" s="7601"/>
      <c r="AC8" s="7601"/>
      <c r="AD8" s="7601"/>
      <c r="AE8" s="7601"/>
      <c r="AF8" s="7602"/>
      <c r="AG8" s="8594">
        <f>IF(NoSSN,"",SS_Yours)</f>
        <v>1010001</v>
      </c>
      <c r="AH8" s="8595"/>
      <c r="AI8" s="8595"/>
      <c r="AJ8" s="8595"/>
      <c r="AK8" s="8595"/>
      <c r="AL8" s="8595"/>
      <c r="AM8" s="8595"/>
      <c r="AN8" s="8595"/>
      <c r="AO8" s="8595"/>
      <c r="AP8" s="1277"/>
      <c r="BG8" s="769"/>
      <c r="BH8" s="658"/>
      <c r="BI8" s="658"/>
      <c r="BJ8" s="658"/>
      <c r="BK8" s="658"/>
      <c r="BL8" s="658"/>
      <c r="BM8" s="658"/>
      <c r="BN8" s="658"/>
      <c r="BO8" s="658"/>
      <c r="BP8" s="658"/>
    </row>
    <row r="9" spans="1:69" ht="9.75" customHeight="1">
      <c r="A9" s="1277"/>
      <c r="B9" s="7603"/>
      <c r="C9" s="7603"/>
      <c r="D9" s="7603"/>
      <c r="E9" s="7603"/>
      <c r="F9" s="7603"/>
      <c r="G9" s="7603"/>
      <c r="H9" s="7603"/>
      <c r="I9" s="7603"/>
      <c r="J9" s="7603"/>
      <c r="K9" s="7603"/>
      <c r="L9" s="7603"/>
      <c r="M9" s="7603"/>
      <c r="N9" s="7603"/>
      <c r="O9" s="7603"/>
      <c r="P9" s="7603"/>
      <c r="Q9" s="7603"/>
      <c r="R9" s="7603"/>
      <c r="S9" s="7603"/>
      <c r="T9" s="7603"/>
      <c r="U9" s="7603"/>
      <c r="V9" s="7603"/>
      <c r="W9" s="7603"/>
      <c r="X9" s="7603"/>
      <c r="Y9" s="7603"/>
      <c r="Z9" s="7603"/>
      <c r="AA9" s="7603"/>
      <c r="AB9" s="7603"/>
      <c r="AC9" s="7603"/>
      <c r="AD9" s="7603"/>
      <c r="AE9" s="7603"/>
      <c r="AF9" s="7604"/>
      <c r="AG9" s="8596"/>
      <c r="AH9" s="8597"/>
      <c r="AI9" s="8597"/>
      <c r="AJ9" s="8597"/>
      <c r="AK9" s="8597"/>
      <c r="AL9" s="8597"/>
      <c r="AM9" s="8597"/>
      <c r="AN9" s="8597"/>
      <c r="AO9" s="8597"/>
      <c r="AP9" s="1277"/>
      <c r="BG9" s="769"/>
      <c r="BH9" s="658"/>
      <c r="BI9" s="658"/>
      <c r="BJ9" s="658"/>
      <c r="BK9" s="658"/>
      <c r="BL9" s="658"/>
      <c r="BM9" s="658"/>
      <c r="BN9" s="658"/>
      <c r="BO9" s="658"/>
      <c r="BP9" s="658"/>
    </row>
    <row r="10" spans="1:69" s="1405" customFormat="1" ht="17.25" customHeight="1">
      <c r="A10" s="2119"/>
      <c r="B10" s="8427" t="s">
        <v>780</v>
      </c>
      <c r="C10" s="8427"/>
      <c r="D10" s="8428"/>
      <c r="E10" s="2761"/>
      <c r="F10" s="4758" t="s">
        <v>2322</v>
      </c>
      <c r="G10" s="2761"/>
      <c r="H10" s="2761"/>
      <c r="I10" s="2761"/>
      <c r="J10" s="2761"/>
      <c r="K10" s="2761"/>
      <c r="L10" s="2761"/>
      <c r="M10" s="2761"/>
      <c r="N10" s="2761"/>
      <c r="O10" s="2761"/>
      <c r="P10" s="2761"/>
      <c r="Q10" s="2761"/>
      <c r="R10" s="2761"/>
      <c r="S10" s="2761"/>
      <c r="T10" s="2761"/>
      <c r="U10" s="2761"/>
      <c r="V10" s="2761"/>
      <c r="W10" s="2761"/>
      <c r="X10" s="2354"/>
      <c r="Y10" s="2761"/>
      <c r="Z10" s="2761"/>
      <c r="AA10" s="2761"/>
      <c r="AB10" s="2761"/>
      <c r="AC10" s="2761"/>
      <c r="AD10" s="2761"/>
      <c r="AE10" s="2761"/>
      <c r="AF10" s="2761"/>
      <c r="AG10" s="2761"/>
      <c r="AH10" s="2761"/>
      <c r="AI10" s="2761"/>
      <c r="AJ10" s="2761"/>
      <c r="AK10" s="2761"/>
      <c r="AL10" s="2761"/>
      <c r="AM10" s="2761"/>
      <c r="AN10" s="2761"/>
      <c r="AO10" s="2761"/>
      <c r="AP10" s="1277"/>
      <c r="BG10" s="769"/>
      <c r="BH10" s="658"/>
      <c r="BI10" s="658"/>
      <c r="BJ10" s="658"/>
      <c r="BK10" s="658"/>
      <c r="BL10" s="658"/>
      <c r="BM10" s="658"/>
      <c r="BN10" s="658"/>
      <c r="BO10" s="658"/>
      <c r="BP10" s="658"/>
      <c r="BQ10" s="815"/>
    </row>
    <row r="11" spans="1:69" ht="17.25" customHeight="1">
      <c r="A11" s="1277"/>
      <c r="B11" s="4759"/>
      <c r="C11" s="4759"/>
      <c r="D11" s="4654"/>
      <c r="E11" s="1990"/>
      <c r="F11" s="511" t="s">
        <v>2323</v>
      </c>
      <c r="G11" s="4082"/>
      <c r="H11" s="4082"/>
      <c r="I11" s="4082"/>
      <c r="J11" s="4082"/>
      <c r="K11" s="4082"/>
      <c r="L11" s="4082"/>
      <c r="M11" s="1990"/>
      <c r="N11" s="4082"/>
      <c r="O11" s="4082"/>
      <c r="P11" s="4082"/>
      <c r="Q11" s="4082"/>
      <c r="R11" s="4082"/>
      <c r="S11" s="4082"/>
      <c r="T11" s="4082"/>
      <c r="U11" s="4082"/>
      <c r="V11" s="4082"/>
      <c r="W11" s="4082"/>
      <c r="X11" s="4082"/>
      <c r="Y11" s="4082"/>
      <c r="Z11" s="4082"/>
      <c r="AA11" s="4082"/>
      <c r="AB11" s="4082"/>
      <c r="AC11" s="4082"/>
      <c r="AD11" s="1990"/>
      <c r="AE11" s="4082"/>
      <c r="AF11" s="4082"/>
      <c r="AG11" s="4082"/>
      <c r="AH11" s="4082"/>
      <c r="AI11" s="4082"/>
      <c r="AJ11" s="4082"/>
      <c r="AK11" s="4082"/>
      <c r="AL11" s="4082"/>
      <c r="AM11" s="4082"/>
      <c r="AN11" s="4082"/>
      <c r="AO11" s="4082"/>
      <c r="AP11" s="1277"/>
      <c r="BG11" s="769"/>
      <c r="BH11" s="658"/>
      <c r="BI11" s="658"/>
      <c r="BJ11" s="658"/>
      <c r="BK11" s="658"/>
      <c r="BL11" s="658"/>
      <c r="BM11" s="658"/>
      <c r="BN11" s="658"/>
      <c r="BO11" s="658"/>
      <c r="BP11" s="658"/>
    </row>
    <row r="12" spans="1:69" ht="15.75">
      <c r="A12" s="1277"/>
      <c r="B12" s="4760"/>
      <c r="C12" s="4760"/>
      <c r="D12" s="4761"/>
      <c r="E12" s="1999"/>
      <c r="F12" s="4252" t="s">
        <v>6222</v>
      </c>
      <c r="G12" s="4762"/>
      <c r="H12" s="4762"/>
      <c r="I12" s="4762"/>
      <c r="J12" s="4762"/>
      <c r="K12" s="4762"/>
      <c r="L12" s="4762"/>
      <c r="M12" s="1999"/>
      <c r="N12" s="4762"/>
      <c r="O12" s="4762"/>
      <c r="P12" s="4762"/>
      <c r="Q12" s="4762"/>
      <c r="R12" s="4762"/>
      <c r="S12" s="4762"/>
      <c r="T12" s="4762"/>
      <c r="U12" s="4762"/>
      <c r="V12" s="4762"/>
      <c r="W12" s="4762"/>
      <c r="X12" s="4762"/>
      <c r="Y12" s="4762"/>
      <c r="Z12" s="4762"/>
      <c r="AA12" s="4762"/>
      <c r="AB12" s="4762"/>
      <c r="AC12" s="4762"/>
      <c r="AD12" s="1999"/>
      <c r="AE12" s="4762"/>
      <c r="AF12" s="4762"/>
      <c r="AG12" s="4762"/>
      <c r="AH12" s="4762"/>
      <c r="AI12" s="4762"/>
      <c r="AJ12" s="4762"/>
      <c r="AK12" s="4762"/>
      <c r="AL12" s="4762"/>
      <c r="AM12" s="4762"/>
      <c r="AN12" s="4762"/>
      <c r="AO12" s="4762"/>
      <c r="AP12" s="1277"/>
      <c r="BG12" s="769"/>
      <c r="BH12" s="658"/>
      <c r="BI12" s="658"/>
      <c r="BJ12" s="658"/>
      <c r="BK12" s="658"/>
      <c r="BL12" s="658"/>
      <c r="BM12" s="658"/>
      <c r="BN12" s="658"/>
      <c r="BO12" s="658"/>
      <c r="BP12" s="658"/>
    </row>
    <row r="13" spans="1:69" ht="15.75">
      <c r="A13" s="1277"/>
      <c r="B13" s="8558" t="s">
        <v>510</v>
      </c>
      <c r="C13" s="8600"/>
      <c r="D13" s="3772" t="str">
        <f>"Did you make any payments in "&amp;TaxYear&amp;" that would require you to file Form(s) 1099?  See instructions."</f>
        <v>Did you make any payments in 2025 that would require you to file Form(s) 1099?  See instructions.</v>
      </c>
      <c r="E13" s="4082"/>
      <c r="F13" s="4082"/>
      <c r="G13" s="4082"/>
      <c r="H13" s="4082"/>
      <c r="I13" s="4082"/>
      <c r="J13" s="4082"/>
      <c r="K13" s="4082"/>
      <c r="L13" s="4082"/>
      <c r="M13" s="4082"/>
      <c r="N13" s="4082"/>
      <c r="O13" s="4082"/>
      <c r="P13" s="4082"/>
      <c r="Q13" s="4082"/>
      <c r="R13" s="4082"/>
      <c r="S13" s="4082"/>
      <c r="T13" s="4082"/>
      <c r="U13" s="4082"/>
      <c r="V13" s="4082"/>
      <c r="W13" s="4082"/>
      <c r="X13" s="4082"/>
      <c r="Y13" s="4082"/>
      <c r="Z13" s="4082"/>
      <c r="AA13" s="4082"/>
      <c r="AB13" s="4082"/>
      <c r="AC13" s="4082"/>
      <c r="AD13" s="4082"/>
      <c r="AE13" s="4082"/>
      <c r="AF13" s="4082"/>
      <c r="AG13" s="4082"/>
      <c r="AH13" s="4082"/>
      <c r="AI13" s="4082"/>
      <c r="AJ13" s="276"/>
      <c r="AK13" s="1059" t="s">
        <v>2324</v>
      </c>
      <c r="AL13" s="4082"/>
      <c r="AM13" s="276"/>
      <c r="AN13" s="1059" t="s">
        <v>2325</v>
      </c>
      <c r="AO13" s="4082"/>
      <c r="AP13" s="1277"/>
      <c r="BG13" s="769"/>
      <c r="BH13" s="658"/>
      <c r="BI13" s="658"/>
      <c r="BJ13" s="658"/>
      <c r="BK13" s="658"/>
      <c r="BL13" s="658"/>
      <c r="BM13" s="658"/>
      <c r="BN13" s="658"/>
      <c r="BO13" s="658"/>
      <c r="BP13" s="658"/>
    </row>
    <row r="14" spans="1:69" ht="15.75">
      <c r="A14" s="1277"/>
      <c r="B14" s="8590" t="s">
        <v>516</v>
      </c>
      <c r="C14" s="8063"/>
      <c r="D14" s="3801" t="s">
        <v>4975</v>
      </c>
      <c r="E14" s="4762"/>
      <c r="F14" s="4762"/>
      <c r="G14" s="4762"/>
      <c r="H14" s="4762"/>
      <c r="I14" s="4762"/>
      <c r="J14" s="4762"/>
      <c r="K14" s="4762"/>
      <c r="L14" s="4762"/>
      <c r="M14" s="4762"/>
      <c r="N14" s="4762"/>
      <c r="O14" s="4762"/>
      <c r="P14" s="4762"/>
      <c r="Q14" s="4762"/>
      <c r="R14" s="4762"/>
      <c r="S14" s="4762"/>
      <c r="T14" s="4762"/>
      <c r="U14" s="4762"/>
      <c r="V14" s="4762"/>
      <c r="W14" s="4762"/>
      <c r="X14" s="4762"/>
      <c r="Y14" s="4762"/>
      <c r="Z14" s="4762"/>
      <c r="AA14" s="4762"/>
      <c r="AB14" s="4762"/>
      <c r="AC14" s="4762"/>
      <c r="AD14" s="4762"/>
      <c r="AE14" s="4762"/>
      <c r="AF14" s="4762"/>
      <c r="AG14" s="4762"/>
      <c r="AH14" s="4762"/>
      <c r="AI14" s="4762"/>
      <c r="AJ14" s="276"/>
      <c r="AK14" s="2001" t="s">
        <v>2324</v>
      </c>
      <c r="AL14" s="4762"/>
      <c r="AM14" s="276"/>
      <c r="AN14" s="2001" t="s">
        <v>2325</v>
      </c>
      <c r="AO14" s="4762"/>
      <c r="AP14" s="1277"/>
      <c r="BG14" s="769"/>
      <c r="BH14" s="658"/>
      <c r="BI14" s="658"/>
      <c r="BJ14" s="658"/>
      <c r="BK14" s="658"/>
      <c r="BL14" s="658"/>
      <c r="BM14" s="658"/>
      <c r="BN14" s="658"/>
      <c r="BO14" s="658"/>
      <c r="BP14" s="658"/>
    </row>
    <row r="15" spans="1:69" s="4766" customFormat="1" ht="18.75" customHeight="1">
      <c r="A15" s="4763"/>
      <c r="B15" s="8591" t="s">
        <v>333</v>
      </c>
      <c r="C15" s="8592"/>
      <c r="D15" s="4764" t="s">
        <v>2326</v>
      </c>
      <c r="E15" s="4765"/>
      <c r="F15" s="4765"/>
      <c r="G15" s="4765"/>
      <c r="H15" s="4765"/>
      <c r="I15" s="4765"/>
      <c r="J15" s="4765"/>
      <c r="K15" s="4765"/>
      <c r="L15" s="4765"/>
      <c r="M15" s="4765"/>
      <c r="N15" s="4765"/>
      <c r="O15" s="4765"/>
      <c r="P15" s="4765"/>
      <c r="Q15" s="4765"/>
      <c r="R15" s="4765"/>
      <c r="S15" s="4765"/>
      <c r="T15" s="4765"/>
      <c r="U15" s="4765"/>
      <c r="V15" s="4765"/>
      <c r="W15" s="4765"/>
      <c r="X15" s="4765"/>
      <c r="Y15" s="4765"/>
      <c r="Z15" s="4765"/>
      <c r="AA15" s="4765"/>
      <c r="AB15" s="4765"/>
      <c r="AC15" s="4765"/>
      <c r="AD15" s="4765"/>
      <c r="AE15" s="4765"/>
      <c r="AF15" s="4765"/>
      <c r="AG15" s="4765"/>
      <c r="AH15" s="4765"/>
      <c r="AI15" s="4765"/>
      <c r="AJ15" s="4765"/>
      <c r="AK15" s="4765"/>
      <c r="AL15" s="4765"/>
      <c r="AM15" s="4765"/>
      <c r="AN15" s="4765"/>
      <c r="AO15" s="4765"/>
      <c r="AP15" s="4763"/>
      <c r="BG15" s="1425"/>
      <c r="BH15" s="1426"/>
      <c r="BI15" s="1426"/>
      <c r="BJ15" s="1426"/>
      <c r="BK15" s="1426"/>
      <c r="BL15" s="1426"/>
      <c r="BM15" s="1426"/>
      <c r="BN15" s="1426"/>
      <c r="BO15" s="1426"/>
      <c r="BP15" s="1426"/>
      <c r="BQ15" s="1427"/>
    </row>
    <row r="16" spans="1:69" ht="15.75">
      <c r="A16" s="1277"/>
      <c r="B16" s="8557" t="s">
        <v>510</v>
      </c>
      <c r="C16" s="8469"/>
      <c r="D16" s="8560"/>
      <c r="E16" s="8021"/>
      <c r="F16" s="8021"/>
      <c r="G16" s="8021"/>
      <c r="H16" s="8021"/>
      <c r="I16" s="8021"/>
      <c r="J16" s="8021"/>
      <c r="K16" s="8021"/>
      <c r="L16" s="8021"/>
      <c r="M16" s="8021"/>
      <c r="N16" s="8021"/>
      <c r="O16" s="8021"/>
      <c r="P16" s="8021"/>
      <c r="Q16" s="8021"/>
      <c r="R16" s="8021"/>
      <c r="S16" s="8021"/>
      <c r="T16" s="8021"/>
      <c r="U16" s="8021"/>
      <c r="V16" s="8021"/>
      <c r="W16" s="8021"/>
      <c r="X16" s="8021"/>
      <c r="Y16" s="8021"/>
      <c r="Z16" s="8021"/>
      <c r="AA16" s="8021"/>
      <c r="AB16" s="8021"/>
      <c r="AC16" s="8021"/>
      <c r="AD16" s="8021"/>
      <c r="AE16" s="8021"/>
      <c r="AF16" s="8021"/>
      <c r="AG16" s="8021"/>
      <c r="AH16" s="8021"/>
      <c r="AI16" s="8021"/>
      <c r="AJ16" s="8021"/>
      <c r="AK16" s="8021"/>
      <c r="AL16" s="8021"/>
      <c r="AM16" s="8021"/>
      <c r="AN16" s="8021"/>
      <c r="AO16" s="8021"/>
      <c r="AP16" s="1277"/>
      <c r="BG16" s="769"/>
      <c r="BH16" s="658"/>
      <c r="BI16" s="658"/>
      <c r="BJ16" s="658"/>
      <c r="BK16" s="658"/>
      <c r="BL16" s="658"/>
      <c r="BM16" s="658"/>
      <c r="BN16" s="658"/>
      <c r="BO16" s="658"/>
      <c r="BP16" s="658"/>
    </row>
    <row r="17" spans="1:69" ht="15.75">
      <c r="A17" s="1277"/>
      <c r="B17" s="8557" t="s">
        <v>516</v>
      </c>
      <c r="C17" s="8469"/>
      <c r="D17" s="8560"/>
      <c r="E17" s="8021"/>
      <c r="F17" s="8021"/>
      <c r="G17" s="8021"/>
      <c r="H17" s="8021"/>
      <c r="I17" s="8021"/>
      <c r="J17" s="8021"/>
      <c r="K17" s="8021"/>
      <c r="L17" s="8021"/>
      <c r="M17" s="8021"/>
      <c r="N17" s="8021"/>
      <c r="O17" s="8021"/>
      <c r="P17" s="8021"/>
      <c r="Q17" s="8021"/>
      <c r="R17" s="8021"/>
      <c r="S17" s="8021"/>
      <c r="T17" s="8021"/>
      <c r="U17" s="8021"/>
      <c r="V17" s="8021"/>
      <c r="W17" s="8021"/>
      <c r="X17" s="8021"/>
      <c r="Y17" s="8021"/>
      <c r="Z17" s="8021"/>
      <c r="AA17" s="8021"/>
      <c r="AB17" s="8021"/>
      <c r="AC17" s="8021"/>
      <c r="AD17" s="8021"/>
      <c r="AE17" s="8021"/>
      <c r="AF17" s="8021"/>
      <c r="AG17" s="8021"/>
      <c r="AH17" s="8021"/>
      <c r="AI17" s="8021"/>
      <c r="AJ17" s="8021"/>
      <c r="AK17" s="8021"/>
      <c r="AL17" s="8021"/>
      <c r="AM17" s="8021"/>
      <c r="AN17" s="8021"/>
      <c r="AO17" s="8021"/>
      <c r="AP17" s="1277"/>
      <c r="BG17" s="769"/>
      <c r="BH17" s="658"/>
      <c r="BI17" s="658"/>
      <c r="BJ17" s="658"/>
      <c r="BK17" s="658"/>
      <c r="BL17" s="658"/>
      <c r="BM17" s="658"/>
      <c r="BN17" s="658"/>
      <c r="BO17" s="658"/>
      <c r="BP17" s="658"/>
    </row>
    <row r="18" spans="1:69" ht="15.75">
      <c r="A18" s="1277"/>
      <c r="B18" s="8557" t="s">
        <v>518</v>
      </c>
      <c r="C18" s="8469"/>
      <c r="D18" s="8560"/>
      <c r="E18" s="8021"/>
      <c r="F18" s="8021"/>
      <c r="G18" s="8021"/>
      <c r="H18" s="8021"/>
      <c r="I18" s="8021"/>
      <c r="J18" s="8021"/>
      <c r="K18" s="8021"/>
      <c r="L18" s="8021"/>
      <c r="M18" s="8021"/>
      <c r="N18" s="8021"/>
      <c r="O18" s="8021"/>
      <c r="P18" s="8021"/>
      <c r="Q18" s="8021"/>
      <c r="R18" s="8021"/>
      <c r="S18" s="8021"/>
      <c r="T18" s="8021"/>
      <c r="U18" s="8021"/>
      <c r="V18" s="8021"/>
      <c r="W18" s="8021"/>
      <c r="X18" s="8021"/>
      <c r="Y18" s="8021"/>
      <c r="Z18" s="8021"/>
      <c r="AA18" s="8021"/>
      <c r="AB18" s="8021"/>
      <c r="AC18" s="8021"/>
      <c r="AD18" s="8021"/>
      <c r="AE18" s="8021"/>
      <c r="AF18" s="8021"/>
      <c r="AG18" s="8021"/>
      <c r="AH18" s="8021"/>
      <c r="AI18" s="8021"/>
      <c r="AJ18" s="8021"/>
      <c r="AK18" s="8021"/>
      <c r="AL18" s="8021"/>
      <c r="AM18" s="8021"/>
      <c r="AN18" s="8021"/>
      <c r="AO18" s="8021"/>
      <c r="AP18" s="1277"/>
      <c r="AX18">
        <v>1</v>
      </c>
      <c r="AY18" t="s">
        <v>2327</v>
      </c>
      <c r="BG18" s="769"/>
      <c r="BH18" s="658"/>
      <c r="BI18" s="658"/>
      <c r="BJ18" s="658"/>
      <c r="BK18" s="658"/>
      <c r="BL18" s="658"/>
      <c r="BM18" s="658"/>
      <c r="BN18" s="658"/>
      <c r="BO18" s="658"/>
      <c r="BP18" s="658"/>
    </row>
    <row r="19" spans="1:69" ht="15.75" customHeight="1">
      <c r="A19" s="1277"/>
      <c r="B19" s="8558" t="s">
        <v>335</v>
      </c>
      <c r="C19" s="8559"/>
      <c r="D19" s="7682" t="s">
        <v>2328</v>
      </c>
      <c r="E19" s="7682"/>
      <c r="F19" s="7682"/>
      <c r="G19" s="7682"/>
      <c r="H19" s="7683"/>
      <c r="I19" s="8536">
        <v>2</v>
      </c>
      <c r="J19" s="8601"/>
      <c r="K19" s="8569" t="s">
        <v>2329</v>
      </c>
      <c r="L19" s="8569"/>
      <c r="M19" s="8569"/>
      <c r="N19" s="8569"/>
      <c r="O19" s="8569"/>
      <c r="P19" s="8569"/>
      <c r="Q19" s="8569"/>
      <c r="R19" s="8569"/>
      <c r="S19" s="8569"/>
      <c r="T19" s="8569"/>
      <c r="U19" s="8569"/>
      <c r="V19" s="8569"/>
      <c r="W19" s="8569"/>
      <c r="X19" s="4767"/>
      <c r="Y19" s="4767"/>
      <c r="Z19" s="4767"/>
      <c r="AA19" s="8561" t="s">
        <v>2330</v>
      </c>
      <c r="AB19" s="8562"/>
      <c r="AC19" s="8562"/>
      <c r="AD19" s="8562"/>
      <c r="AE19" s="8565"/>
      <c r="AF19" s="8561" t="s">
        <v>2331</v>
      </c>
      <c r="AG19" s="8562"/>
      <c r="AH19" s="8562"/>
      <c r="AI19" s="8562"/>
      <c r="AJ19" s="8565"/>
      <c r="AK19" s="8561" t="s">
        <v>2332</v>
      </c>
      <c r="AL19" s="8562"/>
      <c r="AM19" s="8562"/>
      <c r="AN19" s="8562"/>
      <c r="AO19" s="8562"/>
      <c r="AP19" s="1277"/>
      <c r="AX19">
        <v>2</v>
      </c>
      <c r="AY19" t="s">
        <v>2333</v>
      </c>
      <c r="BG19" s="769"/>
      <c r="BH19" s="658"/>
      <c r="BI19" s="658"/>
      <c r="BJ19" s="658"/>
      <c r="BK19" s="658"/>
      <c r="BL19" s="658"/>
      <c r="BM19" s="658"/>
      <c r="BN19" s="658"/>
      <c r="BO19" s="658"/>
      <c r="BP19" s="658"/>
    </row>
    <row r="20" spans="1:69" ht="14.25" customHeight="1">
      <c r="A20" s="1277"/>
      <c r="B20" s="4760"/>
      <c r="C20" s="4760"/>
      <c r="D20" s="7688"/>
      <c r="E20" s="7688"/>
      <c r="F20" s="7688"/>
      <c r="G20" s="7688"/>
      <c r="H20" s="7689"/>
      <c r="I20" s="4768"/>
      <c r="J20" s="4082"/>
      <c r="K20" s="8570"/>
      <c r="L20" s="8570"/>
      <c r="M20" s="8570"/>
      <c r="N20" s="8570"/>
      <c r="O20" s="8570"/>
      <c r="P20" s="8570"/>
      <c r="Q20" s="8570"/>
      <c r="R20" s="8570"/>
      <c r="S20" s="8570"/>
      <c r="T20" s="8570"/>
      <c r="U20" s="8570"/>
      <c r="V20" s="8570"/>
      <c r="W20" s="8570"/>
      <c r="X20" s="4082"/>
      <c r="Y20" s="4082"/>
      <c r="Z20" s="4082"/>
      <c r="AA20" s="8563"/>
      <c r="AB20" s="8564"/>
      <c r="AC20" s="8564"/>
      <c r="AD20" s="8564"/>
      <c r="AE20" s="8566"/>
      <c r="AF20" s="8563"/>
      <c r="AG20" s="8564"/>
      <c r="AH20" s="8564"/>
      <c r="AI20" s="8564"/>
      <c r="AJ20" s="8566"/>
      <c r="AK20" s="8563"/>
      <c r="AL20" s="8564"/>
      <c r="AM20" s="8564"/>
      <c r="AN20" s="8564"/>
      <c r="AO20" s="8564"/>
      <c r="AP20" s="1277"/>
      <c r="AV20" s="4769">
        <f>IF(LeapYear,366,365)</f>
        <v>365</v>
      </c>
      <c r="AW20" s="4652"/>
      <c r="AX20">
        <v>3</v>
      </c>
      <c r="AY20" t="s">
        <v>2334</v>
      </c>
      <c r="BE20" s="4770" t="s">
        <v>2335</v>
      </c>
      <c r="BG20" s="769"/>
      <c r="BH20" s="658"/>
      <c r="BI20" s="658"/>
      <c r="BJ20" s="658"/>
      <c r="BK20" s="658"/>
      <c r="BL20" s="658"/>
      <c r="BM20" s="658"/>
      <c r="BN20" s="658"/>
      <c r="BO20" s="658"/>
      <c r="BP20" s="658"/>
    </row>
    <row r="21" spans="1:69" ht="15.75">
      <c r="A21" s="1277"/>
      <c r="B21" s="8557" t="s">
        <v>510</v>
      </c>
      <c r="C21" s="8469"/>
      <c r="D21" s="8549"/>
      <c r="E21" s="8550"/>
      <c r="F21" s="8550"/>
      <c r="G21" s="8550"/>
      <c r="H21" s="8551"/>
      <c r="I21" s="408"/>
      <c r="J21" s="253"/>
      <c r="K21" s="8570"/>
      <c r="L21" s="8570"/>
      <c r="M21" s="8570"/>
      <c r="N21" s="8570"/>
      <c r="O21" s="8570"/>
      <c r="P21" s="8570"/>
      <c r="Q21" s="8570"/>
      <c r="R21" s="8570"/>
      <c r="S21" s="8570"/>
      <c r="T21" s="8570"/>
      <c r="U21" s="8570"/>
      <c r="V21" s="8570"/>
      <c r="W21" s="8570"/>
      <c r="X21" s="8552" t="s">
        <v>510</v>
      </c>
      <c r="Y21" s="8553"/>
      <c r="Z21" s="8554"/>
      <c r="AA21" s="7516"/>
      <c r="AB21" s="8437"/>
      <c r="AC21" s="8437"/>
      <c r="AD21" s="8437"/>
      <c r="AE21" s="8438"/>
      <c r="AF21" s="7516"/>
      <c r="AG21" s="8437"/>
      <c r="AH21" s="8437"/>
      <c r="AI21" s="8437"/>
      <c r="AJ21" s="8438"/>
      <c r="AK21" s="4771"/>
      <c r="AL21" s="773"/>
      <c r="AM21" s="276"/>
      <c r="AN21" s="773"/>
      <c r="AO21" s="773"/>
      <c r="AP21" s="1277"/>
      <c r="AR21" s="304" t="b">
        <f>D21=8</f>
        <v>0</v>
      </c>
      <c r="AV21" s="4772" t="b">
        <f>AA21&gt;$AV$20</f>
        <v>0</v>
      </c>
      <c r="AW21" s="4647" t="b">
        <f>AF21&gt;$AV$20</f>
        <v>0</v>
      </c>
      <c r="AX21">
        <v>4</v>
      </c>
      <c r="AY21" t="s">
        <v>2336</v>
      </c>
      <c r="BE21" s="726" t="b">
        <f>IF(AND(D21&lt;&gt;"",OR(D21&lt;1,D21&gt;8,ISERROR(V32))),TRUE,FALSE)</f>
        <v>0</v>
      </c>
      <c r="BG21" s="769"/>
      <c r="BH21" s="658"/>
      <c r="BI21" s="658"/>
      <c r="BJ21" s="658"/>
      <c r="BK21" s="658"/>
      <c r="BL21" s="658"/>
      <c r="BM21" s="658"/>
      <c r="BN21" s="658"/>
      <c r="BO21" s="658"/>
      <c r="BP21" s="658"/>
    </row>
    <row r="22" spans="1:69" ht="16.5" thickBot="1">
      <c r="A22" s="1277"/>
      <c r="B22" s="8557" t="s">
        <v>516</v>
      </c>
      <c r="C22" s="8469"/>
      <c r="D22" s="8549"/>
      <c r="E22" s="8550"/>
      <c r="F22" s="8550"/>
      <c r="G22" s="8550"/>
      <c r="H22" s="8551"/>
      <c r="I22" s="408"/>
      <c r="J22" s="253"/>
      <c r="K22" s="8570"/>
      <c r="L22" s="8570"/>
      <c r="M22" s="8570"/>
      <c r="N22" s="8570"/>
      <c r="O22" s="8570"/>
      <c r="P22" s="8570"/>
      <c r="Q22" s="8570"/>
      <c r="R22" s="8570"/>
      <c r="S22" s="8570"/>
      <c r="T22" s="8570"/>
      <c r="U22" s="8570"/>
      <c r="V22" s="8570"/>
      <c r="W22" s="8570"/>
      <c r="X22" s="8552" t="s">
        <v>516</v>
      </c>
      <c r="Y22" s="8553"/>
      <c r="Z22" s="8554"/>
      <c r="AA22" s="7516"/>
      <c r="AB22" s="8437"/>
      <c r="AC22" s="8437"/>
      <c r="AD22" s="8437"/>
      <c r="AE22" s="8438"/>
      <c r="AF22" s="7516"/>
      <c r="AG22" s="8437"/>
      <c r="AH22" s="8437"/>
      <c r="AI22" s="8437"/>
      <c r="AJ22" s="8438"/>
      <c r="AK22" s="4771"/>
      <c r="AL22" s="773"/>
      <c r="AM22" s="276"/>
      <c r="AN22" s="773"/>
      <c r="AO22" s="773"/>
      <c r="AP22" s="1277"/>
      <c r="AR22" s="304" t="b">
        <f>D22=8</f>
        <v>0</v>
      </c>
      <c r="AV22" s="4772" t="b">
        <f>AA22&gt;$AV$20</f>
        <v>0</v>
      </c>
      <c r="AW22" s="4647" t="b">
        <f>AF22&gt;$AV$20</f>
        <v>0</v>
      </c>
      <c r="AX22">
        <v>5</v>
      </c>
      <c r="AY22" t="s">
        <v>2337</v>
      </c>
      <c r="BE22" s="726" t="b">
        <f>IF(AND(D22&lt;&gt;"",OR(D22&lt;1,D22&gt;8,ISERROR(AD32))),TRUE,FALSE)</f>
        <v>0</v>
      </c>
      <c r="BG22" s="769"/>
      <c r="BH22" s="658"/>
      <c r="BI22" s="658"/>
      <c r="BJ22" s="658"/>
      <c r="BK22" s="658"/>
      <c r="BL22" s="658"/>
      <c r="BM22" s="658"/>
      <c r="BN22" s="658"/>
      <c r="BO22" s="658"/>
      <c r="BP22" s="658"/>
    </row>
    <row r="23" spans="1:69" ht="15.75">
      <c r="A23" s="1277"/>
      <c r="B23" s="8557" t="s">
        <v>518</v>
      </c>
      <c r="C23" s="8469"/>
      <c r="D23" s="8549"/>
      <c r="E23" s="8550"/>
      <c r="F23" s="8550"/>
      <c r="G23" s="8550"/>
      <c r="H23" s="8551"/>
      <c r="I23" s="412"/>
      <c r="J23" s="413"/>
      <c r="K23" s="8571"/>
      <c r="L23" s="8571"/>
      <c r="M23" s="8571"/>
      <c r="N23" s="8571"/>
      <c r="O23" s="8571"/>
      <c r="P23" s="8571"/>
      <c r="Q23" s="8571"/>
      <c r="R23" s="8571"/>
      <c r="S23" s="8571"/>
      <c r="T23" s="8571"/>
      <c r="U23" s="8571"/>
      <c r="V23" s="8571"/>
      <c r="W23" s="8571"/>
      <c r="X23" s="8552" t="s">
        <v>518</v>
      </c>
      <c r="Y23" s="8553"/>
      <c r="Z23" s="8554"/>
      <c r="AA23" s="7516"/>
      <c r="AB23" s="8437"/>
      <c r="AC23" s="8437"/>
      <c r="AD23" s="8437"/>
      <c r="AE23" s="8438"/>
      <c r="AF23" s="7516"/>
      <c r="AG23" s="8437"/>
      <c r="AH23" s="8437"/>
      <c r="AI23" s="8437"/>
      <c r="AJ23" s="8438"/>
      <c r="AK23" s="4771"/>
      <c r="AL23" s="773"/>
      <c r="AM23" s="276"/>
      <c r="AN23" s="773"/>
      <c r="AO23" s="773"/>
      <c r="AP23" s="1277"/>
      <c r="AR23" s="304" t="b">
        <f>D23=8</f>
        <v>0</v>
      </c>
      <c r="AV23" s="3614" t="b">
        <f>AA23&gt;$AV$20</f>
        <v>0</v>
      </c>
      <c r="AW23" s="4648" t="b">
        <f>AF23&gt;$AV$20</f>
        <v>0</v>
      </c>
      <c r="AX23">
        <v>6</v>
      </c>
      <c r="AY23" t="s">
        <v>2338</v>
      </c>
      <c r="AZ23" s="4773" t="s">
        <v>510</v>
      </c>
      <c r="BA23" s="4774" t="s">
        <v>516</v>
      </c>
      <c r="BB23" s="4774" t="s">
        <v>518</v>
      </c>
      <c r="BC23" s="4775" t="s">
        <v>224</v>
      </c>
      <c r="BE23" s="726" t="b">
        <f>IF(AND(D23&lt;&gt;"",OR(D23&lt;1,D23&gt;8,ISERROR(AJ32))),TRUE,FALSE)</f>
        <v>0</v>
      </c>
      <c r="BG23" s="769"/>
      <c r="BH23" s="658"/>
      <c r="BI23" s="658"/>
      <c r="BJ23" s="658"/>
      <c r="BK23" s="658"/>
      <c r="BL23" s="658"/>
      <c r="BM23" s="658"/>
      <c r="BN23" s="658"/>
      <c r="BO23" s="658"/>
      <c r="BP23" s="658"/>
    </row>
    <row r="24" spans="1:69" ht="14.25" customHeight="1">
      <c r="A24" s="1277"/>
      <c r="B24" s="3775" t="s">
        <v>2339</v>
      </c>
      <c r="C24" s="2298"/>
      <c r="D24" s="759"/>
      <c r="E24" s="2126"/>
      <c r="F24" s="2126"/>
      <c r="G24" s="2126"/>
      <c r="H24" s="2126"/>
      <c r="I24" s="4776" t="str">
        <f>IF(BE24,"The 'Type of Property' must be entered as a number (1 - 8).","")</f>
        <v/>
      </c>
      <c r="J24" s="2126"/>
      <c r="K24" s="2126"/>
      <c r="L24" s="2126"/>
      <c r="M24" s="2126"/>
      <c r="N24" s="2126"/>
      <c r="O24" s="2126"/>
      <c r="P24" s="2126"/>
      <c r="Q24" s="2126"/>
      <c r="R24" s="2126"/>
      <c r="S24" s="2126"/>
      <c r="T24" s="2126"/>
      <c r="U24" s="2126"/>
      <c r="V24" s="2126"/>
      <c r="W24" s="2126"/>
      <c r="X24" s="2126"/>
      <c r="Y24" s="2126"/>
      <c r="Z24" s="2126"/>
      <c r="AA24" s="2126"/>
      <c r="AB24" s="2126"/>
      <c r="AC24" s="2126"/>
      <c r="AD24" s="4776" t="str">
        <f>IF(OR(AV21,AV22,AV23,AW21,AW22,AW23),"Must be "&amp;AV20&amp;" or less.","")</f>
        <v/>
      </c>
      <c r="AE24" s="2126"/>
      <c r="AF24" s="2126"/>
      <c r="AG24" s="2126"/>
      <c r="AH24" s="2126"/>
      <c r="AI24" s="2126"/>
      <c r="AJ24" s="2126"/>
      <c r="AK24" s="2126"/>
      <c r="AL24" s="2126"/>
      <c r="AM24" s="2126"/>
      <c r="AN24" s="2126"/>
      <c r="AO24" s="2126"/>
      <c r="AP24" s="1277"/>
      <c r="AR24" s="304" t="b">
        <f>OR(AR21:AR23)</f>
        <v>0</v>
      </c>
      <c r="AX24">
        <v>7</v>
      </c>
      <c r="AY24" t="s">
        <v>2340</v>
      </c>
      <c r="AZ24" s="4777">
        <f>IF(D21&lt;&gt;6,V30,0)</f>
        <v>0</v>
      </c>
      <c r="BA24" s="3297">
        <f>IF(D22&lt;&gt;6,AD30,0)</f>
        <v>0</v>
      </c>
      <c r="BB24" s="3297">
        <f>IF(D23&lt;&gt;6,AJ30,0)</f>
        <v>0</v>
      </c>
      <c r="BC24" s="4778">
        <f>SUM(AZ24:BB24)</f>
        <v>0</v>
      </c>
      <c r="BE24" s="726" t="b">
        <f>OR(BE21,BE22,BE23)</f>
        <v>0</v>
      </c>
      <c r="BG24" s="769"/>
      <c r="BH24" s="658"/>
      <c r="BI24" s="658"/>
      <c r="BJ24" s="658"/>
      <c r="BK24" s="658"/>
      <c r="BL24" s="658"/>
      <c r="BM24" s="658"/>
      <c r="BN24" s="658"/>
      <c r="BO24" s="658"/>
      <c r="BP24" s="658"/>
    </row>
    <row r="25" spans="1:69" ht="17.25" customHeight="1" thickBot="1">
      <c r="A25" s="1277"/>
      <c r="B25" s="2298">
        <v>1</v>
      </c>
      <c r="C25" s="2100" t="s">
        <v>2327</v>
      </c>
      <c r="D25" s="759"/>
      <c r="E25" s="2126"/>
      <c r="F25" s="2126"/>
      <c r="G25" s="2126"/>
      <c r="H25" s="2126"/>
      <c r="I25" s="2126"/>
      <c r="J25" s="2126"/>
      <c r="K25" s="2038">
        <v>3</v>
      </c>
      <c r="L25" s="4505" t="s">
        <v>2341</v>
      </c>
      <c r="M25" s="2126"/>
      <c r="N25" s="2126"/>
      <c r="O25" s="2126"/>
      <c r="P25" s="2126"/>
      <c r="Q25" s="2126"/>
      <c r="R25" s="2126"/>
      <c r="S25" s="2126"/>
      <c r="T25" s="2126"/>
      <c r="U25" s="2038">
        <v>5</v>
      </c>
      <c r="V25" s="4505" t="s">
        <v>2337</v>
      </c>
      <c r="W25" s="2126"/>
      <c r="X25" s="2126"/>
      <c r="Y25" s="2126"/>
      <c r="Z25" s="2038"/>
      <c r="AA25" s="2038">
        <v>7</v>
      </c>
      <c r="AB25" s="4505" t="s">
        <v>2340</v>
      </c>
      <c r="AC25" s="2126"/>
      <c r="AD25" s="2126"/>
      <c r="AE25" s="2126"/>
      <c r="AF25" s="2126"/>
      <c r="AG25" s="2126"/>
      <c r="AH25" s="2126"/>
      <c r="AI25" s="2126"/>
      <c r="AJ25" s="2126"/>
      <c r="AK25" s="2126"/>
      <c r="AL25" s="2126"/>
      <c r="AM25" s="2126"/>
      <c r="AN25" s="2126"/>
      <c r="AO25" s="2126"/>
      <c r="AP25" s="1277"/>
      <c r="AR25" s="8374" t="str">
        <f>IF($AR$24,"Attach a statement to your return describing the property.","")</f>
        <v/>
      </c>
      <c r="AS25" s="8374"/>
      <c r="AX25">
        <v>8</v>
      </c>
      <c r="AY25" t="s">
        <v>254</v>
      </c>
      <c r="AZ25" s="4779">
        <f>IF(D21=6,V31,0)</f>
        <v>0</v>
      </c>
      <c r="BA25" s="4780">
        <f>IF(D22=6,AD31,0)</f>
        <v>0</v>
      </c>
      <c r="BB25" s="4780">
        <f>IF(D23=6,AJ31,0)</f>
        <v>0</v>
      </c>
      <c r="BC25" s="4781">
        <f>SUM(AZ25:BB25)</f>
        <v>0</v>
      </c>
      <c r="BE25" s="4782"/>
      <c r="BG25" s="769"/>
      <c r="BH25" s="658"/>
      <c r="BI25" s="658"/>
      <c r="BJ25" s="658"/>
      <c r="BK25" s="658"/>
      <c r="BL25" s="658"/>
      <c r="BM25" s="658"/>
      <c r="BN25" s="658"/>
      <c r="BO25" s="658"/>
      <c r="BP25" s="658"/>
    </row>
    <row r="26" spans="1:69" s="138" customFormat="1" ht="17.25" customHeight="1">
      <c r="A26" s="2888"/>
      <c r="B26" s="2313">
        <v>2</v>
      </c>
      <c r="C26" s="4783" t="s">
        <v>2333</v>
      </c>
      <c r="D26" s="986"/>
      <c r="E26" s="986"/>
      <c r="F26" s="986"/>
      <c r="G26" s="986"/>
      <c r="H26" s="986"/>
      <c r="I26" s="986"/>
      <c r="J26" s="986"/>
      <c r="K26" s="2313">
        <v>4</v>
      </c>
      <c r="L26" s="4783" t="s">
        <v>2336</v>
      </c>
      <c r="M26" s="986"/>
      <c r="N26" s="986"/>
      <c r="O26" s="986"/>
      <c r="P26" s="986"/>
      <c r="Q26" s="986"/>
      <c r="R26" s="986"/>
      <c r="S26" s="986"/>
      <c r="T26" s="986"/>
      <c r="U26" s="2313">
        <v>6</v>
      </c>
      <c r="V26" s="4783" t="s">
        <v>2338</v>
      </c>
      <c r="W26" s="986"/>
      <c r="X26" s="986"/>
      <c r="Y26" s="986"/>
      <c r="Z26" s="2313"/>
      <c r="AA26" s="2313">
        <v>8</v>
      </c>
      <c r="AB26" s="4783" t="s">
        <v>2342</v>
      </c>
      <c r="AC26" s="986"/>
      <c r="AD26" s="986"/>
      <c r="AE26" s="986"/>
      <c r="AF26" s="986"/>
      <c r="AG26" s="986"/>
      <c r="AH26" s="8375"/>
      <c r="AI26" s="8375"/>
      <c r="AJ26" s="8375"/>
      <c r="AK26" s="8375"/>
      <c r="AL26" s="8375"/>
      <c r="AM26" s="8375"/>
      <c r="AN26" s="8375"/>
      <c r="AO26" s="8375"/>
      <c r="AP26" s="2888"/>
      <c r="AQ26" s="4784"/>
      <c r="AR26" s="8374"/>
      <c r="AS26" s="8374"/>
      <c r="AT26" s="4785"/>
      <c r="BG26" s="967"/>
      <c r="BH26" s="662"/>
      <c r="BI26" s="662"/>
      <c r="BJ26" s="662"/>
      <c r="BK26" s="662"/>
      <c r="BL26" s="662"/>
      <c r="BM26" s="662"/>
      <c r="BN26" s="662"/>
      <c r="BO26" s="662"/>
      <c r="BP26" s="662"/>
      <c r="BQ26" s="1116"/>
    </row>
    <row r="27" spans="1:69" s="138" customFormat="1" ht="7.5" customHeight="1" thickBot="1">
      <c r="A27" s="2888"/>
      <c r="B27" s="2313"/>
      <c r="C27" s="4783"/>
      <c r="D27" s="986"/>
      <c r="E27" s="986"/>
      <c r="F27" s="986"/>
      <c r="G27" s="986"/>
      <c r="H27" s="986"/>
      <c r="I27" s="986"/>
      <c r="J27" s="986"/>
      <c r="K27" s="2313"/>
      <c r="L27" s="4783"/>
      <c r="M27" s="986"/>
      <c r="N27" s="986"/>
      <c r="O27" s="986"/>
      <c r="P27" s="986"/>
      <c r="Q27" s="986"/>
      <c r="R27" s="986"/>
      <c r="S27" s="986"/>
      <c r="T27" s="986"/>
      <c r="U27" s="2313"/>
      <c r="V27" s="4783"/>
      <c r="W27" s="986"/>
      <c r="X27" s="986"/>
      <c r="Y27" s="986"/>
      <c r="Z27" s="2313"/>
      <c r="AA27" s="2313"/>
      <c r="AB27" s="4783"/>
      <c r="AC27" s="986"/>
      <c r="AD27" s="986"/>
      <c r="AE27" s="986"/>
      <c r="AF27" s="986"/>
      <c r="AG27" s="986"/>
      <c r="AH27" s="986"/>
      <c r="AI27" s="986"/>
      <c r="AJ27" s="986"/>
      <c r="AK27" s="986"/>
      <c r="AL27" s="986"/>
      <c r="AM27" s="986"/>
      <c r="AN27" s="986"/>
      <c r="AO27" s="986"/>
      <c r="AP27" s="2888"/>
      <c r="AQ27" s="4784"/>
      <c r="AR27" s="8374"/>
      <c r="AS27" s="8374"/>
      <c r="AT27" s="4785"/>
      <c r="BG27" s="967"/>
      <c r="BH27" s="662"/>
      <c r="BI27" s="662"/>
      <c r="BJ27" s="662"/>
      <c r="BK27" s="662"/>
      <c r="BL27" s="662"/>
      <c r="BM27" s="662"/>
      <c r="BN27" s="662"/>
      <c r="BO27" s="662"/>
      <c r="BP27" s="662"/>
      <c r="BQ27" s="1116"/>
    </row>
    <row r="28" spans="1:69" ht="14.25" customHeight="1">
      <c r="A28" s="1277"/>
      <c r="B28" s="4653"/>
      <c r="C28" s="4786"/>
      <c r="D28" s="4787"/>
      <c r="E28" s="2167"/>
      <c r="F28" s="2167"/>
      <c r="G28" s="2167"/>
      <c r="H28" s="2167"/>
      <c r="I28" s="2167"/>
      <c r="J28" s="2167"/>
      <c r="K28" s="2167"/>
      <c r="L28" s="2167"/>
      <c r="M28" s="2167"/>
      <c r="N28" s="2167"/>
      <c r="O28" s="2167"/>
      <c r="P28" s="2167"/>
      <c r="Q28" s="2167"/>
      <c r="R28" s="4788"/>
      <c r="S28" s="2167"/>
      <c r="T28" s="4788"/>
      <c r="U28" s="4789"/>
      <c r="V28" s="8576" t="s">
        <v>2343</v>
      </c>
      <c r="W28" s="8577"/>
      <c r="X28" s="8577"/>
      <c r="Y28" s="8577"/>
      <c r="Z28" s="8577"/>
      <c r="AA28" s="8577"/>
      <c r="AB28" s="8577"/>
      <c r="AC28" s="8577"/>
      <c r="AD28" s="8577"/>
      <c r="AE28" s="8577"/>
      <c r="AF28" s="8577"/>
      <c r="AG28" s="8577"/>
      <c r="AH28" s="8577"/>
      <c r="AI28" s="8577"/>
      <c r="AJ28" s="8577"/>
      <c r="AK28" s="8577"/>
      <c r="AL28" s="8577"/>
      <c r="AM28" s="8577"/>
      <c r="AN28" s="8577"/>
      <c r="AO28" s="8577"/>
      <c r="AP28" s="1277"/>
      <c r="AR28" s="4790"/>
      <c r="AS28" s="4790"/>
      <c r="AT28" s="314"/>
      <c r="AZ28" t="b">
        <f>IF(AND($D$21="",OR($V$30&gt;0,$V$31&gt;0)),TRUE,FALSE)</f>
        <v>0</v>
      </c>
      <c r="BA28" t="b">
        <f>IF(AND($D$22="",OR($AD$30&gt;0,$AD$31&gt;0)),TRUE,FALSE)</f>
        <v>0</v>
      </c>
      <c r="BB28" t="b">
        <f>IF(AND($D$23="",OR($AJ$30&gt;0,$AJ$31&gt;0)),TRUE,FALSE)</f>
        <v>0</v>
      </c>
      <c r="BG28" s="769"/>
      <c r="BH28" s="658"/>
      <c r="BI28" s="658"/>
      <c r="BJ28" s="658"/>
      <c r="BK28" s="658"/>
      <c r="BL28" s="658"/>
      <c r="BM28" s="658"/>
      <c r="BN28" s="658"/>
      <c r="BO28" s="658"/>
      <c r="BP28" s="658"/>
    </row>
    <row r="29" spans="1:69" ht="14.25" customHeight="1">
      <c r="A29" s="1277"/>
      <c r="B29" s="4467" t="s">
        <v>2344</v>
      </c>
      <c r="C29" s="2298"/>
      <c r="D29" s="759"/>
      <c r="E29" s="2126"/>
      <c r="F29" s="2126"/>
      <c r="G29" s="2126"/>
      <c r="H29" s="2126"/>
      <c r="I29" s="2126"/>
      <c r="J29" s="2126"/>
      <c r="K29" s="2126"/>
      <c r="L29" s="2126"/>
      <c r="M29" s="2126"/>
      <c r="N29" s="2126"/>
      <c r="O29" s="2126"/>
      <c r="P29" s="2126"/>
      <c r="Q29" s="2126"/>
      <c r="R29" s="4791"/>
      <c r="S29" s="2126"/>
      <c r="T29" s="4792"/>
      <c r="U29" s="4793"/>
      <c r="V29" s="8514" t="s">
        <v>510</v>
      </c>
      <c r="W29" s="8572"/>
      <c r="X29" s="8572"/>
      <c r="Y29" s="8572"/>
      <c r="Z29" s="8572"/>
      <c r="AA29" s="8572"/>
      <c r="AB29" s="8572"/>
      <c r="AC29" s="8515"/>
      <c r="AD29" s="8573" t="s">
        <v>516</v>
      </c>
      <c r="AE29" s="8574"/>
      <c r="AF29" s="8574"/>
      <c r="AG29" s="8574"/>
      <c r="AH29" s="8574"/>
      <c r="AI29" s="8575"/>
      <c r="AJ29" s="8573" t="s">
        <v>518</v>
      </c>
      <c r="AK29" s="8574"/>
      <c r="AL29" s="8574"/>
      <c r="AM29" s="8574"/>
      <c r="AN29" s="8574"/>
      <c r="AO29" s="8574"/>
      <c r="AP29" s="1277"/>
      <c r="AR29" s="1792"/>
      <c r="AS29" s="314"/>
      <c r="AT29" s="314"/>
      <c r="BG29" s="769"/>
      <c r="BH29" s="658"/>
      <c r="BI29" s="658"/>
      <c r="BJ29" s="658"/>
      <c r="BK29" s="658"/>
      <c r="BL29" s="658"/>
      <c r="BM29" s="658"/>
      <c r="BN29" s="658"/>
      <c r="BO29" s="658"/>
      <c r="BP29" s="658"/>
    </row>
    <row r="30" spans="1:69" ht="14.25" customHeight="1">
      <c r="A30" s="1277"/>
      <c r="B30" s="8513">
        <v>3</v>
      </c>
      <c r="C30" s="8456"/>
      <c r="D30" s="2100" t="s">
        <v>2345</v>
      </c>
      <c r="E30" s="2126"/>
      <c r="F30" s="2126"/>
      <c r="G30" s="2126"/>
      <c r="H30" s="2126"/>
      <c r="I30" s="2126"/>
      <c r="J30" s="2126"/>
      <c r="K30" s="2126"/>
      <c r="L30" s="2126"/>
      <c r="M30" s="2126"/>
      <c r="N30" s="2126"/>
      <c r="O30" s="2126"/>
      <c r="P30" s="2126"/>
      <c r="Q30" s="2126"/>
      <c r="R30" s="2126"/>
      <c r="S30" s="2198" t="s">
        <v>590</v>
      </c>
      <c r="T30" s="8514">
        <v>3</v>
      </c>
      <c r="U30" s="8515"/>
      <c r="V30" s="8555"/>
      <c r="W30" s="8556"/>
      <c r="X30" s="8556"/>
      <c r="Y30" s="8556"/>
      <c r="Z30" s="8556"/>
      <c r="AA30" s="8556"/>
      <c r="AB30" s="8556"/>
      <c r="AC30" s="8568"/>
      <c r="AD30" s="8555"/>
      <c r="AE30" s="8556"/>
      <c r="AF30" s="8556"/>
      <c r="AG30" s="8556"/>
      <c r="AH30" s="8556"/>
      <c r="AI30" s="8568"/>
      <c r="AJ30" s="8555"/>
      <c r="AK30" s="8556"/>
      <c r="AL30" s="8556"/>
      <c r="AM30" s="8556"/>
      <c r="AN30" s="8556"/>
      <c r="AO30" s="8556"/>
      <c r="AP30" s="1277"/>
      <c r="AR30" s="314"/>
      <c r="AS30" s="314"/>
      <c r="AT30" s="314"/>
      <c r="BG30" s="769"/>
      <c r="BH30" s="658"/>
      <c r="BI30" s="658"/>
      <c r="BJ30" s="658"/>
      <c r="BK30" s="658"/>
      <c r="BL30" s="658"/>
      <c r="BM30" s="658"/>
      <c r="BN30" s="658"/>
      <c r="BO30" s="658"/>
      <c r="BP30" s="658"/>
    </row>
    <row r="31" spans="1:69" ht="14.25" customHeight="1">
      <c r="A31" s="1277"/>
      <c r="B31" s="8567">
        <v>4</v>
      </c>
      <c r="C31" s="8458"/>
      <c r="D31" s="4794" t="s">
        <v>2346</v>
      </c>
      <c r="E31" s="507"/>
      <c r="F31" s="507"/>
      <c r="G31" s="507"/>
      <c r="H31" s="507"/>
      <c r="I31" s="507"/>
      <c r="J31" s="507"/>
      <c r="K31" s="507"/>
      <c r="L31" s="507"/>
      <c r="M31" s="507"/>
      <c r="N31" s="507"/>
      <c r="O31" s="507"/>
      <c r="P31" s="507"/>
      <c r="Q31" s="507"/>
      <c r="R31" s="507"/>
      <c r="S31" s="974" t="s">
        <v>594</v>
      </c>
      <c r="T31" s="8514">
        <v>4</v>
      </c>
      <c r="U31" s="8515"/>
      <c r="V31" s="8555"/>
      <c r="W31" s="8556"/>
      <c r="X31" s="8556"/>
      <c r="Y31" s="8556"/>
      <c r="Z31" s="8556"/>
      <c r="AA31" s="8556"/>
      <c r="AB31" s="8556"/>
      <c r="AC31" s="8568"/>
      <c r="AD31" s="8555"/>
      <c r="AE31" s="8556"/>
      <c r="AF31" s="8556"/>
      <c r="AG31" s="8556"/>
      <c r="AH31" s="8556"/>
      <c r="AI31" s="8568"/>
      <c r="AJ31" s="8555"/>
      <c r="AK31" s="8556"/>
      <c r="AL31" s="8556"/>
      <c r="AM31" s="8556"/>
      <c r="AN31" s="8556"/>
      <c r="AO31" s="8556"/>
      <c r="AP31" s="1277"/>
      <c r="BG31" s="769"/>
      <c r="BH31" s="658"/>
      <c r="BI31" s="658"/>
      <c r="BJ31" s="658"/>
      <c r="BK31" s="658"/>
      <c r="BL31" s="658"/>
      <c r="BM31" s="658"/>
      <c r="BN31" s="658"/>
      <c r="BO31" s="658"/>
      <c r="BP31" s="658"/>
    </row>
    <row r="32" spans="1:69" ht="14.25" customHeight="1">
      <c r="A32" s="1277"/>
      <c r="B32" s="4795" t="s">
        <v>2347</v>
      </c>
      <c r="C32" s="4796"/>
      <c r="D32" s="3772"/>
      <c r="E32" s="4797"/>
      <c r="F32" s="4798"/>
      <c r="G32" s="4798" t="str">
        <f>IF(OR($AZ$28,$BA$28,$BB$28),"Please enter property type in Line 1b.","")</f>
        <v/>
      </c>
      <c r="H32" s="4797"/>
      <c r="I32" s="4797"/>
      <c r="J32" s="4797"/>
      <c r="K32" s="4797"/>
      <c r="L32" s="4797"/>
      <c r="M32" s="4797"/>
      <c r="N32" s="4797"/>
      <c r="O32" s="4797"/>
      <c r="P32" s="4797"/>
      <c r="Q32" s="4797"/>
      <c r="R32" s="4797"/>
      <c r="S32" s="4797"/>
      <c r="T32" s="4509"/>
      <c r="U32" s="4799"/>
      <c r="V32" s="8459" t="str">
        <f>IF(D21="","",LOOKUP(D21,$AX$18:$AX$25,$AY$18:$AY$25))</f>
        <v/>
      </c>
      <c r="W32" s="8460"/>
      <c r="X32" s="8460"/>
      <c r="Y32" s="8460"/>
      <c r="Z32" s="8460"/>
      <c r="AA32" s="8460"/>
      <c r="AB32" s="8460"/>
      <c r="AC32" s="8323"/>
      <c r="AD32" s="8459" t="str">
        <f>IF(D22="","",LOOKUP(D22,$AX$18:$AX$25,$AY$18:$AY$25))</f>
        <v/>
      </c>
      <c r="AE32" s="8460"/>
      <c r="AF32" s="8460"/>
      <c r="AG32" s="8460"/>
      <c r="AH32" s="8460"/>
      <c r="AI32" s="8323"/>
      <c r="AJ32" s="8459" t="str">
        <f>IF(D23="","",LOOKUP(D23,$AX$18:$AX$25,$AY$18:$AY$25))</f>
        <v/>
      </c>
      <c r="AK32" s="8460"/>
      <c r="AL32" s="8460"/>
      <c r="AM32" s="8460"/>
      <c r="AN32" s="8460"/>
      <c r="AO32" s="8460"/>
      <c r="AP32" s="1277"/>
      <c r="BG32" s="769"/>
      <c r="BH32" s="658"/>
      <c r="BI32" s="658"/>
      <c r="BJ32" s="658"/>
      <c r="BK32" s="658"/>
      <c r="BL32" s="658"/>
      <c r="BM32" s="658"/>
      <c r="BN32" s="658"/>
      <c r="BO32" s="658"/>
      <c r="BP32" s="658"/>
    </row>
    <row r="33" spans="1:68" ht="14.25" customHeight="1">
      <c r="A33" s="1277"/>
      <c r="B33" s="8513">
        <v>5</v>
      </c>
      <c r="C33" s="8456"/>
      <c r="D33" s="2100" t="s">
        <v>2348</v>
      </c>
      <c r="E33" s="2126"/>
      <c r="F33" s="2126"/>
      <c r="G33" s="2126"/>
      <c r="H33" s="2126"/>
      <c r="I33" s="2126"/>
      <c r="J33" s="2126"/>
      <c r="K33" s="2126"/>
      <c r="L33" s="2126"/>
      <c r="M33" s="2126"/>
      <c r="N33" s="2126"/>
      <c r="O33" s="2126"/>
      <c r="P33" s="2126"/>
      <c r="Q33" s="2126"/>
      <c r="R33" s="2126"/>
      <c r="S33" s="2198" t="s">
        <v>1876</v>
      </c>
      <c r="T33" s="8518">
        <v>5</v>
      </c>
      <c r="U33" s="8519"/>
      <c r="V33" s="8544"/>
      <c r="W33" s="8544"/>
      <c r="X33" s="8544"/>
      <c r="Y33" s="8544"/>
      <c r="Z33" s="8544"/>
      <c r="AA33" s="8544"/>
      <c r="AB33" s="8544"/>
      <c r="AC33" s="8545"/>
      <c r="AD33" s="8546"/>
      <c r="AE33" s="8544"/>
      <c r="AF33" s="8544"/>
      <c r="AG33" s="8544"/>
      <c r="AH33" s="8544"/>
      <c r="AI33" s="8545"/>
      <c r="AJ33" s="8546"/>
      <c r="AK33" s="8544"/>
      <c r="AL33" s="8544"/>
      <c r="AM33" s="8544"/>
      <c r="AN33" s="8544"/>
      <c r="AO33" s="8544"/>
      <c r="AP33" s="1277"/>
      <c r="BG33" s="769"/>
      <c r="BH33" s="658"/>
      <c r="BI33" s="658"/>
      <c r="BJ33" s="658"/>
      <c r="BK33" s="658"/>
      <c r="BL33" s="658"/>
      <c r="BM33" s="658"/>
      <c r="BN33" s="658"/>
      <c r="BO33" s="658"/>
      <c r="BP33" s="658"/>
    </row>
    <row r="34" spans="1:68" ht="14.25" customHeight="1">
      <c r="A34" s="1277"/>
      <c r="B34" s="8513">
        <v>6</v>
      </c>
      <c r="C34" s="8456"/>
      <c r="D34" s="2100" t="s">
        <v>2349</v>
      </c>
      <c r="E34" s="2126"/>
      <c r="F34" s="2126"/>
      <c r="G34" s="2126"/>
      <c r="H34" s="2126"/>
      <c r="I34" s="2126"/>
      <c r="J34" s="2126"/>
      <c r="K34" s="2126"/>
      <c r="L34" s="2126"/>
      <c r="M34" s="2126"/>
      <c r="N34" s="2126"/>
      <c r="O34" s="2126"/>
      <c r="P34" s="2126"/>
      <c r="Q34" s="2126"/>
      <c r="R34" s="2126"/>
      <c r="S34" s="2198" t="s">
        <v>601</v>
      </c>
      <c r="T34" s="8518">
        <v>6</v>
      </c>
      <c r="U34" s="8519"/>
      <c r="V34" s="8544"/>
      <c r="W34" s="8544"/>
      <c r="X34" s="8544"/>
      <c r="Y34" s="8544"/>
      <c r="Z34" s="8544"/>
      <c r="AA34" s="8544"/>
      <c r="AB34" s="8544"/>
      <c r="AC34" s="8545"/>
      <c r="AD34" s="8546"/>
      <c r="AE34" s="8544"/>
      <c r="AF34" s="8544"/>
      <c r="AG34" s="8544"/>
      <c r="AH34" s="8544"/>
      <c r="AI34" s="8545"/>
      <c r="AJ34" s="8546"/>
      <c r="AK34" s="8544"/>
      <c r="AL34" s="8544"/>
      <c r="AM34" s="8544"/>
      <c r="AN34" s="8544"/>
      <c r="AO34" s="8544"/>
      <c r="AP34" s="1277"/>
      <c r="BG34" s="769"/>
      <c r="BH34" s="658"/>
      <c r="BI34" s="658"/>
      <c r="BJ34" s="658"/>
      <c r="BK34" s="658"/>
      <c r="BL34" s="658"/>
      <c r="BM34" s="658"/>
      <c r="BN34" s="658"/>
      <c r="BO34" s="658"/>
      <c r="BP34" s="658"/>
    </row>
    <row r="35" spans="1:68" ht="14.25" customHeight="1">
      <c r="A35" s="1277"/>
      <c r="B35" s="8513">
        <v>7</v>
      </c>
      <c r="C35" s="8456"/>
      <c r="D35" s="2100" t="s">
        <v>2350</v>
      </c>
      <c r="E35" s="2126"/>
      <c r="F35" s="2126"/>
      <c r="G35" s="2126"/>
      <c r="H35" s="2126"/>
      <c r="I35" s="2126"/>
      <c r="J35" s="2126"/>
      <c r="K35" s="2126"/>
      <c r="L35" s="2126"/>
      <c r="M35" s="2126"/>
      <c r="N35" s="2126"/>
      <c r="O35" s="2126"/>
      <c r="P35" s="2126"/>
      <c r="Q35" s="2126"/>
      <c r="R35" s="2126"/>
      <c r="S35" s="2198" t="s">
        <v>676</v>
      </c>
      <c r="T35" s="8518">
        <v>7</v>
      </c>
      <c r="U35" s="8519"/>
      <c r="V35" s="8544"/>
      <c r="W35" s="8544"/>
      <c r="X35" s="8544"/>
      <c r="Y35" s="8544"/>
      <c r="Z35" s="8544"/>
      <c r="AA35" s="8544"/>
      <c r="AB35" s="8544"/>
      <c r="AC35" s="8545"/>
      <c r="AD35" s="8546"/>
      <c r="AE35" s="8544"/>
      <c r="AF35" s="8544"/>
      <c r="AG35" s="8544"/>
      <c r="AH35" s="8544"/>
      <c r="AI35" s="8545"/>
      <c r="AJ35" s="8546"/>
      <c r="AK35" s="8544"/>
      <c r="AL35" s="8544"/>
      <c r="AM35" s="8544"/>
      <c r="AN35" s="8544"/>
      <c r="AO35" s="8544"/>
      <c r="AP35" s="1277"/>
      <c r="BG35" s="769"/>
      <c r="BH35" s="658"/>
      <c r="BI35" s="658"/>
      <c r="BJ35" s="658"/>
      <c r="BK35" s="658"/>
      <c r="BL35" s="658"/>
      <c r="BM35" s="658"/>
      <c r="BN35" s="658"/>
      <c r="BO35" s="658"/>
      <c r="BP35" s="658"/>
    </row>
    <row r="36" spans="1:68" ht="14.25" customHeight="1">
      <c r="A36" s="1277"/>
      <c r="B36" s="8513">
        <v>8</v>
      </c>
      <c r="C36" s="8456"/>
      <c r="D36" s="2100" t="s">
        <v>2351</v>
      </c>
      <c r="E36" s="2126"/>
      <c r="F36" s="2126"/>
      <c r="G36" s="2126"/>
      <c r="H36" s="2126"/>
      <c r="I36" s="2126"/>
      <c r="J36" s="2126"/>
      <c r="K36" s="2126"/>
      <c r="L36" s="2126"/>
      <c r="M36" s="2126"/>
      <c r="N36" s="2126"/>
      <c r="O36" s="2126"/>
      <c r="P36" s="2126"/>
      <c r="Q36" s="2126"/>
      <c r="R36" s="2126"/>
      <c r="S36" s="2198" t="s">
        <v>597</v>
      </c>
      <c r="T36" s="8518">
        <v>8</v>
      </c>
      <c r="U36" s="8519"/>
      <c r="V36" s="8544"/>
      <c r="W36" s="8544"/>
      <c r="X36" s="8544"/>
      <c r="Y36" s="8544"/>
      <c r="Z36" s="8544"/>
      <c r="AA36" s="8544"/>
      <c r="AB36" s="8544"/>
      <c r="AC36" s="8545"/>
      <c r="AD36" s="8546"/>
      <c r="AE36" s="8544"/>
      <c r="AF36" s="8544"/>
      <c r="AG36" s="8544"/>
      <c r="AH36" s="8544"/>
      <c r="AI36" s="8545"/>
      <c r="AJ36" s="8546"/>
      <c r="AK36" s="8544"/>
      <c r="AL36" s="8544"/>
      <c r="AM36" s="8544"/>
      <c r="AN36" s="8544"/>
      <c r="AO36" s="8544"/>
      <c r="AP36" s="1277"/>
      <c r="BG36" s="769"/>
      <c r="BH36" s="658"/>
      <c r="BI36" s="658"/>
      <c r="BJ36" s="658"/>
      <c r="BK36" s="658"/>
      <c r="BL36" s="658"/>
      <c r="BM36" s="658"/>
      <c r="BN36" s="658"/>
      <c r="BO36" s="658"/>
      <c r="BP36" s="658"/>
    </row>
    <row r="37" spans="1:68" ht="14.25" customHeight="1">
      <c r="A37" s="1277"/>
      <c r="B37" s="8513">
        <v>9</v>
      </c>
      <c r="C37" s="8456"/>
      <c r="D37" s="2100" t="s">
        <v>2352</v>
      </c>
      <c r="E37" s="2126"/>
      <c r="F37" s="2126"/>
      <c r="G37" s="2126"/>
      <c r="H37" s="2126"/>
      <c r="I37" s="2126"/>
      <c r="J37" s="2126"/>
      <c r="K37" s="2126"/>
      <c r="L37" s="2126"/>
      <c r="M37" s="2126"/>
      <c r="N37" s="2126"/>
      <c r="O37" s="2126"/>
      <c r="P37" s="2126"/>
      <c r="Q37" s="2126"/>
      <c r="R37" s="2126"/>
      <c r="S37" s="2198" t="s">
        <v>2186</v>
      </c>
      <c r="T37" s="8518">
        <v>9</v>
      </c>
      <c r="U37" s="8519"/>
      <c r="V37" s="8544"/>
      <c r="W37" s="8544"/>
      <c r="X37" s="8544"/>
      <c r="Y37" s="8544"/>
      <c r="Z37" s="8544"/>
      <c r="AA37" s="8544"/>
      <c r="AB37" s="8544"/>
      <c r="AC37" s="8545"/>
      <c r="AD37" s="8546"/>
      <c r="AE37" s="8544"/>
      <c r="AF37" s="8544"/>
      <c r="AG37" s="8544"/>
      <c r="AH37" s="8544"/>
      <c r="AI37" s="8545"/>
      <c r="AJ37" s="8546"/>
      <c r="AK37" s="8544"/>
      <c r="AL37" s="8544"/>
      <c r="AM37" s="8544"/>
      <c r="AN37" s="8544"/>
      <c r="AO37" s="8544"/>
      <c r="AP37" s="1277"/>
      <c r="BG37" s="769"/>
      <c r="BH37" s="658"/>
      <c r="BI37" s="658"/>
      <c r="BJ37" s="658"/>
      <c r="BK37" s="658"/>
      <c r="BL37" s="658"/>
      <c r="BM37" s="658"/>
      <c r="BN37" s="658"/>
      <c r="BO37" s="658"/>
      <c r="BP37" s="658"/>
    </row>
    <row r="38" spans="1:68" ht="14.25" customHeight="1">
      <c r="A38" s="1277"/>
      <c r="B38" s="8513">
        <v>10</v>
      </c>
      <c r="C38" s="8456"/>
      <c r="D38" s="2100" t="s">
        <v>2353</v>
      </c>
      <c r="E38" s="2126"/>
      <c r="F38" s="2126"/>
      <c r="G38" s="2126"/>
      <c r="H38" s="2126"/>
      <c r="I38" s="2126"/>
      <c r="J38" s="2126"/>
      <c r="K38" s="2126"/>
      <c r="L38" s="2126"/>
      <c r="M38" s="2126"/>
      <c r="N38" s="2126"/>
      <c r="O38" s="2126"/>
      <c r="P38" s="2126"/>
      <c r="Q38" s="2126"/>
      <c r="R38" s="2126"/>
      <c r="S38" s="2198" t="s">
        <v>624</v>
      </c>
      <c r="T38" s="8518">
        <v>10</v>
      </c>
      <c r="U38" s="8519"/>
      <c r="V38" s="8544"/>
      <c r="W38" s="8544"/>
      <c r="X38" s="8544"/>
      <c r="Y38" s="8544"/>
      <c r="Z38" s="8544"/>
      <c r="AA38" s="8544"/>
      <c r="AB38" s="8544"/>
      <c r="AC38" s="8545"/>
      <c r="AD38" s="8546"/>
      <c r="AE38" s="8544"/>
      <c r="AF38" s="8544"/>
      <c r="AG38" s="8544"/>
      <c r="AH38" s="8544"/>
      <c r="AI38" s="8545"/>
      <c r="AJ38" s="8546"/>
      <c r="AK38" s="8544"/>
      <c r="AL38" s="8544"/>
      <c r="AM38" s="8544"/>
      <c r="AN38" s="8544"/>
      <c r="AO38" s="8544"/>
      <c r="AP38" s="1277"/>
      <c r="BG38" s="769"/>
      <c r="BH38" s="658"/>
      <c r="BI38" s="658"/>
      <c r="BJ38" s="658"/>
      <c r="BK38" s="658"/>
      <c r="BL38" s="658"/>
      <c r="BM38" s="658"/>
      <c r="BN38" s="658"/>
      <c r="BO38" s="658"/>
      <c r="BP38" s="658"/>
    </row>
    <row r="39" spans="1:68" ht="14.25" customHeight="1">
      <c r="A39" s="1277"/>
      <c r="B39" s="8513">
        <v>11</v>
      </c>
      <c r="C39" s="8456"/>
      <c r="D39" s="2100" t="s">
        <v>2354</v>
      </c>
      <c r="E39" s="2126"/>
      <c r="F39" s="2126"/>
      <c r="G39" s="2126"/>
      <c r="H39" s="2126"/>
      <c r="I39" s="2126"/>
      <c r="J39" s="2126"/>
      <c r="K39" s="2126"/>
      <c r="L39" s="2126"/>
      <c r="M39" s="2126"/>
      <c r="N39" s="2126"/>
      <c r="O39" s="2126"/>
      <c r="P39" s="2126"/>
      <c r="Q39" s="2126"/>
      <c r="R39" s="2126"/>
      <c r="S39" s="2198" t="s">
        <v>594</v>
      </c>
      <c r="T39" s="8518">
        <v>11</v>
      </c>
      <c r="U39" s="8519"/>
      <c r="V39" s="8544"/>
      <c r="W39" s="8544"/>
      <c r="X39" s="8544"/>
      <c r="Y39" s="8544"/>
      <c r="Z39" s="8544"/>
      <c r="AA39" s="8544"/>
      <c r="AB39" s="8544"/>
      <c r="AC39" s="8545"/>
      <c r="AD39" s="8546"/>
      <c r="AE39" s="8544"/>
      <c r="AF39" s="8544"/>
      <c r="AG39" s="8544"/>
      <c r="AH39" s="8544"/>
      <c r="AI39" s="8545"/>
      <c r="AJ39" s="8546"/>
      <c r="AK39" s="8544"/>
      <c r="AL39" s="8544"/>
      <c r="AM39" s="8544"/>
      <c r="AN39" s="8544"/>
      <c r="AO39" s="8544"/>
      <c r="AP39" s="1277"/>
      <c r="BG39" s="769"/>
      <c r="BH39" s="658"/>
      <c r="BI39" s="658"/>
      <c r="BJ39" s="658"/>
      <c r="BK39" s="658"/>
      <c r="BL39" s="658"/>
      <c r="BM39" s="658"/>
      <c r="BN39" s="658"/>
      <c r="BO39" s="658"/>
      <c r="BP39" s="658"/>
    </row>
    <row r="40" spans="1:68" ht="14.25" customHeight="1">
      <c r="A40" s="1277"/>
      <c r="B40" s="8513">
        <v>12</v>
      </c>
      <c r="C40" s="8456"/>
      <c r="D40" s="2100" t="s">
        <v>2355</v>
      </c>
      <c r="E40" s="2126"/>
      <c r="F40" s="2126"/>
      <c r="G40" s="2126"/>
      <c r="H40" s="2126"/>
      <c r="I40" s="2126"/>
      <c r="J40" s="2126"/>
      <c r="K40" s="2126"/>
      <c r="L40" s="2126"/>
      <c r="M40" s="2126"/>
      <c r="N40" s="2126"/>
      <c r="O40" s="2126"/>
      <c r="P40" s="2126"/>
      <c r="Q40" s="2126"/>
      <c r="R40" s="2126"/>
      <c r="S40" s="4800"/>
      <c r="T40" s="8518">
        <v>12</v>
      </c>
      <c r="U40" s="8519"/>
      <c r="V40" s="8544"/>
      <c r="W40" s="8544"/>
      <c r="X40" s="8544"/>
      <c r="Y40" s="8544"/>
      <c r="Z40" s="8544"/>
      <c r="AA40" s="8544"/>
      <c r="AB40" s="8544"/>
      <c r="AC40" s="8545"/>
      <c r="AD40" s="8546"/>
      <c r="AE40" s="8544"/>
      <c r="AF40" s="8544"/>
      <c r="AG40" s="8544"/>
      <c r="AH40" s="8544"/>
      <c r="AI40" s="8545"/>
      <c r="AJ40" s="8546"/>
      <c r="AK40" s="8544"/>
      <c r="AL40" s="8544"/>
      <c r="AM40" s="8544"/>
      <c r="AN40" s="8544"/>
      <c r="AO40" s="8544"/>
      <c r="AP40" s="1277"/>
      <c r="BG40" s="769"/>
      <c r="BH40" s="658"/>
      <c r="BI40" s="658"/>
      <c r="BJ40" s="658"/>
      <c r="BK40" s="658"/>
      <c r="BL40" s="658"/>
      <c r="BM40" s="658"/>
      <c r="BN40" s="658"/>
      <c r="BO40" s="658"/>
      <c r="BP40" s="658"/>
    </row>
    <row r="41" spans="1:68" ht="14.25" customHeight="1">
      <c r="A41" s="1277"/>
      <c r="B41" s="8513">
        <v>13</v>
      </c>
      <c r="C41" s="8456"/>
      <c r="D41" s="2100" t="s">
        <v>2356</v>
      </c>
      <c r="E41" s="2126"/>
      <c r="F41" s="2126"/>
      <c r="G41" s="2126"/>
      <c r="H41" s="2126"/>
      <c r="I41" s="2126"/>
      <c r="J41" s="2126"/>
      <c r="K41" s="2126"/>
      <c r="L41" s="2126"/>
      <c r="M41" s="2126"/>
      <c r="N41" s="2126"/>
      <c r="O41" s="2126"/>
      <c r="P41" s="2126"/>
      <c r="Q41" s="2126"/>
      <c r="R41" s="2126"/>
      <c r="S41" s="2198" t="s">
        <v>597</v>
      </c>
      <c r="T41" s="8518">
        <v>13</v>
      </c>
      <c r="U41" s="8519"/>
      <c r="V41" s="8544"/>
      <c r="W41" s="8544"/>
      <c r="X41" s="8544"/>
      <c r="Y41" s="8544"/>
      <c r="Z41" s="8544"/>
      <c r="AA41" s="8544"/>
      <c r="AB41" s="8544"/>
      <c r="AC41" s="8545"/>
      <c r="AD41" s="8546"/>
      <c r="AE41" s="8544"/>
      <c r="AF41" s="8544"/>
      <c r="AG41" s="8544"/>
      <c r="AH41" s="8544"/>
      <c r="AI41" s="8545"/>
      <c r="AJ41" s="8546"/>
      <c r="AK41" s="8544"/>
      <c r="AL41" s="8544"/>
      <c r="AM41" s="8544"/>
      <c r="AN41" s="8544"/>
      <c r="AO41" s="8544"/>
      <c r="AP41" s="1277"/>
      <c r="BG41" s="769"/>
      <c r="BH41" s="658"/>
      <c r="BI41" s="658"/>
      <c r="BJ41" s="658"/>
      <c r="BK41" s="658"/>
      <c r="BL41" s="658"/>
      <c r="BM41" s="658"/>
      <c r="BN41" s="658"/>
      <c r="BO41" s="658"/>
      <c r="BP41" s="658"/>
    </row>
    <row r="42" spans="1:68" ht="14.25" customHeight="1">
      <c r="A42" s="1277"/>
      <c r="B42" s="8513">
        <v>14</v>
      </c>
      <c r="C42" s="8456"/>
      <c r="D42" s="2100" t="s">
        <v>2357</v>
      </c>
      <c r="E42" s="2126"/>
      <c r="F42" s="2126"/>
      <c r="G42" s="2126"/>
      <c r="H42" s="2126"/>
      <c r="I42" s="2126"/>
      <c r="J42" s="2126"/>
      <c r="K42" s="2126"/>
      <c r="L42" s="2126"/>
      <c r="M42" s="2126"/>
      <c r="N42" s="2126"/>
      <c r="O42" s="2126"/>
      <c r="P42" s="2126"/>
      <c r="Q42" s="2126"/>
      <c r="R42" s="2126"/>
      <c r="S42" s="2198" t="s">
        <v>2186</v>
      </c>
      <c r="T42" s="8518">
        <v>14</v>
      </c>
      <c r="U42" s="8519"/>
      <c r="V42" s="8544"/>
      <c r="W42" s="8544"/>
      <c r="X42" s="8544"/>
      <c r="Y42" s="8544"/>
      <c r="Z42" s="8544"/>
      <c r="AA42" s="8544"/>
      <c r="AB42" s="8544"/>
      <c r="AC42" s="8545"/>
      <c r="AD42" s="8546"/>
      <c r="AE42" s="8544"/>
      <c r="AF42" s="8544"/>
      <c r="AG42" s="8544"/>
      <c r="AH42" s="8544"/>
      <c r="AI42" s="8545"/>
      <c r="AJ42" s="8546"/>
      <c r="AK42" s="8544"/>
      <c r="AL42" s="8544"/>
      <c r="AM42" s="8544"/>
      <c r="AN42" s="8544"/>
      <c r="AO42" s="8544"/>
      <c r="AP42" s="1277"/>
      <c r="BG42" s="769"/>
      <c r="BH42" s="658"/>
      <c r="BI42" s="658"/>
      <c r="BJ42" s="658"/>
      <c r="BK42" s="658"/>
      <c r="BL42" s="658"/>
      <c r="BM42" s="658"/>
      <c r="BN42" s="658"/>
      <c r="BO42" s="658"/>
      <c r="BP42" s="658"/>
    </row>
    <row r="43" spans="1:68" ht="14.25" customHeight="1">
      <c r="A43" s="1277"/>
      <c r="B43" s="8513">
        <v>15</v>
      </c>
      <c r="C43" s="8456"/>
      <c r="D43" s="2100" t="s">
        <v>2358</v>
      </c>
      <c r="E43" s="2126"/>
      <c r="F43" s="2126"/>
      <c r="G43" s="2126"/>
      <c r="H43" s="2126"/>
      <c r="I43" s="2126"/>
      <c r="J43" s="2126"/>
      <c r="K43" s="2126"/>
      <c r="L43" s="2126"/>
      <c r="M43" s="2126"/>
      <c r="N43" s="2126"/>
      <c r="O43" s="2126"/>
      <c r="P43" s="2126"/>
      <c r="Q43" s="2126"/>
      <c r="R43" s="2126"/>
      <c r="S43" s="2198" t="s">
        <v>2186</v>
      </c>
      <c r="T43" s="8518">
        <v>15</v>
      </c>
      <c r="U43" s="8519"/>
      <c r="V43" s="8544"/>
      <c r="W43" s="8544"/>
      <c r="X43" s="8544"/>
      <c r="Y43" s="8544"/>
      <c r="Z43" s="8544"/>
      <c r="AA43" s="8544"/>
      <c r="AB43" s="8544"/>
      <c r="AC43" s="8545"/>
      <c r="AD43" s="8546"/>
      <c r="AE43" s="8544"/>
      <c r="AF43" s="8544"/>
      <c r="AG43" s="8544"/>
      <c r="AH43" s="8544"/>
      <c r="AI43" s="8545"/>
      <c r="AJ43" s="8546"/>
      <c r="AK43" s="8544"/>
      <c r="AL43" s="8544"/>
      <c r="AM43" s="8544"/>
      <c r="AN43" s="8544"/>
      <c r="AO43" s="8544"/>
      <c r="AP43" s="1277"/>
      <c r="BG43" s="769"/>
      <c r="BH43" s="658"/>
      <c r="BI43" s="658"/>
      <c r="BJ43" s="658"/>
      <c r="BK43" s="658"/>
      <c r="BL43" s="658"/>
      <c r="BM43" s="658"/>
      <c r="BN43" s="658"/>
      <c r="BO43" s="658"/>
      <c r="BP43" s="658"/>
    </row>
    <row r="44" spans="1:68" ht="14.25" customHeight="1">
      <c r="A44" s="1277"/>
      <c r="B44" s="8513">
        <v>16</v>
      </c>
      <c r="C44" s="8456"/>
      <c r="D44" s="2100" t="s">
        <v>2359</v>
      </c>
      <c r="E44" s="2126"/>
      <c r="F44" s="2126"/>
      <c r="G44" s="2126"/>
      <c r="H44" s="2126"/>
      <c r="I44" s="2126"/>
      <c r="J44" s="2126"/>
      <c r="K44" s="2126"/>
      <c r="L44" s="2126"/>
      <c r="M44" s="2126"/>
      <c r="N44" s="2126"/>
      <c r="O44" s="2126"/>
      <c r="P44" s="2126"/>
      <c r="Q44" s="2126"/>
      <c r="R44" s="2126"/>
      <c r="S44" s="2198" t="s">
        <v>650</v>
      </c>
      <c r="T44" s="8518">
        <v>16</v>
      </c>
      <c r="U44" s="8519"/>
      <c r="V44" s="8544"/>
      <c r="W44" s="8544"/>
      <c r="X44" s="8544"/>
      <c r="Y44" s="8544"/>
      <c r="Z44" s="8544"/>
      <c r="AA44" s="8544"/>
      <c r="AB44" s="8544"/>
      <c r="AC44" s="8545"/>
      <c r="AD44" s="8546"/>
      <c r="AE44" s="8544"/>
      <c r="AF44" s="8544"/>
      <c r="AG44" s="8544"/>
      <c r="AH44" s="8544"/>
      <c r="AI44" s="8545"/>
      <c r="AJ44" s="8546"/>
      <c r="AK44" s="8544"/>
      <c r="AL44" s="8544"/>
      <c r="AM44" s="8544"/>
      <c r="AN44" s="8544"/>
      <c r="AO44" s="8544"/>
      <c r="AP44" s="1277"/>
      <c r="BG44" s="769"/>
      <c r="BH44" s="658"/>
      <c r="BI44" s="658"/>
      <c r="BJ44" s="658"/>
      <c r="BK44" s="658"/>
      <c r="BL44" s="658"/>
      <c r="BM44" s="658"/>
      <c r="BN44" s="658"/>
      <c r="BO44" s="658"/>
      <c r="BP44" s="658"/>
    </row>
    <row r="45" spans="1:68" ht="14.25" customHeight="1">
      <c r="A45" s="1277"/>
      <c r="B45" s="8513">
        <v>17</v>
      </c>
      <c r="C45" s="8456"/>
      <c r="D45" s="2100" t="s">
        <v>2025</v>
      </c>
      <c r="E45" s="2126"/>
      <c r="F45" s="2126"/>
      <c r="G45" s="2126"/>
      <c r="H45" s="2126"/>
      <c r="I45" s="2126"/>
      <c r="J45" s="2126"/>
      <c r="K45" s="2126"/>
      <c r="L45" s="2126"/>
      <c r="M45" s="2126"/>
      <c r="N45" s="2126"/>
      <c r="O45" s="2126"/>
      <c r="P45" s="2126"/>
      <c r="Q45" s="2126"/>
      <c r="R45" s="2126"/>
      <c r="S45" s="2198" t="s">
        <v>650</v>
      </c>
      <c r="T45" s="8518">
        <v>17</v>
      </c>
      <c r="U45" s="8519"/>
      <c r="V45" s="8544"/>
      <c r="W45" s="8544"/>
      <c r="X45" s="8544"/>
      <c r="Y45" s="8544"/>
      <c r="Z45" s="8544"/>
      <c r="AA45" s="8544"/>
      <c r="AB45" s="8544"/>
      <c r="AC45" s="8545"/>
      <c r="AD45" s="8546"/>
      <c r="AE45" s="8544"/>
      <c r="AF45" s="8544"/>
      <c r="AG45" s="8544"/>
      <c r="AH45" s="8544"/>
      <c r="AI45" s="8545"/>
      <c r="AJ45" s="8546"/>
      <c r="AK45" s="8544"/>
      <c r="AL45" s="8544"/>
      <c r="AM45" s="8544"/>
      <c r="AN45" s="8544"/>
      <c r="AO45" s="8544"/>
      <c r="AP45" s="1277"/>
      <c r="AQ45" s="2875"/>
      <c r="AR45" s="2875"/>
      <c r="AS45" s="2875"/>
      <c r="AT45" s="2875"/>
      <c r="AU45" s="2875"/>
      <c r="BG45" s="769"/>
      <c r="BH45" s="658"/>
      <c r="BI45" s="658"/>
      <c r="BJ45" s="658"/>
      <c r="BK45" s="658"/>
      <c r="BL45" s="658"/>
      <c r="BM45" s="658"/>
      <c r="BN45" s="658"/>
      <c r="BO45" s="658"/>
      <c r="BP45" s="658"/>
    </row>
    <row r="46" spans="1:68" ht="14.25" customHeight="1">
      <c r="A46" s="1277"/>
      <c r="B46" s="8513">
        <v>18</v>
      </c>
      <c r="C46" s="8456"/>
      <c r="D46" s="2100" t="s">
        <v>2360</v>
      </c>
      <c r="E46" s="2126"/>
      <c r="F46" s="2126"/>
      <c r="G46" s="2126"/>
      <c r="H46" s="2126"/>
      <c r="I46" s="2126"/>
      <c r="J46" s="2126"/>
      <c r="K46" s="2126"/>
      <c r="L46" s="2126"/>
      <c r="M46" s="2126"/>
      <c r="N46" s="2126"/>
      <c r="O46" s="2126"/>
      <c r="P46" s="2126"/>
      <c r="Q46" s="2126"/>
      <c r="R46" s="2126"/>
      <c r="S46" s="2198" t="s">
        <v>624</v>
      </c>
      <c r="T46" s="8518">
        <v>18</v>
      </c>
      <c r="U46" s="8519"/>
      <c r="V46" s="8544"/>
      <c r="W46" s="8544"/>
      <c r="X46" s="8544"/>
      <c r="Y46" s="8544"/>
      <c r="Z46" s="8544"/>
      <c r="AA46" s="8544"/>
      <c r="AB46" s="8544"/>
      <c r="AC46" s="8545"/>
      <c r="AD46" s="8546"/>
      <c r="AE46" s="8544"/>
      <c r="AF46" s="8544"/>
      <c r="AG46" s="8544"/>
      <c r="AH46" s="8544"/>
      <c r="AI46" s="8545"/>
      <c r="AJ46" s="8546"/>
      <c r="AK46" s="8544"/>
      <c r="AL46" s="8544"/>
      <c r="AM46" s="8544"/>
      <c r="AN46" s="8544"/>
      <c r="AO46" s="8544"/>
      <c r="AP46" s="1277"/>
      <c r="AQ46" s="2875"/>
      <c r="AR46" s="7608" t="s">
        <v>2361</v>
      </c>
      <c r="AS46" s="7608"/>
      <c r="AT46" s="7608"/>
      <c r="AU46" s="2875"/>
      <c r="BG46" s="769"/>
      <c r="BH46" s="658"/>
      <c r="BI46" s="658"/>
      <c r="BJ46" s="658"/>
      <c r="BK46" s="658"/>
      <c r="BL46" s="658"/>
      <c r="BM46" s="658"/>
      <c r="BN46" s="658"/>
      <c r="BO46" s="658"/>
      <c r="BP46" s="658"/>
    </row>
    <row r="47" spans="1:68" ht="14.25" customHeight="1">
      <c r="A47" s="1277"/>
      <c r="B47" s="8513">
        <v>19</v>
      </c>
      <c r="C47" s="8456"/>
      <c r="D47" s="2100" t="s">
        <v>2362</v>
      </c>
      <c r="E47" s="2126"/>
      <c r="F47" s="2126"/>
      <c r="G47" s="2126"/>
      <c r="H47" s="8548"/>
      <c r="I47" s="8548"/>
      <c r="J47" s="8548"/>
      <c r="K47" s="8548"/>
      <c r="L47" s="8548"/>
      <c r="M47" s="8548"/>
      <c r="N47" s="8548"/>
      <c r="O47" s="8548"/>
      <c r="P47" s="8548"/>
      <c r="Q47" s="8548"/>
      <c r="R47" s="8548"/>
      <c r="S47" s="4800"/>
      <c r="T47" s="8518">
        <v>19</v>
      </c>
      <c r="U47" s="8519"/>
      <c r="V47" s="8544"/>
      <c r="W47" s="8544"/>
      <c r="X47" s="8544"/>
      <c r="Y47" s="8544"/>
      <c r="Z47" s="8544"/>
      <c r="AA47" s="8544"/>
      <c r="AB47" s="8544"/>
      <c r="AC47" s="8545"/>
      <c r="AD47" s="8546"/>
      <c r="AE47" s="8544"/>
      <c r="AF47" s="8544"/>
      <c r="AG47" s="8544"/>
      <c r="AH47" s="8544"/>
      <c r="AI47" s="8545"/>
      <c r="AJ47" s="8546"/>
      <c r="AK47" s="8544"/>
      <c r="AL47" s="8544"/>
      <c r="AM47" s="8544"/>
      <c r="AN47" s="8544"/>
      <c r="AO47" s="8544"/>
      <c r="AP47" s="1277"/>
      <c r="AQ47" s="2875"/>
      <c r="AR47" s="2875"/>
      <c r="AS47" s="2875"/>
      <c r="AT47" s="2875"/>
      <c r="AU47" s="2875"/>
      <c r="BG47" s="769"/>
      <c r="BH47" s="658"/>
      <c r="BI47" s="658"/>
      <c r="BJ47" s="658"/>
      <c r="BK47" s="658"/>
      <c r="BL47" s="658"/>
      <c r="BM47" s="658"/>
      <c r="BN47" s="658"/>
      <c r="BO47" s="658"/>
      <c r="BP47" s="658"/>
    </row>
    <row r="48" spans="1:68" ht="14.25" customHeight="1">
      <c r="A48" s="1277"/>
      <c r="B48" s="8513">
        <v>20</v>
      </c>
      <c r="C48" s="8456"/>
      <c r="D48" s="2100" t="s">
        <v>2363</v>
      </c>
      <c r="E48" s="2126"/>
      <c r="F48" s="2126"/>
      <c r="G48" s="2126"/>
      <c r="H48" s="2126"/>
      <c r="I48" s="2126"/>
      <c r="J48" s="2126"/>
      <c r="K48" s="2126"/>
      <c r="L48" s="2126"/>
      <c r="M48" s="2126"/>
      <c r="N48" s="2126"/>
      <c r="O48" s="2126"/>
      <c r="P48" s="2126"/>
      <c r="Q48" s="2126"/>
      <c r="R48" s="2126"/>
      <c r="S48" s="2198" t="s">
        <v>643</v>
      </c>
      <c r="T48" s="8518">
        <v>20</v>
      </c>
      <c r="U48" s="8519"/>
      <c r="V48" s="8413">
        <f>IF(AR48&lt;&gt;"",ROUND(AR48,0),ROUND(SUM(V33:AC47),0))</f>
        <v>0</v>
      </c>
      <c r="W48" s="8413"/>
      <c r="X48" s="8413"/>
      <c r="Y48" s="8413"/>
      <c r="Z48" s="8413"/>
      <c r="AA48" s="8413"/>
      <c r="AB48" s="8413"/>
      <c r="AC48" s="8530"/>
      <c r="AD48" s="8529">
        <f>IF(AS48&lt;&gt;"",ROUND(AS48,0),ROUND(SUM(AD33:AI47),0))</f>
        <v>0</v>
      </c>
      <c r="AE48" s="8413"/>
      <c r="AF48" s="8413"/>
      <c r="AG48" s="8413"/>
      <c r="AH48" s="8413"/>
      <c r="AI48" s="8530"/>
      <c r="AJ48" s="8547">
        <f>IF(AT48&lt;&gt;"",ROUND(AT48,0),ROUND(SUM(AJ33:AO47),0))</f>
        <v>0</v>
      </c>
      <c r="AK48" s="8415"/>
      <c r="AL48" s="8415"/>
      <c r="AM48" s="8415"/>
      <c r="AN48" s="8415"/>
      <c r="AO48" s="8415"/>
      <c r="AP48" s="1277"/>
      <c r="AQ48" s="2875"/>
      <c r="AR48" s="777"/>
      <c r="AS48" s="777"/>
      <c r="AT48" s="777"/>
      <c r="AU48" s="2875"/>
      <c r="BG48" s="769"/>
      <c r="BH48" s="658"/>
      <c r="BI48" s="658"/>
      <c r="BJ48" s="658"/>
      <c r="BK48" s="658"/>
      <c r="BL48" s="658"/>
      <c r="BM48" s="658"/>
      <c r="BN48" s="658"/>
      <c r="BO48" s="658"/>
      <c r="BP48" s="658"/>
    </row>
    <row r="49" spans="1:68" ht="14.25" customHeight="1">
      <c r="A49" s="1277"/>
      <c r="B49" s="8513">
        <v>21</v>
      </c>
      <c r="C49" s="8456"/>
      <c r="D49" s="2100" t="s">
        <v>2364</v>
      </c>
      <c r="E49" s="2126"/>
      <c r="F49" s="2126"/>
      <c r="G49" s="2126"/>
      <c r="H49" s="2126"/>
      <c r="I49" s="2126"/>
      <c r="J49" s="2126"/>
      <c r="K49" s="2126"/>
      <c r="L49" s="2126"/>
      <c r="M49" s="2126"/>
      <c r="N49" s="2126"/>
      <c r="O49" s="2126"/>
      <c r="P49" s="2126"/>
      <c r="Q49" s="2126"/>
      <c r="R49" s="2126"/>
      <c r="S49" s="4800"/>
      <c r="T49" s="8536"/>
      <c r="U49" s="8537"/>
      <c r="V49" s="8538"/>
      <c r="W49" s="8539"/>
      <c r="X49" s="8539"/>
      <c r="Y49" s="8539"/>
      <c r="Z49" s="8539"/>
      <c r="AA49" s="8539"/>
      <c r="AB49" s="8539"/>
      <c r="AC49" s="8540"/>
      <c r="AD49" s="8538"/>
      <c r="AE49" s="8539"/>
      <c r="AF49" s="8539"/>
      <c r="AG49" s="8539"/>
      <c r="AH49" s="8539"/>
      <c r="AI49" s="8540"/>
      <c r="AJ49" s="8538"/>
      <c r="AK49" s="8539"/>
      <c r="AL49" s="8539"/>
      <c r="AM49" s="8539"/>
      <c r="AN49" s="8539"/>
      <c r="AO49" s="8539"/>
      <c r="AP49" s="1277"/>
      <c r="AQ49" s="2875"/>
      <c r="AR49" s="2875"/>
      <c r="AS49" s="2875"/>
      <c r="AT49" s="2875"/>
      <c r="AU49" s="2875"/>
      <c r="AX49" s="1"/>
      <c r="AY49" s="8410" t="s">
        <v>510</v>
      </c>
      <c r="AZ49" s="8411"/>
      <c r="BA49" s="8410" t="s">
        <v>516</v>
      </c>
      <c r="BB49" s="8411"/>
      <c r="BC49" s="8410" t="s">
        <v>518</v>
      </c>
      <c r="BD49" s="8411"/>
      <c r="BG49" s="769"/>
      <c r="BH49" s="658"/>
      <c r="BI49" s="658"/>
      <c r="BJ49" s="658"/>
      <c r="BK49" s="658"/>
      <c r="BL49" s="658"/>
      <c r="BM49" s="658"/>
      <c r="BN49" s="658"/>
      <c r="BO49" s="658"/>
      <c r="BP49" s="658"/>
    </row>
    <row r="50" spans="1:68" ht="14.25" customHeight="1">
      <c r="A50" s="1277"/>
      <c r="B50" s="8513"/>
      <c r="C50" s="8456"/>
      <c r="D50" s="2100" t="s">
        <v>2365</v>
      </c>
      <c r="E50" s="2126"/>
      <c r="F50" s="2126"/>
      <c r="G50" s="2126"/>
      <c r="H50" s="2126"/>
      <c r="I50" s="2126"/>
      <c r="J50" s="2126"/>
      <c r="K50" s="2126"/>
      <c r="L50" s="2126"/>
      <c r="M50" s="2126"/>
      <c r="N50" s="2126"/>
      <c r="O50" s="2126"/>
      <c r="P50" s="2126"/>
      <c r="Q50" s="2126"/>
      <c r="R50" s="2126"/>
      <c r="S50" s="4800"/>
      <c r="T50" s="8531"/>
      <c r="U50" s="8532"/>
      <c r="V50" s="8541"/>
      <c r="W50" s="8542"/>
      <c r="X50" s="8542"/>
      <c r="Y50" s="8542"/>
      <c r="Z50" s="8542"/>
      <c r="AA50" s="8542"/>
      <c r="AB50" s="8542"/>
      <c r="AC50" s="8543"/>
      <c r="AD50" s="8541"/>
      <c r="AE50" s="8542"/>
      <c r="AF50" s="8542"/>
      <c r="AG50" s="8542"/>
      <c r="AH50" s="8542"/>
      <c r="AI50" s="8543"/>
      <c r="AJ50" s="8541"/>
      <c r="AK50" s="8542"/>
      <c r="AL50" s="8542"/>
      <c r="AM50" s="8542"/>
      <c r="AN50" s="8542"/>
      <c r="AO50" s="8542"/>
      <c r="AP50" s="1277"/>
      <c r="AQ50" s="2875"/>
      <c r="AR50" s="2875"/>
      <c r="AS50" s="2875"/>
      <c r="AT50" s="2875"/>
      <c r="AU50" s="2875"/>
      <c r="AX50" s="1"/>
      <c r="AY50" s="250" t="s">
        <v>2366</v>
      </c>
      <c r="AZ50" s="250" t="s">
        <v>2367</v>
      </c>
      <c r="BA50" s="250" t="s">
        <v>2366</v>
      </c>
      <c r="BB50" s="250" t="s">
        <v>2367</v>
      </c>
      <c r="BC50" s="250" t="s">
        <v>2366</v>
      </c>
      <c r="BD50" s="250" t="s">
        <v>2367</v>
      </c>
      <c r="BG50" s="769"/>
      <c r="BH50" s="658"/>
      <c r="BI50" s="658"/>
      <c r="BJ50" s="658"/>
      <c r="BK50" s="658"/>
      <c r="BL50" s="658"/>
      <c r="BM50" s="658"/>
      <c r="BN50" s="658"/>
      <c r="BO50" s="658"/>
      <c r="BP50" s="658"/>
    </row>
    <row r="51" spans="1:68" ht="14.25" customHeight="1">
      <c r="A51" s="1277"/>
      <c r="B51" s="8513"/>
      <c r="C51" s="8456"/>
      <c r="D51" s="2100" t="s">
        <v>2368</v>
      </c>
      <c r="E51" s="2126"/>
      <c r="F51" s="2126"/>
      <c r="G51" s="2126"/>
      <c r="H51" s="2126"/>
      <c r="I51" s="2126"/>
      <c r="J51" s="2126"/>
      <c r="K51" s="2126"/>
      <c r="L51" s="2126"/>
      <c r="M51" s="2126"/>
      <c r="N51" s="2126"/>
      <c r="O51" s="2126"/>
      <c r="P51" s="2126"/>
      <c r="Q51" s="2126"/>
      <c r="R51" s="2126"/>
      <c r="S51" s="2198" t="s">
        <v>608</v>
      </c>
      <c r="T51" s="8518">
        <v>21</v>
      </c>
      <c r="U51" s="8519"/>
      <c r="V51" s="8529">
        <f>IF(AR51&lt;&gt;"",ROUND(AR51,0),ROUND(SUM(V30,V31,-V48),0))</f>
        <v>0</v>
      </c>
      <c r="W51" s="8413"/>
      <c r="X51" s="8413"/>
      <c r="Y51" s="8413"/>
      <c r="Z51" s="8413"/>
      <c r="AA51" s="8413"/>
      <c r="AB51" s="8413"/>
      <c r="AC51" s="8530"/>
      <c r="AD51" s="8529">
        <f>IF(AS51&lt;&gt;"",ROUND(AS51,0),ROUND(SUM(AD30,AD31,-AD48),0))</f>
        <v>0</v>
      </c>
      <c r="AE51" s="8413"/>
      <c r="AF51" s="8413"/>
      <c r="AG51" s="8413"/>
      <c r="AH51" s="8413"/>
      <c r="AI51" s="8530"/>
      <c r="AJ51" s="8529">
        <f>IF(AT51&lt;&gt;"",ROUND(AT51,0),ROUND(SUM(AJ30,AJ31,-AJ48),0))</f>
        <v>0</v>
      </c>
      <c r="AK51" s="8413"/>
      <c r="AL51" s="8413"/>
      <c r="AM51" s="8413"/>
      <c r="AN51" s="8413"/>
      <c r="AO51" s="8413"/>
      <c r="AP51" s="1277"/>
      <c r="AQ51" s="2875"/>
      <c r="AR51" s="777"/>
      <c r="AS51" s="777"/>
      <c r="AT51" s="777"/>
      <c r="AU51" s="2875"/>
      <c r="AX51" s="251" t="s">
        <v>2369</v>
      </c>
      <c r="AY51" s="249">
        <f>IF(V51&gt;0,V51,0)</f>
        <v>0</v>
      </c>
      <c r="AZ51" s="249">
        <f>IF(V51&lt;0,V51,0)</f>
        <v>0</v>
      </c>
      <c r="BA51" s="249">
        <f>IF(AD51&gt;0,AD51,0)</f>
        <v>0</v>
      </c>
      <c r="BB51" s="249">
        <f>IF(AD51&lt;0,AD51,0)</f>
        <v>0</v>
      </c>
      <c r="BC51" s="249">
        <f>IF(AJ51&gt;0,AJ51,0)</f>
        <v>0</v>
      </c>
      <c r="BD51" s="249">
        <f>IF(AJ51&lt;0,AJ51,0)</f>
        <v>0</v>
      </c>
      <c r="BG51" s="769"/>
      <c r="BH51" s="658"/>
      <c r="BI51" s="658"/>
      <c r="BJ51" s="658"/>
      <c r="BK51" s="658"/>
      <c r="BL51" s="658"/>
      <c r="BM51" s="658"/>
      <c r="BN51" s="658"/>
      <c r="BO51" s="658"/>
      <c r="BP51" s="658"/>
    </row>
    <row r="52" spans="1:68" ht="14.25" customHeight="1">
      <c r="A52" s="770"/>
      <c r="B52" s="8513">
        <v>22</v>
      </c>
      <c r="C52" s="8456"/>
      <c r="D52" s="2100" t="s">
        <v>2370</v>
      </c>
      <c r="E52" s="2126"/>
      <c r="F52" s="2126"/>
      <c r="G52" s="2126"/>
      <c r="H52" s="2126"/>
      <c r="I52" s="2126"/>
      <c r="J52" s="2126"/>
      <c r="K52" s="2126"/>
      <c r="L52" s="2126"/>
      <c r="M52" s="2126"/>
      <c r="N52" s="2126"/>
      <c r="O52" s="2126"/>
      <c r="P52" s="2126"/>
      <c r="Q52" s="2126"/>
      <c r="R52" s="2126"/>
      <c r="S52" s="4800"/>
      <c r="T52" s="8531"/>
      <c r="U52" s="8532"/>
      <c r="V52" s="8533" t="str">
        <f>IF(AND(V51&lt;&gt;"",V51&lt;0,$A52="",$AS52,$AT52),"See Form 8582.","")</f>
        <v/>
      </c>
      <c r="W52" s="8534"/>
      <c r="X52" s="8534"/>
      <c r="Y52" s="8534"/>
      <c r="Z52" s="8534"/>
      <c r="AA52" s="8534"/>
      <c r="AB52" s="8534"/>
      <c r="AC52" s="8535"/>
      <c r="AD52" s="8533" t="str">
        <f>IF(AND(AD51&lt;&gt;"",AD51&lt;0,$A52="",$AS52,$AT52),"See Form 8582.","")</f>
        <v/>
      </c>
      <c r="AE52" s="8534"/>
      <c r="AF52" s="8534"/>
      <c r="AG52" s="8534"/>
      <c r="AH52" s="8534"/>
      <c r="AI52" s="8534"/>
      <c r="AJ52" s="8533" t="str">
        <f>IF(AND(AJ51&lt;&gt;"",AJ51&lt;0,$A52="",$AS52,$AT52),"See Form 8582.","")</f>
        <v/>
      </c>
      <c r="AK52" s="8534"/>
      <c r="AL52" s="8534"/>
      <c r="AM52" s="8534"/>
      <c r="AN52" s="8534"/>
      <c r="AO52" s="8534"/>
      <c r="AP52" s="1277"/>
      <c r="AQ52" s="2875"/>
      <c r="AR52" s="6551">
        <f>'8582'!$AO$33</f>
        <v>150000</v>
      </c>
      <c r="AS52" s="6551" t="b">
        <f>OR(AND(File_Marr_Sep&lt;&gt;"",LivedApart,Adj_Gross_Inc&gt;AR52/2),Adj_Gross_Inc&gt;AR52)</f>
        <v>0</v>
      </c>
      <c r="AT52" s="6551" t="b">
        <f>OR(AND(V51&lt;&gt;"",V51&lt;0),AND(AD51&lt;&gt;"",AD51&lt;0),AND(AJ51&lt;&gt;"",AJ51&lt;0))</f>
        <v>0</v>
      </c>
      <c r="AU52" s="2875"/>
      <c r="AV52" t="b">
        <f>AND($A52="",$AS52,$AT52)</f>
        <v>0</v>
      </c>
      <c r="AX52" s="251" t="s">
        <v>2371</v>
      </c>
      <c r="AY52" s="4810" t="s">
        <v>369</v>
      </c>
      <c r="AZ52" s="249">
        <f>IF(W53&lt;&gt;"",-W53,0)</f>
        <v>0</v>
      </c>
      <c r="BA52" s="4810" t="s">
        <v>369</v>
      </c>
      <c r="BB52" s="249">
        <f>IF(AE53&lt;&gt;"",-AE53,0)</f>
        <v>0</v>
      </c>
      <c r="BC52" s="4810" t="s">
        <v>369</v>
      </c>
      <c r="BD52" s="249">
        <f>IF(AK53&lt;&gt;"",-AK53,0)</f>
        <v>0</v>
      </c>
      <c r="BG52" s="769"/>
      <c r="BH52" s="658"/>
      <c r="BI52" s="658"/>
      <c r="BJ52" s="658"/>
      <c r="BK52" s="658"/>
      <c r="BL52" s="658"/>
      <c r="BM52" s="658"/>
      <c r="BN52" s="658"/>
      <c r="BO52" s="658"/>
      <c r="BP52" s="658"/>
    </row>
    <row r="53" spans="1:68" ht="14.25" customHeight="1">
      <c r="A53" s="1277"/>
      <c r="B53" s="8513"/>
      <c r="C53" s="8456"/>
      <c r="D53" s="2100" t="s">
        <v>2372</v>
      </c>
      <c r="E53" s="2126"/>
      <c r="F53" s="2126"/>
      <c r="G53" s="2126"/>
      <c r="H53" s="2126"/>
      <c r="I53" s="2126"/>
      <c r="J53" s="2126"/>
      <c r="K53" s="2126"/>
      <c r="L53" s="2126"/>
      <c r="M53" s="2126"/>
      <c r="N53" s="2126"/>
      <c r="O53" s="2126"/>
      <c r="P53" s="2126"/>
      <c r="Q53" s="2126"/>
      <c r="R53" s="2126"/>
      <c r="S53" s="2198" t="s">
        <v>624</v>
      </c>
      <c r="T53" s="8518">
        <v>22</v>
      </c>
      <c r="U53" s="8519"/>
      <c r="V53" s="4811" t="s">
        <v>799</v>
      </c>
      <c r="W53" s="8413" t="str">
        <f>IF(AND(AR53&lt;0,AR53&lt;&gt;""),-ROUND(AR53,0),IF(AND(AR53&gt;=0,AR53&lt;&gt;""),ROUND(AR53,0),IF(AND(D21&lt;&gt;6,V51&lt;0),ROUND(-V51,0),"")))</f>
        <v/>
      </c>
      <c r="X53" s="8414"/>
      <c r="Y53" s="8414"/>
      <c r="Z53" s="8414"/>
      <c r="AA53" s="8414"/>
      <c r="AB53" s="8414"/>
      <c r="AC53" s="4802" t="s">
        <v>800</v>
      </c>
      <c r="AD53" s="4811" t="s">
        <v>799</v>
      </c>
      <c r="AE53" s="8413" t="str">
        <f>IF(AND(AS53&lt;0,AS53&lt;&gt;""),-ROUND(AS53,0),IF(AND(AS53&gt;=0,AS53&lt;&gt;""),ROUND(AS53,0),IF(AND(D22&lt;&gt;6,AD51&lt;0),ROUND(-AD51,0),"")))</f>
        <v/>
      </c>
      <c r="AF53" s="8414"/>
      <c r="AG53" s="8414"/>
      <c r="AH53" s="8414"/>
      <c r="AI53" s="4802" t="s">
        <v>800</v>
      </c>
      <c r="AJ53" s="4811" t="s">
        <v>799</v>
      </c>
      <c r="AK53" s="8413" t="str">
        <f>IF(AND(AT53&lt;0,AT53&lt;&gt;""),-ROUND(AT53,0),IF(AND(AT53&gt;=0,AT53&lt;&gt;""),ROUND(AT53,0),IF(AND(D23&lt;&gt;6,AJ51&lt;0),ROUND(-AJ51,0),"")))</f>
        <v/>
      </c>
      <c r="AL53" s="8414"/>
      <c r="AM53" s="8414"/>
      <c r="AN53" s="8414"/>
      <c r="AO53" s="4801" t="s">
        <v>800</v>
      </c>
      <c r="AP53" s="1277"/>
      <c r="AQ53" s="2875"/>
      <c r="AR53" s="777"/>
      <c r="AS53" s="777"/>
      <c r="AT53" s="777"/>
      <c r="AU53" s="2875"/>
      <c r="AV53" t="b">
        <f>AND($A52="",$AS52,$AT52)</f>
        <v>0</v>
      </c>
      <c r="AX53" s="251"/>
      <c r="AY53" s="251" t="s">
        <v>2373</v>
      </c>
      <c r="AZ53" s="249">
        <f>IF(D21=6,AZ51,0)</f>
        <v>0</v>
      </c>
      <c r="BB53" s="249">
        <f>IF(D22=6,BB51,0)</f>
        <v>0</v>
      </c>
      <c r="BD53" s="249">
        <f>IF(D23=6,BD51,0)</f>
        <v>0</v>
      </c>
      <c r="BG53" s="769"/>
      <c r="BH53" s="658"/>
      <c r="BI53" s="658"/>
      <c r="BJ53" s="658"/>
      <c r="BK53" s="658"/>
      <c r="BL53" s="658"/>
      <c r="BM53" s="658"/>
      <c r="BN53" s="658"/>
      <c r="BO53" s="658"/>
      <c r="BP53" s="658"/>
    </row>
    <row r="54" spans="1:68" ht="14.25" customHeight="1">
      <c r="A54" s="1277"/>
      <c r="B54" s="8513" t="s">
        <v>2374</v>
      </c>
      <c r="C54" s="8456"/>
      <c r="D54" s="2100" t="s">
        <v>2375</v>
      </c>
      <c r="E54" s="2126"/>
      <c r="F54" s="2126"/>
      <c r="G54" s="2126"/>
      <c r="H54" s="2126"/>
      <c r="I54" s="2126"/>
      <c r="J54" s="2126"/>
      <c r="K54" s="2126"/>
      <c r="L54" s="2126"/>
      <c r="M54" s="2126"/>
      <c r="N54" s="2126"/>
      <c r="O54" s="2126"/>
      <c r="P54" s="2126"/>
      <c r="Q54" s="2126"/>
      <c r="R54" s="2126"/>
      <c r="S54" s="2126"/>
      <c r="T54" s="2126"/>
      <c r="U54" s="2126"/>
      <c r="V54" s="2126"/>
      <c r="W54" s="2126"/>
      <c r="X54" s="2126"/>
      <c r="Y54" s="2126"/>
      <c r="Z54" s="2126"/>
      <c r="AA54" s="2198" t="s">
        <v>631</v>
      </c>
      <c r="AB54" s="8514" t="s">
        <v>2374</v>
      </c>
      <c r="AC54" s="8515"/>
      <c r="AD54" s="8529">
        <f>IF(AR54&lt;&gt;"",ROUND(AR54,0),ROUND(BC24,0))</f>
        <v>0</v>
      </c>
      <c r="AE54" s="8413"/>
      <c r="AF54" s="8413"/>
      <c r="AG54" s="8413"/>
      <c r="AH54" s="8413"/>
      <c r="AI54" s="8530"/>
      <c r="AJ54" s="1277"/>
      <c r="AK54" s="1277"/>
      <c r="AL54" s="1277"/>
      <c r="AM54" s="1277"/>
      <c r="AN54" s="1277"/>
      <c r="AO54" s="1277"/>
      <c r="AP54" s="1277"/>
      <c r="AQ54" s="2875"/>
      <c r="AR54" s="777"/>
      <c r="AS54" s="2875"/>
      <c r="AT54" s="2875"/>
      <c r="AU54" s="2875"/>
      <c r="AX54" s="1"/>
      <c r="AY54" s="251" t="s">
        <v>2376</v>
      </c>
      <c r="AZ54" s="249">
        <f>IF(D21&lt;&gt;6,AZ51,0)</f>
        <v>0</v>
      </c>
      <c r="BB54" s="249">
        <f>IF(D22&lt;&gt;6,BB51,0)</f>
        <v>0</v>
      </c>
      <c r="BD54" s="249">
        <f>IF(D23&lt;&gt;6,BD51,0)</f>
        <v>0</v>
      </c>
      <c r="BG54" s="769"/>
      <c r="BH54" s="658"/>
      <c r="BI54" s="658"/>
      <c r="BJ54" s="658"/>
      <c r="BK54" s="658"/>
      <c r="BL54" s="658"/>
      <c r="BM54" s="658"/>
      <c r="BN54" s="658"/>
      <c r="BO54" s="658"/>
      <c r="BP54" s="658"/>
    </row>
    <row r="55" spans="1:68" ht="14.25" customHeight="1">
      <c r="A55" s="1277"/>
      <c r="B55" s="8527" t="s">
        <v>592</v>
      </c>
      <c r="C55" s="8528"/>
      <c r="D55" s="2100" t="s">
        <v>2377</v>
      </c>
      <c r="E55" s="2126"/>
      <c r="F55" s="2126"/>
      <c r="G55" s="2126"/>
      <c r="H55" s="2126"/>
      <c r="I55" s="2126"/>
      <c r="J55" s="2126"/>
      <c r="K55" s="2126"/>
      <c r="L55" s="2126"/>
      <c r="M55" s="2126"/>
      <c r="N55" s="2126"/>
      <c r="O55" s="2126"/>
      <c r="P55" s="2126"/>
      <c r="Q55" s="2126"/>
      <c r="R55" s="2126"/>
      <c r="S55" s="2126"/>
      <c r="T55" s="2126"/>
      <c r="U55" s="2126"/>
      <c r="V55" s="2126"/>
      <c r="W55" s="2126"/>
      <c r="X55" s="2126"/>
      <c r="Y55" s="2126"/>
      <c r="Z55" s="2126"/>
      <c r="AA55" s="2198" t="s">
        <v>643</v>
      </c>
      <c r="AB55" s="8514" t="s">
        <v>2378</v>
      </c>
      <c r="AC55" s="8515"/>
      <c r="AD55" s="8529">
        <f>IF(AR55&lt;&gt;"",ROUND(AR55,0),ROUND(BC25,0))</f>
        <v>0</v>
      </c>
      <c r="AE55" s="8413"/>
      <c r="AF55" s="8413"/>
      <c r="AG55" s="8413"/>
      <c r="AH55" s="8413"/>
      <c r="AI55" s="8530"/>
      <c r="AJ55" s="1277"/>
      <c r="AK55" s="1277"/>
      <c r="AL55" s="1277"/>
      <c r="AM55" s="1277"/>
      <c r="AN55" s="1277"/>
      <c r="AO55" s="1277"/>
      <c r="AP55" s="1277"/>
      <c r="AQ55" s="2875"/>
      <c r="AR55" s="777"/>
      <c r="AS55" s="2875"/>
      <c r="AT55" s="2875"/>
      <c r="AU55" s="2875"/>
      <c r="BG55" s="769"/>
      <c r="BH55" s="658"/>
      <c r="BI55" s="658"/>
      <c r="BJ55" s="658"/>
      <c r="BK55" s="658"/>
      <c r="BL55" s="658"/>
      <c r="BM55" s="658"/>
      <c r="BN55" s="658"/>
      <c r="BO55" s="658"/>
      <c r="BP55" s="658"/>
    </row>
    <row r="56" spans="1:68" ht="14.25" customHeight="1">
      <c r="A56" s="1277"/>
      <c r="B56" s="8527" t="s">
        <v>595</v>
      </c>
      <c r="C56" s="8528"/>
      <c r="D56" s="2100" t="s">
        <v>2379</v>
      </c>
      <c r="E56" s="2126"/>
      <c r="F56" s="2126"/>
      <c r="G56" s="2126"/>
      <c r="H56" s="2126"/>
      <c r="I56" s="2126"/>
      <c r="J56" s="2126"/>
      <c r="K56" s="2126"/>
      <c r="L56" s="2126"/>
      <c r="M56" s="2126"/>
      <c r="N56" s="2126"/>
      <c r="O56" s="2126"/>
      <c r="P56" s="2126"/>
      <c r="Q56" s="2126"/>
      <c r="R56" s="2126"/>
      <c r="S56" s="2126"/>
      <c r="T56" s="2126"/>
      <c r="U56" s="2126"/>
      <c r="V56" s="2126"/>
      <c r="W56" s="2126"/>
      <c r="X56" s="2126"/>
      <c r="Y56" s="2126"/>
      <c r="Z56" s="2126"/>
      <c r="AA56" s="2198" t="s">
        <v>601</v>
      </c>
      <c r="AB56" s="8514" t="s">
        <v>2380</v>
      </c>
      <c r="AC56" s="8515"/>
      <c r="AD56" s="8529">
        <f>IF(AR56&lt;&gt;"",ROUND(AR56,0),ROUND(SUM(V40,AD40,AJ40),0))</f>
        <v>0</v>
      </c>
      <c r="AE56" s="8413"/>
      <c r="AF56" s="8413"/>
      <c r="AG56" s="8413"/>
      <c r="AH56" s="8413"/>
      <c r="AI56" s="8530"/>
      <c r="AJ56" s="1277"/>
      <c r="AK56" s="1277"/>
      <c r="AL56" s="1277"/>
      <c r="AM56" s="1277"/>
      <c r="AN56" s="1277"/>
      <c r="AO56" s="1277"/>
      <c r="AP56" s="1277"/>
      <c r="AQ56" s="2875"/>
      <c r="AR56" s="777"/>
      <c r="AS56" s="2875"/>
      <c r="AT56" s="2875"/>
      <c r="AU56" s="2875"/>
      <c r="BG56" s="769"/>
      <c r="BH56" s="658"/>
      <c r="BI56" s="658"/>
      <c r="BJ56" s="658"/>
      <c r="BK56" s="658"/>
      <c r="BL56" s="658"/>
      <c r="BM56" s="658"/>
      <c r="BN56" s="658"/>
      <c r="BO56" s="658"/>
      <c r="BP56" s="658"/>
    </row>
    <row r="57" spans="1:68" ht="14.25" customHeight="1">
      <c r="A57" s="1277"/>
      <c r="B57" s="8527" t="s">
        <v>599</v>
      </c>
      <c r="C57" s="8528"/>
      <c r="D57" s="2100" t="s">
        <v>2381</v>
      </c>
      <c r="E57" s="2126"/>
      <c r="F57" s="2126"/>
      <c r="G57" s="2126"/>
      <c r="H57" s="2126"/>
      <c r="I57" s="2126"/>
      <c r="J57" s="2126"/>
      <c r="K57" s="2126"/>
      <c r="L57" s="2126"/>
      <c r="M57" s="2126"/>
      <c r="N57" s="2126"/>
      <c r="O57" s="2126"/>
      <c r="P57" s="2126"/>
      <c r="Q57" s="2126"/>
      <c r="R57" s="2126"/>
      <c r="S57" s="2126"/>
      <c r="T57" s="2126"/>
      <c r="U57" s="2126"/>
      <c r="V57" s="2126"/>
      <c r="W57" s="2126"/>
      <c r="X57" s="2126"/>
      <c r="Y57" s="2126"/>
      <c r="Z57" s="2126"/>
      <c r="AA57" s="2198" t="s">
        <v>601</v>
      </c>
      <c r="AB57" s="8514" t="s">
        <v>2382</v>
      </c>
      <c r="AC57" s="8515"/>
      <c r="AD57" s="8529">
        <f>IF(AR57&lt;&gt;"",ROUND(AR57,0),ROUND(SUM(V46,AD46,AJ46),0))</f>
        <v>0</v>
      </c>
      <c r="AE57" s="8413"/>
      <c r="AF57" s="8413"/>
      <c r="AG57" s="8413"/>
      <c r="AH57" s="8413"/>
      <c r="AI57" s="8530"/>
      <c r="AJ57" s="1277"/>
      <c r="AK57" s="1277"/>
      <c r="AL57" s="1277"/>
      <c r="AM57" s="1277"/>
      <c r="AN57" s="1277"/>
      <c r="AO57" s="1277"/>
      <c r="AP57" s="1277"/>
      <c r="AQ57" s="2875"/>
      <c r="AR57" s="777"/>
      <c r="AS57" s="2875"/>
      <c r="AT57" s="2875"/>
      <c r="AU57" s="2875"/>
      <c r="BG57" s="769"/>
      <c r="BH57" s="658"/>
      <c r="BI57" s="658"/>
      <c r="BJ57" s="658"/>
      <c r="BK57" s="658"/>
      <c r="BL57" s="658"/>
      <c r="BM57" s="658"/>
      <c r="BN57" s="658"/>
      <c r="BO57" s="658"/>
      <c r="BP57" s="658"/>
    </row>
    <row r="58" spans="1:68" ht="14.25" customHeight="1">
      <c r="A58" s="1277"/>
      <c r="B58" s="8527" t="s">
        <v>603</v>
      </c>
      <c r="C58" s="8528"/>
      <c r="D58" s="2100" t="s">
        <v>2383</v>
      </c>
      <c r="E58" s="2126"/>
      <c r="F58" s="2126"/>
      <c r="G58" s="2126"/>
      <c r="H58" s="2126"/>
      <c r="I58" s="2126"/>
      <c r="J58" s="2126"/>
      <c r="K58" s="2126"/>
      <c r="L58" s="2126"/>
      <c r="M58" s="2126"/>
      <c r="N58" s="2126"/>
      <c r="O58" s="2126"/>
      <c r="P58" s="2126"/>
      <c r="Q58" s="2126"/>
      <c r="R58" s="2126"/>
      <c r="S58" s="2126"/>
      <c r="T58" s="2126"/>
      <c r="U58" s="2126"/>
      <c r="V58" s="2126"/>
      <c r="W58" s="2126"/>
      <c r="X58" s="2126"/>
      <c r="Y58" s="2126"/>
      <c r="Z58" s="2126"/>
      <c r="AA58" s="2198" t="s">
        <v>601</v>
      </c>
      <c r="AB58" s="8514" t="s">
        <v>2384</v>
      </c>
      <c r="AC58" s="8515"/>
      <c r="AD58" s="8529">
        <f>IF(AR58&lt;&gt;"",ROUND(AR58,0),ROUND(SUM(V48,AD48,AJ48),0))</f>
        <v>0</v>
      </c>
      <c r="AE58" s="8413"/>
      <c r="AF58" s="8413"/>
      <c r="AG58" s="8413"/>
      <c r="AH58" s="8413"/>
      <c r="AI58" s="8530"/>
      <c r="AJ58" s="1277"/>
      <c r="AK58" s="1277"/>
      <c r="AL58" s="1277"/>
      <c r="AM58" s="1277"/>
      <c r="AN58" s="1277"/>
      <c r="AO58" s="1277"/>
      <c r="AP58" s="1277"/>
      <c r="AQ58" s="2875"/>
      <c r="AR58" s="777"/>
      <c r="AS58" s="2875"/>
      <c r="AT58" s="2875"/>
      <c r="AU58" s="2875"/>
      <c r="BG58" s="769"/>
      <c r="BH58" s="658"/>
      <c r="BI58" s="658"/>
      <c r="BJ58" s="658"/>
      <c r="BK58" s="658"/>
      <c r="BL58" s="658"/>
      <c r="BM58" s="658"/>
      <c r="BN58" s="658"/>
      <c r="BO58" s="658"/>
      <c r="BP58" s="658"/>
    </row>
    <row r="59" spans="1:68" ht="14.25" customHeight="1">
      <c r="A59" s="1277"/>
      <c r="B59" s="8513">
        <v>24</v>
      </c>
      <c r="C59" s="8456"/>
      <c r="D59" s="2100" t="s">
        <v>2385</v>
      </c>
      <c r="E59" s="2126"/>
      <c r="F59" s="2126"/>
      <c r="G59" s="2126"/>
      <c r="H59" s="2126"/>
      <c r="I59" s="2126"/>
      <c r="J59" s="2126"/>
      <c r="K59" s="2126"/>
      <c r="L59" s="2126"/>
      <c r="M59" s="2126"/>
      <c r="N59" s="2126"/>
      <c r="O59" s="2126"/>
      <c r="P59" s="2126"/>
      <c r="Q59" s="2126"/>
      <c r="R59" s="2126"/>
      <c r="S59" s="2126"/>
      <c r="T59" s="2126"/>
      <c r="U59" s="2126"/>
      <c r="V59" s="2126"/>
      <c r="W59" s="2126"/>
      <c r="X59" s="2126"/>
      <c r="Y59" s="2126"/>
      <c r="Z59" s="2126"/>
      <c r="AA59" s="2126"/>
      <c r="AB59" s="2126"/>
      <c r="AC59" s="2126"/>
      <c r="AD59" s="2126"/>
      <c r="AE59" s="2126"/>
      <c r="AF59" s="2126"/>
      <c r="AG59" s="2198" t="s">
        <v>670</v>
      </c>
      <c r="AH59" s="8518">
        <v>24</v>
      </c>
      <c r="AI59" s="8519"/>
      <c r="AJ59" s="8516">
        <f>IF(AR59&lt;&gt;"",ROUND(AR59,0),ROUND(SUM(AY51,BA51,BC51),0))</f>
        <v>0</v>
      </c>
      <c r="AK59" s="8517"/>
      <c r="AL59" s="8517"/>
      <c r="AM59" s="8517"/>
      <c r="AN59" s="8517"/>
      <c r="AO59" s="8517"/>
      <c r="AP59" s="1277"/>
      <c r="AQ59" s="2875"/>
      <c r="AR59" s="777"/>
      <c r="AS59" s="2875"/>
      <c r="AT59" s="2875"/>
      <c r="AU59" s="2875"/>
      <c r="BG59" s="769"/>
      <c r="BH59" s="658"/>
      <c r="BI59" s="658"/>
      <c r="BJ59" s="658"/>
      <c r="BK59" s="658"/>
      <c r="BL59" s="658"/>
      <c r="BM59" s="658"/>
      <c r="BN59" s="658"/>
      <c r="BO59" s="658"/>
      <c r="BP59" s="658"/>
    </row>
    <row r="60" spans="1:68" ht="14.25" customHeight="1">
      <c r="A60" s="1277"/>
      <c r="B60" s="8513">
        <v>25</v>
      </c>
      <c r="C60" s="8456"/>
      <c r="D60" s="4812" t="s">
        <v>2386</v>
      </c>
      <c r="E60" s="2126"/>
      <c r="F60" s="2126"/>
      <c r="G60" s="2126"/>
      <c r="H60" s="2126"/>
      <c r="I60" s="2126"/>
      <c r="J60" s="2126"/>
      <c r="K60" s="2126"/>
      <c r="L60" s="2126"/>
      <c r="M60" s="2126"/>
      <c r="N60" s="2126"/>
      <c r="O60" s="2126"/>
      <c r="P60" s="2126"/>
      <c r="Q60" s="2126"/>
      <c r="R60" s="2126"/>
      <c r="S60" s="2126"/>
      <c r="T60" s="2126"/>
      <c r="U60" s="2126"/>
      <c r="V60" s="2126"/>
      <c r="W60" s="2126"/>
      <c r="X60" s="2126"/>
      <c r="Y60" s="2126"/>
      <c r="Z60" s="2126"/>
      <c r="AA60" s="2126"/>
      <c r="AB60" s="2126"/>
      <c r="AC60" s="2126"/>
      <c r="AD60" s="2126"/>
      <c r="AE60" s="2126"/>
      <c r="AF60" s="2126"/>
      <c r="AG60" s="2126"/>
      <c r="AH60" s="8514">
        <v>25</v>
      </c>
      <c r="AI60" s="8515"/>
      <c r="AJ60" s="4803" t="s">
        <v>799</v>
      </c>
      <c r="AK60" s="8415">
        <f>-AK61</f>
        <v>0</v>
      </c>
      <c r="AL60" s="8416"/>
      <c r="AM60" s="8416"/>
      <c r="AN60" s="8416"/>
      <c r="AO60" s="4804" t="s">
        <v>800</v>
      </c>
      <c r="AP60" s="1277"/>
      <c r="AQ60" s="2875"/>
      <c r="AR60" s="777"/>
      <c r="AS60" s="2875"/>
      <c r="AT60" s="2875"/>
      <c r="AU60" s="2875"/>
      <c r="BG60" s="769"/>
      <c r="BH60" s="658"/>
      <c r="BI60" s="658"/>
      <c r="BJ60" s="658"/>
      <c r="BK60" s="658"/>
      <c r="BL60" s="658"/>
      <c r="BM60" s="658"/>
      <c r="BN60" s="658"/>
      <c r="BO60" s="658"/>
      <c r="BP60" s="658"/>
    </row>
    <row r="61" spans="1:68" ht="14.25" customHeight="1">
      <c r="A61" s="1277"/>
      <c r="B61" s="8513">
        <v>26</v>
      </c>
      <c r="C61" s="8456"/>
      <c r="D61" s="2100" t="s">
        <v>2387</v>
      </c>
      <c r="E61" s="2126"/>
      <c r="F61" s="2126"/>
      <c r="G61" s="2126"/>
      <c r="H61" s="2126"/>
      <c r="I61" s="2126"/>
      <c r="J61" s="2126"/>
      <c r="K61" s="2126"/>
      <c r="L61" s="2126"/>
      <c r="M61" s="2126"/>
      <c r="N61" s="2126"/>
      <c r="O61" s="2126"/>
      <c r="P61" s="2126"/>
      <c r="Q61" s="2126"/>
      <c r="R61" s="2126"/>
      <c r="S61" s="2126"/>
      <c r="T61" s="775"/>
      <c r="U61" s="775"/>
      <c r="V61" s="4808"/>
      <c r="W61" s="4808"/>
      <c r="X61" s="4808"/>
      <c r="Y61" s="4808"/>
      <c r="Z61" s="4808"/>
      <c r="AA61" s="4808"/>
      <c r="AB61" s="4808"/>
      <c r="AC61" s="4808"/>
      <c r="AD61" s="4808"/>
      <c r="AE61" s="4808"/>
      <c r="AF61" s="4808"/>
      <c r="AG61" s="4808"/>
      <c r="AH61" s="4805"/>
      <c r="AI61" s="4806"/>
      <c r="AJ61" s="4808"/>
      <c r="AK61" s="8524">
        <f>IF(AND(AR60&lt;&gt;"",AR60&gt;=0),-ROUND(AR60,0),IF(AND(AR60&lt;&gt;"",AR60&lt;0),ROUND(AR60,0),SUM(AZ52,AZ53,BB52,BB53,BD52,BD53)))</f>
        <v>0</v>
      </c>
      <c r="AL61" s="8524"/>
      <c r="AM61" s="8524"/>
      <c r="AN61" s="8524"/>
      <c r="AO61" s="4808"/>
      <c r="AP61" s="1277"/>
      <c r="AQ61" s="2875"/>
      <c r="AR61" s="2875"/>
      <c r="AS61" s="2875"/>
      <c r="AT61" s="2875"/>
      <c r="AU61" s="2875"/>
      <c r="BG61" s="769"/>
      <c r="BH61" s="658"/>
      <c r="BI61" s="658"/>
      <c r="BJ61" s="658"/>
      <c r="BK61" s="658"/>
      <c r="BL61" s="658"/>
      <c r="BM61" s="658"/>
      <c r="BN61" s="658"/>
      <c r="BO61" s="658"/>
      <c r="BP61" s="658"/>
    </row>
    <row r="62" spans="1:68" ht="14.25" customHeight="1">
      <c r="A62" s="1277"/>
      <c r="B62" s="8513"/>
      <c r="C62" s="8456"/>
      <c r="D62" s="2100" t="s">
        <v>2388</v>
      </c>
      <c r="E62" s="2126"/>
      <c r="F62" s="2126"/>
      <c r="G62" s="2126"/>
      <c r="H62" s="2126"/>
      <c r="I62" s="2126"/>
      <c r="J62" s="2126"/>
      <c r="K62" s="2126"/>
      <c r="L62" s="2126"/>
      <c r="M62" s="2126"/>
      <c r="N62" s="2126"/>
      <c r="O62" s="2126"/>
      <c r="P62" s="2126"/>
      <c r="Q62" s="2126"/>
      <c r="R62" s="2126"/>
      <c r="S62" s="2126"/>
      <c r="T62" s="775"/>
      <c r="U62" s="775"/>
      <c r="V62" s="4808"/>
      <c r="W62" s="4808"/>
      <c r="X62" s="4808"/>
      <c r="Y62" s="4808"/>
      <c r="Z62" s="4808"/>
      <c r="AA62" s="4808"/>
      <c r="AB62" s="4808"/>
      <c r="AC62" s="4808"/>
      <c r="AD62" s="4808"/>
      <c r="AE62" s="4808"/>
      <c r="AF62" s="4808"/>
      <c r="AG62" s="4808"/>
      <c r="AH62" s="4807"/>
      <c r="AI62" s="4809"/>
      <c r="AJ62" s="4808"/>
      <c r="AK62" s="4808"/>
      <c r="AL62" s="4808"/>
      <c r="AM62" s="4808"/>
      <c r="AN62" s="4808"/>
      <c r="AO62" s="4808"/>
      <c r="AP62" s="1277"/>
      <c r="AQ62" s="2875"/>
      <c r="AR62" s="2875"/>
      <c r="AS62" s="2875"/>
      <c r="AT62" s="2875"/>
      <c r="AU62" s="2875"/>
      <c r="BG62" s="769"/>
      <c r="BH62" s="658"/>
      <c r="BI62" s="658"/>
      <c r="BJ62" s="658"/>
      <c r="BK62" s="658"/>
      <c r="BL62" s="658"/>
      <c r="BM62" s="658"/>
      <c r="BN62" s="658"/>
      <c r="BO62" s="658"/>
      <c r="BP62" s="658"/>
    </row>
    <row r="63" spans="1:68" ht="14.25" customHeight="1" thickBot="1">
      <c r="A63" s="1277"/>
      <c r="B63" s="4813"/>
      <c r="C63" s="4814"/>
      <c r="D63" s="4815" t="s">
        <v>2389</v>
      </c>
      <c r="E63" s="4816"/>
      <c r="F63" s="4816"/>
      <c r="G63" s="4816"/>
      <c r="H63" s="4816"/>
      <c r="I63" s="4816"/>
      <c r="J63" s="4816"/>
      <c r="K63" s="4816"/>
      <c r="L63" s="4816"/>
      <c r="M63" s="4816"/>
      <c r="N63" s="4816"/>
      <c r="O63" s="4816"/>
      <c r="P63" s="4816"/>
      <c r="Q63" s="4816"/>
      <c r="R63" s="4816"/>
      <c r="S63" s="4816"/>
      <c r="T63" s="4816"/>
      <c r="U63" s="4816"/>
      <c r="V63" s="4816"/>
      <c r="W63" s="4816"/>
      <c r="X63" s="4816"/>
      <c r="Y63" s="4816"/>
      <c r="Z63" s="4816"/>
      <c r="AA63" s="4816"/>
      <c r="AB63" s="4817"/>
      <c r="AC63" s="4817"/>
      <c r="AD63" s="4818"/>
      <c r="AE63" s="4818"/>
      <c r="AF63" s="4818"/>
      <c r="AG63" s="4533" t="s">
        <v>2390</v>
      </c>
      <c r="AH63" s="8520">
        <v>26</v>
      </c>
      <c r="AI63" s="8521"/>
      <c r="AJ63" s="8522">
        <f>IF(AR63&lt;&gt;"",ROUND(AR63,0),SUM(AJ59,AK61))</f>
        <v>0</v>
      </c>
      <c r="AK63" s="8523"/>
      <c r="AL63" s="8523"/>
      <c r="AM63" s="8523"/>
      <c r="AN63" s="8523"/>
      <c r="AO63" s="8523"/>
      <c r="AP63" s="1277"/>
      <c r="AQ63" s="2875"/>
      <c r="AR63" s="776"/>
      <c r="AS63" s="2875"/>
      <c r="AT63" s="2875"/>
      <c r="AU63" s="2875"/>
      <c r="BG63" s="769"/>
      <c r="BH63" s="658"/>
      <c r="BI63" s="658"/>
      <c r="BJ63" s="658"/>
      <c r="BK63" s="658"/>
      <c r="BL63" s="658"/>
      <c r="BM63" s="658"/>
      <c r="BN63" s="658"/>
      <c r="BO63" s="658"/>
      <c r="BP63" s="658"/>
    </row>
    <row r="64" spans="1:68" ht="14.25" customHeight="1">
      <c r="A64" s="1277"/>
      <c r="B64" s="4819" t="s">
        <v>2075</v>
      </c>
      <c r="C64" s="4820"/>
      <c r="D64" s="2100"/>
      <c r="E64" s="2126"/>
      <c r="F64" s="2126"/>
      <c r="G64" s="2126"/>
      <c r="H64" s="2126"/>
      <c r="I64" s="2126"/>
      <c r="J64" s="2126"/>
      <c r="K64" s="2126"/>
      <c r="L64" s="2126"/>
      <c r="M64" s="2126"/>
      <c r="N64" s="2126"/>
      <c r="O64" s="2126"/>
      <c r="P64" s="2126"/>
      <c r="Q64" s="2126"/>
      <c r="R64" s="2126"/>
      <c r="S64" s="2126"/>
      <c r="T64" s="2126"/>
      <c r="U64" s="2126"/>
      <c r="V64" s="2126"/>
      <c r="W64" s="2126"/>
      <c r="X64" s="2126"/>
      <c r="Y64" s="2126" t="s">
        <v>2391</v>
      </c>
      <c r="Z64" s="2126"/>
      <c r="AA64" s="2126"/>
      <c r="AB64" s="775"/>
      <c r="AC64" s="775"/>
      <c r="AD64" s="4808"/>
      <c r="AE64" s="4808"/>
      <c r="AF64" s="4808"/>
      <c r="AG64" s="4808"/>
      <c r="AH64" s="4808"/>
      <c r="AI64" s="4808"/>
      <c r="AJ64" s="253"/>
      <c r="AK64" s="1401" t="str">
        <f>"Schedule E (Form 1040) "&amp;TaxYear</f>
        <v>Schedule E (Form 1040) 2025</v>
      </c>
      <c r="AL64" s="253"/>
      <c r="AM64" s="253"/>
      <c r="AN64" s="253"/>
      <c r="AO64" s="1061" t="s">
        <v>6386</v>
      </c>
      <c r="AP64" s="1277"/>
      <c r="AQ64" s="2875"/>
      <c r="AR64" s="2875"/>
      <c r="AS64" s="2875"/>
      <c r="AT64" s="2875"/>
      <c r="AU64" s="2875"/>
      <c r="BG64" s="769"/>
      <c r="BH64" s="658"/>
      <c r="BI64" s="658"/>
      <c r="BJ64" s="658"/>
      <c r="BK64" s="658"/>
      <c r="BL64" s="658"/>
      <c r="BM64" s="658"/>
      <c r="BN64" s="658"/>
      <c r="BO64" s="658"/>
      <c r="BP64" s="658"/>
    </row>
    <row r="65" spans="1:69" ht="21" customHeight="1">
      <c r="A65" s="1277"/>
      <c r="B65" s="462" t="str">
        <f>"Schedule E (Form 1040) "&amp;TaxYear</f>
        <v>Schedule E (Form 1040) 2025</v>
      </c>
      <c r="C65" s="413"/>
      <c r="D65" s="413"/>
      <c r="E65" s="413"/>
      <c r="F65" s="413"/>
      <c r="G65" s="413"/>
      <c r="H65" s="413"/>
      <c r="I65" s="4821"/>
      <c r="J65" s="413"/>
      <c r="K65" s="413"/>
      <c r="L65" s="413"/>
      <c r="M65" s="413"/>
      <c r="N65" s="413"/>
      <c r="O65" s="413"/>
      <c r="P65" s="4822"/>
      <c r="Q65" s="413"/>
      <c r="R65" s="413"/>
      <c r="S65" s="413"/>
      <c r="T65" s="413"/>
      <c r="U65" s="413"/>
      <c r="V65" s="413"/>
      <c r="W65" s="413"/>
      <c r="X65" s="413"/>
      <c r="Y65" s="413"/>
      <c r="Z65" s="413"/>
      <c r="AA65" s="462" t="s">
        <v>2118</v>
      </c>
      <c r="AB65" s="413"/>
      <c r="AC65" s="413"/>
      <c r="AD65" s="413"/>
      <c r="AE65" s="413"/>
      <c r="AF65" s="413"/>
      <c r="AG65" s="8400">
        <v>13</v>
      </c>
      <c r="AH65" s="8400"/>
      <c r="AI65" s="413"/>
      <c r="AJ65" s="413"/>
      <c r="AK65" s="413"/>
      <c r="AL65" s="413"/>
      <c r="AM65" s="413"/>
      <c r="AN65" s="413"/>
      <c r="AO65" s="4823" t="s">
        <v>867</v>
      </c>
      <c r="AP65" s="1277"/>
      <c r="BG65" s="769"/>
      <c r="BH65" s="658"/>
      <c r="BI65" s="658"/>
      <c r="BJ65" s="658"/>
      <c r="BK65" s="658"/>
      <c r="BL65" s="658"/>
      <c r="BM65" s="658"/>
      <c r="BN65" s="658"/>
      <c r="BO65" s="658"/>
      <c r="BP65" s="658"/>
    </row>
    <row r="66" spans="1:69" ht="12.75" customHeight="1">
      <c r="A66" s="1277"/>
      <c r="B66" s="504" t="s">
        <v>2392</v>
      </c>
      <c r="C66" s="504"/>
      <c r="D66" s="504"/>
      <c r="E66" s="504"/>
      <c r="F66" s="504"/>
      <c r="G66" s="504"/>
      <c r="H66" s="504" t="s">
        <v>2393</v>
      </c>
      <c r="I66" s="504"/>
      <c r="J66" s="253"/>
      <c r="K66" s="253"/>
      <c r="L66" s="253"/>
      <c r="M66" s="253"/>
      <c r="N66" s="253"/>
      <c r="O66" s="253"/>
      <c r="P66" s="253"/>
      <c r="Q66" s="253"/>
      <c r="R66" s="253"/>
      <c r="S66" s="253"/>
      <c r="T66" s="253"/>
      <c r="U66" s="253"/>
      <c r="V66" s="253"/>
      <c r="W66" s="253"/>
      <c r="X66" s="253"/>
      <c r="Y66" s="253"/>
      <c r="Z66" s="253"/>
      <c r="AA66" s="253"/>
      <c r="AB66" s="253"/>
      <c r="AC66" s="253"/>
      <c r="AD66" s="253"/>
      <c r="AE66" s="253"/>
      <c r="AF66" s="8525" t="s">
        <v>549</v>
      </c>
      <c r="AG66" s="8526"/>
      <c r="AH66" s="8526"/>
      <c r="AI66" s="8526"/>
      <c r="AJ66" s="8526"/>
      <c r="AK66" s="8526"/>
      <c r="AL66" s="8526"/>
      <c r="AM66" s="8526"/>
      <c r="AN66" s="8526"/>
      <c r="AO66" s="8526"/>
      <c r="AP66" s="1277"/>
      <c r="AR66" s="304" t="b">
        <f>OR(AND(AF67&lt;&gt;"",AF67=AG8),AND(B8&lt;&gt;"",B67&lt;&gt;""))</f>
        <v>0</v>
      </c>
      <c r="BG66" s="769"/>
      <c r="BH66" s="658"/>
      <c r="BI66" s="658"/>
      <c r="BJ66" s="658"/>
      <c r="BK66" s="658"/>
      <c r="BL66" s="658"/>
      <c r="BM66" s="658"/>
      <c r="BN66" s="658"/>
      <c r="BO66" s="658"/>
      <c r="BP66" s="658"/>
    </row>
    <row r="67" spans="1:69" ht="16.5" customHeight="1">
      <c r="A67" s="1277"/>
      <c r="B67" s="8425"/>
      <c r="C67" s="8425"/>
      <c r="D67" s="8425"/>
      <c r="E67" s="8425"/>
      <c r="F67" s="8425"/>
      <c r="G67" s="8425"/>
      <c r="H67" s="8425"/>
      <c r="I67" s="8425"/>
      <c r="J67" s="8425"/>
      <c r="K67" s="8425"/>
      <c r="L67" s="8425"/>
      <c r="M67" s="8425"/>
      <c r="N67" s="8425"/>
      <c r="O67" s="8425"/>
      <c r="P67" s="8425"/>
      <c r="Q67" s="8425"/>
      <c r="R67" s="8425"/>
      <c r="S67" s="8425"/>
      <c r="T67" s="8425"/>
      <c r="U67" s="8425"/>
      <c r="V67" s="8425"/>
      <c r="W67" s="8425"/>
      <c r="X67" s="8425"/>
      <c r="Y67" s="8425"/>
      <c r="Z67" s="8425"/>
      <c r="AA67" s="8425"/>
      <c r="AB67" s="8425"/>
      <c r="AC67" s="8425"/>
      <c r="AD67" s="8425"/>
      <c r="AE67" s="8426"/>
      <c r="AF67" s="7110"/>
      <c r="AG67" s="7111"/>
      <c r="AH67" s="7111"/>
      <c r="AI67" s="7111"/>
      <c r="AJ67" s="7111"/>
      <c r="AK67" s="7111"/>
      <c r="AL67" s="7111"/>
      <c r="AM67" s="7111"/>
      <c r="AN67" s="7111"/>
      <c r="AO67" s="7111"/>
      <c r="AP67" s="770"/>
      <c r="AQ67" s="141" t="str">
        <f>IF($AR66,"Hide emphasis.","")</f>
        <v/>
      </c>
      <c r="AR67" s="141"/>
      <c r="BG67" s="769"/>
      <c r="BH67" s="658"/>
      <c r="BI67" s="658"/>
      <c r="BJ67" s="658"/>
      <c r="BK67" s="658"/>
      <c r="BL67" s="658"/>
      <c r="BM67" s="658"/>
      <c r="BN67" s="658"/>
      <c r="BO67" s="658"/>
      <c r="BP67" s="658"/>
    </row>
    <row r="68" spans="1:69" ht="15" customHeight="1">
      <c r="A68" s="1277"/>
      <c r="B68" s="511" t="s">
        <v>2394</v>
      </c>
      <c r="C68" s="253"/>
      <c r="D68" s="253"/>
      <c r="E68" s="253"/>
      <c r="F68" s="253"/>
      <c r="G68" s="253"/>
      <c r="H68" s="253"/>
      <c r="I68" s="253"/>
      <c r="J68" s="253"/>
      <c r="K68" s="253"/>
      <c r="L68" s="253"/>
      <c r="M68" s="253"/>
      <c r="N68" s="253"/>
      <c r="O68" s="253"/>
      <c r="P68" s="253"/>
      <c r="Q68" s="253"/>
      <c r="R68" s="253"/>
      <c r="S68" s="253"/>
      <c r="T68" s="253"/>
      <c r="U68" s="253"/>
      <c r="V68" s="253"/>
      <c r="W68" s="253"/>
      <c r="X68" s="253"/>
      <c r="Y68" s="253"/>
      <c r="Z68" s="253"/>
      <c r="AA68" s="253"/>
      <c r="AB68" s="253"/>
      <c r="AC68" s="253"/>
      <c r="AD68" s="253"/>
      <c r="AE68" s="253"/>
      <c r="AF68" s="253"/>
      <c r="AG68" s="253"/>
      <c r="AH68" s="253"/>
      <c r="AI68" s="253"/>
      <c r="AJ68" s="253"/>
      <c r="AK68" s="253"/>
      <c r="AL68" s="253"/>
      <c r="AM68" s="253"/>
      <c r="AN68" s="253"/>
      <c r="AO68" s="253"/>
      <c r="AP68" s="1277"/>
      <c r="BG68" s="769"/>
      <c r="BH68" s="658"/>
      <c r="BI68" s="658"/>
      <c r="BJ68" s="658"/>
      <c r="BK68" s="658"/>
      <c r="BL68" s="658"/>
      <c r="BM68" s="658"/>
      <c r="BN68" s="658"/>
      <c r="BO68" s="658"/>
      <c r="BP68" s="658"/>
    </row>
    <row r="69" spans="1:69" s="1405" customFormat="1" ht="17.25" customHeight="1">
      <c r="A69" s="2119"/>
      <c r="B69" s="8427" t="s">
        <v>868</v>
      </c>
      <c r="C69" s="8427"/>
      <c r="D69" s="8428"/>
      <c r="E69" s="2761"/>
      <c r="F69" s="4758" t="s">
        <v>2395</v>
      </c>
      <c r="G69" s="2761"/>
      <c r="H69" s="2761"/>
      <c r="I69" s="2761"/>
      <c r="J69" s="2761"/>
      <c r="K69" s="2761"/>
      <c r="L69" s="2761"/>
      <c r="M69" s="2761"/>
      <c r="N69" s="2761"/>
      <c r="O69" s="2761"/>
      <c r="P69" s="2761"/>
      <c r="Q69" s="2761"/>
      <c r="R69" s="2761"/>
      <c r="S69" s="2761"/>
      <c r="T69" s="2761"/>
      <c r="U69" s="2761"/>
      <c r="V69" s="2761"/>
      <c r="W69" s="2761"/>
      <c r="X69" s="2354"/>
      <c r="Y69" s="2761"/>
      <c r="Z69" s="2761"/>
      <c r="AA69" s="2761"/>
      <c r="AB69" s="2761"/>
      <c r="AC69" s="2761"/>
      <c r="AD69" s="2761"/>
      <c r="AE69" s="2761"/>
      <c r="AF69" s="2761"/>
      <c r="AG69" s="2761"/>
      <c r="AH69" s="2761"/>
      <c r="AI69" s="2761"/>
      <c r="AJ69" s="2761"/>
      <c r="AK69" s="2761"/>
      <c r="AL69" s="2761"/>
      <c r="AM69" s="2761"/>
      <c r="AN69" s="2761"/>
      <c r="AO69" s="2761"/>
      <c r="AP69" s="1277"/>
      <c r="AX69"/>
      <c r="AY69"/>
      <c r="AZ69"/>
      <c r="BA69"/>
      <c r="BB69"/>
      <c r="BC69"/>
      <c r="BD69"/>
      <c r="BG69" s="769"/>
      <c r="BH69" s="658"/>
      <c r="BI69" s="658"/>
      <c r="BJ69" s="658"/>
      <c r="BK69" s="658"/>
      <c r="BL69" s="658"/>
      <c r="BM69" s="658"/>
      <c r="BN69" s="658"/>
      <c r="BO69" s="658"/>
      <c r="BP69" s="658"/>
      <c r="BQ69" s="815"/>
    </row>
    <row r="70" spans="1:69" ht="12.75" customHeight="1">
      <c r="A70" s="1277"/>
      <c r="B70" s="253"/>
      <c r="C70" s="253"/>
      <c r="D70" s="253"/>
      <c r="E70" s="253"/>
      <c r="F70" s="344" t="s">
        <v>2396</v>
      </c>
      <c r="G70" s="253"/>
      <c r="H70" s="253"/>
      <c r="I70" s="253"/>
      <c r="J70" s="253"/>
      <c r="K70" s="253"/>
      <c r="L70" s="253"/>
      <c r="M70" s="253"/>
      <c r="N70" s="253"/>
      <c r="O70" s="253"/>
      <c r="P70" s="253"/>
      <c r="Q70" s="253"/>
      <c r="R70" s="253"/>
      <c r="S70" s="253"/>
      <c r="T70" s="253"/>
      <c r="U70" s="253"/>
      <c r="V70" s="253"/>
      <c r="W70" s="253"/>
      <c r="X70" s="253"/>
      <c r="Y70" s="253"/>
      <c r="Z70" s="253"/>
      <c r="AA70" s="253"/>
      <c r="AB70" s="253"/>
      <c r="AC70" s="253"/>
      <c r="AD70" s="253"/>
      <c r="AE70" s="253"/>
      <c r="AF70" s="253"/>
      <c r="AG70" s="253"/>
      <c r="AH70" s="253"/>
      <c r="AI70" s="253"/>
      <c r="AJ70" s="253"/>
      <c r="AK70" s="253"/>
      <c r="AL70" s="253"/>
      <c r="AM70" s="253"/>
      <c r="AN70" s="253"/>
      <c r="AO70" s="253"/>
      <c r="AP70" s="1277"/>
      <c r="BG70" s="769"/>
      <c r="BH70" s="658"/>
      <c r="BI70" s="658"/>
      <c r="BJ70" s="658"/>
      <c r="BK70" s="658"/>
      <c r="BL70" s="658"/>
      <c r="BM70" s="658"/>
      <c r="BN70" s="658"/>
      <c r="BO70" s="658"/>
      <c r="BP70" s="658"/>
    </row>
    <row r="71" spans="1:69" ht="12.75" customHeight="1">
      <c r="A71" s="1277"/>
      <c r="B71" s="253"/>
      <c r="C71" s="253"/>
      <c r="D71" s="253"/>
      <c r="E71" s="253"/>
      <c r="F71" s="344" t="s">
        <v>2397</v>
      </c>
      <c r="G71" s="253"/>
      <c r="H71" s="253"/>
      <c r="I71" s="253"/>
      <c r="J71" s="253"/>
      <c r="K71" s="253"/>
      <c r="L71" s="253"/>
      <c r="M71" s="253"/>
      <c r="N71" s="253"/>
      <c r="O71" s="253"/>
      <c r="P71" s="253"/>
      <c r="Q71" s="253"/>
      <c r="R71" s="253"/>
      <c r="S71" s="253"/>
      <c r="T71" s="253"/>
      <c r="U71" s="253"/>
      <c r="V71" s="253"/>
      <c r="W71" s="253"/>
      <c r="X71" s="253"/>
      <c r="Y71" s="253"/>
      <c r="Z71" s="253"/>
      <c r="AA71" s="253"/>
      <c r="AB71" s="253"/>
      <c r="AC71" s="253"/>
      <c r="AD71" s="253"/>
      <c r="AE71" s="253"/>
      <c r="AF71" s="253"/>
      <c r="AG71" s="253"/>
      <c r="AH71" s="253"/>
      <c r="AI71" s="253"/>
      <c r="AJ71" s="253"/>
      <c r="AK71" s="253"/>
      <c r="AL71" s="253"/>
      <c r="AM71" s="253"/>
      <c r="AN71" s="253"/>
      <c r="AO71" s="253"/>
      <c r="AP71" s="1277"/>
      <c r="AX71" s="1405"/>
      <c r="AY71" s="1405"/>
      <c r="AZ71" s="1405"/>
      <c r="BA71" s="1405"/>
      <c r="BB71" s="1405"/>
      <c r="BC71" s="1405"/>
      <c r="BD71" s="1405"/>
      <c r="BG71" s="769"/>
      <c r="BH71" s="658"/>
      <c r="BI71" s="658"/>
      <c r="BJ71" s="658"/>
      <c r="BK71" s="658"/>
      <c r="BL71" s="658"/>
      <c r="BM71" s="658"/>
      <c r="BN71" s="658"/>
      <c r="BO71" s="658"/>
      <c r="BP71" s="658"/>
    </row>
    <row r="72" spans="1:69" ht="12.75" customHeight="1">
      <c r="A72" s="1277"/>
      <c r="B72" s="413"/>
      <c r="C72" s="413"/>
      <c r="D72" s="413"/>
      <c r="E72" s="413"/>
      <c r="F72" s="569" t="s">
        <v>6223</v>
      </c>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1277"/>
      <c r="BG72" s="769"/>
      <c r="BH72" s="658"/>
      <c r="BI72" s="658"/>
      <c r="BJ72" s="658"/>
      <c r="BK72" s="658"/>
      <c r="BL72" s="658"/>
      <c r="BM72" s="658"/>
      <c r="BN72" s="658"/>
      <c r="BO72" s="658"/>
      <c r="BP72" s="658"/>
    </row>
    <row r="73" spans="1:69" ht="18.75" customHeight="1">
      <c r="A73" s="1277"/>
      <c r="B73" s="8433">
        <v>27</v>
      </c>
      <c r="C73" s="7091"/>
      <c r="D73" s="253"/>
      <c r="E73" s="511" t="s">
        <v>2398</v>
      </c>
      <c r="F73" s="344"/>
      <c r="G73" s="253"/>
      <c r="H73" s="253"/>
      <c r="I73" s="253"/>
      <c r="J73" s="253"/>
      <c r="K73" s="253"/>
      <c r="L73" s="253"/>
      <c r="M73" s="253"/>
      <c r="N73" s="253"/>
      <c r="O73" s="253"/>
      <c r="P73" s="253"/>
      <c r="Q73" s="253"/>
      <c r="R73" s="253"/>
      <c r="S73" s="253"/>
      <c r="T73" s="253"/>
      <c r="U73" s="253"/>
      <c r="V73" s="253"/>
      <c r="W73" s="253"/>
      <c r="X73" s="253"/>
      <c r="Y73" s="253"/>
      <c r="Z73" s="253"/>
      <c r="AA73" s="253"/>
      <c r="AB73" s="253"/>
      <c r="AC73" s="253"/>
      <c r="AD73" s="253"/>
      <c r="AE73" s="253"/>
      <c r="AF73" s="253"/>
      <c r="AG73" s="253"/>
      <c r="AH73" s="253"/>
      <c r="AI73" s="253"/>
      <c r="AJ73" s="253"/>
      <c r="AK73" s="253"/>
      <c r="AL73" s="253"/>
      <c r="AM73" s="253"/>
      <c r="AN73" s="253"/>
      <c r="AO73" s="253"/>
      <c r="AP73" s="1277"/>
      <c r="BG73" s="769"/>
      <c r="BH73" s="658"/>
      <c r="BI73" s="658"/>
      <c r="BJ73" s="658"/>
      <c r="BK73" s="658"/>
      <c r="BL73" s="658"/>
      <c r="BM73" s="658"/>
      <c r="BN73" s="658"/>
      <c r="BO73" s="658"/>
      <c r="BP73" s="658"/>
    </row>
    <row r="74" spans="1:69" ht="12.75" customHeight="1">
      <c r="A74" s="1277"/>
      <c r="B74" s="775"/>
      <c r="C74" s="416"/>
      <c r="D74" s="253"/>
      <c r="E74" s="511" t="s">
        <v>2399</v>
      </c>
      <c r="F74" s="344"/>
      <c r="G74" s="253"/>
      <c r="H74" s="253"/>
      <c r="I74" s="253"/>
      <c r="J74" s="253"/>
      <c r="K74" s="253"/>
      <c r="L74" s="253"/>
      <c r="M74" s="253"/>
      <c r="N74" s="253"/>
      <c r="O74" s="253"/>
      <c r="P74" s="253"/>
      <c r="Q74" s="253"/>
      <c r="R74" s="253"/>
      <c r="S74" s="253"/>
      <c r="T74" s="253"/>
      <c r="U74" s="253"/>
      <c r="V74" s="253"/>
      <c r="W74" s="253"/>
      <c r="X74" s="253"/>
      <c r="Y74" s="253"/>
      <c r="Z74" s="253"/>
      <c r="AA74" s="253"/>
      <c r="AB74" s="253"/>
      <c r="AC74" s="253"/>
      <c r="AD74" s="253"/>
      <c r="AE74" s="253"/>
      <c r="AF74" s="253"/>
      <c r="AG74" s="253"/>
      <c r="AH74" s="253"/>
      <c r="AI74" s="253"/>
      <c r="AJ74" s="253"/>
      <c r="AK74" s="253"/>
      <c r="AL74" s="253"/>
      <c r="AM74" s="253"/>
      <c r="AN74" s="253"/>
      <c r="AO74" s="253"/>
      <c r="AP74" s="1277"/>
      <c r="BG74" s="769"/>
      <c r="BH74" s="658"/>
      <c r="BI74" s="658"/>
      <c r="BJ74" s="658"/>
      <c r="BK74" s="658"/>
      <c r="BL74" s="658"/>
      <c r="BM74" s="658"/>
      <c r="BN74" s="658"/>
      <c r="BO74" s="658"/>
      <c r="BP74" s="658"/>
    </row>
    <row r="75" spans="1:69" ht="12.75" customHeight="1">
      <c r="A75" s="1277"/>
      <c r="B75" s="253"/>
      <c r="C75" s="253"/>
      <c r="D75" s="253"/>
      <c r="E75" s="511" t="s">
        <v>2400</v>
      </c>
      <c r="F75" s="344"/>
      <c r="G75" s="253"/>
      <c r="H75" s="253"/>
      <c r="I75" s="253"/>
      <c r="J75" s="253"/>
      <c r="K75" s="253"/>
      <c r="L75" s="253"/>
      <c r="M75" s="253"/>
      <c r="N75" s="253"/>
      <c r="O75" s="253"/>
      <c r="P75" s="253"/>
      <c r="Q75" s="253"/>
      <c r="R75" s="253"/>
      <c r="S75" s="253"/>
      <c r="T75" s="253"/>
      <c r="U75" s="253"/>
      <c r="V75" s="253"/>
      <c r="W75" s="253"/>
      <c r="X75" s="253"/>
      <c r="Y75" s="253"/>
      <c r="Z75" s="253"/>
      <c r="AA75" s="253"/>
      <c r="AB75" s="253"/>
      <c r="AC75" s="253"/>
      <c r="AD75" s="253"/>
      <c r="AE75" s="253"/>
      <c r="AF75" s="253"/>
      <c r="AG75" s="253"/>
      <c r="AH75" s="253"/>
      <c r="AI75" s="2198" t="s">
        <v>594</v>
      </c>
      <c r="AJ75" s="276"/>
      <c r="AK75" s="1059" t="s">
        <v>2324</v>
      </c>
      <c r="AL75" s="4082"/>
      <c r="AM75" s="276"/>
      <c r="AN75" s="1059" t="s">
        <v>2325</v>
      </c>
      <c r="AO75" s="4082"/>
      <c r="AP75" s="1277"/>
      <c r="BG75" s="769"/>
      <c r="BH75" s="658"/>
      <c r="BI75" s="658"/>
      <c r="BJ75" s="658"/>
      <c r="BK75" s="658"/>
      <c r="BL75" s="658"/>
      <c r="BM75" s="658"/>
      <c r="BN75" s="658"/>
      <c r="BO75" s="658"/>
      <c r="BP75" s="658"/>
    </row>
    <row r="76" spans="1:69" ht="4.5" customHeight="1">
      <c r="A76" s="1277"/>
      <c r="B76" s="413"/>
      <c r="C76" s="413"/>
      <c r="D76" s="413"/>
      <c r="E76" s="413"/>
      <c r="F76" s="569"/>
      <c r="G76" s="413"/>
      <c r="H76" s="413"/>
      <c r="I76" s="413"/>
      <c r="J76" s="413"/>
      <c r="K76" s="413"/>
      <c r="L76" s="413"/>
      <c r="M76" s="413"/>
      <c r="N76" s="413"/>
      <c r="O76" s="413"/>
      <c r="P76" s="413"/>
      <c r="Q76" s="413"/>
      <c r="R76" s="413"/>
      <c r="S76" s="413"/>
      <c r="T76" s="413"/>
      <c r="U76" s="413"/>
      <c r="V76" s="413"/>
      <c r="W76" s="413"/>
      <c r="X76" s="413"/>
      <c r="Y76" s="413"/>
      <c r="Z76" s="413"/>
      <c r="AA76" s="413"/>
      <c r="AB76" s="413"/>
      <c r="AC76" s="413"/>
      <c r="AD76" s="413"/>
      <c r="AE76" s="413"/>
      <c r="AF76" s="413"/>
      <c r="AG76" s="413"/>
      <c r="AH76" s="413"/>
      <c r="AI76" s="413"/>
      <c r="AJ76" s="413"/>
      <c r="AK76" s="413"/>
      <c r="AL76" s="413"/>
      <c r="AM76" s="413"/>
      <c r="AN76" s="413"/>
      <c r="AO76" s="413"/>
      <c r="AP76" s="1277"/>
      <c r="BG76" s="769"/>
      <c r="BH76" s="658"/>
      <c r="BI76" s="658"/>
      <c r="BJ76" s="658"/>
      <c r="BK76" s="658"/>
      <c r="BL76" s="658"/>
      <c r="BM76" s="658"/>
      <c r="BN76" s="658"/>
      <c r="BO76" s="658"/>
      <c r="BP76" s="658"/>
    </row>
    <row r="77" spans="1:69" ht="12.75" customHeight="1">
      <c r="A77" s="1277"/>
      <c r="B77" s="253"/>
      <c r="C77" s="253"/>
      <c r="D77" s="253"/>
      <c r="E77" s="253"/>
      <c r="F77" s="344"/>
      <c r="G77" s="253"/>
      <c r="H77" s="253"/>
      <c r="I77" s="253"/>
      <c r="J77" s="253"/>
      <c r="K77" s="253"/>
      <c r="L77" s="253"/>
      <c r="M77" s="253"/>
      <c r="N77" s="253"/>
      <c r="O77" s="8439" t="s">
        <v>2401</v>
      </c>
      <c r="P77" s="8440"/>
      <c r="Q77" s="8440"/>
      <c r="R77" s="8440"/>
      <c r="S77" s="8441"/>
      <c r="T77" s="8439" t="s">
        <v>2402</v>
      </c>
      <c r="U77" s="8440"/>
      <c r="V77" s="8440"/>
      <c r="W77" s="8440"/>
      <c r="X77" s="8441"/>
      <c r="Y77" s="8439" t="s">
        <v>2403</v>
      </c>
      <c r="Z77" s="8440"/>
      <c r="AA77" s="8440"/>
      <c r="AB77" s="8440"/>
      <c r="AC77" s="8440"/>
      <c r="AD77" s="8440"/>
      <c r="AE77" s="8441"/>
      <c r="AF77" s="8439" t="s">
        <v>2404</v>
      </c>
      <c r="AG77" s="8440"/>
      <c r="AH77" s="8440"/>
      <c r="AI77" s="8440"/>
      <c r="AJ77" s="8441"/>
      <c r="AK77" s="8439" t="s">
        <v>2405</v>
      </c>
      <c r="AL77" s="8440"/>
      <c r="AM77" s="8440"/>
      <c r="AN77" s="8440"/>
      <c r="AO77" s="8440"/>
      <c r="AP77" s="1277"/>
      <c r="BG77" s="769"/>
      <c r="BH77" s="658"/>
      <c r="BI77" s="658"/>
      <c r="BJ77" s="658"/>
      <c r="BK77" s="658"/>
      <c r="BL77" s="658"/>
      <c r="BM77" s="658"/>
      <c r="BN77" s="658"/>
      <c r="BO77" s="658"/>
      <c r="BP77" s="658"/>
    </row>
    <row r="78" spans="1:69" ht="12.75" customHeight="1">
      <c r="A78" s="1277"/>
      <c r="B78" s="8433">
        <v>28</v>
      </c>
      <c r="C78" s="7091"/>
      <c r="D78" s="253"/>
      <c r="E78" s="253"/>
      <c r="F78" s="253"/>
      <c r="G78" s="253"/>
      <c r="H78" s="344" t="s">
        <v>2406</v>
      </c>
      <c r="I78" s="253"/>
      <c r="J78" s="253"/>
      <c r="K78" s="253"/>
      <c r="L78" s="253"/>
      <c r="M78" s="253"/>
      <c r="N78" s="253"/>
      <c r="O78" s="8442"/>
      <c r="P78" s="8443"/>
      <c r="Q78" s="8443"/>
      <c r="R78" s="8443"/>
      <c r="S78" s="8444"/>
      <c r="T78" s="8442"/>
      <c r="U78" s="8443"/>
      <c r="V78" s="8443"/>
      <c r="W78" s="8443"/>
      <c r="X78" s="8444"/>
      <c r="Y78" s="8442"/>
      <c r="Z78" s="8443"/>
      <c r="AA78" s="8443"/>
      <c r="AB78" s="8443"/>
      <c r="AC78" s="8443"/>
      <c r="AD78" s="8443"/>
      <c r="AE78" s="8444"/>
      <c r="AF78" s="8442"/>
      <c r="AG78" s="8443"/>
      <c r="AH78" s="8443"/>
      <c r="AI78" s="8443"/>
      <c r="AJ78" s="8444"/>
      <c r="AK78" s="8442"/>
      <c r="AL78" s="8443"/>
      <c r="AM78" s="8443"/>
      <c r="AN78" s="8443"/>
      <c r="AO78" s="8443"/>
      <c r="AP78" s="1277"/>
      <c r="BG78" s="769"/>
      <c r="BH78" s="658"/>
      <c r="BI78" s="658"/>
      <c r="BJ78" s="658"/>
      <c r="BK78" s="658"/>
      <c r="BL78" s="658"/>
      <c r="BM78" s="658"/>
      <c r="BN78" s="658"/>
      <c r="BO78" s="658"/>
      <c r="BP78" s="658"/>
    </row>
    <row r="79" spans="1:69" ht="12.75" customHeight="1">
      <c r="A79" s="1277"/>
      <c r="B79" s="413"/>
      <c r="C79" s="413"/>
      <c r="D79" s="413"/>
      <c r="E79" s="413"/>
      <c r="F79" s="413"/>
      <c r="G79" s="413"/>
      <c r="H79" s="413"/>
      <c r="I79" s="413"/>
      <c r="J79" s="413"/>
      <c r="K79" s="413"/>
      <c r="L79" s="413"/>
      <c r="M79" s="413"/>
      <c r="N79" s="413"/>
      <c r="O79" s="8445"/>
      <c r="P79" s="8446"/>
      <c r="Q79" s="8446"/>
      <c r="R79" s="8446"/>
      <c r="S79" s="8447"/>
      <c r="T79" s="8445"/>
      <c r="U79" s="8446"/>
      <c r="V79" s="8446"/>
      <c r="W79" s="8446"/>
      <c r="X79" s="8447"/>
      <c r="Y79" s="8445"/>
      <c r="Z79" s="8446"/>
      <c r="AA79" s="8446"/>
      <c r="AB79" s="8446"/>
      <c r="AC79" s="8446"/>
      <c r="AD79" s="8446"/>
      <c r="AE79" s="8447"/>
      <c r="AF79" s="8445"/>
      <c r="AG79" s="8446"/>
      <c r="AH79" s="8446"/>
      <c r="AI79" s="8446"/>
      <c r="AJ79" s="8447"/>
      <c r="AK79" s="8445"/>
      <c r="AL79" s="8446"/>
      <c r="AM79" s="8446"/>
      <c r="AN79" s="8446"/>
      <c r="AO79" s="8446"/>
      <c r="AP79" s="1277"/>
      <c r="BG79" s="769"/>
      <c r="BH79" s="658"/>
      <c r="BI79" s="658"/>
      <c r="BJ79" s="658"/>
      <c r="BK79" s="658"/>
      <c r="BL79" s="658"/>
      <c r="BM79" s="658"/>
      <c r="BN79" s="658"/>
      <c r="BO79" s="658"/>
      <c r="BP79" s="658"/>
    </row>
    <row r="80" spans="1:69" ht="13.5" customHeight="1">
      <c r="A80" s="1277"/>
      <c r="B80" s="4824" t="s">
        <v>510</v>
      </c>
      <c r="C80" s="8434"/>
      <c r="D80" s="8435"/>
      <c r="E80" s="8435"/>
      <c r="F80" s="8435"/>
      <c r="G80" s="8435"/>
      <c r="H80" s="8435"/>
      <c r="I80" s="8435"/>
      <c r="J80" s="8435"/>
      <c r="K80" s="8435"/>
      <c r="L80" s="8435"/>
      <c r="M80" s="8435"/>
      <c r="N80" s="8436"/>
      <c r="O80" s="7516"/>
      <c r="P80" s="8437"/>
      <c r="Q80" s="8437"/>
      <c r="R80" s="8437"/>
      <c r="S80" s="8438"/>
      <c r="T80" s="4771"/>
      <c r="U80" s="773"/>
      <c r="V80" s="276"/>
      <c r="W80" s="773"/>
      <c r="X80" s="3951"/>
      <c r="Y80" s="8405"/>
      <c r="Z80" s="8406"/>
      <c r="AA80" s="8406"/>
      <c r="AB80" s="8406"/>
      <c r="AC80" s="8406"/>
      <c r="AD80" s="8406"/>
      <c r="AE80" s="8407"/>
      <c r="AF80" s="4771"/>
      <c r="AG80" s="773"/>
      <c r="AH80" s="276"/>
      <c r="AI80" s="773"/>
      <c r="AJ80" s="3951"/>
      <c r="AK80" s="4771"/>
      <c r="AL80" s="773"/>
      <c r="AM80" s="276"/>
      <c r="AN80" s="773"/>
      <c r="AO80" s="773"/>
      <c r="AP80" s="1277"/>
      <c r="BG80" s="769"/>
      <c r="BH80" s="658"/>
      <c r="BI80" s="658"/>
      <c r="BJ80" s="658"/>
      <c r="BK80" s="658"/>
      <c r="BL80" s="658"/>
      <c r="BM80" s="658"/>
      <c r="BN80" s="658"/>
      <c r="BO80" s="658"/>
      <c r="BP80" s="658"/>
    </row>
    <row r="81" spans="1:68" ht="13.5" customHeight="1">
      <c r="A81" s="1277"/>
      <c r="B81" s="4824" t="s">
        <v>516</v>
      </c>
      <c r="C81" s="8434"/>
      <c r="D81" s="8435"/>
      <c r="E81" s="8435"/>
      <c r="F81" s="8435"/>
      <c r="G81" s="8435"/>
      <c r="H81" s="8435"/>
      <c r="I81" s="8435"/>
      <c r="J81" s="8435"/>
      <c r="K81" s="8435"/>
      <c r="L81" s="8435"/>
      <c r="M81" s="8435"/>
      <c r="N81" s="8436"/>
      <c r="O81" s="7516"/>
      <c r="P81" s="8437"/>
      <c r="Q81" s="8437"/>
      <c r="R81" s="8437"/>
      <c r="S81" s="8438"/>
      <c r="T81" s="4771"/>
      <c r="U81" s="773"/>
      <c r="V81" s="276"/>
      <c r="W81" s="773"/>
      <c r="X81" s="3951"/>
      <c r="Y81" s="8405"/>
      <c r="Z81" s="8406"/>
      <c r="AA81" s="8406"/>
      <c r="AB81" s="8406"/>
      <c r="AC81" s="8406"/>
      <c r="AD81" s="8406"/>
      <c r="AE81" s="8407"/>
      <c r="AF81" s="4771"/>
      <c r="AG81" s="773"/>
      <c r="AH81" s="276"/>
      <c r="AI81" s="773"/>
      <c r="AJ81" s="3951"/>
      <c r="AK81" s="4771"/>
      <c r="AL81" s="773"/>
      <c r="AM81" s="276"/>
      <c r="AN81" s="773"/>
      <c r="AO81" s="773"/>
      <c r="AP81" s="1277"/>
      <c r="BG81" s="769"/>
      <c r="BH81" s="658"/>
      <c r="BI81" s="658"/>
      <c r="BJ81" s="658"/>
      <c r="BK81" s="658"/>
      <c r="BL81" s="658"/>
      <c r="BM81" s="658"/>
      <c r="BN81" s="658"/>
      <c r="BO81" s="658"/>
      <c r="BP81" s="658"/>
    </row>
    <row r="82" spans="1:68" ht="13.5" customHeight="1">
      <c r="A82" s="1277"/>
      <c r="B82" s="4824" t="s">
        <v>518</v>
      </c>
      <c r="C82" s="8434"/>
      <c r="D82" s="8435"/>
      <c r="E82" s="8435"/>
      <c r="F82" s="8435"/>
      <c r="G82" s="8435"/>
      <c r="H82" s="8435"/>
      <c r="I82" s="8435"/>
      <c r="J82" s="8435"/>
      <c r="K82" s="8435"/>
      <c r="L82" s="8435"/>
      <c r="M82" s="8435"/>
      <c r="N82" s="8436"/>
      <c r="O82" s="7516"/>
      <c r="P82" s="8437"/>
      <c r="Q82" s="8437"/>
      <c r="R82" s="8437"/>
      <c r="S82" s="8438"/>
      <c r="T82" s="4771"/>
      <c r="U82" s="773"/>
      <c r="V82" s="276"/>
      <c r="W82" s="773"/>
      <c r="X82" s="3951"/>
      <c r="Y82" s="8405"/>
      <c r="Z82" s="8406"/>
      <c r="AA82" s="8406"/>
      <c r="AB82" s="8406"/>
      <c r="AC82" s="8406"/>
      <c r="AD82" s="8406"/>
      <c r="AE82" s="8407"/>
      <c r="AF82" s="4771"/>
      <c r="AG82" s="773"/>
      <c r="AH82" s="276"/>
      <c r="AI82" s="773"/>
      <c r="AJ82" s="3951"/>
      <c r="AK82" s="4771"/>
      <c r="AL82" s="773"/>
      <c r="AM82" s="276"/>
      <c r="AN82" s="773"/>
      <c r="AO82" s="773"/>
      <c r="AP82" s="1277"/>
      <c r="BG82" s="769"/>
      <c r="BH82" s="658"/>
      <c r="BI82" s="658"/>
      <c r="BJ82" s="658"/>
      <c r="BK82" s="658"/>
      <c r="BL82" s="658"/>
      <c r="BM82" s="658"/>
      <c r="BN82" s="658"/>
      <c r="BO82" s="658"/>
      <c r="BP82" s="658"/>
    </row>
    <row r="83" spans="1:68" ht="13.5" customHeight="1">
      <c r="A83" s="1277"/>
      <c r="B83" s="4824" t="s">
        <v>521</v>
      </c>
      <c r="C83" s="8434"/>
      <c r="D83" s="8435"/>
      <c r="E83" s="8435"/>
      <c r="F83" s="8435"/>
      <c r="G83" s="8435"/>
      <c r="H83" s="8435"/>
      <c r="I83" s="8435"/>
      <c r="J83" s="8435"/>
      <c r="K83" s="8435"/>
      <c r="L83" s="8435"/>
      <c r="M83" s="8435"/>
      <c r="N83" s="8436"/>
      <c r="O83" s="7516"/>
      <c r="P83" s="8437"/>
      <c r="Q83" s="8437"/>
      <c r="R83" s="8437"/>
      <c r="S83" s="8438"/>
      <c r="T83" s="4771"/>
      <c r="U83" s="773"/>
      <c r="V83" s="276"/>
      <c r="W83" s="773"/>
      <c r="X83" s="3951"/>
      <c r="Y83" s="8405"/>
      <c r="Z83" s="8406"/>
      <c r="AA83" s="8406"/>
      <c r="AB83" s="8406"/>
      <c r="AC83" s="8406"/>
      <c r="AD83" s="8406"/>
      <c r="AE83" s="8407"/>
      <c r="AF83" s="4771"/>
      <c r="AG83" s="773"/>
      <c r="AH83" s="276"/>
      <c r="AI83" s="773"/>
      <c r="AJ83" s="3951"/>
      <c r="AK83" s="4771"/>
      <c r="AL83" s="773"/>
      <c r="AM83" s="276"/>
      <c r="AN83" s="773"/>
      <c r="AO83" s="773"/>
      <c r="AP83" s="1277"/>
      <c r="BG83" s="769"/>
      <c r="BH83" s="658"/>
      <c r="BI83" s="658"/>
      <c r="BJ83" s="658"/>
      <c r="BK83" s="658"/>
      <c r="BL83" s="658"/>
      <c r="BM83" s="658"/>
      <c r="BN83" s="658"/>
      <c r="BO83" s="658"/>
      <c r="BP83" s="658"/>
    </row>
    <row r="84" spans="1:68" ht="17.25" customHeight="1">
      <c r="A84" s="1277"/>
      <c r="B84" s="8409" t="s">
        <v>2407</v>
      </c>
      <c r="C84" s="8501"/>
      <c r="D84" s="8501"/>
      <c r="E84" s="8501"/>
      <c r="F84" s="8501"/>
      <c r="G84" s="8501"/>
      <c r="H84" s="8501"/>
      <c r="I84" s="8501"/>
      <c r="J84" s="8501"/>
      <c r="K84" s="8501"/>
      <c r="L84" s="8501"/>
      <c r="M84" s="8501"/>
      <c r="N84" s="8501"/>
      <c r="O84" s="8501"/>
      <c r="P84" s="8501"/>
      <c r="Q84" s="8501"/>
      <c r="R84" s="7840"/>
      <c r="S84" s="8423" t="s">
        <v>2408</v>
      </c>
      <c r="T84" s="8424"/>
      <c r="U84" s="8424"/>
      <c r="V84" s="8424"/>
      <c r="W84" s="8424"/>
      <c r="X84" s="8424"/>
      <c r="Y84" s="8424"/>
      <c r="Z84" s="8424"/>
      <c r="AA84" s="8424"/>
      <c r="AB84" s="8424"/>
      <c r="AC84" s="8424"/>
      <c r="AD84" s="8424"/>
      <c r="AE84" s="8424"/>
      <c r="AF84" s="8424"/>
      <c r="AG84" s="8424"/>
      <c r="AH84" s="8424"/>
      <c r="AI84" s="8424"/>
      <c r="AJ84" s="8424"/>
      <c r="AK84" s="8424"/>
      <c r="AL84" s="8424"/>
      <c r="AM84" s="8424"/>
      <c r="AN84" s="8424"/>
      <c r="AO84" s="8424"/>
      <c r="AP84" s="1277"/>
      <c r="BG84" s="769"/>
      <c r="BH84" s="658"/>
      <c r="BI84" s="658"/>
      <c r="BJ84" s="658"/>
      <c r="BK84" s="658"/>
      <c r="BL84" s="658"/>
      <c r="BM84" s="658"/>
      <c r="BN84" s="658"/>
      <c r="BO84" s="658"/>
      <c r="BP84" s="658"/>
    </row>
    <row r="85" spans="1:68" ht="12.75" customHeight="1">
      <c r="A85" s="1277"/>
      <c r="B85" s="406"/>
      <c r="C85" s="8391" t="s">
        <v>2409</v>
      </c>
      <c r="D85" s="8418"/>
      <c r="E85" s="8418"/>
      <c r="F85" s="8418"/>
      <c r="G85" s="8418"/>
      <c r="H85" s="8418"/>
      <c r="I85" s="8418"/>
      <c r="J85" s="8507"/>
      <c r="K85" s="8417" t="s">
        <v>2410</v>
      </c>
      <c r="L85" s="8418"/>
      <c r="M85" s="8418"/>
      <c r="N85" s="8418"/>
      <c r="O85" s="8418"/>
      <c r="P85" s="8418"/>
      <c r="Q85" s="8418"/>
      <c r="R85" s="8418"/>
      <c r="S85" s="8510" t="s">
        <v>2411</v>
      </c>
      <c r="T85" s="8418"/>
      <c r="U85" s="8418"/>
      <c r="V85" s="8418"/>
      <c r="W85" s="8418"/>
      <c r="X85" s="8418"/>
      <c r="Y85" s="8507"/>
      <c r="Z85" s="8417" t="s">
        <v>2412</v>
      </c>
      <c r="AA85" s="8418"/>
      <c r="AB85" s="8418"/>
      <c r="AC85" s="8418"/>
      <c r="AD85" s="8418"/>
      <c r="AE85" s="8418"/>
      <c r="AF85" s="8418"/>
      <c r="AG85" s="8507"/>
      <c r="AH85" s="8417" t="s">
        <v>2413</v>
      </c>
      <c r="AI85" s="8418"/>
      <c r="AJ85" s="8418"/>
      <c r="AK85" s="8418"/>
      <c r="AL85" s="8418"/>
      <c r="AM85" s="8418"/>
      <c r="AN85" s="8418"/>
      <c r="AO85" s="8418"/>
      <c r="AP85" s="1277"/>
      <c r="BG85" s="769"/>
      <c r="BH85" s="658"/>
      <c r="BI85" s="658"/>
      <c r="BJ85" s="658"/>
      <c r="BK85" s="658"/>
      <c r="BL85" s="658"/>
      <c r="BM85" s="658"/>
      <c r="BN85" s="658"/>
      <c r="BO85" s="658"/>
      <c r="BP85" s="658"/>
    </row>
    <row r="86" spans="1:68" ht="12.75" customHeight="1">
      <c r="A86" s="1277"/>
      <c r="B86" s="253"/>
      <c r="C86" s="8420"/>
      <c r="D86" s="8420"/>
      <c r="E86" s="8420"/>
      <c r="F86" s="8420"/>
      <c r="G86" s="8420"/>
      <c r="H86" s="8420"/>
      <c r="I86" s="8420"/>
      <c r="J86" s="8508"/>
      <c r="K86" s="8419"/>
      <c r="L86" s="8420"/>
      <c r="M86" s="8420"/>
      <c r="N86" s="8420"/>
      <c r="O86" s="8420"/>
      <c r="P86" s="8420"/>
      <c r="Q86" s="8420"/>
      <c r="R86" s="8420"/>
      <c r="S86" s="8511"/>
      <c r="T86" s="8420"/>
      <c r="U86" s="8420"/>
      <c r="V86" s="8420"/>
      <c r="W86" s="8420"/>
      <c r="X86" s="8420"/>
      <c r="Y86" s="8508"/>
      <c r="Z86" s="8419"/>
      <c r="AA86" s="8420"/>
      <c r="AB86" s="8420"/>
      <c r="AC86" s="8420"/>
      <c r="AD86" s="8420"/>
      <c r="AE86" s="8420"/>
      <c r="AF86" s="8420"/>
      <c r="AG86" s="8508"/>
      <c r="AH86" s="8419"/>
      <c r="AI86" s="8420"/>
      <c r="AJ86" s="8420"/>
      <c r="AK86" s="8420"/>
      <c r="AL86" s="8420"/>
      <c r="AM86" s="8420"/>
      <c r="AN86" s="8420"/>
      <c r="AO86" s="8420"/>
      <c r="AP86" s="1277"/>
      <c r="BG86" s="769"/>
      <c r="BH86" s="658"/>
      <c r="BI86" s="658"/>
      <c r="BJ86" s="658"/>
      <c r="BK86" s="658"/>
      <c r="BL86" s="658"/>
      <c r="BM86" s="658"/>
      <c r="BN86" s="658"/>
      <c r="BO86" s="658"/>
      <c r="BP86" s="658"/>
    </row>
    <row r="87" spans="1:68" ht="12.75" customHeight="1">
      <c r="A87" s="1277"/>
      <c r="B87" s="413"/>
      <c r="C87" s="8422"/>
      <c r="D87" s="8422"/>
      <c r="E87" s="8422"/>
      <c r="F87" s="8422"/>
      <c r="G87" s="8422"/>
      <c r="H87" s="8422"/>
      <c r="I87" s="8422"/>
      <c r="J87" s="8509"/>
      <c r="K87" s="8421"/>
      <c r="L87" s="8422"/>
      <c r="M87" s="8422"/>
      <c r="N87" s="8422"/>
      <c r="O87" s="8422"/>
      <c r="P87" s="8422"/>
      <c r="Q87" s="8422"/>
      <c r="R87" s="8422"/>
      <c r="S87" s="8512"/>
      <c r="T87" s="8422"/>
      <c r="U87" s="8422"/>
      <c r="V87" s="8422"/>
      <c r="W87" s="8422"/>
      <c r="X87" s="8422"/>
      <c r="Y87" s="8509"/>
      <c r="Z87" s="8421"/>
      <c r="AA87" s="8422"/>
      <c r="AB87" s="8422"/>
      <c r="AC87" s="8422"/>
      <c r="AD87" s="8422"/>
      <c r="AE87" s="8422"/>
      <c r="AF87" s="8422"/>
      <c r="AG87" s="8509"/>
      <c r="AH87" s="8421"/>
      <c r="AI87" s="8422"/>
      <c r="AJ87" s="8422"/>
      <c r="AK87" s="8422"/>
      <c r="AL87" s="8422"/>
      <c r="AM87" s="8422"/>
      <c r="AN87" s="8422"/>
      <c r="AO87" s="8422"/>
      <c r="AP87" s="1277"/>
      <c r="BG87" s="769"/>
      <c r="BH87" s="658"/>
      <c r="BI87" s="658"/>
      <c r="BJ87" s="658"/>
      <c r="BK87" s="658"/>
      <c r="BL87" s="658"/>
      <c r="BM87" s="658"/>
      <c r="BN87" s="658"/>
      <c r="BO87" s="658"/>
      <c r="BP87" s="658"/>
    </row>
    <row r="88" spans="1:68" ht="13.5" customHeight="1">
      <c r="A88" s="1277"/>
      <c r="B88" s="4656" t="s">
        <v>510</v>
      </c>
      <c r="C88" s="8431"/>
      <c r="D88" s="8432"/>
      <c r="E88" s="8432"/>
      <c r="F88" s="8432"/>
      <c r="G88" s="8432"/>
      <c r="H88" s="8432"/>
      <c r="I88" s="8432"/>
      <c r="J88" s="8465"/>
      <c r="K88" s="8431"/>
      <c r="L88" s="8432"/>
      <c r="M88" s="8432"/>
      <c r="N88" s="8432"/>
      <c r="O88" s="8432"/>
      <c r="P88" s="8432"/>
      <c r="Q88" s="8432"/>
      <c r="R88" s="8474"/>
      <c r="S88" s="8431"/>
      <c r="T88" s="8432"/>
      <c r="U88" s="8432"/>
      <c r="V88" s="8432"/>
      <c r="W88" s="8432"/>
      <c r="X88" s="8432"/>
      <c r="Y88" s="8432"/>
      <c r="Z88" s="8431"/>
      <c r="AA88" s="8432"/>
      <c r="AB88" s="8432"/>
      <c r="AC88" s="8432"/>
      <c r="AD88" s="8432"/>
      <c r="AE88" s="8432"/>
      <c r="AF88" s="8432"/>
      <c r="AG88" s="8465"/>
      <c r="AH88" s="8431"/>
      <c r="AI88" s="8432"/>
      <c r="AJ88" s="8432"/>
      <c r="AK88" s="8432"/>
      <c r="AL88" s="8432"/>
      <c r="AM88" s="8432"/>
      <c r="AN88" s="8432"/>
      <c r="AO88" s="8432"/>
      <c r="AP88" s="1277"/>
      <c r="BG88" s="769"/>
      <c r="BH88" s="658"/>
      <c r="BI88" s="658"/>
      <c r="BJ88" s="658"/>
      <c r="BK88" s="658"/>
      <c r="BL88" s="658"/>
      <c r="BM88" s="658"/>
      <c r="BN88" s="658"/>
      <c r="BO88" s="658"/>
      <c r="BP88" s="658"/>
    </row>
    <row r="89" spans="1:68" ht="13.5" customHeight="1">
      <c r="A89" s="1277"/>
      <c r="B89" s="4824" t="s">
        <v>516</v>
      </c>
      <c r="C89" s="8431"/>
      <c r="D89" s="8432"/>
      <c r="E89" s="8432"/>
      <c r="F89" s="8432"/>
      <c r="G89" s="8432"/>
      <c r="H89" s="8432"/>
      <c r="I89" s="8432"/>
      <c r="J89" s="8465"/>
      <c r="K89" s="8431"/>
      <c r="L89" s="8432"/>
      <c r="M89" s="8432"/>
      <c r="N89" s="8432"/>
      <c r="O89" s="8432"/>
      <c r="P89" s="8432"/>
      <c r="Q89" s="8432"/>
      <c r="R89" s="8474"/>
      <c r="S89" s="8431"/>
      <c r="T89" s="8432"/>
      <c r="U89" s="8432"/>
      <c r="V89" s="8432"/>
      <c r="W89" s="8432"/>
      <c r="X89" s="8432"/>
      <c r="Y89" s="8432"/>
      <c r="Z89" s="8431"/>
      <c r="AA89" s="8432"/>
      <c r="AB89" s="8432"/>
      <c r="AC89" s="8432"/>
      <c r="AD89" s="8432"/>
      <c r="AE89" s="8432"/>
      <c r="AF89" s="8432"/>
      <c r="AG89" s="8465"/>
      <c r="AH89" s="8431"/>
      <c r="AI89" s="8432"/>
      <c r="AJ89" s="8432"/>
      <c r="AK89" s="8432"/>
      <c r="AL89" s="8432"/>
      <c r="AM89" s="8432"/>
      <c r="AN89" s="8432"/>
      <c r="AO89" s="8432"/>
      <c r="AP89" s="1277"/>
      <c r="BG89" s="769"/>
      <c r="BH89" s="658"/>
      <c r="BI89" s="658"/>
      <c r="BJ89" s="658"/>
      <c r="BK89" s="658"/>
      <c r="BL89" s="658"/>
      <c r="BM89" s="658"/>
      <c r="BN89" s="658"/>
      <c r="BO89" s="658"/>
      <c r="BP89" s="658"/>
    </row>
    <row r="90" spans="1:68" ht="13.5" customHeight="1">
      <c r="A90" s="1277"/>
      <c r="B90" s="4824" t="s">
        <v>518</v>
      </c>
      <c r="C90" s="8431"/>
      <c r="D90" s="8432"/>
      <c r="E90" s="8432"/>
      <c r="F90" s="8432"/>
      <c r="G90" s="8432"/>
      <c r="H90" s="8432"/>
      <c r="I90" s="8432"/>
      <c r="J90" s="8465"/>
      <c r="K90" s="8431"/>
      <c r="L90" s="8432"/>
      <c r="M90" s="8432"/>
      <c r="N90" s="8432"/>
      <c r="O90" s="8432"/>
      <c r="P90" s="8432"/>
      <c r="Q90" s="8432"/>
      <c r="R90" s="8474"/>
      <c r="S90" s="8431"/>
      <c r="T90" s="8432"/>
      <c r="U90" s="8432"/>
      <c r="V90" s="8432"/>
      <c r="W90" s="8432"/>
      <c r="X90" s="8432"/>
      <c r="Y90" s="8432"/>
      <c r="Z90" s="8431"/>
      <c r="AA90" s="8432"/>
      <c r="AB90" s="8432"/>
      <c r="AC90" s="8432"/>
      <c r="AD90" s="8432"/>
      <c r="AE90" s="8432"/>
      <c r="AF90" s="8432"/>
      <c r="AG90" s="8465"/>
      <c r="AH90" s="8431"/>
      <c r="AI90" s="8432"/>
      <c r="AJ90" s="8432"/>
      <c r="AK90" s="8432"/>
      <c r="AL90" s="8432"/>
      <c r="AM90" s="8432"/>
      <c r="AN90" s="8432"/>
      <c r="AO90" s="8432"/>
      <c r="AP90" s="1277"/>
      <c r="BG90" s="769"/>
      <c r="BH90" s="658"/>
      <c r="BI90" s="658"/>
      <c r="BJ90" s="658"/>
      <c r="BK90" s="658"/>
      <c r="BL90" s="658"/>
      <c r="BM90" s="658"/>
      <c r="BN90" s="658"/>
      <c r="BO90" s="658"/>
      <c r="BP90" s="658"/>
    </row>
    <row r="91" spans="1:68" ht="13.5" customHeight="1">
      <c r="A91" s="1277"/>
      <c r="B91" s="4824" t="s">
        <v>521</v>
      </c>
      <c r="C91" s="8431"/>
      <c r="D91" s="8432"/>
      <c r="E91" s="8432"/>
      <c r="F91" s="8432"/>
      <c r="G91" s="8432"/>
      <c r="H91" s="8432"/>
      <c r="I91" s="8432"/>
      <c r="J91" s="8465"/>
      <c r="K91" s="8431"/>
      <c r="L91" s="8432"/>
      <c r="M91" s="8432"/>
      <c r="N91" s="8432"/>
      <c r="O91" s="8432"/>
      <c r="P91" s="8432"/>
      <c r="Q91" s="8432"/>
      <c r="R91" s="8474"/>
      <c r="S91" s="8431"/>
      <c r="T91" s="8432"/>
      <c r="U91" s="8432"/>
      <c r="V91" s="8432"/>
      <c r="W91" s="8432"/>
      <c r="X91" s="8432"/>
      <c r="Y91" s="8432"/>
      <c r="Z91" s="8431"/>
      <c r="AA91" s="8432"/>
      <c r="AB91" s="8432"/>
      <c r="AC91" s="8432"/>
      <c r="AD91" s="8432"/>
      <c r="AE91" s="8432"/>
      <c r="AF91" s="8432"/>
      <c r="AG91" s="8465"/>
      <c r="AH91" s="8431"/>
      <c r="AI91" s="8432"/>
      <c r="AJ91" s="8432"/>
      <c r="AK91" s="8432"/>
      <c r="AL91" s="8432"/>
      <c r="AM91" s="8432"/>
      <c r="AN91" s="8432"/>
      <c r="AO91" s="8432"/>
      <c r="AP91" s="1277"/>
      <c r="BG91" s="769"/>
      <c r="BH91" s="658"/>
      <c r="BI91" s="658"/>
      <c r="BJ91" s="658"/>
      <c r="BK91" s="658"/>
      <c r="BL91" s="658"/>
      <c r="BM91" s="658"/>
      <c r="BN91" s="658"/>
      <c r="BO91" s="658"/>
      <c r="BP91" s="658"/>
    </row>
    <row r="92" spans="1:68" ht="13.5" customHeight="1">
      <c r="A92" s="1277"/>
      <c r="B92" s="8409" t="s">
        <v>2414</v>
      </c>
      <c r="C92" s="8409"/>
      <c r="D92" s="1469"/>
      <c r="E92" s="1469" t="s">
        <v>2415</v>
      </c>
      <c r="F92" s="4825"/>
      <c r="G92" s="3835"/>
      <c r="H92" s="3835"/>
      <c r="I92" s="3835"/>
      <c r="J92" s="4826"/>
      <c r="K92" s="8384">
        <f>ROUND(SUM(K88:K91),0)</f>
        <v>0</v>
      </c>
      <c r="L92" s="8385"/>
      <c r="M92" s="8385"/>
      <c r="N92" s="8385"/>
      <c r="O92" s="8385"/>
      <c r="P92" s="8385"/>
      <c r="Q92" s="8385"/>
      <c r="R92" s="8386"/>
      <c r="S92" s="8502"/>
      <c r="T92" s="8503"/>
      <c r="U92" s="8503"/>
      <c r="V92" s="8503"/>
      <c r="W92" s="8503"/>
      <c r="X92" s="8503"/>
      <c r="Y92" s="8503"/>
      <c r="Z92" s="3835"/>
      <c r="AA92" s="3835"/>
      <c r="AB92" s="3835"/>
      <c r="AC92" s="3835"/>
      <c r="AD92" s="3835"/>
      <c r="AE92" s="3835"/>
      <c r="AF92" s="3835"/>
      <c r="AG92" s="4826"/>
      <c r="AH92" s="8381">
        <f>ROUND(SUM(AH88:AH91),0)</f>
        <v>0</v>
      </c>
      <c r="AI92" s="8399"/>
      <c r="AJ92" s="8399"/>
      <c r="AK92" s="8399"/>
      <c r="AL92" s="8399"/>
      <c r="AM92" s="8399"/>
      <c r="AN92" s="8399"/>
      <c r="AO92" s="8399"/>
      <c r="AP92" s="1277"/>
      <c r="BG92" s="769"/>
      <c r="BH92" s="658"/>
      <c r="BI92" s="658"/>
      <c r="BJ92" s="658"/>
      <c r="BK92" s="658"/>
      <c r="BL92" s="658"/>
      <c r="BM92" s="658"/>
      <c r="BN92" s="658"/>
      <c r="BO92" s="658"/>
      <c r="BP92" s="658"/>
    </row>
    <row r="93" spans="1:68" ht="13.5" customHeight="1">
      <c r="A93" s="1277"/>
      <c r="B93" s="7858" t="s">
        <v>592</v>
      </c>
      <c r="C93" s="7858"/>
      <c r="D93" s="511"/>
      <c r="E93" s="1469" t="s">
        <v>2415</v>
      </c>
      <c r="F93" s="8381">
        <f>ROUND(SUM(C88:C91),0)</f>
        <v>0</v>
      </c>
      <c r="G93" s="8399"/>
      <c r="H93" s="8399"/>
      <c r="I93" s="8399"/>
      <c r="J93" s="8499"/>
      <c r="K93" s="8504"/>
      <c r="L93" s="8505"/>
      <c r="M93" s="8505"/>
      <c r="N93" s="8505"/>
      <c r="O93" s="8505"/>
      <c r="P93" s="8505"/>
      <c r="Q93" s="8505"/>
      <c r="R93" s="8506"/>
      <c r="S93" s="8401">
        <f>ROUND(SUM(S88:S91),0)</f>
        <v>0</v>
      </c>
      <c r="T93" s="8385"/>
      <c r="U93" s="8385"/>
      <c r="V93" s="8385"/>
      <c r="W93" s="8385"/>
      <c r="X93" s="8385"/>
      <c r="Y93" s="8402"/>
      <c r="Z93" s="8500">
        <f>ROUND(SUM(Z88:Z91),0)</f>
        <v>0</v>
      </c>
      <c r="AA93" s="8500"/>
      <c r="AB93" s="8500"/>
      <c r="AC93" s="8500"/>
      <c r="AD93" s="8500"/>
      <c r="AE93" s="8500"/>
      <c r="AF93" s="8500"/>
      <c r="AG93" s="8500"/>
      <c r="AH93" s="8497"/>
      <c r="AI93" s="8497"/>
      <c r="AJ93" s="8497"/>
      <c r="AK93" s="8497"/>
      <c r="AL93" s="8497"/>
      <c r="AM93" s="8497"/>
      <c r="AN93" s="8497"/>
      <c r="AO93" s="8498"/>
      <c r="AP93" s="1277"/>
      <c r="BG93" s="769"/>
      <c r="BH93" s="658"/>
      <c r="BI93" s="658"/>
      <c r="BJ93" s="658"/>
      <c r="BK93" s="658"/>
      <c r="BL93" s="658"/>
      <c r="BM93" s="658"/>
      <c r="BN93" s="658"/>
      <c r="BO93" s="658"/>
      <c r="BP93" s="658"/>
    </row>
    <row r="94" spans="1:68" ht="12.75" customHeight="1">
      <c r="A94" s="1277"/>
      <c r="B94" s="7608">
        <v>30</v>
      </c>
      <c r="C94" s="7608"/>
      <c r="D94" s="511" t="s">
        <v>2416</v>
      </c>
      <c r="E94" s="253"/>
      <c r="F94" s="253"/>
      <c r="G94" s="253"/>
      <c r="H94" s="253"/>
      <c r="I94" s="253"/>
      <c r="J94" s="253"/>
      <c r="K94" s="253"/>
      <c r="L94" s="253"/>
      <c r="M94" s="253"/>
      <c r="N94" s="253"/>
      <c r="O94" s="253"/>
      <c r="P94" s="253"/>
      <c r="Q94" s="253"/>
      <c r="R94" s="253"/>
      <c r="S94" s="253"/>
      <c r="T94" s="253"/>
      <c r="U94" s="253"/>
      <c r="V94" s="253"/>
      <c r="W94" s="253"/>
      <c r="X94" s="253"/>
      <c r="Y94" s="253"/>
      <c r="Z94" s="253"/>
      <c r="AA94" s="253"/>
      <c r="AB94" s="253"/>
      <c r="AC94" s="253"/>
      <c r="AD94" s="253"/>
      <c r="AE94" s="2198" t="s">
        <v>665</v>
      </c>
      <c r="AF94" s="8387">
        <v>30</v>
      </c>
      <c r="AG94" s="8388"/>
      <c r="AH94" s="8429">
        <f>SUM(K92,AH92)</f>
        <v>0</v>
      </c>
      <c r="AI94" s="8430"/>
      <c r="AJ94" s="8430"/>
      <c r="AK94" s="8430"/>
      <c r="AL94" s="8430"/>
      <c r="AM94" s="8430"/>
      <c r="AN94" s="8430"/>
      <c r="AO94" s="8430"/>
      <c r="AP94" s="1277"/>
      <c r="AQ94" s="2875"/>
      <c r="AR94" s="2875"/>
      <c r="AS94" s="2875"/>
      <c r="BG94" s="769"/>
      <c r="BH94" s="658"/>
      <c r="BI94" s="658"/>
      <c r="BJ94" s="658"/>
      <c r="BK94" s="658"/>
      <c r="BL94" s="658"/>
      <c r="BM94" s="658"/>
      <c r="BN94" s="658"/>
      <c r="BO94" s="658"/>
      <c r="BP94" s="658"/>
    </row>
    <row r="95" spans="1:68" ht="12.75" customHeight="1" thickBot="1">
      <c r="A95" s="1277"/>
      <c r="B95" s="7608">
        <v>31</v>
      </c>
      <c r="C95" s="7608"/>
      <c r="D95" s="511" t="s">
        <v>2417</v>
      </c>
      <c r="E95" s="253"/>
      <c r="F95" s="253"/>
      <c r="G95" s="253"/>
      <c r="H95" s="253"/>
      <c r="I95" s="253"/>
      <c r="J95" s="253"/>
      <c r="K95" s="253"/>
      <c r="L95" s="253"/>
      <c r="M95" s="253"/>
      <c r="N95" s="253"/>
      <c r="O95" s="253"/>
      <c r="P95" s="253"/>
      <c r="Q95" s="253"/>
      <c r="R95" s="253"/>
      <c r="S95" s="253"/>
      <c r="T95" s="253"/>
      <c r="U95" s="253"/>
      <c r="V95" s="253"/>
      <c r="W95" s="253"/>
      <c r="X95" s="253"/>
      <c r="Y95" s="253"/>
      <c r="Z95" s="253"/>
      <c r="AA95" s="253"/>
      <c r="AB95" s="253"/>
      <c r="AC95" s="253"/>
      <c r="AD95" s="253"/>
      <c r="AE95" s="2198" t="s">
        <v>647</v>
      </c>
      <c r="AF95" s="8387">
        <v>31</v>
      </c>
      <c r="AG95" s="8388"/>
      <c r="AH95" s="4827" t="s">
        <v>799</v>
      </c>
      <c r="AI95" s="8412">
        <f>SUM(F93,S93,Z93)</f>
        <v>0</v>
      </c>
      <c r="AJ95" s="8274"/>
      <c r="AK95" s="8274"/>
      <c r="AL95" s="8274"/>
      <c r="AM95" s="8274"/>
      <c r="AN95" s="8274"/>
      <c r="AO95" s="4828" t="s">
        <v>800</v>
      </c>
      <c r="AP95" s="1277"/>
      <c r="AQ95" s="2875"/>
      <c r="AR95" s="185" t="s">
        <v>771</v>
      </c>
      <c r="AS95" s="2875"/>
      <c r="BG95" s="769"/>
      <c r="BH95" s="658"/>
      <c r="BI95" s="658"/>
      <c r="BJ95" s="658"/>
      <c r="BK95" s="658"/>
      <c r="BL95" s="658"/>
      <c r="BM95" s="658"/>
      <c r="BN95" s="658"/>
      <c r="BO95" s="658"/>
      <c r="BP95" s="658"/>
    </row>
    <row r="96" spans="1:68" ht="12.75" customHeight="1" thickBot="1">
      <c r="A96" s="1277"/>
      <c r="B96" s="8614">
        <v>32</v>
      </c>
      <c r="C96" s="8614"/>
      <c r="D96" s="4830" t="s">
        <v>2418</v>
      </c>
      <c r="E96" s="380"/>
      <c r="F96" s="380"/>
      <c r="G96" s="380"/>
      <c r="H96" s="380"/>
      <c r="I96" s="380"/>
      <c r="J96" s="380"/>
      <c r="K96" s="380"/>
      <c r="L96" s="380"/>
      <c r="M96" s="380"/>
      <c r="N96" s="380"/>
      <c r="O96" s="380"/>
      <c r="P96" s="380"/>
      <c r="Q96" s="380"/>
      <c r="R96" s="380"/>
      <c r="S96" s="380"/>
      <c r="T96" s="380"/>
      <c r="U96" s="380"/>
      <c r="V96" s="380"/>
      <c r="W96" s="380"/>
      <c r="X96" s="380"/>
      <c r="Y96" s="380"/>
      <c r="Z96" s="380"/>
      <c r="AA96" s="380"/>
      <c r="AB96" s="380"/>
      <c r="AC96" s="380"/>
      <c r="AD96" s="380"/>
      <c r="AE96" s="4533" t="s">
        <v>627</v>
      </c>
      <c r="AF96" s="8389">
        <v>32</v>
      </c>
      <c r="AG96" s="8390"/>
      <c r="AH96" s="8602">
        <f>IF(AR96&lt;&gt;"",ROUND(AR96,0),SUM(AH94,-AI95))</f>
        <v>0</v>
      </c>
      <c r="AI96" s="8603"/>
      <c r="AJ96" s="8603"/>
      <c r="AK96" s="8603"/>
      <c r="AL96" s="8603"/>
      <c r="AM96" s="8603"/>
      <c r="AN96" s="8603"/>
      <c r="AO96" s="8603"/>
      <c r="AP96" s="1277"/>
      <c r="AQ96" s="2875"/>
      <c r="AR96" s="776"/>
      <c r="AS96" s="2875"/>
      <c r="BG96" s="769"/>
      <c r="BH96" s="658"/>
      <c r="BI96" s="658"/>
      <c r="BJ96" s="658"/>
      <c r="BK96" s="658"/>
      <c r="BL96" s="658"/>
      <c r="BM96" s="658"/>
      <c r="BN96" s="658"/>
      <c r="BO96" s="658"/>
      <c r="BP96" s="658"/>
    </row>
    <row r="97" spans="1:69" s="1405" customFormat="1" ht="17.25" customHeight="1">
      <c r="A97" s="2119"/>
      <c r="B97" s="8479" t="s">
        <v>1938</v>
      </c>
      <c r="C97" s="8479"/>
      <c r="D97" s="8480"/>
      <c r="E97" s="1998"/>
      <c r="F97" s="1997" t="s">
        <v>2419</v>
      </c>
      <c r="G97" s="1998"/>
      <c r="H97" s="1998"/>
      <c r="I97" s="1998"/>
      <c r="J97" s="1998"/>
      <c r="K97" s="1998"/>
      <c r="L97" s="1998"/>
      <c r="M97" s="1998"/>
      <c r="N97" s="1998"/>
      <c r="O97" s="1998"/>
      <c r="P97" s="1998"/>
      <c r="Q97" s="1998"/>
      <c r="R97" s="1998"/>
      <c r="S97" s="1998"/>
      <c r="T97" s="1998"/>
      <c r="U97" s="1998"/>
      <c r="V97" s="1998"/>
      <c r="W97" s="1998"/>
      <c r="X97" s="1996"/>
      <c r="Y97" s="1998"/>
      <c r="Z97" s="1998"/>
      <c r="AA97" s="1998"/>
      <c r="AB97" s="1998"/>
      <c r="AC97" s="1998"/>
      <c r="AD97" s="1998"/>
      <c r="AE97" s="1998"/>
      <c r="AF97" s="1998"/>
      <c r="AG97" s="1998"/>
      <c r="AH97" s="1998"/>
      <c r="AI97" s="1998"/>
      <c r="AJ97" s="1998"/>
      <c r="AK97" s="1998"/>
      <c r="AL97" s="1998"/>
      <c r="AM97" s="1998"/>
      <c r="AN97" s="1998"/>
      <c r="AO97" s="1998"/>
      <c r="AP97" s="1277"/>
      <c r="AQ97" s="2875"/>
      <c r="AR97" s="2875"/>
      <c r="AS97" s="2875"/>
      <c r="AX97"/>
      <c r="AY97"/>
      <c r="AZ97"/>
      <c r="BA97"/>
      <c r="BB97"/>
      <c r="BC97"/>
      <c r="BD97"/>
      <c r="BG97" s="769"/>
      <c r="BH97" s="658"/>
      <c r="BI97" s="658"/>
      <c r="BJ97" s="658"/>
      <c r="BK97" s="658"/>
      <c r="BL97" s="658"/>
      <c r="BM97" s="658"/>
      <c r="BN97" s="658"/>
      <c r="BO97" s="658"/>
      <c r="BP97" s="658"/>
      <c r="BQ97" s="815"/>
    </row>
    <row r="98" spans="1:69" ht="12.75" customHeight="1">
      <c r="A98" s="1277"/>
      <c r="B98" s="406"/>
      <c r="C98" s="406"/>
      <c r="D98" s="406"/>
      <c r="E98" s="406"/>
      <c r="F98" s="406"/>
      <c r="G98" s="406"/>
      <c r="H98" s="406"/>
      <c r="I98" s="406"/>
      <c r="J98" s="406"/>
      <c r="K98" s="406"/>
      <c r="L98" s="406"/>
      <c r="M98" s="406"/>
      <c r="N98" s="406"/>
      <c r="O98" s="406"/>
      <c r="P98" s="406"/>
      <c r="Q98" s="406"/>
      <c r="R98" s="406"/>
      <c r="S98" s="406"/>
      <c r="T98" s="406"/>
      <c r="U98" s="406"/>
      <c r="V98" s="406"/>
      <c r="W98" s="406"/>
      <c r="X98" s="406"/>
      <c r="Y98" s="406"/>
      <c r="Z98" s="406"/>
      <c r="AA98" s="406"/>
      <c r="AB98" s="406"/>
      <c r="AC98" s="406"/>
      <c r="AD98" s="406"/>
      <c r="AE98" s="406"/>
      <c r="AF98" s="406"/>
      <c r="AG98" s="407"/>
      <c r="AH98" s="8417" t="s">
        <v>2420</v>
      </c>
      <c r="AI98" s="8481"/>
      <c r="AJ98" s="8481"/>
      <c r="AK98" s="8481"/>
      <c r="AL98" s="8481"/>
      <c r="AM98" s="8481"/>
      <c r="AN98" s="8481"/>
      <c r="AO98" s="8481"/>
      <c r="AP98" s="1277"/>
      <c r="BG98" s="769"/>
      <c r="BH98" s="658"/>
      <c r="BI98" s="658"/>
      <c r="BJ98" s="658"/>
      <c r="BK98" s="658"/>
      <c r="BL98" s="658"/>
      <c r="BM98" s="658"/>
      <c r="BN98" s="658"/>
      <c r="BO98" s="658"/>
      <c r="BP98" s="658"/>
    </row>
    <row r="99" spans="1:69" ht="12.75" customHeight="1">
      <c r="A99" s="1277"/>
      <c r="B99" s="8433">
        <v>33</v>
      </c>
      <c r="C99" s="7091"/>
      <c r="D99" s="253"/>
      <c r="E99" s="253"/>
      <c r="F99" s="253"/>
      <c r="G99" s="253"/>
      <c r="H99" s="253"/>
      <c r="I99" s="253"/>
      <c r="J99" s="253"/>
      <c r="K99" s="253"/>
      <c r="L99" s="253"/>
      <c r="M99" s="253"/>
      <c r="N99" s="253"/>
      <c r="O99" s="253"/>
      <c r="P99" s="344" t="s">
        <v>2406</v>
      </c>
      <c r="Q99" s="253"/>
      <c r="R99" s="253"/>
      <c r="S99" s="253"/>
      <c r="T99" s="253"/>
      <c r="U99" s="253"/>
      <c r="V99" s="253"/>
      <c r="W99" s="253"/>
      <c r="X99" s="253"/>
      <c r="Y99" s="253"/>
      <c r="Z99" s="253"/>
      <c r="AA99" s="253"/>
      <c r="AB99" s="253"/>
      <c r="AC99" s="253"/>
      <c r="AD99" s="253"/>
      <c r="AE99" s="253"/>
      <c r="AF99" s="253"/>
      <c r="AG99" s="409"/>
      <c r="AH99" s="8482"/>
      <c r="AI99" s="8299"/>
      <c r="AJ99" s="8299"/>
      <c r="AK99" s="8299"/>
      <c r="AL99" s="8299"/>
      <c r="AM99" s="8299"/>
      <c r="AN99" s="8299"/>
      <c r="AO99" s="8299"/>
      <c r="AP99" s="1277"/>
      <c r="AX99" s="1405"/>
      <c r="AY99" s="1405"/>
      <c r="AZ99" s="1405"/>
      <c r="BA99" s="1405"/>
      <c r="BB99" s="1405"/>
      <c r="BC99" s="1405"/>
      <c r="BD99" s="1405"/>
      <c r="BG99" s="769"/>
      <c r="BH99" s="658"/>
      <c r="BI99" s="658"/>
      <c r="BJ99" s="658"/>
      <c r="BK99" s="658"/>
      <c r="BL99" s="658"/>
      <c r="BM99" s="658"/>
      <c r="BN99" s="658"/>
      <c r="BO99" s="658"/>
      <c r="BP99" s="658"/>
    </row>
    <row r="100" spans="1:69" ht="12.75" customHeight="1">
      <c r="A100" s="1277"/>
      <c r="B100" s="413"/>
      <c r="C100" s="413"/>
      <c r="D100" s="413"/>
      <c r="E100" s="413"/>
      <c r="F100" s="413"/>
      <c r="G100" s="413"/>
      <c r="H100" s="413"/>
      <c r="I100" s="413"/>
      <c r="J100" s="413"/>
      <c r="K100" s="413"/>
      <c r="L100" s="413"/>
      <c r="M100" s="413"/>
      <c r="N100" s="413"/>
      <c r="O100" s="413"/>
      <c r="P100" s="413"/>
      <c r="Q100" s="413"/>
      <c r="R100" s="413"/>
      <c r="S100" s="413"/>
      <c r="T100" s="413"/>
      <c r="U100" s="413"/>
      <c r="V100" s="413"/>
      <c r="W100" s="413"/>
      <c r="X100" s="413"/>
      <c r="Y100" s="413"/>
      <c r="Z100" s="413"/>
      <c r="AA100" s="413"/>
      <c r="AB100" s="413"/>
      <c r="AC100" s="413"/>
      <c r="AD100" s="413"/>
      <c r="AE100" s="413"/>
      <c r="AF100" s="413"/>
      <c r="AG100" s="414"/>
      <c r="AH100" s="8483"/>
      <c r="AI100" s="8168"/>
      <c r="AJ100" s="8168"/>
      <c r="AK100" s="8168"/>
      <c r="AL100" s="8168"/>
      <c r="AM100" s="8168"/>
      <c r="AN100" s="8168"/>
      <c r="AO100" s="8168"/>
      <c r="AP100" s="1277"/>
      <c r="BG100" s="769"/>
      <c r="BH100" s="658"/>
      <c r="BI100" s="658"/>
      <c r="BJ100" s="658"/>
      <c r="BK100" s="658"/>
      <c r="BL100" s="658"/>
      <c r="BM100" s="658"/>
      <c r="BN100" s="658"/>
      <c r="BO100" s="658"/>
      <c r="BP100" s="658"/>
    </row>
    <row r="101" spans="1:69" ht="13.5" customHeight="1">
      <c r="A101" s="1277"/>
      <c r="B101" s="4656" t="s">
        <v>510</v>
      </c>
      <c r="C101" s="8475"/>
      <c r="D101" s="8476"/>
      <c r="E101" s="8476"/>
      <c r="F101" s="8476"/>
      <c r="G101" s="8476"/>
      <c r="H101" s="8476"/>
      <c r="I101" s="8476"/>
      <c r="J101" s="8476"/>
      <c r="K101" s="8477"/>
      <c r="L101" s="8477"/>
      <c r="M101" s="8477"/>
      <c r="N101" s="8477"/>
      <c r="O101" s="8477"/>
      <c r="P101" s="8477"/>
      <c r="Q101" s="8477"/>
      <c r="R101" s="8477"/>
      <c r="S101" s="8477"/>
      <c r="T101" s="8477"/>
      <c r="U101" s="8477"/>
      <c r="V101" s="8477"/>
      <c r="W101" s="8477"/>
      <c r="X101" s="8477"/>
      <c r="Y101" s="8477"/>
      <c r="Z101" s="8477"/>
      <c r="AA101" s="8477"/>
      <c r="AB101" s="8477"/>
      <c r="AC101" s="8477"/>
      <c r="AD101" s="8477"/>
      <c r="AE101" s="8477"/>
      <c r="AF101" s="8477"/>
      <c r="AG101" s="8478"/>
      <c r="AH101" s="8403"/>
      <c r="AI101" s="8404"/>
      <c r="AJ101" s="8404"/>
      <c r="AK101" s="8404"/>
      <c r="AL101" s="8404"/>
      <c r="AM101" s="8404"/>
      <c r="AN101" s="8404"/>
      <c r="AO101" s="8404"/>
      <c r="AP101" s="1277"/>
      <c r="BG101" s="769"/>
      <c r="BH101" s="658"/>
      <c r="BI101" s="658"/>
      <c r="BJ101" s="658"/>
      <c r="BK101" s="658"/>
      <c r="BL101" s="658"/>
      <c r="BM101" s="658"/>
      <c r="BN101" s="658"/>
      <c r="BO101" s="658"/>
      <c r="BP101" s="658"/>
    </row>
    <row r="102" spans="1:69" ht="13.5" customHeight="1">
      <c r="A102" s="1277"/>
      <c r="B102" s="4824" t="s">
        <v>516</v>
      </c>
      <c r="C102" s="8475"/>
      <c r="D102" s="8476"/>
      <c r="E102" s="8476"/>
      <c r="F102" s="8476"/>
      <c r="G102" s="8476"/>
      <c r="H102" s="8476"/>
      <c r="I102" s="8476"/>
      <c r="J102" s="8476"/>
      <c r="K102" s="8477"/>
      <c r="L102" s="8477"/>
      <c r="M102" s="8477"/>
      <c r="N102" s="8477"/>
      <c r="O102" s="8477"/>
      <c r="P102" s="8477"/>
      <c r="Q102" s="8477"/>
      <c r="R102" s="8477"/>
      <c r="S102" s="8477"/>
      <c r="T102" s="8477"/>
      <c r="U102" s="8477"/>
      <c r="V102" s="8477"/>
      <c r="W102" s="8477"/>
      <c r="X102" s="8477"/>
      <c r="Y102" s="8477"/>
      <c r="Z102" s="8477"/>
      <c r="AA102" s="8477"/>
      <c r="AB102" s="8477"/>
      <c r="AC102" s="8477"/>
      <c r="AD102" s="8477"/>
      <c r="AE102" s="8477"/>
      <c r="AF102" s="8477"/>
      <c r="AG102" s="8478"/>
      <c r="AH102" s="8403"/>
      <c r="AI102" s="8404"/>
      <c r="AJ102" s="8404"/>
      <c r="AK102" s="8404"/>
      <c r="AL102" s="8404"/>
      <c r="AM102" s="8404"/>
      <c r="AN102" s="8404"/>
      <c r="AO102" s="8404"/>
      <c r="AP102" s="1277"/>
      <c r="BG102" s="769"/>
      <c r="BH102" s="658"/>
      <c r="BI102" s="658"/>
      <c r="BJ102" s="658"/>
      <c r="BK102" s="658"/>
      <c r="BL102" s="658"/>
      <c r="BM102" s="658"/>
      <c r="BN102" s="658"/>
      <c r="BO102" s="658"/>
      <c r="BP102" s="658"/>
    </row>
    <row r="103" spans="1:69" ht="17.25" customHeight="1">
      <c r="A103" s="1277"/>
      <c r="B103" s="8490" t="s">
        <v>2407</v>
      </c>
      <c r="C103" s="8489"/>
      <c r="D103" s="8489"/>
      <c r="E103" s="8489"/>
      <c r="F103" s="8489"/>
      <c r="G103" s="8489"/>
      <c r="H103" s="8489"/>
      <c r="I103" s="8489"/>
      <c r="J103" s="8489"/>
      <c r="K103" s="8489"/>
      <c r="L103" s="8489"/>
      <c r="M103" s="8489"/>
      <c r="N103" s="8489"/>
      <c r="O103" s="8489"/>
      <c r="P103" s="8489"/>
      <c r="Q103" s="8489"/>
      <c r="R103" s="8489"/>
      <c r="S103" s="8489"/>
      <c r="T103" s="8489"/>
      <c r="U103" s="8489"/>
      <c r="V103" s="8489"/>
      <c r="W103" s="8489"/>
      <c r="X103" s="8491"/>
      <c r="Y103" s="8423" t="s">
        <v>2408</v>
      </c>
      <c r="Z103" s="8489"/>
      <c r="AA103" s="8489"/>
      <c r="AB103" s="8489"/>
      <c r="AC103" s="8489"/>
      <c r="AD103" s="8489"/>
      <c r="AE103" s="8489"/>
      <c r="AF103" s="8489"/>
      <c r="AG103" s="8489"/>
      <c r="AH103" s="8489"/>
      <c r="AI103" s="8489"/>
      <c r="AJ103" s="8489"/>
      <c r="AK103" s="8489"/>
      <c r="AL103" s="8489"/>
      <c r="AM103" s="8489"/>
      <c r="AN103" s="8489"/>
      <c r="AO103" s="8489"/>
      <c r="AP103" s="1277"/>
      <c r="BG103" s="769"/>
      <c r="BH103" s="658"/>
      <c r="BI103" s="658"/>
      <c r="BJ103" s="658"/>
      <c r="BK103" s="658"/>
      <c r="BL103" s="658"/>
      <c r="BM103" s="658"/>
      <c r="BN103" s="658"/>
      <c r="BO103" s="658"/>
      <c r="BP103" s="658"/>
    </row>
    <row r="104" spans="1:69" ht="12.75" customHeight="1">
      <c r="A104" s="1277"/>
      <c r="B104" s="7682" t="s">
        <v>2421</v>
      </c>
      <c r="C104" s="7850"/>
      <c r="D104" s="7850"/>
      <c r="E104" s="7850"/>
      <c r="F104" s="7850"/>
      <c r="G104" s="7850"/>
      <c r="H104" s="7850"/>
      <c r="I104" s="7850"/>
      <c r="J104" s="7850"/>
      <c r="K104" s="7850"/>
      <c r="L104" s="7850"/>
      <c r="M104" s="7850"/>
      <c r="N104" s="8492"/>
      <c r="O104" s="7681" t="s">
        <v>2422</v>
      </c>
      <c r="P104" s="8454"/>
      <c r="Q104" s="8454"/>
      <c r="R104" s="8454"/>
      <c r="S104" s="8454"/>
      <c r="T104" s="8454"/>
      <c r="U104" s="8454"/>
      <c r="V104" s="8454"/>
      <c r="W104" s="8454"/>
      <c r="X104" s="8454"/>
      <c r="Y104" s="8495" t="s">
        <v>2423</v>
      </c>
      <c r="Z104" s="7850"/>
      <c r="AA104" s="7850"/>
      <c r="AB104" s="7850"/>
      <c r="AC104" s="7850"/>
      <c r="AD104" s="7850"/>
      <c r="AE104" s="7850"/>
      <c r="AF104" s="7850"/>
      <c r="AG104" s="8492"/>
      <c r="AH104" s="7681" t="s">
        <v>2424</v>
      </c>
      <c r="AI104" s="8454"/>
      <c r="AJ104" s="8454"/>
      <c r="AK104" s="8454"/>
      <c r="AL104" s="8454"/>
      <c r="AM104" s="8454"/>
      <c r="AN104" s="8454"/>
      <c r="AO104" s="8454"/>
      <c r="AP104" s="1277"/>
      <c r="BG104" s="769"/>
      <c r="BH104" s="658"/>
      <c r="BI104" s="658"/>
      <c r="BJ104" s="658"/>
      <c r="BK104" s="658"/>
      <c r="BL104" s="658"/>
      <c r="BM104" s="658"/>
      <c r="BN104" s="658"/>
      <c r="BO104" s="658"/>
      <c r="BP104" s="658"/>
    </row>
    <row r="105" spans="1:69" ht="12.75" customHeight="1">
      <c r="A105" s="1277"/>
      <c r="B105" s="7589"/>
      <c r="C105" s="7589"/>
      <c r="D105" s="7589"/>
      <c r="E105" s="7589"/>
      <c r="F105" s="7589"/>
      <c r="G105" s="7589"/>
      <c r="H105" s="7589"/>
      <c r="I105" s="7589"/>
      <c r="J105" s="7589"/>
      <c r="K105" s="7589"/>
      <c r="L105" s="7589"/>
      <c r="M105" s="7589"/>
      <c r="N105" s="8493"/>
      <c r="O105" s="8455"/>
      <c r="P105" s="8456"/>
      <c r="Q105" s="8456"/>
      <c r="R105" s="8456"/>
      <c r="S105" s="8456"/>
      <c r="T105" s="8456"/>
      <c r="U105" s="8456"/>
      <c r="V105" s="8456"/>
      <c r="W105" s="8456"/>
      <c r="X105" s="8456"/>
      <c r="Y105" s="7851"/>
      <c r="Z105" s="7589"/>
      <c r="AA105" s="7589"/>
      <c r="AB105" s="7589"/>
      <c r="AC105" s="7589"/>
      <c r="AD105" s="7589"/>
      <c r="AE105" s="7589"/>
      <c r="AF105" s="7589"/>
      <c r="AG105" s="8493"/>
      <c r="AH105" s="8455"/>
      <c r="AI105" s="8456"/>
      <c r="AJ105" s="8456"/>
      <c r="AK105" s="8456"/>
      <c r="AL105" s="8456"/>
      <c r="AM105" s="8456"/>
      <c r="AN105" s="8456"/>
      <c r="AO105" s="8456"/>
      <c r="AP105" s="1277"/>
      <c r="BG105" s="769"/>
      <c r="BH105" s="658"/>
      <c r="BI105" s="658"/>
      <c r="BJ105" s="658"/>
      <c r="BK105" s="658"/>
      <c r="BL105" s="658"/>
      <c r="BM105" s="658"/>
      <c r="BN105" s="658"/>
      <c r="BO105" s="658"/>
      <c r="BP105" s="658"/>
    </row>
    <row r="106" spans="1:69" ht="12.75" customHeight="1">
      <c r="A106" s="1277"/>
      <c r="B106" s="7587"/>
      <c r="C106" s="7587"/>
      <c r="D106" s="7587"/>
      <c r="E106" s="7587"/>
      <c r="F106" s="7587"/>
      <c r="G106" s="7587"/>
      <c r="H106" s="7587"/>
      <c r="I106" s="7587"/>
      <c r="J106" s="7587"/>
      <c r="K106" s="7587"/>
      <c r="L106" s="7587"/>
      <c r="M106" s="7587"/>
      <c r="N106" s="8494"/>
      <c r="O106" s="8457"/>
      <c r="P106" s="8458"/>
      <c r="Q106" s="8458"/>
      <c r="R106" s="8458"/>
      <c r="S106" s="8458"/>
      <c r="T106" s="8458"/>
      <c r="U106" s="8458"/>
      <c r="V106" s="8458"/>
      <c r="W106" s="8458"/>
      <c r="X106" s="8458"/>
      <c r="Y106" s="8496"/>
      <c r="Z106" s="7587"/>
      <c r="AA106" s="7587"/>
      <c r="AB106" s="7587"/>
      <c r="AC106" s="7587"/>
      <c r="AD106" s="7587"/>
      <c r="AE106" s="7587"/>
      <c r="AF106" s="7587"/>
      <c r="AG106" s="8494"/>
      <c r="AH106" s="8457"/>
      <c r="AI106" s="8458"/>
      <c r="AJ106" s="8458"/>
      <c r="AK106" s="8458"/>
      <c r="AL106" s="8458"/>
      <c r="AM106" s="8458"/>
      <c r="AN106" s="8458"/>
      <c r="AO106" s="8458"/>
      <c r="AP106" s="1277"/>
      <c r="BG106" s="769"/>
      <c r="BH106" s="658"/>
      <c r="BI106" s="658"/>
      <c r="BJ106" s="658"/>
      <c r="BK106" s="658"/>
      <c r="BL106" s="658"/>
      <c r="BM106" s="658"/>
      <c r="BN106" s="658"/>
      <c r="BO106" s="658"/>
      <c r="BP106" s="658"/>
    </row>
    <row r="107" spans="1:69" ht="13.5" customHeight="1">
      <c r="A107" s="1277"/>
      <c r="B107" s="4656" t="s">
        <v>510</v>
      </c>
      <c r="C107" s="8451"/>
      <c r="D107" s="8452"/>
      <c r="E107" s="8452"/>
      <c r="F107" s="8452"/>
      <c r="G107" s="8452"/>
      <c r="H107" s="8452"/>
      <c r="I107" s="8452"/>
      <c r="J107" s="8452"/>
      <c r="K107" s="8452"/>
      <c r="L107" s="8452"/>
      <c r="M107" s="8452"/>
      <c r="N107" s="8453"/>
      <c r="O107" s="8484"/>
      <c r="P107" s="8485"/>
      <c r="Q107" s="8485"/>
      <c r="R107" s="8485"/>
      <c r="S107" s="8485"/>
      <c r="T107" s="8485"/>
      <c r="U107" s="8485"/>
      <c r="V107" s="8485"/>
      <c r="W107" s="8485"/>
      <c r="X107" s="8486"/>
      <c r="Y107" s="8487"/>
      <c r="Z107" s="8488"/>
      <c r="AA107" s="8488"/>
      <c r="AB107" s="8488"/>
      <c r="AC107" s="8488"/>
      <c r="AD107" s="8488"/>
      <c r="AE107" s="8488"/>
      <c r="AF107" s="8488"/>
      <c r="AG107" s="8488"/>
      <c r="AH107" s="8488"/>
      <c r="AI107" s="8488"/>
      <c r="AJ107" s="8488"/>
      <c r="AK107" s="8488"/>
      <c r="AL107" s="8488"/>
      <c r="AM107" s="8488"/>
      <c r="AN107" s="8488"/>
      <c r="AO107" s="8484"/>
      <c r="AP107" s="1277"/>
      <c r="BG107" s="769"/>
      <c r="BH107" s="658"/>
      <c r="BI107" s="658"/>
      <c r="BJ107" s="658"/>
      <c r="BK107" s="658"/>
      <c r="BL107" s="658"/>
      <c r="BM107" s="658"/>
      <c r="BN107" s="658"/>
      <c r="BO107" s="658"/>
      <c r="BP107" s="658"/>
    </row>
    <row r="108" spans="1:69" ht="13.5" customHeight="1">
      <c r="A108" s="1277"/>
      <c r="B108" s="4656" t="s">
        <v>516</v>
      </c>
      <c r="C108" s="8451"/>
      <c r="D108" s="8452"/>
      <c r="E108" s="8452"/>
      <c r="F108" s="8452"/>
      <c r="G108" s="8452"/>
      <c r="H108" s="8452"/>
      <c r="I108" s="8452"/>
      <c r="J108" s="8452"/>
      <c r="K108" s="8452"/>
      <c r="L108" s="8452"/>
      <c r="M108" s="8452"/>
      <c r="N108" s="8453"/>
      <c r="O108" s="8484"/>
      <c r="P108" s="8485"/>
      <c r="Q108" s="8485"/>
      <c r="R108" s="8485"/>
      <c r="S108" s="8485"/>
      <c r="T108" s="8485"/>
      <c r="U108" s="8485"/>
      <c r="V108" s="8485"/>
      <c r="W108" s="8485"/>
      <c r="X108" s="8486"/>
      <c r="Y108" s="8487"/>
      <c r="Z108" s="8488"/>
      <c r="AA108" s="8488"/>
      <c r="AB108" s="8488"/>
      <c r="AC108" s="8488"/>
      <c r="AD108" s="8488"/>
      <c r="AE108" s="8488"/>
      <c r="AF108" s="8488"/>
      <c r="AG108" s="8488"/>
      <c r="AH108" s="8488"/>
      <c r="AI108" s="8488"/>
      <c r="AJ108" s="8488"/>
      <c r="AK108" s="8488"/>
      <c r="AL108" s="8488"/>
      <c r="AM108" s="8488"/>
      <c r="AN108" s="8488"/>
      <c r="AO108" s="8484"/>
      <c r="AP108" s="1277"/>
      <c r="BG108" s="769"/>
      <c r="BH108" s="658"/>
      <c r="BI108" s="658"/>
      <c r="BJ108" s="658"/>
      <c r="BK108" s="658"/>
      <c r="BL108" s="658"/>
      <c r="BM108" s="658"/>
      <c r="BN108" s="658"/>
      <c r="BO108" s="658"/>
      <c r="BP108" s="658"/>
    </row>
    <row r="109" spans="1:69" ht="13.5" customHeight="1">
      <c r="A109" s="1277"/>
      <c r="B109" s="8409" t="s">
        <v>2425</v>
      </c>
      <c r="C109" s="8409"/>
      <c r="D109" s="511" t="s">
        <v>2415</v>
      </c>
      <c r="E109" s="253"/>
      <c r="F109" s="4825"/>
      <c r="G109" s="3835"/>
      <c r="H109" s="3835"/>
      <c r="I109" s="3835"/>
      <c r="J109" s="3835"/>
      <c r="K109" s="3835"/>
      <c r="L109" s="3835"/>
      <c r="M109" s="3835"/>
      <c r="N109" s="4826"/>
      <c r="O109" s="8384">
        <f>ROUND(SUM(O107:O108),0)</f>
        <v>0</v>
      </c>
      <c r="P109" s="8385"/>
      <c r="Q109" s="8385"/>
      <c r="R109" s="8385"/>
      <c r="S109" s="8385"/>
      <c r="T109" s="8385"/>
      <c r="U109" s="8385"/>
      <c r="V109" s="8385"/>
      <c r="W109" s="8385"/>
      <c r="X109" s="8386"/>
      <c r="Y109" s="4831"/>
      <c r="Z109" s="3835"/>
      <c r="AA109" s="3835"/>
      <c r="AB109" s="3835"/>
      <c r="AC109" s="3835"/>
      <c r="AD109" s="3835"/>
      <c r="AE109" s="3835"/>
      <c r="AF109" s="3835"/>
      <c r="AG109" s="4826"/>
      <c r="AH109" s="8381">
        <f>ROUND(SUM(AH107:AH108),0)</f>
        <v>0</v>
      </c>
      <c r="AI109" s="8399"/>
      <c r="AJ109" s="8399"/>
      <c r="AK109" s="8399"/>
      <c r="AL109" s="8399"/>
      <c r="AM109" s="8399"/>
      <c r="AN109" s="8399"/>
      <c r="AO109" s="8399"/>
      <c r="AP109" s="1277"/>
      <c r="BG109" s="769"/>
      <c r="BH109" s="658"/>
      <c r="BI109" s="658"/>
      <c r="BJ109" s="658"/>
      <c r="BK109" s="658"/>
      <c r="BL109" s="658"/>
      <c r="BM109" s="658"/>
      <c r="BN109" s="658"/>
      <c r="BO109" s="658"/>
      <c r="BP109" s="658"/>
    </row>
    <row r="110" spans="1:69" ht="13.5" customHeight="1">
      <c r="A110" s="1277"/>
      <c r="B110" s="7858" t="s">
        <v>592</v>
      </c>
      <c r="C110" s="7858"/>
      <c r="D110" s="511" t="s">
        <v>2415</v>
      </c>
      <c r="E110" s="253"/>
      <c r="F110" s="8381">
        <f>ROUND(SUM(C107:C108),0)</f>
        <v>0</v>
      </c>
      <c r="G110" s="8382"/>
      <c r="H110" s="8382"/>
      <c r="I110" s="8382"/>
      <c r="J110" s="8382"/>
      <c r="K110" s="8382"/>
      <c r="L110" s="8382"/>
      <c r="M110" s="8382"/>
      <c r="N110" s="8383"/>
      <c r="O110" s="4832"/>
      <c r="P110" s="4833"/>
      <c r="Q110" s="4833"/>
      <c r="R110" s="4833"/>
      <c r="S110" s="4833"/>
      <c r="T110" s="4833"/>
      <c r="U110" s="4833"/>
      <c r="V110" s="4833"/>
      <c r="W110" s="4833"/>
      <c r="X110" s="4834"/>
      <c r="Y110" s="8381">
        <f>ROUND(SUM(Y107:Y108),0)</f>
        <v>0</v>
      </c>
      <c r="Z110" s="8382"/>
      <c r="AA110" s="8382"/>
      <c r="AB110" s="8382"/>
      <c r="AC110" s="8382"/>
      <c r="AD110" s="8382"/>
      <c r="AE110" s="8382"/>
      <c r="AF110" s="8382"/>
      <c r="AG110" s="8383"/>
      <c r="AH110" s="4825"/>
      <c r="AI110" s="3835"/>
      <c r="AJ110" s="3835"/>
      <c r="AK110" s="3835"/>
      <c r="AL110" s="3835"/>
      <c r="AM110" s="3835"/>
      <c r="AN110" s="3835"/>
      <c r="AO110" s="3835"/>
      <c r="AP110" s="1277"/>
      <c r="BG110" s="769"/>
      <c r="BH110" s="658"/>
      <c r="BI110" s="658"/>
      <c r="BJ110" s="658"/>
      <c r="BK110" s="658"/>
      <c r="BL110" s="658"/>
      <c r="BM110" s="658"/>
      <c r="BN110" s="658"/>
      <c r="BO110" s="658"/>
      <c r="BP110" s="658"/>
    </row>
    <row r="111" spans="1:69" ht="13.5" customHeight="1">
      <c r="A111" s="1277"/>
      <c r="B111" s="7608">
        <v>35</v>
      </c>
      <c r="C111" s="7608"/>
      <c r="D111" s="511" t="s">
        <v>2426</v>
      </c>
      <c r="E111" s="253"/>
      <c r="F111" s="253"/>
      <c r="G111" s="253"/>
      <c r="H111" s="253"/>
      <c r="I111" s="253"/>
      <c r="J111" s="253"/>
      <c r="K111" s="253"/>
      <c r="L111" s="253"/>
      <c r="M111" s="253"/>
      <c r="N111" s="253"/>
      <c r="O111" s="253"/>
      <c r="P111" s="253"/>
      <c r="Q111" s="253"/>
      <c r="R111" s="253"/>
      <c r="S111" s="253"/>
      <c r="T111" s="253"/>
      <c r="U111" s="253"/>
      <c r="V111" s="253"/>
      <c r="W111" s="253"/>
      <c r="X111" s="253"/>
      <c r="Y111" s="253"/>
      <c r="Z111" s="253"/>
      <c r="AA111" s="253"/>
      <c r="AB111" s="253"/>
      <c r="AC111" s="253"/>
      <c r="AD111" s="253"/>
      <c r="AE111" s="253"/>
      <c r="AF111" s="253"/>
      <c r="AG111" s="2198" t="s">
        <v>677</v>
      </c>
      <c r="AH111" s="8468">
        <v>35</v>
      </c>
      <c r="AI111" s="8469"/>
      <c r="AJ111" s="8429">
        <f>SUM(O109,AH109)</f>
        <v>0</v>
      </c>
      <c r="AK111" s="8430"/>
      <c r="AL111" s="8430"/>
      <c r="AM111" s="8430"/>
      <c r="AN111" s="8430"/>
      <c r="AO111" s="8430"/>
      <c r="AP111" s="1277"/>
      <c r="BG111" s="769"/>
      <c r="BH111" s="658"/>
      <c r="BI111" s="658"/>
      <c r="BJ111" s="658"/>
      <c r="BK111" s="658"/>
      <c r="BL111" s="658"/>
      <c r="BM111" s="658"/>
      <c r="BN111" s="658"/>
      <c r="BO111" s="658"/>
      <c r="BP111" s="658"/>
    </row>
    <row r="112" spans="1:69" ht="13.5" customHeight="1">
      <c r="A112" s="1277"/>
      <c r="B112" s="7608">
        <v>36</v>
      </c>
      <c r="C112" s="7608"/>
      <c r="D112" s="511" t="s">
        <v>2427</v>
      </c>
      <c r="E112" s="253"/>
      <c r="F112" s="253"/>
      <c r="G112" s="253"/>
      <c r="H112" s="253"/>
      <c r="I112" s="253"/>
      <c r="J112" s="253"/>
      <c r="K112" s="253"/>
      <c r="L112" s="253"/>
      <c r="M112" s="253"/>
      <c r="N112" s="253"/>
      <c r="O112" s="253"/>
      <c r="P112" s="253"/>
      <c r="Q112" s="253"/>
      <c r="R112" s="253"/>
      <c r="S112" s="253"/>
      <c r="T112" s="253"/>
      <c r="U112" s="253"/>
      <c r="V112" s="253"/>
      <c r="W112" s="253"/>
      <c r="X112" s="253"/>
      <c r="Y112" s="253"/>
      <c r="Z112" s="253"/>
      <c r="AA112" s="253"/>
      <c r="AB112" s="253"/>
      <c r="AC112" s="253"/>
      <c r="AD112" s="253"/>
      <c r="AE112" s="253"/>
      <c r="AF112" s="253"/>
      <c r="AG112" s="2198" t="s">
        <v>677</v>
      </c>
      <c r="AH112" s="8468">
        <v>36</v>
      </c>
      <c r="AI112" s="8469"/>
      <c r="AJ112" s="4646" t="s">
        <v>799</v>
      </c>
      <c r="AK112" s="7282">
        <f>SUM(F110,Y110)</f>
        <v>0</v>
      </c>
      <c r="AL112" s="8398"/>
      <c r="AM112" s="8398"/>
      <c r="AN112" s="8398"/>
      <c r="AO112" s="4835" t="s">
        <v>800</v>
      </c>
      <c r="AP112" s="1277"/>
      <c r="BG112" s="769"/>
      <c r="BH112" s="658"/>
      <c r="BI112" s="658"/>
      <c r="BJ112" s="658"/>
      <c r="BK112" s="658"/>
      <c r="BL112" s="658"/>
      <c r="BM112" s="658"/>
      <c r="BN112" s="658"/>
      <c r="BO112" s="658"/>
      <c r="BP112" s="658"/>
    </row>
    <row r="113" spans="1:69" ht="13.5" customHeight="1">
      <c r="A113" s="1277"/>
      <c r="B113" s="8380">
        <v>37</v>
      </c>
      <c r="C113" s="8380"/>
      <c r="D113" s="1996" t="s">
        <v>2428</v>
      </c>
      <c r="E113" s="413"/>
      <c r="F113" s="413"/>
      <c r="G113" s="413"/>
      <c r="H113" s="413"/>
      <c r="I113" s="413"/>
      <c r="J113" s="413"/>
      <c r="K113" s="413"/>
      <c r="L113" s="413"/>
      <c r="M113" s="413"/>
      <c r="N113" s="413"/>
      <c r="O113" s="413"/>
      <c r="P113" s="413"/>
      <c r="Q113" s="413"/>
      <c r="R113" s="413"/>
      <c r="S113" s="413"/>
      <c r="T113" s="413"/>
      <c r="U113" s="413"/>
      <c r="V113" s="413"/>
      <c r="W113" s="413"/>
      <c r="X113" s="413"/>
      <c r="Y113" s="413"/>
      <c r="Z113" s="413"/>
      <c r="AA113" s="413"/>
      <c r="AB113" s="413"/>
      <c r="AC113" s="413"/>
      <c r="AD113" s="413"/>
      <c r="AE113" s="413"/>
      <c r="AF113" s="413"/>
      <c r="AG113" s="974" t="s">
        <v>676</v>
      </c>
      <c r="AH113" s="8468">
        <v>37</v>
      </c>
      <c r="AI113" s="8469"/>
      <c r="AJ113" s="8429">
        <f>SUM(AJ111,-AK112)</f>
        <v>0</v>
      </c>
      <c r="AK113" s="8430"/>
      <c r="AL113" s="8430"/>
      <c r="AM113" s="8430"/>
      <c r="AN113" s="8430"/>
      <c r="AO113" s="8430"/>
      <c r="AP113" s="1277"/>
      <c r="BG113" s="769"/>
      <c r="BH113" s="658"/>
      <c r="BI113" s="658"/>
      <c r="BJ113" s="658"/>
      <c r="BK113" s="658"/>
      <c r="BL113" s="658"/>
      <c r="BM113" s="658"/>
      <c r="BN113" s="658"/>
      <c r="BO113" s="658"/>
      <c r="BP113" s="658"/>
    </row>
    <row r="114" spans="1:69" s="1405" customFormat="1" ht="17.25" customHeight="1">
      <c r="A114" s="2119"/>
      <c r="B114" s="8427" t="s">
        <v>2102</v>
      </c>
      <c r="C114" s="8427"/>
      <c r="D114" s="8428"/>
      <c r="E114" s="2120"/>
      <c r="F114" s="4189" t="s">
        <v>2429</v>
      </c>
      <c r="G114" s="2120"/>
      <c r="H114" s="2120"/>
      <c r="I114" s="2120"/>
      <c r="J114" s="2120"/>
      <c r="K114" s="2120"/>
      <c r="L114" s="2120"/>
      <c r="M114" s="2120"/>
      <c r="N114" s="2120"/>
      <c r="O114" s="2120"/>
      <c r="P114" s="2120"/>
      <c r="Q114" s="2120"/>
      <c r="R114" s="2120"/>
      <c r="S114" s="2120"/>
      <c r="T114" s="2120"/>
      <c r="U114" s="2120"/>
      <c r="V114" s="2120"/>
      <c r="W114" s="2120"/>
      <c r="X114" s="3901"/>
      <c r="Y114" s="2120"/>
      <c r="Z114" s="2120"/>
      <c r="AA114" s="2120"/>
      <c r="AB114" s="2120"/>
      <c r="AC114" s="2120"/>
      <c r="AD114" s="2120"/>
      <c r="AE114" s="2120"/>
      <c r="AF114" s="2120"/>
      <c r="AG114" s="1998"/>
      <c r="AH114" s="2120"/>
      <c r="AI114" s="2120"/>
      <c r="AJ114" s="2120"/>
      <c r="AK114" s="2120"/>
      <c r="AL114" s="2120"/>
      <c r="AM114" s="2120"/>
      <c r="AN114" s="2120"/>
      <c r="AO114" s="2120"/>
      <c r="AP114" s="1277"/>
      <c r="AX114"/>
      <c r="AY114"/>
      <c r="AZ114"/>
      <c r="BA114"/>
      <c r="BB114"/>
      <c r="BC114"/>
      <c r="BD114"/>
      <c r="BG114" s="769"/>
      <c r="BH114" s="658"/>
      <c r="BI114" s="658"/>
      <c r="BJ114" s="658"/>
      <c r="BK114" s="658"/>
      <c r="BL114" s="658"/>
      <c r="BM114" s="658"/>
      <c r="BN114" s="658"/>
      <c r="BO114" s="658"/>
      <c r="BP114" s="658"/>
      <c r="BQ114" s="815"/>
    </row>
    <row r="115" spans="1:69" ht="12.75" customHeight="1">
      <c r="A115" s="1277"/>
      <c r="B115" s="406"/>
      <c r="C115" s="4649"/>
      <c r="D115" s="8391" t="s">
        <v>2430</v>
      </c>
      <c r="E115" s="8392"/>
      <c r="F115" s="8392"/>
      <c r="G115" s="8392"/>
      <c r="H115" s="8392"/>
      <c r="I115" s="8392"/>
      <c r="J115" s="8393"/>
      <c r="K115" s="8470" t="s">
        <v>2431</v>
      </c>
      <c r="L115" s="8471"/>
      <c r="M115" s="8471"/>
      <c r="N115" s="8471"/>
      <c r="O115" s="8471"/>
      <c r="P115" s="8471"/>
      <c r="Q115" s="8471"/>
      <c r="R115" s="8471"/>
      <c r="S115" s="8610" t="s">
        <v>2432</v>
      </c>
      <c r="T115" s="8611"/>
      <c r="U115" s="8611"/>
      <c r="V115" s="8611"/>
      <c r="W115" s="8611"/>
      <c r="X115" s="8611"/>
      <c r="Y115" s="8611"/>
      <c r="Z115" s="8417" t="s">
        <v>2433</v>
      </c>
      <c r="AA115" s="8418"/>
      <c r="AB115" s="8418"/>
      <c r="AC115" s="8418"/>
      <c r="AD115" s="8418"/>
      <c r="AE115" s="8418"/>
      <c r="AF115" s="8418"/>
      <c r="AG115" s="8507"/>
      <c r="AH115" s="8417" t="s">
        <v>2434</v>
      </c>
      <c r="AI115" s="8418"/>
      <c r="AJ115" s="8418"/>
      <c r="AK115" s="8418"/>
      <c r="AL115" s="8418"/>
      <c r="AM115" s="8418"/>
      <c r="AN115" s="8418"/>
      <c r="AO115" s="8418"/>
      <c r="AP115" s="1277"/>
      <c r="BG115" s="769"/>
      <c r="BH115" s="658"/>
      <c r="BI115" s="658"/>
      <c r="BJ115" s="658"/>
      <c r="BK115" s="658"/>
      <c r="BL115" s="658"/>
      <c r="BM115" s="658"/>
      <c r="BN115" s="658"/>
      <c r="BO115" s="658"/>
      <c r="BP115" s="658"/>
    </row>
    <row r="116" spans="1:69" ht="12.75" customHeight="1">
      <c r="A116" s="1277"/>
      <c r="B116" s="8433">
        <v>38</v>
      </c>
      <c r="C116" s="7091"/>
      <c r="D116" s="8394"/>
      <c r="E116" s="8394"/>
      <c r="F116" s="8394"/>
      <c r="G116" s="8394"/>
      <c r="H116" s="8394"/>
      <c r="I116" s="8394"/>
      <c r="J116" s="8395"/>
      <c r="K116" s="8472"/>
      <c r="L116" s="8472"/>
      <c r="M116" s="8472"/>
      <c r="N116" s="8472"/>
      <c r="O116" s="8472"/>
      <c r="P116" s="8472"/>
      <c r="Q116" s="8472"/>
      <c r="R116" s="8472"/>
      <c r="S116" s="8612"/>
      <c r="T116" s="8612"/>
      <c r="U116" s="8612"/>
      <c r="V116" s="8612"/>
      <c r="W116" s="8612"/>
      <c r="X116" s="8612"/>
      <c r="Y116" s="8612"/>
      <c r="Z116" s="8419"/>
      <c r="AA116" s="8420"/>
      <c r="AB116" s="8420"/>
      <c r="AC116" s="8420"/>
      <c r="AD116" s="8420"/>
      <c r="AE116" s="8420"/>
      <c r="AF116" s="8420"/>
      <c r="AG116" s="8508"/>
      <c r="AH116" s="8419"/>
      <c r="AI116" s="8420"/>
      <c r="AJ116" s="8420"/>
      <c r="AK116" s="8420"/>
      <c r="AL116" s="8420"/>
      <c r="AM116" s="8420"/>
      <c r="AN116" s="8420"/>
      <c r="AO116" s="8420"/>
      <c r="AP116" s="1277"/>
      <c r="AX116" s="1405"/>
      <c r="AY116" s="1405"/>
      <c r="AZ116" s="1405"/>
      <c r="BA116" s="1405"/>
      <c r="BB116" s="1405"/>
      <c r="BC116" s="1405"/>
      <c r="BD116" s="1405"/>
      <c r="BG116" s="769"/>
      <c r="BH116" s="658"/>
      <c r="BI116" s="658"/>
      <c r="BJ116" s="658"/>
      <c r="BK116" s="658"/>
      <c r="BL116" s="658"/>
      <c r="BM116" s="658"/>
      <c r="BN116" s="658"/>
      <c r="BO116" s="658"/>
      <c r="BP116" s="658"/>
    </row>
    <row r="117" spans="1:69" ht="12.75" customHeight="1">
      <c r="A117" s="1277"/>
      <c r="B117" s="413"/>
      <c r="C117" s="4650"/>
      <c r="D117" s="8396"/>
      <c r="E117" s="8396"/>
      <c r="F117" s="8396"/>
      <c r="G117" s="8396"/>
      <c r="H117" s="8396"/>
      <c r="I117" s="8396"/>
      <c r="J117" s="8397"/>
      <c r="K117" s="8473"/>
      <c r="L117" s="8473"/>
      <c r="M117" s="8473"/>
      <c r="N117" s="8473"/>
      <c r="O117" s="8473"/>
      <c r="P117" s="8473"/>
      <c r="Q117" s="8473"/>
      <c r="R117" s="8473"/>
      <c r="S117" s="8613"/>
      <c r="T117" s="8613"/>
      <c r="U117" s="8613"/>
      <c r="V117" s="8613"/>
      <c r="W117" s="8613"/>
      <c r="X117" s="8613"/>
      <c r="Y117" s="8613"/>
      <c r="Z117" s="8421"/>
      <c r="AA117" s="8422"/>
      <c r="AB117" s="8422"/>
      <c r="AC117" s="8422"/>
      <c r="AD117" s="8422"/>
      <c r="AE117" s="8422"/>
      <c r="AF117" s="8422"/>
      <c r="AG117" s="8509"/>
      <c r="AH117" s="8421"/>
      <c r="AI117" s="8422"/>
      <c r="AJ117" s="8422"/>
      <c r="AK117" s="8422"/>
      <c r="AL117" s="8422"/>
      <c r="AM117" s="8422"/>
      <c r="AN117" s="8422"/>
      <c r="AO117" s="8422"/>
      <c r="AP117" s="1277"/>
      <c r="AQ117" s="2875"/>
      <c r="AR117" s="2875"/>
      <c r="AS117" s="2875"/>
      <c r="BG117" s="769"/>
      <c r="BH117" s="658"/>
      <c r="BI117" s="658"/>
      <c r="BJ117" s="658"/>
      <c r="BK117" s="658"/>
      <c r="BL117" s="658"/>
      <c r="BM117" s="658"/>
      <c r="BN117" s="658"/>
      <c r="BO117" s="658"/>
      <c r="BP117" s="658"/>
    </row>
    <row r="118" spans="1:69" ht="12.75" customHeight="1">
      <c r="A118" s="1277"/>
      <c r="B118" s="8466"/>
      <c r="C118" s="7328"/>
      <c r="D118" s="7328"/>
      <c r="E118" s="7328"/>
      <c r="F118" s="7328"/>
      <c r="G118" s="7328"/>
      <c r="H118" s="7328"/>
      <c r="I118" s="7328"/>
      <c r="J118" s="8467"/>
      <c r="K118" s="8405"/>
      <c r="L118" s="8406"/>
      <c r="M118" s="8406"/>
      <c r="N118" s="8406"/>
      <c r="O118" s="8406"/>
      <c r="P118" s="8406"/>
      <c r="Q118" s="8406"/>
      <c r="R118" s="8407"/>
      <c r="S118" s="8408"/>
      <c r="T118" s="8408"/>
      <c r="U118" s="8408"/>
      <c r="V118" s="8408"/>
      <c r="W118" s="8408"/>
      <c r="X118" s="8408"/>
      <c r="Y118" s="8408"/>
      <c r="Z118" s="8431"/>
      <c r="AA118" s="8432"/>
      <c r="AB118" s="8432"/>
      <c r="AC118" s="8432"/>
      <c r="AD118" s="8432"/>
      <c r="AE118" s="8432"/>
      <c r="AF118" s="8432"/>
      <c r="AG118" s="8465"/>
      <c r="AH118" s="8431"/>
      <c r="AI118" s="8432"/>
      <c r="AJ118" s="8432"/>
      <c r="AK118" s="8432"/>
      <c r="AL118" s="8432"/>
      <c r="AM118" s="8432"/>
      <c r="AN118" s="8432"/>
      <c r="AO118" s="8432"/>
      <c r="AP118" s="1277"/>
      <c r="AQ118" s="2875"/>
      <c r="AR118" s="185" t="s">
        <v>771</v>
      </c>
      <c r="AS118" s="2875"/>
      <c r="BG118" s="769"/>
      <c r="BH118" s="658"/>
      <c r="BI118" s="658"/>
      <c r="BJ118" s="658"/>
      <c r="BK118" s="658"/>
      <c r="BL118" s="658"/>
      <c r="BM118" s="658"/>
      <c r="BN118" s="658"/>
      <c r="BO118" s="658"/>
      <c r="BP118" s="658"/>
    </row>
    <row r="119" spans="1:69" ht="15.75">
      <c r="A119" s="1277"/>
      <c r="B119" s="8380">
        <v>39</v>
      </c>
      <c r="C119" s="8380"/>
      <c r="D119" s="1996" t="s">
        <v>2435</v>
      </c>
      <c r="E119" s="413"/>
      <c r="F119" s="413"/>
      <c r="G119" s="413"/>
      <c r="H119" s="413"/>
      <c r="I119" s="413"/>
      <c r="J119" s="413"/>
      <c r="K119" s="413"/>
      <c r="L119" s="413"/>
      <c r="M119" s="413"/>
      <c r="N119" s="413"/>
      <c r="O119" s="413"/>
      <c r="P119" s="413"/>
      <c r="Q119" s="413"/>
      <c r="R119" s="413"/>
      <c r="S119" s="413"/>
      <c r="T119" s="413"/>
      <c r="U119" s="413"/>
      <c r="V119" s="413"/>
      <c r="W119" s="413"/>
      <c r="X119" s="413"/>
      <c r="Y119" s="413"/>
      <c r="Z119" s="413"/>
      <c r="AA119" s="413"/>
      <c r="AB119" s="413"/>
      <c r="AC119" s="413"/>
      <c r="AD119" s="413"/>
      <c r="AE119" s="413"/>
      <c r="AF119" s="413"/>
      <c r="AG119" s="414"/>
      <c r="AH119" s="8468">
        <v>39</v>
      </c>
      <c r="AI119" s="8469"/>
      <c r="AJ119" s="8381">
        <f>IF(AR119&lt;&gt;"",ROUND(AR119,0),ROUND(SUM(Z118,AH118),0))</f>
        <v>0</v>
      </c>
      <c r="AK119" s="8399"/>
      <c r="AL119" s="8399"/>
      <c r="AM119" s="8399"/>
      <c r="AN119" s="8399"/>
      <c r="AO119" s="8399"/>
      <c r="AP119" s="1277"/>
      <c r="AQ119" s="2875"/>
      <c r="AR119" s="776"/>
      <c r="AS119" s="2875"/>
      <c r="BG119" s="769"/>
      <c r="BH119" s="658"/>
      <c r="BI119" s="658"/>
      <c r="BJ119" s="658"/>
      <c r="BK119" s="658"/>
      <c r="BL119" s="658"/>
      <c r="BM119" s="658"/>
      <c r="BN119" s="658"/>
      <c r="BO119" s="658"/>
      <c r="BP119" s="658"/>
    </row>
    <row r="120" spans="1:69" s="1405" customFormat="1" ht="17.25" customHeight="1">
      <c r="A120" s="2119"/>
      <c r="B120" s="8427" t="s">
        <v>2117</v>
      </c>
      <c r="C120" s="8427"/>
      <c r="D120" s="8428"/>
      <c r="E120" s="2120"/>
      <c r="F120" s="4836" t="s">
        <v>2436</v>
      </c>
      <c r="G120" s="2120"/>
      <c r="H120" s="2120"/>
      <c r="I120" s="2120"/>
      <c r="J120" s="2120"/>
      <c r="K120" s="2120"/>
      <c r="L120" s="2120"/>
      <c r="M120" s="2120"/>
      <c r="N120" s="2120"/>
      <c r="O120" s="2120"/>
      <c r="P120" s="2120"/>
      <c r="Q120" s="2120"/>
      <c r="R120" s="2120"/>
      <c r="S120" s="2120"/>
      <c r="T120" s="2120"/>
      <c r="U120" s="2120"/>
      <c r="V120" s="2120"/>
      <c r="W120" s="2120"/>
      <c r="X120" s="3901"/>
      <c r="Y120" s="2120"/>
      <c r="Z120" s="2120"/>
      <c r="AA120" s="2120"/>
      <c r="AB120" s="2120"/>
      <c r="AC120" s="2120"/>
      <c r="AD120" s="2120"/>
      <c r="AE120" s="2120"/>
      <c r="AF120" s="2120"/>
      <c r="AG120" s="2120"/>
      <c r="AH120" s="2120"/>
      <c r="AI120" s="2120"/>
      <c r="AJ120" s="2120"/>
      <c r="AK120" s="2120"/>
      <c r="AL120" s="2120"/>
      <c r="AM120" s="2120"/>
      <c r="AN120" s="2120"/>
      <c r="AO120" s="2120"/>
      <c r="AP120" s="1277"/>
      <c r="AQ120" s="2875"/>
      <c r="AR120" s="2875"/>
      <c r="AS120" s="2875"/>
      <c r="AX120"/>
      <c r="AY120"/>
      <c r="AZ120"/>
      <c r="BA120"/>
      <c r="BB120"/>
      <c r="BC120"/>
      <c r="BD120"/>
      <c r="BG120" s="769"/>
      <c r="BH120" s="658"/>
      <c r="BI120" s="658"/>
      <c r="BJ120" s="658"/>
      <c r="BK120" s="658"/>
      <c r="BL120" s="658"/>
      <c r="BM120" s="658"/>
      <c r="BN120" s="658"/>
      <c r="BO120" s="658"/>
      <c r="BP120" s="658"/>
      <c r="BQ120" s="815"/>
    </row>
    <row r="121" spans="1:69" ht="16.5" customHeight="1" thickBot="1">
      <c r="A121" s="1277"/>
      <c r="B121" s="8409">
        <v>40</v>
      </c>
      <c r="C121" s="8409"/>
      <c r="D121" s="2354" t="s">
        <v>2437</v>
      </c>
      <c r="E121" s="406"/>
      <c r="F121" s="406"/>
      <c r="G121" s="406"/>
      <c r="H121" s="406"/>
      <c r="I121" s="406"/>
      <c r="J121" s="406"/>
      <c r="K121" s="406"/>
      <c r="L121" s="406"/>
      <c r="M121" s="406"/>
      <c r="N121" s="406"/>
      <c r="O121" s="406"/>
      <c r="P121" s="406"/>
      <c r="Q121" s="406"/>
      <c r="R121" s="406"/>
      <c r="S121" s="406"/>
      <c r="T121" s="406"/>
      <c r="U121" s="406"/>
      <c r="V121" s="406"/>
      <c r="W121" s="406"/>
      <c r="X121" s="406"/>
      <c r="Y121" s="406"/>
      <c r="Z121" s="406"/>
      <c r="AA121" s="406"/>
      <c r="AB121" s="406"/>
      <c r="AC121" s="406"/>
      <c r="AD121" s="406"/>
      <c r="AE121" s="406"/>
      <c r="AF121" s="406"/>
      <c r="AG121" s="2198" t="s">
        <v>601</v>
      </c>
      <c r="AH121" s="8461">
        <v>40</v>
      </c>
      <c r="AI121" s="8462"/>
      <c r="AJ121" s="8608"/>
      <c r="AK121" s="8609"/>
      <c r="AL121" s="8609"/>
      <c r="AM121" s="8609"/>
      <c r="AN121" s="8609"/>
      <c r="AO121" s="8609"/>
      <c r="AP121" s="1277"/>
      <c r="AQ121" s="2875"/>
      <c r="AR121" s="2875"/>
      <c r="AS121" s="2875"/>
      <c r="BG121" s="769"/>
      <c r="BH121" s="658"/>
      <c r="BI121" s="658"/>
      <c r="BJ121" s="658"/>
      <c r="BK121" s="658"/>
      <c r="BL121" s="658"/>
      <c r="BM121" s="658"/>
      <c r="BN121" s="658"/>
      <c r="BO121" s="658"/>
      <c r="BP121" s="658"/>
    </row>
    <row r="122" spans="1:69" ht="13.5" customHeight="1">
      <c r="A122" s="1277"/>
      <c r="B122" s="7608">
        <v>41</v>
      </c>
      <c r="C122" s="7608"/>
      <c r="D122" s="511" t="s">
        <v>2438</v>
      </c>
      <c r="E122" s="253"/>
      <c r="F122" s="253"/>
      <c r="G122" s="253"/>
      <c r="H122" s="253"/>
      <c r="I122" s="253"/>
      <c r="J122" s="253"/>
      <c r="K122" s="253"/>
      <c r="L122" s="253"/>
      <c r="M122" s="253"/>
      <c r="N122" s="253"/>
      <c r="O122" s="253"/>
      <c r="P122" s="253"/>
      <c r="Q122" s="253"/>
      <c r="R122" s="253"/>
      <c r="S122" s="253"/>
      <c r="T122" s="253"/>
      <c r="U122" s="253"/>
      <c r="V122" s="253"/>
      <c r="W122" s="253"/>
      <c r="X122" s="253"/>
      <c r="Y122" s="253"/>
      <c r="Z122" s="253"/>
      <c r="AA122" s="253"/>
      <c r="AB122" s="253"/>
      <c r="AC122" s="253"/>
      <c r="AD122" s="253"/>
      <c r="AE122" s="253"/>
      <c r="AF122" s="253"/>
      <c r="AG122" s="409"/>
      <c r="AH122" s="4242"/>
      <c r="AI122" s="4837"/>
      <c r="AJ122" s="1883"/>
      <c r="AK122" s="1900"/>
      <c r="AL122" s="1900"/>
      <c r="AM122" s="1900"/>
      <c r="AN122" s="1900"/>
      <c r="AO122" s="1900"/>
      <c r="AP122" s="1277"/>
      <c r="AQ122" s="2875"/>
      <c r="AR122" s="2875"/>
      <c r="AS122" s="2875"/>
      <c r="AX122" s="1405"/>
      <c r="AY122" s="1405"/>
      <c r="AZ122" s="1405"/>
      <c r="BA122" s="1405"/>
      <c r="BB122" s="1405"/>
      <c r="BC122" s="1405"/>
      <c r="BD122" s="1405"/>
      <c r="BG122" s="769"/>
      <c r="BH122" s="658"/>
      <c r="BI122" s="658"/>
      <c r="BJ122" s="658"/>
      <c r="BK122" s="658"/>
      <c r="BL122" s="658"/>
      <c r="BM122" s="658"/>
      <c r="BN122" s="658"/>
      <c r="BO122" s="658"/>
      <c r="BP122" s="658"/>
    </row>
    <row r="123" spans="1:69" ht="13.5" customHeight="1">
      <c r="A123" s="1277"/>
      <c r="B123" s="7608"/>
      <c r="C123" s="7608"/>
      <c r="D123" s="511" t="s">
        <v>2439</v>
      </c>
      <c r="E123" s="253"/>
      <c r="F123" s="253"/>
      <c r="G123" s="253"/>
      <c r="H123" s="253"/>
      <c r="I123" s="253"/>
      <c r="J123" s="253"/>
      <c r="K123" s="253"/>
      <c r="L123" s="253"/>
      <c r="M123" s="253"/>
      <c r="N123" s="253"/>
      <c r="O123" s="253"/>
      <c r="P123" s="253"/>
      <c r="Q123" s="253"/>
      <c r="R123" s="253"/>
      <c r="S123" s="253"/>
      <c r="T123" s="253"/>
      <c r="U123" s="253"/>
      <c r="V123" s="253"/>
      <c r="W123" s="253"/>
      <c r="X123" s="253"/>
      <c r="Y123" s="253"/>
      <c r="Z123" s="253"/>
      <c r="AA123" s="253"/>
      <c r="AB123" s="253"/>
      <c r="AC123" s="253"/>
      <c r="AD123" s="253"/>
      <c r="AE123" s="253"/>
      <c r="AF123" s="253"/>
      <c r="AG123" s="2198" t="s">
        <v>1882</v>
      </c>
      <c r="AH123" s="8463">
        <v>41</v>
      </c>
      <c r="AI123" s="8464"/>
      <c r="AJ123" s="7067">
        <f>IF(AR123&lt;&gt;"",ROUND(AR123,0),IF(SchE1_Completed,SUM(SchE1_Line26,SchE1_Line32,SchE1_Line37,SchE1_Line39,ROUND(SchE1_Line40,0)),0))</f>
        <v>0</v>
      </c>
      <c r="AK123" s="7238"/>
      <c r="AL123" s="7238"/>
      <c r="AM123" s="7238"/>
      <c r="AN123" s="7238"/>
      <c r="AO123" s="7238"/>
      <c r="AP123" s="1277"/>
      <c r="AQ123" s="2875"/>
      <c r="AR123" s="776"/>
      <c r="AS123" s="2875"/>
      <c r="AV123" t="b">
        <f>OR(SchE1_Line26&lt;&gt;0,SchE1_Line32&lt;&gt;0,SchE1_Line37&lt;&gt;0,SchE1_Line39&lt;&gt;0,SchE1_Line40&lt;&gt;0)</f>
        <v>0</v>
      </c>
      <c r="AX123" s="1405"/>
      <c r="AY123" s="1405"/>
      <c r="AZ123" s="1405"/>
      <c r="BA123" s="1405"/>
      <c r="BB123" s="1405"/>
      <c r="BC123" s="1405"/>
      <c r="BD123" s="1405"/>
      <c r="BG123" s="769"/>
      <c r="BH123" s="658"/>
      <c r="BI123" s="658"/>
      <c r="BJ123" s="658"/>
      <c r="BK123" s="658"/>
      <c r="BL123" s="658"/>
      <c r="BM123" s="658"/>
      <c r="BN123" s="658"/>
      <c r="BO123" s="658"/>
      <c r="BP123" s="658"/>
    </row>
    <row r="124" spans="1:69" ht="12.75" customHeight="1">
      <c r="A124" s="1277"/>
      <c r="B124" s="7608">
        <v>42</v>
      </c>
      <c r="C124" s="7608"/>
      <c r="D124" s="1323" t="s">
        <v>2440</v>
      </c>
      <c r="E124" s="253"/>
      <c r="F124" s="253"/>
      <c r="G124" s="253"/>
      <c r="H124" s="253"/>
      <c r="I124" s="253"/>
      <c r="J124" s="253"/>
      <c r="K124" s="253"/>
      <c r="L124" s="253"/>
      <c r="M124" s="253"/>
      <c r="N124" s="253"/>
      <c r="O124" s="253"/>
      <c r="P124" s="253"/>
      <c r="Q124" s="253"/>
      <c r="R124" s="253"/>
      <c r="S124" s="253"/>
      <c r="T124" s="253"/>
      <c r="U124" s="253"/>
      <c r="V124" s="253"/>
      <c r="W124" s="253"/>
      <c r="X124" s="253"/>
      <c r="Y124" s="408"/>
      <c r="Z124" s="409"/>
      <c r="AA124" s="253"/>
      <c r="AB124" s="253"/>
      <c r="AC124" s="253"/>
      <c r="AD124" s="253"/>
      <c r="AE124" s="253"/>
      <c r="AF124" s="253"/>
      <c r="AG124" s="409"/>
      <c r="AH124" s="723"/>
      <c r="AI124" s="723"/>
      <c r="AJ124" s="723"/>
      <c r="AK124" s="723"/>
      <c r="AL124" s="723"/>
      <c r="AM124" s="723"/>
      <c r="AN124" s="723"/>
      <c r="AO124" s="723"/>
      <c r="AP124" s="1277"/>
      <c r="AQ124" s="2875"/>
      <c r="AR124" s="2875"/>
      <c r="AS124" s="2875"/>
      <c r="AV124" s="212">
        <f>IF(SchE1_Completed,SchE1_Line41,SchE1_Line26)</f>
        <v>0</v>
      </c>
      <c r="BG124" s="769"/>
      <c r="BH124" s="658"/>
      <c r="BI124" s="658"/>
      <c r="BJ124" s="658"/>
      <c r="BK124" s="658"/>
      <c r="BL124" s="658"/>
      <c r="BM124" s="658"/>
      <c r="BN124" s="658"/>
      <c r="BO124" s="658"/>
      <c r="BP124" s="658"/>
    </row>
    <row r="125" spans="1:69" ht="12.75" customHeight="1">
      <c r="A125" s="1277"/>
      <c r="B125" s="3377"/>
      <c r="C125" s="253"/>
      <c r="D125" s="511" t="s">
        <v>2441</v>
      </c>
      <c r="E125" s="253"/>
      <c r="F125" s="253"/>
      <c r="G125" s="253"/>
      <c r="H125" s="253"/>
      <c r="I125" s="253"/>
      <c r="J125" s="253"/>
      <c r="K125" s="253"/>
      <c r="L125" s="253"/>
      <c r="M125" s="253"/>
      <c r="N125" s="253"/>
      <c r="O125" s="253"/>
      <c r="P125" s="253"/>
      <c r="Q125" s="253"/>
      <c r="R125" s="253"/>
      <c r="S125" s="253"/>
      <c r="T125" s="253"/>
      <c r="U125" s="253"/>
      <c r="V125" s="253"/>
      <c r="W125" s="253"/>
      <c r="X125" s="253"/>
      <c r="Y125" s="408"/>
      <c r="Z125" s="409"/>
      <c r="AA125" s="253"/>
      <c r="AB125" s="253"/>
      <c r="AC125" s="253"/>
      <c r="AD125" s="253"/>
      <c r="AE125" s="253"/>
      <c r="AF125" s="253"/>
      <c r="AG125" s="409"/>
      <c r="AH125" s="723"/>
      <c r="AI125" s="723"/>
      <c r="AJ125" s="723"/>
      <c r="AK125" s="723"/>
      <c r="AL125" s="723"/>
      <c r="AM125" s="723"/>
      <c r="AN125" s="723"/>
      <c r="AO125" s="723"/>
      <c r="AP125" s="1277"/>
      <c r="BG125" s="769"/>
      <c r="BH125" s="658"/>
      <c r="BI125" s="658"/>
      <c r="BJ125" s="658"/>
      <c r="BK125" s="658"/>
      <c r="BL125" s="658"/>
      <c r="BM125" s="658"/>
      <c r="BN125" s="658"/>
      <c r="BO125" s="658"/>
      <c r="BP125" s="658"/>
    </row>
    <row r="126" spans="1:69" ht="12.75" customHeight="1">
      <c r="A126" s="1277"/>
      <c r="B126" s="3377"/>
      <c r="C126" s="253"/>
      <c r="D126" s="511" t="s">
        <v>2442</v>
      </c>
      <c r="E126" s="253"/>
      <c r="F126" s="253"/>
      <c r="G126" s="253"/>
      <c r="H126" s="253"/>
      <c r="I126" s="253"/>
      <c r="J126" s="253"/>
      <c r="K126" s="253"/>
      <c r="L126" s="253"/>
      <c r="M126" s="253"/>
      <c r="N126" s="253"/>
      <c r="O126" s="253"/>
      <c r="P126" s="253"/>
      <c r="Q126" s="253"/>
      <c r="R126" s="253"/>
      <c r="S126" s="253"/>
      <c r="T126" s="253"/>
      <c r="U126" s="253"/>
      <c r="V126" s="253"/>
      <c r="W126" s="253"/>
      <c r="X126" s="253"/>
      <c r="Y126" s="408"/>
      <c r="Z126" s="409"/>
      <c r="AA126" s="253"/>
      <c r="AB126" s="253"/>
      <c r="AC126" s="253"/>
      <c r="AD126" s="253"/>
      <c r="AE126" s="253"/>
      <c r="AF126" s="253"/>
      <c r="AG126" s="409"/>
      <c r="AH126" s="723"/>
      <c r="AI126" s="723"/>
      <c r="AJ126" s="723"/>
      <c r="AK126" s="723"/>
      <c r="AL126" s="723"/>
      <c r="AM126" s="723"/>
      <c r="AN126" s="723"/>
      <c r="AO126" s="723"/>
      <c r="AP126" s="1277"/>
      <c r="BG126" s="769"/>
      <c r="BH126" s="658"/>
      <c r="BI126" s="658"/>
      <c r="BJ126" s="658"/>
      <c r="BK126" s="658"/>
      <c r="BL126" s="658"/>
      <c r="BM126" s="658"/>
      <c r="BN126" s="658"/>
      <c r="BO126" s="658"/>
      <c r="BP126" s="658"/>
    </row>
    <row r="127" spans="1:69" ht="13.5" customHeight="1">
      <c r="A127" s="1277"/>
      <c r="B127" s="3377"/>
      <c r="C127" s="253"/>
      <c r="D127" s="511" t="s">
        <v>5248</v>
      </c>
      <c r="E127" s="253"/>
      <c r="F127" s="253"/>
      <c r="G127" s="253"/>
      <c r="H127" s="253"/>
      <c r="I127" s="253"/>
      <c r="J127" s="253"/>
      <c r="K127" s="253"/>
      <c r="L127" s="253"/>
      <c r="M127" s="253"/>
      <c r="N127" s="253"/>
      <c r="O127" s="253"/>
      <c r="P127" s="253"/>
      <c r="Q127" s="253"/>
      <c r="R127" s="253"/>
      <c r="S127" s="253"/>
      <c r="T127" s="253"/>
      <c r="U127" s="253"/>
      <c r="V127" s="253"/>
      <c r="W127" s="253"/>
      <c r="X127" s="1401" t="s">
        <v>2443</v>
      </c>
      <c r="Y127" s="8604">
        <v>42</v>
      </c>
      <c r="Z127" s="8605"/>
      <c r="AA127" s="8606"/>
      <c r="AB127" s="8607"/>
      <c r="AC127" s="8607"/>
      <c r="AD127" s="8607"/>
      <c r="AE127" s="8607"/>
      <c r="AF127" s="8607"/>
      <c r="AG127" s="8607"/>
      <c r="AH127" s="723"/>
      <c r="AI127" s="723"/>
      <c r="AJ127" s="723"/>
      <c r="AK127" s="723"/>
      <c r="AL127" s="723"/>
      <c r="AM127" s="723"/>
      <c r="AN127" s="723"/>
      <c r="AO127" s="723"/>
      <c r="AP127" s="1277"/>
      <c r="BG127" s="769"/>
      <c r="BH127" s="658"/>
      <c r="BI127" s="658"/>
      <c r="BJ127" s="658"/>
      <c r="BK127" s="658"/>
      <c r="BL127" s="658"/>
      <c r="BM127" s="658"/>
      <c r="BN127" s="658"/>
      <c r="BO127" s="658"/>
      <c r="BP127" s="658"/>
    </row>
    <row r="128" spans="1:69" ht="12.75" customHeight="1">
      <c r="A128" s="1277"/>
      <c r="B128" s="7608">
        <v>43</v>
      </c>
      <c r="C128" s="7608"/>
      <c r="D128" s="511" t="s">
        <v>2444</v>
      </c>
      <c r="E128" s="253"/>
      <c r="F128" s="253"/>
      <c r="G128" s="253"/>
      <c r="H128" s="253"/>
      <c r="I128" s="253"/>
      <c r="J128" s="253"/>
      <c r="K128" s="253"/>
      <c r="L128" s="253"/>
      <c r="M128" s="253"/>
      <c r="N128" s="253"/>
      <c r="O128" s="253"/>
      <c r="P128" s="253"/>
      <c r="Q128" s="253"/>
      <c r="R128" s="253"/>
      <c r="S128" s="253"/>
      <c r="T128" s="253"/>
      <c r="U128" s="253"/>
      <c r="V128" s="253"/>
      <c r="W128" s="253"/>
      <c r="X128" s="253"/>
      <c r="Y128" s="405"/>
      <c r="Z128" s="407"/>
      <c r="AA128" s="406"/>
      <c r="AB128" s="406"/>
      <c r="AC128" s="406"/>
      <c r="AD128" s="406"/>
      <c r="AE128" s="406"/>
      <c r="AF128" s="406"/>
      <c r="AG128" s="407"/>
      <c r="AH128" s="723"/>
      <c r="AI128" s="723"/>
      <c r="AJ128" s="723"/>
      <c r="AK128" s="723"/>
      <c r="AL128" s="723"/>
      <c r="AM128" s="723"/>
      <c r="AN128" s="723"/>
      <c r="AO128" s="723"/>
      <c r="AP128" s="1277"/>
      <c r="BG128" s="769"/>
      <c r="BH128" s="658"/>
      <c r="BI128" s="658"/>
      <c r="BJ128" s="658"/>
      <c r="BK128" s="658"/>
      <c r="BL128" s="658"/>
      <c r="BM128" s="658"/>
      <c r="BN128" s="658"/>
      <c r="BO128" s="658"/>
      <c r="BP128" s="658"/>
    </row>
    <row r="129" spans="1:69" ht="12.75" customHeight="1">
      <c r="A129" s="1277"/>
      <c r="B129" s="3377"/>
      <c r="C129" s="253"/>
      <c r="D129" s="2100" t="s">
        <v>2445</v>
      </c>
      <c r="E129" s="253"/>
      <c r="F129" s="253"/>
      <c r="G129" s="253"/>
      <c r="H129" s="253"/>
      <c r="I129" s="253"/>
      <c r="J129" s="253"/>
      <c r="K129" s="253"/>
      <c r="L129" s="253"/>
      <c r="M129" s="253"/>
      <c r="N129" s="253"/>
      <c r="O129" s="253"/>
      <c r="P129" s="253"/>
      <c r="Q129" s="253"/>
      <c r="R129" s="253"/>
      <c r="S129" s="253"/>
      <c r="T129" s="253"/>
      <c r="U129" s="253"/>
      <c r="V129" s="253"/>
      <c r="W129" s="253"/>
      <c r="X129" s="253"/>
      <c r="Y129" s="408"/>
      <c r="Z129" s="409"/>
      <c r="AA129" s="253"/>
      <c r="AB129" s="253"/>
      <c r="AC129" s="253"/>
      <c r="AD129" s="253"/>
      <c r="AE129" s="253"/>
      <c r="AF129" s="253"/>
      <c r="AG129" s="409"/>
      <c r="AH129" s="723"/>
      <c r="AI129" s="723"/>
      <c r="AJ129" s="723"/>
      <c r="AK129" s="723"/>
      <c r="AL129" s="723"/>
      <c r="AM129" s="723"/>
      <c r="AN129" s="723"/>
      <c r="AO129" s="723"/>
      <c r="AP129" s="1277"/>
      <c r="BG129" s="769"/>
      <c r="BH129" s="658"/>
      <c r="BI129" s="658"/>
      <c r="BJ129" s="658"/>
      <c r="BK129" s="658"/>
      <c r="BL129" s="658"/>
      <c r="BM129" s="658"/>
      <c r="BN129" s="658"/>
      <c r="BO129" s="658"/>
      <c r="BP129" s="658"/>
    </row>
    <row r="130" spans="1:69" ht="12.75" customHeight="1">
      <c r="A130" s="1277"/>
      <c r="B130" s="3377"/>
      <c r="C130" s="253"/>
      <c r="D130" s="2100" t="s">
        <v>2446</v>
      </c>
      <c r="E130" s="253"/>
      <c r="F130" s="253"/>
      <c r="G130" s="253"/>
      <c r="H130" s="253"/>
      <c r="I130" s="253"/>
      <c r="J130" s="253"/>
      <c r="K130" s="253"/>
      <c r="L130" s="253"/>
      <c r="M130" s="253"/>
      <c r="N130" s="253"/>
      <c r="O130" s="253"/>
      <c r="P130" s="253"/>
      <c r="Q130" s="253"/>
      <c r="R130" s="253"/>
      <c r="S130" s="253"/>
      <c r="T130" s="253"/>
      <c r="U130" s="253"/>
      <c r="V130" s="253"/>
      <c r="W130" s="253"/>
      <c r="X130" s="253"/>
      <c r="Y130" s="408"/>
      <c r="Z130" s="409"/>
      <c r="AA130" s="253"/>
      <c r="AB130" s="253"/>
      <c r="AC130" s="253"/>
      <c r="AD130" s="253"/>
      <c r="AE130" s="253"/>
      <c r="AF130" s="253"/>
      <c r="AG130" s="409"/>
      <c r="AH130" s="723"/>
      <c r="AI130" s="723"/>
      <c r="AJ130" s="723"/>
      <c r="AK130" s="723"/>
      <c r="AL130" s="723"/>
      <c r="AM130" s="723"/>
      <c r="AN130" s="723"/>
      <c r="AO130" s="723"/>
      <c r="AP130" s="1277"/>
      <c r="BG130" s="769"/>
      <c r="BH130" s="658"/>
      <c r="BI130" s="658"/>
      <c r="BJ130" s="658"/>
      <c r="BK130" s="658"/>
      <c r="BL130" s="658"/>
      <c r="BM130" s="658"/>
      <c r="BN130" s="658"/>
      <c r="BO130" s="658"/>
      <c r="BP130" s="658"/>
    </row>
    <row r="131" spans="1:69" ht="12.75" customHeight="1">
      <c r="A131" s="1277"/>
      <c r="B131" s="3377"/>
      <c r="C131" s="253"/>
      <c r="D131" s="511" t="s">
        <v>2447</v>
      </c>
      <c r="E131" s="253"/>
      <c r="F131" s="253"/>
      <c r="G131" s="253"/>
      <c r="H131" s="253"/>
      <c r="I131" s="253"/>
      <c r="J131" s="253"/>
      <c r="K131" s="253"/>
      <c r="L131" s="253"/>
      <c r="M131" s="253"/>
      <c r="N131" s="253"/>
      <c r="O131" s="253"/>
      <c r="P131" s="253"/>
      <c r="Q131" s="253"/>
      <c r="R131" s="253"/>
      <c r="S131" s="253"/>
      <c r="T131" s="253"/>
      <c r="U131" s="253"/>
      <c r="V131" s="253"/>
      <c r="W131" s="253"/>
      <c r="X131" s="253"/>
      <c r="Y131" s="408"/>
      <c r="Z131" s="409"/>
      <c r="AA131" s="253"/>
      <c r="AB131" s="253"/>
      <c r="AC131" s="253"/>
      <c r="AD131" s="253"/>
      <c r="AE131" s="253"/>
      <c r="AF131" s="253"/>
      <c r="AG131" s="409"/>
      <c r="AH131" s="723"/>
      <c r="AI131" s="723"/>
      <c r="AJ131" s="723"/>
      <c r="AK131" s="723"/>
      <c r="AL131" s="723"/>
      <c r="AM131" s="723"/>
      <c r="AN131" s="723"/>
      <c r="AO131" s="723"/>
      <c r="AP131" s="1277"/>
      <c r="BG131" s="769"/>
      <c r="BH131" s="658"/>
      <c r="BI131" s="658"/>
      <c r="BJ131" s="658"/>
      <c r="BK131" s="658"/>
      <c r="BL131" s="658"/>
      <c r="BM131" s="658"/>
      <c r="BN131" s="658"/>
      <c r="BO131" s="658"/>
      <c r="BP131" s="658"/>
    </row>
    <row r="132" spans="1:69" ht="15.75" customHeight="1" thickBot="1">
      <c r="A132" s="1277"/>
      <c r="B132" s="4829"/>
      <c r="C132" s="380"/>
      <c r="D132" s="2015" t="s">
        <v>2448</v>
      </c>
      <c r="E132" s="380"/>
      <c r="F132" s="380"/>
      <c r="G132" s="380"/>
      <c r="H132" s="380"/>
      <c r="I132" s="380"/>
      <c r="J132" s="380"/>
      <c r="K132" s="380"/>
      <c r="L132" s="380"/>
      <c r="M132" s="380"/>
      <c r="N132" s="380"/>
      <c r="O132" s="380"/>
      <c r="P132" s="380"/>
      <c r="Q132" s="380"/>
      <c r="R132" s="380"/>
      <c r="S132" s="380"/>
      <c r="T132" s="380"/>
      <c r="U132" s="380"/>
      <c r="V132" s="380"/>
      <c r="W132" s="380"/>
      <c r="X132" s="1658" t="s">
        <v>676</v>
      </c>
      <c r="Y132" s="8376">
        <v>43</v>
      </c>
      <c r="Z132" s="8377"/>
      <c r="AA132" s="8378"/>
      <c r="AB132" s="8379"/>
      <c r="AC132" s="8379"/>
      <c r="AD132" s="8379"/>
      <c r="AE132" s="8379"/>
      <c r="AF132" s="8379"/>
      <c r="AG132" s="8379"/>
      <c r="AH132" s="818"/>
      <c r="AI132" s="818"/>
      <c r="AJ132" s="818"/>
      <c r="AK132" s="818"/>
      <c r="AL132" s="818"/>
      <c r="AM132" s="818"/>
      <c r="AN132" s="818"/>
      <c r="AO132" s="818"/>
      <c r="AP132" s="1277"/>
      <c r="BG132" s="769"/>
      <c r="BH132" s="658"/>
      <c r="BI132" s="658"/>
      <c r="BJ132" s="658"/>
      <c r="BK132" s="658"/>
      <c r="BL132" s="658"/>
      <c r="BM132" s="658"/>
      <c r="BN132" s="658"/>
      <c r="BO132" s="658"/>
      <c r="BP132" s="658"/>
    </row>
    <row r="133" spans="1:69" ht="12.75" customHeight="1">
      <c r="A133" s="1277"/>
      <c r="B133" s="3377"/>
      <c r="C133" s="253"/>
      <c r="D133" s="253"/>
      <c r="E133" s="253"/>
      <c r="F133" s="253"/>
      <c r="G133" s="253"/>
      <c r="H133" s="253"/>
      <c r="I133" s="253"/>
      <c r="J133" s="253"/>
      <c r="K133" s="253"/>
      <c r="L133" s="253"/>
      <c r="M133" s="253"/>
      <c r="N133" s="253"/>
      <c r="O133" s="253"/>
      <c r="P133" s="253"/>
      <c r="Q133" s="253"/>
      <c r="R133" s="253"/>
      <c r="S133" s="253"/>
      <c r="T133" s="253"/>
      <c r="U133" s="253"/>
      <c r="V133" s="253"/>
      <c r="W133" s="253"/>
      <c r="X133" s="253"/>
      <c r="Y133" s="253"/>
      <c r="Z133" s="253"/>
      <c r="AA133" s="253"/>
      <c r="AB133" s="253"/>
      <c r="AC133" s="253"/>
      <c r="AD133" s="253"/>
      <c r="AE133" s="253"/>
      <c r="AF133" s="253"/>
      <c r="AG133" s="253"/>
      <c r="AH133" s="253"/>
      <c r="AI133" s="253"/>
      <c r="AJ133" s="253"/>
      <c r="AK133" s="253"/>
      <c r="AL133" s="253"/>
      <c r="AM133" s="253"/>
      <c r="AN133" s="253"/>
      <c r="AO133" s="1989" t="str">
        <f>"Schedule E (Form 1040) "&amp;TaxYear</f>
        <v>Schedule E (Form 1040) 2025</v>
      </c>
      <c r="AP133" s="1277"/>
      <c r="BG133" s="769"/>
      <c r="BH133" s="658"/>
      <c r="BI133" s="658"/>
      <c r="BJ133" s="658"/>
      <c r="BK133" s="658"/>
      <c r="BL133" s="658"/>
      <c r="BM133" s="658"/>
      <c r="BN133" s="658"/>
      <c r="BO133" s="658"/>
      <c r="BP133" s="658"/>
    </row>
    <row r="134" spans="1:69" ht="18" customHeight="1">
      <c r="A134" s="1277"/>
      <c r="B134" s="8616" t="s">
        <v>2316</v>
      </c>
      <c r="C134" s="8617"/>
      <c r="D134" s="8617"/>
      <c r="E134" s="8617"/>
      <c r="F134" s="8617"/>
      <c r="G134" s="8618"/>
      <c r="H134" s="4750"/>
      <c r="I134" s="253"/>
      <c r="J134" s="253"/>
      <c r="K134" s="253"/>
      <c r="L134" s="253"/>
      <c r="M134" s="2329"/>
      <c r="N134" s="253"/>
      <c r="O134" s="253"/>
      <c r="P134" s="253"/>
      <c r="Q134" s="253"/>
      <c r="R134" s="253"/>
      <c r="S134" s="253"/>
      <c r="T134" s="253"/>
      <c r="U134" s="253"/>
      <c r="V134" s="253"/>
      <c r="W134" s="253"/>
      <c r="X134" s="253"/>
      <c r="Y134" s="253"/>
      <c r="Z134" s="253"/>
      <c r="AA134" s="253"/>
      <c r="AB134" s="253"/>
      <c r="AC134" s="253"/>
      <c r="AD134" s="253"/>
      <c r="AE134" s="253"/>
      <c r="AF134" s="253"/>
      <c r="AG134" s="253"/>
      <c r="AH134" s="253"/>
      <c r="AI134" s="8578" t="str">
        <f>IF(AND('Table of Contents'!A38="D",AP134=""),"DRAFT","OMB No. 1545-0074")</f>
        <v>OMB No. 1545-0074</v>
      </c>
      <c r="AJ134" s="8458"/>
      <c r="AK134" s="8458"/>
      <c r="AL134" s="8458"/>
      <c r="AM134" s="8458"/>
      <c r="AN134" s="8458"/>
      <c r="AO134" s="8458"/>
      <c r="AP134" s="1821"/>
      <c r="BG134" s="795" t="s">
        <v>289</v>
      </c>
      <c r="BH134" s="658"/>
      <c r="BI134" s="658"/>
      <c r="BJ134" s="658"/>
      <c r="BK134" s="658"/>
      <c r="BL134" s="658"/>
      <c r="BM134" s="658"/>
      <c r="BN134" s="658"/>
      <c r="BO134" s="658"/>
      <c r="BP134" s="658"/>
    </row>
    <row r="135" spans="1:69" ht="30" customHeight="1">
      <c r="A135" s="1277"/>
      <c r="B135" s="8581" t="s">
        <v>1815</v>
      </c>
      <c r="C135" s="8582"/>
      <c r="D135" s="8582"/>
      <c r="E135" s="8582"/>
      <c r="F135" s="8582"/>
      <c r="G135" s="8583"/>
      <c r="H135" s="4751" t="s">
        <v>2317</v>
      </c>
      <c r="I135" s="4752"/>
      <c r="J135" s="4752"/>
      <c r="K135" s="4752"/>
      <c r="L135" s="4752"/>
      <c r="M135" s="4752"/>
      <c r="N135" s="4752"/>
      <c r="O135" s="4752"/>
      <c r="P135" s="4752"/>
      <c r="Q135" s="4752"/>
      <c r="R135" s="4752"/>
      <c r="S135" s="4752"/>
      <c r="T135" s="4752"/>
      <c r="U135" s="4752"/>
      <c r="V135" s="4752"/>
      <c r="W135" s="4752"/>
      <c r="X135" s="4752"/>
      <c r="Y135" s="4752"/>
      <c r="Z135" s="4752"/>
      <c r="AA135" s="4752"/>
      <c r="AB135" s="4752"/>
      <c r="AC135" s="4752"/>
      <c r="AD135" s="4752"/>
      <c r="AE135" s="4752"/>
      <c r="AF135" s="4752"/>
      <c r="AG135" s="4752"/>
      <c r="AH135" s="4753"/>
      <c r="AI135" s="8586">
        <f>TaxYear</f>
        <v>2025</v>
      </c>
      <c r="AJ135" s="8587"/>
      <c r="AK135" s="8587"/>
      <c r="AL135" s="8587"/>
      <c r="AM135" s="8587"/>
      <c r="AN135" s="8587"/>
      <c r="AO135" s="8587"/>
      <c r="AP135" s="1277"/>
      <c r="BG135" s="769"/>
      <c r="BH135" s="658"/>
      <c r="BI135" s="658"/>
      <c r="BJ135" s="658"/>
      <c r="BK135" s="658"/>
      <c r="BL135" s="658"/>
      <c r="BM135" s="658"/>
      <c r="BN135" s="658"/>
      <c r="BO135" s="658"/>
      <c r="BP135" s="658"/>
    </row>
    <row r="136" spans="1:69">
      <c r="A136" s="1277"/>
      <c r="B136" s="7613" t="s">
        <v>2318</v>
      </c>
      <c r="C136" s="7925"/>
      <c r="D136" s="7925"/>
      <c r="E136" s="7925"/>
      <c r="F136" s="7925"/>
      <c r="G136" s="8579"/>
      <c r="H136" s="4443" t="str">
        <f>"(From rental real estate, royalties, partnerships, S corporations, estates, trusts, REMICs, etc.)"</f>
        <v>(From rental real estate, royalties, partnerships, S corporations, estates, trusts, REMICs, etc.)</v>
      </c>
      <c r="I136" s="4033"/>
      <c r="J136" s="4033"/>
      <c r="K136" s="4033"/>
      <c r="L136" s="4033"/>
      <c r="M136" s="4033"/>
      <c r="N136" s="4033"/>
      <c r="O136" s="4033"/>
      <c r="P136" s="4033"/>
      <c r="Q136" s="4033"/>
      <c r="R136" s="4033"/>
      <c r="S136" s="4033"/>
      <c r="T136" s="4754"/>
      <c r="U136" s="4033"/>
      <c r="V136" s="4033"/>
      <c r="W136" s="4033"/>
      <c r="X136" s="4033"/>
      <c r="Y136" s="4033"/>
      <c r="Z136" s="4033"/>
      <c r="AA136" s="4033"/>
      <c r="AB136" s="4033"/>
      <c r="AC136" s="4033"/>
      <c r="AD136" s="4033"/>
      <c r="AE136" s="4033"/>
      <c r="AF136" s="4033"/>
      <c r="AG136" s="4033"/>
      <c r="AH136" s="4033"/>
      <c r="AI136" s="8588"/>
      <c r="AJ136" s="8589"/>
      <c r="AK136" s="8589"/>
      <c r="AL136" s="8589"/>
      <c r="AM136" s="8589"/>
      <c r="AN136" s="8589"/>
      <c r="AO136" s="8589"/>
      <c r="AP136" s="1277"/>
      <c r="BG136" s="769"/>
      <c r="BH136" s="658"/>
      <c r="BI136" s="658"/>
      <c r="BJ136" s="658"/>
      <c r="BK136" s="658"/>
      <c r="BL136" s="658"/>
      <c r="BM136" s="658"/>
      <c r="BN136" s="658"/>
      <c r="BO136" s="658"/>
      <c r="BP136" s="658"/>
    </row>
    <row r="137" spans="1:69">
      <c r="A137" s="1277"/>
      <c r="B137" s="7613"/>
      <c r="C137" s="7925"/>
      <c r="D137" s="7925"/>
      <c r="E137" s="7925"/>
      <c r="F137" s="7925"/>
      <c r="G137" s="8579"/>
      <c r="H137" s="341"/>
      <c r="I137" s="253"/>
      <c r="J137" s="253"/>
      <c r="K137" s="253"/>
      <c r="L137" s="253"/>
      <c r="M137" s="253"/>
      <c r="N137" s="253"/>
      <c r="O137" s="253"/>
      <c r="P137" s="253"/>
      <c r="Q137" s="253"/>
      <c r="R137" s="253"/>
      <c r="S137" s="253"/>
      <c r="T137" s="733" t="s">
        <v>2319</v>
      </c>
      <c r="U137" s="253"/>
      <c r="V137" s="253"/>
      <c r="W137" s="253"/>
      <c r="X137" s="253"/>
      <c r="Y137" s="253"/>
      <c r="Z137" s="253"/>
      <c r="AA137" s="253"/>
      <c r="AB137" s="253"/>
      <c r="AC137" s="253"/>
      <c r="AD137" s="253"/>
      <c r="AE137" s="253"/>
      <c r="AF137" s="253"/>
      <c r="AG137" s="253"/>
      <c r="AH137" s="253"/>
      <c r="AI137" s="4755"/>
      <c r="AJ137" s="8584" t="s">
        <v>2320</v>
      </c>
      <c r="AK137" s="8370"/>
      <c r="AL137" s="8370"/>
      <c r="AM137" s="8370"/>
      <c r="AN137" s="1861"/>
      <c r="AO137" s="1861"/>
      <c r="AP137" s="1277"/>
      <c r="BG137" s="769"/>
      <c r="BH137" s="658"/>
      <c r="BI137" s="658"/>
      <c r="BJ137" s="658"/>
      <c r="BK137" s="658"/>
      <c r="BL137" s="658"/>
      <c r="BM137" s="658"/>
      <c r="BN137" s="658"/>
      <c r="BO137" s="658"/>
      <c r="BP137" s="658"/>
    </row>
    <row r="138" spans="1:69" ht="14.25" customHeight="1" thickBot="1">
      <c r="A138" s="1277"/>
      <c r="B138" s="7926"/>
      <c r="C138" s="7926"/>
      <c r="D138" s="7926"/>
      <c r="E138" s="7926"/>
      <c r="F138" s="7926"/>
      <c r="G138" s="8580"/>
      <c r="H138" s="4756" t="s">
        <v>2321</v>
      </c>
      <c r="I138" s="2879"/>
      <c r="J138" s="2879"/>
      <c r="K138" s="2879"/>
      <c r="L138" s="2879"/>
      <c r="M138" s="2879"/>
      <c r="N138" s="2879"/>
      <c r="O138" s="2879"/>
      <c r="P138" s="2879"/>
      <c r="Q138" s="2879"/>
      <c r="R138" s="2879"/>
      <c r="S138" s="2879"/>
      <c r="T138" s="2879"/>
      <c r="U138" s="2879"/>
      <c r="V138" s="2879"/>
      <c r="W138" s="2879"/>
      <c r="X138" s="2879"/>
      <c r="Y138" s="2879"/>
      <c r="Z138" s="2879"/>
      <c r="AA138" s="2879"/>
      <c r="AB138" s="2879"/>
      <c r="AC138" s="2879"/>
      <c r="AD138" s="2879"/>
      <c r="AE138" s="2879"/>
      <c r="AF138" s="2879"/>
      <c r="AG138" s="2879"/>
      <c r="AH138" s="2879"/>
      <c r="AI138" s="4757"/>
      <c r="AJ138" s="8585"/>
      <c r="AK138" s="8585"/>
      <c r="AL138" s="8585"/>
      <c r="AM138" s="8585"/>
      <c r="AN138" s="8615">
        <v>13</v>
      </c>
      <c r="AO138" s="8615"/>
      <c r="AP138" s="1277"/>
      <c r="BG138" s="769"/>
      <c r="BH138" s="658"/>
      <c r="BI138" s="658"/>
      <c r="BJ138" s="658"/>
      <c r="BK138" s="658"/>
      <c r="BL138" s="658"/>
      <c r="BM138" s="658"/>
      <c r="BN138" s="658"/>
      <c r="BO138" s="658"/>
      <c r="BP138" s="658"/>
    </row>
    <row r="139" spans="1:69">
      <c r="A139" s="1277"/>
      <c r="B139" s="344" t="s">
        <v>1918</v>
      </c>
      <c r="C139" s="253"/>
      <c r="D139" s="253"/>
      <c r="E139" s="253"/>
      <c r="F139" s="253"/>
      <c r="G139" s="253"/>
      <c r="H139" s="253"/>
      <c r="I139" s="253"/>
      <c r="J139" s="253"/>
      <c r="K139" s="253"/>
      <c r="L139" s="253"/>
      <c r="M139" s="253"/>
      <c r="N139" s="253"/>
      <c r="O139" s="253"/>
      <c r="P139" s="253"/>
      <c r="Q139" s="253"/>
      <c r="R139" s="253"/>
      <c r="S139" s="253"/>
      <c r="T139" s="253"/>
      <c r="U139" s="253"/>
      <c r="V139" s="253"/>
      <c r="W139" s="253"/>
      <c r="X139" s="253"/>
      <c r="Y139" s="253"/>
      <c r="Z139" s="253"/>
      <c r="AA139" s="253"/>
      <c r="AB139" s="253"/>
      <c r="AC139" s="253"/>
      <c r="AD139" s="253"/>
      <c r="AE139" s="253"/>
      <c r="AF139" s="253"/>
      <c r="AG139" s="8598" t="s">
        <v>549</v>
      </c>
      <c r="AH139" s="8599"/>
      <c r="AI139" s="8599"/>
      <c r="AJ139" s="8599"/>
      <c r="AK139" s="8599"/>
      <c r="AL139" s="8599"/>
      <c r="AM139" s="8599"/>
      <c r="AN139" s="8599"/>
      <c r="AO139" s="8599"/>
      <c r="AP139" s="1277"/>
      <c r="BG139" s="769"/>
      <c r="BH139" s="658"/>
      <c r="BI139" s="658"/>
      <c r="BJ139" s="658"/>
      <c r="BK139" s="658"/>
      <c r="BL139" s="658"/>
      <c r="BM139" s="658"/>
      <c r="BN139" s="658"/>
      <c r="BO139" s="658"/>
      <c r="BP139" s="658"/>
    </row>
    <row r="140" spans="1:69" ht="9.75" customHeight="1">
      <c r="A140" s="1277"/>
      <c r="B140" s="7600" t="str">
        <f>Names</f>
        <v/>
      </c>
      <c r="C140" s="7601"/>
      <c r="D140" s="7601"/>
      <c r="E140" s="7601"/>
      <c r="F140" s="7601"/>
      <c r="G140" s="7601"/>
      <c r="H140" s="7601"/>
      <c r="I140" s="7601"/>
      <c r="J140" s="7601"/>
      <c r="K140" s="7601"/>
      <c r="L140" s="7601"/>
      <c r="M140" s="7601"/>
      <c r="N140" s="7601"/>
      <c r="O140" s="7601"/>
      <c r="P140" s="7601"/>
      <c r="Q140" s="7601"/>
      <c r="R140" s="7601"/>
      <c r="S140" s="7601"/>
      <c r="T140" s="7601"/>
      <c r="U140" s="7601"/>
      <c r="V140" s="7601"/>
      <c r="W140" s="7601"/>
      <c r="X140" s="7601"/>
      <c r="Y140" s="7601"/>
      <c r="Z140" s="7601"/>
      <c r="AA140" s="7601"/>
      <c r="AB140" s="7601"/>
      <c r="AC140" s="7601"/>
      <c r="AD140" s="7601"/>
      <c r="AE140" s="7601"/>
      <c r="AF140" s="7602"/>
      <c r="AG140" s="8594">
        <f>IF(NoSSN,"",SS_Yours)</f>
        <v>1010001</v>
      </c>
      <c r="AH140" s="8595"/>
      <c r="AI140" s="8595"/>
      <c r="AJ140" s="8595"/>
      <c r="AK140" s="8595"/>
      <c r="AL140" s="8595"/>
      <c r="AM140" s="8595"/>
      <c r="AN140" s="8595"/>
      <c r="AO140" s="8595"/>
      <c r="AP140" s="1277"/>
      <c r="BG140" s="769"/>
      <c r="BH140" s="658"/>
      <c r="BI140" s="658"/>
      <c r="BJ140" s="658"/>
      <c r="BK140" s="658"/>
      <c r="BL140" s="658"/>
      <c r="BM140" s="658"/>
      <c r="BN140" s="658"/>
      <c r="BO140" s="658"/>
      <c r="BP140" s="658"/>
    </row>
    <row r="141" spans="1:69" ht="9.75" customHeight="1">
      <c r="A141" s="1277"/>
      <c r="B141" s="7603"/>
      <c r="C141" s="7603"/>
      <c r="D141" s="7603"/>
      <c r="E141" s="7603"/>
      <c r="F141" s="7603"/>
      <c r="G141" s="7603"/>
      <c r="H141" s="7603"/>
      <c r="I141" s="7603"/>
      <c r="J141" s="7603"/>
      <c r="K141" s="7603"/>
      <c r="L141" s="7603"/>
      <c r="M141" s="7603"/>
      <c r="N141" s="7603"/>
      <c r="O141" s="7603"/>
      <c r="P141" s="7603"/>
      <c r="Q141" s="7603"/>
      <c r="R141" s="7603"/>
      <c r="S141" s="7603"/>
      <c r="T141" s="7603"/>
      <c r="U141" s="7603"/>
      <c r="V141" s="7603"/>
      <c r="W141" s="7603"/>
      <c r="X141" s="7603"/>
      <c r="Y141" s="7603"/>
      <c r="Z141" s="7603"/>
      <c r="AA141" s="7603"/>
      <c r="AB141" s="7603"/>
      <c r="AC141" s="7603"/>
      <c r="AD141" s="7603"/>
      <c r="AE141" s="7603"/>
      <c r="AF141" s="7604"/>
      <c r="AG141" s="8596"/>
      <c r="AH141" s="8597"/>
      <c r="AI141" s="8597"/>
      <c r="AJ141" s="8597"/>
      <c r="AK141" s="8597"/>
      <c r="AL141" s="8597"/>
      <c r="AM141" s="8597"/>
      <c r="AN141" s="8597"/>
      <c r="AO141" s="8597"/>
      <c r="AP141" s="1277"/>
      <c r="BG141" s="769"/>
      <c r="BH141" s="658"/>
      <c r="BI141" s="658"/>
      <c r="BJ141" s="658"/>
      <c r="BK141" s="658"/>
      <c r="BL141" s="658"/>
      <c r="BM141" s="658"/>
      <c r="BN141" s="658"/>
      <c r="BO141" s="658"/>
      <c r="BP141" s="658"/>
    </row>
    <row r="142" spans="1:69" s="1405" customFormat="1" ht="17.25" customHeight="1">
      <c r="A142" s="2119"/>
      <c r="B142" s="8427" t="s">
        <v>780</v>
      </c>
      <c r="C142" s="8427"/>
      <c r="D142" s="8428"/>
      <c r="E142" s="2761"/>
      <c r="F142" s="4758" t="s">
        <v>2322</v>
      </c>
      <c r="G142" s="2761"/>
      <c r="H142" s="2761"/>
      <c r="I142" s="2761"/>
      <c r="J142" s="2761"/>
      <c r="K142" s="2761"/>
      <c r="L142" s="2761"/>
      <c r="M142" s="2761"/>
      <c r="N142" s="2761"/>
      <c r="O142" s="2761"/>
      <c r="P142" s="2761"/>
      <c r="Q142" s="2761"/>
      <c r="R142" s="2761"/>
      <c r="S142" s="2761"/>
      <c r="T142" s="2761"/>
      <c r="U142" s="2761"/>
      <c r="V142" s="2761"/>
      <c r="W142" s="2761"/>
      <c r="X142" s="2354"/>
      <c r="Y142" s="2761"/>
      <c r="Z142" s="2761"/>
      <c r="AA142" s="2761"/>
      <c r="AB142" s="2761"/>
      <c r="AC142" s="2761"/>
      <c r="AD142" s="2761"/>
      <c r="AE142" s="2761"/>
      <c r="AF142" s="2761"/>
      <c r="AG142" s="2761"/>
      <c r="AH142" s="2761"/>
      <c r="AI142" s="2761"/>
      <c r="AJ142" s="2761"/>
      <c r="AK142" s="2761"/>
      <c r="AL142" s="2761"/>
      <c r="AM142" s="2761"/>
      <c r="AN142" s="2761"/>
      <c r="AO142" s="2761"/>
      <c r="AP142" s="1277"/>
      <c r="BG142" s="769"/>
      <c r="BH142" s="658"/>
      <c r="BI142" s="658"/>
      <c r="BJ142" s="658"/>
      <c r="BK142" s="658"/>
      <c r="BL142" s="658"/>
      <c r="BM142" s="658"/>
      <c r="BN142" s="658"/>
      <c r="BO142" s="658"/>
      <c r="BP142" s="658"/>
      <c r="BQ142" s="815"/>
    </row>
    <row r="143" spans="1:69" ht="15.75">
      <c r="A143" s="1277"/>
      <c r="B143" s="4759"/>
      <c r="C143" s="4759"/>
      <c r="D143" s="4654"/>
      <c r="E143" s="1990"/>
      <c r="F143" s="511" t="s">
        <v>2323</v>
      </c>
      <c r="G143" s="4082"/>
      <c r="H143" s="4082"/>
      <c r="I143" s="4082"/>
      <c r="J143" s="4082"/>
      <c r="K143" s="4082"/>
      <c r="L143" s="4082"/>
      <c r="M143" s="1990"/>
      <c r="N143" s="4082"/>
      <c r="O143" s="4082"/>
      <c r="P143" s="4082"/>
      <c r="Q143" s="4082"/>
      <c r="R143" s="4082"/>
      <c r="S143" s="4082"/>
      <c r="T143" s="4082"/>
      <c r="U143" s="4082"/>
      <c r="V143" s="4082"/>
      <c r="W143" s="4082"/>
      <c r="X143" s="4082"/>
      <c r="Y143" s="4082"/>
      <c r="Z143" s="4082"/>
      <c r="AA143" s="4082"/>
      <c r="AB143" s="4082"/>
      <c r="AC143" s="4082"/>
      <c r="AD143" s="1990"/>
      <c r="AE143" s="4082"/>
      <c r="AF143" s="4082"/>
      <c r="AG143" s="4082"/>
      <c r="AH143" s="4082"/>
      <c r="AI143" s="4082"/>
      <c r="AJ143" s="4082"/>
      <c r="AK143" s="4082"/>
      <c r="AL143" s="4082"/>
      <c r="AM143" s="4082"/>
      <c r="AN143" s="4082"/>
      <c r="AO143" s="4082"/>
      <c r="AP143" s="1277"/>
      <c r="BG143" s="769"/>
      <c r="BH143" s="658"/>
      <c r="BI143" s="658"/>
      <c r="BJ143" s="658"/>
      <c r="BK143" s="658"/>
      <c r="BL143" s="658"/>
      <c r="BM143" s="658"/>
      <c r="BN143" s="658"/>
      <c r="BO143" s="658"/>
      <c r="BP143" s="658"/>
    </row>
    <row r="144" spans="1:69" ht="15.75">
      <c r="A144" s="1277"/>
      <c r="B144" s="4760"/>
      <c r="C144" s="4760"/>
      <c r="D144" s="4761"/>
      <c r="E144" s="1999"/>
      <c r="F144" s="4252" t="s">
        <v>6222</v>
      </c>
      <c r="G144" s="4762"/>
      <c r="H144" s="4762"/>
      <c r="I144" s="4762"/>
      <c r="J144" s="4762"/>
      <c r="K144" s="4762"/>
      <c r="L144" s="4762"/>
      <c r="M144" s="1999"/>
      <c r="N144" s="4762"/>
      <c r="O144" s="4762"/>
      <c r="P144" s="4762"/>
      <c r="Q144" s="4762"/>
      <c r="R144" s="4762"/>
      <c r="S144" s="4762"/>
      <c r="T144" s="4762"/>
      <c r="U144" s="4762"/>
      <c r="V144" s="4762"/>
      <c r="W144" s="4762"/>
      <c r="X144" s="4762"/>
      <c r="Y144" s="4762"/>
      <c r="Z144" s="4762"/>
      <c r="AA144" s="4762"/>
      <c r="AB144" s="4762"/>
      <c r="AC144" s="4762"/>
      <c r="AD144" s="1999"/>
      <c r="AE144" s="4762"/>
      <c r="AF144" s="4762"/>
      <c r="AG144" s="4762"/>
      <c r="AH144" s="4762"/>
      <c r="AI144" s="4762"/>
      <c r="AJ144" s="4762"/>
      <c r="AK144" s="4762"/>
      <c r="AL144" s="4762"/>
      <c r="AM144" s="4762"/>
      <c r="AN144" s="4762"/>
      <c r="AO144" s="4762"/>
      <c r="AP144" s="1277"/>
      <c r="BG144" s="769"/>
      <c r="BH144" s="658"/>
      <c r="BI144" s="658"/>
      <c r="BJ144" s="658"/>
      <c r="BK144" s="658"/>
      <c r="BL144" s="658"/>
      <c r="BM144" s="658"/>
      <c r="BN144" s="658"/>
      <c r="BO144" s="658"/>
      <c r="BP144" s="658"/>
    </row>
    <row r="145" spans="1:69" ht="15.75">
      <c r="A145" s="1277"/>
      <c r="B145" s="8558" t="s">
        <v>510</v>
      </c>
      <c r="C145" s="8600"/>
      <c r="D145" s="3772" t="str">
        <f>"Did you make any payments in "&amp;TaxYear&amp;" that would require you to file Form(s) 1099?  See instructions"</f>
        <v>Did you make any payments in 2025 that would require you to file Form(s) 1099?  See instructions</v>
      </c>
      <c r="E145" s="4082"/>
      <c r="F145" s="4082"/>
      <c r="G145" s="4082"/>
      <c r="H145" s="4082"/>
      <c r="I145" s="4082"/>
      <c r="J145" s="4082"/>
      <c r="K145" s="4082"/>
      <c r="L145" s="4082"/>
      <c r="M145" s="4082"/>
      <c r="N145" s="4082"/>
      <c r="O145" s="4082"/>
      <c r="P145" s="4082"/>
      <c r="Q145" s="4082"/>
      <c r="R145" s="4082"/>
      <c r="S145" s="4082"/>
      <c r="T145" s="4082"/>
      <c r="U145" s="4082"/>
      <c r="V145" s="4082"/>
      <c r="W145" s="4082"/>
      <c r="X145" s="4082"/>
      <c r="Y145" s="4082"/>
      <c r="Z145" s="4082"/>
      <c r="AA145" s="4082"/>
      <c r="AB145" s="4082"/>
      <c r="AC145" s="4082"/>
      <c r="AD145" s="4082"/>
      <c r="AE145" s="4082"/>
      <c r="AF145" s="4082"/>
      <c r="AG145" s="4082"/>
      <c r="AH145" s="4082"/>
      <c r="AI145" s="4082"/>
      <c r="AJ145" s="276"/>
      <c r="AK145" s="1059" t="s">
        <v>2324</v>
      </c>
      <c r="AL145" s="4082"/>
      <c r="AM145" s="276"/>
      <c r="AN145" s="1059" t="s">
        <v>2325</v>
      </c>
      <c r="AO145" s="4082"/>
      <c r="AP145" s="1277"/>
      <c r="BG145" s="769"/>
      <c r="BH145" s="658"/>
      <c r="BI145" s="658"/>
      <c r="BJ145" s="658"/>
      <c r="BK145" s="658"/>
      <c r="BL145" s="658"/>
      <c r="BM145" s="658"/>
      <c r="BN145" s="658"/>
      <c r="BO145" s="658"/>
      <c r="BP145" s="658"/>
    </row>
    <row r="146" spans="1:69" ht="15.75">
      <c r="A146" s="1277"/>
      <c r="B146" s="8590" t="s">
        <v>516</v>
      </c>
      <c r="C146" s="8063"/>
      <c r="D146" s="3801" t="s">
        <v>4975</v>
      </c>
      <c r="E146" s="4762"/>
      <c r="F146" s="4762"/>
      <c r="G146" s="4762"/>
      <c r="H146" s="4762"/>
      <c r="I146" s="4762"/>
      <c r="J146" s="4762"/>
      <c r="K146" s="4762"/>
      <c r="L146" s="4762"/>
      <c r="M146" s="4762"/>
      <c r="N146" s="4762"/>
      <c r="O146" s="4762"/>
      <c r="P146" s="4762"/>
      <c r="Q146" s="4762"/>
      <c r="R146" s="4762"/>
      <c r="S146" s="4762"/>
      <c r="T146" s="4762"/>
      <c r="U146" s="4762"/>
      <c r="V146" s="4762"/>
      <c r="W146" s="4762"/>
      <c r="X146" s="4762"/>
      <c r="Y146" s="4762"/>
      <c r="Z146" s="4762"/>
      <c r="AA146" s="4762"/>
      <c r="AB146" s="4762"/>
      <c r="AC146" s="4762"/>
      <c r="AD146" s="4762"/>
      <c r="AE146" s="4762"/>
      <c r="AF146" s="4762"/>
      <c r="AG146" s="4762"/>
      <c r="AH146" s="4762"/>
      <c r="AI146" s="4762"/>
      <c r="AJ146" s="276"/>
      <c r="AK146" s="2001" t="s">
        <v>2324</v>
      </c>
      <c r="AL146" s="4762"/>
      <c r="AM146" s="276"/>
      <c r="AN146" s="2001" t="s">
        <v>2325</v>
      </c>
      <c r="AO146" s="4762"/>
      <c r="AP146" s="1277"/>
      <c r="BG146" s="769"/>
      <c r="BH146" s="658"/>
      <c r="BI146" s="658"/>
      <c r="BJ146" s="658"/>
      <c r="BK146" s="658"/>
      <c r="BL146" s="658"/>
      <c r="BM146" s="658"/>
      <c r="BN146" s="658"/>
      <c r="BO146" s="658"/>
      <c r="BP146" s="658"/>
    </row>
    <row r="147" spans="1:69" s="4766" customFormat="1" ht="18.75" customHeight="1">
      <c r="A147" s="4763"/>
      <c r="B147" s="8591" t="s">
        <v>333</v>
      </c>
      <c r="C147" s="8592"/>
      <c r="D147" s="4764" t="s">
        <v>2326</v>
      </c>
      <c r="E147" s="4765"/>
      <c r="F147" s="4765"/>
      <c r="G147" s="4765"/>
      <c r="H147" s="4765"/>
      <c r="I147" s="4765"/>
      <c r="J147" s="4765"/>
      <c r="K147" s="4765"/>
      <c r="L147" s="4765"/>
      <c r="M147" s="4765"/>
      <c r="N147" s="4765"/>
      <c r="O147" s="4765"/>
      <c r="P147" s="4765"/>
      <c r="Q147" s="4765"/>
      <c r="R147" s="4765"/>
      <c r="S147" s="4765"/>
      <c r="T147" s="4765"/>
      <c r="U147" s="4765"/>
      <c r="V147" s="4765"/>
      <c r="W147" s="4765"/>
      <c r="X147" s="4765"/>
      <c r="Y147" s="4765"/>
      <c r="Z147" s="4765"/>
      <c r="AA147" s="4765"/>
      <c r="AB147" s="4765"/>
      <c r="AC147" s="4765"/>
      <c r="AD147" s="4765"/>
      <c r="AE147" s="4765"/>
      <c r="AF147" s="4765"/>
      <c r="AG147" s="4765"/>
      <c r="AH147" s="4765"/>
      <c r="AI147" s="4765"/>
      <c r="AJ147" s="4765"/>
      <c r="AK147" s="4765"/>
      <c r="AL147" s="4765"/>
      <c r="AM147" s="4765"/>
      <c r="AN147" s="4765"/>
      <c r="AO147" s="4765"/>
      <c r="AP147" s="4763"/>
      <c r="BG147" s="1425"/>
      <c r="BH147" s="1426"/>
      <c r="BI147" s="1426"/>
      <c r="BJ147" s="1426"/>
      <c r="BK147" s="1426"/>
      <c r="BL147" s="1426"/>
      <c r="BM147" s="1426"/>
      <c r="BN147" s="1426"/>
      <c r="BO147" s="1426"/>
      <c r="BP147" s="1426"/>
      <c r="BQ147" s="1427"/>
    </row>
    <row r="148" spans="1:69" ht="15.75">
      <c r="A148" s="1277"/>
      <c r="B148" s="8557" t="s">
        <v>510</v>
      </c>
      <c r="C148" s="8469"/>
      <c r="D148" s="8560"/>
      <c r="E148" s="8021"/>
      <c r="F148" s="8021"/>
      <c r="G148" s="8021"/>
      <c r="H148" s="8021"/>
      <c r="I148" s="8021"/>
      <c r="J148" s="8021"/>
      <c r="K148" s="8021"/>
      <c r="L148" s="8021"/>
      <c r="M148" s="8021"/>
      <c r="N148" s="8021"/>
      <c r="O148" s="8021"/>
      <c r="P148" s="8021"/>
      <c r="Q148" s="8021"/>
      <c r="R148" s="8021"/>
      <c r="S148" s="8021"/>
      <c r="T148" s="8021"/>
      <c r="U148" s="8021"/>
      <c r="V148" s="8021"/>
      <c r="W148" s="8021"/>
      <c r="X148" s="8021"/>
      <c r="Y148" s="8021"/>
      <c r="Z148" s="8021"/>
      <c r="AA148" s="8021"/>
      <c r="AB148" s="8021"/>
      <c r="AC148" s="8021"/>
      <c r="AD148" s="8021"/>
      <c r="AE148" s="8021"/>
      <c r="AF148" s="8021"/>
      <c r="AG148" s="8021"/>
      <c r="AH148" s="8021"/>
      <c r="AI148" s="8021"/>
      <c r="AJ148" s="8021"/>
      <c r="AK148" s="8021"/>
      <c r="AL148" s="8021"/>
      <c r="AM148" s="8021"/>
      <c r="AN148" s="8021"/>
      <c r="AO148" s="8021"/>
      <c r="AP148" s="1277"/>
      <c r="BG148" s="769"/>
      <c r="BH148" s="658"/>
      <c r="BI148" s="658"/>
      <c r="BJ148" s="658"/>
      <c r="BK148" s="658"/>
      <c r="BL148" s="658"/>
      <c r="BM148" s="658"/>
      <c r="BN148" s="658"/>
      <c r="BO148" s="658"/>
      <c r="BP148" s="658"/>
    </row>
    <row r="149" spans="1:69" ht="15.75">
      <c r="A149" s="1277"/>
      <c r="B149" s="8557" t="s">
        <v>516</v>
      </c>
      <c r="C149" s="8469"/>
      <c r="D149" s="8560"/>
      <c r="E149" s="8021"/>
      <c r="F149" s="8021"/>
      <c r="G149" s="8021"/>
      <c r="H149" s="8021"/>
      <c r="I149" s="8021"/>
      <c r="J149" s="8021"/>
      <c r="K149" s="8021"/>
      <c r="L149" s="8021"/>
      <c r="M149" s="8021"/>
      <c r="N149" s="8021"/>
      <c r="O149" s="8021"/>
      <c r="P149" s="8021"/>
      <c r="Q149" s="8021"/>
      <c r="R149" s="8021"/>
      <c r="S149" s="8021"/>
      <c r="T149" s="8021"/>
      <c r="U149" s="8021"/>
      <c r="V149" s="8021"/>
      <c r="W149" s="8021"/>
      <c r="X149" s="8021"/>
      <c r="Y149" s="8021"/>
      <c r="Z149" s="8021"/>
      <c r="AA149" s="8021"/>
      <c r="AB149" s="8021"/>
      <c r="AC149" s="8021"/>
      <c r="AD149" s="8021"/>
      <c r="AE149" s="8021"/>
      <c r="AF149" s="8021"/>
      <c r="AG149" s="8021"/>
      <c r="AH149" s="8021"/>
      <c r="AI149" s="8021"/>
      <c r="AJ149" s="8021"/>
      <c r="AK149" s="8021"/>
      <c r="AL149" s="8021"/>
      <c r="AM149" s="8021"/>
      <c r="AN149" s="8021"/>
      <c r="AO149" s="8021"/>
      <c r="AP149" s="1277"/>
      <c r="BG149" s="769"/>
      <c r="BH149" s="658"/>
      <c r="BI149" s="658"/>
      <c r="BJ149" s="658"/>
      <c r="BK149" s="658"/>
      <c r="BL149" s="658"/>
      <c r="BM149" s="658"/>
      <c r="BN149" s="658"/>
      <c r="BO149" s="658"/>
      <c r="BP149" s="658"/>
    </row>
    <row r="150" spans="1:69" ht="15.75">
      <c r="A150" s="1277"/>
      <c r="B150" s="8557" t="s">
        <v>518</v>
      </c>
      <c r="C150" s="8469"/>
      <c r="D150" s="8560"/>
      <c r="E150" s="8021"/>
      <c r="F150" s="8021"/>
      <c r="G150" s="8021"/>
      <c r="H150" s="8021"/>
      <c r="I150" s="8021"/>
      <c r="J150" s="8021"/>
      <c r="K150" s="8021"/>
      <c r="L150" s="8021"/>
      <c r="M150" s="8021"/>
      <c r="N150" s="8021"/>
      <c r="O150" s="8021"/>
      <c r="P150" s="8021"/>
      <c r="Q150" s="8021"/>
      <c r="R150" s="8021"/>
      <c r="S150" s="8021"/>
      <c r="T150" s="8021"/>
      <c r="U150" s="8021"/>
      <c r="V150" s="8021"/>
      <c r="W150" s="8021"/>
      <c r="X150" s="8021"/>
      <c r="Y150" s="8021"/>
      <c r="Z150" s="8021"/>
      <c r="AA150" s="8021"/>
      <c r="AB150" s="8021"/>
      <c r="AC150" s="8021"/>
      <c r="AD150" s="8021"/>
      <c r="AE150" s="8021"/>
      <c r="AF150" s="8021"/>
      <c r="AG150" s="8021"/>
      <c r="AH150" s="8021"/>
      <c r="AI150" s="8021"/>
      <c r="AJ150" s="8021"/>
      <c r="AK150" s="8021"/>
      <c r="AL150" s="8021"/>
      <c r="AM150" s="8021"/>
      <c r="AN150" s="8021"/>
      <c r="AO150" s="8021"/>
      <c r="AP150" s="1277"/>
      <c r="AX150">
        <v>1</v>
      </c>
      <c r="AY150" t="s">
        <v>2327</v>
      </c>
      <c r="BG150" s="769"/>
      <c r="BH150" s="658"/>
      <c r="BI150" s="658"/>
      <c r="BJ150" s="658"/>
      <c r="BK150" s="658"/>
      <c r="BL150" s="658"/>
      <c r="BM150" s="658"/>
      <c r="BN150" s="658"/>
      <c r="BO150" s="658"/>
      <c r="BP150" s="658"/>
    </row>
    <row r="151" spans="1:69" ht="15.75" customHeight="1">
      <c r="A151" s="1277"/>
      <c r="B151" s="8558" t="s">
        <v>335</v>
      </c>
      <c r="C151" s="8559"/>
      <c r="D151" s="7682" t="s">
        <v>2449</v>
      </c>
      <c r="E151" s="7682"/>
      <c r="F151" s="7682"/>
      <c r="G151" s="7682"/>
      <c r="H151" s="7683"/>
      <c r="I151" s="8536">
        <v>2</v>
      </c>
      <c r="J151" s="8601"/>
      <c r="K151" s="8569" t="s">
        <v>2329</v>
      </c>
      <c r="L151" s="8569"/>
      <c r="M151" s="8569"/>
      <c r="N151" s="8569"/>
      <c r="O151" s="8569"/>
      <c r="P151" s="8569"/>
      <c r="Q151" s="8569"/>
      <c r="R151" s="8569"/>
      <c r="S151" s="8569"/>
      <c r="T151" s="8569"/>
      <c r="U151" s="8569"/>
      <c r="V151" s="8569"/>
      <c r="W151" s="8569"/>
      <c r="X151" s="4767"/>
      <c r="Y151" s="4767"/>
      <c r="Z151" s="4767"/>
      <c r="AA151" s="8561" t="s">
        <v>2450</v>
      </c>
      <c r="AB151" s="8562"/>
      <c r="AC151" s="8562"/>
      <c r="AD151" s="8562"/>
      <c r="AE151" s="8565"/>
      <c r="AF151" s="8561" t="s">
        <v>2451</v>
      </c>
      <c r="AG151" s="8562"/>
      <c r="AH151" s="8562"/>
      <c r="AI151" s="8562"/>
      <c r="AJ151" s="8565"/>
      <c r="AK151" s="8561" t="s">
        <v>2332</v>
      </c>
      <c r="AL151" s="8562"/>
      <c r="AM151" s="8562"/>
      <c r="AN151" s="8562"/>
      <c r="AO151" s="8562"/>
      <c r="AP151" s="1277"/>
      <c r="AX151">
        <v>2</v>
      </c>
      <c r="AY151" t="s">
        <v>2333</v>
      </c>
      <c r="BG151" s="769"/>
      <c r="BH151" s="658"/>
      <c r="BI151" s="658"/>
      <c r="BJ151" s="658"/>
      <c r="BK151" s="658"/>
      <c r="BL151" s="658"/>
      <c r="BM151" s="658"/>
      <c r="BN151" s="658"/>
      <c r="BO151" s="658"/>
      <c r="BP151" s="658"/>
    </row>
    <row r="152" spans="1:69" ht="14.25" customHeight="1">
      <c r="A152" s="1277"/>
      <c r="B152" s="4760"/>
      <c r="C152" s="4760"/>
      <c r="D152" s="7688"/>
      <c r="E152" s="7688"/>
      <c r="F152" s="7688"/>
      <c r="G152" s="7688"/>
      <c r="H152" s="7689"/>
      <c r="I152" s="4768"/>
      <c r="J152" s="4082"/>
      <c r="K152" s="8570"/>
      <c r="L152" s="8570"/>
      <c r="M152" s="8570"/>
      <c r="N152" s="8570"/>
      <c r="O152" s="8570"/>
      <c r="P152" s="8570"/>
      <c r="Q152" s="8570"/>
      <c r="R152" s="8570"/>
      <c r="S152" s="8570"/>
      <c r="T152" s="8570"/>
      <c r="U152" s="8570"/>
      <c r="V152" s="8570"/>
      <c r="W152" s="8570"/>
      <c r="X152" s="4082"/>
      <c r="Y152" s="4082"/>
      <c r="Z152" s="4082"/>
      <c r="AA152" s="8563"/>
      <c r="AB152" s="8564"/>
      <c r="AC152" s="8564"/>
      <c r="AD152" s="8564"/>
      <c r="AE152" s="8566"/>
      <c r="AF152" s="8563"/>
      <c r="AG152" s="8564"/>
      <c r="AH152" s="8564"/>
      <c r="AI152" s="8564"/>
      <c r="AJ152" s="8566"/>
      <c r="AK152" s="8563"/>
      <c r="AL152" s="8564"/>
      <c r="AM152" s="8564"/>
      <c r="AN152" s="8564"/>
      <c r="AO152" s="8564"/>
      <c r="AP152" s="1277"/>
      <c r="AV152" s="4769">
        <f>IF(LeapYear,366,365)</f>
        <v>365</v>
      </c>
      <c r="AW152" s="4652"/>
      <c r="AX152">
        <v>3</v>
      </c>
      <c r="AY152" t="s">
        <v>2334</v>
      </c>
      <c r="BE152" s="4770" t="s">
        <v>2335</v>
      </c>
      <c r="BG152" s="769"/>
      <c r="BH152" s="658"/>
      <c r="BI152" s="658"/>
      <c r="BJ152" s="658"/>
      <c r="BK152" s="658"/>
      <c r="BL152" s="658"/>
      <c r="BM152" s="658"/>
      <c r="BN152" s="658"/>
      <c r="BO152" s="658"/>
      <c r="BP152" s="658"/>
    </row>
    <row r="153" spans="1:69" ht="15.75">
      <c r="A153" s="1277"/>
      <c r="B153" s="8557" t="s">
        <v>510</v>
      </c>
      <c r="C153" s="8469"/>
      <c r="D153" s="8549"/>
      <c r="E153" s="8550"/>
      <c r="F153" s="8550"/>
      <c r="G153" s="8550"/>
      <c r="H153" s="8551"/>
      <c r="I153" s="408"/>
      <c r="J153" s="253"/>
      <c r="K153" s="8570"/>
      <c r="L153" s="8570"/>
      <c r="M153" s="8570"/>
      <c r="N153" s="8570"/>
      <c r="O153" s="8570"/>
      <c r="P153" s="8570"/>
      <c r="Q153" s="8570"/>
      <c r="R153" s="8570"/>
      <c r="S153" s="8570"/>
      <c r="T153" s="8570"/>
      <c r="U153" s="8570"/>
      <c r="V153" s="8570"/>
      <c r="W153" s="8570"/>
      <c r="X153" s="8552" t="s">
        <v>510</v>
      </c>
      <c r="Y153" s="8553"/>
      <c r="Z153" s="8554"/>
      <c r="AA153" s="7516"/>
      <c r="AB153" s="8437"/>
      <c r="AC153" s="8437"/>
      <c r="AD153" s="8437"/>
      <c r="AE153" s="8438"/>
      <c r="AF153" s="7516"/>
      <c r="AG153" s="8437"/>
      <c r="AH153" s="8437"/>
      <c r="AI153" s="8437"/>
      <c r="AJ153" s="8438"/>
      <c r="AK153" s="4771"/>
      <c r="AL153" s="773"/>
      <c r="AM153" s="276"/>
      <c r="AN153" s="773"/>
      <c r="AO153" s="773"/>
      <c r="AP153" s="1277"/>
      <c r="AR153" s="304" t="b">
        <f>D153=8</f>
        <v>0</v>
      </c>
      <c r="AV153" s="4772" t="b">
        <f>AA153&gt;$AV$20</f>
        <v>0</v>
      </c>
      <c r="AW153" s="4647" t="b">
        <f>AF153&gt;$AV$20</f>
        <v>0</v>
      </c>
      <c r="AX153">
        <v>4</v>
      </c>
      <c r="AY153" t="s">
        <v>2336</v>
      </c>
      <c r="BE153" s="726" t="b">
        <f>IF(AND(D153&lt;&gt;"",OR(D153&lt;1,D153&gt;8,ISERROR(V164))),TRUE,FALSE)</f>
        <v>0</v>
      </c>
      <c r="BG153" s="769"/>
      <c r="BH153" s="658"/>
      <c r="BI153" s="658"/>
      <c r="BJ153" s="658"/>
      <c r="BK153" s="658"/>
      <c r="BL153" s="658"/>
      <c r="BM153" s="658"/>
      <c r="BN153" s="658"/>
      <c r="BO153" s="658"/>
      <c r="BP153" s="658"/>
    </row>
    <row r="154" spans="1:69" ht="15.75">
      <c r="A154" s="1277"/>
      <c r="B154" s="8557" t="s">
        <v>516</v>
      </c>
      <c r="C154" s="8469"/>
      <c r="D154" s="8549"/>
      <c r="E154" s="8550"/>
      <c r="F154" s="8550"/>
      <c r="G154" s="8550"/>
      <c r="H154" s="8551"/>
      <c r="I154" s="408"/>
      <c r="J154" s="253"/>
      <c r="K154" s="8570"/>
      <c r="L154" s="8570"/>
      <c r="M154" s="8570"/>
      <c r="N154" s="8570"/>
      <c r="O154" s="8570"/>
      <c r="P154" s="8570"/>
      <c r="Q154" s="8570"/>
      <c r="R154" s="8570"/>
      <c r="S154" s="8570"/>
      <c r="T154" s="8570"/>
      <c r="U154" s="8570"/>
      <c r="V154" s="8570"/>
      <c r="W154" s="8570"/>
      <c r="X154" s="8552" t="s">
        <v>516</v>
      </c>
      <c r="Y154" s="8553"/>
      <c r="Z154" s="8554"/>
      <c r="AA154" s="7516"/>
      <c r="AB154" s="8437"/>
      <c r="AC154" s="8437"/>
      <c r="AD154" s="8437"/>
      <c r="AE154" s="8438"/>
      <c r="AF154" s="7516"/>
      <c r="AG154" s="8437"/>
      <c r="AH154" s="8437"/>
      <c r="AI154" s="8437"/>
      <c r="AJ154" s="8438"/>
      <c r="AK154" s="4771"/>
      <c r="AL154" s="773"/>
      <c r="AM154" s="276"/>
      <c r="AN154" s="773"/>
      <c r="AO154" s="773"/>
      <c r="AP154" s="1277"/>
      <c r="AR154" s="304" t="b">
        <f>D154=8</f>
        <v>0</v>
      </c>
      <c r="AV154" s="4772" t="b">
        <f>AA154&gt;$AV$20</f>
        <v>0</v>
      </c>
      <c r="AW154" s="4647" t="b">
        <f>AF154&gt;$AV$20</f>
        <v>0</v>
      </c>
      <c r="AX154">
        <v>5</v>
      </c>
      <c r="AY154" t="s">
        <v>2337</v>
      </c>
      <c r="BE154" s="726" t="b">
        <f>IF(AND(D154&lt;&gt;"",OR(D154&lt;1,D154&gt;8,ISERROR(AD164))),TRUE,FALSE)</f>
        <v>0</v>
      </c>
      <c r="BG154" s="769"/>
      <c r="BH154" s="658"/>
      <c r="BI154" s="658"/>
      <c r="BJ154" s="658"/>
      <c r="BK154" s="658"/>
      <c r="BL154" s="658"/>
      <c r="BM154" s="658"/>
      <c r="BN154" s="658"/>
      <c r="BO154" s="658"/>
      <c r="BP154" s="658"/>
    </row>
    <row r="155" spans="1:69" ht="15.75">
      <c r="A155" s="1277"/>
      <c r="B155" s="8557" t="s">
        <v>518</v>
      </c>
      <c r="C155" s="8469"/>
      <c r="D155" s="8549"/>
      <c r="E155" s="8550"/>
      <c r="F155" s="8550"/>
      <c r="G155" s="8550"/>
      <c r="H155" s="8551"/>
      <c r="I155" s="412"/>
      <c r="J155" s="413"/>
      <c r="K155" s="8571"/>
      <c r="L155" s="8571"/>
      <c r="M155" s="8571"/>
      <c r="N155" s="8571"/>
      <c r="O155" s="8571"/>
      <c r="P155" s="8571"/>
      <c r="Q155" s="8571"/>
      <c r="R155" s="8571"/>
      <c r="S155" s="8571"/>
      <c r="T155" s="8571"/>
      <c r="U155" s="8571"/>
      <c r="V155" s="8571"/>
      <c r="W155" s="8571"/>
      <c r="X155" s="8552" t="s">
        <v>518</v>
      </c>
      <c r="Y155" s="8553"/>
      <c r="Z155" s="8554"/>
      <c r="AA155" s="7516"/>
      <c r="AB155" s="8437"/>
      <c r="AC155" s="8437"/>
      <c r="AD155" s="8437"/>
      <c r="AE155" s="8438"/>
      <c r="AF155" s="7516"/>
      <c r="AG155" s="8437"/>
      <c r="AH155" s="8437"/>
      <c r="AI155" s="8437"/>
      <c r="AJ155" s="8438"/>
      <c r="AK155" s="4771"/>
      <c r="AL155" s="773"/>
      <c r="AM155" s="276"/>
      <c r="AN155" s="773"/>
      <c r="AO155" s="773"/>
      <c r="AP155" s="1277"/>
      <c r="AR155" s="304" t="b">
        <f>D155=8</f>
        <v>0</v>
      </c>
      <c r="AV155" s="3614" t="b">
        <f>AA155&gt;$AV$20</f>
        <v>0</v>
      </c>
      <c r="AW155" s="4648" t="b">
        <f>AF155&gt;$AV$20</f>
        <v>0</v>
      </c>
      <c r="AX155">
        <v>6</v>
      </c>
      <c r="AY155" t="s">
        <v>2338</v>
      </c>
      <c r="AZ155" s="2556" t="s">
        <v>510</v>
      </c>
      <c r="BA155" s="2556" t="s">
        <v>516</v>
      </c>
      <c r="BB155" s="2556" t="s">
        <v>518</v>
      </c>
      <c r="BC155" s="2556" t="s">
        <v>224</v>
      </c>
      <c r="BE155" s="726" t="b">
        <f>IF(AND(D155&lt;&gt;"",OR(D155&lt;1,D155&gt;8,ISERROR(AJ164))),TRUE,FALSE)</f>
        <v>0</v>
      </c>
      <c r="BG155" s="769"/>
      <c r="BH155" s="658"/>
      <c r="BI155" s="658"/>
      <c r="BJ155" s="658"/>
      <c r="BK155" s="658"/>
      <c r="BL155" s="658"/>
      <c r="BM155" s="658"/>
      <c r="BN155" s="658"/>
      <c r="BO155" s="658"/>
      <c r="BP155" s="658"/>
    </row>
    <row r="156" spans="1:69" ht="14.25" customHeight="1">
      <c r="A156" s="1277"/>
      <c r="B156" s="3775" t="s">
        <v>2339</v>
      </c>
      <c r="C156" s="2298"/>
      <c r="D156" s="759"/>
      <c r="E156" s="2126"/>
      <c r="F156" s="2126"/>
      <c r="G156" s="2126"/>
      <c r="H156" s="2126"/>
      <c r="I156" s="4776" t="str">
        <f>IF(BE156,"The 'Type of Property' must be entered as a number (1 - 8).","")</f>
        <v/>
      </c>
      <c r="J156" s="2126"/>
      <c r="K156" s="2126"/>
      <c r="L156" s="2126"/>
      <c r="M156" s="2126"/>
      <c r="N156" s="2126"/>
      <c r="O156" s="2126"/>
      <c r="P156" s="2126"/>
      <c r="Q156" s="2126"/>
      <c r="R156" s="2126"/>
      <c r="S156" s="2126"/>
      <c r="T156" s="2126"/>
      <c r="U156" s="2126"/>
      <c r="V156" s="2126"/>
      <c r="W156" s="2126"/>
      <c r="X156" s="2126"/>
      <c r="Y156" s="2126"/>
      <c r="Z156" s="2126"/>
      <c r="AA156" s="2126"/>
      <c r="AB156" s="2126"/>
      <c r="AC156" s="2126"/>
      <c r="AD156" s="4776" t="str">
        <f>IF(OR(AV153,AV154,AV155,AW153,AW154,AW155),"Must be "&amp;AV152&amp;" or less.","")</f>
        <v/>
      </c>
      <c r="AE156" s="2126"/>
      <c r="AF156" s="2126"/>
      <c r="AG156" s="2126"/>
      <c r="AH156" s="2126"/>
      <c r="AI156" s="2126"/>
      <c r="AJ156" s="2126"/>
      <c r="AK156" s="2126"/>
      <c r="AL156" s="2126"/>
      <c r="AM156" s="2126"/>
      <c r="AN156" s="2126"/>
      <c r="AO156" s="2126"/>
      <c r="AP156" s="1277"/>
      <c r="AR156" s="304" t="b">
        <f>OR(AR153:AR155)</f>
        <v>0</v>
      </c>
      <c r="AX156">
        <v>7</v>
      </c>
      <c r="AY156" t="s">
        <v>2340</v>
      </c>
      <c r="AZ156">
        <f>IF(D153&lt;&gt;6,V162,0)</f>
        <v>0</v>
      </c>
      <c r="BA156">
        <f>IF(D154&lt;&gt;6,AD162,0)</f>
        <v>0</v>
      </c>
      <c r="BB156">
        <f>IF(D155&lt;&gt;6,AJ162,0)</f>
        <v>0</v>
      </c>
      <c r="BC156">
        <f>SUM(AZ156:BB156)</f>
        <v>0</v>
      </c>
      <c r="BE156" s="726" t="b">
        <f>OR(BE153,BE154,BE155)</f>
        <v>0</v>
      </c>
      <c r="BG156" s="769"/>
      <c r="BH156" s="658"/>
      <c r="BI156" s="658"/>
      <c r="BJ156" s="658"/>
      <c r="BK156" s="658"/>
      <c r="BL156" s="658"/>
      <c r="BM156" s="658"/>
      <c r="BN156" s="658"/>
      <c r="BO156" s="658"/>
      <c r="BP156" s="658"/>
    </row>
    <row r="157" spans="1:69" ht="18" customHeight="1">
      <c r="A157" s="1277"/>
      <c r="B157" s="2298">
        <v>1</v>
      </c>
      <c r="C157" s="2100" t="s">
        <v>2327</v>
      </c>
      <c r="D157" s="759"/>
      <c r="E157" s="2126"/>
      <c r="F157" s="2126"/>
      <c r="G157" s="2126"/>
      <c r="H157" s="2126"/>
      <c r="I157" s="2126"/>
      <c r="J157" s="2126"/>
      <c r="K157" s="2038">
        <v>3</v>
      </c>
      <c r="L157" s="4505" t="s">
        <v>2341</v>
      </c>
      <c r="M157" s="2126"/>
      <c r="N157" s="2126"/>
      <c r="O157" s="2126"/>
      <c r="P157" s="2126"/>
      <c r="Q157" s="2126"/>
      <c r="R157" s="2126"/>
      <c r="S157" s="2126"/>
      <c r="T157" s="2126"/>
      <c r="U157" s="2038">
        <v>5</v>
      </c>
      <c r="V157" s="4505" t="s">
        <v>2337</v>
      </c>
      <c r="W157" s="2126"/>
      <c r="X157" s="2126"/>
      <c r="Y157" s="2126"/>
      <c r="Z157" s="2038"/>
      <c r="AA157" s="2038">
        <v>7</v>
      </c>
      <c r="AB157" s="4505" t="s">
        <v>2340</v>
      </c>
      <c r="AC157" s="2126"/>
      <c r="AD157" s="2126"/>
      <c r="AE157" s="2126"/>
      <c r="AF157" s="2126"/>
      <c r="AG157" s="2126"/>
      <c r="AH157" s="2126"/>
      <c r="AI157" s="2126"/>
      <c r="AJ157" s="2126"/>
      <c r="AK157" s="2126"/>
      <c r="AL157" s="2126"/>
      <c r="AM157" s="2126"/>
      <c r="AN157" s="2126"/>
      <c r="AO157" s="2126"/>
      <c r="AP157" s="1277"/>
      <c r="AR157" s="8373" t="str">
        <f>IF($AR$156,"Attach a statement to your return describing the property.","")</f>
        <v/>
      </c>
      <c r="AS157" s="8373"/>
      <c r="AX157">
        <v>8</v>
      </c>
      <c r="AY157" t="s">
        <v>254</v>
      </c>
      <c r="AZ157">
        <f>IF(D153=6,V163,0)</f>
        <v>0</v>
      </c>
      <c r="BA157">
        <f>IF(D154=6,AD163,0)</f>
        <v>0</v>
      </c>
      <c r="BB157">
        <f>IF(D155=6,AJ163,0)</f>
        <v>0</v>
      </c>
      <c r="BC157">
        <f>SUM(AZ157:BB157)</f>
        <v>0</v>
      </c>
      <c r="BE157" s="4782"/>
      <c r="BG157" s="769"/>
      <c r="BH157" s="658"/>
      <c r="BI157" s="658"/>
      <c r="BJ157" s="658"/>
      <c r="BK157" s="658"/>
      <c r="BL157" s="658"/>
      <c r="BM157" s="658"/>
      <c r="BN157" s="658"/>
      <c r="BO157" s="658"/>
      <c r="BP157" s="658"/>
    </row>
    <row r="158" spans="1:69" s="138" customFormat="1" ht="18" customHeight="1">
      <c r="A158" s="2888"/>
      <c r="B158" s="2313">
        <v>2</v>
      </c>
      <c r="C158" s="4783" t="s">
        <v>2333</v>
      </c>
      <c r="D158" s="986"/>
      <c r="E158" s="986"/>
      <c r="F158" s="986"/>
      <c r="G158" s="986"/>
      <c r="H158" s="986"/>
      <c r="I158" s="986"/>
      <c r="J158" s="986"/>
      <c r="K158" s="2313">
        <v>4</v>
      </c>
      <c r="L158" s="4783" t="s">
        <v>2336</v>
      </c>
      <c r="M158" s="986"/>
      <c r="N158" s="986"/>
      <c r="O158" s="986"/>
      <c r="P158" s="986"/>
      <c r="Q158" s="986"/>
      <c r="R158" s="986"/>
      <c r="S158" s="986"/>
      <c r="T158" s="986"/>
      <c r="U158" s="2313">
        <v>6</v>
      </c>
      <c r="V158" s="4783" t="s">
        <v>2338</v>
      </c>
      <c r="W158" s="986"/>
      <c r="X158" s="986"/>
      <c r="Y158" s="986"/>
      <c r="Z158" s="2313"/>
      <c r="AA158" s="2313">
        <v>8</v>
      </c>
      <c r="AB158" s="4783" t="s">
        <v>2452</v>
      </c>
      <c r="AC158" s="986"/>
      <c r="AD158" s="986"/>
      <c r="AE158" s="986"/>
      <c r="AF158" s="986"/>
      <c r="AG158" s="8619"/>
      <c r="AH158" s="8620"/>
      <c r="AI158" s="8620"/>
      <c r="AJ158" s="8620"/>
      <c r="AK158" s="8620"/>
      <c r="AL158" s="8620"/>
      <c r="AM158" s="8620"/>
      <c r="AN158" s="8620"/>
      <c r="AO158" s="8620"/>
      <c r="AP158" s="2888"/>
      <c r="AQ158" s="4784"/>
      <c r="AR158" s="8373"/>
      <c r="AS158" s="8373"/>
      <c r="BG158" s="967"/>
      <c r="BH158" s="662"/>
      <c r="BI158" s="662"/>
      <c r="BJ158" s="662"/>
      <c r="BK158" s="662"/>
      <c r="BL158" s="662"/>
      <c r="BM158" s="662"/>
      <c r="BN158" s="662"/>
      <c r="BO158" s="662"/>
      <c r="BP158" s="662"/>
      <c r="BQ158" s="1116"/>
    </row>
    <row r="159" spans="1:69" s="138" customFormat="1" ht="6.75" customHeight="1" thickBot="1">
      <c r="A159" s="2888"/>
      <c r="B159" s="2313"/>
      <c r="C159" s="4783"/>
      <c r="D159" s="986"/>
      <c r="E159" s="986"/>
      <c r="F159" s="986"/>
      <c r="G159" s="986"/>
      <c r="H159" s="986"/>
      <c r="I159" s="986"/>
      <c r="J159" s="986"/>
      <c r="K159" s="2313"/>
      <c r="L159" s="4783"/>
      <c r="M159" s="986"/>
      <c r="N159" s="986"/>
      <c r="O159" s="986"/>
      <c r="P159" s="986"/>
      <c r="Q159" s="986"/>
      <c r="R159" s="986"/>
      <c r="S159" s="986"/>
      <c r="T159" s="986"/>
      <c r="U159" s="2313"/>
      <c r="V159" s="4838"/>
      <c r="W159" s="4839"/>
      <c r="X159" s="4839"/>
      <c r="Y159" s="4839"/>
      <c r="Z159" s="4840"/>
      <c r="AA159" s="4840"/>
      <c r="AB159" s="4838"/>
      <c r="AC159" s="4839"/>
      <c r="AD159" s="4839"/>
      <c r="AE159" s="4839"/>
      <c r="AF159" s="4839"/>
      <c r="AG159" s="4839"/>
      <c r="AH159" s="1428"/>
      <c r="AI159" s="1428"/>
      <c r="AJ159" s="1428"/>
      <c r="AK159" s="1428"/>
      <c r="AL159" s="1428"/>
      <c r="AM159" s="1429"/>
      <c r="AN159" s="1429"/>
      <c r="AO159" s="1428"/>
      <c r="AP159" s="2888"/>
      <c r="AQ159" s="4784"/>
      <c r="AR159" s="8373"/>
      <c r="AS159" s="8373"/>
      <c r="BG159" s="967"/>
      <c r="BH159" s="662"/>
      <c r="BI159" s="662"/>
      <c r="BJ159" s="662"/>
      <c r="BK159" s="662"/>
      <c r="BL159" s="662"/>
      <c r="BM159" s="662"/>
      <c r="BN159" s="662"/>
      <c r="BO159" s="662"/>
      <c r="BP159" s="662"/>
      <c r="BQ159" s="1116"/>
    </row>
    <row r="160" spans="1:69" ht="14.25" customHeight="1">
      <c r="A160" s="1277"/>
      <c r="B160" s="4653"/>
      <c r="C160" s="4786"/>
      <c r="D160" s="4787"/>
      <c r="E160" s="2167"/>
      <c r="F160" s="2167"/>
      <c r="G160" s="2167"/>
      <c r="H160" s="2167"/>
      <c r="I160" s="2167"/>
      <c r="J160" s="2167"/>
      <c r="K160" s="2167"/>
      <c r="L160" s="2167"/>
      <c r="M160" s="2167"/>
      <c r="N160" s="2167"/>
      <c r="O160" s="2167"/>
      <c r="P160" s="2167"/>
      <c r="Q160" s="2167"/>
      <c r="R160" s="4788"/>
      <c r="S160" s="2167"/>
      <c r="T160" s="4788"/>
      <c r="U160" s="4789"/>
      <c r="V160" s="8576" t="s">
        <v>2343</v>
      </c>
      <c r="W160" s="8577"/>
      <c r="X160" s="8577"/>
      <c r="Y160" s="8577"/>
      <c r="Z160" s="8577"/>
      <c r="AA160" s="8577"/>
      <c r="AB160" s="8577"/>
      <c r="AC160" s="8577"/>
      <c r="AD160" s="8577"/>
      <c r="AE160" s="8577"/>
      <c r="AF160" s="8577"/>
      <c r="AG160" s="8577"/>
      <c r="AH160" s="8577"/>
      <c r="AI160" s="8577"/>
      <c r="AJ160" s="8577"/>
      <c r="AK160" s="8577"/>
      <c r="AL160" s="8577"/>
      <c r="AM160" s="8577"/>
      <c r="AN160" s="8577"/>
      <c r="AO160" s="8577"/>
      <c r="AP160" s="1277"/>
      <c r="AR160" s="1792" t="str">
        <f>IF($AR$24,"describing the property.","")</f>
        <v/>
      </c>
      <c r="AS160" s="314"/>
      <c r="AT160" s="314"/>
      <c r="AZ160" t="b">
        <f>IF(AND($D$21="",OR($V$30&gt;0,$V$31&gt;0)),TRUE,FALSE)</f>
        <v>0</v>
      </c>
      <c r="BA160" t="b">
        <f>IF(AND($D$22="",OR($AD$30&gt;0,$AD$31&gt;0)),TRUE,FALSE)</f>
        <v>0</v>
      </c>
      <c r="BB160" t="b">
        <f>IF(AND($D$23="",OR($AJ$30&gt;0,$AJ$31&gt;0)),TRUE,FALSE)</f>
        <v>0</v>
      </c>
      <c r="BG160" s="769"/>
      <c r="BH160" s="658"/>
      <c r="BI160" s="658"/>
      <c r="BJ160" s="658"/>
      <c r="BK160" s="658"/>
      <c r="BL160" s="658"/>
      <c r="BM160" s="658"/>
      <c r="BN160" s="658"/>
      <c r="BO160" s="658"/>
      <c r="BP160" s="658"/>
    </row>
    <row r="161" spans="1:68" ht="14.25" customHeight="1">
      <c r="A161" s="1277"/>
      <c r="B161" s="4467" t="s">
        <v>2344</v>
      </c>
      <c r="C161" s="2298"/>
      <c r="D161" s="759"/>
      <c r="E161" s="2126"/>
      <c r="F161" s="2126"/>
      <c r="G161" s="2126"/>
      <c r="H161" s="2126"/>
      <c r="I161" s="2126"/>
      <c r="J161" s="2126"/>
      <c r="K161" s="2126"/>
      <c r="L161" s="2126"/>
      <c r="M161" s="2126"/>
      <c r="N161" s="2126"/>
      <c r="O161" s="2126"/>
      <c r="P161" s="2126"/>
      <c r="Q161" s="2126"/>
      <c r="R161" s="4791"/>
      <c r="S161" s="2126"/>
      <c r="T161" s="4792"/>
      <c r="U161" s="4793"/>
      <c r="V161" s="8514" t="s">
        <v>510</v>
      </c>
      <c r="W161" s="8572"/>
      <c r="X161" s="8572"/>
      <c r="Y161" s="8572"/>
      <c r="Z161" s="8572"/>
      <c r="AA161" s="8572"/>
      <c r="AB161" s="8572"/>
      <c r="AC161" s="8515"/>
      <c r="AD161" s="8573" t="s">
        <v>516</v>
      </c>
      <c r="AE161" s="8574"/>
      <c r="AF161" s="8574"/>
      <c r="AG161" s="8574"/>
      <c r="AH161" s="8574"/>
      <c r="AI161" s="8575"/>
      <c r="AJ161" s="8573" t="s">
        <v>518</v>
      </c>
      <c r="AK161" s="8574"/>
      <c r="AL161" s="8574"/>
      <c r="AM161" s="8574"/>
      <c r="AN161" s="8574"/>
      <c r="AO161" s="8574"/>
      <c r="AP161" s="1277"/>
      <c r="AR161" s="1792"/>
      <c r="AZ161" t="b">
        <f>IF(AND($D$21="",OR($V$30&gt;0,$V$31&gt;0)),TRUE,FALSE)</f>
        <v>0</v>
      </c>
      <c r="BA161" t="b">
        <f>IF(AND($D$22="",OR($AD$30&gt;0,$AD$31&gt;0)),TRUE,FALSE)</f>
        <v>0</v>
      </c>
      <c r="BB161" t="b">
        <f>IF(AND($D$23="",OR($AJ$30&gt;0,$AJ$31&gt;0)),TRUE,FALSE)</f>
        <v>0</v>
      </c>
      <c r="BG161" s="769"/>
      <c r="BH161" s="658"/>
      <c r="BI161" s="658"/>
      <c r="BJ161" s="658"/>
      <c r="BK161" s="658"/>
      <c r="BL161" s="658"/>
      <c r="BM161" s="658"/>
      <c r="BN161" s="658"/>
      <c r="BO161" s="658"/>
      <c r="BP161" s="658"/>
    </row>
    <row r="162" spans="1:68" ht="14.25" customHeight="1">
      <c r="A162" s="1277"/>
      <c r="B162" s="8513">
        <v>3</v>
      </c>
      <c r="C162" s="8456"/>
      <c r="D162" s="2100" t="s">
        <v>2345</v>
      </c>
      <c r="E162" s="2126"/>
      <c r="F162" s="2126"/>
      <c r="G162" s="2126"/>
      <c r="H162" s="2126"/>
      <c r="I162" s="2126"/>
      <c r="J162" s="2126"/>
      <c r="K162" s="2126"/>
      <c r="L162" s="2126"/>
      <c r="M162" s="2126"/>
      <c r="N162" s="2126"/>
      <c r="O162" s="2126"/>
      <c r="P162" s="2126"/>
      <c r="Q162" s="2126"/>
      <c r="R162" s="2126"/>
      <c r="S162" s="1321" t="s">
        <v>590</v>
      </c>
      <c r="T162" s="8514">
        <v>3</v>
      </c>
      <c r="U162" s="8515"/>
      <c r="V162" s="8555"/>
      <c r="W162" s="8556"/>
      <c r="X162" s="8556"/>
      <c r="Y162" s="8556"/>
      <c r="Z162" s="8556"/>
      <c r="AA162" s="8556"/>
      <c r="AB162" s="8556"/>
      <c r="AC162" s="8568"/>
      <c r="AD162" s="8555"/>
      <c r="AE162" s="8556"/>
      <c r="AF162" s="8556"/>
      <c r="AG162" s="8556"/>
      <c r="AH162" s="8556"/>
      <c r="AI162" s="8568"/>
      <c r="AJ162" s="8555"/>
      <c r="AK162" s="8556"/>
      <c r="AL162" s="8556"/>
      <c r="AM162" s="8556"/>
      <c r="AN162" s="8556"/>
      <c r="AO162" s="8556"/>
      <c r="AP162" s="1277"/>
      <c r="BG162" s="769"/>
      <c r="BH162" s="658"/>
      <c r="BI162" s="658"/>
      <c r="BJ162" s="658"/>
      <c r="BK162" s="658"/>
      <c r="BL162" s="658"/>
      <c r="BM162" s="658"/>
      <c r="BN162" s="658"/>
      <c r="BO162" s="658"/>
      <c r="BP162" s="658"/>
    </row>
    <row r="163" spans="1:68" ht="14.25" customHeight="1">
      <c r="A163" s="1277"/>
      <c r="B163" s="8567">
        <v>4</v>
      </c>
      <c r="C163" s="8458"/>
      <c r="D163" s="4794" t="s">
        <v>2346</v>
      </c>
      <c r="E163" s="507"/>
      <c r="F163" s="507"/>
      <c r="G163" s="507"/>
      <c r="H163" s="507"/>
      <c r="I163" s="507"/>
      <c r="J163" s="507"/>
      <c r="K163" s="507"/>
      <c r="L163" s="507"/>
      <c r="M163" s="507"/>
      <c r="N163" s="507"/>
      <c r="O163" s="507"/>
      <c r="P163" s="507"/>
      <c r="Q163" s="507"/>
      <c r="R163" s="507"/>
      <c r="S163" s="4841" t="s">
        <v>594</v>
      </c>
      <c r="T163" s="8514">
        <v>4</v>
      </c>
      <c r="U163" s="8515"/>
      <c r="V163" s="8555"/>
      <c r="W163" s="8556"/>
      <c r="X163" s="8556"/>
      <c r="Y163" s="8556"/>
      <c r="Z163" s="8556"/>
      <c r="AA163" s="8556"/>
      <c r="AB163" s="8556"/>
      <c r="AC163" s="8568"/>
      <c r="AD163" s="8555"/>
      <c r="AE163" s="8556"/>
      <c r="AF163" s="8556"/>
      <c r="AG163" s="8556"/>
      <c r="AH163" s="8556"/>
      <c r="AI163" s="8568"/>
      <c r="AJ163" s="8555"/>
      <c r="AK163" s="8556"/>
      <c r="AL163" s="8556"/>
      <c r="AM163" s="8556"/>
      <c r="AN163" s="8556"/>
      <c r="AO163" s="8556"/>
      <c r="AP163" s="1277"/>
      <c r="BG163" s="769"/>
      <c r="BH163" s="658"/>
      <c r="BI163" s="658"/>
      <c r="BJ163" s="658"/>
      <c r="BK163" s="658"/>
      <c r="BL163" s="658"/>
      <c r="BM163" s="658"/>
      <c r="BN163" s="658"/>
      <c r="BO163" s="658"/>
      <c r="BP163" s="658"/>
    </row>
    <row r="164" spans="1:68" ht="14.25" customHeight="1">
      <c r="A164" s="1277"/>
      <c r="B164" s="4795" t="s">
        <v>2347</v>
      </c>
      <c r="C164" s="4796"/>
      <c r="D164" s="3772"/>
      <c r="E164" s="4797"/>
      <c r="F164" s="4798"/>
      <c r="G164" s="4798" t="str">
        <f>IF(OR($AZ$28,$BA$28,$BB$28),"Please enter property type in Line 1b.","")</f>
        <v/>
      </c>
      <c r="H164" s="4797"/>
      <c r="I164" s="4797"/>
      <c r="J164" s="4797"/>
      <c r="K164" s="4797"/>
      <c r="L164" s="4797"/>
      <c r="M164" s="4797"/>
      <c r="N164" s="4797"/>
      <c r="O164" s="4797"/>
      <c r="P164" s="4797"/>
      <c r="Q164" s="4797"/>
      <c r="R164" s="4797"/>
      <c r="S164" s="4797"/>
      <c r="T164" s="4509"/>
      <c r="U164" s="4799"/>
      <c r="V164" s="8459" t="str">
        <f>IF(D153="","",LOOKUP(D153,$AX$18:$AX$25,$AY$18:$AY$25))</f>
        <v/>
      </c>
      <c r="W164" s="8460"/>
      <c r="X164" s="8460"/>
      <c r="Y164" s="8460"/>
      <c r="Z164" s="8460"/>
      <c r="AA164" s="8460"/>
      <c r="AB164" s="8460"/>
      <c r="AC164" s="8323"/>
      <c r="AD164" s="8459" t="str">
        <f>IF(D154="","",LOOKUP(D154,$AX$18:$AX$25,$AY$18:$AY$25))</f>
        <v/>
      </c>
      <c r="AE164" s="8460"/>
      <c r="AF164" s="8460"/>
      <c r="AG164" s="8460"/>
      <c r="AH164" s="8460"/>
      <c r="AI164" s="8323"/>
      <c r="AJ164" s="8459" t="str">
        <f>IF(D155="","",LOOKUP(D155,$AX$18:$AX$25,$AY$18:$AY$25))</f>
        <v/>
      </c>
      <c r="AK164" s="8460"/>
      <c r="AL164" s="8460"/>
      <c r="AM164" s="8460"/>
      <c r="AN164" s="8460"/>
      <c r="AO164" s="8460"/>
      <c r="AP164" s="1277"/>
      <c r="AR164" s="329"/>
      <c r="BG164" s="769"/>
      <c r="BH164" s="658"/>
      <c r="BI164" s="658"/>
      <c r="BJ164" s="658"/>
      <c r="BK164" s="658"/>
      <c r="BL164" s="658"/>
      <c r="BM164" s="658"/>
      <c r="BN164" s="658"/>
      <c r="BO164" s="658"/>
      <c r="BP164" s="658"/>
    </row>
    <row r="165" spans="1:68" ht="14.25" customHeight="1">
      <c r="A165" s="1277"/>
      <c r="B165" s="8513">
        <v>5</v>
      </c>
      <c r="C165" s="8456"/>
      <c r="D165" s="2100" t="s">
        <v>2348</v>
      </c>
      <c r="E165" s="2126"/>
      <c r="F165" s="2126"/>
      <c r="G165" s="2126"/>
      <c r="H165" s="2126"/>
      <c r="I165" s="2126"/>
      <c r="J165" s="2126"/>
      <c r="K165" s="2126"/>
      <c r="L165" s="2126"/>
      <c r="M165" s="2126"/>
      <c r="N165" s="2126"/>
      <c r="O165" s="2126"/>
      <c r="P165" s="2126"/>
      <c r="Q165" s="2126"/>
      <c r="R165" s="2126"/>
      <c r="S165" s="2198" t="s">
        <v>1876</v>
      </c>
      <c r="T165" s="8518">
        <v>5</v>
      </c>
      <c r="U165" s="8519"/>
      <c r="V165" s="8544"/>
      <c r="W165" s="8544"/>
      <c r="X165" s="8544"/>
      <c r="Y165" s="8544"/>
      <c r="Z165" s="8544"/>
      <c r="AA165" s="8544"/>
      <c r="AB165" s="8544"/>
      <c r="AC165" s="8545"/>
      <c r="AD165" s="8546"/>
      <c r="AE165" s="8544"/>
      <c r="AF165" s="8544"/>
      <c r="AG165" s="8544"/>
      <c r="AH165" s="8544"/>
      <c r="AI165" s="8545"/>
      <c r="AJ165" s="8546"/>
      <c r="AK165" s="8544"/>
      <c r="AL165" s="8544"/>
      <c r="AM165" s="8544"/>
      <c r="AN165" s="8544"/>
      <c r="AO165" s="8544"/>
      <c r="AP165" s="1277"/>
      <c r="BG165" s="769"/>
      <c r="BH165" s="658"/>
      <c r="BI165" s="658"/>
      <c r="BJ165" s="658"/>
      <c r="BK165" s="658"/>
      <c r="BL165" s="658"/>
      <c r="BM165" s="658"/>
      <c r="BN165" s="658"/>
      <c r="BO165" s="658"/>
      <c r="BP165" s="658"/>
    </row>
    <row r="166" spans="1:68" ht="14.25" customHeight="1">
      <c r="A166" s="1277"/>
      <c r="B166" s="8513">
        <v>6</v>
      </c>
      <c r="C166" s="8456"/>
      <c r="D166" s="2100" t="s">
        <v>2349</v>
      </c>
      <c r="E166" s="2126"/>
      <c r="F166" s="2126"/>
      <c r="G166" s="2126"/>
      <c r="H166" s="2126"/>
      <c r="I166" s="2126"/>
      <c r="J166" s="2126"/>
      <c r="K166" s="2126"/>
      <c r="L166" s="2126"/>
      <c r="M166" s="2126"/>
      <c r="N166" s="2126"/>
      <c r="O166" s="2126"/>
      <c r="P166" s="2126"/>
      <c r="Q166" s="2126"/>
      <c r="R166" s="2126"/>
      <c r="S166" s="2198" t="s">
        <v>601</v>
      </c>
      <c r="T166" s="8518">
        <v>6</v>
      </c>
      <c r="U166" s="8519"/>
      <c r="V166" s="8544"/>
      <c r="W166" s="8544"/>
      <c r="X166" s="8544"/>
      <c r="Y166" s="8544"/>
      <c r="Z166" s="8544"/>
      <c r="AA166" s="8544"/>
      <c r="AB166" s="8544"/>
      <c r="AC166" s="8545"/>
      <c r="AD166" s="8546"/>
      <c r="AE166" s="8544"/>
      <c r="AF166" s="8544"/>
      <c r="AG166" s="8544"/>
      <c r="AH166" s="8544"/>
      <c r="AI166" s="8545"/>
      <c r="AJ166" s="8546"/>
      <c r="AK166" s="8544"/>
      <c r="AL166" s="8544"/>
      <c r="AM166" s="8544"/>
      <c r="AN166" s="8544"/>
      <c r="AO166" s="8544"/>
      <c r="AP166" s="1277"/>
      <c r="BG166" s="769"/>
      <c r="BH166" s="658"/>
      <c r="BI166" s="658"/>
      <c r="BJ166" s="658"/>
      <c r="BK166" s="658"/>
      <c r="BL166" s="658"/>
      <c r="BM166" s="658"/>
      <c r="BN166" s="658"/>
      <c r="BO166" s="658"/>
      <c r="BP166" s="658"/>
    </row>
    <row r="167" spans="1:68" ht="14.25" customHeight="1">
      <c r="A167" s="1277"/>
      <c r="B167" s="8513">
        <v>7</v>
      </c>
      <c r="C167" s="8456"/>
      <c r="D167" s="2100" t="s">
        <v>2350</v>
      </c>
      <c r="E167" s="2126"/>
      <c r="F167" s="2126"/>
      <c r="G167" s="2126"/>
      <c r="H167" s="2126"/>
      <c r="I167" s="2126"/>
      <c r="J167" s="2126"/>
      <c r="K167" s="2126"/>
      <c r="L167" s="2126"/>
      <c r="M167" s="2126"/>
      <c r="N167" s="2126"/>
      <c r="O167" s="2126"/>
      <c r="P167" s="2126"/>
      <c r="Q167" s="2126"/>
      <c r="R167" s="2126"/>
      <c r="S167" s="2198" t="s">
        <v>676</v>
      </c>
      <c r="T167" s="8518">
        <v>7</v>
      </c>
      <c r="U167" s="8519"/>
      <c r="V167" s="8544"/>
      <c r="W167" s="8544"/>
      <c r="X167" s="8544"/>
      <c r="Y167" s="8544"/>
      <c r="Z167" s="8544"/>
      <c r="AA167" s="8544"/>
      <c r="AB167" s="8544"/>
      <c r="AC167" s="8545"/>
      <c r="AD167" s="8546"/>
      <c r="AE167" s="8544"/>
      <c r="AF167" s="8544"/>
      <c r="AG167" s="8544"/>
      <c r="AH167" s="8544"/>
      <c r="AI167" s="8545"/>
      <c r="AJ167" s="8546"/>
      <c r="AK167" s="8544"/>
      <c r="AL167" s="8544"/>
      <c r="AM167" s="8544"/>
      <c r="AN167" s="8544"/>
      <c r="AO167" s="8544"/>
      <c r="AP167" s="1277"/>
      <c r="BG167" s="769"/>
      <c r="BH167" s="658"/>
      <c r="BI167" s="658"/>
      <c r="BJ167" s="658"/>
      <c r="BK167" s="658"/>
      <c r="BL167" s="658"/>
      <c r="BM167" s="658"/>
      <c r="BN167" s="658"/>
      <c r="BO167" s="658"/>
      <c r="BP167" s="658"/>
    </row>
    <row r="168" spans="1:68" ht="14.25" customHeight="1">
      <c r="A168" s="1277"/>
      <c r="B168" s="8513">
        <v>8</v>
      </c>
      <c r="C168" s="8456"/>
      <c r="D168" s="2100" t="s">
        <v>2351</v>
      </c>
      <c r="E168" s="2126"/>
      <c r="F168" s="2126"/>
      <c r="G168" s="2126"/>
      <c r="H168" s="2126"/>
      <c r="I168" s="2126"/>
      <c r="J168" s="2126"/>
      <c r="K168" s="2126"/>
      <c r="L168" s="2126"/>
      <c r="M168" s="2126"/>
      <c r="N168" s="2126"/>
      <c r="O168" s="2126"/>
      <c r="P168" s="2126"/>
      <c r="Q168" s="2126"/>
      <c r="R168" s="2126"/>
      <c r="S168" s="2198" t="s">
        <v>597</v>
      </c>
      <c r="T168" s="8518">
        <v>8</v>
      </c>
      <c r="U168" s="8519"/>
      <c r="V168" s="8544"/>
      <c r="W168" s="8544"/>
      <c r="X168" s="8544"/>
      <c r="Y168" s="8544"/>
      <c r="Z168" s="8544"/>
      <c r="AA168" s="8544"/>
      <c r="AB168" s="8544"/>
      <c r="AC168" s="8545"/>
      <c r="AD168" s="8546"/>
      <c r="AE168" s="8544"/>
      <c r="AF168" s="8544"/>
      <c r="AG168" s="8544"/>
      <c r="AH168" s="8544"/>
      <c r="AI168" s="8545"/>
      <c r="AJ168" s="8546"/>
      <c r="AK168" s="8544"/>
      <c r="AL168" s="8544"/>
      <c r="AM168" s="8544"/>
      <c r="AN168" s="8544"/>
      <c r="AO168" s="8544"/>
      <c r="AP168" s="1277"/>
      <c r="BG168" s="769"/>
      <c r="BH168" s="658"/>
      <c r="BI168" s="658"/>
      <c r="BJ168" s="658"/>
      <c r="BK168" s="658"/>
      <c r="BL168" s="658"/>
      <c r="BM168" s="658"/>
      <c r="BN168" s="658"/>
      <c r="BO168" s="658"/>
      <c r="BP168" s="658"/>
    </row>
    <row r="169" spans="1:68" ht="14.25" customHeight="1">
      <c r="A169" s="1277"/>
      <c r="B169" s="8513">
        <v>9</v>
      </c>
      <c r="C169" s="8456"/>
      <c r="D169" s="2100" t="s">
        <v>2352</v>
      </c>
      <c r="E169" s="2126"/>
      <c r="F169" s="2126"/>
      <c r="G169" s="2126"/>
      <c r="H169" s="2126"/>
      <c r="I169" s="2126"/>
      <c r="J169" s="2126"/>
      <c r="K169" s="2126"/>
      <c r="L169" s="2126"/>
      <c r="M169" s="2126"/>
      <c r="N169" s="2126"/>
      <c r="O169" s="2126"/>
      <c r="P169" s="2126"/>
      <c r="Q169" s="2126"/>
      <c r="R169" s="2126"/>
      <c r="S169" s="2198" t="s">
        <v>2186</v>
      </c>
      <c r="T169" s="8518">
        <v>9</v>
      </c>
      <c r="U169" s="8519"/>
      <c r="V169" s="8544"/>
      <c r="W169" s="8544"/>
      <c r="X169" s="8544"/>
      <c r="Y169" s="8544"/>
      <c r="Z169" s="8544"/>
      <c r="AA169" s="8544"/>
      <c r="AB169" s="8544"/>
      <c r="AC169" s="8545"/>
      <c r="AD169" s="8546"/>
      <c r="AE169" s="8544"/>
      <c r="AF169" s="8544"/>
      <c r="AG169" s="8544"/>
      <c r="AH169" s="8544"/>
      <c r="AI169" s="8545"/>
      <c r="AJ169" s="8546"/>
      <c r="AK169" s="8544"/>
      <c r="AL169" s="8544"/>
      <c r="AM169" s="8544"/>
      <c r="AN169" s="8544"/>
      <c r="AO169" s="8544"/>
      <c r="AP169" s="1277"/>
      <c r="BG169" s="769"/>
      <c r="BH169" s="658"/>
      <c r="BI169" s="658"/>
      <c r="BJ169" s="658"/>
      <c r="BK169" s="658"/>
      <c r="BL169" s="658"/>
      <c r="BM169" s="658"/>
      <c r="BN169" s="658"/>
      <c r="BO169" s="658"/>
      <c r="BP169" s="658"/>
    </row>
    <row r="170" spans="1:68" ht="14.25" customHeight="1">
      <c r="A170" s="1277"/>
      <c r="B170" s="8513">
        <v>10</v>
      </c>
      <c r="C170" s="8456"/>
      <c r="D170" s="2100" t="s">
        <v>2353</v>
      </c>
      <c r="E170" s="2126"/>
      <c r="F170" s="2126"/>
      <c r="G170" s="2126"/>
      <c r="H170" s="2126"/>
      <c r="I170" s="2126"/>
      <c r="J170" s="2126"/>
      <c r="K170" s="2126"/>
      <c r="L170" s="2126"/>
      <c r="M170" s="2126"/>
      <c r="N170" s="2126"/>
      <c r="O170" s="2126"/>
      <c r="P170" s="2126"/>
      <c r="Q170" s="2126"/>
      <c r="R170" s="2126"/>
      <c r="S170" s="2198" t="s">
        <v>624</v>
      </c>
      <c r="T170" s="8518">
        <v>10</v>
      </c>
      <c r="U170" s="8519"/>
      <c r="V170" s="8544"/>
      <c r="W170" s="8544"/>
      <c r="X170" s="8544"/>
      <c r="Y170" s="8544"/>
      <c r="Z170" s="8544"/>
      <c r="AA170" s="8544"/>
      <c r="AB170" s="8544"/>
      <c r="AC170" s="8545"/>
      <c r="AD170" s="8546"/>
      <c r="AE170" s="8544"/>
      <c r="AF170" s="8544"/>
      <c r="AG170" s="8544"/>
      <c r="AH170" s="8544"/>
      <c r="AI170" s="8545"/>
      <c r="AJ170" s="8546"/>
      <c r="AK170" s="8544"/>
      <c r="AL170" s="8544"/>
      <c r="AM170" s="8544"/>
      <c r="AN170" s="8544"/>
      <c r="AO170" s="8544"/>
      <c r="AP170" s="1277"/>
      <c r="BG170" s="769"/>
      <c r="BH170" s="658"/>
      <c r="BI170" s="658"/>
      <c r="BJ170" s="658"/>
      <c r="BK170" s="658"/>
      <c r="BL170" s="658"/>
      <c r="BM170" s="658"/>
      <c r="BN170" s="658"/>
      <c r="BO170" s="658"/>
      <c r="BP170" s="658"/>
    </row>
    <row r="171" spans="1:68" ht="14.25" customHeight="1">
      <c r="A171" s="1277"/>
      <c r="B171" s="8513">
        <v>11</v>
      </c>
      <c r="C171" s="8456"/>
      <c r="D171" s="2100" t="s">
        <v>2354</v>
      </c>
      <c r="E171" s="2126"/>
      <c r="F171" s="2126"/>
      <c r="G171" s="2126"/>
      <c r="H171" s="2126"/>
      <c r="I171" s="2126"/>
      <c r="J171" s="2126"/>
      <c r="K171" s="2126"/>
      <c r="L171" s="2126"/>
      <c r="M171" s="2126"/>
      <c r="N171" s="2126"/>
      <c r="O171" s="2126"/>
      <c r="P171" s="2126"/>
      <c r="Q171" s="2126"/>
      <c r="R171" s="2126"/>
      <c r="S171" s="2198" t="s">
        <v>594</v>
      </c>
      <c r="T171" s="8518">
        <v>11</v>
      </c>
      <c r="U171" s="8519"/>
      <c r="V171" s="8544"/>
      <c r="W171" s="8544"/>
      <c r="X171" s="8544"/>
      <c r="Y171" s="8544"/>
      <c r="Z171" s="8544"/>
      <c r="AA171" s="8544"/>
      <c r="AB171" s="8544"/>
      <c r="AC171" s="8545"/>
      <c r="AD171" s="8546"/>
      <c r="AE171" s="8544"/>
      <c r="AF171" s="8544"/>
      <c r="AG171" s="8544"/>
      <c r="AH171" s="8544"/>
      <c r="AI171" s="8545"/>
      <c r="AJ171" s="8546"/>
      <c r="AK171" s="8544"/>
      <c r="AL171" s="8544"/>
      <c r="AM171" s="8544"/>
      <c r="AN171" s="8544"/>
      <c r="AO171" s="8544"/>
      <c r="AP171" s="1277"/>
      <c r="BG171" s="769"/>
      <c r="BH171" s="658"/>
      <c r="BI171" s="658"/>
      <c r="BJ171" s="658"/>
      <c r="BK171" s="658"/>
      <c r="BL171" s="658"/>
      <c r="BM171" s="658"/>
      <c r="BN171" s="658"/>
      <c r="BO171" s="658"/>
      <c r="BP171" s="658"/>
    </row>
    <row r="172" spans="1:68" ht="14.25" customHeight="1">
      <c r="A172" s="1277"/>
      <c r="B172" s="8513">
        <v>12</v>
      </c>
      <c r="C172" s="8456"/>
      <c r="D172" s="2100" t="s">
        <v>2355</v>
      </c>
      <c r="E172" s="2126"/>
      <c r="F172" s="2126"/>
      <c r="G172" s="2126"/>
      <c r="H172" s="2126"/>
      <c r="I172" s="2126"/>
      <c r="J172" s="2126"/>
      <c r="K172" s="2126"/>
      <c r="L172" s="2126"/>
      <c r="M172" s="2126"/>
      <c r="N172" s="2126"/>
      <c r="O172" s="2126"/>
      <c r="P172" s="2126"/>
      <c r="Q172" s="2126"/>
      <c r="R172" s="2126"/>
      <c r="S172" s="4800"/>
      <c r="T172" s="8518">
        <v>12</v>
      </c>
      <c r="U172" s="8519"/>
      <c r="V172" s="8544"/>
      <c r="W172" s="8544"/>
      <c r="X172" s="8544"/>
      <c r="Y172" s="8544"/>
      <c r="Z172" s="8544"/>
      <c r="AA172" s="8544"/>
      <c r="AB172" s="8544"/>
      <c r="AC172" s="8545"/>
      <c r="AD172" s="8546"/>
      <c r="AE172" s="8544"/>
      <c r="AF172" s="8544"/>
      <c r="AG172" s="8544"/>
      <c r="AH172" s="8544"/>
      <c r="AI172" s="8545"/>
      <c r="AJ172" s="8546"/>
      <c r="AK172" s="8544"/>
      <c r="AL172" s="8544"/>
      <c r="AM172" s="8544"/>
      <c r="AN172" s="8544"/>
      <c r="AO172" s="8544"/>
      <c r="AP172" s="1277"/>
      <c r="BG172" s="769"/>
      <c r="BH172" s="658"/>
      <c r="BI172" s="658"/>
      <c r="BJ172" s="658"/>
      <c r="BK172" s="658"/>
      <c r="BL172" s="658"/>
      <c r="BM172" s="658"/>
      <c r="BN172" s="658"/>
      <c r="BO172" s="658"/>
      <c r="BP172" s="658"/>
    </row>
    <row r="173" spans="1:68" ht="14.25" customHeight="1">
      <c r="A173" s="1277"/>
      <c r="B173" s="8513">
        <v>13</v>
      </c>
      <c r="C173" s="8456"/>
      <c r="D173" s="2100" t="s">
        <v>2356</v>
      </c>
      <c r="E173" s="2126"/>
      <c r="F173" s="2126"/>
      <c r="G173" s="2126"/>
      <c r="H173" s="2126"/>
      <c r="I173" s="2126"/>
      <c r="J173" s="2126"/>
      <c r="K173" s="2126"/>
      <c r="L173" s="2126"/>
      <c r="M173" s="2126"/>
      <c r="N173" s="2126"/>
      <c r="O173" s="2126"/>
      <c r="P173" s="2126"/>
      <c r="Q173" s="2126"/>
      <c r="R173" s="2126"/>
      <c r="S173" s="2198" t="s">
        <v>597</v>
      </c>
      <c r="T173" s="8518">
        <v>13</v>
      </c>
      <c r="U173" s="8519"/>
      <c r="V173" s="8544"/>
      <c r="W173" s="8544"/>
      <c r="X173" s="8544"/>
      <c r="Y173" s="8544"/>
      <c r="Z173" s="8544"/>
      <c r="AA173" s="8544"/>
      <c r="AB173" s="8544"/>
      <c r="AC173" s="8545"/>
      <c r="AD173" s="8546"/>
      <c r="AE173" s="8544"/>
      <c r="AF173" s="8544"/>
      <c r="AG173" s="8544"/>
      <c r="AH173" s="8544"/>
      <c r="AI173" s="8545"/>
      <c r="AJ173" s="8546"/>
      <c r="AK173" s="8544"/>
      <c r="AL173" s="8544"/>
      <c r="AM173" s="8544"/>
      <c r="AN173" s="8544"/>
      <c r="AO173" s="8544"/>
      <c r="AP173" s="1277"/>
      <c r="BG173" s="769"/>
      <c r="BH173" s="658"/>
      <c r="BI173" s="658"/>
      <c r="BJ173" s="658"/>
      <c r="BK173" s="658"/>
      <c r="BL173" s="658"/>
      <c r="BM173" s="658"/>
      <c r="BN173" s="658"/>
      <c r="BO173" s="658"/>
      <c r="BP173" s="658"/>
    </row>
    <row r="174" spans="1:68" ht="14.25" customHeight="1">
      <c r="A174" s="1277"/>
      <c r="B174" s="8513">
        <v>14</v>
      </c>
      <c r="C174" s="8456"/>
      <c r="D174" s="2100" t="s">
        <v>2357</v>
      </c>
      <c r="E174" s="2126"/>
      <c r="F174" s="2126"/>
      <c r="G174" s="2126"/>
      <c r="H174" s="2126"/>
      <c r="I174" s="2126"/>
      <c r="J174" s="2126"/>
      <c r="K174" s="2126"/>
      <c r="L174" s="2126"/>
      <c r="M174" s="2126"/>
      <c r="N174" s="2126"/>
      <c r="O174" s="2126"/>
      <c r="P174" s="2126"/>
      <c r="Q174" s="2126"/>
      <c r="R174" s="2126"/>
      <c r="S174" s="2198" t="s">
        <v>2186</v>
      </c>
      <c r="T174" s="8518">
        <v>14</v>
      </c>
      <c r="U174" s="8519"/>
      <c r="V174" s="8544"/>
      <c r="W174" s="8544"/>
      <c r="X174" s="8544"/>
      <c r="Y174" s="8544"/>
      <c r="Z174" s="8544"/>
      <c r="AA174" s="8544"/>
      <c r="AB174" s="8544"/>
      <c r="AC174" s="8545"/>
      <c r="AD174" s="8546"/>
      <c r="AE174" s="8544"/>
      <c r="AF174" s="8544"/>
      <c r="AG174" s="8544"/>
      <c r="AH174" s="8544"/>
      <c r="AI174" s="8545"/>
      <c r="AJ174" s="8546"/>
      <c r="AK174" s="8544"/>
      <c r="AL174" s="8544"/>
      <c r="AM174" s="8544"/>
      <c r="AN174" s="8544"/>
      <c r="AO174" s="8544"/>
      <c r="AP174" s="1277"/>
      <c r="BG174" s="769"/>
      <c r="BH174" s="658"/>
      <c r="BI174" s="658"/>
      <c r="BJ174" s="658"/>
      <c r="BK174" s="658"/>
      <c r="BL174" s="658"/>
      <c r="BM174" s="658"/>
      <c r="BN174" s="658"/>
      <c r="BO174" s="658"/>
      <c r="BP174" s="658"/>
    </row>
    <row r="175" spans="1:68" ht="14.25" customHeight="1">
      <c r="A175" s="1277"/>
      <c r="B175" s="8513">
        <v>15</v>
      </c>
      <c r="C175" s="8456"/>
      <c r="D175" s="2100" t="s">
        <v>2358</v>
      </c>
      <c r="E175" s="2126"/>
      <c r="F175" s="2126"/>
      <c r="G175" s="2126"/>
      <c r="H175" s="2126"/>
      <c r="I175" s="2126"/>
      <c r="J175" s="2126"/>
      <c r="K175" s="2126"/>
      <c r="L175" s="2126"/>
      <c r="M175" s="2126"/>
      <c r="N175" s="2126"/>
      <c r="O175" s="2126"/>
      <c r="P175" s="2126"/>
      <c r="Q175" s="2126"/>
      <c r="R175" s="2126"/>
      <c r="S175" s="2198" t="s">
        <v>2186</v>
      </c>
      <c r="T175" s="8518">
        <v>15</v>
      </c>
      <c r="U175" s="8519"/>
      <c r="V175" s="8544"/>
      <c r="W175" s="8544"/>
      <c r="X175" s="8544"/>
      <c r="Y175" s="8544"/>
      <c r="Z175" s="8544"/>
      <c r="AA175" s="8544"/>
      <c r="AB175" s="8544"/>
      <c r="AC175" s="8545"/>
      <c r="AD175" s="8546"/>
      <c r="AE175" s="8544"/>
      <c r="AF175" s="8544"/>
      <c r="AG175" s="8544"/>
      <c r="AH175" s="8544"/>
      <c r="AI175" s="8545"/>
      <c r="AJ175" s="8546"/>
      <c r="AK175" s="8544"/>
      <c r="AL175" s="8544"/>
      <c r="AM175" s="8544"/>
      <c r="AN175" s="8544"/>
      <c r="AO175" s="8544"/>
      <c r="AP175" s="1277"/>
      <c r="BG175" s="769"/>
      <c r="BH175" s="658"/>
      <c r="BI175" s="658"/>
      <c r="BJ175" s="658"/>
      <c r="BK175" s="658"/>
      <c r="BL175" s="658"/>
      <c r="BM175" s="658"/>
      <c r="BN175" s="658"/>
      <c r="BO175" s="658"/>
      <c r="BP175" s="658"/>
    </row>
    <row r="176" spans="1:68" ht="14.25" customHeight="1">
      <c r="A176" s="1277"/>
      <c r="B176" s="8513">
        <v>16</v>
      </c>
      <c r="C176" s="8456"/>
      <c r="D176" s="2100" t="s">
        <v>2359</v>
      </c>
      <c r="E176" s="2126"/>
      <c r="F176" s="2126"/>
      <c r="G176" s="2126"/>
      <c r="H176" s="2126"/>
      <c r="I176" s="2126"/>
      <c r="J176" s="2126"/>
      <c r="K176" s="2126"/>
      <c r="L176" s="2126"/>
      <c r="M176" s="2126"/>
      <c r="N176" s="2126"/>
      <c r="O176" s="2126"/>
      <c r="P176" s="2126"/>
      <c r="Q176" s="2126"/>
      <c r="R176" s="2126"/>
      <c r="S176" s="2198" t="s">
        <v>650</v>
      </c>
      <c r="T176" s="8518">
        <v>16</v>
      </c>
      <c r="U176" s="8519"/>
      <c r="V176" s="8544"/>
      <c r="W176" s="8544"/>
      <c r="X176" s="8544"/>
      <c r="Y176" s="8544"/>
      <c r="Z176" s="8544"/>
      <c r="AA176" s="8544"/>
      <c r="AB176" s="8544"/>
      <c r="AC176" s="8545"/>
      <c r="AD176" s="8546"/>
      <c r="AE176" s="8544"/>
      <c r="AF176" s="8544"/>
      <c r="AG176" s="8544"/>
      <c r="AH176" s="8544"/>
      <c r="AI176" s="8545"/>
      <c r="AJ176" s="8546"/>
      <c r="AK176" s="8544"/>
      <c r="AL176" s="8544"/>
      <c r="AM176" s="8544"/>
      <c r="AN176" s="8544"/>
      <c r="AO176" s="8544"/>
      <c r="AP176" s="1277"/>
      <c r="BG176" s="769"/>
      <c r="BH176" s="658"/>
      <c r="BI176" s="658"/>
      <c r="BJ176" s="658"/>
      <c r="BK176" s="658"/>
      <c r="BL176" s="658"/>
      <c r="BM176" s="658"/>
      <c r="BN176" s="658"/>
      <c r="BO176" s="658"/>
      <c r="BP176" s="658"/>
    </row>
    <row r="177" spans="1:68" ht="14.25" customHeight="1">
      <c r="A177" s="1277"/>
      <c r="B177" s="8513">
        <v>17</v>
      </c>
      <c r="C177" s="8456"/>
      <c r="D177" s="2100" t="s">
        <v>2025</v>
      </c>
      <c r="E177" s="2126"/>
      <c r="F177" s="2126"/>
      <c r="G177" s="2126"/>
      <c r="H177" s="2126"/>
      <c r="I177" s="2126"/>
      <c r="J177" s="2126"/>
      <c r="K177" s="2126"/>
      <c r="L177" s="2126"/>
      <c r="M177" s="2126"/>
      <c r="N177" s="2126"/>
      <c r="O177" s="2126"/>
      <c r="P177" s="2126"/>
      <c r="Q177" s="2126"/>
      <c r="R177" s="2126"/>
      <c r="S177" s="2198" t="s">
        <v>650</v>
      </c>
      <c r="T177" s="8518">
        <v>17</v>
      </c>
      <c r="U177" s="8519"/>
      <c r="V177" s="8544"/>
      <c r="W177" s="8544"/>
      <c r="X177" s="8544"/>
      <c r="Y177" s="8544"/>
      <c r="Z177" s="8544"/>
      <c r="AA177" s="8544"/>
      <c r="AB177" s="8544"/>
      <c r="AC177" s="8545"/>
      <c r="AD177" s="8546"/>
      <c r="AE177" s="8544"/>
      <c r="AF177" s="8544"/>
      <c r="AG177" s="8544"/>
      <c r="AH177" s="8544"/>
      <c r="AI177" s="8545"/>
      <c r="AJ177" s="8546"/>
      <c r="AK177" s="8544"/>
      <c r="AL177" s="8544"/>
      <c r="AM177" s="8544"/>
      <c r="AN177" s="8544"/>
      <c r="AO177" s="8544"/>
      <c r="AP177" s="1277"/>
      <c r="AQ177" s="2875"/>
      <c r="AR177" s="2875"/>
      <c r="AS177" s="2875"/>
      <c r="AT177" s="2875"/>
      <c r="AU177" s="2875"/>
      <c r="BG177" s="769"/>
      <c r="BH177" s="658"/>
      <c r="BI177" s="658"/>
      <c r="BJ177" s="658"/>
      <c r="BK177" s="658"/>
      <c r="BL177" s="658"/>
      <c r="BM177" s="658"/>
      <c r="BN177" s="658"/>
      <c r="BO177" s="658"/>
      <c r="BP177" s="658"/>
    </row>
    <row r="178" spans="1:68" ht="14.25" customHeight="1">
      <c r="A178" s="1277"/>
      <c r="B178" s="8513">
        <v>18</v>
      </c>
      <c r="C178" s="8456"/>
      <c r="D178" s="2100" t="s">
        <v>2360</v>
      </c>
      <c r="E178" s="2126"/>
      <c r="F178" s="2126"/>
      <c r="G178" s="2126"/>
      <c r="H178" s="2126"/>
      <c r="I178" s="2126"/>
      <c r="J178" s="2126"/>
      <c r="K178" s="2126"/>
      <c r="L178" s="2126"/>
      <c r="M178" s="2126"/>
      <c r="N178" s="2126"/>
      <c r="O178" s="2126"/>
      <c r="P178" s="2126"/>
      <c r="Q178" s="2126"/>
      <c r="R178" s="2126"/>
      <c r="S178" s="2198" t="s">
        <v>624</v>
      </c>
      <c r="T178" s="8518">
        <v>18</v>
      </c>
      <c r="U178" s="8519"/>
      <c r="V178" s="8544"/>
      <c r="W178" s="8544"/>
      <c r="X178" s="8544"/>
      <c r="Y178" s="8544"/>
      <c r="Z178" s="8544"/>
      <c r="AA178" s="8544"/>
      <c r="AB178" s="8544"/>
      <c r="AC178" s="8545"/>
      <c r="AD178" s="8546"/>
      <c r="AE178" s="8544"/>
      <c r="AF178" s="8544"/>
      <c r="AG178" s="8544"/>
      <c r="AH178" s="8544"/>
      <c r="AI178" s="8545"/>
      <c r="AJ178" s="8546"/>
      <c r="AK178" s="8544"/>
      <c r="AL178" s="8544"/>
      <c r="AM178" s="8544"/>
      <c r="AN178" s="8544"/>
      <c r="AO178" s="8544"/>
      <c r="AP178" s="1277"/>
      <c r="AQ178" s="2875"/>
      <c r="AR178" s="7608" t="s">
        <v>2361</v>
      </c>
      <c r="AS178" s="7608"/>
      <c r="AT178" s="7608"/>
      <c r="AU178" s="2875"/>
      <c r="BG178" s="769"/>
      <c r="BH178" s="658"/>
      <c r="BI178" s="658"/>
      <c r="BJ178" s="658"/>
      <c r="BK178" s="658"/>
      <c r="BL178" s="658"/>
      <c r="BM178" s="658"/>
      <c r="BN178" s="658"/>
      <c r="BO178" s="658"/>
      <c r="BP178" s="658"/>
    </row>
    <row r="179" spans="1:68" ht="14.25" customHeight="1">
      <c r="A179" s="1277"/>
      <c r="B179" s="8513">
        <v>19</v>
      </c>
      <c r="C179" s="8456"/>
      <c r="D179" s="2100" t="s">
        <v>2362</v>
      </c>
      <c r="E179" s="2126"/>
      <c r="F179" s="2126"/>
      <c r="G179" s="2126"/>
      <c r="H179" s="8548"/>
      <c r="I179" s="8548"/>
      <c r="J179" s="8548"/>
      <c r="K179" s="8548"/>
      <c r="L179" s="8548"/>
      <c r="M179" s="8548"/>
      <c r="N179" s="8548"/>
      <c r="O179" s="8548"/>
      <c r="P179" s="8548"/>
      <c r="Q179" s="8548"/>
      <c r="R179" s="8548"/>
      <c r="S179" s="4800"/>
      <c r="T179" s="8518">
        <v>19</v>
      </c>
      <c r="U179" s="8519"/>
      <c r="V179" s="8544"/>
      <c r="W179" s="8544"/>
      <c r="X179" s="8544"/>
      <c r="Y179" s="8544"/>
      <c r="Z179" s="8544"/>
      <c r="AA179" s="8544"/>
      <c r="AB179" s="8544"/>
      <c r="AC179" s="8545"/>
      <c r="AD179" s="8546"/>
      <c r="AE179" s="8544"/>
      <c r="AF179" s="8544"/>
      <c r="AG179" s="8544"/>
      <c r="AH179" s="8544"/>
      <c r="AI179" s="8545"/>
      <c r="AJ179" s="8546"/>
      <c r="AK179" s="8544"/>
      <c r="AL179" s="8544"/>
      <c r="AM179" s="8544"/>
      <c r="AN179" s="8544"/>
      <c r="AO179" s="8544"/>
      <c r="AP179" s="1277"/>
      <c r="AQ179" s="2875"/>
      <c r="AR179" s="2875"/>
      <c r="AS179" s="2875"/>
      <c r="AT179" s="2875"/>
      <c r="AU179" s="2875"/>
      <c r="BG179" s="769"/>
      <c r="BH179" s="658"/>
      <c r="BI179" s="658"/>
      <c r="BJ179" s="658"/>
      <c r="BK179" s="658"/>
      <c r="BL179" s="658"/>
      <c r="BM179" s="658"/>
      <c r="BN179" s="658"/>
      <c r="BO179" s="658"/>
      <c r="BP179" s="658"/>
    </row>
    <row r="180" spans="1:68" ht="14.25" customHeight="1">
      <c r="A180" s="1277"/>
      <c r="B180" s="8513">
        <v>20</v>
      </c>
      <c r="C180" s="8456"/>
      <c r="D180" s="2100" t="s">
        <v>2363</v>
      </c>
      <c r="E180" s="2126"/>
      <c r="F180" s="2126"/>
      <c r="G180" s="2126"/>
      <c r="H180" s="2126"/>
      <c r="I180" s="2126"/>
      <c r="J180" s="2126"/>
      <c r="K180" s="2126"/>
      <c r="L180" s="2126"/>
      <c r="M180" s="2126"/>
      <c r="N180" s="2126"/>
      <c r="O180" s="2126"/>
      <c r="P180" s="2126"/>
      <c r="Q180" s="2126"/>
      <c r="R180" s="2126"/>
      <c r="S180" s="2198" t="s">
        <v>643</v>
      </c>
      <c r="T180" s="8518">
        <v>20</v>
      </c>
      <c r="U180" s="8519"/>
      <c r="V180" s="8413">
        <f>IF(AR180&lt;&gt;"",ROUND(AR180,0),ROUND(SUM(V165:AC179),0))</f>
        <v>0</v>
      </c>
      <c r="W180" s="8413"/>
      <c r="X180" s="8413"/>
      <c r="Y180" s="8413"/>
      <c r="Z180" s="8413"/>
      <c r="AA180" s="8413"/>
      <c r="AB180" s="8413"/>
      <c r="AC180" s="8530"/>
      <c r="AD180" s="8529">
        <f>IF(AS180&lt;&gt;"",ROUND(AS180,0),ROUND(SUM(AD165:AI179),0))</f>
        <v>0</v>
      </c>
      <c r="AE180" s="8413"/>
      <c r="AF180" s="8413"/>
      <c r="AG180" s="8413"/>
      <c r="AH180" s="8413"/>
      <c r="AI180" s="8530"/>
      <c r="AJ180" s="8547">
        <f>IF(AT180&lt;&gt;"",ROUND(AT180,0),ROUND(SUM(AJ165:AO179),0))</f>
        <v>0</v>
      </c>
      <c r="AK180" s="8415"/>
      <c r="AL180" s="8415"/>
      <c r="AM180" s="8415"/>
      <c r="AN180" s="8415"/>
      <c r="AO180" s="8415"/>
      <c r="AP180" s="1277"/>
      <c r="AQ180" s="2875"/>
      <c r="AR180" s="777"/>
      <c r="AS180" s="777"/>
      <c r="AT180" s="777"/>
      <c r="AU180" s="2875"/>
      <c r="BG180" s="769"/>
      <c r="BH180" s="658"/>
      <c r="BI180" s="658"/>
      <c r="BJ180" s="658"/>
      <c r="BK180" s="658"/>
      <c r="BL180" s="658"/>
      <c r="BM180" s="658"/>
      <c r="BN180" s="658"/>
      <c r="BO180" s="658"/>
      <c r="BP180" s="658"/>
    </row>
    <row r="181" spans="1:68" ht="14.25" customHeight="1">
      <c r="A181" s="1277"/>
      <c r="B181" s="8513">
        <v>21</v>
      </c>
      <c r="C181" s="8456"/>
      <c r="D181" s="2100" t="s">
        <v>2364</v>
      </c>
      <c r="E181" s="2126"/>
      <c r="F181" s="2126"/>
      <c r="G181" s="2126"/>
      <c r="H181" s="2126"/>
      <c r="I181" s="2126"/>
      <c r="J181" s="2126"/>
      <c r="K181" s="2126"/>
      <c r="L181" s="2126"/>
      <c r="M181" s="2126"/>
      <c r="N181" s="2126"/>
      <c r="O181" s="2126"/>
      <c r="P181" s="2126"/>
      <c r="Q181" s="2126"/>
      <c r="R181" s="2126"/>
      <c r="S181" s="4800"/>
      <c r="T181" s="8536"/>
      <c r="U181" s="8537"/>
      <c r="V181" s="8538"/>
      <c r="W181" s="8539"/>
      <c r="X181" s="8539"/>
      <c r="Y181" s="8539"/>
      <c r="Z181" s="8539"/>
      <c r="AA181" s="8539"/>
      <c r="AB181" s="8539"/>
      <c r="AC181" s="8540"/>
      <c r="AD181" s="8538"/>
      <c r="AE181" s="8539"/>
      <c r="AF181" s="8539"/>
      <c r="AG181" s="8539"/>
      <c r="AH181" s="8539"/>
      <c r="AI181" s="8540"/>
      <c r="AJ181" s="8538"/>
      <c r="AK181" s="8539"/>
      <c r="AL181" s="8539"/>
      <c r="AM181" s="8539"/>
      <c r="AN181" s="8539"/>
      <c r="AO181" s="8539"/>
      <c r="AP181" s="1277"/>
      <c r="AQ181" s="2875"/>
      <c r="AR181" s="2875"/>
      <c r="AS181" s="2875"/>
      <c r="AT181" s="2875"/>
      <c r="AU181" s="2875"/>
      <c r="AX181" s="1"/>
      <c r="AY181" s="8410" t="s">
        <v>510</v>
      </c>
      <c r="AZ181" s="8411"/>
      <c r="BA181" s="8410" t="s">
        <v>516</v>
      </c>
      <c r="BB181" s="8411"/>
      <c r="BC181" s="8410" t="s">
        <v>518</v>
      </c>
      <c r="BD181" s="8411"/>
      <c r="BG181" s="769"/>
      <c r="BH181" s="658"/>
      <c r="BI181" s="658"/>
      <c r="BJ181" s="658"/>
      <c r="BK181" s="658"/>
      <c r="BL181" s="658"/>
      <c r="BM181" s="658"/>
      <c r="BN181" s="658"/>
      <c r="BO181" s="658"/>
      <c r="BP181" s="658"/>
    </row>
    <row r="182" spans="1:68" ht="14.25" customHeight="1">
      <c r="A182" s="1277"/>
      <c r="B182" s="8513"/>
      <c r="C182" s="8456"/>
      <c r="D182" s="2100" t="s">
        <v>2365</v>
      </c>
      <c r="E182" s="2126"/>
      <c r="F182" s="2126"/>
      <c r="G182" s="2126"/>
      <c r="H182" s="2126"/>
      <c r="I182" s="2126"/>
      <c r="J182" s="2126"/>
      <c r="K182" s="2126"/>
      <c r="L182" s="2126"/>
      <c r="M182" s="2126"/>
      <c r="N182" s="2126"/>
      <c r="O182" s="2126"/>
      <c r="P182" s="2126"/>
      <c r="Q182" s="2126"/>
      <c r="R182" s="2126"/>
      <c r="S182" s="4800"/>
      <c r="T182" s="8531"/>
      <c r="U182" s="8532"/>
      <c r="V182" s="8541"/>
      <c r="W182" s="8542"/>
      <c r="X182" s="8542"/>
      <c r="Y182" s="8542"/>
      <c r="Z182" s="8542"/>
      <c r="AA182" s="8542"/>
      <c r="AB182" s="8542"/>
      <c r="AC182" s="8543"/>
      <c r="AD182" s="8541"/>
      <c r="AE182" s="8542"/>
      <c r="AF182" s="8542"/>
      <c r="AG182" s="8542"/>
      <c r="AH182" s="8542"/>
      <c r="AI182" s="8543"/>
      <c r="AJ182" s="8541"/>
      <c r="AK182" s="8542"/>
      <c r="AL182" s="8542"/>
      <c r="AM182" s="8542"/>
      <c r="AN182" s="8542"/>
      <c r="AO182" s="8542"/>
      <c r="AP182" s="1277"/>
      <c r="AQ182" s="2875"/>
      <c r="AR182" s="2875"/>
      <c r="AS182" s="2875"/>
      <c r="AT182" s="2875"/>
      <c r="AU182" s="2875"/>
      <c r="AX182" s="1"/>
      <c r="AY182" s="250" t="s">
        <v>2366</v>
      </c>
      <c r="AZ182" s="250" t="s">
        <v>2367</v>
      </c>
      <c r="BA182" s="250" t="s">
        <v>2366</v>
      </c>
      <c r="BB182" s="250" t="s">
        <v>2367</v>
      </c>
      <c r="BC182" s="250" t="s">
        <v>2366</v>
      </c>
      <c r="BD182" s="250" t="s">
        <v>2367</v>
      </c>
      <c r="BG182" s="769"/>
      <c r="BH182" s="658"/>
      <c r="BI182" s="658"/>
      <c r="BJ182" s="658"/>
      <c r="BK182" s="658"/>
      <c r="BL182" s="658"/>
      <c r="BM182" s="658"/>
      <c r="BN182" s="658"/>
      <c r="BO182" s="658"/>
      <c r="BP182" s="658"/>
    </row>
    <row r="183" spans="1:68" ht="14.25" customHeight="1">
      <c r="A183" s="1277"/>
      <c r="B183" s="8513"/>
      <c r="C183" s="8456"/>
      <c r="D183" s="2100" t="s">
        <v>2368</v>
      </c>
      <c r="E183" s="2126"/>
      <c r="F183" s="2126"/>
      <c r="G183" s="2126"/>
      <c r="H183" s="2126"/>
      <c r="I183" s="2126"/>
      <c r="J183" s="2126"/>
      <c r="K183" s="2126"/>
      <c r="L183" s="2126"/>
      <c r="M183" s="2126"/>
      <c r="N183" s="2126"/>
      <c r="O183" s="2126"/>
      <c r="P183" s="2126"/>
      <c r="Q183" s="2126"/>
      <c r="R183" s="2126"/>
      <c r="S183" s="2198" t="s">
        <v>608</v>
      </c>
      <c r="T183" s="8518">
        <v>21</v>
      </c>
      <c r="U183" s="8519"/>
      <c r="V183" s="8529">
        <f>IF(AR183&lt;&gt;"",ROUND(AR183,0),ROUND(SUM(V162,V163,-V180),0))</f>
        <v>0</v>
      </c>
      <c r="W183" s="8413"/>
      <c r="X183" s="8413"/>
      <c r="Y183" s="8413"/>
      <c r="Z183" s="8413"/>
      <c r="AA183" s="8413"/>
      <c r="AB183" s="8413"/>
      <c r="AC183" s="8530"/>
      <c r="AD183" s="8529">
        <f>IF(AS183&lt;&gt;"",ROUND(AS183,0),ROUND(SUM(AD162,AD163,-AD180),0))</f>
        <v>0</v>
      </c>
      <c r="AE183" s="8413"/>
      <c r="AF183" s="8413"/>
      <c r="AG183" s="8413"/>
      <c r="AH183" s="8413"/>
      <c r="AI183" s="8530"/>
      <c r="AJ183" s="8529">
        <f>IF(AT183&lt;&gt;"",ROUND(AT183,0),ROUND(SUM(AJ162,AJ163,-AJ180),0))</f>
        <v>0</v>
      </c>
      <c r="AK183" s="8413"/>
      <c r="AL183" s="8413"/>
      <c r="AM183" s="8413"/>
      <c r="AN183" s="8413"/>
      <c r="AO183" s="8413"/>
      <c r="AP183" s="1277"/>
      <c r="AQ183" s="2875"/>
      <c r="AR183" s="777"/>
      <c r="AS183" s="777"/>
      <c r="AT183" s="777"/>
      <c r="AU183" s="2875"/>
      <c r="AX183" s="251" t="s">
        <v>2369</v>
      </c>
      <c r="AY183" s="249">
        <f>IF(V183&gt;0,V183,0)</f>
        <v>0</v>
      </c>
      <c r="AZ183" s="249">
        <f>IF(V183&lt;0,V183,0)</f>
        <v>0</v>
      </c>
      <c r="BA183" s="249">
        <f>IF(AD183&gt;0,AD183,0)</f>
        <v>0</v>
      </c>
      <c r="BB183" s="249">
        <f>IF(AD183&lt;0,AD183,0)</f>
        <v>0</v>
      </c>
      <c r="BC183" s="249">
        <f>IF(AJ183&gt;0,AJ183,0)</f>
        <v>0</v>
      </c>
      <c r="BD183" s="249">
        <f>IF(AJ183&lt;0,AJ183,0)</f>
        <v>0</v>
      </c>
      <c r="BG183" s="769"/>
      <c r="BH183" s="658"/>
      <c r="BI183" s="658"/>
      <c r="BJ183" s="658"/>
      <c r="BK183" s="658"/>
      <c r="BL183" s="658"/>
      <c r="BM183" s="658"/>
      <c r="BN183" s="658"/>
      <c r="BO183" s="658"/>
      <c r="BP183" s="658"/>
    </row>
    <row r="184" spans="1:68" ht="14.25" customHeight="1">
      <c r="A184" s="770"/>
      <c r="B184" s="8513">
        <v>22</v>
      </c>
      <c r="C184" s="8456"/>
      <c r="D184" s="2100" t="s">
        <v>2370</v>
      </c>
      <c r="E184" s="2126"/>
      <c r="F184" s="2126"/>
      <c r="G184" s="2126"/>
      <c r="H184" s="2126"/>
      <c r="I184" s="2126"/>
      <c r="J184" s="2126"/>
      <c r="K184" s="2126"/>
      <c r="L184" s="2126"/>
      <c r="M184" s="2126"/>
      <c r="N184" s="2126"/>
      <c r="O184" s="2126"/>
      <c r="P184" s="2126"/>
      <c r="Q184" s="2126"/>
      <c r="R184" s="2126"/>
      <c r="S184" s="4800"/>
      <c r="T184" s="8531"/>
      <c r="U184" s="8532"/>
      <c r="V184" s="8533" t="str">
        <f>IF(AND(V183&lt;&gt;"",V183&lt;0,$A184="",$AS184,$AT184),"See Form 8582.","")</f>
        <v/>
      </c>
      <c r="W184" s="8534"/>
      <c r="X184" s="8534"/>
      <c r="Y184" s="8534"/>
      <c r="Z184" s="8534"/>
      <c r="AA184" s="8534"/>
      <c r="AB184" s="8534"/>
      <c r="AC184" s="8535"/>
      <c r="AD184" s="8533" t="str">
        <f>IF(AND(AD183&lt;&gt;"",AD183&lt;0,$A184="",$AS184,$AT184),"See Form 8582.","")</f>
        <v/>
      </c>
      <c r="AE184" s="8534"/>
      <c r="AF184" s="8534"/>
      <c r="AG184" s="8534"/>
      <c r="AH184" s="8534"/>
      <c r="AI184" s="8534"/>
      <c r="AJ184" s="8533" t="str">
        <f>IF(AND(AJ183&lt;&gt;"",AJ183&lt;0,$A184="",$AS184,$AT184),"See Form 8582.","")</f>
        <v/>
      </c>
      <c r="AK184" s="8534"/>
      <c r="AL184" s="8534"/>
      <c r="AM184" s="8534"/>
      <c r="AN184" s="8534"/>
      <c r="AO184" s="8534"/>
      <c r="AP184" s="1277"/>
      <c r="AQ184" s="2875"/>
      <c r="AR184" s="6551">
        <f>'8582'!$AO$33</f>
        <v>150000</v>
      </c>
      <c r="AS184" s="6551" t="b">
        <f>OR(AND(File_Marr_Sep&lt;&gt;"",LivedApart,Adj_Gross_Inc&gt;AR184/2),Adj_Gross_Inc&gt;AR184)</f>
        <v>0</v>
      </c>
      <c r="AT184" s="6551" t="b">
        <f>OR(AND(V183&lt;&gt;"",V183&lt;0),AND(AD183&lt;&gt;"",AD183&lt;0),AND(AJ183&lt;&gt;"",AJ183&lt;0))</f>
        <v>0</v>
      </c>
      <c r="AU184" s="2875"/>
      <c r="AV184" t="b">
        <f>AND($A184="",$AS184,$AT184)</f>
        <v>0</v>
      </c>
      <c r="AX184" s="251" t="s">
        <v>2371</v>
      </c>
      <c r="AY184" s="4810" t="s">
        <v>369</v>
      </c>
      <c r="AZ184" s="249">
        <f>IF(W185&lt;&gt;"",-W185,0)</f>
        <v>0</v>
      </c>
      <c r="BA184" s="4810" t="s">
        <v>369</v>
      </c>
      <c r="BB184" s="249">
        <f>IF(AE185&lt;&gt;"",-AE185,0)</f>
        <v>0</v>
      </c>
      <c r="BC184" s="4810" t="s">
        <v>369</v>
      </c>
      <c r="BD184" s="249">
        <f>IF(AK185&lt;&gt;"",-AK185,0)</f>
        <v>0</v>
      </c>
      <c r="BG184" s="769"/>
      <c r="BH184" s="658"/>
      <c r="BI184" s="658"/>
      <c r="BJ184" s="658"/>
      <c r="BK184" s="658"/>
      <c r="BL184" s="658"/>
      <c r="BM184" s="658"/>
      <c r="BN184" s="658"/>
      <c r="BO184" s="658"/>
      <c r="BP184" s="658"/>
    </row>
    <row r="185" spans="1:68" ht="14.25" customHeight="1">
      <c r="A185" s="1277"/>
      <c r="B185" s="8513"/>
      <c r="C185" s="8456"/>
      <c r="D185" s="2100" t="s">
        <v>2372</v>
      </c>
      <c r="E185" s="2126"/>
      <c r="F185" s="2126"/>
      <c r="G185" s="2126"/>
      <c r="H185" s="2126"/>
      <c r="I185" s="2126"/>
      <c r="J185" s="2126"/>
      <c r="K185" s="2126"/>
      <c r="L185" s="2126"/>
      <c r="M185" s="2126"/>
      <c r="N185" s="2126"/>
      <c r="O185" s="2126"/>
      <c r="P185" s="2126"/>
      <c r="Q185" s="2126"/>
      <c r="R185" s="2126"/>
      <c r="S185" s="2198" t="s">
        <v>601</v>
      </c>
      <c r="T185" s="8518">
        <v>22</v>
      </c>
      <c r="U185" s="8519"/>
      <c r="V185" s="4811" t="s">
        <v>799</v>
      </c>
      <c r="W185" s="8413" t="str">
        <f>IF(AND(AR185&lt;0,AR185&lt;&gt;""),-ROUND(AR185,0),IF(AND(AR185&gt;=0,AR185&lt;&gt;""),ROUND(AR185,0),IF(AND(D153&lt;&gt;6,V183&lt;0),ROUND(-V183,0),"")))</f>
        <v/>
      </c>
      <c r="X185" s="8414"/>
      <c r="Y185" s="8414"/>
      <c r="Z185" s="8414"/>
      <c r="AA185" s="8414"/>
      <c r="AB185" s="8414"/>
      <c r="AC185" s="4802" t="s">
        <v>800</v>
      </c>
      <c r="AD185" s="4811" t="s">
        <v>799</v>
      </c>
      <c r="AE185" s="8413" t="str">
        <f>IF(AND(AS185&lt;0,AS185&lt;&gt;""),-ROUND(AS185,0),IF(AND(AS185&gt;=0,AS185&lt;&gt;""),ROUND(AS185,0),IF(AND(D154&lt;&gt;6,AD183&lt;0),ROUND(-AD183,0),"")))</f>
        <v/>
      </c>
      <c r="AF185" s="8414"/>
      <c r="AG185" s="8414"/>
      <c r="AH185" s="8414"/>
      <c r="AI185" s="4802" t="s">
        <v>800</v>
      </c>
      <c r="AJ185" s="4811" t="s">
        <v>799</v>
      </c>
      <c r="AK185" s="8413" t="str">
        <f>IF(AND(AT185&lt;0,AT185&lt;&gt;""),-ROUND(AT185,0),IF(AND(AT185&gt;=0,AT185&lt;&gt;""),ROUND(AT185,0),IF(AND(D155&lt;&gt;6,AJ183&lt;0),ROUND(-AJ183,0),"")))</f>
        <v/>
      </c>
      <c r="AL185" s="8414"/>
      <c r="AM185" s="8414"/>
      <c r="AN185" s="8414"/>
      <c r="AO185" s="4801" t="s">
        <v>800</v>
      </c>
      <c r="AP185" s="1277"/>
      <c r="AQ185" s="2875"/>
      <c r="AR185" s="777"/>
      <c r="AS185" s="777"/>
      <c r="AT185" s="777"/>
      <c r="AU185" s="2875"/>
      <c r="AV185" t="b">
        <f>AND($A184="",$AS184,$AT184)</f>
        <v>0</v>
      </c>
      <c r="AX185" s="251"/>
      <c r="AY185" s="251" t="s">
        <v>2373</v>
      </c>
      <c r="AZ185" s="249">
        <f>IF(D153=6,AZ183,0)</f>
        <v>0</v>
      </c>
      <c r="BB185" s="249">
        <f>IF(D154=6,BB183,0)</f>
        <v>0</v>
      </c>
      <c r="BD185" s="249">
        <f>IF(D155=6,BD183,0)</f>
        <v>0</v>
      </c>
      <c r="BG185" s="769"/>
      <c r="BH185" s="658"/>
      <c r="BI185" s="658"/>
      <c r="BJ185" s="658"/>
      <c r="BK185" s="658"/>
      <c r="BL185" s="658"/>
      <c r="BM185" s="658"/>
      <c r="BN185" s="658"/>
      <c r="BO185" s="658"/>
      <c r="BP185" s="658"/>
    </row>
    <row r="186" spans="1:68" ht="14.25" customHeight="1">
      <c r="A186" s="1277"/>
      <c r="B186" s="8513" t="s">
        <v>2374</v>
      </c>
      <c r="C186" s="8456"/>
      <c r="D186" s="2100" t="s">
        <v>2375</v>
      </c>
      <c r="E186" s="2126"/>
      <c r="F186" s="2126"/>
      <c r="G186" s="2126"/>
      <c r="H186" s="2126"/>
      <c r="I186" s="2126"/>
      <c r="J186" s="2126"/>
      <c r="K186" s="2126"/>
      <c r="L186" s="2126"/>
      <c r="M186" s="2126"/>
      <c r="N186" s="2126"/>
      <c r="O186" s="2126"/>
      <c r="P186" s="2126"/>
      <c r="Q186" s="2126"/>
      <c r="R186" s="2126"/>
      <c r="S186" s="2126"/>
      <c r="T186" s="2126"/>
      <c r="U186" s="2126"/>
      <c r="V186" s="2126"/>
      <c r="W186" s="2126"/>
      <c r="X186" s="2126"/>
      <c r="Y186" s="2126"/>
      <c r="Z186" s="2126"/>
      <c r="AA186" s="2198" t="s">
        <v>631</v>
      </c>
      <c r="AB186" s="8514" t="s">
        <v>2374</v>
      </c>
      <c r="AC186" s="8515"/>
      <c r="AD186" s="8529">
        <f>IF(AR186&lt;&gt;"",ROUND(AR186,0),ROUND(BC156,0))</f>
        <v>0</v>
      </c>
      <c r="AE186" s="8413"/>
      <c r="AF186" s="8413"/>
      <c r="AG186" s="8413"/>
      <c r="AH186" s="8413"/>
      <c r="AI186" s="8530"/>
      <c r="AJ186" s="1277"/>
      <c r="AK186" s="1277"/>
      <c r="AL186" s="1277"/>
      <c r="AM186" s="1277"/>
      <c r="AN186" s="1277"/>
      <c r="AO186" s="1277"/>
      <c r="AP186" s="1277"/>
      <c r="AQ186" s="2875"/>
      <c r="AR186" s="777"/>
      <c r="AS186" s="2875"/>
      <c r="AT186" s="2875"/>
      <c r="AU186" s="2875"/>
      <c r="AX186" s="1"/>
      <c r="AY186" s="251" t="s">
        <v>2376</v>
      </c>
      <c r="AZ186" s="249">
        <f>IF(D153&lt;&gt;6,AZ183,0)</f>
        <v>0</v>
      </c>
      <c r="BB186" s="249">
        <f>IF(D154&lt;&gt;6,BB183,0)</f>
        <v>0</v>
      </c>
      <c r="BD186" s="249">
        <f>IF(D155&lt;&gt;6,BD183,0)</f>
        <v>0</v>
      </c>
      <c r="BG186" s="769"/>
      <c r="BH186" s="658"/>
      <c r="BI186" s="658"/>
      <c r="BJ186" s="658"/>
      <c r="BK186" s="658"/>
      <c r="BL186" s="658"/>
      <c r="BM186" s="658"/>
      <c r="BN186" s="658"/>
      <c r="BO186" s="658"/>
      <c r="BP186" s="658"/>
    </row>
    <row r="187" spans="1:68" ht="14.25" customHeight="1">
      <c r="A187" s="1277"/>
      <c r="B187" s="8527" t="s">
        <v>592</v>
      </c>
      <c r="C187" s="8528"/>
      <c r="D187" s="2100" t="s">
        <v>2377</v>
      </c>
      <c r="E187" s="2126"/>
      <c r="F187" s="2126"/>
      <c r="G187" s="2126"/>
      <c r="H187" s="2126"/>
      <c r="I187" s="2126"/>
      <c r="J187" s="2126"/>
      <c r="K187" s="2126"/>
      <c r="L187" s="2126"/>
      <c r="M187" s="2126"/>
      <c r="N187" s="2126"/>
      <c r="O187" s="2126"/>
      <c r="P187" s="2126"/>
      <c r="Q187" s="2126"/>
      <c r="R187" s="2126"/>
      <c r="S187" s="2126"/>
      <c r="T187" s="2126"/>
      <c r="U187" s="2126"/>
      <c r="V187" s="2126"/>
      <c r="W187" s="2126"/>
      <c r="X187" s="2126"/>
      <c r="Y187" s="2126"/>
      <c r="Z187" s="2126"/>
      <c r="AA187" s="2198" t="s">
        <v>643</v>
      </c>
      <c r="AB187" s="8514" t="s">
        <v>2378</v>
      </c>
      <c r="AC187" s="8515"/>
      <c r="AD187" s="8529">
        <f>IF(AR187&lt;&gt;"",ROUND(AR187,0),ROUND(BC157,0))</f>
        <v>0</v>
      </c>
      <c r="AE187" s="8413"/>
      <c r="AF187" s="8413"/>
      <c r="AG187" s="8413"/>
      <c r="AH187" s="8413"/>
      <c r="AI187" s="8530"/>
      <c r="AJ187" s="1277"/>
      <c r="AK187" s="1277"/>
      <c r="AL187" s="1277"/>
      <c r="AM187" s="1277"/>
      <c r="AN187" s="1277"/>
      <c r="AO187" s="1277"/>
      <c r="AP187" s="1277"/>
      <c r="AQ187" s="2875"/>
      <c r="AR187" s="777"/>
      <c r="AS187" s="2875"/>
      <c r="AT187" s="2875"/>
      <c r="AU187" s="2875"/>
      <c r="BG187" s="769"/>
      <c r="BH187" s="658"/>
      <c r="BI187" s="658"/>
      <c r="BJ187" s="658"/>
      <c r="BK187" s="658"/>
      <c r="BL187" s="658"/>
      <c r="BM187" s="658"/>
      <c r="BN187" s="658"/>
      <c r="BO187" s="658"/>
      <c r="BP187" s="658"/>
    </row>
    <row r="188" spans="1:68" ht="14.25" customHeight="1">
      <c r="A188" s="1277"/>
      <c r="B188" s="8527" t="s">
        <v>595</v>
      </c>
      <c r="C188" s="8528"/>
      <c r="D188" s="2100" t="s">
        <v>2379</v>
      </c>
      <c r="E188" s="2126"/>
      <c r="F188" s="2126"/>
      <c r="G188" s="2126"/>
      <c r="H188" s="2126"/>
      <c r="I188" s="2126"/>
      <c r="J188" s="2126"/>
      <c r="K188" s="2126"/>
      <c r="L188" s="2126"/>
      <c r="M188" s="2126"/>
      <c r="N188" s="2126"/>
      <c r="O188" s="2126"/>
      <c r="P188" s="2126"/>
      <c r="Q188" s="2126"/>
      <c r="R188" s="2126"/>
      <c r="S188" s="2126"/>
      <c r="T188" s="2126"/>
      <c r="U188" s="2126"/>
      <c r="V188" s="2126"/>
      <c r="W188" s="2126"/>
      <c r="X188" s="2126"/>
      <c r="Y188" s="2126"/>
      <c r="Z188" s="2126"/>
      <c r="AA188" s="2198" t="s">
        <v>601</v>
      </c>
      <c r="AB188" s="8514" t="s">
        <v>2380</v>
      </c>
      <c r="AC188" s="8515"/>
      <c r="AD188" s="8529">
        <f>IF(AR188&lt;&gt;"",ROUND(AR188,0),ROUND(SUM(V172,AD172,AJ172),0))</f>
        <v>0</v>
      </c>
      <c r="AE188" s="8413"/>
      <c r="AF188" s="8413"/>
      <c r="AG188" s="8413"/>
      <c r="AH188" s="8413"/>
      <c r="AI188" s="8530"/>
      <c r="AJ188" s="1277"/>
      <c r="AK188" s="1277"/>
      <c r="AL188" s="1277"/>
      <c r="AM188" s="1277"/>
      <c r="AN188" s="1277"/>
      <c r="AO188" s="1277"/>
      <c r="AP188" s="1277"/>
      <c r="AQ188" s="2875"/>
      <c r="AR188" s="777"/>
      <c r="AS188" s="2875"/>
      <c r="AT188" s="2875"/>
      <c r="AU188" s="2875"/>
      <c r="BG188" s="769"/>
      <c r="BH188" s="658"/>
      <c r="BI188" s="658"/>
      <c r="BJ188" s="658"/>
      <c r="BK188" s="658"/>
      <c r="BL188" s="658"/>
      <c r="BM188" s="658"/>
      <c r="BN188" s="658"/>
      <c r="BO188" s="658"/>
      <c r="BP188" s="658"/>
    </row>
    <row r="189" spans="1:68" ht="14.25" customHeight="1">
      <c r="A189" s="1277"/>
      <c r="B189" s="8527" t="s">
        <v>599</v>
      </c>
      <c r="C189" s="8528"/>
      <c r="D189" s="2100" t="s">
        <v>2381</v>
      </c>
      <c r="E189" s="2126"/>
      <c r="F189" s="2126"/>
      <c r="G189" s="2126"/>
      <c r="H189" s="2126"/>
      <c r="I189" s="2126"/>
      <c r="J189" s="2126"/>
      <c r="K189" s="2126"/>
      <c r="L189" s="2126"/>
      <c r="M189" s="2126"/>
      <c r="N189" s="2126"/>
      <c r="O189" s="2126"/>
      <c r="P189" s="2126"/>
      <c r="Q189" s="2126"/>
      <c r="R189" s="2126"/>
      <c r="S189" s="2126"/>
      <c r="T189" s="2126"/>
      <c r="U189" s="2126"/>
      <c r="V189" s="2126"/>
      <c r="W189" s="2126"/>
      <c r="X189" s="2126"/>
      <c r="Y189" s="2126"/>
      <c r="Z189" s="2126"/>
      <c r="AA189" s="2198" t="s">
        <v>601</v>
      </c>
      <c r="AB189" s="8514" t="s">
        <v>2382</v>
      </c>
      <c r="AC189" s="8515"/>
      <c r="AD189" s="8529">
        <f>IF(AR189&lt;&gt;"",ROUND(AR189,0),ROUND(SUM(V178,AD178,AJ178),0))</f>
        <v>0</v>
      </c>
      <c r="AE189" s="8413"/>
      <c r="AF189" s="8413"/>
      <c r="AG189" s="8413"/>
      <c r="AH189" s="8413"/>
      <c r="AI189" s="8530"/>
      <c r="AJ189" s="1277"/>
      <c r="AK189" s="1277"/>
      <c r="AL189" s="1277"/>
      <c r="AM189" s="1277"/>
      <c r="AN189" s="1277"/>
      <c r="AO189" s="1277"/>
      <c r="AP189" s="1277"/>
      <c r="AQ189" s="2875"/>
      <c r="AR189" s="777"/>
      <c r="AS189" s="2875"/>
      <c r="AT189" s="2875"/>
      <c r="AU189" s="2875"/>
      <c r="BG189" s="769"/>
      <c r="BH189" s="658"/>
      <c r="BI189" s="658"/>
      <c r="BJ189" s="658"/>
      <c r="BK189" s="658"/>
      <c r="BL189" s="658"/>
      <c r="BM189" s="658"/>
      <c r="BN189" s="658"/>
      <c r="BO189" s="658"/>
      <c r="BP189" s="658"/>
    </row>
    <row r="190" spans="1:68" ht="14.25" customHeight="1">
      <c r="A190" s="1277"/>
      <c r="B190" s="8527" t="s">
        <v>603</v>
      </c>
      <c r="C190" s="8528"/>
      <c r="D190" s="2100" t="s">
        <v>2383</v>
      </c>
      <c r="E190" s="2126"/>
      <c r="F190" s="2126"/>
      <c r="G190" s="2126"/>
      <c r="H190" s="2126"/>
      <c r="I190" s="2126"/>
      <c r="J190" s="2126"/>
      <c r="K190" s="2126"/>
      <c r="L190" s="2126"/>
      <c r="M190" s="2126"/>
      <c r="N190" s="2126"/>
      <c r="O190" s="2126"/>
      <c r="P190" s="2126"/>
      <c r="Q190" s="2126"/>
      <c r="R190" s="2126"/>
      <c r="S190" s="2126"/>
      <c r="T190" s="2126"/>
      <c r="U190" s="2126"/>
      <c r="V190" s="2126"/>
      <c r="W190" s="2126"/>
      <c r="X190" s="2126"/>
      <c r="Y190" s="2126"/>
      <c r="Z190" s="2126"/>
      <c r="AA190" s="2198" t="s">
        <v>601</v>
      </c>
      <c r="AB190" s="8514" t="s">
        <v>2384</v>
      </c>
      <c r="AC190" s="8515"/>
      <c r="AD190" s="8529">
        <f>IF(AR190&lt;&gt;"",ROUND(AR190,0),ROUND(SUM(V180,AD180,AJ180),0))</f>
        <v>0</v>
      </c>
      <c r="AE190" s="8413"/>
      <c r="AF190" s="8413"/>
      <c r="AG190" s="8413"/>
      <c r="AH190" s="8413"/>
      <c r="AI190" s="8530"/>
      <c r="AJ190" s="1277"/>
      <c r="AK190" s="1277"/>
      <c r="AL190" s="1277"/>
      <c r="AM190" s="1277"/>
      <c r="AN190" s="1277"/>
      <c r="AO190" s="1277"/>
      <c r="AP190" s="1277"/>
      <c r="AQ190" s="2875"/>
      <c r="AR190" s="777"/>
      <c r="AS190" s="2875"/>
      <c r="AT190" s="2875"/>
      <c r="AU190" s="2875"/>
      <c r="BG190" s="769"/>
      <c r="BH190" s="658"/>
      <c r="BI190" s="658"/>
      <c r="BJ190" s="658"/>
      <c r="BK190" s="658"/>
      <c r="BL190" s="658"/>
      <c r="BM190" s="658"/>
      <c r="BN190" s="658"/>
      <c r="BO190" s="658"/>
      <c r="BP190" s="658"/>
    </row>
    <row r="191" spans="1:68" ht="14.25" customHeight="1">
      <c r="A191" s="1277"/>
      <c r="B191" s="8513">
        <v>24</v>
      </c>
      <c r="C191" s="8456"/>
      <c r="D191" s="2100" t="s">
        <v>2385</v>
      </c>
      <c r="E191" s="2126"/>
      <c r="F191" s="2126"/>
      <c r="G191" s="2126"/>
      <c r="H191" s="2126"/>
      <c r="I191" s="2126"/>
      <c r="J191" s="2126"/>
      <c r="K191" s="2126"/>
      <c r="L191" s="2126"/>
      <c r="M191" s="2126"/>
      <c r="N191" s="2126"/>
      <c r="O191" s="2126"/>
      <c r="P191" s="2126"/>
      <c r="Q191" s="2126"/>
      <c r="R191" s="2126"/>
      <c r="S191" s="2126"/>
      <c r="T191" s="2126"/>
      <c r="U191" s="2126"/>
      <c r="V191" s="2126"/>
      <c r="W191" s="2126"/>
      <c r="X191" s="2126"/>
      <c r="Y191" s="2126"/>
      <c r="Z191" s="2126"/>
      <c r="AA191" s="2126"/>
      <c r="AB191" s="2126"/>
      <c r="AC191" s="2126"/>
      <c r="AD191" s="2126"/>
      <c r="AE191" s="2126"/>
      <c r="AF191" s="2126"/>
      <c r="AG191" s="2198" t="s">
        <v>670</v>
      </c>
      <c r="AH191" s="8518">
        <v>24</v>
      </c>
      <c r="AI191" s="8519"/>
      <c r="AJ191" s="8516">
        <f>IF(AR191&lt;&gt;"",ROUND(AR191,0),ROUND(SUM(AY183,BA183,BC183),0))</f>
        <v>0</v>
      </c>
      <c r="AK191" s="8517"/>
      <c r="AL191" s="8517"/>
      <c r="AM191" s="8517"/>
      <c r="AN191" s="8517"/>
      <c r="AO191" s="8517"/>
      <c r="AP191" s="1277"/>
      <c r="AQ191" s="2875"/>
      <c r="AR191" s="777"/>
      <c r="AS191" s="2875"/>
      <c r="AT191" s="2875"/>
      <c r="AU191" s="2875"/>
      <c r="BG191" s="769"/>
      <c r="BH191" s="658"/>
      <c r="BI191" s="658"/>
      <c r="BJ191" s="658"/>
      <c r="BK191" s="658"/>
      <c r="BL191" s="658"/>
      <c r="BM191" s="658"/>
      <c r="BN191" s="658"/>
      <c r="BO191" s="658"/>
      <c r="BP191" s="658"/>
    </row>
    <row r="192" spans="1:68" ht="14.25" customHeight="1">
      <c r="A192" s="1277"/>
      <c r="B192" s="8513">
        <v>25</v>
      </c>
      <c r="C192" s="8456"/>
      <c r="D192" s="4812" t="s">
        <v>2386</v>
      </c>
      <c r="E192" s="2126"/>
      <c r="F192" s="2126"/>
      <c r="G192" s="2126"/>
      <c r="H192" s="2126"/>
      <c r="I192" s="2126"/>
      <c r="J192" s="2126"/>
      <c r="K192" s="2126"/>
      <c r="L192" s="2126"/>
      <c r="M192" s="2126"/>
      <c r="N192" s="2126"/>
      <c r="O192" s="2126"/>
      <c r="P192" s="2126"/>
      <c r="Q192" s="2126"/>
      <c r="R192" s="2126"/>
      <c r="S192" s="2126"/>
      <c r="T192" s="2126"/>
      <c r="U192" s="2126"/>
      <c r="V192" s="2126"/>
      <c r="W192" s="2126"/>
      <c r="X192" s="2126"/>
      <c r="Y192" s="2126"/>
      <c r="Z192" s="2126"/>
      <c r="AA192" s="2126"/>
      <c r="AB192" s="2126"/>
      <c r="AC192" s="2126"/>
      <c r="AD192" s="2126"/>
      <c r="AE192" s="2126"/>
      <c r="AF192" s="2126"/>
      <c r="AG192" s="2126"/>
      <c r="AH192" s="8514">
        <v>25</v>
      </c>
      <c r="AI192" s="8515"/>
      <c r="AJ192" s="4803" t="s">
        <v>799</v>
      </c>
      <c r="AK192" s="8415">
        <f>-AK193</f>
        <v>0</v>
      </c>
      <c r="AL192" s="8416"/>
      <c r="AM192" s="8416"/>
      <c r="AN192" s="8416"/>
      <c r="AO192" s="4804" t="s">
        <v>800</v>
      </c>
      <c r="AP192" s="1277"/>
      <c r="AQ192" s="2875"/>
      <c r="AR192" s="777"/>
      <c r="AS192" s="2875"/>
      <c r="AT192" s="2875"/>
      <c r="AU192" s="2875"/>
      <c r="BG192" s="769"/>
      <c r="BH192" s="658"/>
      <c r="BI192" s="658"/>
      <c r="BJ192" s="658"/>
      <c r="BK192" s="658"/>
      <c r="BL192" s="658"/>
      <c r="BM192" s="658"/>
      <c r="BN192" s="658"/>
      <c r="BO192" s="658"/>
      <c r="BP192" s="658"/>
    </row>
    <row r="193" spans="1:69" ht="14.25" customHeight="1">
      <c r="A193" s="1277"/>
      <c r="B193" s="8513">
        <v>26</v>
      </c>
      <c r="C193" s="8456"/>
      <c r="D193" s="2100" t="s">
        <v>2387</v>
      </c>
      <c r="E193" s="2126"/>
      <c r="F193" s="2126"/>
      <c r="G193" s="2126"/>
      <c r="H193" s="2126"/>
      <c r="I193" s="2126"/>
      <c r="J193" s="2126"/>
      <c r="K193" s="2126"/>
      <c r="L193" s="2126"/>
      <c r="M193" s="2126"/>
      <c r="N193" s="2126"/>
      <c r="O193" s="2126"/>
      <c r="P193" s="2126"/>
      <c r="Q193" s="2126"/>
      <c r="R193" s="2126"/>
      <c r="S193" s="2126"/>
      <c r="T193" s="775"/>
      <c r="U193" s="775"/>
      <c r="V193" s="4808"/>
      <c r="W193" s="4808"/>
      <c r="X193" s="4808"/>
      <c r="Y193" s="4808"/>
      <c r="Z193" s="4808"/>
      <c r="AA193" s="4808"/>
      <c r="AB193" s="4808"/>
      <c r="AC193" s="4808"/>
      <c r="AD193" s="4808"/>
      <c r="AE193" s="4808"/>
      <c r="AF193" s="4808"/>
      <c r="AG193" s="4808"/>
      <c r="AH193" s="4805"/>
      <c r="AI193" s="4806"/>
      <c r="AJ193" s="4808"/>
      <c r="AK193" s="8524">
        <f>IF(AND(AR192&lt;&gt;"",AR192&gt;=0),-ROUND(AR192,0),IF(AND(AR192&lt;&gt;"",AR192&lt;0),ROUND(AR192,0),SUM(AZ184,AZ185,BB184,BB185,BD184,BD185)))</f>
        <v>0</v>
      </c>
      <c r="AL193" s="8524"/>
      <c r="AM193" s="8524"/>
      <c r="AN193" s="8524"/>
      <c r="AO193" s="4808"/>
      <c r="AP193" s="1277"/>
      <c r="AQ193" s="2875"/>
      <c r="AR193" s="2875"/>
      <c r="AS193" s="2875"/>
      <c r="AT193" s="2875"/>
      <c r="AU193" s="2875"/>
      <c r="BG193" s="769"/>
      <c r="BH193" s="658"/>
      <c r="BI193" s="658"/>
      <c r="BJ193" s="658"/>
      <c r="BK193" s="658"/>
      <c r="BL193" s="658"/>
      <c r="BM193" s="658"/>
      <c r="BN193" s="658"/>
      <c r="BO193" s="658"/>
      <c r="BP193" s="658"/>
    </row>
    <row r="194" spans="1:69" ht="14.25" customHeight="1">
      <c r="A194" s="1277"/>
      <c r="B194" s="8513"/>
      <c r="C194" s="8456"/>
      <c r="D194" s="2100" t="s">
        <v>2388</v>
      </c>
      <c r="E194" s="2126"/>
      <c r="F194" s="2126"/>
      <c r="G194" s="2126"/>
      <c r="H194" s="2126"/>
      <c r="I194" s="2126"/>
      <c r="J194" s="2126"/>
      <c r="K194" s="2126"/>
      <c r="L194" s="2126"/>
      <c r="M194" s="2126"/>
      <c r="N194" s="2126"/>
      <c r="O194" s="2126"/>
      <c r="P194" s="2126"/>
      <c r="Q194" s="2126"/>
      <c r="R194" s="2126"/>
      <c r="S194" s="2126"/>
      <c r="T194" s="775"/>
      <c r="U194" s="775"/>
      <c r="V194" s="4808"/>
      <c r="W194" s="4808"/>
      <c r="X194" s="4808"/>
      <c r="Y194" s="4808"/>
      <c r="Z194" s="4808"/>
      <c r="AA194" s="4808"/>
      <c r="AB194" s="4808"/>
      <c r="AC194" s="4808"/>
      <c r="AD194" s="4808"/>
      <c r="AE194" s="4808"/>
      <c r="AF194" s="4808"/>
      <c r="AG194" s="4808"/>
      <c r="AH194" s="4807"/>
      <c r="AI194" s="4809"/>
      <c r="AJ194" s="4808"/>
      <c r="AK194" s="4808"/>
      <c r="AL194" s="4808"/>
      <c r="AM194" s="4808"/>
      <c r="AN194" s="4808"/>
      <c r="AO194" s="4808"/>
      <c r="AP194" s="1277"/>
      <c r="AQ194" s="2875"/>
      <c r="AR194" s="2875"/>
      <c r="AS194" s="2875"/>
      <c r="AT194" s="2875"/>
      <c r="AU194" s="2875"/>
      <c r="BG194" s="769"/>
      <c r="BH194" s="658"/>
      <c r="BI194" s="658"/>
      <c r="BJ194" s="658"/>
      <c r="BK194" s="658"/>
      <c r="BL194" s="658"/>
      <c r="BM194" s="658"/>
      <c r="BN194" s="658"/>
      <c r="BO194" s="658"/>
      <c r="BP194" s="658"/>
    </row>
    <row r="195" spans="1:69" ht="14.25" customHeight="1" thickBot="1">
      <c r="A195" s="1277"/>
      <c r="B195" s="4813"/>
      <c r="C195" s="4814"/>
      <c r="D195" s="4815" t="s">
        <v>2389</v>
      </c>
      <c r="E195" s="4816"/>
      <c r="F195" s="4816"/>
      <c r="G195" s="4816"/>
      <c r="H195" s="4816"/>
      <c r="I195" s="4816"/>
      <c r="J195" s="4816"/>
      <c r="K195" s="4816"/>
      <c r="L195" s="4816"/>
      <c r="M195" s="4816"/>
      <c r="N195" s="4816"/>
      <c r="O195" s="4816"/>
      <c r="P195" s="4816"/>
      <c r="Q195" s="4816"/>
      <c r="R195" s="4816"/>
      <c r="S195" s="4816"/>
      <c r="T195" s="4816"/>
      <c r="U195" s="4816"/>
      <c r="V195" s="4816"/>
      <c r="W195" s="4816"/>
      <c r="X195" s="4816"/>
      <c r="Y195" s="4816"/>
      <c r="Z195" s="4816"/>
      <c r="AA195" s="4816"/>
      <c r="AB195" s="4817"/>
      <c r="AC195" s="4817"/>
      <c r="AD195" s="4818"/>
      <c r="AE195" s="4818"/>
      <c r="AF195" s="4818"/>
      <c r="AG195" s="4533" t="s">
        <v>2390</v>
      </c>
      <c r="AH195" s="8520">
        <v>26</v>
      </c>
      <c r="AI195" s="8521"/>
      <c r="AJ195" s="8522">
        <f>IF(AR195&lt;&gt;"",ROUND(AR195,0),SUM(AJ191,AK193))</f>
        <v>0</v>
      </c>
      <c r="AK195" s="8523"/>
      <c r="AL195" s="8523"/>
      <c r="AM195" s="8523"/>
      <c r="AN195" s="8523"/>
      <c r="AO195" s="8523"/>
      <c r="AP195" s="1277"/>
      <c r="AQ195" s="2875"/>
      <c r="AR195" s="776"/>
      <c r="AS195" s="2875"/>
      <c r="AT195" s="2875"/>
      <c r="AU195" s="2875"/>
      <c r="BG195" s="769"/>
      <c r="BH195" s="658"/>
      <c r="BI195" s="658"/>
      <c r="BJ195" s="658"/>
      <c r="BK195" s="658"/>
      <c r="BL195" s="658"/>
      <c r="BM195" s="658"/>
      <c r="BN195" s="658"/>
      <c r="BO195" s="658"/>
      <c r="BP195" s="658"/>
    </row>
    <row r="196" spans="1:69" ht="14.25" customHeight="1">
      <c r="A196" s="1277"/>
      <c r="B196" s="4819" t="s">
        <v>2075</v>
      </c>
      <c r="C196" s="4820"/>
      <c r="D196" s="2100"/>
      <c r="E196" s="2126"/>
      <c r="F196" s="2126"/>
      <c r="G196" s="2126"/>
      <c r="H196" s="2126"/>
      <c r="I196" s="2126"/>
      <c r="J196" s="2126"/>
      <c r="K196" s="2126"/>
      <c r="L196" s="2126"/>
      <c r="M196" s="2126"/>
      <c r="N196" s="2126"/>
      <c r="O196" s="2126"/>
      <c r="P196" s="2126"/>
      <c r="Q196" s="2126"/>
      <c r="R196" s="2126"/>
      <c r="S196" s="2126"/>
      <c r="T196" s="2126"/>
      <c r="U196" s="2126"/>
      <c r="V196" s="2126"/>
      <c r="W196" s="2126"/>
      <c r="X196" s="2126"/>
      <c r="Y196" s="2126" t="s">
        <v>2391</v>
      </c>
      <c r="Z196" s="2126"/>
      <c r="AA196" s="2126"/>
      <c r="AB196" s="775"/>
      <c r="AC196" s="775"/>
      <c r="AD196" s="4808"/>
      <c r="AE196" s="4808"/>
      <c r="AF196" s="4808"/>
      <c r="AG196" s="4808"/>
      <c r="AH196" s="4808"/>
      <c r="AI196" s="4808"/>
      <c r="AJ196" s="253"/>
      <c r="AK196" s="1401" t="str">
        <f>"Schedule E (Form 1040) "&amp;TaxYear</f>
        <v>Schedule E (Form 1040) 2025</v>
      </c>
      <c r="AL196" s="253"/>
      <c r="AM196" s="253"/>
      <c r="AN196" s="253"/>
      <c r="AO196" s="1061" t="s">
        <v>6386</v>
      </c>
      <c r="AP196" s="1277"/>
      <c r="AQ196" s="2875"/>
      <c r="AR196" s="2875"/>
      <c r="AS196" s="2875"/>
      <c r="AT196" s="2875"/>
      <c r="AU196" s="2875"/>
      <c r="BG196" s="769"/>
      <c r="BH196" s="658"/>
      <c r="BI196" s="658"/>
      <c r="BJ196" s="658"/>
      <c r="BK196" s="658"/>
      <c r="BL196" s="658"/>
      <c r="BM196" s="658"/>
      <c r="BN196" s="658"/>
      <c r="BO196" s="658"/>
      <c r="BP196" s="658"/>
    </row>
    <row r="197" spans="1:69" ht="21" customHeight="1">
      <c r="A197" s="1277"/>
      <c r="B197" s="462" t="str">
        <f>"Schedule E (Form 1040) "&amp;TaxYear</f>
        <v>Schedule E (Form 1040) 2025</v>
      </c>
      <c r="C197" s="413"/>
      <c r="D197" s="413"/>
      <c r="E197" s="413"/>
      <c r="F197" s="413"/>
      <c r="G197" s="413"/>
      <c r="H197" s="413"/>
      <c r="I197" s="4821"/>
      <c r="J197" s="413"/>
      <c r="K197" s="413"/>
      <c r="L197" s="413"/>
      <c r="M197" s="413"/>
      <c r="N197" s="413"/>
      <c r="O197" s="413"/>
      <c r="P197" s="4822"/>
      <c r="Q197" s="413"/>
      <c r="R197" s="413"/>
      <c r="S197" s="413"/>
      <c r="T197" s="413"/>
      <c r="U197" s="413"/>
      <c r="V197" s="413"/>
      <c r="W197" s="413"/>
      <c r="X197" s="413"/>
      <c r="Y197" s="413"/>
      <c r="Z197" s="413"/>
      <c r="AA197" s="462" t="s">
        <v>2118</v>
      </c>
      <c r="AB197" s="413"/>
      <c r="AC197" s="413"/>
      <c r="AD197" s="413"/>
      <c r="AE197" s="413"/>
      <c r="AF197" s="413"/>
      <c r="AG197" s="2009">
        <v>13</v>
      </c>
      <c r="AH197" s="413"/>
      <c r="AI197" s="413"/>
      <c r="AJ197" s="413"/>
      <c r="AK197" s="413"/>
      <c r="AL197" s="413"/>
      <c r="AM197" s="413"/>
      <c r="AN197" s="413"/>
      <c r="AO197" s="4823" t="s">
        <v>867</v>
      </c>
      <c r="AP197" s="1277"/>
      <c r="BG197" s="769"/>
      <c r="BH197" s="658"/>
      <c r="BI197" s="658"/>
      <c r="BJ197" s="658"/>
      <c r="BK197" s="658"/>
      <c r="BL197" s="658"/>
      <c r="BM197" s="658"/>
      <c r="BN197" s="658"/>
      <c r="BO197" s="658"/>
      <c r="BP197" s="658"/>
    </row>
    <row r="198" spans="1:69" ht="12.75" customHeight="1">
      <c r="A198" s="1277"/>
      <c r="B198" s="504" t="s">
        <v>2392</v>
      </c>
      <c r="C198" s="504"/>
      <c r="D198" s="504"/>
      <c r="E198" s="504"/>
      <c r="F198" s="504"/>
      <c r="G198" s="504"/>
      <c r="H198" s="504" t="s">
        <v>2393</v>
      </c>
      <c r="I198" s="253"/>
      <c r="J198" s="253"/>
      <c r="K198" s="253"/>
      <c r="L198" s="253"/>
      <c r="M198" s="253"/>
      <c r="N198" s="253"/>
      <c r="O198" s="253"/>
      <c r="P198" s="253"/>
      <c r="Q198" s="253"/>
      <c r="R198" s="253"/>
      <c r="S198" s="253"/>
      <c r="T198" s="253"/>
      <c r="U198" s="253"/>
      <c r="V198" s="253"/>
      <c r="W198" s="253"/>
      <c r="X198" s="253"/>
      <c r="Y198" s="253"/>
      <c r="Z198" s="253"/>
      <c r="AA198" s="253"/>
      <c r="AB198" s="253"/>
      <c r="AC198" s="253"/>
      <c r="AD198" s="253"/>
      <c r="AE198" s="253"/>
      <c r="AF198" s="8525" t="s">
        <v>549</v>
      </c>
      <c r="AG198" s="8526"/>
      <c r="AH198" s="8526"/>
      <c r="AI198" s="8526"/>
      <c r="AJ198" s="8526"/>
      <c r="AK198" s="8526"/>
      <c r="AL198" s="8526"/>
      <c r="AM198" s="8526"/>
      <c r="AN198" s="8526"/>
      <c r="AO198" s="8526"/>
      <c r="AP198" s="1277"/>
      <c r="AR198" s="304" t="b">
        <f>OR(AND(AF199&lt;&gt;"",AF199=AG140),AND(B140&lt;&gt;"",B199&lt;&gt;""))</f>
        <v>0</v>
      </c>
      <c r="BG198" s="769"/>
      <c r="BH198" s="658"/>
      <c r="BI198" s="658"/>
      <c r="BJ198" s="658"/>
      <c r="BK198" s="658"/>
      <c r="BL198" s="658"/>
      <c r="BM198" s="658"/>
      <c r="BN198" s="658"/>
      <c r="BO198" s="658"/>
      <c r="BP198" s="658"/>
    </row>
    <row r="199" spans="1:69" ht="16.5" customHeight="1">
      <c r="A199" s="1277"/>
      <c r="B199" s="8425"/>
      <c r="C199" s="8425"/>
      <c r="D199" s="8425"/>
      <c r="E199" s="8425"/>
      <c r="F199" s="8425"/>
      <c r="G199" s="8425"/>
      <c r="H199" s="8425"/>
      <c r="I199" s="8425"/>
      <c r="J199" s="8425"/>
      <c r="K199" s="8425"/>
      <c r="L199" s="8425"/>
      <c r="M199" s="8425"/>
      <c r="N199" s="8425"/>
      <c r="O199" s="8425"/>
      <c r="P199" s="8425"/>
      <c r="Q199" s="8425"/>
      <c r="R199" s="8425"/>
      <c r="S199" s="8425"/>
      <c r="T199" s="8425"/>
      <c r="U199" s="8425"/>
      <c r="V199" s="8425"/>
      <c r="W199" s="8425"/>
      <c r="X199" s="8425"/>
      <c r="Y199" s="8425"/>
      <c r="Z199" s="8425"/>
      <c r="AA199" s="8425"/>
      <c r="AB199" s="8425"/>
      <c r="AC199" s="8425"/>
      <c r="AD199" s="8425"/>
      <c r="AE199" s="8426"/>
      <c r="AF199" s="7110"/>
      <c r="AG199" s="7111"/>
      <c r="AH199" s="7111"/>
      <c r="AI199" s="7111"/>
      <c r="AJ199" s="7111"/>
      <c r="AK199" s="7111"/>
      <c r="AL199" s="7111"/>
      <c r="AM199" s="7111"/>
      <c r="AN199" s="7111"/>
      <c r="AO199" s="7111"/>
      <c r="AP199" s="770"/>
      <c r="AQ199" s="141" t="str">
        <f>IF($AR198,"Hide emphasis.","")</f>
        <v/>
      </c>
      <c r="AR199" s="141"/>
      <c r="BG199" s="769"/>
      <c r="BH199" s="658"/>
      <c r="BI199" s="658"/>
      <c r="BJ199" s="658"/>
      <c r="BK199" s="658"/>
      <c r="BL199" s="658"/>
      <c r="BM199" s="658"/>
      <c r="BN199" s="658"/>
      <c r="BO199" s="658"/>
      <c r="BP199" s="658"/>
    </row>
    <row r="200" spans="1:69" ht="15" customHeight="1">
      <c r="A200" s="1277"/>
      <c r="B200" s="511" t="s">
        <v>2394</v>
      </c>
      <c r="C200" s="253"/>
      <c r="D200" s="253"/>
      <c r="E200" s="253"/>
      <c r="F200" s="253"/>
      <c r="G200" s="253"/>
      <c r="H200" s="253"/>
      <c r="I200" s="253"/>
      <c r="J200" s="253"/>
      <c r="K200" s="253"/>
      <c r="L200" s="253"/>
      <c r="M200" s="253"/>
      <c r="N200" s="253"/>
      <c r="O200" s="253"/>
      <c r="P200" s="253"/>
      <c r="Q200" s="253"/>
      <c r="R200" s="253"/>
      <c r="S200" s="253"/>
      <c r="T200" s="253"/>
      <c r="U200" s="253"/>
      <c r="V200" s="253"/>
      <c r="W200" s="253"/>
      <c r="X200" s="253"/>
      <c r="Y200" s="253"/>
      <c r="Z200" s="253"/>
      <c r="AA200" s="253"/>
      <c r="AB200" s="253"/>
      <c r="AC200" s="253"/>
      <c r="AD200" s="253"/>
      <c r="AE200" s="253"/>
      <c r="AF200" s="253"/>
      <c r="AG200" s="253"/>
      <c r="AH200" s="253"/>
      <c r="AI200" s="253"/>
      <c r="AJ200" s="253"/>
      <c r="AK200" s="253"/>
      <c r="AL200" s="253"/>
      <c r="AM200" s="253"/>
      <c r="AN200" s="253"/>
      <c r="AO200" s="253"/>
      <c r="AP200" s="1277"/>
      <c r="BG200" s="769"/>
      <c r="BH200" s="658"/>
      <c r="BI200" s="658"/>
      <c r="BJ200" s="658"/>
      <c r="BK200" s="658"/>
      <c r="BL200" s="658"/>
      <c r="BM200" s="658"/>
      <c r="BN200" s="658"/>
      <c r="BO200" s="658"/>
      <c r="BP200" s="658"/>
    </row>
    <row r="201" spans="1:69" s="1405" customFormat="1" ht="17.25" customHeight="1">
      <c r="A201" s="2119"/>
      <c r="B201" s="8427" t="s">
        <v>868</v>
      </c>
      <c r="C201" s="8427"/>
      <c r="D201" s="8428"/>
      <c r="E201" s="2761"/>
      <c r="F201" s="4758" t="s">
        <v>2395</v>
      </c>
      <c r="G201" s="2761"/>
      <c r="H201" s="2761"/>
      <c r="I201" s="2761"/>
      <c r="J201" s="2761"/>
      <c r="K201" s="2761"/>
      <c r="L201" s="2761"/>
      <c r="M201" s="2761"/>
      <c r="N201" s="2761"/>
      <c r="O201" s="2761"/>
      <c r="P201" s="2761"/>
      <c r="Q201" s="2761"/>
      <c r="R201" s="2761"/>
      <c r="S201" s="2761"/>
      <c r="T201" s="2761"/>
      <c r="U201" s="2761"/>
      <c r="V201" s="2761"/>
      <c r="W201" s="2761"/>
      <c r="X201" s="2354"/>
      <c r="Y201" s="2761"/>
      <c r="Z201" s="2761"/>
      <c r="AA201" s="2761"/>
      <c r="AB201" s="2761"/>
      <c r="AC201" s="2761"/>
      <c r="AD201" s="2761"/>
      <c r="AE201" s="2761"/>
      <c r="AF201" s="2761"/>
      <c r="AG201" s="2761"/>
      <c r="AH201" s="2761"/>
      <c r="AI201" s="2761"/>
      <c r="AJ201" s="2761"/>
      <c r="AK201" s="2761"/>
      <c r="AL201" s="2761"/>
      <c r="AM201" s="2761"/>
      <c r="AN201" s="2761"/>
      <c r="AO201" s="2761"/>
      <c r="AP201" s="1277"/>
      <c r="AX201"/>
      <c r="AY201"/>
      <c r="AZ201"/>
      <c r="BA201"/>
      <c r="BB201"/>
      <c r="BC201"/>
      <c r="BD201"/>
      <c r="BG201" s="769"/>
      <c r="BH201" s="658"/>
      <c r="BI201" s="658"/>
      <c r="BJ201" s="658"/>
      <c r="BK201" s="658"/>
      <c r="BL201" s="658"/>
      <c r="BM201" s="658"/>
      <c r="BN201" s="658"/>
      <c r="BO201" s="658"/>
      <c r="BP201" s="658"/>
      <c r="BQ201" s="815"/>
    </row>
    <row r="202" spans="1:69" ht="12.75" customHeight="1">
      <c r="A202" s="1277"/>
      <c r="B202" s="253"/>
      <c r="C202" s="253"/>
      <c r="D202" s="253"/>
      <c r="E202" s="253"/>
      <c r="F202" s="344" t="s">
        <v>2396</v>
      </c>
      <c r="G202" s="253"/>
      <c r="H202" s="253"/>
      <c r="I202" s="253"/>
      <c r="J202" s="253"/>
      <c r="K202" s="253"/>
      <c r="L202" s="253"/>
      <c r="M202" s="253"/>
      <c r="N202" s="253"/>
      <c r="O202" s="253"/>
      <c r="P202" s="253"/>
      <c r="Q202" s="253"/>
      <c r="R202" s="253"/>
      <c r="S202" s="253"/>
      <c r="T202" s="253"/>
      <c r="U202" s="253"/>
      <c r="V202" s="253"/>
      <c r="W202" s="253"/>
      <c r="X202" s="253"/>
      <c r="Y202" s="253"/>
      <c r="Z202" s="253"/>
      <c r="AA202" s="253"/>
      <c r="AB202" s="253"/>
      <c r="AC202" s="253"/>
      <c r="AD202" s="253"/>
      <c r="AE202" s="253"/>
      <c r="AF202" s="253"/>
      <c r="AG202" s="253"/>
      <c r="AH202" s="253"/>
      <c r="AI202" s="253"/>
      <c r="AJ202" s="253"/>
      <c r="AK202" s="253"/>
      <c r="AL202" s="253"/>
      <c r="AM202" s="253"/>
      <c r="AN202" s="253"/>
      <c r="AO202" s="253"/>
      <c r="AP202" s="1277"/>
      <c r="BG202" s="769"/>
      <c r="BH202" s="658"/>
      <c r="BI202" s="658"/>
      <c r="BJ202" s="658"/>
      <c r="BK202" s="658"/>
      <c r="BL202" s="658"/>
      <c r="BM202" s="658"/>
      <c r="BN202" s="658"/>
      <c r="BO202" s="658"/>
      <c r="BP202" s="658"/>
    </row>
    <row r="203" spans="1:69" ht="12.75" customHeight="1">
      <c r="A203" s="1277"/>
      <c r="B203" s="253"/>
      <c r="C203" s="253"/>
      <c r="D203" s="253"/>
      <c r="E203" s="253"/>
      <c r="F203" s="344" t="s">
        <v>2397</v>
      </c>
      <c r="G203" s="253"/>
      <c r="H203" s="253"/>
      <c r="I203" s="253"/>
      <c r="J203" s="253"/>
      <c r="K203" s="253"/>
      <c r="L203" s="253"/>
      <c r="M203" s="253"/>
      <c r="N203" s="253"/>
      <c r="O203" s="253"/>
      <c r="P203" s="253"/>
      <c r="Q203" s="253"/>
      <c r="R203" s="253"/>
      <c r="S203" s="253"/>
      <c r="T203" s="253"/>
      <c r="U203" s="253"/>
      <c r="V203" s="253"/>
      <c r="W203" s="253"/>
      <c r="X203" s="253"/>
      <c r="Y203" s="253"/>
      <c r="Z203" s="253"/>
      <c r="AA203" s="253"/>
      <c r="AB203" s="253"/>
      <c r="AC203" s="253"/>
      <c r="AD203" s="253"/>
      <c r="AE203" s="253"/>
      <c r="AF203" s="253"/>
      <c r="AG203" s="253"/>
      <c r="AH203" s="253"/>
      <c r="AI203" s="253"/>
      <c r="AJ203" s="253"/>
      <c r="AK203" s="253"/>
      <c r="AL203" s="253"/>
      <c r="AM203" s="253"/>
      <c r="AN203" s="253"/>
      <c r="AO203" s="253"/>
      <c r="AP203" s="1277"/>
      <c r="AX203" s="1405"/>
      <c r="AY203" s="1405"/>
      <c r="AZ203" s="1405"/>
      <c r="BA203" s="1405"/>
      <c r="BB203" s="1405"/>
      <c r="BC203" s="1405"/>
      <c r="BD203" s="1405"/>
      <c r="BG203" s="769"/>
      <c r="BH203" s="658"/>
      <c r="BI203" s="658"/>
      <c r="BJ203" s="658"/>
      <c r="BK203" s="658"/>
      <c r="BL203" s="658"/>
      <c r="BM203" s="658"/>
      <c r="BN203" s="658"/>
      <c r="BO203" s="658"/>
      <c r="BP203" s="658"/>
    </row>
    <row r="204" spans="1:69" ht="12.75" customHeight="1">
      <c r="A204" s="1277"/>
      <c r="B204" s="413"/>
      <c r="C204" s="413"/>
      <c r="D204" s="413"/>
      <c r="E204" s="413"/>
      <c r="F204" s="569" t="s">
        <v>6223</v>
      </c>
      <c r="G204" s="413"/>
      <c r="H204" s="413"/>
      <c r="I204" s="413"/>
      <c r="J204" s="413"/>
      <c r="K204" s="413"/>
      <c r="L204" s="413"/>
      <c r="M204" s="413"/>
      <c r="N204" s="413"/>
      <c r="O204" s="413"/>
      <c r="P204" s="413"/>
      <c r="Q204" s="413"/>
      <c r="R204" s="413"/>
      <c r="S204" s="413"/>
      <c r="T204" s="413"/>
      <c r="U204" s="413"/>
      <c r="V204" s="413"/>
      <c r="W204" s="413"/>
      <c r="X204" s="413"/>
      <c r="Y204" s="413"/>
      <c r="Z204" s="413"/>
      <c r="AA204" s="413"/>
      <c r="AB204" s="413"/>
      <c r="AC204" s="413"/>
      <c r="AD204" s="413"/>
      <c r="AE204" s="413"/>
      <c r="AF204" s="413"/>
      <c r="AG204" s="413"/>
      <c r="AH204" s="413"/>
      <c r="AI204" s="413"/>
      <c r="AJ204" s="413"/>
      <c r="AK204" s="413"/>
      <c r="AL204" s="413"/>
      <c r="AM204" s="413"/>
      <c r="AN204" s="413"/>
      <c r="AO204" s="413"/>
      <c r="AP204" s="1277"/>
      <c r="BG204" s="769"/>
      <c r="BH204" s="658"/>
      <c r="BI204" s="658"/>
      <c r="BJ204" s="658"/>
      <c r="BK204" s="658"/>
      <c r="BL204" s="658"/>
      <c r="BM204" s="658"/>
      <c r="BN204" s="658"/>
      <c r="BO204" s="658"/>
      <c r="BP204" s="658"/>
    </row>
    <row r="205" spans="1:69" ht="18.75" customHeight="1">
      <c r="A205" s="1277"/>
      <c r="B205" s="8433">
        <v>27</v>
      </c>
      <c r="C205" s="7091"/>
      <c r="D205" s="253"/>
      <c r="E205" s="511" t="s">
        <v>2398</v>
      </c>
      <c r="F205" s="344"/>
      <c r="G205" s="253"/>
      <c r="H205" s="253"/>
      <c r="I205" s="253"/>
      <c r="J205" s="253"/>
      <c r="K205" s="253"/>
      <c r="L205" s="253"/>
      <c r="M205" s="253"/>
      <c r="N205" s="253"/>
      <c r="O205" s="253"/>
      <c r="P205" s="253"/>
      <c r="Q205" s="253"/>
      <c r="R205" s="253"/>
      <c r="S205" s="253"/>
      <c r="T205" s="253"/>
      <c r="U205" s="253"/>
      <c r="V205" s="253"/>
      <c r="W205" s="253"/>
      <c r="X205" s="253"/>
      <c r="Y205" s="253"/>
      <c r="Z205" s="253"/>
      <c r="AA205" s="253"/>
      <c r="AB205" s="253"/>
      <c r="AC205" s="253"/>
      <c r="AD205" s="253"/>
      <c r="AE205" s="253"/>
      <c r="AF205" s="253"/>
      <c r="AG205" s="253"/>
      <c r="AH205" s="253"/>
      <c r="AI205" s="253"/>
      <c r="AJ205" s="253"/>
      <c r="AK205" s="253"/>
      <c r="AL205" s="253"/>
      <c r="AM205" s="253"/>
      <c r="AN205" s="253"/>
      <c r="AO205" s="253"/>
      <c r="AP205" s="1277"/>
      <c r="BG205" s="769"/>
      <c r="BH205" s="658"/>
      <c r="BI205" s="658"/>
      <c r="BJ205" s="658"/>
      <c r="BK205" s="658"/>
      <c r="BL205" s="658"/>
      <c r="BM205" s="658"/>
      <c r="BN205" s="658"/>
      <c r="BO205" s="658"/>
      <c r="BP205" s="658"/>
    </row>
    <row r="206" spans="1:69" ht="12.75" customHeight="1">
      <c r="A206" s="1277"/>
      <c r="B206" s="775"/>
      <c r="C206" s="416"/>
      <c r="D206" s="253"/>
      <c r="E206" s="511" t="s">
        <v>2399</v>
      </c>
      <c r="F206" s="344"/>
      <c r="G206" s="253"/>
      <c r="H206" s="253"/>
      <c r="I206" s="253"/>
      <c r="J206" s="253"/>
      <c r="K206" s="253"/>
      <c r="L206" s="253"/>
      <c r="M206" s="253"/>
      <c r="N206" s="253"/>
      <c r="O206" s="253"/>
      <c r="P206" s="253"/>
      <c r="Q206" s="253"/>
      <c r="R206" s="253"/>
      <c r="S206" s="253"/>
      <c r="T206" s="253"/>
      <c r="U206" s="253"/>
      <c r="V206" s="253"/>
      <c r="W206" s="253"/>
      <c r="X206" s="253"/>
      <c r="Y206" s="253"/>
      <c r="Z206" s="253"/>
      <c r="AA206" s="253"/>
      <c r="AB206" s="253"/>
      <c r="AC206" s="253"/>
      <c r="AD206" s="253"/>
      <c r="AE206" s="253"/>
      <c r="AF206" s="253"/>
      <c r="AG206" s="253"/>
      <c r="AH206" s="253"/>
      <c r="AI206" s="253"/>
      <c r="AJ206" s="253"/>
      <c r="AK206" s="253"/>
      <c r="AL206" s="253"/>
      <c r="AM206" s="253"/>
      <c r="AN206" s="253"/>
      <c r="AO206" s="253"/>
      <c r="AP206" s="1277"/>
      <c r="BG206" s="769"/>
      <c r="BH206" s="658"/>
      <c r="BI206" s="658"/>
      <c r="BJ206" s="658"/>
      <c r="BK206" s="658"/>
      <c r="BL206" s="658"/>
      <c r="BM206" s="658"/>
      <c r="BN206" s="658"/>
      <c r="BO206" s="658"/>
      <c r="BP206" s="658"/>
    </row>
    <row r="207" spans="1:69" ht="12.75" customHeight="1">
      <c r="A207" s="1277"/>
      <c r="B207" s="253"/>
      <c r="C207" s="253"/>
      <c r="D207" s="253"/>
      <c r="E207" s="511" t="s">
        <v>2400</v>
      </c>
      <c r="F207" s="344"/>
      <c r="G207" s="253"/>
      <c r="H207" s="253"/>
      <c r="I207" s="253"/>
      <c r="J207" s="253"/>
      <c r="K207" s="253"/>
      <c r="L207" s="253"/>
      <c r="M207" s="253"/>
      <c r="N207" s="253"/>
      <c r="O207" s="253"/>
      <c r="P207" s="253"/>
      <c r="Q207" s="253"/>
      <c r="R207" s="253"/>
      <c r="S207" s="253"/>
      <c r="T207" s="253"/>
      <c r="U207" s="253"/>
      <c r="V207" s="253"/>
      <c r="W207" s="253"/>
      <c r="X207" s="253"/>
      <c r="Y207" s="253"/>
      <c r="Z207" s="253"/>
      <c r="AA207" s="253"/>
      <c r="AB207" s="253"/>
      <c r="AC207" s="253"/>
      <c r="AD207" s="253"/>
      <c r="AE207" s="253"/>
      <c r="AF207" s="253"/>
      <c r="AG207" s="253"/>
      <c r="AH207" s="253"/>
      <c r="AI207" s="253"/>
      <c r="AJ207" s="276"/>
      <c r="AK207" s="1059" t="s">
        <v>2324</v>
      </c>
      <c r="AL207" s="4082"/>
      <c r="AM207" s="276"/>
      <c r="AN207" s="1059" t="s">
        <v>2325</v>
      </c>
      <c r="AO207" s="4082"/>
      <c r="AP207" s="1277"/>
      <c r="BG207" s="769"/>
      <c r="BH207" s="658"/>
      <c r="BI207" s="658"/>
      <c r="BJ207" s="658"/>
      <c r="BK207" s="658"/>
      <c r="BL207" s="658"/>
      <c r="BM207" s="658"/>
      <c r="BN207" s="658"/>
      <c r="BO207" s="658"/>
      <c r="BP207" s="658"/>
    </row>
    <row r="208" spans="1:69" ht="4.5" customHeight="1">
      <c r="A208" s="1277"/>
      <c r="B208" s="413"/>
      <c r="C208" s="413"/>
      <c r="D208" s="413"/>
      <c r="E208" s="413"/>
      <c r="F208" s="569"/>
      <c r="G208" s="413"/>
      <c r="H208" s="413"/>
      <c r="I208" s="413"/>
      <c r="J208" s="413"/>
      <c r="K208" s="413"/>
      <c r="L208" s="413"/>
      <c r="M208" s="413"/>
      <c r="N208" s="413"/>
      <c r="O208" s="413"/>
      <c r="P208" s="413"/>
      <c r="Q208" s="413"/>
      <c r="R208" s="413"/>
      <c r="S208" s="413"/>
      <c r="T208" s="413"/>
      <c r="U208" s="413"/>
      <c r="V208" s="413"/>
      <c r="W208" s="413"/>
      <c r="X208" s="413"/>
      <c r="Y208" s="413"/>
      <c r="Z208" s="413"/>
      <c r="AA208" s="413"/>
      <c r="AB208" s="413"/>
      <c r="AC208" s="413"/>
      <c r="AD208" s="413"/>
      <c r="AE208" s="413"/>
      <c r="AF208" s="413"/>
      <c r="AG208" s="413"/>
      <c r="AH208" s="413"/>
      <c r="AI208" s="413"/>
      <c r="AJ208" s="413"/>
      <c r="AK208" s="413"/>
      <c r="AL208" s="413"/>
      <c r="AM208" s="413"/>
      <c r="AN208" s="413"/>
      <c r="AO208" s="413"/>
      <c r="AP208" s="1277"/>
      <c r="BG208" s="769"/>
      <c r="BH208" s="658"/>
      <c r="BI208" s="658"/>
      <c r="BJ208" s="658"/>
      <c r="BK208" s="658"/>
      <c r="BL208" s="658"/>
      <c r="BM208" s="658"/>
      <c r="BN208" s="658"/>
      <c r="BO208" s="658"/>
      <c r="BP208" s="658"/>
    </row>
    <row r="209" spans="1:68" ht="12.75" customHeight="1">
      <c r="A209" s="1277"/>
      <c r="B209" s="253"/>
      <c r="C209" s="253"/>
      <c r="D209" s="253"/>
      <c r="E209" s="253"/>
      <c r="F209" s="344"/>
      <c r="G209" s="253"/>
      <c r="H209" s="253"/>
      <c r="I209" s="253"/>
      <c r="J209" s="253"/>
      <c r="K209" s="253"/>
      <c r="L209" s="253"/>
      <c r="M209" s="253"/>
      <c r="N209" s="253"/>
      <c r="O209" s="8439" t="s">
        <v>2401</v>
      </c>
      <c r="P209" s="8440"/>
      <c r="Q209" s="8440"/>
      <c r="R209" s="8440"/>
      <c r="S209" s="8441"/>
      <c r="T209" s="8439" t="s">
        <v>2402</v>
      </c>
      <c r="U209" s="8440"/>
      <c r="V209" s="8440"/>
      <c r="W209" s="8440"/>
      <c r="X209" s="8441"/>
      <c r="Y209" s="8439" t="s">
        <v>2403</v>
      </c>
      <c r="Z209" s="8440"/>
      <c r="AA209" s="8440"/>
      <c r="AB209" s="8440"/>
      <c r="AC209" s="8440"/>
      <c r="AD209" s="8440"/>
      <c r="AE209" s="8441"/>
      <c r="AF209" s="8439" t="s">
        <v>2404</v>
      </c>
      <c r="AG209" s="8440"/>
      <c r="AH209" s="8440"/>
      <c r="AI209" s="8440"/>
      <c r="AJ209" s="8441"/>
      <c r="AK209" s="8439" t="s">
        <v>2405</v>
      </c>
      <c r="AL209" s="8440"/>
      <c r="AM209" s="8440"/>
      <c r="AN209" s="8440"/>
      <c r="AO209" s="8440"/>
      <c r="AP209" s="1277"/>
      <c r="BG209" s="769"/>
      <c r="BH209" s="658"/>
      <c r="BI209" s="658"/>
      <c r="BJ209" s="658"/>
      <c r="BK209" s="658"/>
      <c r="BL209" s="658"/>
      <c r="BM209" s="658"/>
      <c r="BN209" s="658"/>
      <c r="BO209" s="658"/>
      <c r="BP209" s="658"/>
    </row>
    <row r="210" spans="1:68" ht="12.75" customHeight="1">
      <c r="A210" s="1277"/>
      <c r="B210" s="8433">
        <v>28</v>
      </c>
      <c r="C210" s="7091"/>
      <c r="D210" s="253"/>
      <c r="E210" s="253"/>
      <c r="F210" s="253"/>
      <c r="G210" s="253"/>
      <c r="H210" s="344" t="s">
        <v>2406</v>
      </c>
      <c r="I210" s="253"/>
      <c r="J210" s="253"/>
      <c r="K210" s="253"/>
      <c r="L210" s="253"/>
      <c r="M210" s="253"/>
      <c r="N210" s="253"/>
      <c r="O210" s="8442"/>
      <c r="P210" s="8443"/>
      <c r="Q210" s="8443"/>
      <c r="R210" s="8443"/>
      <c r="S210" s="8444"/>
      <c r="T210" s="8442"/>
      <c r="U210" s="8443"/>
      <c r="V210" s="8443"/>
      <c r="W210" s="8443"/>
      <c r="X210" s="8444"/>
      <c r="Y210" s="8442"/>
      <c r="Z210" s="8443"/>
      <c r="AA210" s="8443"/>
      <c r="AB210" s="8443"/>
      <c r="AC210" s="8443"/>
      <c r="AD210" s="8443"/>
      <c r="AE210" s="8444"/>
      <c r="AF210" s="8442"/>
      <c r="AG210" s="8443"/>
      <c r="AH210" s="8443"/>
      <c r="AI210" s="8443"/>
      <c r="AJ210" s="8444"/>
      <c r="AK210" s="8442"/>
      <c r="AL210" s="8443"/>
      <c r="AM210" s="8443"/>
      <c r="AN210" s="8443"/>
      <c r="AO210" s="8443"/>
      <c r="AP210" s="1277"/>
      <c r="BG210" s="769"/>
      <c r="BH210" s="658"/>
      <c r="BI210" s="658"/>
      <c r="BJ210" s="658"/>
      <c r="BK210" s="658"/>
      <c r="BL210" s="658"/>
      <c r="BM210" s="658"/>
      <c r="BN210" s="658"/>
      <c r="BO210" s="658"/>
      <c r="BP210" s="658"/>
    </row>
    <row r="211" spans="1:68" ht="12.75" customHeight="1">
      <c r="A211" s="1277"/>
      <c r="B211" s="413"/>
      <c r="C211" s="413"/>
      <c r="D211" s="413"/>
      <c r="E211" s="413"/>
      <c r="F211" s="413"/>
      <c r="G211" s="413"/>
      <c r="H211" s="413"/>
      <c r="I211" s="413"/>
      <c r="J211" s="413"/>
      <c r="K211" s="413"/>
      <c r="L211" s="413"/>
      <c r="M211" s="413"/>
      <c r="N211" s="413"/>
      <c r="O211" s="8445"/>
      <c r="P211" s="8446"/>
      <c r="Q211" s="8446"/>
      <c r="R211" s="8446"/>
      <c r="S211" s="8447"/>
      <c r="T211" s="8445"/>
      <c r="U211" s="8446"/>
      <c r="V211" s="8446"/>
      <c r="W211" s="8446"/>
      <c r="X211" s="8447"/>
      <c r="Y211" s="8445"/>
      <c r="Z211" s="8446"/>
      <c r="AA211" s="8446"/>
      <c r="AB211" s="8446"/>
      <c r="AC211" s="8446"/>
      <c r="AD211" s="8446"/>
      <c r="AE211" s="8447"/>
      <c r="AF211" s="8445"/>
      <c r="AG211" s="8446"/>
      <c r="AH211" s="8446"/>
      <c r="AI211" s="8446"/>
      <c r="AJ211" s="8447"/>
      <c r="AK211" s="8445"/>
      <c r="AL211" s="8446"/>
      <c r="AM211" s="8446"/>
      <c r="AN211" s="8446"/>
      <c r="AO211" s="8446"/>
      <c r="AP211" s="1277"/>
      <c r="BG211" s="769"/>
      <c r="BH211" s="658"/>
      <c r="BI211" s="658"/>
      <c r="BJ211" s="658"/>
      <c r="BK211" s="658"/>
      <c r="BL211" s="658"/>
      <c r="BM211" s="658"/>
      <c r="BN211" s="658"/>
      <c r="BO211" s="658"/>
      <c r="BP211" s="658"/>
    </row>
    <row r="212" spans="1:68" ht="13.5" customHeight="1">
      <c r="A212" s="1277"/>
      <c r="B212" s="4824" t="s">
        <v>510</v>
      </c>
      <c r="C212" s="8434"/>
      <c r="D212" s="8435"/>
      <c r="E212" s="8435"/>
      <c r="F212" s="8435"/>
      <c r="G212" s="8435"/>
      <c r="H212" s="8435"/>
      <c r="I212" s="8435"/>
      <c r="J212" s="8435"/>
      <c r="K212" s="8435"/>
      <c r="L212" s="8435"/>
      <c r="M212" s="8435"/>
      <c r="N212" s="8436"/>
      <c r="O212" s="7516"/>
      <c r="P212" s="8437"/>
      <c r="Q212" s="8437"/>
      <c r="R212" s="8437"/>
      <c r="S212" s="8438"/>
      <c r="T212" s="4771"/>
      <c r="U212" s="773"/>
      <c r="V212" s="276"/>
      <c r="W212" s="773"/>
      <c r="X212" s="3951"/>
      <c r="Y212" s="8405"/>
      <c r="Z212" s="8406"/>
      <c r="AA212" s="8406"/>
      <c r="AB212" s="8406"/>
      <c r="AC212" s="8406"/>
      <c r="AD212" s="8406"/>
      <c r="AE212" s="8407"/>
      <c r="AF212" s="4771"/>
      <c r="AG212" s="773"/>
      <c r="AH212" s="276"/>
      <c r="AI212" s="773"/>
      <c r="AJ212" s="3951"/>
      <c r="AK212" s="4771"/>
      <c r="AL212" s="773"/>
      <c r="AM212" s="276"/>
      <c r="AN212" s="773"/>
      <c r="AO212" s="773"/>
      <c r="AP212" s="1277"/>
      <c r="BG212" s="769"/>
      <c r="BH212" s="658"/>
      <c r="BI212" s="658"/>
      <c r="BJ212" s="658"/>
      <c r="BK212" s="658"/>
      <c r="BL212" s="658"/>
      <c r="BM212" s="658"/>
      <c r="BN212" s="658"/>
      <c r="BO212" s="658"/>
      <c r="BP212" s="658"/>
    </row>
    <row r="213" spans="1:68" ht="13.5" customHeight="1">
      <c r="A213" s="1277"/>
      <c r="B213" s="4824" t="s">
        <v>516</v>
      </c>
      <c r="C213" s="8434"/>
      <c r="D213" s="8435"/>
      <c r="E213" s="8435"/>
      <c r="F213" s="8435"/>
      <c r="G213" s="8435"/>
      <c r="H213" s="8435"/>
      <c r="I213" s="8435"/>
      <c r="J213" s="8435"/>
      <c r="K213" s="8435"/>
      <c r="L213" s="8435"/>
      <c r="M213" s="8435"/>
      <c r="N213" s="8436"/>
      <c r="O213" s="7516"/>
      <c r="P213" s="8437"/>
      <c r="Q213" s="8437"/>
      <c r="R213" s="8437"/>
      <c r="S213" s="8438"/>
      <c r="T213" s="4771"/>
      <c r="U213" s="773"/>
      <c r="V213" s="276"/>
      <c r="W213" s="773"/>
      <c r="X213" s="3951"/>
      <c r="Y213" s="8405"/>
      <c r="Z213" s="8406"/>
      <c r="AA213" s="8406"/>
      <c r="AB213" s="8406"/>
      <c r="AC213" s="8406"/>
      <c r="AD213" s="8406"/>
      <c r="AE213" s="8407"/>
      <c r="AF213" s="4771"/>
      <c r="AG213" s="773"/>
      <c r="AH213" s="276"/>
      <c r="AI213" s="773"/>
      <c r="AJ213" s="3951"/>
      <c r="AK213" s="4771"/>
      <c r="AL213" s="773"/>
      <c r="AM213" s="276"/>
      <c r="AN213" s="773"/>
      <c r="AO213" s="773"/>
      <c r="AP213" s="1277"/>
      <c r="BG213" s="769"/>
      <c r="BH213" s="658"/>
      <c r="BI213" s="658"/>
      <c r="BJ213" s="658"/>
      <c r="BK213" s="658"/>
      <c r="BL213" s="658"/>
      <c r="BM213" s="658"/>
      <c r="BN213" s="658"/>
      <c r="BO213" s="658"/>
      <c r="BP213" s="658"/>
    </row>
    <row r="214" spans="1:68" ht="13.5" customHeight="1">
      <c r="A214" s="1277"/>
      <c r="B214" s="4824" t="s">
        <v>518</v>
      </c>
      <c r="C214" s="8434"/>
      <c r="D214" s="8435"/>
      <c r="E214" s="8435"/>
      <c r="F214" s="8435"/>
      <c r="G214" s="8435"/>
      <c r="H214" s="8435"/>
      <c r="I214" s="8435"/>
      <c r="J214" s="8435"/>
      <c r="K214" s="8435"/>
      <c r="L214" s="8435"/>
      <c r="M214" s="8435"/>
      <c r="N214" s="8436"/>
      <c r="O214" s="7516"/>
      <c r="P214" s="8437"/>
      <c r="Q214" s="8437"/>
      <c r="R214" s="8437"/>
      <c r="S214" s="8438"/>
      <c r="T214" s="4771"/>
      <c r="U214" s="773"/>
      <c r="V214" s="276"/>
      <c r="W214" s="773"/>
      <c r="X214" s="3951"/>
      <c r="Y214" s="8405"/>
      <c r="Z214" s="8406"/>
      <c r="AA214" s="8406"/>
      <c r="AB214" s="8406"/>
      <c r="AC214" s="8406"/>
      <c r="AD214" s="8406"/>
      <c r="AE214" s="8407"/>
      <c r="AF214" s="4771"/>
      <c r="AG214" s="773"/>
      <c r="AH214" s="276"/>
      <c r="AI214" s="773"/>
      <c r="AJ214" s="3951"/>
      <c r="AK214" s="4771"/>
      <c r="AL214" s="773"/>
      <c r="AM214" s="276"/>
      <c r="AN214" s="773"/>
      <c r="AO214" s="773"/>
      <c r="AP214" s="1277"/>
      <c r="BG214" s="769"/>
      <c r="BH214" s="658"/>
      <c r="BI214" s="658"/>
      <c r="BJ214" s="658"/>
      <c r="BK214" s="658"/>
      <c r="BL214" s="658"/>
      <c r="BM214" s="658"/>
      <c r="BN214" s="658"/>
      <c r="BO214" s="658"/>
      <c r="BP214" s="658"/>
    </row>
    <row r="215" spans="1:68" ht="13.5" customHeight="1">
      <c r="A215" s="1277"/>
      <c r="B215" s="4824" t="s">
        <v>521</v>
      </c>
      <c r="C215" s="8434"/>
      <c r="D215" s="8435"/>
      <c r="E215" s="8435"/>
      <c r="F215" s="8435"/>
      <c r="G215" s="8435"/>
      <c r="H215" s="8435"/>
      <c r="I215" s="8435"/>
      <c r="J215" s="8435"/>
      <c r="K215" s="8435"/>
      <c r="L215" s="8435"/>
      <c r="M215" s="8435"/>
      <c r="N215" s="8436"/>
      <c r="O215" s="7516"/>
      <c r="P215" s="8437"/>
      <c r="Q215" s="8437"/>
      <c r="R215" s="8437"/>
      <c r="S215" s="8438"/>
      <c r="T215" s="4771"/>
      <c r="U215" s="773"/>
      <c r="V215" s="276"/>
      <c r="W215" s="773"/>
      <c r="X215" s="3951"/>
      <c r="Y215" s="8405"/>
      <c r="Z215" s="8406"/>
      <c r="AA215" s="8406"/>
      <c r="AB215" s="8406"/>
      <c r="AC215" s="8406"/>
      <c r="AD215" s="8406"/>
      <c r="AE215" s="8407"/>
      <c r="AF215" s="4771"/>
      <c r="AG215" s="773"/>
      <c r="AH215" s="276"/>
      <c r="AI215" s="773"/>
      <c r="AJ215" s="3951"/>
      <c r="AK215" s="4771"/>
      <c r="AL215" s="773"/>
      <c r="AM215" s="276"/>
      <c r="AN215" s="773"/>
      <c r="AO215" s="773"/>
      <c r="AP215" s="1277"/>
      <c r="BG215" s="769"/>
      <c r="BH215" s="658"/>
      <c r="BI215" s="658"/>
      <c r="BJ215" s="658"/>
      <c r="BK215" s="658"/>
      <c r="BL215" s="658"/>
      <c r="BM215" s="658"/>
      <c r="BN215" s="658"/>
      <c r="BO215" s="658"/>
      <c r="BP215" s="658"/>
    </row>
    <row r="216" spans="1:68" ht="17.25" customHeight="1">
      <c r="A216" s="1277"/>
      <c r="B216" s="8409" t="s">
        <v>2407</v>
      </c>
      <c r="C216" s="8501"/>
      <c r="D216" s="8501"/>
      <c r="E216" s="8501"/>
      <c r="F216" s="8501"/>
      <c r="G216" s="8501"/>
      <c r="H216" s="8501"/>
      <c r="I216" s="8501"/>
      <c r="J216" s="8501"/>
      <c r="K216" s="8501"/>
      <c r="L216" s="8501"/>
      <c r="M216" s="8501"/>
      <c r="N216" s="8501"/>
      <c r="O216" s="8501"/>
      <c r="P216" s="8501"/>
      <c r="Q216" s="8501"/>
      <c r="R216" s="7840"/>
      <c r="S216" s="8423" t="s">
        <v>2408</v>
      </c>
      <c r="T216" s="8424"/>
      <c r="U216" s="8424"/>
      <c r="V216" s="8424"/>
      <c r="W216" s="8424"/>
      <c r="X216" s="8424"/>
      <c r="Y216" s="8424"/>
      <c r="Z216" s="8424"/>
      <c r="AA216" s="8424"/>
      <c r="AB216" s="8424"/>
      <c r="AC216" s="8424"/>
      <c r="AD216" s="8424"/>
      <c r="AE216" s="8424"/>
      <c r="AF216" s="8424"/>
      <c r="AG216" s="8424"/>
      <c r="AH216" s="8424"/>
      <c r="AI216" s="8424"/>
      <c r="AJ216" s="8424"/>
      <c r="AK216" s="8424"/>
      <c r="AL216" s="8424"/>
      <c r="AM216" s="8424"/>
      <c r="AN216" s="8424"/>
      <c r="AO216" s="8424"/>
      <c r="AP216" s="1277"/>
      <c r="BG216" s="769"/>
      <c r="BH216" s="658"/>
      <c r="BI216" s="658"/>
      <c r="BJ216" s="658"/>
      <c r="BK216" s="658"/>
      <c r="BL216" s="658"/>
      <c r="BM216" s="658"/>
      <c r="BN216" s="658"/>
      <c r="BO216" s="658"/>
      <c r="BP216" s="658"/>
    </row>
    <row r="217" spans="1:68" ht="12.75" customHeight="1">
      <c r="A217" s="1277"/>
      <c r="B217" s="406"/>
      <c r="C217" s="8391" t="s">
        <v>2409</v>
      </c>
      <c r="D217" s="8418"/>
      <c r="E217" s="8418"/>
      <c r="F217" s="8418"/>
      <c r="G217" s="8418"/>
      <c r="H217" s="8418"/>
      <c r="I217" s="8418"/>
      <c r="J217" s="8507"/>
      <c r="K217" s="8417" t="s">
        <v>2410</v>
      </c>
      <c r="L217" s="8418"/>
      <c r="M217" s="8418"/>
      <c r="N217" s="8418"/>
      <c r="O217" s="8418"/>
      <c r="P217" s="8418"/>
      <c r="Q217" s="8418"/>
      <c r="R217" s="8418"/>
      <c r="S217" s="8510" t="s">
        <v>2411</v>
      </c>
      <c r="T217" s="8418"/>
      <c r="U217" s="8418"/>
      <c r="V217" s="8418"/>
      <c r="W217" s="8418"/>
      <c r="X217" s="8418"/>
      <c r="Y217" s="8507"/>
      <c r="Z217" s="8417" t="s">
        <v>2412</v>
      </c>
      <c r="AA217" s="8418"/>
      <c r="AB217" s="8418"/>
      <c r="AC217" s="8418"/>
      <c r="AD217" s="8418"/>
      <c r="AE217" s="8418"/>
      <c r="AF217" s="8418"/>
      <c r="AG217" s="8507"/>
      <c r="AH217" s="8417" t="s">
        <v>2413</v>
      </c>
      <c r="AI217" s="8418"/>
      <c r="AJ217" s="8418"/>
      <c r="AK217" s="8418"/>
      <c r="AL217" s="8418"/>
      <c r="AM217" s="8418"/>
      <c r="AN217" s="8418"/>
      <c r="AO217" s="8418"/>
      <c r="AP217" s="1277"/>
      <c r="BG217" s="769"/>
      <c r="BH217" s="658"/>
      <c r="BI217" s="658"/>
      <c r="BJ217" s="658"/>
      <c r="BK217" s="658"/>
      <c r="BL217" s="658"/>
      <c r="BM217" s="658"/>
      <c r="BN217" s="658"/>
      <c r="BO217" s="658"/>
      <c r="BP217" s="658"/>
    </row>
    <row r="218" spans="1:68" ht="12.75" customHeight="1">
      <c r="A218" s="1277"/>
      <c r="B218" s="253"/>
      <c r="C218" s="8420"/>
      <c r="D218" s="8420"/>
      <c r="E218" s="8420"/>
      <c r="F218" s="8420"/>
      <c r="G218" s="8420"/>
      <c r="H218" s="8420"/>
      <c r="I218" s="8420"/>
      <c r="J218" s="8508"/>
      <c r="K218" s="8419"/>
      <c r="L218" s="8420"/>
      <c r="M218" s="8420"/>
      <c r="N218" s="8420"/>
      <c r="O218" s="8420"/>
      <c r="P218" s="8420"/>
      <c r="Q218" s="8420"/>
      <c r="R218" s="8420"/>
      <c r="S218" s="8511"/>
      <c r="T218" s="8420"/>
      <c r="U218" s="8420"/>
      <c r="V218" s="8420"/>
      <c r="W218" s="8420"/>
      <c r="X218" s="8420"/>
      <c r="Y218" s="8508"/>
      <c r="Z218" s="8419"/>
      <c r="AA218" s="8420"/>
      <c r="AB218" s="8420"/>
      <c r="AC218" s="8420"/>
      <c r="AD218" s="8420"/>
      <c r="AE218" s="8420"/>
      <c r="AF218" s="8420"/>
      <c r="AG218" s="8508"/>
      <c r="AH218" s="8419"/>
      <c r="AI218" s="8420"/>
      <c r="AJ218" s="8420"/>
      <c r="AK218" s="8420"/>
      <c r="AL218" s="8420"/>
      <c r="AM218" s="8420"/>
      <c r="AN218" s="8420"/>
      <c r="AO218" s="8420"/>
      <c r="AP218" s="1277"/>
      <c r="BG218" s="769"/>
      <c r="BH218" s="658"/>
      <c r="BI218" s="658"/>
      <c r="BJ218" s="658"/>
      <c r="BK218" s="658"/>
      <c r="BL218" s="658"/>
      <c r="BM218" s="658"/>
      <c r="BN218" s="658"/>
      <c r="BO218" s="658"/>
      <c r="BP218" s="658"/>
    </row>
    <row r="219" spans="1:68" ht="12.75" customHeight="1">
      <c r="A219" s="1277"/>
      <c r="B219" s="413"/>
      <c r="C219" s="8422"/>
      <c r="D219" s="8422"/>
      <c r="E219" s="8422"/>
      <c r="F219" s="8422"/>
      <c r="G219" s="8422"/>
      <c r="H219" s="8422"/>
      <c r="I219" s="8422"/>
      <c r="J219" s="8509"/>
      <c r="K219" s="8421"/>
      <c r="L219" s="8422"/>
      <c r="M219" s="8422"/>
      <c r="N219" s="8422"/>
      <c r="O219" s="8422"/>
      <c r="P219" s="8422"/>
      <c r="Q219" s="8422"/>
      <c r="R219" s="8422"/>
      <c r="S219" s="8512"/>
      <c r="T219" s="8422"/>
      <c r="U219" s="8422"/>
      <c r="V219" s="8422"/>
      <c r="W219" s="8422"/>
      <c r="X219" s="8422"/>
      <c r="Y219" s="8509"/>
      <c r="Z219" s="8421"/>
      <c r="AA219" s="8422"/>
      <c r="AB219" s="8422"/>
      <c r="AC219" s="8422"/>
      <c r="AD219" s="8422"/>
      <c r="AE219" s="8422"/>
      <c r="AF219" s="8422"/>
      <c r="AG219" s="8509"/>
      <c r="AH219" s="8421"/>
      <c r="AI219" s="8422"/>
      <c r="AJ219" s="8422"/>
      <c r="AK219" s="8422"/>
      <c r="AL219" s="8422"/>
      <c r="AM219" s="8422"/>
      <c r="AN219" s="8422"/>
      <c r="AO219" s="8422"/>
      <c r="AP219" s="1277"/>
      <c r="BG219" s="769"/>
      <c r="BH219" s="658"/>
      <c r="BI219" s="658"/>
      <c r="BJ219" s="658"/>
      <c r="BK219" s="658"/>
      <c r="BL219" s="658"/>
      <c r="BM219" s="658"/>
      <c r="BN219" s="658"/>
      <c r="BO219" s="658"/>
      <c r="BP219" s="658"/>
    </row>
    <row r="220" spans="1:68" ht="13.5" customHeight="1">
      <c r="A220" s="1277"/>
      <c r="B220" s="4656" t="s">
        <v>510</v>
      </c>
      <c r="C220" s="8431"/>
      <c r="D220" s="8432"/>
      <c r="E220" s="8432"/>
      <c r="F220" s="8432"/>
      <c r="G220" s="8432"/>
      <c r="H220" s="8432"/>
      <c r="I220" s="8432"/>
      <c r="J220" s="8465"/>
      <c r="K220" s="8431"/>
      <c r="L220" s="8432"/>
      <c r="M220" s="8432"/>
      <c r="N220" s="8432"/>
      <c r="O220" s="8432"/>
      <c r="P220" s="8432"/>
      <c r="Q220" s="8432"/>
      <c r="R220" s="8474"/>
      <c r="S220" s="8431"/>
      <c r="T220" s="8432"/>
      <c r="U220" s="8432"/>
      <c r="V220" s="8432"/>
      <c r="W220" s="8432"/>
      <c r="X220" s="8432"/>
      <c r="Y220" s="8432"/>
      <c r="Z220" s="8431"/>
      <c r="AA220" s="8432"/>
      <c r="AB220" s="8432"/>
      <c r="AC220" s="8432"/>
      <c r="AD220" s="8432"/>
      <c r="AE220" s="8432"/>
      <c r="AF220" s="8432"/>
      <c r="AG220" s="8465"/>
      <c r="AH220" s="8431"/>
      <c r="AI220" s="8432"/>
      <c r="AJ220" s="8432"/>
      <c r="AK220" s="8432"/>
      <c r="AL220" s="8432"/>
      <c r="AM220" s="8432"/>
      <c r="AN220" s="8432"/>
      <c r="AO220" s="8432"/>
      <c r="AP220" s="1277"/>
      <c r="BG220" s="769"/>
      <c r="BH220" s="658"/>
      <c r="BI220" s="658"/>
      <c r="BJ220" s="658"/>
      <c r="BK220" s="658"/>
      <c r="BL220" s="658"/>
      <c r="BM220" s="658"/>
      <c r="BN220" s="658"/>
      <c r="BO220" s="658"/>
      <c r="BP220" s="658"/>
    </row>
    <row r="221" spans="1:68" ht="13.5" customHeight="1">
      <c r="A221" s="1277"/>
      <c r="B221" s="4824" t="s">
        <v>516</v>
      </c>
      <c r="C221" s="8431"/>
      <c r="D221" s="8432"/>
      <c r="E221" s="8432"/>
      <c r="F221" s="8432"/>
      <c r="G221" s="8432"/>
      <c r="H221" s="8432"/>
      <c r="I221" s="8432"/>
      <c r="J221" s="8465"/>
      <c r="K221" s="8431"/>
      <c r="L221" s="8432"/>
      <c r="M221" s="8432"/>
      <c r="N221" s="8432"/>
      <c r="O221" s="8432"/>
      <c r="P221" s="8432"/>
      <c r="Q221" s="8432"/>
      <c r="R221" s="8474"/>
      <c r="S221" s="8431"/>
      <c r="T221" s="8432"/>
      <c r="U221" s="8432"/>
      <c r="V221" s="8432"/>
      <c r="W221" s="8432"/>
      <c r="X221" s="8432"/>
      <c r="Y221" s="8432"/>
      <c r="Z221" s="8431"/>
      <c r="AA221" s="8432"/>
      <c r="AB221" s="8432"/>
      <c r="AC221" s="8432"/>
      <c r="AD221" s="8432"/>
      <c r="AE221" s="8432"/>
      <c r="AF221" s="8432"/>
      <c r="AG221" s="8465"/>
      <c r="AH221" s="8431"/>
      <c r="AI221" s="8432"/>
      <c r="AJ221" s="8432"/>
      <c r="AK221" s="8432"/>
      <c r="AL221" s="8432"/>
      <c r="AM221" s="8432"/>
      <c r="AN221" s="8432"/>
      <c r="AO221" s="8432"/>
      <c r="AP221" s="1277"/>
      <c r="BG221" s="769"/>
      <c r="BH221" s="658"/>
      <c r="BI221" s="658"/>
      <c r="BJ221" s="658"/>
      <c r="BK221" s="658"/>
      <c r="BL221" s="658"/>
      <c r="BM221" s="658"/>
      <c r="BN221" s="658"/>
      <c r="BO221" s="658"/>
      <c r="BP221" s="658"/>
    </row>
    <row r="222" spans="1:68" ht="13.5" customHeight="1">
      <c r="A222" s="1277"/>
      <c r="B222" s="4824" t="s">
        <v>518</v>
      </c>
      <c r="C222" s="8431"/>
      <c r="D222" s="8432"/>
      <c r="E222" s="8432"/>
      <c r="F222" s="8432"/>
      <c r="G222" s="8432"/>
      <c r="H222" s="8432"/>
      <c r="I222" s="8432"/>
      <c r="J222" s="8465"/>
      <c r="K222" s="8431"/>
      <c r="L222" s="8432"/>
      <c r="M222" s="8432"/>
      <c r="N222" s="8432"/>
      <c r="O222" s="8432"/>
      <c r="P222" s="8432"/>
      <c r="Q222" s="8432"/>
      <c r="R222" s="8474"/>
      <c r="S222" s="8431"/>
      <c r="T222" s="8432"/>
      <c r="U222" s="8432"/>
      <c r="V222" s="8432"/>
      <c r="W222" s="8432"/>
      <c r="X222" s="8432"/>
      <c r="Y222" s="8432"/>
      <c r="Z222" s="8431"/>
      <c r="AA222" s="8432"/>
      <c r="AB222" s="8432"/>
      <c r="AC222" s="8432"/>
      <c r="AD222" s="8432"/>
      <c r="AE222" s="8432"/>
      <c r="AF222" s="8432"/>
      <c r="AG222" s="8465"/>
      <c r="AH222" s="8431"/>
      <c r="AI222" s="8432"/>
      <c r="AJ222" s="8432"/>
      <c r="AK222" s="8432"/>
      <c r="AL222" s="8432"/>
      <c r="AM222" s="8432"/>
      <c r="AN222" s="8432"/>
      <c r="AO222" s="8432"/>
      <c r="AP222" s="1277"/>
      <c r="BG222" s="769"/>
      <c r="BH222" s="658"/>
      <c r="BI222" s="658"/>
      <c r="BJ222" s="658"/>
      <c r="BK222" s="658"/>
      <c r="BL222" s="658"/>
      <c r="BM222" s="658"/>
      <c r="BN222" s="658"/>
      <c r="BO222" s="658"/>
      <c r="BP222" s="658"/>
    </row>
    <row r="223" spans="1:68" ht="13.5" customHeight="1">
      <c r="A223" s="1277"/>
      <c r="B223" s="4824" t="s">
        <v>521</v>
      </c>
      <c r="C223" s="8431"/>
      <c r="D223" s="8432"/>
      <c r="E223" s="8432"/>
      <c r="F223" s="8432"/>
      <c r="G223" s="8432"/>
      <c r="H223" s="8432"/>
      <c r="I223" s="8432"/>
      <c r="J223" s="8465"/>
      <c r="K223" s="8431"/>
      <c r="L223" s="8432"/>
      <c r="M223" s="8432"/>
      <c r="N223" s="8432"/>
      <c r="O223" s="8432"/>
      <c r="P223" s="8432"/>
      <c r="Q223" s="8432"/>
      <c r="R223" s="8474"/>
      <c r="S223" s="8431"/>
      <c r="T223" s="8432"/>
      <c r="U223" s="8432"/>
      <c r="V223" s="8432"/>
      <c r="W223" s="8432"/>
      <c r="X223" s="8432"/>
      <c r="Y223" s="8432"/>
      <c r="Z223" s="8431"/>
      <c r="AA223" s="8432"/>
      <c r="AB223" s="8432"/>
      <c r="AC223" s="8432"/>
      <c r="AD223" s="8432"/>
      <c r="AE223" s="8432"/>
      <c r="AF223" s="8432"/>
      <c r="AG223" s="8465"/>
      <c r="AH223" s="8431"/>
      <c r="AI223" s="8432"/>
      <c r="AJ223" s="8432"/>
      <c r="AK223" s="8432"/>
      <c r="AL223" s="8432"/>
      <c r="AM223" s="8432"/>
      <c r="AN223" s="8432"/>
      <c r="AO223" s="8432"/>
      <c r="AP223" s="1277"/>
      <c r="BG223" s="769"/>
      <c r="BH223" s="658"/>
      <c r="BI223" s="658"/>
      <c r="BJ223" s="658"/>
      <c r="BK223" s="658"/>
      <c r="BL223" s="658"/>
      <c r="BM223" s="658"/>
      <c r="BN223" s="658"/>
      <c r="BO223" s="658"/>
      <c r="BP223" s="658"/>
    </row>
    <row r="224" spans="1:68" ht="13.5" customHeight="1">
      <c r="A224" s="1277"/>
      <c r="B224" s="8409" t="s">
        <v>2414</v>
      </c>
      <c r="C224" s="8409"/>
      <c r="D224" s="1469"/>
      <c r="E224" s="1469" t="s">
        <v>2415</v>
      </c>
      <c r="F224" s="4825"/>
      <c r="G224" s="3835"/>
      <c r="H224" s="3835"/>
      <c r="I224" s="3835"/>
      <c r="J224" s="4826"/>
      <c r="K224" s="8384">
        <f>ROUND(SUM(K220:K223),0)</f>
        <v>0</v>
      </c>
      <c r="L224" s="8385"/>
      <c r="M224" s="8385"/>
      <c r="N224" s="8385"/>
      <c r="O224" s="8385"/>
      <c r="P224" s="8385"/>
      <c r="Q224" s="8385"/>
      <c r="R224" s="8386"/>
      <c r="S224" s="8502"/>
      <c r="T224" s="8503"/>
      <c r="U224" s="8503"/>
      <c r="V224" s="8503"/>
      <c r="W224" s="8503"/>
      <c r="X224" s="8503"/>
      <c r="Y224" s="8503"/>
      <c r="Z224" s="3835"/>
      <c r="AA224" s="3835"/>
      <c r="AB224" s="3835"/>
      <c r="AC224" s="3835"/>
      <c r="AD224" s="3835"/>
      <c r="AE224" s="3835"/>
      <c r="AF224" s="3835"/>
      <c r="AG224" s="4826"/>
      <c r="AH224" s="8381">
        <f>ROUND(SUM(AH220:AH223),0)</f>
        <v>0</v>
      </c>
      <c r="AI224" s="8399"/>
      <c r="AJ224" s="8399"/>
      <c r="AK224" s="8399"/>
      <c r="AL224" s="8399"/>
      <c r="AM224" s="8399"/>
      <c r="AN224" s="8399"/>
      <c r="AO224" s="8399"/>
      <c r="AP224" s="1277"/>
      <c r="BG224" s="769"/>
      <c r="BH224" s="658"/>
      <c r="BI224" s="658"/>
      <c r="BJ224" s="658"/>
      <c r="BK224" s="658"/>
      <c r="BL224" s="658"/>
      <c r="BM224" s="658"/>
      <c r="BN224" s="658"/>
      <c r="BO224" s="658"/>
      <c r="BP224" s="658"/>
    </row>
    <row r="225" spans="1:69" ht="13.5" customHeight="1">
      <c r="A225" s="1277"/>
      <c r="B225" s="7858" t="s">
        <v>592</v>
      </c>
      <c r="C225" s="7858"/>
      <c r="D225" s="511"/>
      <c r="E225" s="1469" t="s">
        <v>2415</v>
      </c>
      <c r="F225" s="8381">
        <f>ROUND(SUM(C220:C223),0)</f>
        <v>0</v>
      </c>
      <c r="G225" s="8399"/>
      <c r="H225" s="8399"/>
      <c r="I225" s="8399"/>
      <c r="J225" s="8499"/>
      <c r="K225" s="8504"/>
      <c r="L225" s="8505"/>
      <c r="M225" s="8505"/>
      <c r="N225" s="8505"/>
      <c r="O225" s="8505"/>
      <c r="P225" s="8505"/>
      <c r="Q225" s="8505"/>
      <c r="R225" s="8506"/>
      <c r="S225" s="8401">
        <f>ROUND(SUM(S220:S223),0)</f>
        <v>0</v>
      </c>
      <c r="T225" s="8385"/>
      <c r="U225" s="8385"/>
      <c r="V225" s="8385"/>
      <c r="W225" s="8385"/>
      <c r="X225" s="8385"/>
      <c r="Y225" s="8402"/>
      <c r="Z225" s="8500">
        <f>ROUND(SUM(Z220:Z223),0)</f>
        <v>0</v>
      </c>
      <c r="AA225" s="8500"/>
      <c r="AB225" s="8500"/>
      <c r="AC225" s="8500"/>
      <c r="AD225" s="8500"/>
      <c r="AE225" s="8500"/>
      <c r="AF225" s="8500"/>
      <c r="AG225" s="8500"/>
      <c r="AH225" s="8497"/>
      <c r="AI225" s="8497"/>
      <c r="AJ225" s="8497"/>
      <c r="AK225" s="8497"/>
      <c r="AL225" s="8497"/>
      <c r="AM225" s="8497"/>
      <c r="AN225" s="8497"/>
      <c r="AO225" s="8498"/>
      <c r="AP225" s="1277"/>
      <c r="BG225" s="769"/>
      <c r="BH225" s="658"/>
      <c r="BI225" s="658"/>
      <c r="BJ225" s="658"/>
      <c r="BK225" s="658"/>
      <c r="BL225" s="658"/>
      <c r="BM225" s="658"/>
      <c r="BN225" s="658"/>
      <c r="BO225" s="658"/>
      <c r="BP225" s="658"/>
    </row>
    <row r="226" spans="1:69" ht="12.75" customHeight="1">
      <c r="A226" s="1277"/>
      <c r="B226" s="7608">
        <v>30</v>
      </c>
      <c r="C226" s="7608"/>
      <c r="D226" s="511" t="s">
        <v>2416</v>
      </c>
      <c r="E226" s="253"/>
      <c r="F226" s="253"/>
      <c r="G226" s="253"/>
      <c r="H226" s="253"/>
      <c r="I226" s="253"/>
      <c r="J226" s="253"/>
      <c r="K226" s="253"/>
      <c r="L226" s="253"/>
      <c r="M226" s="253"/>
      <c r="N226" s="253"/>
      <c r="O226" s="253"/>
      <c r="P226" s="253"/>
      <c r="Q226" s="253"/>
      <c r="R226" s="253"/>
      <c r="S226" s="253"/>
      <c r="T226" s="253"/>
      <c r="U226" s="253"/>
      <c r="V226" s="253"/>
      <c r="W226" s="253"/>
      <c r="X226" s="253"/>
      <c r="Y226" s="253"/>
      <c r="Z226" s="253"/>
      <c r="AA226" s="253"/>
      <c r="AB226" s="253"/>
      <c r="AC226" s="253"/>
      <c r="AD226" s="253"/>
      <c r="AE226" s="2198" t="s">
        <v>665</v>
      </c>
      <c r="AF226" s="8387">
        <v>30</v>
      </c>
      <c r="AG226" s="8388"/>
      <c r="AH226" s="8429">
        <f>SUM(K224,AH224)</f>
        <v>0</v>
      </c>
      <c r="AI226" s="8430"/>
      <c r="AJ226" s="8430"/>
      <c r="AK226" s="8430"/>
      <c r="AL226" s="8430"/>
      <c r="AM226" s="8430"/>
      <c r="AN226" s="8430"/>
      <c r="AO226" s="8430"/>
      <c r="AP226" s="1277"/>
      <c r="AQ226" s="2875"/>
      <c r="AR226" s="2875"/>
      <c r="AS226" s="2875"/>
      <c r="BG226" s="769"/>
      <c r="BH226" s="658"/>
      <c r="BI226" s="658"/>
      <c r="BJ226" s="658"/>
      <c r="BK226" s="658"/>
      <c r="BL226" s="658"/>
      <c r="BM226" s="658"/>
      <c r="BN226" s="658"/>
      <c r="BO226" s="658"/>
      <c r="BP226" s="658"/>
    </row>
    <row r="227" spans="1:69" ht="12.75" customHeight="1" thickBot="1">
      <c r="A227" s="1277"/>
      <c r="B227" s="7608">
        <v>31</v>
      </c>
      <c r="C227" s="7608"/>
      <c r="D227" s="511" t="s">
        <v>2417</v>
      </c>
      <c r="E227" s="253"/>
      <c r="F227" s="253"/>
      <c r="G227" s="253"/>
      <c r="H227" s="253"/>
      <c r="I227" s="253"/>
      <c r="J227" s="253"/>
      <c r="K227" s="253"/>
      <c r="L227" s="253"/>
      <c r="M227" s="253"/>
      <c r="N227" s="253"/>
      <c r="O227" s="253"/>
      <c r="P227" s="253"/>
      <c r="Q227" s="253"/>
      <c r="R227" s="253"/>
      <c r="S227" s="253"/>
      <c r="T227" s="253"/>
      <c r="U227" s="253"/>
      <c r="V227" s="253"/>
      <c r="W227" s="253"/>
      <c r="X227" s="253"/>
      <c r="Y227" s="253"/>
      <c r="Z227" s="253"/>
      <c r="AA227" s="253"/>
      <c r="AB227" s="253"/>
      <c r="AC227" s="253"/>
      <c r="AD227" s="253"/>
      <c r="AE227" s="2198" t="s">
        <v>647</v>
      </c>
      <c r="AF227" s="8387">
        <v>31</v>
      </c>
      <c r="AG227" s="8388"/>
      <c r="AH227" s="4827" t="s">
        <v>799</v>
      </c>
      <c r="AI227" s="8412">
        <f>SUM(F225,S225,Z225)</f>
        <v>0</v>
      </c>
      <c r="AJ227" s="8274"/>
      <c r="AK227" s="8274"/>
      <c r="AL227" s="8274"/>
      <c r="AM227" s="8274"/>
      <c r="AN227" s="8274"/>
      <c r="AO227" s="4828" t="s">
        <v>800</v>
      </c>
      <c r="AP227" s="1277"/>
      <c r="AQ227" s="2875"/>
      <c r="AR227" s="185" t="s">
        <v>771</v>
      </c>
      <c r="AS227" s="2875"/>
      <c r="BG227" s="769"/>
      <c r="BH227" s="658"/>
      <c r="BI227" s="658"/>
      <c r="BJ227" s="658"/>
      <c r="BK227" s="658"/>
      <c r="BL227" s="658"/>
      <c r="BM227" s="658"/>
      <c r="BN227" s="658"/>
      <c r="BO227" s="658"/>
      <c r="BP227" s="658"/>
    </row>
    <row r="228" spans="1:69" ht="12.75" customHeight="1" thickBot="1">
      <c r="A228" s="1277"/>
      <c r="B228" s="8614">
        <v>32</v>
      </c>
      <c r="C228" s="8614"/>
      <c r="D228" s="4830" t="s">
        <v>2418</v>
      </c>
      <c r="E228" s="380"/>
      <c r="F228" s="380"/>
      <c r="G228" s="380"/>
      <c r="H228" s="380"/>
      <c r="I228" s="380"/>
      <c r="J228" s="380"/>
      <c r="K228" s="380"/>
      <c r="L228" s="380"/>
      <c r="M228" s="380"/>
      <c r="N228" s="380"/>
      <c r="O228" s="380"/>
      <c r="P228" s="380"/>
      <c r="Q228" s="380"/>
      <c r="R228" s="380"/>
      <c r="S228" s="380"/>
      <c r="T228" s="380"/>
      <c r="U228" s="380"/>
      <c r="V228" s="380"/>
      <c r="W228" s="380"/>
      <c r="X228" s="380"/>
      <c r="Y228" s="380"/>
      <c r="Z228" s="380"/>
      <c r="AA228" s="380"/>
      <c r="AB228" s="380"/>
      <c r="AC228" s="380"/>
      <c r="AD228" s="380"/>
      <c r="AE228" s="4533" t="s">
        <v>627</v>
      </c>
      <c r="AF228" s="8389">
        <v>32</v>
      </c>
      <c r="AG228" s="8390"/>
      <c r="AH228" s="8602">
        <f>IF(AR228&lt;&gt;"",ROUND(AR228,0),SUM(AH226,-AI227))</f>
        <v>0</v>
      </c>
      <c r="AI228" s="8603"/>
      <c r="AJ228" s="8603"/>
      <c r="AK228" s="8603"/>
      <c r="AL228" s="8603"/>
      <c r="AM228" s="8603"/>
      <c r="AN228" s="8603"/>
      <c r="AO228" s="8603"/>
      <c r="AP228" s="1277"/>
      <c r="AQ228" s="2875"/>
      <c r="AR228" s="776"/>
      <c r="AS228" s="2875"/>
      <c r="BG228" s="769"/>
      <c r="BH228" s="658"/>
      <c r="BI228" s="658"/>
      <c r="BJ228" s="658"/>
      <c r="BK228" s="658"/>
      <c r="BL228" s="658"/>
      <c r="BM228" s="658"/>
      <c r="BN228" s="658"/>
      <c r="BO228" s="658"/>
      <c r="BP228" s="658"/>
    </row>
    <row r="229" spans="1:69" s="1405" customFormat="1" ht="17.25" customHeight="1">
      <c r="A229" s="2119"/>
      <c r="B229" s="8479" t="s">
        <v>1938</v>
      </c>
      <c r="C229" s="8479"/>
      <c r="D229" s="8480"/>
      <c r="E229" s="1998"/>
      <c r="F229" s="1997" t="s">
        <v>2419</v>
      </c>
      <c r="G229" s="1998"/>
      <c r="H229" s="1998"/>
      <c r="I229" s="1998"/>
      <c r="J229" s="1998"/>
      <c r="K229" s="1998"/>
      <c r="L229" s="1998"/>
      <c r="M229" s="1998"/>
      <c r="N229" s="1998"/>
      <c r="O229" s="1998"/>
      <c r="P229" s="1998"/>
      <c r="Q229" s="1998"/>
      <c r="R229" s="1998"/>
      <c r="S229" s="1998"/>
      <c r="T229" s="1998"/>
      <c r="U229" s="1998"/>
      <c r="V229" s="1998"/>
      <c r="W229" s="1998"/>
      <c r="X229" s="1996"/>
      <c r="Y229" s="1998"/>
      <c r="Z229" s="1998"/>
      <c r="AA229" s="1998"/>
      <c r="AB229" s="1998"/>
      <c r="AC229" s="1998"/>
      <c r="AD229" s="1998"/>
      <c r="AE229" s="1998"/>
      <c r="AF229" s="1998"/>
      <c r="AG229" s="1998"/>
      <c r="AH229" s="1998"/>
      <c r="AI229" s="1998"/>
      <c r="AJ229" s="1998"/>
      <c r="AK229" s="1998"/>
      <c r="AL229" s="1998"/>
      <c r="AM229" s="1998"/>
      <c r="AN229" s="1998"/>
      <c r="AO229" s="1998"/>
      <c r="AP229" s="1277"/>
      <c r="AQ229" s="2875"/>
      <c r="AR229" s="2875"/>
      <c r="AS229" s="2875"/>
      <c r="AX229"/>
      <c r="AY229"/>
      <c r="AZ229"/>
      <c r="BA229"/>
      <c r="BB229"/>
      <c r="BC229"/>
      <c r="BD229"/>
      <c r="BG229" s="769"/>
      <c r="BH229" s="658"/>
      <c r="BI229" s="658"/>
      <c r="BJ229" s="658"/>
      <c r="BK229" s="658"/>
      <c r="BL229" s="658"/>
      <c r="BM229" s="658"/>
      <c r="BN229" s="658"/>
      <c r="BO229" s="658"/>
      <c r="BP229" s="658"/>
      <c r="BQ229" s="815"/>
    </row>
    <row r="230" spans="1:69" ht="12.75" customHeight="1">
      <c r="A230" s="1277"/>
      <c r="B230" s="406"/>
      <c r="C230" s="406"/>
      <c r="D230" s="406"/>
      <c r="E230" s="406"/>
      <c r="F230" s="406"/>
      <c r="G230" s="406"/>
      <c r="H230" s="406"/>
      <c r="I230" s="406"/>
      <c r="J230" s="406"/>
      <c r="K230" s="406"/>
      <c r="L230" s="406"/>
      <c r="M230" s="406"/>
      <c r="N230" s="406"/>
      <c r="O230" s="406"/>
      <c r="P230" s="406"/>
      <c r="Q230" s="406"/>
      <c r="R230" s="406"/>
      <c r="S230" s="406"/>
      <c r="T230" s="406"/>
      <c r="U230" s="406"/>
      <c r="V230" s="406"/>
      <c r="W230" s="406"/>
      <c r="X230" s="406"/>
      <c r="Y230" s="406"/>
      <c r="Z230" s="406"/>
      <c r="AA230" s="406"/>
      <c r="AB230" s="406"/>
      <c r="AC230" s="406"/>
      <c r="AD230" s="406"/>
      <c r="AE230" s="406"/>
      <c r="AF230" s="406"/>
      <c r="AG230" s="407"/>
      <c r="AH230" s="8417" t="s">
        <v>2420</v>
      </c>
      <c r="AI230" s="8481"/>
      <c r="AJ230" s="8481"/>
      <c r="AK230" s="8481"/>
      <c r="AL230" s="8481"/>
      <c r="AM230" s="8481"/>
      <c r="AN230" s="8481"/>
      <c r="AO230" s="8481"/>
      <c r="AP230" s="1277"/>
      <c r="BG230" s="769"/>
      <c r="BH230" s="658"/>
      <c r="BI230" s="658"/>
      <c r="BJ230" s="658"/>
      <c r="BK230" s="658"/>
      <c r="BL230" s="658"/>
      <c r="BM230" s="658"/>
      <c r="BN230" s="658"/>
      <c r="BO230" s="658"/>
      <c r="BP230" s="658"/>
    </row>
    <row r="231" spans="1:69" ht="12.75" customHeight="1">
      <c r="A231" s="1277"/>
      <c r="B231" s="8433">
        <v>33</v>
      </c>
      <c r="C231" s="7091"/>
      <c r="D231" s="253"/>
      <c r="E231" s="253"/>
      <c r="F231" s="253"/>
      <c r="G231" s="253"/>
      <c r="H231" s="253"/>
      <c r="I231" s="253"/>
      <c r="J231" s="253"/>
      <c r="K231" s="253"/>
      <c r="L231" s="253"/>
      <c r="M231" s="253"/>
      <c r="N231" s="253"/>
      <c r="O231" s="253"/>
      <c r="P231" s="344" t="s">
        <v>2406</v>
      </c>
      <c r="Q231" s="253"/>
      <c r="R231" s="253"/>
      <c r="S231" s="253"/>
      <c r="T231" s="253"/>
      <c r="U231" s="253"/>
      <c r="V231" s="253"/>
      <c r="W231" s="253"/>
      <c r="X231" s="253"/>
      <c r="Y231" s="253"/>
      <c r="Z231" s="253"/>
      <c r="AA231" s="253"/>
      <c r="AB231" s="253"/>
      <c r="AC231" s="253"/>
      <c r="AD231" s="253"/>
      <c r="AE231" s="253"/>
      <c r="AF231" s="253"/>
      <c r="AG231" s="409"/>
      <c r="AH231" s="8482"/>
      <c r="AI231" s="8299"/>
      <c r="AJ231" s="8299"/>
      <c r="AK231" s="8299"/>
      <c r="AL231" s="8299"/>
      <c r="AM231" s="8299"/>
      <c r="AN231" s="8299"/>
      <c r="AO231" s="8299"/>
      <c r="AP231" s="1277"/>
      <c r="AX231" s="1405"/>
      <c r="AY231" s="1405"/>
      <c r="AZ231" s="1405"/>
      <c r="BA231" s="1405"/>
      <c r="BB231" s="1405"/>
      <c r="BC231" s="1405"/>
      <c r="BD231" s="1405"/>
      <c r="BG231" s="769"/>
      <c r="BH231" s="658"/>
      <c r="BI231" s="658"/>
      <c r="BJ231" s="658"/>
      <c r="BK231" s="658"/>
      <c r="BL231" s="658"/>
      <c r="BM231" s="658"/>
      <c r="BN231" s="658"/>
      <c r="BO231" s="658"/>
      <c r="BP231" s="658"/>
    </row>
    <row r="232" spans="1:69" ht="12.75" customHeight="1">
      <c r="A232" s="1277"/>
      <c r="B232" s="413"/>
      <c r="C232" s="413"/>
      <c r="D232" s="413"/>
      <c r="E232" s="413"/>
      <c r="F232" s="413"/>
      <c r="G232" s="413"/>
      <c r="H232" s="413"/>
      <c r="I232" s="413"/>
      <c r="J232" s="413"/>
      <c r="K232" s="413"/>
      <c r="L232" s="413"/>
      <c r="M232" s="413"/>
      <c r="N232" s="413"/>
      <c r="O232" s="413"/>
      <c r="P232" s="413"/>
      <c r="Q232" s="413"/>
      <c r="R232" s="413"/>
      <c r="S232" s="413"/>
      <c r="T232" s="413"/>
      <c r="U232" s="413"/>
      <c r="V232" s="413"/>
      <c r="W232" s="413"/>
      <c r="X232" s="413"/>
      <c r="Y232" s="413"/>
      <c r="Z232" s="413"/>
      <c r="AA232" s="413"/>
      <c r="AB232" s="413"/>
      <c r="AC232" s="413"/>
      <c r="AD232" s="413"/>
      <c r="AE232" s="413"/>
      <c r="AF232" s="413"/>
      <c r="AG232" s="414"/>
      <c r="AH232" s="8483"/>
      <c r="AI232" s="8168"/>
      <c r="AJ232" s="8168"/>
      <c r="AK232" s="8168"/>
      <c r="AL232" s="8168"/>
      <c r="AM232" s="8168"/>
      <c r="AN232" s="8168"/>
      <c r="AO232" s="8168"/>
      <c r="AP232" s="1277"/>
      <c r="BG232" s="769"/>
      <c r="BH232" s="658"/>
      <c r="BI232" s="658"/>
      <c r="BJ232" s="658"/>
      <c r="BK232" s="658"/>
      <c r="BL232" s="658"/>
      <c r="BM232" s="658"/>
      <c r="BN232" s="658"/>
      <c r="BO232" s="658"/>
      <c r="BP232" s="658"/>
    </row>
    <row r="233" spans="1:69" ht="13.5" customHeight="1">
      <c r="A233" s="1277"/>
      <c r="B233" s="4656" t="s">
        <v>510</v>
      </c>
      <c r="C233" s="8475"/>
      <c r="D233" s="8476"/>
      <c r="E233" s="8476"/>
      <c r="F233" s="8476"/>
      <c r="G233" s="8476"/>
      <c r="H233" s="8476"/>
      <c r="I233" s="8476"/>
      <c r="J233" s="8476"/>
      <c r="K233" s="8477"/>
      <c r="L233" s="8477"/>
      <c r="M233" s="8477"/>
      <c r="N233" s="8477"/>
      <c r="O233" s="8477"/>
      <c r="P233" s="8477"/>
      <c r="Q233" s="8477"/>
      <c r="R233" s="8477"/>
      <c r="S233" s="8477"/>
      <c r="T233" s="8477"/>
      <c r="U233" s="8477"/>
      <c r="V233" s="8477"/>
      <c r="W233" s="8477"/>
      <c r="X233" s="8477"/>
      <c r="Y233" s="8477"/>
      <c r="Z233" s="8477"/>
      <c r="AA233" s="8477"/>
      <c r="AB233" s="8477"/>
      <c r="AC233" s="8477"/>
      <c r="AD233" s="8477"/>
      <c r="AE233" s="8477"/>
      <c r="AF233" s="8477"/>
      <c r="AG233" s="8478"/>
      <c r="AH233" s="8403"/>
      <c r="AI233" s="8404"/>
      <c r="AJ233" s="8404"/>
      <c r="AK233" s="8404"/>
      <c r="AL233" s="8404"/>
      <c r="AM233" s="8404"/>
      <c r="AN233" s="8404"/>
      <c r="AO233" s="8404"/>
      <c r="AP233" s="1277"/>
      <c r="BG233" s="769"/>
      <c r="BH233" s="658"/>
      <c r="BI233" s="658"/>
      <c r="BJ233" s="658"/>
      <c r="BK233" s="658"/>
      <c r="BL233" s="658"/>
      <c r="BM233" s="658"/>
      <c r="BN233" s="658"/>
      <c r="BO233" s="658"/>
      <c r="BP233" s="658"/>
    </row>
    <row r="234" spans="1:69" ht="13.5" customHeight="1">
      <c r="A234" s="1277"/>
      <c r="B234" s="4824" t="s">
        <v>516</v>
      </c>
      <c r="C234" s="8475"/>
      <c r="D234" s="8476"/>
      <c r="E234" s="8476"/>
      <c r="F234" s="8476"/>
      <c r="G234" s="8476"/>
      <c r="H234" s="8476"/>
      <c r="I234" s="8476"/>
      <c r="J234" s="8476"/>
      <c r="K234" s="8477"/>
      <c r="L234" s="8477"/>
      <c r="M234" s="8477"/>
      <c r="N234" s="8477"/>
      <c r="O234" s="8477"/>
      <c r="P234" s="8477"/>
      <c r="Q234" s="8477"/>
      <c r="R234" s="8477"/>
      <c r="S234" s="8477"/>
      <c r="T234" s="8477"/>
      <c r="U234" s="8477"/>
      <c r="V234" s="8477"/>
      <c r="W234" s="8477"/>
      <c r="X234" s="8477"/>
      <c r="Y234" s="8477"/>
      <c r="Z234" s="8477"/>
      <c r="AA234" s="8477"/>
      <c r="AB234" s="8477"/>
      <c r="AC234" s="8477"/>
      <c r="AD234" s="8477"/>
      <c r="AE234" s="8477"/>
      <c r="AF234" s="8477"/>
      <c r="AG234" s="8478"/>
      <c r="AH234" s="8403"/>
      <c r="AI234" s="8404"/>
      <c r="AJ234" s="8404"/>
      <c r="AK234" s="8404"/>
      <c r="AL234" s="8404"/>
      <c r="AM234" s="8404"/>
      <c r="AN234" s="8404"/>
      <c r="AO234" s="8404"/>
      <c r="AP234" s="1277"/>
      <c r="BG234" s="769"/>
      <c r="BH234" s="658"/>
      <c r="BI234" s="658"/>
      <c r="BJ234" s="658"/>
      <c r="BK234" s="658"/>
      <c r="BL234" s="658"/>
      <c r="BM234" s="658"/>
      <c r="BN234" s="658"/>
      <c r="BO234" s="658"/>
      <c r="BP234" s="658"/>
    </row>
    <row r="235" spans="1:69" ht="17.25" customHeight="1">
      <c r="A235" s="1277"/>
      <c r="B235" s="8490" t="s">
        <v>2407</v>
      </c>
      <c r="C235" s="8489"/>
      <c r="D235" s="8489"/>
      <c r="E235" s="8489"/>
      <c r="F235" s="8489"/>
      <c r="G235" s="8489"/>
      <c r="H235" s="8489"/>
      <c r="I235" s="8489"/>
      <c r="J235" s="8489"/>
      <c r="K235" s="8489"/>
      <c r="L235" s="8489"/>
      <c r="M235" s="8489"/>
      <c r="N235" s="8489"/>
      <c r="O235" s="8489"/>
      <c r="P235" s="8489"/>
      <c r="Q235" s="8489"/>
      <c r="R235" s="8489"/>
      <c r="S235" s="8489"/>
      <c r="T235" s="8489"/>
      <c r="U235" s="8489"/>
      <c r="V235" s="8489"/>
      <c r="W235" s="8489"/>
      <c r="X235" s="8491"/>
      <c r="Y235" s="8423" t="s">
        <v>2408</v>
      </c>
      <c r="Z235" s="8489"/>
      <c r="AA235" s="8489"/>
      <c r="AB235" s="8489"/>
      <c r="AC235" s="8489"/>
      <c r="AD235" s="8489"/>
      <c r="AE235" s="8489"/>
      <c r="AF235" s="8489"/>
      <c r="AG235" s="8489"/>
      <c r="AH235" s="8489"/>
      <c r="AI235" s="8489"/>
      <c r="AJ235" s="8489"/>
      <c r="AK235" s="8489"/>
      <c r="AL235" s="8489"/>
      <c r="AM235" s="8489"/>
      <c r="AN235" s="8489"/>
      <c r="AO235" s="8489"/>
      <c r="AP235" s="1277"/>
      <c r="BG235" s="769"/>
      <c r="BH235" s="658"/>
      <c r="BI235" s="658"/>
      <c r="BJ235" s="658"/>
      <c r="BK235" s="658"/>
      <c r="BL235" s="658"/>
      <c r="BM235" s="658"/>
      <c r="BN235" s="658"/>
      <c r="BO235" s="658"/>
      <c r="BP235" s="658"/>
    </row>
    <row r="236" spans="1:69" ht="12.75" customHeight="1">
      <c r="A236" s="1277"/>
      <c r="B236" s="7682" t="s">
        <v>2421</v>
      </c>
      <c r="C236" s="7850"/>
      <c r="D236" s="7850"/>
      <c r="E236" s="7850"/>
      <c r="F236" s="7850"/>
      <c r="G236" s="7850"/>
      <c r="H236" s="7850"/>
      <c r="I236" s="7850"/>
      <c r="J236" s="7850"/>
      <c r="K236" s="7850"/>
      <c r="L236" s="7850"/>
      <c r="M236" s="7850"/>
      <c r="N236" s="8492"/>
      <c r="O236" s="7681" t="s">
        <v>2422</v>
      </c>
      <c r="P236" s="8454"/>
      <c r="Q236" s="8454"/>
      <c r="R236" s="8454"/>
      <c r="S236" s="8454"/>
      <c r="T236" s="8454"/>
      <c r="U236" s="8454"/>
      <c r="V236" s="8454"/>
      <c r="W236" s="8454"/>
      <c r="X236" s="8454"/>
      <c r="Y236" s="8495" t="s">
        <v>2423</v>
      </c>
      <c r="Z236" s="7850"/>
      <c r="AA236" s="7850"/>
      <c r="AB236" s="7850"/>
      <c r="AC236" s="7850"/>
      <c r="AD236" s="7850"/>
      <c r="AE236" s="7850"/>
      <c r="AF236" s="7850"/>
      <c r="AG236" s="8492"/>
      <c r="AH236" s="7681" t="s">
        <v>2424</v>
      </c>
      <c r="AI236" s="8454"/>
      <c r="AJ236" s="8454"/>
      <c r="AK236" s="8454"/>
      <c r="AL236" s="8454"/>
      <c r="AM236" s="8454"/>
      <c r="AN236" s="8454"/>
      <c r="AO236" s="8454"/>
      <c r="AP236" s="1277"/>
      <c r="BG236" s="769"/>
      <c r="BH236" s="658"/>
      <c r="BI236" s="658"/>
      <c r="BJ236" s="658"/>
      <c r="BK236" s="658"/>
      <c r="BL236" s="658"/>
      <c r="BM236" s="658"/>
      <c r="BN236" s="658"/>
      <c r="BO236" s="658"/>
      <c r="BP236" s="658"/>
    </row>
    <row r="237" spans="1:69" ht="12.75" customHeight="1">
      <c r="A237" s="1277"/>
      <c r="B237" s="7589"/>
      <c r="C237" s="7589"/>
      <c r="D237" s="7589"/>
      <c r="E237" s="7589"/>
      <c r="F237" s="7589"/>
      <c r="G237" s="7589"/>
      <c r="H237" s="7589"/>
      <c r="I237" s="7589"/>
      <c r="J237" s="7589"/>
      <c r="K237" s="7589"/>
      <c r="L237" s="7589"/>
      <c r="M237" s="7589"/>
      <c r="N237" s="8493"/>
      <c r="O237" s="8455"/>
      <c r="P237" s="8456"/>
      <c r="Q237" s="8456"/>
      <c r="R237" s="8456"/>
      <c r="S237" s="8456"/>
      <c r="T237" s="8456"/>
      <c r="U237" s="8456"/>
      <c r="V237" s="8456"/>
      <c r="W237" s="8456"/>
      <c r="X237" s="8456"/>
      <c r="Y237" s="7851"/>
      <c r="Z237" s="7589"/>
      <c r="AA237" s="7589"/>
      <c r="AB237" s="7589"/>
      <c r="AC237" s="7589"/>
      <c r="AD237" s="7589"/>
      <c r="AE237" s="7589"/>
      <c r="AF237" s="7589"/>
      <c r="AG237" s="8493"/>
      <c r="AH237" s="8455"/>
      <c r="AI237" s="8456"/>
      <c r="AJ237" s="8456"/>
      <c r="AK237" s="8456"/>
      <c r="AL237" s="8456"/>
      <c r="AM237" s="8456"/>
      <c r="AN237" s="8456"/>
      <c r="AO237" s="8456"/>
      <c r="AP237" s="1277"/>
      <c r="BG237" s="769"/>
      <c r="BH237" s="658"/>
      <c r="BI237" s="658"/>
      <c r="BJ237" s="658"/>
      <c r="BK237" s="658"/>
      <c r="BL237" s="658"/>
      <c r="BM237" s="658"/>
      <c r="BN237" s="658"/>
      <c r="BO237" s="658"/>
      <c r="BP237" s="658"/>
    </row>
    <row r="238" spans="1:69" ht="12.75" customHeight="1">
      <c r="A238" s="1277"/>
      <c r="B238" s="7587"/>
      <c r="C238" s="7587"/>
      <c r="D238" s="7587"/>
      <c r="E238" s="7587"/>
      <c r="F238" s="7587"/>
      <c r="G238" s="7587"/>
      <c r="H238" s="7587"/>
      <c r="I238" s="7587"/>
      <c r="J238" s="7587"/>
      <c r="K238" s="7587"/>
      <c r="L238" s="7587"/>
      <c r="M238" s="7587"/>
      <c r="N238" s="8494"/>
      <c r="O238" s="8457"/>
      <c r="P238" s="8458"/>
      <c r="Q238" s="8458"/>
      <c r="R238" s="8458"/>
      <c r="S238" s="8458"/>
      <c r="T238" s="8458"/>
      <c r="U238" s="8458"/>
      <c r="V238" s="8458"/>
      <c r="W238" s="8458"/>
      <c r="X238" s="8458"/>
      <c r="Y238" s="8496"/>
      <c r="Z238" s="7587"/>
      <c r="AA238" s="7587"/>
      <c r="AB238" s="7587"/>
      <c r="AC238" s="7587"/>
      <c r="AD238" s="7587"/>
      <c r="AE238" s="7587"/>
      <c r="AF238" s="7587"/>
      <c r="AG238" s="8494"/>
      <c r="AH238" s="8457"/>
      <c r="AI238" s="8458"/>
      <c r="AJ238" s="8458"/>
      <c r="AK238" s="8458"/>
      <c r="AL238" s="8458"/>
      <c r="AM238" s="8458"/>
      <c r="AN238" s="8458"/>
      <c r="AO238" s="8458"/>
      <c r="AP238" s="1277"/>
      <c r="BG238" s="769"/>
      <c r="BH238" s="658"/>
      <c r="BI238" s="658"/>
      <c r="BJ238" s="658"/>
      <c r="BK238" s="658"/>
      <c r="BL238" s="658"/>
      <c r="BM238" s="658"/>
      <c r="BN238" s="658"/>
      <c r="BO238" s="658"/>
      <c r="BP238" s="658"/>
    </row>
    <row r="239" spans="1:69" ht="13.5" customHeight="1">
      <c r="A239" s="1277"/>
      <c r="B239" s="4656" t="s">
        <v>510</v>
      </c>
      <c r="C239" s="8451"/>
      <c r="D239" s="8452"/>
      <c r="E239" s="8452"/>
      <c r="F239" s="8452"/>
      <c r="G239" s="8452"/>
      <c r="H239" s="8452"/>
      <c r="I239" s="8452"/>
      <c r="J239" s="8452"/>
      <c r="K239" s="8452"/>
      <c r="L239" s="8452"/>
      <c r="M239" s="8452"/>
      <c r="N239" s="8453"/>
      <c r="O239" s="8484"/>
      <c r="P239" s="8485"/>
      <c r="Q239" s="8485"/>
      <c r="R239" s="8485"/>
      <c r="S239" s="8485"/>
      <c r="T239" s="8485"/>
      <c r="U239" s="8485"/>
      <c r="V239" s="8485"/>
      <c r="W239" s="8485"/>
      <c r="X239" s="8486"/>
      <c r="Y239" s="8487"/>
      <c r="Z239" s="8488"/>
      <c r="AA239" s="8488"/>
      <c r="AB239" s="8488"/>
      <c r="AC239" s="8488"/>
      <c r="AD239" s="8488"/>
      <c r="AE239" s="8488"/>
      <c r="AF239" s="8488"/>
      <c r="AG239" s="8488"/>
      <c r="AH239" s="8488"/>
      <c r="AI239" s="8488"/>
      <c r="AJ239" s="8488"/>
      <c r="AK239" s="8488"/>
      <c r="AL239" s="8488"/>
      <c r="AM239" s="8488"/>
      <c r="AN239" s="8488"/>
      <c r="AO239" s="8484"/>
      <c r="AP239" s="1277"/>
      <c r="BG239" s="769"/>
      <c r="BH239" s="658"/>
      <c r="BI239" s="658"/>
      <c r="BJ239" s="658"/>
      <c r="BK239" s="658"/>
      <c r="BL239" s="658"/>
      <c r="BM239" s="658"/>
      <c r="BN239" s="658"/>
      <c r="BO239" s="658"/>
      <c r="BP239" s="658"/>
    </row>
    <row r="240" spans="1:69" ht="13.5" customHeight="1">
      <c r="A240" s="1277"/>
      <c r="B240" s="4656" t="s">
        <v>516</v>
      </c>
      <c r="C240" s="8451"/>
      <c r="D240" s="8452"/>
      <c r="E240" s="8452"/>
      <c r="F240" s="8452"/>
      <c r="G240" s="8452"/>
      <c r="H240" s="8452"/>
      <c r="I240" s="8452"/>
      <c r="J240" s="8452"/>
      <c r="K240" s="8452"/>
      <c r="L240" s="8452"/>
      <c r="M240" s="8452"/>
      <c r="N240" s="8453"/>
      <c r="O240" s="8484"/>
      <c r="P240" s="8485"/>
      <c r="Q240" s="8485"/>
      <c r="R240" s="8485"/>
      <c r="S240" s="8485"/>
      <c r="T240" s="8485"/>
      <c r="U240" s="8485"/>
      <c r="V240" s="8485"/>
      <c r="W240" s="8485"/>
      <c r="X240" s="8486"/>
      <c r="Y240" s="8487"/>
      <c r="Z240" s="8488"/>
      <c r="AA240" s="8488"/>
      <c r="AB240" s="8488"/>
      <c r="AC240" s="8488"/>
      <c r="AD240" s="8488"/>
      <c r="AE240" s="8488"/>
      <c r="AF240" s="8488"/>
      <c r="AG240" s="8488"/>
      <c r="AH240" s="8488"/>
      <c r="AI240" s="8488"/>
      <c r="AJ240" s="8488"/>
      <c r="AK240" s="8488"/>
      <c r="AL240" s="8488"/>
      <c r="AM240" s="8488"/>
      <c r="AN240" s="8488"/>
      <c r="AO240" s="8484"/>
      <c r="AP240" s="1277"/>
      <c r="BG240" s="769"/>
      <c r="BH240" s="658"/>
      <c r="BI240" s="658"/>
      <c r="BJ240" s="658"/>
      <c r="BK240" s="658"/>
      <c r="BL240" s="658"/>
      <c r="BM240" s="658"/>
      <c r="BN240" s="658"/>
      <c r="BO240" s="658"/>
      <c r="BP240" s="658"/>
    </row>
    <row r="241" spans="1:69" ht="13.5" customHeight="1">
      <c r="A241" s="1277"/>
      <c r="B241" s="8409" t="s">
        <v>2425</v>
      </c>
      <c r="C241" s="8409"/>
      <c r="D241" s="511"/>
      <c r="E241" s="1469" t="s">
        <v>2415</v>
      </c>
      <c r="F241" s="4825"/>
      <c r="G241" s="3835"/>
      <c r="H241" s="3835"/>
      <c r="I241" s="3835"/>
      <c r="J241" s="3835"/>
      <c r="K241" s="3835"/>
      <c r="L241" s="3835"/>
      <c r="M241" s="3835"/>
      <c r="N241" s="4826"/>
      <c r="O241" s="8384">
        <f>ROUND(SUM(O239:O240),0)</f>
        <v>0</v>
      </c>
      <c r="P241" s="8385"/>
      <c r="Q241" s="8385"/>
      <c r="R241" s="8385"/>
      <c r="S241" s="8385"/>
      <c r="T241" s="8385"/>
      <c r="U241" s="8385"/>
      <c r="V241" s="8385"/>
      <c r="W241" s="8385"/>
      <c r="X241" s="8386"/>
      <c r="Y241" s="4831"/>
      <c r="Z241" s="3835"/>
      <c r="AA241" s="3835"/>
      <c r="AB241" s="3835"/>
      <c r="AC241" s="3835"/>
      <c r="AD241" s="3835"/>
      <c r="AE241" s="3835"/>
      <c r="AF241" s="3835"/>
      <c r="AG241" s="4826"/>
      <c r="AH241" s="8381">
        <f>ROUND(SUM(AH239:AH240),0)</f>
        <v>0</v>
      </c>
      <c r="AI241" s="8399"/>
      <c r="AJ241" s="8399"/>
      <c r="AK241" s="8399"/>
      <c r="AL241" s="8399"/>
      <c r="AM241" s="8399"/>
      <c r="AN241" s="8399"/>
      <c r="AO241" s="8399"/>
      <c r="AP241" s="1277"/>
      <c r="BG241" s="769"/>
      <c r="BH241" s="658"/>
      <c r="BI241" s="658"/>
      <c r="BJ241" s="658"/>
      <c r="BK241" s="658"/>
      <c r="BL241" s="658"/>
      <c r="BM241" s="658"/>
      <c r="BN241" s="658"/>
      <c r="BO241" s="658"/>
      <c r="BP241" s="658"/>
    </row>
    <row r="242" spans="1:69" ht="13.5" customHeight="1">
      <c r="A242" s="1277"/>
      <c r="B242" s="7858" t="s">
        <v>592</v>
      </c>
      <c r="C242" s="7858"/>
      <c r="D242" s="511"/>
      <c r="E242" s="1469" t="s">
        <v>2415</v>
      </c>
      <c r="F242" s="8381">
        <f>ROUND(SUM(C239:C240),0)</f>
        <v>0</v>
      </c>
      <c r="G242" s="8382"/>
      <c r="H242" s="8382"/>
      <c r="I242" s="8382"/>
      <c r="J242" s="8382"/>
      <c r="K242" s="8382"/>
      <c r="L242" s="8382"/>
      <c r="M242" s="8382"/>
      <c r="N242" s="8383"/>
      <c r="O242" s="4832"/>
      <c r="P242" s="4833"/>
      <c r="Q242" s="4833"/>
      <c r="R242" s="4833"/>
      <c r="S242" s="4833"/>
      <c r="T242" s="4833"/>
      <c r="U242" s="4833"/>
      <c r="V242" s="4833"/>
      <c r="W242" s="4833"/>
      <c r="X242" s="4834"/>
      <c r="Y242" s="8381">
        <f>ROUND(SUM(Y239:Y240),0)</f>
        <v>0</v>
      </c>
      <c r="Z242" s="8382"/>
      <c r="AA242" s="8382"/>
      <c r="AB242" s="8382"/>
      <c r="AC242" s="8382"/>
      <c r="AD242" s="8382"/>
      <c r="AE242" s="8382"/>
      <c r="AF242" s="8382"/>
      <c r="AG242" s="8383"/>
      <c r="AH242" s="4825"/>
      <c r="AI242" s="3835"/>
      <c r="AJ242" s="3835"/>
      <c r="AK242" s="3835"/>
      <c r="AL242" s="3835"/>
      <c r="AM242" s="3835"/>
      <c r="AN242" s="3835"/>
      <c r="AO242" s="3835"/>
      <c r="AP242" s="1277"/>
      <c r="BG242" s="769"/>
      <c r="BH242" s="658"/>
      <c r="BI242" s="658"/>
      <c r="BJ242" s="658"/>
      <c r="BK242" s="658"/>
      <c r="BL242" s="658"/>
      <c r="BM242" s="658"/>
      <c r="BN242" s="658"/>
      <c r="BO242" s="658"/>
      <c r="BP242" s="658"/>
    </row>
    <row r="243" spans="1:69" ht="13.5" customHeight="1">
      <c r="A243" s="1277"/>
      <c r="B243" s="7608">
        <v>35</v>
      </c>
      <c r="C243" s="7608"/>
      <c r="D243" s="511" t="s">
        <v>2426</v>
      </c>
      <c r="E243" s="253"/>
      <c r="F243" s="253"/>
      <c r="G243" s="253"/>
      <c r="H243" s="253"/>
      <c r="I243" s="253"/>
      <c r="J243" s="253"/>
      <c r="K243" s="253"/>
      <c r="L243" s="253"/>
      <c r="M243" s="253"/>
      <c r="N243" s="253"/>
      <c r="O243" s="253"/>
      <c r="P243" s="253"/>
      <c r="Q243" s="253"/>
      <c r="R243" s="253"/>
      <c r="S243" s="253"/>
      <c r="T243" s="253"/>
      <c r="U243" s="253"/>
      <c r="V243" s="253"/>
      <c r="W243" s="253"/>
      <c r="X243" s="253"/>
      <c r="Y243" s="253"/>
      <c r="Z243" s="253"/>
      <c r="AA243" s="253"/>
      <c r="AB243" s="253"/>
      <c r="AC243" s="253"/>
      <c r="AD243" s="253"/>
      <c r="AE243" s="253"/>
      <c r="AF243" s="253"/>
      <c r="AG243" s="2198" t="s">
        <v>677</v>
      </c>
      <c r="AH243" s="8468">
        <v>35</v>
      </c>
      <c r="AI243" s="8469"/>
      <c r="AJ243" s="8429">
        <f>SUM(O241,AH241)</f>
        <v>0</v>
      </c>
      <c r="AK243" s="8430"/>
      <c r="AL243" s="8430"/>
      <c r="AM243" s="8430"/>
      <c r="AN243" s="8430"/>
      <c r="AO243" s="8430"/>
      <c r="AP243" s="1277"/>
      <c r="BG243" s="769"/>
      <c r="BH243" s="658"/>
      <c r="BI243" s="658"/>
      <c r="BJ243" s="658"/>
      <c r="BK243" s="658"/>
      <c r="BL243" s="658"/>
      <c r="BM243" s="658"/>
      <c r="BN243" s="658"/>
      <c r="BO243" s="658"/>
      <c r="BP243" s="658"/>
    </row>
    <row r="244" spans="1:69" ht="13.5" customHeight="1">
      <c r="A244" s="1277"/>
      <c r="B244" s="7608">
        <v>36</v>
      </c>
      <c r="C244" s="7608"/>
      <c r="D244" s="511" t="s">
        <v>2427</v>
      </c>
      <c r="E244" s="253"/>
      <c r="F244" s="253"/>
      <c r="G244" s="253"/>
      <c r="H244" s="253"/>
      <c r="I244" s="253"/>
      <c r="J244" s="253"/>
      <c r="K244" s="253"/>
      <c r="L244" s="253"/>
      <c r="M244" s="253"/>
      <c r="N244" s="253"/>
      <c r="O244" s="253"/>
      <c r="P244" s="253"/>
      <c r="Q244" s="253"/>
      <c r="R244" s="253"/>
      <c r="S244" s="253"/>
      <c r="T244" s="253"/>
      <c r="U244" s="253"/>
      <c r="V244" s="253"/>
      <c r="W244" s="253"/>
      <c r="X244" s="253"/>
      <c r="Y244" s="253"/>
      <c r="Z244" s="253"/>
      <c r="AA244" s="253"/>
      <c r="AB244" s="253"/>
      <c r="AC244" s="253"/>
      <c r="AD244" s="253"/>
      <c r="AE244" s="253"/>
      <c r="AF244" s="253"/>
      <c r="AG244" s="2198" t="s">
        <v>677</v>
      </c>
      <c r="AH244" s="8468">
        <v>36</v>
      </c>
      <c r="AI244" s="8469"/>
      <c r="AJ244" s="4646" t="s">
        <v>799</v>
      </c>
      <c r="AK244" s="7282">
        <f>SUM(F242,Y242)</f>
        <v>0</v>
      </c>
      <c r="AL244" s="8398"/>
      <c r="AM244" s="8398"/>
      <c r="AN244" s="8398"/>
      <c r="AO244" s="4835" t="s">
        <v>800</v>
      </c>
      <c r="AP244" s="1277"/>
      <c r="BG244" s="769"/>
      <c r="BH244" s="658"/>
      <c r="BI244" s="658"/>
      <c r="BJ244" s="658"/>
      <c r="BK244" s="658"/>
      <c r="BL244" s="658"/>
      <c r="BM244" s="658"/>
      <c r="BN244" s="658"/>
      <c r="BO244" s="658"/>
      <c r="BP244" s="658"/>
    </row>
    <row r="245" spans="1:69" ht="13.5" customHeight="1">
      <c r="A245" s="1277"/>
      <c r="B245" s="8380">
        <v>37</v>
      </c>
      <c r="C245" s="8380"/>
      <c r="D245" s="1996" t="s">
        <v>2428</v>
      </c>
      <c r="E245" s="413"/>
      <c r="F245" s="413"/>
      <c r="G245" s="413"/>
      <c r="H245" s="413"/>
      <c r="I245" s="413"/>
      <c r="J245" s="413"/>
      <c r="K245" s="413"/>
      <c r="L245" s="413"/>
      <c r="M245" s="413"/>
      <c r="N245" s="413"/>
      <c r="O245" s="413"/>
      <c r="P245" s="413"/>
      <c r="Q245" s="413"/>
      <c r="R245" s="413"/>
      <c r="S245" s="413"/>
      <c r="T245" s="413"/>
      <c r="U245" s="413"/>
      <c r="V245" s="413"/>
      <c r="W245" s="413"/>
      <c r="X245" s="413"/>
      <c r="Y245" s="413"/>
      <c r="Z245" s="413"/>
      <c r="AA245" s="413"/>
      <c r="AB245" s="413"/>
      <c r="AC245" s="413"/>
      <c r="AD245" s="413"/>
      <c r="AE245" s="413"/>
      <c r="AF245" s="413"/>
      <c r="AG245" s="974" t="s">
        <v>676</v>
      </c>
      <c r="AH245" s="8468">
        <v>37</v>
      </c>
      <c r="AI245" s="8469"/>
      <c r="AJ245" s="8429">
        <f>SUM(AJ243,-AK244)</f>
        <v>0</v>
      </c>
      <c r="AK245" s="8430"/>
      <c r="AL245" s="8430"/>
      <c r="AM245" s="8430"/>
      <c r="AN245" s="8430"/>
      <c r="AO245" s="8430"/>
      <c r="AP245" s="1277"/>
      <c r="BG245" s="769"/>
      <c r="BH245" s="658"/>
      <c r="BI245" s="658"/>
      <c r="BJ245" s="658"/>
      <c r="BK245" s="658"/>
      <c r="BL245" s="658"/>
      <c r="BM245" s="658"/>
      <c r="BN245" s="658"/>
      <c r="BO245" s="658"/>
      <c r="BP245" s="658"/>
    </row>
    <row r="246" spans="1:69" s="1405" customFormat="1" ht="17.25" customHeight="1">
      <c r="A246" s="2119"/>
      <c r="B246" s="8427" t="s">
        <v>2102</v>
      </c>
      <c r="C246" s="8427"/>
      <c r="D246" s="8428"/>
      <c r="E246" s="2120"/>
      <c r="F246" s="4189" t="s">
        <v>2429</v>
      </c>
      <c r="G246" s="2120"/>
      <c r="H246" s="2120"/>
      <c r="I246" s="2120"/>
      <c r="J246" s="2120"/>
      <c r="K246" s="2120"/>
      <c r="L246" s="2120"/>
      <c r="M246" s="2120"/>
      <c r="N246" s="2120"/>
      <c r="O246" s="2120"/>
      <c r="P246" s="2120"/>
      <c r="Q246" s="2120"/>
      <c r="R246" s="2120"/>
      <c r="S246" s="2120"/>
      <c r="T246" s="2120"/>
      <c r="U246" s="2120"/>
      <c r="V246" s="2120"/>
      <c r="W246" s="2120"/>
      <c r="X246" s="3901"/>
      <c r="Y246" s="2120"/>
      <c r="Z246" s="2120"/>
      <c r="AA246" s="2120"/>
      <c r="AB246" s="2120"/>
      <c r="AC246" s="2120"/>
      <c r="AD246" s="2120"/>
      <c r="AE246" s="2120"/>
      <c r="AF246" s="2120"/>
      <c r="AG246" s="1998"/>
      <c r="AH246" s="2120"/>
      <c r="AI246" s="2120"/>
      <c r="AJ246" s="2120"/>
      <c r="AK246" s="2120"/>
      <c r="AL246" s="2120"/>
      <c r="AM246" s="2120"/>
      <c r="AN246" s="2120"/>
      <c r="AO246" s="2120"/>
      <c r="AP246" s="1277"/>
      <c r="AX246"/>
      <c r="AY246"/>
      <c r="AZ246"/>
      <c r="BA246"/>
      <c r="BB246"/>
      <c r="BC246"/>
      <c r="BD246"/>
      <c r="BG246" s="769"/>
      <c r="BH246" s="658"/>
      <c r="BI246" s="658"/>
      <c r="BJ246" s="658"/>
      <c r="BK246" s="658"/>
      <c r="BL246" s="658"/>
      <c r="BM246" s="658"/>
      <c r="BN246" s="658"/>
      <c r="BO246" s="658"/>
      <c r="BP246" s="658"/>
      <c r="BQ246" s="815"/>
    </row>
    <row r="247" spans="1:69" ht="12.75" customHeight="1">
      <c r="A247" s="1277"/>
      <c r="B247" s="406"/>
      <c r="C247" s="4649"/>
      <c r="D247" s="8391" t="s">
        <v>2430</v>
      </c>
      <c r="E247" s="8392"/>
      <c r="F247" s="8392"/>
      <c r="G247" s="8392"/>
      <c r="H247" s="8392"/>
      <c r="I247" s="8392"/>
      <c r="J247" s="8393"/>
      <c r="K247" s="8470" t="s">
        <v>2431</v>
      </c>
      <c r="L247" s="8471"/>
      <c r="M247" s="8471"/>
      <c r="N247" s="8471"/>
      <c r="O247" s="8471"/>
      <c r="P247" s="8471"/>
      <c r="Q247" s="8471"/>
      <c r="R247" s="8471"/>
      <c r="S247" s="8610" t="s">
        <v>2432</v>
      </c>
      <c r="T247" s="8611"/>
      <c r="U247" s="8611"/>
      <c r="V247" s="8611"/>
      <c r="W247" s="8611"/>
      <c r="X247" s="8611"/>
      <c r="Y247" s="8611"/>
      <c r="Z247" s="8417" t="s">
        <v>2433</v>
      </c>
      <c r="AA247" s="8418"/>
      <c r="AB247" s="8418"/>
      <c r="AC247" s="8418"/>
      <c r="AD247" s="8418"/>
      <c r="AE247" s="8418"/>
      <c r="AF247" s="8418"/>
      <c r="AG247" s="8507"/>
      <c r="AH247" s="8417" t="s">
        <v>2434</v>
      </c>
      <c r="AI247" s="8418"/>
      <c r="AJ247" s="8418"/>
      <c r="AK247" s="8418"/>
      <c r="AL247" s="8418"/>
      <c r="AM247" s="8418"/>
      <c r="AN247" s="8418"/>
      <c r="AO247" s="8418"/>
      <c r="AP247" s="1277"/>
      <c r="BG247" s="769"/>
      <c r="BH247" s="658"/>
      <c r="BI247" s="658"/>
      <c r="BJ247" s="658"/>
      <c r="BK247" s="658"/>
      <c r="BL247" s="658"/>
      <c r="BM247" s="658"/>
      <c r="BN247" s="658"/>
      <c r="BO247" s="658"/>
      <c r="BP247" s="658"/>
    </row>
    <row r="248" spans="1:69" ht="12.75" customHeight="1">
      <c r="A248" s="1277"/>
      <c r="B248" s="8433">
        <v>38</v>
      </c>
      <c r="C248" s="7091"/>
      <c r="D248" s="8394"/>
      <c r="E248" s="8394"/>
      <c r="F248" s="8394"/>
      <c r="G248" s="8394"/>
      <c r="H248" s="8394"/>
      <c r="I248" s="8394"/>
      <c r="J248" s="8395"/>
      <c r="K248" s="8472"/>
      <c r="L248" s="8472"/>
      <c r="M248" s="8472"/>
      <c r="N248" s="8472"/>
      <c r="O248" s="8472"/>
      <c r="P248" s="8472"/>
      <c r="Q248" s="8472"/>
      <c r="R248" s="8472"/>
      <c r="S248" s="8612"/>
      <c r="T248" s="8612"/>
      <c r="U248" s="8612"/>
      <c r="V248" s="8612"/>
      <c r="W248" s="8612"/>
      <c r="X248" s="8612"/>
      <c r="Y248" s="8612"/>
      <c r="Z248" s="8419"/>
      <c r="AA248" s="8420"/>
      <c r="AB248" s="8420"/>
      <c r="AC248" s="8420"/>
      <c r="AD248" s="8420"/>
      <c r="AE248" s="8420"/>
      <c r="AF248" s="8420"/>
      <c r="AG248" s="8508"/>
      <c r="AH248" s="8419"/>
      <c r="AI248" s="8420"/>
      <c r="AJ248" s="8420"/>
      <c r="AK248" s="8420"/>
      <c r="AL248" s="8420"/>
      <c r="AM248" s="8420"/>
      <c r="AN248" s="8420"/>
      <c r="AO248" s="8420"/>
      <c r="AP248" s="1277"/>
      <c r="AX248" s="1405"/>
      <c r="AY248" s="1405"/>
      <c r="AZ248" s="1405"/>
      <c r="BA248" s="1405"/>
      <c r="BB248" s="1405"/>
      <c r="BC248" s="1405"/>
      <c r="BD248" s="1405"/>
      <c r="BG248" s="769"/>
      <c r="BH248" s="658"/>
      <c r="BI248" s="658"/>
      <c r="BJ248" s="658"/>
      <c r="BK248" s="658"/>
      <c r="BL248" s="658"/>
      <c r="BM248" s="658"/>
      <c r="BN248" s="658"/>
      <c r="BO248" s="658"/>
      <c r="BP248" s="658"/>
    </row>
    <row r="249" spans="1:69" ht="12.75" customHeight="1">
      <c r="A249" s="1277"/>
      <c r="B249" s="413"/>
      <c r="C249" s="4650"/>
      <c r="D249" s="8396"/>
      <c r="E249" s="8396"/>
      <c r="F249" s="8396"/>
      <c r="G249" s="8396"/>
      <c r="H249" s="8396"/>
      <c r="I249" s="8396"/>
      <c r="J249" s="8397"/>
      <c r="K249" s="8473"/>
      <c r="L249" s="8473"/>
      <c r="M249" s="8473"/>
      <c r="N249" s="8473"/>
      <c r="O249" s="8473"/>
      <c r="P249" s="8473"/>
      <c r="Q249" s="8473"/>
      <c r="R249" s="8473"/>
      <c r="S249" s="8613"/>
      <c r="T249" s="8613"/>
      <c r="U249" s="8613"/>
      <c r="V249" s="8613"/>
      <c r="W249" s="8613"/>
      <c r="X249" s="8613"/>
      <c r="Y249" s="8613"/>
      <c r="Z249" s="8421"/>
      <c r="AA249" s="8422"/>
      <c r="AB249" s="8422"/>
      <c r="AC249" s="8422"/>
      <c r="AD249" s="8422"/>
      <c r="AE249" s="8422"/>
      <c r="AF249" s="8422"/>
      <c r="AG249" s="8509"/>
      <c r="AH249" s="8421"/>
      <c r="AI249" s="8422"/>
      <c r="AJ249" s="8422"/>
      <c r="AK249" s="8422"/>
      <c r="AL249" s="8422"/>
      <c r="AM249" s="8422"/>
      <c r="AN249" s="8422"/>
      <c r="AO249" s="8422"/>
      <c r="AP249" s="1277"/>
      <c r="AQ249" s="2875"/>
      <c r="AR249" s="2875"/>
      <c r="AS249" s="2875"/>
      <c r="BG249" s="769"/>
      <c r="BH249" s="658"/>
      <c r="BI249" s="658"/>
      <c r="BJ249" s="658"/>
      <c r="BK249" s="658"/>
      <c r="BL249" s="658"/>
      <c r="BM249" s="658"/>
      <c r="BN249" s="658"/>
      <c r="BO249" s="658"/>
      <c r="BP249" s="658"/>
    </row>
    <row r="250" spans="1:69" ht="12.75" customHeight="1">
      <c r="A250" s="1277"/>
      <c r="B250" s="8466"/>
      <c r="C250" s="7328"/>
      <c r="D250" s="7328"/>
      <c r="E250" s="7328"/>
      <c r="F250" s="7328"/>
      <c r="G250" s="7328"/>
      <c r="H250" s="7328"/>
      <c r="I250" s="7328"/>
      <c r="J250" s="8467"/>
      <c r="K250" s="8405"/>
      <c r="L250" s="8406"/>
      <c r="M250" s="8406"/>
      <c r="N250" s="8406"/>
      <c r="O250" s="8406"/>
      <c r="P250" s="8406"/>
      <c r="Q250" s="8406"/>
      <c r="R250" s="8407"/>
      <c r="S250" s="8408"/>
      <c r="T250" s="8408"/>
      <c r="U250" s="8408"/>
      <c r="V250" s="8408"/>
      <c r="W250" s="8408"/>
      <c r="X250" s="8408"/>
      <c r="Y250" s="8408"/>
      <c r="Z250" s="8431"/>
      <c r="AA250" s="8432"/>
      <c r="AB250" s="8432"/>
      <c r="AC250" s="8432"/>
      <c r="AD250" s="8432"/>
      <c r="AE250" s="8432"/>
      <c r="AF250" s="8432"/>
      <c r="AG250" s="8465"/>
      <c r="AH250" s="8431"/>
      <c r="AI250" s="8432"/>
      <c r="AJ250" s="8432"/>
      <c r="AK250" s="8432"/>
      <c r="AL250" s="8432"/>
      <c r="AM250" s="8432"/>
      <c r="AN250" s="8432"/>
      <c r="AO250" s="8432"/>
      <c r="AP250" s="1277"/>
      <c r="AQ250" s="2875"/>
      <c r="AR250" s="185" t="s">
        <v>771</v>
      </c>
      <c r="AS250" s="2875"/>
      <c r="BG250" s="769"/>
      <c r="BH250" s="658"/>
      <c r="BI250" s="658"/>
      <c r="BJ250" s="658"/>
      <c r="BK250" s="658"/>
      <c r="BL250" s="658"/>
      <c r="BM250" s="658"/>
      <c r="BN250" s="658"/>
      <c r="BO250" s="658"/>
      <c r="BP250" s="658"/>
    </row>
    <row r="251" spans="1:69" ht="15.75">
      <c r="A251" s="1277"/>
      <c r="B251" s="8380">
        <v>39</v>
      </c>
      <c r="C251" s="8380"/>
      <c r="D251" s="1996" t="s">
        <v>2435</v>
      </c>
      <c r="E251" s="413"/>
      <c r="F251" s="413"/>
      <c r="G251" s="413"/>
      <c r="H251" s="413"/>
      <c r="I251" s="413"/>
      <c r="J251" s="413"/>
      <c r="K251" s="413"/>
      <c r="L251" s="413"/>
      <c r="M251" s="413"/>
      <c r="N251" s="413"/>
      <c r="O251" s="413"/>
      <c r="P251" s="413"/>
      <c r="Q251" s="413"/>
      <c r="R251" s="413"/>
      <c r="S251" s="413"/>
      <c r="T251" s="413"/>
      <c r="U251" s="413"/>
      <c r="V251" s="413"/>
      <c r="W251" s="413"/>
      <c r="X251" s="413"/>
      <c r="Y251" s="413"/>
      <c r="Z251" s="413"/>
      <c r="AA251" s="413"/>
      <c r="AB251" s="413"/>
      <c r="AC251" s="413"/>
      <c r="AD251" s="413"/>
      <c r="AE251" s="413"/>
      <c r="AF251" s="413"/>
      <c r="AG251" s="414"/>
      <c r="AH251" s="8468">
        <v>39</v>
      </c>
      <c r="AI251" s="8469"/>
      <c r="AJ251" s="8381">
        <f>IF(AR251&lt;&gt;"",ROUND(AR251,0),ROUND(SUM(Z250,AH250),0))</f>
        <v>0</v>
      </c>
      <c r="AK251" s="8399"/>
      <c r="AL251" s="8399"/>
      <c r="AM251" s="8399"/>
      <c r="AN251" s="8399"/>
      <c r="AO251" s="8399"/>
      <c r="AP251" s="1277"/>
      <c r="AQ251" s="2875"/>
      <c r="AR251" s="776"/>
      <c r="AS251" s="2875"/>
      <c r="BG251" s="769"/>
      <c r="BH251" s="658"/>
      <c r="BI251" s="658"/>
      <c r="BJ251" s="658"/>
      <c r="BK251" s="658"/>
      <c r="BL251" s="658"/>
      <c r="BM251" s="658"/>
      <c r="BN251" s="658"/>
      <c r="BO251" s="658"/>
      <c r="BP251" s="658"/>
    </row>
    <row r="252" spans="1:69" s="1405" customFormat="1" ht="17.25" customHeight="1">
      <c r="A252" s="2119"/>
      <c r="B252" s="8427" t="s">
        <v>2117</v>
      </c>
      <c r="C252" s="8427"/>
      <c r="D252" s="8428"/>
      <c r="E252" s="2120"/>
      <c r="F252" s="4189" t="s">
        <v>2436</v>
      </c>
      <c r="G252" s="2120"/>
      <c r="H252" s="2120"/>
      <c r="I252" s="2120"/>
      <c r="J252" s="2120"/>
      <c r="K252" s="2120"/>
      <c r="L252" s="2120"/>
      <c r="M252" s="2120"/>
      <c r="N252" s="2120"/>
      <c r="O252" s="2120"/>
      <c r="P252" s="2120"/>
      <c r="Q252" s="2120"/>
      <c r="R252" s="2120"/>
      <c r="S252" s="2120"/>
      <c r="T252" s="2120"/>
      <c r="U252" s="2120"/>
      <c r="V252" s="2120"/>
      <c r="W252" s="2120"/>
      <c r="X252" s="3901"/>
      <c r="Y252" s="2120"/>
      <c r="Z252" s="2120"/>
      <c r="AA252" s="2120"/>
      <c r="AB252" s="2120"/>
      <c r="AC252" s="2120"/>
      <c r="AD252" s="2120"/>
      <c r="AE252" s="2120"/>
      <c r="AF252" s="2120"/>
      <c r="AG252" s="2120"/>
      <c r="AH252" s="2120"/>
      <c r="AI252" s="2120"/>
      <c r="AJ252" s="2120"/>
      <c r="AK252" s="2120"/>
      <c r="AL252" s="2120"/>
      <c r="AM252" s="2120"/>
      <c r="AN252" s="2120"/>
      <c r="AO252" s="2120"/>
      <c r="AP252" s="1277"/>
      <c r="AQ252" s="2875"/>
      <c r="AR252" s="2875"/>
      <c r="AS252" s="2875"/>
      <c r="AX252"/>
      <c r="AY252"/>
      <c r="AZ252"/>
      <c r="BA252"/>
      <c r="BB252"/>
      <c r="BC252"/>
      <c r="BD252"/>
      <c r="BG252" s="769"/>
      <c r="BH252" s="658"/>
      <c r="BI252" s="658"/>
      <c r="BJ252" s="658"/>
      <c r="BK252" s="658"/>
      <c r="BL252" s="658"/>
      <c r="BM252" s="658"/>
      <c r="BN252" s="658"/>
      <c r="BO252" s="658"/>
      <c r="BP252" s="658"/>
      <c r="BQ252" s="815"/>
    </row>
    <row r="253" spans="1:69" ht="15.75" customHeight="1" thickBot="1">
      <c r="A253" s="1277"/>
      <c r="B253" s="8409">
        <v>40</v>
      </c>
      <c r="C253" s="8409"/>
      <c r="D253" s="2354" t="s">
        <v>2437</v>
      </c>
      <c r="E253" s="406"/>
      <c r="F253" s="406"/>
      <c r="G253" s="406"/>
      <c r="H253" s="406"/>
      <c r="I253" s="406"/>
      <c r="J253" s="406"/>
      <c r="K253" s="406"/>
      <c r="L253" s="406"/>
      <c r="M253" s="406"/>
      <c r="N253" s="406"/>
      <c r="O253" s="406"/>
      <c r="P253" s="406"/>
      <c r="Q253" s="406"/>
      <c r="R253" s="406"/>
      <c r="S253" s="406"/>
      <c r="T253" s="406"/>
      <c r="U253" s="406"/>
      <c r="V253" s="406"/>
      <c r="W253" s="406"/>
      <c r="X253" s="406"/>
      <c r="Y253" s="406"/>
      <c r="Z253" s="406"/>
      <c r="AA253" s="406"/>
      <c r="AB253" s="406"/>
      <c r="AC253" s="406"/>
      <c r="AD253" s="406"/>
      <c r="AE253" s="406"/>
      <c r="AF253" s="406"/>
      <c r="AG253" s="2198" t="s">
        <v>601</v>
      </c>
      <c r="AH253" s="8622">
        <v>40</v>
      </c>
      <c r="AI253" s="8623"/>
      <c r="AJ253" s="8624"/>
      <c r="AK253" s="8624"/>
      <c r="AL253" s="8624"/>
      <c r="AM253" s="8624"/>
      <c r="AN253" s="8624"/>
      <c r="AO253" s="8608"/>
      <c r="AP253" s="1277"/>
      <c r="AQ253" s="2875"/>
      <c r="AR253" s="2875"/>
      <c r="AS253" s="2875"/>
      <c r="BG253" s="769"/>
      <c r="BH253" s="658"/>
      <c r="BI253" s="658"/>
      <c r="BJ253" s="658"/>
      <c r="BK253" s="658"/>
      <c r="BL253" s="658"/>
      <c r="BM253" s="658"/>
      <c r="BN253" s="658"/>
      <c r="BO253" s="658"/>
      <c r="BP253" s="658"/>
    </row>
    <row r="254" spans="1:69" ht="13.5" customHeight="1">
      <c r="A254" s="1277"/>
      <c r="B254" s="7608">
        <v>41</v>
      </c>
      <c r="C254" s="7608"/>
      <c r="D254" s="511" t="s">
        <v>2438</v>
      </c>
      <c r="E254" s="253"/>
      <c r="F254" s="253"/>
      <c r="G254" s="253"/>
      <c r="H254" s="253"/>
      <c r="I254" s="253"/>
      <c r="J254" s="253"/>
      <c r="K254" s="253"/>
      <c r="L254" s="253"/>
      <c r="M254" s="253"/>
      <c r="N254" s="253"/>
      <c r="O254" s="253"/>
      <c r="P254" s="253"/>
      <c r="Q254" s="253"/>
      <c r="R254" s="253"/>
      <c r="S254" s="253"/>
      <c r="T254" s="253"/>
      <c r="U254" s="253"/>
      <c r="V254" s="253"/>
      <c r="W254" s="253"/>
      <c r="X254" s="253"/>
      <c r="Y254" s="253"/>
      <c r="Z254" s="253"/>
      <c r="AA254" s="253"/>
      <c r="AB254" s="253"/>
      <c r="AC254" s="253"/>
      <c r="AD254" s="253"/>
      <c r="AE254" s="253"/>
      <c r="AF254" s="253"/>
      <c r="AG254" s="409"/>
      <c r="AH254" s="4842"/>
      <c r="AI254" s="4843"/>
      <c r="AJ254" s="1899"/>
      <c r="AK254" s="1900"/>
      <c r="AL254" s="1900"/>
      <c r="AM254" s="1900"/>
      <c r="AN254" s="1900"/>
      <c r="AO254" s="1900"/>
      <c r="AP254" s="1277"/>
      <c r="AQ254" s="2875"/>
      <c r="AR254" s="2875"/>
      <c r="AS254" s="2875"/>
      <c r="AX254" s="1405"/>
      <c r="AY254" s="1405"/>
      <c r="AZ254" s="1405"/>
      <c r="BA254" s="1405"/>
      <c r="BB254" s="1405"/>
      <c r="BC254" s="1405"/>
      <c r="BD254" s="1405"/>
      <c r="BG254" s="769"/>
      <c r="BH254" s="658"/>
      <c r="BI254" s="658"/>
      <c r="BJ254" s="658"/>
      <c r="BK254" s="658"/>
      <c r="BL254" s="658"/>
      <c r="BM254" s="658"/>
      <c r="BN254" s="658"/>
      <c r="BO254" s="658"/>
      <c r="BP254" s="658"/>
    </row>
    <row r="255" spans="1:69" ht="13.5" customHeight="1">
      <c r="A255" s="1277"/>
      <c r="B255" s="7608"/>
      <c r="C255" s="7608"/>
      <c r="D255" s="511" t="s">
        <v>2439</v>
      </c>
      <c r="E255" s="253"/>
      <c r="F255" s="253"/>
      <c r="G255" s="253"/>
      <c r="H255" s="253"/>
      <c r="I255" s="253"/>
      <c r="J255" s="253"/>
      <c r="K255" s="253"/>
      <c r="L255" s="253"/>
      <c r="M255" s="253"/>
      <c r="N255" s="253"/>
      <c r="O255" s="253"/>
      <c r="P255" s="253"/>
      <c r="Q255" s="253"/>
      <c r="R255" s="253"/>
      <c r="S255" s="253"/>
      <c r="T255" s="253"/>
      <c r="U255" s="253"/>
      <c r="V255" s="253"/>
      <c r="W255" s="253"/>
      <c r="X255" s="253"/>
      <c r="Y255" s="253"/>
      <c r="Z255" s="253"/>
      <c r="AA255" s="253"/>
      <c r="AB255" s="253"/>
      <c r="AC255" s="253"/>
      <c r="AD255" s="253"/>
      <c r="AE255" s="253"/>
      <c r="AF255" s="253"/>
      <c r="AG255" s="2198" t="s">
        <v>1882</v>
      </c>
      <c r="AH255" s="8625">
        <v>41</v>
      </c>
      <c r="AI255" s="8626"/>
      <c r="AJ255" s="8627">
        <f>IF(AR255&lt;&gt;"",ROUND(AR255,0),IF(SchE2_Completed,SUM(SchE2_Line26,SchE2_Line32,SchE2_Line37,SchE2_Line39,ROUND(SchE2_Line40,0)),0))</f>
        <v>0</v>
      </c>
      <c r="AK255" s="8627"/>
      <c r="AL255" s="8627"/>
      <c r="AM255" s="8627"/>
      <c r="AN255" s="8627"/>
      <c r="AO255" s="7067"/>
      <c r="AP255" s="1277"/>
      <c r="AQ255" s="2875"/>
      <c r="AR255" s="776"/>
      <c r="AS255" s="2875"/>
      <c r="AV255" t="b">
        <f>OR(SchE2_Line26&lt;&gt;0,SchE2_Line32&lt;&gt;0,SchE2_Line37&lt;&gt;0,SchE2_Line39&lt;&gt;0,SchE2_Line40&lt;&gt;0)</f>
        <v>0</v>
      </c>
      <c r="AX255" s="1405"/>
      <c r="AY255" s="1405"/>
      <c r="AZ255" s="1405"/>
      <c r="BA255" s="1405"/>
      <c r="BB255" s="1405"/>
      <c r="BC255" s="1405"/>
      <c r="BD255" s="1405"/>
      <c r="BG255" s="769"/>
      <c r="BH255" s="658"/>
      <c r="BI255" s="658"/>
      <c r="BJ255" s="658"/>
      <c r="BK255" s="658"/>
      <c r="BL255" s="658"/>
      <c r="BM255" s="658"/>
      <c r="BN255" s="658"/>
      <c r="BO255" s="658"/>
      <c r="BP255" s="658"/>
    </row>
    <row r="256" spans="1:69" ht="12.75" customHeight="1">
      <c r="A256" s="1277"/>
      <c r="B256" s="7608">
        <v>42</v>
      </c>
      <c r="C256" s="7608"/>
      <c r="D256" s="1323" t="s">
        <v>2440</v>
      </c>
      <c r="E256" s="253"/>
      <c r="F256" s="253"/>
      <c r="G256" s="253"/>
      <c r="H256" s="253"/>
      <c r="I256" s="253"/>
      <c r="J256" s="253"/>
      <c r="K256" s="253"/>
      <c r="L256" s="253"/>
      <c r="M256" s="253"/>
      <c r="N256" s="253"/>
      <c r="O256" s="253"/>
      <c r="P256" s="253"/>
      <c r="Q256" s="253"/>
      <c r="R256" s="253"/>
      <c r="S256" s="253"/>
      <c r="T256" s="253"/>
      <c r="U256" s="253"/>
      <c r="V256" s="253"/>
      <c r="W256" s="253"/>
      <c r="X256" s="253"/>
      <c r="Y256" s="408"/>
      <c r="Z256" s="409"/>
      <c r="AA256" s="408"/>
      <c r="AB256" s="253"/>
      <c r="AC256" s="253"/>
      <c r="AD256" s="253"/>
      <c r="AE256" s="253"/>
      <c r="AF256" s="253"/>
      <c r="AG256" s="409"/>
      <c r="AH256" s="723"/>
      <c r="AI256" s="723"/>
      <c r="AJ256" s="723"/>
      <c r="AK256" s="723"/>
      <c r="AL256" s="723"/>
      <c r="AM256" s="723"/>
      <c r="AN256" s="723"/>
      <c r="AO256" s="723"/>
      <c r="AP256" s="1277"/>
      <c r="AQ256" s="2875"/>
      <c r="AR256" s="2875"/>
      <c r="AS256" s="2875"/>
      <c r="AV256" s="212">
        <f>IF(SchE2_Completed,SchE2_Line41,SchE2_Line26)</f>
        <v>0</v>
      </c>
      <c r="BG256" s="769"/>
      <c r="BH256" s="658"/>
      <c r="BI256" s="658"/>
      <c r="BJ256" s="658"/>
      <c r="BK256" s="658"/>
      <c r="BL256" s="658"/>
      <c r="BM256" s="658"/>
      <c r="BN256" s="658"/>
      <c r="BO256" s="658"/>
      <c r="BP256" s="658"/>
    </row>
    <row r="257" spans="1:68" ht="12.75" customHeight="1">
      <c r="A257" s="1277"/>
      <c r="B257" s="3377"/>
      <c r="C257" s="253"/>
      <c r="D257" s="511" t="s">
        <v>2441</v>
      </c>
      <c r="E257" s="253"/>
      <c r="F257" s="253"/>
      <c r="G257" s="253"/>
      <c r="H257" s="253"/>
      <c r="I257" s="253"/>
      <c r="J257" s="253"/>
      <c r="K257" s="253"/>
      <c r="L257" s="253"/>
      <c r="M257" s="253"/>
      <c r="N257" s="253"/>
      <c r="O257" s="253"/>
      <c r="P257" s="253"/>
      <c r="Q257" s="253"/>
      <c r="R257" s="253"/>
      <c r="S257" s="253"/>
      <c r="T257" s="253"/>
      <c r="U257" s="253"/>
      <c r="V257" s="253"/>
      <c r="W257" s="253"/>
      <c r="X257" s="253"/>
      <c r="Y257" s="408"/>
      <c r="Z257" s="409"/>
      <c r="AA257" s="408"/>
      <c r="AB257" s="253"/>
      <c r="AC257" s="253"/>
      <c r="AD257" s="253"/>
      <c r="AE257" s="253"/>
      <c r="AF257" s="253"/>
      <c r="AG257" s="409"/>
      <c r="AH257" s="723"/>
      <c r="AI257" s="723"/>
      <c r="AJ257" s="723"/>
      <c r="AK257" s="723"/>
      <c r="AL257" s="723"/>
      <c r="AM257" s="723"/>
      <c r="AN257" s="723"/>
      <c r="AO257" s="723"/>
      <c r="AP257" s="1277"/>
      <c r="BG257" s="769"/>
      <c r="BH257" s="658"/>
      <c r="BI257" s="658"/>
      <c r="BJ257" s="658"/>
      <c r="BK257" s="658"/>
      <c r="BL257" s="658"/>
      <c r="BM257" s="658"/>
      <c r="BN257" s="658"/>
      <c r="BO257" s="658"/>
      <c r="BP257" s="658"/>
    </row>
    <row r="258" spans="1:68" ht="12.75" customHeight="1">
      <c r="A258" s="1277"/>
      <c r="B258" s="3377"/>
      <c r="C258" s="253"/>
      <c r="D258" s="511" t="s">
        <v>2442</v>
      </c>
      <c r="E258" s="253"/>
      <c r="F258" s="253"/>
      <c r="G258" s="253"/>
      <c r="H258" s="253"/>
      <c r="I258" s="253"/>
      <c r="J258" s="253"/>
      <c r="K258" s="253"/>
      <c r="L258" s="253"/>
      <c r="M258" s="253"/>
      <c r="N258" s="253"/>
      <c r="O258" s="253"/>
      <c r="P258" s="253"/>
      <c r="Q258" s="253"/>
      <c r="R258" s="253"/>
      <c r="S258" s="253"/>
      <c r="T258" s="253"/>
      <c r="U258" s="253"/>
      <c r="V258" s="253"/>
      <c r="W258" s="253"/>
      <c r="X258" s="253"/>
      <c r="Y258" s="408"/>
      <c r="Z258" s="409"/>
      <c r="AA258" s="408"/>
      <c r="AB258" s="253"/>
      <c r="AC258" s="253"/>
      <c r="AD258" s="253"/>
      <c r="AE258" s="253"/>
      <c r="AF258" s="253"/>
      <c r="AG258" s="409"/>
      <c r="AH258" s="723"/>
      <c r="AI258" s="723"/>
      <c r="AJ258" s="723"/>
      <c r="AK258" s="723"/>
      <c r="AL258" s="723"/>
      <c r="AM258" s="723"/>
      <c r="AN258" s="723"/>
      <c r="AO258" s="723"/>
      <c r="AP258" s="1277"/>
      <c r="BG258" s="769"/>
      <c r="BH258" s="658"/>
      <c r="BI258" s="658"/>
      <c r="BJ258" s="658"/>
      <c r="BK258" s="658"/>
      <c r="BL258" s="658"/>
      <c r="BM258" s="658"/>
      <c r="BN258" s="658"/>
      <c r="BO258" s="658"/>
      <c r="BP258" s="658"/>
    </row>
    <row r="259" spans="1:68" ht="13.5" customHeight="1">
      <c r="A259" s="1277"/>
      <c r="B259" s="3377"/>
      <c r="C259" s="253"/>
      <c r="D259" s="511" t="s">
        <v>5248</v>
      </c>
      <c r="E259" s="253"/>
      <c r="F259" s="253"/>
      <c r="G259" s="253"/>
      <c r="H259" s="253"/>
      <c r="I259" s="253"/>
      <c r="J259" s="253"/>
      <c r="K259" s="253"/>
      <c r="L259" s="253"/>
      <c r="M259" s="253"/>
      <c r="N259" s="253"/>
      <c r="O259" s="253"/>
      <c r="P259" s="253"/>
      <c r="Q259" s="253"/>
      <c r="R259" s="253"/>
      <c r="S259" s="253"/>
      <c r="T259" s="253"/>
      <c r="U259" s="253"/>
      <c r="V259" s="253"/>
      <c r="W259" s="253"/>
      <c r="X259" s="1401" t="s">
        <v>2443</v>
      </c>
      <c r="Y259" s="8604">
        <v>42</v>
      </c>
      <c r="Z259" s="8605"/>
      <c r="AA259" s="8606"/>
      <c r="AB259" s="8607"/>
      <c r="AC259" s="8607"/>
      <c r="AD259" s="8607"/>
      <c r="AE259" s="8607"/>
      <c r="AF259" s="8607"/>
      <c r="AG259" s="8607"/>
      <c r="AH259" s="723"/>
      <c r="AI259" s="723"/>
      <c r="AJ259" s="723"/>
      <c r="AK259" s="723"/>
      <c r="AL259" s="723"/>
      <c r="AM259" s="723"/>
      <c r="AN259" s="723"/>
      <c r="AO259" s="723"/>
      <c r="AP259" s="1277"/>
      <c r="BG259" s="769"/>
      <c r="BH259" s="658"/>
      <c r="BI259" s="658"/>
      <c r="BJ259" s="658"/>
      <c r="BK259" s="658"/>
      <c r="BL259" s="658"/>
      <c r="BM259" s="658"/>
      <c r="BN259" s="658"/>
      <c r="BO259" s="658"/>
      <c r="BP259" s="658"/>
    </row>
    <row r="260" spans="1:68" ht="12.75" customHeight="1">
      <c r="A260" s="1277"/>
      <c r="B260" s="7608">
        <v>43</v>
      </c>
      <c r="C260" s="7608"/>
      <c r="D260" s="511" t="s">
        <v>2444</v>
      </c>
      <c r="E260" s="253"/>
      <c r="F260" s="253"/>
      <c r="G260" s="253"/>
      <c r="H260" s="253"/>
      <c r="I260" s="253"/>
      <c r="J260" s="253"/>
      <c r="K260" s="253"/>
      <c r="L260" s="253"/>
      <c r="M260" s="253"/>
      <c r="N260" s="253"/>
      <c r="O260" s="253"/>
      <c r="P260" s="253"/>
      <c r="Q260" s="253"/>
      <c r="R260" s="253"/>
      <c r="S260" s="253"/>
      <c r="T260" s="253"/>
      <c r="U260" s="253"/>
      <c r="V260" s="253"/>
      <c r="W260" s="253"/>
      <c r="X260" s="253"/>
      <c r="Y260" s="405"/>
      <c r="Z260" s="407"/>
      <c r="AA260" s="406"/>
      <c r="AB260" s="406"/>
      <c r="AC260" s="406"/>
      <c r="AD260" s="406"/>
      <c r="AE260" s="406"/>
      <c r="AF260" s="406"/>
      <c r="AG260" s="407"/>
      <c r="AH260" s="723"/>
      <c r="AI260" s="723"/>
      <c r="AJ260" s="723"/>
      <c r="AK260" s="723"/>
      <c r="AL260" s="723"/>
      <c r="AM260" s="723"/>
      <c r="AN260" s="723"/>
      <c r="AO260" s="723"/>
      <c r="AP260" s="1277"/>
      <c r="BG260" s="769"/>
      <c r="BH260" s="658"/>
      <c r="BI260" s="658"/>
      <c r="BJ260" s="658"/>
      <c r="BK260" s="658"/>
      <c r="BL260" s="658"/>
      <c r="BM260" s="658"/>
      <c r="BN260" s="658"/>
      <c r="BO260" s="658"/>
      <c r="BP260" s="658"/>
    </row>
    <row r="261" spans="1:68" ht="12.75" customHeight="1">
      <c r="A261" s="1277"/>
      <c r="B261" s="3377"/>
      <c r="C261" s="253"/>
      <c r="D261" s="2100" t="s">
        <v>2445</v>
      </c>
      <c r="E261" s="253"/>
      <c r="F261" s="253"/>
      <c r="G261" s="253"/>
      <c r="H261" s="253"/>
      <c r="I261" s="253"/>
      <c r="J261" s="253"/>
      <c r="K261" s="253"/>
      <c r="L261" s="253"/>
      <c r="M261" s="253"/>
      <c r="N261" s="253"/>
      <c r="O261" s="253"/>
      <c r="P261" s="253"/>
      <c r="Q261" s="253"/>
      <c r="R261" s="253"/>
      <c r="S261" s="253"/>
      <c r="T261" s="253"/>
      <c r="U261" s="253"/>
      <c r="V261" s="253"/>
      <c r="W261" s="253"/>
      <c r="X261" s="253"/>
      <c r="Y261" s="408"/>
      <c r="Z261" s="409"/>
      <c r="AA261" s="253"/>
      <c r="AB261" s="253"/>
      <c r="AC261" s="253"/>
      <c r="AD261" s="253"/>
      <c r="AE261" s="253"/>
      <c r="AF261" s="253"/>
      <c r="AG261" s="409"/>
      <c r="AH261" s="723"/>
      <c r="AI261" s="723"/>
      <c r="AJ261" s="723"/>
      <c r="AK261" s="723"/>
      <c r="AL261" s="723"/>
      <c r="AM261" s="723"/>
      <c r="AN261" s="723"/>
      <c r="AO261" s="723"/>
      <c r="AP261" s="1277"/>
      <c r="BG261" s="769"/>
      <c r="BH261" s="658"/>
      <c r="BI261" s="658"/>
      <c r="BJ261" s="658"/>
      <c r="BK261" s="658"/>
      <c r="BL261" s="658"/>
      <c r="BM261" s="658"/>
      <c r="BN261" s="658"/>
      <c r="BO261" s="658"/>
      <c r="BP261" s="658"/>
    </row>
    <row r="262" spans="1:68" ht="12.75" customHeight="1">
      <c r="A262" s="1277"/>
      <c r="B262" s="3377"/>
      <c r="C262" s="253"/>
      <c r="D262" s="2100" t="s">
        <v>2446</v>
      </c>
      <c r="E262" s="253"/>
      <c r="F262" s="253"/>
      <c r="G262" s="253"/>
      <c r="H262" s="253"/>
      <c r="I262" s="253"/>
      <c r="J262" s="253"/>
      <c r="K262" s="253"/>
      <c r="L262" s="253"/>
      <c r="M262" s="253"/>
      <c r="N262" s="253"/>
      <c r="O262" s="253"/>
      <c r="P262" s="253"/>
      <c r="Q262" s="253"/>
      <c r="R262" s="253"/>
      <c r="S262" s="253"/>
      <c r="T262" s="253"/>
      <c r="U262" s="253"/>
      <c r="V262" s="253"/>
      <c r="W262" s="253"/>
      <c r="X262" s="253"/>
      <c r="Y262" s="408"/>
      <c r="Z262" s="409"/>
      <c r="AA262" s="253"/>
      <c r="AB262" s="253"/>
      <c r="AC262" s="253"/>
      <c r="AD262" s="253"/>
      <c r="AE262" s="253"/>
      <c r="AF262" s="253"/>
      <c r="AG262" s="409"/>
      <c r="AH262" s="723"/>
      <c r="AI262" s="723"/>
      <c r="AJ262" s="723"/>
      <c r="AK262" s="723"/>
      <c r="AL262" s="723"/>
      <c r="AM262" s="723"/>
      <c r="AN262" s="723"/>
      <c r="AO262" s="723"/>
      <c r="AP262" s="1277"/>
      <c r="BG262" s="769"/>
      <c r="BH262" s="658"/>
      <c r="BI262" s="658"/>
      <c r="BJ262" s="658"/>
      <c r="BK262" s="658"/>
      <c r="BL262" s="658"/>
      <c r="BM262" s="658"/>
      <c r="BN262" s="658"/>
      <c r="BO262" s="658"/>
      <c r="BP262" s="658"/>
    </row>
    <row r="263" spans="1:68" ht="12.75" customHeight="1">
      <c r="A263" s="1277"/>
      <c r="B263" s="3377"/>
      <c r="C263" s="253"/>
      <c r="D263" s="511" t="s">
        <v>2447</v>
      </c>
      <c r="E263" s="253"/>
      <c r="F263" s="253"/>
      <c r="G263" s="253"/>
      <c r="H263" s="253"/>
      <c r="I263" s="253"/>
      <c r="J263" s="253"/>
      <c r="K263" s="253"/>
      <c r="L263" s="253"/>
      <c r="M263" s="253"/>
      <c r="N263" s="253"/>
      <c r="O263" s="253"/>
      <c r="P263" s="253"/>
      <c r="Q263" s="253"/>
      <c r="R263" s="253"/>
      <c r="S263" s="253"/>
      <c r="T263" s="253"/>
      <c r="U263" s="253"/>
      <c r="V263" s="253"/>
      <c r="W263" s="253"/>
      <c r="X263" s="253"/>
      <c r="Y263" s="408"/>
      <c r="Z263" s="409"/>
      <c r="AA263" s="253"/>
      <c r="AB263" s="253"/>
      <c r="AC263" s="253"/>
      <c r="AD263" s="253"/>
      <c r="AE263" s="253"/>
      <c r="AF263" s="253"/>
      <c r="AG263" s="409"/>
      <c r="AH263" s="723"/>
      <c r="AI263" s="723"/>
      <c r="AJ263" s="723"/>
      <c r="AK263" s="723"/>
      <c r="AL263" s="723"/>
      <c r="AM263" s="723"/>
      <c r="AN263" s="723"/>
      <c r="AO263" s="723"/>
      <c r="AP263" s="1277"/>
      <c r="BG263" s="769"/>
      <c r="BH263" s="658"/>
      <c r="BI263" s="658"/>
      <c r="BJ263" s="658"/>
      <c r="BK263" s="658"/>
      <c r="BL263" s="658"/>
      <c r="BM263" s="658"/>
      <c r="BN263" s="658"/>
      <c r="BO263" s="658"/>
      <c r="BP263" s="658"/>
    </row>
    <row r="264" spans="1:68" ht="13.5" customHeight="1" thickBot="1">
      <c r="A264" s="1277"/>
      <c r="B264" s="4829"/>
      <c r="C264" s="380"/>
      <c r="D264" s="2015" t="s">
        <v>2448</v>
      </c>
      <c r="E264" s="380"/>
      <c r="F264" s="380"/>
      <c r="G264" s="380"/>
      <c r="H264" s="380"/>
      <c r="I264" s="380"/>
      <c r="J264" s="380"/>
      <c r="K264" s="380"/>
      <c r="L264" s="380"/>
      <c r="M264" s="380"/>
      <c r="N264" s="380"/>
      <c r="O264" s="380"/>
      <c r="P264" s="380"/>
      <c r="Q264" s="380"/>
      <c r="R264" s="380"/>
      <c r="S264" s="380"/>
      <c r="T264" s="380"/>
      <c r="U264" s="380"/>
      <c r="V264" s="380"/>
      <c r="W264" s="380"/>
      <c r="X264" s="1658" t="s">
        <v>676</v>
      </c>
      <c r="Y264" s="8376">
        <v>43</v>
      </c>
      <c r="Z264" s="8377"/>
      <c r="AA264" s="8378"/>
      <c r="AB264" s="8379"/>
      <c r="AC264" s="8379"/>
      <c r="AD264" s="8379"/>
      <c r="AE264" s="8379"/>
      <c r="AF264" s="8379"/>
      <c r="AG264" s="8379"/>
      <c r="AH264" s="818"/>
      <c r="AI264" s="818"/>
      <c r="AJ264" s="818"/>
      <c r="AK264" s="818"/>
      <c r="AL264" s="818"/>
      <c r="AM264" s="818"/>
      <c r="AN264" s="818"/>
      <c r="AO264" s="818"/>
      <c r="AP264" s="1277"/>
      <c r="BG264" s="769"/>
      <c r="BH264" s="658"/>
      <c r="BI264" s="658"/>
      <c r="BJ264" s="658"/>
      <c r="BK264" s="658"/>
      <c r="BL264" s="658"/>
      <c r="BM264" s="658"/>
      <c r="BN264" s="658"/>
      <c r="BO264" s="658"/>
      <c r="BP264" s="658"/>
    </row>
    <row r="265" spans="1:68" ht="12.75" customHeight="1">
      <c r="A265" s="1277"/>
      <c r="B265" s="3377"/>
      <c r="C265" s="253"/>
      <c r="D265" s="253"/>
      <c r="E265" s="253"/>
      <c r="F265" s="253"/>
      <c r="G265" s="253"/>
      <c r="H265" s="253"/>
      <c r="I265" s="253"/>
      <c r="J265" s="253"/>
      <c r="K265" s="253"/>
      <c r="L265" s="253"/>
      <c r="M265" s="253"/>
      <c r="N265" s="253"/>
      <c r="O265" s="253"/>
      <c r="P265" s="253"/>
      <c r="Q265" s="253"/>
      <c r="R265" s="253"/>
      <c r="S265" s="253"/>
      <c r="T265" s="253"/>
      <c r="U265" s="253"/>
      <c r="V265" s="253"/>
      <c r="W265" s="253"/>
      <c r="X265" s="253"/>
      <c r="Y265" s="253"/>
      <c r="Z265" s="253"/>
      <c r="AA265" s="253"/>
      <c r="AB265" s="253"/>
      <c r="AC265" s="253"/>
      <c r="AD265" s="253"/>
      <c r="AE265" s="253"/>
      <c r="AF265" s="253"/>
      <c r="AG265" s="253"/>
      <c r="AH265" s="253"/>
      <c r="AI265" s="253"/>
      <c r="AJ265" s="253"/>
      <c r="AK265" s="253"/>
      <c r="AL265" s="253"/>
      <c r="AM265" s="253"/>
      <c r="AN265" s="253"/>
      <c r="AO265" s="1989" t="str">
        <f>"Schedule E (Form 1040) "&amp;TaxYear</f>
        <v>Schedule E (Form 1040) 2025</v>
      </c>
      <c r="AP265" s="1277"/>
      <c r="BG265" s="769"/>
      <c r="BH265" s="658"/>
      <c r="BI265" s="658"/>
      <c r="BJ265" s="658"/>
      <c r="BK265" s="658"/>
      <c r="BL265" s="658"/>
      <c r="BM265" s="658"/>
      <c r="BN265" s="658"/>
      <c r="BO265" s="658"/>
      <c r="BP265" s="658"/>
    </row>
    <row r="266" spans="1:68">
      <c r="A266" s="1277"/>
      <c r="B266" s="1277"/>
      <c r="C266" s="1277"/>
      <c r="D266" s="1277"/>
      <c r="E266" s="1277"/>
      <c r="F266" s="1277"/>
      <c r="G266" s="1277"/>
      <c r="H266" s="1277"/>
      <c r="I266" s="1277"/>
      <c r="J266" s="1277"/>
      <c r="K266" s="1277"/>
      <c r="L266" s="1277"/>
      <c r="M266" s="1277"/>
      <c r="N266" s="1277"/>
      <c r="O266" s="1277"/>
      <c r="P266" s="1277"/>
      <c r="Q266" s="1277"/>
      <c r="R266" s="1277"/>
      <c r="S266" s="1277"/>
      <c r="T266" s="1277"/>
      <c r="U266" s="1277"/>
      <c r="V266" s="1277"/>
      <c r="W266" s="1277"/>
      <c r="X266" s="1277"/>
      <c r="Y266" s="1277"/>
      <c r="Z266" s="1277"/>
      <c r="AA266" s="1277"/>
      <c r="AB266" s="1277"/>
      <c r="AC266" s="1277"/>
      <c r="AD266" s="1277"/>
      <c r="AE266" s="1277"/>
      <c r="AF266" s="1277"/>
      <c r="AG266" s="1277"/>
      <c r="AH266" s="1277"/>
      <c r="AI266" s="1277"/>
      <c r="AJ266" s="1277"/>
      <c r="AK266" s="1277"/>
      <c r="AL266" s="1277"/>
      <c r="AM266" s="1277"/>
      <c r="AN266" s="1277"/>
      <c r="AO266" s="1277"/>
      <c r="AP266" s="1277"/>
      <c r="BG266" s="769"/>
      <c r="BH266" s="658"/>
      <c r="BI266" s="658"/>
      <c r="BJ266" s="658"/>
      <c r="BK266" s="658"/>
      <c r="BL266" s="658"/>
      <c r="BM266" s="658"/>
      <c r="BN266" s="658"/>
      <c r="BO266" s="658"/>
      <c r="BP266" s="658"/>
    </row>
  </sheetData>
  <sheetProtection algorithmName="SHA-512" hashValue="I1/CMmNdvb9de+3XoPWilw2mjzQIaz1mOSB161Zc96+Ba6RdVgCwDypMiwcrrh2HaMpHA9MdaF3ShGCdlorxow==" saltValue="qxRm3w7H3jU+4IX6pLYJYw==" spinCount="100000" sheet="1" objects="1" scenarios="1" formatCells="0" formatColumns="0" formatRows="0"/>
  <mergeCells count="664">
    <mergeCell ref="AI1:AO1"/>
    <mergeCell ref="B260:C260"/>
    <mergeCell ref="Y264:Z264"/>
    <mergeCell ref="AA264:AG264"/>
    <mergeCell ref="B253:C253"/>
    <mergeCell ref="AH253:AI253"/>
    <mergeCell ref="AJ253:AO253"/>
    <mergeCell ref="B255:C255"/>
    <mergeCell ref="AH255:AI255"/>
    <mergeCell ref="AJ255:AO255"/>
    <mergeCell ref="B256:C256"/>
    <mergeCell ref="Y259:Z259"/>
    <mergeCell ref="AA259:AG259"/>
    <mergeCell ref="B254:C254"/>
    <mergeCell ref="B250:J250"/>
    <mergeCell ref="K250:R250"/>
    <mergeCell ref="S250:Y250"/>
    <mergeCell ref="Z250:AG250"/>
    <mergeCell ref="AH250:AO250"/>
    <mergeCell ref="B251:C251"/>
    <mergeCell ref="AH251:AI251"/>
    <mergeCell ref="AJ251:AO251"/>
    <mergeCell ref="B252:D252"/>
    <mergeCell ref="B244:C244"/>
    <mergeCell ref="AH244:AI244"/>
    <mergeCell ref="AK244:AN244"/>
    <mergeCell ref="B245:C245"/>
    <mergeCell ref="AH245:AI245"/>
    <mergeCell ref="AJ245:AO245"/>
    <mergeCell ref="B246:D246"/>
    <mergeCell ref="D247:J249"/>
    <mergeCell ref="K247:R249"/>
    <mergeCell ref="S247:Y249"/>
    <mergeCell ref="Z247:AG249"/>
    <mergeCell ref="AH247:AO249"/>
    <mergeCell ref="B248:C248"/>
    <mergeCell ref="B241:C241"/>
    <mergeCell ref="O241:X241"/>
    <mergeCell ref="AH241:AO241"/>
    <mergeCell ref="B242:C242"/>
    <mergeCell ref="F242:N242"/>
    <mergeCell ref="Y242:AG242"/>
    <mergeCell ref="B243:C243"/>
    <mergeCell ref="AH243:AI243"/>
    <mergeCell ref="AJ243:AO243"/>
    <mergeCell ref="B236:N238"/>
    <mergeCell ref="O236:X238"/>
    <mergeCell ref="Y236:AG238"/>
    <mergeCell ref="AH236:AO238"/>
    <mergeCell ref="C239:N239"/>
    <mergeCell ref="O239:X239"/>
    <mergeCell ref="Y239:AG239"/>
    <mergeCell ref="AH239:AO239"/>
    <mergeCell ref="C240:N240"/>
    <mergeCell ref="O240:X240"/>
    <mergeCell ref="Y240:AG240"/>
    <mergeCell ref="AH240:AO240"/>
    <mergeCell ref="B229:D229"/>
    <mergeCell ref="AH230:AO232"/>
    <mergeCell ref="B231:C231"/>
    <mergeCell ref="C233:AG233"/>
    <mergeCell ref="AH233:AO233"/>
    <mergeCell ref="C234:AG234"/>
    <mergeCell ref="AH234:AO234"/>
    <mergeCell ref="B235:X235"/>
    <mergeCell ref="Y235:AO235"/>
    <mergeCell ref="B226:C226"/>
    <mergeCell ref="AF226:AG226"/>
    <mergeCell ref="AH226:AO226"/>
    <mergeCell ref="B227:C227"/>
    <mergeCell ref="AF227:AG227"/>
    <mergeCell ref="AI227:AN227"/>
    <mergeCell ref="B228:C228"/>
    <mergeCell ref="AF228:AG228"/>
    <mergeCell ref="AH228:AO228"/>
    <mergeCell ref="B224:C224"/>
    <mergeCell ref="K224:R224"/>
    <mergeCell ref="S224:Y224"/>
    <mergeCell ref="AH224:AO224"/>
    <mergeCell ref="B225:C225"/>
    <mergeCell ref="F225:J225"/>
    <mergeCell ref="K225:R225"/>
    <mergeCell ref="S225:Y225"/>
    <mergeCell ref="Z225:AG225"/>
    <mergeCell ref="AH225:AO225"/>
    <mergeCell ref="C222:J222"/>
    <mergeCell ref="K222:R222"/>
    <mergeCell ref="S222:Y222"/>
    <mergeCell ref="Z222:AG222"/>
    <mergeCell ref="AH222:AO222"/>
    <mergeCell ref="C223:J223"/>
    <mergeCell ref="K223:R223"/>
    <mergeCell ref="S223:Y223"/>
    <mergeCell ref="Z223:AG223"/>
    <mergeCell ref="AH223:AO223"/>
    <mergeCell ref="C220:J220"/>
    <mergeCell ref="K220:R220"/>
    <mergeCell ref="S220:Y220"/>
    <mergeCell ref="Z220:AG220"/>
    <mergeCell ref="AH220:AO220"/>
    <mergeCell ref="C221:J221"/>
    <mergeCell ref="K221:R221"/>
    <mergeCell ref="S221:Y221"/>
    <mergeCell ref="Z221:AG221"/>
    <mergeCell ref="AH221:AO221"/>
    <mergeCell ref="C215:N215"/>
    <mergeCell ref="O215:S215"/>
    <mergeCell ref="Y215:AE215"/>
    <mergeCell ref="B216:R216"/>
    <mergeCell ref="S216:AO216"/>
    <mergeCell ref="C217:J219"/>
    <mergeCell ref="K217:R219"/>
    <mergeCell ref="S217:Y219"/>
    <mergeCell ref="Z217:AG219"/>
    <mergeCell ref="AH217:AO219"/>
    <mergeCell ref="C212:N212"/>
    <mergeCell ref="O212:S212"/>
    <mergeCell ref="Y212:AE212"/>
    <mergeCell ref="C213:N213"/>
    <mergeCell ref="O213:S213"/>
    <mergeCell ref="Y213:AE213"/>
    <mergeCell ref="C214:N214"/>
    <mergeCell ref="O214:S214"/>
    <mergeCell ref="Y214:AE214"/>
    <mergeCell ref="B199:AE199"/>
    <mergeCell ref="AF199:AO199"/>
    <mergeCell ref="B201:D201"/>
    <mergeCell ref="B205:C205"/>
    <mergeCell ref="O209:S211"/>
    <mergeCell ref="T209:X211"/>
    <mergeCell ref="Y209:AE211"/>
    <mergeCell ref="AF209:AJ211"/>
    <mergeCell ref="AK209:AO211"/>
    <mergeCell ref="B210:C210"/>
    <mergeCell ref="B192:C192"/>
    <mergeCell ref="AH192:AI192"/>
    <mergeCell ref="AK192:AN192"/>
    <mergeCell ref="B193:C193"/>
    <mergeCell ref="B194:C194"/>
    <mergeCell ref="AH195:AI195"/>
    <mergeCell ref="AJ195:AO195"/>
    <mergeCell ref="AF198:AO198"/>
    <mergeCell ref="AK193:AN193"/>
    <mergeCell ref="B189:C189"/>
    <mergeCell ref="AB189:AC189"/>
    <mergeCell ref="AD189:AI189"/>
    <mergeCell ref="B190:C190"/>
    <mergeCell ref="AB190:AC190"/>
    <mergeCell ref="AD190:AI190"/>
    <mergeCell ref="B191:C191"/>
    <mergeCell ref="AH191:AI191"/>
    <mergeCell ref="AJ191:AO191"/>
    <mergeCell ref="B186:C186"/>
    <mergeCell ref="AB186:AC186"/>
    <mergeCell ref="AD186:AI186"/>
    <mergeCell ref="B187:C187"/>
    <mergeCell ref="AB187:AC187"/>
    <mergeCell ref="AD187:AI187"/>
    <mergeCell ref="B188:C188"/>
    <mergeCell ref="AB188:AC188"/>
    <mergeCell ref="AD188:AI188"/>
    <mergeCell ref="B184:C184"/>
    <mergeCell ref="T184:U184"/>
    <mergeCell ref="V184:AC184"/>
    <mergeCell ref="AD184:AI184"/>
    <mergeCell ref="AJ184:AO184"/>
    <mergeCell ref="B185:C185"/>
    <mergeCell ref="T185:U185"/>
    <mergeCell ref="W185:AB185"/>
    <mergeCell ref="AE185:AH185"/>
    <mergeCell ref="AK185:AN185"/>
    <mergeCell ref="AY181:AZ181"/>
    <mergeCell ref="BA181:BB181"/>
    <mergeCell ref="BC181:BD181"/>
    <mergeCell ref="B182:C182"/>
    <mergeCell ref="T182:U182"/>
    <mergeCell ref="V182:AC182"/>
    <mergeCell ref="AD182:AI182"/>
    <mergeCell ref="AJ182:AO182"/>
    <mergeCell ref="B183:C183"/>
    <mergeCell ref="T183:U183"/>
    <mergeCell ref="V183:AC183"/>
    <mergeCell ref="AD183:AI183"/>
    <mergeCell ref="AJ183:AO183"/>
    <mergeCell ref="B180:C180"/>
    <mergeCell ref="T180:U180"/>
    <mergeCell ref="V180:AC180"/>
    <mergeCell ref="AD180:AI180"/>
    <mergeCell ref="AJ180:AO180"/>
    <mergeCell ref="B181:C181"/>
    <mergeCell ref="T181:U181"/>
    <mergeCell ref="V181:AC181"/>
    <mergeCell ref="AD181:AI181"/>
    <mergeCell ref="AJ181:AO181"/>
    <mergeCell ref="B178:C178"/>
    <mergeCell ref="T178:U178"/>
    <mergeCell ref="V178:AC178"/>
    <mergeCell ref="AD178:AI178"/>
    <mergeCell ref="AJ178:AO178"/>
    <mergeCell ref="AR178:AT178"/>
    <mergeCell ref="B179:C179"/>
    <mergeCell ref="H179:R179"/>
    <mergeCell ref="T179:U179"/>
    <mergeCell ref="V179:AC179"/>
    <mergeCell ref="AD179:AI179"/>
    <mergeCell ref="AJ179:AO179"/>
    <mergeCell ref="B176:C176"/>
    <mergeCell ref="T176:U176"/>
    <mergeCell ref="V176:AC176"/>
    <mergeCell ref="AD176:AI176"/>
    <mergeCell ref="AJ176:AO176"/>
    <mergeCell ref="B177:C177"/>
    <mergeCell ref="T177:U177"/>
    <mergeCell ref="V177:AC177"/>
    <mergeCell ref="AD177:AI177"/>
    <mergeCell ref="AJ177:AO177"/>
    <mergeCell ref="B174:C174"/>
    <mergeCell ref="T174:U174"/>
    <mergeCell ref="V174:AC174"/>
    <mergeCell ref="AD174:AI174"/>
    <mergeCell ref="AJ174:AO174"/>
    <mergeCell ref="B175:C175"/>
    <mergeCell ref="T175:U175"/>
    <mergeCell ref="V175:AC175"/>
    <mergeCell ref="AD175:AI175"/>
    <mergeCell ref="AJ175:AO175"/>
    <mergeCell ref="B172:C172"/>
    <mergeCell ref="T172:U172"/>
    <mergeCell ref="V172:AC172"/>
    <mergeCell ref="AD172:AI172"/>
    <mergeCell ref="AJ172:AO172"/>
    <mergeCell ref="B173:C173"/>
    <mergeCell ref="T173:U173"/>
    <mergeCell ref="V173:AC173"/>
    <mergeCell ref="AD173:AI173"/>
    <mergeCell ref="AJ173:AO173"/>
    <mergeCell ref="B170:C170"/>
    <mergeCell ref="T170:U170"/>
    <mergeCell ref="V170:AC170"/>
    <mergeCell ref="AD170:AI170"/>
    <mergeCell ref="AJ170:AO170"/>
    <mergeCell ref="B171:C171"/>
    <mergeCell ref="T171:U171"/>
    <mergeCell ref="V171:AC171"/>
    <mergeCell ref="AD171:AI171"/>
    <mergeCell ref="AJ171:AO171"/>
    <mergeCell ref="B168:C168"/>
    <mergeCell ref="T168:U168"/>
    <mergeCell ref="V168:AC168"/>
    <mergeCell ref="AD168:AI168"/>
    <mergeCell ref="AJ168:AO168"/>
    <mergeCell ref="B169:C169"/>
    <mergeCell ref="T169:U169"/>
    <mergeCell ref="V169:AC169"/>
    <mergeCell ref="AD169:AI169"/>
    <mergeCell ref="AJ169:AO169"/>
    <mergeCell ref="B166:C166"/>
    <mergeCell ref="T166:U166"/>
    <mergeCell ref="V166:AC166"/>
    <mergeCell ref="AD166:AI166"/>
    <mergeCell ref="AJ166:AO166"/>
    <mergeCell ref="B167:C167"/>
    <mergeCell ref="T167:U167"/>
    <mergeCell ref="V167:AC167"/>
    <mergeCell ref="AD167:AI167"/>
    <mergeCell ref="AJ167:AO167"/>
    <mergeCell ref="B163:C163"/>
    <mergeCell ref="T163:U163"/>
    <mergeCell ref="V163:AC163"/>
    <mergeCell ref="AD163:AI163"/>
    <mergeCell ref="AJ163:AO163"/>
    <mergeCell ref="V164:AC164"/>
    <mergeCell ref="AD164:AI164"/>
    <mergeCell ref="AJ164:AO164"/>
    <mergeCell ref="B165:C165"/>
    <mergeCell ref="T165:U165"/>
    <mergeCell ref="V165:AC165"/>
    <mergeCell ref="AD165:AI165"/>
    <mergeCell ref="AJ165:AO165"/>
    <mergeCell ref="V161:AC161"/>
    <mergeCell ref="AD161:AI161"/>
    <mergeCell ref="AJ161:AO161"/>
    <mergeCell ref="B162:C162"/>
    <mergeCell ref="T162:U162"/>
    <mergeCell ref="V162:AC162"/>
    <mergeCell ref="AD162:AI162"/>
    <mergeCell ref="AJ162:AO162"/>
    <mergeCell ref="AG158:AO158"/>
    <mergeCell ref="V160:AO160"/>
    <mergeCell ref="B150:C150"/>
    <mergeCell ref="D150:AO150"/>
    <mergeCell ref="B151:C151"/>
    <mergeCell ref="D151:H152"/>
    <mergeCell ref="I151:J151"/>
    <mergeCell ref="AA151:AE152"/>
    <mergeCell ref="AF151:AJ152"/>
    <mergeCell ref="AK151:AO152"/>
    <mergeCell ref="B153:C153"/>
    <mergeCell ref="D153:H153"/>
    <mergeCell ref="X153:Z153"/>
    <mergeCell ref="AA153:AE153"/>
    <mergeCell ref="AF153:AJ153"/>
    <mergeCell ref="K151:W155"/>
    <mergeCell ref="B154:C154"/>
    <mergeCell ref="D154:H154"/>
    <mergeCell ref="X154:Z154"/>
    <mergeCell ref="AA154:AE154"/>
    <mergeCell ref="AF154:AJ154"/>
    <mergeCell ref="B155:C155"/>
    <mergeCell ref="D155:H155"/>
    <mergeCell ref="X155:Z155"/>
    <mergeCell ref="AA155:AE155"/>
    <mergeCell ref="AF155:AJ155"/>
    <mergeCell ref="B146:C146"/>
    <mergeCell ref="B147:C147"/>
    <mergeCell ref="B148:C148"/>
    <mergeCell ref="D148:AO148"/>
    <mergeCell ref="B149:C149"/>
    <mergeCell ref="D149:AO149"/>
    <mergeCell ref="B96:C96"/>
    <mergeCell ref="B94:C94"/>
    <mergeCell ref="B95:C95"/>
    <mergeCell ref="AI134:AO134"/>
    <mergeCell ref="B135:G135"/>
    <mergeCell ref="AI135:AO136"/>
    <mergeCell ref="B136:G138"/>
    <mergeCell ref="AJ137:AM138"/>
    <mergeCell ref="AN138:AO138"/>
    <mergeCell ref="AG139:AO139"/>
    <mergeCell ref="B140:AF141"/>
    <mergeCell ref="AG140:AO141"/>
    <mergeCell ref="B134:G134"/>
    <mergeCell ref="C108:N108"/>
    <mergeCell ref="O108:X108"/>
    <mergeCell ref="AH115:AO117"/>
    <mergeCell ref="B142:D142"/>
    <mergeCell ref="B99:C99"/>
    <mergeCell ref="C83:N83"/>
    <mergeCell ref="C91:J91"/>
    <mergeCell ref="K91:R91"/>
    <mergeCell ref="Z91:AG91"/>
    <mergeCell ref="AH96:AO96"/>
    <mergeCell ref="AF94:AG94"/>
    <mergeCell ref="B145:C145"/>
    <mergeCell ref="Y108:AG108"/>
    <mergeCell ref="AH108:AO108"/>
    <mergeCell ref="AH91:AO91"/>
    <mergeCell ref="B92:C92"/>
    <mergeCell ref="AH111:AI111"/>
    <mergeCell ref="AH112:AI112"/>
    <mergeCell ref="AH113:AI113"/>
    <mergeCell ref="Y127:Z127"/>
    <mergeCell ref="AA127:AG127"/>
    <mergeCell ref="AJ121:AO121"/>
    <mergeCell ref="AJ123:AO123"/>
    <mergeCell ref="AJ111:AO111"/>
    <mergeCell ref="AJ113:AO113"/>
    <mergeCell ref="S115:Y117"/>
    <mergeCell ref="Z115:AG117"/>
    <mergeCell ref="Z88:AG88"/>
    <mergeCell ref="AH88:AO88"/>
    <mergeCell ref="AI2:AO2"/>
    <mergeCell ref="B4:G6"/>
    <mergeCell ref="B3:G3"/>
    <mergeCell ref="AJ5:AM6"/>
    <mergeCell ref="AI3:AO4"/>
    <mergeCell ref="B30:C30"/>
    <mergeCell ref="T30:U30"/>
    <mergeCell ref="V30:AC30"/>
    <mergeCell ref="AD30:AI30"/>
    <mergeCell ref="B21:C21"/>
    <mergeCell ref="B22:C22"/>
    <mergeCell ref="B10:D10"/>
    <mergeCell ref="B14:C14"/>
    <mergeCell ref="B15:C15"/>
    <mergeCell ref="AN6:AO6"/>
    <mergeCell ref="AG8:AO9"/>
    <mergeCell ref="AG7:AO7"/>
    <mergeCell ref="AF21:AJ21"/>
    <mergeCell ref="AF22:AJ22"/>
    <mergeCell ref="AF23:AJ23"/>
    <mergeCell ref="B16:C16"/>
    <mergeCell ref="D16:AO16"/>
    <mergeCell ref="B13:C13"/>
    <mergeCell ref="I19:J19"/>
    <mergeCell ref="B31:C31"/>
    <mergeCell ref="T31:U31"/>
    <mergeCell ref="V31:AC31"/>
    <mergeCell ref="AD31:AI31"/>
    <mergeCell ref="AJ31:AO31"/>
    <mergeCell ref="B23:C23"/>
    <mergeCell ref="AJ33:AO33"/>
    <mergeCell ref="B34:C34"/>
    <mergeCell ref="T34:U34"/>
    <mergeCell ref="V34:AC34"/>
    <mergeCell ref="AD34:AI34"/>
    <mergeCell ref="AJ34:AO34"/>
    <mergeCell ref="B33:C33"/>
    <mergeCell ref="T33:U33"/>
    <mergeCell ref="V33:AC33"/>
    <mergeCell ref="AD33:AI33"/>
    <mergeCell ref="K19:W23"/>
    <mergeCell ref="V29:AC29"/>
    <mergeCell ref="AD29:AI29"/>
    <mergeCell ref="AA23:AE23"/>
    <mergeCell ref="AJ29:AO29"/>
    <mergeCell ref="V28:AO28"/>
    <mergeCell ref="D21:H21"/>
    <mergeCell ref="D22:H22"/>
    <mergeCell ref="D23:H23"/>
    <mergeCell ref="X21:Z21"/>
    <mergeCell ref="X22:Z22"/>
    <mergeCell ref="X23:Z23"/>
    <mergeCell ref="AA21:AE21"/>
    <mergeCell ref="AA22:AE22"/>
    <mergeCell ref="AJ30:AO30"/>
    <mergeCell ref="B17:C17"/>
    <mergeCell ref="B18:C18"/>
    <mergeCell ref="B19:C19"/>
    <mergeCell ref="D17:AO17"/>
    <mergeCell ref="D18:AO18"/>
    <mergeCell ref="D19:H20"/>
    <mergeCell ref="AK19:AO20"/>
    <mergeCell ref="AF19:AJ20"/>
    <mergeCell ref="AA19:AE20"/>
    <mergeCell ref="T35:U35"/>
    <mergeCell ref="V35:AC35"/>
    <mergeCell ref="AD35:AI35"/>
    <mergeCell ref="AJ35:AO35"/>
    <mergeCell ref="B36:C36"/>
    <mergeCell ref="T36:U36"/>
    <mergeCell ref="V36:AC36"/>
    <mergeCell ref="AD36:AI36"/>
    <mergeCell ref="AJ36:AO36"/>
    <mergeCell ref="B35:C35"/>
    <mergeCell ref="B37:C37"/>
    <mergeCell ref="T37:U37"/>
    <mergeCell ref="V37:AC37"/>
    <mergeCell ref="AD37:AI37"/>
    <mergeCell ref="AJ37:AO37"/>
    <mergeCell ref="B38:C38"/>
    <mergeCell ref="T38:U38"/>
    <mergeCell ref="V38:AC38"/>
    <mergeCell ref="AD38:AI38"/>
    <mergeCell ref="AJ38:AO38"/>
    <mergeCell ref="B39:C39"/>
    <mergeCell ref="T39:U39"/>
    <mergeCell ref="V39:AC39"/>
    <mergeCell ref="AD39:AI39"/>
    <mergeCell ref="AJ39:AO39"/>
    <mergeCell ref="B40:C40"/>
    <mergeCell ref="T40:U40"/>
    <mergeCell ref="V40:AC40"/>
    <mergeCell ref="AD40:AI40"/>
    <mergeCell ref="AJ40:AO40"/>
    <mergeCell ref="B41:C41"/>
    <mergeCell ref="T41:U41"/>
    <mergeCell ref="V41:AC41"/>
    <mergeCell ref="AD41:AI41"/>
    <mergeCell ref="AJ41:AO41"/>
    <mergeCell ref="B42:C42"/>
    <mergeCell ref="T42:U42"/>
    <mergeCell ref="V42:AC42"/>
    <mergeCell ref="AD42:AI42"/>
    <mergeCell ref="AJ42:AO42"/>
    <mergeCell ref="B43:C43"/>
    <mergeCell ref="T43:U43"/>
    <mergeCell ref="V43:AC43"/>
    <mergeCell ref="AD43:AI43"/>
    <mergeCell ref="AJ43:AO43"/>
    <mergeCell ref="B44:C44"/>
    <mergeCell ref="T44:U44"/>
    <mergeCell ref="V44:AC44"/>
    <mergeCell ref="AD44:AI44"/>
    <mergeCell ref="AJ44:AO44"/>
    <mergeCell ref="B45:C45"/>
    <mergeCell ref="T45:U45"/>
    <mergeCell ref="V45:AC45"/>
    <mergeCell ref="AD45:AI45"/>
    <mergeCell ref="AJ45:AO45"/>
    <mergeCell ref="B46:C46"/>
    <mergeCell ref="T46:U46"/>
    <mergeCell ref="V46:AC46"/>
    <mergeCell ref="AD46:AI46"/>
    <mergeCell ref="AJ46:AO46"/>
    <mergeCell ref="B47:C47"/>
    <mergeCell ref="T47:U47"/>
    <mergeCell ref="V47:AC47"/>
    <mergeCell ref="AD47:AI47"/>
    <mergeCell ref="AJ47:AO47"/>
    <mergeCell ref="B48:C48"/>
    <mergeCell ref="T48:U48"/>
    <mergeCell ref="V48:AC48"/>
    <mergeCell ref="AD48:AI48"/>
    <mergeCell ref="AJ48:AO48"/>
    <mergeCell ref="H47:R47"/>
    <mergeCell ref="AJ51:AO51"/>
    <mergeCell ref="B52:C52"/>
    <mergeCell ref="T52:U52"/>
    <mergeCell ref="V52:AC52"/>
    <mergeCell ref="AD52:AI52"/>
    <mergeCell ref="AJ52:AO52"/>
    <mergeCell ref="B49:C49"/>
    <mergeCell ref="T49:U49"/>
    <mergeCell ref="V49:AC49"/>
    <mergeCell ref="AD49:AI49"/>
    <mergeCell ref="AJ49:AO49"/>
    <mergeCell ref="B50:C50"/>
    <mergeCell ref="T50:U50"/>
    <mergeCell ref="V50:AC50"/>
    <mergeCell ref="AD50:AI50"/>
    <mergeCell ref="AJ50:AO50"/>
    <mergeCell ref="B53:C53"/>
    <mergeCell ref="T53:U53"/>
    <mergeCell ref="AB54:AC54"/>
    <mergeCell ref="AD54:AI54"/>
    <mergeCell ref="B54:C54"/>
    <mergeCell ref="AE53:AH53"/>
    <mergeCell ref="B51:C51"/>
    <mergeCell ref="T51:U51"/>
    <mergeCell ref="V51:AC51"/>
    <mergeCell ref="AD51:AI51"/>
    <mergeCell ref="B57:C57"/>
    <mergeCell ref="AB57:AC57"/>
    <mergeCell ref="AD57:AI57"/>
    <mergeCell ref="B58:C58"/>
    <mergeCell ref="AB58:AC58"/>
    <mergeCell ref="AD58:AI58"/>
    <mergeCell ref="B55:C55"/>
    <mergeCell ref="AB55:AC55"/>
    <mergeCell ref="AD55:AI55"/>
    <mergeCell ref="B56:C56"/>
    <mergeCell ref="AB56:AC56"/>
    <mergeCell ref="AD56:AI56"/>
    <mergeCell ref="C82:N82"/>
    <mergeCell ref="B62:C62"/>
    <mergeCell ref="B60:C60"/>
    <mergeCell ref="AH60:AI60"/>
    <mergeCell ref="B61:C61"/>
    <mergeCell ref="B59:C59"/>
    <mergeCell ref="AJ59:AO59"/>
    <mergeCell ref="AH59:AI59"/>
    <mergeCell ref="AH63:AI63"/>
    <mergeCell ref="AJ63:AO63"/>
    <mergeCell ref="AK61:AN61"/>
    <mergeCell ref="O82:S82"/>
    <mergeCell ref="Y82:AE82"/>
    <mergeCell ref="AF77:AJ79"/>
    <mergeCell ref="AF66:AO66"/>
    <mergeCell ref="AK77:AO79"/>
    <mergeCell ref="B78:C78"/>
    <mergeCell ref="C81:N81"/>
    <mergeCell ref="O81:S81"/>
    <mergeCell ref="Y81:AE81"/>
    <mergeCell ref="AH93:AO93"/>
    <mergeCell ref="F93:J93"/>
    <mergeCell ref="Z93:AG93"/>
    <mergeCell ref="C89:J89"/>
    <mergeCell ref="K89:R89"/>
    <mergeCell ref="S89:Y89"/>
    <mergeCell ref="Z89:AG89"/>
    <mergeCell ref="AH89:AO89"/>
    <mergeCell ref="B84:R84"/>
    <mergeCell ref="C88:J88"/>
    <mergeCell ref="K92:R92"/>
    <mergeCell ref="S92:Y92"/>
    <mergeCell ref="AH92:AO92"/>
    <mergeCell ref="B93:C93"/>
    <mergeCell ref="K93:R93"/>
    <mergeCell ref="C90:J90"/>
    <mergeCell ref="K90:R90"/>
    <mergeCell ref="C85:J87"/>
    <mergeCell ref="K85:R87"/>
    <mergeCell ref="S85:Y87"/>
    <mergeCell ref="Z85:AG87"/>
    <mergeCell ref="S90:Y90"/>
    <mergeCell ref="Z90:AG90"/>
    <mergeCell ref="AH90:AO90"/>
    <mergeCell ref="B110:C110"/>
    <mergeCell ref="AH102:AO102"/>
    <mergeCell ref="C101:AG101"/>
    <mergeCell ref="B97:D97"/>
    <mergeCell ref="C102:AG102"/>
    <mergeCell ref="AH98:AO100"/>
    <mergeCell ref="O107:X107"/>
    <mergeCell ref="Y107:AG107"/>
    <mergeCell ref="AH107:AO107"/>
    <mergeCell ref="Y103:AO103"/>
    <mergeCell ref="B103:X103"/>
    <mergeCell ref="B104:N106"/>
    <mergeCell ref="O104:X106"/>
    <mergeCell ref="Y104:AG106"/>
    <mergeCell ref="B2:G2"/>
    <mergeCell ref="C107:N107"/>
    <mergeCell ref="AH104:AO106"/>
    <mergeCell ref="B123:C123"/>
    <mergeCell ref="B124:C124"/>
    <mergeCell ref="B116:C116"/>
    <mergeCell ref="B8:AF9"/>
    <mergeCell ref="V32:AC32"/>
    <mergeCell ref="AD32:AI32"/>
    <mergeCell ref="W53:AB53"/>
    <mergeCell ref="B120:D120"/>
    <mergeCell ref="B121:C121"/>
    <mergeCell ref="AH121:AI121"/>
    <mergeCell ref="AH123:AI123"/>
    <mergeCell ref="Z118:AG118"/>
    <mergeCell ref="AH118:AO118"/>
    <mergeCell ref="B118:J118"/>
    <mergeCell ref="B119:C119"/>
    <mergeCell ref="AH119:AI119"/>
    <mergeCell ref="AJ119:AO119"/>
    <mergeCell ref="B114:D114"/>
    <mergeCell ref="K115:R117"/>
    <mergeCell ref="K88:R88"/>
    <mergeCell ref="AJ32:AO32"/>
    <mergeCell ref="AY49:AZ49"/>
    <mergeCell ref="BA49:BB49"/>
    <mergeCell ref="BC49:BD49"/>
    <mergeCell ref="AR46:AT46"/>
    <mergeCell ref="AI95:AN95"/>
    <mergeCell ref="AK53:AN53"/>
    <mergeCell ref="AK60:AN60"/>
    <mergeCell ref="AH85:AO87"/>
    <mergeCell ref="S84:AO84"/>
    <mergeCell ref="AF67:AO67"/>
    <mergeCell ref="B67:AE67"/>
    <mergeCell ref="B69:D69"/>
    <mergeCell ref="AH94:AO94"/>
    <mergeCell ref="S88:Y88"/>
    <mergeCell ref="S91:Y91"/>
    <mergeCell ref="B73:C73"/>
    <mergeCell ref="C80:N80"/>
    <mergeCell ref="O80:S80"/>
    <mergeCell ref="Y80:AE80"/>
    <mergeCell ref="O77:S79"/>
    <mergeCell ref="T77:X79"/>
    <mergeCell ref="Y77:AE79"/>
    <mergeCell ref="O83:S83"/>
    <mergeCell ref="Y83:AE83"/>
    <mergeCell ref="AR157:AS159"/>
    <mergeCell ref="AR25:AS27"/>
    <mergeCell ref="B122:C122"/>
    <mergeCell ref="AH26:AO26"/>
    <mergeCell ref="Y132:Z132"/>
    <mergeCell ref="AA132:AG132"/>
    <mergeCell ref="B128:C128"/>
    <mergeCell ref="B113:C113"/>
    <mergeCell ref="F110:N110"/>
    <mergeCell ref="O109:X109"/>
    <mergeCell ref="AF95:AG95"/>
    <mergeCell ref="AF96:AG96"/>
    <mergeCell ref="D115:J117"/>
    <mergeCell ref="AK112:AN112"/>
    <mergeCell ref="AH109:AO109"/>
    <mergeCell ref="Y110:AG110"/>
    <mergeCell ref="AG65:AH65"/>
    <mergeCell ref="B111:C111"/>
    <mergeCell ref="B112:C112"/>
    <mergeCell ref="S93:Y93"/>
    <mergeCell ref="AH101:AO101"/>
    <mergeCell ref="K118:R118"/>
    <mergeCell ref="S118:Y118"/>
    <mergeCell ref="B109:C109"/>
  </mergeCells>
  <conditionalFormatting sqref="A52">
    <cfRule type="expression" dxfId="2679" priority="9">
      <formula>AND(AS52,AT52)</formula>
    </cfRule>
  </conditionalFormatting>
  <conditionalFormatting sqref="A184">
    <cfRule type="expression" dxfId="2678" priority="4">
      <formula>AND(AS184,AT184)</formula>
    </cfRule>
  </conditionalFormatting>
  <conditionalFormatting sqref="B8 AG8">
    <cfRule type="expression" dxfId="2677" priority="201">
      <formula>NoColor</formula>
    </cfRule>
  </conditionalFormatting>
  <conditionalFormatting sqref="B140 AG140">
    <cfRule type="expression" dxfId="2676" priority="79">
      <formula>NoColor</formula>
    </cfRule>
  </conditionalFormatting>
  <conditionalFormatting sqref="B67:AO67">
    <cfRule type="expression" dxfId="2675" priority="111">
      <formula>NoColor</formula>
    </cfRule>
  </conditionalFormatting>
  <conditionalFormatting sqref="B118:AO118">
    <cfRule type="expression" dxfId="2674" priority="80">
      <formula>NoColor</formula>
    </cfRule>
  </conditionalFormatting>
  <conditionalFormatting sqref="B199:AO199">
    <cfRule type="expression" dxfId="2673" priority="21">
      <formula>NoColor</formula>
    </cfRule>
  </conditionalFormatting>
  <conditionalFormatting sqref="B250:AO250">
    <cfRule type="expression" dxfId="2672" priority="27">
      <formula>NoColor</formula>
    </cfRule>
  </conditionalFormatting>
  <conditionalFormatting sqref="C101:J102">
    <cfRule type="expression" dxfId="2671" priority="101">
      <formula>NoColor</formula>
    </cfRule>
  </conditionalFormatting>
  <conditionalFormatting sqref="C233:J234">
    <cfRule type="expression" dxfId="2670" priority="48">
      <formula>NoColor</formula>
    </cfRule>
  </conditionalFormatting>
  <conditionalFormatting sqref="C80:AO83">
    <cfRule type="expression" dxfId="2669" priority="110">
      <formula>NoColor</formula>
    </cfRule>
  </conditionalFormatting>
  <conditionalFormatting sqref="C88:AO91">
    <cfRule type="expression" dxfId="2668" priority="109">
      <formula>NoColor</formula>
    </cfRule>
  </conditionalFormatting>
  <conditionalFormatting sqref="C107:AO108">
    <cfRule type="expression" dxfId="2667" priority="99">
      <formula>NoColor</formula>
    </cfRule>
  </conditionalFormatting>
  <conditionalFormatting sqref="C212:AO215">
    <cfRule type="expression" dxfId="2666" priority="57">
      <formula>NoColor</formula>
    </cfRule>
  </conditionalFormatting>
  <conditionalFormatting sqref="C220:AO223">
    <cfRule type="expression" dxfId="2665" priority="56">
      <formula>NoColor</formula>
    </cfRule>
  </conditionalFormatting>
  <conditionalFormatting sqref="C239:AO240">
    <cfRule type="expression" dxfId="2664" priority="46">
      <formula>NoColor</formula>
    </cfRule>
  </conditionalFormatting>
  <conditionalFormatting sqref="D52:D53">
    <cfRule type="expression" dxfId="2663" priority="1">
      <formula>$AV52</formula>
    </cfRule>
  </conditionalFormatting>
  <conditionalFormatting sqref="D184:D185">
    <cfRule type="expression" dxfId="2662" priority="2">
      <formula>$AV184</formula>
    </cfRule>
  </conditionalFormatting>
  <conditionalFormatting sqref="D21:H23">
    <cfRule type="expression" dxfId="2661" priority="130">
      <formula>NoColor</formula>
    </cfRule>
  </conditionalFormatting>
  <conditionalFormatting sqref="D153:H155">
    <cfRule type="expression" dxfId="2660" priority="77">
      <formula>NoColor</formula>
    </cfRule>
  </conditionalFormatting>
  <conditionalFormatting sqref="D16:AO18">
    <cfRule type="expression" dxfId="2659" priority="131">
      <formula>NoColor</formula>
    </cfRule>
  </conditionalFormatting>
  <conditionalFormatting sqref="D148:AO150">
    <cfRule type="expression" dxfId="2658" priority="78">
      <formula>NoColor</formula>
    </cfRule>
  </conditionalFormatting>
  <conditionalFormatting sqref="F93:J93">
    <cfRule type="expression" dxfId="2657" priority="108">
      <formula>NoColor</formula>
    </cfRule>
  </conditionalFormatting>
  <conditionalFormatting sqref="F225:J225">
    <cfRule type="expression" dxfId="2656" priority="55">
      <formula>NoColor</formula>
    </cfRule>
  </conditionalFormatting>
  <conditionalFormatting sqref="F110:N110">
    <cfRule type="expression" dxfId="2655" priority="98">
      <formula>NoColor</formula>
    </cfRule>
  </conditionalFormatting>
  <conditionalFormatting sqref="F242:N242">
    <cfRule type="expression" dxfId="2654" priority="45">
      <formula>NoColor</formula>
    </cfRule>
  </conditionalFormatting>
  <conditionalFormatting sqref="H2">
    <cfRule type="expression" dxfId="2653" priority="81">
      <formula>NOT(Draft)</formula>
    </cfRule>
  </conditionalFormatting>
  <conditionalFormatting sqref="H134">
    <cfRule type="expression" dxfId="2652" priority="28">
      <formula>NOT(Draft)</formula>
    </cfRule>
  </conditionalFormatting>
  <conditionalFormatting sqref="H198">
    <cfRule type="expression" dxfId="2651" priority="15">
      <formula>AND($AR198,$AP199="",NOT(NoColor))</formula>
    </cfRule>
  </conditionalFormatting>
  <conditionalFormatting sqref="H66:I66">
    <cfRule type="expression" dxfId="2650" priority="16">
      <formula>AND($AR66,$AP67="",NOT(NoColor))</formula>
    </cfRule>
  </conditionalFormatting>
  <conditionalFormatting sqref="H47:R48">
    <cfRule type="expression" dxfId="2649" priority="119">
      <formula>NoColor</formula>
    </cfRule>
  </conditionalFormatting>
  <conditionalFormatting sqref="H179:R180">
    <cfRule type="expression" dxfId="2648" priority="66">
      <formula>NoColor</formula>
    </cfRule>
  </conditionalFormatting>
  <conditionalFormatting sqref="H59:AF59">
    <cfRule type="expression" dxfId="2647" priority="117">
      <formula>NoColor</formula>
    </cfRule>
  </conditionalFormatting>
  <conditionalFormatting sqref="H191:AF191">
    <cfRule type="expression" dxfId="2646" priority="64">
      <formula>NoColor</formula>
    </cfRule>
  </conditionalFormatting>
  <conditionalFormatting sqref="H60:AG60">
    <cfRule type="expression" dxfId="2645" priority="115">
      <formula>NoColor</formula>
    </cfRule>
  </conditionalFormatting>
  <conditionalFormatting sqref="H192:AG192">
    <cfRule type="expression" dxfId="2644" priority="62">
      <formula>NoColor</formula>
    </cfRule>
  </conditionalFormatting>
  <conditionalFormatting sqref="K92:R92">
    <cfRule type="expression" dxfId="2643" priority="107">
      <formula>NoColor</formula>
    </cfRule>
  </conditionalFormatting>
  <conditionalFormatting sqref="K224:R224">
    <cfRule type="expression" dxfId="2642" priority="54">
      <formula>NoColor</formula>
    </cfRule>
  </conditionalFormatting>
  <conditionalFormatting sqref="O109:X109">
    <cfRule type="expression" dxfId="2641" priority="97">
      <formula>NoColor</formula>
    </cfRule>
  </conditionalFormatting>
  <conditionalFormatting sqref="O241:X241">
    <cfRule type="expression" dxfId="2640" priority="44">
      <formula>NoColor</formula>
    </cfRule>
  </conditionalFormatting>
  <conditionalFormatting sqref="S93:AG93">
    <cfRule type="expression" dxfId="2639" priority="104">
      <formula>NoColor</formula>
    </cfRule>
  </conditionalFormatting>
  <conditionalFormatting sqref="S225:AG225">
    <cfRule type="expression" dxfId="2638" priority="51">
      <formula>NoColor</formula>
    </cfRule>
  </conditionalFormatting>
  <conditionalFormatting sqref="V53:W53 AC53:AE53 AI53:AK53 AO53">
    <cfRule type="expression" dxfId="2637" priority="121">
      <formula>NoColor</formula>
    </cfRule>
  </conditionalFormatting>
  <conditionalFormatting sqref="V185:W185 AC185:AE185 AI185:AK185 AO185">
    <cfRule type="expression" dxfId="2636" priority="68">
      <formula>NoColor</formula>
    </cfRule>
  </conditionalFormatting>
  <conditionalFormatting sqref="V32:AC32">
    <cfRule type="expression" dxfId="2635" priority="88">
      <formula>$BE$21</formula>
    </cfRule>
  </conditionalFormatting>
  <conditionalFormatting sqref="V164:AC164">
    <cfRule type="expression" dxfId="2634" priority="35">
      <formula>$BE$21</formula>
    </cfRule>
  </conditionalFormatting>
  <conditionalFormatting sqref="V30:AO31">
    <cfRule type="expression" dxfId="2633" priority="125">
      <formula>NoColor</formula>
    </cfRule>
  </conditionalFormatting>
  <conditionalFormatting sqref="V33:AO48">
    <cfRule type="expression" dxfId="2632" priority="123">
      <formula>NoColor</formula>
    </cfRule>
  </conditionalFormatting>
  <conditionalFormatting sqref="V51:AO51">
    <cfRule type="expression" dxfId="2631" priority="122">
      <formula>NoColor</formula>
    </cfRule>
  </conditionalFormatting>
  <conditionalFormatting sqref="V162:AO163">
    <cfRule type="expression" dxfId="2630" priority="72">
      <formula>NoColor</formula>
    </cfRule>
  </conditionalFormatting>
  <conditionalFormatting sqref="V165:AO180">
    <cfRule type="expression" dxfId="2629" priority="70">
      <formula>NoColor</formula>
    </cfRule>
  </conditionalFormatting>
  <conditionalFormatting sqref="V183:AO183">
    <cfRule type="expression" dxfId="2628" priority="69">
      <formula>NoColor</formula>
    </cfRule>
  </conditionalFormatting>
  <conditionalFormatting sqref="Y110:AG110">
    <cfRule type="expression" dxfId="2627" priority="96">
      <formula>NoColor</formula>
    </cfRule>
  </conditionalFormatting>
  <conditionalFormatting sqref="Y242:AG242">
    <cfRule type="expression" dxfId="2626" priority="43">
      <formula>NoColor</formula>
    </cfRule>
  </conditionalFormatting>
  <conditionalFormatting sqref="AA21:AE23">
    <cfRule type="expression" dxfId="2625" priority="84">
      <formula>AV21</formula>
    </cfRule>
  </conditionalFormatting>
  <conditionalFormatting sqref="AA153:AE155">
    <cfRule type="expression" dxfId="2624" priority="31">
      <formula>AV153</formula>
    </cfRule>
  </conditionalFormatting>
  <conditionalFormatting sqref="AA127:AG127">
    <cfRule type="expression" dxfId="2623" priority="90">
      <formula>NoColor</formula>
    </cfRule>
  </conditionalFormatting>
  <conditionalFormatting sqref="AA132:AG132">
    <cfRule type="expression" dxfId="2622" priority="89">
      <formula>NoColor</formula>
    </cfRule>
  </conditionalFormatting>
  <conditionalFormatting sqref="AA259:AG259">
    <cfRule type="expression" dxfId="2621" priority="37">
      <formula>NoColor</formula>
    </cfRule>
  </conditionalFormatting>
  <conditionalFormatting sqref="AA264:AG264">
    <cfRule type="expression" dxfId="2620" priority="36">
      <formula>NoColor</formula>
    </cfRule>
  </conditionalFormatting>
  <conditionalFormatting sqref="AA21:AJ23">
    <cfRule type="expression" dxfId="2619" priority="129">
      <formula>NoColor</formula>
    </cfRule>
  </conditionalFormatting>
  <conditionalFormatting sqref="AA153:AJ155">
    <cfRule type="expression" dxfId="2618" priority="76">
      <formula>NoColor</formula>
    </cfRule>
  </conditionalFormatting>
  <conditionalFormatting sqref="AD32:AI32">
    <cfRule type="expression" dxfId="2617" priority="87">
      <formula>$BE$22</formula>
    </cfRule>
  </conditionalFormatting>
  <conditionalFormatting sqref="AD54:AI58 AD63:AF63 AD64:AI64">
    <cfRule type="expression" dxfId="2616" priority="120">
      <formula>NoColor</formula>
    </cfRule>
  </conditionalFormatting>
  <conditionalFormatting sqref="AD164:AI164">
    <cfRule type="expression" dxfId="2615" priority="34">
      <formula>$BE$22</formula>
    </cfRule>
  </conditionalFormatting>
  <conditionalFormatting sqref="AD186:AI190 AD195:AF195 AD196:AI196">
    <cfRule type="expression" dxfId="2614" priority="67">
      <formula>NoColor</formula>
    </cfRule>
  </conditionalFormatting>
  <conditionalFormatting sqref="AF21:AJ23">
    <cfRule type="expression" dxfId="2613" priority="85">
      <formula>AW21</formula>
    </cfRule>
  </conditionalFormatting>
  <conditionalFormatting sqref="AF153:AJ155">
    <cfRule type="expression" dxfId="2612" priority="32">
      <formula>AW153</formula>
    </cfRule>
  </conditionalFormatting>
  <conditionalFormatting sqref="AG158 AH158:AO159">
    <cfRule type="expression" dxfId="2611" priority="24">
      <formula>OR(NoColor,NOT(AR156))</formula>
    </cfRule>
  </conditionalFormatting>
  <conditionalFormatting sqref="AH26:AO26">
    <cfRule type="expression" dxfId="2610" priority="14">
      <formula>AND(AR24,NOT(NoColor))</formula>
    </cfRule>
  </conditionalFormatting>
  <conditionalFormatting sqref="AH92:AO92">
    <cfRule type="expression" dxfId="2609" priority="105">
      <formula>NoColor</formula>
    </cfRule>
  </conditionalFormatting>
  <conditionalFormatting sqref="AH94:AO94 AH95:AI95 AO95 AH96:AO96">
    <cfRule type="expression" dxfId="2608" priority="103">
      <formula>NoColor</formula>
    </cfRule>
  </conditionalFormatting>
  <conditionalFormatting sqref="AH101:AO102">
    <cfRule type="expression" dxfId="2607" priority="102">
      <formula>NoColor</formula>
    </cfRule>
  </conditionalFormatting>
  <conditionalFormatting sqref="AH109:AO109">
    <cfRule type="expression" dxfId="2606" priority="95">
      <formula>NoColor</formula>
    </cfRule>
  </conditionalFormatting>
  <conditionalFormatting sqref="AH224:AO224">
    <cfRule type="expression" dxfId="2605" priority="52">
      <formula>NoColor</formula>
    </cfRule>
  </conditionalFormatting>
  <conditionalFormatting sqref="AH226:AO226 AH227:AI227 AO227 AH228:AO228">
    <cfRule type="expression" dxfId="2604" priority="50">
      <formula>NoColor</formula>
    </cfRule>
  </conditionalFormatting>
  <conditionalFormatting sqref="AH233:AO234">
    <cfRule type="expression" dxfId="2603" priority="49">
      <formula>NoColor</formula>
    </cfRule>
  </conditionalFormatting>
  <conditionalFormatting sqref="AH241:AO241">
    <cfRule type="expression" dxfId="2602" priority="42">
      <formula>NoColor</formula>
    </cfRule>
  </conditionalFormatting>
  <conditionalFormatting sqref="AJ13">
    <cfRule type="expression" dxfId="2599" priority="83">
      <formula>NOT(Draft)</formula>
    </cfRule>
  </conditionalFormatting>
  <conditionalFormatting sqref="AJ13:AJ14">
    <cfRule type="expression" dxfId="2598" priority="127">
      <formula>NoColor</formula>
    </cfRule>
  </conditionalFormatting>
  <conditionalFormatting sqref="AJ75">
    <cfRule type="expression" dxfId="2597" priority="113">
      <formula>NoColor</formula>
    </cfRule>
  </conditionalFormatting>
  <conditionalFormatting sqref="AJ145">
    <cfRule type="expression" dxfId="2596" priority="30">
      <formula>NOT(Draft)</formula>
    </cfRule>
  </conditionalFormatting>
  <conditionalFormatting sqref="AJ145:AJ146">
    <cfRule type="expression" dxfId="2595" priority="74">
      <formula>NoColor</formula>
    </cfRule>
  </conditionalFormatting>
  <conditionalFormatting sqref="AJ207">
    <cfRule type="expression" dxfId="2594" priority="60">
      <formula>NoColor</formula>
    </cfRule>
  </conditionalFormatting>
  <conditionalFormatting sqref="AJ60:AK60">
    <cfRule type="expression" dxfId="2593" priority="26">
      <formula>NoColor</formula>
    </cfRule>
  </conditionalFormatting>
  <conditionalFormatting sqref="AJ192:AK192 AO192">
    <cfRule type="expression" dxfId="2592" priority="63">
      <formula>NoColor</formula>
    </cfRule>
  </conditionalFormatting>
  <conditionalFormatting sqref="AJ32:AO32">
    <cfRule type="expression" dxfId="2591" priority="86">
      <formula>$BE$23</formula>
    </cfRule>
  </conditionalFormatting>
  <conditionalFormatting sqref="AJ59:AO59">
    <cfRule type="expression" dxfId="2590" priority="118">
      <formula>NoColor</formula>
    </cfRule>
  </conditionalFormatting>
  <conditionalFormatting sqref="AJ63:AO63">
    <cfRule type="expression" dxfId="2589" priority="114">
      <formula>NoColor</formula>
    </cfRule>
  </conditionalFormatting>
  <conditionalFormatting sqref="AJ111:AO111 AJ112:AK112 AO112 AJ113:AO113">
    <cfRule type="expression" dxfId="2588" priority="94">
      <formula>NoColor</formula>
    </cfRule>
  </conditionalFormatting>
  <conditionalFormatting sqref="AJ119:AO119">
    <cfRule type="expression" dxfId="2587" priority="93">
      <formula>NoColor</formula>
    </cfRule>
  </conditionalFormatting>
  <conditionalFormatting sqref="AJ121:AO123">
    <cfRule type="expression" dxfId="2586" priority="92">
      <formula>NoColor</formula>
    </cfRule>
  </conditionalFormatting>
  <conditionalFormatting sqref="AJ164:AO164">
    <cfRule type="expression" dxfId="2585" priority="33">
      <formula>$BE$23</formula>
    </cfRule>
  </conditionalFormatting>
  <conditionalFormatting sqref="AJ191:AO191">
    <cfRule type="expression" dxfId="2584" priority="65">
      <formula>NoColor</formula>
    </cfRule>
  </conditionalFormatting>
  <conditionalFormatting sqref="AJ195:AO195">
    <cfRule type="expression" dxfId="2583" priority="61">
      <formula>NoColor</formula>
    </cfRule>
  </conditionalFormatting>
  <conditionalFormatting sqref="AJ243:AO243 AJ244:AK244 AO244 AJ245:AO245">
    <cfRule type="expression" dxfId="2582" priority="41">
      <formula>NoColor</formula>
    </cfRule>
  </conditionalFormatting>
  <conditionalFormatting sqref="AJ251:AO251">
    <cfRule type="expression" dxfId="2581" priority="40">
      <formula>NoColor</formula>
    </cfRule>
  </conditionalFormatting>
  <conditionalFormatting sqref="AJ253:AO255">
    <cfRule type="expression" dxfId="2580" priority="39">
      <formula>NoColor</formula>
    </cfRule>
  </conditionalFormatting>
  <conditionalFormatting sqref="AM13:AM14">
    <cfRule type="expression" dxfId="2579" priority="126">
      <formula>NoColor</formula>
    </cfRule>
  </conditionalFormatting>
  <conditionalFormatting sqref="AM21:AM23">
    <cfRule type="expression" dxfId="2578" priority="128">
      <formula>NoColor</formula>
    </cfRule>
  </conditionalFormatting>
  <conditionalFormatting sqref="AM75">
    <cfRule type="expression" dxfId="2577" priority="112">
      <formula>NoColor</formula>
    </cfRule>
  </conditionalFormatting>
  <conditionalFormatting sqref="AM145:AM146">
    <cfRule type="expression" dxfId="2576" priority="73">
      <formula>NoColor</formula>
    </cfRule>
  </conditionalFormatting>
  <conditionalFormatting sqref="AM153:AM155">
    <cfRule type="expression" dxfId="2575" priority="75">
      <formula>NoColor</formula>
    </cfRule>
  </conditionalFormatting>
  <conditionalFormatting sqref="AM207">
    <cfRule type="expression" dxfId="2574" priority="59">
      <formula>NoColor</formula>
    </cfRule>
  </conditionalFormatting>
  <conditionalFormatting sqref="AO60">
    <cfRule type="expression" dxfId="2573" priority="116">
      <formula>NoColor</formula>
    </cfRule>
  </conditionalFormatting>
  <conditionalFormatting sqref="AP67">
    <cfRule type="expression" dxfId="2571" priority="18">
      <formula>$AR66</formula>
    </cfRule>
  </conditionalFormatting>
  <conditionalFormatting sqref="AP199">
    <cfRule type="expression" dxfId="2569" priority="19">
      <formula>$AR198</formula>
    </cfRule>
  </conditionalFormatting>
  <pageMargins left="0.75" right="0.25" top="0.36" bottom="0.28999999999999998" header="0.36" footer="0.21"/>
  <pageSetup scale="73" fitToHeight="0" orientation="portrait" r:id="rId1"/>
  <rowBreaks count="3" manualBreakCount="3">
    <brk id="64" min="1" max="40" man="1"/>
    <brk id="133" min="1" max="40" man="1"/>
    <brk id="196" min="1" max="40" man="1"/>
  </rowBreaks>
  <drawing r:id="rId2"/>
  <extLst>
    <ext xmlns:x14="http://schemas.microsoft.com/office/spreadsheetml/2009/9/main" uri="{78C0D931-6437-407d-A8EE-F0AAD7539E65}">
      <x14:conditionalFormattings>
        <x14:conditionalFormatting xmlns:xm="http://schemas.microsoft.com/office/excel/2006/main">
          <x14:cfRule type="expression" priority="11" id="{763AD80A-1084-4286-9290-94C33F11063D}">
            <xm:f>AND('Table of Contents'!A38="D",AP2="")</xm:f>
            <x14:dxf>
              <font>
                <b/>
                <i/>
                <color rgb="FFC00000"/>
              </font>
            </x14:dxf>
          </x14:cfRule>
          <xm:sqref>AI2:AO2</xm:sqref>
        </x14:conditionalFormatting>
        <x14:conditionalFormatting xmlns:xm="http://schemas.microsoft.com/office/excel/2006/main">
          <x14:cfRule type="expression" priority="10" id="{BBD05A0E-8676-4D4E-9D6C-6D0954394C3D}">
            <xm:f>IF(AND('Table of Contents'!A38="D",AP134=""),TRUE,FALSE)</xm:f>
            <x14:dxf>
              <font>
                <b/>
                <i/>
                <color rgb="FFC00000"/>
              </font>
            </x14:dxf>
          </x14:cfRule>
          <xm:sqref>AI134:AO134</xm:sqref>
        </x14:conditionalFormatting>
        <x14:conditionalFormatting xmlns:xm="http://schemas.microsoft.com/office/excel/2006/main">
          <x14:cfRule type="expression" priority="13" id="{C3B1F4E4-1D26-4357-89CC-42AB4666F3A4}">
            <xm:f>'Table of Contents'!A38="D"</xm:f>
            <x14:dxf>
              <fill>
                <patternFill>
                  <bgColor theme="0"/>
                </patternFill>
              </fill>
              <border>
                <right style="thin">
                  <color auto="1"/>
                </right>
                <top style="thin">
                  <color auto="1"/>
                </top>
                <bottom style="thin">
                  <color auto="1"/>
                </bottom>
                <vertical/>
                <horizontal/>
              </border>
            </x14:dxf>
          </x14:cfRule>
          <xm:sqref>AP2</xm:sqref>
        </x14:conditionalFormatting>
        <x14:conditionalFormatting xmlns:xm="http://schemas.microsoft.com/office/excel/2006/main">
          <x14:cfRule type="expression" priority="12" id="{1BCEBE97-C3DE-4AC9-9A4A-5D2673C475D6}">
            <xm:f>'Table of Contents'!A38="D"</xm:f>
            <x14:dxf>
              <fill>
                <patternFill>
                  <bgColor theme="0"/>
                </patternFill>
              </fill>
              <border>
                <right style="thin">
                  <color auto="1"/>
                </right>
                <top style="thin">
                  <color auto="1"/>
                </top>
                <bottom style="thin">
                  <color auto="1"/>
                </bottom>
                <vertical/>
                <horizontal/>
              </border>
            </x14:dxf>
          </x14:cfRule>
          <xm:sqref>AP134</xm:sqref>
        </x14:conditionalFormatting>
      </x14:conditionalFormatting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pageSetUpPr fitToPage="1"/>
  </sheetPr>
  <dimension ref="A1:BQ266"/>
  <sheetViews>
    <sheetView zoomScaleNormal="100" zoomScaleSheetLayoutView="100" workbookViewId="0"/>
  </sheetViews>
  <sheetFormatPr defaultColWidth="3.42578125" defaultRowHeight="12.75"/>
  <cols>
    <col min="2" max="2" width="3.85546875" customWidth="1"/>
    <col min="5" max="5" width="2.5703125" customWidth="1"/>
    <col min="6" max="6" width="4.28515625" customWidth="1"/>
    <col min="8" max="8" width="3.7109375" customWidth="1"/>
    <col min="9" max="10" width="2.85546875" customWidth="1"/>
    <col min="12" max="12" width="4" customWidth="1"/>
    <col min="13" max="14" width="3" customWidth="1"/>
    <col min="15" max="18" width="2.7109375" customWidth="1"/>
    <col min="19" max="19" width="4.5703125" customWidth="1"/>
    <col min="20" max="25" width="3.28515625" customWidth="1"/>
    <col min="26" max="29" width="2.7109375" customWidth="1"/>
    <col min="32" max="33" width="3.7109375" customWidth="1"/>
    <col min="34" max="34" width="3.5703125" customWidth="1"/>
    <col min="36" max="36" width="4" customWidth="1"/>
    <col min="44" max="46" width="10.28515625" customWidth="1"/>
    <col min="47" max="47" width="3.85546875" customWidth="1"/>
    <col min="48" max="55" width="10.28515625" hidden="1" customWidth="1"/>
    <col min="56" max="56" width="10.140625" hidden="1" customWidth="1"/>
    <col min="57" max="57" width="10.28515625" hidden="1" customWidth="1"/>
    <col min="58" max="58" width="3.42578125" customWidth="1"/>
    <col min="59" max="59" width="10.7109375" style="816" customWidth="1"/>
    <col min="60" max="69" width="10.7109375" style="815" customWidth="1"/>
  </cols>
  <sheetData>
    <row r="1" spans="1:69" ht="21.75" customHeight="1">
      <c r="A1" s="1277"/>
      <c r="B1" s="1277"/>
      <c r="C1" s="4749" t="s">
        <v>2315</v>
      </c>
      <c r="D1" s="1277"/>
      <c r="E1" s="1277"/>
      <c r="F1" s="1277"/>
      <c r="G1" s="1277"/>
      <c r="H1" s="1277"/>
      <c r="I1" s="1277"/>
      <c r="J1" s="1277"/>
      <c r="K1" s="1277"/>
      <c r="L1" s="1277"/>
      <c r="M1" s="1277"/>
      <c r="N1" s="1277"/>
      <c r="O1" s="1277"/>
      <c r="P1" s="1277"/>
      <c r="Q1" s="1277"/>
      <c r="R1" s="1277"/>
      <c r="S1" s="1277"/>
      <c r="T1" s="1277"/>
      <c r="U1" s="1277"/>
      <c r="V1" s="1277"/>
      <c r="W1" s="1277"/>
      <c r="X1" s="1277"/>
      <c r="Y1" s="1277"/>
      <c r="Z1" s="1277"/>
      <c r="AA1" s="1277"/>
      <c r="AB1" s="1277"/>
      <c r="AC1" s="1277"/>
      <c r="AD1" s="1277"/>
      <c r="AE1" s="1277"/>
      <c r="AF1" s="1277"/>
      <c r="AG1" s="1277"/>
      <c r="AH1" s="1277"/>
      <c r="AI1" s="8639" t="str">
        <f>IF('Table of Contents'!A39="D","DRAFT","")</f>
        <v/>
      </c>
      <c r="AJ1" s="8639"/>
      <c r="AK1" s="8639"/>
      <c r="AL1" s="8639"/>
      <c r="AM1" s="8639"/>
      <c r="AN1" s="8639"/>
      <c r="AO1" s="8639"/>
      <c r="AP1" s="1277"/>
      <c r="BG1" s="768" t="s">
        <v>223</v>
      </c>
      <c r="BH1" s="658"/>
      <c r="BI1" s="658"/>
      <c r="BJ1" s="658"/>
      <c r="BK1" s="658"/>
      <c r="BL1" s="658"/>
      <c r="BM1" s="658"/>
      <c r="BN1" s="658"/>
      <c r="BO1" s="658"/>
      <c r="BP1" s="658"/>
    </row>
    <row r="2" spans="1:69" ht="18" customHeight="1">
      <c r="A2" s="1277"/>
      <c r="B2" s="8448" t="s">
        <v>2316</v>
      </c>
      <c r="C2" s="8449"/>
      <c r="D2" s="8449"/>
      <c r="E2" s="8449"/>
      <c r="F2" s="8449"/>
      <c r="G2" s="8450"/>
      <c r="H2" s="4750"/>
      <c r="I2" s="253"/>
      <c r="J2" s="253"/>
      <c r="K2" s="253"/>
      <c r="L2" s="253"/>
      <c r="M2" s="2329"/>
      <c r="N2" s="253"/>
      <c r="O2" s="253"/>
      <c r="P2" s="253"/>
      <c r="Q2" s="253"/>
      <c r="R2" s="253"/>
      <c r="S2" s="253"/>
      <c r="T2" s="253"/>
      <c r="U2" s="253"/>
      <c r="V2" s="253"/>
      <c r="W2" s="253"/>
      <c r="X2" s="253"/>
      <c r="Y2" s="253"/>
      <c r="Z2" s="253"/>
      <c r="AA2" s="253"/>
      <c r="AB2" s="253"/>
      <c r="AC2" s="253"/>
      <c r="AD2" s="253"/>
      <c r="AE2" s="253"/>
      <c r="AF2" s="253"/>
      <c r="AG2" s="253"/>
      <c r="AH2" s="253"/>
      <c r="AI2" s="8578" t="str">
        <f>IF(AND('Table of Contents'!A39="D",AP2=""),"DRAFT","OMB No. 1545-0074")</f>
        <v>OMB No. 1545-0074</v>
      </c>
      <c r="AJ2" s="8458"/>
      <c r="AK2" s="8458"/>
      <c r="AL2" s="8458"/>
      <c r="AM2" s="8458"/>
      <c r="AN2" s="8458"/>
      <c r="AO2" s="8458"/>
      <c r="AP2" s="4658"/>
      <c r="BG2" s="795" t="s">
        <v>289</v>
      </c>
      <c r="BH2" s="658"/>
      <c r="BI2" s="658"/>
      <c r="BJ2" s="658"/>
      <c r="BK2" s="658"/>
      <c r="BL2" s="658"/>
      <c r="BM2" s="658"/>
      <c r="BN2" s="658"/>
      <c r="BO2" s="658"/>
      <c r="BP2" s="658"/>
    </row>
    <row r="3" spans="1:69" ht="25.5" customHeight="1">
      <c r="A3" s="1277"/>
      <c r="B3" s="8581" t="s">
        <v>1815</v>
      </c>
      <c r="C3" s="8582"/>
      <c r="D3" s="8582"/>
      <c r="E3" s="8582"/>
      <c r="F3" s="8582"/>
      <c r="G3" s="8583"/>
      <c r="H3" s="4751" t="s">
        <v>2317</v>
      </c>
      <c r="I3" s="4752"/>
      <c r="J3" s="4752"/>
      <c r="K3" s="4752"/>
      <c r="L3" s="4752"/>
      <c r="M3" s="4752"/>
      <c r="N3" s="4752"/>
      <c r="O3" s="4752"/>
      <c r="P3" s="4752"/>
      <c r="Q3" s="4752"/>
      <c r="R3" s="4752"/>
      <c r="S3" s="4752"/>
      <c r="T3" s="4752"/>
      <c r="U3" s="4752"/>
      <c r="V3" s="4752"/>
      <c r="W3" s="4752"/>
      <c r="X3" s="4752"/>
      <c r="Y3" s="4752"/>
      <c r="Z3" s="4752"/>
      <c r="AA3" s="4752"/>
      <c r="AB3" s="4752"/>
      <c r="AC3" s="4752"/>
      <c r="AD3" s="4752"/>
      <c r="AE3" s="4752"/>
      <c r="AF3" s="4752"/>
      <c r="AG3" s="4752"/>
      <c r="AH3" s="4753"/>
      <c r="AI3" s="8586">
        <f>TaxYear</f>
        <v>2025</v>
      </c>
      <c r="AJ3" s="8587"/>
      <c r="AK3" s="8587"/>
      <c r="AL3" s="8587"/>
      <c r="AM3" s="8587"/>
      <c r="AN3" s="8587"/>
      <c r="AO3" s="8587"/>
      <c r="AP3" s="1277"/>
      <c r="BG3" s="769"/>
      <c r="BH3" s="658"/>
      <c r="BI3" s="658"/>
      <c r="BJ3" s="658"/>
      <c r="BK3" s="658"/>
      <c r="BL3" s="658"/>
      <c r="BM3" s="658"/>
      <c r="BN3" s="658"/>
      <c r="BO3" s="658"/>
      <c r="BP3" s="658"/>
    </row>
    <row r="4" spans="1:69">
      <c r="A4" s="1277"/>
      <c r="B4" s="7613" t="s">
        <v>2318</v>
      </c>
      <c r="C4" s="7925"/>
      <c r="D4" s="7925"/>
      <c r="E4" s="7925"/>
      <c r="F4" s="7925"/>
      <c r="G4" s="8579"/>
      <c r="H4" s="4443" t="str">
        <f>"(From rental real estate, royalties, partnerships, S corporations, estates, trusts, REMICs, etc.)"</f>
        <v>(From rental real estate, royalties, partnerships, S corporations, estates, trusts, REMICs, etc.)</v>
      </c>
      <c r="I4" s="4033"/>
      <c r="J4" s="4033"/>
      <c r="K4" s="4033"/>
      <c r="L4" s="4033"/>
      <c r="M4" s="4033"/>
      <c r="N4" s="4033"/>
      <c r="O4" s="4033"/>
      <c r="P4" s="4033"/>
      <c r="Q4" s="4033"/>
      <c r="R4" s="4033"/>
      <c r="S4" s="4033"/>
      <c r="T4" s="4754"/>
      <c r="U4" s="4033"/>
      <c r="V4" s="4033"/>
      <c r="W4" s="4033"/>
      <c r="X4" s="4033"/>
      <c r="Y4" s="4033"/>
      <c r="Z4" s="4033"/>
      <c r="AA4" s="4033"/>
      <c r="AB4" s="4033"/>
      <c r="AC4" s="4033"/>
      <c r="AD4" s="4033"/>
      <c r="AE4" s="4033"/>
      <c r="AF4" s="4033"/>
      <c r="AG4" s="4033"/>
      <c r="AH4" s="4033"/>
      <c r="AI4" s="8588"/>
      <c r="AJ4" s="8589"/>
      <c r="AK4" s="8589"/>
      <c r="AL4" s="8589"/>
      <c r="AM4" s="8589"/>
      <c r="AN4" s="8589"/>
      <c r="AO4" s="8589"/>
      <c r="AP4" s="1277"/>
      <c r="BG4" s="769"/>
      <c r="BH4" s="658"/>
      <c r="BI4" s="658"/>
      <c r="BJ4" s="658"/>
      <c r="BK4" s="658"/>
      <c r="BL4" s="658"/>
      <c r="BM4" s="658"/>
      <c r="BN4" s="658"/>
      <c r="BO4" s="658"/>
      <c r="BP4" s="658"/>
    </row>
    <row r="5" spans="1:69">
      <c r="A5" s="1277"/>
      <c r="B5" s="7613"/>
      <c r="C5" s="7925"/>
      <c r="D5" s="7925"/>
      <c r="E5" s="7925"/>
      <c r="F5" s="7925"/>
      <c r="G5" s="8579"/>
      <c r="H5" s="341"/>
      <c r="I5" s="253"/>
      <c r="J5" s="253"/>
      <c r="K5" s="253"/>
      <c r="L5" s="253"/>
      <c r="M5" s="253"/>
      <c r="N5" s="253"/>
      <c r="O5" s="253"/>
      <c r="P5" s="253"/>
      <c r="Q5" s="253"/>
      <c r="R5" s="253"/>
      <c r="S5" s="253"/>
      <c r="T5" s="733" t="s">
        <v>2319</v>
      </c>
      <c r="U5" s="253"/>
      <c r="V5" s="253"/>
      <c r="W5" s="253"/>
      <c r="X5" s="253"/>
      <c r="Y5" s="253"/>
      <c r="Z5" s="253"/>
      <c r="AA5" s="253"/>
      <c r="AB5" s="253"/>
      <c r="AC5" s="253"/>
      <c r="AD5" s="253"/>
      <c r="AE5" s="253"/>
      <c r="AF5" s="253"/>
      <c r="AG5" s="253"/>
      <c r="AH5" s="253"/>
      <c r="AI5" s="4755"/>
      <c r="AJ5" s="8584" t="s">
        <v>2320</v>
      </c>
      <c r="AK5" s="8370"/>
      <c r="AL5" s="8370"/>
      <c r="AM5" s="8370"/>
      <c r="AN5" s="1861"/>
      <c r="AO5" s="1861"/>
      <c r="AP5" s="1277"/>
      <c r="BG5" s="769"/>
      <c r="BH5" s="658"/>
      <c r="BI5" s="658"/>
      <c r="BJ5" s="658"/>
      <c r="BK5" s="658"/>
      <c r="BL5" s="658"/>
      <c r="BM5" s="658"/>
      <c r="BN5" s="658"/>
      <c r="BO5" s="658"/>
      <c r="BP5" s="658"/>
    </row>
    <row r="6" spans="1:69" ht="15.75" customHeight="1" thickBot="1">
      <c r="A6" s="1277"/>
      <c r="B6" s="7926"/>
      <c r="C6" s="7926"/>
      <c r="D6" s="7926"/>
      <c r="E6" s="7926"/>
      <c r="F6" s="7926"/>
      <c r="G6" s="8580"/>
      <c r="H6" s="4756" t="s">
        <v>2321</v>
      </c>
      <c r="I6" s="2879"/>
      <c r="J6" s="2879"/>
      <c r="K6" s="2879"/>
      <c r="L6" s="2879"/>
      <c r="M6" s="2879"/>
      <c r="N6" s="2879"/>
      <c r="O6" s="2879"/>
      <c r="P6" s="2879"/>
      <c r="Q6" s="2879"/>
      <c r="R6" s="2879"/>
      <c r="S6" s="2879"/>
      <c r="T6" s="2879"/>
      <c r="U6" s="2879"/>
      <c r="V6" s="2879"/>
      <c r="W6" s="2879"/>
      <c r="X6" s="2879"/>
      <c r="Y6" s="2879"/>
      <c r="Z6" s="2879"/>
      <c r="AA6" s="2879"/>
      <c r="AB6" s="2879"/>
      <c r="AC6" s="2879"/>
      <c r="AD6" s="2879"/>
      <c r="AE6" s="2879"/>
      <c r="AF6" s="2879"/>
      <c r="AG6" s="2879"/>
      <c r="AH6" s="2879"/>
      <c r="AI6" s="4757"/>
      <c r="AJ6" s="8585"/>
      <c r="AK6" s="8585"/>
      <c r="AL6" s="8585"/>
      <c r="AM6" s="8585"/>
      <c r="AN6" s="8593">
        <v>13</v>
      </c>
      <c r="AO6" s="8593"/>
      <c r="AP6" s="1277"/>
      <c r="BG6" s="769"/>
      <c r="BH6" s="658"/>
      <c r="BI6" s="658"/>
      <c r="BJ6" s="658"/>
      <c r="BK6" s="658"/>
      <c r="BL6" s="658"/>
      <c r="BM6" s="658"/>
      <c r="BN6" s="658"/>
      <c r="BO6" s="658"/>
      <c r="BP6" s="658"/>
    </row>
    <row r="7" spans="1:69">
      <c r="A7" s="1277"/>
      <c r="B7" s="344" t="s">
        <v>1918</v>
      </c>
      <c r="C7" s="253"/>
      <c r="D7" s="253"/>
      <c r="E7" s="253"/>
      <c r="F7" s="253"/>
      <c r="G7" s="253"/>
      <c r="H7" s="253"/>
      <c r="I7" s="253"/>
      <c r="J7" s="253"/>
      <c r="K7" s="253"/>
      <c r="L7" s="253"/>
      <c r="M7" s="253"/>
      <c r="N7" s="253"/>
      <c r="O7" s="253"/>
      <c r="P7" s="253"/>
      <c r="Q7" s="253"/>
      <c r="R7" s="253"/>
      <c r="S7" s="253"/>
      <c r="T7" s="253"/>
      <c r="U7" s="253"/>
      <c r="V7" s="253"/>
      <c r="W7" s="253"/>
      <c r="X7" s="253"/>
      <c r="Y7" s="253"/>
      <c r="Z7" s="253"/>
      <c r="AA7" s="253"/>
      <c r="AB7" s="253"/>
      <c r="AC7" s="253"/>
      <c r="AD7" s="253"/>
      <c r="AE7" s="253"/>
      <c r="AF7" s="253"/>
      <c r="AG7" s="8598" t="s">
        <v>549</v>
      </c>
      <c r="AH7" s="8599"/>
      <c r="AI7" s="8599"/>
      <c r="AJ7" s="8599"/>
      <c r="AK7" s="8599"/>
      <c r="AL7" s="8599"/>
      <c r="AM7" s="8599"/>
      <c r="AN7" s="8599"/>
      <c r="AO7" s="8599"/>
      <c r="AP7" s="1277"/>
      <c r="BG7" s="769"/>
      <c r="BH7" s="658"/>
      <c r="BI7" s="658"/>
      <c r="BJ7" s="658"/>
      <c r="BK7" s="658"/>
      <c r="BL7" s="658"/>
      <c r="BM7" s="658"/>
      <c r="BN7" s="658"/>
      <c r="BO7" s="658"/>
      <c r="BP7" s="658"/>
    </row>
    <row r="8" spans="1:69" ht="9.75" customHeight="1">
      <c r="A8" s="1277"/>
      <c r="B8" s="7600" t="str">
        <f>Names</f>
        <v/>
      </c>
      <c r="C8" s="7601"/>
      <c r="D8" s="7601"/>
      <c r="E8" s="7601"/>
      <c r="F8" s="7601"/>
      <c r="G8" s="7601"/>
      <c r="H8" s="7601"/>
      <c r="I8" s="7601"/>
      <c r="J8" s="7601"/>
      <c r="K8" s="7601"/>
      <c r="L8" s="7601"/>
      <c r="M8" s="7601"/>
      <c r="N8" s="7601"/>
      <c r="O8" s="7601"/>
      <c r="P8" s="7601"/>
      <c r="Q8" s="7601"/>
      <c r="R8" s="7601"/>
      <c r="S8" s="7601"/>
      <c r="T8" s="7601"/>
      <c r="U8" s="7601"/>
      <c r="V8" s="7601"/>
      <c r="W8" s="7601"/>
      <c r="X8" s="7601"/>
      <c r="Y8" s="7601"/>
      <c r="Z8" s="7601"/>
      <c r="AA8" s="7601"/>
      <c r="AB8" s="7601"/>
      <c r="AC8" s="7601"/>
      <c r="AD8" s="7601"/>
      <c r="AE8" s="7601"/>
      <c r="AF8" s="7602"/>
      <c r="AG8" s="8594">
        <f>IF(NoSSN,"",SS_Yours)</f>
        <v>1010001</v>
      </c>
      <c r="AH8" s="8595"/>
      <c r="AI8" s="8595"/>
      <c r="AJ8" s="8595"/>
      <c r="AK8" s="8595"/>
      <c r="AL8" s="8595"/>
      <c r="AM8" s="8595"/>
      <c r="AN8" s="8595"/>
      <c r="AO8" s="8595"/>
      <c r="AP8" s="1277"/>
      <c r="BG8" s="769"/>
      <c r="BH8" s="658"/>
      <c r="BI8" s="658"/>
      <c r="BJ8" s="658"/>
      <c r="BK8" s="658"/>
      <c r="BL8" s="658"/>
      <c r="BM8" s="658"/>
      <c r="BN8" s="658"/>
      <c r="BO8" s="658"/>
      <c r="BP8" s="658"/>
    </row>
    <row r="9" spans="1:69" ht="9.75" customHeight="1">
      <c r="A9" s="1277"/>
      <c r="B9" s="7603"/>
      <c r="C9" s="7603"/>
      <c r="D9" s="7603"/>
      <c r="E9" s="7603"/>
      <c r="F9" s="7603"/>
      <c r="G9" s="7603"/>
      <c r="H9" s="7603"/>
      <c r="I9" s="7603"/>
      <c r="J9" s="7603"/>
      <c r="K9" s="7603"/>
      <c r="L9" s="7603"/>
      <c r="M9" s="7603"/>
      <c r="N9" s="7603"/>
      <c r="O9" s="7603"/>
      <c r="P9" s="7603"/>
      <c r="Q9" s="7603"/>
      <c r="R9" s="7603"/>
      <c r="S9" s="7603"/>
      <c r="T9" s="7603"/>
      <c r="U9" s="7603"/>
      <c r="V9" s="7603"/>
      <c r="W9" s="7603"/>
      <c r="X9" s="7603"/>
      <c r="Y9" s="7603"/>
      <c r="Z9" s="7603"/>
      <c r="AA9" s="7603"/>
      <c r="AB9" s="7603"/>
      <c r="AC9" s="7603"/>
      <c r="AD9" s="7603"/>
      <c r="AE9" s="7603"/>
      <c r="AF9" s="7604"/>
      <c r="AG9" s="8596"/>
      <c r="AH9" s="8597"/>
      <c r="AI9" s="8597"/>
      <c r="AJ9" s="8597"/>
      <c r="AK9" s="8597"/>
      <c r="AL9" s="8597"/>
      <c r="AM9" s="8597"/>
      <c r="AN9" s="8597"/>
      <c r="AO9" s="8597"/>
      <c r="AP9" s="1277"/>
      <c r="BG9" s="769"/>
      <c r="BH9" s="658"/>
      <c r="BI9" s="658"/>
      <c r="BJ9" s="658"/>
      <c r="BK9" s="658"/>
      <c r="BL9" s="658"/>
      <c r="BM9" s="658"/>
      <c r="BN9" s="658"/>
      <c r="BO9" s="658"/>
      <c r="BP9" s="658"/>
    </row>
    <row r="10" spans="1:69" s="1405" customFormat="1" ht="17.25" customHeight="1">
      <c r="A10" s="2119"/>
      <c r="B10" s="8427" t="s">
        <v>780</v>
      </c>
      <c r="C10" s="8427"/>
      <c r="D10" s="8428"/>
      <c r="E10" s="2761"/>
      <c r="F10" s="4758" t="s">
        <v>2322</v>
      </c>
      <c r="G10" s="2761"/>
      <c r="H10" s="2761"/>
      <c r="I10" s="2761"/>
      <c r="J10" s="2761"/>
      <c r="K10" s="2761"/>
      <c r="L10" s="2761"/>
      <c r="M10" s="2761"/>
      <c r="N10" s="2761"/>
      <c r="O10" s="2761"/>
      <c r="P10" s="2761"/>
      <c r="Q10" s="2761"/>
      <c r="R10" s="2761"/>
      <c r="S10" s="2761"/>
      <c r="T10" s="2761"/>
      <c r="U10" s="2761"/>
      <c r="V10" s="2761"/>
      <c r="W10" s="2761"/>
      <c r="X10" s="2354"/>
      <c r="Y10" s="2761"/>
      <c r="Z10" s="2761"/>
      <c r="AA10" s="2761"/>
      <c r="AB10" s="2761"/>
      <c r="AC10" s="2761"/>
      <c r="AD10" s="2761"/>
      <c r="AE10" s="2761"/>
      <c r="AF10" s="2761"/>
      <c r="AG10" s="2761"/>
      <c r="AH10" s="2761"/>
      <c r="AI10" s="2761"/>
      <c r="AJ10" s="2761"/>
      <c r="AK10" s="2761"/>
      <c r="AL10" s="2761"/>
      <c r="AM10" s="2761"/>
      <c r="AN10" s="2761"/>
      <c r="AO10" s="2761"/>
      <c r="AP10" s="1277"/>
      <c r="BG10" s="769"/>
      <c r="BH10" s="658"/>
      <c r="BI10" s="658"/>
      <c r="BJ10" s="658"/>
      <c r="BK10" s="658"/>
      <c r="BL10" s="658"/>
      <c r="BM10" s="658"/>
      <c r="BN10" s="658"/>
      <c r="BO10" s="658"/>
      <c r="BP10" s="658"/>
      <c r="BQ10" s="815"/>
    </row>
    <row r="11" spans="1:69" s="1405" customFormat="1" ht="17.25" customHeight="1">
      <c r="A11" s="2119"/>
      <c r="B11" s="4844"/>
      <c r="C11" s="4844"/>
      <c r="D11" s="4844"/>
      <c r="E11" s="810"/>
      <c r="F11" s="511" t="s">
        <v>2323</v>
      </c>
      <c r="G11" s="1323"/>
      <c r="H11" s="1323"/>
      <c r="I11" s="1323"/>
      <c r="J11" s="1323"/>
      <c r="K11" s="1323"/>
      <c r="L11" s="1323"/>
      <c r="M11" s="1323"/>
      <c r="N11" s="1323"/>
      <c r="O11" s="1323"/>
      <c r="P11" s="1323"/>
      <c r="Q11" s="1323"/>
      <c r="R11" s="1323"/>
      <c r="S11" s="1323"/>
      <c r="T11" s="1323"/>
      <c r="U11" s="1323"/>
      <c r="V11" s="1323"/>
      <c r="W11" s="1323"/>
      <c r="X11" s="511"/>
      <c r="Y11" s="1323"/>
      <c r="Z11" s="1323"/>
      <c r="AA11" s="1323"/>
      <c r="AB11" s="1323"/>
      <c r="AC11" s="1323"/>
      <c r="AD11" s="1323"/>
      <c r="AE11" s="1323"/>
      <c r="AF11" s="1323"/>
      <c r="AG11" s="1323"/>
      <c r="AH11" s="1323"/>
      <c r="AI11" s="1323"/>
      <c r="AJ11" s="1323"/>
      <c r="AK11" s="1323"/>
      <c r="AL11" s="1323"/>
      <c r="AM11" s="1323"/>
      <c r="AN11" s="1323"/>
      <c r="AO11" s="1323"/>
      <c r="AP11" s="1277"/>
      <c r="BG11" s="769"/>
      <c r="BH11" s="658"/>
      <c r="BI11" s="658"/>
      <c r="BJ11" s="658"/>
      <c r="BK11" s="658"/>
      <c r="BL11" s="658"/>
      <c r="BM11" s="658"/>
      <c r="BN11" s="658"/>
      <c r="BO11" s="658"/>
      <c r="BP11" s="658"/>
      <c r="BQ11" s="815"/>
    </row>
    <row r="12" spans="1:69" ht="15.75">
      <c r="A12" s="1277"/>
      <c r="B12" s="4760"/>
      <c r="C12" s="4760"/>
      <c r="D12" s="4761"/>
      <c r="E12" s="1999"/>
      <c r="F12" s="4252" t="s">
        <v>6222</v>
      </c>
      <c r="G12" s="4762"/>
      <c r="H12" s="4762"/>
      <c r="I12" s="4762"/>
      <c r="J12" s="4762"/>
      <c r="K12" s="4762"/>
      <c r="L12" s="4762"/>
      <c r="M12" s="1999"/>
      <c r="N12" s="4762"/>
      <c r="O12" s="4762"/>
      <c r="P12" s="4762"/>
      <c r="Q12" s="4762"/>
      <c r="R12" s="4762"/>
      <c r="S12" s="4762"/>
      <c r="T12" s="4762"/>
      <c r="U12" s="4762"/>
      <c r="V12" s="4762"/>
      <c r="W12" s="4762"/>
      <c r="X12" s="4762"/>
      <c r="Y12" s="4762"/>
      <c r="Z12" s="4762"/>
      <c r="AA12" s="4762"/>
      <c r="AB12" s="4762"/>
      <c r="AC12" s="4762"/>
      <c r="AD12" s="1999"/>
      <c r="AE12" s="4762"/>
      <c r="AF12" s="4762"/>
      <c r="AG12" s="4762"/>
      <c r="AH12" s="4762"/>
      <c r="AI12" s="4762"/>
      <c r="AJ12" s="4762"/>
      <c r="AK12" s="4762"/>
      <c r="AL12" s="4762"/>
      <c r="AM12" s="4762"/>
      <c r="AN12" s="4762"/>
      <c r="AO12" s="4762"/>
      <c r="AP12" s="1277"/>
      <c r="BG12" s="769"/>
      <c r="BH12" s="658"/>
      <c r="BI12" s="658"/>
      <c r="BJ12" s="658"/>
      <c r="BK12" s="658"/>
      <c r="BL12" s="658"/>
      <c r="BM12" s="658"/>
      <c r="BN12" s="658"/>
      <c r="BO12" s="658"/>
      <c r="BP12" s="658"/>
    </row>
    <row r="13" spans="1:69" ht="15.75">
      <c r="A13" s="1277"/>
      <c r="B13" s="8558" t="s">
        <v>510</v>
      </c>
      <c r="C13" s="8600"/>
      <c r="D13" s="3772" t="str">
        <f>"Did you make any payments in "&amp;TaxYear&amp;" that would require you to file Form(s) 1099?  See instructions."</f>
        <v>Did you make any payments in 2025 that would require you to file Form(s) 1099?  See instructions.</v>
      </c>
      <c r="E13" s="4082"/>
      <c r="F13" s="4082"/>
      <c r="G13" s="4082"/>
      <c r="H13" s="4082"/>
      <c r="I13" s="4082"/>
      <c r="J13" s="4082"/>
      <c r="K13" s="4082"/>
      <c r="L13" s="4082"/>
      <c r="M13" s="4082"/>
      <c r="N13" s="4082"/>
      <c r="O13" s="4082"/>
      <c r="P13" s="4082"/>
      <c r="Q13" s="4082"/>
      <c r="R13" s="4082"/>
      <c r="S13" s="4082"/>
      <c r="T13" s="4082"/>
      <c r="U13" s="4082"/>
      <c r="V13" s="4082"/>
      <c r="W13" s="4082"/>
      <c r="X13" s="4082"/>
      <c r="Y13" s="4082"/>
      <c r="Z13" s="4082"/>
      <c r="AA13" s="4082"/>
      <c r="AB13" s="4082"/>
      <c r="AC13" s="4082"/>
      <c r="AD13" s="4082"/>
      <c r="AE13" s="4082"/>
      <c r="AF13" s="4082"/>
      <c r="AG13" s="4082"/>
      <c r="AH13" s="4082"/>
      <c r="AI13" s="4082"/>
      <c r="AJ13" s="276"/>
      <c r="AK13" s="1059" t="s">
        <v>2324</v>
      </c>
      <c r="AL13" s="4082"/>
      <c r="AM13" s="276"/>
      <c r="AN13" s="1059" t="s">
        <v>2325</v>
      </c>
      <c r="AO13" s="4082"/>
      <c r="AP13" s="1277"/>
      <c r="BG13" s="769"/>
      <c r="BH13" s="658"/>
      <c r="BI13" s="658"/>
      <c r="BJ13" s="658"/>
      <c r="BK13" s="658"/>
      <c r="BL13" s="658"/>
      <c r="BM13" s="658"/>
      <c r="BN13" s="658"/>
      <c r="BO13" s="658"/>
      <c r="BP13" s="658"/>
    </row>
    <row r="14" spans="1:69" ht="15.75">
      <c r="A14" s="1277"/>
      <c r="B14" s="8590" t="s">
        <v>516</v>
      </c>
      <c r="C14" s="8063"/>
      <c r="D14" s="3801" t="s">
        <v>4975</v>
      </c>
      <c r="E14" s="4762"/>
      <c r="F14" s="4762"/>
      <c r="G14" s="4762"/>
      <c r="H14" s="4762"/>
      <c r="I14" s="4762"/>
      <c r="J14" s="4762"/>
      <c r="K14" s="4762"/>
      <c r="L14" s="4762"/>
      <c r="M14" s="4762"/>
      <c r="N14" s="4762"/>
      <c r="O14" s="4762"/>
      <c r="P14" s="4762"/>
      <c r="Q14" s="4762"/>
      <c r="R14" s="4762"/>
      <c r="S14" s="4762"/>
      <c r="T14" s="4762"/>
      <c r="U14" s="4762"/>
      <c r="V14" s="4762"/>
      <c r="W14" s="4762"/>
      <c r="X14" s="4762"/>
      <c r="Y14" s="4762"/>
      <c r="Z14" s="4762"/>
      <c r="AA14" s="4762"/>
      <c r="AB14" s="4762"/>
      <c r="AC14" s="4762"/>
      <c r="AD14" s="4762"/>
      <c r="AE14" s="4762"/>
      <c r="AF14" s="4762"/>
      <c r="AG14" s="4762"/>
      <c r="AH14" s="4762"/>
      <c r="AI14" s="4762"/>
      <c r="AJ14" s="276"/>
      <c r="AK14" s="2001" t="s">
        <v>2324</v>
      </c>
      <c r="AL14" s="4762"/>
      <c r="AM14" s="276"/>
      <c r="AN14" s="2001" t="s">
        <v>2325</v>
      </c>
      <c r="AO14" s="4762"/>
      <c r="AP14" s="1277"/>
      <c r="BG14" s="769"/>
      <c r="BH14" s="658"/>
      <c r="BI14" s="658"/>
      <c r="BJ14" s="658"/>
      <c r="BK14" s="658"/>
      <c r="BL14" s="658"/>
      <c r="BM14" s="658"/>
      <c r="BN14" s="658"/>
      <c r="BO14" s="658"/>
      <c r="BP14" s="658"/>
    </row>
    <row r="15" spans="1:69" ht="18.75" customHeight="1">
      <c r="A15" s="1277"/>
      <c r="B15" s="8591" t="s">
        <v>333</v>
      </c>
      <c r="C15" s="8592"/>
      <c r="D15" s="4764" t="s">
        <v>2326</v>
      </c>
      <c r="E15" s="4765"/>
      <c r="F15" s="4659"/>
      <c r="G15" s="4659"/>
      <c r="H15" s="4659"/>
      <c r="I15" s="4659"/>
      <c r="J15" s="4659"/>
      <c r="K15" s="4659"/>
      <c r="L15" s="4659"/>
      <c r="M15" s="4659"/>
      <c r="N15" s="4659"/>
      <c r="O15" s="4659"/>
      <c r="P15" s="4659"/>
      <c r="Q15" s="4659"/>
      <c r="R15" s="4659"/>
      <c r="S15" s="4659"/>
      <c r="T15" s="4659"/>
      <c r="U15" s="4659"/>
      <c r="V15" s="4659"/>
      <c r="W15" s="4659"/>
      <c r="X15" s="4659"/>
      <c r="Y15" s="4659"/>
      <c r="Z15" s="4659"/>
      <c r="AA15" s="4659"/>
      <c r="AB15" s="4659"/>
      <c r="AC15" s="4659"/>
      <c r="AD15" s="4659"/>
      <c r="AE15" s="4659"/>
      <c r="AF15" s="4659"/>
      <c r="AG15" s="4659"/>
      <c r="AH15" s="4659"/>
      <c r="AI15" s="4659"/>
      <c r="AJ15" s="4659"/>
      <c r="AK15" s="4659"/>
      <c r="AL15" s="4659"/>
      <c r="AM15" s="4659"/>
      <c r="AN15" s="4659"/>
      <c r="AO15" s="4659"/>
      <c r="AP15" s="1277"/>
      <c r="BG15" s="769"/>
      <c r="BH15" s="658"/>
      <c r="BI15" s="658"/>
      <c r="BJ15" s="658"/>
      <c r="BK15" s="658"/>
      <c r="BL15" s="658"/>
      <c r="BM15" s="658"/>
      <c r="BN15" s="658"/>
      <c r="BO15" s="658"/>
      <c r="BP15" s="658"/>
    </row>
    <row r="16" spans="1:69" ht="15.75">
      <c r="A16" s="1277"/>
      <c r="B16" s="8557" t="s">
        <v>510</v>
      </c>
      <c r="C16" s="8469"/>
      <c r="D16" s="8560"/>
      <c r="E16" s="8021"/>
      <c r="F16" s="8021"/>
      <c r="G16" s="8021"/>
      <c r="H16" s="8021"/>
      <c r="I16" s="8021"/>
      <c r="J16" s="8021"/>
      <c r="K16" s="8021"/>
      <c r="L16" s="8021"/>
      <c r="M16" s="8021"/>
      <c r="N16" s="8021"/>
      <c r="O16" s="8021"/>
      <c r="P16" s="8021"/>
      <c r="Q16" s="8021"/>
      <c r="R16" s="8021"/>
      <c r="S16" s="8021"/>
      <c r="T16" s="8021"/>
      <c r="U16" s="8021"/>
      <c r="V16" s="8021"/>
      <c r="W16" s="8021"/>
      <c r="X16" s="8021"/>
      <c r="Y16" s="8021"/>
      <c r="Z16" s="8021"/>
      <c r="AA16" s="8021"/>
      <c r="AB16" s="8021"/>
      <c r="AC16" s="8021"/>
      <c r="AD16" s="8021"/>
      <c r="AE16" s="8021"/>
      <c r="AF16" s="8021"/>
      <c r="AG16" s="8021"/>
      <c r="AH16" s="8021"/>
      <c r="AI16" s="8021"/>
      <c r="AJ16" s="8021"/>
      <c r="AK16" s="8021"/>
      <c r="AL16" s="8021"/>
      <c r="AM16" s="8021"/>
      <c r="AN16" s="8021"/>
      <c r="AO16" s="8021"/>
      <c r="AP16" s="1277"/>
      <c r="BG16" s="769"/>
      <c r="BH16" s="658"/>
      <c r="BI16" s="658"/>
      <c r="BJ16" s="658"/>
      <c r="BK16" s="658"/>
      <c r="BL16" s="658"/>
      <c r="BM16" s="658"/>
      <c r="BN16" s="658"/>
      <c r="BO16" s="658"/>
      <c r="BP16" s="658"/>
    </row>
    <row r="17" spans="1:68" ht="15.75">
      <c r="A17" s="1277"/>
      <c r="B17" s="8557" t="s">
        <v>516</v>
      </c>
      <c r="C17" s="8469"/>
      <c r="D17" s="8560"/>
      <c r="E17" s="8021"/>
      <c r="F17" s="8021"/>
      <c r="G17" s="8021"/>
      <c r="H17" s="8021"/>
      <c r="I17" s="8021"/>
      <c r="J17" s="8021"/>
      <c r="K17" s="8021"/>
      <c r="L17" s="8021"/>
      <c r="M17" s="8021"/>
      <c r="N17" s="8021"/>
      <c r="O17" s="8021"/>
      <c r="P17" s="8021"/>
      <c r="Q17" s="8021"/>
      <c r="R17" s="8021"/>
      <c r="S17" s="8021"/>
      <c r="T17" s="8021"/>
      <c r="U17" s="8021"/>
      <c r="V17" s="8021"/>
      <c r="W17" s="8021"/>
      <c r="X17" s="8021"/>
      <c r="Y17" s="8021"/>
      <c r="Z17" s="8021"/>
      <c r="AA17" s="8021"/>
      <c r="AB17" s="8021"/>
      <c r="AC17" s="8021"/>
      <c r="AD17" s="8021"/>
      <c r="AE17" s="8021"/>
      <c r="AF17" s="8021"/>
      <c r="AG17" s="8021"/>
      <c r="AH17" s="8021"/>
      <c r="AI17" s="8021"/>
      <c r="AJ17" s="8021"/>
      <c r="AK17" s="8021"/>
      <c r="AL17" s="8021"/>
      <c r="AM17" s="8021"/>
      <c r="AN17" s="8021"/>
      <c r="AO17" s="8021"/>
      <c r="AP17" s="1277"/>
      <c r="BG17" s="769"/>
      <c r="BH17" s="658"/>
      <c r="BI17" s="658"/>
      <c r="BJ17" s="658"/>
      <c r="BK17" s="658"/>
      <c r="BL17" s="658"/>
      <c r="BM17" s="658"/>
      <c r="BN17" s="658"/>
      <c r="BO17" s="658"/>
      <c r="BP17" s="658"/>
    </row>
    <row r="18" spans="1:68" ht="15.75">
      <c r="A18" s="1277"/>
      <c r="B18" s="8557" t="s">
        <v>518</v>
      </c>
      <c r="C18" s="8469"/>
      <c r="D18" s="8560"/>
      <c r="E18" s="8021"/>
      <c r="F18" s="8021"/>
      <c r="G18" s="8021"/>
      <c r="H18" s="8021"/>
      <c r="I18" s="8021"/>
      <c r="J18" s="8021"/>
      <c r="K18" s="8021"/>
      <c r="L18" s="8021"/>
      <c r="M18" s="8021"/>
      <c r="N18" s="8021"/>
      <c r="O18" s="8021"/>
      <c r="P18" s="8021"/>
      <c r="Q18" s="8021"/>
      <c r="R18" s="8021"/>
      <c r="S18" s="8021"/>
      <c r="T18" s="8021"/>
      <c r="U18" s="8021"/>
      <c r="V18" s="8021"/>
      <c r="W18" s="8021"/>
      <c r="X18" s="8021"/>
      <c r="Y18" s="8021"/>
      <c r="Z18" s="8021"/>
      <c r="AA18" s="8021"/>
      <c r="AB18" s="8021"/>
      <c r="AC18" s="8021"/>
      <c r="AD18" s="8021"/>
      <c r="AE18" s="8021"/>
      <c r="AF18" s="8021"/>
      <c r="AG18" s="8021"/>
      <c r="AH18" s="8021"/>
      <c r="AI18" s="8021"/>
      <c r="AJ18" s="8021"/>
      <c r="AK18" s="8021"/>
      <c r="AL18" s="8021"/>
      <c r="AM18" s="8021"/>
      <c r="AN18" s="8021"/>
      <c r="AO18" s="8021"/>
      <c r="AP18" s="1277"/>
      <c r="AX18">
        <v>1</v>
      </c>
      <c r="AY18" t="s">
        <v>2327</v>
      </c>
      <c r="BG18" s="769"/>
      <c r="BH18" s="658"/>
      <c r="BI18" s="658"/>
      <c r="BJ18" s="658"/>
      <c r="BK18" s="658"/>
      <c r="BL18" s="658"/>
      <c r="BM18" s="658"/>
      <c r="BN18" s="658"/>
      <c r="BO18" s="658"/>
      <c r="BP18" s="658"/>
    </row>
    <row r="19" spans="1:68" ht="15.75" customHeight="1">
      <c r="A19" s="1277"/>
      <c r="B19" s="8558" t="s">
        <v>335</v>
      </c>
      <c r="C19" s="8629"/>
      <c r="D19" s="7681" t="s">
        <v>2328</v>
      </c>
      <c r="E19" s="7682"/>
      <c r="F19" s="7682"/>
      <c r="G19" s="7682"/>
      <c r="H19" s="7683"/>
      <c r="I19" s="8536">
        <v>2</v>
      </c>
      <c r="J19" s="8601"/>
      <c r="K19" s="8569" t="s">
        <v>2329</v>
      </c>
      <c r="L19" s="8569"/>
      <c r="M19" s="8569"/>
      <c r="N19" s="8569"/>
      <c r="O19" s="8569"/>
      <c r="P19" s="8569"/>
      <c r="Q19" s="8569"/>
      <c r="R19" s="8569"/>
      <c r="S19" s="8569"/>
      <c r="T19" s="8569"/>
      <c r="U19" s="8569"/>
      <c r="V19" s="8569"/>
      <c r="W19" s="8569"/>
      <c r="X19" s="4767"/>
      <c r="Y19" s="4767"/>
      <c r="Z19" s="4767"/>
      <c r="AA19" s="8561" t="s">
        <v>2330</v>
      </c>
      <c r="AB19" s="8562"/>
      <c r="AC19" s="8562"/>
      <c r="AD19" s="8562"/>
      <c r="AE19" s="8565"/>
      <c r="AF19" s="8561" t="s">
        <v>2331</v>
      </c>
      <c r="AG19" s="8562"/>
      <c r="AH19" s="8562"/>
      <c r="AI19" s="8562"/>
      <c r="AJ19" s="8565"/>
      <c r="AK19" s="8561" t="s">
        <v>2332</v>
      </c>
      <c r="AL19" s="8562"/>
      <c r="AM19" s="8562"/>
      <c r="AN19" s="8562"/>
      <c r="AO19" s="8562"/>
      <c r="AP19" s="1277"/>
      <c r="AX19">
        <v>2</v>
      </c>
      <c r="AY19" t="s">
        <v>2333</v>
      </c>
      <c r="BG19" s="769"/>
      <c r="BH19" s="658"/>
      <c r="BI19" s="658"/>
      <c r="BJ19" s="658"/>
      <c r="BK19" s="658"/>
      <c r="BL19" s="658"/>
      <c r="BM19" s="658"/>
      <c r="BN19" s="658"/>
      <c r="BO19" s="658"/>
      <c r="BP19" s="658"/>
    </row>
    <row r="20" spans="1:68" ht="14.25" customHeight="1">
      <c r="A20" s="1277"/>
      <c r="B20" s="4760"/>
      <c r="C20" s="4845"/>
      <c r="D20" s="7687"/>
      <c r="E20" s="7688"/>
      <c r="F20" s="7688"/>
      <c r="G20" s="7688"/>
      <c r="H20" s="7689"/>
      <c r="I20" s="4768"/>
      <c r="J20" s="4082"/>
      <c r="K20" s="8570"/>
      <c r="L20" s="8570"/>
      <c r="M20" s="8570"/>
      <c r="N20" s="8570"/>
      <c r="O20" s="8570"/>
      <c r="P20" s="8570"/>
      <c r="Q20" s="8570"/>
      <c r="R20" s="8570"/>
      <c r="S20" s="8570"/>
      <c r="T20" s="8570"/>
      <c r="U20" s="8570"/>
      <c r="V20" s="8570"/>
      <c r="W20" s="8570"/>
      <c r="X20" s="4082"/>
      <c r="Y20" s="4082"/>
      <c r="Z20" s="4082"/>
      <c r="AA20" s="8563"/>
      <c r="AB20" s="8564"/>
      <c r="AC20" s="8564"/>
      <c r="AD20" s="8564"/>
      <c r="AE20" s="8566"/>
      <c r="AF20" s="8563"/>
      <c r="AG20" s="8564"/>
      <c r="AH20" s="8564"/>
      <c r="AI20" s="8564"/>
      <c r="AJ20" s="8566"/>
      <c r="AK20" s="8563"/>
      <c r="AL20" s="8564"/>
      <c r="AM20" s="8564"/>
      <c r="AN20" s="8564"/>
      <c r="AO20" s="8564"/>
      <c r="AP20" s="1277"/>
      <c r="AV20" s="4769">
        <f>IF(LeapYear,366,365)</f>
        <v>365</v>
      </c>
      <c r="AW20" s="4652"/>
      <c r="AX20">
        <v>3</v>
      </c>
      <c r="AY20" t="s">
        <v>2334</v>
      </c>
      <c r="BE20" s="4770" t="s">
        <v>2335</v>
      </c>
      <c r="BG20" s="769"/>
      <c r="BH20" s="658"/>
      <c r="BI20" s="658"/>
      <c r="BJ20" s="658"/>
      <c r="BK20" s="658"/>
      <c r="BL20" s="658"/>
      <c r="BM20" s="658"/>
      <c r="BN20" s="658"/>
      <c r="BO20" s="658"/>
      <c r="BP20" s="658"/>
    </row>
    <row r="21" spans="1:68" ht="15.75">
      <c r="A21" s="1277"/>
      <c r="B21" s="8557" t="s">
        <v>510</v>
      </c>
      <c r="C21" s="8469"/>
      <c r="D21" s="8549"/>
      <c r="E21" s="8550"/>
      <c r="F21" s="8550"/>
      <c r="G21" s="8550"/>
      <c r="H21" s="8551"/>
      <c r="I21" s="408"/>
      <c r="J21" s="253"/>
      <c r="K21" s="8570"/>
      <c r="L21" s="8570"/>
      <c r="M21" s="8570"/>
      <c r="N21" s="8570"/>
      <c r="O21" s="8570"/>
      <c r="P21" s="8570"/>
      <c r="Q21" s="8570"/>
      <c r="R21" s="8570"/>
      <c r="S21" s="8570"/>
      <c r="T21" s="8570"/>
      <c r="U21" s="8570"/>
      <c r="V21" s="8570"/>
      <c r="W21" s="8570"/>
      <c r="X21" s="8552" t="s">
        <v>510</v>
      </c>
      <c r="Y21" s="8553"/>
      <c r="Z21" s="8554"/>
      <c r="AA21" s="7516"/>
      <c r="AB21" s="8437"/>
      <c r="AC21" s="8437"/>
      <c r="AD21" s="8437"/>
      <c r="AE21" s="8438"/>
      <c r="AF21" s="7516"/>
      <c r="AG21" s="8437"/>
      <c r="AH21" s="8437"/>
      <c r="AI21" s="8437"/>
      <c r="AJ21" s="8438"/>
      <c r="AK21" s="4771"/>
      <c r="AL21" s="773"/>
      <c r="AM21" s="276"/>
      <c r="AN21" s="773"/>
      <c r="AO21" s="773"/>
      <c r="AP21" s="1277"/>
      <c r="AR21" s="304" t="b">
        <f>D21=8</f>
        <v>0</v>
      </c>
      <c r="AV21" s="4772" t="b">
        <f>AA21&gt;$AV$20</f>
        <v>0</v>
      </c>
      <c r="AW21" s="4647" t="b">
        <f>AF21&gt;$AV$20</f>
        <v>0</v>
      </c>
      <c r="AX21">
        <v>4</v>
      </c>
      <c r="AY21" t="s">
        <v>2336</v>
      </c>
      <c r="BE21" s="726" t="b">
        <f>IF(AND(D21&lt;&gt;"",OR(D21&lt;1,D21&gt;8,ISERROR(V32))),TRUE,FALSE)</f>
        <v>0</v>
      </c>
      <c r="BG21" s="769"/>
      <c r="BH21" s="658"/>
      <c r="BI21" s="658"/>
      <c r="BJ21" s="658"/>
      <c r="BK21" s="658"/>
      <c r="BL21" s="658"/>
      <c r="BM21" s="658"/>
      <c r="BN21" s="658"/>
      <c r="BO21" s="658"/>
      <c r="BP21" s="658"/>
    </row>
    <row r="22" spans="1:68" ht="16.5" thickBot="1">
      <c r="A22" s="1277"/>
      <c r="B22" s="8557" t="s">
        <v>516</v>
      </c>
      <c r="C22" s="8469"/>
      <c r="D22" s="8549"/>
      <c r="E22" s="8550"/>
      <c r="F22" s="8550"/>
      <c r="G22" s="8550"/>
      <c r="H22" s="8551"/>
      <c r="I22" s="408"/>
      <c r="J22" s="253"/>
      <c r="K22" s="8570"/>
      <c r="L22" s="8570"/>
      <c r="M22" s="8570"/>
      <c r="N22" s="8570"/>
      <c r="O22" s="8570"/>
      <c r="P22" s="8570"/>
      <c r="Q22" s="8570"/>
      <c r="R22" s="8570"/>
      <c r="S22" s="8570"/>
      <c r="T22" s="8570"/>
      <c r="U22" s="8570"/>
      <c r="V22" s="8570"/>
      <c r="W22" s="8570"/>
      <c r="X22" s="8552" t="s">
        <v>516</v>
      </c>
      <c r="Y22" s="8553"/>
      <c r="Z22" s="8554"/>
      <c r="AA22" s="7516"/>
      <c r="AB22" s="8437"/>
      <c r="AC22" s="8437"/>
      <c r="AD22" s="8437"/>
      <c r="AE22" s="8438"/>
      <c r="AF22" s="7516"/>
      <c r="AG22" s="8437"/>
      <c r="AH22" s="8437"/>
      <c r="AI22" s="8437"/>
      <c r="AJ22" s="8438"/>
      <c r="AK22" s="4771"/>
      <c r="AL22" s="773"/>
      <c r="AM22" s="276"/>
      <c r="AN22" s="773"/>
      <c r="AO22" s="773"/>
      <c r="AP22" s="1277"/>
      <c r="AR22" s="304" t="b">
        <f>D22=8</f>
        <v>0</v>
      </c>
      <c r="AV22" s="4772" t="b">
        <f>AA22&gt;$AV$20</f>
        <v>0</v>
      </c>
      <c r="AW22" s="4647" t="b">
        <f>AF22&gt;$AV$20</f>
        <v>0</v>
      </c>
      <c r="AX22">
        <v>5</v>
      </c>
      <c r="AY22" t="s">
        <v>2337</v>
      </c>
      <c r="BE22" s="726" t="b">
        <f>IF(AND(D22&lt;&gt;"",OR(D22&lt;1,D22&gt;8,ISERROR(AD32))),TRUE,FALSE)</f>
        <v>0</v>
      </c>
      <c r="BG22" s="769"/>
      <c r="BH22" s="658"/>
      <c r="BI22" s="658"/>
      <c r="BJ22" s="658"/>
      <c r="BK22" s="658"/>
      <c r="BL22" s="658"/>
      <c r="BM22" s="658"/>
      <c r="BN22" s="658"/>
      <c r="BO22" s="658"/>
      <c r="BP22" s="658"/>
    </row>
    <row r="23" spans="1:68" ht="15.75">
      <c r="A23" s="1277"/>
      <c r="B23" s="8557" t="s">
        <v>518</v>
      </c>
      <c r="C23" s="8469"/>
      <c r="D23" s="8549"/>
      <c r="E23" s="8550"/>
      <c r="F23" s="8550"/>
      <c r="G23" s="8550"/>
      <c r="H23" s="8551"/>
      <c r="I23" s="412"/>
      <c r="J23" s="413"/>
      <c r="K23" s="8571"/>
      <c r="L23" s="8571"/>
      <c r="M23" s="8571"/>
      <c r="N23" s="8571"/>
      <c r="O23" s="8571"/>
      <c r="P23" s="8571"/>
      <c r="Q23" s="8571"/>
      <c r="R23" s="8571"/>
      <c r="S23" s="8571"/>
      <c r="T23" s="8571"/>
      <c r="U23" s="8571"/>
      <c r="V23" s="8571"/>
      <c r="W23" s="8571"/>
      <c r="X23" s="8552" t="s">
        <v>518</v>
      </c>
      <c r="Y23" s="8553"/>
      <c r="Z23" s="8554"/>
      <c r="AA23" s="7516"/>
      <c r="AB23" s="8437"/>
      <c r="AC23" s="8437"/>
      <c r="AD23" s="8437"/>
      <c r="AE23" s="8438"/>
      <c r="AF23" s="7516"/>
      <c r="AG23" s="8437"/>
      <c r="AH23" s="8437"/>
      <c r="AI23" s="8437"/>
      <c r="AJ23" s="8438"/>
      <c r="AK23" s="4771"/>
      <c r="AL23" s="773"/>
      <c r="AM23" s="276"/>
      <c r="AN23" s="773"/>
      <c r="AO23" s="773"/>
      <c r="AP23" s="1277"/>
      <c r="AR23" s="304" t="b">
        <f>D23=8</f>
        <v>0</v>
      </c>
      <c r="AV23" s="3614" t="b">
        <f>AA23&gt;$AV$20</f>
        <v>0</v>
      </c>
      <c r="AW23" s="4648" t="b">
        <f>AF23&gt;$AV$20</f>
        <v>0</v>
      </c>
      <c r="AX23">
        <v>6</v>
      </c>
      <c r="AY23" t="s">
        <v>2338</v>
      </c>
      <c r="AZ23" s="4773" t="s">
        <v>510</v>
      </c>
      <c r="BA23" s="4774" t="s">
        <v>516</v>
      </c>
      <c r="BB23" s="4774" t="s">
        <v>518</v>
      </c>
      <c r="BC23" s="4775" t="s">
        <v>224</v>
      </c>
      <c r="BE23" s="726" t="b">
        <f>IF(AND(D23&lt;&gt;"",OR(D23&lt;1,D23&gt;8,ISERROR(AJ32))),TRUE,FALSE)</f>
        <v>0</v>
      </c>
      <c r="BG23" s="769"/>
      <c r="BH23" s="658"/>
      <c r="BI23" s="658"/>
      <c r="BJ23" s="658"/>
      <c r="BK23" s="658"/>
      <c r="BL23" s="658"/>
      <c r="BM23" s="658"/>
      <c r="BN23" s="658"/>
      <c r="BO23" s="658"/>
      <c r="BP23" s="658"/>
    </row>
    <row r="24" spans="1:68" ht="14.25" customHeight="1">
      <c r="A24" s="1277"/>
      <c r="B24" s="3775" t="s">
        <v>2339</v>
      </c>
      <c r="C24" s="2298"/>
      <c r="D24" s="759"/>
      <c r="E24" s="2126"/>
      <c r="F24" s="2126"/>
      <c r="G24" s="2126"/>
      <c r="H24" s="2126"/>
      <c r="I24" s="4776" t="str">
        <f>IF(BE24,"The 'Type of Property' must be entered as a number (1 - 8).","")</f>
        <v/>
      </c>
      <c r="J24" s="2126"/>
      <c r="K24" s="2126"/>
      <c r="L24" s="2126"/>
      <c r="M24" s="2126"/>
      <c r="N24" s="2126"/>
      <c r="O24" s="2126"/>
      <c r="P24" s="2126"/>
      <c r="Q24" s="2126"/>
      <c r="R24" s="2126"/>
      <c r="S24" s="2126"/>
      <c r="T24" s="2126"/>
      <c r="U24" s="2126"/>
      <c r="V24" s="2126"/>
      <c r="W24" s="2126"/>
      <c r="X24" s="2126"/>
      <c r="Y24" s="2126"/>
      <c r="Z24" s="2126"/>
      <c r="AA24" s="2126"/>
      <c r="AB24" s="2126"/>
      <c r="AC24" s="2126"/>
      <c r="AD24" s="4776" t="str">
        <f>IF(OR(AV21,AV22,AV23,AW21,AW22,AW23),"Must be "&amp;AV20&amp;" or less.","")</f>
        <v/>
      </c>
      <c r="AE24" s="2126"/>
      <c r="AF24" s="2126"/>
      <c r="AG24" s="2126"/>
      <c r="AH24" s="2126"/>
      <c r="AI24" s="2126"/>
      <c r="AJ24" s="2126"/>
      <c r="AK24" s="2126"/>
      <c r="AL24" s="2126"/>
      <c r="AM24" s="2126"/>
      <c r="AN24" s="2126"/>
      <c r="AO24" s="2126"/>
      <c r="AP24" s="1277"/>
      <c r="AR24" s="304" t="b">
        <f>OR(AR21:AR23)</f>
        <v>0</v>
      </c>
      <c r="AX24">
        <v>7</v>
      </c>
      <c r="AY24" t="s">
        <v>2340</v>
      </c>
      <c r="AZ24" s="4777">
        <f>IF(D21&lt;&gt;6,V30,0)</f>
        <v>0</v>
      </c>
      <c r="BA24" s="3297">
        <f>IF(D22&lt;&gt;6,AD30,0)</f>
        <v>0</v>
      </c>
      <c r="BB24" s="3297">
        <f>IF(D23&lt;&gt;6,AJ30,0)</f>
        <v>0</v>
      </c>
      <c r="BC24" s="4778">
        <f>SUM(AZ24:BB24)</f>
        <v>0</v>
      </c>
      <c r="BE24" s="726" t="b">
        <f>OR(BE21,BE22,BE23)</f>
        <v>0</v>
      </c>
      <c r="BG24" s="769"/>
      <c r="BH24" s="658"/>
      <c r="BI24" s="658"/>
      <c r="BJ24" s="658"/>
      <c r="BK24" s="658"/>
      <c r="BL24" s="658"/>
      <c r="BM24" s="658"/>
      <c r="BN24" s="658"/>
      <c r="BO24" s="658"/>
      <c r="BP24" s="658"/>
    </row>
    <row r="25" spans="1:68" ht="16.5" customHeight="1" thickBot="1">
      <c r="A25" s="1277"/>
      <c r="B25" s="2298">
        <v>1</v>
      </c>
      <c r="C25" s="2100" t="s">
        <v>2327</v>
      </c>
      <c r="D25" s="759"/>
      <c r="E25" s="2126"/>
      <c r="F25" s="2126"/>
      <c r="G25" s="2126"/>
      <c r="H25" s="2126"/>
      <c r="I25" s="2126"/>
      <c r="J25" s="2126"/>
      <c r="K25" s="2038">
        <v>3</v>
      </c>
      <c r="L25" s="4505" t="s">
        <v>2341</v>
      </c>
      <c r="M25" s="2126"/>
      <c r="N25" s="2126"/>
      <c r="O25" s="2126"/>
      <c r="P25" s="2126"/>
      <c r="Q25" s="2126"/>
      <c r="R25" s="2126"/>
      <c r="S25" s="2126"/>
      <c r="T25" s="2126"/>
      <c r="U25" s="2038">
        <v>5</v>
      </c>
      <c r="V25" s="4505" t="s">
        <v>2337</v>
      </c>
      <c r="W25" s="2126"/>
      <c r="X25" s="2126"/>
      <c r="Y25" s="2126"/>
      <c r="Z25" s="2038"/>
      <c r="AA25" s="2038">
        <v>7</v>
      </c>
      <c r="AB25" s="4505" t="s">
        <v>2340</v>
      </c>
      <c r="AC25" s="2126"/>
      <c r="AD25" s="2126"/>
      <c r="AE25" s="2126"/>
      <c r="AF25" s="2126"/>
      <c r="AG25" s="2126"/>
      <c r="AH25" s="2126"/>
      <c r="AI25" s="2126"/>
      <c r="AJ25" s="2126"/>
      <c r="AK25" s="2126"/>
      <c r="AL25" s="2126"/>
      <c r="AM25" s="2126"/>
      <c r="AN25" s="2126"/>
      <c r="AO25" s="2126"/>
      <c r="AP25" s="1277"/>
      <c r="AR25" s="8373" t="str">
        <f>IF($AR$24,"Attach a statement to your return describing the property.","")</f>
        <v/>
      </c>
      <c r="AS25" s="8373"/>
      <c r="AX25">
        <v>8</v>
      </c>
      <c r="AY25" t="s">
        <v>254</v>
      </c>
      <c r="AZ25" s="4779">
        <f>IF(D21=6,V31,0)</f>
        <v>0</v>
      </c>
      <c r="BA25" s="4780">
        <f>IF(D22=6,AD31,0)</f>
        <v>0</v>
      </c>
      <c r="BB25" s="4780">
        <f>IF(D23=6,AJ31,0)</f>
        <v>0</v>
      </c>
      <c r="BC25" s="4781">
        <f>SUM(AZ25:BB25)</f>
        <v>0</v>
      </c>
      <c r="BE25" s="4782"/>
      <c r="BG25" s="769"/>
      <c r="BH25" s="658"/>
      <c r="BI25" s="658"/>
      <c r="BJ25" s="658"/>
      <c r="BK25" s="658"/>
      <c r="BL25" s="658"/>
      <c r="BM25" s="658"/>
      <c r="BN25" s="658"/>
      <c r="BO25" s="658"/>
      <c r="BP25" s="658"/>
    </row>
    <row r="26" spans="1:68" ht="17.25" customHeight="1">
      <c r="A26" s="1277"/>
      <c r="B26" s="2313">
        <v>2</v>
      </c>
      <c r="C26" s="4783" t="s">
        <v>2333</v>
      </c>
      <c r="D26" s="759"/>
      <c r="E26" s="2126"/>
      <c r="F26" s="2126"/>
      <c r="G26" s="2126"/>
      <c r="H26" s="2126"/>
      <c r="I26" s="2126"/>
      <c r="J26" s="2126"/>
      <c r="K26" s="2038">
        <v>4</v>
      </c>
      <c r="L26" s="4505" t="s">
        <v>2336</v>
      </c>
      <c r="M26" s="2126"/>
      <c r="N26" s="2126"/>
      <c r="O26" s="2126"/>
      <c r="P26" s="2126"/>
      <c r="Q26" s="2126"/>
      <c r="R26" s="2126"/>
      <c r="S26" s="2126"/>
      <c r="T26" s="2126"/>
      <c r="U26" s="2038">
        <v>6</v>
      </c>
      <c r="V26" s="4505" t="s">
        <v>2338</v>
      </c>
      <c r="W26" s="2126"/>
      <c r="X26" s="2126"/>
      <c r="Y26" s="2126"/>
      <c r="Z26" s="2038"/>
      <c r="AA26" s="2038">
        <v>8</v>
      </c>
      <c r="AB26" s="4505" t="s">
        <v>2342</v>
      </c>
      <c r="AC26" s="2126"/>
      <c r="AD26" s="2126"/>
      <c r="AE26" s="2126"/>
      <c r="AF26" s="2126"/>
      <c r="AG26" s="2126"/>
      <c r="AH26" s="8630"/>
      <c r="AI26" s="8630"/>
      <c r="AJ26" s="8630"/>
      <c r="AK26" s="8630"/>
      <c r="AL26" s="8630"/>
      <c r="AM26" s="8630"/>
      <c r="AN26" s="8630"/>
      <c r="AO26" s="8630"/>
      <c r="AP26" s="1277"/>
      <c r="AQ26" s="329"/>
      <c r="AR26" s="8373"/>
      <c r="AS26" s="8373"/>
      <c r="AT26" s="314"/>
      <c r="BG26" s="769"/>
      <c r="BH26" s="658"/>
      <c r="BI26" s="658"/>
      <c r="BJ26" s="658"/>
      <c r="BK26" s="658"/>
      <c r="BL26" s="658"/>
      <c r="BM26" s="658"/>
      <c r="BN26" s="658"/>
      <c r="BO26" s="658"/>
      <c r="BP26" s="658"/>
    </row>
    <row r="27" spans="1:68" ht="8.25" customHeight="1" thickBot="1">
      <c r="A27" s="1277"/>
      <c r="B27" s="2298"/>
      <c r="C27" s="2100"/>
      <c r="D27" s="759"/>
      <c r="E27" s="2126"/>
      <c r="F27" s="2126"/>
      <c r="G27" s="2126"/>
      <c r="H27" s="2126"/>
      <c r="I27" s="2126"/>
      <c r="J27" s="2126"/>
      <c r="K27" s="2038"/>
      <c r="L27" s="4505"/>
      <c r="M27" s="2126"/>
      <c r="N27" s="2126"/>
      <c r="O27" s="2126"/>
      <c r="P27" s="2126"/>
      <c r="Q27" s="2126"/>
      <c r="R27" s="2126"/>
      <c r="S27" s="2126"/>
      <c r="T27" s="2126"/>
      <c r="U27" s="2038"/>
      <c r="V27" s="4505"/>
      <c r="W27" s="2126"/>
      <c r="X27" s="2126"/>
      <c r="Y27" s="2126"/>
      <c r="Z27" s="2038"/>
      <c r="AA27" s="2038"/>
      <c r="AB27" s="4505"/>
      <c r="AC27" s="2126"/>
      <c r="AD27" s="2126"/>
      <c r="AE27" s="2126"/>
      <c r="AF27" s="2126"/>
      <c r="AG27" s="2126"/>
      <c r="AH27" s="2126"/>
      <c r="AI27" s="2126"/>
      <c r="AJ27" s="2126"/>
      <c r="AK27" s="2126"/>
      <c r="AL27" s="2126"/>
      <c r="AM27" s="2126"/>
      <c r="AN27" s="2126"/>
      <c r="AO27" s="2126"/>
      <c r="AP27" s="1277"/>
      <c r="AQ27" s="329"/>
      <c r="AR27" s="8373"/>
      <c r="AS27" s="8373"/>
      <c r="AT27" s="314"/>
      <c r="BG27" s="769"/>
      <c r="BH27" s="658"/>
      <c r="BI27" s="658"/>
      <c r="BJ27" s="658"/>
      <c r="BK27" s="658"/>
      <c r="BL27" s="658"/>
      <c r="BM27" s="658"/>
      <c r="BN27" s="658"/>
      <c r="BO27" s="658"/>
      <c r="BP27" s="658"/>
    </row>
    <row r="28" spans="1:68" ht="14.25" customHeight="1">
      <c r="A28" s="1277"/>
      <c r="B28" s="4653"/>
      <c r="C28" s="4786"/>
      <c r="D28" s="4787"/>
      <c r="E28" s="2167"/>
      <c r="F28" s="2167"/>
      <c r="G28" s="2167"/>
      <c r="H28" s="2167"/>
      <c r="I28" s="2167"/>
      <c r="J28" s="2167"/>
      <c r="K28" s="2167"/>
      <c r="L28" s="2167"/>
      <c r="M28" s="2167"/>
      <c r="N28" s="2167"/>
      <c r="O28" s="2167"/>
      <c r="P28" s="2167"/>
      <c r="Q28" s="2167"/>
      <c r="R28" s="4788"/>
      <c r="S28" s="2167"/>
      <c r="T28" s="4788"/>
      <c r="U28" s="4789"/>
      <c r="V28" s="8576" t="s">
        <v>2343</v>
      </c>
      <c r="W28" s="8577"/>
      <c r="X28" s="8577"/>
      <c r="Y28" s="8577"/>
      <c r="Z28" s="8577"/>
      <c r="AA28" s="8577"/>
      <c r="AB28" s="8577"/>
      <c r="AC28" s="8577"/>
      <c r="AD28" s="8577"/>
      <c r="AE28" s="8577"/>
      <c r="AF28" s="8577"/>
      <c r="AG28" s="8577"/>
      <c r="AH28" s="8577"/>
      <c r="AI28" s="8577"/>
      <c r="AJ28" s="8577"/>
      <c r="AK28" s="8577"/>
      <c r="AL28" s="8577"/>
      <c r="AM28" s="8577"/>
      <c r="AN28" s="8577"/>
      <c r="AO28" s="8577"/>
      <c r="AP28" s="1277"/>
      <c r="AR28" s="1792"/>
      <c r="AS28" s="314"/>
      <c r="AT28" s="314"/>
      <c r="AZ28" t="b">
        <f>IF(AND($D$21="",OR($V$30&gt;0,$V$31&gt;0)),TRUE,FALSE)</f>
        <v>0</v>
      </c>
      <c r="BA28" t="b">
        <f>IF(AND($D$22="",OR($AD$30&gt;0,$AD$31&gt;0)),TRUE,FALSE)</f>
        <v>0</v>
      </c>
      <c r="BB28" t="b">
        <f>IF(AND($D$23="",OR($AJ$30&gt;0,$AJ$31&gt;0)),TRUE,FALSE)</f>
        <v>0</v>
      </c>
      <c r="BG28" s="769"/>
      <c r="BH28" s="658"/>
      <c r="BI28" s="658"/>
      <c r="BJ28" s="658"/>
      <c r="BK28" s="658"/>
      <c r="BL28" s="658"/>
      <c r="BM28" s="658"/>
      <c r="BN28" s="658"/>
      <c r="BO28" s="658"/>
      <c r="BP28" s="658"/>
    </row>
    <row r="29" spans="1:68" ht="14.25" customHeight="1">
      <c r="A29" s="1277"/>
      <c r="B29" s="4467" t="s">
        <v>2344</v>
      </c>
      <c r="C29" s="2298"/>
      <c r="D29" s="759"/>
      <c r="E29" s="2126"/>
      <c r="F29" s="2126"/>
      <c r="G29" s="2126"/>
      <c r="H29" s="2126"/>
      <c r="I29" s="2126"/>
      <c r="J29" s="2126"/>
      <c r="K29" s="2126"/>
      <c r="L29" s="2126"/>
      <c r="M29" s="2126"/>
      <c r="N29" s="2126"/>
      <c r="O29" s="2126"/>
      <c r="P29" s="2126"/>
      <c r="Q29" s="2126"/>
      <c r="R29" s="4791"/>
      <c r="S29" s="2126"/>
      <c r="T29" s="4791"/>
      <c r="U29" s="4800"/>
      <c r="V29" s="8514" t="s">
        <v>510</v>
      </c>
      <c r="W29" s="8572"/>
      <c r="X29" s="8572"/>
      <c r="Y29" s="8572"/>
      <c r="Z29" s="8572"/>
      <c r="AA29" s="8572"/>
      <c r="AB29" s="8572"/>
      <c r="AC29" s="8515"/>
      <c r="AD29" s="8573" t="s">
        <v>516</v>
      </c>
      <c r="AE29" s="8574"/>
      <c r="AF29" s="8574"/>
      <c r="AG29" s="8574"/>
      <c r="AH29" s="8574"/>
      <c r="AI29" s="8575"/>
      <c r="AJ29" s="8573" t="s">
        <v>518</v>
      </c>
      <c r="AK29" s="8574"/>
      <c r="AL29" s="8574"/>
      <c r="AM29" s="8574"/>
      <c r="AN29" s="8574"/>
      <c r="AO29" s="8574"/>
      <c r="AP29" s="1277"/>
      <c r="AR29" s="1792"/>
      <c r="AS29" s="314"/>
      <c r="AT29" s="314"/>
      <c r="AZ29" t="b">
        <f>IF(AND($D$21="",OR($V$30&gt;0,$V$31&gt;0)),TRUE,FALSE)</f>
        <v>0</v>
      </c>
      <c r="BA29" t="b">
        <f>IF(AND($D$22="",OR($AD$30&gt;0,$AD$31&gt;0)),TRUE,FALSE)</f>
        <v>0</v>
      </c>
      <c r="BB29" t="b">
        <f>IF(AND($D$23="",OR($AJ$30&gt;0,$AJ$31&gt;0)),TRUE,FALSE)</f>
        <v>0</v>
      </c>
      <c r="BG29" s="769"/>
      <c r="BH29" s="658"/>
      <c r="BI29" s="658"/>
      <c r="BJ29" s="658"/>
      <c r="BK29" s="658"/>
      <c r="BL29" s="658"/>
      <c r="BM29" s="658"/>
      <c r="BN29" s="658"/>
      <c r="BO29" s="658"/>
      <c r="BP29" s="658"/>
    </row>
    <row r="30" spans="1:68" ht="14.25" customHeight="1">
      <c r="A30" s="1277"/>
      <c r="B30" s="8513">
        <v>3</v>
      </c>
      <c r="C30" s="8456"/>
      <c r="D30" s="2100" t="s">
        <v>2345</v>
      </c>
      <c r="E30" s="2126"/>
      <c r="F30" s="2126"/>
      <c r="G30" s="2126"/>
      <c r="H30" s="2126"/>
      <c r="I30" s="2126"/>
      <c r="J30" s="2126"/>
      <c r="K30" s="2126"/>
      <c r="L30" s="2126"/>
      <c r="M30" s="2126"/>
      <c r="N30" s="2126"/>
      <c r="O30" s="2126"/>
      <c r="P30" s="2126"/>
      <c r="Q30" s="2126"/>
      <c r="R30" s="2126"/>
      <c r="S30" s="1321" t="s">
        <v>590</v>
      </c>
      <c r="T30" s="8514">
        <v>3</v>
      </c>
      <c r="U30" s="8515"/>
      <c r="V30" s="8555"/>
      <c r="W30" s="8556"/>
      <c r="X30" s="8556"/>
      <c r="Y30" s="8556"/>
      <c r="Z30" s="8556"/>
      <c r="AA30" s="8556"/>
      <c r="AB30" s="8556"/>
      <c r="AC30" s="8568"/>
      <c r="AD30" s="8555"/>
      <c r="AE30" s="8556"/>
      <c r="AF30" s="8556"/>
      <c r="AG30" s="8556"/>
      <c r="AH30" s="8556"/>
      <c r="AI30" s="8568"/>
      <c r="AJ30" s="8555"/>
      <c r="AK30" s="8556"/>
      <c r="AL30" s="8556"/>
      <c r="AM30" s="8556"/>
      <c r="AN30" s="8556"/>
      <c r="AO30" s="8556"/>
      <c r="AP30" s="1277"/>
      <c r="AR30" s="314"/>
      <c r="AS30" s="314"/>
      <c r="AT30" s="314"/>
      <c r="BG30" s="769"/>
      <c r="BH30" s="658"/>
      <c r="BI30" s="658"/>
      <c r="BJ30" s="658"/>
      <c r="BK30" s="658"/>
      <c r="BL30" s="658"/>
      <c r="BM30" s="658"/>
      <c r="BN30" s="658"/>
      <c r="BO30" s="658"/>
      <c r="BP30" s="658"/>
    </row>
    <row r="31" spans="1:68" ht="14.25" customHeight="1">
      <c r="A31" s="1277"/>
      <c r="B31" s="8567">
        <v>4</v>
      </c>
      <c r="C31" s="8458"/>
      <c r="D31" s="4794" t="s">
        <v>2346</v>
      </c>
      <c r="E31" s="507"/>
      <c r="F31" s="507"/>
      <c r="G31" s="507"/>
      <c r="H31" s="507"/>
      <c r="I31" s="507"/>
      <c r="J31" s="507"/>
      <c r="K31" s="507"/>
      <c r="L31" s="507"/>
      <c r="M31" s="507"/>
      <c r="N31" s="507"/>
      <c r="O31" s="507"/>
      <c r="P31" s="507"/>
      <c r="Q31" s="507"/>
      <c r="R31" s="507"/>
      <c r="S31" s="974" t="s">
        <v>594</v>
      </c>
      <c r="T31" s="8514">
        <v>4</v>
      </c>
      <c r="U31" s="8515"/>
      <c r="V31" s="8555"/>
      <c r="W31" s="8556"/>
      <c r="X31" s="8556"/>
      <c r="Y31" s="8556"/>
      <c r="Z31" s="8556"/>
      <c r="AA31" s="8556"/>
      <c r="AB31" s="8556"/>
      <c r="AC31" s="8568"/>
      <c r="AD31" s="8555"/>
      <c r="AE31" s="8556"/>
      <c r="AF31" s="8556"/>
      <c r="AG31" s="8556"/>
      <c r="AH31" s="8556"/>
      <c r="AI31" s="8568"/>
      <c r="AJ31" s="8555"/>
      <c r="AK31" s="8556"/>
      <c r="AL31" s="8556"/>
      <c r="AM31" s="8556"/>
      <c r="AN31" s="8556"/>
      <c r="AO31" s="8556"/>
      <c r="AP31" s="1277"/>
      <c r="BG31" s="769"/>
      <c r="BH31" s="658"/>
      <c r="BI31" s="658"/>
      <c r="BJ31" s="658"/>
      <c r="BK31" s="658"/>
      <c r="BL31" s="658"/>
      <c r="BM31" s="658"/>
      <c r="BN31" s="658"/>
      <c r="BO31" s="658"/>
      <c r="BP31" s="658"/>
    </row>
    <row r="32" spans="1:68" ht="14.25" customHeight="1">
      <c r="A32" s="1277"/>
      <c r="B32" s="4795" t="s">
        <v>2347</v>
      </c>
      <c r="C32" s="4796"/>
      <c r="D32" s="3772"/>
      <c r="E32" s="4797"/>
      <c r="F32" s="4798"/>
      <c r="G32" s="4798" t="str">
        <f>IF(OR($AZ$29,$BA$29,$BB$29),"Please enter property type in Line 1b.","")</f>
        <v/>
      </c>
      <c r="H32" s="4797"/>
      <c r="I32" s="4797"/>
      <c r="J32" s="4797"/>
      <c r="K32" s="4797"/>
      <c r="L32" s="4797"/>
      <c r="M32" s="4797"/>
      <c r="N32" s="4797"/>
      <c r="O32" s="4797"/>
      <c r="P32" s="4797"/>
      <c r="Q32" s="4797"/>
      <c r="R32" s="4797"/>
      <c r="S32" s="4797"/>
      <c r="T32" s="4509"/>
      <c r="U32" s="4799"/>
      <c r="V32" s="8459" t="str">
        <f>IF(D21="","",LOOKUP(D21,$AX$18:$AX$25,$AY$18:$AY$25))</f>
        <v/>
      </c>
      <c r="W32" s="8460"/>
      <c r="X32" s="8460"/>
      <c r="Y32" s="8460"/>
      <c r="Z32" s="8460"/>
      <c r="AA32" s="8460"/>
      <c r="AB32" s="8460"/>
      <c r="AC32" s="8323"/>
      <c r="AD32" s="8459" t="str">
        <f>IF(D22="","",LOOKUP(D22,$AX$18:$AX$25,$AY$18:$AY$25))</f>
        <v/>
      </c>
      <c r="AE32" s="8460"/>
      <c r="AF32" s="8460"/>
      <c r="AG32" s="8460"/>
      <c r="AH32" s="8460"/>
      <c r="AI32" s="8323"/>
      <c r="AJ32" s="8459" t="str">
        <f>IF(D23="","",LOOKUP(D23,$AX$18:$AX$25,$AY$18:$AY$25))</f>
        <v/>
      </c>
      <c r="AK32" s="8460"/>
      <c r="AL32" s="8460"/>
      <c r="AM32" s="8460"/>
      <c r="AN32" s="8460"/>
      <c r="AO32" s="8460"/>
      <c r="AP32" s="1277"/>
      <c r="BG32" s="769"/>
      <c r="BH32" s="658"/>
      <c r="BI32" s="658"/>
      <c r="BJ32" s="658"/>
      <c r="BK32" s="658"/>
      <c r="BL32" s="658"/>
      <c r="BM32" s="658"/>
      <c r="BN32" s="658"/>
      <c r="BO32" s="658"/>
      <c r="BP32" s="658"/>
    </row>
    <row r="33" spans="1:68" ht="14.25" customHeight="1">
      <c r="A33" s="1277"/>
      <c r="B33" s="8513">
        <v>5</v>
      </c>
      <c r="C33" s="8456"/>
      <c r="D33" s="2100" t="s">
        <v>2348</v>
      </c>
      <c r="E33" s="2126"/>
      <c r="F33" s="2126"/>
      <c r="G33" s="2126"/>
      <c r="H33" s="2126"/>
      <c r="I33" s="2126"/>
      <c r="J33" s="2126"/>
      <c r="K33" s="2126"/>
      <c r="L33" s="2126"/>
      <c r="M33" s="2126"/>
      <c r="N33" s="2126"/>
      <c r="O33" s="2126"/>
      <c r="P33" s="2126"/>
      <c r="Q33" s="2126"/>
      <c r="R33" s="2126"/>
      <c r="S33" s="2198" t="s">
        <v>1876</v>
      </c>
      <c r="T33" s="8518">
        <v>5</v>
      </c>
      <c r="U33" s="8519"/>
      <c r="V33" s="8544"/>
      <c r="W33" s="8544"/>
      <c r="X33" s="8544"/>
      <c r="Y33" s="8544"/>
      <c r="Z33" s="8544"/>
      <c r="AA33" s="8544"/>
      <c r="AB33" s="8544"/>
      <c r="AC33" s="8545"/>
      <c r="AD33" s="8546"/>
      <c r="AE33" s="8544"/>
      <c r="AF33" s="8544"/>
      <c r="AG33" s="8544"/>
      <c r="AH33" s="8544"/>
      <c r="AI33" s="8545"/>
      <c r="AJ33" s="8546"/>
      <c r="AK33" s="8544"/>
      <c r="AL33" s="8544"/>
      <c r="AM33" s="8544"/>
      <c r="AN33" s="8544"/>
      <c r="AO33" s="8544"/>
      <c r="AP33" s="1277"/>
      <c r="BG33" s="769"/>
      <c r="BH33" s="658"/>
      <c r="BI33" s="658"/>
      <c r="BJ33" s="658"/>
      <c r="BK33" s="658"/>
      <c r="BL33" s="658"/>
      <c r="BM33" s="658"/>
      <c r="BN33" s="658"/>
      <c r="BO33" s="658"/>
      <c r="BP33" s="658"/>
    </row>
    <row r="34" spans="1:68" ht="14.25" customHeight="1">
      <c r="A34" s="1277"/>
      <c r="B34" s="8513">
        <v>6</v>
      </c>
      <c r="C34" s="8456"/>
      <c r="D34" s="2100" t="s">
        <v>2349</v>
      </c>
      <c r="E34" s="2126"/>
      <c r="F34" s="2126"/>
      <c r="G34" s="2126"/>
      <c r="H34" s="2126"/>
      <c r="I34" s="2126"/>
      <c r="J34" s="2126"/>
      <c r="K34" s="2126"/>
      <c r="L34" s="2126"/>
      <c r="M34" s="2126"/>
      <c r="N34" s="2126"/>
      <c r="O34" s="2126"/>
      <c r="P34" s="2126"/>
      <c r="Q34" s="2126"/>
      <c r="R34" s="2126"/>
      <c r="S34" s="2198" t="s">
        <v>601</v>
      </c>
      <c r="T34" s="8518">
        <v>6</v>
      </c>
      <c r="U34" s="8519"/>
      <c r="V34" s="8544"/>
      <c r="W34" s="8544"/>
      <c r="X34" s="8544"/>
      <c r="Y34" s="8544"/>
      <c r="Z34" s="8544"/>
      <c r="AA34" s="8544"/>
      <c r="AB34" s="8544"/>
      <c r="AC34" s="8545"/>
      <c r="AD34" s="8546"/>
      <c r="AE34" s="8544"/>
      <c r="AF34" s="8544"/>
      <c r="AG34" s="8544"/>
      <c r="AH34" s="8544"/>
      <c r="AI34" s="8545"/>
      <c r="AJ34" s="8546"/>
      <c r="AK34" s="8544"/>
      <c r="AL34" s="8544"/>
      <c r="AM34" s="8544"/>
      <c r="AN34" s="8544"/>
      <c r="AO34" s="8544"/>
      <c r="AP34" s="1277"/>
      <c r="BG34" s="769"/>
      <c r="BH34" s="658"/>
      <c r="BI34" s="658"/>
      <c r="BJ34" s="658"/>
      <c r="BK34" s="658"/>
      <c r="BL34" s="658"/>
      <c r="BM34" s="658"/>
      <c r="BN34" s="658"/>
      <c r="BO34" s="658"/>
      <c r="BP34" s="658"/>
    </row>
    <row r="35" spans="1:68" ht="14.25" customHeight="1">
      <c r="A35" s="1277"/>
      <c r="B35" s="8513">
        <v>7</v>
      </c>
      <c r="C35" s="8456"/>
      <c r="D35" s="2100" t="s">
        <v>2350</v>
      </c>
      <c r="E35" s="2126"/>
      <c r="F35" s="2126"/>
      <c r="G35" s="2126"/>
      <c r="H35" s="2126"/>
      <c r="I35" s="2126"/>
      <c r="J35" s="2126"/>
      <c r="K35" s="2126"/>
      <c r="L35" s="2126"/>
      <c r="M35" s="2126"/>
      <c r="N35" s="2126"/>
      <c r="O35" s="2126"/>
      <c r="P35" s="2126"/>
      <c r="Q35" s="2126"/>
      <c r="R35" s="2126"/>
      <c r="S35" s="2198" t="s">
        <v>676</v>
      </c>
      <c r="T35" s="8518">
        <v>7</v>
      </c>
      <c r="U35" s="8519"/>
      <c r="V35" s="8544"/>
      <c r="W35" s="8544"/>
      <c r="X35" s="8544"/>
      <c r="Y35" s="8544"/>
      <c r="Z35" s="8544"/>
      <c r="AA35" s="8544"/>
      <c r="AB35" s="8544"/>
      <c r="AC35" s="8545"/>
      <c r="AD35" s="8546"/>
      <c r="AE35" s="8544"/>
      <c r="AF35" s="8544"/>
      <c r="AG35" s="8544"/>
      <c r="AH35" s="8544"/>
      <c r="AI35" s="8545"/>
      <c r="AJ35" s="8546"/>
      <c r="AK35" s="8544"/>
      <c r="AL35" s="8544"/>
      <c r="AM35" s="8544"/>
      <c r="AN35" s="8544"/>
      <c r="AO35" s="8544"/>
      <c r="AP35" s="1277"/>
      <c r="BG35" s="769"/>
      <c r="BH35" s="658"/>
      <c r="BI35" s="658"/>
      <c r="BJ35" s="658"/>
      <c r="BK35" s="658"/>
      <c r="BL35" s="658"/>
      <c r="BM35" s="658"/>
      <c r="BN35" s="658"/>
      <c r="BO35" s="658"/>
      <c r="BP35" s="658"/>
    </row>
    <row r="36" spans="1:68" ht="14.25" customHeight="1">
      <c r="A36" s="1277"/>
      <c r="B36" s="8513">
        <v>8</v>
      </c>
      <c r="C36" s="8456"/>
      <c r="D36" s="2100" t="s">
        <v>2351</v>
      </c>
      <c r="E36" s="2126"/>
      <c r="F36" s="2126"/>
      <c r="G36" s="2126"/>
      <c r="H36" s="2126"/>
      <c r="I36" s="2126"/>
      <c r="J36" s="2126"/>
      <c r="K36" s="2126"/>
      <c r="L36" s="2126"/>
      <c r="M36" s="2126"/>
      <c r="N36" s="2126"/>
      <c r="O36" s="2126"/>
      <c r="P36" s="2126"/>
      <c r="Q36" s="2126"/>
      <c r="R36" s="2126"/>
      <c r="S36" s="2198" t="s">
        <v>597</v>
      </c>
      <c r="T36" s="8518">
        <v>8</v>
      </c>
      <c r="U36" s="8519"/>
      <c r="V36" s="8544"/>
      <c r="W36" s="8544"/>
      <c r="X36" s="8544"/>
      <c r="Y36" s="8544"/>
      <c r="Z36" s="8544"/>
      <c r="AA36" s="8544"/>
      <c r="AB36" s="8544"/>
      <c r="AC36" s="8545"/>
      <c r="AD36" s="8546"/>
      <c r="AE36" s="8544"/>
      <c r="AF36" s="8544"/>
      <c r="AG36" s="8544"/>
      <c r="AH36" s="8544"/>
      <c r="AI36" s="8545"/>
      <c r="AJ36" s="8546"/>
      <c r="AK36" s="8544"/>
      <c r="AL36" s="8544"/>
      <c r="AM36" s="8544"/>
      <c r="AN36" s="8544"/>
      <c r="AO36" s="8544"/>
      <c r="AP36" s="1277"/>
      <c r="BG36" s="769"/>
      <c r="BH36" s="658"/>
      <c r="BI36" s="658"/>
      <c r="BJ36" s="658"/>
      <c r="BK36" s="658"/>
      <c r="BL36" s="658"/>
      <c r="BM36" s="658"/>
      <c r="BN36" s="658"/>
      <c r="BO36" s="658"/>
      <c r="BP36" s="658"/>
    </row>
    <row r="37" spans="1:68" ht="14.25" customHeight="1">
      <c r="A37" s="1277"/>
      <c r="B37" s="8513">
        <v>9</v>
      </c>
      <c r="C37" s="8456"/>
      <c r="D37" s="2100" t="s">
        <v>2352</v>
      </c>
      <c r="E37" s="2126"/>
      <c r="F37" s="2126"/>
      <c r="G37" s="2126"/>
      <c r="H37" s="2126"/>
      <c r="I37" s="2126"/>
      <c r="J37" s="2126"/>
      <c r="K37" s="2126"/>
      <c r="L37" s="2126"/>
      <c r="M37" s="2126"/>
      <c r="N37" s="2126"/>
      <c r="O37" s="2126"/>
      <c r="P37" s="2126"/>
      <c r="Q37" s="2126"/>
      <c r="R37" s="2126"/>
      <c r="S37" s="2198" t="s">
        <v>2186</v>
      </c>
      <c r="T37" s="8518">
        <v>9</v>
      </c>
      <c r="U37" s="8519"/>
      <c r="V37" s="8544"/>
      <c r="W37" s="8544"/>
      <c r="X37" s="8544"/>
      <c r="Y37" s="8544"/>
      <c r="Z37" s="8544"/>
      <c r="AA37" s="8544"/>
      <c r="AB37" s="8544"/>
      <c r="AC37" s="8545"/>
      <c r="AD37" s="8546"/>
      <c r="AE37" s="8544"/>
      <c r="AF37" s="8544"/>
      <c r="AG37" s="8544"/>
      <c r="AH37" s="8544"/>
      <c r="AI37" s="8545"/>
      <c r="AJ37" s="8546"/>
      <c r="AK37" s="8544"/>
      <c r="AL37" s="8544"/>
      <c r="AM37" s="8544"/>
      <c r="AN37" s="8544"/>
      <c r="AO37" s="8544"/>
      <c r="AP37" s="1277"/>
      <c r="BG37" s="769"/>
      <c r="BH37" s="658"/>
      <c r="BI37" s="658"/>
      <c r="BJ37" s="658"/>
      <c r="BK37" s="658"/>
      <c r="BL37" s="658"/>
      <c r="BM37" s="658"/>
      <c r="BN37" s="658"/>
      <c r="BO37" s="658"/>
      <c r="BP37" s="658"/>
    </row>
    <row r="38" spans="1:68" ht="14.25" customHeight="1">
      <c r="A38" s="1277"/>
      <c r="B38" s="8513">
        <v>10</v>
      </c>
      <c r="C38" s="8456"/>
      <c r="D38" s="2100" t="s">
        <v>2353</v>
      </c>
      <c r="E38" s="2126"/>
      <c r="F38" s="2126"/>
      <c r="G38" s="2126"/>
      <c r="H38" s="2126"/>
      <c r="I38" s="2126"/>
      <c r="J38" s="2126"/>
      <c r="K38" s="2126"/>
      <c r="L38" s="2126"/>
      <c r="M38" s="2126"/>
      <c r="N38" s="2126"/>
      <c r="O38" s="2126"/>
      <c r="P38" s="2126"/>
      <c r="Q38" s="2126"/>
      <c r="R38" s="2126"/>
      <c r="S38" s="2198" t="s">
        <v>624</v>
      </c>
      <c r="T38" s="8518">
        <v>10</v>
      </c>
      <c r="U38" s="8519"/>
      <c r="V38" s="8544"/>
      <c r="W38" s="8544"/>
      <c r="X38" s="8544"/>
      <c r="Y38" s="8544"/>
      <c r="Z38" s="8544"/>
      <c r="AA38" s="8544"/>
      <c r="AB38" s="8544"/>
      <c r="AC38" s="8545"/>
      <c r="AD38" s="8546"/>
      <c r="AE38" s="8544"/>
      <c r="AF38" s="8544"/>
      <c r="AG38" s="8544"/>
      <c r="AH38" s="8544"/>
      <c r="AI38" s="8545"/>
      <c r="AJ38" s="8546"/>
      <c r="AK38" s="8544"/>
      <c r="AL38" s="8544"/>
      <c r="AM38" s="8544"/>
      <c r="AN38" s="8544"/>
      <c r="AO38" s="8544"/>
      <c r="AP38" s="1277"/>
      <c r="BG38" s="769"/>
      <c r="BH38" s="658"/>
      <c r="BI38" s="658"/>
      <c r="BJ38" s="658"/>
      <c r="BK38" s="658"/>
      <c r="BL38" s="658"/>
      <c r="BM38" s="658"/>
      <c r="BN38" s="658"/>
      <c r="BO38" s="658"/>
      <c r="BP38" s="658"/>
    </row>
    <row r="39" spans="1:68" ht="14.25" customHeight="1">
      <c r="A39" s="1277"/>
      <c r="B39" s="8513">
        <v>11</v>
      </c>
      <c r="C39" s="8456"/>
      <c r="D39" s="2100" t="s">
        <v>2354</v>
      </c>
      <c r="E39" s="2126"/>
      <c r="F39" s="2126"/>
      <c r="G39" s="2126"/>
      <c r="H39" s="2126"/>
      <c r="I39" s="2126"/>
      <c r="J39" s="2126"/>
      <c r="K39" s="2126"/>
      <c r="L39" s="2126"/>
      <c r="M39" s="2126"/>
      <c r="N39" s="2126"/>
      <c r="O39" s="2126"/>
      <c r="P39" s="2126"/>
      <c r="Q39" s="2126"/>
      <c r="R39" s="2126"/>
      <c r="S39" s="2198" t="s">
        <v>594</v>
      </c>
      <c r="T39" s="8518">
        <v>11</v>
      </c>
      <c r="U39" s="8519"/>
      <c r="V39" s="8544"/>
      <c r="W39" s="8544"/>
      <c r="X39" s="8544"/>
      <c r="Y39" s="8544"/>
      <c r="Z39" s="8544"/>
      <c r="AA39" s="8544"/>
      <c r="AB39" s="8544"/>
      <c r="AC39" s="8545"/>
      <c r="AD39" s="8546"/>
      <c r="AE39" s="8544"/>
      <c r="AF39" s="8544"/>
      <c r="AG39" s="8544"/>
      <c r="AH39" s="8544"/>
      <c r="AI39" s="8545"/>
      <c r="AJ39" s="8546"/>
      <c r="AK39" s="8544"/>
      <c r="AL39" s="8544"/>
      <c r="AM39" s="8544"/>
      <c r="AN39" s="8544"/>
      <c r="AO39" s="8544"/>
      <c r="AP39" s="1277"/>
      <c r="BG39" s="769"/>
      <c r="BH39" s="658"/>
      <c r="BI39" s="658"/>
      <c r="BJ39" s="658"/>
      <c r="BK39" s="658"/>
      <c r="BL39" s="658"/>
      <c r="BM39" s="658"/>
      <c r="BN39" s="658"/>
      <c r="BO39" s="658"/>
      <c r="BP39" s="658"/>
    </row>
    <row r="40" spans="1:68" ht="14.25" customHeight="1">
      <c r="A40" s="1277"/>
      <c r="B40" s="8513">
        <v>12</v>
      </c>
      <c r="C40" s="8456"/>
      <c r="D40" s="2100" t="s">
        <v>2355</v>
      </c>
      <c r="E40" s="2126"/>
      <c r="F40" s="2126"/>
      <c r="G40" s="2126"/>
      <c r="H40" s="2126"/>
      <c r="I40" s="2126"/>
      <c r="J40" s="2126"/>
      <c r="K40" s="2126"/>
      <c r="L40" s="2126"/>
      <c r="M40" s="2126"/>
      <c r="N40" s="2126"/>
      <c r="O40" s="2126"/>
      <c r="P40" s="2126"/>
      <c r="Q40" s="2126"/>
      <c r="R40" s="2126"/>
      <c r="S40" s="4800"/>
      <c r="T40" s="8518">
        <v>12</v>
      </c>
      <c r="U40" s="8519"/>
      <c r="V40" s="8544"/>
      <c r="W40" s="8544"/>
      <c r="X40" s="8544"/>
      <c r="Y40" s="8544"/>
      <c r="Z40" s="8544"/>
      <c r="AA40" s="8544"/>
      <c r="AB40" s="8544"/>
      <c r="AC40" s="8545"/>
      <c r="AD40" s="8546"/>
      <c r="AE40" s="8544"/>
      <c r="AF40" s="8544"/>
      <c r="AG40" s="8544"/>
      <c r="AH40" s="8544"/>
      <c r="AI40" s="8545"/>
      <c r="AJ40" s="8546"/>
      <c r="AK40" s="8544"/>
      <c r="AL40" s="8544"/>
      <c r="AM40" s="8544"/>
      <c r="AN40" s="8544"/>
      <c r="AO40" s="8544"/>
      <c r="AP40" s="1277"/>
      <c r="BG40" s="769"/>
      <c r="BH40" s="658"/>
      <c r="BI40" s="658"/>
      <c r="BJ40" s="658"/>
      <c r="BK40" s="658"/>
      <c r="BL40" s="658"/>
      <c r="BM40" s="658"/>
      <c r="BN40" s="658"/>
      <c r="BO40" s="658"/>
      <c r="BP40" s="658"/>
    </row>
    <row r="41" spans="1:68" ht="14.25" customHeight="1">
      <c r="A41" s="1277"/>
      <c r="B41" s="8513">
        <v>13</v>
      </c>
      <c r="C41" s="8456"/>
      <c r="D41" s="2100" t="s">
        <v>2356</v>
      </c>
      <c r="E41" s="2126"/>
      <c r="F41" s="2126"/>
      <c r="G41" s="2126"/>
      <c r="H41" s="2126"/>
      <c r="I41" s="2126"/>
      <c r="J41" s="2126"/>
      <c r="K41" s="2126"/>
      <c r="L41" s="2126"/>
      <c r="M41" s="2126"/>
      <c r="N41" s="2126"/>
      <c r="O41" s="2126"/>
      <c r="P41" s="2126"/>
      <c r="Q41" s="2126"/>
      <c r="R41" s="2126"/>
      <c r="S41" s="2198" t="s">
        <v>597</v>
      </c>
      <c r="T41" s="8518">
        <v>13</v>
      </c>
      <c r="U41" s="8519"/>
      <c r="V41" s="8544"/>
      <c r="W41" s="8544"/>
      <c r="X41" s="8544"/>
      <c r="Y41" s="8544"/>
      <c r="Z41" s="8544"/>
      <c r="AA41" s="8544"/>
      <c r="AB41" s="8544"/>
      <c r="AC41" s="8545"/>
      <c r="AD41" s="8546"/>
      <c r="AE41" s="8544"/>
      <c r="AF41" s="8544"/>
      <c r="AG41" s="8544"/>
      <c r="AH41" s="8544"/>
      <c r="AI41" s="8545"/>
      <c r="AJ41" s="8546"/>
      <c r="AK41" s="8544"/>
      <c r="AL41" s="8544"/>
      <c r="AM41" s="8544"/>
      <c r="AN41" s="8544"/>
      <c r="AO41" s="8544"/>
      <c r="AP41" s="1277"/>
      <c r="BG41" s="769"/>
      <c r="BH41" s="658"/>
      <c r="BI41" s="658"/>
      <c r="BJ41" s="658"/>
      <c r="BK41" s="658"/>
      <c r="BL41" s="658"/>
      <c r="BM41" s="658"/>
      <c r="BN41" s="658"/>
      <c r="BO41" s="658"/>
      <c r="BP41" s="658"/>
    </row>
    <row r="42" spans="1:68" ht="14.25" customHeight="1">
      <c r="A42" s="1277"/>
      <c r="B42" s="8513">
        <v>14</v>
      </c>
      <c r="C42" s="8456"/>
      <c r="D42" s="2100" t="s">
        <v>2357</v>
      </c>
      <c r="E42" s="2126"/>
      <c r="F42" s="2126"/>
      <c r="G42" s="2126"/>
      <c r="H42" s="2126"/>
      <c r="I42" s="2126"/>
      <c r="J42" s="2126"/>
      <c r="K42" s="2126"/>
      <c r="L42" s="2126"/>
      <c r="M42" s="2126"/>
      <c r="N42" s="2126"/>
      <c r="O42" s="2126"/>
      <c r="P42" s="2126"/>
      <c r="Q42" s="2126"/>
      <c r="R42" s="2126"/>
      <c r="S42" s="2198" t="s">
        <v>2186</v>
      </c>
      <c r="T42" s="8518">
        <v>14</v>
      </c>
      <c r="U42" s="8519"/>
      <c r="V42" s="8544"/>
      <c r="W42" s="8544"/>
      <c r="X42" s="8544"/>
      <c r="Y42" s="8544"/>
      <c r="Z42" s="8544"/>
      <c r="AA42" s="8544"/>
      <c r="AB42" s="8544"/>
      <c r="AC42" s="8545"/>
      <c r="AD42" s="8546"/>
      <c r="AE42" s="8544"/>
      <c r="AF42" s="8544"/>
      <c r="AG42" s="8544"/>
      <c r="AH42" s="8544"/>
      <c r="AI42" s="8545"/>
      <c r="AJ42" s="8546"/>
      <c r="AK42" s="8544"/>
      <c r="AL42" s="8544"/>
      <c r="AM42" s="8544"/>
      <c r="AN42" s="8544"/>
      <c r="AO42" s="8544"/>
      <c r="AP42" s="1277"/>
      <c r="BG42" s="769"/>
      <c r="BH42" s="658"/>
      <c r="BI42" s="658"/>
      <c r="BJ42" s="658"/>
      <c r="BK42" s="658"/>
      <c r="BL42" s="658"/>
      <c r="BM42" s="658"/>
      <c r="BN42" s="658"/>
      <c r="BO42" s="658"/>
      <c r="BP42" s="658"/>
    </row>
    <row r="43" spans="1:68" ht="14.25" customHeight="1">
      <c r="A43" s="1277"/>
      <c r="B43" s="8513">
        <v>15</v>
      </c>
      <c r="C43" s="8456"/>
      <c r="D43" s="2100" t="s">
        <v>2358</v>
      </c>
      <c r="E43" s="2126"/>
      <c r="F43" s="2126"/>
      <c r="G43" s="2126"/>
      <c r="H43" s="2126"/>
      <c r="I43" s="2126"/>
      <c r="J43" s="2126"/>
      <c r="K43" s="2126"/>
      <c r="L43" s="2126"/>
      <c r="M43" s="2126"/>
      <c r="N43" s="2126"/>
      <c r="O43" s="2126"/>
      <c r="P43" s="2126"/>
      <c r="Q43" s="2126"/>
      <c r="R43" s="2126"/>
      <c r="S43" s="2198" t="s">
        <v>2186</v>
      </c>
      <c r="T43" s="8518">
        <v>15</v>
      </c>
      <c r="U43" s="8519"/>
      <c r="V43" s="8544"/>
      <c r="W43" s="8544"/>
      <c r="X43" s="8544"/>
      <c r="Y43" s="8544"/>
      <c r="Z43" s="8544"/>
      <c r="AA43" s="8544"/>
      <c r="AB43" s="8544"/>
      <c r="AC43" s="8545"/>
      <c r="AD43" s="8546"/>
      <c r="AE43" s="8544"/>
      <c r="AF43" s="8544"/>
      <c r="AG43" s="8544"/>
      <c r="AH43" s="8544"/>
      <c r="AI43" s="8545"/>
      <c r="AJ43" s="8546"/>
      <c r="AK43" s="8544"/>
      <c r="AL43" s="8544"/>
      <c r="AM43" s="8544"/>
      <c r="AN43" s="8544"/>
      <c r="AO43" s="8544"/>
      <c r="AP43" s="1277"/>
      <c r="BG43" s="769"/>
      <c r="BH43" s="658"/>
      <c r="BI43" s="658"/>
      <c r="BJ43" s="658"/>
      <c r="BK43" s="658"/>
      <c r="BL43" s="658"/>
      <c r="BM43" s="658"/>
      <c r="BN43" s="658"/>
      <c r="BO43" s="658"/>
      <c r="BP43" s="658"/>
    </row>
    <row r="44" spans="1:68" ht="14.25" customHeight="1">
      <c r="A44" s="1277"/>
      <c r="B44" s="8513">
        <v>16</v>
      </c>
      <c r="C44" s="8456"/>
      <c r="D44" s="2100" t="s">
        <v>2359</v>
      </c>
      <c r="E44" s="2126"/>
      <c r="F44" s="2126"/>
      <c r="G44" s="2126"/>
      <c r="H44" s="2126"/>
      <c r="I44" s="2126"/>
      <c r="J44" s="2126"/>
      <c r="K44" s="2126"/>
      <c r="L44" s="2126"/>
      <c r="M44" s="2126"/>
      <c r="N44" s="2126"/>
      <c r="O44" s="2126"/>
      <c r="P44" s="2126"/>
      <c r="Q44" s="2126"/>
      <c r="R44" s="2126"/>
      <c r="S44" s="2198" t="s">
        <v>650</v>
      </c>
      <c r="T44" s="8518">
        <v>16</v>
      </c>
      <c r="U44" s="8519"/>
      <c r="V44" s="8544"/>
      <c r="W44" s="8544"/>
      <c r="X44" s="8544"/>
      <c r="Y44" s="8544"/>
      <c r="Z44" s="8544"/>
      <c r="AA44" s="8544"/>
      <c r="AB44" s="8544"/>
      <c r="AC44" s="8545"/>
      <c r="AD44" s="8546"/>
      <c r="AE44" s="8544"/>
      <c r="AF44" s="8544"/>
      <c r="AG44" s="8544"/>
      <c r="AH44" s="8544"/>
      <c r="AI44" s="8545"/>
      <c r="AJ44" s="8546"/>
      <c r="AK44" s="8544"/>
      <c r="AL44" s="8544"/>
      <c r="AM44" s="8544"/>
      <c r="AN44" s="8544"/>
      <c r="AO44" s="8544"/>
      <c r="AP44" s="1277"/>
      <c r="BG44" s="769"/>
      <c r="BH44" s="658"/>
      <c r="BI44" s="658"/>
      <c r="BJ44" s="658"/>
      <c r="BK44" s="658"/>
      <c r="BL44" s="658"/>
      <c r="BM44" s="658"/>
      <c r="BN44" s="658"/>
      <c r="BO44" s="658"/>
      <c r="BP44" s="658"/>
    </row>
    <row r="45" spans="1:68" ht="14.25" customHeight="1">
      <c r="A45" s="1277"/>
      <c r="B45" s="8513">
        <v>17</v>
      </c>
      <c r="C45" s="8456"/>
      <c r="D45" s="2100" t="s">
        <v>2025</v>
      </c>
      <c r="E45" s="2126"/>
      <c r="F45" s="2126"/>
      <c r="G45" s="2126"/>
      <c r="H45" s="2126"/>
      <c r="I45" s="2126"/>
      <c r="J45" s="2126"/>
      <c r="K45" s="2126"/>
      <c r="L45" s="2126"/>
      <c r="M45" s="2126"/>
      <c r="N45" s="2126"/>
      <c r="O45" s="2126"/>
      <c r="P45" s="2126"/>
      <c r="Q45" s="2126"/>
      <c r="R45" s="2126"/>
      <c r="S45" s="2198" t="s">
        <v>650</v>
      </c>
      <c r="T45" s="8518">
        <v>17</v>
      </c>
      <c r="U45" s="8519"/>
      <c r="V45" s="8544"/>
      <c r="W45" s="8544"/>
      <c r="X45" s="8544"/>
      <c r="Y45" s="8544"/>
      <c r="Z45" s="8544"/>
      <c r="AA45" s="8544"/>
      <c r="AB45" s="8544"/>
      <c r="AC45" s="8545"/>
      <c r="AD45" s="8546"/>
      <c r="AE45" s="8544"/>
      <c r="AF45" s="8544"/>
      <c r="AG45" s="8544"/>
      <c r="AH45" s="8544"/>
      <c r="AI45" s="8545"/>
      <c r="AJ45" s="8546"/>
      <c r="AK45" s="8544"/>
      <c r="AL45" s="8544"/>
      <c r="AM45" s="8544"/>
      <c r="AN45" s="8544"/>
      <c r="AO45" s="8544"/>
      <c r="AP45" s="1277"/>
      <c r="AQ45" s="2875"/>
      <c r="AR45" s="2875"/>
      <c r="AS45" s="2875"/>
      <c r="AT45" s="2875"/>
      <c r="AU45" s="2875"/>
      <c r="BG45" s="769"/>
      <c r="BH45" s="658"/>
      <c r="BI45" s="658"/>
      <c r="BJ45" s="658"/>
      <c r="BK45" s="658"/>
      <c r="BL45" s="658"/>
      <c r="BM45" s="658"/>
      <c r="BN45" s="658"/>
      <c r="BO45" s="658"/>
      <c r="BP45" s="658"/>
    </row>
    <row r="46" spans="1:68" ht="14.25" customHeight="1">
      <c r="A46" s="1277"/>
      <c r="B46" s="8513">
        <v>18</v>
      </c>
      <c r="C46" s="8456"/>
      <c r="D46" s="2100" t="s">
        <v>2360</v>
      </c>
      <c r="E46" s="2126"/>
      <c r="F46" s="2126"/>
      <c r="G46" s="2126"/>
      <c r="H46" s="2126"/>
      <c r="I46" s="2126"/>
      <c r="J46" s="2126"/>
      <c r="K46" s="2126"/>
      <c r="L46" s="2126"/>
      <c r="M46" s="2126"/>
      <c r="N46" s="2126"/>
      <c r="O46" s="2126"/>
      <c r="P46" s="2126"/>
      <c r="Q46" s="2126"/>
      <c r="R46" s="2126"/>
      <c r="S46" s="2198" t="s">
        <v>624</v>
      </c>
      <c r="T46" s="8518">
        <v>18</v>
      </c>
      <c r="U46" s="8519"/>
      <c r="V46" s="8544"/>
      <c r="W46" s="8544"/>
      <c r="X46" s="8544"/>
      <c r="Y46" s="8544"/>
      <c r="Z46" s="8544"/>
      <c r="AA46" s="8544"/>
      <c r="AB46" s="8544"/>
      <c r="AC46" s="8545"/>
      <c r="AD46" s="8546"/>
      <c r="AE46" s="8544"/>
      <c r="AF46" s="8544"/>
      <c r="AG46" s="8544"/>
      <c r="AH46" s="8544"/>
      <c r="AI46" s="8545"/>
      <c r="AJ46" s="8546"/>
      <c r="AK46" s="8544"/>
      <c r="AL46" s="8544"/>
      <c r="AM46" s="8544"/>
      <c r="AN46" s="8544"/>
      <c r="AO46" s="8544"/>
      <c r="AP46" s="1277"/>
      <c r="AQ46" s="2875"/>
      <c r="AR46" s="7608" t="s">
        <v>2361</v>
      </c>
      <c r="AS46" s="7608"/>
      <c r="AT46" s="7608"/>
      <c r="AU46" s="2875"/>
      <c r="BG46" s="769"/>
      <c r="BH46" s="658"/>
      <c r="BI46" s="658"/>
      <c r="BJ46" s="658"/>
      <c r="BK46" s="658"/>
      <c r="BL46" s="658"/>
      <c r="BM46" s="658"/>
      <c r="BN46" s="658"/>
      <c r="BO46" s="658"/>
      <c r="BP46" s="658"/>
    </row>
    <row r="47" spans="1:68" ht="14.25" customHeight="1">
      <c r="A47" s="1277"/>
      <c r="B47" s="8513">
        <v>19</v>
      </c>
      <c r="C47" s="8456"/>
      <c r="D47" s="2100" t="s">
        <v>2362</v>
      </c>
      <c r="E47" s="2126"/>
      <c r="F47" s="2126"/>
      <c r="G47" s="2126"/>
      <c r="H47" s="8548"/>
      <c r="I47" s="8548"/>
      <c r="J47" s="8548"/>
      <c r="K47" s="8548"/>
      <c r="L47" s="8548"/>
      <c r="M47" s="8548"/>
      <c r="N47" s="8548"/>
      <c r="O47" s="8548"/>
      <c r="P47" s="8548"/>
      <c r="Q47" s="8548"/>
      <c r="R47" s="8548"/>
      <c r="S47" s="4800"/>
      <c r="T47" s="8518">
        <v>19</v>
      </c>
      <c r="U47" s="8519"/>
      <c r="V47" s="8544"/>
      <c r="W47" s="8544"/>
      <c r="X47" s="8544"/>
      <c r="Y47" s="8544"/>
      <c r="Z47" s="8544"/>
      <c r="AA47" s="8544"/>
      <c r="AB47" s="8544"/>
      <c r="AC47" s="8545"/>
      <c r="AD47" s="8546"/>
      <c r="AE47" s="8544"/>
      <c r="AF47" s="8544"/>
      <c r="AG47" s="8544"/>
      <c r="AH47" s="8544"/>
      <c r="AI47" s="8545"/>
      <c r="AJ47" s="8546"/>
      <c r="AK47" s="8544"/>
      <c r="AL47" s="8544"/>
      <c r="AM47" s="8544"/>
      <c r="AN47" s="8544"/>
      <c r="AO47" s="8544"/>
      <c r="AP47" s="1277"/>
      <c r="AQ47" s="2875"/>
      <c r="AR47" s="2875"/>
      <c r="AS47" s="2875"/>
      <c r="AT47" s="2875"/>
      <c r="AU47" s="2875"/>
      <c r="BG47" s="769"/>
      <c r="BH47" s="658"/>
      <c r="BI47" s="658"/>
      <c r="BJ47" s="658"/>
      <c r="BK47" s="658"/>
      <c r="BL47" s="658"/>
      <c r="BM47" s="658"/>
      <c r="BN47" s="658"/>
      <c r="BO47" s="658"/>
      <c r="BP47" s="658"/>
    </row>
    <row r="48" spans="1:68" ht="14.25" customHeight="1">
      <c r="A48" s="1277"/>
      <c r="B48" s="8513">
        <v>20</v>
      </c>
      <c r="C48" s="8456"/>
      <c r="D48" s="2100" t="s">
        <v>2363</v>
      </c>
      <c r="E48" s="2126"/>
      <c r="F48" s="2126"/>
      <c r="G48" s="2126"/>
      <c r="H48" s="2126"/>
      <c r="I48" s="2126"/>
      <c r="J48" s="2126"/>
      <c r="K48" s="2126"/>
      <c r="L48" s="2126"/>
      <c r="M48" s="2126"/>
      <c r="N48" s="2126"/>
      <c r="O48" s="2126"/>
      <c r="P48" s="2126"/>
      <c r="Q48" s="2126"/>
      <c r="R48" s="2126"/>
      <c r="S48" s="2198" t="s">
        <v>643</v>
      </c>
      <c r="T48" s="8518">
        <v>20</v>
      </c>
      <c r="U48" s="8519"/>
      <c r="V48" s="8413">
        <f>IF(AR48&lt;&gt;"",ROUND(AR48,0),ROUND(SUM(V33:AC47),0))</f>
        <v>0</v>
      </c>
      <c r="W48" s="8413"/>
      <c r="X48" s="8413"/>
      <c r="Y48" s="8413"/>
      <c r="Z48" s="8413"/>
      <c r="AA48" s="8413"/>
      <c r="AB48" s="8413"/>
      <c r="AC48" s="8530"/>
      <c r="AD48" s="8529">
        <f>IF(AS48&lt;&gt;"",ROUND(AS48,0),ROUND(SUM(AD33:AI47),0))</f>
        <v>0</v>
      </c>
      <c r="AE48" s="8413"/>
      <c r="AF48" s="8413"/>
      <c r="AG48" s="8413"/>
      <c r="AH48" s="8413"/>
      <c r="AI48" s="8530"/>
      <c r="AJ48" s="8547">
        <f>IF(AT48&lt;&gt;"",ROUND(AT48,0),ROUND(SUM(AJ33:AO47),0))</f>
        <v>0</v>
      </c>
      <c r="AK48" s="8415"/>
      <c r="AL48" s="8415"/>
      <c r="AM48" s="8415"/>
      <c r="AN48" s="8415"/>
      <c r="AO48" s="8415"/>
      <c r="AP48" s="1277"/>
      <c r="AQ48" s="2875"/>
      <c r="AR48" s="777"/>
      <c r="AS48" s="777"/>
      <c r="AT48" s="777"/>
      <c r="AU48" s="2875"/>
      <c r="BG48" s="769"/>
      <c r="BH48" s="658"/>
      <c r="BI48" s="658"/>
      <c r="BJ48" s="658"/>
      <c r="BK48" s="658"/>
      <c r="BL48" s="658"/>
      <c r="BM48" s="658"/>
      <c r="BN48" s="658"/>
      <c r="BO48" s="658"/>
      <c r="BP48" s="658"/>
    </row>
    <row r="49" spans="1:68" ht="14.25" customHeight="1">
      <c r="A49" s="1277"/>
      <c r="B49" s="8513">
        <v>21</v>
      </c>
      <c r="C49" s="8456"/>
      <c r="D49" s="2100" t="s">
        <v>2364</v>
      </c>
      <c r="E49" s="2126"/>
      <c r="F49" s="2126"/>
      <c r="G49" s="2126"/>
      <c r="H49" s="2126"/>
      <c r="I49" s="2126"/>
      <c r="J49" s="2126"/>
      <c r="K49" s="2126"/>
      <c r="L49" s="2126"/>
      <c r="M49" s="2126"/>
      <c r="N49" s="2126"/>
      <c r="O49" s="2126"/>
      <c r="P49" s="2126"/>
      <c r="Q49" s="2126"/>
      <c r="R49" s="2126"/>
      <c r="S49" s="4800"/>
      <c r="T49" s="8536"/>
      <c r="U49" s="8537"/>
      <c r="V49" s="8538"/>
      <c r="W49" s="8539"/>
      <c r="X49" s="8539"/>
      <c r="Y49" s="8539"/>
      <c r="Z49" s="8539"/>
      <c r="AA49" s="8539"/>
      <c r="AB49" s="8539"/>
      <c r="AC49" s="8540"/>
      <c r="AD49" s="8538"/>
      <c r="AE49" s="8539"/>
      <c r="AF49" s="8539"/>
      <c r="AG49" s="8539"/>
      <c r="AH49" s="8539"/>
      <c r="AI49" s="8540"/>
      <c r="AJ49" s="8538"/>
      <c r="AK49" s="8539"/>
      <c r="AL49" s="8539"/>
      <c r="AM49" s="8539"/>
      <c r="AN49" s="8539"/>
      <c r="AO49" s="8539"/>
      <c r="AP49" s="1277"/>
      <c r="AQ49" s="2875"/>
      <c r="AR49" s="2875"/>
      <c r="AS49" s="2875"/>
      <c r="AT49" s="2875"/>
      <c r="AU49" s="2875"/>
      <c r="AX49" s="1"/>
      <c r="AY49" s="8410" t="s">
        <v>510</v>
      </c>
      <c r="AZ49" s="8411"/>
      <c r="BA49" s="8410" t="s">
        <v>516</v>
      </c>
      <c r="BB49" s="8411"/>
      <c r="BC49" s="8410" t="s">
        <v>518</v>
      </c>
      <c r="BD49" s="8411"/>
      <c r="BG49" s="769"/>
      <c r="BH49" s="658"/>
      <c r="BI49" s="658"/>
      <c r="BJ49" s="658"/>
      <c r="BK49" s="658"/>
      <c r="BL49" s="658"/>
      <c r="BM49" s="658"/>
      <c r="BN49" s="658"/>
      <c r="BO49" s="658"/>
      <c r="BP49" s="658"/>
    </row>
    <row r="50" spans="1:68" ht="14.25" customHeight="1">
      <c r="A50" s="1277"/>
      <c r="B50" s="8513"/>
      <c r="C50" s="8456"/>
      <c r="D50" s="2100" t="s">
        <v>2365</v>
      </c>
      <c r="E50" s="2126"/>
      <c r="F50" s="2126"/>
      <c r="G50" s="2126"/>
      <c r="H50" s="2126"/>
      <c r="I50" s="2126"/>
      <c r="J50" s="2126"/>
      <c r="K50" s="2126"/>
      <c r="L50" s="2126"/>
      <c r="M50" s="2126"/>
      <c r="N50" s="2126"/>
      <c r="O50" s="2126"/>
      <c r="P50" s="2126"/>
      <c r="Q50" s="2126"/>
      <c r="R50" s="2126"/>
      <c r="S50" s="4800"/>
      <c r="T50" s="8531"/>
      <c r="U50" s="8532"/>
      <c r="V50" s="8541"/>
      <c r="W50" s="8542"/>
      <c r="X50" s="8542"/>
      <c r="Y50" s="8542"/>
      <c r="Z50" s="8542"/>
      <c r="AA50" s="8542"/>
      <c r="AB50" s="8542"/>
      <c r="AC50" s="8543"/>
      <c r="AD50" s="8541"/>
      <c r="AE50" s="8542"/>
      <c r="AF50" s="8542"/>
      <c r="AG50" s="8542"/>
      <c r="AH50" s="8542"/>
      <c r="AI50" s="8543"/>
      <c r="AJ50" s="8541"/>
      <c r="AK50" s="8542"/>
      <c r="AL50" s="8542"/>
      <c r="AM50" s="8542"/>
      <c r="AN50" s="8542"/>
      <c r="AO50" s="8542"/>
      <c r="AP50" s="1277"/>
      <c r="AQ50" s="2875"/>
      <c r="AR50" s="2875"/>
      <c r="AS50" s="2875"/>
      <c r="AT50" s="2875"/>
      <c r="AU50" s="2875"/>
      <c r="AX50" s="1"/>
      <c r="AY50" s="250" t="s">
        <v>2366</v>
      </c>
      <c r="AZ50" s="250" t="s">
        <v>2367</v>
      </c>
      <c r="BA50" s="250" t="s">
        <v>2366</v>
      </c>
      <c r="BB50" s="250" t="s">
        <v>2367</v>
      </c>
      <c r="BC50" s="250" t="s">
        <v>2366</v>
      </c>
      <c r="BD50" s="250" t="s">
        <v>2367</v>
      </c>
      <c r="BG50" s="769"/>
      <c r="BH50" s="658"/>
      <c r="BI50" s="658"/>
      <c r="BJ50" s="658"/>
      <c r="BK50" s="658"/>
      <c r="BL50" s="658"/>
      <c r="BM50" s="658"/>
      <c r="BN50" s="658"/>
      <c r="BO50" s="658"/>
      <c r="BP50" s="658"/>
    </row>
    <row r="51" spans="1:68" ht="14.25" customHeight="1">
      <c r="A51" s="1277"/>
      <c r="B51" s="8513"/>
      <c r="C51" s="8456"/>
      <c r="D51" s="2100" t="s">
        <v>2368</v>
      </c>
      <c r="E51" s="2126"/>
      <c r="F51" s="2126"/>
      <c r="G51" s="2126"/>
      <c r="H51" s="2126"/>
      <c r="I51" s="2126"/>
      <c r="J51" s="2126"/>
      <c r="K51" s="2126"/>
      <c r="L51" s="2126"/>
      <c r="M51" s="2126"/>
      <c r="N51" s="2126"/>
      <c r="O51" s="2126"/>
      <c r="P51" s="2126"/>
      <c r="Q51" s="2126"/>
      <c r="R51" s="2126"/>
      <c r="S51" s="2198" t="s">
        <v>608</v>
      </c>
      <c r="T51" s="8518">
        <v>21</v>
      </c>
      <c r="U51" s="8519"/>
      <c r="V51" s="8529">
        <f>IF(AR51&lt;&gt;"",ROUND(AR51,0),ROUND(SUM(V30,V31,-V48),0))</f>
        <v>0</v>
      </c>
      <c r="W51" s="8413"/>
      <c r="X51" s="8413"/>
      <c r="Y51" s="8413"/>
      <c r="Z51" s="8413"/>
      <c r="AA51" s="8413"/>
      <c r="AB51" s="8413"/>
      <c r="AC51" s="8530"/>
      <c r="AD51" s="8529">
        <f>IF(AS51&lt;&gt;"",ROUND(AS51,0),ROUND(SUM(AD30,AD31,-AD48),0))</f>
        <v>0</v>
      </c>
      <c r="AE51" s="8413"/>
      <c r="AF51" s="8413"/>
      <c r="AG51" s="8413"/>
      <c r="AH51" s="8413"/>
      <c r="AI51" s="8530"/>
      <c r="AJ51" s="8529">
        <f>IF(AT51&lt;&gt;"",ROUND(AT51,0),ROUND(SUM(AJ30,AJ31,-AJ48),0))</f>
        <v>0</v>
      </c>
      <c r="AK51" s="8413"/>
      <c r="AL51" s="8413"/>
      <c r="AM51" s="8413"/>
      <c r="AN51" s="8413"/>
      <c r="AO51" s="8413"/>
      <c r="AP51" s="1277"/>
      <c r="AQ51" s="2875"/>
      <c r="AR51" s="777"/>
      <c r="AS51" s="777"/>
      <c r="AT51" s="777"/>
      <c r="AU51" s="2875"/>
      <c r="AX51" s="251" t="s">
        <v>2369</v>
      </c>
      <c r="AY51" s="249">
        <f>IF(V51&gt;0,V51,0)</f>
        <v>0</v>
      </c>
      <c r="AZ51" s="249">
        <f>IF(V51&lt;0,V51,0)</f>
        <v>0</v>
      </c>
      <c r="BA51" s="249">
        <f>IF(AD51&gt;0,AD51,0)</f>
        <v>0</v>
      </c>
      <c r="BB51" s="249">
        <f>IF(AD51&lt;0,AD51,0)</f>
        <v>0</v>
      </c>
      <c r="BC51" s="249">
        <f>IF(AJ51&gt;0,AJ51,0)</f>
        <v>0</v>
      </c>
      <c r="BD51" s="249">
        <f>IF(AJ51&lt;0,AJ51,0)</f>
        <v>0</v>
      </c>
      <c r="BG51" s="769"/>
      <c r="BH51" s="658"/>
      <c r="BI51" s="658"/>
      <c r="BJ51" s="658"/>
      <c r="BK51" s="658"/>
      <c r="BL51" s="658"/>
      <c r="BM51" s="658"/>
      <c r="BN51" s="658"/>
      <c r="BO51" s="658"/>
      <c r="BP51" s="658"/>
    </row>
    <row r="52" spans="1:68" ht="14.25" customHeight="1">
      <c r="A52" s="770"/>
      <c r="B52" s="8513">
        <v>22</v>
      </c>
      <c r="C52" s="8456"/>
      <c r="D52" s="2100" t="s">
        <v>2370</v>
      </c>
      <c r="E52" s="2126"/>
      <c r="F52" s="2126"/>
      <c r="G52" s="2126"/>
      <c r="H52" s="2126"/>
      <c r="I52" s="2126"/>
      <c r="J52" s="2126"/>
      <c r="K52" s="2126"/>
      <c r="L52" s="2126"/>
      <c r="M52" s="2126"/>
      <c r="N52" s="2126"/>
      <c r="O52" s="2126"/>
      <c r="P52" s="2126"/>
      <c r="Q52" s="2126"/>
      <c r="R52" s="2126"/>
      <c r="S52" s="4800"/>
      <c r="T52" s="8531"/>
      <c r="U52" s="8532"/>
      <c r="V52" s="8533" t="str">
        <f>IF(AND(V51&lt;&gt;"",V51&lt;0,$A52="",$AS52,$AT52),"See Form 8582.","")</f>
        <v/>
      </c>
      <c r="W52" s="8534"/>
      <c r="X52" s="8534"/>
      <c r="Y52" s="8534"/>
      <c r="Z52" s="8534"/>
      <c r="AA52" s="8534"/>
      <c r="AB52" s="8534"/>
      <c r="AC52" s="8535"/>
      <c r="AD52" s="8533" t="str">
        <f>IF(AND(AD51&lt;&gt;"",AD51&lt;0,$A52="",$AS52,$AT52),"See Form 8582.","")</f>
        <v/>
      </c>
      <c r="AE52" s="8534"/>
      <c r="AF52" s="8534"/>
      <c r="AG52" s="8534"/>
      <c r="AH52" s="8534"/>
      <c r="AI52" s="8534"/>
      <c r="AJ52" s="8533" t="str">
        <f>IF(AND(AJ51&lt;&gt;"",AJ51&lt;0,$A52="",$AS52,$AT52),"See Form 8582.","")</f>
        <v/>
      </c>
      <c r="AK52" s="8534"/>
      <c r="AL52" s="8534"/>
      <c r="AM52" s="8534"/>
      <c r="AN52" s="8534"/>
      <c r="AO52" s="8534"/>
      <c r="AP52" s="1277"/>
      <c r="AQ52" s="2875"/>
      <c r="AR52" s="6551">
        <f>'8582'!$AO$33</f>
        <v>150000</v>
      </c>
      <c r="AS52" s="6551" t="b">
        <f>OR(AND(File_Marr_Sep&lt;&gt;"",LivedApart,Adj_Gross_Inc&gt;AR52/2),Adj_Gross_Inc&gt;AR52)</f>
        <v>0</v>
      </c>
      <c r="AT52" s="6551" t="b">
        <f>OR(AND(V51&lt;&gt;"",V51&lt;0),AND(AD51&lt;&gt;"",AD51&lt;0),AND(AJ51&lt;&gt;"",AJ51&lt;0))</f>
        <v>0</v>
      </c>
      <c r="AU52" s="2875"/>
      <c r="AV52" t="b">
        <f>AND($A52="",$AS52,$AT52)</f>
        <v>0</v>
      </c>
      <c r="AX52" s="251" t="s">
        <v>2371</v>
      </c>
      <c r="AY52" s="4810" t="s">
        <v>369</v>
      </c>
      <c r="AZ52" s="249">
        <f>IF(W53&lt;&gt;"",-W53,0)</f>
        <v>0</v>
      </c>
      <c r="BA52" s="4810" t="s">
        <v>369</v>
      </c>
      <c r="BB52" s="249">
        <f>IF(AE53&lt;&gt;"",-AE53,0)</f>
        <v>0</v>
      </c>
      <c r="BC52" s="4810" t="s">
        <v>369</v>
      </c>
      <c r="BD52" s="249">
        <f>IF(AK53&lt;&gt;"",-AK53,0)</f>
        <v>0</v>
      </c>
      <c r="BG52" s="769"/>
      <c r="BH52" s="658"/>
      <c r="BI52" s="658"/>
      <c r="BJ52" s="658"/>
      <c r="BK52" s="658"/>
      <c r="BL52" s="658"/>
      <c r="BM52" s="658"/>
      <c r="BN52" s="658"/>
      <c r="BO52" s="658"/>
      <c r="BP52" s="658"/>
    </row>
    <row r="53" spans="1:68" ht="14.25" customHeight="1">
      <c r="A53" s="1277"/>
      <c r="B53" s="8513"/>
      <c r="C53" s="8456"/>
      <c r="D53" s="2100" t="s">
        <v>2372</v>
      </c>
      <c r="E53" s="2126"/>
      <c r="F53" s="2126"/>
      <c r="G53" s="2126"/>
      <c r="H53" s="2126"/>
      <c r="I53" s="2126"/>
      <c r="J53" s="2126"/>
      <c r="K53" s="2126"/>
      <c r="L53" s="2126"/>
      <c r="M53" s="2126"/>
      <c r="N53" s="2126"/>
      <c r="O53" s="2126"/>
      <c r="P53" s="2126"/>
      <c r="Q53" s="2126"/>
      <c r="R53" s="2126"/>
      <c r="S53" s="2198" t="s">
        <v>624</v>
      </c>
      <c r="T53" s="8518">
        <v>22</v>
      </c>
      <c r="U53" s="8519"/>
      <c r="V53" s="4811" t="s">
        <v>799</v>
      </c>
      <c r="W53" s="8413" t="str">
        <f>IF(AND(AR53&lt;0,AR53&lt;&gt;""),-ROUND(AR53,0),IF(AND(AR53&gt;=0,AR53&lt;&gt;""),ROUND(AR53,0),IF(AND(D21&lt;&gt;6,V51&lt;0),ROUND(-V51,0),"")))</f>
        <v/>
      </c>
      <c r="X53" s="8414"/>
      <c r="Y53" s="8414"/>
      <c r="Z53" s="8414"/>
      <c r="AA53" s="8414"/>
      <c r="AB53" s="8414"/>
      <c r="AC53" s="4802" t="s">
        <v>800</v>
      </c>
      <c r="AD53" s="4811" t="s">
        <v>799</v>
      </c>
      <c r="AE53" s="8413" t="str">
        <f>IF(AND(AS53&lt;0,AS53&lt;&gt;""),-ROUND(AS53,0),IF(AND(AS53&gt;=0,AS53&lt;&gt;""),ROUND(AS53,0),IF(AND(D22&lt;&gt;6,AD51&lt;0),ROUND(-AD51,0),"")))</f>
        <v/>
      </c>
      <c r="AF53" s="8414"/>
      <c r="AG53" s="8414"/>
      <c r="AH53" s="8414"/>
      <c r="AI53" s="4802" t="s">
        <v>800</v>
      </c>
      <c r="AJ53" s="4811" t="s">
        <v>799</v>
      </c>
      <c r="AK53" s="8413" t="str">
        <f>IF(AND(AT53&lt;0,AT53&lt;&gt;""),-ROUND(AT53,0),IF(AND(AT53&gt;=0,AT53&lt;&gt;""),ROUND(AT53,0),IF(AND(D23&lt;&gt;6,AJ51&lt;0),ROUND(-AJ51,0),"")))</f>
        <v/>
      </c>
      <c r="AL53" s="8414"/>
      <c r="AM53" s="8414"/>
      <c r="AN53" s="8414"/>
      <c r="AO53" s="4801" t="s">
        <v>800</v>
      </c>
      <c r="AP53" s="1277"/>
      <c r="AQ53" s="2875"/>
      <c r="AR53" s="777"/>
      <c r="AS53" s="777"/>
      <c r="AT53" s="777"/>
      <c r="AU53" s="2875"/>
      <c r="AV53" t="b">
        <f>AND($A52="",$AS52,$AT52)</f>
        <v>0</v>
      </c>
      <c r="AX53" s="251"/>
      <c r="AY53" s="251" t="s">
        <v>2373</v>
      </c>
      <c r="AZ53" s="249">
        <f>IF(D21=6,AZ51,0)</f>
        <v>0</v>
      </c>
      <c r="BB53" s="249">
        <f>IF(D22=6,BB51,0)</f>
        <v>0</v>
      </c>
      <c r="BD53" s="249">
        <f>IF(D23=6,BD51,0)</f>
        <v>0</v>
      </c>
      <c r="BG53" s="769"/>
      <c r="BH53" s="658"/>
      <c r="BI53" s="658"/>
      <c r="BJ53" s="658"/>
      <c r="BK53" s="658"/>
      <c r="BL53" s="658"/>
      <c r="BM53" s="658"/>
      <c r="BN53" s="658"/>
      <c r="BO53" s="658"/>
      <c r="BP53" s="658"/>
    </row>
    <row r="54" spans="1:68" ht="14.25" customHeight="1">
      <c r="A54" s="1277"/>
      <c r="B54" s="8513" t="s">
        <v>2374</v>
      </c>
      <c r="C54" s="8456"/>
      <c r="D54" s="2100" t="s">
        <v>2375</v>
      </c>
      <c r="E54" s="2126"/>
      <c r="F54" s="2126"/>
      <c r="G54" s="2126"/>
      <c r="H54" s="2126"/>
      <c r="I54" s="2126"/>
      <c r="J54" s="2126"/>
      <c r="K54" s="2126"/>
      <c r="L54" s="2126"/>
      <c r="M54" s="2126"/>
      <c r="N54" s="2126"/>
      <c r="O54" s="2126"/>
      <c r="P54" s="2126"/>
      <c r="Q54" s="2126"/>
      <c r="R54" s="2126"/>
      <c r="S54" s="2126"/>
      <c r="T54" s="2126"/>
      <c r="U54" s="2126"/>
      <c r="V54" s="2126"/>
      <c r="W54" s="2126"/>
      <c r="X54" s="2126"/>
      <c r="Y54" s="2126"/>
      <c r="Z54" s="2126"/>
      <c r="AA54" s="2198" t="s">
        <v>631</v>
      </c>
      <c r="AB54" s="8514" t="s">
        <v>2374</v>
      </c>
      <c r="AC54" s="8515"/>
      <c r="AD54" s="8529">
        <f>IF(AR54&lt;&gt;"",ROUND(AR54,0),ROUND(BC24,0))</f>
        <v>0</v>
      </c>
      <c r="AE54" s="8413"/>
      <c r="AF54" s="8413"/>
      <c r="AG54" s="8413"/>
      <c r="AH54" s="8413"/>
      <c r="AI54" s="8530"/>
      <c r="AJ54" s="1277"/>
      <c r="AK54" s="1277"/>
      <c r="AL54" s="1277"/>
      <c r="AM54" s="1277"/>
      <c r="AN54" s="1277"/>
      <c r="AO54" s="1277"/>
      <c r="AP54" s="1277"/>
      <c r="AQ54" s="2875"/>
      <c r="AR54" s="777"/>
      <c r="AS54" s="2875"/>
      <c r="AT54" s="2875"/>
      <c r="AU54" s="2875"/>
      <c r="AX54" s="1"/>
      <c r="AY54" s="251" t="s">
        <v>2376</v>
      </c>
      <c r="AZ54" s="249">
        <f>IF(D21&lt;&gt;6,AZ51,0)</f>
        <v>0</v>
      </c>
      <c r="BB54" s="249">
        <f>IF(D22&lt;&gt;6,BB51,0)</f>
        <v>0</v>
      </c>
      <c r="BD54" s="249">
        <f>IF(D23&lt;&gt;6,BD51,0)</f>
        <v>0</v>
      </c>
      <c r="BG54" s="769"/>
      <c r="BH54" s="658"/>
      <c r="BI54" s="658"/>
      <c r="BJ54" s="658"/>
      <c r="BK54" s="658"/>
      <c r="BL54" s="658"/>
      <c r="BM54" s="658"/>
      <c r="BN54" s="658"/>
      <c r="BO54" s="658"/>
      <c r="BP54" s="658"/>
    </row>
    <row r="55" spans="1:68" ht="14.25" customHeight="1">
      <c r="A55" s="1277"/>
      <c r="B55" s="8527" t="s">
        <v>592</v>
      </c>
      <c r="C55" s="8528"/>
      <c r="D55" s="2100" t="s">
        <v>2377</v>
      </c>
      <c r="E55" s="2126"/>
      <c r="F55" s="2126"/>
      <c r="G55" s="2126"/>
      <c r="H55" s="2126"/>
      <c r="I55" s="2126"/>
      <c r="J55" s="2126"/>
      <c r="K55" s="2126"/>
      <c r="L55" s="2126"/>
      <c r="M55" s="2126"/>
      <c r="N55" s="2126"/>
      <c r="O55" s="2126"/>
      <c r="P55" s="2126"/>
      <c r="Q55" s="2126"/>
      <c r="R55" s="2126"/>
      <c r="S55" s="2126"/>
      <c r="T55" s="2126"/>
      <c r="U55" s="2126"/>
      <c r="V55" s="2126"/>
      <c r="W55" s="2126"/>
      <c r="X55" s="2126"/>
      <c r="Y55" s="2126"/>
      <c r="Z55" s="2126"/>
      <c r="AA55" s="2198" t="s">
        <v>643</v>
      </c>
      <c r="AB55" s="8514" t="s">
        <v>2378</v>
      </c>
      <c r="AC55" s="8515"/>
      <c r="AD55" s="8529">
        <f>IF(AR55&lt;&gt;"",ROUND(AR55,0),ROUND(BC25,0))</f>
        <v>0</v>
      </c>
      <c r="AE55" s="8413"/>
      <c r="AF55" s="8413"/>
      <c r="AG55" s="8413"/>
      <c r="AH55" s="8413"/>
      <c r="AI55" s="8530"/>
      <c r="AJ55" s="1277"/>
      <c r="AK55" s="1277"/>
      <c r="AL55" s="1277"/>
      <c r="AM55" s="1277"/>
      <c r="AN55" s="1277"/>
      <c r="AO55" s="1277"/>
      <c r="AP55" s="1277"/>
      <c r="AQ55" s="2875"/>
      <c r="AR55" s="777"/>
      <c r="AS55" s="2875"/>
      <c r="AT55" s="2875"/>
      <c r="AU55" s="2875"/>
      <c r="BG55" s="769"/>
      <c r="BH55" s="658"/>
      <c r="BI55" s="658"/>
      <c r="BJ55" s="658"/>
      <c r="BK55" s="658"/>
      <c r="BL55" s="658"/>
      <c r="BM55" s="658"/>
      <c r="BN55" s="658"/>
      <c r="BO55" s="658"/>
      <c r="BP55" s="658"/>
    </row>
    <row r="56" spans="1:68" ht="14.25" customHeight="1">
      <c r="A56" s="1277"/>
      <c r="B56" s="8527" t="s">
        <v>595</v>
      </c>
      <c r="C56" s="8528"/>
      <c r="D56" s="2100" t="s">
        <v>2379</v>
      </c>
      <c r="E56" s="2126"/>
      <c r="F56" s="2126"/>
      <c r="G56" s="2126"/>
      <c r="H56" s="2126"/>
      <c r="I56" s="2126"/>
      <c r="J56" s="2126"/>
      <c r="K56" s="2126"/>
      <c r="L56" s="2126"/>
      <c r="M56" s="2126"/>
      <c r="N56" s="2126"/>
      <c r="O56" s="2126"/>
      <c r="P56" s="2126"/>
      <c r="Q56" s="2126"/>
      <c r="R56" s="2126"/>
      <c r="S56" s="2126"/>
      <c r="T56" s="2126"/>
      <c r="U56" s="2126"/>
      <c r="V56" s="2126"/>
      <c r="W56" s="2126"/>
      <c r="X56" s="2126"/>
      <c r="Y56" s="2126"/>
      <c r="Z56" s="2126"/>
      <c r="AA56" s="2198" t="s">
        <v>601</v>
      </c>
      <c r="AB56" s="8514" t="s">
        <v>2380</v>
      </c>
      <c r="AC56" s="8515"/>
      <c r="AD56" s="8529">
        <f>IF(AR56&lt;&gt;"",ROUND(AR56,0),ROUND(SUM(V40,AD40,AJ40),0))</f>
        <v>0</v>
      </c>
      <c r="AE56" s="8413"/>
      <c r="AF56" s="8413"/>
      <c r="AG56" s="8413"/>
      <c r="AH56" s="8413"/>
      <c r="AI56" s="8530"/>
      <c r="AJ56" s="1277"/>
      <c r="AK56" s="1277"/>
      <c r="AL56" s="1277"/>
      <c r="AM56" s="1277"/>
      <c r="AN56" s="1277"/>
      <c r="AO56" s="1277"/>
      <c r="AP56" s="1277"/>
      <c r="AQ56" s="2875"/>
      <c r="AR56" s="777"/>
      <c r="AS56" s="2875"/>
      <c r="AT56" s="2875"/>
      <c r="AU56" s="2875"/>
      <c r="BG56" s="769"/>
      <c r="BH56" s="658"/>
      <c r="BI56" s="658"/>
      <c r="BJ56" s="658"/>
      <c r="BK56" s="658"/>
      <c r="BL56" s="658"/>
      <c r="BM56" s="658"/>
      <c r="BN56" s="658"/>
      <c r="BO56" s="658"/>
      <c r="BP56" s="658"/>
    </row>
    <row r="57" spans="1:68" ht="14.25" customHeight="1">
      <c r="A57" s="1277"/>
      <c r="B57" s="8527" t="s">
        <v>599</v>
      </c>
      <c r="C57" s="8528"/>
      <c r="D57" s="2100" t="s">
        <v>2381</v>
      </c>
      <c r="E57" s="2126"/>
      <c r="F57" s="2126"/>
      <c r="G57" s="2126"/>
      <c r="H57" s="2126"/>
      <c r="I57" s="2126"/>
      <c r="J57" s="2126"/>
      <c r="K57" s="2126"/>
      <c r="L57" s="2126"/>
      <c r="M57" s="2126"/>
      <c r="N57" s="2126"/>
      <c r="O57" s="2126"/>
      <c r="P57" s="2126"/>
      <c r="Q57" s="2126"/>
      <c r="R57" s="2126"/>
      <c r="S57" s="2126"/>
      <c r="T57" s="2126"/>
      <c r="U57" s="2126"/>
      <c r="V57" s="2126"/>
      <c r="W57" s="2126"/>
      <c r="X57" s="2126"/>
      <c r="Y57" s="2126"/>
      <c r="Z57" s="2126"/>
      <c r="AA57" s="2198" t="s">
        <v>601</v>
      </c>
      <c r="AB57" s="8514" t="s">
        <v>2382</v>
      </c>
      <c r="AC57" s="8515"/>
      <c r="AD57" s="8529">
        <f>IF(AR57&lt;&gt;"",ROUND(AR57,0),ROUND(SUM(V46,AD46,AJ46),0))</f>
        <v>0</v>
      </c>
      <c r="AE57" s="8413"/>
      <c r="AF57" s="8413"/>
      <c r="AG57" s="8413"/>
      <c r="AH57" s="8413"/>
      <c r="AI57" s="8530"/>
      <c r="AJ57" s="1277"/>
      <c r="AK57" s="1277"/>
      <c r="AL57" s="1277"/>
      <c r="AM57" s="1277"/>
      <c r="AN57" s="1277"/>
      <c r="AO57" s="1277"/>
      <c r="AP57" s="1277"/>
      <c r="AQ57" s="2875"/>
      <c r="AR57" s="777"/>
      <c r="AS57" s="2875"/>
      <c r="AT57" s="2875"/>
      <c r="AU57" s="2875"/>
      <c r="BG57" s="769"/>
      <c r="BH57" s="658"/>
      <c r="BI57" s="658"/>
      <c r="BJ57" s="658"/>
      <c r="BK57" s="658"/>
      <c r="BL57" s="658"/>
      <c r="BM57" s="658"/>
      <c r="BN57" s="658"/>
      <c r="BO57" s="658"/>
      <c r="BP57" s="658"/>
    </row>
    <row r="58" spans="1:68" ht="14.25" customHeight="1">
      <c r="A58" s="1277"/>
      <c r="B58" s="8527" t="s">
        <v>603</v>
      </c>
      <c r="C58" s="8528"/>
      <c r="D58" s="2100" t="s">
        <v>2383</v>
      </c>
      <c r="E58" s="2126"/>
      <c r="F58" s="2126"/>
      <c r="G58" s="2126"/>
      <c r="H58" s="2126"/>
      <c r="I58" s="2126"/>
      <c r="J58" s="2126"/>
      <c r="K58" s="2126"/>
      <c r="L58" s="2126"/>
      <c r="M58" s="2126"/>
      <c r="N58" s="2126"/>
      <c r="O58" s="2126"/>
      <c r="P58" s="2126"/>
      <c r="Q58" s="2126"/>
      <c r="R58" s="2126"/>
      <c r="S58" s="2126"/>
      <c r="T58" s="2126"/>
      <c r="U58" s="2126"/>
      <c r="V58" s="2126"/>
      <c r="W58" s="2126"/>
      <c r="X58" s="2126"/>
      <c r="Y58" s="2126"/>
      <c r="Z58" s="2126"/>
      <c r="AA58" s="2198" t="s">
        <v>601</v>
      </c>
      <c r="AB58" s="8514" t="s">
        <v>2384</v>
      </c>
      <c r="AC58" s="8515"/>
      <c r="AD58" s="8529">
        <f>IF(AR58&lt;&gt;"",ROUND(AR58,0),ROUND(SUM(V48,AD48,AJ48),0))</f>
        <v>0</v>
      </c>
      <c r="AE58" s="8413"/>
      <c r="AF58" s="8413"/>
      <c r="AG58" s="8413"/>
      <c r="AH58" s="8413"/>
      <c r="AI58" s="8530"/>
      <c r="AJ58" s="1277"/>
      <c r="AK58" s="1277"/>
      <c r="AL58" s="1277"/>
      <c r="AM58" s="1277"/>
      <c r="AN58" s="1277"/>
      <c r="AO58" s="1277"/>
      <c r="AP58" s="1277"/>
      <c r="AQ58" s="2875"/>
      <c r="AR58" s="777"/>
      <c r="AS58" s="2875"/>
      <c r="AT58" s="2875"/>
      <c r="AU58" s="2875"/>
      <c r="BG58" s="769"/>
      <c r="BH58" s="658"/>
      <c r="BI58" s="658"/>
      <c r="BJ58" s="658"/>
      <c r="BK58" s="658"/>
      <c r="BL58" s="658"/>
      <c r="BM58" s="658"/>
      <c r="BN58" s="658"/>
      <c r="BO58" s="658"/>
      <c r="BP58" s="658"/>
    </row>
    <row r="59" spans="1:68" ht="14.25" customHeight="1">
      <c r="A59" s="1277"/>
      <c r="B59" s="8513">
        <v>24</v>
      </c>
      <c r="C59" s="8456"/>
      <c r="D59" s="2100" t="s">
        <v>2385</v>
      </c>
      <c r="E59" s="2126"/>
      <c r="F59" s="2126"/>
      <c r="G59" s="2126"/>
      <c r="H59" s="2126"/>
      <c r="I59" s="2126"/>
      <c r="J59" s="2126"/>
      <c r="K59" s="2126"/>
      <c r="L59" s="2126"/>
      <c r="M59" s="2126"/>
      <c r="N59" s="2126"/>
      <c r="O59" s="2126"/>
      <c r="P59" s="2126"/>
      <c r="Q59" s="2126"/>
      <c r="R59" s="2126"/>
      <c r="S59" s="2126"/>
      <c r="T59" s="2126"/>
      <c r="U59" s="2126"/>
      <c r="V59" s="2126"/>
      <c r="W59" s="2126"/>
      <c r="X59" s="2126"/>
      <c r="Y59" s="2126"/>
      <c r="Z59" s="2126"/>
      <c r="AA59" s="2126"/>
      <c r="AB59" s="2126"/>
      <c r="AC59" s="2126"/>
      <c r="AD59" s="2126"/>
      <c r="AE59" s="2126"/>
      <c r="AF59" s="2126"/>
      <c r="AG59" s="2198" t="s">
        <v>670</v>
      </c>
      <c r="AH59" s="8518">
        <v>24</v>
      </c>
      <c r="AI59" s="8519"/>
      <c r="AJ59" s="8516">
        <f>IF(AR59&lt;&gt;"",ROUND(AR59,0),ROUND(SUM(AY51,BA51,BC51),0))</f>
        <v>0</v>
      </c>
      <c r="AK59" s="8517"/>
      <c r="AL59" s="8517"/>
      <c r="AM59" s="8517"/>
      <c r="AN59" s="8517"/>
      <c r="AO59" s="8517"/>
      <c r="AP59" s="1277"/>
      <c r="AQ59" s="2875"/>
      <c r="AR59" s="777"/>
      <c r="AS59" s="2875"/>
      <c r="AT59" s="2875"/>
      <c r="AU59" s="2875"/>
      <c r="BG59" s="769"/>
      <c r="BH59" s="658"/>
      <c r="BI59" s="658"/>
      <c r="BJ59" s="658"/>
      <c r="BK59" s="658"/>
      <c r="BL59" s="658"/>
      <c r="BM59" s="658"/>
      <c r="BN59" s="658"/>
      <c r="BO59" s="658"/>
      <c r="BP59" s="658"/>
    </row>
    <row r="60" spans="1:68" ht="14.25" customHeight="1">
      <c r="A60" s="1277"/>
      <c r="B60" s="8513">
        <v>25</v>
      </c>
      <c r="C60" s="8456"/>
      <c r="D60" s="4812" t="s">
        <v>2386</v>
      </c>
      <c r="E60" s="2126"/>
      <c r="F60" s="2126"/>
      <c r="G60" s="2126"/>
      <c r="H60" s="2126"/>
      <c r="I60" s="2126"/>
      <c r="J60" s="2126"/>
      <c r="K60" s="2126"/>
      <c r="L60" s="2126"/>
      <c r="M60" s="2126"/>
      <c r="N60" s="2126"/>
      <c r="O60" s="2126"/>
      <c r="P60" s="2126"/>
      <c r="Q60" s="2126"/>
      <c r="R60" s="2126"/>
      <c r="S60" s="2126"/>
      <c r="T60" s="2126"/>
      <c r="U60" s="2126"/>
      <c r="V60" s="2126"/>
      <c r="W60" s="2126"/>
      <c r="X60" s="2126"/>
      <c r="Y60" s="2126"/>
      <c r="Z60" s="2126"/>
      <c r="AA60" s="2126"/>
      <c r="AB60" s="2126"/>
      <c r="AC60" s="2126"/>
      <c r="AD60" s="2126"/>
      <c r="AE60" s="2126"/>
      <c r="AF60" s="2126"/>
      <c r="AG60" s="2126"/>
      <c r="AH60" s="8514">
        <v>25</v>
      </c>
      <c r="AI60" s="8515"/>
      <c r="AJ60" s="4803" t="s">
        <v>799</v>
      </c>
      <c r="AK60" s="8415">
        <f>-AK61</f>
        <v>0</v>
      </c>
      <c r="AL60" s="8416"/>
      <c r="AM60" s="8416"/>
      <c r="AN60" s="8416"/>
      <c r="AO60" s="4804" t="s">
        <v>800</v>
      </c>
      <c r="AP60" s="1277"/>
      <c r="AQ60" s="2875"/>
      <c r="AR60" s="777"/>
      <c r="AS60" s="2875"/>
      <c r="AT60" s="2875"/>
      <c r="AU60" s="2875"/>
      <c r="BG60" s="769"/>
      <c r="BH60" s="658"/>
      <c r="BI60" s="658"/>
      <c r="BJ60" s="658"/>
      <c r="BK60" s="658"/>
      <c r="BL60" s="658"/>
      <c r="BM60" s="658"/>
      <c r="BN60" s="658"/>
      <c r="BO60" s="658"/>
      <c r="BP60" s="658"/>
    </row>
    <row r="61" spans="1:68" ht="14.25" customHeight="1">
      <c r="A61" s="1277"/>
      <c r="B61" s="8513">
        <v>26</v>
      </c>
      <c r="C61" s="8456"/>
      <c r="D61" s="2100" t="s">
        <v>2387</v>
      </c>
      <c r="E61" s="2126"/>
      <c r="F61" s="2126"/>
      <c r="G61" s="2126"/>
      <c r="H61" s="2126"/>
      <c r="I61" s="2126"/>
      <c r="J61" s="2126"/>
      <c r="K61" s="2126"/>
      <c r="L61" s="2126"/>
      <c r="M61" s="2126"/>
      <c r="N61" s="2126"/>
      <c r="O61" s="2126"/>
      <c r="P61" s="2126"/>
      <c r="Q61" s="2126"/>
      <c r="R61" s="2126"/>
      <c r="S61" s="2126"/>
      <c r="T61" s="775"/>
      <c r="U61" s="775"/>
      <c r="V61" s="4808"/>
      <c r="W61" s="4808"/>
      <c r="X61" s="4808"/>
      <c r="Y61" s="4808"/>
      <c r="Z61" s="4808"/>
      <c r="AA61" s="4808"/>
      <c r="AB61" s="4808"/>
      <c r="AC61" s="4808"/>
      <c r="AD61" s="4808"/>
      <c r="AE61" s="4808"/>
      <c r="AF61" s="4808"/>
      <c r="AG61" s="4808"/>
      <c r="AH61" s="4805"/>
      <c r="AI61" s="4806"/>
      <c r="AJ61" s="4808"/>
      <c r="AK61" s="8524">
        <f>IF(AND(AR60&lt;&gt;"",AR60&gt;=0),-ROUND(AR60,0),IF(AND(AR60&lt;&gt;"",AR60&lt;0),ROUND(AR60,0),SUM(AZ52,AZ53,BB52,BB53,BD52,BD53)))</f>
        <v>0</v>
      </c>
      <c r="AL61" s="8524"/>
      <c r="AM61" s="8524"/>
      <c r="AN61" s="8524"/>
      <c r="AO61" s="4808"/>
      <c r="AP61" s="1277"/>
      <c r="AQ61" s="2875"/>
      <c r="AR61" s="2875"/>
      <c r="AS61" s="2875"/>
      <c r="AT61" s="2875"/>
      <c r="AU61" s="2875"/>
      <c r="BG61" s="769"/>
      <c r="BH61" s="658"/>
      <c r="BI61" s="658"/>
      <c r="BJ61" s="658"/>
      <c r="BK61" s="658"/>
      <c r="BL61" s="658"/>
      <c r="BM61" s="658"/>
      <c r="BN61" s="658"/>
      <c r="BO61" s="658"/>
      <c r="BP61" s="658"/>
    </row>
    <row r="62" spans="1:68" ht="14.25" customHeight="1">
      <c r="A62" s="1277"/>
      <c r="B62" s="8513"/>
      <c r="C62" s="8456"/>
      <c r="D62" s="2100" t="s">
        <v>2388</v>
      </c>
      <c r="E62" s="2126"/>
      <c r="F62" s="2126"/>
      <c r="G62" s="2126"/>
      <c r="H62" s="2126"/>
      <c r="I62" s="2126"/>
      <c r="J62" s="2126"/>
      <c r="K62" s="2126"/>
      <c r="L62" s="2126"/>
      <c r="M62" s="2126"/>
      <c r="N62" s="2126"/>
      <c r="O62" s="2126"/>
      <c r="P62" s="2126"/>
      <c r="Q62" s="2126"/>
      <c r="R62" s="2126"/>
      <c r="S62" s="2126"/>
      <c r="T62" s="775"/>
      <c r="U62" s="775"/>
      <c r="V62" s="4808"/>
      <c r="W62" s="4808"/>
      <c r="X62" s="4808"/>
      <c r="Y62" s="4808"/>
      <c r="Z62" s="4808"/>
      <c r="AA62" s="4808"/>
      <c r="AB62" s="4808"/>
      <c r="AC62" s="4808"/>
      <c r="AD62" s="4808"/>
      <c r="AE62" s="4808"/>
      <c r="AF62" s="4808"/>
      <c r="AG62" s="4808"/>
      <c r="AH62" s="4807"/>
      <c r="AI62" s="4809"/>
      <c r="AJ62" s="4808"/>
      <c r="AK62" s="4808"/>
      <c r="AL62" s="4808"/>
      <c r="AM62" s="4808"/>
      <c r="AN62" s="4808"/>
      <c r="AO62" s="4808"/>
      <c r="AP62" s="1277"/>
      <c r="AQ62" s="2875"/>
      <c r="AR62" s="2875"/>
      <c r="AS62" s="2875"/>
      <c r="AT62" s="2875"/>
      <c r="AU62" s="2875"/>
      <c r="BG62" s="769"/>
      <c r="BH62" s="658"/>
      <c r="BI62" s="658"/>
      <c r="BJ62" s="658"/>
      <c r="BK62" s="658"/>
      <c r="BL62" s="658"/>
      <c r="BM62" s="658"/>
      <c r="BN62" s="658"/>
      <c r="BO62" s="658"/>
      <c r="BP62" s="658"/>
    </row>
    <row r="63" spans="1:68" ht="14.25" customHeight="1" thickBot="1">
      <c r="A63" s="1277"/>
      <c r="B63" s="4813"/>
      <c r="C63" s="4814"/>
      <c r="D63" s="4815" t="s">
        <v>2389</v>
      </c>
      <c r="E63" s="4816"/>
      <c r="F63" s="4816"/>
      <c r="G63" s="4816"/>
      <c r="H63" s="4816"/>
      <c r="I63" s="4816"/>
      <c r="J63" s="4816"/>
      <c r="K63" s="4816"/>
      <c r="L63" s="4816"/>
      <c r="M63" s="4816"/>
      <c r="N63" s="4816"/>
      <c r="O63" s="4816"/>
      <c r="P63" s="4816"/>
      <c r="Q63" s="4816"/>
      <c r="R63" s="4816"/>
      <c r="S63" s="4816"/>
      <c r="T63" s="4816"/>
      <c r="U63" s="4816"/>
      <c r="V63" s="4816"/>
      <c r="W63" s="4816"/>
      <c r="X63" s="4816"/>
      <c r="Y63" s="4816"/>
      <c r="Z63" s="4816"/>
      <c r="AA63" s="4816"/>
      <c r="AB63" s="4817"/>
      <c r="AC63" s="4817"/>
      <c r="AD63" s="4818"/>
      <c r="AE63" s="4818"/>
      <c r="AF63" s="4818"/>
      <c r="AG63" s="4533" t="s">
        <v>2390</v>
      </c>
      <c r="AH63" s="8520">
        <v>26</v>
      </c>
      <c r="AI63" s="8521"/>
      <c r="AJ63" s="8522">
        <f>IF(AR63&lt;&gt;"",ROUND(AR63,0),SUM(AJ59,AK61))</f>
        <v>0</v>
      </c>
      <c r="AK63" s="8523"/>
      <c r="AL63" s="8523"/>
      <c r="AM63" s="8523"/>
      <c r="AN63" s="8523"/>
      <c r="AO63" s="8523"/>
      <c r="AP63" s="1277"/>
      <c r="AQ63" s="2875"/>
      <c r="AR63" s="776"/>
      <c r="AS63" s="2875"/>
      <c r="AT63" s="2875"/>
      <c r="AU63" s="2875"/>
      <c r="BG63" s="769"/>
      <c r="BH63" s="658"/>
      <c r="BI63" s="658"/>
      <c r="BJ63" s="658"/>
      <c r="BK63" s="658"/>
      <c r="BL63" s="658"/>
      <c r="BM63" s="658"/>
      <c r="BN63" s="658"/>
      <c r="BO63" s="658"/>
      <c r="BP63" s="658"/>
    </row>
    <row r="64" spans="1:68" ht="14.25" customHeight="1">
      <c r="A64" s="1277"/>
      <c r="B64" s="4819" t="s">
        <v>2075</v>
      </c>
      <c r="C64" s="4820"/>
      <c r="D64" s="2100"/>
      <c r="E64" s="2126"/>
      <c r="F64" s="2126"/>
      <c r="G64" s="2126"/>
      <c r="H64" s="2126"/>
      <c r="I64" s="2126"/>
      <c r="J64" s="2126"/>
      <c r="K64" s="2126"/>
      <c r="L64" s="2126"/>
      <c r="M64" s="2126"/>
      <c r="N64" s="2126"/>
      <c r="O64" s="2126"/>
      <c r="P64" s="2126"/>
      <c r="Q64" s="2126"/>
      <c r="R64" s="2126"/>
      <c r="S64" s="2126"/>
      <c r="T64" s="2126"/>
      <c r="U64" s="2126"/>
      <c r="V64" s="2126"/>
      <c r="W64" s="2126"/>
      <c r="X64" s="2126"/>
      <c r="Y64" s="2126" t="s">
        <v>2391</v>
      </c>
      <c r="Z64" s="2126"/>
      <c r="AA64" s="2126"/>
      <c r="AB64" s="775"/>
      <c r="AC64" s="775"/>
      <c r="AD64" s="4808"/>
      <c r="AE64" s="4808"/>
      <c r="AF64" s="4808"/>
      <c r="AG64" s="4808"/>
      <c r="AH64" s="4808"/>
      <c r="AI64" s="4808"/>
      <c r="AJ64" s="253"/>
      <c r="AK64" s="1401" t="str">
        <f>"Schedule E (Form 1040) "&amp;TaxYear</f>
        <v>Schedule E (Form 1040) 2025</v>
      </c>
      <c r="AL64" s="253"/>
      <c r="AM64" s="253"/>
      <c r="AN64" s="253"/>
      <c r="AO64" s="1061" t="s">
        <v>6386</v>
      </c>
      <c r="AP64" s="1277"/>
      <c r="AQ64" s="2875"/>
      <c r="AR64" s="2875"/>
      <c r="AS64" s="2875"/>
      <c r="AT64" s="2875"/>
      <c r="AU64" s="2875"/>
      <c r="BG64" s="769"/>
      <c r="BH64" s="658"/>
      <c r="BI64" s="658"/>
      <c r="BJ64" s="658"/>
      <c r="BK64" s="658"/>
      <c r="BL64" s="658"/>
      <c r="BM64" s="658"/>
      <c r="BN64" s="658"/>
      <c r="BO64" s="658"/>
      <c r="BP64" s="658"/>
    </row>
    <row r="65" spans="1:69" ht="21" customHeight="1">
      <c r="A65" s="1277"/>
      <c r="B65" s="462" t="str">
        <f>"Schedule E (Form 1040) "&amp;TaxYear</f>
        <v>Schedule E (Form 1040) 2025</v>
      </c>
      <c r="C65" s="413"/>
      <c r="D65" s="413"/>
      <c r="E65" s="413"/>
      <c r="F65" s="413"/>
      <c r="G65" s="413"/>
      <c r="H65" s="413"/>
      <c r="I65" s="4821"/>
      <c r="J65" s="413"/>
      <c r="K65" s="413"/>
      <c r="L65" s="413"/>
      <c r="M65" s="413"/>
      <c r="N65" s="413"/>
      <c r="O65" s="413"/>
      <c r="P65" s="4822"/>
      <c r="Q65" s="413"/>
      <c r="R65" s="413"/>
      <c r="S65" s="413"/>
      <c r="T65" s="413"/>
      <c r="U65" s="413"/>
      <c r="V65" s="413"/>
      <c r="W65" s="413"/>
      <c r="X65" s="413"/>
      <c r="Y65" s="413"/>
      <c r="Z65" s="413"/>
      <c r="AA65" s="462" t="s">
        <v>2118</v>
      </c>
      <c r="AB65" s="413"/>
      <c r="AC65" s="413"/>
      <c r="AD65" s="413"/>
      <c r="AE65" s="413"/>
      <c r="AF65" s="413"/>
      <c r="AG65" s="8400">
        <v>13</v>
      </c>
      <c r="AH65" s="8400"/>
      <c r="AI65" s="413"/>
      <c r="AJ65" s="413"/>
      <c r="AK65" s="413"/>
      <c r="AL65" s="413"/>
      <c r="AM65" s="413"/>
      <c r="AN65" s="413"/>
      <c r="AO65" s="4823" t="s">
        <v>867</v>
      </c>
      <c r="AP65" s="1277"/>
      <c r="BG65" s="769"/>
      <c r="BH65" s="658"/>
      <c r="BI65" s="658"/>
      <c r="BJ65" s="658"/>
      <c r="BK65" s="658"/>
      <c r="BL65" s="658"/>
      <c r="BM65" s="658"/>
      <c r="BN65" s="658"/>
      <c r="BO65" s="658"/>
      <c r="BP65" s="658"/>
    </row>
    <row r="66" spans="1:69" ht="12.75" customHeight="1">
      <c r="A66" s="1277"/>
      <c r="B66" s="504" t="s">
        <v>2392</v>
      </c>
      <c r="C66" s="504"/>
      <c r="D66" s="504"/>
      <c r="E66" s="504"/>
      <c r="F66" s="504"/>
      <c r="G66" s="504"/>
      <c r="H66" s="504" t="s">
        <v>2393</v>
      </c>
      <c r="I66" s="504"/>
      <c r="J66" s="253"/>
      <c r="K66" s="253"/>
      <c r="L66" s="253"/>
      <c r="M66" s="253"/>
      <c r="N66" s="253"/>
      <c r="O66" s="253"/>
      <c r="P66" s="253"/>
      <c r="Q66" s="253"/>
      <c r="R66" s="253"/>
      <c r="S66" s="253"/>
      <c r="T66" s="253"/>
      <c r="U66" s="253"/>
      <c r="V66" s="253"/>
      <c r="W66" s="253"/>
      <c r="X66" s="253"/>
      <c r="Y66" s="253"/>
      <c r="Z66" s="253"/>
      <c r="AA66" s="253"/>
      <c r="AB66" s="253"/>
      <c r="AC66" s="253"/>
      <c r="AD66" s="253"/>
      <c r="AE66" s="253"/>
      <c r="AF66" s="8525" t="s">
        <v>549</v>
      </c>
      <c r="AG66" s="8526"/>
      <c r="AH66" s="8526"/>
      <c r="AI66" s="8526"/>
      <c r="AJ66" s="8526"/>
      <c r="AK66" s="8526"/>
      <c r="AL66" s="8526"/>
      <c r="AM66" s="8526"/>
      <c r="AN66" s="8526"/>
      <c r="AO66" s="8526"/>
      <c r="AP66" s="1277"/>
      <c r="AR66" s="304" t="b">
        <f>OR(AND(AF67&lt;&gt;"",AF67=AG8),AND(B8&lt;&gt;"",B67&lt;&gt;""))</f>
        <v>0</v>
      </c>
      <c r="BG66" s="769"/>
      <c r="BH66" s="658"/>
      <c r="BI66" s="658"/>
      <c r="BJ66" s="658"/>
      <c r="BK66" s="658"/>
      <c r="BL66" s="658"/>
      <c r="BM66" s="658"/>
      <c r="BN66" s="658"/>
      <c r="BO66" s="658"/>
      <c r="BP66" s="658"/>
    </row>
    <row r="67" spans="1:69" ht="16.5" customHeight="1">
      <c r="A67" s="1277"/>
      <c r="B67" s="8425"/>
      <c r="C67" s="8425"/>
      <c r="D67" s="8425"/>
      <c r="E67" s="8425"/>
      <c r="F67" s="8425"/>
      <c r="G67" s="8425"/>
      <c r="H67" s="8425"/>
      <c r="I67" s="8425"/>
      <c r="J67" s="8425"/>
      <c r="K67" s="8425"/>
      <c r="L67" s="8425"/>
      <c r="M67" s="8425"/>
      <c r="N67" s="8425"/>
      <c r="O67" s="8425"/>
      <c r="P67" s="8425"/>
      <c r="Q67" s="8425"/>
      <c r="R67" s="8425"/>
      <c r="S67" s="8425"/>
      <c r="T67" s="8425"/>
      <c r="U67" s="8425"/>
      <c r="V67" s="8425"/>
      <c r="W67" s="8425"/>
      <c r="X67" s="8425"/>
      <c r="Y67" s="8425"/>
      <c r="Z67" s="8425"/>
      <c r="AA67" s="8425"/>
      <c r="AB67" s="8425"/>
      <c r="AC67" s="8425"/>
      <c r="AD67" s="8425"/>
      <c r="AE67" s="8426"/>
      <c r="AF67" s="7110"/>
      <c r="AG67" s="7111"/>
      <c r="AH67" s="7111"/>
      <c r="AI67" s="7111"/>
      <c r="AJ67" s="7111"/>
      <c r="AK67" s="7111"/>
      <c r="AL67" s="7111"/>
      <c r="AM67" s="7111"/>
      <c r="AN67" s="7111"/>
      <c r="AO67" s="7111"/>
      <c r="AP67" s="770"/>
      <c r="AQ67" s="141" t="str">
        <f>IF($AR66,"Hide emphasis.","")</f>
        <v/>
      </c>
      <c r="AR67" s="141"/>
      <c r="BG67" s="769"/>
      <c r="BH67" s="658"/>
      <c r="BI67" s="658"/>
      <c r="BJ67" s="658"/>
      <c r="BK67" s="658"/>
      <c r="BL67" s="658"/>
      <c r="BM67" s="658"/>
      <c r="BN67" s="658"/>
      <c r="BO67" s="658"/>
      <c r="BP67" s="658"/>
    </row>
    <row r="68" spans="1:69" ht="15" customHeight="1">
      <c r="A68" s="1277"/>
      <c r="B68" s="511" t="s">
        <v>2453</v>
      </c>
      <c r="C68" s="253"/>
      <c r="D68" s="253"/>
      <c r="E68" s="253"/>
      <c r="F68" s="253"/>
      <c r="G68" s="253"/>
      <c r="H68" s="253"/>
      <c r="I68" s="253"/>
      <c r="J68" s="253"/>
      <c r="K68" s="253"/>
      <c r="L68" s="253"/>
      <c r="M68" s="253"/>
      <c r="N68" s="253"/>
      <c r="O68" s="253"/>
      <c r="P68" s="253"/>
      <c r="Q68" s="253"/>
      <c r="R68" s="253"/>
      <c r="S68" s="253"/>
      <c r="T68" s="253"/>
      <c r="U68" s="253"/>
      <c r="V68" s="253"/>
      <c r="W68" s="253"/>
      <c r="X68" s="253"/>
      <c r="Y68" s="253"/>
      <c r="Z68" s="253"/>
      <c r="AA68" s="253"/>
      <c r="AB68" s="253"/>
      <c r="AC68" s="253"/>
      <c r="AD68" s="253"/>
      <c r="AE68" s="253"/>
      <c r="AF68" s="253"/>
      <c r="AG68" s="253"/>
      <c r="AH68" s="253"/>
      <c r="AI68" s="253"/>
      <c r="AJ68" s="253"/>
      <c r="AK68" s="253"/>
      <c r="AL68" s="253"/>
      <c r="AM68" s="253"/>
      <c r="AN68" s="253"/>
      <c r="AO68" s="253"/>
      <c r="AP68" s="1277"/>
      <c r="BG68" s="769"/>
      <c r="BH68" s="658"/>
      <c r="BI68" s="658"/>
      <c r="BJ68" s="658"/>
      <c r="BK68" s="658"/>
      <c r="BL68" s="658"/>
      <c r="BM68" s="658"/>
      <c r="BN68" s="658"/>
      <c r="BO68" s="658"/>
      <c r="BP68" s="658"/>
    </row>
    <row r="69" spans="1:69" s="1405" customFormat="1" ht="17.25" customHeight="1">
      <c r="A69" s="2119"/>
      <c r="B69" s="8427" t="s">
        <v>868</v>
      </c>
      <c r="C69" s="8427"/>
      <c r="D69" s="8428"/>
      <c r="E69" s="2761"/>
      <c r="F69" s="4758" t="s">
        <v>2395</v>
      </c>
      <c r="G69" s="2761"/>
      <c r="H69" s="2761"/>
      <c r="I69" s="2761"/>
      <c r="J69" s="2761"/>
      <c r="K69" s="2761"/>
      <c r="L69" s="2761"/>
      <c r="M69" s="2761"/>
      <c r="N69" s="2761"/>
      <c r="O69" s="2761"/>
      <c r="P69" s="2761"/>
      <c r="Q69" s="2761"/>
      <c r="R69" s="2761"/>
      <c r="S69" s="2761"/>
      <c r="T69" s="2761"/>
      <c r="U69" s="2761"/>
      <c r="V69" s="2761"/>
      <c r="W69" s="2761"/>
      <c r="X69" s="2354"/>
      <c r="Y69" s="2761"/>
      <c r="Z69" s="2761"/>
      <c r="AA69" s="2761"/>
      <c r="AB69" s="2761"/>
      <c r="AC69" s="2761"/>
      <c r="AD69" s="2761"/>
      <c r="AE69" s="2761"/>
      <c r="AF69" s="2761"/>
      <c r="AG69" s="2761"/>
      <c r="AH69" s="2761"/>
      <c r="AI69" s="2761"/>
      <c r="AJ69" s="2761"/>
      <c r="AK69" s="2761"/>
      <c r="AL69" s="2761"/>
      <c r="AM69" s="2761"/>
      <c r="AN69" s="2761"/>
      <c r="AO69" s="2761"/>
      <c r="AP69" s="1277"/>
      <c r="AX69"/>
      <c r="AY69"/>
      <c r="AZ69"/>
      <c r="BA69"/>
      <c r="BB69"/>
      <c r="BC69"/>
      <c r="BD69"/>
      <c r="BG69" s="769"/>
      <c r="BH69" s="658"/>
      <c r="BI69" s="658"/>
      <c r="BJ69" s="658"/>
      <c r="BK69" s="658"/>
      <c r="BL69" s="658"/>
      <c r="BM69" s="658"/>
      <c r="BN69" s="658"/>
      <c r="BO69" s="658"/>
      <c r="BP69" s="658"/>
      <c r="BQ69" s="815"/>
    </row>
    <row r="70" spans="1:69" ht="12.75" customHeight="1">
      <c r="A70" s="1277"/>
      <c r="B70" s="253"/>
      <c r="C70" s="253"/>
      <c r="D70" s="253"/>
      <c r="E70" s="253"/>
      <c r="F70" s="344" t="s">
        <v>2396</v>
      </c>
      <c r="G70" s="253"/>
      <c r="H70" s="253"/>
      <c r="I70" s="253"/>
      <c r="J70" s="253"/>
      <c r="K70" s="253"/>
      <c r="L70" s="253"/>
      <c r="M70" s="253"/>
      <c r="N70" s="253"/>
      <c r="O70" s="253"/>
      <c r="P70" s="253"/>
      <c r="Q70" s="253"/>
      <c r="R70" s="253"/>
      <c r="S70" s="253"/>
      <c r="T70" s="253"/>
      <c r="U70" s="253"/>
      <c r="V70" s="253"/>
      <c r="W70" s="253"/>
      <c r="X70" s="253"/>
      <c r="Y70" s="253"/>
      <c r="Z70" s="253"/>
      <c r="AA70" s="253"/>
      <c r="AB70" s="253"/>
      <c r="AC70" s="253"/>
      <c r="AD70" s="253"/>
      <c r="AE70" s="253"/>
      <c r="AF70" s="253"/>
      <c r="AG70" s="253"/>
      <c r="AH70" s="253"/>
      <c r="AI70" s="253"/>
      <c r="AJ70" s="253"/>
      <c r="AK70" s="253"/>
      <c r="AL70" s="253"/>
      <c r="AM70" s="253"/>
      <c r="AN70" s="253"/>
      <c r="AO70" s="253"/>
      <c r="AP70" s="1277"/>
      <c r="BG70" s="769"/>
      <c r="BH70" s="658"/>
      <c r="BI70" s="658"/>
      <c r="BJ70" s="658"/>
      <c r="BK70" s="658"/>
      <c r="BL70" s="658"/>
      <c r="BM70" s="658"/>
      <c r="BN70" s="658"/>
      <c r="BO70" s="658"/>
      <c r="BP70" s="658"/>
    </row>
    <row r="71" spans="1:69" ht="12.75" customHeight="1">
      <c r="A71" s="1277"/>
      <c r="B71" s="253"/>
      <c r="C71" s="253"/>
      <c r="D71" s="253"/>
      <c r="E71" s="253"/>
      <c r="F71" s="344" t="s">
        <v>2397</v>
      </c>
      <c r="G71" s="253"/>
      <c r="H71" s="253"/>
      <c r="I71" s="253"/>
      <c r="J71" s="253"/>
      <c r="K71" s="253"/>
      <c r="L71" s="253"/>
      <c r="M71" s="253"/>
      <c r="N71" s="253"/>
      <c r="O71" s="253"/>
      <c r="P71" s="253"/>
      <c r="Q71" s="253"/>
      <c r="R71" s="253"/>
      <c r="S71" s="253"/>
      <c r="T71" s="253"/>
      <c r="U71" s="253"/>
      <c r="V71" s="253"/>
      <c r="W71" s="253"/>
      <c r="X71" s="253"/>
      <c r="Y71" s="253"/>
      <c r="Z71" s="253"/>
      <c r="AA71" s="253"/>
      <c r="AB71" s="253"/>
      <c r="AC71" s="253"/>
      <c r="AD71" s="253"/>
      <c r="AE71" s="253"/>
      <c r="AF71" s="253"/>
      <c r="AG71" s="253"/>
      <c r="AH71" s="253"/>
      <c r="AI71" s="253"/>
      <c r="AJ71" s="253"/>
      <c r="AK71" s="253"/>
      <c r="AL71" s="253"/>
      <c r="AM71" s="253"/>
      <c r="AN71" s="253"/>
      <c r="AO71" s="253"/>
      <c r="AP71" s="1277"/>
      <c r="AX71" s="1405"/>
      <c r="AY71" s="1405"/>
      <c r="AZ71" s="1405"/>
      <c r="BA71" s="1405"/>
      <c r="BB71" s="1405"/>
      <c r="BC71" s="1405"/>
      <c r="BD71" s="1405"/>
      <c r="BG71" s="769"/>
      <c r="BH71" s="658"/>
      <c r="BI71" s="658"/>
      <c r="BJ71" s="658"/>
      <c r="BK71" s="658"/>
      <c r="BL71" s="658"/>
      <c r="BM71" s="658"/>
      <c r="BN71" s="658"/>
      <c r="BO71" s="658"/>
      <c r="BP71" s="658"/>
    </row>
    <row r="72" spans="1:69" ht="12.75" customHeight="1">
      <c r="A72" s="1277"/>
      <c r="B72" s="413"/>
      <c r="C72" s="413"/>
      <c r="D72" s="413"/>
      <c r="E72" s="413"/>
      <c r="F72" s="569" t="s">
        <v>6223</v>
      </c>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1277"/>
      <c r="BG72" s="769"/>
      <c r="BH72" s="658"/>
      <c r="BI72" s="658"/>
      <c r="BJ72" s="658"/>
      <c r="BK72" s="658"/>
      <c r="BL72" s="658"/>
      <c r="BM72" s="658"/>
      <c r="BN72" s="658"/>
      <c r="BO72" s="658"/>
      <c r="BP72" s="658"/>
    </row>
    <row r="73" spans="1:69" ht="18.75" customHeight="1">
      <c r="A73" s="1277"/>
      <c r="B73" s="8433">
        <v>27</v>
      </c>
      <c r="C73" s="7091"/>
      <c r="D73" s="253"/>
      <c r="E73" s="511" t="s">
        <v>2398</v>
      </c>
      <c r="F73" s="344"/>
      <c r="G73" s="253"/>
      <c r="H73" s="253"/>
      <c r="I73" s="253"/>
      <c r="J73" s="253"/>
      <c r="K73" s="253"/>
      <c r="L73" s="253"/>
      <c r="M73" s="253"/>
      <c r="N73" s="253"/>
      <c r="O73" s="253"/>
      <c r="P73" s="253"/>
      <c r="Q73" s="253"/>
      <c r="R73" s="253"/>
      <c r="S73" s="253"/>
      <c r="T73" s="253"/>
      <c r="U73" s="253"/>
      <c r="V73" s="253"/>
      <c r="W73" s="253"/>
      <c r="X73" s="253"/>
      <c r="Y73" s="253"/>
      <c r="Z73" s="253"/>
      <c r="AA73" s="253"/>
      <c r="AB73" s="253"/>
      <c r="AC73" s="253"/>
      <c r="AD73" s="253"/>
      <c r="AE73" s="253"/>
      <c r="AF73" s="253"/>
      <c r="AG73" s="253"/>
      <c r="AH73" s="253"/>
      <c r="AI73" s="253"/>
      <c r="AJ73" s="253"/>
      <c r="AK73" s="253"/>
      <c r="AL73" s="253"/>
      <c r="AM73" s="253"/>
      <c r="AN73" s="253"/>
      <c r="AO73" s="253"/>
      <c r="AP73" s="1277"/>
      <c r="BG73" s="769"/>
      <c r="BH73" s="658"/>
      <c r="BI73" s="658"/>
      <c r="BJ73" s="658"/>
      <c r="BK73" s="658"/>
      <c r="BL73" s="658"/>
      <c r="BM73" s="658"/>
      <c r="BN73" s="658"/>
      <c r="BO73" s="658"/>
      <c r="BP73" s="658"/>
    </row>
    <row r="74" spans="1:69" ht="12.75" customHeight="1">
      <c r="A74" s="1277"/>
      <c r="B74" s="775"/>
      <c r="C74" s="416"/>
      <c r="D74" s="253"/>
      <c r="E74" s="511" t="s">
        <v>2399</v>
      </c>
      <c r="F74" s="344"/>
      <c r="G74" s="253"/>
      <c r="H74" s="253"/>
      <c r="I74" s="253"/>
      <c r="J74" s="253"/>
      <c r="K74" s="253"/>
      <c r="L74" s="253"/>
      <c r="M74" s="253"/>
      <c r="N74" s="253"/>
      <c r="O74" s="253"/>
      <c r="P74" s="253"/>
      <c r="Q74" s="253"/>
      <c r="R74" s="253"/>
      <c r="S74" s="253"/>
      <c r="T74" s="253"/>
      <c r="U74" s="253"/>
      <c r="V74" s="253"/>
      <c r="W74" s="253"/>
      <c r="X74" s="253"/>
      <c r="Y74" s="253"/>
      <c r="Z74" s="253"/>
      <c r="AA74" s="253"/>
      <c r="AB74" s="253"/>
      <c r="AC74" s="253"/>
      <c r="AD74" s="253"/>
      <c r="AE74" s="253"/>
      <c r="AF74" s="253"/>
      <c r="AG74" s="253"/>
      <c r="AH74" s="253"/>
      <c r="AI74" s="253"/>
      <c r="AJ74" s="253"/>
      <c r="AK74" s="253"/>
      <c r="AL74" s="253"/>
      <c r="AM74" s="253"/>
      <c r="AN74" s="253"/>
      <c r="AO74" s="253"/>
      <c r="AP74" s="1277"/>
      <c r="BG74" s="769"/>
      <c r="BH74" s="658"/>
      <c r="BI74" s="658"/>
      <c r="BJ74" s="658"/>
      <c r="BK74" s="658"/>
      <c r="BL74" s="658"/>
      <c r="BM74" s="658"/>
      <c r="BN74" s="658"/>
      <c r="BO74" s="658"/>
      <c r="BP74" s="658"/>
    </row>
    <row r="75" spans="1:69" ht="12.75" customHeight="1">
      <c r="A75" s="1277"/>
      <c r="B75" s="253"/>
      <c r="C75" s="253"/>
      <c r="D75" s="253"/>
      <c r="E75" s="511" t="s">
        <v>2400</v>
      </c>
      <c r="F75" s="344"/>
      <c r="G75" s="253"/>
      <c r="H75" s="253"/>
      <c r="I75" s="253"/>
      <c r="J75" s="253"/>
      <c r="K75" s="253"/>
      <c r="L75" s="253"/>
      <c r="M75" s="253"/>
      <c r="N75" s="253"/>
      <c r="O75" s="253"/>
      <c r="P75" s="253"/>
      <c r="Q75" s="253"/>
      <c r="R75" s="253"/>
      <c r="S75" s="253"/>
      <c r="T75" s="253"/>
      <c r="U75" s="253"/>
      <c r="V75" s="253"/>
      <c r="W75" s="253"/>
      <c r="X75" s="253"/>
      <c r="Y75" s="253"/>
      <c r="Z75" s="253"/>
      <c r="AA75" s="253"/>
      <c r="AB75" s="253"/>
      <c r="AC75" s="253"/>
      <c r="AD75" s="253"/>
      <c r="AE75" s="253"/>
      <c r="AF75" s="253"/>
      <c r="AG75" s="253"/>
      <c r="AH75" s="253"/>
      <c r="AI75" s="2198" t="s">
        <v>594</v>
      </c>
      <c r="AJ75" s="276"/>
      <c r="AK75" s="1059" t="s">
        <v>2324</v>
      </c>
      <c r="AL75" s="4082"/>
      <c r="AM75" s="276"/>
      <c r="AN75" s="1059" t="s">
        <v>2325</v>
      </c>
      <c r="AO75" s="4082"/>
      <c r="AP75" s="1277"/>
      <c r="BG75" s="769"/>
      <c r="BH75" s="658"/>
      <c r="BI75" s="658"/>
      <c r="BJ75" s="658"/>
      <c r="BK75" s="658"/>
      <c r="BL75" s="658"/>
      <c r="BM75" s="658"/>
      <c r="BN75" s="658"/>
      <c r="BO75" s="658"/>
      <c r="BP75" s="658"/>
    </row>
    <row r="76" spans="1:69" ht="4.5" customHeight="1">
      <c r="A76" s="1277"/>
      <c r="B76" s="413"/>
      <c r="C76" s="413"/>
      <c r="D76" s="413"/>
      <c r="E76" s="413"/>
      <c r="F76" s="569"/>
      <c r="G76" s="413"/>
      <c r="H76" s="413"/>
      <c r="I76" s="413"/>
      <c r="J76" s="413"/>
      <c r="K76" s="413"/>
      <c r="L76" s="413"/>
      <c r="M76" s="413"/>
      <c r="N76" s="413"/>
      <c r="O76" s="413"/>
      <c r="P76" s="413"/>
      <c r="Q76" s="413"/>
      <c r="R76" s="413"/>
      <c r="S76" s="413"/>
      <c r="T76" s="413"/>
      <c r="U76" s="413"/>
      <c r="V76" s="413"/>
      <c r="W76" s="413"/>
      <c r="X76" s="413"/>
      <c r="Y76" s="413"/>
      <c r="Z76" s="413"/>
      <c r="AA76" s="413"/>
      <c r="AB76" s="413"/>
      <c r="AC76" s="413"/>
      <c r="AD76" s="413"/>
      <c r="AE76" s="413"/>
      <c r="AF76" s="413"/>
      <c r="AG76" s="413"/>
      <c r="AH76" s="413"/>
      <c r="AI76" s="413"/>
      <c r="AJ76" s="413"/>
      <c r="AK76" s="413"/>
      <c r="AL76" s="413"/>
      <c r="AM76" s="413"/>
      <c r="AN76" s="413"/>
      <c r="AO76" s="413"/>
      <c r="AP76" s="1277"/>
      <c r="BG76" s="769"/>
      <c r="BH76" s="658"/>
      <c r="BI76" s="658"/>
      <c r="BJ76" s="658"/>
      <c r="BK76" s="658"/>
      <c r="BL76" s="658"/>
      <c r="BM76" s="658"/>
      <c r="BN76" s="658"/>
      <c r="BO76" s="658"/>
      <c r="BP76" s="658"/>
    </row>
    <row r="77" spans="1:69" ht="12.75" customHeight="1">
      <c r="A77" s="1277"/>
      <c r="B77" s="253"/>
      <c r="C77" s="253"/>
      <c r="D77" s="253"/>
      <c r="E77" s="253"/>
      <c r="F77" s="344"/>
      <c r="G77" s="253"/>
      <c r="H77" s="253"/>
      <c r="I77" s="253"/>
      <c r="J77" s="253"/>
      <c r="K77" s="253"/>
      <c r="L77" s="253"/>
      <c r="M77" s="253"/>
      <c r="N77" s="253"/>
      <c r="O77" s="8439" t="s">
        <v>2401</v>
      </c>
      <c r="P77" s="8440"/>
      <c r="Q77" s="8440"/>
      <c r="R77" s="8440"/>
      <c r="S77" s="8441"/>
      <c r="T77" s="8439" t="s">
        <v>2402</v>
      </c>
      <c r="U77" s="8440"/>
      <c r="V77" s="8440"/>
      <c r="W77" s="8440"/>
      <c r="X77" s="8441"/>
      <c r="Y77" s="8439" t="s">
        <v>2403</v>
      </c>
      <c r="Z77" s="8440"/>
      <c r="AA77" s="8440"/>
      <c r="AB77" s="8440"/>
      <c r="AC77" s="8440"/>
      <c r="AD77" s="8440"/>
      <c r="AE77" s="8441"/>
      <c r="AF77" s="8439" t="s">
        <v>2404</v>
      </c>
      <c r="AG77" s="8440"/>
      <c r="AH77" s="8440"/>
      <c r="AI77" s="8440"/>
      <c r="AJ77" s="8441"/>
      <c r="AK77" s="8439" t="s">
        <v>2405</v>
      </c>
      <c r="AL77" s="8440"/>
      <c r="AM77" s="8440"/>
      <c r="AN77" s="8440"/>
      <c r="AO77" s="8440"/>
      <c r="AP77" s="1277"/>
      <c r="BG77" s="769"/>
      <c r="BH77" s="658"/>
      <c r="BI77" s="658"/>
      <c r="BJ77" s="658"/>
      <c r="BK77" s="658"/>
      <c r="BL77" s="658"/>
      <c r="BM77" s="658"/>
      <c r="BN77" s="658"/>
      <c r="BO77" s="658"/>
      <c r="BP77" s="658"/>
    </row>
    <row r="78" spans="1:69" ht="12.75" customHeight="1">
      <c r="A78" s="1277"/>
      <c r="B78" s="8433">
        <v>28</v>
      </c>
      <c r="C78" s="7091"/>
      <c r="D78" s="253"/>
      <c r="E78" s="253"/>
      <c r="F78" s="253"/>
      <c r="G78" s="253"/>
      <c r="H78" s="344" t="s">
        <v>2406</v>
      </c>
      <c r="I78" s="253"/>
      <c r="J78" s="253"/>
      <c r="K78" s="253"/>
      <c r="L78" s="253"/>
      <c r="M78" s="253"/>
      <c r="N78" s="253"/>
      <c r="O78" s="8442"/>
      <c r="P78" s="8443"/>
      <c r="Q78" s="8443"/>
      <c r="R78" s="8443"/>
      <c r="S78" s="8444"/>
      <c r="T78" s="8442"/>
      <c r="U78" s="8443"/>
      <c r="V78" s="8443"/>
      <c r="W78" s="8443"/>
      <c r="X78" s="8444"/>
      <c r="Y78" s="8442"/>
      <c r="Z78" s="8443"/>
      <c r="AA78" s="8443"/>
      <c r="AB78" s="8443"/>
      <c r="AC78" s="8443"/>
      <c r="AD78" s="8443"/>
      <c r="AE78" s="8444"/>
      <c r="AF78" s="8442"/>
      <c r="AG78" s="8443"/>
      <c r="AH78" s="8443"/>
      <c r="AI78" s="8443"/>
      <c r="AJ78" s="8444"/>
      <c r="AK78" s="8442"/>
      <c r="AL78" s="8443"/>
      <c r="AM78" s="8443"/>
      <c r="AN78" s="8443"/>
      <c r="AO78" s="8443"/>
      <c r="AP78" s="1277"/>
      <c r="BG78" s="769"/>
      <c r="BH78" s="658"/>
      <c r="BI78" s="658"/>
      <c r="BJ78" s="658"/>
      <c r="BK78" s="658"/>
      <c r="BL78" s="658"/>
      <c r="BM78" s="658"/>
      <c r="BN78" s="658"/>
      <c r="BO78" s="658"/>
      <c r="BP78" s="658"/>
    </row>
    <row r="79" spans="1:69" ht="12.75" customHeight="1">
      <c r="A79" s="1277"/>
      <c r="B79" s="413"/>
      <c r="C79" s="413"/>
      <c r="D79" s="413"/>
      <c r="E79" s="413"/>
      <c r="F79" s="413"/>
      <c r="G79" s="413"/>
      <c r="H79" s="413"/>
      <c r="I79" s="413"/>
      <c r="J79" s="413"/>
      <c r="K79" s="413"/>
      <c r="L79" s="413"/>
      <c r="M79" s="413"/>
      <c r="N79" s="413"/>
      <c r="O79" s="8445"/>
      <c r="P79" s="8446"/>
      <c r="Q79" s="8446"/>
      <c r="R79" s="8446"/>
      <c r="S79" s="8447"/>
      <c r="T79" s="8445"/>
      <c r="U79" s="8446"/>
      <c r="V79" s="8446"/>
      <c r="W79" s="8446"/>
      <c r="X79" s="8447"/>
      <c r="Y79" s="8445"/>
      <c r="Z79" s="8446"/>
      <c r="AA79" s="8446"/>
      <c r="AB79" s="8446"/>
      <c r="AC79" s="8446"/>
      <c r="AD79" s="8446"/>
      <c r="AE79" s="8447"/>
      <c r="AF79" s="8445"/>
      <c r="AG79" s="8446"/>
      <c r="AH79" s="8446"/>
      <c r="AI79" s="8446"/>
      <c r="AJ79" s="8447"/>
      <c r="AK79" s="8445"/>
      <c r="AL79" s="8446"/>
      <c r="AM79" s="8446"/>
      <c r="AN79" s="8446"/>
      <c r="AO79" s="8446"/>
      <c r="AP79" s="1277"/>
      <c r="BG79" s="769"/>
      <c r="BH79" s="658"/>
      <c r="BI79" s="658"/>
      <c r="BJ79" s="658"/>
      <c r="BK79" s="658"/>
      <c r="BL79" s="658"/>
      <c r="BM79" s="658"/>
      <c r="BN79" s="658"/>
      <c r="BO79" s="658"/>
      <c r="BP79" s="658"/>
    </row>
    <row r="80" spans="1:69" ht="13.5" customHeight="1">
      <c r="A80" s="1277"/>
      <c r="B80" s="4824" t="s">
        <v>510</v>
      </c>
      <c r="C80" s="8434"/>
      <c r="D80" s="8435"/>
      <c r="E80" s="8435"/>
      <c r="F80" s="8435"/>
      <c r="G80" s="8435"/>
      <c r="H80" s="8435"/>
      <c r="I80" s="8435"/>
      <c r="J80" s="8435"/>
      <c r="K80" s="8435"/>
      <c r="L80" s="8435"/>
      <c r="M80" s="8435"/>
      <c r="N80" s="8436"/>
      <c r="O80" s="7516"/>
      <c r="P80" s="8437"/>
      <c r="Q80" s="8437"/>
      <c r="R80" s="8437"/>
      <c r="S80" s="8438"/>
      <c r="T80" s="4771"/>
      <c r="U80" s="773"/>
      <c r="V80" s="276"/>
      <c r="W80" s="773"/>
      <c r="X80" s="3951"/>
      <c r="Y80" s="8405"/>
      <c r="Z80" s="8406"/>
      <c r="AA80" s="8406"/>
      <c r="AB80" s="8406"/>
      <c r="AC80" s="8406"/>
      <c r="AD80" s="8406"/>
      <c r="AE80" s="8407"/>
      <c r="AF80" s="4771"/>
      <c r="AG80" s="773"/>
      <c r="AH80" s="276"/>
      <c r="AI80" s="773"/>
      <c r="AJ80" s="3951"/>
      <c r="AK80" s="4771"/>
      <c r="AL80" s="773"/>
      <c r="AM80" s="276"/>
      <c r="AN80" s="773"/>
      <c r="AO80" s="773"/>
      <c r="AP80" s="1277"/>
      <c r="BG80" s="769"/>
      <c r="BH80" s="658"/>
      <c r="BI80" s="658"/>
      <c r="BJ80" s="658"/>
      <c r="BK80" s="658"/>
      <c r="BL80" s="658"/>
      <c r="BM80" s="658"/>
      <c r="BN80" s="658"/>
      <c r="BO80" s="658"/>
      <c r="BP80" s="658"/>
    </row>
    <row r="81" spans="1:68" ht="13.5" customHeight="1">
      <c r="A81" s="1277"/>
      <c r="B81" s="4824" t="s">
        <v>516</v>
      </c>
      <c r="C81" s="8434"/>
      <c r="D81" s="8435"/>
      <c r="E81" s="8435"/>
      <c r="F81" s="8435"/>
      <c r="G81" s="8435"/>
      <c r="H81" s="8435"/>
      <c r="I81" s="8435"/>
      <c r="J81" s="8435"/>
      <c r="K81" s="8435"/>
      <c r="L81" s="8435"/>
      <c r="M81" s="8435"/>
      <c r="N81" s="8436"/>
      <c r="O81" s="7516"/>
      <c r="P81" s="8437"/>
      <c r="Q81" s="8437"/>
      <c r="R81" s="8437"/>
      <c r="S81" s="8438"/>
      <c r="T81" s="4771"/>
      <c r="U81" s="773"/>
      <c r="V81" s="276"/>
      <c r="W81" s="773"/>
      <c r="X81" s="3951"/>
      <c r="Y81" s="8405"/>
      <c r="Z81" s="8406"/>
      <c r="AA81" s="8406"/>
      <c r="AB81" s="8406"/>
      <c r="AC81" s="8406"/>
      <c r="AD81" s="8406"/>
      <c r="AE81" s="8407"/>
      <c r="AF81" s="4771"/>
      <c r="AG81" s="773"/>
      <c r="AH81" s="276"/>
      <c r="AI81" s="773"/>
      <c r="AJ81" s="3951"/>
      <c r="AK81" s="4771"/>
      <c r="AL81" s="773"/>
      <c r="AM81" s="276"/>
      <c r="AN81" s="773"/>
      <c r="AO81" s="773"/>
      <c r="AP81" s="1277"/>
      <c r="BG81" s="769"/>
      <c r="BH81" s="658"/>
      <c r="BI81" s="658"/>
      <c r="BJ81" s="658"/>
      <c r="BK81" s="658"/>
      <c r="BL81" s="658"/>
      <c r="BM81" s="658"/>
      <c r="BN81" s="658"/>
      <c r="BO81" s="658"/>
      <c r="BP81" s="658"/>
    </row>
    <row r="82" spans="1:68" ht="13.5" customHeight="1">
      <c r="A82" s="1277"/>
      <c r="B82" s="4824" t="s">
        <v>518</v>
      </c>
      <c r="C82" s="8434"/>
      <c r="D82" s="8435"/>
      <c r="E82" s="8435"/>
      <c r="F82" s="8435"/>
      <c r="G82" s="8435"/>
      <c r="H82" s="8435"/>
      <c r="I82" s="8435"/>
      <c r="J82" s="8435"/>
      <c r="K82" s="8435"/>
      <c r="L82" s="8435"/>
      <c r="M82" s="8435"/>
      <c r="N82" s="8436"/>
      <c r="O82" s="7516"/>
      <c r="P82" s="8437"/>
      <c r="Q82" s="8437"/>
      <c r="R82" s="8437"/>
      <c r="S82" s="8438"/>
      <c r="T82" s="4771"/>
      <c r="U82" s="773"/>
      <c r="V82" s="276"/>
      <c r="W82" s="773"/>
      <c r="X82" s="3951"/>
      <c r="Y82" s="8405"/>
      <c r="Z82" s="8406"/>
      <c r="AA82" s="8406"/>
      <c r="AB82" s="8406"/>
      <c r="AC82" s="8406"/>
      <c r="AD82" s="8406"/>
      <c r="AE82" s="8407"/>
      <c r="AF82" s="4771"/>
      <c r="AG82" s="773"/>
      <c r="AH82" s="276"/>
      <c r="AI82" s="773"/>
      <c r="AJ82" s="3951"/>
      <c r="AK82" s="4771"/>
      <c r="AL82" s="773"/>
      <c r="AM82" s="276"/>
      <c r="AN82" s="773"/>
      <c r="AO82" s="773"/>
      <c r="AP82" s="1277"/>
      <c r="BG82" s="769"/>
      <c r="BH82" s="658"/>
      <c r="BI82" s="658"/>
      <c r="BJ82" s="658"/>
      <c r="BK82" s="658"/>
      <c r="BL82" s="658"/>
      <c r="BM82" s="658"/>
      <c r="BN82" s="658"/>
      <c r="BO82" s="658"/>
      <c r="BP82" s="658"/>
    </row>
    <row r="83" spans="1:68" ht="13.5" customHeight="1">
      <c r="A83" s="1277"/>
      <c r="B83" s="4824" t="s">
        <v>521</v>
      </c>
      <c r="C83" s="8434"/>
      <c r="D83" s="8435"/>
      <c r="E83" s="8435"/>
      <c r="F83" s="8435"/>
      <c r="G83" s="8435"/>
      <c r="H83" s="8435"/>
      <c r="I83" s="8435"/>
      <c r="J83" s="8435"/>
      <c r="K83" s="8435"/>
      <c r="L83" s="8435"/>
      <c r="M83" s="8435"/>
      <c r="N83" s="8436"/>
      <c r="O83" s="7516"/>
      <c r="P83" s="8437"/>
      <c r="Q83" s="8437"/>
      <c r="R83" s="8437"/>
      <c r="S83" s="8438"/>
      <c r="T83" s="4771"/>
      <c r="U83" s="773"/>
      <c r="V83" s="276"/>
      <c r="W83" s="773"/>
      <c r="X83" s="3951"/>
      <c r="Y83" s="8405"/>
      <c r="Z83" s="8406"/>
      <c r="AA83" s="8406"/>
      <c r="AB83" s="8406"/>
      <c r="AC83" s="8406"/>
      <c r="AD83" s="8406"/>
      <c r="AE83" s="8407"/>
      <c r="AF83" s="4771"/>
      <c r="AG83" s="773"/>
      <c r="AH83" s="276"/>
      <c r="AI83" s="773"/>
      <c r="AJ83" s="3951"/>
      <c r="AK83" s="4771"/>
      <c r="AL83" s="773"/>
      <c r="AM83" s="276"/>
      <c r="AN83" s="773"/>
      <c r="AO83" s="773"/>
      <c r="AP83" s="1277"/>
      <c r="BG83" s="769"/>
      <c r="BH83" s="658"/>
      <c r="BI83" s="658"/>
      <c r="BJ83" s="658"/>
      <c r="BK83" s="658"/>
      <c r="BL83" s="658"/>
      <c r="BM83" s="658"/>
      <c r="BN83" s="658"/>
      <c r="BO83" s="658"/>
      <c r="BP83" s="658"/>
    </row>
    <row r="84" spans="1:68" ht="17.25" customHeight="1">
      <c r="A84" s="1277"/>
      <c r="B84" s="8409" t="s">
        <v>2407</v>
      </c>
      <c r="C84" s="8501"/>
      <c r="D84" s="8501"/>
      <c r="E84" s="8501"/>
      <c r="F84" s="8501"/>
      <c r="G84" s="8501"/>
      <c r="H84" s="8501"/>
      <c r="I84" s="8501"/>
      <c r="J84" s="8501"/>
      <c r="K84" s="8501"/>
      <c r="L84" s="8501"/>
      <c r="M84" s="8501"/>
      <c r="N84" s="8501"/>
      <c r="O84" s="8501"/>
      <c r="P84" s="8501"/>
      <c r="Q84" s="8501"/>
      <c r="R84" s="7840"/>
      <c r="S84" s="8423" t="s">
        <v>2408</v>
      </c>
      <c r="T84" s="8424"/>
      <c r="U84" s="8424"/>
      <c r="V84" s="8424"/>
      <c r="W84" s="8424"/>
      <c r="X84" s="8424"/>
      <c r="Y84" s="8424"/>
      <c r="Z84" s="8424"/>
      <c r="AA84" s="8424"/>
      <c r="AB84" s="8424"/>
      <c r="AC84" s="8424"/>
      <c r="AD84" s="8424"/>
      <c r="AE84" s="8424"/>
      <c r="AF84" s="8424"/>
      <c r="AG84" s="8424"/>
      <c r="AH84" s="8424"/>
      <c r="AI84" s="8424"/>
      <c r="AJ84" s="8424"/>
      <c r="AK84" s="8424"/>
      <c r="AL84" s="8424"/>
      <c r="AM84" s="8424"/>
      <c r="AN84" s="8424"/>
      <c r="AO84" s="8424"/>
      <c r="AP84" s="1277"/>
      <c r="BG84" s="769"/>
      <c r="BH84" s="658"/>
      <c r="BI84" s="658"/>
      <c r="BJ84" s="658"/>
      <c r="BK84" s="658"/>
      <c r="BL84" s="658"/>
      <c r="BM84" s="658"/>
      <c r="BN84" s="658"/>
      <c r="BO84" s="658"/>
      <c r="BP84" s="658"/>
    </row>
    <row r="85" spans="1:68" ht="12.75" customHeight="1">
      <c r="A85" s="1277"/>
      <c r="B85" s="406"/>
      <c r="C85" s="8391" t="s">
        <v>2409</v>
      </c>
      <c r="D85" s="8418"/>
      <c r="E85" s="8418"/>
      <c r="F85" s="8418"/>
      <c r="G85" s="8418"/>
      <c r="H85" s="8418"/>
      <c r="I85" s="8418"/>
      <c r="J85" s="8507"/>
      <c r="K85" s="8417" t="s">
        <v>2410</v>
      </c>
      <c r="L85" s="8418"/>
      <c r="M85" s="8418"/>
      <c r="N85" s="8418"/>
      <c r="O85" s="8418"/>
      <c r="P85" s="8418"/>
      <c r="Q85" s="8418"/>
      <c r="R85" s="8418"/>
      <c r="S85" s="8510" t="s">
        <v>2411</v>
      </c>
      <c r="T85" s="8418"/>
      <c r="U85" s="8418"/>
      <c r="V85" s="8418"/>
      <c r="W85" s="8418"/>
      <c r="X85" s="8418"/>
      <c r="Y85" s="8507"/>
      <c r="Z85" s="8417" t="s">
        <v>2412</v>
      </c>
      <c r="AA85" s="8418"/>
      <c r="AB85" s="8418"/>
      <c r="AC85" s="8418"/>
      <c r="AD85" s="8418"/>
      <c r="AE85" s="8418"/>
      <c r="AF85" s="8418"/>
      <c r="AG85" s="8507"/>
      <c r="AH85" s="8417" t="s">
        <v>2413</v>
      </c>
      <c r="AI85" s="8418"/>
      <c r="AJ85" s="8418"/>
      <c r="AK85" s="8418"/>
      <c r="AL85" s="8418"/>
      <c r="AM85" s="8418"/>
      <c r="AN85" s="8418"/>
      <c r="AO85" s="8418"/>
      <c r="AP85" s="1277"/>
      <c r="BG85" s="769"/>
      <c r="BH85" s="658"/>
      <c r="BI85" s="658"/>
      <c r="BJ85" s="658"/>
      <c r="BK85" s="658"/>
      <c r="BL85" s="658"/>
      <c r="BM85" s="658"/>
      <c r="BN85" s="658"/>
      <c r="BO85" s="658"/>
      <c r="BP85" s="658"/>
    </row>
    <row r="86" spans="1:68" ht="12.75" customHeight="1">
      <c r="A86" s="1277"/>
      <c r="B86" s="253"/>
      <c r="C86" s="8420"/>
      <c r="D86" s="8420"/>
      <c r="E86" s="8420"/>
      <c r="F86" s="8420"/>
      <c r="G86" s="8420"/>
      <c r="H86" s="8420"/>
      <c r="I86" s="8420"/>
      <c r="J86" s="8508"/>
      <c r="K86" s="8419"/>
      <c r="L86" s="8420"/>
      <c r="M86" s="8420"/>
      <c r="N86" s="8420"/>
      <c r="O86" s="8420"/>
      <c r="P86" s="8420"/>
      <c r="Q86" s="8420"/>
      <c r="R86" s="8420"/>
      <c r="S86" s="8511"/>
      <c r="T86" s="8420"/>
      <c r="U86" s="8420"/>
      <c r="V86" s="8420"/>
      <c r="W86" s="8420"/>
      <c r="X86" s="8420"/>
      <c r="Y86" s="8508"/>
      <c r="Z86" s="8419"/>
      <c r="AA86" s="8420"/>
      <c r="AB86" s="8420"/>
      <c r="AC86" s="8420"/>
      <c r="AD86" s="8420"/>
      <c r="AE86" s="8420"/>
      <c r="AF86" s="8420"/>
      <c r="AG86" s="8508"/>
      <c r="AH86" s="8419"/>
      <c r="AI86" s="8420"/>
      <c r="AJ86" s="8420"/>
      <c r="AK86" s="8420"/>
      <c r="AL86" s="8420"/>
      <c r="AM86" s="8420"/>
      <c r="AN86" s="8420"/>
      <c r="AO86" s="8420"/>
      <c r="AP86" s="1277"/>
      <c r="BG86" s="769"/>
      <c r="BH86" s="658"/>
      <c r="BI86" s="658"/>
      <c r="BJ86" s="658"/>
      <c r="BK86" s="658"/>
      <c r="BL86" s="658"/>
      <c r="BM86" s="658"/>
      <c r="BN86" s="658"/>
      <c r="BO86" s="658"/>
      <c r="BP86" s="658"/>
    </row>
    <row r="87" spans="1:68" ht="12.75" customHeight="1">
      <c r="A87" s="1277"/>
      <c r="B87" s="413"/>
      <c r="C87" s="8422"/>
      <c r="D87" s="8422"/>
      <c r="E87" s="8422"/>
      <c r="F87" s="8422"/>
      <c r="G87" s="8422"/>
      <c r="H87" s="8422"/>
      <c r="I87" s="8422"/>
      <c r="J87" s="8509"/>
      <c r="K87" s="8421"/>
      <c r="L87" s="8422"/>
      <c r="M87" s="8422"/>
      <c r="N87" s="8422"/>
      <c r="O87" s="8422"/>
      <c r="P87" s="8422"/>
      <c r="Q87" s="8422"/>
      <c r="R87" s="8422"/>
      <c r="S87" s="8512"/>
      <c r="T87" s="8422"/>
      <c r="U87" s="8422"/>
      <c r="V87" s="8422"/>
      <c r="W87" s="8422"/>
      <c r="X87" s="8422"/>
      <c r="Y87" s="8509"/>
      <c r="Z87" s="8421"/>
      <c r="AA87" s="8422"/>
      <c r="AB87" s="8422"/>
      <c r="AC87" s="8422"/>
      <c r="AD87" s="8422"/>
      <c r="AE87" s="8422"/>
      <c r="AF87" s="8422"/>
      <c r="AG87" s="8509"/>
      <c r="AH87" s="8421"/>
      <c r="AI87" s="8422"/>
      <c r="AJ87" s="8422"/>
      <c r="AK87" s="8422"/>
      <c r="AL87" s="8422"/>
      <c r="AM87" s="8422"/>
      <c r="AN87" s="8422"/>
      <c r="AO87" s="8422"/>
      <c r="AP87" s="1277"/>
      <c r="BG87" s="769"/>
      <c r="BH87" s="658"/>
      <c r="BI87" s="658"/>
      <c r="BJ87" s="658"/>
      <c r="BK87" s="658"/>
      <c r="BL87" s="658"/>
      <c r="BM87" s="658"/>
      <c r="BN87" s="658"/>
      <c r="BO87" s="658"/>
      <c r="BP87" s="658"/>
    </row>
    <row r="88" spans="1:68" ht="13.5" customHeight="1">
      <c r="A88" s="1277"/>
      <c r="B88" s="4656" t="s">
        <v>510</v>
      </c>
      <c r="C88" s="8431"/>
      <c r="D88" s="8432"/>
      <c r="E88" s="8432"/>
      <c r="F88" s="8432"/>
      <c r="G88" s="8432"/>
      <c r="H88" s="8432"/>
      <c r="I88" s="8432"/>
      <c r="J88" s="8465"/>
      <c r="K88" s="8431"/>
      <c r="L88" s="8432"/>
      <c r="M88" s="8432"/>
      <c r="N88" s="8432"/>
      <c r="O88" s="8432"/>
      <c r="P88" s="8432"/>
      <c r="Q88" s="8432"/>
      <c r="R88" s="8474"/>
      <c r="S88" s="8431"/>
      <c r="T88" s="8432"/>
      <c r="U88" s="8432"/>
      <c r="V88" s="8432"/>
      <c r="W88" s="8432"/>
      <c r="X88" s="8432"/>
      <c r="Y88" s="8432"/>
      <c r="Z88" s="8431"/>
      <c r="AA88" s="8432"/>
      <c r="AB88" s="8432"/>
      <c r="AC88" s="8432"/>
      <c r="AD88" s="8432"/>
      <c r="AE88" s="8432"/>
      <c r="AF88" s="8432"/>
      <c r="AG88" s="8465"/>
      <c r="AH88" s="8431"/>
      <c r="AI88" s="8432"/>
      <c r="AJ88" s="8432"/>
      <c r="AK88" s="8432"/>
      <c r="AL88" s="8432"/>
      <c r="AM88" s="8432"/>
      <c r="AN88" s="8432"/>
      <c r="AO88" s="8432"/>
      <c r="AP88" s="1277"/>
      <c r="BG88" s="769"/>
      <c r="BH88" s="658"/>
      <c r="BI88" s="658"/>
      <c r="BJ88" s="658"/>
      <c r="BK88" s="658"/>
      <c r="BL88" s="658"/>
      <c r="BM88" s="658"/>
      <c r="BN88" s="658"/>
      <c r="BO88" s="658"/>
      <c r="BP88" s="658"/>
    </row>
    <row r="89" spans="1:68" ht="13.5" customHeight="1">
      <c r="A89" s="1277"/>
      <c r="B89" s="4824" t="s">
        <v>516</v>
      </c>
      <c r="C89" s="8431"/>
      <c r="D89" s="8432"/>
      <c r="E89" s="8432"/>
      <c r="F89" s="8432"/>
      <c r="G89" s="8432"/>
      <c r="H89" s="8432"/>
      <c r="I89" s="8432"/>
      <c r="J89" s="8465"/>
      <c r="K89" s="8431"/>
      <c r="L89" s="8432"/>
      <c r="M89" s="8432"/>
      <c r="N89" s="8432"/>
      <c r="O89" s="8432"/>
      <c r="P89" s="8432"/>
      <c r="Q89" s="8432"/>
      <c r="R89" s="8474"/>
      <c r="S89" s="8431"/>
      <c r="T89" s="8432"/>
      <c r="U89" s="8432"/>
      <c r="V89" s="8432"/>
      <c r="W89" s="8432"/>
      <c r="X89" s="8432"/>
      <c r="Y89" s="8432"/>
      <c r="Z89" s="8431"/>
      <c r="AA89" s="8432"/>
      <c r="AB89" s="8432"/>
      <c r="AC89" s="8432"/>
      <c r="AD89" s="8432"/>
      <c r="AE89" s="8432"/>
      <c r="AF89" s="8432"/>
      <c r="AG89" s="8465"/>
      <c r="AH89" s="8431"/>
      <c r="AI89" s="8432"/>
      <c r="AJ89" s="8432"/>
      <c r="AK89" s="8432"/>
      <c r="AL89" s="8432"/>
      <c r="AM89" s="8432"/>
      <c r="AN89" s="8432"/>
      <c r="AO89" s="8432"/>
      <c r="AP89" s="1277"/>
      <c r="BG89" s="769"/>
      <c r="BH89" s="658"/>
      <c r="BI89" s="658"/>
      <c r="BJ89" s="658"/>
      <c r="BK89" s="658"/>
      <c r="BL89" s="658"/>
      <c r="BM89" s="658"/>
      <c r="BN89" s="658"/>
      <c r="BO89" s="658"/>
      <c r="BP89" s="658"/>
    </row>
    <row r="90" spans="1:68" ht="13.5" customHeight="1">
      <c r="A90" s="1277"/>
      <c r="B90" s="4824" t="s">
        <v>518</v>
      </c>
      <c r="C90" s="8431"/>
      <c r="D90" s="8432"/>
      <c r="E90" s="8432"/>
      <c r="F90" s="8432"/>
      <c r="G90" s="8432"/>
      <c r="H90" s="8432"/>
      <c r="I90" s="8432"/>
      <c r="J90" s="8465"/>
      <c r="K90" s="8431"/>
      <c r="L90" s="8432"/>
      <c r="M90" s="8432"/>
      <c r="N90" s="8432"/>
      <c r="O90" s="8432"/>
      <c r="P90" s="8432"/>
      <c r="Q90" s="8432"/>
      <c r="R90" s="8474"/>
      <c r="S90" s="8431"/>
      <c r="T90" s="8432"/>
      <c r="U90" s="8432"/>
      <c r="V90" s="8432"/>
      <c r="W90" s="8432"/>
      <c r="X90" s="8432"/>
      <c r="Y90" s="8432"/>
      <c r="Z90" s="8431"/>
      <c r="AA90" s="8432"/>
      <c r="AB90" s="8432"/>
      <c r="AC90" s="8432"/>
      <c r="AD90" s="8432"/>
      <c r="AE90" s="8432"/>
      <c r="AF90" s="8432"/>
      <c r="AG90" s="8465"/>
      <c r="AH90" s="8431"/>
      <c r="AI90" s="8432"/>
      <c r="AJ90" s="8432"/>
      <c r="AK90" s="8432"/>
      <c r="AL90" s="8432"/>
      <c r="AM90" s="8432"/>
      <c r="AN90" s="8432"/>
      <c r="AO90" s="8432"/>
      <c r="AP90" s="1277"/>
      <c r="BG90" s="769"/>
      <c r="BH90" s="658"/>
      <c r="BI90" s="658"/>
      <c r="BJ90" s="658"/>
      <c r="BK90" s="658"/>
      <c r="BL90" s="658"/>
      <c r="BM90" s="658"/>
      <c r="BN90" s="658"/>
      <c r="BO90" s="658"/>
      <c r="BP90" s="658"/>
    </row>
    <row r="91" spans="1:68" ht="13.5" customHeight="1">
      <c r="A91" s="1277"/>
      <c r="B91" s="4824" t="s">
        <v>521</v>
      </c>
      <c r="C91" s="8431"/>
      <c r="D91" s="8432"/>
      <c r="E91" s="8432"/>
      <c r="F91" s="8432"/>
      <c r="G91" s="8432"/>
      <c r="H91" s="8432"/>
      <c r="I91" s="8432"/>
      <c r="J91" s="8465"/>
      <c r="K91" s="8431"/>
      <c r="L91" s="8432"/>
      <c r="M91" s="8432"/>
      <c r="N91" s="8432"/>
      <c r="O91" s="8432"/>
      <c r="P91" s="8432"/>
      <c r="Q91" s="8432"/>
      <c r="R91" s="8474"/>
      <c r="S91" s="8431"/>
      <c r="T91" s="8432"/>
      <c r="U91" s="8432"/>
      <c r="V91" s="8432"/>
      <c r="W91" s="8432"/>
      <c r="X91" s="8432"/>
      <c r="Y91" s="8432"/>
      <c r="Z91" s="8431"/>
      <c r="AA91" s="8432"/>
      <c r="AB91" s="8432"/>
      <c r="AC91" s="8432"/>
      <c r="AD91" s="8432"/>
      <c r="AE91" s="8432"/>
      <c r="AF91" s="8432"/>
      <c r="AG91" s="8465"/>
      <c r="AH91" s="8431"/>
      <c r="AI91" s="8432"/>
      <c r="AJ91" s="8432"/>
      <c r="AK91" s="8432"/>
      <c r="AL91" s="8432"/>
      <c r="AM91" s="8432"/>
      <c r="AN91" s="8432"/>
      <c r="AO91" s="8432"/>
      <c r="AP91" s="1277"/>
      <c r="BG91" s="769"/>
      <c r="BH91" s="658"/>
      <c r="BI91" s="658"/>
      <c r="BJ91" s="658"/>
      <c r="BK91" s="658"/>
      <c r="BL91" s="658"/>
      <c r="BM91" s="658"/>
      <c r="BN91" s="658"/>
      <c r="BO91" s="658"/>
      <c r="BP91" s="658"/>
    </row>
    <row r="92" spans="1:68" ht="13.5" customHeight="1">
      <c r="A92" s="1277"/>
      <c r="B92" s="8409" t="s">
        <v>2414</v>
      </c>
      <c r="C92" s="8409"/>
      <c r="D92" s="1469"/>
      <c r="E92" s="1469" t="s">
        <v>2415</v>
      </c>
      <c r="F92" s="4825"/>
      <c r="G92" s="3835"/>
      <c r="H92" s="3835"/>
      <c r="I92" s="3835"/>
      <c r="J92" s="4826"/>
      <c r="K92" s="8384">
        <f>ROUND(SUM(K88:K91),0)</f>
        <v>0</v>
      </c>
      <c r="L92" s="8385"/>
      <c r="M92" s="8385"/>
      <c r="N92" s="8385"/>
      <c r="O92" s="8385"/>
      <c r="P92" s="8385"/>
      <c r="Q92" s="8385"/>
      <c r="R92" s="8386"/>
      <c r="S92" s="8502"/>
      <c r="T92" s="8503"/>
      <c r="U92" s="8503"/>
      <c r="V92" s="8503"/>
      <c r="W92" s="8503"/>
      <c r="X92" s="8503"/>
      <c r="Y92" s="8503"/>
      <c r="Z92" s="3835"/>
      <c r="AA92" s="3835"/>
      <c r="AB92" s="3835"/>
      <c r="AC92" s="3835"/>
      <c r="AD92" s="3835"/>
      <c r="AE92" s="3835"/>
      <c r="AF92" s="3835"/>
      <c r="AG92" s="4826"/>
      <c r="AH92" s="8381">
        <f>ROUND(SUM(AH88:AH91),0)</f>
        <v>0</v>
      </c>
      <c r="AI92" s="8399"/>
      <c r="AJ92" s="8399"/>
      <c r="AK92" s="8399"/>
      <c r="AL92" s="8399"/>
      <c r="AM92" s="8399"/>
      <c r="AN92" s="8399"/>
      <c r="AO92" s="8399"/>
      <c r="AP92" s="1277"/>
      <c r="BG92" s="769"/>
      <c r="BH92" s="658"/>
      <c r="BI92" s="658"/>
      <c r="BJ92" s="658"/>
      <c r="BK92" s="658"/>
      <c r="BL92" s="658"/>
      <c r="BM92" s="658"/>
      <c r="BN92" s="658"/>
      <c r="BO92" s="658"/>
      <c r="BP92" s="658"/>
    </row>
    <row r="93" spans="1:68" ht="13.5" customHeight="1">
      <c r="A93" s="1277"/>
      <c r="B93" s="7858" t="s">
        <v>592</v>
      </c>
      <c r="C93" s="7858"/>
      <c r="D93" s="511"/>
      <c r="E93" s="1469" t="s">
        <v>2415</v>
      </c>
      <c r="F93" s="8381">
        <f>ROUND(SUM(C88:C91),0)</f>
        <v>0</v>
      </c>
      <c r="G93" s="8399"/>
      <c r="H93" s="8399"/>
      <c r="I93" s="8399"/>
      <c r="J93" s="8499"/>
      <c r="K93" s="8504"/>
      <c r="L93" s="8505"/>
      <c r="M93" s="8505"/>
      <c r="N93" s="8505"/>
      <c r="O93" s="8505"/>
      <c r="P93" s="8505"/>
      <c r="Q93" s="8505"/>
      <c r="R93" s="8506"/>
      <c r="S93" s="8401">
        <f>ROUND(SUM(S88:S91),0)</f>
        <v>0</v>
      </c>
      <c r="T93" s="8385"/>
      <c r="U93" s="8385"/>
      <c r="V93" s="8385"/>
      <c r="W93" s="8385"/>
      <c r="X93" s="8385"/>
      <c r="Y93" s="8402"/>
      <c r="Z93" s="8500">
        <f>ROUND(SUM(Z88:Z91),0)</f>
        <v>0</v>
      </c>
      <c r="AA93" s="8500"/>
      <c r="AB93" s="8500"/>
      <c r="AC93" s="8500"/>
      <c r="AD93" s="8500"/>
      <c r="AE93" s="8500"/>
      <c r="AF93" s="8500"/>
      <c r="AG93" s="8500"/>
      <c r="AH93" s="8497"/>
      <c r="AI93" s="8497"/>
      <c r="AJ93" s="8497"/>
      <c r="AK93" s="8497"/>
      <c r="AL93" s="8497"/>
      <c r="AM93" s="8497"/>
      <c r="AN93" s="8497"/>
      <c r="AO93" s="8498"/>
      <c r="AP93" s="1277"/>
      <c r="BG93" s="769"/>
      <c r="BH93" s="658"/>
      <c r="BI93" s="658"/>
      <c r="BJ93" s="658"/>
      <c r="BK93" s="658"/>
      <c r="BL93" s="658"/>
      <c r="BM93" s="658"/>
      <c r="BN93" s="658"/>
      <c r="BO93" s="658"/>
      <c r="BP93" s="658"/>
    </row>
    <row r="94" spans="1:68" ht="12.75" customHeight="1">
      <c r="A94" s="1277"/>
      <c r="B94" s="7608">
        <v>30</v>
      </c>
      <c r="C94" s="7608"/>
      <c r="D94" s="511" t="s">
        <v>2416</v>
      </c>
      <c r="E94" s="253"/>
      <c r="F94" s="253"/>
      <c r="G94" s="253"/>
      <c r="H94" s="253"/>
      <c r="I94" s="253"/>
      <c r="J94" s="253"/>
      <c r="K94" s="253"/>
      <c r="L94" s="253"/>
      <c r="M94" s="253"/>
      <c r="N94" s="253"/>
      <c r="O94" s="253"/>
      <c r="P94" s="253"/>
      <c r="Q94" s="253"/>
      <c r="R94" s="253"/>
      <c r="S94" s="253"/>
      <c r="T94" s="253"/>
      <c r="U94" s="253"/>
      <c r="V94" s="253"/>
      <c r="W94" s="253"/>
      <c r="X94" s="253"/>
      <c r="Y94" s="253"/>
      <c r="Z94" s="253"/>
      <c r="AA94" s="253"/>
      <c r="AB94" s="253"/>
      <c r="AC94" s="253"/>
      <c r="AD94" s="253"/>
      <c r="AE94" s="2198" t="s">
        <v>665</v>
      </c>
      <c r="AF94" s="8387">
        <v>30</v>
      </c>
      <c r="AG94" s="8388"/>
      <c r="AH94" s="8429">
        <f>SUM(K92,AH92)</f>
        <v>0</v>
      </c>
      <c r="AI94" s="8430"/>
      <c r="AJ94" s="8430"/>
      <c r="AK94" s="8430"/>
      <c r="AL94" s="8430"/>
      <c r="AM94" s="8430"/>
      <c r="AN94" s="8430"/>
      <c r="AO94" s="8430"/>
      <c r="AP94" s="1277"/>
      <c r="AQ94" s="2875"/>
      <c r="AR94" s="2875"/>
      <c r="AS94" s="2875"/>
      <c r="BG94" s="769"/>
      <c r="BH94" s="658"/>
      <c r="BI94" s="658"/>
      <c r="BJ94" s="658"/>
      <c r="BK94" s="658"/>
      <c r="BL94" s="658"/>
      <c r="BM94" s="658"/>
      <c r="BN94" s="658"/>
      <c r="BO94" s="658"/>
      <c r="BP94" s="658"/>
    </row>
    <row r="95" spans="1:68" ht="12.75" customHeight="1" thickBot="1">
      <c r="A95" s="1277"/>
      <c r="B95" s="7608">
        <v>31</v>
      </c>
      <c r="C95" s="7608"/>
      <c r="D95" s="511" t="s">
        <v>2417</v>
      </c>
      <c r="E95" s="253"/>
      <c r="F95" s="253"/>
      <c r="G95" s="253"/>
      <c r="H95" s="253"/>
      <c r="I95" s="253"/>
      <c r="J95" s="253"/>
      <c r="K95" s="253"/>
      <c r="L95" s="253"/>
      <c r="M95" s="253"/>
      <c r="N95" s="253"/>
      <c r="O95" s="253"/>
      <c r="P95" s="253"/>
      <c r="Q95" s="253"/>
      <c r="R95" s="253"/>
      <c r="S95" s="253"/>
      <c r="T95" s="253"/>
      <c r="U95" s="253"/>
      <c r="V95" s="253"/>
      <c r="W95" s="253"/>
      <c r="X95" s="253"/>
      <c r="Y95" s="253"/>
      <c r="Z95" s="253"/>
      <c r="AA95" s="253"/>
      <c r="AB95" s="253"/>
      <c r="AC95" s="253"/>
      <c r="AD95" s="253"/>
      <c r="AE95" s="2198" t="s">
        <v>647</v>
      </c>
      <c r="AF95" s="8387">
        <v>31</v>
      </c>
      <c r="AG95" s="8388"/>
      <c r="AH95" s="4827" t="s">
        <v>799</v>
      </c>
      <c r="AI95" s="8412">
        <f>SUM(F93,S93,Z93)</f>
        <v>0</v>
      </c>
      <c r="AJ95" s="8274"/>
      <c r="AK95" s="8274"/>
      <c r="AL95" s="8274"/>
      <c r="AM95" s="8274"/>
      <c r="AN95" s="8274"/>
      <c r="AO95" s="4828" t="s">
        <v>800</v>
      </c>
      <c r="AP95" s="1277"/>
      <c r="AQ95" s="2875"/>
      <c r="AR95" s="185" t="s">
        <v>771</v>
      </c>
      <c r="AS95" s="2875"/>
      <c r="BG95" s="769"/>
      <c r="BH95" s="658"/>
      <c r="BI95" s="658"/>
      <c r="BJ95" s="658"/>
      <c r="BK95" s="658"/>
      <c r="BL95" s="658"/>
      <c r="BM95" s="658"/>
      <c r="BN95" s="658"/>
      <c r="BO95" s="658"/>
      <c r="BP95" s="658"/>
    </row>
    <row r="96" spans="1:68" ht="12.75" customHeight="1" thickBot="1">
      <c r="A96" s="1277"/>
      <c r="B96" s="8614">
        <v>32</v>
      </c>
      <c r="C96" s="8614"/>
      <c r="D96" s="4830" t="s">
        <v>2418</v>
      </c>
      <c r="E96" s="380"/>
      <c r="F96" s="380"/>
      <c r="G96" s="380"/>
      <c r="H96" s="380"/>
      <c r="I96" s="380"/>
      <c r="J96" s="380"/>
      <c r="K96" s="380"/>
      <c r="L96" s="380"/>
      <c r="M96" s="380"/>
      <c r="N96" s="380"/>
      <c r="O96" s="380"/>
      <c r="P96" s="380"/>
      <c r="Q96" s="380"/>
      <c r="R96" s="380"/>
      <c r="S96" s="380"/>
      <c r="T96" s="380"/>
      <c r="U96" s="380"/>
      <c r="V96" s="380"/>
      <c r="W96" s="380"/>
      <c r="X96" s="380"/>
      <c r="Y96" s="380"/>
      <c r="Z96" s="380"/>
      <c r="AA96" s="380"/>
      <c r="AB96" s="380"/>
      <c r="AC96" s="380"/>
      <c r="AD96" s="380"/>
      <c r="AE96" s="4533" t="s">
        <v>627</v>
      </c>
      <c r="AF96" s="8389">
        <v>32</v>
      </c>
      <c r="AG96" s="8390"/>
      <c r="AH96" s="8602">
        <f>IF(AR96&lt;&gt;"",ROUND(AR96,0),SUM(AH94,-AI95))</f>
        <v>0</v>
      </c>
      <c r="AI96" s="8603"/>
      <c r="AJ96" s="8603"/>
      <c r="AK96" s="8603"/>
      <c r="AL96" s="8603"/>
      <c r="AM96" s="8603"/>
      <c r="AN96" s="8603"/>
      <c r="AO96" s="8603"/>
      <c r="AP96" s="1277"/>
      <c r="AQ96" s="2875"/>
      <c r="AR96" s="776"/>
      <c r="AS96" s="2875"/>
      <c r="BG96" s="769"/>
      <c r="BH96" s="658"/>
      <c r="BI96" s="658"/>
      <c r="BJ96" s="658"/>
      <c r="BK96" s="658"/>
      <c r="BL96" s="658"/>
      <c r="BM96" s="658"/>
      <c r="BN96" s="658"/>
      <c r="BO96" s="658"/>
      <c r="BP96" s="658"/>
    </row>
    <row r="97" spans="1:69" s="1405" customFormat="1" ht="17.25" customHeight="1">
      <c r="A97" s="2119"/>
      <c r="B97" s="8479" t="s">
        <v>1938</v>
      </c>
      <c r="C97" s="8479"/>
      <c r="D97" s="8480"/>
      <c r="E97" s="1998"/>
      <c r="F97" s="1997" t="s">
        <v>2419</v>
      </c>
      <c r="G97" s="1998"/>
      <c r="H97" s="1998"/>
      <c r="I97" s="1998"/>
      <c r="J97" s="1998"/>
      <c r="K97" s="1998"/>
      <c r="L97" s="1998"/>
      <c r="M97" s="1998"/>
      <c r="N97" s="1998"/>
      <c r="O97" s="1998"/>
      <c r="P97" s="1998"/>
      <c r="Q97" s="1998"/>
      <c r="R97" s="1998"/>
      <c r="S97" s="1998"/>
      <c r="T97" s="1998"/>
      <c r="U97" s="1998"/>
      <c r="V97" s="1998"/>
      <c r="W97" s="1998"/>
      <c r="X97" s="1996"/>
      <c r="Y97" s="1998"/>
      <c r="Z97" s="1998"/>
      <c r="AA97" s="1998"/>
      <c r="AB97" s="1998"/>
      <c r="AC97" s="1998"/>
      <c r="AD97" s="1998"/>
      <c r="AE97" s="1998"/>
      <c r="AF97" s="1998"/>
      <c r="AG97" s="1998"/>
      <c r="AH97" s="1998"/>
      <c r="AI97" s="1998"/>
      <c r="AJ97" s="1998"/>
      <c r="AK97" s="1998"/>
      <c r="AL97" s="1998"/>
      <c r="AM97" s="1998"/>
      <c r="AN97" s="1998"/>
      <c r="AO97" s="1998"/>
      <c r="AP97" s="1277"/>
      <c r="AQ97" s="2875"/>
      <c r="AR97" s="2875"/>
      <c r="AS97" s="2875"/>
      <c r="AX97"/>
      <c r="AY97"/>
      <c r="AZ97"/>
      <c r="BA97"/>
      <c r="BB97"/>
      <c r="BC97"/>
      <c r="BD97"/>
      <c r="BG97" s="769"/>
      <c r="BH97" s="658"/>
      <c r="BI97" s="658"/>
      <c r="BJ97" s="658"/>
      <c r="BK97" s="658"/>
      <c r="BL97" s="658"/>
      <c r="BM97" s="658"/>
      <c r="BN97" s="658"/>
      <c r="BO97" s="658"/>
      <c r="BP97" s="658"/>
      <c r="BQ97" s="815"/>
    </row>
    <row r="98" spans="1:69" ht="12.75" customHeight="1">
      <c r="A98" s="1277"/>
      <c r="B98" s="406"/>
      <c r="C98" s="406"/>
      <c r="D98" s="406"/>
      <c r="E98" s="406"/>
      <c r="F98" s="406"/>
      <c r="G98" s="406"/>
      <c r="H98" s="406"/>
      <c r="I98" s="406"/>
      <c r="J98" s="406"/>
      <c r="K98" s="406"/>
      <c r="L98" s="406"/>
      <c r="M98" s="406"/>
      <c r="N98" s="406"/>
      <c r="O98" s="406"/>
      <c r="P98" s="406"/>
      <c r="Q98" s="406"/>
      <c r="R98" s="406"/>
      <c r="S98" s="406"/>
      <c r="T98" s="406"/>
      <c r="U98" s="406"/>
      <c r="V98" s="406"/>
      <c r="W98" s="406"/>
      <c r="X98" s="406"/>
      <c r="Y98" s="406"/>
      <c r="Z98" s="406"/>
      <c r="AA98" s="406"/>
      <c r="AB98" s="406"/>
      <c r="AC98" s="406"/>
      <c r="AD98" s="406"/>
      <c r="AE98" s="406"/>
      <c r="AF98" s="406"/>
      <c r="AG98" s="407"/>
      <c r="AH98" s="8417" t="s">
        <v>2420</v>
      </c>
      <c r="AI98" s="8481"/>
      <c r="AJ98" s="8481"/>
      <c r="AK98" s="8481"/>
      <c r="AL98" s="8481"/>
      <c r="AM98" s="8481"/>
      <c r="AN98" s="8481"/>
      <c r="AO98" s="8481"/>
      <c r="AP98" s="1277"/>
      <c r="BG98" s="769"/>
      <c r="BH98" s="658"/>
      <c r="BI98" s="658"/>
      <c r="BJ98" s="658"/>
      <c r="BK98" s="658"/>
      <c r="BL98" s="658"/>
      <c r="BM98" s="658"/>
      <c r="BN98" s="658"/>
      <c r="BO98" s="658"/>
      <c r="BP98" s="658"/>
    </row>
    <row r="99" spans="1:69" ht="12.75" customHeight="1">
      <c r="A99" s="1277"/>
      <c r="B99" s="8433">
        <v>33</v>
      </c>
      <c r="C99" s="7091"/>
      <c r="D99" s="253"/>
      <c r="E99" s="253"/>
      <c r="F99" s="253"/>
      <c r="G99" s="253"/>
      <c r="H99" s="253"/>
      <c r="I99" s="253"/>
      <c r="J99" s="253"/>
      <c r="K99" s="253"/>
      <c r="L99" s="253"/>
      <c r="M99" s="253"/>
      <c r="N99" s="253"/>
      <c r="O99" s="253"/>
      <c r="P99" s="344" t="s">
        <v>2406</v>
      </c>
      <c r="Q99" s="253"/>
      <c r="R99" s="253"/>
      <c r="S99" s="253"/>
      <c r="T99" s="253"/>
      <c r="U99" s="253"/>
      <c r="V99" s="253"/>
      <c r="W99" s="253"/>
      <c r="X99" s="253"/>
      <c r="Y99" s="253"/>
      <c r="Z99" s="253"/>
      <c r="AA99" s="253"/>
      <c r="AB99" s="253"/>
      <c r="AC99" s="253"/>
      <c r="AD99" s="253"/>
      <c r="AE99" s="253"/>
      <c r="AF99" s="253"/>
      <c r="AG99" s="409"/>
      <c r="AH99" s="8482"/>
      <c r="AI99" s="8299"/>
      <c r="AJ99" s="8299"/>
      <c r="AK99" s="8299"/>
      <c r="AL99" s="8299"/>
      <c r="AM99" s="8299"/>
      <c r="AN99" s="8299"/>
      <c r="AO99" s="8299"/>
      <c r="AP99" s="1277"/>
      <c r="AX99" s="1405"/>
      <c r="AY99" s="1405"/>
      <c r="AZ99" s="1405"/>
      <c r="BA99" s="1405"/>
      <c r="BB99" s="1405"/>
      <c r="BC99" s="1405"/>
      <c r="BD99" s="1405"/>
      <c r="BG99" s="769"/>
      <c r="BH99" s="658"/>
      <c r="BI99" s="658"/>
      <c r="BJ99" s="658"/>
      <c r="BK99" s="658"/>
      <c r="BL99" s="658"/>
      <c r="BM99" s="658"/>
      <c r="BN99" s="658"/>
      <c r="BO99" s="658"/>
      <c r="BP99" s="658"/>
    </row>
    <row r="100" spans="1:69" ht="12.75" customHeight="1">
      <c r="A100" s="1277"/>
      <c r="B100" s="413"/>
      <c r="C100" s="413"/>
      <c r="D100" s="413"/>
      <c r="E100" s="413"/>
      <c r="F100" s="413"/>
      <c r="G100" s="413"/>
      <c r="H100" s="413"/>
      <c r="I100" s="413"/>
      <c r="J100" s="413"/>
      <c r="K100" s="413"/>
      <c r="L100" s="413"/>
      <c r="M100" s="413"/>
      <c r="N100" s="413"/>
      <c r="O100" s="413"/>
      <c r="P100" s="413"/>
      <c r="Q100" s="413"/>
      <c r="R100" s="413"/>
      <c r="S100" s="413"/>
      <c r="T100" s="413"/>
      <c r="U100" s="413"/>
      <c r="V100" s="413"/>
      <c r="W100" s="413"/>
      <c r="X100" s="413"/>
      <c r="Y100" s="413"/>
      <c r="Z100" s="413"/>
      <c r="AA100" s="413"/>
      <c r="AB100" s="413"/>
      <c r="AC100" s="413"/>
      <c r="AD100" s="413"/>
      <c r="AE100" s="413"/>
      <c r="AF100" s="413"/>
      <c r="AG100" s="414"/>
      <c r="AH100" s="8483"/>
      <c r="AI100" s="8168"/>
      <c r="AJ100" s="8168"/>
      <c r="AK100" s="8168"/>
      <c r="AL100" s="8168"/>
      <c r="AM100" s="8168"/>
      <c r="AN100" s="8168"/>
      <c r="AO100" s="8168"/>
      <c r="AP100" s="1277"/>
      <c r="BG100" s="769"/>
      <c r="BH100" s="658"/>
      <c r="BI100" s="658"/>
      <c r="BJ100" s="658"/>
      <c r="BK100" s="658"/>
      <c r="BL100" s="658"/>
      <c r="BM100" s="658"/>
      <c r="BN100" s="658"/>
      <c r="BO100" s="658"/>
      <c r="BP100" s="658"/>
    </row>
    <row r="101" spans="1:69" ht="13.5" customHeight="1">
      <c r="A101" s="1277"/>
      <c r="B101" s="4656" t="s">
        <v>510</v>
      </c>
      <c r="C101" s="8475"/>
      <c r="D101" s="8476"/>
      <c r="E101" s="8476"/>
      <c r="F101" s="8476"/>
      <c r="G101" s="8476"/>
      <c r="H101" s="8476"/>
      <c r="I101" s="8476"/>
      <c r="J101" s="8476"/>
      <c r="K101" s="8477"/>
      <c r="L101" s="8477"/>
      <c r="M101" s="8477"/>
      <c r="N101" s="8477"/>
      <c r="O101" s="8477"/>
      <c r="P101" s="8477"/>
      <c r="Q101" s="8477"/>
      <c r="R101" s="8477"/>
      <c r="S101" s="8477"/>
      <c r="T101" s="8477"/>
      <c r="U101" s="8477"/>
      <c r="V101" s="8477"/>
      <c r="W101" s="8477"/>
      <c r="X101" s="8477"/>
      <c r="Y101" s="8477"/>
      <c r="Z101" s="8477"/>
      <c r="AA101" s="8477"/>
      <c r="AB101" s="8477"/>
      <c r="AC101" s="8477"/>
      <c r="AD101" s="8477"/>
      <c r="AE101" s="8477"/>
      <c r="AF101" s="8477"/>
      <c r="AG101" s="8478"/>
      <c r="AH101" s="8403"/>
      <c r="AI101" s="8404"/>
      <c r="AJ101" s="8404"/>
      <c r="AK101" s="8404"/>
      <c r="AL101" s="8404"/>
      <c r="AM101" s="8404"/>
      <c r="AN101" s="8404"/>
      <c r="AO101" s="8404"/>
      <c r="AP101" s="1277"/>
      <c r="BG101" s="769"/>
      <c r="BH101" s="658"/>
      <c r="BI101" s="658"/>
      <c r="BJ101" s="658"/>
      <c r="BK101" s="658"/>
      <c r="BL101" s="658"/>
      <c r="BM101" s="658"/>
      <c r="BN101" s="658"/>
      <c r="BO101" s="658"/>
      <c r="BP101" s="658"/>
    </row>
    <row r="102" spans="1:69" ht="13.5" customHeight="1">
      <c r="A102" s="1277"/>
      <c r="B102" s="4824" t="s">
        <v>516</v>
      </c>
      <c r="C102" s="8475"/>
      <c r="D102" s="8476"/>
      <c r="E102" s="8476"/>
      <c r="F102" s="8476"/>
      <c r="G102" s="8476"/>
      <c r="H102" s="8476"/>
      <c r="I102" s="8476"/>
      <c r="J102" s="8476"/>
      <c r="K102" s="8477"/>
      <c r="L102" s="8477"/>
      <c r="M102" s="8477"/>
      <c r="N102" s="8477"/>
      <c r="O102" s="8477"/>
      <c r="P102" s="8477"/>
      <c r="Q102" s="8477"/>
      <c r="R102" s="8477"/>
      <c r="S102" s="8477"/>
      <c r="T102" s="8477"/>
      <c r="U102" s="8477"/>
      <c r="V102" s="8477"/>
      <c r="W102" s="8477"/>
      <c r="X102" s="8477"/>
      <c r="Y102" s="8477"/>
      <c r="Z102" s="8477"/>
      <c r="AA102" s="8477"/>
      <c r="AB102" s="8477"/>
      <c r="AC102" s="8477"/>
      <c r="AD102" s="8477"/>
      <c r="AE102" s="8477"/>
      <c r="AF102" s="8477"/>
      <c r="AG102" s="8478"/>
      <c r="AH102" s="8403"/>
      <c r="AI102" s="8404"/>
      <c r="AJ102" s="8404"/>
      <c r="AK102" s="8404"/>
      <c r="AL102" s="8404"/>
      <c r="AM102" s="8404"/>
      <c r="AN102" s="8404"/>
      <c r="AO102" s="8404"/>
      <c r="AP102" s="1277"/>
      <c r="BG102" s="769"/>
      <c r="BH102" s="658"/>
      <c r="BI102" s="658"/>
      <c r="BJ102" s="658"/>
      <c r="BK102" s="658"/>
      <c r="BL102" s="658"/>
      <c r="BM102" s="658"/>
      <c r="BN102" s="658"/>
      <c r="BO102" s="658"/>
      <c r="BP102" s="658"/>
    </row>
    <row r="103" spans="1:69" ht="17.25" customHeight="1">
      <c r="A103" s="1277"/>
      <c r="B103" s="8490" t="s">
        <v>2407</v>
      </c>
      <c r="C103" s="8489"/>
      <c r="D103" s="8489"/>
      <c r="E103" s="8489"/>
      <c r="F103" s="8489"/>
      <c r="G103" s="8489"/>
      <c r="H103" s="8489"/>
      <c r="I103" s="8489"/>
      <c r="J103" s="8489"/>
      <c r="K103" s="8489"/>
      <c r="L103" s="8489"/>
      <c r="M103" s="8489"/>
      <c r="N103" s="8489"/>
      <c r="O103" s="8489"/>
      <c r="P103" s="8489"/>
      <c r="Q103" s="8489"/>
      <c r="R103" s="8489"/>
      <c r="S103" s="8489"/>
      <c r="T103" s="8489"/>
      <c r="U103" s="8489"/>
      <c r="V103" s="8489"/>
      <c r="W103" s="8489"/>
      <c r="X103" s="8491"/>
      <c r="Y103" s="8423" t="s">
        <v>2408</v>
      </c>
      <c r="Z103" s="8489"/>
      <c r="AA103" s="8489"/>
      <c r="AB103" s="8489"/>
      <c r="AC103" s="8489"/>
      <c r="AD103" s="8489"/>
      <c r="AE103" s="8489"/>
      <c r="AF103" s="8489"/>
      <c r="AG103" s="8489"/>
      <c r="AH103" s="8489"/>
      <c r="AI103" s="8489"/>
      <c r="AJ103" s="8489"/>
      <c r="AK103" s="8489"/>
      <c r="AL103" s="8489"/>
      <c r="AM103" s="8489"/>
      <c r="AN103" s="8489"/>
      <c r="AO103" s="8489"/>
      <c r="AP103" s="1277"/>
      <c r="BG103" s="769"/>
      <c r="BH103" s="658"/>
      <c r="BI103" s="658"/>
      <c r="BJ103" s="658"/>
      <c r="BK103" s="658"/>
      <c r="BL103" s="658"/>
      <c r="BM103" s="658"/>
      <c r="BN103" s="658"/>
      <c r="BO103" s="658"/>
      <c r="BP103" s="658"/>
    </row>
    <row r="104" spans="1:69" ht="12.75" customHeight="1">
      <c r="A104" s="1277"/>
      <c r="B104" s="7682" t="s">
        <v>2421</v>
      </c>
      <c r="C104" s="7850"/>
      <c r="D104" s="7850"/>
      <c r="E104" s="7850"/>
      <c r="F104" s="7850"/>
      <c r="G104" s="7850"/>
      <c r="H104" s="7850"/>
      <c r="I104" s="7850"/>
      <c r="J104" s="7850"/>
      <c r="K104" s="7850"/>
      <c r="L104" s="7850"/>
      <c r="M104" s="7850"/>
      <c r="N104" s="8492"/>
      <c r="O104" s="7681" t="s">
        <v>2422</v>
      </c>
      <c r="P104" s="8454"/>
      <c r="Q104" s="8454"/>
      <c r="R104" s="8454"/>
      <c r="S104" s="8454"/>
      <c r="T104" s="8454"/>
      <c r="U104" s="8454"/>
      <c r="V104" s="8454"/>
      <c r="W104" s="8454"/>
      <c r="X104" s="8454"/>
      <c r="Y104" s="8495" t="s">
        <v>2423</v>
      </c>
      <c r="Z104" s="7850"/>
      <c r="AA104" s="7850"/>
      <c r="AB104" s="7850"/>
      <c r="AC104" s="7850"/>
      <c r="AD104" s="7850"/>
      <c r="AE104" s="7850"/>
      <c r="AF104" s="7850"/>
      <c r="AG104" s="8492"/>
      <c r="AH104" s="7681" t="s">
        <v>2424</v>
      </c>
      <c r="AI104" s="8454"/>
      <c r="AJ104" s="8454"/>
      <c r="AK104" s="8454"/>
      <c r="AL104" s="8454"/>
      <c r="AM104" s="8454"/>
      <c r="AN104" s="8454"/>
      <c r="AO104" s="8454"/>
      <c r="AP104" s="1277"/>
      <c r="BG104" s="769"/>
      <c r="BH104" s="658"/>
      <c r="BI104" s="658"/>
      <c r="BJ104" s="658"/>
      <c r="BK104" s="658"/>
      <c r="BL104" s="658"/>
      <c r="BM104" s="658"/>
      <c r="BN104" s="658"/>
      <c r="BO104" s="658"/>
      <c r="BP104" s="658"/>
    </row>
    <row r="105" spans="1:69" ht="12.75" customHeight="1">
      <c r="A105" s="1277"/>
      <c r="B105" s="7589"/>
      <c r="C105" s="7589"/>
      <c r="D105" s="7589"/>
      <c r="E105" s="7589"/>
      <c r="F105" s="7589"/>
      <c r="G105" s="7589"/>
      <c r="H105" s="7589"/>
      <c r="I105" s="7589"/>
      <c r="J105" s="7589"/>
      <c r="K105" s="7589"/>
      <c r="L105" s="7589"/>
      <c r="M105" s="7589"/>
      <c r="N105" s="8493"/>
      <c r="O105" s="8455"/>
      <c r="P105" s="8456"/>
      <c r="Q105" s="8456"/>
      <c r="R105" s="8456"/>
      <c r="S105" s="8456"/>
      <c r="T105" s="8456"/>
      <c r="U105" s="8456"/>
      <c r="V105" s="8456"/>
      <c r="W105" s="8456"/>
      <c r="X105" s="8456"/>
      <c r="Y105" s="7851"/>
      <c r="Z105" s="7589"/>
      <c r="AA105" s="7589"/>
      <c r="AB105" s="7589"/>
      <c r="AC105" s="7589"/>
      <c r="AD105" s="7589"/>
      <c r="AE105" s="7589"/>
      <c r="AF105" s="7589"/>
      <c r="AG105" s="8493"/>
      <c r="AH105" s="8455"/>
      <c r="AI105" s="8456"/>
      <c r="AJ105" s="8456"/>
      <c r="AK105" s="8456"/>
      <c r="AL105" s="8456"/>
      <c r="AM105" s="8456"/>
      <c r="AN105" s="8456"/>
      <c r="AO105" s="8456"/>
      <c r="AP105" s="1277"/>
      <c r="BG105" s="769"/>
      <c r="BH105" s="658"/>
      <c r="BI105" s="658"/>
      <c r="BJ105" s="658"/>
      <c r="BK105" s="658"/>
      <c r="BL105" s="658"/>
      <c r="BM105" s="658"/>
      <c r="BN105" s="658"/>
      <c r="BO105" s="658"/>
      <c r="BP105" s="658"/>
    </row>
    <row r="106" spans="1:69" ht="12.75" customHeight="1">
      <c r="A106" s="1277"/>
      <c r="B106" s="7587"/>
      <c r="C106" s="7587"/>
      <c r="D106" s="7587"/>
      <c r="E106" s="7587"/>
      <c r="F106" s="7587"/>
      <c r="G106" s="7587"/>
      <c r="H106" s="7587"/>
      <c r="I106" s="7587"/>
      <c r="J106" s="7587"/>
      <c r="K106" s="7587"/>
      <c r="L106" s="7587"/>
      <c r="M106" s="7587"/>
      <c r="N106" s="8494"/>
      <c r="O106" s="8457"/>
      <c r="P106" s="8458"/>
      <c r="Q106" s="8458"/>
      <c r="R106" s="8458"/>
      <c r="S106" s="8458"/>
      <c r="T106" s="8458"/>
      <c r="U106" s="8458"/>
      <c r="V106" s="8458"/>
      <c r="W106" s="8458"/>
      <c r="X106" s="8458"/>
      <c r="Y106" s="8496"/>
      <c r="Z106" s="7587"/>
      <c r="AA106" s="7587"/>
      <c r="AB106" s="7587"/>
      <c r="AC106" s="7587"/>
      <c r="AD106" s="7587"/>
      <c r="AE106" s="7587"/>
      <c r="AF106" s="7587"/>
      <c r="AG106" s="8494"/>
      <c r="AH106" s="8457"/>
      <c r="AI106" s="8458"/>
      <c r="AJ106" s="8458"/>
      <c r="AK106" s="8458"/>
      <c r="AL106" s="8458"/>
      <c r="AM106" s="8458"/>
      <c r="AN106" s="8458"/>
      <c r="AO106" s="8458"/>
      <c r="AP106" s="1277"/>
      <c r="BG106" s="769"/>
      <c r="BH106" s="658"/>
      <c r="BI106" s="658"/>
      <c r="BJ106" s="658"/>
      <c r="BK106" s="658"/>
      <c r="BL106" s="658"/>
      <c r="BM106" s="658"/>
      <c r="BN106" s="658"/>
      <c r="BO106" s="658"/>
      <c r="BP106" s="658"/>
    </row>
    <row r="107" spans="1:69" ht="13.5" customHeight="1">
      <c r="A107" s="1277"/>
      <c r="B107" s="4656" t="s">
        <v>510</v>
      </c>
      <c r="C107" s="8451"/>
      <c r="D107" s="8452"/>
      <c r="E107" s="8452"/>
      <c r="F107" s="8452"/>
      <c r="G107" s="8452"/>
      <c r="H107" s="8452"/>
      <c r="I107" s="8452"/>
      <c r="J107" s="8452"/>
      <c r="K107" s="8452"/>
      <c r="L107" s="8452"/>
      <c r="M107" s="8452"/>
      <c r="N107" s="8453"/>
      <c r="O107" s="8484"/>
      <c r="P107" s="8485"/>
      <c r="Q107" s="8485"/>
      <c r="R107" s="8485"/>
      <c r="S107" s="8485"/>
      <c r="T107" s="8485"/>
      <c r="U107" s="8485"/>
      <c r="V107" s="8485"/>
      <c r="W107" s="8485"/>
      <c r="X107" s="8486"/>
      <c r="Y107" s="8487"/>
      <c r="Z107" s="8488"/>
      <c r="AA107" s="8488"/>
      <c r="AB107" s="8488"/>
      <c r="AC107" s="8488"/>
      <c r="AD107" s="8488"/>
      <c r="AE107" s="8488"/>
      <c r="AF107" s="8488"/>
      <c r="AG107" s="8488"/>
      <c r="AH107" s="8488"/>
      <c r="AI107" s="8488"/>
      <c r="AJ107" s="8488"/>
      <c r="AK107" s="8488"/>
      <c r="AL107" s="8488"/>
      <c r="AM107" s="8488"/>
      <c r="AN107" s="8488"/>
      <c r="AO107" s="8484"/>
      <c r="AP107" s="1277"/>
      <c r="BG107" s="769"/>
      <c r="BH107" s="658"/>
      <c r="BI107" s="658"/>
      <c r="BJ107" s="658"/>
      <c r="BK107" s="658"/>
      <c r="BL107" s="658"/>
      <c r="BM107" s="658"/>
      <c r="BN107" s="658"/>
      <c r="BO107" s="658"/>
      <c r="BP107" s="658"/>
    </row>
    <row r="108" spans="1:69" ht="13.5" customHeight="1">
      <c r="A108" s="1277"/>
      <c r="B108" s="4656" t="s">
        <v>516</v>
      </c>
      <c r="C108" s="8451"/>
      <c r="D108" s="8452"/>
      <c r="E108" s="8452"/>
      <c r="F108" s="8452"/>
      <c r="G108" s="8452"/>
      <c r="H108" s="8452"/>
      <c r="I108" s="8452"/>
      <c r="J108" s="8452"/>
      <c r="K108" s="8452"/>
      <c r="L108" s="8452"/>
      <c r="M108" s="8452"/>
      <c r="N108" s="8453"/>
      <c r="O108" s="8484"/>
      <c r="P108" s="8485"/>
      <c r="Q108" s="8485"/>
      <c r="R108" s="8485"/>
      <c r="S108" s="8485"/>
      <c r="T108" s="8485"/>
      <c r="U108" s="8485"/>
      <c r="V108" s="8485"/>
      <c r="W108" s="8485"/>
      <c r="X108" s="8486"/>
      <c r="Y108" s="8487"/>
      <c r="Z108" s="8488"/>
      <c r="AA108" s="8488"/>
      <c r="AB108" s="8488"/>
      <c r="AC108" s="8488"/>
      <c r="AD108" s="8488"/>
      <c r="AE108" s="8488"/>
      <c r="AF108" s="8488"/>
      <c r="AG108" s="8488"/>
      <c r="AH108" s="8488"/>
      <c r="AI108" s="8488"/>
      <c r="AJ108" s="8488"/>
      <c r="AK108" s="8488"/>
      <c r="AL108" s="8488"/>
      <c r="AM108" s="8488"/>
      <c r="AN108" s="8488"/>
      <c r="AO108" s="8484"/>
      <c r="AP108" s="1277"/>
      <c r="BG108" s="769"/>
      <c r="BH108" s="658"/>
      <c r="BI108" s="658"/>
      <c r="BJ108" s="658"/>
      <c r="BK108" s="658"/>
      <c r="BL108" s="658"/>
      <c r="BM108" s="658"/>
      <c r="BN108" s="658"/>
      <c r="BO108" s="658"/>
      <c r="BP108" s="658"/>
    </row>
    <row r="109" spans="1:69" ht="13.5" customHeight="1">
      <c r="A109" s="1277"/>
      <c r="B109" s="8409" t="s">
        <v>2425</v>
      </c>
      <c r="C109" s="8409"/>
      <c r="D109" s="511"/>
      <c r="E109" s="1469" t="s">
        <v>2415</v>
      </c>
      <c r="F109" s="4825"/>
      <c r="G109" s="3835"/>
      <c r="H109" s="3835"/>
      <c r="I109" s="3835"/>
      <c r="J109" s="3835"/>
      <c r="K109" s="3835"/>
      <c r="L109" s="3835"/>
      <c r="M109" s="3835"/>
      <c r="N109" s="4826"/>
      <c r="O109" s="8384">
        <f>ROUND(SUM(O107:O108),0)</f>
        <v>0</v>
      </c>
      <c r="P109" s="8385"/>
      <c r="Q109" s="8385"/>
      <c r="R109" s="8385"/>
      <c r="S109" s="8385"/>
      <c r="T109" s="8385"/>
      <c r="U109" s="8385"/>
      <c r="V109" s="8385"/>
      <c r="W109" s="8385"/>
      <c r="X109" s="8386"/>
      <c r="Y109" s="4831"/>
      <c r="Z109" s="3835"/>
      <c r="AA109" s="3835"/>
      <c r="AB109" s="3835"/>
      <c r="AC109" s="3835"/>
      <c r="AD109" s="3835"/>
      <c r="AE109" s="3835"/>
      <c r="AF109" s="3835"/>
      <c r="AG109" s="4826"/>
      <c r="AH109" s="8381">
        <f>ROUND(SUM(AH107:AH108),0)</f>
        <v>0</v>
      </c>
      <c r="AI109" s="8399"/>
      <c r="AJ109" s="8399"/>
      <c r="AK109" s="8399"/>
      <c r="AL109" s="8399"/>
      <c r="AM109" s="8399"/>
      <c r="AN109" s="8399"/>
      <c r="AO109" s="8399"/>
      <c r="AP109" s="1277"/>
      <c r="BG109" s="769"/>
      <c r="BH109" s="658"/>
      <c r="BI109" s="658"/>
      <c r="BJ109" s="658"/>
      <c r="BK109" s="658"/>
      <c r="BL109" s="658"/>
      <c r="BM109" s="658"/>
      <c r="BN109" s="658"/>
      <c r="BO109" s="658"/>
      <c r="BP109" s="658"/>
    </row>
    <row r="110" spans="1:69" ht="13.5" customHeight="1">
      <c r="A110" s="1277"/>
      <c r="B110" s="7858" t="s">
        <v>592</v>
      </c>
      <c r="C110" s="7858"/>
      <c r="D110" s="511"/>
      <c r="E110" s="1469" t="s">
        <v>2415</v>
      </c>
      <c r="F110" s="8381">
        <f>ROUND(SUM(C107:C108),0)</f>
        <v>0</v>
      </c>
      <c r="G110" s="8382"/>
      <c r="H110" s="8382"/>
      <c r="I110" s="8382"/>
      <c r="J110" s="8382"/>
      <c r="K110" s="8382"/>
      <c r="L110" s="8382"/>
      <c r="M110" s="8382"/>
      <c r="N110" s="8383"/>
      <c r="O110" s="4832"/>
      <c r="P110" s="4833"/>
      <c r="Q110" s="4833"/>
      <c r="R110" s="4833"/>
      <c r="S110" s="4833"/>
      <c r="T110" s="4833"/>
      <c r="U110" s="4833"/>
      <c r="V110" s="4833"/>
      <c r="W110" s="4833"/>
      <c r="X110" s="4834"/>
      <c r="Y110" s="8381">
        <f>ROUND(SUM(Y107:Y108),0)</f>
        <v>0</v>
      </c>
      <c r="Z110" s="8382"/>
      <c r="AA110" s="8382"/>
      <c r="AB110" s="8382"/>
      <c r="AC110" s="8382"/>
      <c r="AD110" s="8382"/>
      <c r="AE110" s="8382"/>
      <c r="AF110" s="8382"/>
      <c r="AG110" s="8383"/>
      <c r="AH110" s="4825"/>
      <c r="AI110" s="3835"/>
      <c r="AJ110" s="3835"/>
      <c r="AK110" s="3835"/>
      <c r="AL110" s="3835"/>
      <c r="AM110" s="3835"/>
      <c r="AN110" s="3835"/>
      <c r="AO110" s="3835"/>
      <c r="AP110" s="1277"/>
      <c r="BG110" s="769"/>
      <c r="BH110" s="658"/>
      <c r="BI110" s="658"/>
      <c r="BJ110" s="658"/>
      <c r="BK110" s="658"/>
      <c r="BL110" s="658"/>
      <c r="BM110" s="658"/>
      <c r="BN110" s="658"/>
      <c r="BO110" s="658"/>
      <c r="BP110" s="658"/>
    </row>
    <row r="111" spans="1:69" ht="13.5" customHeight="1">
      <c r="A111" s="1277"/>
      <c r="B111" s="7608">
        <v>35</v>
      </c>
      <c r="C111" s="7608"/>
      <c r="D111" s="511" t="s">
        <v>2426</v>
      </c>
      <c r="E111" s="253"/>
      <c r="F111" s="253"/>
      <c r="G111" s="253"/>
      <c r="H111" s="253"/>
      <c r="I111" s="253"/>
      <c r="J111" s="253"/>
      <c r="K111" s="253"/>
      <c r="L111" s="253"/>
      <c r="M111" s="253"/>
      <c r="N111" s="253"/>
      <c r="O111" s="253"/>
      <c r="P111" s="253"/>
      <c r="Q111" s="253"/>
      <c r="R111" s="253"/>
      <c r="S111" s="253"/>
      <c r="T111" s="253"/>
      <c r="U111" s="253"/>
      <c r="V111" s="253"/>
      <c r="W111" s="253"/>
      <c r="X111" s="253"/>
      <c r="Y111" s="253"/>
      <c r="Z111" s="253"/>
      <c r="AA111" s="253"/>
      <c r="AB111" s="253"/>
      <c r="AC111" s="253"/>
      <c r="AD111" s="253"/>
      <c r="AE111" s="253"/>
      <c r="AF111" s="253"/>
      <c r="AG111" s="2198" t="s">
        <v>677</v>
      </c>
      <c r="AH111" s="8468">
        <v>35</v>
      </c>
      <c r="AI111" s="8469"/>
      <c r="AJ111" s="8429">
        <f>SUM(O109,AH109)</f>
        <v>0</v>
      </c>
      <c r="AK111" s="8430"/>
      <c r="AL111" s="8430"/>
      <c r="AM111" s="8430"/>
      <c r="AN111" s="8430"/>
      <c r="AO111" s="8430"/>
      <c r="AP111" s="1277"/>
      <c r="BG111" s="769"/>
      <c r="BH111" s="658"/>
      <c r="BI111" s="658"/>
      <c r="BJ111" s="658"/>
      <c r="BK111" s="658"/>
      <c r="BL111" s="658"/>
      <c r="BM111" s="658"/>
      <c r="BN111" s="658"/>
      <c r="BO111" s="658"/>
      <c r="BP111" s="658"/>
    </row>
    <row r="112" spans="1:69" ht="13.5" customHeight="1">
      <c r="A112" s="1277"/>
      <c r="B112" s="7608">
        <v>36</v>
      </c>
      <c r="C112" s="7608"/>
      <c r="D112" s="511" t="s">
        <v>2427</v>
      </c>
      <c r="E112" s="253"/>
      <c r="F112" s="253"/>
      <c r="G112" s="253"/>
      <c r="H112" s="253"/>
      <c r="I112" s="253"/>
      <c r="J112" s="253"/>
      <c r="K112" s="253"/>
      <c r="L112" s="253"/>
      <c r="M112" s="253"/>
      <c r="N112" s="253"/>
      <c r="O112" s="253"/>
      <c r="P112" s="253"/>
      <c r="Q112" s="253"/>
      <c r="R112" s="253"/>
      <c r="S112" s="253"/>
      <c r="T112" s="253"/>
      <c r="U112" s="253"/>
      <c r="V112" s="253"/>
      <c r="W112" s="253"/>
      <c r="X112" s="253"/>
      <c r="Y112" s="253"/>
      <c r="Z112" s="253"/>
      <c r="AA112" s="253"/>
      <c r="AB112" s="253"/>
      <c r="AC112" s="253"/>
      <c r="AD112" s="253"/>
      <c r="AE112" s="253"/>
      <c r="AF112" s="253"/>
      <c r="AG112" s="2198" t="s">
        <v>677</v>
      </c>
      <c r="AH112" s="8468">
        <v>36</v>
      </c>
      <c r="AI112" s="8469"/>
      <c r="AJ112" s="4646" t="s">
        <v>799</v>
      </c>
      <c r="AK112" s="7282">
        <f>SUM(F110,Y110)</f>
        <v>0</v>
      </c>
      <c r="AL112" s="8398"/>
      <c r="AM112" s="8398"/>
      <c r="AN112" s="8398"/>
      <c r="AO112" s="4835" t="s">
        <v>800</v>
      </c>
      <c r="AP112" s="1277"/>
      <c r="BG112" s="769"/>
      <c r="BH112" s="658"/>
      <c r="BI112" s="658"/>
      <c r="BJ112" s="658"/>
      <c r="BK112" s="658"/>
      <c r="BL112" s="658"/>
      <c r="BM112" s="658"/>
      <c r="BN112" s="658"/>
      <c r="BO112" s="658"/>
      <c r="BP112" s="658"/>
    </row>
    <row r="113" spans="1:69" ht="13.5" customHeight="1">
      <c r="A113" s="1277"/>
      <c r="B113" s="8380">
        <v>37</v>
      </c>
      <c r="C113" s="8380"/>
      <c r="D113" s="1996" t="s">
        <v>2428</v>
      </c>
      <c r="E113" s="413"/>
      <c r="F113" s="413"/>
      <c r="G113" s="413"/>
      <c r="H113" s="413"/>
      <c r="I113" s="413"/>
      <c r="J113" s="413"/>
      <c r="K113" s="413"/>
      <c r="L113" s="413"/>
      <c r="M113" s="413"/>
      <c r="N113" s="413"/>
      <c r="O113" s="413"/>
      <c r="P113" s="413"/>
      <c r="Q113" s="413"/>
      <c r="R113" s="413"/>
      <c r="S113" s="413"/>
      <c r="T113" s="413"/>
      <c r="U113" s="413"/>
      <c r="V113" s="413"/>
      <c r="W113" s="413"/>
      <c r="X113" s="413"/>
      <c r="Y113" s="413"/>
      <c r="Z113" s="413"/>
      <c r="AA113" s="413"/>
      <c r="AB113" s="413"/>
      <c r="AC113" s="413"/>
      <c r="AD113" s="413"/>
      <c r="AE113" s="413"/>
      <c r="AF113" s="413"/>
      <c r="AG113" s="974" t="s">
        <v>676</v>
      </c>
      <c r="AH113" s="8468">
        <v>37</v>
      </c>
      <c r="AI113" s="8469"/>
      <c r="AJ113" s="8429">
        <f>SUM(AJ111,-AK112)</f>
        <v>0</v>
      </c>
      <c r="AK113" s="8430"/>
      <c r="AL113" s="8430"/>
      <c r="AM113" s="8430"/>
      <c r="AN113" s="8430"/>
      <c r="AO113" s="8430"/>
      <c r="AP113" s="1277"/>
      <c r="BG113" s="769"/>
      <c r="BH113" s="658"/>
      <c r="BI113" s="658"/>
      <c r="BJ113" s="658"/>
      <c r="BK113" s="658"/>
      <c r="BL113" s="658"/>
      <c r="BM113" s="658"/>
      <c r="BN113" s="658"/>
      <c r="BO113" s="658"/>
      <c r="BP113" s="658"/>
    </row>
    <row r="114" spans="1:69" s="1405" customFormat="1" ht="17.25" customHeight="1">
      <c r="A114" s="2119"/>
      <c r="B114" s="8427" t="s">
        <v>2102</v>
      </c>
      <c r="C114" s="8427"/>
      <c r="D114" s="8428"/>
      <c r="E114" s="2120"/>
      <c r="F114" s="4189" t="s">
        <v>2429</v>
      </c>
      <c r="G114" s="2120"/>
      <c r="H114" s="2120"/>
      <c r="I114" s="2120"/>
      <c r="J114" s="2120"/>
      <c r="K114" s="2120"/>
      <c r="L114" s="2120"/>
      <c r="M114" s="2120"/>
      <c r="N114" s="2120"/>
      <c r="O114" s="2120"/>
      <c r="P114" s="2120"/>
      <c r="Q114" s="2120"/>
      <c r="R114" s="2120"/>
      <c r="S114" s="2120"/>
      <c r="T114" s="2120"/>
      <c r="U114" s="2120"/>
      <c r="V114" s="2120"/>
      <c r="W114" s="2120"/>
      <c r="X114" s="3901"/>
      <c r="Y114" s="2120"/>
      <c r="Z114" s="2120"/>
      <c r="AA114" s="2120"/>
      <c r="AB114" s="2120"/>
      <c r="AC114" s="2120"/>
      <c r="AD114" s="2120"/>
      <c r="AE114" s="2120"/>
      <c r="AF114" s="2120"/>
      <c r="AG114" s="1998"/>
      <c r="AH114" s="2120"/>
      <c r="AI114" s="2120"/>
      <c r="AJ114" s="2120"/>
      <c r="AK114" s="2120"/>
      <c r="AL114" s="2120"/>
      <c r="AM114" s="2120"/>
      <c r="AN114" s="2120"/>
      <c r="AO114" s="2120"/>
      <c r="AP114" s="1277"/>
      <c r="AX114"/>
      <c r="AY114"/>
      <c r="AZ114"/>
      <c r="BA114"/>
      <c r="BB114"/>
      <c r="BC114"/>
      <c r="BD114"/>
      <c r="BG114" s="769"/>
      <c r="BH114" s="658"/>
      <c r="BI114" s="658"/>
      <c r="BJ114" s="658"/>
      <c r="BK114" s="658"/>
      <c r="BL114" s="658"/>
      <c r="BM114" s="658"/>
      <c r="BN114" s="658"/>
      <c r="BO114" s="658"/>
      <c r="BP114" s="658"/>
      <c r="BQ114" s="815"/>
    </row>
    <row r="115" spans="1:69" ht="12.75" customHeight="1">
      <c r="A115" s="1277"/>
      <c r="B115" s="406"/>
      <c r="C115" s="4649"/>
      <c r="D115" s="8391" t="s">
        <v>2430</v>
      </c>
      <c r="E115" s="8392"/>
      <c r="F115" s="8392"/>
      <c r="G115" s="8392"/>
      <c r="H115" s="8392"/>
      <c r="I115" s="8392"/>
      <c r="J115" s="8393"/>
      <c r="K115" s="8470" t="s">
        <v>2431</v>
      </c>
      <c r="L115" s="8471"/>
      <c r="M115" s="8471"/>
      <c r="N115" s="8471"/>
      <c r="O115" s="8471"/>
      <c r="P115" s="8471"/>
      <c r="Q115" s="8471"/>
      <c r="R115" s="8471"/>
      <c r="S115" s="8610" t="s">
        <v>2432</v>
      </c>
      <c r="T115" s="8611"/>
      <c r="U115" s="8611"/>
      <c r="V115" s="8611"/>
      <c r="W115" s="8611"/>
      <c r="X115" s="8611"/>
      <c r="Y115" s="8611"/>
      <c r="Z115" s="8417" t="s">
        <v>2433</v>
      </c>
      <c r="AA115" s="8418"/>
      <c r="AB115" s="8418"/>
      <c r="AC115" s="8418"/>
      <c r="AD115" s="8418"/>
      <c r="AE115" s="8418"/>
      <c r="AF115" s="8418"/>
      <c r="AG115" s="8507"/>
      <c r="AH115" s="8417" t="s">
        <v>2434</v>
      </c>
      <c r="AI115" s="8418"/>
      <c r="AJ115" s="8418"/>
      <c r="AK115" s="8418"/>
      <c r="AL115" s="8418"/>
      <c r="AM115" s="8418"/>
      <c r="AN115" s="8418"/>
      <c r="AO115" s="8418"/>
      <c r="AP115" s="1277"/>
      <c r="BG115" s="769"/>
      <c r="BH115" s="658"/>
      <c r="BI115" s="658"/>
      <c r="BJ115" s="658"/>
      <c r="BK115" s="658"/>
      <c r="BL115" s="658"/>
      <c r="BM115" s="658"/>
      <c r="BN115" s="658"/>
      <c r="BO115" s="658"/>
      <c r="BP115" s="658"/>
    </row>
    <row r="116" spans="1:69" ht="12.75" customHeight="1">
      <c r="A116" s="1277"/>
      <c r="B116" s="8433">
        <v>38</v>
      </c>
      <c r="C116" s="7091"/>
      <c r="D116" s="8394"/>
      <c r="E116" s="8394"/>
      <c r="F116" s="8394"/>
      <c r="G116" s="8394"/>
      <c r="H116" s="8394"/>
      <c r="I116" s="8394"/>
      <c r="J116" s="8395"/>
      <c r="K116" s="8472"/>
      <c r="L116" s="8472"/>
      <c r="M116" s="8472"/>
      <c r="N116" s="8472"/>
      <c r="O116" s="8472"/>
      <c r="P116" s="8472"/>
      <c r="Q116" s="8472"/>
      <c r="R116" s="8472"/>
      <c r="S116" s="8612"/>
      <c r="T116" s="8612"/>
      <c r="U116" s="8612"/>
      <c r="V116" s="8612"/>
      <c r="W116" s="8612"/>
      <c r="X116" s="8612"/>
      <c r="Y116" s="8612"/>
      <c r="Z116" s="8419"/>
      <c r="AA116" s="8420"/>
      <c r="AB116" s="8420"/>
      <c r="AC116" s="8420"/>
      <c r="AD116" s="8420"/>
      <c r="AE116" s="8420"/>
      <c r="AF116" s="8420"/>
      <c r="AG116" s="8508"/>
      <c r="AH116" s="8419"/>
      <c r="AI116" s="8420"/>
      <c r="AJ116" s="8420"/>
      <c r="AK116" s="8420"/>
      <c r="AL116" s="8420"/>
      <c r="AM116" s="8420"/>
      <c r="AN116" s="8420"/>
      <c r="AO116" s="8420"/>
      <c r="AP116" s="1277"/>
      <c r="AX116" s="1405"/>
      <c r="AY116" s="1405"/>
      <c r="AZ116" s="1405"/>
      <c r="BA116" s="1405"/>
      <c r="BB116" s="1405"/>
      <c r="BC116" s="1405"/>
      <c r="BD116" s="1405"/>
      <c r="BG116" s="769"/>
      <c r="BH116" s="658"/>
      <c r="BI116" s="658"/>
      <c r="BJ116" s="658"/>
      <c r="BK116" s="658"/>
      <c r="BL116" s="658"/>
      <c r="BM116" s="658"/>
      <c r="BN116" s="658"/>
      <c r="BO116" s="658"/>
      <c r="BP116" s="658"/>
    </row>
    <row r="117" spans="1:69" ht="12.75" customHeight="1">
      <c r="A117" s="1277"/>
      <c r="B117" s="413"/>
      <c r="C117" s="4650"/>
      <c r="D117" s="8396"/>
      <c r="E117" s="8396"/>
      <c r="F117" s="8396"/>
      <c r="G117" s="8396"/>
      <c r="H117" s="8396"/>
      <c r="I117" s="8396"/>
      <c r="J117" s="8397"/>
      <c r="K117" s="8473"/>
      <c r="L117" s="8473"/>
      <c r="M117" s="8473"/>
      <c r="N117" s="8473"/>
      <c r="O117" s="8473"/>
      <c r="P117" s="8473"/>
      <c r="Q117" s="8473"/>
      <c r="R117" s="8473"/>
      <c r="S117" s="8613"/>
      <c r="T117" s="8613"/>
      <c r="U117" s="8613"/>
      <c r="V117" s="8613"/>
      <c r="W117" s="8613"/>
      <c r="X117" s="8613"/>
      <c r="Y117" s="8613"/>
      <c r="Z117" s="8421"/>
      <c r="AA117" s="8422"/>
      <c r="AB117" s="8422"/>
      <c r="AC117" s="8422"/>
      <c r="AD117" s="8422"/>
      <c r="AE117" s="8422"/>
      <c r="AF117" s="8422"/>
      <c r="AG117" s="8509"/>
      <c r="AH117" s="8421"/>
      <c r="AI117" s="8422"/>
      <c r="AJ117" s="8422"/>
      <c r="AK117" s="8422"/>
      <c r="AL117" s="8422"/>
      <c r="AM117" s="8422"/>
      <c r="AN117" s="8422"/>
      <c r="AO117" s="8422"/>
      <c r="AP117" s="1277"/>
      <c r="AQ117" s="2875"/>
      <c r="AR117" s="2875"/>
      <c r="AS117" s="2875"/>
      <c r="BG117" s="769"/>
      <c r="BH117" s="658"/>
      <c r="BI117" s="658"/>
      <c r="BJ117" s="658"/>
      <c r="BK117" s="658"/>
      <c r="BL117" s="658"/>
      <c r="BM117" s="658"/>
      <c r="BN117" s="658"/>
      <c r="BO117" s="658"/>
      <c r="BP117" s="658"/>
    </row>
    <row r="118" spans="1:69" ht="12.75" customHeight="1">
      <c r="A118" s="1277"/>
      <c r="B118" s="8466"/>
      <c r="C118" s="7328"/>
      <c r="D118" s="7328"/>
      <c r="E118" s="7328"/>
      <c r="F118" s="7328"/>
      <c r="G118" s="7328"/>
      <c r="H118" s="7328"/>
      <c r="I118" s="7328"/>
      <c r="J118" s="8467"/>
      <c r="K118" s="8405"/>
      <c r="L118" s="8406"/>
      <c r="M118" s="8406"/>
      <c r="N118" s="8406"/>
      <c r="O118" s="8406"/>
      <c r="P118" s="8406"/>
      <c r="Q118" s="8406"/>
      <c r="R118" s="8407"/>
      <c r="S118" s="8408"/>
      <c r="T118" s="8408"/>
      <c r="U118" s="8408"/>
      <c r="V118" s="8408"/>
      <c r="W118" s="8408"/>
      <c r="X118" s="8408"/>
      <c r="Y118" s="8408"/>
      <c r="Z118" s="8431"/>
      <c r="AA118" s="8432"/>
      <c r="AB118" s="8432"/>
      <c r="AC118" s="8432"/>
      <c r="AD118" s="8432"/>
      <c r="AE118" s="8432"/>
      <c r="AF118" s="8432"/>
      <c r="AG118" s="8465"/>
      <c r="AH118" s="8431"/>
      <c r="AI118" s="8432"/>
      <c r="AJ118" s="8432"/>
      <c r="AK118" s="8432"/>
      <c r="AL118" s="8432"/>
      <c r="AM118" s="8432"/>
      <c r="AN118" s="8432"/>
      <c r="AO118" s="8432"/>
      <c r="AP118" s="1277"/>
      <c r="AQ118" s="2875"/>
      <c r="AR118" s="185" t="s">
        <v>771</v>
      </c>
      <c r="AS118" s="2875"/>
      <c r="BG118" s="769"/>
      <c r="BH118" s="658"/>
      <c r="BI118" s="658"/>
      <c r="BJ118" s="658"/>
      <c r="BK118" s="658"/>
      <c r="BL118" s="658"/>
      <c r="BM118" s="658"/>
      <c r="BN118" s="658"/>
      <c r="BO118" s="658"/>
      <c r="BP118" s="658"/>
    </row>
    <row r="119" spans="1:69" ht="15.75">
      <c r="A119" s="1277"/>
      <c r="B119" s="8380">
        <v>39</v>
      </c>
      <c r="C119" s="8380"/>
      <c r="D119" s="1996" t="s">
        <v>2435</v>
      </c>
      <c r="E119" s="413"/>
      <c r="F119" s="413"/>
      <c r="G119" s="413"/>
      <c r="H119" s="413"/>
      <c r="I119" s="413"/>
      <c r="J119" s="413"/>
      <c r="K119" s="413"/>
      <c r="L119" s="413"/>
      <c r="M119" s="413"/>
      <c r="N119" s="413"/>
      <c r="O119" s="413"/>
      <c r="P119" s="413"/>
      <c r="Q119" s="413"/>
      <c r="R119" s="413"/>
      <c r="S119" s="413"/>
      <c r="T119" s="413"/>
      <c r="U119" s="413"/>
      <c r="V119" s="413"/>
      <c r="W119" s="413"/>
      <c r="X119" s="413"/>
      <c r="Y119" s="413"/>
      <c r="Z119" s="413"/>
      <c r="AA119" s="413"/>
      <c r="AB119" s="413"/>
      <c r="AC119" s="413"/>
      <c r="AD119" s="413"/>
      <c r="AE119" s="413"/>
      <c r="AF119" s="413"/>
      <c r="AG119" s="414"/>
      <c r="AH119" s="8468">
        <v>39</v>
      </c>
      <c r="AI119" s="8469"/>
      <c r="AJ119" s="8381">
        <f>IF(AR119&lt;&gt;"",ROUND(AR119,0),ROUND(SUM(Z118,AH118),0))</f>
        <v>0</v>
      </c>
      <c r="AK119" s="8399"/>
      <c r="AL119" s="8399"/>
      <c r="AM119" s="8399"/>
      <c r="AN119" s="8399"/>
      <c r="AO119" s="8399"/>
      <c r="AP119" s="1277"/>
      <c r="AQ119" s="2875"/>
      <c r="AR119" s="776"/>
      <c r="AS119" s="2875"/>
      <c r="BG119" s="769"/>
      <c r="BH119" s="658"/>
      <c r="BI119" s="658"/>
      <c r="BJ119" s="658"/>
      <c r="BK119" s="658"/>
      <c r="BL119" s="658"/>
      <c r="BM119" s="658"/>
      <c r="BN119" s="658"/>
      <c r="BO119" s="658"/>
      <c r="BP119" s="658"/>
    </row>
    <row r="120" spans="1:69" s="1405" customFormat="1" ht="17.25" customHeight="1">
      <c r="A120" s="2119"/>
      <c r="B120" s="8427" t="s">
        <v>2117</v>
      </c>
      <c r="C120" s="8427"/>
      <c r="D120" s="8428"/>
      <c r="E120" s="2120"/>
      <c r="F120" s="4836" t="s">
        <v>2436</v>
      </c>
      <c r="G120" s="2120"/>
      <c r="H120" s="2120"/>
      <c r="I120" s="2120"/>
      <c r="J120" s="2120"/>
      <c r="K120" s="2120"/>
      <c r="L120" s="2120"/>
      <c r="M120" s="2120"/>
      <c r="N120" s="2120"/>
      <c r="O120" s="2120"/>
      <c r="P120" s="2120"/>
      <c r="Q120" s="2120"/>
      <c r="R120" s="2120"/>
      <c r="S120" s="2120"/>
      <c r="T120" s="2120"/>
      <c r="U120" s="2120"/>
      <c r="V120" s="2120"/>
      <c r="W120" s="2120"/>
      <c r="X120" s="3901"/>
      <c r="Y120" s="2120"/>
      <c r="Z120" s="2120"/>
      <c r="AA120" s="2120"/>
      <c r="AB120" s="2120"/>
      <c r="AC120" s="2120"/>
      <c r="AD120" s="2120"/>
      <c r="AE120" s="2120"/>
      <c r="AF120" s="2120"/>
      <c r="AG120" s="2120"/>
      <c r="AH120" s="2120"/>
      <c r="AI120" s="2120"/>
      <c r="AJ120" s="2120"/>
      <c r="AK120" s="2120"/>
      <c r="AL120" s="2120"/>
      <c r="AM120" s="2120"/>
      <c r="AN120" s="2120"/>
      <c r="AO120" s="2120"/>
      <c r="AP120" s="1277"/>
      <c r="AQ120" s="2875"/>
      <c r="AR120" s="2875"/>
      <c r="AS120" s="2875"/>
      <c r="AX120"/>
      <c r="AY120"/>
      <c r="AZ120"/>
      <c r="BA120"/>
      <c r="BB120"/>
      <c r="BC120"/>
      <c r="BD120"/>
      <c r="BG120" s="769"/>
      <c r="BH120" s="658"/>
      <c r="BI120" s="658"/>
      <c r="BJ120" s="658"/>
      <c r="BK120" s="658"/>
      <c r="BL120" s="658"/>
      <c r="BM120" s="658"/>
      <c r="BN120" s="658"/>
      <c r="BO120" s="658"/>
      <c r="BP120" s="658"/>
      <c r="BQ120" s="815"/>
    </row>
    <row r="121" spans="1:69" ht="15.75" customHeight="1" thickBot="1">
      <c r="A121" s="1277"/>
      <c r="B121" s="8409">
        <v>40</v>
      </c>
      <c r="C121" s="8409"/>
      <c r="D121" s="4846" t="s">
        <v>2437</v>
      </c>
      <c r="E121" s="406"/>
      <c r="F121" s="406"/>
      <c r="G121" s="406"/>
      <c r="H121" s="406"/>
      <c r="I121" s="406"/>
      <c r="J121" s="406"/>
      <c r="K121" s="406"/>
      <c r="L121" s="406"/>
      <c r="M121" s="406"/>
      <c r="N121" s="406"/>
      <c r="O121" s="406"/>
      <c r="P121" s="406"/>
      <c r="Q121" s="406"/>
      <c r="R121" s="406"/>
      <c r="S121" s="406"/>
      <c r="T121" s="406"/>
      <c r="U121" s="406"/>
      <c r="V121" s="406"/>
      <c r="W121" s="406"/>
      <c r="X121" s="406"/>
      <c r="Y121" s="406"/>
      <c r="Z121" s="406"/>
      <c r="AA121" s="406"/>
      <c r="AB121" s="406"/>
      <c r="AC121" s="406"/>
      <c r="AD121" s="406"/>
      <c r="AE121" s="406"/>
      <c r="AF121" s="406"/>
      <c r="AG121" s="2198" t="s">
        <v>601</v>
      </c>
      <c r="AH121" s="8461">
        <v>40</v>
      </c>
      <c r="AI121" s="8462"/>
      <c r="AJ121" s="8608"/>
      <c r="AK121" s="8609"/>
      <c r="AL121" s="8609"/>
      <c r="AM121" s="8609"/>
      <c r="AN121" s="8609"/>
      <c r="AO121" s="8609"/>
      <c r="AP121" s="1277"/>
      <c r="AQ121" s="2875"/>
      <c r="AR121" s="2875"/>
      <c r="AS121" s="2875"/>
      <c r="BG121" s="769"/>
      <c r="BH121" s="658"/>
      <c r="BI121" s="658"/>
      <c r="BJ121" s="658"/>
      <c r="BK121" s="658"/>
      <c r="BL121" s="658"/>
      <c r="BM121" s="658"/>
      <c r="BN121" s="658"/>
      <c r="BO121" s="658"/>
      <c r="BP121" s="658"/>
    </row>
    <row r="122" spans="1:69" ht="13.5" customHeight="1">
      <c r="A122" s="1277"/>
      <c r="B122" s="7608">
        <v>41</v>
      </c>
      <c r="C122" s="7608"/>
      <c r="D122" s="511" t="s">
        <v>2454</v>
      </c>
      <c r="E122" s="253"/>
      <c r="F122" s="253"/>
      <c r="G122" s="253"/>
      <c r="H122" s="253"/>
      <c r="I122" s="253"/>
      <c r="J122" s="253"/>
      <c r="K122" s="253"/>
      <c r="L122" s="253"/>
      <c r="M122" s="253"/>
      <c r="N122" s="253"/>
      <c r="O122" s="253"/>
      <c r="P122" s="253"/>
      <c r="Q122" s="253"/>
      <c r="R122" s="253"/>
      <c r="S122" s="253"/>
      <c r="T122" s="253"/>
      <c r="U122" s="253"/>
      <c r="V122" s="253"/>
      <c r="W122" s="253"/>
      <c r="X122" s="253"/>
      <c r="Y122" s="253"/>
      <c r="Z122" s="253"/>
      <c r="AA122" s="253"/>
      <c r="AB122" s="253"/>
      <c r="AC122" s="253"/>
      <c r="AD122" s="253"/>
      <c r="AE122" s="253"/>
      <c r="AF122" s="253"/>
      <c r="AG122" s="409"/>
      <c r="AH122" s="4242"/>
      <c r="AI122" s="84"/>
      <c r="AJ122" s="1899"/>
      <c r="AK122" s="1900"/>
      <c r="AL122" s="1900"/>
      <c r="AM122" s="1900"/>
      <c r="AN122" s="1900"/>
      <c r="AO122" s="1900"/>
      <c r="AP122" s="1277"/>
      <c r="AQ122" s="2875"/>
      <c r="AR122" s="2875"/>
      <c r="AS122" s="2875"/>
      <c r="AX122" s="1405"/>
      <c r="AY122" s="1405"/>
      <c r="AZ122" s="1405"/>
      <c r="BA122" s="1405"/>
      <c r="BB122" s="1405"/>
      <c r="BC122" s="1405"/>
      <c r="BD122" s="1405"/>
      <c r="BG122" s="769"/>
      <c r="BH122" s="658"/>
      <c r="BI122" s="658"/>
      <c r="BJ122" s="658"/>
      <c r="BK122" s="658"/>
      <c r="BL122" s="658"/>
      <c r="BM122" s="658"/>
      <c r="BN122" s="658"/>
      <c r="BO122" s="658"/>
      <c r="BP122" s="658"/>
    </row>
    <row r="123" spans="1:69" ht="13.5" customHeight="1">
      <c r="A123" s="1277"/>
      <c r="B123" s="7608"/>
      <c r="C123" s="7608"/>
      <c r="D123" s="511" t="s">
        <v>2455</v>
      </c>
      <c r="E123" s="253"/>
      <c r="F123" s="253"/>
      <c r="G123" s="253"/>
      <c r="H123" s="253"/>
      <c r="I123" s="253"/>
      <c r="J123" s="253"/>
      <c r="K123" s="253"/>
      <c r="L123" s="253"/>
      <c r="M123" s="253"/>
      <c r="N123" s="253"/>
      <c r="O123" s="253"/>
      <c r="P123" s="253"/>
      <c r="Q123" s="253"/>
      <c r="R123" s="253"/>
      <c r="S123" s="253"/>
      <c r="T123" s="253"/>
      <c r="U123" s="253"/>
      <c r="V123" s="253"/>
      <c r="W123" s="253"/>
      <c r="X123" s="253"/>
      <c r="Y123" s="253"/>
      <c r="Z123" s="253"/>
      <c r="AA123" s="253"/>
      <c r="AB123" s="253"/>
      <c r="AC123" s="253"/>
      <c r="AD123" s="253"/>
      <c r="AE123" s="253"/>
      <c r="AF123" s="253"/>
      <c r="AG123" s="2198" t="s">
        <v>1882</v>
      </c>
      <c r="AH123" s="8463">
        <v>41</v>
      </c>
      <c r="AI123" s="8464"/>
      <c r="AJ123" s="7067">
        <f>IF(AR123&lt;&gt;"",ROUND(AR123,0),IF(SchE3_Completed,SUM(SchE3_Line26,SchE3_Line32,SchE3_Line37,SchE3_Line39,ROUND(SchE3_Line40,0)),0))</f>
        <v>0</v>
      </c>
      <c r="AK123" s="7238"/>
      <c r="AL123" s="7238"/>
      <c r="AM123" s="7238"/>
      <c r="AN123" s="7238"/>
      <c r="AO123" s="7238"/>
      <c r="AP123" s="1277"/>
      <c r="AQ123" s="2875"/>
      <c r="AR123" s="776"/>
      <c r="AS123" s="2875"/>
      <c r="AV123" t="b">
        <f>OR(SchE3_Line26&lt;&gt;0,SchE3_Line32&lt;&gt;0,SchE3_Line37&lt;&gt;0,SchE3_Line39&lt;&gt;0,SchE3_Line40&lt;&gt;0)</f>
        <v>0</v>
      </c>
      <c r="AX123" s="1405"/>
      <c r="AY123" s="1405"/>
      <c r="AZ123" s="1405"/>
      <c r="BA123" s="1405"/>
      <c r="BB123" s="1405"/>
      <c r="BC123" s="1405"/>
      <c r="BD123" s="1405"/>
      <c r="BG123" s="769"/>
      <c r="BH123" s="658"/>
      <c r="BI123" s="658"/>
      <c r="BJ123" s="658"/>
      <c r="BK123" s="658"/>
      <c r="BL123" s="658"/>
      <c r="BM123" s="658"/>
      <c r="BN123" s="658"/>
      <c r="BO123" s="658"/>
      <c r="BP123" s="658"/>
    </row>
    <row r="124" spans="1:69" ht="12.75" customHeight="1">
      <c r="A124" s="1277"/>
      <c r="B124" s="7608">
        <v>42</v>
      </c>
      <c r="C124" s="7608"/>
      <c r="D124" s="1323" t="s">
        <v>2440</v>
      </c>
      <c r="E124" s="253"/>
      <c r="F124" s="253"/>
      <c r="G124" s="253"/>
      <c r="H124" s="253"/>
      <c r="I124" s="253"/>
      <c r="J124" s="253"/>
      <c r="K124" s="253"/>
      <c r="L124" s="253"/>
      <c r="M124" s="253"/>
      <c r="N124" s="253"/>
      <c r="O124" s="253"/>
      <c r="P124" s="253"/>
      <c r="Q124" s="253"/>
      <c r="R124" s="253"/>
      <c r="S124" s="253"/>
      <c r="T124" s="253"/>
      <c r="U124" s="253"/>
      <c r="V124" s="253"/>
      <c r="W124" s="253"/>
      <c r="X124" s="253"/>
      <c r="Y124" s="2094"/>
      <c r="Z124" s="4847"/>
      <c r="AA124" s="4847"/>
      <c r="AB124" s="4847"/>
      <c r="AC124" s="4847"/>
      <c r="AD124" s="4847"/>
      <c r="AE124" s="4847"/>
      <c r="AF124" s="4847"/>
      <c r="AG124" s="2095"/>
      <c r="AH124" s="723"/>
      <c r="AI124" s="723"/>
      <c r="AJ124" s="723"/>
      <c r="AK124" s="723"/>
      <c r="AL124" s="723"/>
      <c r="AM124" s="723"/>
      <c r="AN124" s="723"/>
      <c r="AO124" s="723"/>
      <c r="AP124" s="1277"/>
      <c r="AQ124" s="2875"/>
      <c r="AR124" s="2875"/>
      <c r="AS124" s="2875"/>
      <c r="AV124" s="212">
        <f>IF(SchE3_Completed,SchE3_Line41,SchE3_Line26)</f>
        <v>0</v>
      </c>
      <c r="BG124" s="769"/>
      <c r="BH124" s="658"/>
      <c r="BI124" s="658"/>
      <c r="BJ124" s="658"/>
      <c r="BK124" s="658"/>
      <c r="BL124" s="658"/>
      <c r="BM124" s="658"/>
      <c r="BN124" s="658"/>
      <c r="BO124" s="658"/>
      <c r="BP124" s="658"/>
    </row>
    <row r="125" spans="1:69" ht="12.75" customHeight="1">
      <c r="A125" s="1277"/>
      <c r="B125" s="3377"/>
      <c r="C125" s="253"/>
      <c r="D125" s="511" t="s">
        <v>2441</v>
      </c>
      <c r="E125" s="253"/>
      <c r="F125" s="253"/>
      <c r="G125" s="253"/>
      <c r="H125" s="253"/>
      <c r="I125" s="253"/>
      <c r="J125" s="253"/>
      <c r="K125" s="253"/>
      <c r="L125" s="253"/>
      <c r="M125" s="253"/>
      <c r="N125" s="253"/>
      <c r="O125" s="253"/>
      <c r="P125" s="253"/>
      <c r="Q125" s="253"/>
      <c r="R125" s="253"/>
      <c r="S125" s="253"/>
      <c r="T125" s="253"/>
      <c r="U125" s="253"/>
      <c r="V125" s="253"/>
      <c r="W125" s="253"/>
      <c r="X125" s="253"/>
      <c r="Y125" s="2073"/>
      <c r="Z125" s="723"/>
      <c r="AA125" s="723"/>
      <c r="AB125" s="723"/>
      <c r="AC125" s="723"/>
      <c r="AD125" s="723"/>
      <c r="AE125" s="723"/>
      <c r="AF125" s="723"/>
      <c r="AG125" s="2074"/>
      <c r="AH125" s="723"/>
      <c r="AI125" s="723"/>
      <c r="AJ125" s="723"/>
      <c r="AK125" s="723"/>
      <c r="AL125" s="723"/>
      <c r="AM125" s="723"/>
      <c r="AN125" s="723"/>
      <c r="AO125" s="723"/>
      <c r="AP125" s="1277"/>
      <c r="BG125" s="769"/>
      <c r="BH125" s="658"/>
      <c r="BI125" s="658"/>
      <c r="BJ125" s="658"/>
      <c r="BK125" s="658"/>
      <c r="BL125" s="658"/>
      <c r="BM125" s="658"/>
      <c r="BN125" s="658"/>
      <c r="BO125" s="658"/>
      <c r="BP125" s="658"/>
    </row>
    <row r="126" spans="1:69" ht="12.75" customHeight="1">
      <c r="A126" s="1277"/>
      <c r="B126" s="3377"/>
      <c r="C126" s="253"/>
      <c r="D126" s="511" t="s">
        <v>2442</v>
      </c>
      <c r="E126" s="253"/>
      <c r="F126" s="253"/>
      <c r="G126" s="253"/>
      <c r="H126" s="253"/>
      <c r="I126" s="253"/>
      <c r="J126" s="253"/>
      <c r="K126" s="253"/>
      <c r="L126" s="253"/>
      <c r="M126" s="253"/>
      <c r="N126" s="253"/>
      <c r="O126" s="253"/>
      <c r="P126" s="253"/>
      <c r="Q126" s="253"/>
      <c r="R126" s="253"/>
      <c r="S126" s="253"/>
      <c r="T126" s="253"/>
      <c r="U126" s="253"/>
      <c r="V126" s="253"/>
      <c r="W126" s="253"/>
      <c r="X126" s="253"/>
      <c r="Y126" s="2073"/>
      <c r="Z126" s="723"/>
      <c r="AA126" s="723"/>
      <c r="AB126" s="723"/>
      <c r="AC126" s="723"/>
      <c r="AD126" s="723"/>
      <c r="AE126" s="723"/>
      <c r="AF126" s="723"/>
      <c r="AG126" s="2074"/>
      <c r="AH126" s="723"/>
      <c r="AI126" s="723"/>
      <c r="AJ126" s="723"/>
      <c r="AK126" s="723"/>
      <c r="AL126" s="723"/>
      <c r="AM126" s="723"/>
      <c r="AN126" s="723"/>
      <c r="AO126" s="723"/>
      <c r="AP126" s="1277"/>
      <c r="BG126" s="769"/>
      <c r="BH126" s="658"/>
      <c r="BI126" s="658"/>
      <c r="BJ126" s="658"/>
      <c r="BK126" s="658"/>
      <c r="BL126" s="658"/>
      <c r="BM126" s="658"/>
      <c r="BN126" s="658"/>
      <c r="BO126" s="658"/>
      <c r="BP126" s="658"/>
    </row>
    <row r="127" spans="1:69" ht="13.5" customHeight="1">
      <c r="A127" s="1277"/>
      <c r="B127" s="3377"/>
      <c r="C127" s="253"/>
      <c r="D127" s="511" t="s">
        <v>5248</v>
      </c>
      <c r="E127" s="253"/>
      <c r="F127" s="253"/>
      <c r="G127" s="253"/>
      <c r="H127" s="253"/>
      <c r="I127" s="253"/>
      <c r="J127" s="253"/>
      <c r="K127" s="253"/>
      <c r="L127" s="253"/>
      <c r="M127" s="253"/>
      <c r="N127" s="253"/>
      <c r="O127" s="253"/>
      <c r="P127" s="253"/>
      <c r="Q127" s="253"/>
      <c r="R127" s="253"/>
      <c r="S127" s="253"/>
      <c r="T127" s="253"/>
      <c r="U127" s="253"/>
      <c r="V127" s="253"/>
      <c r="W127" s="253"/>
      <c r="X127" s="1401" t="s">
        <v>905</v>
      </c>
      <c r="Y127" s="8631">
        <v>42</v>
      </c>
      <c r="Z127" s="8632"/>
      <c r="AA127" s="8633"/>
      <c r="AB127" s="8634"/>
      <c r="AC127" s="8634"/>
      <c r="AD127" s="8634"/>
      <c r="AE127" s="8634"/>
      <c r="AF127" s="8634"/>
      <c r="AG127" s="8634"/>
      <c r="AH127" s="723"/>
      <c r="AI127" s="723"/>
      <c r="AJ127" s="723"/>
      <c r="AK127" s="723"/>
      <c r="AL127" s="723"/>
      <c r="AM127" s="723"/>
      <c r="AN127" s="723"/>
      <c r="AO127" s="723"/>
      <c r="AP127" s="1277"/>
      <c r="BG127" s="769"/>
      <c r="BH127" s="658"/>
      <c r="BI127" s="658"/>
      <c r="BJ127" s="658"/>
      <c r="BK127" s="658"/>
      <c r="BL127" s="658"/>
      <c r="BM127" s="658"/>
      <c r="BN127" s="658"/>
      <c r="BO127" s="658"/>
      <c r="BP127" s="658"/>
    </row>
    <row r="128" spans="1:69" ht="12.75" customHeight="1">
      <c r="A128" s="1277"/>
      <c r="B128" s="7608">
        <v>43</v>
      </c>
      <c r="C128" s="7608"/>
      <c r="D128" s="511" t="s">
        <v>2444</v>
      </c>
      <c r="E128" s="253"/>
      <c r="F128" s="253"/>
      <c r="G128" s="253"/>
      <c r="H128" s="253"/>
      <c r="I128" s="253"/>
      <c r="J128" s="253"/>
      <c r="K128" s="253"/>
      <c r="L128" s="253"/>
      <c r="M128" s="253"/>
      <c r="N128" s="253"/>
      <c r="O128" s="253"/>
      <c r="P128" s="253"/>
      <c r="Q128" s="253"/>
      <c r="R128" s="253"/>
      <c r="S128" s="253"/>
      <c r="T128" s="253"/>
      <c r="U128" s="253"/>
      <c r="V128" s="253"/>
      <c r="W128" s="253"/>
      <c r="X128" s="253"/>
      <c r="Y128" s="2094"/>
      <c r="Z128" s="4847"/>
      <c r="AA128" s="4847"/>
      <c r="AB128" s="4847"/>
      <c r="AC128" s="4847"/>
      <c r="AD128" s="4847"/>
      <c r="AE128" s="4847"/>
      <c r="AF128" s="4847"/>
      <c r="AG128" s="2095"/>
      <c r="AH128" s="723"/>
      <c r="AI128" s="723"/>
      <c r="AJ128" s="723"/>
      <c r="AK128" s="723"/>
      <c r="AL128" s="723"/>
      <c r="AM128" s="723"/>
      <c r="AN128" s="723"/>
      <c r="AO128" s="723"/>
      <c r="AP128" s="1277"/>
      <c r="BG128" s="769"/>
      <c r="BH128" s="658"/>
      <c r="BI128" s="658"/>
      <c r="BJ128" s="658"/>
      <c r="BK128" s="658"/>
      <c r="BL128" s="658"/>
      <c r="BM128" s="658"/>
      <c r="BN128" s="658"/>
      <c r="BO128" s="658"/>
      <c r="BP128" s="658"/>
    </row>
    <row r="129" spans="1:69" ht="12.75" customHeight="1">
      <c r="A129" s="1277"/>
      <c r="B129" s="3377"/>
      <c r="C129" s="253"/>
      <c r="D129" s="2100" t="s">
        <v>2445</v>
      </c>
      <c r="E129" s="253"/>
      <c r="F129" s="253"/>
      <c r="G129" s="253"/>
      <c r="H129" s="253"/>
      <c r="I129" s="253"/>
      <c r="J129" s="253"/>
      <c r="K129" s="253"/>
      <c r="L129" s="253"/>
      <c r="M129" s="253"/>
      <c r="N129" s="253"/>
      <c r="O129" s="253"/>
      <c r="P129" s="253"/>
      <c r="Q129" s="253"/>
      <c r="R129" s="253"/>
      <c r="S129" s="253"/>
      <c r="T129" s="253"/>
      <c r="U129" s="253"/>
      <c r="V129" s="253"/>
      <c r="W129" s="253"/>
      <c r="X129" s="253"/>
      <c r="Y129" s="2073"/>
      <c r="Z129" s="723"/>
      <c r="AA129" s="723"/>
      <c r="AB129" s="723"/>
      <c r="AC129" s="723"/>
      <c r="AD129" s="723"/>
      <c r="AE129" s="723"/>
      <c r="AF129" s="723"/>
      <c r="AG129" s="2074"/>
      <c r="AH129" s="723"/>
      <c r="AI129" s="723"/>
      <c r="AJ129" s="723"/>
      <c r="AK129" s="723"/>
      <c r="AL129" s="723"/>
      <c r="AM129" s="723"/>
      <c r="AN129" s="723"/>
      <c r="AO129" s="723"/>
      <c r="AP129" s="1277"/>
      <c r="BG129" s="769"/>
      <c r="BH129" s="658"/>
      <c r="BI129" s="658"/>
      <c r="BJ129" s="658"/>
      <c r="BK129" s="658"/>
      <c r="BL129" s="658"/>
      <c r="BM129" s="658"/>
      <c r="BN129" s="658"/>
      <c r="BO129" s="658"/>
      <c r="BP129" s="658"/>
    </row>
    <row r="130" spans="1:69" ht="12.75" customHeight="1">
      <c r="A130" s="1277"/>
      <c r="B130" s="3377"/>
      <c r="C130" s="253"/>
      <c r="D130" s="2100" t="s">
        <v>2446</v>
      </c>
      <c r="E130" s="253"/>
      <c r="F130" s="253"/>
      <c r="G130" s="253"/>
      <c r="H130" s="253"/>
      <c r="I130" s="253"/>
      <c r="J130" s="253"/>
      <c r="K130" s="253"/>
      <c r="L130" s="253"/>
      <c r="M130" s="253"/>
      <c r="N130" s="253"/>
      <c r="O130" s="253"/>
      <c r="P130" s="253"/>
      <c r="Q130" s="253"/>
      <c r="R130" s="253"/>
      <c r="S130" s="253"/>
      <c r="T130" s="253"/>
      <c r="U130" s="253"/>
      <c r="V130" s="253"/>
      <c r="W130" s="253"/>
      <c r="X130" s="253"/>
      <c r="Y130" s="2073"/>
      <c r="Z130" s="723"/>
      <c r="AA130" s="723"/>
      <c r="AB130" s="723"/>
      <c r="AC130" s="723"/>
      <c r="AD130" s="723"/>
      <c r="AE130" s="723"/>
      <c r="AF130" s="723"/>
      <c r="AG130" s="2074"/>
      <c r="AH130" s="723"/>
      <c r="AI130" s="723"/>
      <c r="AJ130" s="723"/>
      <c r="AK130" s="723"/>
      <c r="AL130" s="723"/>
      <c r="AM130" s="723"/>
      <c r="AN130" s="723"/>
      <c r="AO130" s="723"/>
      <c r="AP130" s="1277"/>
      <c r="BG130" s="769"/>
      <c r="BH130" s="658"/>
      <c r="BI130" s="658"/>
      <c r="BJ130" s="658"/>
      <c r="BK130" s="658"/>
      <c r="BL130" s="658"/>
      <c r="BM130" s="658"/>
      <c r="BN130" s="658"/>
      <c r="BO130" s="658"/>
      <c r="BP130" s="658"/>
    </row>
    <row r="131" spans="1:69" ht="12.75" customHeight="1">
      <c r="A131" s="1277"/>
      <c r="B131" s="3377"/>
      <c r="C131" s="253"/>
      <c r="D131" s="511" t="s">
        <v>2447</v>
      </c>
      <c r="E131" s="253"/>
      <c r="F131" s="253"/>
      <c r="G131" s="253"/>
      <c r="H131" s="253"/>
      <c r="I131" s="253"/>
      <c r="J131" s="253"/>
      <c r="K131" s="253"/>
      <c r="L131" s="253"/>
      <c r="M131" s="253"/>
      <c r="N131" s="253"/>
      <c r="O131" s="253"/>
      <c r="P131" s="253"/>
      <c r="Q131" s="253"/>
      <c r="R131" s="253"/>
      <c r="S131" s="253"/>
      <c r="T131" s="253"/>
      <c r="U131" s="253"/>
      <c r="V131" s="253"/>
      <c r="W131" s="253"/>
      <c r="X131" s="253"/>
      <c r="Y131" s="2073"/>
      <c r="Z131" s="723"/>
      <c r="AA131" s="723"/>
      <c r="AB131" s="723"/>
      <c r="AC131" s="723"/>
      <c r="AD131" s="723"/>
      <c r="AE131" s="723"/>
      <c r="AF131" s="723"/>
      <c r="AG131" s="2074"/>
      <c r="AH131" s="723"/>
      <c r="AI131" s="723"/>
      <c r="AJ131" s="723"/>
      <c r="AK131" s="723"/>
      <c r="AL131" s="723"/>
      <c r="AM131" s="723"/>
      <c r="AN131" s="723"/>
      <c r="AO131" s="723"/>
      <c r="AP131" s="1277"/>
      <c r="BG131" s="769"/>
      <c r="BH131" s="658"/>
      <c r="BI131" s="658"/>
      <c r="BJ131" s="658"/>
      <c r="BK131" s="658"/>
      <c r="BL131" s="658"/>
      <c r="BM131" s="658"/>
      <c r="BN131" s="658"/>
      <c r="BO131" s="658"/>
      <c r="BP131" s="658"/>
    </row>
    <row r="132" spans="1:69" ht="13.5" customHeight="1" thickBot="1">
      <c r="A132" s="1277"/>
      <c r="B132" s="4829"/>
      <c r="C132" s="380"/>
      <c r="D132" s="2015" t="s">
        <v>2448</v>
      </c>
      <c r="E132" s="380"/>
      <c r="F132" s="380"/>
      <c r="G132" s="380"/>
      <c r="H132" s="380"/>
      <c r="I132" s="380"/>
      <c r="J132" s="380"/>
      <c r="K132" s="380"/>
      <c r="L132" s="380"/>
      <c r="M132" s="380"/>
      <c r="N132" s="380"/>
      <c r="O132" s="380"/>
      <c r="P132" s="380"/>
      <c r="Q132" s="380"/>
      <c r="R132" s="380"/>
      <c r="S132" s="380"/>
      <c r="T132" s="380"/>
      <c r="U132" s="380"/>
      <c r="V132" s="380"/>
      <c r="W132" s="380"/>
      <c r="X132" s="1658" t="s">
        <v>842</v>
      </c>
      <c r="Y132" s="8635">
        <v>43</v>
      </c>
      <c r="Z132" s="8636"/>
      <c r="AA132" s="8637"/>
      <c r="AB132" s="8638"/>
      <c r="AC132" s="8638"/>
      <c r="AD132" s="8638"/>
      <c r="AE132" s="8638"/>
      <c r="AF132" s="8638"/>
      <c r="AG132" s="8638"/>
      <c r="AH132" s="818"/>
      <c r="AI132" s="818"/>
      <c r="AJ132" s="818"/>
      <c r="AK132" s="818"/>
      <c r="AL132" s="818"/>
      <c r="AM132" s="818"/>
      <c r="AN132" s="818"/>
      <c r="AO132" s="818"/>
      <c r="AP132" s="1277"/>
      <c r="BG132" s="769"/>
      <c r="BH132" s="658"/>
      <c r="BI132" s="658"/>
      <c r="BJ132" s="658"/>
      <c r="BK132" s="658"/>
      <c r="BL132" s="658"/>
      <c r="BM132" s="658"/>
      <c r="BN132" s="658"/>
      <c r="BO132" s="658"/>
      <c r="BP132" s="658"/>
    </row>
    <row r="133" spans="1:69" ht="12.75" customHeight="1">
      <c r="A133" s="1277"/>
      <c r="B133" s="3377"/>
      <c r="C133" s="253"/>
      <c r="D133" s="253"/>
      <c r="E133" s="253"/>
      <c r="F133" s="253"/>
      <c r="G133" s="253"/>
      <c r="H133" s="253"/>
      <c r="I133" s="253"/>
      <c r="J133" s="253"/>
      <c r="K133" s="253"/>
      <c r="L133" s="253"/>
      <c r="M133" s="253"/>
      <c r="N133" s="253"/>
      <c r="O133" s="253"/>
      <c r="P133" s="253"/>
      <c r="Q133" s="253"/>
      <c r="R133" s="253"/>
      <c r="S133" s="253"/>
      <c r="T133" s="253"/>
      <c r="U133" s="253"/>
      <c r="V133" s="253"/>
      <c r="W133" s="253"/>
      <c r="X133" s="253"/>
      <c r="Y133" s="253"/>
      <c r="Z133" s="253"/>
      <c r="AA133" s="253"/>
      <c r="AB133" s="253"/>
      <c r="AC133" s="253"/>
      <c r="AD133" s="253"/>
      <c r="AE133" s="253"/>
      <c r="AF133" s="253"/>
      <c r="AG133" s="253"/>
      <c r="AH133" s="253"/>
      <c r="AI133" s="253"/>
      <c r="AJ133" s="253"/>
      <c r="AK133" s="253"/>
      <c r="AL133" s="253"/>
      <c r="AM133" s="253"/>
      <c r="AN133" s="253"/>
      <c r="AO133" s="1989" t="str">
        <f>"Schedule E (Form 1040) "&amp;TaxYear</f>
        <v>Schedule E (Form 1040) 2025</v>
      </c>
      <c r="AP133" s="1277"/>
      <c r="BG133" s="769"/>
      <c r="BH133" s="658"/>
      <c r="BI133" s="658"/>
      <c r="BJ133" s="658"/>
      <c r="BK133" s="658"/>
      <c r="BL133" s="658"/>
      <c r="BM133" s="658"/>
      <c r="BN133" s="658"/>
      <c r="BO133" s="658"/>
      <c r="BP133" s="658"/>
    </row>
    <row r="134" spans="1:69" ht="18" customHeight="1">
      <c r="A134" s="1277"/>
      <c r="B134" s="8616" t="s">
        <v>2316</v>
      </c>
      <c r="C134" s="8617"/>
      <c r="D134" s="8617"/>
      <c r="E134" s="8617"/>
      <c r="F134" s="8617"/>
      <c r="G134" s="8618"/>
      <c r="H134" s="4750"/>
      <c r="I134" s="253"/>
      <c r="J134" s="253"/>
      <c r="K134" s="253"/>
      <c r="L134" s="253"/>
      <c r="M134" s="2329"/>
      <c r="N134" s="253"/>
      <c r="O134" s="253"/>
      <c r="P134" s="253"/>
      <c r="Q134" s="253"/>
      <c r="R134" s="253"/>
      <c r="S134" s="253"/>
      <c r="T134" s="253"/>
      <c r="U134" s="253"/>
      <c r="V134" s="253"/>
      <c r="W134" s="253"/>
      <c r="X134" s="253"/>
      <c r="Y134" s="253"/>
      <c r="Z134" s="253"/>
      <c r="AA134" s="253"/>
      <c r="AB134" s="253"/>
      <c r="AC134" s="253"/>
      <c r="AD134" s="253"/>
      <c r="AE134" s="253"/>
      <c r="AF134" s="253"/>
      <c r="AG134" s="253"/>
      <c r="AH134" s="253"/>
      <c r="AI134" s="8578" t="str">
        <f>IF(AND('Table of Contents'!A39="D",AP134=""),"DRAFT","OMB No. 1545-0074")</f>
        <v>OMB No. 1545-0074</v>
      </c>
      <c r="AJ134" s="8458"/>
      <c r="AK134" s="8458"/>
      <c r="AL134" s="8458"/>
      <c r="AM134" s="8458"/>
      <c r="AN134" s="8458"/>
      <c r="AO134" s="8458"/>
      <c r="AP134" s="770"/>
      <c r="BG134" s="795" t="s">
        <v>289</v>
      </c>
      <c r="BH134" s="658"/>
      <c r="BI134" s="658"/>
      <c r="BJ134" s="658"/>
      <c r="BK134" s="658"/>
      <c r="BL134" s="658"/>
      <c r="BM134" s="658"/>
      <c r="BN134" s="658"/>
      <c r="BO134" s="658"/>
      <c r="BP134" s="658"/>
    </row>
    <row r="135" spans="1:69" ht="30" customHeight="1">
      <c r="A135" s="1277"/>
      <c r="B135" s="8581" t="s">
        <v>1815</v>
      </c>
      <c r="C135" s="8582"/>
      <c r="D135" s="8582"/>
      <c r="E135" s="8582"/>
      <c r="F135" s="8582"/>
      <c r="G135" s="8583"/>
      <c r="H135" s="4751" t="s">
        <v>2317</v>
      </c>
      <c r="I135" s="4752"/>
      <c r="J135" s="4752"/>
      <c r="K135" s="4752"/>
      <c r="L135" s="4752"/>
      <c r="M135" s="4752"/>
      <c r="N135" s="4752"/>
      <c r="O135" s="4752"/>
      <c r="P135" s="4752"/>
      <c r="Q135" s="4752"/>
      <c r="R135" s="4752"/>
      <c r="S135" s="4752"/>
      <c r="T135" s="4752"/>
      <c r="U135" s="4752"/>
      <c r="V135" s="4752"/>
      <c r="W135" s="4752"/>
      <c r="X135" s="4752"/>
      <c r="Y135" s="4752"/>
      <c r="Z135" s="4752"/>
      <c r="AA135" s="4752"/>
      <c r="AB135" s="4752"/>
      <c r="AC135" s="4752"/>
      <c r="AD135" s="4752"/>
      <c r="AE135" s="4752"/>
      <c r="AF135" s="4752"/>
      <c r="AG135" s="4752"/>
      <c r="AH135" s="4753"/>
      <c r="AI135" s="8586">
        <f>TaxYear</f>
        <v>2025</v>
      </c>
      <c r="AJ135" s="8587"/>
      <c r="AK135" s="8587"/>
      <c r="AL135" s="8587"/>
      <c r="AM135" s="8587"/>
      <c r="AN135" s="8587"/>
      <c r="AO135" s="8587"/>
      <c r="AP135" s="1277"/>
      <c r="BG135" s="769"/>
      <c r="BH135" s="658"/>
      <c r="BI135" s="658"/>
      <c r="BJ135" s="658"/>
      <c r="BK135" s="658"/>
      <c r="BL135" s="658"/>
      <c r="BM135" s="658"/>
      <c r="BN135" s="658"/>
      <c r="BO135" s="658"/>
      <c r="BP135" s="658"/>
    </row>
    <row r="136" spans="1:69">
      <c r="A136" s="1277"/>
      <c r="B136" s="7613" t="s">
        <v>2318</v>
      </c>
      <c r="C136" s="7925"/>
      <c r="D136" s="7925"/>
      <c r="E136" s="7925"/>
      <c r="F136" s="7925"/>
      <c r="G136" s="8579"/>
      <c r="H136" s="4443" t="str">
        <f>"(From rental real estate, royalties, partnerships, S corporations, estates, trusts, REMICs, etc.)"</f>
        <v>(From rental real estate, royalties, partnerships, S corporations, estates, trusts, REMICs, etc.)</v>
      </c>
      <c r="I136" s="4033"/>
      <c r="J136" s="4033"/>
      <c r="K136" s="4033"/>
      <c r="L136" s="4033"/>
      <c r="M136" s="4033"/>
      <c r="N136" s="4033"/>
      <c r="O136" s="4033"/>
      <c r="P136" s="4033"/>
      <c r="Q136" s="4033"/>
      <c r="R136" s="4033"/>
      <c r="S136" s="4033"/>
      <c r="T136" s="4754"/>
      <c r="U136" s="4033"/>
      <c r="V136" s="4033"/>
      <c r="W136" s="4033"/>
      <c r="X136" s="4033"/>
      <c r="Y136" s="4033"/>
      <c r="Z136" s="4033"/>
      <c r="AA136" s="4033"/>
      <c r="AB136" s="4033"/>
      <c r="AC136" s="4033"/>
      <c r="AD136" s="4033"/>
      <c r="AE136" s="4033"/>
      <c r="AF136" s="4033"/>
      <c r="AG136" s="4033"/>
      <c r="AH136" s="4033"/>
      <c r="AI136" s="8588"/>
      <c r="AJ136" s="8589"/>
      <c r="AK136" s="8589"/>
      <c r="AL136" s="8589"/>
      <c r="AM136" s="8589"/>
      <c r="AN136" s="8589"/>
      <c r="AO136" s="8589"/>
      <c r="AP136" s="1277"/>
      <c r="BG136" s="769"/>
      <c r="BH136" s="658"/>
      <c r="BI136" s="658"/>
      <c r="BJ136" s="658"/>
      <c r="BK136" s="658"/>
      <c r="BL136" s="658"/>
      <c r="BM136" s="658"/>
      <c r="BN136" s="658"/>
      <c r="BO136" s="658"/>
      <c r="BP136" s="658"/>
    </row>
    <row r="137" spans="1:69">
      <c r="A137" s="1277"/>
      <c r="B137" s="7613"/>
      <c r="C137" s="7925"/>
      <c r="D137" s="7925"/>
      <c r="E137" s="7925"/>
      <c r="F137" s="7925"/>
      <c r="G137" s="8579"/>
      <c r="H137" s="341"/>
      <c r="I137" s="253"/>
      <c r="J137" s="253"/>
      <c r="K137" s="253"/>
      <c r="L137" s="253"/>
      <c r="M137" s="253"/>
      <c r="N137" s="253"/>
      <c r="O137" s="253"/>
      <c r="P137" s="253"/>
      <c r="Q137" s="253"/>
      <c r="R137" s="253"/>
      <c r="S137" s="253"/>
      <c r="T137" s="733" t="s">
        <v>2319</v>
      </c>
      <c r="U137" s="253"/>
      <c r="V137" s="253"/>
      <c r="W137" s="253"/>
      <c r="X137" s="253"/>
      <c r="Y137" s="253"/>
      <c r="Z137" s="253"/>
      <c r="AA137" s="253"/>
      <c r="AB137" s="253"/>
      <c r="AC137" s="253"/>
      <c r="AD137" s="253"/>
      <c r="AE137" s="253"/>
      <c r="AF137" s="253"/>
      <c r="AG137" s="253"/>
      <c r="AH137" s="253"/>
      <c r="AI137" s="4755"/>
      <c r="AJ137" s="8584" t="s">
        <v>2320</v>
      </c>
      <c r="AK137" s="8370"/>
      <c r="AL137" s="8370"/>
      <c r="AM137" s="8370"/>
      <c r="AN137" s="1861"/>
      <c r="AO137" s="1861"/>
      <c r="AP137" s="1277"/>
      <c r="BG137" s="769"/>
      <c r="BH137" s="658"/>
      <c r="BI137" s="658"/>
      <c r="BJ137" s="658"/>
      <c r="BK137" s="658"/>
      <c r="BL137" s="658"/>
      <c r="BM137" s="658"/>
      <c r="BN137" s="658"/>
      <c r="BO137" s="658"/>
      <c r="BP137" s="658"/>
    </row>
    <row r="138" spans="1:69" ht="14.25" customHeight="1" thickBot="1">
      <c r="A138" s="1277"/>
      <c r="B138" s="7926"/>
      <c r="C138" s="7926"/>
      <c r="D138" s="7926"/>
      <c r="E138" s="7926"/>
      <c r="F138" s="7926"/>
      <c r="G138" s="8580"/>
      <c r="H138" s="4756" t="s">
        <v>2321</v>
      </c>
      <c r="I138" s="2879"/>
      <c r="J138" s="2879"/>
      <c r="K138" s="2879"/>
      <c r="L138" s="2879"/>
      <c r="M138" s="2879"/>
      <c r="N138" s="2879"/>
      <c r="O138" s="2879"/>
      <c r="P138" s="2879"/>
      <c r="Q138" s="2879"/>
      <c r="R138" s="2879"/>
      <c r="S138" s="2879"/>
      <c r="T138" s="2879"/>
      <c r="U138" s="2879"/>
      <c r="V138" s="2879"/>
      <c r="W138" s="2879"/>
      <c r="X138" s="2879"/>
      <c r="Y138" s="2879"/>
      <c r="Z138" s="2879"/>
      <c r="AA138" s="2879"/>
      <c r="AB138" s="2879"/>
      <c r="AC138" s="2879"/>
      <c r="AD138" s="2879"/>
      <c r="AE138" s="2879"/>
      <c r="AF138" s="2879"/>
      <c r="AG138" s="2879"/>
      <c r="AH138" s="2879"/>
      <c r="AI138" s="4757"/>
      <c r="AJ138" s="8585"/>
      <c r="AK138" s="8585"/>
      <c r="AL138" s="8585"/>
      <c r="AM138" s="8585"/>
      <c r="AN138" s="8615">
        <v>13</v>
      </c>
      <c r="AO138" s="8615"/>
      <c r="AP138" s="1277"/>
      <c r="BG138" s="769"/>
      <c r="BH138" s="658"/>
      <c r="BI138" s="658"/>
      <c r="BJ138" s="658"/>
      <c r="BK138" s="658"/>
      <c r="BL138" s="658"/>
      <c r="BM138" s="658"/>
      <c r="BN138" s="658"/>
      <c r="BO138" s="658"/>
      <c r="BP138" s="658"/>
    </row>
    <row r="139" spans="1:69">
      <c r="A139" s="1277"/>
      <c r="B139" s="344" t="s">
        <v>1918</v>
      </c>
      <c r="C139" s="253"/>
      <c r="D139" s="253"/>
      <c r="E139" s="253"/>
      <c r="F139" s="253"/>
      <c r="G139" s="253"/>
      <c r="H139" s="253"/>
      <c r="I139" s="253"/>
      <c r="J139" s="253"/>
      <c r="K139" s="253"/>
      <c r="L139" s="253"/>
      <c r="M139" s="253"/>
      <c r="N139" s="253"/>
      <c r="O139" s="253"/>
      <c r="P139" s="253"/>
      <c r="Q139" s="253"/>
      <c r="R139" s="253"/>
      <c r="S139" s="253"/>
      <c r="T139" s="253"/>
      <c r="U139" s="253"/>
      <c r="V139" s="253"/>
      <c r="W139" s="253"/>
      <c r="X139" s="253"/>
      <c r="Y139" s="253"/>
      <c r="Z139" s="253"/>
      <c r="AA139" s="253"/>
      <c r="AB139" s="253"/>
      <c r="AC139" s="253"/>
      <c r="AD139" s="253"/>
      <c r="AE139" s="253"/>
      <c r="AF139" s="253"/>
      <c r="AG139" s="8598" t="s">
        <v>549</v>
      </c>
      <c r="AH139" s="8599"/>
      <c r="AI139" s="8599"/>
      <c r="AJ139" s="8599"/>
      <c r="AK139" s="8599"/>
      <c r="AL139" s="8599"/>
      <c r="AM139" s="8599"/>
      <c r="AN139" s="8599"/>
      <c r="AO139" s="8599"/>
      <c r="AP139" s="1277"/>
      <c r="BG139" s="769"/>
      <c r="BH139" s="658"/>
      <c r="BI139" s="658"/>
      <c r="BJ139" s="658"/>
      <c r="BK139" s="658"/>
      <c r="BL139" s="658"/>
      <c r="BM139" s="658"/>
      <c r="BN139" s="658"/>
      <c r="BO139" s="658"/>
      <c r="BP139" s="658"/>
    </row>
    <row r="140" spans="1:69" ht="9.75" customHeight="1">
      <c r="A140" s="1277"/>
      <c r="B140" s="7600" t="str">
        <f>Names</f>
        <v/>
      </c>
      <c r="C140" s="7601"/>
      <c r="D140" s="7601"/>
      <c r="E140" s="7601"/>
      <c r="F140" s="7601"/>
      <c r="G140" s="7601"/>
      <c r="H140" s="7601"/>
      <c r="I140" s="7601"/>
      <c r="J140" s="7601"/>
      <c r="K140" s="7601"/>
      <c r="L140" s="7601"/>
      <c r="M140" s="7601"/>
      <c r="N140" s="7601"/>
      <c r="O140" s="7601"/>
      <c r="P140" s="7601"/>
      <c r="Q140" s="7601"/>
      <c r="R140" s="7601"/>
      <c r="S140" s="7601"/>
      <c r="T140" s="7601"/>
      <c r="U140" s="7601"/>
      <c r="V140" s="7601"/>
      <c r="W140" s="7601"/>
      <c r="X140" s="7601"/>
      <c r="Y140" s="7601"/>
      <c r="Z140" s="7601"/>
      <c r="AA140" s="7601"/>
      <c r="AB140" s="7601"/>
      <c r="AC140" s="7601"/>
      <c r="AD140" s="7601"/>
      <c r="AE140" s="7601"/>
      <c r="AF140" s="7602"/>
      <c r="AG140" s="8594">
        <f>IF(NoSSN,"",SS_Yours)</f>
        <v>1010001</v>
      </c>
      <c r="AH140" s="8595"/>
      <c r="AI140" s="8595"/>
      <c r="AJ140" s="8595"/>
      <c r="AK140" s="8595"/>
      <c r="AL140" s="8595"/>
      <c r="AM140" s="8595"/>
      <c r="AN140" s="8595"/>
      <c r="AO140" s="8595"/>
      <c r="AP140" s="1277"/>
      <c r="BG140" s="769"/>
      <c r="BH140" s="658"/>
      <c r="BI140" s="658"/>
      <c r="BJ140" s="658"/>
      <c r="BK140" s="658"/>
      <c r="BL140" s="658"/>
      <c r="BM140" s="658"/>
      <c r="BN140" s="658"/>
      <c r="BO140" s="658"/>
      <c r="BP140" s="658"/>
    </row>
    <row r="141" spans="1:69" ht="9.75" customHeight="1">
      <c r="A141" s="1277"/>
      <c r="B141" s="7603"/>
      <c r="C141" s="7603"/>
      <c r="D141" s="7603"/>
      <c r="E141" s="7603"/>
      <c r="F141" s="7603"/>
      <c r="G141" s="7603"/>
      <c r="H141" s="7603"/>
      <c r="I141" s="7603"/>
      <c r="J141" s="7603"/>
      <c r="K141" s="7603"/>
      <c r="L141" s="7603"/>
      <c r="M141" s="7603"/>
      <c r="N141" s="7603"/>
      <c r="O141" s="7603"/>
      <c r="P141" s="7603"/>
      <c r="Q141" s="7603"/>
      <c r="R141" s="7603"/>
      <c r="S141" s="7603"/>
      <c r="T141" s="7603"/>
      <c r="U141" s="7603"/>
      <c r="V141" s="7603"/>
      <c r="W141" s="7603"/>
      <c r="X141" s="7603"/>
      <c r="Y141" s="7603"/>
      <c r="Z141" s="7603"/>
      <c r="AA141" s="7603"/>
      <c r="AB141" s="7603"/>
      <c r="AC141" s="7603"/>
      <c r="AD141" s="7603"/>
      <c r="AE141" s="7603"/>
      <c r="AF141" s="7604"/>
      <c r="AG141" s="8596"/>
      <c r="AH141" s="8597"/>
      <c r="AI141" s="8597"/>
      <c r="AJ141" s="8597"/>
      <c r="AK141" s="8597"/>
      <c r="AL141" s="8597"/>
      <c r="AM141" s="8597"/>
      <c r="AN141" s="8597"/>
      <c r="AO141" s="8597"/>
      <c r="AP141" s="1277"/>
      <c r="BG141" s="769"/>
      <c r="BH141" s="658"/>
      <c r="BI141" s="658"/>
      <c r="BJ141" s="658"/>
      <c r="BK141" s="658"/>
      <c r="BL141" s="658"/>
      <c r="BM141" s="658"/>
      <c r="BN141" s="658"/>
      <c r="BO141" s="658"/>
      <c r="BP141" s="658"/>
    </row>
    <row r="142" spans="1:69" s="1405" customFormat="1" ht="17.25" customHeight="1">
      <c r="A142" s="2119"/>
      <c r="B142" s="8427" t="s">
        <v>780</v>
      </c>
      <c r="C142" s="8427"/>
      <c r="D142" s="8428"/>
      <c r="E142" s="2761"/>
      <c r="F142" s="4758" t="s">
        <v>2322</v>
      </c>
      <c r="G142" s="2761"/>
      <c r="H142" s="2761"/>
      <c r="I142" s="2761"/>
      <c r="J142" s="2761"/>
      <c r="K142" s="2761"/>
      <c r="L142" s="2761"/>
      <c r="M142" s="2761"/>
      <c r="N142" s="2761"/>
      <c r="O142" s="2761"/>
      <c r="P142" s="2761"/>
      <c r="Q142" s="2761"/>
      <c r="R142" s="2761"/>
      <c r="S142" s="2761"/>
      <c r="T142" s="2761"/>
      <c r="U142" s="2761"/>
      <c r="V142" s="2761"/>
      <c r="W142" s="2761"/>
      <c r="X142" s="2354"/>
      <c r="Y142" s="2761"/>
      <c r="Z142" s="2761"/>
      <c r="AA142" s="2761"/>
      <c r="AB142" s="2761"/>
      <c r="AC142" s="2761"/>
      <c r="AD142" s="2761"/>
      <c r="AE142" s="2761"/>
      <c r="AF142" s="2761"/>
      <c r="AG142" s="2761"/>
      <c r="AH142" s="2761"/>
      <c r="AI142" s="2761"/>
      <c r="AJ142" s="2761"/>
      <c r="AK142" s="2761"/>
      <c r="AL142" s="2761"/>
      <c r="AM142" s="2761"/>
      <c r="AN142" s="2761"/>
      <c r="AO142" s="2761"/>
      <c r="AP142" s="1277"/>
      <c r="BG142" s="769"/>
      <c r="BH142" s="658"/>
      <c r="BI142" s="658"/>
      <c r="BJ142" s="658"/>
      <c r="BK142" s="658"/>
      <c r="BL142" s="658"/>
      <c r="BM142" s="658"/>
      <c r="BN142" s="658"/>
      <c r="BO142" s="658"/>
      <c r="BP142" s="658"/>
      <c r="BQ142" s="815"/>
    </row>
    <row r="143" spans="1:69" ht="15.75">
      <c r="A143" s="1277"/>
      <c r="B143" s="4759"/>
      <c r="C143" s="4759"/>
      <c r="D143" s="4654"/>
      <c r="E143" s="1990"/>
      <c r="F143" s="511" t="s">
        <v>2323</v>
      </c>
      <c r="G143" s="4082"/>
      <c r="H143" s="4082"/>
      <c r="I143" s="4082"/>
      <c r="J143" s="4082"/>
      <c r="K143" s="4082"/>
      <c r="L143" s="4082"/>
      <c r="M143" s="1990"/>
      <c r="N143" s="4082"/>
      <c r="O143" s="4082"/>
      <c r="P143" s="4082"/>
      <c r="Q143" s="4082"/>
      <c r="R143" s="4082"/>
      <c r="S143" s="4082"/>
      <c r="T143" s="4082"/>
      <c r="U143" s="4082"/>
      <c r="V143" s="4082"/>
      <c r="W143" s="4082"/>
      <c r="X143" s="4082"/>
      <c r="Y143" s="4082"/>
      <c r="Z143" s="4082"/>
      <c r="AA143" s="4082"/>
      <c r="AB143" s="4082"/>
      <c r="AC143" s="4082"/>
      <c r="AD143" s="1990"/>
      <c r="AE143" s="4082"/>
      <c r="AF143" s="4082"/>
      <c r="AG143" s="4082"/>
      <c r="AH143" s="4082"/>
      <c r="AI143" s="4082"/>
      <c r="AJ143" s="4082"/>
      <c r="AK143" s="4082"/>
      <c r="AL143" s="4082"/>
      <c r="AM143" s="4082"/>
      <c r="AN143" s="4082"/>
      <c r="AO143" s="4082"/>
      <c r="AP143" s="1277"/>
      <c r="BG143" s="769"/>
      <c r="BH143" s="658"/>
      <c r="BI143" s="658"/>
      <c r="BJ143" s="658"/>
      <c r="BK143" s="658"/>
      <c r="BL143" s="658"/>
      <c r="BM143" s="658"/>
      <c r="BN143" s="658"/>
      <c r="BO143" s="658"/>
      <c r="BP143" s="658"/>
    </row>
    <row r="144" spans="1:69" ht="15.75">
      <c r="A144" s="1277"/>
      <c r="B144" s="4760"/>
      <c r="C144" s="4760"/>
      <c r="D144" s="4761"/>
      <c r="E144" s="1999"/>
      <c r="F144" s="4252" t="s">
        <v>6222</v>
      </c>
      <c r="G144" s="4762"/>
      <c r="H144" s="4762"/>
      <c r="I144" s="4762"/>
      <c r="J144" s="4762"/>
      <c r="K144" s="4762"/>
      <c r="L144" s="4762"/>
      <c r="M144" s="1999"/>
      <c r="N144" s="4762"/>
      <c r="O144" s="4762"/>
      <c r="P144" s="4762"/>
      <c r="Q144" s="4762"/>
      <c r="R144" s="4762"/>
      <c r="S144" s="4762"/>
      <c r="T144" s="4762"/>
      <c r="U144" s="4762"/>
      <c r="V144" s="4762"/>
      <c r="W144" s="4762"/>
      <c r="X144" s="4762"/>
      <c r="Y144" s="4762"/>
      <c r="Z144" s="4762"/>
      <c r="AA144" s="4762"/>
      <c r="AB144" s="4762"/>
      <c r="AC144" s="4762"/>
      <c r="AD144" s="1999"/>
      <c r="AE144" s="4762"/>
      <c r="AF144" s="4762"/>
      <c r="AG144" s="4762"/>
      <c r="AH144" s="4762"/>
      <c r="AI144" s="4762"/>
      <c r="AJ144" s="4762"/>
      <c r="AK144" s="4762"/>
      <c r="AL144" s="4762"/>
      <c r="AM144" s="4762"/>
      <c r="AN144" s="4762"/>
      <c r="AO144" s="4762"/>
      <c r="AP144" s="1277"/>
      <c r="BG144" s="769"/>
      <c r="BH144" s="658"/>
      <c r="BI144" s="658"/>
      <c r="BJ144" s="658"/>
      <c r="BK144" s="658"/>
      <c r="BL144" s="658"/>
      <c r="BM144" s="658"/>
      <c r="BN144" s="658"/>
      <c r="BO144" s="658"/>
      <c r="BP144" s="658"/>
    </row>
    <row r="145" spans="1:68" ht="15.75">
      <c r="A145" s="1277"/>
      <c r="B145" s="8558" t="s">
        <v>510</v>
      </c>
      <c r="C145" s="8600"/>
      <c r="D145" s="3772" t="str">
        <f>"Did you make any payments in "&amp;TaxYear&amp;" that would require you to file Form(s) 1099?  See instructions"</f>
        <v>Did you make any payments in 2025 that would require you to file Form(s) 1099?  See instructions</v>
      </c>
      <c r="E145" s="4082"/>
      <c r="F145" s="4082"/>
      <c r="G145" s="4082"/>
      <c r="H145" s="4082"/>
      <c r="I145" s="4082"/>
      <c r="J145" s="4082"/>
      <c r="K145" s="4082"/>
      <c r="L145" s="4082"/>
      <c r="M145" s="4082"/>
      <c r="N145" s="4082"/>
      <c r="O145" s="4082"/>
      <c r="P145" s="4082"/>
      <c r="Q145" s="4082"/>
      <c r="R145" s="4082"/>
      <c r="S145" s="4082"/>
      <c r="T145" s="4082"/>
      <c r="U145" s="4082"/>
      <c r="V145" s="4082"/>
      <c r="W145" s="4082"/>
      <c r="X145" s="4082"/>
      <c r="Y145" s="4082"/>
      <c r="Z145" s="4082"/>
      <c r="AA145" s="4082"/>
      <c r="AB145" s="4082"/>
      <c r="AC145" s="4082"/>
      <c r="AD145" s="4082"/>
      <c r="AE145" s="4082"/>
      <c r="AF145" s="4082"/>
      <c r="AG145" s="4082"/>
      <c r="AH145" s="4082"/>
      <c r="AI145" s="4082"/>
      <c r="AJ145" s="276"/>
      <c r="AK145" s="1059" t="s">
        <v>2324</v>
      </c>
      <c r="AL145" s="4082"/>
      <c r="AM145" s="276"/>
      <c r="AN145" s="1059" t="s">
        <v>2325</v>
      </c>
      <c r="AO145" s="4082"/>
      <c r="AP145" s="1277"/>
      <c r="BG145" s="769"/>
      <c r="BH145" s="658"/>
      <c r="BI145" s="658"/>
      <c r="BJ145" s="658"/>
      <c r="BK145" s="658"/>
      <c r="BL145" s="658"/>
      <c r="BM145" s="658"/>
      <c r="BN145" s="658"/>
      <c r="BO145" s="658"/>
      <c r="BP145" s="658"/>
    </row>
    <row r="146" spans="1:68" ht="15.75">
      <c r="A146" s="1277"/>
      <c r="B146" s="8590" t="s">
        <v>516</v>
      </c>
      <c r="C146" s="8063"/>
      <c r="D146" s="3801" t="s">
        <v>4975</v>
      </c>
      <c r="E146" s="4762"/>
      <c r="F146" s="4762"/>
      <c r="G146" s="4762"/>
      <c r="H146" s="4762"/>
      <c r="I146" s="4762"/>
      <c r="J146" s="4762"/>
      <c r="K146" s="4762"/>
      <c r="L146" s="4762"/>
      <c r="M146" s="4762"/>
      <c r="N146" s="4762"/>
      <c r="O146" s="4762"/>
      <c r="P146" s="4762"/>
      <c r="Q146" s="4762"/>
      <c r="R146" s="4762"/>
      <c r="S146" s="4762"/>
      <c r="T146" s="4762"/>
      <c r="U146" s="4762"/>
      <c r="V146" s="4762"/>
      <c r="W146" s="4762"/>
      <c r="X146" s="4762"/>
      <c r="Y146" s="4762"/>
      <c r="Z146" s="4762"/>
      <c r="AA146" s="4762"/>
      <c r="AB146" s="4762"/>
      <c r="AC146" s="4762"/>
      <c r="AD146" s="4762"/>
      <c r="AE146" s="4762"/>
      <c r="AF146" s="4762"/>
      <c r="AG146" s="4762"/>
      <c r="AH146" s="4762"/>
      <c r="AI146" s="4762"/>
      <c r="AJ146" s="276"/>
      <c r="AK146" s="2001" t="s">
        <v>2324</v>
      </c>
      <c r="AL146" s="4762"/>
      <c r="AM146" s="276"/>
      <c r="AN146" s="2001" t="s">
        <v>2325</v>
      </c>
      <c r="AO146" s="4762"/>
      <c r="AP146" s="1277"/>
      <c r="BG146" s="769"/>
      <c r="BH146" s="658"/>
      <c r="BI146" s="658"/>
      <c r="BJ146" s="658"/>
      <c r="BK146" s="658"/>
      <c r="BL146" s="658"/>
      <c r="BM146" s="658"/>
      <c r="BN146" s="658"/>
      <c r="BO146" s="658"/>
      <c r="BP146" s="658"/>
    </row>
    <row r="147" spans="1:68" ht="18" customHeight="1">
      <c r="A147" s="1277"/>
      <c r="B147" s="8591" t="s">
        <v>333</v>
      </c>
      <c r="C147" s="8592"/>
      <c r="D147" s="4764" t="s">
        <v>2326</v>
      </c>
      <c r="E147" s="4659"/>
      <c r="F147" s="4659"/>
      <c r="G147" s="4659"/>
      <c r="H147" s="4659"/>
      <c r="I147" s="4659"/>
      <c r="J147" s="4659"/>
      <c r="K147" s="4659"/>
      <c r="L147" s="4659"/>
      <c r="M147" s="4659"/>
      <c r="N147" s="4659"/>
      <c r="O147" s="4659"/>
      <c r="P147" s="4659"/>
      <c r="Q147" s="4659"/>
      <c r="R147" s="4659"/>
      <c r="S147" s="4659"/>
      <c r="T147" s="4659"/>
      <c r="U147" s="4659"/>
      <c r="V147" s="4659"/>
      <c r="W147" s="4659"/>
      <c r="X147" s="4659"/>
      <c r="Y147" s="4659"/>
      <c r="Z147" s="4659"/>
      <c r="AA147" s="4659"/>
      <c r="AB147" s="4659"/>
      <c r="AC147" s="4659"/>
      <c r="AD147" s="4659"/>
      <c r="AE147" s="4659"/>
      <c r="AF147" s="4659"/>
      <c r="AG147" s="4659"/>
      <c r="AH147" s="4659"/>
      <c r="AI147" s="4659"/>
      <c r="AJ147" s="4659"/>
      <c r="AK147" s="4659"/>
      <c r="AL147" s="4659"/>
      <c r="AM147" s="4659"/>
      <c r="AN147" s="4659"/>
      <c r="AO147" s="4659"/>
      <c r="AP147" s="1277"/>
      <c r="BG147" s="769"/>
      <c r="BH147" s="658"/>
      <c r="BI147" s="658"/>
      <c r="BJ147" s="658"/>
      <c r="BK147" s="658"/>
      <c r="BL147" s="658"/>
      <c r="BM147" s="658"/>
      <c r="BN147" s="658"/>
      <c r="BO147" s="658"/>
      <c r="BP147" s="658"/>
    </row>
    <row r="148" spans="1:68" ht="15.75">
      <c r="A148" s="1277"/>
      <c r="B148" s="8557" t="s">
        <v>510</v>
      </c>
      <c r="C148" s="8469"/>
      <c r="D148" s="8560"/>
      <c r="E148" s="8021"/>
      <c r="F148" s="8021"/>
      <c r="G148" s="8021"/>
      <c r="H148" s="8021"/>
      <c r="I148" s="8021"/>
      <c r="J148" s="8021"/>
      <c r="K148" s="8021"/>
      <c r="L148" s="8021"/>
      <c r="M148" s="8021"/>
      <c r="N148" s="8021"/>
      <c r="O148" s="8021"/>
      <c r="P148" s="8021"/>
      <c r="Q148" s="8021"/>
      <c r="R148" s="8021"/>
      <c r="S148" s="8021"/>
      <c r="T148" s="8021"/>
      <c r="U148" s="8021"/>
      <c r="V148" s="8021"/>
      <c r="W148" s="8021"/>
      <c r="X148" s="8021"/>
      <c r="Y148" s="8021"/>
      <c r="Z148" s="8021"/>
      <c r="AA148" s="8021"/>
      <c r="AB148" s="8021"/>
      <c r="AC148" s="8021"/>
      <c r="AD148" s="8021"/>
      <c r="AE148" s="8021"/>
      <c r="AF148" s="8021"/>
      <c r="AG148" s="8021"/>
      <c r="AH148" s="8021"/>
      <c r="AI148" s="8021"/>
      <c r="AJ148" s="8021"/>
      <c r="AK148" s="8021"/>
      <c r="AL148" s="8021"/>
      <c r="AM148" s="8021"/>
      <c r="AN148" s="8021"/>
      <c r="AO148" s="8021"/>
      <c r="AP148" s="1277"/>
      <c r="BG148" s="769"/>
      <c r="BH148" s="658"/>
      <c r="BI148" s="658"/>
      <c r="BJ148" s="658"/>
      <c r="BK148" s="658"/>
      <c r="BL148" s="658"/>
      <c r="BM148" s="658"/>
      <c r="BN148" s="658"/>
      <c r="BO148" s="658"/>
      <c r="BP148" s="658"/>
    </row>
    <row r="149" spans="1:68" ht="15.75">
      <c r="A149" s="1277"/>
      <c r="B149" s="8557" t="s">
        <v>516</v>
      </c>
      <c r="C149" s="8469"/>
      <c r="D149" s="8560"/>
      <c r="E149" s="8021"/>
      <c r="F149" s="8021"/>
      <c r="G149" s="8021"/>
      <c r="H149" s="8021"/>
      <c r="I149" s="8021"/>
      <c r="J149" s="8021"/>
      <c r="K149" s="8021"/>
      <c r="L149" s="8021"/>
      <c r="M149" s="8021"/>
      <c r="N149" s="8021"/>
      <c r="O149" s="8021"/>
      <c r="P149" s="8021"/>
      <c r="Q149" s="8021"/>
      <c r="R149" s="8021"/>
      <c r="S149" s="8021"/>
      <c r="T149" s="8021"/>
      <c r="U149" s="8021"/>
      <c r="V149" s="8021"/>
      <c r="W149" s="8021"/>
      <c r="X149" s="8021"/>
      <c r="Y149" s="8021"/>
      <c r="Z149" s="8021"/>
      <c r="AA149" s="8021"/>
      <c r="AB149" s="8021"/>
      <c r="AC149" s="8021"/>
      <c r="AD149" s="8021"/>
      <c r="AE149" s="8021"/>
      <c r="AF149" s="8021"/>
      <c r="AG149" s="8021"/>
      <c r="AH149" s="8021"/>
      <c r="AI149" s="8021"/>
      <c r="AJ149" s="8021"/>
      <c r="AK149" s="8021"/>
      <c r="AL149" s="8021"/>
      <c r="AM149" s="8021"/>
      <c r="AN149" s="8021"/>
      <c r="AO149" s="8021"/>
      <c r="AP149" s="1277"/>
      <c r="BG149" s="769"/>
      <c r="BH149" s="658"/>
      <c r="BI149" s="658"/>
      <c r="BJ149" s="658"/>
      <c r="BK149" s="658"/>
      <c r="BL149" s="658"/>
      <c r="BM149" s="658"/>
      <c r="BN149" s="658"/>
      <c r="BO149" s="658"/>
      <c r="BP149" s="658"/>
    </row>
    <row r="150" spans="1:68" ht="15.75">
      <c r="A150" s="1277"/>
      <c r="B150" s="8557" t="s">
        <v>518</v>
      </c>
      <c r="C150" s="8469"/>
      <c r="D150" s="8560"/>
      <c r="E150" s="8021"/>
      <c r="F150" s="8021"/>
      <c r="G150" s="8021"/>
      <c r="H150" s="8021"/>
      <c r="I150" s="8021"/>
      <c r="J150" s="8021"/>
      <c r="K150" s="8021"/>
      <c r="L150" s="8021"/>
      <c r="M150" s="8021"/>
      <c r="N150" s="8021"/>
      <c r="O150" s="8021"/>
      <c r="P150" s="8021"/>
      <c r="Q150" s="8021"/>
      <c r="R150" s="8021"/>
      <c r="S150" s="8021"/>
      <c r="T150" s="8021"/>
      <c r="U150" s="8021"/>
      <c r="V150" s="8021"/>
      <c r="W150" s="8021"/>
      <c r="X150" s="8021"/>
      <c r="Y150" s="8021"/>
      <c r="Z150" s="8021"/>
      <c r="AA150" s="8021"/>
      <c r="AB150" s="8021"/>
      <c r="AC150" s="8021"/>
      <c r="AD150" s="8021"/>
      <c r="AE150" s="8021"/>
      <c r="AF150" s="8021"/>
      <c r="AG150" s="8021"/>
      <c r="AH150" s="8021"/>
      <c r="AI150" s="8021"/>
      <c r="AJ150" s="8021"/>
      <c r="AK150" s="8021"/>
      <c r="AL150" s="8021"/>
      <c r="AM150" s="8021"/>
      <c r="AN150" s="8021"/>
      <c r="AO150" s="8021"/>
      <c r="AP150" s="1277"/>
      <c r="AX150">
        <v>1</v>
      </c>
      <c r="AY150" t="s">
        <v>2327</v>
      </c>
      <c r="BG150" s="769"/>
      <c r="BH150" s="658"/>
      <c r="BI150" s="658"/>
      <c r="BJ150" s="658"/>
      <c r="BK150" s="658"/>
      <c r="BL150" s="658"/>
      <c r="BM150" s="658"/>
      <c r="BN150" s="658"/>
      <c r="BO150" s="658"/>
      <c r="BP150" s="658"/>
    </row>
    <row r="151" spans="1:68" ht="15.75" customHeight="1">
      <c r="A151" s="1277"/>
      <c r="B151" s="8558" t="s">
        <v>335</v>
      </c>
      <c r="C151" s="8629"/>
      <c r="D151" s="7681" t="s">
        <v>2449</v>
      </c>
      <c r="E151" s="7682"/>
      <c r="F151" s="7682"/>
      <c r="G151" s="7682"/>
      <c r="H151" s="7683"/>
      <c r="I151" s="8536">
        <v>2</v>
      </c>
      <c r="J151" s="8601"/>
      <c r="K151" s="8569" t="s">
        <v>2329</v>
      </c>
      <c r="L151" s="8569"/>
      <c r="M151" s="8569"/>
      <c r="N151" s="8569"/>
      <c r="O151" s="8569"/>
      <c r="P151" s="8569"/>
      <c r="Q151" s="8569"/>
      <c r="R151" s="8569"/>
      <c r="S151" s="8569"/>
      <c r="T151" s="8569"/>
      <c r="U151" s="8569"/>
      <c r="V151" s="8569"/>
      <c r="W151" s="8569"/>
      <c r="X151" s="4767"/>
      <c r="Y151" s="4767"/>
      <c r="Z151" s="4767"/>
      <c r="AA151" s="8561" t="s">
        <v>2450</v>
      </c>
      <c r="AB151" s="8562"/>
      <c r="AC151" s="8562"/>
      <c r="AD151" s="8562"/>
      <c r="AE151" s="8565"/>
      <c r="AF151" s="8561" t="s">
        <v>2451</v>
      </c>
      <c r="AG151" s="8562"/>
      <c r="AH151" s="8562"/>
      <c r="AI151" s="8562"/>
      <c r="AJ151" s="8565"/>
      <c r="AK151" s="8561" t="s">
        <v>2332</v>
      </c>
      <c r="AL151" s="8562"/>
      <c r="AM151" s="8562"/>
      <c r="AN151" s="8562"/>
      <c r="AO151" s="8562"/>
      <c r="AP151" s="1277"/>
      <c r="AX151">
        <v>2</v>
      </c>
      <c r="AY151" t="s">
        <v>2333</v>
      </c>
      <c r="BG151" s="769"/>
      <c r="BH151" s="658"/>
      <c r="BI151" s="658"/>
      <c r="BJ151" s="658"/>
      <c r="BK151" s="658"/>
      <c r="BL151" s="658"/>
      <c r="BM151" s="658"/>
      <c r="BN151" s="658"/>
      <c r="BO151" s="658"/>
      <c r="BP151" s="658"/>
    </row>
    <row r="152" spans="1:68" ht="14.25" customHeight="1">
      <c r="A152" s="1277"/>
      <c r="B152" s="4760"/>
      <c r="C152" s="4845"/>
      <c r="D152" s="7687"/>
      <c r="E152" s="7688"/>
      <c r="F152" s="7688"/>
      <c r="G152" s="7688"/>
      <c r="H152" s="7689"/>
      <c r="I152" s="4768"/>
      <c r="J152" s="4082"/>
      <c r="K152" s="8570"/>
      <c r="L152" s="8570"/>
      <c r="M152" s="8570"/>
      <c r="N152" s="8570"/>
      <c r="O152" s="8570"/>
      <c r="P152" s="8570"/>
      <c r="Q152" s="8570"/>
      <c r="R152" s="8570"/>
      <c r="S152" s="8570"/>
      <c r="T152" s="8570"/>
      <c r="U152" s="8570"/>
      <c r="V152" s="8570"/>
      <c r="W152" s="8570"/>
      <c r="X152" s="4082"/>
      <c r="Y152" s="4082"/>
      <c r="Z152" s="4082"/>
      <c r="AA152" s="8563"/>
      <c r="AB152" s="8564"/>
      <c r="AC152" s="8564"/>
      <c r="AD152" s="8564"/>
      <c r="AE152" s="8566"/>
      <c r="AF152" s="8563"/>
      <c r="AG152" s="8564"/>
      <c r="AH152" s="8564"/>
      <c r="AI152" s="8564"/>
      <c r="AJ152" s="8566"/>
      <c r="AK152" s="8563"/>
      <c r="AL152" s="8564"/>
      <c r="AM152" s="8564"/>
      <c r="AN152" s="8564"/>
      <c r="AO152" s="8564"/>
      <c r="AP152" s="1277"/>
      <c r="AV152" s="4769">
        <f>IF(LeapYear,366,365)</f>
        <v>365</v>
      </c>
      <c r="AW152" s="4652"/>
      <c r="AX152">
        <v>3</v>
      </c>
      <c r="AY152" t="s">
        <v>2334</v>
      </c>
      <c r="BE152" s="4770" t="s">
        <v>2335</v>
      </c>
      <c r="BG152" s="769"/>
      <c r="BH152" s="658"/>
      <c r="BI152" s="658"/>
      <c r="BJ152" s="658"/>
      <c r="BK152" s="658"/>
      <c r="BL152" s="658"/>
      <c r="BM152" s="658"/>
      <c r="BN152" s="658"/>
      <c r="BO152" s="658"/>
      <c r="BP152" s="658"/>
    </row>
    <row r="153" spans="1:68" ht="15.75">
      <c r="A153" s="1277"/>
      <c r="B153" s="8557" t="s">
        <v>510</v>
      </c>
      <c r="C153" s="8469"/>
      <c r="D153" s="8549"/>
      <c r="E153" s="8550"/>
      <c r="F153" s="8550"/>
      <c r="G153" s="8550"/>
      <c r="H153" s="8551"/>
      <c r="I153" s="408"/>
      <c r="J153" s="253"/>
      <c r="K153" s="8570"/>
      <c r="L153" s="8570"/>
      <c r="M153" s="8570"/>
      <c r="N153" s="8570"/>
      <c r="O153" s="8570"/>
      <c r="P153" s="8570"/>
      <c r="Q153" s="8570"/>
      <c r="R153" s="8570"/>
      <c r="S153" s="8570"/>
      <c r="T153" s="8570"/>
      <c r="U153" s="8570"/>
      <c r="V153" s="8570"/>
      <c r="W153" s="8570"/>
      <c r="X153" s="8552" t="s">
        <v>510</v>
      </c>
      <c r="Y153" s="8553"/>
      <c r="Z153" s="8554"/>
      <c r="AA153" s="7516"/>
      <c r="AB153" s="8437"/>
      <c r="AC153" s="8437"/>
      <c r="AD153" s="8437"/>
      <c r="AE153" s="8438"/>
      <c r="AF153" s="7516"/>
      <c r="AG153" s="8437"/>
      <c r="AH153" s="8437"/>
      <c r="AI153" s="8437"/>
      <c r="AJ153" s="8438"/>
      <c r="AK153" s="4771"/>
      <c r="AL153" s="773"/>
      <c r="AM153" s="276"/>
      <c r="AN153" s="773"/>
      <c r="AO153" s="773"/>
      <c r="AP153" s="1277"/>
      <c r="AR153" s="304" t="b">
        <f>D153=8</f>
        <v>0</v>
      </c>
      <c r="AV153" s="4772" t="b">
        <f>AA153&gt;$AV$20</f>
        <v>0</v>
      </c>
      <c r="AW153" s="4647" t="b">
        <f>AF153&gt;$AV$20</f>
        <v>0</v>
      </c>
      <c r="AX153">
        <v>4</v>
      </c>
      <c r="AY153" t="s">
        <v>2336</v>
      </c>
      <c r="BE153" s="726" t="b">
        <f>IF(AND(D153&lt;&gt;"",OR(D153&lt;1,D153&gt;8,ISERROR(V164))),TRUE,FALSE)</f>
        <v>0</v>
      </c>
      <c r="BG153" s="769"/>
      <c r="BH153" s="658"/>
      <c r="BI153" s="658"/>
      <c r="BJ153" s="658"/>
      <c r="BK153" s="658"/>
      <c r="BL153" s="658"/>
      <c r="BM153" s="658"/>
      <c r="BN153" s="658"/>
      <c r="BO153" s="658"/>
      <c r="BP153" s="658"/>
    </row>
    <row r="154" spans="1:68" ht="15.75">
      <c r="A154" s="1277"/>
      <c r="B154" s="8557" t="s">
        <v>516</v>
      </c>
      <c r="C154" s="8469"/>
      <c r="D154" s="8549"/>
      <c r="E154" s="8550"/>
      <c r="F154" s="8550"/>
      <c r="G154" s="8550"/>
      <c r="H154" s="8551"/>
      <c r="I154" s="408"/>
      <c r="J154" s="253"/>
      <c r="K154" s="8570"/>
      <c r="L154" s="8570"/>
      <c r="M154" s="8570"/>
      <c r="N154" s="8570"/>
      <c r="O154" s="8570"/>
      <c r="P154" s="8570"/>
      <c r="Q154" s="8570"/>
      <c r="R154" s="8570"/>
      <c r="S154" s="8570"/>
      <c r="T154" s="8570"/>
      <c r="U154" s="8570"/>
      <c r="V154" s="8570"/>
      <c r="W154" s="8570"/>
      <c r="X154" s="8552" t="s">
        <v>516</v>
      </c>
      <c r="Y154" s="8553"/>
      <c r="Z154" s="8554"/>
      <c r="AA154" s="7516"/>
      <c r="AB154" s="8437"/>
      <c r="AC154" s="8437"/>
      <c r="AD154" s="8437"/>
      <c r="AE154" s="8438"/>
      <c r="AF154" s="7516"/>
      <c r="AG154" s="8437"/>
      <c r="AH154" s="8437"/>
      <c r="AI154" s="8437"/>
      <c r="AJ154" s="8438"/>
      <c r="AK154" s="4771"/>
      <c r="AL154" s="773"/>
      <c r="AM154" s="276"/>
      <c r="AN154" s="773"/>
      <c r="AO154" s="773"/>
      <c r="AP154" s="1277"/>
      <c r="AR154" s="304" t="b">
        <f>D154=8</f>
        <v>0</v>
      </c>
      <c r="AV154" s="4772" t="b">
        <f>AA154&gt;$AV$20</f>
        <v>0</v>
      </c>
      <c r="AW154" s="4647" t="b">
        <f>AF154&gt;$AV$20</f>
        <v>0</v>
      </c>
      <c r="AX154">
        <v>5</v>
      </c>
      <c r="AY154" t="s">
        <v>2337</v>
      </c>
      <c r="BE154" s="726" t="b">
        <f>IF(AND(D154&lt;&gt;"",OR(D154&lt;1,D154&gt;8,ISERROR(AD164))),TRUE,FALSE)</f>
        <v>0</v>
      </c>
      <c r="BG154" s="769"/>
      <c r="BH154" s="658"/>
      <c r="BI154" s="658"/>
      <c r="BJ154" s="658"/>
      <c r="BK154" s="658"/>
      <c r="BL154" s="658"/>
      <c r="BM154" s="658"/>
      <c r="BN154" s="658"/>
      <c r="BO154" s="658"/>
      <c r="BP154" s="658"/>
    </row>
    <row r="155" spans="1:68" ht="15.75">
      <c r="A155" s="1277"/>
      <c r="B155" s="8557" t="s">
        <v>518</v>
      </c>
      <c r="C155" s="8469"/>
      <c r="D155" s="8549"/>
      <c r="E155" s="8550"/>
      <c r="F155" s="8550"/>
      <c r="G155" s="8550"/>
      <c r="H155" s="8551"/>
      <c r="I155" s="412"/>
      <c r="J155" s="413"/>
      <c r="K155" s="8571"/>
      <c r="L155" s="8571"/>
      <c r="M155" s="8571"/>
      <c r="N155" s="8571"/>
      <c r="O155" s="8571"/>
      <c r="P155" s="8571"/>
      <c r="Q155" s="8571"/>
      <c r="R155" s="8571"/>
      <c r="S155" s="8571"/>
      <c r="T155" s="8571"/>
      <c r="U155" s="8571"/>
      <c r="V155" s="8571"/>
      <c r="W155" s="8571"/>
      <c r="X155" s="8552" t="s">
        <v>518</v>
      </c>
      <c r="Y155" s="8553"/>
      <c r="Z155" s="8554"/>
      <c r="AA155" s="7516"/>
      <c r="AB155" s="8437"/>
      <c r="AC155" s="8437"/>
      <c r="AD155" s="8437"/>
      <c r="AE155" s="8438"/>
      <c r="AF155" s="7516"/>
      <c r="AG155" s="8437"/>
      <c r="AH155" s="8437"/>
      <c r="AI155" s="8437"/>
      <c r="AJ155" s="8438"/>
      <c r="AK155" s="4771"/>
      <c r="AL155" s="773"/>
      <c r="AM155" s="276"/>
      <c r="AN155" s="773"/>
      <c r="AO155" s="773"/>
      <c r="AP155" s="1277"/>
      <c r="AR155" s="304" t="b">
        <f>D155=8</f>
        <v>0</v>
      </c>
      <c r="AV155" s="3614" t="b">
        <f>AA155&gt;$AV$20</f>
        <v>0</v>
      </c>
      <c r="AW155" s="4648" t="b">
        <f>AF155&gt;$AV$20</f>
        <v>0</v>
      </c>
      <c r="AX155">
        <v>6</v>
      </c>
      <c r="AY155" t="s">
        <v>2338</v>
      </c>
      <c r="AZ155" s="2556" t="s">
        <v>510</v>
      </c>
      <c r="BA155" s="2556" t="s">
        <v>516</v>
      </c>
      <c r="BB155" s="2556" t="s">
        <v>518</v>
      </c>
      <c r="BC155" s="2556" t="s">
        <v>224</v>
      </c>
      <c r="BE155" s="726" t="b">
        <f>IF(AND(D155&lt;&gt;"",OR(D155&lt;1,D155&gt;8,ISERROR(AJ164))),TRUE,FALSE)</f>
        <v>0</v>
      </c>
      <c r="BG155" s="769"/>
      <c r="BH155" s="658"/>
      <c r="BI155" s="658"/>
      <c r="BJ155" s="658"/>
      <c r="BK155" s="658"/>
      <c r="BL155" s="658"/>
      <c r="BM155" s="658"/>
      <c r="BN155" s="658"/>
      <c r="BO155" s="658"/>
      <c r="BP155" s="658"/>
    </row>
    <row r="156" spans="1:68" ht="14.25" customHeight="1">
      <c r="A156" s="1277"/>
      <c r="B156" s="3775" t="s">
        <v>2339</v>
      </c>
      <c r="C156" s="2298"/>
      <c r="D156" s="759"/>
      <c r="E156" s="2126"/>
      <c r="F156" s="2126"/>
      <c r="G156" s="2126"/>
      <c r="H156" s="2126"/>
      <c r="I156" s="4776" t="str">
        <f>IF(BE156,"The 'Type of Property' must be entered as a number (1 - 8).","")</f>
        <v/>
      </c>
      <c r="J156" s="2126"/>
      <c r="K156" s="2126"/>
      <c r="L156" s="2126"/>
      <c r="M156" s="2126"/>
      <c r="N156" s="2126"/>
      <c r="O156" s="2126"/>
      <c r="P156" s="2126"/>
      <c r="Q156" s="2126"/>
      <c r="R156" s="2126"/>
      <c r="S156" s="2126"/>
      <c r="T156" s="2126"/>
      <c r="U156" s="2126"/>
      <c r="V156" s="2126"/>
      <c r="W156" s="2126"/>
      <c r="X156" s="2126"/>
      <c r="Y156" s="2126"/>
      <c r="Z156" s="2126"/>
      <c r="AA156" s="2126"/>
      <c r="AB156" s="2126"/>
      <c r="AC156" s="2126"/>
      <c r="AD156" s="4776" t="str">
        <f>IF(OR(AV153,AV154,AV155,AW153,AW154,AW155),"Must be "&amp;AV152&amp;" or less.","")</f>
        <v/>
      </c>
      <c r="AE156" s="2126"/>
      <c r="AF156" s="2126"/>
      <c r="AG156" s="2126"/>
      <c r="AH156" s="2126"/>
      <c r="AI156" s="2126"/>
      <c r="AJ156" s="2126"/>
      <c r="AK156" s="2126"/>
      <c r="AL156" s="2126"/>
      <c r="AM156" s="2126"/>
      <c r="AN156" s="2126"/>
      <c r="AO156" s="2126"/>
      <c r="AP156" s="1277"/>
      <c r="AR156" s="304" t="b">
        <f>OR(AR153:AR155)</f>
        <v>0</v>
      </c>
      <c r="AX156">
        <v>7</v>
      </c>
      <c r="AY156" t="s">
        <v>2340</v>
      </c>
      <c r="AZ156">
        <f>IF(D153&lt;&gt;6,V162,0)</f>
        <v>0</v>
      </c>
      <c r="BA156">
        <f>IF(D154&lt;&gt;6,AD162,0)</f>
        <v>0</v>
      </c>
      <c r="BB156">
        <f>IF(D155&lt;&gt;6,AJ162,0)</f>
        <v>0</v>
      </c>
      <c r="BC156">
        <f>SUM(AZ156:BB156)</f>
        <v>0</v>
      </c>
      <c r="BE156" s="726" t="b">
        <f>OR(BE153,BE154,BE155)</f>
        <v>0</v>
      </c>
      <c r="BG156" s="769"/>
      <c r="BH156" s="658"/>
      <c r="BI156" s="658"/>
      <c r="BJ156" s="658"/>
      <c r="BK156" s="658"/>
      <c r="BL156" s="658"/>
      <c r="BM156" s="658"/>
      <c r="BN156" s="658"/>
      <c r="BO156" s="658"/>
      <c r="BP156" s="658"/>
    </row>
    <row r="157" spans="1:68" ht="18.75" customHeight="1">
      <c r="A157" s="1277"/>
      <c r="B157" s="2298">
        <v>1</v>
      </c>
      <c r="C157" s="2100" t="s">
        <v>2327</v>
      </c>
      <c r="D157" s="759"/>
      <c r="E157" s="2126"/>
      <c r="F157" s="2126"/>
      <c r="G157" s="2126"/>
      <c r="H157" s="2126"/>
      <c r="I157" s="2126"/>
      <c r="J157" s="2126"/>
      <c r="K157" s="2038">
        <v>3</v>
      </c>
      <c r="L157" s="4505" t="s">
        <v>2341</v>
      </c>
      <c r="M157" s="2126"/>
      <c r="N157" s="2126"/>
      <c r="O157" s="2126"/>
      <c r="P157" s="2126"/>
      <c r="Q157" s="2126"/>
      <c r="R157" s="2126"/>
      <c r="S157" s="2126"/>
      <c r="T157" s="2126"/>
      <c r="U157" s="2038">
        <v>5</v>
      </c>
      <c r="V157" s="4505" t="s">
        <v>2337</v>
      </c>
      <c r="W157" s="2126"/>
      <c r="X157" s="2126"/>
      <c r="Y157" s="2126"/>
      <c r="Z157" s="2038"/>
      <c r="AA157" s="2038">
        <v>7</v>
      </c>
      <c r="AB157" s="4505" t="s">
        <v>2340</v>
      </c>
      <c r="AC157" s="2126"/>
      <c r="AD157" s="2126"/>
      <c r="AE157" s="2126"/>
      <c r="AF157" s="2126"/>
      <c r="AG157" s="2126"/>
      <c r="AH157" s="2126"/>
      <c r="AI157" s="2126"/>
      <c r="AJ157" s="2126"/>
      <c r="AK157" s="2126"/>
      <c r="AL157" s="2126"/>
      <c r="AM157" s="2126"/>
      <c r="AN157" s="2126"/>
      <c r="AO157" s="2126"/>
      <c r="AP157" s="1277"/>
      <c r="AR157" s="8374" t="str">
        <f>IF($AR$156,"Attach a statement to your return describing the property.","")</f>
        <v/>
      </c>
      <c r="AS157" s="8374"/>
      <c r="AX157">
        <v>8</v>
      </c>
      <c r="AY157" t="s">
        <v>254</v>
      </c>
      <c r="AZ157">
        <f>IF(D153=6,V163,0)</f>
        <v>0</v>
      </c>
      <c r="BA157">
        <f>IF(D154=6,AD163,0)</f>
        <v>0</v>
      </c>
      <c r="BB157">
        <f>IF(D155=6,AJ163,0)</f>
        <v>0</v>
      </c>
      <c r="BC157">
        <f>SUM(AZ157:BB157)</f>
        <v>0</v>
      </c>
      <c r="BE157" s="4782"/>
      <c r="BG157" s="769"/>
      <c r="BH157" s="658"/>
      <c r="BI157" s="658"/>
      <c r="BJ157" s="658"/>
      <c r="BK157" s="658"/>
      <c r="BL157" s="658"/>
      <c r="BM157" s="658"/>
      <c r="BN157" s="658"/>
      <c r="BO157" s="658"/>
      <c r="BP157" s="658"/>
    </row>
    <row r="158" spans="1:68" ht="16.5" customHeight="1">
      <c r="A158" s="1277"/>
      <c r="B158" s="2298">
        <v>2</v>
      </c>
      <c r="C158" s="2100" t="s">
        <v>2333</v>
      </c>
      <c r="D158" s="759"/>
      <c r="E158" s="2126"/>
      <c r="F158" s="2126"/>
      <c r="G158" s="2126"/>
      <c r="H158" s="2126"/>
      <c r="I158" s="2126"/>
      <c r="J158" s="2126"/>
      <c r="K158" s="2038">
        <v>4</v>
      </c>
      <c r="L158" s="4505" t="s">
        <v>2336</v>
      </c>
      <c r="M158" s="2126"/>
      <c r="N158" s="2126"/>
      <c r="O158" s="2126"/>
      <c r="P158" s="2126"/>
      <c r="Q158" s="2126"/>
      <c r="R158" s="2126"/>
      <c r="S158" s="2126"/>
      <c r="T158" s="2126"/>
      <c r="U158" s="2038">
        <v>6</v>
      </c>
      <c r="V158" s="4505" t="s">
        <v>2338</v>
      </c>
      <c r="W158" s="2126"/>
      <c r="X158" s="2126"/>
      <c r="Y158" s="2126"/>
      <c r="Z158" s="2038"/>
      <c r="AA158" s="2038">
        <v>8</v>
      </c>
      <c r="AB158" s="4505" t="s">
        <v>2452</v>
      </c>
      <c r="AC158" s="2126"/>
      <c r="AD158" s="2126"/>
      <c r="AE158" s="2126"/>
      <c r="AF158" s="2126"/>
      <c r="AG158" s="2126"/>
      <c r="AH158" s="8628"/>
      <c r="AI158" s="8628"/>
      <c r="AJ158" s="8628"/>
      <c r="AK158" s="8628"/>
      <c r="AL158" s="8628"/>
      <c r="AM158" s="8628"/>
      <c r="AN158" s="8628"/>
      <c r="AO158" s="8628"/>
      <c r="AP158" s="1277"/>
      <c r="AQ158" s="329"/>
      <c r="AR158" s="8374"/>
      <c r="AS158" s="8374"/>
      <c r="BG158" s="769"/>
      <c r="BH158" s="658"/>
      <c r="BI158" s="658"/>
      <c r="BJ158" s="658"/>
      <c r="BK158" s="658"/>
      <c r="BL158" s="658"/>
      <c r="BM158" s="658"/>
      <c r="BN158" s="658"/>
      <c r="BO158" s="658"/>
      <c r="BP158" s="658"/>
    </row>
    <row r="159" spans="1:68" ht="6.75" customHeight="1" thickBot="1">
      <c r="A159" s="1277"/>
      <c r="B159" s="2298"/>
      <c r="C159" s="2100"/>
      <c r="D159" s="759"/>
      <c r="E159" s="2126"/>
      <c r="F159" s="2126"/>
      <c r="G159" s="2126"/>
      <c r="H159" s="2126"/>
      <c r="I159" s="2126"/>
      <c r="J159" s="2126"/>
      <c r="K159" s="2038"/>
      <c r="L159" s="4505"/>
      <c r="M159" s="2126"/>
      <c r="N159" s="2126"/>
      <c r="O159" s="2126"/>
      <c r="P159" s="2126"/>
      <c r="Q159" s="2126"/>
      <c r="R159" s="2126"/>
      <c r="S159" s="2126"/>
      <c r="T159" s="2126"/>
      <c r="U159" s="2038"/>
      <c r="V159" s="4505"/>
      <c r="W159" s="2126"/>
      <c r="X159" s="2126"/>
      <c r="Y159" s="2126"/>
      <c r="Z159" s="2038"/>
      <c r="AA159" s="2038"/>
      <c r="AB159" s="2038"/>
      <c r="AC159" s="2038"/>
      <c r="AD159" s="2038"/>
      <c r="AE159" s="2038"/>
      <c r="AF159" s="2038"/>
      <c r="AG159" s="2038"/>
      <c r="AH159" s="2038"/>
      <c r="AI159" s="2038"/>
      <c r="AJ159" s="2038"/>
      <c r="AK159" s="2038"/>
      <c r="AL159" s="2038"/>
      <c r="AM159" s="2038"/>
      <c r="AN159" s="2038"/>
      <c r="AO159" s="2038"/>
      <c r="AP159" s="1277"/>
      <c r="AQ159" s="329"/>
      <c r="AR159" s="8374"/>
      <c r="AS159" s="8374"/>
      <c r="BG159" s="769"/>
      <c r="BH159" s="658"/>
      <c r="BI159" s="658"/>
      <c r="BJ159" s="658"/>
      <c r="BK159" s="658"/>
      <c r="BL159" s="658"/>
      <c r="BM159" s="658"/>
      <c r="BN159" s="658"/>
      <c r="BO159" s="658"/>
      <c r="BP159" s="658"/>
    </row>
    <row r="160" spans="1:68" ht="14.25" customHeight="1">
      <c r="A160" s="1277"/>
      <c r="B160" s="4653"/>
      <c r="C160" s="4786"/>
      <c r="D160" s="4787"/>
      <c r="E160" s="2167"/>
      <c r="F160" s="2167"/>
      <c r="G160" s="2167"/>
      <c r="H160" s="2167"/>
      <c r="I160" s="2167"/>
      <c r="J160" s="2167"/>
      <c r="K160" s="2167"/>
      <c r="L160" s="2167"/>
      <c r="M160" s="2167"/>
      <c r="N160" s="2167"/>
      <c r="O160" s="2167"/>
      <c r="P160" s="2167"/>
      <c r="Q160" s="2167"/>
      <c r="R160" s="4788"/>
      <c r="S160" s="2167"/>
      <c r="T160" s="4788"/>
      <c r="U160" s="4789"/>
      <c r="V160" s="8576" t="s">
        <v>2343</v>
      </c>
      <c r="W160" s="8577"/>
      <c r="X160" s="8577"/>
      <c r="Y160" s="8577"/>
      <c r="Z160" s="8577"/>
      <c r="AA160" s="8577"/>
      <c r="AB160" s="8577"/>
      <c r="AC160" s="8577"/>
      <c r="AD160" s="8577"/>
      <c r="AE160" s="8577"/>
      <c r="AF160" s="8577"/>
      <c r="AG160" s="8577"/>
      <c r="AH160" s="8577"/>
      <c r="AI160" s="8577"/>
      <c r="AJ160" s="8577"/>
      <c r="AK160" s="8577"/>
      <c r="AL160" s="8577"/>
      <c r="AM160" s="8577"/>
      <c r="AN160" s="8577"/>
      <c r="AO160" s="8577"/>
      <c r="AP160" s="1277"/>
      <c r="AR160" s="4790"/>
      <c r="AS160" s="4790"/>
      <c r="AZ160" t="b">
        <f>IF(AND($D$21="",OR($V$30&gt;0,$V$31&gt;0)),TRUE,FALSE)</f>
        <v>0</v>
      </c>
      <c r="BA160" t="b">
        <f>IF(AND($D$22="",OR($AD$30&gt;0,$AD$31&gt;0)),TRUE,FALSE)</f>
        <v>0</v>
      </c>
      <c r="BB160" t="b">
        <f>IF(AND($D$23="",OR($AJ$30&gt;0,$AJ$31&gt;0)),TRUE,FALSE)</f>
        <v>0</v>
      </c>
      <c r="BG160" s="769"/>
      <c r="BH160" s="658"/>
      <c r="BI160" s="658"/>
      <c r="BJ160" s="658"/>
      <c r="BK160" s="658"/>
      <c r="BL160" s="658"/>
      <c r="BM160" s="658"/>
      <c r="BN160" s="658"/>
      <c r="BO160" s="658"/>
      <c r="BP160" s="658"/>
    </row>
    <row r="161" spans="1:68" ht="14.25" customHeight="1">
      <c r="A161" s="1277"/>
      <c r="B161" s="4467" t="s">
        <v>2344</v>
      </c>
      <c r="C161" s="2298"/>
      <c r="D161" s="759"/>
      <c r="E161" s="2126"/>
      <c r="F161" s="2126"/>
      <c r="G161" s="2126"/>
      <c r="H161" s="2126"/>
      <c r="I161" s="2126"/>
      <c r="J161" s="2126"/>
      <c r="K161" s="2126"/>
      <c r="L161" s="2126"/>
      <c r="M161" s="2126"/>
      <c r="N161" s="2126"/>
      <c r="O161" s="2126"/>
      <c r="P161" s="2126"/>
      <c r="Q161" s="2126"/>
      <c r="R161" s="4791"/>
      <c r="S161" s="2126"/>
      <c r="T161" s="4792"/>
      <c r="U161" s="4793"/>
      <c r="V161" s="8514" t="s">
        <v>510</v>
      </c>
      <c r="W161" s="8572"/>
      <c r="X161" s="8572"/>
      <c r="Y161" s="8572"/>
      <c r="Z161" s="8572"/>
      <c r="AA161" s="8572"/>
      <c r="AB161" s="8572"/>
      <c r="AC161" s="8515"/>
      <c r="AD161" s="8573" t="s">
        <v>516</v>
      </c>
      <c r="AE161" s="8574"/>
      <c r="AF161" s="8574"/>
      <c r="AG161" s="8574"/>
      <c r="AH161" s="8574"/>
      <c r="AI161" s="8575"/>
      <c r="AJ161" s="8573" t="s">
        <v>518</v>
      </c>
      <c r="AK161" s="8574"/>
      <c r="AL161" s="8574"/>
      <c r="AM161" s="8574"/>
      <c r="AN161" s="8574"/>
      <c r="AO161" s="8574"/>
      <c r="AP161" s="1277"/>
      <c r="AR161" s="1792"/>
      <c r="AZ161" t="b">
        <f>IF(AND($D$21="",OR($V$30&gt;0,$V$31&gt;0)),TRUE,FALSE)</f>
        <v>0</v>
      </c>
      <c r="BA161" t="b">
        <f>IF(AND($D$22="",OR($AD$30&gt;0,$AD$31&gt;0)),TRUE,FALSE)</f>
        <v>0</v>
      </c>
      <c r="BB161" t="b">
        <f>IF(AND($D$23="",OR($AJ$30&gt;0,$AJ$31&gt;0)),TRUE,FALSE)</f>
        <v>0</v>
      </c>
      <c r="BG161" s="769"/>
      <c r="BH161" s="658"/>
      <c r="BI161" s="658"/>
      <c r="BJ161" s="658"/>
      <c r="BK161" s="658"/>
      <c r="BL161" s="658"/>
      <c r="BM161" s="658"/>
      <c r="BN161" s="658"/>
      <c r="BO161" s="658"/>
      <c r="BP161" s="658"/>
    </row>
    <row r="162" spans="1:68" ht="14.25" customHeight="1">
      <c r="A162" s="1277"/>
      <c r="B162" s="8513">
        <v>3</v>
      </c>
      <c r="C162" s="8456"/>
      <c r="D162" s="2100" t="s">
        <v>2345</v>
      </c>
      <c r="E162" s="2126"/>
      <c r="F162" s="2126"/>
      <c r="G162" s="2126"/>
      <c r="H162" s="2126"/>
      <c r="I162" s="2126"/>
      <c r="J162" s="2126"/>
      <c r="K162" s="2126"/>
      <c r="L162" s="2126"/>
      <c r="M162" s="2126"/>
      <c r="N162" s="2126"/>
      <c r="O162" s="2126"/>
      <c r="P162" s="2126"/>
      <c r="Q162" s="2126"/>
      <c r="R162" s="2126"/>
      <c r="S162" s="1321" t="s">
        <v>590</v>
      </c>
      <c r="T162" s="8514">
        <v>3</v>
      </c>
      <c r="U162" s="8515"/>
      <c r="V162" s="8555"/>
      <c r="W162" s="8556"/>
      <c r="X162" s="8556"/>
      <c r="Y162" s="8556"/>
      <c r="Z162" s="8556"/>
      <c r="AA162" s="8556"/>
      <c r="AB162" s="8556"/>
      <c r="AC162" s="8568"/>
      <c r="AD162" s="8555"/>
      <c r="AE162" s="8556"/>
      <c r="AF162" s="8556"/>
      <c r="AG162" s="8556"/>
      <c r="AH162" s="8556"/>
      <c r="AI162" s="8568"/>
      <c r="AJ162" s="8555"/>
      <c r="AK162" s="8556"/>
      <c r="AL162" s="8556"/>
      <c r="AM162" s="8556"/>
      <c r="AN162" s="8556"/>
      <c r="AO162" s="8556"/>
      <c r="AP162" s="1277"/>
      <c r="BG162" s="769"/>
      <c r="BH162" s="658"/>
      <c r="BI162" s="658"/>
      <c r="BJ162" s="658"/>
      <c r="BK162" s="658"/>
      <c r="BL162" s="658"/>
      <c r="BM162" s="658"/>
      <c r="BN162" s="658"/>
      <c r="BO162" s="658"/>
      <c r="BP162" s="658"/>
    </row>
    <row r="163" spans="1:68" ht="14.25" customHeight="1">
      <c r="A163" s="1277"/>
      <c r="B163" s="8567">
        <v>4</v>
      </c>
      <c r="C163" s="8458"/>
      <c r="D163" s="4794" t="s">
        <v>2346</v>
      </c>
      <c r="E163" s="507"/>
      <c r="F163" s="507"/>
      <c r="G163" s="507"/>
      <c r="H163" s="507"/>
      <c r="I163" s="507"/>
      <c r="J163" s="507"/>
      <c r="K163" s="507"/>
      <c r="L163" s="507"/>
      <c r="M163" s="507"/>
      <c r="N163" s="507"/>
      <c r="O163" s="507"/>
      <c r="P163" s="507"/>
      <c r="Q163" s="507"/>
      <c r="R163" s="507"/>
      <c r="S163" s="974" t="s">
        <v>594</v>
      </c>
      <c r="T163" s="8514">
        <v>4</v>
      </c>
      <c r="U163" s="8515"/>
      <c r="V163" s="8555"/>
      <c r="W163" s="8556"/>
      <c r="X163" s="8556"/>
      <c r="Y163" s="8556"/>
      <c r="Z163" s="8556"/>
      <c r="AA163" s="8556"/>
      <c r="AB163" s="8556"/>
      <c r="AC163" s="8568"/>
      <c r="AD163" s="8555"/>
      <c r="AE163" s="8556"/>
      <c r="AF163" s="8556"/>
      <c r="AG163" s="8556"/>
      <c r="AH163" s="8556"/>
      <c r="AI163" s="8568"/>
      <c r="AJ163" s="8555"/>
      <c r="AK163" s="8556"/>
      <c r="AL163" s="8556"/>
      <c r="AM163" s="8556"/>
      <c r="AN163" s="8556"/>
      <c r="AO163" s="8556"/>
      <c r="AP163" s="1277"/>
      <c r="BG163" s="769"/>
      <c r="BH163" s="658"/>
      <c r="BI163" s="658"/>
      <c r="BJ163" s="658"/>
      <c r="BK163" s="658"/>
      <c r="BL163" s="658"/>
      <c r="BM163" s="658"/>
      <c r="BN163" s="658"/>
      <c r="BO163" s="658"/>
      <c r="BP163" s="658"/>
    </row>
    <row r="164" spans="1:68" ht="14.25" customHeight="1">
      <c r="A164" s="1277"/>
      <c r="B164" s="4795" t="s">
        <v>2347</v>
      </c>
      <c r="C164" s="4796"/>
      <c r="D164" s="3772"/>
      <c r="E164" s="4797"/>
      <c r="F164" s="4798"/>
      <c r="G164" s="4798" t="str">
        <f>IF(OR($AZ$29,$BA$29,$BB$29),"Please enter property type in Line 1b.","")</f>
        <v/>
      </c>
      <c r="H164" s="4797"/>
      <c r="I164" s="4797"/>
      <c r="J164" s="4797"/>
      <c r="K164" s="4797"/>
      <c r="L164" s="4797"/>
      <c r="M164" s="4797"/>
      <c r="N164" s="4797"/>
      <c r="O164" s="4797"/>
      <c r="P164" s="4797"/>
      <c r="Q164" s="4797"/>
      <c r="R164" s="4797"/>
      <c r="S164" s="4797"/>
      <c r="T164" s="4509"/>
      <c r="U164" s="4799"/>
      <c r="V164" s="8459" t="str">
        <f>IF(D153="","",LOOKUP(D153,$AX$18:$AX$25,$AY$18:$AY$25))</f>
        <v/>
      </c>
      <c r="W164" s="8460"/>
      <c r="X164" s="8460"/>
      <c r="Y164" s="8460"/>
      <c r="Z164" s="8460"/>
      <c r="AA164" s="8460"/>
      <c r="AB164" s="8460"/>
      <c r="AC164" s="8323"/>
      <c r="AD164" s="8459" t="str">
        <f>IF(D154="","",LOOKUP(D154,$AX$18:$AX$25,$AY$18:$AY$25))</f>
        <v/>
      </c>
      <c r="AE164" s="8460"/>
      <c r="AF164" s="8460"/>
      <c r="AG164" s="8460"/>
      <c r="AH164" s="8460"/>
      <c r="AI164" s="8323"/>
      <c r="AJ164" s="8459" t="str">
        <f>IF(D155="","",LOOKUP(D155,$AX$18:$AX$25,$AY$18:$AY$25))</f>
        <v/>
      </c>
      <c r="AK164" s="8460"/>
      <c r="AL164" s="8460"/>
      <c r="AM164" s="8460"/>
      <c r="AN164" s="8460"/>
      <c r="AO164" s="8460"/>
      <c r="AP164" s="1277"/>
      <c r="BG164" s="769"/>
      <c r="BH164" s="658"/>
      <c r="BI164" s="658"/>
      <c r="BJ164" s="658"/>
      <c r="BK164" s="658"/>
      <c r="BL164" s="658"/>
      <c r="BM164" s="658"/>
      <c r="BN164" s="658"/>
      <c r="BO164" s="658"/>
      <c r="BP164" s="658"/>
    </row>
    <row r="165" spans="1:68" ht="14.25" customHeight="1">
      <c r="A165" s="1277"/>
      <c r="B165" s="8513">
        <v>5</v>
      </c>
      <c r="C165" s="8456"/>
      <c r="D165" s="2100" t="s">
        <v>2348</v>
      </c>
      <c r="E165" s="2126"/>
      <c r="F165" s="2126"/>
      <c r="G165" s="2126"/>
      <c r="H165" s="2126"/>
      <c r="I165" s="2126"/>
      <c r="J165" s="2126"/>
      <c r="K165" s="2126"/>
      <c r="L165" s="2126"/>
      <c r="M165" s="2126"/>
      <c r="N165" s="2126"/>
      <c r="O165" s="2126"/>
      <c r="P165" s="2126"/>
      <c r="Q165" s="2126"/>
      <c r="R165" s="2126"/>
      <c r="S165" s="2198" t="s">
        <v>1876</v>
      </c>
      <c r="T165" s="8518">
        <v>5</v>
      </c>
      <c r="U165" s="8519"/>
      <c r="V165" s="8544"/>
      <c r="W165" s="8544"/>
      <c r="X165" s="8544"/>
      <c r="Y165" s="8544"/>
      <c r="Z165" s="8544"/>
      <c r="AA165" s="8544"/>
      <c r="AB165" s="8544"/>
      <c r="AC165" s="8545"/>
      <c r="AD165" s="8546"/>
      <c r="AE165" s="8544"/>
      <c r="AF165" s="8544"/>
      <c r="AG165" s="8544"/>
      <c r="AH165" s="8544"/>
      <c r="AI165" s="8545"/>
      <c r="AJ165" s="8546"/>
      <c r="AK165" s="8544"/>
      <c r="AL165" s="8544"/>
      <c r="AM165" s="8544"/>
      <c r="AN165" s="8544"/>
      <c r="AO165" s="8544"/>
      <c r="AP165" s="1277"/>
      <c r="BG165" s="769"/>
      <c r="BH165" s="658"/>
      <c r="BI165" s="658"/>
      <c r="BJ165" s="658"/>
      <c r="BK165" s="658"/>
      <c r="BL165" s="658"/>
      <c r="BM165" s="658"/>
      <c r="BN165" s="658"/>
      <c r="BO165" s="658"/>
      <c r="BP165" s="658"/>
    </row>
    <row r="166" spans="1:68" ht="14.25" customHeight="1">
      <c r="A166" s="1277"/>
      <c r="B166" s="8513">
        <v>6</v>
      </c>
      <c r="C166" s="8456"/>
      <c r="D166" s="2100" t="s">
        <v>2349</v>
      </c>
      <c r="E166" s="2126"/>
      <c r="F166" s="2126"/>
      <c r="G166" s="2126"/>
      <c r="H166" s="2126"/>
      <c r="I166" s="2126"/>
      <c r="J166" s="2126"/>
      <c r="K166" s="2126"/>
      <c r="L166" s="2126"/>
      <c r="M166" s="2126"/>
      <c r="N166" s="2126"/>
      <c r="O166" s="2126"/>
      <c r="P166" s="2126"/>
      <c r="Q166" s="2126"/>
      <c r="R166" s="2126"/>
      <c r="S166" s="2198" t="s">
        <v>601</v>
      </c>
      <c r="T166" s="8518">
        <v>6</v>
      </c>
      <c r="U166" s="8519"/>
      <c r="V166" s="8544"/>
      <c r="W166" s="8544"/>
      <c r="X166" s="8544"/>
      <c r="Y166" s="8544"/>
      <c r="Z166" s="8544"/>
      <c r="AA166" s="8544"/>
      <c r="AB166" s="8544"/>
      <c r="AC166" s="8545"/>
      <c r="AD166" s="8546"/>
      <c r="AE166" s="8544"/>
      <c r="AF166" s="8544"/>
      <c r="AG166" s="8544"/>
      <c r="AH166" s="8544"/>
      <c r="AI166" s="8545"/>
      <c r="AJ166" s="8546"/>
      <c r="AK166" s="8544"/>
      <c r="AL166" s="8544"/>
      <c r="AM166" s="8544"/>
      <c r="AN166" s="8544"/>
      <c r="AO166" s="8544"/>
      <c r="AP166" s="1277"/>
      <c r="BG166" s="769"/>
      <c r="BH166" s="658"/>
      <c r="BI166" s="658"/>
      <c r="BJ166" s="658"/>
      <c r="BK166" s="658"/>
      <c r="BL166" s="658"/>
      <c r="BM166" s="658"/>
      <c r="BN166" s="658"/>
      <c r="BO166" s="658"/>
      <c r="BP166" s="658"/>
    </row>
    <row r="167" spans="1:68" ht="14.25" customHeight="1">
      <c r="A167" s="1277"/>
      <c r="B167" s="8513">
        <v>7</v>
      </c>
      <c r="C167" s="8456"/>
      <c r="D167" s="2100" t="s">
        <v>2350</v>
      </c>
      <c r="E167" s="2126"/>
      <c r="F167" s="2126"/>
      <c r="G167" s="2126"/>
      <c r="H167" s="2126"/>
      <c r="I167" s="2126"/>
      <c r="J167" s="2126"/>
      <c r="K167" s="2126"/>
      <c r="L167" s="2126"/>
      <c r="M167" s="2126"/>
      <c r="N167" s="2126"/>
      <c r="O167" s="2126"/>
      <c r="P167" s="2126"/>
      <c r="Q167" s="2126"/>
      <c r="R167" s="2126"/>
      <c r="S167" s="2198" t="s">
        <v>676</v>
      </c>
      <c r="T167" s="8518">
        <v>7</v>
      </c>
      <c r="U167" s="8519"/>
      <c r="V167" s="8544"/>
      <c r="W167" s="8544"/>
      <c r="X167" s="8544"/>
      <c r="Y167" s="8544"/>
      <c r="Z167" s="8544"/>
      <c r="AA167" s="8544"/>
      <c r="AB167" s="8544"/>
      <c r="AC167" s="8545"/>
      <c r="AD167" s="8546"/>
      <c r="AE167" s="8544"/>
      <c r="AF167" s="8544"/>
      <c r="AG167" s="8544"/>
      <c r="AH167" s="8544"/>
      <c r="AI167" s="8545"/>
      <c r="AJ167" s="8546"/>
      <c r="AK167" s="8544"/>
      <c r="AL167" s="8544"/>
      <c r="AM167" s="8544"/>
      <c r="AN167" s="8544"/>
      <c r="AO167" s="8544"/>
      <c r="AP167" s="1277"/>
      <c r="BG167" s="769"/>
      <c r="BH167" s="658"/>
      <c r="BI167" s="658"/>
      <c r="BJ167" s="658"/>
      <c r="BK167" s="658"/>
      <c r="BL167" s="658"/>
      <c r="BM167" s="658"/>
      <c r="BN167" s="658"/>
      <c r="BO167" s="658"/>
      <c r="BP167" s="658"/>
    </row>
    <row r="168" spans="1:68" ht="14.25" customHeight="1">
      <c r="A168" s="1277"/>
      <c r="B168" s="8513">
        <v>8</v>
      </c>
      <c r="C168" s="8456"/>
      <c r="D168" s="2100" t="s">
        <v>2351</v>
      </c>
      <c r="E168" s="2126"/>
      <c r="F168" s="2126"/>
      <c r="G168" s="2126"/>
      <c r="H168" s="2126"/>
      <c r="I168" s="2126"/>
      <c r="J168" s="2126"/>
      <c r="K168" s="2126"/>
      <c r="L168" s="2126"/>
      <c r="M168" s="2126"/>
      <c r="N168" s="2126"/>
      <c r="O168" s="2126"/>
      <c r="P168" s="2126"/>
      <c r="Q168" s="2126"/>
      <c r="R168" s="2126"/>
      <c r="S168" s="2198" t="s">
        <v>597</v>
      </c>
      <c r="T168" s="8518">
        <v>8</v>
      </c>
      <c r="U168" s="8519"/>
      <c r="V168" s="8544"/>
      <c r="W168" s="8544"/>
      <c r="X168" s="8544"/>
      <c r="Y168" s="8544"/>
      <c r="Z168" s="8544"/>
      <c r="AA168" s="8544"/>
      <c r="AB168" s="8544"/>
      <c r="AC168" s="8545"/>
      <c r="AD168" s="8546"/>
      <c r="AE168" s="8544"/>
      <c r="AF168" s="8544"/>
      <c r="AG168" s="8544"/>
      <c r="AH168" s="8544"/>
      <c r="AI168" s="8545"/>
      <c r="AJ168" s="8546"/>
      <c r="AK168" s="8544"/>
      <c r="AL168" s="8544"/>
      <c r="AM168" s="8544"/>
      <c r="AN168" s="8544"/>
      <c r="AO168" s="8544"/>
      <c r="AP168" s="1277"/>
      <c r="BG168" s="769"/>
      <c r="BH168" s="658"/>
      <c r="BI168" s="658"/>
      <c r="BJ168" s="658"/>
      <c r="BK168" s="658"/>
      <c r="BL168" s="658"/>
      <c r="BM168" s="658"/>
      <c r="BN168" s="658"/>
      <c r="BO168" s="658"/>
      <c r="BP168" s="658"/>
    </row>
    <row r="169" spans="1:68" ht="14.25" customHeight="1">
      <c r="A169" s="1277"/>
      <c r="B169" s="8513">
        <v>9</v>
      </c>
      <c r="C169" s="8456"/>
      <c r="D169" s="2100" t="s">
        <v>2352</v>
      </c>
      <c r="E169" s="2126"/>
      <c r="F169" s="2126"/>
      <c r="G169" s="2126"/>
      <c r="H169" s="2126"/>
      <c r="I169" s="2126"/>
      <c r="J169" s="2126"/>
      <c r="K169" s="2126"/>
      <c r="L169" s="2126"/>
      <c r="M169" s="2126"/>
      <c r="N169" s="2126"/>
      <c r="O169" s="2126"/>
      <c r="P169" s="2126"/>
      <c r="Q169" s="2126"/>
      <c r="R169" s="2126"/>
      <c r="S169" s="2198" t="s">
        <v>2186</v>
      </c>
      <c r="T169" s="8518">
        <v>9</v>
      </c>
      <c r="U169" s="8519"/>
      <c r="V169" s="8544"/>
      <c r="W169" s="8544"/>
      <c r="X169" s="8544"/>
      <c r="Y169" s="8544"/>
      <c r="Z169" s="8544"/>
      <c r="AA169" s="8544"/>
      <c r="AB169" s="8544"/>
      <c r="AC169" s="8545"/>
      <c r="AD169" s="8546"/>
      <c r="AE169" s="8544"/>
      <c r="AF169" s="8544"/>
      <c r="AG169" s="8544"/>
      <c r="AH169" s="8544"/>
      <c r="AI169" s="8545"/>
      <c r="AJ169" s="8546"/>
      <c r="AK169" s="8544"/>
      <c r="AL169" s="8544"/>
      <c r="AM169" s="8544"/>
      <c r="AN169" s="8544"/>
      <c r="AO169" s="8544"/>
      <c r="AP169" s="1277"/>
      <c r="BG169" s="769"/>
      <c r="BH169" s="658"/>
      <c r="BI169" s="658"/>
      <c r="BJ169" s="658"/>
      <c r="BK169" s="658"/>
      <c r="BL169" s="658"/>
      <c r="BM169" s="658"/>
      <c r="BN169" s="658"/>
      <c r="BO169" s="658"/>
      <c r="BP169" s="658"/>
    </row>
    <row r="170" spans="1:68" ht="14.25" customHeight="1">
      <c r="A170" s="1277"/>
      <c r="B170" s="8513">
        <v>10</v>
      </c>
      <c r="C170" s="8456"/>
      <c r="D170" s="2100" t="s">
        <v>2353</v>
      </c>
      <c r="E170" s="2126"/>
      <c r="F170" s="2126"/>
      <c r="G170" s="2126"/>
      <c r="H170" s="2126"/>
      <c r="I170" s="2126"/>
      <c r="J170" s="2126"/>
      <c r="K170" s="2126"/>
      <c r="L170" s="2126"/>
      <c r="M170" s="2126"/>
      <c r="N170" s="2126"/>
      <c r="O170" s="2126"/>
      <c r="P170" s="2126"/>
      <c r="Q170" s="2126"/>
      <c r="R170" s="2126"/>
      <c r="S170" s="2198" t="s">
        <v>624</v>
      </c>
      <c r="T170" s="8518">
        <v>10</v>
      </c>
      <c r="U170" s="8519"/>
      <c r="V170" s="8544"/>
      <c r="W170" s="8544"/>
      <c r="X170" s="8544"/>
      <c r="Y170" s="8544"/>
      <c r="Z170" s="8544"/>
      <c r="AA170" s="8544"/>
      <c r="AB170" s="8544"/>
      <c r="AC170" s="8545"/>
      <c r="AD170" s="8546"/>
      <c r="AE170" s="8544"/>
      <c r="AF170" s="8544"/>
      <c r="AG170" s="8544"/>
      <c r="AH170" s="8544"/>
      <c r="AI170" s="8545"/>
      <c r="AJ170" s="8546"/>
      <c r="AK170" s="8544"/>
      <c r="AL170" s="8544"/>
      <c r="AM170" s="8544"/>
      <c r="AN170" s="8544"/>
      <c r="AO170" s="8544"/>
      <c r="AP170" s="1277"/>
      <c r="BG170" s="769"/>
      <c r="BH170" s="658"/>
      <c r="BI170" s="658"/>
      <c r="BJ170" s="658"/>
      <c r="BK170" s="658"/>
      <c r="BL170" s="658"/>
      <c r="BM170" s="658"/>
      <c r="BN170" s="658"/>
      <c r="BO170" s="658"/>
      <c r="BP170" s="658"/>
    </row>
    <row r="171" spans="1:68" ht="14.25" customHeight="1">
      <c r="A171" s="1277"/>
      <c r="B171" s="8513">
        <v>11</v>
      </c>
      <c r="C171" s="8456"/>
      <c r="D171" s="2100" t="s">
        <v>2354</v>
      </c>
      <c r="E171" s="2126"/>
      <c r="F171" s="2126"/>
      <c r="G171" s="2126"/>
      <c r="H171" s="2126"/>
      <c r="I171" s="2126"/>
      <c r="J171" s="2126"/>
      <c r="K171" s="2126"/>
      <c r="L171" s="2126"/>
      <c r="M171" s="2126"/>
      <c r="N171" s="2126"/>
      <c r="O171" s="2126"/>
      <c r="P171" s="2126"/>
      <c r="Q171" s="2126"/>
      <c r="R171" s="2126"/>
      <c r="S171" s="2198" t="s">
        <v>594</v>
      </c>
      <c r="T171" s="8518">
        <v>11</v>
      </c>
      <c r="U171" s="8519"/>
      <c r="V171" s="8544"/>
      <c r="W171" s="8544"/>
      <c r="X171" s="8544"/>
      <c r="Y171" s="8544"/>
      <c r="Z171" s="8544"/>
      <c r="AA171" s="8544"/>
      <c r="AB171" s="8544"/>
      <c r="AC171" s="8545"/>
      <c r="AD171" s="8546"/>
      <c r="AE171" s="8544"/>
      <c r="AF171" s="8544"/>
      <c r="AG171" s="8544"/>
      <c r="AH171" s="8544"/>
      <c r="AI171" s="8545"/>
      <c r="AJ171" s="8546"/>
      <c r="AK171" s="8544"/>
      <c r="AL171" s="8544"/>
      <c r="AM171" s="8544"/>
      <c r="AN171" s="8544"/>
      <c r="AO171" s="8544"/>
      <c r="AP171" s="1277"/>
      <c r="BG171" s="769"/>
      <c r="BH171" s="658"/>
      <c r="BI171" s="658"/>
      <c r="BJ171" s="658"/>
      <c r="BK171" s="658"/>
      <c r="BL171" s="658"/>
      <c r="BM171" s="658"/>
      <c r="BN171" s="658"/>
      <c r="BO171" s="658"/>
      <c r="BP171" s="658"/>
    </row>
    <row r="172" spans="1:68" ht="14.25" customHeight="1">
      <c r="A172" s="1277"/>
      <c r="B172" s="8513">
        <v>12</v>
      </c>
      <c r="C172" s="8456"/>
      <c r="D172" s="2100" t="s">
        <v>2355</v>
      </c>
      <c r="E172" s="2126"/>
      <c r="F172" s="2126"/>
      <c r="G172" s="2126"/>
      <c r="H172" s="2126"/>
      <c r="I172" s="2126"/>
      <c r="J172" s="2126"/>
      <c r="K172" s="2126"/>
      <c r="L172" s="2126"/>
      <c r="M172" s="2126"/>
      <c r="N172" s="2126"/>
      <c r="O172" s="2126"/>
      <c r="P172" s="2126"/>
      <c r="Q172" s="2126"/>
      <c r="R172" s="2126"/>
      <c r="S172" s="4800"/>
      <c r="T172" s="8518">
        <v>12</v>
      </c>
      <c r="U172" s="8519"/>
      <c r="V172" s="8544"/>
      <c r="W172" s="8544"/>
      <c r="X172" s="8544"/>
      <c r="Y172" s="8544"/>
      <c r="Z172" s="8544"/>
      <c r="AA172" s="8544"/>
      <c r="AB172" s="8544"/>
      <c r="AC172" s="8545"/>
      <c r="AD172" s="8546"/>
      <c r="AE172" s="8544"/>
      <c r="AF172" s="8544"/>
      <c r="AG172" s="8544"/>
      <c r="AH172" s="8544"/>
      <c r="AI172" s="8545"/>
      <c r="AJ172" s="8546"/>
      <c r="AK172" s="8544"/>
      <c r="AL172" s="8544"/>
      <c r="AM172" s="8544"/>
      <c r="AN172" s="8544"/>
      <c r="AO172" s="8544"/>
      <c r="AP172" s="1277"/>
      <c r="BG172" s="769"/>
      <c r="BH172" s="658"/>
      <c r="BI172" s="658"/>
      <c r="BJ172" s="658"/>
      <c r="BK172" s="658"/>
      <c r="BL172" s="658"/>
      <c r="BM172" s="658"/>
      <c r="BN172" s="658"/>
      <c r="BO172" s="658"/>
      <c r="BP172" s="658"/>
    </row>
    <row r="173" spans="1:68" ht="14.25" customHeight="1">
      <c r="A173" s="1277"/>
      <c r="B173" s="8513">
        <v>13</v>
      </c>
      <c r="C173" s="8456"/>
      <c r="D173" s="2100" t="s">
        <v>2356</v>
      </c>
      <c r="E173" s="2126"/>
      <c r="F173" s="2126"/>
      <c r="G173" s="2126"/>
      <c r="H173" s="2126"/>
      <c r="I173" s="2126"/>
      <c r="J173" s="2126"/>
      <c r="K173" s="2126"/>
      <c r="L173" s="2126"/>
      <c r="M173" s="2126"/>
      <c r="N173" s="2126"/>
      <c r="O173" s="2126"/>
      <c r="P173" s="2126"/>
      <c r="Q173" s="2126"/>
      <c r="R173" s="2126"/>
      <c r="S173" s="2198" t="s">
        <v>597</v>
      </c>
      <c r="T173" s="8518">
        <v>13</v>
      </c>
      <c r="U173" s="8519"/>
      <c r="V173" s="8544"/>
      <c r="W173" s="8544"/>
      <c r="X173" s="8544"/>
      <c r="Y173" s="8544"/>
      <c r="Z173" s="8544"/>
      <c r="AA173" s="8544"/>
      <c r="AB173" s="8544"/>
      <c r="AC173" s="8545"/>
      <c r="AD173" s="8546"/>
      <c r="AE173" s="8544"/>
      <c r="AF173" s="8544"/>
      <c r="AG173" s="8544"/>
      <c r="AH173" s="8544"/>
      <c r="AI173" s="8545"/>
      <c r="AJ173" s="8546"/>
      <c r="AK173" s="8544"/>
      <c r="AL173" s="8544"/>
      <c r="AM173" s="8544"/>
      <c r="AN173" s="8544"/>
      <c r="AO173" s="8544"/>
      <c r="AP173" s="1277"/>
      <c r="BG173" s="769"/>
      <c r="BH173" s="658"/>
      <c r="BI173" s="658"/>
      <c r="BJ173" s="658"/>
      <c r="BK173" s="658"/>
      <c r="BL173" s="658"/>
      <c r="BM173" s="658"/>
      <c r="BN173" s="658"/>
      <c r="BO173" s="658"/>
      <c r="BP173" s="658"/>
    </row>
    <row r="174" spans="1:68" ht="14.25" customHeight="1">
      <c r="A174" s="1277"/>
      <c r="B174" s="8513">
        <v>14</v>
      </c>
      <c r="C174" s="8456"/>
      <c r="D174" s="2100" t="s">
        <v>2357</v>
      </c>
      <c r="E174" s="2126"/>
      <c r="F174" s="2126"/>
      <c r="G174" s="2126"/>
      <c r="H174" s="2126"/>
      <c r="I174" s="2126"/>
      <c r="J174" s="2126"/>
      <c r="K174" s="2126"/>
      <c r="L174" s="2126"/>
      <c r="M174" s="2126"/>
      <c r="N174" s="2126"/>
      <c r="O174" s="2126"/>
      <c r="P174" s="2126"/>
      <c r="Q174" s="2126"/>
      <c r="R174" s="2126"/>
      <c r="S174" s="2198" t="s">
        <v>2186</v>
      </c>
      <c r="T174" s="8518">
        <v>14</v>
      </c>
      <c r="U174" s="8519"/>
      <c r="V174" s="8544"/>
      <c r="W174" s="8544"/>
      <c r="X174" s="8544"/>
      <c r="Y174" s="8544"/>
      <c r="Z174" s="8544"/>
      <c r="AA174" s="8544"/>
      <c r="AB174" s="8544"/>
      <c r="AC174" s="8545"/>
      <c r="AD174" s="8546"/>
      <c r="AE174" s="8544"/>
      <c r="AF174" s="8544"/>
      <c r="AG174" s="8544"/>
      <c r="AH174" s="8544"/>
      <c r="AI174" s="8545"/>
      <c r="AJ174" s="8546"/>
      <c r="AK174" s="8544"/>
      <c r="AL174" s="8544"/>
      <c r="AM174" s="8544"/>
      <c r="AN174" s="8544"/>
      <c r="AO174" s="8544"/>
      <c r="AP174" s="1277"/>
      <c r="BG174" s="769"/>
      <c r="BH174" s="658"/>
      <c r="BI174" s="658"/>
      <c r="BJ174" s="658"/>
      <c r="BK174" s="658"/>
      <c r="BL174" s="658"/>
      <c r="BM174" s="658"/>
      <c r="BN174" s="658"/>
      <c r="BO174" s="658"/>
      <c r="BP174" s="658"/>
    </row>
    <row r="175" spans="1:68" ht="14.25" customHeight="1">
      <c r="A175" s="1277"/>
      <c r="B175" s="8513">
        <v>15</v>
      </c>
      <c r="C175" s="8456"/>
      <c r="D175" s="2100" t="s">
        <v>2358</v>
      </c>
      <c r="E175" s="2126"/>
      <c r="F175" s="2126"/>
      <c r="G175" s="2126"/>
      <c r="H175" s="2126"/>
      <c r="I175" s="2126"/>
      <c r="J175" s="2126"/>
      <c r="K175" s="2126"/>
      <c r="L175" s="2126"/>
      <c r="M175" s="2126"/>
      <c r="N175" s="2126"/>
      <c r="O175" s="2126"/>
      <c r="P175" s="2126"/>
      <c r="Q175" s="2126"/>
      <c r="R175" s="2126"/>
      <c r="S175" s="2198" t="s">
        <v>2186</v>
      </c>
      <c r="T175" s="8518">
        <v>15</v>
      </c>
      <c r="U175" s="8519"/>
      <c r="V175" s="8544"/>
      <c r="W175" s="8544"/>
      <c r="X175" s="8544"/>
      <c r="Y175" s="8544"/>
      <c r="Z175" s="8544"/>
      <c r="AA175" s="8544"/>
      <c r="AB175" s="8544"/>
      <c r="AC175" s="8545"/>
      <c r="AD175" s="8546"/>
      <c r="AE175" s="8544"/>
      <c r="AF175" s="8544"/>
      <c r="AG175" s="8544"/>
      <c r="AH175" s="8544"/>
      <c r="AI175" s="8545"/>
      <c r="AJ175" s="8546"/>
      <c r="AK175" s="8544"/>
      <c r="AL175" s="8544"/>
      <c r="AM175" s="8544"/>
      <c r="AN175" s="8544"/>
      <c r="AO175" s="8544"/>
      <c r="AP175" s="1277"/>
      <c r="BG175" s="769"/>
      <c r="BH175" s="658"/>
      <c r="BI175" s="658"/>
      <c r="BJ175" s="658"/>
      <c r="BK175" s="658"/>
      <c r="BL175" s="658"/>
      <c r="BM175" s="658"/>
      <c r="BN175" s="658"/>
      <c r="BO175" s="658"/>
      <c r="BP175" s="658"/>
    </row>
    <row r="176" spans="1:68" ht="14.25" customHeight="1">
      <c r="A176" s="1277"/>
      <c r="B176" s="8513">
        <v>16</v>
      </c>
      <c r="C176" s="8456"/>
      <c r="D176" s="2100" t="s">
        <v>2359</v>
      </c>
      <c r="E176" s="2126"/>
      <c r="F176" s="2126"/>
      <c r="G176" s="2126"/>
      <c r="H176" s="2126"/>
      <c r="I176" s="2126"/>
      <c r="J176" s="2126"/>
      <c r="K176" s="2126"/>
      <c r="L176" s="2126"/>
      <c r="M176" s="2126"/>
      <c r="N176" s="2126"/>
      <c r="O176" s="2126"/>
      <c r="P176" s="2126"/>
      <c r="Q176" s="2126"/>
      <c r="R176" s="2126"/>
      <c r="S176" s="2198" t="s">
        <v>650</v>
      </c>
      <c r="T176" s="8518">
        <v>16</v>
      </c>
      <c r="U176" s="8519"/>
      <c r="V176" s="8544"/>
      <c r="W176" s="8544"/>
      <c r="X176" s="8544"/>
      <c r="Y176" s="8544"/>
      <c r="Z176" s="8544"/>
      <c r="AA176" s="8544"/>
      <c r="AB176" s="8544"/>
      <c r="AC176" s="8545"/>
      <c r="AD176" s="8546"/>
      <c r="AE176" s="8544"/>
      <c r="AF176" s="8544"/>
      <c r="AG176" s="8544"/>
      <c r="AH176" s="8544"/>
      <c r="AI176" s="8545"/>
      <c r="AJ176" s="8546"/>
      <c r="AK176" s="8544"/>
      <c r="AL176" s="8544"/>
      <c r="AM176" s="8544"/>
      <c r="AN176" s="8544"/>
      <c r="AO176" s="8544"/>
      <c r="AP176" s="1277"/>
      <c r="BG176" s="769"/>
      <c r="BH176" s="658"/>
      <c r="BI176" s="658"/>
      <c r="BJ176" s="658"/>
      <c r="BK176" s="658"/>
      <c r="BL176" s="658"/>
      <c r="BM176" s="658"/>
      <c r="BN176" s="658"/>
      <c r="BO176" s="658"/>
      <c r="BP176" s="658"/>
    </row>
    <row r="177" spans="1:68" ht="14.25" customHeight="1">
      <c r="A177" s="1277"/>
      <c r="B177" s="8513">
        <v>17</v>
      </c>
      <c r="C177" s="8456"/>
      <c r="D177" s="2100" t="s">
        <v>2025</v>
      </c>
      <c r="E177" s="2126"/>
      <c r="F177" s="2126"/>
      <c r="G177" s="2126"/>
      <c r="H177" s="2126"/>
      <c r="I177" s="2126"/>
      <c r="J177" s="2126"/>
      <c r="K177" s="2126"/>
      <c r="L177" s="2126"/>
      <c r="M177" s="2126"/>
      <c r="N177" s="2126"/>
      <c r="O177" s="2126"/>
      <c r="P177" s="2126"/>
      <c r="Q177" s="2126"/>
      <c r="R177" s="2126"/>
      <c r="S177" s="2198" t="s">
        <v>650</v>
      </c>
      <c r="T177" s="8518">
        <v>17</v>
      </c>
      <c r="U177" s="8519"/>
      <c r="V177" s="8544"/>
      <c r="W177" s="8544"/>
      <c r="X177" s="8544"/>
      <c r="Y177" s="8544"/>
      <c r="Z177" s="8544"/>
      <c r="AA177" s="8544"/>
      <c r="AB177" s="8544"/>
      <c r="AC177" s="8545"/>
      <c r="AD177" s="8546"/>
      <c r="AE177" s="8544"/>
      <c r="AF177" s="8544"/>
      <c r="AG177" s="8544"/>
      <c r="AH177" s="8544"/>
      <c r="AI177" s="8545"/>
      <c r="AJ177" s="8546"/>
      <c r="AK177" s="8544"/>
      <c r="AL177" s="8544"/>
      <c r="AM177" s="8544"/>
      <c r="AN177" s="8544"/>
      <c r="AO177" s="8544"/>
      <c r="AP177" s="1277"/>
      <c r="AQ177" s="2875"/>
      <c r="AR177" s="2875"/>
      <c r="AS177" s="2875"/>
      <c r="AT177" s="2875"/>
      <c r="AU177" s="2875"/>
      <c r="BG177" s="769"/>
      <c r="BH177" s="658"/>
      <c r="BI177" s="658"/>
      <c r="BJ177" s="658"/>
      <c r="BK177" s="658"/>
      <c r="BL177" s="658"/>
      <c r="BM177" s="658"/>
      <c r="BN177" s="658"/>
      <c r="BO177" s="658"/>
      <c r="BP177" s="658"/>
    </row>
    <row r="178" spans="1:68" ht="14.25" customHeight="1">
      <c r="A178" s="1277"/>
      <c r="B178" s="8513">
        <v>18</v>
      </c>
      <c r="C178" s="8456"/>
      <c r="D178" s="2100" t="s">
        <v>2360</v>
      </c>
      <c r="E178" s="2126"/>
      <c r="F178" s="2126"/>
      <c r="G178" s="2126"/>
      <c r="H178" s="2126"/>
      <c r="I178" s="2126"/>
      <c r="J178" s="2126"/>
      <c r="K178" s="2126"/>
      <c r="L178" s="2126"/>
      <c r="M178" s="2126"/>
      <c r="N178" s="2126"/>
      <c r="O178" s="2126"/>
      <c r="P178" s="2126"/>
      <c r="Q178" s="2126"/>
      <c r="R178" s="2126"/>
      <c r="S178" s="2198" t="s">
        <v>624</v>
      </c>
      <c r="T178" s="8518">
        <v>18</v>
      </c>
      <c r="U178" s="8519"/>
      <c r="V178" s="8544"/>
      <c r="W178" s="8544"/>
      <c r="X178" s="8544"/>
      <c r="Y178" s="8544"/>
      <c r="Z178" s="8544"/>
      <c r="AA178" s="8544"/>
      <c r="AB178" s="8544"/>
      <c r="AC178" s="8545"/>
      <c r="AD178" s="8546"/>
      <c r="AE178" s="8544"/>
      <c r="AF178" s="8544"/>
      <c r="AG178" s="8544"/>
      <c r="AH178" s="8544"/>
      <c r="AI178" s="8545"/>
      <c r="AJ178" s="8546"/>
      <c r="AK178" s="8544"/>
      <c r="AL178" s="8544"/>
      <c r="AM178" s="8544"/>
      <c r="AN178" s="8544"/>
      <c r="AO178" s="8544"/>
      <c r="AP178" s="1277"/>
      <c r="AQ178" s="2875"/>
      <c r="AR178" s="7608" t="s">
        <v>2361</v>
      </c>
      <c r="AS178" s="7608"/>
      <c r="AT178" s="7608"/>
      <c r="AU178" s="2875"/>
      <c r="BG178" s="769"/>
      <c r="BH178" s="658"/>
      <c r="BI178" s="658"/>
      <c r="BJ178" s="658"/>
      <c r="BK178" s="658"/>
      <c r="BL178" s="658"/>
      <c r="BM178" s="658"/>
      <c r="BN178" s="658"/>
      <c r="BO178" s="658"/>
      <c r="BP178" s="658"/>
    </row>
    <row r="179" spans="1:68" ht="14.25" customHeight="1">
      <c r="A179" s="1277"/>
      <c r="B179" s="8513">
        <v>19</v>
      </c>
      <c r="C179" s="8456"/>
      <c r="D179" s="2100" t="s">
        <v>2362</v>
      </c>
      <c r="E179" s="2126"/>
      <c r="F179" s="2126"/>
      <c r="G179" s="2126"/>
      <c r="H179" s="8548"/>
      <c r="I179" s="8548"/>
      <c r="J179" s="8548"/>
      <c r="K179" s="8548"/>
      <c r="L179" s="8548"/>
      <c r="M179" s="8548"/>
      <c r="N179" s="8548"/>
      <c r="O179" s="8548"/>
      <c r="P179" s="8548"/>
      <c r="Q179" s="8548"/>
      <c r="R179" s="8548"/>
      <c r="S179" s="4800"/>
      <c r="T179" s="8518">
        <v>19</v>
      </c>
      <c r="U179" s="8519"/>
      <c r="V179" s="8544"/>
      <c r="W179" s="8544"/>
      <c r="X179" s="8544"/>
      <c r="Y179" s="8544"/>
      <c r="Z179" s="8544"/>
      <c r="AA179" s="8544"/>
      <c r="AB179" s="8544"/>
      <c r="AC179" s="8545"/>
      <c r="AD179" s="8546"/>
      <c r="AE179" s="8544"/>
      <c r="AF179" s="8544"/>
      <c r="AG179" s="8544"/>
      <c r="AH179" s="8544"/>
      <c r="AI179" s="8545"/>
      <c r="AJ179" s="8546"/>
      <c r="AK179" s="8544"/>
      <c r="AL179" s="8544"/>
      <c r="AM179" s="8544"/>
      <c r="AN179" s="8544"/>
      <c r="AO179" s="8544"/>
      <c r="AP179" s="1277"/>
      <c r="AQ179" s="2875"/>
      <c r="AR179" s="2875"/>
      <c r="AS179" s="2875"/>
      <c r="AT179" s="2875"/>
      <c r="AU179" s="2875"/>
      <c r="BG179" s="769"/>
      <c r="BH179" s="658"/>
      <c r="BI179" s="658"/>
      <c r="BJ179" s="658"/>
      <c r="BK179" s="658"/>
      <c r="BL179" s="658"/>
      <c r="BM179" s="658"/>
      <c r="BN179" s="658"/>
      <c r="BO179" s="658"/>
      <c r="BP179" s="658"/>
    </row>
    <row r="180" spans="1:68" ht="14.25" customHeight="1">
      <c r="A180" s="1277"/>
      <c r="B180" s="8513">
        <v>20</v>
      </c>
      <c r="C180" s="8456"/>
      <c r="D180" s="2100" t="s">
        <v>2363</v>
      </c>
      <c r="E180" s="2126"/>
      <c r="F180" s="2126"/>
      <c r="G180" s="2126"/>
      <c r="H180" s="2126"/>
      <c r="I180" s="2126"/>
      <c r="J180" s="2126"/>
      <c r="K180" s="2126"/>
      <c r="L180" s="2126"/>
      <c r="M180" s="2126"/>
      <c r="N180" s="2126"/>
      <c r="O180" s="2126"/>
      <c r="P180" s="2126"/>
      <c r="Q180" s="2126"/>
      <c r="R180" s="2126"/>
      <c r="S180" s="2198" t="s">
        <v>643</v>
      </c>
      <c r="T180" s="8518">
        <v>20</v>
      </c>
      <c r="U180" s="8519"/>
      <c r="V180" s="8413">
        <f>IF(AR180&lt;&gt;"",ROUND(AR180,0),ROUND(SUM(V165:AC179),0))</f>
        <v>0</v>
      </c>
      <c r="W180" s="8413"/>
      <c r="X180" s="8413"/>
      <c r="Y180" s="8413"/>
      <c r="Z180" s="8413"/>
      <c r="AA180" s="8413"/>
      <c r="AB180" s="8413"/>
      <c r="AC180" s="8530"/>
      <c r="AD180" s="8529">
        <f>IF(AS180&lt;&gt;"",ROUND(AS180,0),ROUND(SUM(AD165:AI179),0))</f>
        <v>0</v>
      </c>
      <c r="AE180" s="8413"/>
      <c r="AF180" s="8413"/>
      <c r="AG180" s="8413"/>
      <c r="AH180" s="8413"/>
      <c r="AI180" s="8530"/>
      <c r="AJ180" s="8547">
        <f>IF(AT180&lt;&gt;"",ROUND(AT180,0),ROUND(SUM(AJ165:AO179),0))</f>
        <v>0</v>
      </c>
      <c r="AK180" s="8415"/>
      <c r="AL180" s="8415"/>
      <c r="AM180" s="8415"/>
      <c r="AN180" s="8415"/>
      <c r="AO180" s="8415"/>
      <c r="AP180" s="1277"/>
      <c r="AQ180" s="2875"/>
      <c r="AR180" s="777"/>
      <c r="AS180" s="777"/>
      <c r="AT180" s="777"/>
      <c r="AU180" s="2875"/>
      <c r="BG180" s="769"/>
      <c r="BH180" s="658"/>
      <c r="BI180" s="658"/>
      <c r="BJ180" s="658"/>
      <c r="BK180" s="658"/>
      <c r="BL180" s="658"/>
      <c r="BM180" s="658"/>
      <c r="BN180" s="658"/>
      <c r="BO180" s="658"/>
      <c r="BP180" s="658"/>
    </row>
    <row r="181" spans="1:68" ht="14.25" customHeight="1">
      <c r="A181" s="1277"/>
      <c r="B181" s="8513">
        <v>21</v>
      </c>
      <c r="C181" s="8456"/>
      <c r="D181" s="2100" t="s">
        <v>2364</v>
      </c>
      <c r="E181" s="2126"/>
      <c r="F181" s="2126"/>
      <c r="G181" s="2126"/>
      <c r="H181" s="2126"/>
      <c r="I181" s="2126"/>
      <c r="J181" s="2126"/>
      <c r="K181" s="2126"/>
      <c r="L181" s="2126"/>
      <c r="M181" s="2126"/>
      <c r="N181" s="2126"/>
      <c r="O181" s="2126"/>
      <c r="P181" s="2126"/>
      <c r="Q181" s="2126"/>
      <c r="R181" s="2126"/>
      <c r="S181" s="4800"/>
      <c r="T181" s="8536"/>
      <c r="U181" s="8537"/>
      <c r="V181" s="8538"/>
      <c r="W181" s="8539"/>
      <c r="X181" s="8539"/>
      <c r="Y181" s="8539"/>
      <c r="Z181" s="8539"/>
      <c r="AA181" s="8539"/>
      <c r="AB181" s="8539"/>
      <c r="AC181" s="8540"/>
      <c r="AD181" s="8538"/>
      <c r="AE181" s="8539"/>
      <c r="AF181" s="8539"/>
      <c r="AG181" s="8539"/>
      <c r="AH181" s="8539"/>
      <c r="AI181" s="8540"/>
      <c r="AJ181" s="8538"/>
      <c r="AK181" s="8539"/>
      <c r="AL181" s="8539"/>
      <c r="AM181" s="8539"/>
      <c r="AN181" s="8539"/>
      <c r="AO181" s="8539"/>
      <c r="AP181" s="1277"/>
      <c r="AQ181" s="2875"/>
      <c r="AR181" s="2875"/>
      <c r="AS181" s="2875"/>
      <c r="AT181" s="2875"/>
      <c r="AU181" s="2875"/>
      <c r="AX181" s="1"/>
      <c r="AY181" s="8410" t="s">
        <v>510</v>
      </c>
      <c r="AZ181" s="8411"/>
      <c r="BA181" s="8410" t="s">
        <v>516</v>
      </c>
      <c r="BB181" s="8411"/>
      <c r="BC181" s="8410" t="s">
        <v>518</v>
      </c>
      <c r="BD181" s="8411"/>
      <c r="BG181" s="769"/>
      <c r="BH181" s="658"/>
      <c r="BI181" s="658"/>
      <c r="BJ181" s="658"/>
      <c r="BK181" s="658"/>
      <c r="BL181" s="658"/>
      <c r="BM181" s="658"/>
      <c r="BN181" s="658"/>
      <c r="BO181" s="658"/>
      <c r="BP181" s="658"/>
    </row>
    <row r="182" spans="1:68" ht="14.25" customHeight="1">
      <c r="A182" s="1277"/>
      <c r="B182" s="8513"/>
      <c r="C182" s="8456"/>
      <c r="D182" s="2100" t="s">
        <v>2365</v>
      </c>
      <c r="E182" s="2126"/>
      <c r="F182" s="2126"/>
      <c r="G182" s="2126"/>
      <c r="H182" s="2126"/>
      <c r="I182" s="2126"/>
      <c r="J182" s="2126"/>
      <c r="K182" s="2126"/>
      <c r="L182" s="2126"/>
      <c r="M182" s="2126"/>
      <c r="N182" s="2126"/>
      <c r="O182" s="2126"/>
      <c r="P182" s="2126"/>
      <c r="Q182" s="2126"/>
      <c r="R182" s="2126"/>
      <c r="S182" s="4800"/>
      <c r="T182" s="8531"/>
      <c r="U182" s="8532"/>
      <c r="V182" s="8541"/>
      <c r="W182" s="8542"/>
      <c r="X182" s="8542"/>
      <c r="Y182" s="8542"/>
      <c r="Z182" s="8542"/>
      <c r="AA182" s="8542"/>
      <c r="AB182" s="8542"/>
      <c r="AC182" s="8543"/>
      <c r="AD182" s="8541"/>
      <c r="AE182" s="8542"/>
      <c r="AF182" s="8542"/>
      <c r="AG182" s="8542"/>
      <c r="AH182" s="8542"/>
      <c r="AI182" s="8543"/>
      <c r="AJ182" s="8541"/>
      <c r="AK182" s="8542"/>
      <c r="AL182" s="8542"/>
      <c r="AM182" s="8542"/>
      <c r="AN182" s="8542"/>
      <c r="AO182" s="8542"/>
      <c r="AP182" s="1277"/>
      <c r="AQ182" s="2875"/>
      <c r="AR182" s="2875"/>
      <c r="AS182" s="2875"/>
      <c r="AT182" s="2875"/>
      <c r="AU182" s="2875"/>
      <c r="AX182" s="1"/>
      <c r="AY182" s="250" t="s">
        <v>2366</v>
      </c>
      <c r="AZ182" s="250" t="s">
        <v>2367</v>
      </c>
      <c r="BA182" s="250" t="s">
        <v>2366</v>
      </c>
      <c r="BB182" s="250" t="s">
        <v>2367</v>
      </c>
      <c r="BC182" s="250" t="s">
        <v>2366</v>
      </c>
      <c r="BD182" s="250" t="s">
        <v>2367</v>
      </c>
      <c r="BG182" s="769"/>
      <c r="BH182" s="658"/>
      <c r="BI182" s="658"/>
      <c r="BJ182" s="658"/>
      <c r="BK182" s="658"/>
      <c r="BL182" s="658"/>
      <c r="BM182" s="658"/>
      <c r="BN182" s="658"/>
      <c r="BO182" s="658"/>
      <c r="BP182" s="658"/>
    </row>
    <row r="183" spans="1:68" ht="14.25" customHeight="1">
      <c r="A183" s="1277"/>
      <c r="B183" s="8513"/>
      <c r="C183" s="8456"/>
      <c r="D183" s="2100" t="s">
        <v>2368</v>
      </c>
      <c r="E183" s="2126"/>
      <c r="F183" s="2126"/>
      <c r="G183" s="2126"/>
      <c r="H183" s="2126"/>
      <c r="I183" s="2126"/>
      <c r="J183" s="2126"/>
      <c r="K183" s="2126"/>
      <c r="L183" s="2126"/>
      <c r="M183" s="2126"/>
      <c r="N183" s="2126"/>
      <c r="O183" s="2126"/>
      <c r="P183" s="2126"/>
      <c r="Q183" s="2126"/>
      <c r="R183" s="2126"/>
      <c r="S183" s="2198" t="s">
        <v>608</v>
      </c>
      <c r="T183" s="8518">
        <v>21</v>
      </c>
      <c r="U183" s="8519"/>
      <c r="V183" s="8529">
        <f>IF(AR183&lt;&gt;"",ROUND(AR183,0),ROUND(SUM(V162,V163,-V180),0))</f>
        <v>0</v>
      </c>
      <c r="W183" s="8413"/>
      <c r="X183" s="8413"/>
      <c r="Y183" s="8413"/>
      <c r="Z183" s="8413"/>
      <c r="AA183" s="8413"/>
      <c r="AB183" s="8413"/>
      <c r="AC183" s="8530"/>
      <c r="AD183" s="8529">
        <f>IF(AS183&lt;&gt;"",ROUND(AS183,0),ROUND(SUM(AD162,AD163,-AD180),0))</f>
        <v>0</v>
      </c>
      <c r="AE183" s="8413"/>
      <c r="AF183" s="8413"/>
      <c r="AG183" s="8413"/>
      <c r="AH183" s="8413"/>
      <c r="AI183" s="8530"/>
      <c r="AJ183" s="8529">
        <f>IF(AT183&lt;&gt;"",ROUND(AT183,0),ROUND(SUM(AJ162,AJ163,-AJ180),0))</f>
        <v>0</v>
      </c>
      <c r="AK183" s="8413"/>
      <c r="AL183" s="8413"/>
      <c r="AM183" s="8413"/>
      <c r="AN183" s="8413"/>
      <c r="AO183" s="8413"/>
      <c r="AP183" s="1277"/>
      <c r="AQ183" s="2875"/>
      <c r="AR183" s="777"/>
      <c r="AS183" s="777"/>
      <c r="AT183" s="777"/>
      <c r="AU183" s="2875"/>
      <c r="AX183" s="251" t="s">
        <v>2369</v>
      </c>
      <c r="AY183" s="249">
        <f>IF(V183&gt;0,V183,0)</f>
        <v>0</v>
      </c>
      <c r="AZ183" s="249">
        <f>IF(V183&lt;0,V183,0)</f>
        <v>0</v>
      </c>
      <c r="BA183" s="249">
        <f>IF(AD183&gt;0,AD183,0)</f>
        <v>0</v>
      </c>
      <c r="BB183" s="249">
        <f>IF(AD183&lt;0,AD183,0)</f>
        <v>0</v>
      </c>
      <c r="BC183" s="249">
        <f>IF(AJ183&gt;0,AJ183,0)</f>
        <v>0</v>
      </c>
      <c r="BD183" s="249">
        <f>IF(AJ183&lt;0,AJ183,0)</f>
        <v>0</v>
      </c>
      <c r="BG183" s="769"/>
      <c r="BH183" s="658"/>
      <c r="BI183" s="658"/>
      <c r="BJ183" s="658"/>
      <c r="BK183" s="658"/>
      <c r="BL183" s="658"/>
      <c r="BM183" s="658"/>
      <c r="BN183" s="658"/>
      <c r="BO183" s="658"/>
      <c r="BP183" s="658"/>
    </row>
    <row r="184" spans="1:68" ht="14.25" customHeight="1">
      <c r="A184" s="770"/>
      <c r="B184" s="8513">
        <v>22</v>
      </c>
      <c r="C184" s="8456"/>
      <c r="D184" s="2100" t="s">
        <v>2370</v>
      </c>
      <c r="E184" s="2126"/>
      <c r="F184" s="2126"/>
      <c r="G184" s="2126"/>
      <c r="H184" s="2126"/>
      <c r="I184" s="2126"/>
      <c r="J184" s="2126"/>
      <c r="K184" s="2126"/>
      <c r="L184" s="2126"/>
      <c r="M184" s="2126"/>
      <c r="N184" s="2126"/>
      <c r="O184" s="2126"/>
      <c r="P184" s="2126"/>
      <c r="Q184" s="2126"/>
      <c r="R184" s="2126"/>
      <c r="S184" s="4800"/>
      <c r="T184" s="8531"/>
      <c r="U184" s="8532"/>
      <c r="V184" s="8533" t="str">
        <f>IF(AND(V183&lt;&gt;"",V183&lt;0,$A184="",$AS184,$AT184),"See Form 8582.","")</f>
        <v/>
      </c>
      <c r="W184" s="8534"/>
      <c r="X184" s="8534"/>
      <c r="Y184" s="8534"/>
      <c r="Z184" s="8534"/>
      <c r="AA184" s="8534"/>
      <c r="AB184" s="8534"/>
      <c r="AC184" s="8535"/>
      <c r="AD184" s="8533" t="str">
        <f>IF(AND(AD183&lt;&gt;"",AD183&lt;0,$A184="",$AS184,$AT184),"See Form 8582.","")</f>
        <v/>
      </c>
      <c r="AE184" s="8534"/>
      <c r="AF184" s="8534"/>
      <c r="AG184" s="8534"/>
      <c r="AH184" s="8534"/>
      <c r="AI184" s="8534"/>
      <c r="AJ184" s="8533" t="str">
        <f>IF(AND(AJ183&lt;&gt;"",AJ183&lt;0,$A184="",$AS184,$AT184),"See Form 8582.","")</f>
        <v/>
      </c>
      <c r="AK184" s="8534"/>
      <c r="AL184" s="8534"/>
      <c r="AM184" s="8534"/>
      <c r="AN184" s="8534"/>
      <c r="AO184" s="8534"/>
      <c r="AP184" s="1277"/>
      <c r="AQ184" s="2875"/>
      <c r="AR184" s="6551">
        <f>'8582'!$AO$33</f>
        <v>150000</v>
      </c>
      <c r="AS184" s="6551" t="b">
        <f>OR(AND(File_Marr_Sep&lt;&gt;"",LivedApart,Adj_Gross_Inc&gt;AR184/2),Adj_Gross_Inc&gt;AR184)</f>
        <v>0</v>
      </c>
      <c r="AT184" s="6551" t="b">
        <f>OR(AND(V183&lt;&gt;"",V183&lt;0),AND(AD183&lt;&gt;"",AD183&lt;0),AND(AJ183&lt;&gt;"",AJ183&lt;0))</f>
        <v>0</v>
      </c>
      <c r="AU184" s="2875"/>
      <c r="AV184" t="b">
        <f>AND($A184="",$AS184,$AT184)</f>
        <v>0</v>
      </c>
      <c r="AX184" s="251" t="s">
        <v>2371</v>
      </c>
      <c r="AY184" s="4810" t="s">
        <v>369</v>
      </c>
      <c r="AZ184" s="249">
        <f>IF(W185&lt;&gt;"",-W185,0)</f>
        <v>0</v>
      </c>
      <c r="BA184" s="4810" t="s">
        <v>369</v>
      </c>
      <c r="BB184" s="249">
        <f>IF(AE185&lt;&gt;"",-AE185,0)</f>
        <v>0</v>
      </c>
      <c r="BC184" s="4810" t="s">
        <v>369</v>
      </c>
      <c r="BD184" s="249">
        <f>IF(AK185&lt;&gt;"",-AK185,0)</f>
        <v>0</v>
      </c>
      <c r="BG184" s="769"/>
      <c r="BH184" s="658"/>
      <c r="BI184" s="658"/>
      <c r="BJ184" s="658"/>
      <c r="BK184" s="658"/>
      <c r="BL184" s="658"/>
      <c r="BM184" s="658"/>
      <c r="BN184" s="658"/>
      <c r="BO184" s="658"/>
      <c r="BP184" s="658"/>
    </row>
    <row r="185" spans="1:68" ht="14.25" customHeight="1">
      <c r="A185" s="1277"/>
      <c r="B185" s="8513"/>
      <c r="C185" s="8456"/>
      <c r="D185" s="2100" t="s">
        <v>2372</v>
      </c>
      <c r="E185" s="2126"/>
      <c r="F185" s="2126"/>
      <c r="G185" s="2126"/>
      <c r="H185" s="2126"/>
      <c r="I185" s="2126"/>
      <c r="J185" s="2126"/>
      <c r="K185" s="2126"/>
      <c r="L185" s="2126"/>
      <c r="M185" s="2126"/>
      <c r="N185" s="2126"/>
      <c r="O185" s="2126"/>
      <c r="P185" s="2126"/>
      <c r="Q185" s="2126"/>
      <c r="R185" s="2126"/>
      <c r="S185" s="2198" t="s">
        <v>624</v>
      </c>
      <c r="T185" s="8518">
        <v>22</v>
      </c>
      <c r="U185" s="8519"/>
      <c r="V185" s="4811" t="s">
        <v>799</v>
      </c>
      <c r="W185" s="8413" t="str">
        <f>IF(AND(AR185&lt;0,AR185&lt;&gt;""),-ROUND(AR185,0),IF(AND(AR185&gt;=0,AR185&lt;&gt;""),ROUND(AR185,0),IF(AND(D153&lt;&gt;6,V183&lt;0),ROUND(-V183,0),"")))</f>
        <v/>
      </c>
      <c r="X185" s="8414"/>
      <c r="Y185" s="8414"/>
      <c r="Z185" s="8414"/>
      <c r="AA185" s="8414"/>
      <c r="AB185" s="8414"/>
      <c r="AC185" s="4802" t="s">
        <v>800</v>
      </c>
      <c r="AD185" s="4811" t="s">
        <v>799</v>
      </c>
      <c r="AE185" s="8413" t="str">
        <f>IF(AND(AS185&lt;0,AS185&lt;&gt;""),-ROUND(AS185,0),IF(AND(AS185&gt;=0,AS185&lt;&gt;""),ROUND(AS185,0),IF(AND(D154&lt;&gt;6,AD183&lt;0),ROUND(-AD183,0),"")))</f>
        <v/>
      </c>
      <c r="AF185" s="8414"/>
      <c r="AG185" s="8414"/>
      <c r="AH185" s="8414"/>
      <c r="AI185" s="4802" t="s">
        <v>800</v>
      </c>
      <c r="AJ185" s="4811" t="s">
        <v>799</v>
      </c>
      <c r="AK185" s="8413" t="str">
        <f>IF(AND(AT185&lt;0,AT185&lt;&gt;""),-ROUND(AT185,0),IF(AND(AT185&gt;=0,AT185&lt;&gt;""),ROUND(AT185,0),IF(AND(D155&lt;&gt;6,AJ183&lt;0),ROUND(-AJ183,0),"")))</f>
        <v/>
      </c>
      <c r="AL185" s="8414"/>
      <c r="AM185" s="8414"/>
      <c r="AN185" s="8414"/>
      <c r="AO185" s="4801" t="s">
        <v>800</v>
      </c>
      <c r="AP185" s="1277"/>
      <c r="AQ185" s="2875"/>
      <c r="AR185" s="777"/>
      <c r="AS185" s="777"/>
      <c r="AT185" s="777"/>
      <c r="AU185" s="2875"/>
      <c r="AV185" t="b">
        <f>AND($A184="",$AS184,$AT184)</f>
        <v>0</v>
      </c>
      <c r="AX185" s="251"/>
      <c r="AY185" s="251" t="s">
        <v>2373</v>
      </c>
      <c r="AZ185" s="249">
        <f>IF(D153=6,AZ183,0)</f>
        <v>0</v>
      </c>
      <c r="BB185" s="249">
        <f>IF(D154=6,BB183,0)</f>
        <v>0</v>
      </c>
      <c r="BD185" s="249">
        <f>IF(D155=6,BD183,0)</f>
        <v>0</v>
      </c>
      <c r="BG185" s="769"/>
      <c r="BH185" s="658"/>
      <c r="BI185" s="658"/>
      <c r="BJ185" s="658"/>
      <c r="BK185" s="658"/>
      <c r="BL185" s="658"/>
      <c r="BM185" s="658"/>
      <c r="BN185" s="658"/>
      <c r="BO185" s="658"/>
      <c r="BP185" s="658"/>
    </row>
    <row r="186" spans="1:68" ht="14.25" customHeight="1">
      <c r="A186" s="1277"/>
      <c r="B186" s="8513" t="s">
        <v>2374</v>
      </c>
      <c r="C186" s="8456"/>
      <c r="D186" s="2100" t="s">
        <v>2375</v>
      </c>
      <c r="E186" s="2126"/>
      <c r="F186" s="2126"/>
      <c r="G186" s="2126"/>
      <c r="H186" s="2126"/>
      <c r="I186" s="2126"/>
      <c r="J186" s="2126"/>
      <c r="K186" s="2126"/>
      <c r="L186" s="2126"/>
      <c r="M186" s="2126"/>
      <c r="N186" s="2126"/>
      <c r="O186" s="2126"/>
      <c r="P186" s="2126"/>
      <c r="Q186" s="2126"/>
      <c r="R186" s="2126"/>
      <c r="S186" s="2126"/>
      <c r="T186" s="2126"/>
      <c r="U186" s="2126"/>
      <c r="V186" s="2126"/>
      <c r="W186" s="2126"/>
      <c r="X186" s="2126"/>
      <c r="Y186" s="2126"/>
      <c r="Z186" s="2126"/>
      <c r="AA186" s="2198" t="s">
        <v>631</v>
      </c>
      <c r="AB186" s="8514" t="s">
        <v>2374</v>
      </c>
      <c r="AC186" s="8515"/>
      <c r="AD186" s="8529">
        <f>IF(AR186&lt;&gt;"",ROUND(AR186,0),ROUND(BC156,0))</f>
        <v>0</v>
      </c>
      <c r="AE186" s="8413"/>
      <c r="AF186" s="8413"/>
      <c r="AG186" s="8413"/>
      <c r="AH186" s="8413"/>
      <c r="AI186" s="8530"/>
      <c r="AJ186" s="1277"/>
      <c r="AK186" s="1277"/>
      <c r="AL186" s="1277"/>
      <c r="AM186" s="1277"/>
      <c r="AN186" s="1277"/>
      <c r="AO186" s="1277"/>
      <c r="AP186" s="1277"/>
      <c r="AQ186" s="2875"/>
      <c r="AR186" s="777"/>
      <c r="AS186" s="2875"/>
      <c r="AT186" s="2875"/>
      <c r="AU186" s="2875"/>
      <c r="AX186" s="1"/>
      <c r="AY186" s="251" t="s">
        <v>2376</v>
      </c>
      <c r="AZ186" s="249">
        <f>IF(D153&lt;&gt;6,AZ183,0)</f>
        <v>0</v>
      </c>
      <c r="BB186" s="249">
        <f>IF(D154&lt;&gt;6,BB183,0)</f>
        <v>0</v>
      </c>
      <c r="BD186" s="249">
        <f>IF(D155&lt;&gt;6,BD183,0)</f>
        <v>0</v>
      </c>
      <c r="BG186" s="769"/>
      <c r="BH186" s="658"/>
      <c r="BI186" s="658"/>
      <c r="BJ186" s="658"/>
      <c r="BK186" s="658"/>
      <c r="BL186" s="658"/>
      <c r="BM186" s="658"/>
      <c r="BN186" s="658"/>
      <c r="BO186" s="658"/>
      <c r="BP186" s="658"/>
    </row>
    <row r="187" spans="1:68" ht="14.25" customHeight="1">
      <c r="A187" s="1277"/>
      <c r="B187" s="8527" t="s">
        <v>592</v>
      </c>
      <c r="C187" s="8528"/>
      <c r="D187" s="2100" t="s">
        <v>2377</v>
      </c>
      <c r="E187" s="2126"/>
      <c r="F187" s="2126"/>
      <c r="G187" s="2126"/>
      <c r="H187" s="2126"/>
      <c r="I187" s="2126"/>
      <c r="J187" s="2126"/>
      <c r="K187" s="2126"/>
      <c r="L187" s="2126"/>
      <c r="M187" s="2126"/>
      <c r="N187" s="2126"/>
      <c r="O187" s="2126"/>
      <c r="P187" s="2126"/>
      <c r="Q187" s="2126"/>
      <c r="R187" s="2126"/>
      <c r="S187" s="2126"/>
      <c r="T187" s="2126"/>
      <c r="U187" s="2126"/>
      <c r="V187" s="2126"/>
      <c r="W187" s="2126"/>
      <c r="X187" s="2126"/>
      <c r="Y187" s="2126"/>
      <c r="Z187" s="2126"/>
      <c r="AA187" s="2198" t="s">
        <v>643</v>
      </c>
      <c r="AB187" s="8514" t="s">
        <v>2378</v>
      </c>
      <c r="AC187" s="8515"/>
      <c r="AD187" s="8529">
        <f>IF(AR187&lt;&gt;"",ROUND(AR187,0),ROUND(BC157,0))</f>
        <v>0</v>
      </c>
      <c r="AE187" s="8413"/>
      <c r="AF187" s="8413"/>
      <c r="AG187" s="8413"/>
      <c r="AH187" s="8413"/>
      <c r="AI187" s="8530"/>
      <c r="AJ187" s="1277"/>
      <c r="AK187" s="1277"/>
      <c r="AL187" s="1277"/>
      <c r="AM187" s="1277"/>
      <c r="AN187" s="1277"/>
      <c r="AO187" s="1277"/>
      <c r="AP187" s="1277"/>
      <c r="AQ187" s="2875"/>
      <c r="AR187" s="777"/>
      <c r="AS187" s="2875"/>
      <c r="AT187" s="2875"/>
      <c r="AU187" s="2875"/>
      <c r="BG187" s="769"/>
      <c r="BH187" s="658"/>
      <c r="BI187" s="658"/>
      <c r="BJ187" s="658"/>
      <c r="BK187" s="658"/>
      <c r="BL187" s="658"/>
      <c r="BM187" s="658"/>
      <c r="BN187" s="658"/>
      <c r="BO187" s="658"/>
      <c r="BP187" s="658"/>
    </row>
    <row r="188" spans="1:68" ht="14.25" customHeight="1">
      <c r="A188" s="1277"/>
      <c r="B188" s="8527" t="s">
        <v>595</v>
      </c>
      <c r="C188" s="8528"/>
      <c r="D188" s="2100" t="s">
        <v>2379</v>
      </c>
      <c r="E188" s="2126"/>
      <c r="F188" s="2126"/>
      <c r="G188" s="2126"/>
      <c r="H188" s="2126"/>
      <c r="I188" s="2126"/>
      <c r="J188" s="2126"/>
      <c r="K188" s="2126"/>
      <c r="L188" s="2126"/>
      <c r="M188" s="2126"/>
      <c r="N188" s="2126"/>
      <c r="O188" s="2126"/>
      <c r="P188" s="2126"/>
      <c r="Q188" s="2126"/>
      <c r="R188" s="2126"/>
      <c r="S188" s="2126"/>
      <c r="T188" s="2126"/>
      <c r="U188" s="2126"/>
      <c r="V188" s="2126"/>
      <c r="W188" s="2126"/>
      <c r="X188" s="2126"/>
      <c r="Y188" s="2126"/>
      <c r="Z188" s="2126"/>
      <c r="AA188" s="2198" t="s">
        <v>601</v>
      </c>
      <c r="AB188" s="8514" t="s">
        <v>2380</v>
      </c>
      <c r="AC188" s="8515"/>
      <c r="AD188" s="8529">
        <f>IF(AR188&lt;&gt;"",ROUND(AR188,0),ROUND(SUM(V172,AD172,AJ172),0))</f>
        <v>0</v>
      </c>
      <c r="AE188" s="8413"/>
      <c r="AF188" s="8413"/>
      <c r="AG188" s="8413"/>
      <c r="AH188" s="8413"/>
      <c r="AI188" s="8530"/>
      <c r="AJ188" s="1277"/>
      <c r="AK188" s="1277"/>
      <c r="AL188" s="1277"/>
      <c r="AM188" s="1277"/>
      <c r="AN188" s="1277"/>
      <c r="AO188" s="1277"/>
      <c r="AP188" s="1277"/>
      <c r="AQ188" s="2875"/>
      <c r="AR188" s="777"/>
      <c r="AS188" s="2875"/>
      <c r="AT188" s="2875"/>
      <c r="AU188" s="2875"/>
      <c r="BG188" s="769"/>
      <c r="BH188" s="658"/>
      <c r="BI188" s="658"/>
      <c r="BJ188" s="658"/>
      <c r="BK188" s="658"/>
      <c r="BL188" s="658"/>
      <c r="BM188" s="658"/>
      <c r="BN188" s="658"/>
      <c r="BO188" s="658"/>
      <c r="BP188" s="658"/>
    </row>
    <row r="189" spans="1:68" ht="14.25" customHeight="1">
      <c r="A189" s="1277"/>
      <c r="B189" s="8527" t="s">
        <v>599</v>
      </c>
      <c r="C189" s="8528"/>
      <c r="D189" s="2100" t="s">
        <v>2381</v>
      </c>
      <c r="E189" s="2126"/>
      <c r="F189" s="2126"/>
      <c r="G189" s="2126"/>
      <c r="H189" s="2126"/>
      <c r="I189" s="2126"/>
      <c r="J189" s="2126"/>
      <c r="K189" s="2126"/>
      <c r="L189" s="2126"/>
      <c r="M189" s="2126"/>
      <c r="N189" s="2126"/>
      <c r="O189" s="2126"/>
      <c r="P189" s="2126"/>
      <c r="Q189" s="2126"/>
      <c r="R189" s="2126"/>
      <c r="S189" s="2126"/>
      <c r="T189" s="2126"/>
      <c r="U189" s="2126"/>
      <c r="V189" s="2126"/>
      <c r="W189" s="2126"/>
      <c r="X189" s="2126"/>
      <c r="Y189" s="2126"/>
      <c r="Z189" s="2126"/>
      <c r="AA189" s="2198" t="s">
        <v>601</v>
      </c>
      <c r="AB189" s="8514" t="s">
        <v>2382</v>
      </c>
      <c r="AC189" s="8515"/>
      <c r="AD189" s="8529">
        <f>IF(AR189&lt;&gt;"",ROUND(AR189,0),ROUND(SUM(V178,AD178,AJ178),0))</f>
        <v>0</v>
      </c>
      <c r="AE189" s="8413"/>
      <c r="AF189" s="8413"/>
      <c r="AG189" s="8413"/>
      <c r="AH189" s="8413"/>
      <c r="AI189" s="8530"/>
      <c r="AJ189" s="1277"/>
      <c r="AK189" s="1277"/>
      <c r="AL189" s="1277"/>
      <c r="AM189" s="1277"/>
      <c r="AN189" s="1277"/>
      <c r="AO189" s="1277"/>
      <c r="AP189" s="1277"/>
      <c r="AQ189" s="2875"/>
      <c r="AR189" s="777"/>
      <c r="AS189" s="2875"/>
      <c r="AT189" s="2875"/>
      <c r="AU189" s="2875"/>
      <c r="BG189" s="769"/>
      <c r="BH189" s="658"/>
      <c r="BI189" s="658"/>
      <c r="BJ189" s="658"/>
      <c r="BK189" s="658"/>
      <c r="BL189" s="658"/>
      <c r="BM189" s="658"/>
      <c r="BN189" s="658"/>
      <c r="BO189" s="658"/>
      <c r="BP189" s="658"/>
    </row>
    <row r="190" spans="1:68" ht="14.25" customHeight="1">
      <c r="A190" s="1277"/>
      <c r="B190" s="8527" t="s">
        <v>603</v>
      </c>
      <c r="C190" s="8528"/>
      <c r="D190" s="2100" t="s">
        <v>2383</v>
      </c>
      <c r="E190" s="2126"/>
      <c r="F190" s="2126"/>
      <c r="G190" s="2126"/>
      <c r="H190" s="2126"/>
      <c r="I190" s="2126"/>
      <c r="J190" s="2126"/>
      <c r="K190" s="2126"/>
      <c r="L190" s="2126"/>
      <c r="M190" s="2126"/>
      <c r="N190" s="2126"/>
      <c r="O190" s="2126"/>
      <c r="P190" s="2126"/>
      <c r="Q190" s="2126"/>
      <c r="R190" s="2126"/>
      <c r="S190" s="2126"/>
      <c r="T190" s="2126"/>
      <c r="U190" s="2126"/>
      <c r="V190" s="2126"/>
      <c r="W190" s="2126"/>
      <c r="X190" s="2126"/>
      <c r="Y190" s="2126"/>
      <c r="Z190" s="2126"/>
      <c r="AA190" s="2198" t="s">
        <v>601</v>
      </c>
      <c r="AB190" s="8514" t="s">
        <v>2384</v>
      </c>
      <c r="AC190" s="8515"/>
      <c r="AD190" s="8529">
        <f>IF(AR190&lt;&gt;"",ROUND(AR190,0),ROUND(SUM(V180,AD180,AJ180),0))</f>
        <v>0</v>
      </c>
      <c r="AE190" s="8413"/>
      <c r="AF190" s="8413"/>
      <c r="AG190" s="8413"/>
      <c r="AH190" s="8413"/>
      <c r="AI190" s="8530"/>
      <c r="AJ190" s="1277"/>
      <c r="AK190" s="1277"/>
      <c r="AL190" s="1277"/>
      <c r="AM190" s="1277"/>
      <c r="AN190" s="1277"/>
      <c r="AO190" s="1277"/>
      <c r="AP190" s="1277"/>
      <c r="AQ190" s="2875"/>
      <c r="AR190" s="777"/>
      <c r="AS190" s="2875"/>
      <c r="AT190" s="2875"/>
      <c r="AU190" s="2875"/>
      <c r="BG190" s="769"/>
      <c r="BH190" s="658"/>
      <c r="BI190" s="658"/>
      <c r="BJ190" s="658"/>
      <c r="BK190" s="658"/>
      <c r="BL190" s="658"/>
      <c r="BM190" s="658"/>
      <c r="BN190" s="658"/>
      <c r="BO190" s="658"/>
      <c r="BP190" s="658"/>
    </row>
    <row r="191" spans="1:68" ht="14.25" customHeight="1">
      <c r="A191" s="1277"/>
      <c r="B191" s="8513">
        <v>24</v>
      </c>
      <c r="C191" s="8456"/>
      <c r="D191" s="2100" t="s">
        <v>2385</v>
      </c>
      <c r="E191" s="2126"/>
      <c r="F191" s="2126"/>
      <c r="G191" s="2126"/>
      <c r="H191" s="2126"/>
      <c r="I191" s="2126"/>
      <c r="J191" s="2126"/>
      <c r="K191" s="2126"/>
      <c r="L191" s="2126"/>
      <c r="M191" s="2126"/>
      <c r="N191" s="2126"/>
      <c r="O191" s="2126"/>
      <c r="P191" s="2126"/>
      <c r="Q191" s="2126"/>
      <c r="R191" s="2126"/>
      <c r="S191" s="2126"/>
      <c r="T191" s="2126"/>
      <c r="U191" s="2126"/>
      <c r="V191" s="2126"/>
      <c r="W191" s="2126"/>
      <c r="X191" s="2126"/>
      <c r="Y191" s="2126"/>
      <c r="Z191" s="2126"/>
      <c r="AA191" s="2126"/>
      <c r="AB191" s="2126"/>
      <c r="AC191" s="2126"/>
      <c r="AD191" s="2126"/>
      <c r="AE191" s="2126"/>
      <c r="AF191" s="2126"/>
      <c r="AG191" s="2198" t="s">
        <v>670</v>
      </c>
      <c r="AH191" s="8518">
        <v>24</v>
      </c>
      <c r="AI191" s="8519"/>
      <c r="AJ191" s="8516">
        <f>IF(AR191&lt;&gt;"",ROUND(AR191,0),ROUND(SUM(AY183,BA183,BC183),0))</f>
        <v>0</v>
      </c>
      <c r="AK191" s="8517"/>
      <c r="AL191" s="8517"/>
      <c r="AM191" s="8517"/>
      <c r="AN191" s="8517"/>
      <c r="AO191" s="8517"/>
      <c r="AP191" s="1277"/>
      <c r="AQ191" s="2875"/>
      <c r="AR191" s="777"/>
      <c r="AS191" s="2875"/>
      <c r="AT191" s="2875"/>
      <c r="AU191" s="2875"/>
      <c r="BG191" s="769"/>
      <c r="BH191" s="658"/>
      <c r="BI191" s="658"/>
      <c r="BJ191" s="658"/>
      <c r="BK191" s="658"/>
      <c r="BL191" s="658"/>
      <c r="BM191" s="658"/>
      <c r="BN191" s="658"/>
      <c r="BO191" s="658"/>
      <c r="BP191" s="658"/>
    </row>
    <row r="192" spans="1:68" ht="14.25" customHeight="1">
      <c r="A192" s="1277"/>
      <c r="B192" s="8513">
        <v>25</v>
      </c>
      <c r="C192" s="8456"/>
      <c r="D192" s="4812" t="s">
        <v>2386</v>
      </c>
      <c r="E192" s="2126"/>
      <c r="F192" s="2126"/>
      <c r="G192" s="2126"/>
      <c r="H192" s="2126"/>
      <c r="I192" s="2126"/>
      <c r="J192" s="2126"/>
      <c r="K192" s="2126"/>
      <c r="L192" s="2126"/>
      <c r="M192" s="2126"/>
      <c r="N192" s="2126"/>
      <c r="O192" s="2126"/>
      <c r="P192" s="2126"/>
      <c r="Q192" s="2126"/>
      <c r="R192" s="2126"/>
      <c r="S192" s="2126"/>
      <c r="T192" s="2126"/>
      <c r="U192" s="2126"/>
      <c r="V192" s="2126"/>
      <c r="W192" s="2126"/>
      <c r="X192" s="2126"/>
      <c r="Y192" s="2126"/>
      <c r="Z192" s="2126"/>
      <c r="AA192" s="2126"/>
      <c r="AB192" s="2126"/>
      <c r="AC192" s="2126"/>
      <c r="AD192" s="2126"/>
      <c r="AE192" s="2126"/>
      <c r="AF192" s="2126"/>
      <c r="AG192" s="2126"/>
      <c r="AH192" s="8514">
        <v>25</v>
      </c>
      <c r="AI192" s="8515"/>
      <c r="AJ192" s="4803" t="s">
        <v>799</v>
      </c>
      <c r="AK192" s="8415">
        <f>-AK193</f>
        <v>0</v>
      </c>
      <c r="AL192" s="8416"/>
      <c r="AM192" s="8416"/>
      <c r="AN192" s="8416"/>
      <c r="AO192" s="4804" t="s">
        <v>800</v>
      </c>
      <c r="AP192" s="1277"/>
      <c r="AQ192" s="2875"/>
      <c r="AR192" s="777"/>
      <c r="AS192" s="2875"/>
      <c r="AT192" s="2875"/>
      <c r="AU192" s="2875"/>
      <c r="BG192" s="769"/>
      <c r="BH192" s="658"/>
      <c r="BI192" s="658"/>
      <c r="BJ192" s="658"/>
      <c r="BK192" s="658"/>
      <c r="BL192" s="658"/>
      <c r="BM192" s="658"/>
      <c r="BN192" s="658"/>
      <c r="BO192" s="658"/>
      <c r="BP192" s="658"/>
    </row>
    <row r="193" spans="1:69" ht="14.25" customHeight="1">
      <c r="A193" s="1277"/>
      <c r="B193" s="8513">
        <v>26</v>
      </c>
      <c r="C193" s="8456"/>
      <c r="D193" s="2100" t="s">
        <v>2387</v>
      </c>
      <c r="E193" s="2126"/>
      <c r="F193" s="2126"/>
      <c r="G193" s="2126"/>
      <c r="H193" s="2126"/>
      <c r="I193" s="2126"/>
      <c r="J193" s="2126"/>
      <c r="K193" s="2126"/>
      <c r="L193" s="2126"/>
      <c r="M193" s="2126"/>
      <c r="N193" s="2126"/>
      <c r="O193" s="2126"/>
      <c r="P193" s="2126"/>
      <c r="Q193" s="2126"/>
      <c r="R193" s="2126"/>
      <c r="S193" s="2126"/>
      <c r="T193" s="775"/>
      <c r="U193" s="775"/>
      <c r="V193" s="4808"/>
      <c r="W193" s="4808"/>
      <c r="X193" s="4808"/>
      <c r="Y193" s="4808"/>
      <c r="Z193" s="4808"/>
      <c r="AA193" s="4808"/>
      <c r="AB193" s="4808"/>
      <c r="AC193" s="4808"/>
      <c r="AD193" s="4808"/>
      <c r="AE193" s="4808"/>
      <c r="AF193" s="4808"/>
      <c r="AG193" s="4808"/>
      <c r="AH193" s="4805"/>
      <c r="AI193" s="4806"/>
      <c r="AJ193" s="4808"/>
      <c r="AK193" s="8524">
        <f>IF(AND(AR192&lt;&gt;"",AR192&gt;=0),-ROUND(AR192,0),IF(AND(AR192&lt;&gt;"",AR192&lt;0),ROUND(AR192,0),SUM(AZ184,AZ185,BB184,BB185,BD184,BD185)))</f>
        <v>0</v>
      </c>
      <c r="AL193" s="8524"/>
      <c r="AM193" s="8524"/>
      <c r="AN193" s="8524"/>
      <c r="AO193" s="4808"/>
      <c r="AP193" s="1277"/>
      <c r="AQ193" s="2875"/>
      <c r="AR193" s="2875"/>
      <c r="AS193" s="2875"/>
      <c r="AT193" s="2875"/>
      <c r="AU193" s="2875"/>
      <c r="BG193" s="769"/>
      <c r="BH193" s="658"/>
      <c r="BI193" s="658"/>
      <c r="BJ193" s="658"/>
      <c r="BK193" s="658"/>
      <c r="BL193" s="658"/>
      <c r="BM193" s="658"/>
      <c r="BN193" s="658"/>
      <c r="BO193" s="658"/>
      <c r="BP193" s="658"/>
    </row>
    <row r="194" spans="1:69" ht="14.25" customHeight="1">
      <c r="A194" s="1277"/>
      <c r="B194" s="8513"/>
      <c r="C194" s="8456"/>
      <c r="D194" s="2100" t="s">
        <v>2388</v>
      </c>
      <c r="E194" s="2126"/>
      <c r="F194" s="2126"/>
      <c r="G194" s="2126"/>
      <c r="H194" s="2126"/>
      <c r="I194" s="2126"/>
      <c r="J194" s="2126"/>
      <c r="K194" s="2126"/>
      <c r="L194" s="2126"/>
      <c r="M194" s="2126"/>
      <c r="N194" s="2126"/>
      <c r="O194" s="2126"/>
      <c r="P194" s="2126"/>
      <c r="Q194" s="2126"/>
      <c r="R194" s="2126"/>
      <c r="S194" s="2126"/>
      <c r="T194" s="775"/>
      <c r="U194" s="775"/>
      <c r="V194" s="4808"/>
      <c r="W194" s="4808"/>
      <c r="X194" s="4808"/>
      <c r="Y194" s="4808"/>
      <c r="Z194" s="4808"/>
      <c r="AA194" s="4808"/>
      <c r="AB194" s="4808"/>
      <c r="AC194" s="4808"/>
      <c r="AD194" s="4808"/>
      <c r="AE194" s="4808"/>
      <c r="AF194" s="4808"/>
      <c r="AG194" s="4808"/>
      <c r="AH194" s="4807"/>
      <c r="AI194" s="4809"/>
      <c r="AJ194" s="4808"/>
      <c r="AK194" s="4808"/>
      <c r="AL194" s="4808"/>
      <c r="AM194" s="4808"/>
      <c r="AN194" s="4808"/>
      <c r="AO194" s="4808"/>
      <c r="AP194" s="1277"/>
      <c r="AQ194" s="2875"/>
      <c r="AR194" s="2875"/>
      <c r="AS194" s="2875"/>
      <c r="AT194" s="2875"/>
      <c r="AU194" s="2875"/>
      <c r="BG194" s="769"/>
      <c r="BH194" s="658"/>
      <c r="BI194" s="658"/>
      <c r="BJ194" s="658"/>
      <c r="BK194" s="658"/>
      <c r="BL194" s="658"/>
      <c r="BM194" s="658"/>
      <c r="BN194" s="658"/>
      <c r="BO194" s="658"/>
      <c r="BP194" s="658"/>
    </row>
    <row r="195" spans="1:69" ht="14.25" customHeight="1" thickBot="1">
      <c r="A195" s="1277"/>
      <c r="B195" s="4813"/>
      <c r="C195" s="4814"/>
      <c r="D195" s="4815" t="s">
        <v>2389</v>
      </c>
      <c r="E195" s="4816"/>
      <c r="F195" s="4816"/>
      <c r="G195" s="4816"/>
      <c r="H195" s="4816"/>
      <c r="I195" s="4816"/>
      <c r="J195" s="4816"/>
      <c r="K195" s="4816"/>
      <c r="L195" s="4816"/>
      <c r="M195" s="4816"/>
      <c r="N195" s="4816"/>
      <c r="O195" s="4816"/>
      <c r="P195" s="4816"/>
      <c r="Q195" s="4816"/>
      <c r="R195" s="4816"/>
      <c r="S195" s="4816"/>
      <c r="T195" s="4816"/>
      <c r="U195" s="4816"/>
      <c r="V195" s="4816"/>
      <c r="W195" s="4816"/>
      <c r="X195" s="4816"/>
      <c r="Y195" s="4816"/>
      <c r="Z195" s="4816"/>
      <c r="AA195" s="4816"/>
      <c r="AB195" s="4817"/>
      <c r="AC195" s="4817"/>
      <c r="AD195" s="4818"/>
      <c r="AE195" s="4818"/>
      <c r="AF195" s="4818"/>
      <c r="AG195" s="4533" t="s">
        <v>2390</v>
      </c>
      <c r="AH195" s="8520">
        <v>26</v>
      </c>
      <c r="AI195" s="8521"/>
      <c r="AJ195" s="8522">
        <f>IF(AR195&lt;&gt;"",ROUND(AR195,0),SUM(AJ191,AK193))</f>
        <v>0</v>
      </c>
      <c r="AK195" s="8523"/>
      <c r="AL195" s="8523"/>
      <c r="AM195" s="8523"/>
      <c r="AN195" s="8523"/>
      <c r="AO195" s="8523"/>
      <c r="AP195" s="1277"/>
      <c r="AQ195" s="2875"/>
      <c r="AR195" s="776"/>
      <c r="AS195" s="2875"/>
      <c r="AT195" s="2875"/>
      <c r="AU195" s="2875"/>
      <c r="BG195" s="769"/>
      <c r="BH195" s="658"/>
      <c r="BI195" s="658"/>
      <c r="BJ195" s="658"/>
      <c r="BK195" s="658"/>
      <c r="BL195" s="658"/>
      <c r="BM195" s="658"/>
      <c r="BN195" s="658"/>
      <c r="BO195" s="658"/>
      <c r="BP195" s="658"/>
    </row>
    <row r="196" spans="1:69" ht="14.25" customHeight="1">
      <c r="A196" s="1277"/>
      <c r="B196" s="4819" t="s">
        <v>2075</v>
      </c>
      <c r="C196" s="4820"/>
      <c r="D196" s="2100"/>
      <c r="E196" s="2126"/>
      <c r="F196" s="2126"/>
      <c r="G196" s="2126"/>
      <c r="H196" s="2126"/>
      <c r="I196" s="2126"/>
      <c r="J196" s="2126"/>
      <c r="K196" s="2126"/>
      <c r="L196" s="2126"/>
      <c r="M196" s="2126"/>
      <c r="N196" s="2126"/>
      <c r="O196" s="2126"/>
      <c r="P196" s="2126"/>
      <c r="Q196" s="2126"/>
      <c r="R196" s="2126"/>
      <c r="S196" s="2126"/>
      <c r="T196" s="2126"/>
      <c r="U196" s="2126"/>
      <c r="V196" s="2126"/>
      <c r="W196" s="2126"/>
      <c r="X196" s="2126"/>
      <c r="Y196" s="2126" t="s">
        <v>2391</v>
      </c>
      <c r="Z196" s="2126"/>
      <c r="AA196" s="2126"/>
      <c r="AB196" s="775"/>
      <c r="AC196" s="775"/>
      <c r="AD196" s="4808"/>
      <c r="AE196" s="4808"/>
      <c r="AF196" s="4808"/>
      <c r="AG196" s="4808"/>
      <c r="AH196" s="4808"/>
      <c r="AI196" s="4808"/>
      <c r="AJ196" s="253"/>
      <c r="AK196" s="1401" t="str">
        <f>"Schedule E (Form 1040) "&amp;TaxYear</f>
        <v>Schedule E (Form 1040) 2025</v>
      </c>
      <c r="AL196" s="253"/>
      <c r="AM196" s="253"/>
      <c r="AN196" s="253"/>
      <c r="AO196" s="1061" t="s">
        <v>6386</v>
      </c>
      <c r="AP196" s="1277"/>
      <c r="AQ196" s="2875"/>
      <c r="AR196" s="2875"/>
      <c r="AS196" s="2875"/>
      <c r="AT196" s="2875"/>
      <c r="AU196" s="2875"/>
      <c r="BG196" s="769"/>
      <c r="BH196" s="658"/>
      <c r="BI196" s="658"/>
      <c r="BJ196" s="658"/>
      <c r="BK196" s="658"/>
      <c r="BL196" s="658"/>
      <c r="BM196" s="658"/>
      <c r="BN196" s="658"/>
      <c r="BO196" s="658"/>
      <c r="BP196" s="658"/>
    </row>
    <row r="197" spans="1:69" ht="21" customHeight="1">
      <c r="A197" s="1277"/>
      <c r="B197" s="462" t="str">
        <f>"Schedule E (Form 1040) "&amp;TaxYear</f>
        <v>Schedule E (Form 1040) 2025</v>
      </c>
      <c r="C197" s="413"/>
      <c r="D197" s="413"/>
      <c r="E197" s="413"/>
      <c r="F197" s="413"/>
      <c r="G197" s="413"/>
      <c r="H197" s="413"/>
      <c r="I197" s="4821"/>
      <c r="J197" s="413"/>
      <c r="K197" s="413"/>
      <c r="L197" s="413"/>
      <c r="M197" s="413"/>
      <c r="N197" s="413"/>
      <c r="O197" s="413"/>
      <c r="P197" s="4822"/>
      <c r="Q197" s="413"/>
      <c r="R197" s="413"/>
      <c r="S197" s="413"/>
      <c r="T197" s="413"/>
      <c r="U197" s="413"/>
      <c r="V197" s="413"/>
      <c r="W197" s="413"/>
      <c r="X197" s="413"/>
      <c r="Y197" s="413"/>
      <c r="Z197" s="413"/>
      <c r="AA197" s="462" t="s">
        <v>2118</v>
      </c>
      <c r="AB197" s="413"/>
      <c r="AC197" s="413"/>
      <c r="AD197" s="413"/>
      <c r="AE197" s="413"/>
      <c r="AF197" s="413"/>
      <c r="AG197" s="2009">
        <v>13</v>
      </c>
      <c r="AH197" s="413"/>
      <c r="AI197" s="413"/>
      <c r="AJ197" s="413"/>
      <c r="AK197" s="413"/>
      <c r="AL197" s="413"/>
      <c r="AM197" s="413"/>
      <c r="AN197" s="413"/>
      <c r="AO197" s="4823" t="s">
        <v>867</v>
      </c>
      <c r="AP197" s="1277"/>
      <c r="BG197" s="769"/>
      <c r="BH197" s="658"/>
      <c r="BI197" s="658"/>
      <c r="BJ197" s="658"/>
      <c r="BK197" s="658"/>
      <c r="BL197" s="658"/>
      <c r="BM197" s="658"/>
      <c r="BN197" s="658"/>
      <c r="BO197" s="658"/>
      <c r="BP197" s="658"/>
    </row>
    <row r="198" spans="1:69" ht="12.75" customHeight="1">
      <c r="A198" s="1277"/>
      <c r="B198" s="504" t="s">
        <v>2392</v>
      </c>
      <c r="C198" s="504"/>
      <c r="D198" s="504"/>
      <c r="E198" s="504"/>
      <c r="F198" s="504"/>
      <c r="G198" s="504"/>
      <c r="H198" s="504" t="s">
        <v>2393</v>
      </c>
      <c r="I198" s="253"/>
      <c r="J198" s="253"/>
      <c r="K198" s="253"/>
      <c r="L198" s="253"/>
      <c r="M198" s="253"/>
      <c r="N198" s="253"/>
      <c r="O198" s="253"/>
      <c r="P198" s="253"/>
      <c r="Q198" s="253"/>
      <c r="R198" s="253"/>
      <c r="S198" s="253"/>
      <c r="T198" s="253"/>
      <c r="U198" s="253"/>
      <c r="V198" s="253"/>
      <c r="W198" s="253"/>
      <c r="X198" s="253"/>
      <c r="Y198" s="253"/>
      <c r="Z198" s="253"/>
      <c r="AA198" s="253"/>
      <c r="AB198" s="253"/>
      <c r="AC198" s="253"/>
      <c r="AD198" s="253"/>
      <c r="AE198" s="253"/>
      <c r="AF198" s="8525" t="s">
        <v>549</v>
      </c>
      <c r="AG198" s="8526"/>
      <c r="AH198" s="8526"/>
      <c r="AI198" s="8526"/>
      <c r="AJ198" s="8526"/>
      <c r="AK198" s="8526"/>
      <c r="AL198" s="8526"/>
      <c r="AM198" s="8526"/>
      <c r="AN198" s="8526"/>
      <c r="AO198" s="8526"/>
      <c r="AP198" s="1277"/>
      <c r="AR198" s="304" t="b">
        <f>OR(AND(AF199&lt;&gt;"",AF199=AG140),AND(B140&lt;&gt;"",B199&lt;&gt;""))</f>
        <v>0</v>
      </c>
      <c r="BG198" s="769"/>
      <c r="BH198" s="658"/>
      <c r="BI198" s="658"/>
      <c r="BJ198" s="658"/>
      <c r="BK198" s="658"/>
      <c r="BL198" s="658"/>
      <c r="BM198" s="658"/>
      <c r="BN198" s="658"/>
      <c r="BO198" s="658"/>
      <c r="BP198" s="658"/>
    </row>
    <row r="199" spans="1:69" ht="16.5" customHeight="1">
      <c r="A199" s="1277"/>
      <c r="B199" s="8425"/>
      <c r="C199" s="8425"/>
      <c r="D199" s="8425"/>
      <c r="E199" s="8425"/>
      <c r="F199" s="8425"/>
      <c r="G199" s="8425"/>
      <c r="H199" s="8425"/>
      <c r="I199" s="8425"/>
      <c r="J199" s="8425"/>
      <c r="K199" s="8425"/>
      <c r="L199" s="8425"/>
      <c r="M199" s="8425"/>
      <c r="N199" s="8425"/>
      <c r="O199" s="8425"/>
      <c r="P199" s="8425"/>
      <c r="Q199" s="8425"/>
      <c r="R199" s="8425"/>
      <c r="S199" s="8425"/>
      <c r="T199" s="8425"/>
      <c r="U199" s="8425"/>
      <c r="V199" s="8425"/>
      <c r="W199" s="8425"/>
      <c r="X199" s="8425"/>
      <c r="Y199" s="8425"/>
      <c r="Z199" s="8425"/>
      <c r="AA199" s="8425"/>
      <c r="AB199" s="8425"/>
      <c r="AC199" s="8425"/>
      <c r="AD199" s="8425"/>
      <c r="AE199" s="8426"/>
      <c r="AF199" s="7110"/>
      <c r="AG199" s="7111"/>
      <c r="AH199" s="7111"/>
      <c r="AI199" s="7111"/>
      <c r="AJ199" s="7111"/>
      <c r="AK199" s="7111"/>
      <c r="AL199" s="7111"/>
      <c r="AM199" s="7111"/>
      <c r="AN199" s="7111"/>
      <c r="AO199" s="7111"/>
      <c r="AP199" s="770"/>
      <c r="AQ199" s="141" t="str">
        <f>IF($AR198,"Hide emphasis.","")</f>
        <v/>
      </c>
      <c r="AR199" s="141"/>
      <c r="BG199" s="769"/>
      <c r="BH199" s="658"/>
      <c r="BI199" s="658"/>
      <c r="BJ199" s="658"/>
      <c r="BK199" s="658"/>
      <c r="BL199" s="658"/>
      <c r="BM199" s="658"/>
      <c r="BN199" s="658"/>
      <c r="BO199" s="658"/>
      <c r="BP199" s="658"/>
    </row>
    <row r="200" spans="1:69" ht="15" customHeight="1">
      <c r="A200" s="1277"/>
      <c r="B200" s="511" t="s">
        <v>2394</v>
      </c>
      <c r="C200" s="253"/>
      <c r="D200" s="253"/>
      <c r="E200" s="253"/>
      <c r="F200" s="253"/>
      <c r="G200" s="253"/>
      <c r="H200" s="253"/>
      <c r="I200" s="253"/>
      <c r="J200" s="253"/>
      <c r="K200" s="253"/>
      <c r="L200" s="253"/>
      <c r="M200" s="253"/>
      <c r="N200" s="253"/>
      <c r="O200" s="253"/>
      <c r="P200" s="253"/>
      <c r="Q200" s="253"/>
      <c r="R200" s="253"/>
      <c r="S200" s="253"/>
      <c r="T200" s="253"/>
      <c r="U200" s="253"/>
      <c r="V200" s="253"/>
      <c r="W200" s="253"/>
      <c r="X200" s="253"/>
      <c r="Y200" s="253"/>
      <c r="Z200" s="253"/>
      <c r="AA200" s="253"/>
      <c r="AB200" s="253"/>
      <c r="AC200" s="253"/>
      <c r="AD200" s="253"/>
      <c r="AE200" s="253"/>
      <c r="AF200" s="253"/>
      <c r="AG200" s="253"/>
      <c r="AH200" s="253"/>
      <c r="AI200" s="253"/>
      <c r="AJ200" s="253"/>
      <c r="AK200" s="253"/>
      <c r="AL200" s="253"/>
      <c r="AM200" s="253"/>
      <c r="AN200" s="253"/>
      <c r="AO200" s="253"/>
      <c r="AP200" s="1277"/>
      <c r="BG200" s="769"/>
      <c r="BH200" s="658"/>
      <c r="BI200" s="658"/>
      <c r="BJ200" s="658"/>
      <c r="BK200" s="658"/>
      <c r="BL200" s="658"/>
      <c r="BM200" s="658"/>
      <c r="BN200" s="658"/>
      <c r="BO200" s="658"/>
      <c r="BP200" s="658"/>
    </row>
    <row r="201" spans="1:69" s="1405" customFormat="1" ht="17.25" customHeight="1">
      <c r="A201" s="2119"/>
      <c r="B201" s="8427" t="s">
        <v>868</v>
      </c>
      <c r="C201" s="8427"/>
      <c r="D201" s="8428"/>
      <c r="E201" s="2761"/>
      <c r="F201" s="4758" t="s">
        <v>2395</v>
      </c>
      <c r="G201" s="2761"/>
      <c r="H201" s="2761"/>
      <c r="I201" s="2761"/>
      <c r="J201" s="2761"/>
      <c r="K201" s="2761"/>
      <c r="L201" s="2761"/>
      <c r="M201" s="2761"/>
      <c r="N201" s="2761"/>
      <c r="O201" s="2761"/>
      <c r="P201" s="2761"/>
      <c r="Q201" s="2761"/>
      <c r="R201" s="2761"/>
      <c r="S201" s="2761"/>
      <c r="T201" s="2761"/>
      <c r="U201" s="2761"/>
      <c r="V201" s="2761"/>
      <c r="W201" s="2761"/>
      <c r="X201" s="2354"/>
      <c r="Y201" s="2761"/>
      <c r="Z201" s="2761"/>
      <c r="AA201" s="2761"/>
      <c r="AB201" s="2761"/>
      <c r="AC201" s="2761"/>
      <c r="AD201" s="2761"/>
      <c r="AE201" s="2761"/>
      <c r="AF201" s="2761"/>
      <c r="AG201" s="2761"/>
      <c r="AH201" s="2761"/>
      <c r="AI201" s="2761"/>
      <c r="AJ201" s="2761"/>
      <c r="AK201" s="2761"/>
      <c r="AL201" s="2761"/>
      <c r="AM201" s="2761"/>
      <c r="AN201" s="2761"/>
      <c r="AO201" s="2761"/>
      <c r="AP201" s="1277"/>
      <c r="AX201"/>
      <c r="AY201"/>
      <c r="AZ201"/>
      <c r="BA201"/>
      <c r="BB201"/>
      <c r="BC201"/>
      <c r="BD201"/>
      <c r="BG201" s="769"/>
      <c r="BH201" s="658"/>
      <c r="BI201" s="658"/>
      <c r="BJ201" s="658"/>
      <c r="BK201" s="658"/>
      <c r="BL201" s="658"/>
      <c r="BM201" s="658"/>
      <c r="BN201" s="658"/>
      <c r="BO201" s="658"/>
      <c r="BP201" s="658"/>
      <c r="BQ201" s="815"/>
    </row>
    <row r="202" spans="1:69" ht="12.75" customHeight="1">
      <c r="A202" s="1277"/>
      <c r="B202" s="253"/>
      <c r="C202" s="253"/>
      <c r="D202" s="253"/>
      <c r="E202" s="253"/>
      <c r="F202" s="344" t="s">
        <v>2396</v>
      </c>
      <c r="G202" s="253"/>
      <c r="H202" s="253"/>
      <c r="I202" s="253"/>
      <c r="J202" s="253"/>
      <c r="K202" s="253"/>
      <c r="L202" s="253"/>
      <c r="M202" s="253"/>
      <c r="N202" s="253"/>
      <c r="O202" s="253"/>
      <c r="P202" s="253"/>
      <c r="Q202" s="253"/>
      <c r="R202" s="253"/>
      <c r="S202" s="253"/>
      <c r="T202" s="253"/>
      <c r="U202" s="253"/>
      <c r="V202" s="253"/>
      <c r="W202" s="253"/>
      <c r="X202" s="253"/>
      <c r="Y202" s="253"/>
      <c r="Z202" s="253"/>
      <c r="AA202" s="253"/>
      <c r="AB202" s="253"/>
      <c r="AC202" s="253"/>
      <c r="AD202" s="253"/>
      <c r="AE202" s="253"/>
      <c r="AF202" s="253"/>
      <c r="AG202" s="253"/>
      <c r="AH202" s="253"/>
      <c r="AI202" s="253"/>
      <c r="AJ202" s="253"/>
      <c r="AK202" s="253"/>
      <c r="AL202" s="253"/>
      <c r="AM202" s="253"/>
      <c r="AN202" s="253"/>
      <c r="AO202" s="253"/>
      <c r="AP202" s="1277"/>
      <c r="BG202" s="769"/>
      <c r="BH202" s="658"/>
      <c r="BI202" s="658"/>
      <c r="BJ202" s="658"/>
      <c r="BK202" s="658"/>
      <c r="BL202" s="658"/>
      <c r="BM202" s="658"/>
      <c r="BN202" s="658"/>
      <c r="BO202" s="658"/>
      <c r="BP202" s="658"/>
    </row>
    <row r="203" spans="1:69" ht="12.75" customHeight="1">
      <c r="A203" s="1277"/>
      <c r="B203" s="253"/>
      <c r="C203" s="253"/>
      <c r="D203" s="253"/>
      <c r="E203" s="253"/>
      <c r="F203" s="344" t="s">
        <v>2397</v>
      </c>
      <c r="G203" s="253"/>
      <c r="H203" s="253"/>
      <c r="I203" s="253"/>
      <c r="J203" s="253"/>
      <c r="K203" s="253"/>
      <c r="L203" s="253"/>
      <c r="M203" s="253"/>
      <c r="N203" s="253"/>
      <c r="O203" s="253"/>
      <c r="P203" s="253"/>
      <c r="Q203" s="253"/>
      <c r="R203" s="253"/>
      <c r="S203" s="253"/>
      <c r="T203" s="253"/>
      <c r="U203" s="253"/>
      <c r="V203" s="253"/>
      <c r="W203" s="253"/>
      <c r="X203" s="253"/>
      <c r="Y203" s="253"/>
      <c r="Z203" s="253"/>
      <c r="AA203" s="253"/>
      <c r="AB203" s="253"/>
      <c r="AC203" s="253"/>
      <c r="AD203" s="253"/>
      <c r="AE203" s="253"/>
      <c r="AF203" s="253"/>
      <c r="AG203" s="253"/>
      <c r="AH203" s="253"/>
      <c r="AI203" s="253"/>
      <c r="AJ203" s="253"/>
      <c r="AK203" s="253"/>
      <c r="AL203" s="253"/>
      <c r="AM203" s="253"/>
      <c r="AN203" s="253"/>
      <c r="AO203" s="253"/>
      <c r="AP203" s="1277"/>
      <c r="AX203" s="1405"/>
      <c r="AY203" s="1405"/>
      <c r="AZ203" s="1405"/>
      <c r="BA203" s="1405"/>
      <c r="BB203" s="1405"/>
      <c r="BC203" s="1405"/>
      <c r="BD203" s="1405"/>
      <c r="BG203" s="769"/>
      <c r="BH203" s="658"/>
      <c r="BI203" s="658"/>
      <c r="BJ203" s="658"/>
      <c r="BK203" s="658"/>
      <c r="BL203" s="658"/>
      <c r="BM203" s="658"/>
      <c r="BN203" s="658"/>
      <c r="BO203" s="658"/>
      <c r="BP203" s="658"/>
    </row>
    <row r="204" spans="1:69" ht="12.75" customHeight="1">
      <c r="A204" s="1277"/>
      <c r="B204" s="413"/>
      <c r="C204" s="413"/>
      <c r="D204" s="413"/>
      <c r="E204" s="413"/>
      <c r="F204" s="569" t="s">
        <v>6223</v>
      </c>
      <c r="G204" s="413"/>
      <c r="H204" s="413"/>
      <c r="I204" s="413"/>
      <c r="J204" s="413"/>
      <c r="K204" s="413"/>
      <c r="L204" s="413"/>
      <c r="M204" s="413"/>
      <c r="N204" s="413"/>
      <c r="O204" s="413"/>
      <c r="P204" s="413"/>
      <c r="Q204" s="413"/>
      <c r="R204" s="413"/>
      <c r="S204" s="413"/>
      <c r="T204" s="413"/>
      <c r="U204" s="413"/>
      <c r="V204" s="413"/>
      <c r="W204" s="413"/>
      <c r="X204" s="413"/>
      <c r="Y204" s="413"/>
      <c r="Z204" s="413"/>
      <c r="AA204" s="413"/>
      <c r="AB204" s="413"/>
      <c r="AC204" s="413"/>
      <c r="AD204" s="413"/>
      <c r="AE204" s="413"/>
      <c r="AF204" s="413"/>
      <c r="AG204" s="413"/>
      <c r="AH204" s="413"/>
      <c r="AI204" s="413"/>
      <c r="AJ204" s="413"/>
      <c r="AK204" s="413"/>
      <c r="AL204" s="413"/>
      <c r="AM204" s="413"/>
      <c r="AN204" s="413"/>
      <c r="AO204" s="413"/>
      <c r="AP204" s="1277"/>
      <c r="BG204" s="769"/>
      <c r="BH204" s="658"/>
      <c r="BI204" s="658"/>
      <c r="BJ204" s="658"/>
      <c r="BK204" s="658"/>
      <c r="BL204" s="658"/>
      <c r="BM204" s="658"/>
      <c r="BN204" s="658"/>
      <c r="BO204" s="658"/>
      <c r="BP204" s="658"/>
    </row>
    <row r="205" spans="1:69" ht="18.75" customHeight="1">
      <c r="A205" s="1277"/>
      <c r="B205" s="8433">
        <v>27</v>
      </c>
      <c r="C205" s="7091"/>
      <c r="D205" s="253"/>
      <c r="E205" s="511" t="s">
        <v>2398</v>
      </c>
      <c r="F205" s="344"/>
      <c r="G205" s="253"/>
      <c r="H205" s="253"/>
      <c r="I205" s="253"/>
      <c r="J205" s="253"/>
      <c r="K205" s="253"/>
      <c r="L205" s="253"/>
      <c r="M205" s="253"/>
      <c r="N205" s="253"/>
      <c r="O205" s="253"/>
      <c r="P205" s="253"/>
      <c r="Q205" s="253"/>
      <c r="R205" s="253"/>
      <c r="S205" s="253"/>
      <c r="T205" s="253"/>
      <c r="U205" s="253"/>
      <c r="V205" s="253"/>
      <c r="W205" s="253"/>
      <c r="X205" s="253"/>
      <c r="Y205" s="253"/>
      <c r="Z205" s="253"/>
      <c r="AA205" s="253"/>
      <c r="AB205" s="253"/>
      <c r="AC205" s="253"/>
      <c r="AD205" s="253"/>
      <c r="AE205" s="253"/>
      <c r="AF205" s="253"/>
      <c r="AG205" s="253"/>
      <c r="AH205" s="253"/>
      <c r="AI205" s="253"/>
      <c r="AJ205" s="253"/>
      <c r="AK205" s="253"/>
      <c r="AL205" s="253"/>
      <c r="AM205" s="253"/>
      <c r="AN205" s="253"/>
      <c r="AO205" s="253"/>
      <c r="AP205" s="1277"/>
      <c r="BG205" s="769"/>
      <c r="BH205" s="658"/>
      <c r="BI205" s="658"/>
      <c r="BJ205" s="658"/>
      <c r="BK205" s="658"/>
      <c r="BL205" s="658"/>
      <c r="BM205" s="658"/>
      <c r="BN205" s="658"/>
      <c r="BO205" s="658"/>
      <c r="BP205" s="658"/>
    </row>
    <row r="206" spans="1:69" ht="12.75" customHeight="1">
      <c r="A206" s="1277"/>
      <c r="B206" s="775"/>
      <c r="C206" s="416"/>
      <c r="D206" s="253"/>
      <c r="E206" s="511" t="s">
        <v>2399</v>
      </c>
      <c r="F206" s="344"/>
      <c r="G206" s="253"/>
      <c r="H206" s="253"/>
      <c r="I206" s="253"/>
      <c r="J206" s="253"/>
      <c r="K206" s="253"/>
      <c r="L206" s="253"/>
      <c r="M206" s="253"/>
      <c r="N206" s="253"/>
      <c r="O206" s="253"/>
      <c r="P206" s="253"/>
      <c r="Q206" s="253"/>
      <c r="R206" s="253"/>
      <c r="S206" s="253"/>
      <c r="T206" s="253"/>
      <c r="U206" s="253"/>
      <c r="V206" s="253"/>
      <c r="W206" s="253"/>
      <c r="X206" s="253"/>
      <c r="Y206" s="253"/>
      <c r="Z206" s="253"/>
      <c r="AA206" s="253"/>
      <c r="AB206" s="253"/>
      <c r="AC206" s="253"/>
      <c r="AD206" s="253"/>
      <c r="AE206" s="253"/>
      <c r="AF206" s="253"/>
      <c r="AG206" s="253"/>
      <c r="AH206" s="253"/>
      <c r="AI206" s="253"/>
      <c r="AJ206" s="253"/>
      <c r="AK206" s="253"/>
      <c r="AL206" s="253"/>
      <c r="AM206" s="253"/>
      <c r="AN206" s="253"/>
      <c r="AO206" s="253"/>
      <c r="AP206" s="1277"/>
      <c r="BG206" s="769"/>
      <c r="BH206" s="658"/>
      <c r="BI206" s="658"/>
      <c r="BJ206" s="658"/>
      <c r="BK206" s="658"/>
      <c r="BL206" s="658"/>
      <c r="BM206" s="658"/>
      <c r="BN206" s="658"/>
      <c r="BO206" s="658"/>
      <c r="BP206" s="658"/>
    </row>
    <row r="207" spans="1:69" ht="12.75" customHeight="1">
      <c r="A207" s="1277"/>
      <c r="B207" s="253"/>
      <c r="C207" s="253"/>
      <c r="D207" s="253"/>
      <c r="E207" s="511" t="s">
        <v>2400</v>
      </c>
      <c r="F207" s="344"/>
      <c r="G207" s="253"/>
      <c r="H207" s="253"/>
      <c r="I207" s="253"/>
      <c r="J207" s="253"/>
      <c r="K207" s="253"/>
      <c r="L207" s="253"/>
      <c r="M207" s="253"/>
      <c r="N207" s="253"/>
      <c r="O207" s="253"/>
      <c r="P207" s="253"/>
      <c r="Q207" s="253"/>
      <c r="R207" s="253"/>
      <c r="S207" s="253"/>
      <c r="T207" s="253"/>
      <c r="U207" s="253"/>
      <c r="V207" s="253"/>
      <c r="W207" s="253"/>
      <c r="X207" s="253"/>
      <c r="Y207" s="253"/>
      <c r="Z207" s="253"/>
      <c r="AA207" s="253"/>
      <c r="AB207" s="253"/>
      <c r="AC207" s="253"/>
      <c r="AD207" s="253"/>
      <c r="AE207" s="253"/>
      <c r="AF207" s="253"/>
      <c r="AG207" s="253"/>
      <c r="AH207" s="253"/>
      <c r="AI207" s="253"/>
      <c r="AJ207" s="276"/>
      <c r="AK207" s="1059" t="s">
        <v>2324</v>
      </c>
      <c r="AL207" s="4082"/>
      <c r="AM207" s="276"/>
      <c r="AN207" s="1059" t="s">
        <v>2325</v>
      </c>
      <c r="AO207" s="4082"/>
      <c r="AP207" s="1277"/>
      <c r="BG207" s="769"/>
      <c r="BH207" s="658"/>
      <c r="BI207" s="658"/>
      <c r="BJ207" s="658"/>
      <c r="BK207" s="658"/>
      <c r="BL207" s="658"/>
      <c r="BM207" s="658"/>
      <c r="BN207" s="658"/>
      <c r="BO207" s="658"/>
      <c r="BP207" s="658"/>
    </row>
    <row r="208" spans="1:69" ht="4.5" customHeight="1">
      <c r="A208" s="1277"/>
      <c r="B208" s="413"/>
      <c r="C208" s="413"/>
      <c r="D208" s="413"/>
      <c r="E208" s="413"/>
      <c r="F208" s="569"/>
      <c r="G208" s="413"/>
      <c r="H208" s="413"/>
      <c r="I208" s="413"/>
      <c r="J208" s="413"/>
      <c r="K208" s="413"/>
      <c r="L208" s="413"/>
      <c r="M208" s="413"/>
      <c r="N208" s="413"/>
      <c r="O208" s="413"/>
      <c r="P208" s="413"/>
      <c r="Q208" s="413"/>
      <c r="R208" s="413"/>
      <c r="S208" s="413"/>
      <c r="T208" s="413"/>
      <c r="U208" s="413"/>
      <c r="V208" s="413"/>
      <c r="W208" s="413"/>
      <c r="X208" s="413"/>
      <c r="Y208" s="413"/>
      <c r="Z208" s="413"/>
      <c r="AA208" s="413"/>
      <c r="AB208" s="413"/>
      <c r="AC208" s="413"/>
      <c r="AD208" s="413"/>
      <c r="AE208" s="413"/>
      <c r="AF208" s="413"/>
      <c r="AG208" s="413"/>
      <c r="AH208" s="413"/>
      <c r="AI208" s="413"/>
      <c r="AJ208" s="413"/>
      <c r="AK208" s="413"/>
      <c r="AL208" s="413"/>
      <c r="AM208" s="413"/>
      <c r="AN208" s="413"/>
      <c r="AO208" s="413"/>
      <c r="AP208" s="1277"/>
      <c r="BG208" s="769"/>
      <c r="BH208" s="658"/>
      <c r="BI208" s="658"/>
      <c r="BJ208" s="658"/>
      <c r="BK208" s="658"/>
      <c r="BL208" s="658"/>
      <c r="BM208" s="658"/>
      <c r="BN208" s="658"/>
      <c r="BO208" s="658"/>
      <c r="BP208" s="658"/>
    </row>
    <row r="209" spans="1:68" ht="12.75" customHeight="1">
      <c r="A209" s="1277"/>
      <c r="B209" s="253"/>
      <c r="C209" s="253"/>
      <c r="D209" s="253"/>
      <c r="E209" s="253"/>
      <c r="F209" s="344"/>
      <c r="G209" s="253"/>
      <c r="H209" s="253"/>
      <c r="I209" s="253"/>
      <c r="J209" s="253"/>
      <c r="K209" s="253"/>
      <c r="L209" s="253"/>
      <c r="M209" s="253"/>
      <c r="N209" s="253"/>
      <c r="O209" s="8439" t="s">
        <v>2401</v>
      </c>
      <c r="P209" s="8440"/>
      <c r="Q209" s="8440"/>
      <c r="R209" s="8440"/>
      <c r="S209" s="8441"/>
      <c r="T209" s="8439" t="s">
        <v>2402</v>
      </c>
      <c r="U209" s="8440"/>
      <c r="V209" s="8440"/>
      <c r="W209" s="8440"/>
      <c r="X209" s="8441"/>
      <c r="Y209" s="8439" t="s">
        <v>2403</v>
      </c>
      <c r="Z209" s="8440"/>
      <c r="AA209" s="8440"/>
      <c r="AB209" s="8440"/>
      <c r="AC209" s="8440"/>
      <c r="AD209" s="8440"/>
      <c r="AE209" s="8441"/>
      <c r="AF209" s="8439" t="s">
        <v>2404</v>
      </c>
      <c r="AG209" s="8440"/>
      <c r="AH209" s="8440"/>
      <c r="AI209" s="8440"/>
      <c r="AJ209" s="8441"/>
      <c r="AK209" s="8439" t="s">
        <v>2405</v>
      </c>
      <c r="AL209" s="8440"/>
      <c r="AM209" s="8440"/>
      <c r="AN209" s="8440"/>
      <c r="AO209" s="8440"/>
      <c r="AP209" s="1277"/>
      <c r="BG209" s="769"/>
      <c r="BH209" s="658"/>
      <c r="BI209" s="658"/>
      <c r="BJ209" s="658"/>
      <c r="BK209" s="658"/>
      <c r="BL209" s="658"/>
      <c r="BM209" s="658"/>
      <c r="BN209" s="658"/>
      <c r="BO209" s="658"/>
      <c r="BP209" s="658"/>
    </row>
    <row r="210" spans="1:68" ht="12.75" customHeight="1">
      <c r="A210" s="1277"/>
      <c r="B210" s="8433">
        <v>28</v>
      </c>
      <c r="C210" s="7091"/>
      <c r="D210" s="253"/>
      <c r="E210" s="253"/>
      <c r="F210" s="253"/>
      <c r="G210" s="253"/>
      <c r="H210" s="344" t="s">
        <v>2406</v>
      </c>
      <c r="I210" s="253"/>
      <c r="J210" s="253"/>
      <c r="K210" s="253"/>
      <c r="L210" s="253"/>
      <c r="M210" s="253"/>
      <c r="N210" s="253"/>
      <c r="O210" s="8442"/>
      <c r="P210" s="8443"/>
      <c r="Q210" s="8443"/>
      <c r="R210" s="8443"/>
      <c r="S210" s="8444"/>
      <c r="T210" s="8442"/>
      <c r="U210" s="8443"/>
      <c r="V210" s="8443"/>
      <c r="W210" s="8443"/>
      <c r="X210" s="8444"/>
      <c r="Y210" s="8442"/>
      <c r="Z210" s="8443"/>
      <c r="AA210" s="8443"/>
      <c r="AB210" s="8443"/>
      <c r="AC210" s="8443"/>
      <c r="AD210" s="8443"/>
      <c r="AE210" s="8444"/>
      <c r="AF210" s="8442"/>
      <c r="AG210" s="8443"/>
      <c r="AH210" s="8443"/>
      <c r="AI210" s="8443"/>
      <c r="AJ210" s="8444"/>
      <c r="AK210" s="8442"/>
      <c r="AL210" s="8443"/>
      <c r="AM210" s="8443"/>
      <c r="AN210" s="8443"/>
      <c r="AO210" s="8443"/>
      <c r="AP210" s="1277"/>
      <c r="BG210" s="769"/>
      <c r="BH210" s="658"/>
      <c r="BI210" s="658"/>
      <c r="BJ210" s="658"/>
      <c r="BK210" s="658"/>
      <c r="BL210" s="658"/>
      <c r="BM210" s="658"/>
      <c r="BN210" s="658"/>
      <c r="BO210" s="658"/>
      <c r="BP210" s="658"/>
    </row>
    <row r="211" spans="1:68" ht="12.75" customHeight="1">
      <c r="A211" s="1277"/>
      <c r="B211" s="413"/>
      <c r="C211" s="413"/>
      <c r="D211" s="413"/>
      <c r="E211" s="413"/>
      <c r="F211" s="413"/>
      <c r="G211" s="413"/>
      <c r="H211" s="413"/>
      <c r="I211" s="413"/>
      <c r="J211" s="413"/>
      <c r="K211" s="413"/>
      <c r="L211" s="413"/>
      <c r="M211" s="413"/>
      <c r="N211" s="413"/>
      <c r="O211" s="8445"/>
      <c r="P211" s="8446"/>
      <c r="Q211" s="8446"/>
      <c r="R211" s="8446"/>
      <c r="S211" s="8447"/>
      <c r="T211" s="8445"/>
      <c r="U211" s="8446"/>
      <c r="V211" s="8446"/>
      <c r="W211" s="8446"/>
      <c r="X211" s="8447"/>
      <c r="Y211" s="8445"/>
      <c r="Z211" s="8446"/>
      <c r="AA211" s="8446"/>
      <c r="AB211" s="8446"/>
      <c r="AC211" s="8446"/>
      <c r="AD211" s="8446"/>
      <c r="AE211" s="8447"/>
      <c r="AF211" s="8445"/>
      <c r="AG211" s="8446"/>
      <c r="AH211" s="8446"/>
      <c r="AI211" s="8446"/>
      <c r="AJ211" s="8447"/>
      <c r="AK211" s="8445"/>
      <c r="AL211" s="8446"/>
      <c r="AM211" s="8446"/>
      <c r="AN211" s="8446"/>
      <c r="AO211" s="8446"/>
      <c r="AP211" s="1277"/>
      <c r="BG211" s="769"/>
      <c r="BH211" s="658"/>
      <c r="BI211" s="658"/>
      <c r="BJ211" s="658"/>
      <c r="BK211" s="658"/>
      <c r="BL211" s="658"/>
      <c r="BM211" s="658"/>
      <c r="BN211" s="658"/>
      <c r="BO211" s="658"/>
      <c r="BP211" s="658"/>
    </row>
    <row r="212" spans="1:68" ht="13.5" customHeight="1">
      <c r="A212" s="1277"/>
      <c r="B212" s="4824" t="s">
        <v>510</v>
      </c>
      <c r="C212" s="8434"/>
      <c r="D212" s="8435"/>
      <c r="E212" s="8435"/>
      <c r="F212" s="8435"/>
      <c r="G212" s="8435"/>
      <c r="H212" s="8435"/>
      <c r="I212" s="8435"/>
      <c r="J212" s="8435"/>
      <c r="K212" s="8435"/>
      <c r="L212" s="8435"/>
      <c r="M212" s="8435"/>
      <c r="N212" s="8436"/>
      <c r="O212" s="7516"/>
      <c r="P212" s="8437"/>
      <c r="Q212" s="8437"/>
      <c r="R212" s="8437"/>
      <c r="S212" s="8438"/>
      <c r="T212" s="4771"/>
      <c r="U212" s="773"/>
      <c r="V212" s="276"/>
      <c r="W212" s="773"/>
      <c r="X212" s="3951"/>
      <c r="Y212" s="8405"/>
      <c r="Z212" s="8406"/>
      <c r="AA212" s="8406"/>
      <c r="AB212" s="8406"/>
      <c r="AC212" s="8406"/>
      <c r="AD212" s="8406"/>
      <c r="AE212" s="8407"/>
      <c r="AF212" s="4771"/>
      <c r="AG212" s="773"/>
      <c r="AH212" s="276"/>
      <c r="AI212" s="773"/>
      <c r="AJ212" s="3951"/>
      <c r="AK212" s="4771"/>
      <c r="AL212" s="773"/>
      <c r="AM212" s="276"/>
      <c r="AN212" s="773"/>
      <c r="AO212" s="773"/>
      <c r="AP212" s="1277"/>
      <c r="BG212" s="769"/>
      <c r="BH212" s="658"/>
      <c r="BI212" s="658"/>
      <c r="BJ212" s="658"/>
      <c r="BK212" s="658"/>
      <c r="BL212" s="658"/>
      <c r="BM212" s="658"/>
      <c r="BN212" s="658"/>
      <c r="BO212" s="658"/>
      <c r="BP212" s="658"/>
    </row>
    <row r="213" spans="1:68" ht="13.5" customHeight="1">
      <c r="A213" s="1277"/>
      <c r="B213" s="4824" t="s">
        <v>516</v>
      </c>
      <c r="C213" s="8434"/>
      <c r="D213" s="8435"/>
      <c r="E213" s="8435"/>
      <c r="F213" s="8435"/>
      <c r="G213" s="8435"/>
      <c r="H213" s="8435"/>
      <c r="I213" s="8435"/>
      <c r="J213" s="8435"/>
      <c r="K213" s="8435"/>
      <c r="L213" s="8435"/>
      <c r="M213" s="8435"/>
      <c r="N213" s="8436"/>
      <c r="O213" s="7516"/>
      <c r="P213" s="8437"/>
      <c r="Q213" s="8437"/>
      <c r="R213" s="8437"/>
      <c r="S213" s="8438"/>
      <c r="T213" s="4771"/>
      <c r="U213" s="773"/>
      <c r="V213" s="276"/>
      <c r="W213" s="773"/>
      <c r="X213" s="3951"/>
      <c r="Y213" s="8405"/>
      <c r="Z213" s="8406"/>
      <c r="AA213" s="8406"/>
      <c r="AB213" s="8406"/>
      <c r="AC213" s="8406"/>
      <c r="AD213" s="8406"/>
      <c r="AE213" s="8407"/>
      <c r="AF213" s="4771"/>
      <c r="AG213" s="773"/>
      <c r="AH213" s="276"/>
      <c r="AI213" s="773"/>
      <c r="AJ213" s="3951"/>
      <c r="AK213" s="4771"/>
      <c r="AL213" s="773"/>
      <c r="AM213" s="276"/>
      <c r="AN213" s="773"/>
      <c r="AO213" s="773"/>
      <c r="AP213" s="1277"/>
      <c r="BG213" s="769"/>
      <c r="BH213" s="658"/>
      <c r="BI213" s="658"/>
      <c r="BJ213" s="658"/>
      <c r="BK213" s="658"/>
      <c r="BL213" s="658"/>
      <c r="BM213" s="658"/>
      <c r="BN213" s="658"/>
      <c r="BO213" s="658"/>
      <c r="BP213" s="658"/>
    </row>
    <row r="214" spans="1:68" ht="13.5" customHeight="1">
      <c r="A214" s="1277"/>
      <c r="B214" s="4824" t="s">
        <v>518</v>
      </c>
      <c r="C214" s="8434"/>
      <c r="D214" s="8435"/>
      <c r="E214" s="8435"/>
      <c r="F214" s="8435"/>
      <c r="G214" s="8435"/>
      <c r="H214" s="8435"/>
      <c r="I214" s="8435"/>
      <c r="J214" s="8435"/>
      <c r="K214" s="8435"/>
      <c r="L214" s="8435"/>
      <c r="M214" s="8435"/>
      <c r="N214" s="8436"/>
      <c r="O214" s="7516"/>
      <c r="P214" s="8437"/>
      <c r="Q214" s="8437"/>
      <c r="R214" s="8437"/>
      <c r="S214" s="8438"/>
      <c r="T214" s="4771"/>
      <c r="U214" s="773"/>
      <c r="V214" s="276"/>
      <c r="W214" s="773"/>
      <c r="X214" s="3951"/>
      <c r="Y214" s="8405"/>
      <c r="Z214" s="8406"/>
      <c r="AA214" s="8406"/>
      <c r="AB214" s="8406"/>
      <c r="AC214" s="8406"/>
      <c r="AD214" s="8406"/>
      <c r="AE214" s="8407"/>
      <c r="AF214" s="4771"/>
      <c r="AG214" s="773"/>
      <c r="AH214" s="276"/>
      <c r="AI214" s="773"/>
      <c r="AJ214" s="3951"/>
      <c r="AK214" s="4771"/>
      <c r="AL214" s="773"/>
      <c r="AM214" s="276"/>
      <c r="AN214" s="773"/>
      <c r="AO214" s="773"/>
      <c r="AP214" s="1277"/>
      <c r="BG214" s="769"/>
      <c r="BH214" s="658"/>
      <c r="BI214" s="658"/>
      <c r="BJ214" s="658"/>
      <c r="BK214" s="658"/>
      <c r="BL214" s="658"/>
      <c r="BM214" s="658"/>
      <c r="BN214" s="658"/>
      <c r="BO214" s="658"/>
      <c r="BP214" s="658"/>
    </row>
    <row r="215" spans="1:68" ht="13.5" customHeight="1">
      <c r="A215" s="1277"/>
      <c r="B215" s="4824" t="s">
        <v>521</v>
      </c>
      <c r="C215" s="8434"/>
      <c r="D215" s="8435"/>
      <c r="E215" s="8435"/>
      <c r="F215" s="8435"/>
      <c r="G215" s="8435"/>
      <c r="H215" s="8435"/>
      <c r="I215" s="8435"/>
      <c r="J215" s="8435"/>
      <c r="K215" s="8435"/>
      <c r="L215" s="8435"/>
      <c r="M215" s="8435"/>
      <c r="N215" s="8436"/>
      <c r="O215" s="7516"/>
      <c r="P215" s="8437"/>
      <c r="Q215" s="8437"/>
      <c r="R215" s="8437"/>
      <c r="S215" s="8438"/>
      <c r="T215" s="4771"/>
      <c r="U215" s="773"/>
      <c r="V215" s="276"/>
      <c r="W215" s="773"/>
      <c r="X215" s="3951"/>
      <c r="Y215" s="8405"/>
      <c r="Z215" s="8406"/>
      <c r="AA215" s="8406"/>
      <c r="AB215" s="8406"/>
      <c r="AC215" s="8406"/>
      <c r="AD215" s="8406"/>
      <c r="AE215" s="8407"/>
      <c r="AF215" s="4771"/>
      <c r="AG215" s="773"/>
      <c r="AH215" s="276"/>
      <c r="AI215" s="773"/>
      <c r="AJ215" s="3951"/>
      <c r="AK215" s="4771"/>
      <c r="AL215" s="773"/>
      <c r="AM215" s="276"/>
      <c r="AN215" s="773"/>
      <c r="AO215" s="773"/>
      <c r="AP215" s="1277"/>
      <c r="BG215" s="769"/>
      <c r="BH215" s="658"/>
      <c r="BI215" s="658"/>
      <c r="BJ215" s="658"/>
      <c r="BK215" s="658"/>
      <c r="BL215" s="658"/>
      <c r="BM215" s="658"/>
      <c r="BN215" s="658"/>
      <c r="BO215" s="658"/>
      <c r="BP215" s="658"/>
    </row>
    <row r="216" spans="1:68" ht="17.25" customHeight="1">
      <c r="A216" s="1277"/>
      <c r="B216" s="8409" t="s">
        <v>2407</v>
      </c>
      <c r="C216" s="8501"/>
      <c r="D216" s="8501"/>
      <c r="E216" s="8501"/>
      <c r="F216" s="8501"/>
      <c r="G216" s="8501"/>
      <c r="H216" s="8501"/>
      <c r="I216" s="8501"/>
      <c r="J216" s="8501"/>
      <c r="K216" s="8501"/>
      <c r="L216" s="8501"/>
      <c r="M216" s="8501"/>
      <c r="N216" s="8501"/>
      <c r="O216" s="8501"/>
      <c r="P216" s="8501"/>
      <c r="Q216" s="8501"/>
      <c r="R216" s="7840"/>
      <c r="S216" s="8423" t="s">
        <v>2408</v>
      </c>
      <c r="T216" s="8424"/>
      <c r="U216" s="8424"/>
      <c r="V216" s="8424"/>
      <c r="W216" s="8424"/>
      <c r="X216" s="8424"/>
      <c r="Y216" s="8424"/>
      <c r="Z216" s="8424"/>
      <c r="AA216" s="8424"/>
      <c r="AB216" s="8424"/>
      <c r="AC216" s="8424"/>
      <c r="AD216" s="8424"/>
      <c r="AE216" s="8424"/>
      <c r="AF216" s="8424"/>
      <c r="AG216" s="8424"/>
      <c r="AH216" s="8424"/>
      <c r="AI216" s="8424"/>
      <c r="AJ216" s="8424"/>
      <c r="AK216" s="8424"/>
      <c r="AL216" s="8424"/>
      <c r="AM216" s="8424"/>
      <c r="AN216" s="8424"/>
      <c r="AO216" s="8424"/>
      <c r="AP216" s="1277"/>
      <c r="BG216" s="769"/>
      <c r="BH216" s="658"/>
      <c r="BI216" s="658"/>
      <c r="BJ216" s="658"/>
      <c r="BK216" s="658"/>
      <c r="BL216" s="658"/>
      <c r="BM216" s="658"/>
      <c r="BN216" s="658"/>
      <c r="BO216" s="658"/>
      <c r="BP216" s="658"/>
    </row>
    <row r="217" spans="1:68" ht="12.75" customHeight="1">
      <c r="A217" s="1277"/>
      <c r="B217" s="406"/>
      <c r="C217" s="8391" t="s">
        <v>2409</v>
      </c>
      <c r="D217" s="8418"/>
      <c r="E217" s="8418"/>
      <c r="F217" s="8418"/>
      <c r="G217" s="8418"/>
      <c r="H217" s="8418"/>
      <c r="I217" s="8418"/>
      <c r="J217" s="8507"/>
      <c r="K217" s="8417" t="s">
        <v>2410</v>
      </c>
      <c r="L217" s="8418"/>
      <c r="M217" s="8418"/>
      <c r="N217" s="8418"/>
      <c r="O217" s="8418"/>
      <c r="P217" s="8418"/>
      <c r="Q217" s="8418"/>
      <c r="R217" s="8418"/>
      <c r="S217" s="8510" t="s">
        <v>2411</v>
      </c>
      <c r="T217" s="8418"/>
      <c r="U217" s="8418"/>
      <c r="V217" s="8418"/>
      <c r="W217" s="8418"/>
      <c r="X217" s="8418"/>
      <c r="Y217" s="8507"/>
      <c r="Z217" s="8417" t="s">
        <v>2412</v>
      </c>
      <c r="AA217" s="8418"/>
      <c r="AB217" s="8418"/>
      <c r="AC217" s="8418"/>
      <c r="AD217" s="8418"/>
      <c r="AE217" s="8418"/>
      <c r="AF217" s="8418"/>
      <c r="AG217" s="8507"/>
      <c r="AH217" s="8417" t="s">
        <v>2413</v>
      </c>
      <c r="AI217" s="8418"/>
      <c r="AJ217" s="8418"/>
      <c r="AK217" s="8418"/>
      <c r="AL217" s="8418"/>
      <c r="AM217" s="8418"/>
      <c r="AN217" s="8418"/>
      <c r="AO217" s="8418"/>
      <c r="AP217" s="1277"/>
      <c r="BG217" s="769"/>
      <c r="BH217" s="658"/>
      <c r="BI217" s="658"/>
      <c r="BJ217" s="658"/>
      <c r="BK217" s="658"/>
      <c r="BL217" s="658"/>
      <c r="BM217" s="658"/>
      <c r="BN217" s="658"/>
      <c r="BO217" s="658"/>
      <c r="BP217" s="658"/>
    </row>
    <row r="218" spans="1:68" ht="12.75" customHeight="1">
      <c r="A218" s="1277"/>
      <c r="B218" s="253"/>
      <c r="C218" s="8420"/>
      <c r="D218" s="8420"/>
      <c r="E218" s="8420"/>
      <c r="F218" s="8420"/>
      <c r="G218" s="8420"/>
      <c r="H218" s="8420"/>
      <c r="I218" s="8420"/>
      <c r="J218" s="8508"/>
      <c r="K218" s="8419"/>
      <c r="L218" s="8420"/>
      <c r="M218" s="8420"/>
      <c r="N218" s="8420"/>
      <c r="O218" s="8420"/>
      <c r="P218" s="8420"/>
      <c r="Q218" s="8420"/>
      <c r="R218" s="8420"/>
      <c r="S218" s="8511"/>
      <c r="T218" s="8420"/>
      <c r="U218" s="8420"/>
      <c r="V218" s="8420"/>
      <c r="W218" s="8420"/>
      <c r="X218" s="8420"/>
      <c r="Y218" s="8508"/>
      <c r="Z218" s="8419"/>
      <c r="AA218" s="8420"/>
      <c r="AB218" s="8420"/>
      <c r="AC218" s="8420"/>
      <c r="AD218" s="8420"/>
      <c r="AE218" s="8420"/>
      <c r="AF218" s="8420"/>
      <c r="AG218" s="8508"/>
      <c r="AH218" s="8419"/>
      <c r="AI218" s="8420"/>
      <c r="AJ218" s="8420"/>
      <c r="AK218" s="8420"/>
      <c r="AL218" s="8420"/>
      <c r="AM218" s="8420"/>
      <c r="AN218" s="8420"/>
      <c r="AO218" s="8420"/>
      <c r="AP218" s="1277"/>
      <c r="BG218" s="769"/>
      <c r="BH218" s="658"/>
      <c r="BI218" s="658"/>
      <c r="BJ218" s="658"/>
      <c r="BK218" s="658"/>
      <c r="BL218" s="658"/>
      <c r="BM218" s="658"/>
      <c r="BN218" s="658"/>
      <c r="BO218" s="658"/>
      <c r="BP218" s="658"/>
    </row>
    <row r="219" spans="1:68" ht="12.75" customHeight="1">
      <c r="A219" s="1277"/>
      <c r="B219" s="413"/>
      <c r="C219" s="8422"/>
      <c r="D219" s="8422"/>
      <c r="E219" s="8422"/>
      <c r="F219" s="8422"/>
      <c r="G219" s="8422"/>
      <c r="H219" s="8422"/>
      <c r="I219" s="8422"/>
      <c r="J219" s="8509"/>
      <c r="K219" s="8421"/>
      <c r="L219" s="8422"/>
      <c r="M219" s="8422"/>
      <c r="N219" s="8422"/>
      <c r="O219" s="8422"/>
      <c r="P219" s="8422"/>
      <c r="Q219" s="8422"/>
      <c r="R219" s="8422"/>
      <c r="S219" s="8512"/>
      <c r="T219" s="8422"/>
      <c r="U219" s="8422"/>
      <c r="V219" s="8422"/>
      <c r="W219" s="8422"/>
      <c r="X219" s="8422"/>
      <c r="Y219" s="8509"/>
      <c r="Z219" s="8421"/>
      <c r="AA219" s="8422"/>
      <c r="AB219" s="8422"/>
      <c r="AC219" s="8422"/>
      <c r="AD219" s="8422"/>
      <c r="AE219" s="8422"/>
      <c r="AF219" s="8422"/>
      <c r="AG219" s="8509"/>
      <c r="AH219" s="8421"/>
      <c r="AI219" s="8422"/>
      <c r="AJ219" s="8422"/>
      <c r="AK219" s="8422"/>
      <c r="AL219" s="8422"/>
      <c r="AM219" s="8422"/>
      <c r="AN219" s="8422"/>
      <c r="AO219" s="8422"/>
      <c r="AP219" s="1277"/>
      <c r="BG219" s="769"/>
      <c r="BH219" s="658"/>
      <c r="BI219" s="658"/>
      <c r="BJ219" s="658"/>
      <c r="BK219" s="658"/>
      <c r="BL219" s="658"/>
      <c r="BM219" s="658"/>
      <c r="BN219" s="658"/>
      <c r="BO219" s="658"/>
      <c r="BP219" s="658"/>
    </row>
    <row r="220" spans="1:68" ht="13.5" customHeight="1">
      <c r="A220" s="1277"/>
      <c r="B220" s="4656" t="s">
        <v>510</v>
      </c>
      <c r="C220" s="8431"/>
      <c r="D220" s="8432"/>
      <c r="E220" s="8432"/>
      <c r="F220" s="8432"/>
      <c r="G220" s="8432"/>
      <c r="H220" s="8432"/>
      <c r="I220" s="8432"/>
      <c r="J220" s="8465"/>
      <c r="K220" s="8431"/>
      <c r="L220" s="8432"/>
      <c r="M220" s="8432"/>
      <c r="N220" s="8432"/>
      <c r="O220" s="8432"/>
      <c r="P220" s="8432"/>
      <c r="Q220" s="8432"/>
      <c r="R220" s="8474"/>
      <c r="S220" s="8431"/>
      <c r="T220" s="8432"/>
      <c r="U220" s="8432"/>
      <c r="V220" s="8432"/>
      <c r="W220" s="8432"/>
      <c r="X220" s="8432"/>
      <c r="Y220" s="8432"/>
      <c r="Z220" s="8431"/>
      <c r="AA220" s="8432"/>
      <c r="AB220" s="8432"/>
      <c r="AC220" s="8432"/>
      <c r="AD220" s="8432"/>
      <c r="AE220" s="8432"/>
      <c r="AF220" s="8432"/>
      <c r="AG220" s="8465"/>
      <c r="AH220" s="8431"/>
      <c r="AI220" s="8432"/>
      <c r="AJ220" s="8432"/>
      <c r="AK220" s="8432"/>
      <c r="AL220" s="8432"/>
      <c r="AM220" s="8432"/>
      <c r="AN220" s="8432"/>
      <c r="AO220" s="8432"/>
      <c r="AP220" s="1277"/>
      <c r="BG220" s="769"/>
      <c r="BH220" s="658"/>
      <c r="BI220" s="658"/>
      <c r="BJ220" s="658"/>
      <c r="BK220" s="658"/>
      <c r="BL220" s="658"/>
      <c r="BM220" s="658"/>
      <c r="BN220" s="658"/>
      <c r="BO220" s="658"/>
      <c r="BP220" s="658"/>
    </row>
    <row r="221" spans="1:68" ht="13.5" customHeight="1">
      <c r="A221" s="1277"/>
      <c r="B221" s="4824" t="s">
        <v>516</v>
      </c>
      <c r="C221" s="8431"/>
      <c r="D221" s="8432"/>
      <c r="E221" s="8432"/>
      <c r="F221" s="8432"/>
      <c r="G221" s="8432"/>
      <c r="H221" s="8432"/>
      <c r="I221" s="8432"/>
      <c r="J221" s="8465"/>
      <c r="K221" s="8431"/>
      <c r="L221" s="8432"/>
      <c r="M221" s="8432"/>
      <c r="N221" s="8432"/>
      <c r="O221" s="8432"/>
      <c r="P221" s="8432"/>
      <c r="Q221" s="8432"/>
      <c r="R221" s="8474"/>
      <c r="S221" s="8431"/>
      <c r="T221" s="8432"/>
      <c r="U221" s="8432"/>
      <c r="V221" s="8432"/>
      <c r="W221" s="8432"/>
      <c r="X221" s="8432"/>
      <c r="Y221" s="8432"/>
      <c r="Z221" s="8431"/>
      <c r="AA221" s="8432"/>
      <c r="AB221" s="8432"/>
      <c r="AC221" s="8432"/>
      <c r="AD221" s="8432"/>
      <c r="AE221" s="8432"/>
      <c r="AF221" s="8432"/>
      <c r="AG221" s="8465"/>
      <c r="AH221" s="8431"/>
      <c r="AI221" s="8432"/>
      <c r="AJ221" s="8432"/>
      <c r="AK221" s="8432"/>
      <c r="AL221" s="8432"/>
      <c r="AM221" s="8432"/>
      <c r="AN221" s="8432"/>
      <c r="AO221" s="8432"/>
      <c r="AP221" s="1277"/>
      <c r="BG221" s="769"/>
      <c r="BH221" s="658"/>
      <c r="BI221" s="658"/>
      <c r="BJ221" s="658"/>
      <c r="BK221" s="658"/>
      <c r="BL221" s="658"/>
      <c r="BM221" s="658"/>
      <c r="BN221" s="658"/>
      <c r="BO221" s="658"/>
      <c r="BP221" s="658"/>
    </row>
    <row r="222" spans="1:68" ht="13.5" customHeight="1">
      <c r="A222" s="1277"/>
      <c r="B222" s="4824" t="s">
        <v>518</v>
      </c>
      <c r="C222" s="8431"/>
      <c r="D222" s="8432"/>
      <c r="E222" s="8432"/>
      <c r="F222" s="8432"/>
      <c r="G222" s="8432"/>
      <c r="H222" s="8432"/>
      <c r="I222" s="8432"/>
      <c r="J222" s="8465"/>
      <c r="K222" s="8431"/>
      <c r="L222" s="8432"/>
      <c r="M222" s="8432"/>
      <c r="N222" s="8432"/>
      <c r="O222" s="8432"/>
      <c r="P222" s="8432"/>
      <c r="Q222" s="8432"/>
      <c r="R222" s="8474"/>
      <c r="S222" s="8431"/>
      <c r="T222" s="8432"/>
      <c r="U222" s="8432"/>
      <c r="V222" s="8432"/>
      <c r="W222" s="8432"/>
      <c r="X222" s="8432"/>
      <c r="Y222" s="8432"/>
      <c r="Z222" s="8431"/>
      <c r="AA222" s="8432"/>
      <c r="AB222" s="8432"/>
      <c r="AC222" s="8432"/>
      <c r="AD222" s="8432"/>
      <c r="AE222" s="8432"/>
      <c r="AF222" s="8432"/>
      <c r="AG222" s="8465"/>
      <c r="AH222" s="8431"/>
      <c r="AI222" s="8432"/>
      <c r="AJ222" s="8432"/>
      <c r="AK222" s="8432"/>
      <c r="AL222" s="8432"/>
      <c r="AM222" s="8432"/>
      <c r="AN222" s="8432"/>
      <c r="AO222" s="8432"/>
      <c r="AP222" s="1277"/>
      <c r="BG222" s="769"/>
      <c r="BH222" s="658"/>
      <c r="BI222" s="658"/>
      <c r="BJ222" s="658"/>
      <c r="BK222" s="658"/>
      <c r="BL222" s="658"/>
      <c r="BM222" s="658"/>
      <c r="BN222" s="658"/>
      <c r="BO222" s="658"/>
      <c r="BP222" s="658"/>
    </row>
    <row r="223" spans="1:68" ht="13.5" customHeight="1">
      <c r="A223" s="1277"/>
      <c r="B223" s="4824" t="s">
        <v>521</v>
      </c>
      <c r="C223" s="8431"/>
      <c r="D223" s="8432"/>
      <c r="E223" s="8432"/>
      <c r="F223" s="8432"/>
      <c r="G223" s="8432"/>
      <c r="H223" s="8432"/>
      <c r="I223" s="8432"/>
      <c r="J223" s="8465"/>
      <c r="K223" s="8431"/>
      <c r="L223" s="8432"/>
      <c r="M223" s="8432"/>
      <c r="N223" s="8432"/>
      <c r="O223" s="8432"/>
      <c r="P223" s="8432"/>
      <c r="Q223" s="8432"/>
      <c r="R223" s="8474"/>
      <c r="S223" s="8431"/>
      <c r="T223" s="8432"/>
      <c r="U223" s="8432"/>
      <c r="V223" s="8432"/>
      <c r="W223" s="8432"/>
      <c r="X223" s="8432"/>
      <c r="Y223" s="8432"/>
      <c r="Z223" s="8431"/>
      <c r="AA223" s="8432"/>
      <c r="AB223" s="8432"/>
      <c r="AC223" s="8432"/>
      <c r="AD223" s="8432"/>
      <c r="AE223" s="8432"/>
      <c r="AF223" s="8432"/>
      <c r="AG223" s="8465"/>
      <c r="AH223" s="8431"/>
      <c r="AI223" s="8432"/>
      <c r="AJ223" s="8432"/>
      <c r="AK223" s="8432"/>
      <c r="AL223" s="8432"/>
      <c r="AM223" s="8432"/>
      <c r="AN223" s="8432"/>
      <c r="AO223" s="8432"/>
      <c r="AP223" s="1277"/>
      <c r="BG223" s="769"/>
      <c r="BH223" s="658"/>
      <c r="BI223" s="658"/>
      <c r="BJ223" s="658"/>
      <c r="BK223" s="658"/>
      <c r="BL223" s="658"/>
      <c r="BM223" s="658"/>
      <c r="BN223" s="658"/>
      <c r="BO223" s="658"/>
      <c r="BP223" s="658"/>
    </row>
    <row r="224" spans="1:68" ht="13.5" customHeight="1">
      <c r="A224" s="1277"/>
      <c r="B224" s="8409" t="s">
        <v>2414</v>
      </c>
      <c r="C224" s="8409"/>
      <c r="D224" s="1469"/>
      <c r="E224" s="1469" t="s">
        <v>2415</v>
      </c>
      <c r="F224" s="4825"/>
      <c r="G224" s="3835"/>
      <c r="H224" s="3835"/>
      <c r="I224" s="3835"/>
      <c r="J224" s="4826"/>
      <c r="K224" s="8384">
        <f>ROUND(SUM(K220:K223),0)</f>
        <v>0</v>
      </c>
      <c r="L224" s="8385"/>
      <c r="M224" s="8385"/>
      <c r="N224" s="8385"/>
      <c r="O224" s="8385"/>
      <c r="P224" s="8385"/>
      <c r="Q224" s="8385"/>
      <c r="R224" s="8386"/>
      <c r="S224" s="8502"/>
      <c r="T224" s="8503"/>
      <c r="U224" s="8503"/>
      <c r="V224" s="8503"/>
      <c r="W224" s="8503"/>
      <c r="X224" s="8503"/>
      <c r="Y224" s="8503"/>
      <c r="Z224" s="3835"/>
      <c r="AA224" s="3835"/>
      <c r="AB224" s="3835"/>
      <c r="AC224" s="3835"/>
      <c r="AD224" s="3835"/>
      <c r="AE224" s="3835"/>
      <c r="AF224" s="3835"/>
      <c r="AG224" s="4826"/>
      <c r="AH224" s="8381">
        <f>ROUND(SUM(AH220:AH223),0)</f>
        <v>0</v>
      </c>
      <c r="AI224" s="8399"/>
      <c r="AJ224" s="8399"/>
      <c r="AK224" s="8399"/>
      <c r="AL224" s="8399"/>
      <c r="AM224" s="8399"/>
      <c r="AN224" s="8399"/>
      <c r="AO224" s="8399"/>
      <c r="AP224" s="1277"/>
      <c r="BG224" s="769"/>
      <c r="BH224" s="658"/>
      <c r="BI224" s="658"/>
      <c r="BJ224" s="658"/>
      <c r="BK224" s="658"/>
      <c r="BL224" s="658"/>
      <c r="BM224" s="658"/>
      <c r="BN224" s="658"/>
      <c r="BO224" s="658"/>
      <c r="BP224" s="658"/>
    </row>
    <row r="225" spans="1:69" ht="13.5" customHeight="1">
      <c r="A225" s="1277"/>
      <c r="B225" s="7858" t="s">
        <v>592</v>
      </c>
      <c r="C225" s="7858"/>
      <c r="D225" s="511"/>
      <c r="E225" s="1469" t="s">
        <v>2415</v>
      </c>
      <c r="F225" s="8381">
        <f>ROUND(SUM(C220:C223),0)</f>
        <v>0</v>
      </c>
      <c r="G225" s="8399"/>
      <c r="H225" s="8399"/>
      <c r="I225" s="8399"/>
      <c r="J225" s="8499"/>
      <c r="K225" s="8504"/>
      <c r="L225" s="8505"/>
      <c r="M225" s="8505"/>
      <c r="N225" s="8505"/>
      <c r="O225" s="8505"/>
      <c r="P225" s="8505"/>
      <c r="Q225" s="8505"/>
      <c r="R225" s="8506"/>
      <c r="S225" s="8401">
        <f>ROUND(SUM(S220:S223),0)</f>
        <v>0</v>
      </c>
      <c r="T225" s="8385"/>
      <c r="U225" s="8385"/>
      <c r="V225" s="8385"/>
      <c r="W225" s="8385"/>
      <c r="X225" s="8385"/>
      <c r="Y225" s="8402"/>
      <c r="Z225" s="8500">
        <f>ROUND(SUM(Z220:Z223),0)</f>
        <v>0</v>
      </c>
      <c r="AA225" s="8500"/>
      <c r="AB225" s="8500"/>
      <c r="AC225" s="8500"/>
      <c r="AD225" s="8500"/>
      <c r="AE225" s="8500"/>
      <c r="AF225" s="8500"/>
      <c r="AG225" s="8500"/>
      <c r="AH225" s="8497"/>
      <c r="AI225" s="8497"/>
      <c r="AJ225" s="8497"/>
      <c r="AK225" s="8497"/>
      <c r="AL225" s="8497"/>
      <c r="AM225" s="8497"/>
      <c r="AN225" s="8497"/>
      <c r="AO225" s="8498"/>
      <c r="AP225" s="1277"/>
      <c r="BG225" s="769"/>
      <c r="BH225" s="658"/>
      <c r="BI225" s="658"/>
      <c r="BJ225" s="658"/>
      <c r="BK225" s="658"/>
      <c r="BL225" s="658"/>
      <c r="BM225" s="658"/>
      <c r="BN225" s="658"/>
      <c r="BO225" s="658"/>
      <c r="BP225" s="658"/>
    </row>
    <row r="226" spans="1:69" ht="12.75" customHeight="1">
      <c r="A226" s="1277"/>
      <c r="B226" s="7608">
        <v>30</v>
      </c>
      <c r="C226" s="7608"/>
      <c r="D226" s="511" t="s">
        <v>2416</v>
      </c>
      <c r="E226" s="253"/>
      <c r="F226" s="253"/>
      <c r="G226" s="253"/>
      <c r="H226" s="253"/>
      <c r="I226" s="253"/>
      <c r="J226" s="253"/>
      <c r="K226" s="253"/>
      <c r="L226" s="253"/>
      <c r="M226" s="253"/>
      <c r="N226" s="253"/>
      <c r="O226" s="253"/>
      <c r="P226" s="253"/>
      <c r="Q226" s="253"/>
      <c r="R226" s="253"/>
      <c r="S226" s="253"/>
      <c r="T226" s="253"/>
      <c r="U226" s="253"/>
      <c r="V226" s="253"/>
      <c r="W226" s="253"/>
      <c r="X226" s="253"/>
      <c r="Y226" s="253"/>
      <c r="Z226" s="253"/>
      <c r="AA226" s="253"/>
      <c r="AB226" s="253"/>
      <c r="AC226" s="253"/>
      <c r="AD226" s="253"/>
      <c r="AE226" s="2198" t="s">
        <v>665</v>
      </c>
      <c r="AF226" s="8387">
        <v>30</v>
      </c>
      <c r="AG226" s="8388"/>
      <c r="AH226" s="8429">
        <f>SUM(K224,AH224)</f>
        <v>0</v>
      </c>
      <c r="AI226" s="8430"/>
      <c r="AJ226" s="8430"/>
      <c r="AK226" s="8430"/>
      <c r="AL226" s="8430"/>
      <c r="AM226" s="8430"/>
      <c r="AN226" s="8430"/>
      <c r="AO226" s="8430"/>
      <c r="AP226" s="1277"/>
      <c r="AQ226" s="2875"/>
      <c r="AR226" s="2875"/>
      <c r="AS226" s="2875"/>
      <c r="BG226" s="769"/>
      <c r="BH226" s="658"/>
      <c r="BI226" s="658"/>
      <c r="BJ226" s="658"/>
      <c r="BK226" s="658"/>
      <c r="BL226" s="658"/>
      <c r="BM226" s="658"/>
      <c r="BN226" s="658"/>
      <c r="BO226" s="658"/>
      <c r="BP226" s="658"/>
    </row>
    <row r="227" spans="1:69" ht="12.75" customHeight="1" thickBot="1">
      <c r="A227" s="1277"/>
      <c r="B227" s="7608">
        <v>31</v>
      </c>
      <c r="C227" s="7608"/>
      <c r="D227" s="511" t="s">
        <v>2417</v>
      </c>
      <c r="E227" s="253"/>
      <c r="F227" s="253"/>
      <c r="G227" s="253"/>
      <c r="H227" s="253"/>
      <c r="I227" s="253"/>
      <c r="J227" s="253"/>
      <c r="K227" s="253"/>
      <c r="L227" s="253"/>
      <c r="M227" s="253"/>
      <c r="N227" s="253"/>
      <c r="O227" s="253"/>
      <c r="P227" s="253"/>
      <c r="Q227" s="253"/>
      <c r="R227" s="253"/>
      <c r="S227" s="253"/>
      <c r="T227" s="253"/>
      <c r="U227" s="253"/>
      <c r="V227" s="253"/>
      <c r="W227" s="253"/>
      <c r="X227" s="253"/>
      <c r="Y227" s="253"/>
      <c r="Z227" s="253"/>
      <c r="AA227" s="253"/>
      <c r="AB227" s="253"/>
      <c r="AC227" s="253"/>
      <c r="AD227" s="253"/>
      <c r="AE227" s="2198" t="s">
        <v>647</v>
      </c>
      <c r="AF227" s="8387">
        <v>31</v>
      </c>
      <c r="AG227" s="8388"/>
      <c r="AH227" s="4827" t="s">
        <v>799</v>
      </c>
      <c r="AI227" s="8412">
        <f>SUM(F225,S225,Z225)</f>
        <v>0</v>
      </c>
      <c r="AJ227" s="8274"/>
      <c r="AK227" s="8274"/>
      <c r="AL227" s="8274"/>
      <c r="AM227" s="8274"/>
      <c r="AN227" s="8274"/>
      <c r="AO227" s="4828" t="s">
        <v>800</v>
      </c>
      <c r="AP227" s="1277"/>
      <c r="AQ227" s="2875"/>
      <c r="AR227" s="185" t="s">
        <v>771</v>
      </c>
      <c r="AS227" s="2875"/>
      <c r="BG227" s="769"/>
      <c r="BH227" s="658"/>
      <c r="BI227" s="658"/>
      <c r="BJ227" s="658"/>
      <c r="BK227" s="658"/>
      <c r="BL227" s="658"/>
      <c r="BM227" s="658"/>
      <c r="BN227" s="658"/>
      <c r="BO227" s="658"/>
      <c r="BP227" s="658"/>
    </row>
    <row r="228" spans="1:69" ht="12.75" customHeight="1" thickBot="1">
      <c r="A228" s="1277"/>
      <c r="B228" s="8614">
        <v>32</v>
      </c>
      <c r="C228" s="8614"/>
      <c r="D228" s="4830" t="s">
        <v>2418</v>
      </c>
      <c r="E228" s="380"/>
      <c r="F228" s="380"/>
      <c r="G228" s="380"/>
      <c r="H228" s="380"/>
      <c r="I228" s="380"/>
      <c r="J228" s="380"/>
      <c r="K228" s="380"/>
      <c r="L228" s="380"/>
      <c r="M228" s="380"/>
      <c r="N228" s="380"/>
      <c r="O228" s="380"/>
      <c r="P228" s="380"/>
      <c r="Q228" s="380"/>
      <c r="R228" s="380"/>
      <c r="S228" s="380"/>
      <c r="T228" s="380"/>
      <c r="U228" s="380"/>
      <c r="V228" s="380"/>
      <c r="W228" s="380"/>
      <c r="X228" s="380"/>
      <c r="Y228" s="380"/>
      <c r="Z228" s="380"/>
      <c r="AA228" s="380"/>
      <c r="AB228" s="380"/>
      <c r="AC228" s="380"/>
      <c r="AD228" s="380"/>
      <c r="AE228" s="4533" t="s">
        <v>627</v>
      </c>
      <c r="AF228" s="8389">
        <v>32</v>
      </c>
      <c r="AG228" s="8390"/>
      <c r="AH228" s="8602">
        <f>IF(AR228&lt;&gt;"",ROUND(AR228,0),SUM(AH226,-AI227))</f>
        <v>0</v>
      </c>
      <c r="AI228" s="8603"/>
      <c r="AJ228" s="8603"/>
      <c r="AK228" s="8603"/>
      <c r="AL228" s="8603"/>
      <c r="AM228" s="8603"/>
      <c r="AN228" s="8603"/>
      <c r="AO228" s="8603"/>
      <c r="AP228" s="1277"/>
      <c r="AQ228" s="2875"/>
      <c r="AR228" s="776"/>
      <c r="AS228" s="2875"/>
      <c r="BG228" s="769"/>
      <c r="BH228" s="658"/>
      <c r="BI228" s="658"/>
      <c r="BJ228" s="658"/>
      <c r="BK228" s="658"/>
      <c r="BL228" s="658"/>
      <c r="BM228" s="658"/>
      <c r="BN228" s="658"/>
      <c r="BO228" s="658"/>
      <c r="BP228" s="658"/>
    </row>
    <row r="229" spans="1:69" s="1405" customFormat="1" ht="17.25" customHeight="1">
      <c r="A229" s="2119"/>
      <c r="B229" s="8479" t="s">
        <v>1938</v>
      </c>
      <c r="C229" s="8479"/>
      <c r="D229" s="8480"/>
      <c r="E229" s="1998"/>
      <c r="F229" s="1997" t="s">
        <v>2419</v>
      </c>
      <c r="G229" s="1998"/>
      <c r="H229" s="1998"/>
      <c r="I229" s="1998"/>
      <c r="J229" s="1998"/>
      <c r="K229" s="1998"/>
      <c r="L229" s="1998"/>
      <c r="M229" s="1998"/>
      <c r="N229" s="1998"/>
      <c r="O229" s="1998"/>
      <c r="P229" s="1998"/>
      <c r="Q229" s="1998"/>
      <c r="R229" s="1998"/>
      <c r="S229" s="1998"/>
      <c r="T229" s="1998"/>
      <c r="U229" s="1998"/>
      <c r="V229" s="1998"/>
      <c r="W229" s="1998"/>
      <c r="X229" s="1996"/>
      <c r="Y229" s="1998"/>
      <c r="Z229" s="1998"/>
      <c r="AA229" s="1998"/>
      <c r="AB229" s="1998"/>
      <c r="AC229" s="1998"/>
      <c r="AD229" s="1998"/>
      <c r="AE229" s="1998"/>
      <c r="AF229" s="1998"/>
      <c r="AG229" s="1998"/>
      <c r="AH229" s="1998"/>
      <c r="AI229" s="1998"/>
      <c r="AJ229" s="1998"/>
      <c r="AK229" s="1998"/>
      <c r="AL229" s="1998"/>
      <c r="AM229" s="1998"/>
      <c r="AN229" s="1998"/>
      <c r="AO229" s="1998"/>
      <c r="AP229" s="1277"/>
      <c r="AQ229" s="2875"/>
      <c r="AR229" s="2875"/>
      <c r="AS229" s="2875"/>
      <c r="AX229"/>
      <c r="AY229"/>
      <c r="AZ229"/>
      <c r="BA229"/>
      <c r="BB229"/>
      <c r="BC229"/>
      <c r="BD229"/>
      <c r="BG229" s="769"/>
      <c r="BH229" s="658"/>
      <c r="BI229" s="658"/>
      <c r="BJ229" s="658"/>
      <c r="BK229" s="658"/>
      <c r="BL229" s="658"/>
      <c r="BM229" s="658"/>
      <c r="BN229" s="658"/>
      <c r="BO229" s="658"/>
      <c r="BP229" s="658"/>
      <c r="BQ229" s="815"/>
    </row>
    <row r="230" spans="1:69" ht="12.75" customHeight="1">
      <c r="A230" s="1277"/>
      <c r="B230" s="406"/>
      <c r="C230" s="406"/>
      <c r="D230" s="406"/>
      <c r="E230" s="406"/>
      <c r="F230" s="406"/>
      <c r="G230" s="406"/>
      <c r="H230" s="406"/>
      <c r="I230" s="406"/>
      <c r="J230" s="406"/>
      <c r="K230" s="406"/>
      <c r="L230" s="406"/>
      <c r="M230" s="406"/>
      <c r="N230" s="406"/>
      <c r="O230" s="406"/>
      <c r="P230" s="406"/>
      <c r="Q230" s="406"/>
      <c r="R230" s="406"/>
      <c r="S230" s="406"/>
      <c r="T230" s="406"/>
      <c r="U230" s="406"/>
      <c r="V230" s="406"/>
      <c r="W230" s="406"/>
      <c r="X230" s="406"/>
      <c r="Y230" s="406"/>
      <c r="Z230" s="406"/>
      <c r="AA230" s="406"/>
      <c r="AB230" s="406"/>
      <c r="AC230" s="406"/>
      <c r="AD230" s="406"/>
      <c r="AE230" s="406"/>
      <c r="AF230" s="406"/>
      <c r="AG230" s="407"/>
      <c r="AH230" s="8417" t="s">
        <v>2420</v>
      </c>
      <c r="AI230" s="8481"/>
      <c r="AJ230" s="8481"/>
      <c r="AK230" s="8481"/>
      <c r="AL230" s="8481"/>
      <c r="AM230" s="8481"/>
      <c r="AN230" s="8481"/>
      <c r="AO230" s="8481"/>
      <c r="AP230" s="1277"/>
      <c r="BG230" s="769"/>
      <c r="BH230" s="658"/>
      <c r="BI230" s="658"/>
      <c r="BJ230" s="658"/>
      <c r="BK230" s="658"/>
      <c r="BL230" s="658"/>
      <c r="BM230" s="658"/>
      <c r="BN230" s="658"/>
      <c r="BO230" s="658"/>
      <c r="BP230" s="658"/>
    </row>
    <row r="231" spans="1:69" ht="12.75" customHeight="1">
      <c r="A231" s="1277"/>
      <c r="B231" s="8433">
        <v>33</v>
      </c>
      <c r="C231" s="7091"/>
      <c r="D231" s="253"/>
      <c r="E231" s="253"/>
      <c r="F231" s="253"/>
      <c r="G231" s="253"/>
      <c r="H231" s="253"/>
      <c r="I231" s="253"/>
      <c r="J231" s="253"/>
      <c r="K231" s="253"/>
      <c r="L231" s="253"/>
      <c r="M231" s="253"/>
      <c r="N231" s="253"/>
      <c r="O231" s="253"/>
      <c r="P231" s="344" t="s">
        <v>2406</v>
      </c>
      <c r="Q231" s="253"/>
      <c r="R231" s="253"/>
      <c r="S231" s="253"/>
      <c r="T231" s="253"/>
      <c r="U231" s="253"/>
      <c r="V231" s="253"/>
      <c r="W231" s="253"/>
      <c r="X231" s="253"/>
      <c r="Y231" s="253"/>
      <c r="Z231" s="253"/>
      <c r="AA231" s="253"/>
      <c r="AB231" s="253"/>
      <c r="AC231" s="253"/>
      <c r="AD231" s="253"/>
      <c r="AE231" s="253"/>
      <c r="AF231" s="253"/>
      <c r="AG231" s="409"/>
      <c r="AH231" s="8482"/>
      <c r="AI231" s="8299"/>
      <c r="AJ231" s="8299"/>
      <c r="AK231" s="8299"/>
      <c r="AL231" s="8299"/>
      <c r="AM231" s="8299"/>
      <c r="AN231" s="8299"/>
      <c r="AO231" s="8299"/>
      <c r="AP231" s="1277"/>
      <c r="AX231" s="1405"/>
      <c r="AY231" s="1405"/>
      <c r="AZ231" s="1405"/>
      <c r="BA231" s="1405"/>
      <c r="BB231" s="1405"/>
      <c r="BC231" s="1405"/>
      <c r="BD231" s="1405"/>
      <c r="BG231" s="769"/>
      <c r="BH231" s="658"/>
      <c r="BI231" s="658"/>
      <c r="BJ231" s="658"/>
      <c r="BK231" s="658"/>
      <c r="BL231" s="658"/>
      <c r="BM231" s="658"/>
      <c r="BN231" s="658"/>
      <c r="BO231" s="658"/>
      <c r="BP231" s="658"/>
    </row>
    <row r="232" spans="1:69" ht="12.75" customHeight="1">
      <c r="A232" s="1277"/>
      <c r="B232" s="413"/>
      <c r="C232" s="413"/>
      <c r="D232" s="413"/>
      <c r="E232" s="413"/>
      <c r="F232" s="413"/>
      <c r="G232" s="413"/>
      <c r="H232" s="413"/>
      <c r="I232" s="413"/>
      <c r="J232" s="413"/>
      <c r="K232" s="413"/>
      <c r="L232" s="413"/>
      <c r="M232" s="413"/>
      <c r="N232" s="413"/>
      <c r="O232" s="413"/>
      <c r="P232" s="413"/>
      <c r="Q232" s="413"/>
      <c r="R232" s="413"/>
      <c r="S232" s="413"/>
      <c r="T232" s="413"/>
      <c r="U232" s="413"/>
      <c r="V232" s="413"/>
      <c r="W232" s="413"/>
      <c r="X232" s="413"/>
      <c r="Y232" s="413"/>
      <c r="Z232" s="413"/>
      <c r="AA232" s="413"/>
      <c r="AB232" s="413"/>
      <c r="AC232" s="413"/>
      <c r="AD232" s="413"/>
      <c r="AE232" s="413"/>
      <c r="AF232" s="413"/>
      <c r="AG232" s="414"/>
      <c r="AH232" s="8483"/>
      <c r="AI232" s="8168"/>
      <c r="AJ232" s="8168"/>
      <c r="AK232" s="8168"/>
      <c r="AL232" s="8168"/>
      <c r="AM232" s="8168"/>
      <c r="AN232" s="8168"/>
      <c r="AO232" s="8168"/>
      <c r="AP232" s="1277"/>
      <c r="BG232" s="769"/>
      <c r="BH232" s="658"/>
      <c r="BI232" s="658"/>
      <c r="BJ232" s="658"/>
      <c r="BK232" s="658"/>
      <c r="BL232" s="658"/>
      <c r="BM232" s="658"/>
      <c r="BN232" s="658"/>
      <c r="BO232" s="658"/>
      <c r="BP232" s="658"/>
    </row>
    <row r="233" spans="1:69" ht="13.5" customHeight="1">
      <c r="A233" s="1277"/>
      <c r="B233" s="4656" t="s">
        <v>510</v>
      </c>
      <c r="C233" s="8475"/>
      <c r="D233" s="8476"/>
      <c r="E233" s="8476"/>
      <c r="F233" s="8476"/>
      <c r="G233" s="8476"/>
      <c r="H233" s="8476"/>
      <c r="I233" s="8476"/>
      <c r="J233" s="8476"/>
      <c r="K233" s="8477"/>
      <c r="L233" s="8477"/>
      <c r="M233" s="8477"/>
      <c r="N233" s="8477"/>
      <c r="O233" s="8477"/>
      <c r="P233" s="8477"/>
      <c r="Q233" s="8477"/>
      <c r="R233" s="8477"/>
      <c r="S233" s="8477"/>
      <c r="T233" s="8477"/>
      <c r="U233" s="8477"/>
      <c r="V233" s="8477"/>
      <c r="W233" s="8477"/>
      <c r="X233" s="8477"/>
      <c r="Y233" s="8477"/>
      <c r="Z233" s="8477"/>
      <c r="AA233" s="8477"/>
      <c r="AB233" s="8477"/>
      <c r="AC233" s="8477"/>
      <c r="AD233" s="8477"/>
      <c r="AE233" s="8477"/>
      <c r="AF233" s="8477"/>
      <c r="AG233" s="8478"/>
      <c r="AH233" s="8403"/>
      <c r="AI233" s="8404"/>
      <c r="AJ233" s="8404"/>
      <c r="AK233" s="8404"/>
      <c r="AL233" s="8404"/>
      <c r="AM233" s="8404"/>
      <c r="AN233" s="8404"/>
      <c r="AO233" s="8404"/>
      <c r="AP233" s="1277"/>
      <c r="BG233" s="769"/>
      <c r="BH233" s="658"/>
      <c r="BI233" s="658"/>
      <c r="BJ233" s="658"/>
      <c r="BK233" s="658"/>
      <c r="BL233" s="658"/>
      <c r="BM233" s="658"/>
      <c r="BN233" s="658"/>
      <c r="BO233" s="658"/>
      <c r="BP233" s="658"/>
    </row>
    <row r="234" spans="1:69" ht="13.5" customHeight="1">
      <c r="A234" s="1277"/>
      <c r="B234" s="4824" t="s">
        <v>516</v>
      </c>
      <c r="C234" s="8475"/>
      <c r="D234" s="8476"/>
      <c r="E234" s="8476"/>
      <c r="F234" s="8476"/>
      <c r="G234" s="8476"/>
      <c r="H234" s="8476"/>
      <c r="I234" s="8476"/>
      <c r="J234" s="8476"/>
      <c r="K234" s="8477"/>
      <c r="L234" s="8477"/>
      <c r="M234" s="8477"/>
      <c r="N234" s="8477"/>
      <c r="O234" s="8477"/>
      <c r="P234" s="8477"/>
      <c r="Q234" s="8477"/>
      <c r="R234" s="8477"/>
      <c r="S234" s="8477"/>
      <c r="T234" s="8477"/>
      <c r="U234" s="8477"/>
      <c r="V234" s="8477"/>
      <c r="W234" s="8477"/>
      <c r="X234" s="8477"/>
      <c r="Y234" s="8477"/>
      <c r="Z234" s="8477"/>
      <c r="AA234" s="8477"/>
      <c r="AB234" s="8477"/>
      <c r="AC234" s="8477"/>
      <c r="AD234" s="8477"/>
      <c r="AE234" s="8477"/>
      <c r="AF234" s="8477"/>
      <c r="AG234" s="8478"/>
      <c r="AH234" s="8403"/>
      <c r="AI234" s="8404"/>
      <c r="AJ234" s="8404"/>
      <c r="AK234" s="8404"/>
      <c r="AL234" s="8404"/>
      <c r="AM234" s="8404"/>
      <c r="AN234" s="8404"/>
      <c r="AO234" s="8404"/>
      <c r="AP234" s="1277"/>
      <c r="BG234" s="769"/>
      <c r="BH234" s="658"/>
      <c r="BI234" s="658"/>
      <c r="BJ234" s="658"/>
      <c r="BK234" s="658"/>
      <c r="BL234" s="658"/>
      <c r="BM234" s="658"/>
      <c r="BN234" s="658"/>
      <c r="BO234" s="658"/>
      <c r="BP234" s="658"/>
    </row>
    <row r="235" spans="1:69" ht="17.25" customHeight="1">
      <c r="A235" s="1277"/>
      <c r="B235" s="8490" t="s">
        <v>2407</v>
      </c>
      <c r="C235" s="8489"/>
      <c r="D235" s="8489"/>
      <c r="E235" s="8489"/>
      <c r="F235" s="8489"/>
      <c r="G235" s="8489"/>
      <c r="H235" s="8489"/>
      <c r="I235" s="8489"/>
      <c r="J235" s="8489"/>
      <c r="K235" s="8489"/>
      <c r="L235" s="8489"/>
      <c r="M235" s="8489"/>
      <c r="N235" s="8489"/>
      <c r="O235" s="8489"/>
      <c r="P235" s="8489"/>
      <c r="Q235" s="8489"/>
      <c r="R235" s="8489"/>
      <c r="S235" s="8489"/>
      <c r="T235" s="8489"/>
      <c r="U235" s="8489"/>
      <c r="V235" s="8489"/>
      <c r="W235" s="8489"/>
      <c r="X235" s="8491"/>
      <c r="Y235" s="8423" t="s">
        <v>2408</v>
      </c>
      <c r="Z235" s="8489"/>
      <c r="AA235" s="8489"/>
      <c r="AB235" s="8489"/>
      <c r="AC235" s="8489"/>
      <c r="AD235" s="8489"/>
      <c r="AE235" s="8489"/>
      <c r="AF235" s="8489"/>
      <c r="AG235" s="8489"/>
      <c r="AH235" s="8489"/>
      <c r="AI235" s="8489"/>
      <c r="AJ235" s="8489"/>
      <c r="AK235" s="8489"/>
      <c r="AL235" s="8489"/>
      <c r="AM235" s="8489"/>
      <c r="AN235" s="8489"/>
      <c r="AO235" s="8489"/>
      <c r="AP235" s="1277"/>
      <c r="BG235" s="769"/>
      <c r="BH235" s="658"/>
      <c r="BI235" s="658"/>
      <c r="BJ235" s="658"/>
      <c r="BK235" s="658"/>
      <c r="BL235" s="658"/>
      <c r="BM235" s="658"/>
      <c r="BN235" s="658"/>
      <c r="BO235" s="658"/>
      <c r="BP235" s="658"/>
    </row>
    <row r="236" spans="1:69" ht="12.75" customHeight="1">
      <c r="A236" s="1277"/>
      <c r="B236" s="7682" t="s">
        <v>2421</v>
      </c>
      <c r="C236" s="7850"/>
      <c r="D236" s="7850"/>
      <c r="E236" s="7850"/>
      <c r="F236" s="7850"/>
      <c r="G236" s="7850"/>
      <c r="H236" s="7850"/>
      <c r="I236" s="7850"/>
      <c r="J236" s="7850"/>
      <c r="K236" s="7850"/>
      <c r="L236" s="7850"/>
      <c r="M236" s="7850"/>
      <c r="N236" s="8492"/>
      <c r="O236" s="7681" t="s">
        <v>2422</v>
      </c>
      <c r="P236" s="8454"/>
      <c r="Q236" s="8454"/>
      <c r="R236" s="8454"/>
      <c r="S236" s="8454"/>
      <c r="T236" s="8454"/>
      <c r="U236" s="8454"/>
      <c r="V236" s="8454"/>
      <c r="W236" s="8454"/>
      <c r="X236" s="8454"/>
      <c r="Y236" s="8495" t="s">
        <v>2423</v>
      </c>
      <c r="Z236" s="7850"/>
      <c r="AA236" s="7850"/>
      <c r="AB236" s="7850"/>
      <c r="AC236" s="7850"/>
      <c r="AD236" s="7850"/>
      <c r="AE236" s="7850"/>
      <c r="AF236" s="7850"/>
      <c r="AG236" s="8492"/>
      <c r="AH236" s="7681" t="s">
        <v>2424</v>
      </c>
      <c r="AI236" s="8454"/>
      <c r="AJ236" s="8454"/>
      <c r="AK236" s="8454"/>
      <c r="AL236" s="8454"/>
      <c r="AM236" s="8454"/>
      <c r="AN236" s="8454"/>
      <c r="AO236" s="8454"/>
      <c r="AP236" s="1277"/>
      <c r="BG236" s="769"/>
      <c r="BH236" s="658"/>
      <c r="BI236" s="658"/>
      <c r="BJ236" s="658"/>
      <c r="BK236" s="658"/>
      <c r="BL236" s="658"/>
      <c r="BM236" s="658"/>
      <c r="BN236" s="658"/>
      <c r="BO236" s="658"/>
      <c r="BP236" s="658"/>
    </row>
    <row r="237" spans="1:69" ht="12.75" customHeight="1">
      <c r="A237" s="1277"/>
      <c r="B237" s="7589"/>
      <c r="C237" s="7589"/>
      <c r="D237" s="7589"/>
      <c r="E237" s="7589"/>
      <c r="F237" s="7589"/>
      <c r="G237" s="7589"/>
      <c r="H237" s="7589"/>
      <c r="I237" s="7589"/>
      <c r="J237" s="7589"/>
      <c r="K237" s="7589"/>
      <c r="L237" s="7589"/>
      <c r="M237" s="7589"/>
      <c r="N237" s="8493"/>
      <c r="O237" s="8455"/>
      <c r="P237" s="8456"/>
      <c r="Q237" s="8456"/>
      <c r="R237" s="8456"/>
      <c r="S237" s="8456"/>
      <c r="T237" s="8456"/>
      <c r="U237" s="8456"/>
      <c r="V237" s="8456"/>
      <c r="W237" s="8456"/>
      <c r="X237" s="8456"/>
      <c r="Y237" s="7851"/>
      <c r="Z237" s="7589"/>
      <c r="AA237" s="7589"/>
      <c r="AB237" s="7589"/>
      <c r="AC237" s="7589"/>
      <c r="AD237" s="7589"/>
      <c r="AE237" s="7589"/>
      <c r="AF237" s="7589"/>
      <c r="AG237" s="8493"/>
      <c r="AH237" s="8455"/>
      <c r="AI237" s="8456"/>
      <c r="AJ237" s="8456"/>
      <c r="AK237" s="8456"/>
      <c r="AL237" s="8456"/>
      <c r="AM237" s="8456"/>
      <c r="AN237" s="8456"/>
      <c r="AO237" s="8456"/>
      <c r="AP237" s="1277"/>
      <c r="BG237" s="769"/>
      <c r="BH237" s="658"/>
      <c r="BI237" s="658"/>
      <c r="BJ237" s="658"/>
      <c r="BK237" s="658"/>
      <c r="BL237" s="658"/>
      <c r="BM237" s="658"/>
      <c r="BN237" s="658"/>
      <c r="BO237" s="658"/>
      <c r="BP237" s="658"/>
    </row>
    <row r="238" spans="1:69" ht="12.75" customHeight="1">
      <c r="A238" s="1277"/>
      <c r="B238" s="7587"/>
      <c r="C238" s="7587"/>
      <c r="D238" s="7587"/>
      <c r="E238" s="7587"/>
      <c r="F238" s="7587"/>
      <c r="G238" s="7587"/>
      <c r="H238" s="7587"/>
      <c r="I238" s="7587"/>
      <c r="J238" s="7587"/>
      <c r="K238" s="7587"/>
      <c r="L238" s="7587"/>
      <c r="M238" s="7587"/>
      <c r="N238" s="8494"/>
      <c r="O238" s="8457"/>
      <c r="P238" s="8458"/>
      <c r="Q238" s="8458"/>
      <c r="R238" s="8458"/>
      <c r="S238" s="8458"/>
      <c r="T238" s="8458"/>
      <c r="U238" s="8458"/>
      <c r="V238" s="8458"/>
      <c r="W238" s="8458"/>
      <c r="X238" s="8458"/>
      <c r="Y238" s="8496"/>
      <c r="Z238" s="7587"/>
      <c r="AA238" s="7587"/>
      <c r="AB238" s="7587"/>
      <c r="AC238" s="7587"/>
      <c r="AD238" s="7587"/>
      <c r="AE238" s="7587"/>
      <c r="AF238" s="7587"/>
      <c r="AG238" s="8494"/>
      <c r="AH238" s="8457"/>
      <c r="AI238" s="8458"/>
      <c r="AJ238" s="8458"/>
      <c r="AK238" s="8458"/>
      <c r="AL238" s="8458"/>
      <c r="AM238" s="8458"/>
      <c r="AN238" s="8458"/>
      <c r="AO238" s="8458"/>
      <c r="AP238" s="1277"/>
      <c r="BG238" s="769"/>
      <c r="BH238" s="658"/>
      <c r="BI238" s="658"/>
      <c r="BJ238" s="658"/>
      <c r="BK238" s="658"/>
      <c r="BL238" s="658"/>
      <c r="BM238" s="658"/>
      <c r="BN238" s="658"/>
      <c r="BO238" s="658"/>
      <c r="BP238" s="658"/>
    </row>
    <row r="239" spans="1:69" ht="13.5" customHeight="1">
      <c r="A239" s="1277"/>
      <c r="B239" s="4656" t="s">
        <v>510</v>
      </c>
      <c r="C239" s="8451"/>
      <c r="D239" s="8452"/>
      <c r="E239" s="8452"/>
      <c r="F239" s="8452"/>
      <c r="G239" s="8452"/>
      <c r="H239" s="8452"/>
      <c r="I239" s="8452"/>
      <c r="J239" s="8452"/>
      <c r="K239" s="8452"/>
      <c r="L239" s="8452"/>
      <c r="M239" s="8452"/>
      <c r="N239" s="8453"/>
      <c r="O239" s="8484"/>
      <c r="P239" s="8485"/>
      <c r="Q239" s="8485"/>
      <c r="R239" s="8485"/>
      <c r="S239" s="8485"/>
      <c r="T239" s="8485"/>
      <c r="U239" s="8485"/>
      <c r="V239" s="8485"/>
      <c r="W239" s="8485"/>
      <c r="X239" s="8486"/>
      <c r="Y239" s="8487"/>
      <c r="Z239" s="8488"/>
      <c r="AA239" s="8488"/>
      <c r="AB239" s="8488"/>
      <c r="AC239" s="8488"/>
      <c r="AD239" s="8488"/>
      <c r="AE239" s="8488"/>
      <c r="AF239" s="8488"/>
      <c r="AG239" s="8488"/>
      <c r="AH239" s="8488"/>
      <c r="AI239" s="8488"/>
      <c r="AJ239" s="8488"/>
      <c r="AK239" s="8488"/>
      <c r="AL239" s="8488"/>
      <c r="AM239" s="8488"/>
      <c r="AN239" s="8488"/>
      <c r="AO239" s="8484"/>
      <c r="AP239" s="1277"/>
      <c r="BG239" s="769"/>
      <c r="BH239" s="658"/>
      <c r="BI239" s="658"/>
      <c r="BJ239" s="658"/>
      <c r="BK239" s="658"/>
      <c r="BL239" s="658"/>
      <c r="BM239" s="658"/>
      <c r="BN239" s="658"/>
      <c r="BO239" s="658"/>
      <c r="BP239" s="658"/>
    </row>
    <row r="240" spans="1:69" ht="13.5" customHeight="1">
      <c r="A240" s="1277"/>
      <c r="B240" s="4656" t="s">
        <v>516</v>
      </c>
      <c r="C240" s="8451"/>
      <c r="D240" s="8452"/>
      <c r="E240" s="8452"/>
      <c r="F240" s="8452"/>
      <c r="G240" s="8452"/>
      <c r="H240" s="8452"/>
      <c r="I240" s="8452"/>
      <c r="J240" s="8452"/>
      <c r="K240" s="8452"/>
      <c r="L240" s="8452"/>
      <c r="M240" s="8452"/>
      <c r="N240" s="8453"/>
      <c r="O240" s="8484"/>
      <c r="P240" s="8485"/>
      <c r="Q240" s="8485"/>
      <c r="R240" s="8485"/>
      <c r="S240" s="8485"/>
      <c r="T240" s="8485"/>
      <c r="U240" s="8485"/>
      <c r="V240" s="8485"/>
      <c r="W240" s="8485"/>
      <c r="X240" s="8486"/>
      <c r="Y240" s="8487"/>
      <c r="Z240" s="8488"/>
      <c r="AA240" s="8488"/>
      <c r="AB240" s="8488"/>
      <c r="AC240" s="8488"/>
      <c r="AD240" s="8488"/>
      <c r="AE240" s="8488"/>
      <c r="AF240" s="8488"/>
      <c r="AG240" s="8488"/>
      <c r="AH240" s="8488"/>
      <c r="AI240" s="8488"/>
      <c r="AJ240" s="8488"/>
      <c r="AK240" s="8488"/>
      <c r="AL240" s="8488"/>
      <c r="AM240" s="8488"/>
      <c r="AN240" s="8488"/>
      <c r="AO240" s="8484"/>
      <c r="AP240" s="1277"/>
      <c r="BG240" s="769"/>
      <c r="BH240" s="658"/>
      <c r="BI240" s="658"/>
      <c r="BJ240" s="658"/>
      <c r="BK240" s="658"/>
      <c r="BL240" s="658"/>
      <c r="BM240" s="658"/>
      <c r="BN240" s="658"/>
      <c r="BO240" s="658"/>
      <c r="BP240" s="658"/>
    </row>
    <row r="241" spans="1:69" ht="13.5" customHeight="1">
      <c r="A241" s="1277"/>
      <c r="B241" s="8409" t="s">
        <v>2425</v>
      </c>
      <c r="C241" s="8409"/>
      <c r="D241" s="511"/>
      <c r="E241" s="1469" t="s">
        <v>2415</v>
      </c>
      <c r="F241" s="4825"/>
      <c r="G241" s="3835"/>
      <c r="H241" s="3835"/>
      <c r="I241" s="3835"/>
      <c r="J241" s="3835"/>
      <c r="K241" s="3835"/>
      <c r="L241" s="3835"/>
      <c r="M241" s="3835"/>
      <c r="N241" s="4826"/>
      <c r="O241" s="8384">
        <f>ROUND(SUM(O239:O240),0)</f>
        <v>0</v>
      </c>
      <c r="P241" s="8385"/>
      <c r="Q241" s="8385"/>
      <c r="R241" s="8385"/>
      <c r="S241" s="8385"/>
      <c r="T241" s="8385"/>
      <c r="U241" s="8385"/>
      <c r="V241" s="8385"/>
      <c r="W241" s="8385"/>
      <c r="X241" s="8386"/>
      <c r="Y241" s="4831"/>
      <c r="Z241" s="3835"/>
      <c r="AA241" s="3835"/>
      <c r="AB241" s="3835"/>
      <c r="AC241" s="3835"/>
      <c r="AD241" s="3835"/>
      <c r="AE241" s="3835"/>
      <c r="AF241" s="3835"/>
      <c r="AG241" s="4826"/>
      <c r="AH241" s="8381">
        <f>ROUND(SUM(AH239:AH240),0)</f>
        <v>0</v>
      </c>
      <c r="AI241" s="8399"/>
      <c r="AJ241" s="8399"/>
      <c r="AK241" s="8399"/>
      <c r="AL241" s="8399"/>
      <c r="AM241" s="8399"/>
      <c r="AN241" s="8399"/>
      <c r="AO241" s="8399"/>
      <c r="AP241" s="1277"/>
      <c r="BG241" s="769"/>
      <c r="BH241" s="658"/>
      <c r="BI241" s="658"/>
      <c r="BJ241" s="658"/>
      <c r="BK241" s="658"/>
      <c r="BL241" s="658"/>
      <c r="BM241" s="658"/>
      <c r="BN241" s="658"/>
      <c r="BO241" s="658"/>
      <c r="BP241" s="658"/>
    </row>
    <row r="242" spans="1:69" ht="13.5" customHeight="1">
      <c r="A242" s="1277"/>
      <c r="B242" s="7858" t="s">
        <v>592</v>
      </c>
      <c r="C242" s="7858"/>
      <c r="D242" s="511"/>
      <c r="E242" s="1469" t="s">
        <v>2415</v>
      </c>
      <c r="F242" s="8381">
        <f>ROUND(SUM(C239:C240),0)</f>
        <v>0</v>
      </c>
      <c r="G242" s="8382"/>
      <c r="H242" s="8382"/>
      <c r="I242" s="8382"/>
      <c r="J242" s="8382"/>
      <c r="K242" s="8382"/>
      <c r="L242" s="8382"/>
      <c r="M242" s="8382"/>
      <c r="N242" s="8383"/>
      <c r="O242" s="4832"/>
      <c r="P242" s="4833"/>
      <c r="Q242" s="4833"/>
      <c r="R242" s="4833"/>
      <c r="S242" s="4833"/>
      <c r="T242" s="4833"/>
      <c r="U242" s="4833"/>
      <c r="V242" s="4833"/>
      <c r="W242" s="4833"/>
      <c r="X242" s="4834"/>
      <c r="Y242" s="8381">
        <f>ROUND(SUM(Y239:Y240),0)</f>
        <v>0</v>
      </c>
      <c r="Z242" s="8382"/>
      <c r="AA242" s="8382"/>
      <c r="AB242" s="8382"/>
      <c r="AC242" s="8382"/>
      <c r="AD242" s="8382"/>
      <c r="AE242" s="8382"/>
      <c r="AF242" s="8382"/>
      <c r="AG242" s="8383"/>
      <c r="AH242" s="4825"/>
      <c r="AI242" s="3835"/>
      <c r="AJ242" s="3835"/>
      <c r="AK242" s="3835"/>
      <c r="AL242" s="3835"/>
      <c r="AM242" s="3835"/>
      <c r="AN242" s="3835"/>
      <c r="AO242" s="3835"/>
      <c r="AP242" s="1277"/>
      <c r="BG242" s="769"/>
      <c r="BH242" s="658"/>
      <c r="BI242" s="658"/>
      <c r="BJ242" s="658"/>
      <c r="BK242" s="658"/>
      <c r="BL242" s="658"/>
      <c r="BM242" s="658"/>
      <c r="BN242" s="658"/>
      <c r="BO242" s="658"/>
      <c r="BP242" s="658"/>
    </row>
    <row r="243" spans="1:69" ht="13.5" customHeight="1">
      <c r="A243" s="1277"/>
      <c r="B243" s="7608">
        <v>35</v>
      </c>
      <c r="C243" s="7608"/>
      <c r="D243" s="511" t="s">
        <v>2426</v>
      </c>
      <c r="E243" s="253"/>
      <c r="F243" s="253"/>
      <c r="G243" s="253"/>
      <c r="H243" s="253"/>
      <c r="I243" s="253"/>
      <c r="J243" s="253"/>
      <c r="K243" s="253"/>
      <c r="L243" s="253"/>
      <c r="M243" s="253"/>
      <c r="N243" s="253"/>
      <c r="O243" s="253"/>
      <c r="P243" s="253"/>
      <c r="Q243" s="253"/>
      <c r="R243" s="253"/>
      <c r="S243" s="253"/>
      <c r="T243" s="253"/>
      <c r="U243" s="253"/>
      <c r="V243" s="253"/>
      <c r="W243" s="253"/>
      <c r="X243" s="253"/>
      <c r="Y243" s="253"/>
      <c r="Z243" s="253"/>
      <c r="AA243" s="253"/>
      <c r="AB243" s="253"/>
      <c r="AC243" s="253"/>
      <c r="AD243" s="253"/>
      <c r="AE243" s="253"/>
      <c r="AF243" s="253"/>
      <c r="AG243" s="2198" t="s">
        <v>677</v>
      </c>
      <c r="AH243" s="8468">
        <v>35</v>
      </c>
      <c r="AI243" s="8469"/>
      <c r="AJ243" s="8429">
        <f>SUM(O241,AH241)</f>
        <v>0</v>
      </c>
      <c r="AK243" s="8430"/>
      <c r="AL243" s="8430"/>
      <c r="AM243" s="8430"/>
      <c r="AN243" s="8430"/>
      <c r="AO243" s="8430"/>
      <c r="AP243" s="1277"/>
      <c r="BG243" s="769"/>
      <c r="BH243" s="658"/>
      <c r="BI243" s="658"/>
      <c r="BJ243" s="658"/>
      <c r="BK243" s="658"/>
      <c r="BL243" s="658"/>
      <c r="BM243" s="658"/>
      <c r="BN243" s="658"/>
      <c r="BO243" s="658"/>
      <c r="BP243" s="658"/>
    </row>
    <row r="244" spans="1:69" ht="13.5" customHeight="1">
      <c r="A244" s="1277"/>
      <c r="B244" s="7608">
        <v>36</v>
      </c>
      <c r="C244" s="7608"/>
      <c r="D244" s="511" t="s">
        <v>2427</v>
      </c>
      <c r="E244" s="253"/>
      <c r="F244" s="253"/>
      <c r="G244" s="253"/>
      <c r="H244" s="253"/>
      <c r="I244" s="253"/>
      <c r="J244" s="253"/>
      <c r="K244" s="253"/>
      <c r="L244" s="253"/>
      <c r="M244" s="253"/>
      <c r="N244" s="253"/>
      <c r="O244" s="253"/>
      <c r="P244" s="253"/>
      <c r="Q244" s="253"/>
      <c r="R244" s="253"/>
      <c r="S244" s="253"/>
      <c r="T244" s="253"/>
      <c r="U244" s="253"/>
      <c r="V244" s="253"/>
      <c r="W244" s="253"/>
      <c r="X244" s="253"/>
      <c r="Y244" s="253"/>
      <c r="Z244" s="253"/>
      <c r="AA244" s="253"/>
      <c r="AB244" s="253"/>
      <c r="AC244" s="253"/>
      <c r="AD244" s="253"/>
      <c r="AE244" s="253"/>
      <c r="AF244" s="253"/>
      <c r="AG244" s="2198" t="s">
        <v>677</v>
      </c>
      <c r="AH244" s="8468">
        <v>36</v>
      </c>
      <c r="AI244" s="8469"/>
      <c r="AJ244" s="4646" t="s">
        <v>799</v>
      </c>
      <c r="AK244" s="7282">
        <f>SUM(F242,Y242)</f>
        <v>0</v>
      </c>
      <c r="AL244" s="8398"/>
      <c r="AM244" s="8398"/>
      <c r="AN244" s="8398"/>
      <c r="AO244" s="4835" t="s">
        <v>800</v>
      </c>
      <c r="AP244" s="1277"/>
      <c r="BG244" s="769"/>
      <c r="BH244" s="658"/>
      <c r="BI244" s="658"/>
      <c r="BJ244" s="658"/>
      <c r="BK244" s="658"/>
      <c r="BL244" s="658"/>
      <c r="BM244" s="658"/>
      <c r="BN244" s="658"/>
      <c r="BO244" s="658"/>
      <c r="BP244" s="658"/>
    </row>
    <row r="245" spans="1:69" ht="13.5" customHeight="1">
      <c r="A245" s="1277"/>
      <c r="B245" s="8380">
        <v>37</v>
      </c>
      <c r="C245" s="8380"/>
      <c r="D245" s="1996" t="s">
        <v>2428</v>
      </c>
      <c r="E245" s="413"/>
      <c r="F245" s="413"/>
      <c r="G245" s="413"/>
      <c r="H245" s="413"/>
      <c r="I245" s="413"/>
      <c r="J245" s="413"/>
      <c r="K245" s="413"/>
      <c r="L245" s="413"/>
      <c r="M245" s="413"/>
      <c r="N245" s="413"/>
      <c r="O245" s="413"/>
      <c r="P245" s="413"/>
      <c r="Q245" s="413"/>
      <c r="R245" s="413"/>
      <c r="S245" s="413"/>
      <c r="T245" s="413"/>
      <c r="U245" s="413"/>
      <c r="V245" s="413"/>
      <c r="W245" s="413"/>
      <c r="X245" s="413"/>
      <c r="Y245" s="413"/>
      <c r="Z245" s="413"/>
      <c r="AA245" s="413"/>
      <c r="AB245" s="413"/>
      <c r="AC245" s="413"/>
      <c r="AD245" s="413"/>
      <c r="AE245" s="413"/>
      <c r="AF245" s="413"/>
      <c r="AG245" s="974" t="s">
        <v>676</v>
      </c>
      <c r="AH245" s="8468">
        <v>37</v>
      </c>
      <c r="AI245" s="8469"/>
      <c r="AJ245" s="8429">
        <f>SUM(AJ243,-AK244)</f>
        <v>0</v>
      </c>
      <c r="AK245" s="8430"/>
      <c r="AL245" s="8430"/>
      <c r="AM245" s="8430"/>
      <c r="AN245" s="8430"/>
      <c r="AO245" s="8430"/>
      <c r="AP245" s="1277"/>
      <c r="BG245" s="769"/>
      <c r="BH245" s="658"/>
      <c r="BI245" s="658"/>
      <c r="BJ245" s="658"/>
      <c r="BK245" s="658"/>
      <c r="BL245" s="658"/>
      <c r="BM245" s="658"/>
      <c r="BN245" s="658"/>
      <c r="BO245" s="658"/>
      <c r="BP245" s="658"/>
    </row>
    <row r="246" spans="1:69" s="1405" customFormat="1" ht="17.25" customHeight="1">
      <c r="A246" s="2119"/>
      <c r="B246" s="8427" t="s">
        <v>2102</v>
      </c>
      <c r="C246" s="8427"/>
      <c r="D246" s="8428"/>
      <c r="E246" s="2120"/>
      <c r="F246" s="4189" t="s">
        <v>2429</v>
      </c>
      <c r="G246" s="2120"/>
      <c r="H246" s="2120"/>
      <c r="I246" s="2120"/>
      <c r="J246" s="2120"/>
      <c r="K246" s="2120"/>
      <c r="L246" s="2120"/>
      <c r="M246" s="2120"/>
      <c r="N246" s="2120"/>
      <c r="O246" s="2120"/>
      <c r="P246" s="2120"/>
      <c r="Q246" s="2120"/>
      <c r="R246" s="2120"/>
      <c r="S246" s="2120"/>
      <c r="T246" s="2120"/>
      <c r="U246" s="2120"/>
      <c r="V246" s="2120"/>
      <c r="W246" s="2120"/>
      <c r="X246" s="3901"/>
      <c r="Y246" s="2120"/>
      <c r="Z246" s="2120"/>
      <c r="AA246" s="2120"/>
      <c r="AB246" s="2120"/>
      <c r="AC246" s="2120"/>
      <c r="AD246" s="2120"/>
      <c r="AE246" s="2120"/>
      <c r="AF246" s="2120"/>
      <c r="AG246" s="1998"/>
      <c r="AH246" s="2120"/>
      <c r="AI246" s="2120"/>
      <c r="AJ246" s="2120"/>
      <c r="AK246" s="2120"/>
      <c r="AL246" s="2120"/>
      <c r="AM246" s="2120"/>
      <c r="AN246" s="2120"/>
      <c r="AO246" s="2120"/>
      <c r="AP246" s="1277"/>
      <c r="AX246"/>
      <c r="AY246"/>
      <c r="AZ246"/>
      <c r="BA246"/>
      <c r="BB246"/>
      <c r="BC246"/>
      <c r="BD246"/>
      <c r="BG246" s="769"/>
      <c r="BH246" s="658"/>
      <c r="BI246" s="658"/>
      <c r="BJ246" s="658"/>
      <c r="BK246" s="658"/>
      <c r="BL246" s="658"/>
      <c r="BM246" s="658"/>
      <c r="BN246" s="658"/>
      <c r="BO246" s="658"/>
      <c r="BP246" s="658"/>
      <c r="BQ246" s="815"/>
    </row>
    <row r="247" spans="1:69" ht="12.75" customHeight="1">
      <c r="A247" s="1277"/>
      <c r="B247" s="406"/>
      <c r="C247" s="4649"/>
      <c r="D247" s="8391" t="s">
        <v>2430</v>
      </c>
      <c r="E247" s="8392"/>
      <c r="F247" s="8392"/>
      <c r="G247" s="8392"/>
      <c r="H247" s="8392"/>
      <c r="I247" s="8392"/>
      <c r="J247" s="8393"/>
      <c r="K247" s="8470" t="s">
        <v>2431</v>
      </c>
      <c r="L247" s="8471"/>
      <c r="M247" s="8471"/>
      <c r="N247" s="8471"/>
      <c r="O247" s="8471"/>
      <c r="P247" s="8471"/>
      <c r="Q247" s="8471"/>
      <c r="R247" s="8471"/>
      <c r="S247" s="8610" t="s">
        <v>2432</v>
      </c>
      <c r="T247" s="8611"/>
      <c r="U247" s="8611"/>
      <c r="V247" s="8611"/>
      <c r="W247" s="8611"/>
      <c r="X247" s="8611"/>
      <c r="Y247" s="8611"/>
      <c r="Z247" s="8417" t="s">
        <v>2433</v>
      </c>
      <c r="AA247" s="8418"/>
      <c r="AB247" s="8418"/>
      <c r="AC247" s="8418"/>
      <c r="AD247" s="8418"/>
      <c r="AE247" s="8418"/>
      <c r="AF247" s="8418"/>
      <c r="AG247" s="8507"/>
      <c r="AH247" s="8417" t="s">
        <v>2434</v>
      </c>
      <c r="AI247" s="8418"/>
      <c r="AJ247" s="8418"/>
      <c r="AK247" s="8418"/>
      <c r="AL247" s="8418"/>
      <c r="AM247" s="8418"/>
      <c r="AN247" s="8418"/>
      <c r="AO247" s="8418"/>
      <c r="AP247" s="1277"/>
      <c r="BG247" s="769"/>
      <c r="BH247" s="658"/>
      <c r="BI247" s="658"/>
      <c r="BJ247" s="658"/>
      <c r="BK247" s="658"/>
      <c r="BL247" s="658"/>
      <c r="BM247" s="658"/>
      <c r="BN247" s="658"/>
      <c r="BO247" s="658"/>
      <c r="BP247" s="658"/>
    </row>
    <row r="248" spans="1:69" ht="12.75" customHeight="1">
      <c r="A248" s="1277"/>
      <c r="B248" s="8433">
        <v>38</v>
      </c>
      <c r="C248" s="7091"/>
      <c r="D248" s="8394"/>
      <c r="E248" s="8394"/>
      <c r="F248" s="8394"/>
      <c r="G248" s="8394"/>
      <c r="H248" s="8394"/>
      <c r="I248" s="8394"/>
      <c r="J248" s="8395"/>
      <c r="K248" s="8472"/>
      <c r="L248" s="8472"/>
      <c r="M248" s="8472"/>
      <c r="N248" s="8472"/>
      <c r="O248" s="8472"/>
      <c r="P248" s="8472"/>
      <c r="Q248" s="8472"/>
      <c r="R248" s="8472"/>
      <c r="S248" s="8612"/>
      <c r="T248" s="8612"/>
      <c r="U248" s="8612"/>
      <c r="V248" s="8612"/>
      <c r="W248" s="8612"/>
      <c r="X248" s="8612"/>
      <c r="Y248" s="8612"/>
      <c r="Z248" s="8419"/>
      <c r="AA248" s="8420"/>
      <c r="AB248" s="8420"/>
      <c r="AC248" s="8420"/>
      <c r="AD248" s="8420"/>
      <c r="AE248" s="8420"/>
      <c r="AF248" s="8420"/>
      <c r="AG248" s="8508"/>
      <c r="AH248" s="8419"/>
      <c r="AI248" s="8420"/>
      <c r="AJ248" s="8420"/>
      <c r="AK248" s="8420"/>
      <c r="AL248" s="8420"/>
      <c r="AM248" s="8420"/>
      <c r="AN248" s="8420"/>
      <c r="AO248" s="8420"/>
      <c r="AP248" s="1277"/>
      <c r="AX248" s="1405"/>
      <c r="AY248" s="1405"/>
      <c r="AZ248" s="1405"/>
      <c r="BA248" s="1405"/>
      <c r="BB248" s="1405"/>
      <c r="BC248" s="1405"/>
      <c r="BD248" s="1405"/>
      <c r="BG248" s="769"/>
      <c r="BH248" s="658"/>
      <c r="BI248" s="658"/>
      <c r="BJ248" s="658"/>
      <c r="BK248" s="658"/>
      <c r="BL248" s="658"/>
      <c r="BM248" s="658"/>
      <c r="BN248" s="658"/>
      <c r="BO248" s="658"/>
      <c r="BP248" s="658"/>
    </row>
    <row r="249" spans="1:69" ht="12.75" customHeight="1">
      <c r="A249" s="1277"/>
      <c r="B249" s="413"/>
      <c r="C249" s="4650"/>
      <c r="D249" s="8396"/>
      <c r="E249" s="8396"/>
      <c r="F249" s="8396"/>
      <c r="G249" s="8396"/>
      <c r="H249" s="8396"/>
      <c r="I249" s="8396"/>
      <c r="J249" s="8397"/>
      <c r="K249" s="8473"/>
      <c r="L249" s="8473"/>
      <c r="M249" s="8473"/>
      <c r="N249" s="8473"/>
      <c r="O249" s="8473"/>
      <c r="P249" s="8473"/>
      <c r="Q249" s="8473"/>
      <c r="R249" s="8473"/>
      <c r="S249" s="8613"/>
      <c r="T249" s="8613"/>
      <c r="U249" s="8613"/>
      <c r="V249" s="8613"/>
      <c r="W249" s="8613"/>
      <c r="X249" s="8613"/>
      <c r="Y249" s="8613"/>
      <c r="Z249" s="8421"/>
      <c r="AA249" s="8422"/>
      <c r="AB249" s="8422"/>
      <c r="AC249" s="8422"/>
      <c r="AD249" s="8422"/>
      <c r="AE249" s="8422"/>
      <c r="AF249" s="8422"/>
      <c r="AG249" s="8509"/>
      <c r="AH249" s="8421"/>
      <c r="AI249" s="8422"/>
      <c r="AJ249" s="8422"/>
      <c r="AK249" s="8422"/>
      <c r="AL249" s="8422"/>
      <c r="AM249" s="8422"/>
      <c r="AN249" s="8422"/>
      <c r="AO249" s="8422"/>
      <c r="AP249" s="1277"/>
      <c r="AQ249" s="2875"/>
      <c r="AR249" s="2875"/>
      <c r="AS249" s="2875"/>
      <c r="BG249" s="769"/>
      <c r="BH249" s="658"/>
      <c r="BI249" s="658"/>
      <c r="BJ249" s="658"/>
      <c r="BK249" s="658"/>
      <c r="BL249" s="658"/>
      <c r="BM249" s="658"/>
      <c r="BN249" s="658"/>
      <c r="BO249" s="658"/>
      <c r="BP249" s="658"/>
    </row>
    <row r="250" spans="1:69" ht="12.75" customHeight="1">
      <c r="A250" s="1277"/>
      <c r="B250" s="8466"/>
      <c r="C250" s="7328"/>
      <c r="D250" s="7328"/>
      <c r="E250" s="7328"/>
      <c r="F250" s="7328"/>
      <c r="G250" s="7328"/>
      <c r="H250" s="7328"/>
      <c r="I250" s="7328"/>
      <c r="J250" s="8467"/>
      <c r="K250" s="8405"/>
      <c r="L250" s="8406"/>
      <c r="M250" s="8406"/>
      <c r="N250" s="8406"/>
      <c r="O250" s="8406"/>
      <c r="P250" s="8406"/>
      <c r="Q250" s="8406"/>
      <c r="R250" s="8407"/>
      <c r="S250" s="8408"/>
      <c r="T250" s="8408"/>
      <c r="U250" s="8408"/>
      <c r="V250" s="8408"/>
      <c r="W250" s="8408"/>
      <c r="X250" s="8408"/>
      <c r="Y250" s="8408"/>
      <c r="Z250" s="8431"/>
      <c r="AA250" s="8432"/>
      <c r="AB250" s="8432"/>
      <c r="AC250" s="8432"/>
      <c r="AD250" s="8432"/>
      <c r="AE250" s="8432"/>
      <c r="AF250" s="8432"/>
      <c r="AG250" s="8465"/>
      <c r="AH250" s="8431"/>
      <c r="AI250" s="8432"/>
      <c r="AJ250" s="8432"/>
      <c r="AK250" s="8432"/>
      <c r="AL250" s="8432"/>
      <c r="AM250" s="8432"/>
      <c r="AN250" s="8432"/>
      <c r="AO250" s="8432"/>
      <c r="AP250" s="1277"/>
      <c r="AQ250" s="2875"/>
      <c r="AR250" s="185" t="s">
        <v>771</v>
      </c>
      <c r="AS250" s="2875"/>
      <c r="BG250" s="769"/>
      <c r="BH250" s="658"/>
      <c r="BI250" s="658"/>
      <c r="BJ250" s="658"/>
      <c r="BK250" s="658"/>
      <c r="BL250" s="658"/>
      <c r="BM250" s="658"/>
      <c r="BN250" s="658"/>
      <c r="BO250" s="658"/>
      <c r="BP250" s="658"/>
    </row>
    <row r="251" spans="1:69" ht="15.75">
      <c r="A251" s="1277"/>
      <c r="B251" s="8380">
        <v>39</v>
      </c>
      <c r="C251" s="8380"/>
      <c r="D251" s="1996" t="s">
        <v>2435</v>
      </c>
      <c r="E251" s="413"/>
      <c r="F251" s="413"/>
      <c r="G251" s="413"/>
      <c r="H251" s="413"/>
      <c r="I251" s="413"/>
      <c r="J251" s="413"/>
      <c r="K251" s="413"/>
      <c r="L251" s="413"/>
      <c r="M251" s="413"/>
      <c r="N251" s="413"/>
      <c r="O251" s="413"/>
      <c r="P251" s="413"/>
      <c r="Q251" s="413"/>
      <c r="R251" s="413"/>
      <c r="S251" s="413"/>
      <c r="T251" s="413"/>
      <c r="U251" s="413"/>
      <c r="V251" s="413"/>
      <c r="W251" s="413"/>
      <c r="X251" s="413"/>
      <c r="Y251" s="413"/>
      <c r="Z251" s="413"/>
      <c r="AA251" s="413"/>
      <c r="AB251" s="413"/>
      <c r="AC251" s="413"/>
      <c r="AD251" s="413"/>
      <c r="AE251" s="413"/>
      <c r="AF251" s="413"/>
      <c r="AG251" s="414"/>
      <c r="AH251" s="8468">
        <v>39</v>
      </c>
      <c r="AI251" s="8469"/>
      <c r="AJ251" s="8381">
        <f>IF(AR251&lt;&gt;"",ROUND(AR251,0),ROUND(SUM(Z250,AH250),0))</f>
        <v>0</v>
      </c>
      <c r="AK251" s="8399"/>
      <c r="AL251" s="8399"/>
      <c r="AM251" s="8399"/>
      <c r="AN251" s="8399"/>
      <c r="AO251" s="8399"/>
      <c r="AP251" s="1277"/>
      <c r="AQ251" s="2875"/>
      <c r="AR251" s="776"/>
      <c r="AS251" s="2875"/>
      <c r="BG251" s="769"/>
      <c r="BH251" s="658"/>
      <c r="BI251" s="658"/>
      <c r="BJ251" s="658"/>
      <c r="BK251" s="658"/>
      <c r="BL251" s="658"/>
      <c r="BM251" s="658"/>
      <c r="BN251" s="658"/>
      <c r="BO251" s="658"/>
      <c r="BP251" s="658"/>
    </row>
    <row r="252" spans="1:69" s="1405" customFormat="1" ht="17.25" customHeight="1">
      <c r="A252" s="2119"/>
      <c r="B252" s="8427" t="s">
        <v>2117</v>
      </c>
      <c r="C252" s="8427"/>
      <c r="D252" s="8428"/>
      <c r="E252" s="2120"/>
      <c r="F252" s="4836" t="s">
        <v>2436</v>
      </c>
      <c r="G252" s="2120"/>
      <c r="H252" s="2120"/>
      <c r="I252" s="2120"/>
      <c r="J252" s="2120"/>
      <c r="K252" s="2120"/>
      <c r="L252" s="2120"/>
      <c r="M252" s="2120"/>
      <c r="N252" s="2120"/>
      <c r="O252" s="2120"/>
      <c r="P252" s="2120"/>
      <c r="Q252" s="2120"/>
      <c r="R252" s="2120"/>
      <c r="S252" s="2120"/>
      <c r="T252" s="2120"/>
      <c r="U252" s="2120"/>
      <c r="V252" s="2120"/>
      <c r="W252" s="2120"/>
      <c r="X252" s="3901"/>
      <c r="Y252" s="2120"/>
      <c r="Z252" s="2120"/>
      <c r="AA252" s="2120"/>
      <c r="AB252" s="2120"/>
      <c r="AC252" s="2120"/>
      <c r="AD252" s="2120"/>
      <c r="AE252" s="2120"/>
      <c r="AF252" s="2120"/>
      <c r="AG252" s="2120"/>
      <c r="AH252" s="2120"/>
      <c r="AI252" s="2120"/>
      <c r="AJ252" s="2120"/>
      <c r="AK252" s="2120"/>
      <c r="AL252" s="2120"/>
      <c r="AM252" s="2120"/>
      <c r="AN252" s="2120"/>
      <c r="AO252" s="2120"/>
      <c r="AP252" s="1277"/>
      <c r="AQ252" s="2875"/>
      <c r="AR252" s="2875"/>
      <c r="AS252" s="2875"/>
      <c r="AX252"/>
      <c r="AY252"/>
      <c r="AZ252"/>
      <c r="BA252"/>
      <c r="BB252"/>
      <c r="BC252"/>
      <c r="BD252"/>
      <c r="BG252" s="769"/>
      <c r="BH252" s="658"/>
      <c r="BI252" s="658"/>
      <c r="BJ252" s="658"/>
      <c r="BK252" s="658"/>
      <c r="BL252" s="658"/>
      <c r="BM252" s="658"/>
      <c r="BN252" s="658"/>
      <c r="BO252" s="658"/>
      <c r="BP252" s="658"/>
      <c r="BQ252" s="815"/>
    </row>
    <row r="253" spans="1:69" ht="13.5" customHeight="1">
      <c r="A253" s="1277"/>
      <c r="B253" s="8409">
        <v>40</v>
      </c>
      <c r="C253" s="8409"/>
      <c r="D253" s="2354" t="s">
        <v>2437</v>
      </c>
      <c r="E253" s="406"/>
      <c r="F253" s="406"/>
      <c r="G253" s="406"/>
      <c r="H253" s="406"/>
      <c r="I253" s="406"/>
      <c r="J253" s="406"/>
      <c r="K253" s="406"/>
      <c r="L253" s="406"/>
      <c r="M253" s="406"/>
      <c r="N253" s="406"/>
      <c r="O253" s="406"/>
      <c r="P253" s="406"/>
      <c r="Q253" s="406"/>
      <c r="R253" s="406"/>
      <c r="S253" s="406"/>
      <c r="T253" s="406"/>
      <c r="U253" s="406"/>
      <c r="V253" s="406"/>
      <c r="W253" s="406"/>
      <c r="X253" s="406"/>
      <c r="Y253" s="406"/>
      <c r="Z253" s="406"/>
      <c r="AA253" s="406"/>
      <c r="AB253" s="406"/>
      <c r="AC253" s="406"/>
      <c r="AD253" s="406"/>
      <c r="AE253" s="406"/>
      <c r="AF253" s="406"/>
      <c r="AG253" s="2198" t="s">
        <v>601</v>
      </c>
      <c r="AH253" s="8468">
        <v>40</v>
      </c>
      <c r="AI253" s="8469"/>
      <c r="AJ253" s="8451"/>
      <c r="AK253" s="8452"/>
      <c r="AL253" s="8452"/>
      <c r="AM253" s="8452"/>
      <c r="AN253" s="8452"/>
      <c r="AO253" s="8452"/>
      <c r="AP253" s="1277"/>
      <c r="AQ253" s="2875"/>
      <c r="AR253" s="2875"/>
      <c r="AS253" s="2875"/>
      <c r="BG253" s="769"/>
      <c r="BH253" s="658"/>
      <c r="BI253" s="658"/>
      <c r="BJ253" s="658"/>
      <c r="BK253" s="658"/>
      <c r="BL253" s="658"/>
      <c r="BM253" s="658"/>
      <c r="BN253" s="658"/>
      <c r="BO253" s="658"/>
      <c r="BP253" s="658"/>
    </row>
    <row r="254" spans="1:69" ht="13.5" customHeight="1">
      <c r="A254" s="1277"/>
      <c r="B254" s="7608">
        <v>41</v>
      </c>
      <c r="C254" s="7608"/>
      <c r="D254" s="511" t="s">
        <v>2454</v>
      </c>
      <c r="E254" s="253"/>
      <c r="F254" s="253"/>
      <c r="G254" s="253"/>
      <c r="H254" s="253"/>
      <c r="I254" s="253"/>
      <c r="J254" s="253"/>
      <c r="K254" s="253"/>
      <c r="L254" s="253"/>
      <c r="M254" s="253"/>
      <c r="N254" s="253"/>
      <c r="O254" s="253"/>
      <c r="P254" s="253"/>
      <c r="Q254" s="253"/>
      <c r="R254" s="253"/>
      <c r="S254" s="253"/>
      <c r="T254" s="253"/>
      <c r="U254" s="253"/>
      <c r="V254" s="253"/>
      <c r="W254" s="253"/>
      <c r="X254" s="253"/>
      <c r="Y254" s="253"/>
      <c r="Z254" s="253"/>
      <c r="AA254" s="253"/>
      <c r="AB254" s="253"/>
      <c r="AC254" s="253"/>
      <c r="AD254" s="253"/>
      <c r="AE254" s="253"/>
      <c r="AF254" s="253"/>
      <c r="AG254" s="409"/>
      <c r="AH254" s="4848"/>
      <c r="AI254" s="4655"/>
      <c r="AJ254" s="4849"/>
      <c r="AK254" s="2904"/>
      <c r="AL254" s="2904"/>
      <c r="AM254" s="2904"/>
      <c r="AN254" s="2904"/>
      <c r="AO254" s="2904"/>
      <c r="AP254" s="1277"/>
      <c r="AQ254" s="2875"/>
      <c r="AR254" s="2875"/>
      <c r="AS254" s="2875"/>
      <c r="AX254" s="1405"/>
      <c r="AY254" s="1405"/>
      <c r="AZ254" s="1405"/>
      <c r="BA254" s="1405"/>
      <c r="BB254" s="1405"/>
      <c r="BC254" s="1405"/>
      <c r="BD254" s="1405"/>
      <c r="BG254" s="769"/>
      <c r="BH254" s="658"/>
      <c r="BI254" s="658"/>
      <c r="BJ254" s="658"/>
      <c r="BK254" s="658"/>
      <c r="BL254" s="658"/>
      <c r="BM254" s="658"/>
      <c r="BN254" s="658"/>
      <c r="BO254" s="658"/>
      <c r="BP254" s="658"/>
    </row>
    <row r="255" spans="1:69" ht="13.5" customHeight="1">
      <c r="A255" s="1277"/>
      <c r="B255" s="7608"/>
      <c r="C255" s="7608"/>
      <c r="D255" s="511" t="s">
        <v>2455</v>
      </c>
      <c r="E255" s="253"/>
      <c r="F255" s="253"/>
      <c r="G255" s="253"/>
      <c r="H255" s="253"/>
      <c r="I255" s="253"/>
      <c r="J255" s="253"/>
      <c r="K255" s="253"/>
      <c r="L255" s="253"/>
      <c r="M255" s="253"/>
      <c r="N255" s="253"/>
      <c r="O255" s="253"/>
      <c r="P255" s="253"/>
      <c r="Q255" s="253"/>
      <c r="R255" s="253"/>
      <c r="S255" s="253"/>
      <c r="T255" s="253"/>
      <c r="U255" s="253"/>
      <c r="V255" s="253"/>
      <c r="W255" s="253"/>
      <c r="X255" s="253"/>
      <c r="Y255" s="253"/>
      <c r="Z255" s="253"/>
      <c r="AA255" s="253"/>
      <c r="AB255" s="253"/>
      <c r="AC255" s="253"/>
      <c r="AD255" s="253"/>
      <c r="AE255" s="253"/>
      <c r="AF255" s="253"/>
      <c r="AG255" s="2198" t="s">
        <v>1882</v>
      </c>
      <c r="AH255" s="8463">
        <v>41</v>
      </c>
      <c r="AI255" s="8640"/>
      <c r="AJ255" s="7238">
        <f>IF(AR255&lt;&gt;"",ROUND(AR255,0),IF(SchE4_Completed,SUM(SchE4_Line26,SchE4_Line32,SchE4_Line37,SchE4_Line39,ROUND(SchE4_Line40,0)),0))</f>
        <v>0</v>
      </c>
      <c r="AK255" s="7238"/>
      <c r="AL255" s="7238"/>
      <c r="AM255" s="7238"/>
      <c r="AN255" s="7238"/>
      <c r="AO255" s="7238"/>
      <c r="AP255" s="1277"/>
      <c r="AQ255" s="2875"/>
      <c r="AR255" s="776"/>
      <c r="AS255" s="2875"/>
      <c r="AV255" t="b">
        <f>OR(SchE4_Line26&lt;&gt;0,SchE4_Line32&lt;&gt;0,SchE4_Line37&lt;&gt;0,SchE4_Line39&lt;&gt;0,SchE4_Line40&lt;&gt;0)</f>
        <v>0</v>
      </c>
      <c r="AX255" s="1405"/>
      <c r="AY255" s="1405"/>
      <c r="AZ255" s="1405"/>
      <c r="BA255" s="1405"/>
      <c r="BB255" s="1405"/>
      <c r="BC255" s="1405"/>
      <c r="BD255" s="1405"/>
      <c r="BG255" s="769"/>
      <c r="BH255" s="658"/>
      <c r="BI255" s="658"/>
      <c r="BJ255" s="658"/>
      <c r="BK255" s="658"/>
      <c r="BL255" s="658"/>
      <c r="BM255" s="658"/>
      <c r="BN255" s="658"/>
      <c r="BO255" s="658"/>
      <c r="BP255" s="658"/>
    </row>
    <row r="256" spans="1:69" ht="12.75" customHeight="1">
      <c r="A256" s="1277"/>
      <c r="B256" s="7608">
        <v>42</v>
      </c>
      <c r="C256" s="7608"/>
      <c r="D256" s="1323" t="s">
        <v>2440</v>
      </c>
      <c r="E256" s="253"/>
      <c r="F256" s="253"/>
      <c r="G256" s="253"/>
      <c r="H256" s="253"/>
      <c r="I256" s="253"/>
      <c r="J256" s="253"/>
      <c r="K256" s="253"/>
      <c r="L256" s="253"/>
      <c r="M256" s="253"/>
      <c r="N256" s="253"/>
      <c r="O256" s="253"/>
      <c r="P256" s="253"/>
      <c r="Q256" s="253"/>
      <c r="R256" s="253"/>
      <c r="S256" s="253"/>
      <c r="T256" s="253"/>
      <c r="U256" s="253"/>
      <c r="V256" s="253"/>
      <c r="W256" s="253"/>
      <c r="X256" s="253"/>
      <c r="Y256" s="2094"/>
      <c r="Z256" s="4847"/>
      <c r="AA256" s="4847"/>
      <c r="AB256" s="4847"/>
      <c r="AC256" s="4847"/>
      <c r="AD256" s="4847"/>
      <c r="AE256" s="4847"/>
      <c r="AF256" s="4847"/>
      <c r="AG256" s="2095"/>
      <c r="AH256" s="723"/>
      <c r="AI256" s="723"/>
      <c r="AJ256" s="723"/>
      <c r="AK256" s="723"/>
      <c r="AL256" s="723"/>
      <c r="AM256" s="723"/>
      <c r="AN256" s="723"/>
      <c r="AO256" s="723"/>
      <c r="AP256" s="1277"/>
      <c r="AQ256" s="2875"/>
      <c r="AR256" s="2875"/>
      <c r="AS256" s="2875"/>
      <c r="AV256" s="212">
        <f>IF(SchE4_Completed,SchE4_Line41,SchE4_Line26)</f>
        <v>0</v>
      </c>
      <c r="BG256" s="769"/>
      <c r="BH256" s="658"/>
      <c r="BI256" s="658"/>
      <c r="BJ256" s="658"/>
      <c r="BK256" s="658"/>
      <c r="BL256" s="658"/>
      <c r="BM256" s="658"/>
      <c r="BN256" s="658"/>
      <c r="BO256" s="658"/>
      <c r="BP256" s="658"/>
    </row>
    <row r="257" spans="1:68" ht="12.75" customHeight="1">
      <c r="A257" s="1277"/>
      <c r="B257" s="3377"/>
      <c r="C257" s="253"/>
      <c r="D257" s="511" t="s">
        <v>2441</v>
      </c>
      <c r="E257" s="253"/>
      <c r="F257" s="253"/>
      <c r="G257" s="253"/>
      <c r="H257" s="253"/>
      <c r="I257" s="253"/>
      <c r="J257" s="253"/>
      <c r="K257" s="253"/>
      <c r="L257" s="253"/>
      <c r="M257" s="253"/>
      <c r="N257" s="253"/>
      <c r="O257" s="253"/>
      <c r="P257" s="253"/>
      <c r="Q257" s="253"/>
      <c r="R257" s="253"/>
      <c r="S257" s="253"/>
      <c r="T257" s="253"/>
      <c r="U257" s="253"/>
      <c r="V257" s="253"/>
      <c r="W257" s="253"/>
      <c r="X257" s="253"/>
      <c r="Y257" s="2073"/>
      <c r="Z257" s="723"/>
      <c r="AA257" s="723"/>
      <c r="AB257" s="723"/>
      <c r="AC257" s="723"/>
      <c r="AD257" s="723"/>
      <c r="AE257" s="723"/>
      <c r="AF257" s="723"/>
      <c r="AG257" s="2074"/>
      <c r="AH257" s="723"/>
      <c r="AI257" s="723"/>
      <c r="AJ257" s="723"/>
      <c r="AK257" s="723"/>
      <c r="AL257" s="723"/>
      <c r="AM257" s="723"/>
      <c r="AN257" s="723"/>
      <c r="AO257" s="723"/>
      <c r="AP257" s="1277"/>
      <c r="BG257" s="769"/>
      <c r="BH257" s="658"/>
      <c r="BI257" s="658"/>
      <c r="BJ257" s="658"/>
      <c r="BK257" s="658"/>
      <c r="BL257" s="658"/>
      <c r="BM257" s="658"/>
      <c r="BN257" s="658"/>
      <c r="BO257" s="658"/>
      <c r="BP257" s="658"/>
    </row>
    <row r="258" spans="1:68" ht="12.75" customHeight="1">
      <c r="A258" s="1277"/>
      <c r="B258" s="3377"/>
      <c r="C258" s="253"/>
      <c r="D258" s="511" t="s">
        <v>2442</v>
      </c>
      <c r="E258" s="253"/>
      <c r="F258" s="253"/>
      <c r="G258" s="253"/>
      <c r="H258" s="253"/>
      <c r="I258" s="253"/>
      <c r="J258" s="253"/>
      <c r="K258" s="253"/>
      <c r="L258" s="253"/>
      <c r="M258" s="253"/>
      <c r="N258" s="253"/>
      <c r="O258" s="253"/>
      <c r="P258" s="253"/>
      <c r="Q258" s="253"/>
      <c r="R258" s="253"/>
      <c r="S258" s="253"/>
      <c r="T258" s="253"/>
      <c r="U258" s="253"/>
      <c r="V258" s="253"/>
      <c r="W258" s="253"/>
      <c r="X258" s="253"/>
      <c r="Y258" s="2073"/>
      <c r="Z258" s="723"/>
      <c r="AA258" s="723"/>
      <c r="AB258" s="723"/>
      <c r="AC258" s="723"/>
      <c r="AD258" s="723"/>
      <c r="AE258" s="723"/>
      <c r="AF258" s="723"/>
      <c r="AG258" s="2074"/>
      <c r="AH258" s="723"/>
      <c r="AI258" s="723"/>
      <c r="AJ258" s="723"/>
      <c r="AK258" s="723"/>
      <c r="AL258" s="723"/>
      <c r="AM258" s="723"/>
      <c r="AN258" s="723"/>
      <c r="AO258" s="723"/>
      <c r="AP258" s="1277"/>
      <c r="BG258" s="769"/>
      <c r="BH258" s="658"/>
      <c r="BI258" s="658"/>
      <c r="BJ258" s="658"/>
      <c r="BK258" s="658"/>
      <c r="BL258" s="658"/>
      <c r="BM258" s="658"/>
      <c r="BN258" s="658"/>
      <c r="BO258" s="658"/>
      <c r="BP258" s="658"/>
    </row>
    <row r="259" spans="1:68" ht="13.5" customHeight="1">
      <c r="A259" s="1277"/>
      <c r="B259" s="3377"/>
      <c r="C259" s="253"/>
      <c r="D259" s="511" t="s">
        <v>5248</v>
      </c>
      <c r="E259" s="253"/>
      <c r="F259" s="253"/>
      <c r="G259" s="253"/>
      <c r="H259" s="253"/>
      <c r="I259" s="253"/>
      <c r="J259" s="253"/>
      <c r="K259" s="253"/>
      <c r="L259" s="253"/>
      <c r="M259" s="253"/>
      <c r="N259" s="253"/>
      <c r="O259" s="253"/>
      <c r="P259" s="253"/>
      <c r="Q259" s="253"/>
      <c r="R259" s="253"/>
      <c r="S259" s="253"/>
      <c r="T259" s="253"/>
      <c r="U259" s="253"/>
      <c r="V259" s="253"/>
      <c r="W259" s="253"/>
      <c r="X259" s="1401" t="s">
        <v>905</v>
      </c>
      <c r="Y259" s="8631">
        <v>42</v>
      </c>
      <c r="Z259" s="8632"/>
      <c r="AA259" s="8633"/>
      <c r="AB259" s="8634"/>
      <c r="AC259" s="8634"/>
      <c r="AD259" s="8634"/>
      <c r="AE259" s="8634"/>
      <c r="AF259" s="8634"/>
      <c r="AG259" s="8634"/>
      <c r="AH259" s="723"/>
      <c r="AI259" s="723"/>
      <c r="AJ259" s="723"/>
      <c r="AK259" s="723"/>
      <c r="AL259" s="723"/>
      <c r="AM259" s="723"/>
      <c r="AN259" s="723"/>
      <c r="AO259" s="723"/>
      <c r="AP259" s="1277"/>
      <c r="BG259" s="769"/>
      <c r="BH259" s="658"/>
      <c r="BI259" s="658"/>
      <c r="BJ259" s="658"/>
      <c r="BK259" s="658"/>
      <c r="BL259" s="658"/>
      <c r="BM259" s="658"/>
      <c r="BN259" s="658"/>
      <c r="BO259" s="658"/>
      <c r="BP259" s="658"/>
    </row>
    <row r="260" spans="1:68" ht="12.75" customHeight="1">
      <c r="A260" s="1277"/>
      <c r="B260" s="7608">
        <v>43</v>
      </c>
      <c r="C260" s="7608"/>
      <c r="D260" s="511" t="s">
        <v>2444</v>
      </c>
      <c r="E260" s="253"/>
      <c r="F260" s="253"/>
      <c r="G260" s="253"/>
      <c r="H260" s="253"/>
      <c r="I260" s="253"/>
      <c r="J260" s="253"/>
      <c r="K260" s="253"/>
      <c r="L260" s="253"/>
      <c r="M260" s="253"/>
      <c r="N260" s="253"/>
      <c r="O260" s="253"/>
      <c r="P260" s="253"/>
      <c r="Q260" s="253"/>
      <c r="R260" s="253"/>
      <c r="S260" s="253"/>
      <c r="T260" s="253"/>
      <c r="U260" s="253"/>
      <c r="V260" s="253"/>
      <c r="W260" s="253"/>
      <c r="X260" s="253"/>
      <c r="Y260" s="2094"/>
      <c r="Z260" s="4847"/>
      <c r="AA260" s="4847"/>
      <c r="AB260" s="4847"/>
      <c r="AC260" s="4847"/>
      <c r="AD260" s="4847"/>
      <c r="AE260" s="4847"/>
      <c r="AF260" s="4847"/>
      <c r="AG260" s="2095"/>
      <c r="AH260" s="723"/>
      <c r="AI260" s="723"/>
      <c r="AJ260" s="723"/>
      <c r="AK260" s="723"/>
      <c r="AL260" s="723"/>
      <c r="AM260" s="723"/>
      <c r="AN260" s="723"/>
      <c r="AO260" s="723"/>
      <c r="AP260" s="1277"/>
      <c r="BG260" s="769"/>
      <c r="BH260" s="658"/>
      <c r="BI260" s="658"/>
      <c r="BJ260" s="658"/>
      <c r="BK260" s="658"/>
      <c r="BL260" s="658"/>
      <c r="BM260" s="658"/>
      <c r="BN260" s="658"/>
      <c r="BO260" s="658"/>
      <c r="BP260" s="658"/>
    </row>
    <row r="261" spans="1:68" ht="12.75" customHeight="1">
      <c r="A261" s="1277"/>
      <c r="B261" s="3377"/>
      <c r="C261" s="253"/>
      <c r="D261" s="2100" t="s">
        <v>2445</v>
      </c>
      <c r="E261" s="253"/>
      <c r="F261" s="253"/>
      <c r="G261" s="253"/>
      <c r="H261" s="253"/>
      <c r="I261" s="253"/>
      <c r="J261" s="253"/>
      <c r="K261" s="253"/>
      <c r="L261" s="253"/>
      <c r="M261" s="253"/>
      <c r="N261" s="253"/>
      <c r="O261" s="253"/>
      <c r="P261" s="253"/>
      <c r="Q261" s="253"/>
      <c r="R261" s="253"/>
      <c r="S261" s="253"/>
      <c r="T261" s="253"/>
      <c r="U261" s="253"/>
      <c r="V261" s="253"/>
      <c r="W261" s="253"/>
      <c r="X261" s="253"/>
      <c r="Y261" s="2073"/>
      <c r="Z261" s="723"/>
      <c r="AA261" s="723"/>
      <c r="AB261" s="723"/>
      <c r="AC261" s="723"/>
      <c r="AD261" s="723"/>
      <c r="AE261" s="723"/>
      <c r="AF261" s="723"/>
      <c r="AG261" s="2074"/>
      <c r="AH261" s="723"/>
      <c r="AI261" s="723"/>
      <c r="AJ261" s="723"/>
      <c r="AK261" s="723"/>
      <c r="AL261" s="723"/>
      <c r="AM261" s="723"/>
      <c r="AN261" s="723"/>
      <c r="AO261" s="723"/>
      <c r="AP261" s="1277"/>
      <c r="BG261" s="769"/>
      <c r="BH261" s="658"/>
      <c r="BI261" s="658"/>
      <c r="BJ261" s="658"/>
      <c r="BK261" s="658"/>
      <c r="BL261" s="658"/>
      <c r="BM261" s="658"/>
      <c r="BN261" s="658"/>
      <c r="BO261" s="658"/>
      <c r="BP261" s="658"/>
    </row>
    <row r="262" spans="1:68" ht="12.75" customHeight="1">
      <c r="A262" s="1277"/>
      <c r="B262" s="3377"/>
      <c r="C262" s="253"/>
      <c r="D262" s="2100" t="s">
        <v>2446</v>
      </c>
      <c r="E262" s="253"/>
      <c r="F262" s="253"/>
      <c r="G262" s="253"/>
      <c r="H262" s="253"/>
      <c r="I262" s="253"/>
      <c r="J262" s="253"/>
      <c r="K262" s="253"/>
      <c r="L262" s="253"/>
      <c r="M262" s="253"/>
      <c r="N262" s="253"/>
      <c r="O262" s="253"/>
      <c r="P262" s="253"/>
      <c r="Q262" s="253"/>
      <c r="R262" s="253"/>
      <c r="S262" s="253"/>
      <c r="T262" s="253"/>
      <c r="U262" s="253"/>
      <c r="V262" s="253"/>
      <c r="W262" s="253"/>
      <c r="X262" s="253"/>
      <c r="Y262" s="2073"/>
      <c r="Z262" s="723"/>
      <c r="AA262" s="723"/>
      <c r="AB262" s="723"/>
      <c r="AC262" s="723"/>
      <c r="AD262" s="723"/>
      <c r="AE262" s="723"/>
      <c r="AF262" s="723"/>
      <c r="AG262" s="2074"/>
      <c r="AH262" s="723"/>
      <c r="AI262" s="723"/>
      <c r="AJ262" s="723"/>
      <c r="AK262" s="723"/>
      <c r="AL262" s="723"/>
      <c r="AM262" s="723"/>
      <c r="AN262" s="723"/>
      <c r="AO262" s="723"/>
      <c r="AP262" s="1277"/>
      <c r="BG262" s="769"/>
      <c r="BH262" s="658"/>
      <c r="BI262" s="658"/>
      <c r="BJ262" s="658"/>
      <c r="BK262" s="658"/>
      <c r="BL262" s="658"/>
      <c r="BM262" s="658"/>
      <c r="BN262" s="658"/>
      <c r="BO262" s="658"/>
      <c r="BP262" s="658"/>
    </row>
    <row r="263" spans="1:68" ht="12.75" customHeight="1">
      <c r="A263" s="1277"/>
      <c r="B263" s="3377"/>
      <c r="C263" s="253"/>
      <c r="D263" s="511" t="s">
        <v>2447</v>
      </c>
      <c r="E263" s="253"/>
      <c r="F263" s="253"/>
      <c r="G263" s="253"/>
      <c r="H263" s="253"/>
      <c r="I263" s="253"/>
      <c r="J263" s="253"/>
      <c r="K263" s="253"/>
      <c r="L263" s="253"/>
      <c r="M263" s="253"/>
      <c r="N263" s="253"/>
      <c r="O263" s="253"/>
      <c r="P263" s="253"/>
      <c r="Q263" s="253"/>
      <c r="R263" s="253"/>
      <c r="S263" s="253"/>
      <c r="T263" s="253"/>
      <c r="U263" s="253"/>
      <c r="V263" s="253"/>
      <c r="W263" s="253"/>
      <c r="X263" s="253"/>
      <c r="Y263" s="2073"/>
      <c r="Z263" s="723"/>
      <c r="AA263" s="723"/>
      <c r="AB263" s="723"/>
      <c r="AC263" s="723"/>
      <c r="AD263" s="723"/>
      <c r="AE263" s="723"/>
      <c r="AF263" s="723"/>
      <c r="AG263" s="2074"/>
      <c r="AH263" s="723"/>
      <c r="AI263" s="723"/>
      <c r="AJ263" s="723"/>
      <c r="AK263" s="723"/>
      <c r="AL263" s="723"/>
      <c r="AM263" s="723"/>
      <c r="AN263" s="723"/>
      <c r="AO263" s="723"/>
      <c r="AP263" s="1277"/>
      <c r="BG263" s="769"/>
      <c r="BH263" s="658"/>
      <c r="BI263" s="658"/>
      <c r="BJ263" s="658"/>
      <c r="BK263" s="658"/>
      <c r="BL263" s="658"/>
      <c r="BM263" s="658"/>
      <c r="BN263" s="658"/>
      <c r="BO263" s="658"/>
      <c r="BP263" s="658"/>
    </row>
    <row r="264" spans="1:68" ht="13.5" customHeight="1" thickBot="1">
      <c r="A264" s="1277"/>
      <c r="B264" s="4829"/>
      <c r="C264" s="380"/>
      <c r="D264" s="2015" t="s">
        <v>2448</v>
      </c>
      <c r="E264" s="380"/>
      <c r="F264" s="380"/>
      <c r="G264" s="380"/>
      <c r="H264" s="380"/>
      <c r="I264" s="380"/>
      <c r="J264" s="380"/>
      <c r="K264" s="380"/>
      <c r="L264" s="380"/>
      <c r="M264" s="380"/>
      <c r="N264" s="380"/>
      <c r="O264" s="380"/>
      <c r="P264" s="380"/>
      <c r="Q264" s="380"/>
      <c r="R264" s="380"/>
      <c r="S264" s="380"/>
      <c r="T264" s="380"/>
      <c r="U264" s="380"/>
      <c r="V264" s="380"/>
      <c r="W264" s="380"/>
      <c r="X264" s="1658" t="s">
        <v>842</v>
      </c>
      <c r="Y264" s="8635">
        <v>43</v>
      </c>
      <c r="Z264" s="8636"/>
      <c r="AA264" s="8637"/>
      <c r="AB264" s="8638"/>
      <c r="AC264" s="8638"/>
      <c r="AD264" s="8638"/>
      <c r="AE264" s="8638"/>
      <c r="AF264" s="8638"/>
      <c r="AG264" s="8638"/>
      <c r="AH264" s="818"/>
      <c r="AI264" s="818"/>
      <c r="AJ264" s="818"/>
      <c r="AK264" s="818"/>
      <c r="AL264" s="818"/>
      <c r="AM264" s="818"/>
      <c r="AN264" s="818"/>
      <c r="AO264" s="818"/>
      <c r="AP264" s="1277"/>
      <c r="BG264" s="769"/>
      <c r="BH264" s="658"/>
      <c r="BI264" s="658"/>
      <c r="BJ264" s="658"/>
      <c r="BK264" s="658"/>
      <c r="BL264" s="658"/>
      <c r="BM264" s="658"/>
      <c r="BN264" s="658"/>
      <c r="BO264" s="658"/>
      <c r="BP264" s="658"/>
    </row>
    <row r="265" spans="1:68" ht="12.75" customHeight="1">
      <c r="A265" s="1277"/>
      <c r="B265" s="3377"/>
      <c r="C265" s="253"/>
      <c r="D265" s="253"/>
      <c r="E265" s="253"/>
      <c r="F265" s="253"/>
      <c r="G265" s="253"/>
      <c r="H265" s="253"/>
      <c r="I265" s="253"/>
      <c r="J265" s="253"/>
      <c r="K265" s="253"/>
      <c r="L265" s="253"/>
      <c r="M265" s="253"/>
      <c r="N265" s="253"/>
      <c r="O265" s="253"/>
      <c r="P265" s="253"/>
      <c r="Q265" s="253"/>
      <c r="R265" s="253"/>
      <c r="S265" s="253"/>
      <c r="T265" s="253"/>
      <c r="U265" s="253"/>
      <c r="V265" s="253"/>
      <c r="W265" s="253"/>
      <c r="X265" s="253"/>
      <c r="Y265" s="253"/>
      <c r="Z265" s="253"/>
      <c r="AA265" s="253"/>
      <c r="AB265" s="253"/>
      <c r="AC265" s="253"/>
      <c r="AD265" s="253"/>
      <c r="AE265" s="253"/>
      <c r="AF265" s="253"/>
      <c r="AG265" s="253"/>
      <c r="AH265" s="253"/>
      <c r="AI265" s="253"/>
      <c r="AJ265" s="253"/>
      <c r="AK265" s="253"/>
      <c r="AL265" s="253"/>
      <c r="AM265" s="253"/>
      <c r="AN265" s="253"/>
      <c r="AO265" s="1989" t="str">
        <f>"Schedule E (Form 1040) "&amp;TaxYear</f>
        <v>Schedule E (Form 1040) 2025</v>
      </c>
      <c r="AP265" s="1277"/>
      <c r="BG265" s="769"/>
      <c r="BH265" s="658"/>
      <c r="BI265" s="658"/>
      <c r="BJ265" s="658"/>
      <c r="BK265" s="658"/>
      <c r="BL265" s="658"/>
      <c r="BM265" s="658"/>
      <c r="BN265" s="658"/>
      <c r="BO265" s="658"/>
      <c r="BP265" s="658"/>
    </row>
    <row r="266" spans="1:68">
      <c r="A266" s="1277"/>
      <c r="B266" s="1277"/>
      <c r="C266" s="1277"/>
      <c r="D266" s="1277"/>
      <c r="E266" s="1277"/>
      <c r="F266" s="1277"/>
      <c r="G266" s="1277"/>
      <c r="H266" s="1277"/>
      <c r="I266" s="1277"/>
      <c r="J266" s="1277"/>
      <c r="K266" s="1277"/>
      <c r="L266" s="1277"/>
      <c r="M266" s="1277"/>
      <c r="N266" s="1277"/>
      <c r="O266" s="1277"/>
      <c r="P266" s="1277"/>
      <c r="Q266" s="1277"/>
      <c r="R266" s="1277"/>
      <c r="S266" s="1277"/>
      <c r="T266" s="1277"/>
      <c r="U266" s="1277"/>
      <c r="V266" s="1277"/>
      <c r="W266" s="1277"/>
      <c r="X266" s="1277"/>
      <c r="Y266" s="1277"/>
      <c r="Z266" s="1277"/>
      <c r="AA266" s="1277"/>
      <c r="AB266" s="1277"/>
      <c r="AC266" s="1277"/>
      <c r="AD266" s="1277"/>
      <c r="AE266" s="1277"/>
      <c r="AF266" s="1277"/>
      <c r="AG266" s="1277"/>
      <c r="AH266" s="1277"/>
      <c r="AI266" s="1277"/>
      <c r="AJ266" s="1277"/>
      <c r="AK266" s="1277"/>
      <c r="AL266" s="1277"/>
      <c r="AM266" s="1277"/>
      <c r="AN266" s="1277"/>
      <c r="AO266" s="1277"/>
      <c r="AP266" s="1277"/>
      <c r="BG266" s="769"/>
      <c r="BH266" s="658"/>
      <c r="BI266" s="658"/>
      <c r="BJ266" s="658"/>
      <c r="BK266" s="658"/>
      <c r="BL266" s="658"/>
      <c r="BM266" s="658"/>
      <c r="BN266" s="658"/>
      <c r="BO266" s="658"/>
      <c r="BP266" s="658"/>
    </row>
  </sheetData>
  <sheetProtection algorithmName="SHA-512" hashValue="ixjFCpZ9oP+P1e+Y9UIZNUvjlLdyU2afJjMn5zUYx3njdL9AfF3u3AUBSxQhSvCcwM2/2aphpg3mdlG3u8ZIww==" saltValue="Krgffed+v16q58eujN8f6g==" spinCount="100000" sheet="1" objects="1" scenarios="1" formatCells="0" formatColumns="0" formatRows="0"/>
  <mergeCells count="664">
    <mergeCell ref="AI1:AO1"/>
    <mergeCell ref="B256:C256"/>
    <mergeCell ref="Y259:Z259"/>
    <mergeCell ref="AA259:AG259"/>
    <mergeCell ref="B260:C260"/>
    <mergeCell ref="Y264:Z264"/>
    <mergeCell ref="AA264:AG264"/>
    <mergeCell ref="B252:D252"/>
    <mergeCell ref="B253:C253"/>
    <mergeCell ref="AH253:AI253"/>
    <mergeCell ref="B254:C254"/>
    <mergeCell ref="AJ253:AO253"/>
    <mergeCell ref="B255:C255"/>
    <mergeCell ref="AH255:AI255"/>
    <mergeCell ref="AJ255:AO255"/>
    <mergeCell ref="B250:J250"/>
    <mergeCell ref="K250:R250"/>
    <mergeCell ref="S250:Y250"/>
    <mergeCell ref="Z250:AG250"/>
    <mergeCell ref="AH250:AO250"/>
    <mergeCell ref="B251:C251"/>
    <mergeCell ref="AH251:AI251"/>
    <mergeCell ref="AJ251:AO251"/>
    <mergeCell ref="B246:D246"/>
    <mergeCell ref="D247:J249"/>
    <mergeCell ref="K247:R249"/>
    <mergeCell ref="S247:Y249"/>
    <mergeCell ref="Z247:AG249"/>
    <mergeCell ref="AH247:AO249"/>
    <mergeCell ref="B248:C248"/>
    <mergeCell ref="B244:C244"/>
    <mergeCell ref="AH244:AI244"/>
    <mergeCell ref="AK244:AN244"/>
    <mergeCell ref="B245:C245"/>
    <mergeCell ref="AH245:AI245"/>
    <mergeCell ref="AJ245:AO245"/>
    <mergeCell ref="B242:C242"/>
    <mergeCell ref="F242:N242"/>
    <mergeCell ref="Y242:AG242"/>
    <mergeCell ref="B243:C243"/>
    <mergeCell ref="AH243:AI243"/>
    <mergeCell ref="AJ243:AO243"/>
    <mergeCell ref="C240:N240"/>
    <mergeCell ref="O240:X240"/>
    <mergeCell ref="Y240:AG240"/>
    <mergeCell ref="AH240:AO240"/>
    <mergeCell ref="B241:C241"/>
    <mergeCell ref="O241:X241"/>
    <mergeCell ref="AH241:AO241"/>
    <mergeCell ref="B236:N238"/>
    <mergeCell ref="O236:X238"/>
    <mergeCell ref="Y236:AG238"/>
    <mergeCell ref="AH236:AO238"/>
    <mergeCell ref="C239:N239"/>
    <mergeCell ref="O239:X239"/>
    <mergeCell ref="Y239:AG239"/>
    <mergeCell ref="AH239:AO239"/>
    <mergeCell ref="C233:AG233"/>
    <mergeCell ref="AH233:AO233"/>
    <mergeCell ref="C234:AG234"/>
    <mergeCell ref="AH234:AO234"/>
    <mergeCell ref="B235:X235"/>
    <mergeCell ref="Y235:AO235"/>
    <mergeCell ref="B228:C228"/>
    <mergeCell ref="AF228:AG228"/>
    <mergeCell ref="AH228:AO228"/>
    <mergeCell ref="B229:D229"/>
    <mergeCell ref="AH230:AO232"/>
    <mergeCell ref="B231:C231"/>
    <mergeCell ref="B226:C226"/>
    <mergeCell ref="AF226:AG226"/>
    <mergeCell ref="AH226:AO226"/>
    <mergeCell ref="B227:C227"/>
    <mergeCell ref="AF227:AG227"/>
    <mergeCell ref="AI227:AN227"/>
    <mergeCell ref="B224:C224"/>
    <mergeCell ref="K224:R224"/>
    <mergeCell ref="S224:Y224"/>
    <mergeCell ref="AH224:AO224"/>
    <mergeCell ref="B225:C225"/>
    <mergeCell ref="F225:J225"/>
    <mergeCell ref="K225:R225"/>
    <mergeCell ref="S225:Y225"/>
    <mergeCell ref="Z225:AG225"/>
    <mergeCell ref="AH225:AO225"/>
    <mergeCell ref="C222:J222"/>
    <mergeCell ref="K222:R222"/>
    <mergeCell ref="S222:Y222"/>
    <mergeCell ref="Z222:AG222"/>
    <mergeCell ref="AH222:AO222"/>
    <mergeCell ref="C223:J223"/>
    <mergeCell ref="K223:R223"/>
    <mergeCell ref="S223:Y223"/>
    <mergeCell ref="Z223:AG223"/>
    <mergeCell ref="AH223:AO223"/>
    <mergeCell ref="C220:J220"/>
    <mergeCell ref="K220:R220"/>
    <mergeCell ref="S220:Y220"/>
    <mergeCell ref="Z220:AG220"/>
    <mergeCell ref="AH220:AO220"/>
    <mergeCell ref="C221:J221"/>
    <mergeCell ref="K221:R221"/>
    <mergeCell ref="S221:Y221"/>
    <mergeCell ref="Z221:AG221"/>
    <mergeCell ref="AH221:AO221"/>
    <mergeCell ref="B216:R216"/>
    <mergeCell ref="S216:AO216"/>
    <mergeCell ref="C217:J219"/>
    <mergeCell ref="K217:R219"/>
    <mergeCell ref="S217:Y219"/>
    <mergeCell ref="Z217:AG219"/>
    <mergeCell ref="AH217:AO219"/>
    <mergeCell ref="C214:N214"/>
    <mergeCell ref="O214:S214"/>
    <mergeCell ref="Y214:AE214"/>
    <mergeCell ref="C215:N215"/>
    <mergeCell ref="O215:S215"/>
    <mergeCell ref="Y215:AE215"/>
    <mergeCell ref="C212:N212"/>
    <mergeCell ref="O212:S212"/>
    <mergeCell ref="Y212:AE212"/>
    <mergeCell ref="C213:N213"/>
    <mergeCell ref="O213:S213"/>
    <mergeCell ref="Y213:AE213"/>
    <mergeCell ref="B199:AE199"/>
    <mergeCell ref="AF199:AO199"/>
    <mergeCell ref="B201:D201"/>
    <mergeCell ref="B205:C205"/>
    <mergeCell ref="O209:S211"/>
    <mergeCell ref="T209:X211"/>
    <mergeCell ref="Y209:AE211"/>
    <mergeCell ref="AF209:AJ211"/>
    <mergeCell ref="AK209:AO211"/>
    <mergeCell ref="B210:C210"/>
    <mergeCell ref="B193:C193"/>
    <mergeCell ref="AK193:AN193"/>
    <mergeCell ref="B194:C194"/>
    <mergeCell ref="AH195:AI195"/>
    <mergeCell ref="AJ195:AO195"/>
    <mergeCell ref="AF198:AO198"/>
    <mergeCell ref="B191:C191"/>
    <mergeCell ref="AH191:AI191"/>
    <mergeCell ref="AJ191:AO191"/>
    <mergeCell ref="B192:C192"/>
    <mergeCell ref="AH192:AI192"/>
    <mergeCell ref="AK192:AN192"/>
    <mergeCell ref="B189:C189"/>
    <mergeCell ref="AB189:AC189"/>
    <mergeCell ref="AD189:AI189"/>
    <mergeCell ref="B190:C190"/>
    <mergeCell ref="AB190:AC190"/>
    <mergeCell ref="AD190:AI190"/>
    <mergeCell ref="B187:C187"/>
    <mergeCell ref="AB187:AC187"/>
    <mergeCell ref="AD187:AI187"/>
    <mergeCell ref="B188:C188"/>
    <mergeCell ref="AB188:AC188"/>
    <mergeCell ref="AD188:AI188"/>
    <mergeCell ref="B185:C185"/>
    <mergeCell ref="T185:U185"/>
    <mergeCell ref="W185:AB185"/>
    <mergeCell ref="AE185:AH185"/>
    <mergeCell ref="AK185:AN185"/>
    <mergeCell ref="B186:C186"/>
    <mergeCell ref="AB186:AC186"/>
    <mergeCell ref="AD186:AI186"/>
    <mergeCell ref="B183:C183"/>
    <mergeCell ref="T183:U183"/>
    <mergeCell ref="V183:AC183"/>
    <mergeCell ref="AD183:AI183"/>
    <mergeCell ref="AJ183:AO183"/>
    <mergeCell ref="B184:C184"/>
    <mergeCell ref="T184:U184"/>
    <mergeCell ref="V184:AC184"/>
    <mergeCell ref="AD184:AI184"/>
    <mergeCell ref="AJ184:AO184"/>
    <mergeCell ref="AY181:AZ181"/>
    <mergeCell ref="BA181:BB181"/>
    <mergeCell ref="BC181:BD181"/>
    <mergeCell ref="B182:C182"/>
    <mergeCell ref="T182:U182"/>
    <mergeCell ref="V182:AC182"/>
    <mergeCell ref="AD182:AI182"/>
    <mergeCell ref="AJ182:AO182"/>
    <mergeCell ref="B180:C180"/>
    <mergeCell ref="T180:U180"/>
    <mergeCell ref="V180:AC180"/>
    <mergeCell ref="AD180:AI180"/>
    <mergeCell ref="AJ180:AO180"/>
    <mergeCell ref="B181:C181"/>
    <mergeCell ref="T181:U181"/>
    <mergeCell ref="V181:AC181"/>
    <mergeCell ref="AD181:AI181"/>
    <mergeCell ref="AJ181:AO181"/>
    <mergeCell ref="AR178:AT178"/>
    <mergeCell ref="B179:C179"/>
    <mergeCell ref="H179:R179"/>
    <mergeCell ref="T179:U179"/>
    <mergeCell ref="V179:AC179"/>
    <mergeCell ref="AD179:AI179"/>
    <mergeCell ref="AJ179:AO179"/>
    <mergeCell ref="B177:C177"/>
    <mergeCell ref="T177:U177"/>
    <mergeCell ref="V177:AC177"/>
    <mergeCell ref="AD177:AI177"/>
    <mergeCell ref="AJ177:AO177"/>
    <mergeCell ref="B178:C178"/>
    <mergeCell ref="T178:U178"/>
    <mergeCell ref="V178:AC178"/>
    <mergeCell ref="AD178:AI178"/>
    <mergeCell ref="AJ178:AO178"/>
    <mergeCell ref="B175:C175"/>
    <mergeCell ref="T175:U175"/>
    <mergeCell ref="V175:AC175"/>
    <mergeCell ref="AD175:AI175"/>
    <mergeCell ref="AJ175:AO175"/>
    <mergeCell ref="B176:C176"/>
    <mergeCell ref="T176:U176"/>
    <mergeCell ref="V176:AC176"/>
    <mergeCell ref="AD176:AI176"/>
    <mergeCell ref="AJ176:AO176"/>
    <mergeCell ref="B173:C173"/>
    <mergeCell ref="T173:U173"/>
    <mergeCell ref="V173:AC173"/>
    <mergeCell ref="AD173:AI173"/>
    <mergeCell ref="AJ173:AO173"/>
    <mergeCell ref="B174:C174"/>
    <mergeCell ref="T174:U174"/>
    <mergeCell ref="V174:AC174"/>
    <mergeCell ref="AD174:AI174"/>
    <mergeCell ref="AJ174:AO174"/>
    <mergeCell ref="B171:C171"/>
    <mergeCell ref="T171:U171"/>
    <mergeCell ref="V171:AC171"/>
    <mergeCell ref="AD171:AI171"/>
    <mergeCell ref="AJ171:AO171"/>
    <mergeCell ref="B172:C172"/>
    <mergeCell ref="T172:U172"/>
    <mergeCell ref="V172:AC172"/>
    <mergeCell ref="AD172:AI172"/>
    <mergeCell ref="AJ172:AO172"/>
    <mergeCell ref="B169:C169"/>
    <mergeCell ref="T169:U169"/>
    <mergeCell ref="V169:AC169"/>
    <mergeCell ref="AD169:AI169"/>
    <mergeCell ref="AJ169:AO169"/>
    <mergeCell ref="B170:C170"/>
    <mergeCell ref="T170:U170"/>
    <mergeCell ref="V170:AC170"/>
    <mergeCell ref="AD170:AI170"/>
    <mergeCell ref="AJ170:AO170"/>
    <mergeCell ref="B167:C167"/>
    <mergeCell ref="T167:U167"/>
    <mergeCell ref="V167:AC167"/>
    <mergeCell ref="AD167:AI167"/>
    <mergeCell ref="AJ167:AO167"/>
    <mergeCell ref="B168:C168"/>
    <mergeCell ref="T168:U168"/>
    <mergeCell ref="V168:AC168"/>
    <mergeCell ref="AD168:AI168"/>
    <mergeCell ref="AJ168:AO168"/>
    <mergeCell ref="B165:C165"/>
    <mergeCell ref="T165:U165"/>
    <mergeCell ref="V165:AC165"/>
    <mergeCell ref="AD165:AI165"/>
    <mergeCell ref="AJ165:AO165"/>
    <mergeCell ref="B166:C166"/>
    <mergeCell ref="T166:U166"/>
    <mergeCell ref="V166:AC166"/>
    <mergeCell ref="AD166:AI166"/>
    <mergeCell ref="AJ166:AO166"/>
    <mergeCell ref="B163:C163"/>
    <mergeCell ref="T163:U163"/>
    <mergeCell ref="V163:AC163"/>
    <mergeCell ref="AD163:AI163"/>
    <mergeCell ref="AJ163:AO163"/>
    <mergeCell ref="V164:AC164"/>
    <mergeCell ref="AD164:AI164"/>
    <mergeCell ref="AJ164:AO164"/>
    <mergeCell ref="V161:AC161"/>
    <mergeCell ref="AD161:AI161"/>
    <mergeCell ref="AJ161:AO161"/>
    <mergeCell ref="B162:C162"/>
    <mergeCell ref="T162:U162"/>
    <mergeCell ref="V162:AC162"/>
    <mergeCell ref="AD162:AI162"/>
    <mergeCell ref="AJ162:AO162"/>
    <mergeCell ref="AF154:AJ154"/>
    <mergeCell ref="B155:C155"/>
    <mergeCell ref="D155:H155"/>
    <mergeCell ref="X155:Z155"/>
    <mergeCell ref="AA155:AE155"/>
    <mergeCell ref="AF155:AJ155"/>
    <mergeCell ref="AK151:AO152"/>
    <mergeCell ref="B153:C153"/>
    <mergeCell ref="D153:H153"/>
    <mergeCell ref="X153:Z153"/>
    <mergeCell ref="AA153:AE153"/>
    <mergeCell ref="AF153:AJ153"/>
    <mergeCell ref="B151:C151"/>
    <mergeCell ref="D151:H152"/>
    <mergeCell ref="I151:J151"/>
    <mergeCell ref="AA151:AE152"/>
    <mergeCell ref="AF151:AJ152"/>
    <mergeCell ref="B154:C154"/>
    <mergeCell ref="D154:H154"/>
    <mergeCell ref="X154:Z154"/>
    <mergeCell ref="AA154:AE154"/>
    <mergeCell ref="B147:C147"/>
    <mergeCell ref="B148:C148"/>
    <mergeCell ref="D148:AO148"/>
    <mergeCell ref="B149:C149"/>
    <mergeCell ref="D149:AO149"/>
    <mergeCell ref="B150:C150"/>
    <mergeCell ref="D150:AO150"/>
    <mergeCell ref="AG139:AO139"/>
    <mergeCell ref="B140:AF141"/>
    <mergeCell ref="AG140:AO141"/>
    <mergeCell ref="B142:D142"/>
    <mergeCell ref="B145:C145"/>
    <mergeCell ref="B146:C146"/>
    <mergeCell ref="B134:G134"/>
    <mergeCell ref="AI134:AO134"/>
    <mergeCell ref="B135:G135"/>
    <mergeCell ref="AI135:AO136"/>
    <mergeCell ref="B136:G138"/>
    <mergeCell ref="AJ137:AM138"/>
    <mergeCell ref="AN138:AO138"/>
    <mergeCell ref="B124:C124"/>
    <mergeCell ref="Y127:Z127"/>
    <mergeCell ref="AA127:AG127"/>
    <mergeCell ref="B128:C128"/>
    <mergeCell ref="Y132:Z132"/>
    <mergeCell ref="AA132:AG132"/>
    <mergeCell ref="B120:D120"/>
    <mergeCell ref="B121:C121"/>
    <mergeCell ref="AH121:AI121"/>
    <mergeCell ref="AJ121:AO121"/>
    <mergeCell ref="B123:C123"/>
    <mergeCell ref="AH123:AI123"/>
    <mergeCell ref="AJ123:AO123"/>
    <mergeCell ref="B118:J118"/>
    <mergeCell ref="K118:R118"/>
    <mergeCell ref="S118:Y118"/>
    <mergeCell ref="Z118:AG118"/>
    <mergeCell ref="AH118:AO118"/>
    <mergeCell ref="B119:C119"/>
    <mergeCell ref="AH119:AI119"/>
    <mergeCell ref="AJ119:AO119"/>
    <mergeCell ref="B122:C122"/>
    <mergeCell ref="B114:D114"/>
    <mergeCell ref="D115:J117"/>
    <mergeCell ref="K115:R117"/>
    <mergeCell ref="S115:Y117"/>
    <mergeCell ref="Z115:AG117"/>
    <mergeCell ref="AH115:AO117"/>
    <mergeCell ref="B116:C116"/>
    <mergeCell ref="B112:C112"/>
    <mergeCell ref="AH112:AI112"/>
    <mergeCell ref="AK112:AN112"/>
    <mergeCell ref="B113:C113"/>
    <mergeCell ref="AH113:AI113"/>
    <mergeCell ref="AJ113:AO113"/>
    <mergeCell ref="B110:C110"/>
    <mergeCell ref="F110:N110"/>
    <mergeCell ref="Y110:AG110"/>
    <mergeCell ref="B111:C111"/>
    <mergeCell ref="AH111:AI111"/>
    <mergeCell ref="AJ111:AO111"/>
    <mergeCell ref="C108:N108"/>
    <mergeCell ref="O108:X108"/>
    <mergeCell ref="Y108:AG108"/>
    <mergeCell ref="AH108:AO108"/>
    <mergeCell ref="B109:C109"/>
    <mergeCell ref="O109:X109"/>
    <mergeCell ref="AH109:AO109"/>
    <mergeCell ref="B104:N106"/>
    <mergeCell ref="O104:X106"/>
    <mergeCell ref="Y104:AG106"/>
    <mergeCell ref="AH104:AO106"/>
    <mergeCell ref="C107:N107"/>
    <mergeCell ref="O107:X107"/>
    <mergeCell ref="Y107:AG107"/>
    <mergeCell ref="AH107:AO107"/>
    <mergeCell ref="C101:AG101"/>
    <mergeCell ref="AH101:AO101"/>
    <mergeCell ref="C102:AG102"/>
    <mergeCell ref="AH102:AO102"/>
    <mergeCell ref="B103:X103"/>
    <mergeCell ref="Y103:AO103"/>
    <mergeCell ref="B96:C96"/>
    <mergeCell ref="AF96:AG96"/>
    <mergeCell ref="AH96:AO96"/>
    <mergeCell ref="B97:D97"/>
    <mergeCell ref="AH98:AO100"/>
    <mergeCell ref="B99:C99"/>
    <mergeCell ref="B94:C94"/>
    <mergeCell ref="AF94:AG94"/>
    <mergeCell ref="AH94:AO94"/>
    <mergeCell ref="B95:C95"/>
    <mergeCell ref="AF95:AG95"/>
    <mergeCell ref="AI95:AN95"/>
    <mergeCell ref="B92:C92"/>
    <mergeCell ref="K92:R92"/>
    <mergeCell ref="S92:Y92"/>
    <mergeCell ref="AH92:AO92"/>
    <mergeCell ref="B93:C93"/>
    <mergeCell ref="F93:J93"/>
    <mergeCell ref="K93:R93"/>
    <mergeCell ref="S93:Y93"/>
    <mergeCell ref="Z93:AG93"/>
    <mergeCell ref="AH93:AO93"/>
    <mergeCell ref="C90:J90"/>
    <mergeCell ref="K90:R90"/>
    <mergeCell ref="S90:Y90"/>
    <mergeCell ref="Z90:AG90"/>
    <mergeCell ref="AH90:AO90"/>
    <mergeCell ref="C91:J91"/>
    <mergeCell ref="K91:R91"/>
    <mergeCell ref="S91:Y91"/>
    <mergeCell ref="Z91:AG91"/>
    <mergeCell ref="AH91:AO91"/>
    <mergeCell ref="C88:J88"/>
    <mergeCell ref="K88:R88"/>
    <mergeCell ref="S88:Y88"/>
    <mergeCell ref="Z88:AG88"/>
    <mergeCell ref="AH88:AO88"/>
    <mergeCell ref="C89:J89"/>
    <mergeCell ref="K89:R89"/>
    <mergeCell ref="S89:Y89"/>
    <mergeCell ref="Z89:AG89"/>
    <mergeCell ref="AH89:AO89"/>
    <mergeCell ref="B84:R84"/>
    <mergeCell ref="S84:AO84"/>
    <mergeCell ref="C85:J87"/>
    <mergeCell ref="K85:R87"/>
    <mergeCell ref="S85:Y87"/>
    <mergeCell ref="Z85:AG87"/>
    <mergeCell ref="AH85:AO87"/>
    <mergeCell ref="C82:N82"/>
    <mergeCell ref="O82:S82"/>
    <mergeCell ref="Y82:AE82"/>
    <mergeCell ref="C83:N83"/>
    <mergeCell ref="O83:S83"/>
    <mergeCell ref="Y83:AE83"/>
    <mergeCell ref="B78:C78"/>
    <mergeCell ref="C80:N80"/>
    <mergeCell ref="O80:S80"/>
    <mergeCell ref="Y80:AE80"/>
    <mergeCell ref="C81:N81"/>
    <mergeCell ref="O81:S81"/>
    <mergeCell ref="Y81:AE81"/>
    <mergeCell ref="AF66:AO66"/>
    <mergeCell ref="B67:AE67"/>
    <mergeCell ref="AF67:AO67"/>
    <mergeCell ref="B69:D69"/>
    <mergeCell ref="B73:C73"/>
    <mergeCell ref="O77:S79"/>
    <mergeCell ref="T77:X79"/>
    <mergeCell ref="Y77:AE79"/>
    <mergeCell ref="AF77:AJ79"/>
    <mergeCell ref="AK77:AO79"/>
    <mergeCell ref="B61:C61"/>
    <mergeCell ref="AK61:AN61"/>
    <mergeCell ref="B62:C62"/>
    <mergeCell ref="AH63:AI63"/>
    <mergeCell ref="AJ63:AO63"/>
    <mergeCell ref="AG65:AH65"/>
    <mergeCell ref="B59:C59"/>
    <mergeCell ref="AH59:AI59"/>
    <mergeCell ref="AJ59:AO59"/>
    <mergeCell ref="B60:C60"/>
    <mergeCell ref="AH60:AI60"/>
    <mergeCell ref="AK60:AN60"/>
    <mergeCell ref="B57:C57"/>
    <mergeCell ref="AB57:AC57"/>
    <mergeCell ref="AD57:AI57"/>
    <mergeCell ref="B58:C58"/>
    <mergeCell ref="AB58:AC58"/>
    <mergeCell ref="AD58:AI58"/>
    <mergeCell ref="B55:C55"/>
    <mergeCell ref="AB55:AC55"/>
    <mergeCell ref="AD55:AI55"/>
    <mergeCell ref="B56:C56"/>
    <mergeCell ref="AB56:AC56"/>
    <mergeCell ref="AD56:AI56"/>
    <mergeCell ref="B53:C53"/>
    <mergeCell ref="T53:U53"/>
    <mergeCell ref="W53:AB53"/>
    <mergeCell ref="AE53:AH53"/>
    <mergeCell ref="AK53:AN53"/>
    <mergeCell ref="B54:C54"/>
    <mergeCell ref="AB54:AC54"/>
    <mergeCell ref="AD54:AI54"/>
    <mergeCell ref="B51:C51"/>
    <mergeCell ref="T51:U51"/>
    <mergeCell ref="V51:AC51"/>
    <mergeCell ref="AD51:AI51"/>
    <mergeCell ref="AJ51:AO51"/>
    <mergeCell ref="B52:C52"/>
    <mergeCell ref="T52:U52"/>
    <mergeCell ref="V52:AC52"/>
    <mergeCell ref="AD52:AI52"/>
    <mergeCell ref="AJ52:AO52"/>
    <mergeCell ref="AY49:AZ49"/>
    <mergeCell ref="BA49:BB49"/>
    <mergeCell ref="BC49:BD49"/>
    <mergeCell ref="B50:C50"/>
    <mergeCell ref="T50:U50"/>
    <mergeCell ref="V50:AC50"/>
    <mergeCell ref="AD50:AI50"/>
    <mergeCell ref="AJ50:AO50"/>
    <mergeCell ref="B48:C48"/>
    <mergeCell ref="T48:U48"/>
    <mergeCell ref="V48:AC48"/>
    <mergeCell ref="AD48:AI48"/>
    <mergeCell ref="AJ48:AO48"/>
    <mergeCell ref="B49:C49"/>
    <mergeCell ref="T49:U49"/>
    <mergeCell ref="V49:AC49"/>
    <mergeCell ref="AD49:AI49"/>
    <mergeCell ref="AJ49:AO49"/>
    <mergeCell ref="AR46:AT46"/>
    <mergeCell ref="B47:C47"/>
    <mergeCell ref="H47:R47"/>
    <mergeCell ref="T47:U47"/>
    <mergeCell ref="V47:AC47"/>
    <mergeCell ref="AD47:AI47"/>
    <mergeCell ref="AJ47:AO47"/>
    <mergeCell ref="B45:C45"/>
    <mergeCell ref="T45:U45"/>
    <mergeCell ref="V45:AC45"/>
    <mergeCell ref="AD45:AI45"/>
    <mergeCell ref="AJ45:AO45"/>
    <mergeCell ref="B46:C46"/>
    <mergeCell ref="T46:U46"/>
    <mergeCell ref="V46:AC46"/>
    <mergeCell ref="AD46:AI46"/>
    <mergeCell ref="AJ46:AO46"/>
    <mergeCell ref="B43:C43"/>
    <mergeCell ref="T43:U43"/>
    <mergeCell ref="V43:AC43"/>
    <mergeCell ref="AD43:AI43"/>
    <mergeCell ref="AJ43:AO43"/>
    <mergeCell ref="B44:C44"/>
    <mergeCell ref="T44:U44"/>
    <mergeCell ref="V44:AC44"/>
    <mergeCell ref="AD44:AI44"/>
    <mergeCell ref="AJ44:AO44"/>
    <mergeCell ref="B41:C41"/>
    <mergeCell ref="T41:U41"/>
    <mergeCell ref="V41:AC41"/>
    <mergeCell ref="AD41:AI41"/>
    <mergeCell ref="AJ41:AO41"/>
    <mergeCell ref="B42:C42"/>
    <mergeCell ref="T42:U42"/>
    <mergeCell ref="V42:AC42"/>
    <mergeCell ref="AD42:AI42"/>
    <mergeCell ref="AJ42:AO42"/>
    <mergeCell ref="B39:C39"/>
    <mergeCell ref="T39:U39"/>
    <mergeCell ref="V39:AC39"/>
    <mergeCell ref="AD39:AI39"/>
    <mergeCell ref="AJ39:AO39"/>
    <mergeCell ref="B40:C40"/>
    <mergeCell ref="T40:U40"/>
    <mergeCell ref="V40:AC40"/>
    <mergeCell ref="AD40:AI40"/>
    <mergeCell ref="AJ40:AO40"/>
    <mergeCell ref="B37:C37"/>
    <mergeCell ref="T37:U37"/>
    <mergeCell ref="V37:AC37"/>
    <mergeCell ref="AD37:AI37"/>
    <mergeCell ref="AJ37:AO37"/>
    <mergeCell ref="B38:C38"/>
    <mergeCell ref="T38:U38"/>
    <mergeCell ref="V38:AC38"/>
    <mergeCell ref="AD38:AI38"/>
    <mergeCell ref="AJ38:AO38"/>
    <mergeCell ref="B35:C35"/>
    <mergeCell ref="T35:U35"/>
    <mergeCell ref="V35:AC35"/>
    <mergeCell ref="AD35:AI35"/>
    <mergeCell ref="AJ35:AO35"/>
    <mergeCell ref="B36:C36"/>
    <mergeCell ref="T36:U36"/>
    <mergeCell ref="V36:AC36"/>
    <mergeCell ref="AD36:AI36"/>
    <mergeCell ref="AJ36:AO36"/>
    <mergeCell ref="B33:C33"/>
    <mergeCell ref="T33:U33"/>
    <mergeCell ref="V33:AC33"/>
    <mergeCell ref="AD33:AI33"/>
    <mergeCell ref="AJ33:AO33"/>
    <mergeCell ref="B34:C34"/>
    <mergeCell ref="T34:U34"/>
    <mergeCell ref="V34:AC34"/>
    <mergeCell ref="AD34:AI34"/>
    <mergeCell ref="AJ34:AO34"/>
    <mergeCell ref="B31:C31"/>
    <mergeCell ref="T31:U31"/>
    <mergeCell ref="V31:AC31"/>
    <mergeCell ref="AD31:AI31"/>
    <mergeCell ref="AJ31:AO31"/>
    <mergeCell ref="V32:AC32"/>
    <mergeCell ref="AD32:AI32"/>
    <mergeCell ref="AJ32:AO32"/>
    <mergeCell ref="AH26:AO26"/>
    <mergeCell ref="V29:AC29"/>
    <mergeCell ref="AD29:AI29"/>
    <mergeCell ref="AJ29:AO29"/>
    <mergeCell ref="B30:C30"/>
    <mergeCell ref="T30:U30"/>
    <mergeCell ref="V30:AC30"/>
    <mergeCell ref="AD30:AI30"/>
    <mergeCell ref="AJ30:AO30"/>
    <mergeCell ref="V28:AO28"/>
    <mergeCell ref="B14:C14"/>
    <mergeCell ref="AF22:AJ22"/>
    <mergeCell ref="B23:C23"/>
    <mergeCell ref="D23:H23"/>
    <mergeCell ref="X23:Z23"/>
    <mergeCell ref="AA23:AE23"/>
    <mergeCell ref="AF23:AJ23"/>
    <mergeCell ref="AK19:AO20"/>
    <mergeCell ref="B21:C21"/>
    <mergeCell ref="D21:H21"/>
    <mergeCell ref="X21:Z21"/>
    <mergeCell ref="AA21:AE21"/>
    <mergeCell ref="AF21:AJ21"/>
    <mergeCell ref="B19:C19"/>
    <mergeCell ref="D19:H20"/>
    <mergeCell ref="I19:J19"/>
    <mergeCell ref="AA19:AE20"/>
    <mergeCell ref="AF19:AJ20"/>
    <mergeCell ref="B22:C22"/>
    <mergeCell ref="D22:H22"/>
    <mergeCell ref="X22:Z22"/>
    <mergeCell ref="AA22:AE22"/>
    <mergeCell ref="K19:W23"/>
    <mergeCell ref="AR25:AS27"/>
    <mergeCell ref="V160:AO160"/>
    <mergeCell ref="AR157:AS159"/>
    <mergeCell ref="AH158:AO158"/>
    <mergeCell ref="K151:W155"/>
    <mergeCell ref="B2:G2"/>
    <mergeCell ref="AI2:AO2"/>
    <mergeCell ref="B3:G3"/>
    <mergeCell ref="AI3:AO4"/>
    <mergeCell ref="B4:G6"/>
    <mergeCell ref="AJ5:AM6"/>
    <mergeCell ref="AN6:AO6"/>
    <mergeCell ref="B15:C15"/>
    <mergeCell ref="B16:C16"/>
    <mergeCell ref="D16:AO16"/>
    <mergeCell ref="B17:C17"/>
    <mergeCell ref="D17:AO17"/>
    <mergeCell ref="B18:C18"/>
    <mergeCell ref="D18:AO18"/>
    <mergeCell ref="AG7:AO7"/>
    <mergeCell ref="B8:AF9"/>
    <mergeCell ref="AG8:AO9"/>
    <mergeCell ref="B10:D10"/>
    <mergeCell ref="B13:C13"/>
  </mergeCells>
  <conditionalFormatting sqref="A52">
    <cfRule type="expression" dxfId="2568" priority="5">
      <formula>AND(AS52,AT52)</formula>
    </cfRule>
  </conditionalFormatting>
  <conditionalFormatting sqref="A184">
    <cfRule type="expression" dxfId="2567" priority="2">
      <formula>AND(AS184,AT184)</formula>
    </cfRule>
  </conditionalFormatting>
  <conditionalFormatting sqref="B8 AG8">
    <cfRule type="expression" dxfId="2566" priority="123">
      <formula>NoColor</formula>
    </cfRule>
  </conditionalFormatting>
  <conditionalFormatting sqref="B140 AG140">
    <cfRule type="expression" dxfId="2565" priority="71">
      <formula>NoColor</formula>
    </cfRule>
  </conditionalFormatting>
  <conditionalFormatting sqref="B67:AO67">
    <cfRule type="expression" dxfId="2564" priority="102">
      <formula>NoColor</formula>
    </cfRule>
  </conditionalFormatting>
  <conditionalFormatting sqref="B118:AO118">
    <cfRule type="expression" dxfId="2563" priority="72">
      <formula>NoColor</formula>
    </cfRule>
  </conditionalFormatting>
  <conditionalFormatting sqref="B199:AO199">
    <cfRule type="expression" dxfId="2562" priority="17">
      <formula>NoColor</formula>
    </cfRule>
  </conditionalFormatting>
  <conditionalFormatting sqref="B250:AO250">
    <cfRule type="expression" dxfId="2561" priority="21">
      <formula>NoColor</formula>
    </cfRule>
  </conditionalFormatting>
  <conditionalFormatting sqref="C101:J102">
    <cfRule type="expression" dxfId="2560" priority="92">
      <formula>NoColor</formula>
    </cfRule>
  </conditionalFormatting>
  <conditionalFormatting sqref="C233:J234">
    <cfRule type="expression" dxfId="2559" priority="41">
      <formula>NoColor</formula>
    </cfRule>
  </conditionalFormatting>
  <conditionalFormatting sqref="C80:AO83">
    <cfRule type="expression" dxfId="2558" priority="101">
      <formula>NoColor</formula>
    </cfRule>
  </conditionalFormatting>
  <conditionalFormatting sqref="C88:AO91">
    <cfRule type="expression" dxfId="2557" priority="100">
      <formula>NoColor</formula>
    </cfRule>
  </conditionalFormatting>
  <conditionalFormatting sqref="C107:AO108">
    <cfRule type="expression" dxfId="2556" priority="90">
      <formula>NoColor</formula>
    </cfRule>
  </conditionalFormatting>
  <conditionalFormatting sqref="C212:AO215">
    <cfRule type="expression" dxfId="2555" priority="50">
      <formula>NoColor</formula>
    </cfRule>
  </conditionalFormatting>
  <conditionalFormatting sqref="C220:AO223">
    <cfRule type="expression" dxfId="2554" priority="49">
      <formula>NoColor</formula>
    </cfRule>
  </conditionalFormatting>
  <conditionalFormatting sqref="C239:AO240">
    <cfRule type="expression" dxfId="2553" priority="39">
      <formula>NoColor</formula>
    </cfRule>
  </conditionalFormatting>
  <conditionalFormatting sqref="D52:D53">
    <cfRule type="expression" dxfId="2552" priority="4">
      <formula>$AV52</formula>
    </cfRule>
  </conditionalFormatting>
  <conditionalFormatting sqref="D184:D185">
    <cfRule type="expression" dxfId="2551" priority="1">
      <formula>$AV184</formula>
    </cfRule>
  </conditionalFormatting>
  <conditionalFormatting sqref="D21:H23">
    <cfRule type="expression" dxfId="2550" priority="121">
      <formula>NoColor</formula>
    </cfRule>
  </conditionalFormatting>
  <conditionalFormatting sqref="D153:H155">
    <cfRule type="expression" dxfId="2549" priority="69">
      <formula>NoColor</formula>
    </cfRule>
  </conditionalFormatting>
  <conditionalFormatting sqref="D16:AO18">
    <cfRule type="expression" dxfId="2548" priority="122">
      <formula>NoColor</formula>
    </cfRule>
  </conditionalFormatting>
  <conditionalFormatting sqref="D148:AO150">
    <cfRule type="expression" dxfId="2547" priority="70">
      <formula>NoColor</formula>
    </cfRule>
  </conditionalFormatting>
  <conditionalFormatting sqref="F93:J93">
    <cfRule type="expression" dxfId="2546" priority="99">
      <formula>NoColor</formula>
    </cfRule>
  </conditionalFormatting>
  <conditionalFormatting sqref="F225:J225">
    <cfRule type="expression" dxfId="2545" priority="48">
      <formula>NoColor</formula>
    </cfRule>
  </conditionalFormatting>
  <conditionalFormatting sqref="F110:N110">
    <cfRule type="expression" dxfId="2544" priority="89">
      <formula>NoColor</formula>
    </cfRule>
  </conditionalFormatting>
  <conditionalFormatting sqref="F242:N242">
    <cfRule type="expression" dxfId="2543" priority="38">
      <formula>NoColor</formula>
    </cfRule>
  </conditionalFormatting>
  <conditionalFormatting sqref="H2">
    <cfRule type="expression" dxfId="2542" priority="73">
      <formula>NOT(Draft)</formula>
    </cfRule>
  </conditionalFormatting>
  <conditionalFormatting sqref="H134">
    <cfRule type="expression" dxfId="2541" priority="22">
      <formula>NOT(Draft)</formula>
    </cfRule>
  </conditionalFormatting>
  <conditionalFormatting sqref="H198">
    <cfRule type="expression" dxfId="2540" priority="12">
      <formula>AND($AR198,$AP199="",NOT(NoColor))</formula>
    </cfRule>
  </conditionalFormatting>
  <conditionalFormatting sqref="H66:I66">
    <cfRule type="expression" dxfId="2539" priority="13">
      <formula>AND($AR66,$AP67="",NOT(NoColor))</formula>
    </cfRule>
  </conditionalFormatting>
  <conditionalFormatting sqref="H47:R48">
    <cfRule type="expression" dxfId="2538" priority="110">
      <formula>NoColor</formula>
    </cfRule>
  </conditionalFormatting>
  <conditionalFormatting sqref="H179:R180">
    <cfRule type="expression" dxfId="2537" priority="58">
      <formula>NoColor</formula>
    </cfRule>
  </conditionalFormatting>
  <conditionalFormatting sqref="H59:AF59">
    <cfRule type="expression" dxfId="2536" priority="108">
      <formula>NoColor</formula>
    </cfRule>
  </conditionalFormatting>
  <conditionalFormatting sqref="H191:AF191">
    <cfRule type="expression" dxfId="2535" priority="56">
      <formula>NoColor</formula>
    </cfRule>
  </conditionalFormatting>
  <conditionalFormatting sqref="H60:AG60">
    <cfRule type="expression" dxfId="2534" priority="106">
      <formula>NoColor</formula>
    </cfRule>
  </conditionalFormatting>
  <conditionalFormatting sqref="H192:AG192">
    <cfRule type="expression" dxfId="2533" priority="54">
      <formula>NoColor</formula>
    </cfRule>
  </conditionalFormatting>
  <conditionalFormatting sqref="K92:R92">
    <cfRule type="expression" dxfId="2532" priority="98">
      <formula>NoColor</formula>
    </cfRule>
  </conditionalFormatting>
  <conditionalFormatting sqref="K224:R224">
    <cfRule type="expression" dxfId="2531" priority="47">
      <formula>NoColor</formula>
    </cfRule>
  </conditionalFormatting>
  <conditionalFormatting sqref="O109:X109">
    <cfRule type="expression" dxfId="2530" priority="88">
      <formula>NoColor</formula>
    </cfRule>
  </conditionalFormatting>
  <conditionalFormatting sqref="O241:X241">
    <cfRule type="expression" dxfId="2529" priority="37">
      <formula>NoColor</formula>
    </cfRule>
  </conditionalFormatting>
  <conditionalFormatting sqref="S93:AG93">
    <cfRule type="expression" dxfId="2528" priority="95">
      <formula>NoColor</formula>
    </cfRule>
  </conditionalFormatting>
  <conditionalFormatting sqref="S225:AG225">
    <cfRule type="expression" dxfId="2527" priority="44">
      <formula>NoColor</formula>
    </cfRule>
  </conditionalFormatting>
  <conditionalFormatting sqref="V53:W53 AC53:AE53 AI53:AK53 AO53">
    <cfRule type="expression" dxfId="2526" priority="6">
      <formula>NoColor</formula>
    </cfRule>
  </conditionalFormatting>
  <conditionalFormatting sqref="V185:W185 AC185:AE185 AI185:AK185 AO185">
    <cfRule type="expression" dxfId="2525" priority="3">
      <formula>NoColor</formula>
    </cfRule>
  </conditionalFormatting>
  <conditionalFormatting sqref="V32:AC32">
    <cfRule type="expression" dxfId="2524" priority="79">
      <formula>$BE$21</formula>
    </cfRule>
  </conditionalFormatting>
  <conditionalFormatting sqref="V164:AC164">
    <cfRule type="expression" dxfId="2523" priority="28">
      <formula>$BE$21</formula>
    </cfRule>
  </conditionalFormatting>
  <conditionalFormatting sqref="V30:AO31">
    <cfRule type="expression" dxfId="2522" priority="116">
      <formula>NoColor</formula>
    </cfRule>
  </conditionalFormatting>
  <conditionalFormatting sqref="V33:AO48">
    <cfRule type="expression" dxfId="2521" priority="114">
      <formula>NoColor</formula>
    </cfRule>
  </conditionalFormatting>
  <conditionalFormatting sqref="V51:AO51">
    <cfRule type="expression" dxfId="2520" priority="113">
      <formula>NoColor</formula>
    </cfRule>
  </conditionalFormatting>
  <conditionalFormatting sqref="V162:AO163">
    <cfRule type="expression" dxfId="2519" priority="64">
      <formula>NoColor</formula>
    </cfRule>
  </conditionalFormatting>
  <conditionalFormatting sqref="V165:AO180">
    <cfRule type="expression" dxfId="2518" priority="62">
      <formula>NoColor</formula>
    </cfRule>
  </conditionalFormatting>
  <conditionalFormatting sqref="V183:AO183">
    <cfRule type="expression" dxfId="2517" priority="61">
      <formula>NoColor</formula>
    </cfRule>
  </conditionalFormatting>
  <conditionalFormatting sqref="Y110:AG110">
    <cfRule type="expression" dxfId="2516" priority="87">
      <formula>NoColor</formula>
    </cfRule>
  </conditionalFormatting>
  <conditionalFormatting sqref="Y242:AG242">
    <cfRule type="expression" dxfId="2515" priority="36">
      <formula>NoColor</formula>
    </cfRule>
  </conditionalFormatting>
  <conditionalFormatting sqref="AA21:AE23">
    <cfRule type="expression" dxfId="2514" priority="75">
      <formula>AV21</formula>
    </cfRule>
  </conditionalFormatting>
  <conditionalFormatting sqref="AA153:AE155">
    <cfRule type="expression" dxfId="2513" priority="24">
      <formula>AV153</formula>
    </cfRule>
  </conditionalFormatting>
  <conditionalFormatting sqref="AA127:AG127">
    <cfRule type="expression" dxfId="2512" priority="81">
      <formula>NoColor</formula>
    </cfRule>
  </conditionalFormatting>
  <conditionalFormatting sqref="AA132:AG132">
    <cfRule type="expression" dxfId="2511" priority="80">
      <formula>NoColor</formula>
    </cfRule>
  </conditionalFormatting>
  <conditionalFormatting sqref="AA259:AG259">
    <cfRule type="expression" dxfId="2510" priority="30">
      <formula>NoColor</formula>
    </cfRule>
  </conditionalFormatting>
  <conditionalFormatting sqref="AA264:AG264">
    <cfRule type="expression" dxfId="2509" priority="29">
      <formula>NoColor</formula>
    </cfRule>
  </conditionalFormatting>
  <conditionalFormatting sqref="AA21:AJ23">
    <cfRule type="expression" dxfId="2508" priority="120">
      <formula>NoColor</formula>
    </cfRule>
  </conditionalFormatting>
  <conditionalFormatting sqref="AA153:AJ155">
    <cfRule type="expression" dxfId="2507" priority="68">
      <formula>NoColor</formula>
    </cfRule>
  </conditionalFormatting>
  <conditionalFormatting sqref="AD32:AI32">
    <cfRule type="expression" dxfId="2506" priority="78">
      <formula>$BE$22</formula>
    </cfRule>
  </conditionalFormatting>
  <conditionalFormatting sqref="AD54:AI58 AD63:AF63 AD64:AI64">
    <cfRule type="expression" dxfId="2505" priority="111">
      <formula>NoColor</formula>
    </cfRule>
  </conditionalFormatting>
  <conditionalFormatting sqref="AD164:AI164">
    <cfRule type="expression" dxfId="2504" priority="27">
      <formula>$BE$22</formula>
    </cfRule>
  </conditionalFormatting>
  <conditionalFormatting sqref="AD186:AI190 AD195:AF195 AD196:AI196">
    <cfRule type="expression" dxfId="2503" priority="59">
      <formula>NoColor</formula>
    </cfRule>
  </conditionalFormatting>
  <conditionalFormatting sqref="AF21:AJ23">
    <cfRule type="expression" dxfId="2502" priority="76">
      <formula>AW21</formula>
    </cfRule>
  </conditionalFormatting>
  <conditionalFormatting sqref="AF153:AJ155">
    <cfRule type="expression" dxfId="2501" priority="25">
      <formula>AW153</formula>
    </cfRule>
  </conditionalFormatting>
  <conditionalFormatting sqref="AH158">
    <cfRule type="expression" dxfId="2500" priority="18">
      <formula>AND($AR$156,NOT(NoColor))</formula>
    </cfRule>
  </conditionalFormatting>
  <conditionalFormatting sqref="AH26:AO26">
    <cfRule type="expression" dxfId="2499" priority="11">
      <formula>AND(AR24,NOT(NoColor))</formula>
    </cfRule>
  </conditionalFormatting>
  <conditionalFormatting sqref="AH92:AO92">
    <cfRule type="expression" dxfId="2498" priority="96">
      <formula>NoColor</formula>
    </cfRule>
  </conditionalFormatting>
  <conditionalFormatting sqref="AH94:AO94 AH95:AI95 AO95 AH96:AO96">
    <cfRule type="expression" dxfId="2497" priority="94">
      <formula>NoColor</formula>
    </cfRule>
  </conditionalFormatting>
  <conditionalFormatting sqref="AH101:AO102">
    <cfRule type="expression" dxfId="2496" priority="93">
      <formula>NoColor</formula>
    </cfRule>
  </conditionalFormatting>
  <conditionalFormatting sqref="AH109:AO109">
    <cfRule type="expression" dxfId="2495" priority="86">
      <formula>NoColor</formula>
    </cfRule>
  </conditionalFormatting>
  <conditionalFormatting sqref="AH224:AO224">
    <cfRule type="expression" dxfId="2494" priority="45">
      <formula>NoColor</formula>
    </cfRule>
  </conditionalFormatting>
  <conditionalFormatting sqref="AH226:AO226 AH227:AI227 AO227 AH228:AO228">
    <cfRule type="expression" dxfId="2493" priority="43">
      <formula>NoColor</formula>
    </cfRule>
  </conditionalFormatting>
  <conditionalFormatting sqref="AH233:AO234">
    <cfRule type="expression" dxfId="2492" priority="42">
      <formula>NoColor</formula>
    </cfRule>
  </conditionalFormatting>
  <conditionalFormatting sqref="AH241:AO241">
    <cfRule type="expression" dxfId="2491" priority="35">
      <formula>NoColor</formula>
    </cfRule>
  </conditionalFormatting>
  <conditionalFormatting sqref="AJ13">
    <cfRule type="expression" dxfId="2488" priority="74">
      <formula>NOT(Draft)</formula>
    </cfRule>
  </conditionalFormatting>
  <conditionalFormatting sqref="AJ13:AJ14">
    <cfRule type="expression" dxfId="2487" priority="118">
      <formula>NoColor</formula>
    </cfRule>
  </conditionalFormatting>
  <conditionalFormatting sqref="AJ75">
    <cfRule type="expression" dxfId="2486" priority="104">
      <formula>NoColor</formula>
    </cfRule>
  </conditionalFormatting>
  <conditionalFormatting sqref="AJ145">
    <cfRule type="expression" dxfId="2485" priority="23">
      <formula>NOT(Draft)</formula>
    </cfRule>
  </conditionalFormatting>
  <conditionalFormatting sqref="AJ145:AJ146">
    <cfRule type="expression" dxfId="2484" priority="66">
      <formula>NoColor</formula>
    </cfRule>
  </conditionalFormatting>
  <conditionalFormatting sqref="AJ207">
    <cfRule type="expression" dxfId="2483" priority="52">
      <formula>NoColor</formula>
    </cfRule>
  </conditionalFormatting>
  <conditionalFormatting sqref="AJ60:AK60">
    <cfRule type="expression" dxfId="2482" priority="20">
      <formula>NoColor</formula>
    </cfRule>
  </conditionalFormatting>
  <conditionalFormatting sqref="AJ192:AK192 AO192">
    <cfRule type="expression" dxfId="2481" priority="55">
      <formula>NoColor</formula>
    </cfRule>
  </conditionalFormatting>
  <conditionalFormatting sqref="AJ32:AO32">
    <cfRule type="expression" dxfId="2480" priority="77">
      <formula>$BE$23</formula>
    </cfRule>
  </conditionalFormatting>
  <conditionalFormatting sqref="AJ59:AO59">
    <cfRule type="expression" dxfId="2479" priority="109">
      <formula>NoColor</formula>
    </cfRule>
  </conditionalFormatting>
  <conditionalFormatting sqref="AJ63:AO63">
    <cfRule type="expression" dxfId="2478" priority="105">
      <formula>NoColor</formula>
    </cfRule>
  </conditionalFormatting>
  <conditionalFormatting sqref="AJ111:AO111 AJ112:AK112 AO112 AJ113:AO113">
    <cfRule type="expression" dxfId="2477" priority="85">
      <formula>NoColor</formula>
    </cfRule>
  </conditionalFormatting>
  <conditionalFormatting sqref="AJ119:AO119">
    <cfRule type="expression" dxfId="2476" priority="84">
      <formula>NoColor</formula>
    </cfRule>
  </conditionalFormatting>
  <conditionalFormatting sqref="AJ121:AO123">
    <cfRule type="expression" dxfId="2475" priority="83">
      <formula>NoColor</formula>
    </cfRule>
  </conditionalFormatting>
  <conditionalFormatting sqref="AJ164:AO164">
    <cfRule type="expression" dxfId="2474" priority="26">
      <formula>$BE$23</formula>
    </cfRule>
  </conditionalFormatting>
  <conditionalFormatting sqref="AJ191:AO191">
    <cfRule type="expression" dxfId="2473" priority="57">
      <formula>NoColor</formula>
    </cfRule>
  </conditionalFormatting>
  <conditionalFormatting sqref="AJ195:AO195">
    <cfRule type="expression" dxfId="2472" priority="53">
      <formula>NoColor</formula>
    </cfRule>
  </conditionalFormatting>
  <conditionalFormatting sqref="AJ243:AO243 AJ244:AK244 AO244 AJ245:AO245">
    <cfRule type="expression" dxfId="2471" priority="34">
      <formula>NoColor</formula>
    </cfRule>
  </conditionalFormatting>
  <conditionalFormatting sqref="AJ251:AO251">
    <cfRule type="expression" dxfId="2470" priority="33">
      <formula>NoColor</formula>
    </cfRule>
  </conditionalFormatting>
  <conditionalFormatting sqref="AJ253:AO255">
    <cfRule type="expression" dxfId="2469" priority="32">
      <formula>NoColor</formula>
    </cfRule>
  </conditionalFormatting>
  <conditionalFormatting sqref="AM13:AM14">
    <cfRule type="expression" dxfId="2468" priority="117">
      <formula>NoColor</formula>
    </cfRule>
  </conditionalFormatting>
  <conditionalFormatting sqref="AM21:AM23">
    <cfRule type="expression" dxfId="2467" priority="119">
      <formula>NoColor</formula>
    </cfRule>
  </conditionalFormatting>
  <conditionalFormatting sqref="AM75">
    <cfRule type="expression" dxfId="2466" priority="103">
      <formula>NoColor</formula>
    </cfRule>
  </conditionalFormatting>
  <conditionalFormatting sqref="AM145:AM146">
    <cfRule type="expression" dxfId="2465" priority="65">
      <formula>NoColor</formula>
    </cfRule>
  </conditionalFormatting>
  <conditionalFormatting sqref="AM153:AM155">
    <cfRule type="expression" dxfId="2464" priority="67">
      <formula>NoColor</formula>
    </cfRule>
  </conditionalFormatting>
  <conditionalFormatting sqref="AM207">
    <cfRule type="expression" dxfId="2463" priority="51">
      <formula>NoColor</formula>
    </cfRule>
  </conditionalFormatting>
  <conditionalFormatting sqref="AO60">
    <cfRule type="expression" dxfId="2462" priority="107">
      <formula>NoColor</formula>
    </cfRule>
  </conditionalFormatting>
  <conditionalFormatting sqref="AP67">
    <cfRule type="expression" dxfId="2460" priority="15">
      <formula>$AR66</formula>
    </cfRule>
  </conditionalFormatting>
  <conditionalFormatting sqref="AP199">
    <cfRule type="expression" dxfId="2458" priority="16">
      <formula>$AR198</formula>
    </cfRule>
  </conditionalFormatting>
  <pageMargins left="0.75" right="0.25" top="0.36" bottom="0.28999999999999998" header="0.36" footer="0.21"/>
  <pageSetup scale="74" fitToHeight="0" orientation="portrait" r:id="rId1"/>
  <rowBreaks count="3" manualBreakCount="3">
    <brk id="64" min="1" max="40" man="1"/>
    <brk id="133" min="1" max="40" man="1"/>
    <brk id="196" min="1" max="40" man="1"/>
  </rowBreaks>
  <extLst>
    <ext xmlns:x14="http://schemas.microsoft.com/office/spreadsheetml/2009/9/main" uri="{78C0D931-6437-407d-A8EE-F0AAD7539E65}">
      <x14:conditionalFormattings>
        <x14:conditionalFormatting xmlns:xm="http://schemas.microsoft.com/office/excel/2006/main">
          <x14:cfRule type="expression" priority="7" id="{94A08335-BDCA-4D48-8C76-8025D1275144}">
            <xm:f>AND('Table of Contents'!A39="D",AP2="")</xm:f>
            <x14:dxf>
              <font>
                <b/>
                <i/>
                <color rgb="FFC00000"/>
              </font>
            </x14:dxf>
          </x14:cfRule>
          <xm:sqref>AI2:AO2</xm:sqref>
        </x14:conditionalFormatting>
        <x14:conditionalFormatting xmlns:xm="http://schemas.microsoft.com/office/excel/2006/main">
          <x14:cfRule type="expression" priority="8" id="{1450EADD-CE73-4475-8373-BDFA5B83D868}">
            <xm:f>AND('Table of Contents'!A38="D",AP134="")</xm:f>
            <x14:dxf>
              <font>
                <b/>
                <i/>
                <color rgb="FFC00000"/>
              </font>
            </x14:dxf>
          </x14:cfRule>
          <xm:sqref>AI134:AO134</xm:sqref>
        </x14:conditionalFormatting>
        <x14:conditionalFormatting xmlns:xm="http://schemas.microsoft.com/office/excel/2006/main">
          <x14:cfRule type="expression" priority="10" id="{46B91551-310D-4619-B47D-2B2A4DD0F338}">
            <xm:f>'Table of Contents'!A38="D"</xm:f>
            <x14:dxf>
              <fill>
                <patternFill>
                  <bgColor theme="0"/>
                </patternFill>
              </fill>
              <border>
                <right style="thin">
                  <color auto="1"/>
                </right>
                <top style="thin">
                  <color auto="1"/>
                </top>
                <bottom style="thin">
                  <color auto="1"/>
                </bottom>
                <vertical/>
                <horizontal/>
              </border>
            </x14:dxf>
          </x14:cfRule>
          <xm:sqref>AP2</xm:sqref>
        </x14:conditionalFormatting>
        <x14:conditionalFormatting xmlns:xm="http://schemas.microsoft.com/office/excel/2006/main">
          <x14:cfRule type="expression" priority="9" id="{CDFBB19D-91D1-40A2-9467-874A90A90133}">
            <xm:f>IF(AND('Table of Contents'!A39="D",TRUE),TRUE,FALSE)</xm:f>
            <x14:dxf>
              <fill>
                <patternFill>
                  <bgColor theme="0"/>
                </patternFill>
              </fill>
              <border>
                <right style="thin">
                  <color auto="1"/>
                </right>
                <top style="thin">
                  <color auto="1"/>
                </top>
                <bottom style="thin">
                  <color auto="1"/>
                </bottom>
                <vertical/>
                <horizontal/>
              </border>
            </x14:dxf>
          </x14:cfRule>
          <xm:sqref>AP134</xm:sqref>
        </x14:conditionalFormatting>
      </x14:conditionalFormatting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pageSetUpPr fitToPage="1"/>
  </sheetPr>
  <dimension ref="A1:AS129"/>
  <sheetViews>
    <sheetView zoomScaleNormal="100" zoomScaleSheetLayoutView="145" workbookViewId="0"/>
  </sheetViews>
  <sheetFormatPr defaultRowHeight="12.75"/>
  <cols>
    <col min="1" max="1" width="2" customWidth="1"/>
    <col min="2" max="2" width="3.85546875" customWidth="1"/>
    <col min="3" max="3" width="4.85546875" customWidth="1"/>
    <col min="4" max="4" width="12" customWidth="1"/>
    <col min="5" max="5" width="11.7109375" customWidth="1"/>
    <col min="6" max="6" width="3" customWidth="1"/>
    <col min="7" max="7" width="6.28515625" customWidth="1"/>
    <col min="8" max="8" width="3.28515625" customWidth="1"/>
    <col min="9" max="14" width="3.85546875" customWidth="1"/>
    <col min="15" max="15" width="2.140625" customWidth="1"/>
    <col min="16" max="16" width="4.85546875" customWidth="1"/>
    <col min="17" max="17" width="3.5703125" customWidth="1"/>
    <col min="18" max="18" width="3.28515625" customWidth="1"/>
    <col min="19" max="21" width="3.5703125" customWidth="1"/>
    <col min="22" max="22" width="3.7109375" customWidth="1"/>
    <col min="23" max="31" width="3.85546875" customWidth="1"/>
    <col min="32" max="32" width="3.28515625" customWidth="1"/>
    <col min="33" max="33" width="13.85546875" customWidth="1"/>
    <col min="34" max="34" width="2.5703125" customWidth="1"/>
    <col min="35" max="35" width="15.42578125" customWidth="1"/>
    <col min="36" max="45" width="10.7109375" style="658" customWidth="1"/>
  </cols>
  <sheetData>
    <row r="1" spans="1:36" ht="15.75" customHeight="1">
      <c r="A1" s="139"/>
      <c r="B1" s="139"/>
      <c r="C1" s="139"/>
      <c r="D1" s="139"/>
      <c r="E1" s="962"/>
      <c r="F1" s="139"/>
      <c r="G1" s="139"/>
      <c r="H1" s="139"/>
      <c r="I1" s="139"/>
      <c r="J1" s="139"/>
      <c r="K1" s="139"/>
      <c r="L1" s="139"/>
      <c r="M1" s="139"/>
      <c r="N1" s="139"/>
      <c r="O1" s="139"/>
      <c r="P1" s="139"/>
      <c r="Q1" s="139"/>
      <c r="R1" s="139"/>
      <c r="S1" s="139"/>
      <c r="T1" s="139"/>
      <c r="U1" s="139"/>
      <c r="V1" s="139"/>
      <c r="W1" s="139"/>
      <c r="X1" s="139"/>
      <c r="Y1" s="139"/>
      <c r="Z1" s="139"/>
      <c r="AA1" s="139"/>
      <c r="AB1" s="139"/>
      <c r="AC1" s="139"/>
      <c r="AD1" s="139"/>
      <c r="AE1" s="139"/>
      <c r="AF1" s="139"/>
      <c r="AG1" s="2875"/>
      <c r="AH1" s="139"/>
      <c r="AJ1" s="657" t="s">
        <v>223</v>
      </c>
    </row>
    <row r="2" spans="1:36" ht="15.75" customHeight="1">
      <c r="A2" s="139"/>
      <c r="B2" s="139"/>
      <c r="C2" s="139"/>
      <c r="D2" s="139"/>
      <c r="E2" s="139"/>
      <c r="F2" s="139"/>
      <c r="G2" s="139"/>
      <c r="H2" s="139"/>
      <c r="I2" s="139"/>
      <c r="J2" s="139"/>
      <c r="K2" s="139"/>
      <c r="L2" s="139"/>
      <c r="M2" s="139"/>
      <c r="N2" s="139"/>
      <c r="O2" s="139"/>
      <c r="P2" s="139"/>
      <c r="Q2" s="139"/>
      <c r="R2" s="139"/>
      <c r="S2" s="139"/>
      <c r="T2" s="139"/>
      <c r="U2" s="139"/>
      <c r="V2" s="139"/>
      <c r="W2" s="139"/>
      <c r="X2" s="139"/>
      <c r="Y2" s="139"/>
      <c r="Z2" s="139"/>
      <c r="AA2" s="7038" t="str">
        <f>IF('Table of Contents'!A40="D","DRAFT","")</f>
        <v/>
      </c>
      <c r="AB2" s="7038"/>
      <c r="AC2" s="7038"/>
      <c r="AD2" s="7038"/>
      <c r="AE2" s="7038"/>
      <c r="AF2" s="139"/>
      <c r="AG2" s="2875"/>
      <c r="AH2" s="139"/>
    </row>
    <row r="3" spans="1:36" ht="15" customHeight="1">
      <c r="A3" s="139"/>
      <c r="B3" s="8695" t="s">
        <v>2456</v>
      </c>
      <c r="C3" s="8695"/>
      <c r="D3" s="8696"/>
      <c r="E3" s="3822"/>
      <c r="F3" s="253"/>
      <c r="G3" s="253"/>
      <c r="H3" s="253"/>
      <c r="I3" s="253"/>
      <c r="J3" s="253"/>
      <c r="K3" s="253"/>
      <c r="L3" s="253"/>
      <c r="M3" s="253"/>
      <c r="N3" s="253"/>
      <c r="O3" s="253"/>
      <c r="P3" s="253"/>
      <c r="Q3" s="253"/>
      <c r="R3" s="253"/>
      <c r="S3" s="253"/>
      <c r="T3" s="253"/>
      <c r="U3" s="253"/>
      <c r="V3" s="253"/>
      <c r="W3" s="253"/>
      <c r="X3" s="253"/>
      <c r="Y3" s="6283"/>
      <c r="Z3" s="253"/>
      <c r="AA3" s="8641" t="str">
        <f>IF(AND('Table of Contents'!A40="D",AF3=""),"DRAFT","OMB No. 1545-0074")</f>
        <v>OMB No. 1545-0074</v>
      </c>
      <c r="AB3" s="8642"/>
      <c r="AC3" s="8642"/>
      <c r="AD3" s="8642"/>
      <c r="AE3" s="8642"/>
      <c r="AF3" s="1796"/>
      <c r="AG3" s="8679" t="s">
        <v>2457</v>
      </c>
      <c r="AH3" s="139"/>
    </row>
    <row r="4" spans="1:36" ht="21" customHeight="1">
      <c r="A4" s="139"/>
      <c r="B4" s="8697"/>
      <c r="C4" s="8697"/>
      <c r="D4" s="8696"/>
      <c r="E4" s="8680" t="s">
        <v>2458</v>
      </c>
      <c r="F4" s="8680"/>
      <c r="G4" s="8680"/>
      <c r="H4" s="8680"/>
      <c r="I4" s="8680"/>
      <c r="J4" s="8680"/>
      <c r="K4" s="8680"/>
      <c r="L4" s="8680"/>
      <c r="M4" s="8680"/>
      <c r="N4" s="8680"/>
      <c r="O4" s="8680"/>
      <c r="P4" s="8680"/>
      <c r="Q4" s="8680"/>
      <c r="R4" s="8680"/>
      <c r="S4" s="8680"/>
      <c r="T4" s="8680"/>
      <c r="U4" s="8680"/>
      <c r="V4" s="8680"/>
      <c r="W4" s="8680"/>
      <c r="X4" s="8680"/>
      <c r="Y4" s="8680"/>
      <c r="Z4" s="8680"/>
      <c r="AA4" s="8681">
        <f>TaxYear</f>
        <v>2025</v>
      </c>
      <c r="AB4" s="8682"/>
      <c r="AC4" s="8682"/>
      <c r="AD4" s="8682"/>
      <c r="AE4" s="8682"/>
      <c r="AF4" s="139"/>
      <c r="AG4" s="8679"/>
      <c r="AH4" s="139"/>
    </row>
    <row r="5" spans="1:36" ht="13.5" thickBot="1">
      <c r="A5" s="139"/>
      <c r="B5" s="8704" t="s">
        <v>2318</v>
      </c>
      <c r="C5" s="8704"/>
      <c r="D5" s="8705"/>
      <c r="E5" s="6284" t="s">
        <v>2459</v>
      </c>
      <c r="F5" s="366"/>
      <c r="G5" s="366"/>
      <c r="H5" s="366"/>
      <c r="I5" s="366"/>
      <c r="J5" s="366"/>
      <c r="K5" s="366"/>
      <c r="L5" s="366"/>
      <c r="M5" s="366"/>
      <c r="N5" s="366"/>
      <c r="O5" s="366"/>
      <c r="P5" s="366"/>
      <c r="Q5" s="366"/>
      <c r="R5" s="366"/>
      <c r="S5" s="366"/>
      <c r="T5" s="366"/>
      <c r="U5" s="366"/>
      <c r="V5" s="366"/>
      <c r="W5" s="366"/>
      <c r="X5" s="366"/>
      <c r="Y5" s="366"/>
      <c r="Z5" s="366"/>
      <c r="AA5" s="8683" t="s">
        <v>2460</v>
      </c>
      <c r="AB5" s="8684"/>
      <c r="AC5" s="8684"/>
      <c r="AD5" s="8684"/>
      <c r="AE5" s="8684"/>
      <c r="AF5" s="139"/>
      <c r="AG5" s="2875"/>
      <c r="AH5" s="139"/>
    </row>
    <row r="6" spans="1:36" ht="13.5" thickBot="1">
      <c r="A6" s="139"/>
      <c r="B6" s="8704"/>
      <c r="C6" s="8704"/>
      <c r="D6" s="8705"/>
      <c r="E6" s="6285" t="s">
        <v>2461</v>
      </c>
      <c r="F6" s="6284"/>
      <c r="G6" s="6284"/>
      <c r="H6" s="6284"/>
      <c r="I6" s="6284"/>
      <c r="J6" s="6284"/>
      <c r="K6" s="6284"/>
      <c r="L6" s="6284"/>
      <c r="M6" s="6284"/>
      <c r="N6" s="6284"/>
      <c r="O6" s="6284"/>
      <c r="P6" s="6284"/>
      <c r="Q6" s="6284"/>
      <c r="R6" s="6284"/>
      <c r="S6" s="6284"/>
      <c r="T6" s="6284"/>
      <c r="U6" s="6284"/>
      <c r="V6" s="6284"/>
      <c r="W6" s="6284"/>
      <c r="X6" s="6284"/>
      <c r="Y6" s="6284"/>
      <c r="Z6" s="6286"/>
      <c r="AA6" s="8685"/>
      <c r="AB6" s="8684"/>
      <c r="AC6" s="8684"/>
      <c r="AD6" s="8684"/>
      <c r="AE6" s="8684"/>
      <c r="AF6" s="139"/>
      <c r="AG6" s="1203" t="s">
        <v>2462</v>
      </c>
      <c r="AH6" s="1987" t="str">
        <f>IF(AH8="","X","")</f>
        <v>X</v>
      </c>
    </row>
    <row r="7" spans="1:36" ht="6.75" customHeight="1" thickBot="1">
      <c r="A7" s="139"/>
      <c r="B7" s="8706"/>
      <c r="C7" s="8706"/>
      <c r="D7" s="8707"/>
      <c r="E7" s="6287"/>
      <c r="F7" s="6288"/>
      <c r="G7" s="6288"/>
      <c r="H7" s="6288"/>
      <c r="I7" s="6288"/>
      <c r="J7" s="6288"/>
      <c r="K7" s="6288"/>
      <c r="L7" s="6288"/>
      <c r="M7" s="6288"/>
      <c r="N7" s="6288"/>
      <c r="O7" s="6288"/>
      <c r="P7" s="6288"/>
      <c r="Q7" s="6288"/>
      <c r="R7" s="6288"/>
      <c r="S7" s="6288"/>
      <c r="T7" s="6288"/>
      <c r="U7" s="6288"/>
      <c r="V7" s="6288"/>
      <c r="W7" s="6288"/>
      <c r="X7" s="6288"/>
      <c r="Y7" s="6288"/>
      <c r="Z7" s="6289"/>
      <c r="AA7" s="8686"/>
      <c r="AB7" s="8687"/>
      <c r="AC7" s="8687"/>
      <c r="AD7" s="8687"/>
      <c r="AE7" s="8687"/>
      <c r="AF7" s="139"/>
      <c r="AG7" s="2875"/>
      <c r="AH7" s="139"/>
    </row>
    <row r="8" spans="1:36" ht="12" customHeight="1" thickTop="1" thickBot="1">
      <c r="A8" s="139"/>
      <c r="B8" s="3592" t="s">
        <v>2463</v>
      </c>
      <c r="C8" s="3627"/>
      <c r="D8" s="2754"/>
      <c r="E8" s="2754"/>
      <c r="F8" s="2754"/>
      <c r="G8" s="2755"/>
      <c r="H8" s="2755"/>
      <c r="I8" s="2756"/>
      <c r="J8" s="2756"/>
      <c r="K8" s="2756"/>
      <c r="L8" s="2756"/>
      <c r="M8" s="2756"/>
      <c r="N8" s="2753"/>
      <c r="O8" s="2753"/>
      <c r="P8" s="2753"/>
      <c r="Q8" s="2753"/>
      <c r="R8" s="2756"/>
      <c r="S8" s="2756"/>
      <c r="T8" s="2756"/>
      <c r="U8" s="2756"/>
      <c r="V8" s="5242"/>
      <c r="W8" s="5249" t="s">
        <v>2464</v>
      </c>
      <c r="X8" s="2756"/>
      <c r="Y8" s="2756"/>
      <c r="Z8" s="2756"/>
      <c r="AA8" s="2755"/>
      <c r="AB8" s="2755"/>
      <c r="AC8" s="2755"/>
      <c r="AD8" s="2755"/>
      <c r="AE8" s="2755"/>
      <c r="AF8" s="139"/>
      <c r="AG8" s="1203" t="s">
        <v>2465</v>
      </c>
      <c r="AH8" s="277"/>
    </row>
    <row r="9" spans="1:36" ht="14.25" customHeight="1" thickBot="1">
      <c r="A9" s="139"/>
      <c r="B9" s="8688"/>
      <c r="C9" s="8688"/>
      <c r="D9" s="8689"/>
      <c r="E9" s="8689"/>
      <c r="F9" s="8689"/>
      <c r="G9" s="8690"/>
      <c r="H9" s="8690"/>
      <c r="I9" s="8690"/>
      <c r="J9" s="8690"/>
      <c r="K9" s="8690"/>
      <c r="L9" s="8690"/>
      <c r="M9" s="8690"/>
      <c r="N9" s="8689"/>
      <c r="O9" s="8690"/>
      <c r="P9" s="8689"/>
      <c r="Q9" s="8689"/>
      <c r="R9" s="8689"/>
      <c r="S9" s="8689"/>
      <c r="T9" s="8689"/>
      <c r="U9" s="8689"/>
      <c r="V9" s="8691"/>
      <c r="W9" s="8692">
        <f>IF(AH6&lt;&gt;"",SS_Yours,SS_Spouse)</f>
        <v>1010001</v>
      </c>
      <c r="X9" s="8693"/>
      <c r="Y9" s="8693"/>
      <c r="Z9" s="8693"/>
      <c r="AA9" s="8693"/>
      <c r="AB9" s="8693"/>
      <c r="AC9" s="8693"/>
      <c r="AD9" s="8693"/>
      <c r="AE9" s="8694"/>
      <c r="AF9" s="139"/>
      <c r="AG9" s="2875"/>
      <c r="AH9" s="139"/>
    </row>
    <row r="10" spans="1:36" ht="12.75" customHeight="1" thickTop="1">
      <c r="A10" s="139"/>
      <c r="B10" s="3654" t="s">
        <v>510</v>
      </c>
      <c r="C10" s="3592" t="s">
        <v>2466</v>
      </c>
      <c r="D10" s="3627"/>
      <c r="E10" s="3627"/>
      <c r="F10" s="3627"/>
      <c r="G10" s="5219"/>
      <c r="H10" s="6290"/>
      <c r="I10" s="6291" t="s">
        <v>2467</v>
      </c>
      <c r="J10" s="6292"/>
      <c r="K10" s="3555"/>
      <c r="L10" s="3555"/>
      <c r="M10" s="3555"/>
      <c r="N10" s="3555"/>
      <c r="O10" s="6293" t="s">
        <v>5249</v>
      </c>
      <c r="P10" s="6294" t="s">
        <v>5250</v>
      </c>
      <c r="Q10" s="253"/>
      <c r="R10" s="253"/>
      <c r="S10" s="253"/>
      <c r="T10" s="253"/>
      <c r="U10" s="253"/>
      <c r="V10" s="253"/>
      <c r="W10" s="6295" t="s">
        <v>2468</v>
      </c>
      <c r="X10" s="3754"/>
      <c r="Y10" s="3754"/>
      <c r="Z10" s="3754"/>
      <c r="AA10" s="3642"/>
      <c r="AB10" s="3642"/>
      <c r="AC10" s="3642"/>
      <c r="AD10" s="3642"/>
      <c r="AE10" s="3642"/>
      <c r="AF10" s="139"/>
      <c r="AG10" s="2875"/>
      <c r="AH10" s="139"/>
    </row>
    <row r="11" spans="1:36" ht="12.75" customHeight="1">
      <c r="A11" s="139"/>
      <c r="B11" s="8701"/>
      <c r="C11" s="8701"/>
      <c r="D11" s="8701"/>
      <c r="E11" s="8701"/>
      <c r="F11" s="8701"/>
      <c r="G11" s="8701"/>
      <c r="H11" s="8702"/>
      <c r="I11" s="8699"/>
      <c r="J11" s="8665"/>
      <c r="K11" s="8665"/>
      <c r="L11" s="8665"/>
      <c r="M11" s="8665"/>
      <c r="N11" s="8711"/>
      <c r="O11" s="8713"/>
      <c r="P11" s="5789"/>
      <c r="Q11" s="325"/>
      <c r="R11" s="5789" t="s">
        <v>1976</v>
      </c>
      <c r="S11" s="5789"/>
      <c r="T11" s="325"/>
      <c r="U11" s="5789" t="s">
        <v>1977</v>
      </c>
      <c r="V11" s="5789"/>
      <c r="W11" s="8665"/>
      <c r="X11" s="8715"/>
      <c r="Y11" s="8717"/>
      <c r="Z11" s="8665"/>
      <c r="AA11" s="8665"/>
      <c r="AB11" s="8665"/>
      <c r="AC11" s="8665"/>
      <c r="AD11" s="8665"/>
      <c r="AE11" s="8665"/>
      <c r="AF11" s="139"/>
      <c r="AG11" s="2875"/>
      <c r="AH11" s="139"/>
    </row>
    <row r="12" spans="1:36" ht="4.5" customHeight="1" thickBot="1">
      <c r="A12" s="139"/>
      <c r="B12" s="8200"/>
      <c r="C12" s="8200"/>
      <c r="D12" s="8200"/>
      <c r="E12" s="8200"/>
      <c r="F12" s="8200"/>
      <c r="G12" s="8200"/>
      <c r="H12" s="8703"/>
      <c r="I12" s="8700"/>
      <c r="J12" s="8666"/>
      <c r="K12" s="8666"/>
      <c r="L12" s="8666"/>
      <c r="M12" s="8666"/>
      <c r="N12" s="8712"/>
      <c r="O12" s="8714"/>
      <c r="P12" s="6296"/>
      <c r="Q12" s="6297"/>
      <c r="R12" s="6297"/>
      <c r="S12" s="6297"/>
      <c r="T12" s="6297"/>
      <c r="U12" s="6297"/>
      <c r="V12" s="6297"/>
      <c r="W12" s="8698"/>
      <c r="X12" s="8716"/>
      <c r="Y12" s="8718"/>
      <c r="Z12" s="8698"/>
      <c r="AA12" s="8698"/>
      <c r="AB12" s="8698"/>
      <c r="AC12" s="8698"/>
      <c r="AD12" s="8698"/>
      <c r="AE12" s="8698"/>
      <c r="AF12" s="139"/>
      <c r="AG12" s="2875"/>
      <c r="AH12" s="139"/>
    </row>
    <row r="13" spans="1:36" ht="3.75" customHeight="1" thickTop="1">
      <c r="A13" s="139"/>
      <c r="B13" s="2995"/>
      <c r="C13" s="2995"/>
      <c r="D13" s="3627"/>
      <c r="E13" s="3627"/>
      <c r="F13" s="1603"/>
      <c r="G13" s="2755"/>
      <c r="H13" s="2768"/>
      <c r="I13" s="1604"/>
      <c r="J13" s="1604"/>
      <c r="K13" s="1604"/>
      <c r="L13" s="1604"/>
      <c r="M13" s="1604"/>
      <c r="N13" s="3627"/>
      <c r="O13" s="3016"/>
      <c r="P13" s="3016"/>
      <c r="Q13" s="1604"/>
      <c r="R13" s="3627"/>
      <c r="S13" s="3627"/>
      <c r="T13" s="3627"/>
      <c r="U13" s="3627"/>
      <c r="V13" s="3627"/>
      <c r="W13" s="3627"/>
      <c r="X13" s="5255"/>
      <c r="Y13" s="1605"/>
      <c r="Z13" s="1605"/>
      <c r="AA13" s="1605"/>
      <c r="AB13" s="1605"/>
      <c r="AC13" s="1605"/>
      <c r="AD13" s="1605"/>
      <c r="AE13" s="1605"/>
      <c r="AF13" s="139"/>
      <c r="AG13" s="2875"/>
      <c r="AH13" s="139"/>
    </row>
    <row r="14" spans="1:36" ht="14.25" customHeight="1">
      <c r="A14" s="139"/>
      <c r="B14" s="2984" t="s">
        <v>524</v>
      </c>
      <c r="C14" s="3592" t="str">
        <f>"Did you “materially participate” in operation of this business during "&amp;TaxYear&amp;"?  If “No,” see instructions for limit on passive losses"</f>
        <v>Did you “materially participate” in operation of this business during 2025?  If “No,” see instructions for limit on passive losses</v>
      </c>
      <c r="D14" s="2753"/>
      <c r="E14" s="2753"/>
      <c r="F14" s="2755"/>
      <c r="G14" s="2755"/>
      <c r="H14" s="2768"/>
      <c r="I14" s="2755"/>
      <c r="J14" s="2755"/>
      <c r="K14" s="2755"/>
      <c r="L14" s="2755"/>
      <c r="M14" s="2755"/>
      <c r="N14" s="3627"/>
      <c r="O14" s="3016"/>
      <c r="P14" s="3016"/>
      <c r="Q14" s="3016"/>
      <c r="R14" s="2755"/>
      <c r="S14" s="2755"/>
      <c r="T14" s="2755"/>
      <c r="U14" s="2755"/>
      <c r="V14" s="2755"/>
      <c r="W14" s="3627"/>
      <c r="X14" s="2755"/>
      <c r="Y14" s="2755"/>
      <c r="Z14" s="2755"/>
      <c r="AA14" s="572"/>
      <c r="AB14" s="2769" t="s">
        <v>568</v>
      </c>
      <c r="AC14" s="2995"/>
      <c r="AD14" s="572"/>
      <c r="AE14" s="2769" t="s">
        <v>569</v>
      </c>
      <c r="AF14" s="139"/>
      <c r="AG14" s="2875"/>
      <c r="AH14" s="139"/>
    </row>
    <row r="15" spans="1:36" ht="14.25" customHeight="1">
      <c r="A15" s="139"/>
      <c r="B15" s="2984" t="s">
        <v>1974</v>
      </c>
      <c r="C15" s="3098" t="str">
        <f>"Did you make any payments in "&amp;TaxYear&amp;" that would require you to file Form(s) 1099? See instructions"</f>
        <v>Did you make any payments in 2025 that would require you to file Form(s) 1099? See instructions</v>
      </c>
      <c r="D15" s="3627"/>
      <c r="E15" s="2753"/>
      <c r="F15" s="2755"/>
      <c r="G15" s="2755"/>
      <c r="H15" s="2768"/>
      <c r="I15" s="2755"/>
      <c r="J15" s="2755"/>
      <c r="K15" s="2755"/>
      <c r="L15" s="2755"/>
      <c r="M15" s="2755"/>
      <c r="N15" s="3627"/>
      <c r="O15" s="3016"/>
      <c r="P15" s="3016"/>
      <c r="Q15" s="3016"/>
      <c r="R15" s="2755"/>
      <c r="S15" s="2755"/>
      <c r="T15" s="2755"/>
      <c r="U15" s="2755"/>
      <c r="V15" s="2755"/>
      <c r="W15" s="3627"/>
      <c r="X15" s="2755"/>
      <c r="Y15" s="2755"/>
      <c r="Z15" s="5265" t="s">
        <v>1134</v>
      </c>
      <c r="AA15" s="572"/>
      <c r="AB15" s="2769" t="s">
        <v>568</v>
      </c>
      <c r="AC15" s="2995"/>
      <c r="AD15" s="572"/>
      <c r="AE15" s="2769" t="s">
        <v>569</v>
      </c>
      <c r="AF15" s="139"/>
      <c r="AG15" s="2875"/>
      <c r="AH15" s="139"/>
    </row>
    <row r="16" spans="1:36" ht="14.25" customHeight="1">
      <c r="A16" s="139"/>
      <c r="B16" s="2984" t="s">
        <v>1979</v>
      </c>
      <c r="C16" s="3098" t="s">
        <v>4976</v>
      </c>
      <c r="D16" s="3627"/>
      <c r="E16" s="2753"/>
      <c r="F16" s="2755"/>
      <c r="G16" s="2755"/>
      <c r="H16" s="2768"/>
      <c r="I16" s="2755"/>
      <c r="J16" s="2755"/>
      <c r="K16" s="2755"/>
      <c r="L16" s="2755"/>
      <c r="M16" s="2755"/>
      <c r="N16" s="3627"/>
      <c r="O16" s="3016"/>
      <c r="P16" s="3016"/>
      <c r="Q16" s="3016"/>
      <c r="R16" s="2755"/>
      <c r="S16" s="2755"/>
      <c r="T16" s="2755"/>
      <c r="U16" s="2755"/>
      <c r="V16" s="2755"/>
      <c r="W16" s="3627"/>
      <c r="X16" s="2755"/>
      <c r="Y16" s="2755"/>
      <c r="Z16" s="5265" t="s">
        <v>2469</v>
      </c>
      <c r="AA16" s="572"/>
      <c r="AB16" s="2769" t="s">
        <v>568</v>
      </c>
      <c r="AC16" s="2995"/>
      <c r="AD16" s="572"/>
      <c r="AE16" s="2769" t="s">
        <v>569</v>
      </c>
      <c r="AF16" s="139"/>
      <c r="AG16" s="349" t="s">
        <v>979</v>
      </c>
      <c r="AH16" s="139"/>
    </row>
    <row r="17" spans="1:35" ht="3.75" customHeight="1">
      <c r="A17" s="139"/>
      <c r="B17" s="5319"/>
      <c r="C17" s="5212"/>
      <c r="D17" s="5212"/>
      <c r="E17" s="3582"/>
      <c r="F17" s="3565"/>
      <c r="G17" s="3565"/>
      <c r="H17" s="3107"/>
      <c r="I17" s="3565"/>
      <c r="J17" s="3565"/>
      <c r="K17" s="3565"/>
      <c r="L17" s="3565"/>
      <c r="M17" s="3565"/>
      <c r="N17" s="5212"/>
      <c r="O17" s="6298"/>
      <c r="P17" s="6298"/>
      <c r="Q17" s="6298"/>
      <c r="R17" s="3565"/>
      <c r="S17" s="3565"/>
      <c r="T17" s="3565"/>
      <c r="U17" s="3565"/>
      <c r="V17" s="3565"/>
      <c r="W17" s="5212"/>
      <c r="X17" s="3565"/>
      <c r="Y17" s="3565"/>
      <c r="Z17" s="3565"/>
      <c r="AA17" s="1822"/>
      <c r="AB17" s="3326"/>
      <c r="AC17" s="6299"/>
      <c r="AD17" s="1822"/>
      <c r="AE17" s="3326"/>
      <c r="AF17" s="139"/>
      <c r="AG17" s="349"/>
      <c r="AH17" s="139"/>
    </row>
    <row r="18" spans="1:35" ht="15" customHeight="1">
      <c r="A18" s="139"/>
      <c r="B18" s="8661" t="s">
        <v>780</v>
      </c>
      <c r="C18" s="8662"/>
      <c r="D18" s="6300" t="s">
        <v>2470</v>
      </c>
      <c r="E18" s="5227"/>
      <c r="F18" s="5257"/>
      <c r="G18" s="5110"/>
      <c r="H18" s="6301"/>
      <c r="I18" s="5110" t="s">
        <v>2471</v>
      </c>
      <c r="J18" s="6301"/>
      <c r="K18" s="5110"/>
      <c r="L18" s="5110"/>
      <c r="M18" s="5110"/>
      <c r="N18" s="5112"/>
      <c r="O18" s="5112"/>
      <c r="P18" s="5112"/>
      <c r="Q18" s="5112"/>
      <c r="R18" s="5112"/>
      <c r="S18" s="5112"/>
      <c r="T18" s="5112"/>
      <c r="U18" s="5112"/>
      <c r="V18" s="5112"/>
      <c r="W18" s="5112"/>
      <c r="X18" s="5110"/>
      <c r="Y18" s="5110"/>
      <c r="Z18" s="5258"/>
      <c r="AA18" s="3110"/>
      <c r="AB18" s="5110"/>
      <c r="AC18" s="5110"/>
      <c r="AD18" s="3110"/>
      <c r="AE18" s="5110"/>
      <c r="AF18" s="139"/>
      <c r="AG18" s="349" t="s">
        <v>931</v>
      </c>
      <c r="AH18" s="139"/>
    </row>
    <row r="19" spans="1:35" ht="14.25" customHeight="1">
      <c r="A19" s="962"/>
      <c r="B19" s="2768" t="s">
        <v>333</v>
      </c>
      <c r="C19" s="3602" t="s">
        <v>2472</v>
      </c>
      <c r="D19" s="2770"/>
      <c r="E19" s="2770"/>
      <c r="F19" s="5230"/>
      <c r="G19" s="5230"/>
      <c r="H19" s="5230"/>
      <c r="I19" s="5230"/>
      <c r="J19" s="5230"/>
      <c r="K19" s="5230"/>
      <c r="L19" s="5230"/>
      <c r="M19" s="5230"/>
      <c r="N19" s="5259"/>
      <c r="O19" s="5259"/>
      <c r="P19" s="5259"/>
      <c r="Q19" s="5259"/>
      <c r="R19" s="5265"/>
      <c r="S19" s="5265"/>
      <c r="T19" s="5265"/>
      <c r="U19" s="5265" t="s">
        <v>2473</v>
      </c>
      <c r="V19" s="2075" t="s">
        <v>333</v>
      </c>
      <c r="W19" s="8646"/>
      <c r="X19" s="8647"/>
      <c r="Y19" s="8647"/>
      <c r="Z19" s="8648"/>
      <c r="AA19" s="6302"/>
      <c r="AB19" s="5262"/>
      <c r="AC19" s="5262"/>
      <c r="AD19" s="5262"/>
      <c r="AE19" s="5262"/>
      <c r="AF19" s="139"/>
      <c r="AG19" s="2875"/>
      <c r="AH19" s="139"/>
    </row>
    <row r="20" spans="1:35" ht="14.25" customHeight="1">
      <c r="A20" s="962"/>
      <c r="B20" s="2768" t="s">
        <v>592</v>
      </c>
      <c r="C20" s="3602" t="s">
        <v>2474</v>
      </c>
      <c r="D20" s="2770"/>
      <c r="E20" s="2770"/>
      <c r="F20" s="5230"/>
      <c r="G20" s="5230"/>
      <c r="H20" s="5230"/>
      <c r="I20" s="5230"/>
      <c r="J20" s="5230"/>
      <c r="K20" s="5230"/>
      <c r="L20" s="5230"/>
      <c r="M20" s="5230"/>
      <c r="N20" s="5259"/>
      <c r="O20" s="5259"/>
      <c r="P20" s="5259"/>
      <c r="Q20" s="5259"/>
      <c r="R20" s="5265"/>
      <c r="S20" s="5265"/>
      <c r="T20" s="5265"/>
      <c r="U20" s="5265" t="s">
        <v>2473</v>
      </c>
      <c r="V20" s="2075" t="s">
        <v>335</v>
      </c>
      <c r="W20" s="8646"/>
      <c r="X20" s="8647"/>
      <c r="Y20" s="8647"/>
      <c r="Z20" s="8648"/>
      <c r="AA20" s="6302"/>
      <c r="AB20" s="6303"/>
      <c r="AC20" s="8708"/>
      <c r="AD20" s="7091"/>
      <c r="AE20" s="7091"/>
      <c r="AF20" s="139"/>
      <c r="AG20" s="2875"/>
      <c r="AH20" s="139"/>
    </row>
    <row r="21" spans="1:35" ht="14.25" customHeight="1">
      <c r="A21" s="962"/>
      <c r="B21" s="2768" t="s">
        <v>595</v>
      </c>
      <c r="C21" s="3602" t="s">
        <v>2475</v>
      </c>
      <c r="D21" s="2770"/>
      <c r="E21" s="2770"/>
      <c r="F21" s="5230"/>
      <c r="G21" s="5230"/>
      <c r="H21" s="5230"/>
      <c r="I21" s="5230"/>
      <c r="J21" s="5230"/>
      <c r="K21" s="5230"/>
      <c r="L21" s="5230"/>
      <c r="M21" s="5230"/>
      <c r="N21" s="5259"/>
      <c r="O21" s="5259"/>
      <c r="P21" s="5259"/>
      <c r="Q21" s="5259"/>
      <c r="R21" s="5259"/>
      <c r="S21" s="5259"/>
      <c r="T21" s="5259"/>
      <c r="U21" s="5259"/>
      <c r="V21" s="5259"/>
      <c r="W21" s="3016"/>
      <c r="X21" s="5230"/>
      <c r="Y21" s="3016"/>
      <c r="Z21" s="5265" t="s">
        <v>2476</v>
      </c>
      <c r="AA21" s="2773" t="s">
        <v>598</v>
      </c>
      <c r="AB21" s="8206">
        <f>IF(AG21&lt;&gt;"",ROUND(AG21,0),SUM(W19,-W20))</f>
        <v>0</v>
      </c>
      <c r="AC21" s="8649"/>
      <c r="AD21" s="7645"/>
      <c r="AE21" s="7645"/>
      <c r="AF21" s="139"/>
      <c r="AG21" s="134"/>
      <c r="AH21" s="139"/>
    </row>
    <row r="22" spans="1:35" ht="14.25" customHeight="1">
      <c r="A22" s="962"/>
      <c r="B22" s="2768" t="str">
        <f>"2  "</f>
        <v xml:space="preserve">2  </v>
      </c>
      <c r="C22" s="3602" t="s">
        <v>2477</v>
      </c>
      <c r="D22" s="2770"/>
      <c r="E22" s="2770"/>
      <c r="F22" s="5230"/>
      <c r="G22" s="5230"/>
      <c r="H22" s="5230"/>
      <c r="I22" s="5230"/>
      <c r="J22" s="5230"/>
      <c r="K22" s="5230"/>
      <c r="L22" s="5230"/>
      <c r="M22" s="5230"/>
      <c r="N22" s="5259"/>
      <c r="O22" s="5259"/>
      <c r="P22" s="5259"/>
      <c r="Q22" s="5259"/>
      <c r="R22" s="5259"/>
      <c r="S22" s="5259"/>
      <c r="T22" s="5259"/>
      <c r="U22" s="5259"/>
      <c r="V22" s="5259"/>
      <c r="W22" s="5259"/>
      <c r="X22" s="5230"/>
      <c r="Y22" s="5230"/>
      <c r="Z22" s="5265" t="s">
        <v>2485</v>
      </c>
      <c r="AA22" s="2773">
        <v>2</v>
      </c>
      <c r="AB22" s="8187"/>
      <c r="AC22" s="8264"/>
      <c r="AD22" s="8270"/>
      <c r="AE22" s="8270"/>
      <c r="AF22" s="139"/>
      <c r="AG22" s="2875"/>
      <c r="AH22" s="139"/>
    </row>
    <row r="23" spans="1:35" ht="14.25" customHeight="1">
      <c r="A23" s="962"/>
      <c r="B23" s="2768" t="s">
        <v>2479</v>
      </c>
      <c r="C23" s="5318" t="s">
        <v>2480</v>
      </c>
      <c r="D23" s="5267"/>
      <c r="E23" s="5267"/>
      <c r="F23" s="5267"/>
      <c r="G23" s="5264"/>
      <c r="H23" s="5264"/>
      <c r="I23" s="5264"/>
      <c r="J23" s="5264"/>
      <c r="K23" s="5264"/>
      <c r="L23" s="5264"/>
      <c r="M23" s="5264"/>
      <c r="N23" s="5267"/>
      <c r="O23" s="5265" t="s">
        <v>5256</v>
      </c>
      <c r="P23" s="6304" t="s">
        <v>2479</v>
      </c>
      <c r="Q23" s="8719"/>
      <c r="R23" s="8720"/>
      <c r="S23" s="8720"/>
      <c r="T23" s="8720"/>
      <c r="U23" s="8721"/>
      <c r="V23" s="6305" t="s">
        <v>2481</v>
      </c>
      <c r="W23" s="8722" t="s">
        <v>401</v>
      </c>
      <c r="X23" s="8723"/>
      <c r="Y23" s="8723"/>
      <c r="Z23" s="8724"/>
      <c r="AA23" s="3693" t="s">
        <v>2481</v>
      </c>
      <c r="AB23" s="8187"/>
      <c r="AC23" s="8264"/>
      <c r="AD23" s="8270"/>
      <c r="AE23" s="8270"/>
      <c r="AF23" s="139"/>
      <c r="AG23" s="2875"/>
      <c r="AH23" s="139"/>
    </row>
    <row r="24" spans="1:35" ht="14.25" customHeight="1">
      <c r="A24" s="962"/>
      <c r="B24" s="2768" t="s">
        <v>591</v>
      </c>
      <c r="C24" s="5318" t="s">
        <v>2482</v>
      </c>
      <c r="D24" s="5267"/>
      <c r="E24" s="5267"/>
      <c r="F24" s="5267"/>
      <c r="G24" s="5264"/>
      <c r="H24" s="5264"/>
      <c r="I24" s="5264"/>
      <c r="J24" s="5264"/>
      <c r="K24" s="5264"/>
      <c r="L24" s="5264"/>
      <c r="M24" s="5264"/>
      <c r="N24" s="5267"/>
      <c r="O24" s="5265" t="s">
        <v>1126</v>
      </c>
      <c r="P24" s="6304" t="s">
        <v>591</v>
      </c>
      <c r="Q24" s="8206">
        <f>IF(AG24&lt;&gt;"",ROUND(AG24,0),IF(AND(AgPMT_Other="",F1099G_MktGain=""),"",SUM(AgPMT_Other,F1099G_MktGain)))</f>
        <v>0</v>
      </c>
      <c r="R24" s="8649"/>
      <c r="S24" s="8649"/>
      <c r="T24" s="8649"/>
      <c r="U24" s="8650"/>
      <c r="V24" s="6305" t="s">
        <v>2483</v>
      </c>
      <c r="W24" s="8722" t="s">
        <v>401</v>
      </c>
      <c r="X24" s="8723"/>
      <c r="Y24" s="8723"/>
      <c r="Z24" s="8724"/>
      <c r="AA24" s="3693" t="s">
        <v>2483</v>
      </c>
      <c r="AB24" s="8187"/>
      <c r="AC24" s="8264"/>
      <c r="AD24" s="8270"/>
      <c r="AE24" s="8270"/>
      <c r="AF24" s="139"/>
      <c r="AG24" s="134"/>
      <c r="AH24" s="6307" t="str">
        <f>IF(AH26="","X","")</f>
        <v>X</v>
      </c>
    </row>
    <row r="25" spans="1:35" ht="14.25" customHeight="1">
      <c r="A25" s="962"/>
      <c r="B25" s="2768" t="s">
        <v>629</v>
      </c>
      <c r="C25" s="3602" t="s">
        <v>2484</v>
      </c>
      <c r="D25" s="2770"/>
      <c r="E25" s="2770"/>
      <c r="F25" s="5230"/>
      <c r="G25" s="5230"/>
      <c r="H25" s="5230"/>
      <c r="I25" s="5230"/>
      <c r="J25" s="5230"/>
      <c r="K25" s="5230"/>
      <c r="L25" s="5230"/>
      <c r="M25" s="5230"/>
      <c r="N25" s="5259"/>
      <c r="O25" s="5259"/>
      <c r="P25" s="5259"/>
      <c r="Q25" s="5259"/>
      <c r="R25" s="5259"/>
      <c r="S25" s="5259"/>
      <c r="T25" s="5259"/>
      <c r="U25" s="5259"/>
      <c r="V25" s="5259"/>
      <c r="W25" s="5259"/>
      <c r="X25" s="5230"/>
      <c r="Y25" s="5230"/>
      <c r="Z25" s="5265" t="s">
        <v>2485</v>
      </c>
      <c r="AA25" s="2773" t="s">
        <v>629</v>
      </c>
      <c r="AB25" s="8187"/>
      <c r="AC25" s="8264"/>
      <c r="AD25" s="8270"/>
      <c r="AE25" s="8270"/>
      <c r="AF25" s="139"/>
      <c r="AG25" s="6308"/>
      <c r="AH25" s="139"/>
      <c r="AI25" s="3"/>
    </row>
    <row r="26" spans="1:35" ht="14.25" customHeight="1">
      <c r="A26" s="962"/>
      <c r="B26" s="2768" t="s">
        <v>592</v>
      </c>
      <c r="C26" s="5318" t="s">
        <v>2486</v>
      </c>
      <c r="D26" s="5267"/>
      <c r="E26" s="5267"/>
      <c r="F26" s="5267"/>
      <c r="G26" s="5264"/>
      <c r="H26" s="5264"/>
      <c r="I26" s="5264"/>
      <c r="J26" s="5264"/>
      <c r="K26" s="5264"/>
      <c r="L26" s="5264"/>
      <c r="M26" s="5264"/>
      <c r="N26" s="5267"/>
      <c r="O26" s="5265" t="s">
        <v>2478</v>
      </c>
      <c r="P26" s="6304" t="s">
        <v>985</v>
      </c>
      <c r="Q26" s="8187"/>
      <c r="R26" s="8264"/>
      <c r="S26" s="8264"/>
      <c r="T26" s="8264"/>
      <c r="U26" s="8301"/>
      <c r="V26" s="6305" t="s">
        <v>1840</v>
      </c>
      <c r="W26" s="6306" t="s">
        <v>401</v>
      </c>
      <c r="X26" s="6309"/>
      <c r="Y26" s="362"/>
      <c r="Z26" s="362"/>
      <c r="AA26" s="3693" t="s">
        <v>1840</v>
      </c>
      <c r="AB26" s="8187"/>
      <c r="AC26" s="8264"/>
      <c r="AD26" s="8270"/>
      <c r="AE26" s="8270"/>
      <c r="AF26" s="139"/>
      <c r="AG26" s="6308"/>
      <c r="AH26" s="805"/>
    </row>
    <row r="27" spans="1:35" ht="14.25" customHeight="1">
      <c r="A27" s="962"/>
      <c r="B27" s="2768" t="str">
        <f>"6  "</f>
        <v xml:space="preserve">6  </v>
      </c>
      <c r="C27" s="3602" t="s">
        <v>2487</v>
      </c>
      <c r="D27" s="2770"/>
      <c r="E27" s="2770"/>
      <c r="F27" s="5230"/>
      <c r="G27" s="5230"/>
      <c r="H27" s="5230"/>
      <c r="I27" s="5230"/>
      <c r="J27" s="5230"/>
      <c r="K27" s="5230"/>
      <c r="L27" s="5230"/>
      <c r="M27" s="5230"/>
      <c r="N27" s="5259"/>
      <c r="O27" s="5259"/>
      <c r="P27" s="5259"/>
      <c r="Q27" s="5259"/>
      <c r="R27" s="5259"/>
      <c r="S27" s="5259"/>
      <c r="T27" s="5259"/>
      <c r="U27" s="5259"/>
      <c r="V27" s="5259"/>
      <c r="W27" s="5259"/>
      <c r="X27" s="5230"/>
      <c r="Y27" s="5230"/>
      <c r="Z27" s="5264"/>
      <c r="AA27" s="6302"/>
      <c r="AB27" s="8678"/>
      <c r="AC27" s="8664"/>
      <c r="AD27" s="8664"/>
      <c r="AE27" s="8664"/>
      <c r="AF27" s="139"/>
      <c r="AG27" s="6308"/>
      <c r="AH27" s="139"/>
      <c r="AI27" s="3"/>
    </row>
    <row r="28" spans="1:35" ht="14.25" customHeight="1">
      <c r="A28" s="962"/>
      <c r="B28" s="2768" t="s">
        <v>588</v>
      </c>
      <c r="C28" s="5318" t="str">
        <f>"Amount received in "&amp;TaxYear</f>
        <v>Amount received in 2025</v>
      </c>
      <c r="D28" s="5267"/>
      <c r="E28" s="5267"/>
      <c r="F28" s="5267"/>
      <c r="G28" s="5264"/>
      <c r="H28" s="5264"/>
      <c r="I28" s="5264"/>
      <c r="J28" s="5264"/>
      <c r="K28" s="5264"/>
      <c r="L28" s="5264"/>
      <c r="M28" s="5264"/>
      <c r="N28" s="5267"/>
      <c r="O28" s="5265" t="s">
        <v>1171</v>
      </c>
      <c r="P28" s="6304" t="s">
        <v>995</v>
      </c>
      <c r="Q28" s="8206">
        <f>IF(AG28&lt;&gt;"",ROUND(AG28,0),AgPMT_Disaster)</f>
        <v>0</v>
      </c>
      <c r="R28" s="8649"/>
      <c r="S28" s="8649"/>
      <c r="T28" s="8649"/>
      <c r="U28" s="8650"/>
      <c r="V28" s="6305" t="s">
        <v>996</v>
      </c>
      <c r="W28" s="6306" t="s">
        <v>401</v>
      </c>
      <c r="X28" s="6309"/>
      <c r="Y28" s="362"/>
      <c r="Z28" s="362"/>
      <c r="AA28" s="3693" t="s">
        <v>996</v>
      </c>
      <c r="AB28" s="8187"/>
      <c r="AC28" s="8264"/>
      <c r="AD28" s="8270"/>
      <c r="AE28" s="8270"/>
      <c r="AF28" s="139"/>
      <c r="AG28" s="134"/>
      <c r="AH28" s="139"/>
    </row>
    <row r="29" spans="1:35" ht="4.5" customHeight="1">
      <c r="A29" s="962"/>
      <c r="B29" s="2768"/>
      <c r="C29" s="5318"/>
      <c r="D29" s="5267"/>
      <c r="E29" s="5267"/>
      <c r="F29" s="5267"/>
      <c r="G29" s="5264"/>
      <c r="H29" s="5264"/>
      <c r="I29" s="5264"/>
      <c r="J29" s="5264"/>
      <c r="K29" s="5264"/>
      <c r="L29" s="5264"/>
      <c r="M29" s="5264"/>
      <c r="N29" s="5267"/>
      <c r="O29" s="5265"/>
      <c r="P29" s="6310"/>
      <c r="Q29" s="6310"/>
      <c r="R29" s="6310"/>
      <c r="S29" s="6310"/>
      <c r="T29" s="6310"/>
      <c r="U29" s="6310"/>
      <c r="V29" s="6310"/>
      <c r="W29" s="6309"/>
      <c r="X29" s="6309"/>
      <c r="Y29" s="362"/>
      <c r="Z29" s="362"/>
      <c r="AA29" s="2996"/>
      <c r="AB29" s="8725"/>
      <c r="AC29" s="8726"/>
      <c r="AD29" s="8726"/>
      <c r="AE29" s="8726"/>
      <c r="AF29" s="139"/>
      <c r="AG29" s="1464"/>
      <c r="AH29" s="139"/>
    </row>
    <row r="30" spans="1:35" ht="14.25" customHeight="1">
      <c r="A30" s="962"/>
      <c r="B30" s="6311" t="s">
        <v>595</v>
      </c>
      <c r="C30" s="6312" t="str">
        <f>"If election to defer to "&amp;TaxYear+1&amp;" is attached, check here"</f>
        <v>If election to defer to 2026 is attached, check here</v>
      </c>
      <c r="D30" s="5267"/>
      <c r="E30" s="5267"/>
      <c r="F30" s="5267"/>
      <c r="G30" s="5264"/>
      <c r="H30" s="5264"/>
      <c r="I30" s="5264"/>
      <c r="J30" s="5267"/>
      <c r="K30" s="5267"/>
      <c r="L30" s="5264"/>
      <c r="M30" s="5267"/>
      <c r="N30" s="5267"/>
      <c r="O30" s="5264"/>
      <c r="P30" s="5265" t="s">
        <v>1126</v>
      </c>
      <c r="Q30" s="364"/>
      <c r="R30" s="6310" t="s">
        <v>4977</v>
      </c>
      <c r="S30" s="6313"/>
      <c r="T30" s="329"/>
      <c r="U30" s="5268"/>
      <c r="V30" s="5268"/>
      <c r="W30" s="5268"/>
      <c r="X30" s="5268"/>
      <c r="Y30" s="5266"/>
      <c r="Z30" s="6314" t="str">
        <f>"Amount deferred from "&amp;TaxYear-1</f>
        <v>Amount deferred from 2024</v>
      </c>
      <c r="AA30" s="3693" t="s">
        <v>1133</v>
      </c>
      <c r="AB30" s="8187"/>
      <c r="AC30" s="8264"/>
      <c r="AD30" s="8264"/>
      <c r="AE30" s="8264"/>
      <c r="AF30" s="139"/>
      <c r="AG30" s="2875"/>
      <c r="AH30" s="139"/>
    </row>
    <row r="31" spans="1:35" ht="14.25" customHeight="1">
      <c r="A31" s="962"/>
      <c r="B31" s="2768" t="str">
        <f>"7  "</f>
        <v xml:space="preserve">7  </v>
      </c>
      <c r="C31" s="5318" t="s">
        <v>2489</v>
      </c>
      <c r="D31" s="5267"/>
      <c r="E31" s="5256"/>
      <c r="F31" s="5267"/>
      <c r="G31" s="5264"/>
      <c r="H31" s="5264"/>
      <c r="I31" s="5264"/>
      <c r="J31" s="5264"/>
      <c r="K31" s="5264"/>
      <c r="L31" s="5264"/>
      <c r="M31" s="5264"/>
      <c r="N31" s="5267"/>
      <c r="O31" s="5267"/>
      <c r="P31" s="5267"/>
      <c r="Q31" s="5267"/>
      <c r="R31" s="5267"/>
      <c r="S31" s="5267"/>
      <c r="T31" s="5267"/>
      <c r="U31" s="5267"/>
      <c r="V31" s="5267"/>
      <c r="W31" s="5267"/>
      <c r="X31" s="5264"/>
      <c r="Y31" s="5264"/>
      <c r="Z31" s="5265" t="s">
        <v>2490</v>
      </c>
      <c r="AA31" s="3693">
        <v>7</v>
      </c>
      <c r="AB31" s="8187"/>
      <c r="AC31" s="8264"/>
      <c r="AD31" s="8270"/>
      <c r="AE31" s="8270"/>
      <c r="AF31" s="139"/>
      <c r="AG31" s="2875"/>
      <c r="AH31" s="139"/>
    </row>
    <row r="32" spans="1:35" ht="14.25" customHeight="1">
      <c r="A32" s="962"/>
      <c r="B32" s="2768" t="str">
        <f>"8  "</f>
        <v xml:space="preserve">8  </v>
      </c>
      <c r="C32" s="5318" t="s">
        <v>2491</v>
      </c>
      <c r="D32" s="5267"/>
      <c r="E32" s="5267"/>
      <c r="F32" s="5267"/>
      <c r="G32" s="5264"/>
      <c r="H32" s="5264"/>
      <c r="I32" s="5264"/>
      <c r="J32" s="5264"/>
      <c r="K32" s="5264"/>
      <c r="L32" s="5264"/>
      <c r="M32" s="5264"/>
      <c r="N32" s="5267"/>
      <c r="O32" s="5267"/>
      <c r="P32" s="5267"/>
      <c r="Q32" s="5267"/>
      <c r="R32" s="5267"/>
      <c r="S32" s="5267"/>
      <c r="T32" s="5267"/>
      <c r="U32" s="5267"/>
      <c r="V32" s="5267"/>
      <c r="W32" s="5267"/>
      <c r="X32" s="5264"/>
      <c r="Y32" s="5264"/>
      <c r="Z32" s="5265" t="s">
        <v>1150</v>
      </c>
      <c r="AA32" s="3693">
        <v>8</v>
      </c>
      <c r="AB32" s="8187"/>
      <c r="AC32" s="8264"/>
      <c r="AD32" s="8270"/>
      <c r="AE32" s="8270"/>
      <c r="AF32" s="139"/>
      <c r="AG32" s="2875"/>
      <c r="AH32" s="139"/>
    </row>
    <row r="33" spans="1:34" ht="14.25" customHeight="1">
      <c r="A33" s="962"/>
      <c r="B33" s="2768" t="str">
        <f>"9  "</f>
        <v xml:space="preserve">9  </v>
      </c>
      <c r="C33" s="5318" t="s">
        <v>5255</v>
      </c>
      <c r="D33" s="5267"/>
      <c r="E33" s="5267"/>
      <c r="F33" s="5267"/>
      <c r="G33" s="5264"/>
      <c r="H33" s="5264"/>
      <c r="I33" s="5264"/>
      <c r="J33" s="5264"/>
      <c r="K33" s="5264"/>
      <c r="L33" s="5264"/>
      <c r="M33" s="5264"/>
      <c r="N33" s="5267"/>
      <c r="O33" s="5267"/>
      <c r="P33" s="5267"/>
      <c r="Q33" s="5267"/>
      <c r="R33" s="5267"/>
      <c r="S33" s="5267"/>
      <c r="T33" s="5267"/>
      <c r="U33" s="5267"/>
      <c r="V33" s="5267"/>
      <c r="W33" s="5267"/>
      <c r="X33" s="5264"/>
      <c r="Y33" s="5264"/>
      <c r="Z33" s="5267"/>
      <c r="AA33" s="8709">
        <v>9</v>
      </c>
      <c r="AB33" s="8678"/>
      <c r="AC33" s="8664"/>
      <c r="AD33" s="8664"/>
      <c r="AE33" s="8664"/>
      <c r="AF33" s="139"/>
      <c r="AG33" s="2875"/>
      <c r="AH33" s="139"/>
    </row>
    <row r="34" spans="1:34" ht="14.25" customHeight="1" thickBot="1">
      <c r="A34" s="962"/>
      <c r="B34" s="2768"/>
      <c r="C34" s="3098" t="s">
        <v>2492</v>
      </c>
      <c r="D34" s="3627"/>
      <c r="E34" s="2754"/>
      <c r="F34" s="3627"/>
      <c r="G34" s="5230"/>
      <c r="H34" s="5230"/>
      <c r="I34" s="5226"/>
      <c r="J34" s="5226"/>
      <c r="K34" s="5226"/>
      <c r="L34" s="5226"/>
      <c r="M34" s="5226"/>
      <c r="N34" s="5267"/>
      <c r="O34" s="5267"/>
      <c r="P34" s="5267"/>
      <c r="Q34" s="5267"/>
      <c r="R34" s="5220"/>
      <c r="S34" s="5220"/>
      <c r="T34" s="5220"/>
      <c r="U34" s="5220"/>
      <c r="V34" s="5220"/>
      <c r="W34" s="5267"/>
      <c r="X34" s="5226"/>
      <c r="Y34" s="5226"/>
      <c r="Z34" s="5265" t="s">
        <v>1166</v>
      </c>
      <c r="AA34" s="8710"/>
      <c r="AB34" s="8741">
        <f>IF(AG34&lt;&gt;"",ROUND(AG34,0),IF(ScheduleF_PartIII,AB95,ROUND(SUM(AB21,AB22,AB23,AB24,AB25,AB26,AB28,AB29,AB31,AB32),0)))</f>
        <v>0</v>
      </c>
      <c r="AC34" s="8742"/>
      <c r="AD34" s="8743"/>
      <c r="AE34" s="8743"/>
      <c r="AF34" s="139"/>
      <c r="AG34" s="134"/>
      <c r="AH34" s="139"/>
    </row>
    <row r="35" spans="1:34" ht="14.25" customHeight="1">
      <c r="A35" s="139"/>
      <c r="B35" s="8659" t="s">
        <v>868</v>
      </c>
      <c r="C35" s="8660"/>
      <c r="D35" s="6315" t="s">
        <v>2493</v>
      </c>
      <c r="E35" s="5314"/>
      <c r="F35" s="5314"/>
      <c r="G35" s="5314"/>
      <c r="H35" s="5314"/>
      <c r="I35" s="6316"/>
      <c r="J35" s="6316"/>
      <c r="K35" s="6316"/>
      <c r="L35" s="6317"/>
      <c r="M35" s="6317"/>
      <c r="N35" s="5314" t="s">
        <v>2494</v>
      </c>
      <c r="O35" s="6317"/>
      <c r="P35" s="5314"/>
      <c r="Q35" s="5314"/>
      <c r="R35" s="5314"/>
      <c r="S35" s="5314"/>
      <c r="T35" s="5314"/>
      <c r="U35" s="5314"/>
      <c r="V35" s="5314"/>
      <c r="W35" s="5314"/>
      <c r="X35" s="5314"/>
      <c r="Y35" s="5314"/>
      <c r="Z35" s="5314"/>
      <c r="AA35" s="5314"/>
      <c r="AB35" s="5314"/>
      <c r="AC35" s="5314"/>
      <c r="AD35" s="6318"/>
      <c r="AE35" s="6318"/>
      <c r="AF35" s="139"/>
      <c r="AG35" s="2875"/>
      <c r="AH35" s="139"/>
    </row>
    <row r="36" spans="1:34" ht="14.25" customHeight="1">
      <c r="A36" s="139"/>
      <c r="B36" s="2984">
        <v>10</v>
      </c>
      <c r="C36" s="3098" t="s">
        <v>2495</v>
      </c>
      <c r="D36" s="3592"/>
      <c r="E36" s="3592"/>
      <c r="F36" s="5230"/>
      <c r="G36" s="5230"/>
      <c r="H36" s="5226"/>
      <c r="I36" s="5339"/>
      <c r="J36" s="8663"/>
      <c r="K36" s="8664"/>
      <c r="L36" s="8664"/>
      <c r="M36" s="8664"/>
      <c r="N36" s="8655">
        <v>23</v>
      </c>
      <c r="O36" s="8656"/>
      <c r="P36" s="3602" t="s">
        <v>2000</v>
      </c>
      <c r="Q36" s="3098"/>
      <c r="R36" s="2769"/>
      <c r="S36" s="2769"/>
      <c r="T36" s="2769"/>
      <c r="U36" s="2769"/>
      <c r="V36" s="2769"/>
      <c r="W36" s="3098"/>
      <c r="X36" s="3098"/>
      <c r="Y36" s="3098"/>
      <c r="Z36" s="3016" t="s">
        <v>627</v>
      </c>
      <c r="AA36" s="6319">
        <v>23</v>
      </c>
      <c r="AB36" s="8187"/>
      <c r="AC36" s="8264"/>
      <c r="AD36" s="8270"/>
      <c r="AE36" s="8270"/>
      <c r="AF36" s="139"/>
      <c r="AG36" s="2875"/>
      <c r="AH36" s="139"/>
    </row>
    <row r="37" spans="1:34" ht="14.25" customHeight="1">
      <c r="A37" s="139"/>
      <c r="B37" s="2984"/>
      <c r="C37" s="3098" t="s">
        <v>5254</v>
      </c>
      <c r="D37" s="3592"/>
      <c r="E37" s="3592"/>
      <c r="F37" s="5230"/>
      <c r="G37" s="5230"/>
      <c r="H37" s="5226"/>
      <c r="I37" s="2773">
        <f>B36</f>
        <v>10</v>
      </c>
      <c r="J37" s="8187"/>
      <c r="K37" s="8264"/>
      <c r="L37" s="8270"/>
      <c r="M37" s="8270"/>
      <c r="N37" s="8653">
        <v>24</v>
      </c>
      <c r="O37" s="8654"/>
      <c r="P37" s="3602" t="s">
        <v>2002</v>
      </c>
      <c r="Q37" s="2770"/>
      <c r="R37" s="3003"/>
      <c r="S37" s="3003"/>
      <c r="T37" s="3003"/>
      <c r="U37" s="3003"/>
      <c r="V37" s="3003"/>
      <c r="W37" s="3624"/>
      <c r="X37" s="3592"/>
      <c r="Y37" s="3592"/>
      <c r="Z37" s="5266"/>
      <c r="AA37" s="6302"/>
      <c r="AB37" s="8678"/>
      <c r="AC37" s="8664"/>
      <c r="AD37" s="8664"/>
      <c r="AE37" s="8664"/>
      <c r="AF37" s="139"/>
      <c r="AG37" s="2875"/>
      <c r="AH37" s="139"/>
    </row>
    <row r="38" spans="1:34" ht="14.25" customHeight="1">
      <c r="A38" s="139"/>
      <c r="B38" s="2984">
        <v>11</v>
      </c>
      <c r="C38" s="3098" t="s">
        <v>2496</v>
      </c>
      <c r="D38" s="3592"/>
      <c r="E38" s="3592"/>
      <c r="F38" s="5230"/>
      <c r="G38" s="5230"/>
      <c r="H38" s="3016" t="s">
        <v>648</v>
      </c>
      <c r="I38" s="2773">
        <v>11</v>
      </c>
      <c r="J38" s="8187"/>
      <c r="K38" s="8264"/>
      <c r="L38" s="8270"/>
      <c r="M38" s="8270"/>
      <c r="N38" s="8653" t="s">
        <v>588</v>
      </c>
      <c r="O38" s="8654"/>
      <c r="P38" s="3602" t="s">
        <v>2497</v>
      </c>
      <c r="Q38" s="3003"/>
      <c r="R38" s="3003"/>
      <c r="S38" s="3003"/>
      <c r="T38" s="3003"/>
      <c r="U38" s="3003"/>
      <c r="V38" s="3003"/>
      <c r="W38" s="3624"/>
      <c r="X38" s="3065"/>
      <c r="Y38" s="3065"/>
      <c r="Z38" s="3016" t="s">
        <v>627</v>
      </c>
      <c r="AA38" s="6320" t="s">
        <v>895</v>
      </c>
      <c r="AB38" s="8187"/>
      <c r="AC38" s="8264"/>
      <c r="AD38" s="8270"/>
      <c r="AE38" s="8270"/>
      <c r="AF38" s="139"/>
      <c r="AG38" s="2875"/>
      <c r="AH38" s="139"/>
    </row>
    <row r="39" spans="1:34" ht="14.25" customHeight="1">
      <c r="A39" s="139"/>
      <c r="B39" s="2984">
        <v>12</v>
      </c>
      <c r="C39" s="3098" t="s">
        <v>2498</v>
      </c>
      <c r="D39" s="3592"/>
      <c r="E39" s="3592"/>
      <c r="F39" s="5230"/>
      <c r="G39" s="5230"/>
      <c r="H39" s="5226"/>
      <c r="I39" s="5276">
        <f>B39</f>
        <v>12</v>
      </c>
      <c r="J39" s="8187"/>
      <c r="K39" s="8264"/>
      <c r="L39" s="8270"/>
      <c r="M39" s="8270"/>
      <c r="N39" s="8653" t="s">
        <v>592</v>
      </c>
      <c r="O39" s="8654"/>
      <c r="P39" s="3602" t="s">
        <v>2499</v>
      </c>
      <c r="Q39" s="2770"/>
      <c r="R39" s="3003"/>
      <c r="S39" s="3003"/>
      <c r="T39" s="3003"/>
      <c r="U39" s="3003"/>
      <c r="V39" s="3003"/>
      <c r="W39" s="3624"/>
      <c r="X39" s="3592"/>
      <c r="Y39" s="3592"/>
      <c r="Z39" s="3016" t="s">
        <v>631</v>
      </c>
      <c r="AA39" s="6320" t="s">
        <v>897</v>
      </c>
      <c r="AB39" s="8187"/>
      <c r="AC39" s="8264"/>
      <c r="AD39" s="8270"/>
      <c r="AE39" s="8270"/>
      <c r="AF39" s="139"/>
      <c r="AG39" s="2875"/>
      <c r="AH39" s="139"/>
    </row>
    <row r="40" spans="1:34" ht="14.25" customHeight="1">
      <c r="A40" s="139"/>
      <c r="B40" s="2984">
        <v>13</v>
      </c>
      <c r="C40" s="3098" t="s">
        <v>2500</v>
      </c>
      <c r="D40" s="3592"/>
      <c r="E40" s="3592"/>
      <c r="F40" s="5230"/>
      <c r="G40" s="5230"/>
      <c r="H40" s="3016" t="s">
        <v>2501</v>
      </c>
      <c r="I40" s="2773">
        <f>B40</f>
        <v>13</v>
      </c>
      <c r="J40" s="8187"/>
      <c r="K40" s="8264"/>
      <c r="L40" s="8270"/>
      <c r="M40" s="8270"/>
      <c r="N40" s="8653">
        <v>25</v>
      </c>
      <c r="O40" s="8654"/>
      <c r="P40" s="3602" t="s">
        <v>2012</v>
      </c>
      <c r="Q40" s="2770"/>
      <c r="R40" s="2769"/>
      <c r="S40" s="2769"/>
      <c r="T40" s="2769"/>
      <c r="U40" s="2769"/>
      <c r="V40" s="2769"/>
      <c r="W40" s="5266"/>
      <c r="X40" s="3592"/>
      <c r="Y40" s="3592"/>
      <c r="Z40" s="3016" t="s">
        <v>631</v>
      </c>
      <c r="AA40" s="3693">
        <v>25</v>
      </c>
      <c r="AB40" s="8187"/>
      <c r="AC40" s="8264"/>
      <c r="AD40" s="8270"/>
      <c r="AE40" s="8270"/>
      <c r="AF40" s="139"/>
      <c r="AG40" s="2875"/>
      <c r="AH40" s="139"/>
    </row>
    <row r="41" spans="1:34" ht="14.25" customHeight="1">
      <c r="A41" s="139"/>
      <c r="B41" s="2984">
        <v>14</v>
      </c>
      <c r="C41" s="3098" t="s">
        <v>2502</v>
      </c>
      <c r="D41" s="3592"/>
      <c r="E41" s="3592"/>
      <c r="F41" s="5230"/>
      <c r="G41" s="5230"/>
      <c r="H41" s="5226"/>
      <c r="I41" s="2996"/>
      <c r="J41" s="8663"/>
      <c r="K41" s="8664"/>
      <c r="L41" s="8664"/>
      <c r="M41" s="8667"/>
      <c r="N41" s="8653">
        <v>26</v>
      </c>
      <c r="O41" s="8654"/>
      <c r="P41" s="3602" t="s">
        <v>2503</v>
      </c>
      <c r="Q41" s="2770"/>
      <c r="R41" s="2769"/>
      <c r="S41" s="2769"/>
      <c r="T41" s="2769"/>
      <c r="U41" s="2769"/>
      <c r="V41" s="2769"/>
      <c r="W41" s="2769"/>
      <c r="X41" s="2769"/>
      <c r="Y41" s="2769"/>
      <c r="Z41" s="3016" t="s">
        <v>702</v>
      </c>
      <c r="AA41" s="3693">
        <v>26</v>
      </c>
      <c r="AB41" s="8187"/>
      <c r="AC41" s="8264"/>
      <c r="AD41" s="8270"/>
      <c r="AE41" s="8270"/>
      <c r="AF41" s="139"/>
      <c r="AG41" s="2875"/>
      <c r="AH41" s="139"/>
    </row>
    <row r="42" spans="1:34" ht="14.25" customHeight="1">
      <c r="A42" s="139"/>
      <c r="B42" s="2984"/>
      <c r="C42" s="3098" t="s">
        <v>2504</v>
      </c>
      <c r="D42" s="3592"/>
      <c r="E42" s="3592"/>
      <c r="F42" s="5230"/>
      <c r="G42" s="5230"/>
      <c r="H42" s="3016" t="s">
        <v>2505</v>
      </c>
      <c r="I42" s="2773">
        <f>B41</f>
        <v>14</v>
      </c>
      <c r="J42" s="8187"/>
      <c r="K42" s="8264"/>
      <c r="L42" s="8270"/>
      <c r="M42" s="8270"/>
      <c r="N42" s="8653">
        <v>27</v>
      </c>
      <c r="O42" s="8654"/>
      <c r="P42" s="3602" t="s">
        <v>2506</v>
      </c>
      <c r="Q42" s="2770"/>
      <c r="R42" s="2769"/>
      <c r="S42" s="2769"/>
      <c r="T42" s="2769"/>
      <c r="U42" s="2769"/>
      <c r="V42" s="2769"/>
      <c r="W42" s="2769"/>
      <c r="X42" s="2769"/>
      <c r="Y42" s="2769"/>
      <c r="Z42" s="3016" t="s">
        <v>631</v>
      </c>
      <c r="AA42" s="3693">
        <v>27</v>
      </c>
      <c r="AB42" s="8187"/>
      <c r="AC42" s="8264"/>
      <c r="AD42" s="8270"/>
      <c r="AE42" s="8270"/>
      <c r="AF42" s="139"/>
      <c r="AG42" s="2875"/>
      <c r="AH42" s="139"/>
    </row>
    <row r="43" spans="1:34" ht="14.25" customHeight="1">
      <c r="A43" s="139"/>
      <c r="B43" s="2984">
        <v>15</v>
      </c>
      <c r="C43" s="3098" t="s">
        <v>2507</v>
      </c>
      <c r="D43" s="3592"/>
      <c r="E43" s="3592"/>
      <c r="F43" s="5230"/>
      <c r="G43" s="5230"/>
      <c r="H43" s="5226"/>
      <c r="I43" s="2996"/>
      <c r="J43" s="8663"/>
      <c r="K43" s="8664"/>
      <c r="L43" s="8664"/>
      <c r="M43" s="8667"/>
      <c r="N43" s="8653">
        <v>28</v>
      </c>
      <c r="O43" s="8654"/>
      <c r="P43" s="3602" t="s">
        <v>2358</v>
      </c>
      <c r="Q43" s="2770"/>
      <c r="R43" s="2769"/>
      <c r="S43" s="2769"/>
      <c r="T43" s="2769"/>
      <c r="U43" s="2769"/>
      <c r="V43" s="2769"/>
      <c r="W43" s="2769"/>
      <c r="X43" s="2769"/>
      <c r="Y43" s="2769"/>
      <c r="Z43" s="3016" t="s">
        <v>597</v>
      </c>
      <c r="AA43" s="3693">
        <v>28</v>
      </c>
      <c r="AB43" s="8187"/>
      <c r="AC43" s="8264"/>
      <c r="AD43" s="8270"/>
      <c r="AE43" s="8270"/>
      <c r="AF43" s="139"/>
      <c r="AG43" s="2875"/>
      <c r="AH43" s="139"/>
    </row>
    <row r="44" spans="1:34" ht="14.25" customHeight="1">
      <c r="A44" s="139"/>
      <c r="B44" s="2984"/>
      <c r="C44" s="3098" t="s">
        <v>2508</v>
      </c>
      <c r="D44" s="3592"/>
      <c r="E44" s="3592"/>
      <c r="F44" s="5230"/>
      <c r="G44" s="5230"/>
      <c r="H44" s="3016" t="s">
        <v>648</v>
      </c>
      <c r="I44" s="2773">
        <f>B43</f>
        <v>15</v>
      </c>
      <c r="J44" s="8187"/>
      <c r="K44" s="8264"/>
      <c r="L44" s="8270"/>
      <c r="M44" s="8270"/>
      <c r="N44" s="8653">
        <v>29</v>
      </c>
      <c r="O44" s="8654"/>
      <c r="P44" s="3602" t="s">
        <v>2359</v>
      </c>
      <c r="Q44" s="2770"/>
      <c r="R44" s="2769"/>
      <c r="S44" s="2769"/>
      <c r="T44" s="2769"/>
      <c r="U44" s="2769"/>
      <c r="V44" s="2769"/>
      <c r="W44" s="2769"/>
      <c r="X44" s="2769"/>
      <c r="Y44" s="2769"/>
      <c r="Z44" s="3016" t="s">
        <v>597</v>
      </c>
      <c r="AA44" s="3693">
        <v>29</v>
      </c>
      <c r="AB44" s="8187"/>
      <c r="AC44" s="8264"/>
      <c r="AD44" s="8270"/>
      <c r="AE44" s="8270"/>
      <c r="AF44" s="139"/>
      <c r="AG44" s="2875"/>
      <c r="AH44" s="139"/>
    </row>
    <row r="45" spans="1:34" ht="14.25" customHeight="1">
      <c r="A45" s="139"/>
      <c r="B45" s="2984">
        <v>16</v>
      </c>
      <c r="C45" s="3098" t="s">
        <v>2510</v>
      </c>
      <c r="D45" s="3592"/>
      <c r="E45" s="3592"/>
      <c r="F45" s="5230"/>
      <c r="G45" s="5230"/>
      <c r="H45" s="3016" t="s">
        <v>2511</v>
      </c>
      <c r="I45" s="2773">
        <f>B45</f>
        <v>16</v>
      </c>
      <c r="J45" s="8187"/>
      <c r="K45" s="8264"/>
      <c r="L45" s="8270"/>
      <c r="M45" s="8270"/>
      <c r="N45" s="8653">
        <v>30</v>
      </c>
      <c r="O45" s="8654"/>
      <c r="P45" s="3602" t="s">
        <v>2025</v>
      </c>
      <c r="Q45" s="2770"/>
      <c r="R45" s="2769"/>
      <c r="S45" s="2769"/>
      <c r="T45" s="2769"/>
      <c r="U45" s="2769"/>
      <c r="V45" s="2769"/>
      <c r="W45" s="2769"/>
      <c r="X45" s="2769"/>
      <c r="Y45" s="2769"/>
      <c r="Z45" s="3016" t="s">
        <v>597</v>
      </c>
      <c r="AA45" s="3693">
        <v>30</v>
      </c>
      <c r="AB45" s="8187"/>
      <c r="AC45" s="8264"/>
      <c r="AD45" s="8270"/>
      <c r="AE45" s="8270"/>
      <c r="AF45" s="139"/>
      <c r="AG45" s="2875"/>
      <c r="AH45" s="139"/>
    </row>
    <row r="46" spans="1:34" ht="14.25" customHeight="1">
      <c r="A46" s="139"/>
      <c r="B46" s="2984">
        <v>17</v>
      </c>
      <c r="C46" s="3098" t="s">
        <v>2512</v>
      </c>
      <c r="D46" s="3592"/>
      <c r="E46" s="3592"/>
      <c r="F46" s="5230"/>
      <c r="G46" s="5230"/>
      <c r="H46" s="3016" t="s">
        <v>2513</v>
      </c>
      <c r="I46" s="2773">
        <f>B46</f>
        <v>17</v>
      </c>
      <c r="J46" s="8187"/>
      <c r="K46" s="8264"/>
      <c r="L46" s="8270"/>
      <c r="M46" s="8270"/>
      <c r="N46" s="8653">
        <v>31</v>
      </c>
      <c r="O46" s="8654"/>
      <c r="P46" s="3602" t="s">
        <v>2514</v>
      </c>
      <c r="Q46" s="2770"/>
      <c r="R46" s="2769"/>
      <c r="S46" s="2769"/>
      <c r="T46" s="2769"/>
      <c r="U46" s="2769"/>
      <c r="V46" s="2769"/>
      <c r="W46" s="2769"/>
      <c r="X46" s="2769"/>
      <c r="Y46" s="2769"/>
      <c r="Z46" s="2769"/>
      <c r="AA46" s="3693">
        <v>31</v>
      </c>
      <c r="AB46" s="8187"/>
      <c r="AC46" s="8264"/>
      <c r="AD46" s="8270"/>
      <c r="AE46" s="8270"/>
      <c r="AF46" s="139"/>
      <c r="AG46" s="2875"/>
      <c r="AH46" s="139"/>
    </row>
    <row r="47" spans="1:34" ht="14.25" customHeight="1">
      <c r="A47" s="139"/>
      <c r="B47" s="2984">
        <v>18</v>
      </c>
      <c r="C47" s="3098" t="s">
        <v>2515</v>
      </c>
      <c r="D47" s="3592"/>
      <c r="E47" s="3592"/>
      <c r="F47" s="5230"/>
      <c r="G47" s="5230"/>
      <c r="H47" s="3016" t="s">
        <v>601</v>
      </c>
      <c r="I47" s="2773">
        <f>B47</f>
        <v>18</v>
      </c>
      <c r="J47" s="8187"/>
      <c r="K47" s="8264"/>
      <c r="L47" s="8270"/>
      <c r="M47" s="8270"/>
      <c r="N47" s="8653">
        <v>32</v>
      </c>
      <c r="O47" s="8654"/>
      <c r="P47" s="3602" t="s">
        <v>2516</v>
      </c>
      <c r="Q47" s="2770"/>
      <c r="R47" s="2769"/>
      <c r="S47" s="2769"/>
      <c r="T47" s="2769"/>
      <c r="U47" s="2769"/>
      <c r="V47" s="6279"/>
      <c r="W47" s="253"/>
      <c r="X47" s="253"/>
      <c r="Y47" s="253"/>
      <c r="Z47" s="253"/>
      <c r="AA47" s="6302"/>
      <c r="AB47" s="8678"/>
      <c r="AC47" s="8664"/>
      <c r="AD47" s="8664"/>
      <c r="AE47" s="8664"/>
      <c r="AF47" s="139"/>
      <c r="AG47" s="2875"/>
      <c r="AH47" s="139"/>
    </row>
    <row r="48" spans="1:34" ht="14.25" customHeight="1">
      <c r="A48" s="139"/>
      <c r="B48" s="2984">
        <v>19</v>
      </c>
      <c r="C48" s="3098" t="s">
        <v>2517</v>
      </c>
      <c r="D48" s="3592"/>
      <c r="E48" s="3592"/>
      <c r="F48" s="5230"/>
      <c r="G48" s="5230"/>
      <c r="H48" s="3016" t="s">
        <v>1893</v>
      </c>
      <c r="I48" s="2773">
        <f>B48</f>
        <v>19</v>
      </c>
      <c r="J48" s="8187"/>
      <c r="K48" s="8264"/>
      <c r="L48" s="8270"/>
      <c r="M48" s="8270"/>
      <c r="N48" s="8653" t="s">
        <v>588</v>
      </c>
      <c r="O48" s="8654"/>
      <c r="P48" s="8745"/>
      <c r="Q48" s="8746"/>
      <c r="R48" s="8746"/>
      <c r="S48" s="8746"/>
      <c r="T48" s="8746"/>
      <c r="U48" s="8746"/>
      <c r="V48" s="8746"/>
      <c r="W48" s="8746"/>
      <c r="X48" s="8746"/>
      <c r="Y48" s="8746"/>
      <c r="Z48" s="8747"/>
      <c r="AA48" s="3693" t="s">
        <v>2129</v>
      </c>
      <c r="AB48" s="8187"/>
      <c r="AC48" s="8264"/>
      <c r="AD48" s="8270"/>
      <c r="AE48" s="8270"/>
      <c r="AF48" s="139"/>
      <c r="AG48" s="2875"/>
      <c r="AH48" s="139"/>
    </row>
    <row r="49" spans="1:35" ht="14.25" customHeight="1">
      <c r="A49" s="139"/>
      <c r="B49" s="2984">
        <v>20</v>
      </c>
      <c r="C49" s="3098" t="s">
        <v>2023</v>
      </c>
      <c r="D49" s="3592"/>
      <c r="E49" s="3592"/>
      <c r="F49" s="5230"/>
      <c r="G49" s="5230"/>
      <c r="H49" s="3016" t="s">
        <v>2518</v>
      </c>
      <c r="I49" s="2773">
        <f>B49</f>
        <v>20</v>
      </c>
      <c r="J49" s="8187"/>
      <c r="K49" s="8264"/>
      <c r="L49" s="8270"/>
      <c r="M49" s="8270"/>
      <c r="N49" s="8653" t="s">
        <v>592</v>
      </c>
      <c r="O49" s="8654"/>
      <c r="P49" s="8745"/>
      <c r="Q49" s="8746"/>
      <c r="R49" s="8746"/>
      <c r="S49" s="8746"/>
      <c r="T49" s="8746"/>
      <c r="U49" s="8746"/>
      <c r="V49" s="8746"/>
      <c r="W49" s="8746"/>
      <c r="X49" s="8746"/>
      <c r="Y49" s="8746"/>
      <c r="Z49" s="8747"/>
      <c r="AA49" s="3693" t="s">
        <v>2130</v>
      </c>
      <c r="AB49" s="8187"/>
      <c r="AC49" s="8264"/>
      <c r="AD49" s="8270"/>
      <c r="AE49" s="8270"/>
      <c r="AF49" s="139"/>
      <c r="AG49" s="2875"/>
      <c r="AH49" s="139"/>
    </row>
    <row r="50" spans="1:35" ht="14.25" customHeight="1">
      <c r="A50" s="139"/>
      <c r="B50" s="2984">
        <v>21</v>
      </c>
      <c r="C50" s="3098" t="s">
        <v>2024</v>
      </c>
      <c r="D50" s="3592"/>
      <c r="E50" s="3592"/>
      <c r="F50" s="5230"/>
      <c r="G50" s="5230"/>
      <c r="H50" s="5226"/>
      <c r="I50" s="6302"/>
      <c r="J50" s="8663"/>
      <c r="K50" s="8664"/>
      <c r="L50" s="8664"/>
      <c r="M50" s="8667"/>
      <c r="N50" s="8653" t="s">
        <v>595</v>
      </c>
      <c r="O50" s="8654"/>
      <c r="P50" s="8745"/>
      <c r="Q50" s="8746"/>
      <c r="R50" s="8746"/>
      <c r="S50" s="8746"/>
      <c r="T50" s="8746"/>
      <c r="U50" s="8746"/>
      <c r="V50" s="8746"/>
      <c r="W50" s="8746"/>
      <c r="X50" s="8746"/>
      <c r="Y50" s="8746"/>
      <c r="Z50" s="8747"/>
      <c r="AA50" s="3693" t="s">
        <v>2519</v>
      </c>
      <c r="AB50" s="8187"/>
      <c r="AC50" s="8264"/>
      <c r="AD50" s="8270"/>
      <c r="AE50" s="8270"/>
      <c r="AF50" s="139"/>
      <c r="AG50" s="2875"/>
      <c r="AH50" s="139"/>
    </row>
    <row r="51" spans="1:35" ht="14.25" customHeight="1">
      <c r="A51" s="139"/>
      <c r="B51" s="2768" t="s">
        <v>588</v>
      </c>
      <c r="C51" s="3098" t="s">
        <v>5252</v>
      </c>
      <c r="D51" s="3592"/>
      <c r="E51" s="3592"/>
      <c r="F51" s="5230"/>
      <c r="G51" s="5230"/>
      <c r="H51" s="3016" t="s">
        <v>2518</v>
      </c>
      <c r="I51" s="3039" t="s">
        <v>2520</v>
      </c>
      <c r="J51" s="8187"/>
      <c r="K51" s="8264"/>
      <c r="L51" s="8270"/>
      <c r="M51" s="8270"/>
      <c r="N51" s="8653" t="s">
        <v>599</v>
      </c>
      <c r="O51" s="8654"/>
      <c r="P51" s="8745"/>
      <c r="Q51" s="8746"/>
      <c r="R51" s="8746"/>
      <c r="S51" s="8746"/>
      <c r="T51" s="8746"/>
      <c r="U51" s="8746"/>
      <c r="V51" s="8746"/>
      <c r="W51" s="8746"/>
      <c r="X51" s="8746"/>
      <c r="Y51" s="8746"/>
      <c r="Z51" s="8747"/>
      <c r="AA51" s="3693" t="s">
        <v>2521</v>
      </c>
      <c r="AB51" s="8187"/>
      <c r="AC51" s="8264"/>
      <c r="AD51" s="8270"/>
      <c r="AE51" s="8270"/>
      <c r="AF51" s="139"/>
      <c r="AG51" s="2875"/>
      <c r="AH51" s="139"/>
    </row>
    <row r="52" spans="1:35" ht="14.25" customHeight="1">
      <c r="A52" s="139"/>
      <c r="B52" s="2768" t="s">
        <v>592</v>
      </c>
      <c r="C52" s="3098" t="s">
        <v>254</v>
      </c>
      <c r="D52" s="3592"/>
      <c r="E52" s="3592"/>
      <c r="F52" s="5230"/>
      <c r="G52" s="5230"/>
      <c r="H52" s="3016" t="s">
        <v>958</v>
      </c>
      <c r="I52" s="3039" t="s">
        <v>2522</v>
      </c>
      <c r="J52" s="8187"/>
      <c r="K52" s="8264"/>
      <c r="L52" s="8270"/>
      <c r="M52" s="8270"/>
      <c r="N52" s="8653" t="s">
        <v>603</v>
      </c>
      <c r="O52" s="8654"/>
      <c r="P52" s="8745"/>
      <c r="Q52" s="8746"/>
      <c r="R52" s="8746"/>
      <c r="S52" s="8746"/>
      <c r="T52" s="8746"/>
      <c r="U52" s="8746"/>
      <c r="V52" s="8746"/>
      <c r="W52" s="8746"/>
      <c r="X52" s="8746"/>
      <c r="Y52" s="8746"/>
      <c r="Z52" s="8747"/>
      <c r="AA52" s="3693" t="s">
        <v>2523</v>
      </c>
      <c r="AB52" s="8187"/>
      <c r="AC52" s="8264"/>
      <c r="AD52" s="8270"/>
      <c r="AE52" s="8270"/>
      <c r="AF52" s="139"/>
      <c r="AG52" s="2875"/>
      <c r="AH52" s="139"/>
    </row>
    <row r="53" spans="1:35" ht="14.25" customHeight="1" thickBot="1">
      <c r="A53" s="139"/>
      <c r="B53" s="3667">
        <v>22</v>
      </c>
      <c r="C53" s="5222" t="s">
        <v>2524</v>
      </c>
      <c r="D53" s="5205"/>
      <c r="E53" s="5205"/>
      <c r="F53" s="5279"/>
      <c r="G53" s="5279"/>
      <c r="H53" s="5280"/>
      <c r="I53" s="3742">
        <v>22</v>
      </c>
      <c r="J53" s="8732"/>
      <c r="K53" s="8733"/>
      <c r="L53" s="8734"/>
      <c r="M53" s="8734"/>
      <c r="N53" s="8676" t="s">
        <v>606</v>
      </c>
      <c r="O53" s="8677"/>
      <c r="P53" s="8673"/>
      <c r="Q53" s="8674"/>
      <c r="R53" s="8674"/>
      <c r="S53" s="8674"/>
      <c r="T53" s="8674"/>
      <c r="U53" s="8674"/>
      <c r="V53" s="8674"/>
      <c r="W53" s="8674"/>
      <c r="X53" s="8674"/>
      <c r="Y53" s="8674"/>
      <c r="Z53" s="8675"/>
      <c r="AA53" s="4295" t="s">
        <v>2525</v>
      </c>
      <c r="AB53" s="8732"/>
      <c r="AC53" s="8733"/>
      <c r="AD53" s="8734"/>
      <c r="AE53" s="8734"/>
      <c r="AF53" s="139"/>
      <c r="AG53" s="2875"/>
      <c r="AH53" s="139"/>
    </row>
    <row r="54" spans="1:35" ht="15" customHeight="1">
      <c r="A54" s="139"/>
      <c r="B54" s="6321">
        <v>33</v>
      </c>
      <c r="C54" s="6322" t="s">
        <v>5253</v>
      </c>
      <c r="D54" s="6323"/>
      <c r="E54" s="6323"/>
      <c r="F54" s="6324"/>
      <c r="G54" s="6325"/>
      <c r="H54" s="6325"/>
      <c r="I54" s="6325"/>
      <c r="J54" s="6325"/>
      <c r="K54" s="6325"/>
      <c r="L54" s="6325"/>
      <c r="M54" s="6325"/>
      <c r="N54" s="6324"/>
      <c r="O54" s="6324"/>
      <c r="P54" s="6324"/>
      <c r="Q54" s="6324"/>
      <c r="R54" s="6324"/>
      <c r="S54" s="6324"/>
      <c r="T54" s="6324"/>
      <c r="U54" s="6324"/>
      <c r="V54" s="6324"/>
      <c r="W54" s="6324"/>
      <c r="X54" s="6325"/>
      <c r="Y54" s="6325"/>
      <c r="Z54" s="6326" t="s">
        <v>5259</v>
      </c>
      <c r="AA54" s="6327">
        <v>33</v>
      </c>
      <c r="AB54" s="8735">
        <f>IF(AG54&lt;&gt;"",ROUND(AG54,0),ROUND(SUM(J37:M53,AB36:AE53),0))</f>
        <v>0</v>
      </c>
      <c r="AC54" s="8736"/>
      <c r="AD54" s="8737"/>
      <c r="AE54" s="8737"/>
      <c r="AF54" s="139"/>
      <c r="AG54" s="134"/>
      <c r="AH54" s="139"/>
    </row>
    <row r="55" spans="1:35" ht="15" customHeight="1">
      <c r="A55" s="139"/>
      <c r="B55" s="2984">
        <v>34</v>
      </c>
      <c r="C55" s="5318" t="s">
        <v>5257</v>
      </c>
      <c r="D55" s="5267"/>
      <c r="E55" s="5267"/>
      <c r="F55" s="5267"/>
      <c r="G55" s="5264"/>
      <c r="H55" s="5264"/>
      <c r="I55" s="5264"/>
      <c r="J55" s="5264"/>
      <c r="K55" s="5264"/>
      <c r="L55" s="5264"/>
      <c r="M55" s="5264"/>
      <c r="N55" s="5267"/>
      <c r="O55" s="5267"/>
      <c r="P55" s="5267"/>
      <c r="Q55" s="5267"/>
      <c r="R55" s="5267"/>
      <c r="S55" s="5267"/>
      <c r="T55" s="5267"/>
      <c r="U55" s="5267"/>
      <c r="V55" s="5267"/>
      <c r="W55" s="5267"/>
      <c r="X55" s="5264"/>
      <c r="Y55" s="5264"/>
      <c r="Z55" s="5265" t="s">
        <v>1168</v>
      </c>
      <c r="AA55" s="6319">
        <v>34</v>
      </c>
      <c r="AB55" s="8206">
        <f>IF(AG55&lt;&gt;"",ROUND(AG55,0),SUM(AB34,-AB54))</f>
        <v>0</v>
      </c>
      <c r="AC55" s="8649"/>
      <c r="AD55" s="7645"/>
      <c r="AE55" s="7645"/>
      <c r="AF55" s="139"/>
      <c r="AG55" s="134"/>
      <c r="AH55" s="139"/>
    </row>
    <row r="56" spans="1:35" ht="14.25" customHeight="1">
      <c r="A56" s="139"/>
      <c r="B56" s="2984"/>
      <c r="C56" s="6328" t="s">
        <v>6224</v>
      </c>
      <c r="D56" s="5266"/>
      <c r="E56" s="5267"/>
      <c r="F56" s="5267"/>
      <c r="G56" s="5264"/>
      <c r="H56" s="5264"/>
      <c r="I56" s="5264"/>
      <c r="J56" s="5264"/>
      <c r="K56" s="5264"/>
      <c r="L56" s="5264"/>
      <c r="M56" s="5264"/>
      <c r="N56" s="5267"/>
      <c r="O56" s="5267"/>
      <c r="P56" s="5267"/>
      <c r="Q56" s="5267"/>
      <c r="R56" s="5267"/>
      <c r="S56" s="5267"/>
      <c r="T56" s="5267"/>
      <c r="U56" s="5267"/>
      <c r="V56" s="5267"/>
      <c r="W56" s="5267"/>
      <c r="X56" s="5264"/>
      <c r="Y56" s="5264"/>
      <c r="Z56" s="5264"/>
      <c r="AA56" s="4267">
        <f>IF(AA57&lt;&gt;"",1,0)</f>
        <v>0</v>
      </c>
      <c r="AB56" s="6329"/>
      <c r="AC56" s="6329"/>
      <c r="AD56" s="4267">
        <f>IF(AD57&lt;&gt;"",1,0)</f>
        <v>0</v>
      </c>
      <c r="AE56" s="4267">
        <f>SUM(AA56,AD56)</f>
        <v>0</v>
      </c>
      <c r="AF56" s="139"/>
      <c r="AG56" s="2875"/>
      <c r="AH56" s="139"/>
    </row>
    <row r="57" spans="1:35" ht="14.25" customHeight="1">
      <c r="A57" s="139"/>
      <c r="B57" s="2984">
        <v>35</v>
      </c>
      <c r="C57" s="6328" t="s">
        <v>2527</v>
      </c>
      <c r="D57" s="5266"/>
      <c r="E57" s="5267"/>
      <c r="F57" s="5267"/>
      <c r="G57" s="5264"/>
      <c r="H57" s="5264"/>
      <c r="I57" s="5264"/>
      <c r="J57" s="5264"/>
      <c r="K57" s="5264"/>
      <c r="L57" s="5264"/>
      <c r="M57" s="5264"/>
      <c r="N57" s="5267"/>
      <c r="O57" s="5267"/>
      <c r="P57" s="5267"/>
      <c r="Q57" s="5267"/>
      <c r="R57" s="5267"/>
      <c r="S57" s="5267"/>
      <c r="T57" s="5267"/>
      <c r="U57" s="5267"/>
      <c r="V57" s="5267"/>
      <c r="W57" s="5267"/>
      <c r="X57" s="5264"/>
      <c r="Y57" s="5264"/>
      <c r="Z57" s="5264"/>
      <c r="AA57" s="5264"/>
      <c r="AB57" s="5264"/>
      <c r="AC57" s="5264"/>
      <c r="AD57" s="5264"/>
      <c r="AE57" s="5264"/>
      <c r="AF57" s="139"/>
      <c r="AG57" s="6308"/>
      <c r="AH57" s="139"/>
    </row>
    <row r="58" spans="1:35" ht="14.25" customHeight="1">
      <c r="A58" s="139"/>
      <c r="B58" s="2984">
        <v>36</v>
      </c>
      <c r="C58" s="6328" t="s">
        <v>2528</v>
      </c>
      <c r="D58" s="5266"/>
      <c r="E58" s="5267"/>
      <c r="F58" s="5267"/>
      <c r="G58" s="5264"/>
      <c r="H58" s="5264"/>
      <c r="I58" s="5264"/>
      <c r="J58" s="5264"/>
      <c r="K58" s="5264"/>
      <c r="L58" s="5264"/>
      <c r="M58" s="5264"/>
      <c r="N58" s="5267"/>
      <c r="O58" s="5267"/>
      <c r="P58" s="5267"/>
      <c r="Q58" s="5267"/>
      <c r="R58" s="5267"/>
      <c r="S58" s="5267"/>
      <c r="T58" s="5267"/>
      <c r="U58" s="5267"/>
      <c r="V58" s="5267"/>
      <c r="W58" s="5267"/>
      <c r="X58" s="5264"/>
      <c r="Y58" s="5264"/>
      <c r="Z58" s="6330"/>
      <c r="AA58" s="6331"/>
      <c r="AB58" s="794"/>
      <c r="AC58" s="794"/>
      <c r="AD58" s="794"/>
      <c r="AE58" s="794"/>
      <c r="AF58" s="139"/>
      <c r="AG58" s="6308"/>
      <c r="AH58" s="139"/>
      <c r="AI58" s="3"/>
    </row>
    <row r="59" spans="1:35" ht="12.75" customHeight="1">
      <c r="A59" s="139"/>
      <c r="B59" s="2768" t="s">
        <v>588</v>
      </c>
      <c r="C59" s="364"/>
      <c r="D59" s="6332" t="s">
        <v>2529</v>
      </c>
      <c r="E59" s="3016"/>
      <c r="F59" s="2770"/>
      <c r="G59" s="2770"/>
      <c r="H59" s="3016" t="s">
        <v>592</v>
      </c>
      <c r="I59" s="364"/>
      <c r="J59" s="3600" t="s">
        <v>2530</v>
      </c>
      <c r="K59" s="5230"/>
      <c r="L59" s="3016"/>
      <c r="M59" s="3627"/>
      <c r="N59" s="3627"/>
      <c r="O59" s="3627"/>
      <c r="P59" s="3627"/>
      <c r="Q59" s="3627"/>
      <c r="R59" s="5220"/>
      <c r="S59" s="5220"/>
      <c r="T59" s="5220"/>
      <c r="U59" s="5220"/>
      <c r="V59" s="5220"/>
      <c r="W59" s="3627"/>
      <c r="X59" s="5230"/>
      <c r="Y59" s="5230"/>
      <c r="Z59" s="5267"/>
      <c r="AA59" s="3004"/>
      <c r="AB59" s="3004"/>
      <c r="AC59" s="6333"/>
      <c r="AD59" s="3004"/>
      <c r="AE59" s="3004"/>
      <c r="AF59" s="139"/>
      <c r="AG59" s="6308"/>
      <c r="AH59" s="139"/>
    </row>
    <row r="60" spans="1:35" ht="3.75" customHeight="1" thickBot="1">
      <c r="A60" s="139"/>
      <c r="B60" s="3016"/>
      <c r="C60" s="3016"/>
      <c r="D60" s="3627"/>
      <c r="E60" s="3627"/>
      <c r="F60" s="3627"/>
      <c r="G60" s="5230"/>
      <c r="H60" s="5230"/>
      <c r="I60" s="5230"/>
      <c r="J60" s="5230"/>
      <c r="K60" s="5230"/>
      <c r="L60" s="5230"/>
      <c r="M60" s="5230"/>
      <c r="N60" s="3627"/>
      <c r="O60" s="3627"/>
      <c r="P60" s="3627"/>
      <c r="Q60" s="3627"/>
      <c r="R60" s="5220"/>
      <c r="S60" s="5220"/>
      <c r="T60" s="5220"/>
      <c r="U60" s="5220"/>
      <c r="V60" s="5220"/>
      <c r="W60" s="3627"/>
      <c r="X60" s="5230"/>
      <c r="Y60" s="5230"/>
      <c r="Z60" s="5267"/>
      <c r="AA60" s="3004"/>
      <c r="AB60" s="3004"/>
      <c r="AC60" s="6333"/>
      <c r="AD60" s="3004"/>
      <c r="AE60" s="3004"/>
      <c r="AF60" s="139"/>
      <c r="AG60" s="6308"/>
      <c r="AH60" s="139"/>
    </row>
    <row r="61" spans="1:35" ht="22.5" customHeight="1">
      <c r="A61" s="139"/>
      <c r="B61" s="5303" t="s">
        <v>2075</v>
      </c>
      <c r="C61" s="5303"/>
      <c r="D61" s="4246"/>
      <c r="E61" s="4246"/>
      <c r="F61" s="4246"/>
      <c r="G61" s="5304"/>
      <c r="H61" s="5304"/>
      <c r="I61" s="5304"/>
      <c r="J61" s="5304"/>
      <c r="K61" s="5304"/>
      <c r="L61" s="5304"/>
      <c r="M61" s="5304"/>
      <c r="N61" s="4246"/>
      <c r="O61" s="4246"/>
      <c r="P61" s="6334"/>
      <c r="Q61" s="6335"/>
      <c r="R61" s="6335" t="s">
        <v>2531</v>
      </c>
      <c r="S61" s="6335"/>
      <c r="T61" s="6335"/>
      <c r="U61" s="6335"/>
      <c r="V61" s="5305"/>
      <c r="W61" s="4246"/>
      <c r="X61" s="5305"/>
      <c r="Y61" s="5304"/>
      <c r="Z61" s="5306"/>
      <c r="AA61" s="5304"/>
      <c r="AB61" s="5304"/>
      <c r="AC61" s="5307"/>
      <c r="AD61" s="5308"/>
      <c r="AE61" s="5308" t="str">
        <f>"Schedule F (Form 1040)  "&amp;TaxYear</f>
        <v>Schedule F (Form 1040)  2025</v>
      </c>
      <c r="AF61" s="139"/>
      <c r="AG61" s="6308"/>
      <c r="AH61" s="139"/>
      <c r="AI61" s="302"/>
    </row>
    <row r="62" spans="1:35" ht="19.5" customHeight="1" thickBot="1">
      <c r="A62" s="139"/>
      <c r="B62" s="6336" t="str">
        <f>"Schedule F (Form 1040) "&amp;TaxYear</f>
        <v>Schedule F (Form 1040) 2025</v>
      </c>
      <c r="C62" s="6337"/>
      <c r="D62" s="6337"/>
      <c r="E62" s="6337"/>
      <c r="F62" s="6337"/>
      <c r="G62" s="6337"/>
      <c r="H62" s="6337"/>
      <c r="I62" s="6337"/>
      <c r="J62" s="6337"/>
      <c r="K62" s="6337"/>
      <c r="L62" s="6337"/>
      <c r="M62" s="6337"/>
      <c r="N62" s="6337"/>
      <c r="O62" s="6337"/>
      <c r="P62" s="6337"/>
      <c r="Q62" s="6337"/>
      <c r="R62" s="6337"/>
      <c r="S62" s="6337"/>
      <c r="T62" s="6337"/>
      <c r="U62" s="6337"/>
      <c r="V62" s="6337"/>
      <c r="W62" s="6337"/>
      <c r="X62" s="6337"/>
      <c r="Y62" s="6337"/>
      <c r="Z62" s="6337"/>
      <c r="AA62" s="6337"/>
      <c r="AB62" s="6338"/>
      <c r="AC62" s="6338"/>
      <c r="AD62" s="6338" t="s">
        <v>2079</v>
      </c>
      <c r="AE62" s="6339" t="str">
        <f>"2"</f>
        <v>2</v>
      </c>
      <c r="AF62" s="139"/>
      <c r="AG62" s="2875"/>
      <c r="AH62" s="139"/>
    </row>
    <row r="63" spans="1:35" ht="20.25" customHeight="1" thickTop="1">
      <c r="A63" s="139"/>
      <c r="B63" s="8658" t="s">
        <v>1938</v>
      </c>
      <c r="C63" s="7139"/>
      <c r="D63" s="6340" t="s">
        <v>5251</v>
      </c>
      <c r="E63" s="6341"/>
      <c r="F63" s="6341"/>
      <c r="G63" s="6341"/>
      <c r="H63" s="6341"/>
      <c r="I63" s="6341"/>
      <c r="J63" s="6341"/>
      <c r="K63" s="6341"/>
      <c r="L63" s="6341"/>
      <c r="M63" s="6341"/>
      <c r="N63" s="6341"/>
      <c r="O63" s="6341"/>
      <c r="P63" s="6341"/>
      <c r="Q63" s="6341"/>
      <c r="R63" s="6341"/>
      <c r="S63" s="6341"/>
      <c r="T63" s="6341"/>
      <c r="U63" s="6341"/>
      <c r="V63" s="6341"/>
      <c r="W63" s="6341"/>
      <c r="X63" s="6341"/>
      <c r="Y63" s="6341"/>
      <c r="Z63" s="6341"/>
      <c r="AA63" s="6341"/>
      <c r="AB63" s="6341"/>
      <c r="AC63" s="6341"/>
      <c r="AD63" s="6341"/>
      <c r="AE63" s="6341"/>
      <c r="AF63" s="139"/>
      <c r="AG63" s="2875"/>
      <c r="AH63" s="139"/>
    </row>
    <row r="64" spans="1:35" ht="9.75" customHeight="1">
      <c r="A64" s="139"/>
      <c r="B64" s="3592"/>
      <c r="C64" s="3098"/>
      <c r="D64" s="3098"/>
      <c r="E64" s="3098"/>
      <c r="F64" s="3098"/>
      <c r="G64" s="3098"/>
      <c r="H64" s="3098"/>
      <c r="I64" s="3098"/>
      <c r="J64" s="3098"/>
      <c r="K64" s="3098"/>
      <c r="L64" s="3098"/>
      <c r="M64" s="3098"/>
      <c r="N64" s="3098"/>
      <c r="O64" s="3098"/>
      <c r="P64" s="3098"/>
      <c r="Q64" s="3098"/>
      <c r="R64" s="3098"/>
      <c r="S64" s="3098"/>
      <c r="T64" s="3098"/>
      <c r="U64" s="3098"/>
      <c r="V64" s="3098"/>
      <c r="W64" s="3098"/>
      <c r="X64" s="3098"/>
      <c r="Y64" s="3098"/>
      <c r="Z64" s="3098"/>
      <c r="AA64" s="6342"/>
      <c r="AB64" s="3098"/>
      <c r="AC64" s="3098"/>
      <c r="AD64" s="3098"/>
      <c r="AE64" s="3098"/>
      <c r="AF64" s="139"/>
      <c r="AG64" s="2875"/>
      <c r="AH64" s="139"/>
    </row>
    <row r="65" spans="1:34" ht="14.25" customHeight="1">
      <c r="A65" s="139"/>
      <c r="B65" s="2984">
        <v>37</v>
      </c>
      <c r="C65" s="3098" t="s">
        <v>2532</v>
      </c>
      <c r="D65" s="3627"/>
      <c r="E65" s="3627"/>
      <c r="F65" s="3627"/>
      <c r="G65" s="3627"/>
      <c r="H65" s="3627"/>
      <c r="I65" s="3627"/>
      <c r="J65" s="3627"/>
      <c r="K65" s="3627"/>
      <c r="L65" s="3627"/>
      <c r="M65" s="3627"/>
      <c r="N65" s="3627"/>
      <c r="O65" s="3627"/>
      <c r="P65" s="3627"/>
      <c r="Q65" s="3627"/>
      <c r="R65" s="3627"/>
      <c r="S65" s="3627"/>
      <c r="T65" s="3627"/>
      <c r="U65" s="3627"/>
      <c r="V65" s="3627"/>
      <c r="W65" s="3627"/>
      <c r="X65" s="3627"/>
      <c r="Y65" s="3627"/>
      <c r="Z65" s="5265" t="s">
        <v>1166</v>
      </c>
      <c r="AA65" s="3693">
        <v>37</v>
      </c>
      <c r="AB65" s="8187"/>
      <c r="AC65" s="8264"/>
      <c r="AD65" s="8270"/>
      <c r="AE65" s="8270"/>
      <c r="AF65" s="139"/>
      <c r="AG65" s="2875"/>
      <c r="AH65" s="139"/>
    </row>
    <row r="66" spans="1:34" ht="12" customHeight="1">
      <c r="A66" s="139"/>
      <c r="B66" s="2984"/>
      <c r="C66" s="3654"/>
      <c r="D66" s="3627"/>
      <c r="E66" s="3627"/>
      <c r="F66" s="3627"/>
      <c r="G66" s="3627"/>
      <c r="H66" s="3627"/>
      <c r="I66" s="3627"/>
      <c r="J66" s="3627"/>
      <c r="K66" s="3627"/>
      <c r="L66" s="3627"/>
      <c r="M66" s="3627"/>
      <c r="N66" s="3627"/>
      <c r="O66" s="3627"/>
      <c r="P66" s="3627"/>
      <c r="Q66" s="3627"/>
      <c r="R66" s="3627"/>
      <c r="S66" s="3627"/>
      <c r="T66" s="3627"/>
      <c r="U66" s="3627"/>
      <c r="V66" s="3627"/>
      <c r="W66" s="3627"/>
      <c r="X66" s="3627"/>
      <c r="Y66" s="3627"/>
      <c r="Z66" s="3627"/>
      <c r="AA66" s="6342"/>
      <c r="AB66" s="3627"/>
      <c r="AC66" s="3627"/>
      <c r="AD66" s="3627"/>
      <c r="AE66" s="3627"/>
      <c r="AF66" s="139"/>
      <c r="AG66" s="2875"/>
      <c r="AH66" s="139"/>
    </row>
    <row r="67" spans="1:34" ht="15" customHeight="1">
      <c r="A67" s="139"/>
      <c r="B67" s="2984" t="s">
        <v>2533</v>
      </c>
      <c r="C67" s="5318" t="s">
        <v>2480</v>
      </c>
      <c r="D67" s="5267"/>
      <c r="E67" s="5267"/>
      <c r="F67" s="5267"/>
      <c r="G67" s="5267"/>
      <c r="H67" s="5267"/>
      <c r="I67" s="5267"/>
      <c r="J67" s="6343" t="s">
        <v>828</v>
      </c>
      <c r="K67" s="8669" t="s">
        <v>2533</v>
      </c>
      <c r="L67" s="8670"/>
      <c r="M67" s="8187"/>
      <c r="N67" s="8264"/>
      <c r="O67" s="8270"/>
      <c r="P67" s="8668"/>
      <c r="Q67" s="3627"/>
      <c r="R67" s="5328"/>
      <c r="S67" s="6344" t="s">
        <v>2533</v>
      </c>
      <c r="T67" s="6306" t="s">
        <v>401</v>
      </c>
      <c r="U67" s="5328"/>
      <c r="V67" s="6309"/>
      <c r="W67" s="6309"/>
      <c r="X67" s="6309"/>
      <c r="Y67" s="362"/>
      <c r="Z67" s="6343" t="s">
        <v>2534</v>
      </c>
      <c r="AA67" s="3693" t="s">
        <v>2535</v>
      </c>
      <c r="AB67" s="8187"/>
      <c r="AC67" s="8264"/>
      <c r="AD67" s="8270"/>
      <c r="AE67" s="8270"/>
      <c r="AF67" s="139"/>
      <c r="AG67" s="2875"/>
      <c r="AH67" s="139"/>
    </row>
    <row r="68" spans="1:34" ht="12.75" customHeight="1">
      <c r="A68" s="139"/>
      <c r="B68" s="2984"/>
      <c r="C68" s="3654"/>
      <c r="D68" s="5267"/>
      <c r="E68" s="5267"/>
      <c r="F68" s="5267"/>
      <c r="G68" s="5267"/>
      <c r="H68" s="5267"/>
      <c r="I68" s="5267"/>
      <c r="J68" s="5267"/>
      <c r="K68" s="5267"/>
      <c r="L68" s="5267"/>
      <c r="M68" s="5267"/>
      <c r="N68" s="5267"/>
      <c r="O68" s="5267"/>
      <c r="P68" s="3627"/>
      <c r="Q68" s="3627"/>
      <c r="R68" s="3627"/>
      <c r="S68" s="3627"/>
      <c r="T68" s="3592"/>
      <c r="U68" s="3627"/>
      <c r="V68" s="5267"/>
      <c r="W68" s="5267"/>
      <c r="X68" s="5267"/>
      <c r="Y68" s="5267"/>
      <c r="Z68" s="5267"/>
      <c r="AA68" s="6342"/>
      <c r="AB68" s="5267"/>
      <c r="AC68" s="6345" t="str">
        <f>IF(AND(X68&lt;&gt;"",AA68&lt;&gt;""),"Check ONLY one.","")</f>
        <v/>
      </c>
      <c r="AD68" s="5267"/>
      <c r="AE68" s="5267"/>
      <c r="AF68" s="139"/>
      <c r="AG68" s="2875"/>
      <c r="AH68" s="139"/>
    </row>
    <row r="69" spans="1:34" ht="15" customHeight="1">
      <c r="A69" s="139"/>
      <c r="B69" s="2984" t="s">
        <v>2536</v>
      </c>
      <c r="C69" s="5318" t="s">
        <v>2537</v>
      </c>
      <c r="D69" s="5267"/>
      <c r="E69" s="5267"/>
      <c r="F69" s="5267"/>
      <c r="G69" s="5267"/>
      <c r="H69" s="5267"/>
      <c r="I69" s="5267"/>
      <c r="J69" s="5265" t="s">
        <v>877</v>
      </c>
      <c r="K69" s="8671" t="s">
        <v>2536</v>
      </c>
      <c r="L69" s="8672"/>
      <c r="M69" s="8187"/>
      <c r="N69" s="8264"/>
      <c r="O69" s="8270"/>
      <c r="P69" s="8668"/>
      <c r="Q69" s="3627"/>
      <c r="R69" s="5328"/>
      <c r="S69" s="6344" t="s">
        <v>2538</v>
      </c>
      <c r="T69" s="6306" t="s">
        <v>401</v>
      </c>
      <c r="U69" s="5328"/>
      <c r="V69" s="6309"/>
      <c r="W69" s="6309"/>
      <c r="X69" s="6309"/>
      <c r="Y69" s="362"/>
      <c r="Z69" s="6343" t="s">
        <v>2534</v>
      </c>
      <c r="AA69" s="3693" t="s">
        <v>2538</v>
      </c>
      <c r="AB69" s="8187"/>
      <c r="AC69" s="8264"/>
      <c r="AD69" s="8270"/>
      <c r="AE69" s="8270"/>
      <c r="AF69" s="139"/>
      <c r="AG69" s="2875"/>
      <c r="AH69" s="139"/>
    </row>
    <row r="70" spans="1:34" ht="12.75" customHeight="1">
      <c r="A70" s="139"/>
      <c r="B70" s="2984"/>
      <c r="C70" s="3654"/>
      <c r="D70" s="5267"/>
      <c r="E70" s="5267"/>
      <c r="F70" s="5267"/>
      <c r="G70" s="5267"/>
      <c r="H70" s="5267"/>
      <c r="I70" s="5267"/>
      <c r="J70" s="5267"/>
      <c r="K70" s="5267"/>
      <c r="L70" s="5267"/>
      <c r="M70" s="5267"/>
      <c r="N70" s="5267"/>
      <c r="O70" s="5267"/>
      <c r="P70" s="3627"/>
      <c r="Q70" s="3627"/>
      <c r="R70" s="3627"/>
      <c r="S70" s="3627"/>
      <c r="T70" s="3592"/>
      <c r="U70" s="3627"/>
      <c r="V70" s="5267"/>
      <c r="W70" s="5267"/>
      <c r="X70" s="5267"/>
      <c r="Y70" s="5267"/>
      <c r="Z70" s="5267"/>
      <c r="AA70" s="6346"/>
      <c r="AB70" s="5267"/>
      <c r="AC70" s="6345" t="str">
        <f>IF(AND(X70&lt;&gt;"",AA70&lt;&gt;""),"Check ONLY one.","")</f>
        <v/>
      </c>
      <c r="AD70" s="5267"/>
      <c r="AE70" s="5267"/>
      <c r="AF70" s="139"/>
      <c r="AG70" s="2875"/>
      <c r="AH70" s="139"/>
    </row>
    <row r="71" spans="1:34" ht="12.75" customHeight="1">
      <c r="A71" s="139"/>
      <c r="B71" s="2984">
        <v>40</v>
      </c>
      <c r="C71" s="5318" t="s">
        <v>2539</v>
      </c>
      <c r="D71" s="5267"/>
      <c r="E71" s="5267"/>
      <c r="F71" s="5267"/>
      <c r="G71" s="5267"/>
      <c r="H71" s="5267"/>
      <c r="I71" s="5267"/>
      <c r="J71" s="5267"/>
      <c r="K71" s="5267"/>
      <c r="L71" s="5267"/>
      <c r="M71" s="5267"/>
      <c r="N71" s="5267"/>
      <c r="O71" s="5267"/>
      <c r="P71" s="3627"/>
      <c r="Q71" s="3627"/>
      <c r="R71" s="3627"/>
      <c r="S71" s="3627"/>
      <c r="T71" s="3592"/>
      <c r="U71" s="3627"/>
      <c r="V71" s="5267"/>
      <c r="W71" s="5267"/>
      <c r="X71" s="5267"/>
      <c r="Y71" s="5267"/>
      <c r="Z71" s="5267"/>
      <c r="AA71" s="6347"/>
      <c r="AB71" s="5267"/>
      <c r="AC71" s="6345"/>
      <c r="AD71" s="5267"/>
      <c r="AE71" s="5267"/>
      <c r="AF71" s="139"/>
      <c r="AG71" s="2875"/>
      <c r="AH71" s="139"/>
    </row>
    <row r="72" spans="1:34" ht="15" customHeight="1">
      <c r="A72" s="139"/>
      <c r="B72" s="2768" t="s">
        <v>588</v>
      </c>
      <c r="C72" s="5318" t="s">
        <v>2540</v>
      </c>
      <c r="D72" s="5267"/>
      <c r="E72" s="5267"/>
      <c r="F72" s="5267"/>
      <c r="G72" s="5267"/>
      <c r="H72" s="5267"/>
      <c r="I72" s="5267"/>
      <c r="J72" s="5267"/>
      <c r="K72" s="5267"/>
      <c r="L72" s="5267"/>
      <c r="M72" s="5267"/>
      <c r="N72" s="5267"/>
      <c r="O72" s="5267"/>
      <c r="P72" s="5267"/>
      <c r="Q72" s="5267"/>
      <c r="R72" s="3627"/>
      <c r="S72" s="3627"/>
      <c r="T72" s="3592"/>
      <c r="U72" s="3627"/>
      <c r="V72" s="5265"/>
      <c r="W72" s="6309"/>
      <c r="X72" s="6309"/>
      <c r="Y72" s="362"/>
      <c r="Z72" s="5265" t="s">
        <v>2476</v>
      </c>
      <c r="AA72" s="3693" t="s">
        <v>2541</v>
      </c>
      <c r="AB72" s="8187"/>
      <c r="AC72" s="8264"/>
      <c r="AD72" s="8270"/>
      <c r="AE72" s="8270"/>
      <c r="AF72" s="139"/>
      <c r="AG72" s="2875"/>
      <c r="AH72" s="139"/>
    </row>
    <row r="73" spans="1:34" ht="12" customHeight="1">
      <c r="A73" s="139"/>
      <c r="B73" s="2768"/>
      <c r="C73" s="3654"/>
      <c r="D73" s="5267"/>
      <c r="E73" s="5267"/>
      <c r="F73" s="5267"/>
      <c r="G73" s="5267"/>
      <c r="H73" s="5267"/>
      <c r="I73" s="5267"/>
      <c r="J73" s="5267"/>
      <c r="K73" s="5267"/>
      <c r="L73" s="5267"/>
      <c r="M73" s="5267"/>
      <c r="N73" s="5267"/>
      <c r="O73" s="5267"/>
      <c r="P73" s="3627"/>
      <c r="Q73" s="3627"/>
      <c r="R73" s="3627"/>
      <c r="S73" s="3627"/>
      <c r="T73" s="3592"/>
      <c r="U73" s="3627"/>
      <c r="V73" s="5267"/>
      <c r="W73" s="5267"/>
      <c r="X73" s="5267"/>
      <c r="Y73" s="5267"/>
      <c r="Z73" s="6348"/>
      <c r="AA73" s="6342"/>
      <c r="AB73" s="5267"/>
      <c r="AC73" s="5267"/>
      <c r="AD73" s="5267"/>
      <c r="AE73" s="5267"/>
      <c r="AF73" s="139"/>
      <c r="AG73" s="2875"/>
      <c r="AH73" s="139"/>
    </row>
    <row r="74" spans="1:34" ht="15" customHeight="1">
      <c r="A74" s="139"/>
      <c r="B74" s="2768" t="s">
        <v>592</v>
      </c>
      <c r="C74" s="5318" t="s">
        <v>2486</v>
      </c>
      <c r="D74" s="5267"/>
      <c r="E74" s="5267"/>
      <c r="F74" s="5267"/>
      <c r="G74" s="5267"/>
      <c r="H74" s="5267"/>
      <c r="I74" s="5267"/>
      <c r="J74" s="6349" t="s">
        <v>894</v>
      </c>
      <c r="K74" s="8671" t="s">
        <v>2542</v>
      </c>
      <c r="L74" s="8672"/>
      <c r="M74" s="8209"/>
      <c r="N74" s="8210"/>
      <c r="O74" s="8275"/>
      <c r="P74" s="8744"/>
      <c r="Q74" s="3627"/>
      <c r="R74" s="5328" t="s">
        <v>2543</v>
      </c>
      <c r="S74" s="5328"/>
      <c r="T74" s="6306" t="s">
        <v>401</v>
      </c>
      <c r="U74" s="5328"/>
      <c r="V74" s="6309"/>
      <c r="W74" s="6309"/>
      <c r="X74" s="6309"/>
      <c r="Y74" s="362"/>
      <c r="Z74" s="6343" t="s">
        <v>2534</v>
      </c>
      <c r="AA74" s="3693" t="s">
        <v>2543</v>
      </c>
      <c r="AB74" s="8187"/>
      <c r="AC74" s="8264"/>
      <c r="AD74" s="8270"/>
      <c r="AE74" s="8270"/>
      <c r="AF74" s="139"/>
      <c r="AG74" s="2875"/>
      <c r="AH74" s="139"/>
    </row>
    <row r="75" spans="1:34" ht="9.75" customHeight="1">
      <c r="A75" s="139"/>
      <c r="B75" s="3592"/>
      <c r="C75" s="3098"/>
      <c r="D75" s="3098"/>
      <c r="E75" s="3098"/>
      <c r="F75" s="3098"/>
      <c r="G75" s="3098"/>
      <c r="H75" s="3098"/>
      <c r="I75" s="3098"/>
      <c r="J75" s="3098"/>
      <c r="K75" s="3098"/>
      <c r="L75" s="3098"/>
      <c r="M75" s="3098"/>
      <c r="N75" s="3098"/>
      <c r="O75" s="3098"/>
      <c r="P75" s="3098"/>
      <c r="Q75" s="3098"/>
      <c r="R75" s="3098"/>
      <c r="S75" s="3098"/>
      <c r="T75" s="3098"/>
      <c r="U75" s="3098"/>
      <c r="V75" s="3098"/>
      <c r="W75" s="3098"/>
      <c r="X75" s="3098"/>
      <c r="Y75" s="3098"/>
      <c r="Z75" s="6350"/>
      <c r="AA75" s="6342"/>
      <c r="AB75" s="3098"/>
      <c r="AC75" s="3098"/>
      <c r="AD75" s="3098"/>
      <c r="AE75" s="3098"/>
      <c r="AF75" s="139"/>
      <c r="AG75" s="2875"/>
      <c r="AH75" s="139"/>
    </row>
    <row r="76" spans="1:34" ht="14.25" customHeight="1">
      <c r="A76" s="139"/>
      <c r="B76" s="2984">
        <v>41</v>
      </c>
      <c r="C76" s="3098" t="s">
        <v>2544</v>
      </c>
      <c r="D76" s="3627"/>
      <c r="E76" s="3627"/>
      <c r="F76" s="3627"/>
      <c r="G76" s="3627"/>
      <c r="H76" s="3627"/>
      <c r="I76" s="3627"/>
      <c r="J76" s="3627"/>
      <c r="K76" s="3627"/>
      <c r="L76" s="3627"/>
      <c r="M76" s="3627"/>
      <c r="N76" s="3627"/>
      <c r="O76" s="3627"/>
      <c r="P76" s="3627"/>
      <c r="Q76" s="3627"/>
      <c r="R76" s="3627"/>
      <c r="S76" s="3627"/>
      <c r="T76" s="3627"/>
      <c r="U76" s="3627"/>
      <c r="V76" s="3627"/>
      <c r="W76" s="3627"/>
      <c r="X76" s="3627"/>
      <c r="Y76" s="3627"/>
      <c r="Z76" s="5265" t="s">
        <v>2545</v>
      </c>
      <c r="AA76" s="3693">
        <v>41</v>
      </c>
      <c r="AB76" s="8187"/>
      <c r="AC76" s="8264"/>
      <c r="AD76" s="8270"/>
      <c r="AE76" s="8270"/>
      <c r="AF76" s="139"/>
      <c r="AG76" s="2875"/>
      <c r="AH76" s="139"/>
    </row>
    <row r="77" spans="1:34" ht="9.75" customHeight="1">
      <c r="A77" s="139"/>
      <c r="B77" s="3592"/>
      <c r="C77" s="3098"/>
      <c r="D77" s="3098"/>
      <c r="E77" s="3098"/>
      <c r="F77" s="3098"/>
      <c r="G77" s="3098"/>
      <c r="H77" s="3098"/>
      <c r="I77" s="3098"/>
      <c r="J77" s="3098"/>
      <c r="K77" s="3098"/>
      <c r="L77" s="3098"/>
      <c r="M77" s="3098"/>
      <c r="N77" s="3098"/>
      <c r="O77" s="3098"/>
      <c r="P77" s="3098"/>
      <c r="Q77" s="3098"/>
      <c r="R77" s="3098"/>
      <c r="S77" s="3098"/>
      <c r="T77" s="3098"/>
      <c r="U77" s="3098"/>
      <c r="V77" s="3098"/>
      <c r="W77" s="3098"/>
      <c r="X77" s="3098"/>
      <c r="Y77" s="3098"/>
      <c r="Z77" s="3098"/>
      <c r="AA77" s="6342"/>
      <c r="AB77" s="3098"/>
      <c r="AC77" s="3098"/>
      <c r="AD77" s="3098"/>
      <c r="AE77" s="3098"/>
      <c r="AF77" s="139"/>
      <c r="AG77" s="2875"/>
      <c r="AH77" s="139"/>
    </row>
    <row r="78" spans="1:34" ht="14.25" customHeight="1">
      <c r="A78" s="139"/>
      <c r="B78" s="2984">
        <v>42</v>
      </c>
      <c r="C78" s="3098" t="s">
        <v>2489</v>
      </c>
      <c r="D78" s="3627"/>
      <c r="E78" s="3627"/>
      <c r="F78" s="3627"/>
      <c r="G78" s="3627"/>
      <c r="H78" s="3627"/>
      <c r="I78" s="3627"/>
      <c r="J78" s="3627"/>
      <c r="K78" s="3627"/>
      <c r="L78" s="3627"/>
      <c r="M78" s="3627"/>
      <c r="N78" s="3627"/>
      <c r="O78" s="3627"/>
      <c r="P78" s="3627"/>
      <c r="Q78" s="3627"/>
      <c r="R78" s="3627"/>
      <c r="S78" s="3627"/>
      <c r="T78" s="3627"/>
      <c r="U78" s="3627"/>
      <c r="V78" s="3627"/>
      <c r="W78" s="3627"/>
      <c r="X78" s="3627"/>
      <c r="Y78" s="3627"/>
      <c r="Z78" s="5265" t="s">
        <v>2476</v>
      </c>
      <c r="AA78" s="3693">
        <v>42</v>
      </c>
      <c r="AB78" s="8187"/>
      <c r="AC78" s="8264"/>
      <c r="AD78" s="8270"/>
      <c r="AE78" s="8270"/>
      <c r="AF78" s="139"/>
      <c r="AG78" s="2875"/>
      <c r="AH78" s="139"/>
    </row>
    <row r="79" spans="1:34" ht="9.75" customHeight="1">
      <c r="A79" s="139"/>
      <c r="B79" s="3592"/>
      <c r="C79" s="3098"/>
      <c r="D79" s="3098"/>
      <c r="E79" s="3098"/>
      <c r="F79" s="3098"/>
      <c r="G79" s="3098"/>
      <c r="H79" s="3098"/>
      <c r="I79" s="3098"/>
      <c r="J79" s="3098"/>
      <c r="K79" s="3098"/>
      <c r="L79" s="3098"/>
      <c r="M79" s="3098"/>
      <c r="N79" s="3098"/>
      <c r="O79" s="3098"/>
      <c r="P79" s="3098"/>
      <c r="Q79" s="3098"/>
      <c r="R79" s="3098"/>
      <c r="S79" s="3098"/>
      <c r="T79" s="3098"/>
      <c r="U79" s="3098"/>
      <c r="V79" s="3098"/>
      <c r="W79" s="3098"/>
      <c r="X79" s="3098"/>
      <c r="Y79" s="3098"/>
      <c r="Z79" s="3098"/>
      <c r="AA79" s="6342"/>
      <c r="AB79" s="3098"/>
      <c r="AC79" s="3098"/>
      <c r="AD79" s="3098"/>
      <c r="AE79" s="3098"/>
      <c r="AF79" s="139"/>
      <c r="AG79" s="2875"/>
      <c r="AH79" s="139"/>
    </row>
    <row r="80" spans="1:34" ht="14.25" customHeight="1">
      <c r="A80" s="139"/>
      <c r="B80" s="2984">
        <v>43</v>
      </c>
      <c r="C80" s="3098" t="s">
        <v>2546</v>
      </c>
      <c r="D80" s="3627"/>
      <c r="E80" s="3627"/>
      <c r="F80" s="3627"/>
      <c r="G80" s="3627"/>
      <c r="H80" s="3627"/>
      <c r="I80" s="3627"/>
      <c r="J80" s="3627"/>
      <c r="K80" s="3627"/>
      <c r="L80" s="3627"/>
      <c r="M80" s="3627"/>
      <c r="N80" s="3627"/>
      <c r="O80" s="3627"/>
      <c r="P80" s="3627"/>
      <c r="Q80" s="3627"/>
      <c r="R80" s="3627"/>
      <c r="S80" s="3627"/>
      <c r="T80" s="3627"/>
      <c r="U80" s="3627"/>
      <c r="V80" s="3627"/>
      <c r="W80" s="3627"/>
      <c r="X80" s="3627"/>
      <c r="Y80" s="3627"/>
      <c r="Z80" s="5265" t="s">
        <v>2547</v>
      </c>
      <c r="AA80" s="3693">
        <v>43</v>
      </c>
      <c r="AB80" s="8187"/>
      <c r="AC80" s="8264"/>
      <c r="AD80" s="8270"/>
      <c r="AE80" s="8270"/>
      <c r="AF80" s="139"/>
      <c r="AG80" s="2875"/>
      <c r="AH80" s="139"/>
    </row>
    <row r="81" spans="1:34" ht="9.75" customHeight="1">
      <c r="A81" s="139"/>
      <c r="B81" s="3592"/>
      <c r="C81" s="3098"/>
      <c r="D81" s="3098"/>
      <c r="E81" s="3098"/>
      <c r="F81" s="3098"/>
      <c r="G81" s="3098"/>
      <c r="H81" s="3098"/>
      <c r="I81" s="3098"/>
      <c r="J81" s="3098"/>
      <c r="K81" s="3098"/>
      <c r="L81" s="3098"/>
      <c r="M81" s="3098"/>
      <c r="N81" s="3098"/>
      <c r="O81" s="3098"/>
      <c r="P81" s="3098"/>
      <c r="Q81" s="3098"/>
      <c r="R81" s="3098"/>
      <c r="S81" s="3098"/>
      <c r="T81" s="3098"/>
      <c r="U81" s="3098"/>
      <c r="V81" s="3098"/>
      <c r="W81" s="3098"/>
      <c r="X81" s="3098"/>
      <c r="Y81" s="3098"/>
      <c r="Z81" s="3098"/>
      <c r="AA81" s="6342"/>
      <c r="AB81" s="6351"/>
      <c r="AC81" s="6352"/>
      <c r="AD81" s="6352"/>
      <c r="AE81" s="6352"/>
      <c r="AF81" s="139"/>
      <c r="AG81" s="2875"/>
      <c r="AH81" s="139"/>
    </row>
    <row r="82" spans="1:34" ht="14.25" customHeight="1">
      <c r="A82" s="139"/>
      <c r="B82" s="2984">
        <v>44</v>
      </c>
      <c r="C82" s="3098" t="s">
        <v>2548</v>
      </c>
      <c r="D82" s="3627"/>
      <c r="E82" s="3627"/>
      <c r="F82" s="3627"/>
      <c r="G82" s="3627"/>
      <c r="H82" s="3627"/>
      <c r="I82" s="3627"/>
      <c r="J82" s="3627"/>
      <c r="K82" s="3627"/>
      <c r="L82" s="3627"/>
      <c r="M82" s="3627"/>
      <c r="N82" s="3627"/>
      <c r="O82" s="3627"/>
      <c r="P82" s="3627"/>
      <c r="Q82" s="3627"/>
      <c r="R82" s="3627"/>
      <c r="S82" s="3627"/>
      <c r="T82" s="3627"/>
      <c r="U82" s="3627"/>
      <c r="V82" s="3627"/>
      <c r="W82" s="3627"/>
      <c r="X82" s="3627"/>
      <c r="Y82" s="3627"/>
      <c r="Z82" s="5265" t="s">
        <v>4978</v>
      </c>
      <c r="AA82" s="3693">
        <v>44</v>
      </c>
      <c r="AB82" s="8198">
        <f>IF(AG82&lt;&gt;"",ROUND(AG82,0),ROUND(SUM(AB65,AB67,AB69,AB72,AB74,AB76,AB78,AB80),0))</f>
        <v>0</v>
      </c>
      <c r="AC82" s="8657"/>
      <c r="AD82" s="8272"/>
      <c r="AE82" s="8272"/>
      <c r="AF82" s="139"/>
      <c r="AG82" s="134"/>
      <c r="AH82" s="139"/>
    </row>
    <row r="83" spans="1:34" ht="9.75" customHeight="1">
      <c r="A83" s="139"/>
      <c r="B83" s="3592"/>
      <c r="C83" s="3098"/>
      <c r="D83" s="3098"/>
      <c r="E83" s="3098"/>
      <c r="F83" s="3098"/>
      <c r="G83" s="3098"/>
      <c r="H83" s="3098"/>
      <c r="I83" s="3098"/>
      <c r="J83" s="3098"/>
      <c r="K83" s="3098"/>
      <c r="L83" s="3098"/>
      <c r="M83" s="3098"/>
      <c r="N83" s="3098"/>
      <c r="O83" s="3098"/>
      <c r="P83" s="3098"/>
      <c r="Q83" s="3098"/>
      <c r="R83" s="3098"/>
      <c r="S83" s="3098"/>
      <c r="T83" s="3098"/>
      <c r="U83" s="3098"/>
      <c r="V83" s="3098"/>
      <c r="W83" s="3098"/>
      <c r="X83" s="3098"/>
      <c r="Y83" s="3098"/>
      <c r="Z83" s="3098"/>
      <c r="AA83" s="6346"/>
      <c r="AB83" s="3098"/>
      <c r="AC83" s="3098"/>
      <c r="AD83" s="3098"/>
      <c r="AE83" s="3098"/>
      <c r="AF83" s="139"/>
      <c r="AG83" s="2875"/>
      <c r="AH83" s="139"/>
    </row>
    <row r="84" spans="1:34" ht="14.25" customHeight="1">
      <c r="A84" s="139"/>
      <c r="B84" s="2984">
        <v>45</v>
      </c>
      <c r="C84" s="3098" t="s">
        <v>4979</v>
      </c>
      <c r="D84" s="3627"/>
      <c r="E84" s="3627"/>
      <c r="F84" s="3627"/>
      <c r="G84" s="3627"/>
      <c r="H84" s="3627"/>
      <c r="I84" s="3627"/>
      <c r="J84" s="3627"/>
      <c r="K84" s="3627"/>
      <c r="L84" s="3627"/>
      <c r="M84" s="3627"/>
      <c r="N84" s="3627"/>
      <c r="O84" s="3627"/>
      <c r="P84" s="3627"/>
      <c r="Q84" s="3627"/>
      <c r="R84" s="3627"/>
      <c r="S84" s="3627"/>
      <c r="T84" s="3627"/>
      <c r="U84" s="3627"/>
      <c r="V84" s="5265"/>
      <c r="W84" s="6309"/>
      <c r="X84" s="6309"/>
      <c r="Y84" s="362"/>
      <c r="Z84" s="362"/>
      <c r="AA84" s="6347"/>
      <c r="AB84" s="3098"/>
      <c r="AC84" s="3098"/>
      <c r="AD84" s="3098"/>
      <c r="AE84" s="3098"/>
      <c r="AF84" s="139"/>
      <c r="AG84" s="2875"/>
      <c r="AH84" s="139"/>
    </row>
    <row r="85" spans="1:34" ht="12.75" customHeight="1">
      <c r="A85" s="139"/>
      <c r="B85" s="2984"/>
      <c r="C85" s="5318" t="s">
        <v>4980</v>
      </c>
      <c r="D85" s="5267"/>
      <c r="E85" s="5267"/>
      <c r="F85" s="5267"/>
      <c r="G85" s="5267"/>
      <c r="H85" s="5267"/>
      <c r="I85" s="5267"/>
      <c r="J85" s="5267"/>
      <c r="K85" s="5267"/>
      <c r="L85" s="5267"/>
      <c r="M85" s="5267"/>
      <c r="N85" s="5267"/>
      <c r="O85" s="5267"/>
      <c r="P85" s="5267"/>
      <c r="Q85" s="5267"/>
      <c r="R85" s="6343"/>
      <c r="S85" s="6343"/>
      <c r="T85" s="6343"/>
      <c r="U85" s="6343" t="s">
        <v>1859</v>
      </c>
      <c r="V85" s="6353">
        <v>45</v>
      </c>
      <c r="W85" s="8264"/>
      <c r="X85" s="8264"/>
      <c r="Y85" s="8270"/>
      <c r="Z85" s="8270"/>
      <c r="AA85" s="6347"/>
      <c r="AB85" s="3098"/>
      <c r="AC85" s="3098"/>
      <c r="AD85" s="3098"/>
      <c r="AE85" s="3098"/>
      <c r="AF85" s="139"/>
      <c r="AG85" s="2875"/>
      <c r="AH85" s="139"/>
    </row>
    <row r="86" spans="1:34" ht="21" customHeight="1">
      <c r="A86" s="139"/>
      <c r="B86" s="2984">
        <v>46</v>
      </c>
      <c r="C86" s="3098" t="s">
        <v>2549</v>
      </c>
      <c r="D86" s="3627"/>
      <c r="E86" s="3627"/>
      <c r="F86" s="3627"/>
      <c r="G86" s="3627"/>
      <c r="H86" s="3627"/>
      <c r="I86" s="3627"/>
      <c r="J86" s="3627"/>
      <c r="K86" s="3627"/>
      <c r="L86" s="3627"/>
      <c r="M86" s="3627"/>
      <c r="N86" s="3627"/>
      <c r="O86" s="3627"/>
      <c r="P86" s="3627"/>
      <c r="Q86" s="3627"/>
      <c r="R86" s="3627"/>
      <c r="S86" s="3627"/>
      <c r="T86" s="3627"/>
      <c r="U86" s="3627"/>
      <c r="V86" s="6354"/>
      <c r="W86" s="6309"/>
      <c r="X86" s="6309"/>
      <c r="Y86" s="362"/>
      <c r="Z86" s="362"/>
      <c r="AA86" s="6347"/>
      <c r="AB86" s="3098"/>
      <c r="AC86" s="3098"/>
      <c r="AD86" s="3098"/>
      <c r="AE86" s="3098"/>
      <c r="AF86" s="139"/>
      <c r="AG86" s="2875"/>
      <c r="AH86" s="139"/>
    </row>
    <row r="87" spans="1:34" ht="12.75" customHeight="1">
      <c r="A87" s="139"/>
      <c r="B87" s="2984"/>
      <c r="C87" s="5318" t="s">
        <v>2550</v>
      </c>
      <c r="D87" s="5267"/>
      <c r="E87" s="5267"/>
      <c r="F87" s="5267"/>
      <c r="G87" s="5267"/>
      <c r="H87" s="5267"/>
      <c r="I87" s="5267"/>
      <c r="J87" s="5267"/>
      <c r="K87" s="5267"/>
      <c r="L87" s="5267"/>
      <c r="M87" s="5267"/>
      <c r="N87" s="5267"/>
      <c r="O87" s="5267"/>
      <c r="P87" s="5267"/>
      <c r="Q87" s="5267"/>
      <c r="R87" s="6343"/>
      <c r="S87" s="6343"/>
      <c r="T87" s="6343"/>
      <c r="U87" s="6343" t="s">
        <v>2551</v>
      </c>
      <c r="V87" s="6353">
        <v>46</v>
      </c>
      <c r="W87" s="8264"/>
      <c r="X87" s="8264"/>
      <c r="Y87" s="8270"/>
      <c r="Z87" s="8270"/>
      <c r="AA87" s="6347"/>
      <c r="AB87" s="3098"/>
      <c r="AC87" s="3098"/>
      <c r="AD87" s="3098"/>
      <c r="AE87" s="3098"/>
      <c r="AF87" s="139"/>
      <c r="AG87" s="2875"/>
      <c r="AH87" s="139"/>
    </row>
    <row r="88" spans="1:34" ht="11.25" customHeight="1">
      <c r="A88" s="139"/>
      <c r="B88" s="2984"/>
      <c r="C88" s="3654"/>
      <c r="D88" s="3627"/>
      <c r="E88" s="3627"/>
      <c r="F88" s="3627"/>
      <c r="G88" s="3627"/>
      <c r="H88" s="3627"/>
      <c r="I88" s="3627"/>
      <c r="J88" s="3627"/>
      <c r="K88" s="3627"/>
      <c r="L88" s="3627"/>
      <c r="M88" s="3627"/>
      <c r="N88" s="3627"/>
      <c r="O88" s="3627"/>
      <c r="P88" s="3627"/>
      <c r="Q88" s="3627"/>
      <c r="R88" s="3627"/>
      <c r="S88" s="3627"/>
      <c r="T88" s="3627"/>
      <c r="U88" s="3627"/>
      <c r="V88" s="6354"/>
      <c r="W88" s="6309"/>
      <c r="X88" s="6309"/>
      <c r="Y88" s="362"/>
      <c r="Z88" s="362"/>
      <c r="AA88" s="6347"/>
      <c r="AB88" s="3098"/>
      <c r="AC88" s="3098"/>
      <c r="AD88" s="3098"/>
      <c r="AE88" s="3098"/>
      <c r="AF88" s="139"/>
      <c r="AG88" s="2875"/>
      <c r="AH88" s="139"/>
    </row>
    <row r="89" spans="1:34" ht="12.75" customHeight="1">
      <c r="A89" s="139"/>
      <c r="B89" s="2984">
        <v>47</v>
      </c>
      <c r="C89" s="5318" t="s">
        <v>2552</v>
      </c>
      <c r="D89" s="5267"/>
      <c r="E89" s="5267"/>
      <c r="F89" s="5267"/>
      <c r="G89" s="5267"/>
      <c r="H89" s="5267"/>
      <c r="I89" s="5267"/>
      <c r="J89" s="5267"/>
      <c r="K89" s="5267"/>
      <c r="L89" s="5267"/>
      <c r="M89" s="5267"/>
      <c r="N89" s="5267"/>
      <c r="O89" s="5267"/>
      <c r="P89" s="5267"/>
      <c r="Q89" s="5267"/>
      <c r="R89" s="6343"/>
      <c r="S89" s="6343"/>
      <c r="T89" s="6343"/>
      <c r="U89" s="6343" t="s">
        <v>1991</v>
      </c>
      <c r="V89" s="6353">
        <v>47</v>
      </c>
      <c r="W89" s="8198">
        <f>ROUND(SUM(W85,W87),0)</f>
        <v>0</v>
      </c>
      <c r="X89" s="8657"/>
      <c r="Y89" s="8272"/>
      <c r="Z89" s="8272"/>
      <c r="AA89" s="6347"/>
      <c r="AB89" s="3098"/>
      <c r="AC89" s="3098"/>
      <c r="AD89" s="3098"/>
      <c r="AE89" s="3098"/>
      <c r="AF89" s="139"/>
      <c r="AG89" s="2875"/>
      <c r="AH89" s="139"/>
    </row>
    <row r="90" spans="1:34" ht="14.25" customHeight="1">
      <c r="A90" s="139"/>
      <c r="B90" s="2984"/>
      <c r="C90" s="3654"/>
      <c r="D90" s="3627"/>
      <c r="E90" s="3627"/>
      <c r="F90" s="3627"/>
      <c r="G90" s="3627"/>
      <c r="H90" s="3627"/>
      <c r="I90" s="3627"/>
      <c r="J90" s="3627"/>
      <c r="K90" s="3627"/>
      <c r="L90" s="3627"/>
      <c r="M90" s="3627"/>
      <c r="N90" s="3627"/>
      <c r="O90" s="3627"/>
      <c r="P90" s="3627"/>
      <c r="Q90" s="3627"/>
      <c r="R90" s="3627"/>
      <c r="S90" s="3627"/>
      <c r="T90" s="3627"/>
      <c r="U90" s="3627"/>
      <c r="V90" s="6354"/>
      <c r="W90" s="6309"/>
      <c r="X90" s="6309"/>
      <c r="Y90" s="362"/>
      <c r="Z90" s="362"/>
      <c r="AA90" s="6347"/>
      <c r="AB90" s="3098"/>
      <c r="AC90" s="3098"/>
      <c r="AD90" s="3098"/>
      <c r="AE90" s="3098"/>
      <c r="AF90" s="139"/>
      <c r="AG90" s="2875"/>
      <c r="AH90" s="139"/>
    </row>
    <row r="91" spans="1:34" ht="12.75" customHeight="1">
      <c r="A91" s="139"/>
      <c r="B91" s="2984">
        <v>48</v>
      </c>
      <c r="C91" s="5318" t="s">
        <v>2553</v>
      </c>
      <c r="D91" s="5267"/>
      <c r="E91" s="5267"/>
      <c r="F91" s="5267"/>
      <c r="G91" s="5267"/>
      <c r="H91" s="5267"/>
      <c r="I91" s="5267"/>
      <c r="J91" s="5267"/>
      <c r="K91" s="5267"/>
      <c r="L91" s="5267"/>
      <c r="M91" s="5267"/>
      <c r="N91" s="5267"/>
      <c r="O91" s="5267"/>
      <c r="P91" s="5267"/>
      <c r="Q91" s="5267"/>
      <c r="R91" s="6343"/>
      <c r="S91" s="6343"/>
      <c r="T91" s="6343"/>
      <c r="U91" s="6343" t="s">
        <v>1126</v>
      </c>
      <c r="V91" s="6353">
        <v>48</v>
      </c>
      <c r="W91" s="8264"/>
      <c r="X91" s="8264"/>
      <c r="Y91" s="8270"/>
      <c r="Z91" s="8270"/>
      <c r="AA91" s="6347"/>
      <c r="AB91" s="3098"/>
      <c r="AC91" s="3098"/>
      <c r="AD91" s="3098"/>
      <c r="AE91" s="3098"/>
      <c r="AF91" s="139"/>
      <c r="AG91" s="2875"/>
      <c r="AH91" s="139"/>
    </row>
    <row r="92" spans="1:34" ht="9.75" customHeight="1">
      <c r="A92" s="139"/>
      <c r="B92" s="3592"/>
      <c r="C92" s="3098"/>
      <c r="D92" s="3098"/>
      <c r="E92" s="3098"/>
      <c r="F92" s="3098"/>
      <c r="G92" s="3098"/>
      <c r="H92" s="3098"/>
      <c r="I92" s="3098"/>
      <c r="J92" s="3098"/>
      <c r="K92" s="3098"/>
      <c r="L92" s="3098"/>
      <c r="M92" s="3098"/>
      <c r="N92" s="3098"/>
      <c r="O92" s="3098"/>
      <c r="P92" s="3098"/>
      <c r="Q92" s="3098"/>
      <c r="R92" s="3098"/>
      <c r="S92" s="3098"/>
      <c r="T92" s="3098"/>
      <c r="U92" s="3098"/>
      <c r="V92" s="3098"/>
      <c r="W92" s="3098"/>
      <c r="X92" s="3098"/>
      <c r="Y92" s="3098"/>
      <c r="Z92" s="3098"/>
      <c r="AA92" s="6342"/>
      <c r="AB92" s="3098"/>
      <c r="AC92" s="3098"/>
      <c r="AD92" s="3098"/>
      <c r="AE92" s="3098"/>
      <c r="AF92" s="139"/>
      <c r="AG92" s="2875"/>
      <c r="AH92" s="139"/>
    </row>
    <row r="93" spans="1:34" ht="14.25" customHeight="1">
      <c r="A93" s="139"/>
      <c r="B93" s="2984">
        <v>49</v>
      </c>
      <c r="C93" s="3098" t="s">
        <v>2554</v>
      </c>
      <c r="D93" s="3627"/>
      <c r="E93" s="3627"/>
      <c r="F93" s="3627"/>
      <c r="G93" s="3627"/>
      <c r="H93" s="3627"/>
      <c r="I93" s="3627"/>
      <c r="J93" s="3627"/>
      <c r="K93" s="3627"/>
      <c r="L93" s="3627"/>
      <c r="M93" s="3627"/>
      <c r="N93" s="3627"/>
      <c r="O93" s="3627"/>
      <c r="P93" s="3627"/>
      <c r="Q93" s="3627"/>
      <c r="R93" s="3627"/>
      <c r="S93" s="3627"/>
      <c r="T93" s="3627"/>
      <c r="U93" s="3627"/>
      <c r="V93" s="3627"/>
      <c r="W93" s="3627"/>
      <c r="X93" s="3627"/>
      <c r="Y93" s="3627"/>
      <c r="Z93" s="6343" t="s">
        <v>816</v>
      </c>
      <c r="AA93" s="3693">
        <v>49</v>
      </c>
      <c r="AB93" s="8198">
        <f>SUM(W89,-W91)</f>
        <v>0</v>
      </c>
      <c r="AC93" s="8657"/>
      <c r="AD93" s="8272"/>
      <c r="AE93" s="8272"/>
      <c r="AF93" s="139"/>
      <c r="AG93" s="2875"/>
      <c r="AH93" s="139"/>
    </row>
    <row r="94" spans="1:34" ht="9.75" customHeight="1">
      <c r="A94" s="139"/>
      <c r="B94" s="3592"/>
      <c r="C94" s="3098"/>
      <c r="D94" s="3098"/>
      <c r="E94" s="3098"/>
      <c r="F94" s="3098"/>
      <c r="G94" s="3098"/>
      <c r="H94" s="3098"/>
      <c r="I94" s="3098"/>
      <c r="J94" s="3098"/>
      <c r="K94" s="3098"/>
      <c r="L94" s="3098"/>
      <c r="M94" s="3098"/>
      <c r="N94" s="3098"/>
      <c r="O94" s="3098"/>
      <c r="P94" s="3098"/>
      <c r="Q94" s="3098"/>
      <c r="R94" s="3098"/>
      <c r="S94" s="3098"/>
      <c r="T94" s="3098"/>
      <c r="U94" s="3098"/>
      <c r="V94" s="3098"/>
      <c r="W94" s="3098"/>
      <c r="X94" s="3098"/>
      <c r="Y94" s="3098"/>
      <c r="Z94" s="3098"/>
      <c r="AA94" s="6342"/>
      <c r="AB94" s="8728" t="b">
        <f>IF(OR(AB82&lt;&gt;0,W89&lt;&gt;0,AB93&lt;&gt;0),TRUE,FALSE)</f>
        <v>0</v>
      </c>
      <c r="AC94" s="8729"/>
      <c r="AD94" s="8729"/>
      <c r="AE94" s="8729"/>
      <c r="AF94" s="139"/>
      <c r="AG94" s="2875"/>
      <c r="AH94" s="139"/>
    </row>
    <row r="95" spans="1:34" ht="14.25" customHeight="1">
      <c r="A95" s="139"/>
      <c r="B95" s="6278">
        <v>50</v>
      </c>
      <c r="C95" s="3110" t="s">
        <v>5258</v>
      </c>
      <c r="D95" s="5212"/>
      <c r="E95" s="5212"/>
      <c r="F95" s="5212"/>
      <c r="G95" s="5212"/>
      <c r="H95" s="5212"/>
      <c r="I95" s="5212"/>
      <c r="J95" s="5212"/>
      <c r="K95" s="5212"/>
      <c r="L95" s="5212"/>
      <c r="M95" s="5212"/>
      <c r="N95" s="5212"/>
      <c r="O95" s="5212"/>
      <c r="P95" s="5212"/>
      <c r="Q95" s="5212"/>
      <c r="R95" s="5212"/>
      <c r="S95" s="5212"/>
      <c r="T95" s="5212"/>
      <c r="U95" s="5212"/>
      <c r="V95" s="5212"/>
      <c r="W95" s="5212"/>
      <c r="X95" s="5212"/>
      <c r="Y95" s="5212"/>
      <c r="Z95" s="6355" t="s">
        <v>894</v>
      </c>
      <c r="AA95" s="3693">
        <v>50</v>
      </c>
      <c r="AB95" s="8198">
        <f>IF(AG95&lt;&gt;"",ROUND(AG95,0),SUM(AB82,-AB93))</f>
        <v>0</v>
      </c>
      <c r="AC95" s="8657"/>
      <c r="AD95" s="8272"/>
      <c r="AE95" s="8272"/>
      <c r="AF95" s="139"/>
      <c r="AG95" s="134"/>
      <c r="AH95" s="139"/>
    </row>
    <row r="96" spans="1:34" ht="14.25" customHeight="1">
      <c r="A96" s="139"/>
      <c r="B96" s="2769" t="s">
        <v>2555</v>
      </c>
      <c r="C96" s="2770"/>
      <c r="D96" s="5267"/>
      <c r="E96" s="5267"/>
      <c r="F96" s="5267"/>
      <c r="G96" s="5267"/>
      <c r="H96" s="5267"/>
      <c r="I96" s="5267"/>
      <c r="J96" s="5267"/>
      <c r="K96" s="5267"/>
      <c r="L96" s="5267"/>
      <c r="M96" s="5267"/>
      <c r="N96" s="5267"/>
      <c r="O96" s="5267"/>
      <c r="P96" s="5267"/>
      <c r="Q96" s="5267"/>
      <c r="R96" s="5267"/>
      <c r="S96" s="5267"/>
      <c r="T96" s="5267"/>
      <c r="U96" s="5267"/>
      <c r="V96" s="5267"/>
      <c r="W96" s="5267"/>
      <c r="X96" s="5267"/>
      <c r="Y96" s="5267"/>
      <c r="Z96" s="5267"/>
      <c r="AA96" s="5267"/>
      <c r="AB96" s="5267"/>
      <c r="AC96" s="5267"/>
      <c r="AD96" s="5267"/>
      <c r="AE96" s="5267"/>
      <c r="AF96" s="139"/>
      <c r="AG96" s="2875"/>
      <c r="AH96" s="139"/>
    </row>
    <row r="97" spans="1:34" ht="14.25" customHeight="1" thickBot="1">
      <c r="A97" s="139"/>
      <c r="B97" s="3370" t="s">
        <v>2556</v>
      </c>
      <c r="C97" s="6356"/>
      <c r="D97" s="6337"/>
      <c r="E97" s="6337"/>
      <c r="F97" s="6337"/>
      <c r="G97" s="6337"/>
      <c r="H97" s="6337"/>
      <c r="I97" s="6337"/>
      <c r="J97" s="6337"/>
      <c r="K97" s="6337"/>
      <c r="L97" s="6337"/>
      <c r="M97" s="6337"/>
      <c r="N97" s="6337"/>
      <c r="O97" s="6337"/>
      <c r="P97" s="6337"/>
      <c r="Q97" s="6337"/>
      <c r="R97" s="6337"/>
      <c r="S97" s="6337"/>
      <c r="T97" s="6337"/>
      <c r="U97" s="6337"/>
      <c r="V97" s="6337"/>
      <c r="W97" s="6337"/>
      <c r="X97" s="6337"/>
      <c r="Y97" s="6337"/>
      <c r="Z97" s="6337"/>
      <c r="AA97" s="6337"/>
      <c r="AB97" s="6337"/>
      <c r="AC97" s="6337"/>
      <c r="AD97" s="6337"/>
      <c r="AE97" s="6337"/>
      <c r="AF97" s="139"/>
      <c r="AG97" s="2875"/>
      <c r="AH97" s="139"/>
    </row>
    <row r="98" spans="1:34" ht="15" customHeight="1" thickTop="1">
      <c r="A98" s="139"/>
      <c r="B98" s="8730" t="s">
        <v>2102</v>
      </c>
      <c r="C98" s="8731"/>
      <c r="D98" s="6357" t="s">
        <v>2557</v>
      </c>
      <c r="E98" s="6341"/>
      <c r="F98" s="6341"/>
      <c r="G98" s="6341"/>
      <c r="H98" s="6341"/>
      <c r="I98" s="6341"/>
      <c r="J98" s="6341"/>
      <c r="K98" s="6341"/>
      <c r="L98" s="6341"/>
      <c r="M98" s="6341"/>
      <c r="N98" s="6341"/>
      <c r="O98" s="6341"/>
      <c r="P98" s="6341"/>
      <c r="Q98" s="6341"/>
      <c r="R98" s="6341"/>
      <c r="S98" s="6341"/>
      <c r="T98" s="6341"/>
      <c r="U98" s="6341"/>
      <c r="V98" s="6341"/>
      <c r="W98" s="6341"/>
      <c r="X98" s="6341"/>
      <c r="Y98" s="6341"/>
      <c r="Z98" s="6341"/>
      <c r="AA98" s="6341"/>
      <c r="AB98" s="6341"/>
      <c r="AC98" s="6341"/>
      <c r="AD98" s="6341"/>
      <c r="AE98" s="6341"/>
      <c r="AF98" s="139"/>
      <c r="AG98" s="2875"/>
      <c r="AH98" s="139"/>
    </row>
    <row r="99" spans="1:34" ht="12.75" customHeight="1">
      <c r="A99" s="139"/>
      <c r="B99" s="2984"/>
      <c r="C99" s="2984"/>
      <c r="D99" s="6358" t="s">
        <v>4981</v>
      </c>
      <c r="E99" s="6359"/>
      <c r="F99" s="3098"/>
      <c r="G99" s="3098"/>
      <c r="H99" s="3098"/>
      <c r="I99" s="3098"/>
      <c r="J99" s="3098"/>
      <c r="K99" s="3098"/>
      <c r="L99" s="3098"/>
      <c r="M99" s="3098"/>
      <c r="N99" s="3098"/>
      <c r="O99" s="8643">
        <v>111300</v>
      </c>
      <c r="P99" s="7695"/>
      <c r="Q99" s="7695"/>
      <c r="R99" s="3098" t="s">
        <v>2558</v>
      </c>
      <c r="S99" s="3627"/>
      <c r="T99" s="3627"/>
      <c r="U99" s="3627"/>
      <c r="V99" s="3098"/>
      <c r="W99" s="3098"/>
      <c r="X99" s="3098"/>
      <c r="Y99" s="3098"/>
      <c r="Z99" s="3098"/>
      <c r="AA99" s="3098"/>
      <c r="AB99" s="3098"/>
      <c r="AC99" s="3098"/>
      <c r="AD99" s="3098"/>
      <c r="AE99" s="3098"/>
      <c r="AF99" s="139"/>
      <c r="AG99" s="2875"/>
      <c r="AH99" s="139"/>
    </row>
    <row r="100" spans="1:34" ht="12.75" customHeight="1">
      <c r="A100" s="139"/>
      <c r="B100" s="2984"/>
      <c r="C100" s="2984"/>
      <c r="D100" s="6358" t="s">
        <v>4982</v>
      </c>
      <c r="E100" s="6359"/>
      <c r="F100" s="3098"/>
      <c r="G100" s="3098"/>
      <c r="H100" s="3098"/>
      <c r="I100" s="3098"/>
      <c r="J100" s="3098"/>
      <c r="K100" s="3098"/>
      <c r="L100" s="3098"/>
      <c r="M100" s="3098"/>
      <c r="N100" s="3098"/>
      <c r="O100" s="8643">
        <v>111400</v>
      </c>
      <c r="P100" s="7695"/>
      <c r="Q100" s="7695"/>
      <c r="R100" s="3098" t="s">
        <v>2559</v>
      </c>
      <c r="S100" s="3627"/>
      <c r="T100" s="3627"/>
      <c r="U100" s="3627"/>
      <c r="V100" s="3098"/>
      <c r="W100" s="3098"/>
      <c r="X100" s="3098"/>
      <c r="Y100" s="3098"/>
      <c r="Z100" s="3098"/>
      <c r="AA100" s="3098"/>
      <c r="AB100" s="3098"/>
      <c r="AC100" s="3098"/>
      <c r="AD100" s="3098"/>
      <c r="AE100" s="3098"/>
      <c r="AF100" s="139"/>
      <c r="AG100" s="2875"/>
      <c r="AH100" s="139"/>
    </row>
    <row r="101" spans="1:34" ht="12.75" customHeight="1">
      <c r="A101" s="139"/>
      <c r="B101" s="2984"/>
      <c r="C101" s="2984"/>
      <c r="D101" s="6358" t="s">
        <v>2560</v>
      </c>
      <c r="E101" s="6359"/>
      <c r="F101" s="3098"/>
      <c r="G101" s="3098"/>
      <c r="H101" s="3098"/>
      <c r="I101" s="3098"/>
      <c r="J101" s="3098"/>
      <c r="K101" s="3098"/>
      <c r="L101" s="3098"/>
      <c r="M101" s="3098"/>
      <c r="N101" s="3098"/>
      <c r="O101" s="8643">
        <v>111900</v>
      </c>
      <c r="P101" s="7695"/>
      <c r="Q101" s="7695"/>
      <c r="R101" s="3098" t="s">
        <v>2561</v>
      </c>
      <c r="S101" s="3627"/>
      <c r="T101" s="3627"/>
      <c r="U101" s="3627"/>
      <c r="V101" s="3098"/>
      <c r="W101" s="3098"/>
      <c r="X101" s="3098"/>
      <c r="Y101" s="3098"/>
      <c r="Z101" s="3098"/>
      <c r="AA101" s="3098"/>
      <c r="AB101" s="3098"/>
      <c r="AC101" s="3098"/>
      <c r="AD101" s="3098"/>
      <c r="AE101" s="3098"/>
      <c r="AF101" s="139"/>
      <c r="AG101" s="2875"/>
      <c r="AH101" s="139"/>
    </row>
    <row r="102" spans="1:34" ht="12.75" customHeight="1">
      <c r="A102" s="139"/>
      <c r="B102" s="2984"/>
      <c r="C102" s="2984"/>
      <c r="D102" s="6358" t="s">
        <v>4983</v>
      </c>
      <c r="E102" s="6359"/>
      <c r="F102" s="3098"/>
      <c r="G102" s="3098"/>
      <c r="H102" s="3098"/>
      <c r="I102" s="3098"/>
      <c r="J102" s="3098"/>
      <c r="K102" s="3098"/>
      <c r="L102" s="3098"/>
      <c r="M102" s="3098"/>
      <c r="N102" s="3098"/>
      <c r="O102" s="6360" t="s">
        <v>2562</v>
      </c>
      <c r="P102" s="3098"/>
      <c r="Q102" s="3098"/>
      <c r="R102" s="3098"/>
      <c r="S102" s="3098"/>
      <c r="T102" s="3098"/>
      <c r="U102" s="3098"/>
      <c r="V102" s="3098"/>
      <c r="W102" s="3098"/>
      <c r="X102" s="3098"/>
      <c r="Y102" s="3098"/>
      <c r="Z102" s="3098"/>
      <c r="AA102" s="3098"/>
      <c r="AB102" s="3098"/>
      <c r="AC102" s="3098"/>
      <c r="AD102" s="3098"/>
      <c r="AE102" s="3098"/>
      <c r="AF102" s="139"/>
      <c r="AG102" s="2875"/>
      <c r="AH102" s="139"/>
    </row>
    <row r="103" spans="1:34" ht="12.75" customHeight="1">
      <c r="A103" s="139"/>
      <c r="B103" s="6361" t="s">
        <v>4984</v>
      </c>
      <c r="C103" s="6362"/>
      <c r="D103" s="6363"/>
      <c r="E103" s="3098"/>
      <c r="F103" s="3098"/>
      <c r="G103" s="3098"/>
      <c r="H103" s="3098"/>
      <c r="I103" s="3098"/>
      <c r="J103" s="3098"/>
      <c r="K103" s="3098"/>
      <c r="L103" s="3098"/>
      <c r="M103" s="3098"/>
      <c r="N103" s="3098"/>
      <c r="O103" s="8643">
        <v>112111</v>
      </c>
      <c r="P103" s="7695"/>
      <c r="Q103" s="7695"/>
      <c r="R103" s="3098" t="s">
        <v>2563</v>
      </c>
      <c r="S103" s="3627"/>
      <c r="T103" s="3627"/>
      <c r="U103" s="3627"/>
      <c r="V103" s="3098"/>
      <c r="W103" s="3098"/>
      <c r="X103" s="3098"/>
      <c r="Y103" s="3098"/>
      <c r="Z103" s="3098"/>
      <c r="AA103" s="3098"/>
      <c r="AB103" s="3098"/>
      <c r="AC103" s="3098"/>
      <c r="AD103" s="3098"/>
      <c r="AE103" s="3098"/>
      <c r="AF103" s="139"/>
      <c r="AG103" s="2875"/>
      <c r="AH103" s="139"/>
    </row>
    <row r="104" spans="1:34" ht="12.75" customHeight="1">
      <c r="A104" s="139"/>
      <c r="B104" s="6361" t="s">
        <v>4985</v>
      </c>
      <c r="C104" s="6364"/>
      <c r="D104" s="6363"/>
      <c r="E104" s="3098"/>
      <c r="F104" s="3098"/>
      <c r="G104" s="3098"/>
      <c r="H104" s="3098"/>
      <c r="I104" s="3098"/>
      <c r="J104" s="3098"/>
      <c r="K104" s="3098"/>
      <c r="L104" s="3098"/>
      <c r="M104" s="3098"/>
      <c r="N104" s="3098"/>
      <c r="O104" s="8643">
        <v>112112</v>
      </c>
      <c r="P104" s="7695"/>
      <c r="Q104" s="7695"/>
      <c r="R104" s="3098" t="s">
        <v>2564</v>
      </c>
      <c r="S104" s="3627"/>
      <c r="T104" s="3627"/>
      <c r="U104" s="3627"/>
      <c r="V104" s="3098"/>
      <c r="W104" s="3098"/>
      <c r="X104" s="3098"/>
      <c r="Y104" s="3098"/>
      <c r="Z104" s="3098"/>
      <c r="AA104" s="3098"/>
      <c r="AB104" s="3098"/>
      <c r="AC104" s="3098"/>
      <c r="AD104" s="3098"/>
      <c r="AE104" s="3098"/>
      <c r="AF104" s="139"/>
      <c r="AG104" s="2875"/>
      <c r="AH104" s="139"/>
    </row>
    <row r="105" spans="1:34" ht="12.75" customHeight="1">
      <c r="A105" s="139"/>
      <c r="B105" s="6364" t="s">
        <v>2565</v>
      </c>
      <c r="C105" s="6364"/>
      <c r="D105" s="6363"/>
      <c r="E105" s="5266"/>
      <c r="F105" s="5318"/>
      <c r="G105" s="5318"/>
      <c r="H105" s="5318"/>
      <c r="I105" s="5318"/>
      <c r="J105" s="5318"/>
      <c r="K105" s="5318"/>
      <c r="L105" s="5318"/>
      <c r="M105" s="5318"/>
      <c r="N105" s="6365"/>
      <c r="O105" s="8651">
        <v>112120</v>
      </c>
      <c r="P105" s="8652"/>
      <c r="Q105" s="8652"/>
      <c r="R105" s="6366" t="s">
        <v>2566</v>
      </c>
      <c r="S105" s="6367"/>
      <c r="T105" s="6367"/>
      <c r="U105" s="6367"/>
      <c r="V105" s="6365"/>
      <c r="W105" s="6365"/>
      <c r="X105" s="6365"/>
      <c r="Y105" s="6365"/>
      <c r="Z105" s="6365"/>
      <c r="AA105" s="6365"/>
      <c r="AB105" s="6365"/>
      <c r="AC105" s="6365"/>
      <c r="AD105" s="6365"/>
      <c r="AE105" s="5318"/>
      <c r="AF105" s="139"/>
      <c r="AG105" s="2875"/>
      <c r="AH105" s="139"/>
    </row>
    <row r="106" spans="1:34" ht="12.75" customHeight="1">
      <c r="A106" s="139"/>
      <c r="B106" s="6361" t="s">
        <v>4987</v>
      </c>
      <c r="C106" s="6364"/>
      <c r="D106" s="6363"/>
      <c r="E106" s="5266"/>
      <c r="F106" s="5318"/>
      <c r="G106" s="5318"/>
      <c r="H106" s="5318"/>
      <c r="I106" s="5318"/>
      <c r="J106" s="5318"/>
      <c r="K106" s="5318"/>
      <c r="L106" s="5318"/>
      <c r="M106" s="5318"/>
      <c r="N106" s="6365"/>
      <c r="O106" s="8651">
        <v>112210</v>
      </c>
      <c r="P106" s="8652"/>
      <c r="Q106" s="8652"/>
      <c r="R106" s="6366" t="s">
        <v>2567</v>
      </c>
      <c r="S106" s="6367"/>
      <c r="T106" s="6367"/>
      <c r="U106" s="6367"/>
      <c r="V106" s="6365"/>
      <c r="W106" s="6365"/>
      <c r="X106" s="6365"/>
      <c r="Y106" s="6365"/>
      <c r="Z106" s="6365"/>
      <c r="AA106" s="6365"/>
      <c r="AB106" s="6365"/>
      <c r="AC106" s="6365"/>
      <c r="AD106" s="6365"/>
      <c r="AE106" s="5318"/>
      <c r="AF106" s="139"/>
      <c r="AG106" s="2875"/>
      <c r="AH106" s="139"/>
    </row>
    <row r="107" spans="1:34" ht="12.75" customHeight="1">
      <c r="A107" s="139"/>
      <c r="B107" s="6361" t="s">
        <v>4986</v>
      </c>
      <c r="C107" s="6364"/>
      <c r="D107" s="6363"/>
      <c r="E107" s="5266"/>
      <c r="F107" s="5318"/>
      <c r="G107" s="5318"/>
      <c r="H107" s="5318"/>
      <c r="I107" s="5318"/>
      <c r="J107" s="5318"/>
      <c r="K107" s="5318"/>
      <c r="L107" s="5318"/>
      <c r="M107" s="5318"/>
      <c r="N107" s="6365"/>
      <c r="O107" s="8644">
        <v>112300</v>
      </c>
      <c r="P107" s="8644"/>
      <c r="Q107" s="8644"/>
      <c r="R107" s="6366" t="s">
        <v>2569</v>
      </c>
      <c r="S107" s="6367"/>
      <c r="T107" s="6367"/>
      <c r="U107" s="6367"/>
      <c r="V107" s="6365"/>
      <c r="W107" s="6365"/>
      <c r="X107" s="6365"/>
      <c r="Y107" s="6365"/>
      <c r="Z107" s="6365"/>
      <c r="AA107" s="6365"/>
      <c r="AB107" s="6365"/>
      <c r="AC107" s="6365"/>
      <c r="AD107" s="6365"/>
      <c r="AE107" s="5318"/>
      <c r="AF107" s="139"/>
      <c r="AG107" s="2875"/>
      <c r="AH107" s="139"/>
    </row>
    <row r="108" spans="1:34" ht="12.75" customHeight="1">
      <c r="A108" s="139"/>
      <c r="B108" s="6364" t="s">
        <v>4988</v>
      </c>
      <c r="C108" s="6364"/>
      <c r="D108" s="6363"/>
      <c r="E108" s="5266"/>
      <c r="F108" s="5318"/>
      <c r="G108" s="5318"/>
      <c r="H108" s="5318"/>
      <c r="I108" s="5318"/>
      <c r="J108" s="5318"/>
      <c r="K108" s="5318"/>
      <c r="L108" s="5318"/>
      <c r="M108" s="5318"/>
      <c r="N108" s="6365"/>
      <c r="O108" s="8644">
        <v>112400</v>
      </c>
      <c r="P108" s="8644"/>
      <c r="Q108" s="8644"/>
      <c r="R108" s="6366" t="s">
        <v>2570</v>
      </c>
      <c r="S108" s="6367"/>
      <c r="T108" s="6367"/>
      <c r="U108" s="6367"/>
      <c r="V108" s="6365"/>
      <c r="W108" s="6365"/>
      <c r="X108" s="6365"/>
      <c r="Y108" s="6365"/>
      <c r="Z108" s="6365"/>
      <c r="AA108" s="6365"/>
      <c r="AB108" s="6365"/>
      <c r="AC108" s="6365"/>
      <c r="AD108" s="6365"/>
      <c r="AE108" s="5318"/>
      <c r="AF108" s="139"/>
      <c r="AG108" s="2875"/>
      <c r="AH108" s="139"/>
    </row>
    <row r="109" spans="1:34" ht="12.75" customHeight="1">
      <c r="A109" s="139"/>
      <c r="B109" s="6361" t="s">
        <v>4985</v>
      </c>
      <c r="C109" s="6364"/>
      <c r="D109" s="6363"/>
      <c r="E109" s="5266"/>
      <c r="F109" s="5318"/>
      <c r="G109" s="5318"/>
      <c r="H109" s="5318"/>
      <c r="I109" s="5318"/>
      <c r="J109" s="5318"/>
      <c r="K109" s="5318"/>
      <c r="L109" s="5318"/>
      <c r="M109" s="5318"/>
      <c r="N109" s="6365"/>
      <c r="O109" s="8645">
        <v>112510</v>
      </c>
      <c r="P109" s="8645"/>
      <c r="Q109" s="8645"/>
      <c r="R109" s="6368" t="s">
        <v>2572</v>
      </c>
      <c r="S109" s="6367"/>
      <c r="T109" s="6367"/>
      <c r="U109" s="6367"/>
      <c r="V109" s="6365"/>
      <c r="W109" s="6365"/>
      <c r="X109" s="6365"/>
      <c r="Y109" s="6365"/>
      <c r="Z109" s="6365"/>
      <c r="AA109" s="6365"/>
      <c r="AB109" s="6365"/>
      <c r="AC109" s="6365"/>
      <c r="AD109" s="6365"/>
      <c r="AE109" s="5318"/>
      <c r="AF109" s="139"/>
      <c r="AG109" s="2875"/>
      <c r="AH109" s="139"/>
    </row>
    <row r="110" spans="1:34" ht="12.75" customHeight="1">
      <c r="A110" s="139"/>
      <c r="B110" s="6364" t="s">
        <v>2568</v>
      </c>
      <c r="C110" s="6364"/>
      <c r="D110" s="6363"/>
      <c r="E110" s="5266"/>
      <c r="F110" s="5318"/>
      <c r="G110" s="5318"/>
      <c r="H110" s="5318"/>
      <c r="I110" s="5318"/>
      <c r="J110" s="5318"/>
      <c r="K110" s="5318"/>
      <c r="L110" s="5318"/>
      <c r="M110" s="5318"/>
      <c r="N110" s="6365"/>
      <c r="O110" s="8644">
        <v>112900</v>
      </c>
      <c r="P110" s="8644"/>
      <c r="Q110" s="8644"/>
      <c r="R110" s="6366" t="s">
        <v>2574</v>
      </c>
      <c r="S110" s="6367"/>
      <c r="T110" s="6367"/>
      <c r="U110" s="6367"/>
      <c r="V110" s="6365"/>
      <c r="W110" s="6365"/>
      <c r="X110" s="6365"/>
      <c r="Y110" s="6365"/>
      <c r="Z110" s="6365"/>
      <c r="AA110" s="6365"/>
      <c r="AB110" s="6365"/>
      <c r="AC110" s="6365"/>
      <c r="AD110" s="6365"/>
      <c r="AE110" s="5318"/>
      <c r="AF110" s="139"/>
      <c r="AG110" s="2875"/>
      <c r="AH110" s="139"/>
    </row>
    <row r="111" spans="1:34" ht="15.75" thickBot="1">
      <c r="A111" s="139"/>
      <c r="B111" s="6369" t="s">
        <v>4989</v>
      </c>
      <c r="C111" s="6370"/>
      <c r="D111" s="6371"/>
      <c r="E111" s="6372"/>
      <c r="F111" s="6373"/>
      <c r="G111" s="6373"/>
      <c r="H111" s="6373"/>
      <c r="I111" s="6373"/>
      <c r="J111" s="6373"/>
      <c r="K111" s="6373"/>
      <c r="L111" s="6373"/>
      <c r="M111" s="6373"/>
      <c r="N111" s="6365"/>
      <c r="O111" s="6360" t="s">
        <v>2576</v>
      </c>
      <c r="P111" s="5318"/>
      <c r="Q111" s="5318"/>
      <c r="R111" s="5318"/>
      <c r="S111" s="5318"/>
      <c r="T111" s="6367"/>
      <c r="U111" s="6367"/>
      <c r="V111" s="6365"/>
      <c r="W111" s="6365"/>
      <c r="X111" s="6365"/>
      <c r="Y111" s="6365"/>
      <c r="Z111" s="6365"/>
      <c r="AA111" s="6365"/>
      <c r="AB111" s="6365"/>
      <c r="AC111" s="6365"/>
      <c r="AD111" s="6365"/>
      <c r="AE111" s="5318"/>
      <c r="AF111" s="139"/>
      <c r="AG111" s="2875"/>
      <c r="AH111" s="139"/>
    </row>
    <row r="112" spans="1:34" ht="15" thickTop="1">
      <c r="A112" s="139"/>
      <c r="B112" s="6374" t="s">
        <v>2571</v>
      </c>
      <c r="C112" s="5214"/>
      <c r="D112" s="6359"/>
      <c r="E112" s="5267"/>
      <c r="F112" s="5267"/>
      <c r="G112" s="5267"/>
      <c r="H112" s="5267"/>
      <c r="I112" s="5267"/>
      <c r="J112" s="5267"/>
      <c r="K112" s="5267"/>
      <c r="L112" s="5318"/>
      <c r="M112" s="5318"/>
      <c r="N112" s="6365"/>
      <c r="O112" s="8738">
        <v>113000</v>
      </c>
      <c r="P112" s="8738"/>
      <c r="Q112" s="8738"/>
      <c r="R112" s="3098" t="s">
        <v>2578</v>
      </c>
      <c r="S112" s="3627"/>
      <c r="T112" s="6367"/>
      <c r="U112" s="6367"/>
      <c r="V112" s="6365"/>
      <c r="W112" s="6365"/>
      <c r="X112" s="6365"/>
      <c r="Y112" s="6365"/>
      <c r="Z112" s="6365"/>
      <c r="AA112" s="6365"/>
      <c r="AB112" s="6365"/>
      <c r="AC112" s="6365"/>
      <c r="AD112" s="6365"/>
      <c r="AE112" s="5318"/>
      <c r="AF112" s="139"/>
      <c r="AG112" s="2875"/>
      <c r="AH112" s="139"/>
    </row>
    <row r="113" spans="1:34" ht="12.75" customHeight="1">
      <c r="A113" s="139"/>
      <c r="B113" s="3098" t="s">
        <v>2573</v>
      </c>
      <c r="C113" s="3627"/>
      <c r="D113" s="6359"/>
      <c r="E113" s="5267"/>
      <c r="F113" s="5267"/>
      <c r="G113" s="5267"/>
      <c r="H113" s="5267"/>
      <c r="I113" s="5267"/>
      <c r="J113" s="5267"/>
      <c r="K113" s="5267"/>
      <c r="L113" s="5318"/>
      <c r="M113" s="5318"/>
      <c r="N113" s="6365"/>
      <c r="O113" s="5318"/>
      <c r="P113" s="5318"/>
      <c r="Q113" s="5318"/>
      <c r="R113" s="3098" t="s">
        <v>2580</v>
      </c>
      <c r="S113" s="3627"/>
      <c r="T113" s="6367"/>
      <c r="U113" s="6367"/>
      <c r="V113" s="6365"/>
      <c r="W113" s="6365"/>
      <c r="X113" s="6365"/>
      <c r="Y113" s="6365"/>
      <c r="Z113" s="6365"/>
      <c r="AA113" s="6365"/>
      <c r="AB113" s="6365"/>
      <c r="AC113" s="6365"/>
      <c r="AD113" s="6365"/>
      <c r="AE113" s="5318"/>
      <c r="AF113" s="139"/>
      <c r="AG113" s="2875"/>
      <c r="AH113" s="139"/>
    </row>
    <row r="114" spans="1:34" ht="12.75" customHeight="1">
      <c r="A114" s="139"/>
      <c r="B114" s="3098" t="s">
        <v>2575</v>
      </c>
      <c r="C114" s="3627"/>
      <c r="D114" s="6359"/>
      <c r="E114" s="5267"/>
      <c r="F114" s="5267"/>
      <c r="G114" s="5267"/>
      <c r="H114" s="5267"/>
      <c r="I114" s="5267"/>
      <c r="J114" s="5267"/>
      <c r="K114" s="5267"/>
      <c r="L114" s="5318"/>
      <c r="M114" s="5318"/>
      <c r="N114" s="5318"/>
      <c r="O114" s="8643">
        <v>113110</v>
      </c>
      <c r="P114" s="7695"/>
      <c r="Q114" s="7695"/>
      <c r="R114" s="3098" t="s">
        <v>2582</v>
      </c>
      <c r="S114" s="3627"/>
      <c r="T114" s="5318"/>
      <c r="U114" s="5318"/>
      <c r="V114" s="5318"/>
      <c r="W114" s="5318"/>
      <c r="X114" s="5318"/>
      <c r="Y114" s="5318"/>
      <c r="Z114" s="5318"/>
      <c r="AA114" s="5318"/>
      <c r="AB114" s="5318"/>
      <c r="AC114" s="5318"/>
      <c r="AD114" s="5318"/>
      <c r="AE114" s="5318"/>
      <c r="AF114" s="139"/>
      <c r="AG114" s="2875"/>
      <c r="AH114" s="139"/>
    </row>
    <row r="115" spans="1:34" ht="12.75" customHeight="1">
      <c r="A115" s="139"/>
      <c r="B115" s="3098" t="s">
        <v>2577</v>
      </c>
      <c r="C115" s="3627"/>
      <c r="D115" s="6359"/>
      <c r="E115" s="5267"/>
      <c r="F115" s="5267"/>
      <c r="G115" s="5267"/>
      <c r="H115" s="5267"/>
      <c r="I115" s="5267"/>
      <c r="J115" s="5267"/>
      <c r="K115" s="5267"/>
      <c r="L115" s="5318"/>
      <c r="M115" s="5318"/>
      <c r="N115" s="5318"/>
      <c r="O115" s="8643">
        <v>113210</v>
      </c>
      <c r="P115" s="7695"/>
      <c r="Q115" s="7695"/>
      <c r="R115" s="3098" t="s">
        <v>2584</v>
      </c>
      <c r="S115" s="3627"/>
      <c r="T115" s="3627"/>
      <c r="U115" s="3627"/>
      <c r="V115" s="5318"/>
      <c r="W115" s="5318"/>
      <c r="X115" s="5318"/>
      <c r="Y115" s="5318"/>
      <c r="Z115" s="5318"/>
      <c r="AA115" s="5318"/>
      <c r="AB115" s="5318"/>
      <c r="AC115" s="5318"/>
      <c r="AD115" s="5318"/>
      <c r="AE115" s="5318"/>
      <c r="AF115" s="139"/>
      <c r="AG115" s="2875"/>
      <c r="AH115" s="139"/>
    </row>
    <row r="116" spans="1:34" ht="12.75" customHeight="1">
      <c r="A116" s="139"/>
      <c r="B116" s="6374" t="s">
        <v>2579</v>
      </c>
      <c r="C116" s="5214"/>
      <c r="D116" s="6359"/>
      <c r="E116" s="5267"/>
      <c r="F116" s="5267"/>
      <c r="G116" s="5267"/>
      <c r="H116" s="5267"/>
      <c r="I116" s="5267"/>
      <c r="J116" s="5267"/>
      <c r="K116" s="5267"/>
      <c r="L116" s="5318"/>
      <c r="M116" s="5318"/>
      <c r="N116" s="5318"/>
      <c r="O116" s="8643">
        <v>113310</v>
      </c>
      <c r="P116" s="7695"/>
      <c r="Q116" s="7695"/>
      <c r="R116" s="3098" t="s">
        <v>2586</v>
      </c>
      <c r="S116" s="3627"/>
      <c r="T116" s="3627"/>
      <c r="U116" s="3627"/>
      <c r="V116" s="5318"/>
      <c r="W116" s="5318"/>
      <c r="X116" s="5318"/>
      <c r="Y116" s="5318"/>
      <c r="Z116" s="5318"/>
      <c r="AA116" s="5318"/>
      <c r="AB116" s="5318"/>
      <c r="AC116" s="5318"/>
      <c r="AD116" s="5318"/>
      <c r="AE116" s="5318"/>
      <c r="AF116" s="139"/>
      <c r="AG116" s="2875"/>
      <c r="AH116" s="139"/>
    </row>
    <row r="117" spans="1:34" ht="12.75" customHeight="1">
      <c r="A117" s="139"/>
      <c r="B117" s="3098" t="s">
        <v>2581</v>
      </c>
      <c r="C117" s="3627"/>
      <c r="D117" s="6359"/>
      <c r="E117" s="5267"/>
      <c r="F117" s="5267"/>
      <c r="G117" s="5267"/>
      <c r="H117" s="5267"/>
      <c r="I117" s="5267"/>
      <c r="J117" s="5267"/>
      <c r="K117" s="5267"/>
      <c r="L117" s="5318"/>
      <c r="M117" s="5318"/>
      <c r="N117" s="5318"/>
      <c r="O117" s="8739"/>
      <c r="P117" s="8740"/>
      <c r="Q117" s="8740"/>
      <c r="R117" s="3592"/>
      <c r="S117" s="3627"/>
      <c r="T117" s="3627"/>
      <c r="U117" s="3627"/>
      <c r="V117" s="5318"/>
      <c r="W117" s="5318"/>
      <c r="X117" s="5318"/>
      <c r="Y117" s="5318"/>
      <c r="Z117" s="5318"/>
      <c r="AA117" s="5318"/>
      <c r="AB117" s="5318"/>
      <c r="AC117" s="5318"/>
      <c r="AD117" s="5318"/>
      <c r="AE117" s="5318"/>
      <c r="AF117" s="139"/>
      <c r="AG117" s="2875"/>
      <c r="AH117" s="139"/>
    </row>
    <row r="118" spans="1:34" ht="12.75" customHeight="1">
      <c r="A118" s="139"/>
      <c r="B118" s="6375" t="s">
        <v>2583</v>
      </c>
      <c r="C118" s="2754"/>
      <c r="D118" s="6359"/>
      <c r="E118" s="5267"/>
      <c r="F118" s="5267"/>
      <c r="G118" s="5267"/>
      <c r="H118" s="5267"/>
      <c r="I118" s="5267"/>
      <c r="J118" s="5267"/>
      <c r="K118" s="5267"/>
      <c r="L118" s="5318"/>
      <c r="M118" s="5318"/>
      <c r="N118" s="5318"/>
      <c r="O118" s="8739"/>
      <c r="P118" s="8740"/>
      <c r="Q118" s="8740"/>
      <c r="R118" s="3592"/>
      <c r="S118" s="3627"/>
      <c r="T118" s="3627"/>
      <c r="U118" s="3627"/>
      <c r="V118" s="5318"/>
      <c r="W118" s="5318"/>
      <c r="X118" s="5318"/>
      <c r="Y118" s="5318"/>
      <c r="Z118" s="5318"/>
      <c r="AA118" s="5318"/>
      <c r="AB118" s="5318"/>
      <c r="AC118" s="5318"/>
      <c r="AD118" s="5318"/>
      <c r="AE118" s="5318"/>
      <c r="AF118" s="139"/>
      <c r="AG118" s="2875"/>
      <c r="AH118" s="139"/>
    </row>
    <row r="119" spans="1:34" ht="12.75" customHeight="1">
      <c r="A119" s="139"/>
      <c r="B119" s="8727">
        <v>111100</v>
      </c>
      <c r="C119" s="7250"/>
      <c r="D119" s="3592" t="s">
        <v>2585</v>
      </c>
      <c r="E119" s="5266"/>
      <c r="F119" s="5318"/>
      <c r="G119" s="5318"/>
      <c r="H119" s="5318"/>
      <c r="I119" s="5318"/>
      <c r="J119" s="5318"/>
      <c r="K119" s="5318"/>
      <c r="L119" s="5318"/>
      <c r="M119" s="5318"/>
      <c r="N119" s="5318"/>
      <c r="O119" s="8739"/>
      <c r="P119" s="8740"/>
      <c r="Q119" s="8740"/>
      <c r="R119" s="3592"/>
      <c r="S119" s="3627"/>
      <c r="T119" s="3627"/>
      <c r="U119" s="3627"/>
      <c r="V119" s="5318"/>
      <c r="W119" s="5318"/>
      <c r="X119" s="5318"/>
      <c r="Y119" s="5318"/>
      <c r="Z119" s="5318"/>
      <c r="AA119" s="5318"/>
      <c r="AB119" s="5318"/>
      <c r="AC119" s="5318"/>
      <c r="AD119" s="5318"/>
      <c r="AE119" s="5318"/>
      <c r="AF119" s="139"/>
      <c r="AG119" s="2875"/>
      <c r="AH119" s="139"/>
    </row>
    <row r="120" spans="1:34" ht="12.75" customHeight="1">
      <c r="A120" s="139"/>
      <c r="B120" s="8727">
        <v>111210</v>
      </c>
      <c r="C120" s="7250"/>
      <c r="D120" s="3592" t="s">
        <v>2587</v>
      </c>
      <c r="E120" s="5266"/>
      <c r="F120" s="5318"/>
      <c r="G120" s="5318"/>
      <c r="H120" s="5318"/>
      <c r="I120" s="5318"/>
      <c r="J120" s="5318"/>
      <c r="K120" s="5318"/>
      <c r="L120" s="5318"/>
      <c r="M120" s="5318"/>
      <c r="N120" s="5318"/>
      <c r="O120" s="5318"/>
      <c r="P120" s="5318"/>
      <c r="Q120" s="5318"/>
      <c r="R120" s="3627"/>
      <c r="S120" s="3627"/>
      <c r="T120" s="3627"/>
      <c r="U120" s="3627"/>
      <c r="V120" s="5318"/>
      <c r="W120" s="5318"/>
      <c r="X120" s="5318"/>
      <c r="Y120" s="5318"/>
      <c r="Z120" s="5318"/>
      <c r="AA120" s="5318"/>
      <c r="AB120" s="5318"/>
      <c r="AC120" s="5318"/>
      <c r="AD120" s="5318"/>
      <c r="AE120" s="5318"/>
      <c r="AF120" s="139"/>
      <c r="AG120" s="2875"/>
      <c r="AH120" s="139"/>
    </row>
    <row r="121" spans="1:34" ht="12.75" customHeight="1" thickBot="1">
      <c r="A121" s="139"/>
      <c r="B121" s="6376"/>
      <c r="C121" s="6376"/>
      <c r="D121" s="5334"/>
      <c r="E121" s="5334"/>
      <c r="F121" s="5301"/>
      <c r="G121" s="5301"/>
      <c r="H121" s="5301"/>
      <c r="I121" s="5301"/>
      <c r="J121" s="5301"/>
      <c r="K121" s="5301"/>
      <c r="L121" s="5301"/>
      <c r="M121" s="5301"/>
      <c r="N121" s="5301"/>
      <c r="O121" s="5301"/>
      <c r="P121" s="5301"/>
      <c r="Q121" s="5301"/>
      <c r="R121" s="5301"/>
      <c r="S121" s="5301"/>
      <c r="T121" s="5301"/>
      <c r="U121" s="5301"/>
      <c r="V121" s="5301"/>
      <c r="W121" s="5301"/>
      <c r="X121" s="5301"/>
      <c r="Y121" s="5301"/>
      <c r="Z121" s="5301"/>
      <c r="AA121" s="5301"/>
      <c r="AB121" s="5301"/>
      <c r="AC121" s="5301"/>
      <c r="AD121" s="5301"/>
      <c r="AE121" s="5301"/>
      <c r="AF121" s="139"/>
      <c r="AG121" s="2875"/>
      <c r="AH121" s="139"/>
    </row>
    <row r="122" spans="1:34" ht="18" customHeight="1">
      <c r="A122" s="139"/>
      <c r="B122" s="5069"/>
      <c r="C122" s="5069"/>
      <c r="D122" s="5069"/>
      <c r="E122" s="5069"/>
      <c r="F122" s="5069"/>
      <c r="G122" s="5217"/>
      <c r="H122" s="5217"/>
      <c r="I122" s="5217"/>
      <c r="J122" s="5217"/>
      <c r="K122" s="5217"/>
      <c r="L122" s="5217"/>
      <c r="M122" s="5217"/>
      <c r="N122" s="5342"/>
      <c r="O122" s="5342"/>
      <c r="P122" s="5342"/>
      <c r="Q122" s="5342"/>
      <c r="R122" s="5209"/>
      <c r="S122" s="5221"/>
      <c r="T122" s="5221"/>
      <c r="U122" s="5221"/>
      <c r="V122" s="5221"/>
      <c r="W122" s="5342"/>
      <c r="X122" s="5217"/>
      <c r="Y122" s="5217"/>
      <c r="Z122" s="5347"/>
      <c r="AA122" s="5217"/>
      <c r="AB122" s="5217"/>
      <c r="AC122" s="5209"/>
      <c r="AD122" s="5348"/>
      <c r="AE122" s="6377" t="str">
        <f>"Schedule F   (Form 1040)  "&amp;TaxYear</f>
        <v>Schedule F   (Form 1040)  2025</v>
      </c>
      <c r="AF122" s="139"/>
      <c r="AG122" s="2875"/>
      <c r="AH122" s="139"/>
    </row>
    <row r="123" spans="1:34" ht="8.25" customHeight="1">
      <c r="A123" s="139"/>
      <c r="B123" s="5349"/>
      <c r="C123" s="5349"/>
      <c r="D123" s="5349"/>
      <c r="E123" s="5349"/>
      <c r="F123" s="5349"/>
      <c r="G123" s="2733"/>
      <c r="H123" s="2733"/>
      <c r="I123" s="2733"/>
      <c r="J123" s="2733"/>
      <c r="K123" s="2733"/>
      <c r="L123" s="2733"/>
      <c r="M123" s="2733"/>
      <c r="N123" s="5350"/>
      <c r="O123" s="5350"/>
      <c r="P123" s="5350"/>
      <c r="Q123" s="5350"/>
      <c r="R123" s="5350"/>
      <c r="S123" s="5350"/>
      <c r="T123" s="5350"/>
      <c r="U123" s="5350"/>
      <c r="V123" s="5350"/>
      <c r="W123" s="5350"/>
      <c r="X123" s="2733"/>
      <c r="Y123" s="2733"/>
      <c r="Z123" s="5351"/>
      <c r="AA123" s="2733"/>
      <c r="AB123" s="2733"/>
      <c r="AC123" s="2733"/>
      <c r="AD123" s="2733"/>
      <c r="AE123" s="2733"/>
      <c r="AF123" s="139"/>
      <c r="AG123" s="2875"/>
      <c r="AH123" s="139"/>
    </row>
    <row r="124" spans="1:34">
      <c r="B124" s="2938"/>
      <c r="C124" s="2938"/>
      <c r="D124" s="2939"/>
      <c r="E124" s="2939"/>
      <c r="F124" s="2939"/>
      <c r="G124" s="2939"/>
      <c r="H124" s="2939"/>
      <c r="I124" s="2939"/>
      <c r="J124" s="2939"/>
      <c r="K124" s="2939"/>
      <c r="L124" s="2939"/>
      <c r="M124" s="2939"/>
      <c r="N124" s="5352"/>
      <c r="O124" s="5352"/>
      <c r="P124" s="5352"/>
      <c r="Q124" s="5352"/>
      <c r="R124" s="5352"/>
      <c r="S124" s="5352"/>
      <c r="T124" s="5352"/>
      <c r="U124" s="5352"/>
      <c r="V124" s="5352"/>
      <c r="W124" s="4248"/>
      <c r="X124" s="2939"/>
      <c r="Y124" s="2939"/>
      <c r="Z124" s="5353"/>
      <c r="AA124" s="2939"/>
      <c r="AB124" s="2939"/>
      <c r="AC124" s="2939"/>
      <c r="AD124" s="2939"/>
      <c r="AE124" s="2939"/>
    </row>
    <row r="125" spans="1:34" ht="13.5" thickBot="1">
      <c r="B125" s="2938"/>
      <c r="C125" s="2938"/>
      <c r="D125" s="2939"/>
      <c r="E125" s="2939"/>
      <c r="F125" s="2939"/>
      <c r="G125" s="2939"/>
      <c r="H125" s="2939"/>
      <c r="I125" s="2939"/>
      <c r="J125" s="2939"/>
      <c r="K125" s="2939"/>
      <c r="L125" s="2939"/>
      <c r="M125" s="2939"/>
      <c r="N125" s="5352"/>
      <c r="O125" s="5352"/>
      <c r="P125" s="5352"/>
      <c r="Q125" s="5352"/>
      <c r="R125" s="2938"/>
      <c r="S125" s="2938"/>
      <c r="T125" s="2938"/>
      <c r="U125" s="2938"/>
      <c r="V125" s="2938"/>
      <c r="W125" s="5354"/>
      <c r="X125" s="2939"/>
      <c r="Y125" s="2939"/>
      <c r="Z125" s="5353"/>
      <c r="AA125" s="2939"/>
      <c r="AB125" s="2939"/>
      <c r="AC125" s="2939"/>
      <c r="AD125" s="2939"/>
      <c r="AE125" s="2939"/>
    </row>
    <row r="126" spans="1:34" ht="14.25" thickTop="1" thickBot="1">
      <c r="B126" s="2940"/>
      <c r="C126" s="2940"/>
      <c r="D126" s="8162" t="s">
        <v>2588</v>
      </c>
      <c r="E126" s="8163"/>
      <c r="F126" s="8163"/>
      <c r="G126" s="8163"/>
      <c r="H126" s="8164"/>
      <c r="I126" s="2941"/>
      <c r="J126" s="2941"/>
      <c r="K126" s="2941"/>
      <c r="L126" s="2941"/>
      <c r="M126" s="2941"/>
      <c r="N126" s="5355"/>
      <c r="O126" s="5355"/>
      <c r="P126" s="5355"/>
      <c r="Q126" s="5355"/>
      <c r="R126" s="2940"/>
      <c r="S126" s="2940"/>
      <c r="T126" s="2940"/>
      <c r="U126" s="2940"/>
      <c r="V126" s="2940"/>
      <c r="W126" s="131"/>
      <c r="X126" s="2941"/>
      <c r="Y126" s="2941"/>
      <c r="Z126" s="5356"/>
      <c r="AA126" s="2941"/>
      <c r="AB126" s="2941"/>
      <c r="AC126" s="2941"/>
      <c r="AD126" s="2941"/>
      <c r="AE126" s="2941"/>
    </row>
    <row r="127" spans="1:34" ht="14.25" thickTop="1" thickBot="1">
      <c r="B127" s="2940"/>
      <c r="C127" s="2940"/>
      <c r="D127" s="2941"/>
      <c r="E127" s="2941"/>
      <c r="F127" s="2941"/>
      <c r="G127" s="2941"/>
      <c r="H127" s="2941"/>
      <c r="I127" s="2941"/>
      <c r="J127" s="2941"/>
      <c r="K127" s="2941"/>
      <c r="L127" s="2941"/>
      <c r="M127" s="2941"/>
      <c r="N127" s="5355"/>
      <c r="O127" s="5355"/>
      <c r="P127" s="5355"/>
      <c r="Q127" s="5355"/>
      <c r="R127" s="2940"/>
      <c r="S127" s="2940"/>
      <c r="T127" s="2940"/>
      <c r="U127" s="2940"/>
      <c r="V127" s="2940"/>
      <c r="W127" s="131"/>
      <c r="X127" s="2941"/>
      <c r="Y127" s="2941"/>
      <c r="Z127" s="5356"/>
      <c r="AA127" s="2941"/>
      <c r="AB127" s="2941"/>
      <c r="AC127" s="2941"/>
      <c r="AD127" s="2941"/>
      <c r="AE127" s="2941"/>
    </row>
    <row r="128" spans="1:34" ht="27.75" customHeight="1" thickTop="1" thickBot="1">
      <c r="B128" s="2940"/>
      <c r="C128" s="2940"/>
      <c r="D128" s="8159" t="s">
        <v>2589</v>
      </c>
      <c r="E128" s="8160"/>
      <c r="F128" s="8160"/>
      <c r="G128" s="8160"/>
      <c r="H128" s="8161"/>
      <c r="I128" s="2941"/>
      <c r="J128" s="2941"/>
      <c r="K128" s="2941"/>
      <c r="L128" s="2941"/>
      <c r="M128" s="2941"/>
      <c r="N128" s="5355"/>
      <c r="O128" s="5355"/>
      <c r="P128" s="5355"/>
      <c r="Q128" s="5355"/>
      <c r="R128" s="2940"/>
      <c r="S128" s="2940"/>
      <c r="T128" s="2940"/>
      <c r="U128" s="2940"/>
      <c r="V128" s="2940"/>
      <c r="W128" s="131"/>
      <c r="X128" s="2941"/>
      <c r="Y128" s="2941"/>
      <c r="Z128" s="5356"/>
      <c r="AA128" s="2941"/>
      <c r="AB128" s="2941"/>
      <c r="AC128" s="2941"/>
      <c r="AD128" s="2941"/>
      <c r="AE128" s="2941"/>
    </row>
    <row r="129" ht="13.5" thickTop="1"/>
  </sheetData>
  <sheetProtection algorithmName="SHA-512" hashValue="DAmdsOC4pmux0XqfX6r+S5YAnI99588nlsRNxjx/3/nGRENDkRtrPZk2GOTroUxgTCVMqsuGpqu6TpkxJyUO8g==" saltValue="5WHaJ54IAKMIOpRzeyP+3g==" spinCount="100000" sheet="1" objects="1" scenarios="1" formatCells="0" formatColumns="0" formatRows="0"/>
  <mergeCells count="160">
    <mergeCell ref="O119:Q119"/>
    <mergeCell ref="O118:Q118"/>
    <mergeCell ref="D128:H128"/>
    <mergeCell ref="D126:H126"/>
    <mergeCell ref="J42:M42"/>
    <mergeCell ref="J44:M44"/>
    <mergeCell ref="J45:M45"/>
    <mergeCell ref="J46:M46"/>
    <mergeCell ref="O105:Q105"/>
    <mergeCell ref="O115:Q115"/>
    <mergeCell ref="N47:O47"/>
    <mergeCell ref="N48:O48"/>
    <mergeCell ref="N49:O49"/>
    <mergeCell ref="M74:P74"/>
    <mergeCell ref="J50:M50"/>
    <mergeCell ref="P51:Z51"/>
    <mergeCell ref="P52:Z52"/>
    <mergeCell ref="O103:Q103"/>
    <mergeCell ref="O104:Q104"/>
    <mergeCell ref="P48:Z48"/>
    <mergeCell ref="P49:Z49"/>
    <mergeCell ref="P50:Z50"/>
    <mergeCell ref="N45:O45"/>
    <mergeCell ref="N46:O46"/>
    <mergeCell ref="AB42:AE42"/>
    <mergeCell ref="AB43:AE43"/>
    <mergeCell ref="AB44:AE44"/>
    <mergeCell ref="AB27:AE27"/>
    <mergeCell ref="AB76:AE76"/>
    <mergeCell ref="AB45:AE45"/>
    <mergeCell ref="AB39:AE39"/>
    <mergeCell ref="AB40:AE40"/>
    <mergeCell ref="AB41:AE41"/>
    <mergeCell ref="AB38:AE38"/>
    <mergeCell ref="AB28:AE28"/>
    <mergeCell ref="AB31:AE31"/>
    <mergeCell ref="AB33:AE33"/>
    <mergeCell ref="AB32:AE32"/>
    <mergeCell ref="AB34:AE34"/>
    <mergeCell ref="AB46:AE46"/>
    <mergeCell ref="AB67:AE67"/>
    <mergeCell ref="AB69:AE69"/>
    <mergeCell ref="AB65:AE65"/>
    <mergeCell ref="B119:C119"/>
    <mergeCell ref="B120:C120"/>
    <mergeCell ref="AB94:AE94"/>
    <mergeCell ref="B98:C98"/>
    <mergeCell ref="J47:M47"/>
    <mergeCell ref="AB48:AE48"/>
    <mergeCell ref="AB49:AE49"/>
    <mergeCell ref="AB50:AE50"/>
    <mergeCell ref="AB82:AE82"/>
    <mergeCell ref="AB52:AE52"/>
    <mergeCell ref="AB53:AE53"/>
    <mergeCell ref="J52:M52"/>
    <mergeCell ref="J53:M53"/>
    <mergeCell ref="AB54:AE54"/>
    <mergeCell ref="N51:O51"/>
    <mergeCell ref="N52:O52"/>
    <mergeCell ref="AB80:AE80"/>
    <mergeCell ref="AB51:AE51"/>
    <mergeCell ref="AB72:AE72"/>
    <mergeCell ref="AB74:AE74"/>
    <mergeCell ref="O99:Q99"/>
    <mergeCell ref="O112:Q112"/>
    <mergeCell ref="J48:M48"/>
    <mergeCell ref="O117:Q117"/>
    <mergeCell ref="AB21:AE21"/>
    <mergeCell ref="AB22:AE22"/>
    <mergeCell ref="AB23:AE23"/>
    <mergeCell ref="AA33:AA34"/>
    <mergeCell ref="N11:N12"/>
    <mergeCell ref="O11:O12"/>
    <mergeCell ref="X11:X12"/>
    <mergeCell ref="Y11:Y12"/>
    <mergeCell ref="Z11:Z12"/>
    <mergeCell ref="Q23:U23"/>
    <mergeCell ref="Q24:U24"/>
    <mergeCell ref="Q26:U26"/>
    <mergeCell ref="W23:Z23"/>
    <mergeCell ref="W24:Z24"/>
    <mergeCell ref="W11:W12"/>
    <mergeCell ref="AB29:AE30"/>
    <mergeCell ref="AB24:AE24"/>
    <mergeCell ref="AB25:AE25"/>
    <mergeCell ref="AB26:AE26"/>
    <mergeCell ref="AB78:AE78"/>
    <mergeCell ref="N53:O53"/>
    <mergeCell ref="AB93:AE93"/>
    <mergeCell ref="AB47:AE47"/>
    <mergeCell ref="AG3:AG4"/>
    <mergeCell ref="E4:Z4"/>
    <mergeCell ref="AA4:AE4"/>
    <mergeCell ref="AA5:AE7"/>
    <mergeCell ref="B9:V9"/>
    <mergeCell ref="W9:AE9"/>
    <mergeCell ref="J38:M38"/>
    <mergeCell ref="J39:M39"/>
    <mergeCell ref="B3:D4"/>
    <mergeCell ref="AB11:AB12"/>
    <mergeCell ref="AA11:AA12"/>
    <mergeCell ref="I11:I12"/>
    <mergeCell ref="B11:H12"/>
    <mergeCell ref="B5:D7"/>
    <mergeCell ref="AC11:AC12"/>
    <mergeCell ref="AD11:AD12"/>
    <mergeCell ref="AB55:AE55"/>
    <mergeCell ref="AE11:AE12"/>
    <mergeCell ref="AB37:AE37"/>
    <mergeCell ref="AC20:AE20"/>
    <mergeCell ref="O101:Q101"/>
    <mergeCell ref="W85:Z85"/>
    <mergeCell ref="W87:Z87"/>
    <mergeCell ref="W89:Z89"/>
    <mergeCell ref="W91:Z91"/>
    <mergeCell ref="M67:P67"/>
    <mergeCell ref="M69:P69"/>
    <mergeCell ref="J11:J12"/>
    <mergeCell ref="K11:K12"/>
    <mergeCell ref="L11:L12"/>
    <mergeCell ref="K67:L67"/>
    <mergeCell ref="K69:L69"/>
    <mergeCell ref="K74:L74"/>
    <mergeCell ref="P53:Z53"/>
    <mergeCell ref="J51:M51"/>
    <mergeCell ref="O100:Q100"/>
    <mergeCell ref="B63:C63"/>
    <mergeCell ref="B35:C35"/>
    <mergeCell ref="B18:C18"/>
    <mergeCell ref="J36:M36"/>
    <mergeCell ref="J37:M37"/>
    <mergeCell ref="M11:M12"/>
    <mergeCell ref="J40:M40"/>
    <mergeCell ref="J49:M49"/>
    <mergeCell ref="J41:M41"/>
    <mergeCell ref="J43:M43"/>
    <mergeCell ref="AA2:AE2"/>
    <mergeCell ref="AA3:AE3"/>
    <mergeCell ref="O114:Q114"/>
    <mergeCell ref="O116:Q116"/>
    <mergeCell ref="O108:Q108"/>
    <mergeCell ref="O109:Q109"/>
    <mergeCell ref="O110:Q110"/>
    <mergeCell ref="W19:Z19"/>
    <mergeCell ref="W20:Z20"/>
    <mergeCell ref="O107:Q107"/>
    <mergeCell ref="Q28:U28"/>
    <mergeCell ref="O106:Q106"/>
    <mergeCell ref="N50:O50"/>
    <mergeCell ref="N36:O36"/>
    <mergeCell ref="N37:O37"/>
    <mergeCell ref="N38:O38"/>
    <mergeCell ref="N39:O39"/>
    <mergeCell ref="N40:O40"/>
    <mergeCell ref="N41:O41"/>
    <mergeCell ref="N42:O42"/>
    <mergeCell ref="N43:O43"/>
    <mergeCell ref="N44:O44"/>
    <mergeCell ref="AB95:AE95"/>
    <mergeCell ref="AB36:AE36"/>
  </mergeCells>
  <conditionalFormatting sqref="B11">
    <cfRule type="expression" dxfId="2457" priority="221">
      <formula>IF(NoColor,1,0)</formula>
    </cfRule>
  </conditionalFormatting>
  <conditionalFormatting sqref="B9:C9 W9:AD9 P11:V12">
    <cfRule type="expression" dxfId="2456" priority="222">
      <formula>IF(NoColor,1,0)</formula>
    </cfRule>
  </conditionalFormatting>
  <conditionalFormatting sqref="C59">
    <cfRule type="expression" dxfId="2455" priority="24">
      <formula>IF(NoColor,1,0)</formula>
    </cfRule>
  </conditionalFormatting>
  <conditionalFormatting sqref="E3">
    <cfRule type="expression" dxfId="2454" priority="21">
      <formula>NOT(Draft)</formula>
    </cfRule>
  </conditionalFormatting>
  <conditionalFormatting sqref="I59">
    <cfRule type="expression" dxfId="2453" priority="23">
      <formula>IF(NoColor,1,0)</formula>
    </cfRule>
  </conditionalFormatting>
  <conditionalFormatting sqref="I11:O11">
    <cfRule type="expression" dxfId="2452" priority="169">
      <formula>IF(NoColor,1,0)</formula>
    </cfRule>
  </conditionalFormatting>
  <conditionalFormatting sqref="J37:K40">
    <cfRule type="expression" dxfId="2451" priority="96">
      <formula>IF(NoColor,1,0)</formula>
    </cfRule>
  </conditionalFormatting>
  <conditionalFormatting sqref="J42:K42">
    <cfRule type="expression" dxfId="2450" priority="95">
      <formula>IF(NoColor,1,0)</formula>
    </cfRule>
  </conditionalFormatting>
  <conditionalFormatting sqref="J44:K49">
    <cfRule type="expression" dxfId="2449" priority="87">
      <formula>IF(NoColor,1,0)</formula>
    </cfRule>
  </conditionalFormatting>
  <conditionalFormatting sqref="J51:K53">
    <cfRule type="expression" dxfId="2448" priority="65">
      <formula>IF(NoColor,1,0)</formula>
    </cfRule>
  </conditionalFormatting>
  <conditionalFormatting sqref="M67:N67">
    <cfRule type="expression" dxfId="2447" priority="52">
      <formula>IF(NoColor,1,0)</formula>
    </cfRule>
  </conditionalFormatting>
  <conditionalFormatting sqref="M69:N69">
    <cfRule type="expression" dxfId="2446" priority="51">
      <formula>IF(NoColor,1,0)</formula>
    </cfRule>
  </conditionalFormatting>
  <conditionalFormatting sqref="M74:N74">
    <cfRule type="expression" dxfId="2445" priority="46">
      <formula>IF(NoColor,1,0)</formula>
    </cfRule>
  </conditionalFormatting>
  <conditionalFormatting sqref="P48:Z53">
    <cfRule type="expression" dxfId="2444" priority="29">
      <formula>IF(NoColor,1,0)</formula>
    </cfRule>
  </conditionalFormatting>
  <conditionalFormatting sqref="Q23:Q24">
    <cfRule type="expression" dxfId="2443" priority="109">
      <formula>IF(NoColor,1,0)</formula>
    </cfRule>
  </conditionalFormatting>
  <conditionalFormatting sqref="Q26">
    <cfRule type="expression" dxfId="2442" priority="107">
      <formula>IF(NoColor,1,0)</formula>
    </cfRule>
  </conditionalFormatting>
  <conditionalFormatting sqref="Q28">
    <cfRule type="expression" dxfId="2441" priority="105">
      <formula>IF(NoColor,1,0)</formula>
    </cfRule>
  </conditionalFormatting>
  <conditionalFormatting sqref="Q30">
    <cfRule type="expression" dxfId="2440" priority="28">
      <formula>IF(NoColor,1,0)</formula>
    </cfRule>
  </conditionalFormatting>
  <conditionalFormatting sqref="W19:W20">
    <cfRule type="expression" dxfId="2439" priority="157">
      <formula>IF(NoColor,1,0)</formula>
    </cfRule>
  </conditionalFormatting>
  <conditionalFormatting sqref="W85:X85">
    <cfRule type="expression" dxfId="2438" priority="38">
      <formula>IF(NoColor,1,0)</formula>
    </cfRule>
  </conditionalFormatting>
  <conditionalFormatting sqref="W87:X87">
    <cfRule type="expression" dxfId="2437" priority="37">
      <formula>IF(NoColor,1,0)</formula>
    </cfRule>
  </conditionalFormatting>
  <conditionalFormatting sqref="W89:X89">
    <cfRule type="expression" dxfId="2436" priority="31">
      <formula>IF(NoColor,1,0)</formula>
    </cfRule>
  </conditionalFormatting>
  <conditionalFormatting sqref="W91:X91">
    <cfRule type="expression" dxfId="2435" priority="35">
      <formula>IF(NoColor,1,0)</formula>
    </cfRule>
  </conditionalFormatting>
  <conditionalFormatting sqref="W9:AE9">
    <cfRule type="expression" dxfId="2434" priority="11">
      <formula>AND(NoSSN,NoColor)</formula>
    </cfRule>
    <cfRule type="expression" dxfId="2433" priority="12">
      <formula>NoSSN</formula>
    </cfRule>
  </conditionalFormatting>
  <conditionalFormatting sqref="W11:AE11">
    <cfRule type="expression" dxfId="2432" priority="159">
      <formula>IF(NoColor,1,0)</formula>
    </cfRule>
  </conditionalFormatting>
  <conditionalFormatting sqref="Y3">
    <cfRule type="expression" dxfId="2431" priority="20">
      <formula>NOT(Draft)</formula>
    </cfRule>
  </conditionalFormatting>
  <conditionalFormatting sqref="AA14:AA17">
    <cfRule type="expression" dxfId="2430" priority="26">
      <formula>IF(NoColor,1,0)</formula>
    </cfRule>
  </conditionalFormatting>
  <conditionalFormatting sqref="AB21:AC26">
    <cfRule type="expression" dxfId="2428" priority="108">
      <formula>IF(NoColor,1,0)</formula>
    </cfRule>
  </conditionalFormatting>
  <conditionalFormatting sqref="AB28:AC28 AB29">
    <cfRule type="expression" dxfId="2427" priority="118">
      <formula>IF(NoColor,1,0)</formula>
    </cfRule>
  </conditionalFormatting>
  <conditionalFormatting sqref="AB31:AC32">
    <cfRule type="expression" dxfId="2426" priority="115">
      <formula>IF(NoColor,1,0)</formula>
    </cfRule>
  </conditionalFormatting>
  <conditionalFormatting sqref="AB34:AC34">
    <cfRule type="expression" dxfId="2425" priority="114">
      <formula>IF(NoColor,1,0)</formula>
    </cfRule>
  </conditionalFormatting>
  <conditionalFormatting sqref="AB36:AC36">
    <cfRule type="expression" dxfId="2424" priority="104">
      <formula>IF(NoColor,1,0)</formula>
    </cfRule>
  </conditionalFormatting>
  <conditionalFormatting sqref="AB38:AC46">
    <cfRule type="expression" dxfId="2423" priority="74">
      <formula>IF(NoColor,1,0)</formula>
    </cfRule>
  </conditionalFormatting>
  <conditionalFormatting sqref="AB48:AC55">
    <cfRule type="expression" dxfId="2422" priority="22">
      <formula>IF(NoColor,1,0)</formula>
    </cfRule>
  </conditionalFormatting>
  <conditionalFormatting sqref="AB65:AC65">
    <cfRule type="expression" dxfId="2421" priority="50">
      <formula>IF(NoColor,1,0)</formula>
    </cfRule>
  </conditionalFormatting>
  <conditionalFormatting sqref="AB67:AC67">
    <cfRule type="expression" dxfId="2420" priority="55">
      <formula>IF(NoColor,1,0)</formula>
    </cfRule>
  </conditionalFormatting>
  <conditionalFormatting sqref="AB69:AC69">
    <cfRule type="expression" dxfId="2419" priority="53">
      <formula>IF(NoColor,1,0)</formula>
    </cfRule>
  </conditionalFormatting>
  <conditionalFormatting sqref="AB72:AC72">
    <cfRule type="expression" dxfId="2418" priority="49">
      <formula>IF(NoColor,1,0)</formula>
    </cfRule>
  </conditionalFormatting>
  <conditionalFormatting sqref="AB74:AC74">
    <cfRule type="expression" dxfId="2417" priority="47">
      <formula>IF(NoColor,1,0)</formula>
    </cfRule>
  </conditionalFormatting>
  <conditionalFormatting sqref="AB76:AC76">
    <cfRule type="expression" dxfId="2416" priority="45">
      <formula>IF(NoColor,1,0)</formula>
    </cfRule>
  </conditionalFormatting>
  <conditionalFormatting sqref="AB78:AC78">
    <cfRule type="expression" dxfId="2415" priority="44">
      <formula>IF(NoColor,1,0)</formula>
    </cfRule>
  </conditionalFormatting>
  <conditionalFormatting sqref="AB80:AC80">
    <cfRule type="expression" dxfId="2414" priority="43">
      <formula>IF(NoColor,1,0)</formula>
    </cfRule>
  </conditionalFormatting>
  <conditionalFormatting sqref="AB82:AC82">
    <cfRule type="expression" dxfId="2413" priority="41">
      <formula>IF(NoColor,1,0)</formula>
    </cfRule>
  </conditionalFormatting>
  <conditionalFormatting sqref="AB93:AC93">
    <cfRule type="expression" dxfId="2412" priority="30">
      <formula>IF(NoColor,1,0)</formula>
    </cfRule>
  </conditionalFormatting>
  <conditionalFormatting sqref="AB95:AC95">
    <cfRule type="expression" dxfId="2411" priority="32">
      <formula>IF(NoColor,1,0)</formula>
    </cfRule>
  </conditionalFormatting>
  <conditionalFormatting sqref="AD14:AD17">
    <cfRule type="expression" dxfId="2410" priority="27">
      <formula>IF(NoColor,1,0)</formula>
    </cfRule>
  </conditionalFormatting>
  <conditionalFormatting sqref="AG58:AG59">
    <cfRule type="expression" dxfId="2408" priority="4796">
      <formula>OR(AND(AB25&lt;&gt;"",AB25&lt;&gt;0,AH27="",AH60&lt;&gt;""),AND(AH27&lt;&gt;"",AH60=""))</formula>
    </cfRule>
  </conditionalFormatting>
  <conditionalFormatting sqref="AG58:AG61">
    <cfRule type="expression" dxfId="2407" priority="3726">
      <formula>(AB56&lt;&gt;0)</formula>
    </cfRule>
  </conditionalFormatting>
  <conditionalFormatting sqref="AG60:AG61">
    <cfRule type="expression" dxfId="2406" priority="3725">
      <formula>"OR(AND(Y24&lt;&gt;"""",Y24&lt;&gt;0,AE26="""",AE58&lt;&gt;""""),AND(AE26&lt;&gt;"""",AE58=""""))"</formula>
    </cfRule>
  </conditionalFormatting>
  <conditionalFormatting sqref="AH8">
    <cfRule type="expression" dxfId="2405" priority="5">
      <formula>AND(AB6&lt;&gt;"",AB6&lt;&gt;0)</formula>
    </cfRule>
  </conditionalFormatting>
  <hyperlinks>
    <hyperlink ref="D126:H126" r:id="rId1" display="Download Form 1040 Schedule F" xr:uid="{00000000-0004-0000-2200-000000000000}"/>
    <hyperlink ref="D128:H128" r:id="rId2" display="Download Form 1040 Schedule F Instructions" xr:uid="{00000000-0004-0000-2200-000001000000}"/>
  </hyperlinks>
  <pageMargins left="0.75" right="0.25" top="0.36" bottom="0.28999999999999998" header="0.36" footer="0.21"/>
  <pageSetup scale="78" fitToHeight="0" orientation="portrait" r:id="rId3"/>
  <rowBreaks count="1" manualBreakCount="1">
    <brk id="61" min="1" max="27" man="1"/>
  </rowBreaks>
  <drawing r:id="rId4"/>
  <extLst>
    <ext xmlns:x14="http://schemas.microsoft.com/office/spreadsheetml/2009/9/main" uri="{78C0D931-6437-407d-A8EE-F0AAD7539E65}">
      <x14:conditionalFormattings>
        <x14:conditionalFormatting xmlns:xm="http://schemas.microsoft.com/office/excel/2006/main">
          <x14:cfRule type="expression" priority="1" id="{2CC4B593-05BC-436B-A357-45EE1AD2F014}">
            <xm:f>AND('Table of Contents'!A40="D",AF3="")</xm:f>
            <x14:dxf>
              <font>
                <b/>
                <i/>
                <color rgb="FFC00000"/>
              </font>
              <fill>
                <patternFill>
                  <bgColor theme="0"/>
                </patternFill>
              </fill>
              <border>
                <vertical/>
                <horizontal/>
              </border>
            </x14:dxf>
          </x14:cfRule>
          <xm:sqref>AA3:AE3</xm:sqref>
        </x14:conditionalFormatting>
        <x14:conditionalFormatting xmlns:xm="http://schemas.microsoft.com/office/excel/2006/main">
          <x14:cfRule type="expression" priority="2" id="{A67C053F-FC9F-4825-A669-FC259DD35709}">
            <xm:f>'Table of Contents'!A40="D"</xm:f>
            <x14:dxf>
              <fill>
                <patternFill>
                  <bgColor theme="0"/>
                </patternFill>
              </fill>
              <border>
                <left/>
                <right style="thin">
                  <color auto="1"/>
                </right>
                <top style="thin">
                  <color auto="1"/>
                </top>
                <bottom style="thin">
                  <color auto="1"/>
                </bottom>
                <vertical/>
                <horizontal/>
              </border>
            </x14:dxf>
          </x14:cfRule>
          <xm:sqref>AF3</xm:sqref>
        </x14:conditionalFormatting>
      </x14:conditionalFormatting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A1:AP136"/>
  <sheetViews>
    <sheetView zoomScaleNormal="100" zoomScaleSheetLayoutView="125" workbookViewId="0"/>
  </sheetViews>
  <sheetFormatPr defaultColWidth="9.140625" defaultRowHeight="12.75"/>
  <cols>
    <col min="1" max="1" width="2" customWidth="1"/>
    <col min="2" max="2" width="4.42578125" customWidth="1"/>
    <col min="3" max="3" width="2.28515625" customWidth="1"/>
    <col min="4" max="4" width="11.7109375" customWidth="1"/>
    <col min="5" max="5" width="7.85546875" customWidth="1"/>
    <col min="6" max="6" width="3" customWidth="1"/>
    <col min="7" max="8" width="2.5703125" customWidth="1"/>
    <col min="9" max="9" width="10.140625" customWidth="1"/>
    <col min="10" max="12" width="3.28515625" customWidth="1"/>
    <col min="13" max="13" width="1.28515625" customWidth="1"/>
    <col min="14" max="14" width="3.7109375" customWidth="1"/>
    <col min="15" max="15" width="2.85546875" customWidth="1"/>
    <col min="16" max="16" width="5.28515625" bestFit="1" customWidth="1"/>
    <col min="17" max="17" width="2.42578125" customWidth="1"/>
    <col min="18" max="18" width="3.42578125" customWidth="1"/>
    <col min="19" max="19" width="3.7109375" customWidth="1"/>
    <col min="20" max="25" width="3.42578125" customWidth="1"/>
    <col min="26" max="26" width="2.7109375" customWidth="1"/>
    <col min="27" max="27" width="2.85546875" customWidth="1"/>
    <col min="28" max="28" width="3.42578125" customWidth="1"/>
    <col min="29" max="29" width="2.5703125" customWidth="1"/>
    <col min="30" max="30" width="12.140625" style="26" customWidth="1"/>
    <col min="31" max="31" width="2.5703125" customWidth="1"/>
    <col min="32" max="32" width="6.140625" customWidth="1"/>
    <col min="33" max="42" width="10.7109375" style="658" customWidth="1"/>
  </cols>
  <sheetData>
    <row r="1" spans="1:33" ht="15.75" customHeight="1">
      <c r="A1" s="37"/>
      <c r="B1" s="37"/>
      <c r="C1" s="37"/>
      <c r="D1" s="37"/>
      <c r="E1" s="218"/>
      <c r="F1" s="37"/>
      <c r="G1" s="37"/>
      <c r="H1" s="37"/>
      <c r="I1" s="37"/>
      <c r="J1" s="37"/>
      <c r="K1" s="37"/>
      <c r="L1" s="37"/>
      <c r="M1" s="37"/>
      <c r="N1" s="37"/>
      <c r="O1" s="37"/>
      <c r="P1" s="37"/>
      <c r="Q1" s="37"/>
      <c r="R1" s="37"/>
      <c r="S1" s="37"/>
      <c r="T1" s="37"/>
      <c r="U1" s="37"/>
      <c r="V1" s="37"/>
      <c r="W1" s="37"/>
      <c r="X1" s="37"/>
      <c r="Y1" s="37"/>
      <c r="Z1" s="37"/>
      <c r="AA1" s="37"/>
      <c r="AB1" s="37"/>
      <c r="AC1" s="139"/>
      <c r="AD1" s="110"/>
      <c r="AE1" s="139"/>
      <c r="AG1" s="657" t="s">
        <v>223</v>
      </c>
    </row>
    <row r="2" spans="1:33" ht="15.75" customHeight="1">
      <c r="A2" s="37"/>
      <c r="B2" s="37"/>
      <c r="C2" s="37"/>
      <c r="D2" s="934" t="str">
        <f>IF(NOT(R12),"You do not qualify to take this credit.",IF(Y120,"You can't take this credit.  (See line 19.)",IF(AD136,"You can't take this credit.  (See Credit Limit Worksheet—Line 21 at the bottom of this page.)","")))</f>
        <v>You do not qualify to take this credit.</v>
      </c>
      <c r="E2" s="218"/>
      <c r="F2" s="37"/>
      <c r="G2" s="37"/>
      <c r="H2" s="37"/>
      <c r="I2" s="37"/>
      <c r="J2" s="37"/>
      <c r="K2" s="37"/>
      <c r="L2" s="37"/>
      <c r="M2" s="37"/>
      <c r="N2" s="37"/>
      <c r="O2" s="37"/>
      <c r="P2" s="37"/>
      <c r="Q2" s="37"/>
      <c r="R2" s="37"/>
      <c r="S2" s="37"/>
      <c r="T2" s="37"/>
      <c r="U2" s="37"/>
      <c r="V2" s="37"/>
      <c r="W2" s="37"/>
      <c r="X2" s="37"/>
      <c r="Y2" s="37"/>
      <c r="Z2" s="37"/>
      <c r="AA2" s="37"/>
      <c r="AB2" s="37"/>
      <c r="AC2" s="139"/>
      <c r="AD2" s="110"/>
      <c r="AE2" s="139"/>
      <c r="AG2" s="657"/>
    </row>
    <row r="3" spans="1:33" ht="13.5" customHeight="1">
      <c r="A3" s="37"/>
      <c r="B3" s="37"/>
      <c r="C3" s="37"/>
      <c r="D3" s="37"/>
      <c r="E3" s="891" t="str">
        <f>IF(OR(NOT(YouR65),NOT(SpouseIs65)),"Answer 'Yes' or 'No' below:","")</f>
        <v>Answer 'Yes' or 'No' below:</v>
      </c>
      <c r="F3" s="8795" t="s">
        <v>566</v>
      </c>
      <c r="G3" s="8795"/>
      <c r="H3" s="8795"/>
      <c r="I3" s="37"/>
      <c r="J3" s="8797" t="str">
        <f>IF(File_Marr_Joint&lt;&gt;"","Spouse","")</f>
        <v/>
      </c>
      <c r="K3" s="8797"/>
      <c r="L3" s="8797"/>
      <c r="M3" s="37"/>
      <c r="N3" s="37"/>
      <c r="O3" s="37"/>
      <c r="P3" s="37"/>
      <c r="Q3" s="37"/>
      <c r="R3" s="37"/>
      <c r="S3" s="37"/>
      <c r="T3" s="37"/>
      <c r="U3" s="37"/>
      <c r="V3" s="37"/>
      <c r="W3" s="37"/>
      <c r="X3" s="37"/>
      <c r="Y3" s="37"/>
      <c r="Z3" s="37"/>
      <c r="AA3" s="37"/>
      <c r="AB3" s="37"/>
      <c r="AC3" s="139"/>
      <c r="AD3" s="110"/>
      <c r="AE3" s="139"/>
      <c r="AG3" s="657"/>
    </row>
    <row r="4" spans="1:33" ht="16.5" customHeight="1">
      <c r="A4" s="37"/>
      <c r="B4" s="37"/>
      <c r="C4" s="37"/>
      <c r="D4" s="891"/>
      <c r="E4" s="891" t="s">
        <v>2590</v>
      </c>
      <c r="F4" s="8796" t="str">
        <f>IF(NOT(YouR65),"Yes","No")</f>
        <v>Yes</v>
      </c>
      <c r="G4" s="8796"/>
      <c r="H4" s="8796"/>
      <c r="I4" s="940" t="b">
        <f>NOT(YouR65)</f>
        <v>1</v>
      </c>
      <c r="J4" s="8798" t="str">
        <f>IF(File_Marr_Joint="","",IF(NOT(SpouseIs65),"Yes","No"))</f>
        <v/>
      </c>
      <c r="K4" s="8798"/>
      <c r="L4" s="8798"/>
      <c r="M4" s="37"/>
      <c r="N4" s="37"/>
      <c r="O4" s="37"/>
      <c r="P4" s="940" t="b">
        <f>AND(File_Marr_Joint&lt;&gt;"",NOT(SpouseIs65))</f>
        <v>0</v>
      </c>
      <c r="Q4" s="315"/>
      <c r="R4" s="8802" t="b">
        <f>OR(AND(I4,NOT(P4)),AND(NOT(I4),P4))</f>
        <v>1</v>
      </c>
      <c r="S4" s="8802"/>
      <c r="T4" s="941" t="s">
        <v>2591</v>
      </c>
      <c r="U4" s="315"/>
      <c r="V4" s="939"/>
      <c r="W4" s="939"/>
      <c r="X4" s="37"/>
      <c r="Y4" s="37"/>
      <c r="Z4" s="37"/>
      <c r="AA4" s="37"/>
      <c r="AB4" s="37"/>
      <c r="AC4" s="139"/>
      <c r="AD4" s="110"/>
      <c r="AE4" s="139"/>
      <c r="AG4" s="657"/>
    </row>
    <row r="5" spans="1:33" ht="6.75" customHeight="1">
      <c r="A5" s="37"/>
      <c r="B5" s="37"/>
      <c r="C5" s="37"/>
      <c r="D5" s="37"/>
      <c r="E5" s="218"/>
      <c r="F5" s="37"/>
      <c r="G5" s="37"/>
      <c r="H5" s="37"/>
      <c r="I5" s="315"/>
      <c r="J5" s="37"/>
      <c r="K5" s="37"/>
      <c r="L5" s="37"/>
      <c r="M5" s="37"/>
      <c r="N5" s="37"/>
      <c r="O5" s="37"/>
      <c r="P5" s="942"/>
      <c r="Q5" s="315"/>
      <c r="R5" s="315"/>
      <c r="S5" s="315"/>
      <c r="T5" s="315"/>
      <c r="U5" s="315"/>
      <c r="V5" s="939"/>
      <c r="W5" s="939"/>
      <c r="X5" s="37"/>
      <c r="Y5" s="37"/>
      <c r="Z5" s="37"/>
      <c r="AA5" s="37"/>
      <c r="AB5" s="37"/>
      <c r="AC5" s="139"/>
      <c r="AD5" s="110"/>
      <c r="AE5" s="139"/>
      <c r="AG5" s="657"/>
    </row>
    <row r="6" spans="1:33" ht="11.25" customHeight="1">
      <c r="A6" s="37"/>
      <c r="B6" s="37"/>
      <c r="C6" s="37"/>
      <c r="D6" s="891"/>
      <c r="E6" s="891" t="str">
        <f>IF(OR(I4,P4),"Retired? ","")</f>
        <v xml:space="preserve">Retired? </v>
      </c>
      <c r="F6" s="8799"/>
      <c r="G6" s="8799"/>
      <c r="H6" s="8799"/>
      <c r="I6" s="940" t="b">
        <f>OR(LEFT(F6,1)="Y",LEFT(F6,1)="y")</f>
        <v>0</v>
      </c>
      <c r="J6" s="8799"/>
      <c r="K6" s="8799"/>
      <c r="L6" s="8799"/>
      <c r="M6" s="37"/>
      <c r="N6" s="37"/>
      <c r="O6" s="37"/>
      <c r="P6" s="940" t="b">
        <f>OR(LEFT(J6,1)="Y",LEFT(J6,1)="y")</f>
        <v>0</v>
      </c>
      <c r="Q6" s="315"/>
      <c r="R6" s="315"/>
      <c r="S6" s="315"/>
      <c r="T6" s="315"/>
      <c r="U6" s="315"/>
      <c r="V6" s="939"/>
      <c r="W6" s="939"/>
      <c r="X6" s="37"/>
      <c r="Y6" s="37"/>
      <c r="Z6" s="37"/>
      <c r="AA6" s="37"/>
      <c r="AB6" s="37"/>
      <c r="AC6" s="139"/>
      <c r="AD6" s="110"/>
      <c r="AE6" s="139"/>
      <c r="AG6" s="657"/>
    </row>
    <row r="7" spans="1:33" ht="6.75" customHeight="1">
      <c r="A7" s="152"/>
      <c r="B7" s="152"/>
      <c r="C7" s="152"/>
      <c r="D7" s="152"/>
      <c r="E7" s="218"/>
      <c r="F7" s="37"/>
      <c r="G7" s="37"/>
      <c r="H7" s="37"/>
      <c r="I7" s="315"/>
      <c r="J7" s="37"/>
      <c r="K7" s="37"/>
      <c r="L7" s="37"/>
      <c r="M7" s="37"/>
      <c r="N7" s="37"/>
      <c r="O7" s="37"/>
      <c r="P7" s="942"/>
      <c r="Q7" s="315"/>
      <c r="R7" s="315"/>
      <c r="S7" s="315"/>
      <c r="T7" s="315"/>
      <c r="U7" s="315"/>
      <c r="V7" s="939"/>
      <c r="W7" s="939"/>
      <c r="X7" s="37"/>
      <c r="Y7" s="37"/>
      <c r="Z7" s="37"/>
      <c r="AA7" s="37"/>
      <c r="AB7" s="37"/>
      <c r="AC7" s="139"/>
      <c r="AD7" s="110"/>
      <c r="AE7" s="139"/>
      <c r="AG7" s="657"/>
    </row>
    <row r="8" spans="1:33" ht="11.25" customHeight="1">
      <c r="A8" s="37"/>
      <c r="B8" s="37"/>
      <c r="C8" s="37"/>
      <c r="D8" s="891"/>
      <c r="E8" s="891" t="str">
        <f>IF(OR(I6,P6),"Permanently and totally disabled? ","")</f>
        <v/>
      </c>
      <c r="F8" s="8799"/>
      <c r="G8" s="8799"/>
      <c r="H8" s="8799"/>
      <c r="I8" s="940" t="b">
        <f>OR(LEFT(F8,1)="Y",LEFT(F8,1)="y")</f>
        <v>0</v>
      </c>
      <c r="J8" s="8799"/>
      <c r="K8" s="8799"/>
      <c r="L8" s="8799"/>
      <c r="M8" s="37"/>
      <c r="N8" s="37"/>
      <c r="O8" s="37"/>
      <c r="P8" s="940" t="b">
        <f>OR(LEFT(J8,1)="Y",LEFT(J8,1)="y")</f>
        <v>0</v>
      </c>
      <c r="Q8" s="315"/>
      <c r="R8" s="8802" t="b">
        <f>OR(AND(I8,NOT(P8)),AND(NOT(I8),P8))</f>
        <v>0</v>
      </c>
      <c r="S8" s="8802"/>
      <c r="T8" s="941" t="s">
        <v>2591</v>
      </c>
      <c r="U8" s="315"/>
      <c r="V8" s="939"/>
      <c r="W8" s="939"/>
      <c r="X8" s="37"/>
      <c r="Y8" s="37"/>
      <c r="Z8" s="37"/>
      <c r="AA8" s="37"/>
      <c r="AB8" s="37"/>
      <c r="AC8" s="139"/>
      <c r="AD8" s="110"/>
      <c r="AE8" s="139"/>
      <c r="AG8" s="657"/>
    </row>
    <row r="9" spans="1:33" ht="6.75" customHeight="1">
      <c r="A9" s="152"/>
      <c r="B9" s="152"/>
      <c r="C9" s="152"/>
      <c r="D9" s="152"/>
      <c r="E9" s="218"/>
      <c r="F9" s="37"/>
      <c r="G9" s="37"/>
      <c r="H9" s="37"/>
      <c r="I9" s="315"/>
      <c r="J9" s="37"/>
      <c r="K9" s="37"/>
      <c r="L9" s="37"/>
      <c r="M9" s="37"/>
      <c r="N9" s="37"/>
      <c r="O9" s="37"/>
      <c r="P9" s="942"/>
      <c r="Q9" s="315"/>
      <c r="R9" s="315"/>
      <c r="S9" s="315"/>
      <c r="T9" s="315"/>
      <c r="U9" s="315"/>
      <c r="V9" s="939"/>
      <c r="W9" s="939"/>
      <c r="X9" s="37"/>
      <c r="Y9" s="37"/>
      <c r="Z9" s="37"/>
      <c r="AA9" s="37"/>
      <c r="AB9" s="37"/>
      <c r="AC9" s="139"/>
      <c r="AD9" s="110"/>
      <c r="AE9" s="139"/>
      <c r="AG9" s="657"/>
    </row>
    <row r="10" spans="1:33" ht="11.25" customHeight="1">
      <c r="A10" s="152"/>
      <c r="B10" s="152"/>
      <c r="C10" s="152"/>
      <c r="D10" s="152"/>
      <c r="E10" s="891" t="str">
        <f>IF(OR(I8,P8),"Taxable disability income: ","")</f>
        <v/>
      </c>
      <c r="F10" s="8800"/>
      <c r="G10" s="8800"/>
      <c r="H10" s="8800"/>
      <c r="I10" s="940" t="b">
        <f>F10&gt;0</f>
        <v>0</v>
      </c>
      <c r="J10" s="8801"/>
      <c r="K10" s="8801"/>
      <c r="L10" s="8801"/>
      <c r="M10" s="37"/>
      <c r="N10" s="37"/>
      <c r="O10" s="37"/>
      <c r="P10" s="940" t="b">
        <f>J10&gt;0</f>
        <v>0</v>
      </c>
      <c r="Q10" s="315"/>
      <c r="R10" s="315"/>
      <c r="S10" s="315"/>
      <c r="T10" s="315"/>
      <c r="U10" s="315"/>
      <c r="V10" s="939"/>
      <c r="W10" s="939"/>
      <c r="X10" s="37"/>
      <c r="Y10" s="37"/>
      <c r="Z10" s="37"/>
      <c r="AA10" s="37"/>
      <c r="AB10" s="37"/>
      <c r="AC10" s="139"/>
      <c r="AD10" s="110"/>
      <c r="AE10" s="139"/>
      <c r="AG10" s="657"/>
    </row>
    <row r="11" spans="1:33" ht="6.75" customHeight="1">
      <c r="A11" s="37"/>
      <c r="B11" s="37"/>
      <c r="C11" s="37"/>
      <c r="D11" s="37"/>
      <c r="E11" s="218"/>
      <c r="F11" s="37"/>
      <c r="G11" s="37"/>
      <c r="H11" s="37"/>
      <c r="I11" s="315"/>
      <c r="J11" s="37"/>
      <c r="K11" s="37"/>
      <c r="L11" s="37"/>
      <c r="M11" s="37"/>
      <c r="N11" s="37"/>
      <c r="O11" s="37"/>
      <c r="P11" s="942"/>
      <c r="Q11" s="315"/>
      <c r="R11" s="315"/>
      <c r="S11" s="315"/>
      <c r="T11" s="315"/>
      <c r="U11" s="315"/>
      <c r="V11" s="939"/>
      <c r="W11" s="939"/>
      <c r="X11" s="37"/>
      <c r="Y11" s="37"/>
      <c r="Z11" s="37"/>
      <c r="AA11" s="37"/>
      <c r="AB11" s="37"/>
      <c r="AC11" s="139"/>
      <c r="AD11" s="110"/>
      <c r="AE11" s="139"/>
      <c r="AG11" s="657"/>
    </row>
    <row r="12" spans="1:33" ht="15">
      <c r="A12" s="37"/>
      <c r="B12" s="37"/>
      <c r="C12" s="37"/>
      <c r="D12" s="891"/>
      <c r="E12" s="218"/>
      <c r="F12" s="37"/>
      <c r="G12" s="37"/>
      <c r="H12" s="37"/>
      <c r="I12" s="940" t="b">
        <f>AND(I4,I6,I8,I10)</f>
        <v>0</v>
      </c>
      <c r="J12" s="37"/>
      <c r="K12" s="37"/>
      <c r="L12" s="37"/>
      <c r="M12" s="37"/>
      <c r="N12" s="37"/>
      <c r="O12" s="37"/>
      <c r="P12" s="940" t="b">
        <f>AND(P4,P6,P8,P10)</f>
        <v>0</v>
      </c>
      <c r="Q12" s="315"/>
      <c r="R12" s="8802" t="b">
        <f>OR(YouR65,SpouseIs65,I12,P12)</f>
        <v>0</v>
      </c>
      <c r="S12" s="8802"/>
      <c r="T12" s="315"/>
      <c r="U12" s="315"/>
      <c r="V12" s="939"/>
      <c r="W12" s="939"/>
      <c r="X12" s="8110" t="str">
        <f>IF('Table of Contents'!A41="D","DRAFT","")</f>
        <v/>
      </c>
      <c r="Y12" s="8110"/>
      <c r="Z12" s="8110"/>
      <c r="AA12" s="8110"/>
      <c r="AB12" s="8110"/>
      <c r="AC12" s="139"/>
      <c r="AD12" s="110"/>
      <c r="AE12" s="139"/>
      <c r="AG12" s="657"/>
    </row>
    <row r="13" spans="1:33" ht="10.5" customHeight="1">
      <c r="A13" s="37"/>
      <c r="B13" s="8748" t="s">
        <v>2592</v>
      </c>
      <c r="C13" s="8749"/>
      <c r="D13" s="8750"/>
      <c r="E13" s="791"/>
      <c r="F13" s="275"/>
      <c r="G13" s="275"/>
      <c r="H13" s="275"/>
      <c r="I13" s="275"/>
      <c r="J13" s="275"/>
      <c r="K13" s="275"/>
      <c r="L13" s="275"/>
      <c r="M13" s="275"/>
      <c r="N13" s="275"/>
      <c r="O13" s="275"/>
      <c r="P13" s="275"/>
      <c r="Q13" s="275"/>
      <c r="R13" s="275"/>
      <c r="S13" s="275"/>
      <c r="T13" s="275"/>
      <c r="U13" s="275"/>
      <c r="V13" s="792"/>
      <c r="W13" s="275"/>
      <c r="X13" s="8806" t="str">
        <f>IF(AND(AC13="",'Table of Contents'!A41="D"),"DRAFT","OMB No. 1545-0074")</f>
        <v>OMB No. 1545-0074</v>
      </c>
      <c r="Y13" s="8807"/>
      <c r="Z13" s="8807"/>
      <c r="AA13" s="8807"/>
      <c r="AB13" s="8807"/>
      <c r="AC13" s="1796"/>
      <c r="AD13" s="110"/>
      <c r="AE13" s="139"/>
    </row>
    <row r="14" spans="1:33" ht="21.75" customHeight="1">
      <c r="A14" s="139"/>
      <c r="B14" s="8751"/>
      <c r="C14" s="8750"/>
      <c r="D14" s="8750"/>
      <c r="E14" s="8773" t="s">
        <v>2593</v>
      </c>
      <c r="F14" s="8774"/>
      <c r="G14" s="8774"/>
      <c r="H14" s="8774"/>
      <c r="I14" s="8774"/>
      <c r="J14" s="8774"/>
      <c r="K14" s="8774"/>
      <c r="L14" s="8774"/>
      <c r="M14" s="8774"/>
      <c r="N14" s="8774"/>
      <c r="O14" s="8774"/>
      <c r="P14" s="8774"/>
      <c r="Q14" s="8774"/>
      <c r="R14" s="8774"/>
      <c r="S14" s="8774"/>
      <c r="T14" s="8774"/>
      <c r="U14" s="8774"/>
      <c r="V14" s="8774"/>
      <c r="W14" s="8775"/>
      <c r="X14" s="8752">
        <f>TaxYear</f>
        <v>2025</v>
      </c>
      <c r="Y14" s="8682"/>
      <c r="Z14" s="8682"/>
      <c r="AA14" s="8682"/>
      <c r="AB14" s="8682"/>
      <c r="AC14" s="139"/>
      <c r="AD14" s="110"/>
      <c r="AE14" s="139"/>
    </row>
    <row r="15" spans="1:33" ht="9.75" customHeight="1">
      <c r="A15" s="139"/>
      <c r="B15" s="8768"/>
      <c r="C15" s="8768"/>
      <c r="D15" s="8769"/>
      <c r="E15" s="8770" t="s">
        <v>1817</v>
      </c>
      <c r="F15" s="8771"/>
      <c r="G15" s="8771"/>
      <c r="H15" s="8771"/>
      <c r="I15" s="8771"/>
      <c r="J15" s="8771"/>
      <c r="K15" s="8771"/>
      <c r="L15" s="8771"/>
      <c r="M15" s="8771"/>
      <c r="N15" s="8771"/>
      <c r="O15" s="8771"/>
      <c r="P15" s="8771"/>
      <c r="Q15" s="8771"/>
      <c r="R15" s="8771"/>
      <c r="S15" s="8771"/>
      <c r="T15" s="8771"/>
      <c r="U15" s="8771"/>
      <c r="V15" s="8771"/>
      <c r="W15" s="8772"/>
      <c r="X15" s="8753" t="s">
        <v>2594</v>
      </c>
      <c r="Y15" s="8684"/>
      <c r="Z15" s="8684"/>
      <c r="AA15" s="8684"/>
      <c r="AB15" s="8684"/>
      <c r="AC15" s="139"/>
      <c r="AD15" s="110"/>
      <c r="AE15" s="139"/>
    </row>
    <row r="16" spans="1:33" ht="12" customHeight="1">
      <c r="A16" s="139"/>
      <c r="B16" s="8757" t="s">
        <v>2595</v>
      </c>
      <c r="C16" s="8758"/>
      <c r="D16" s="8759"/>
      <c r="E16" s="8776" t="s">
        <v>2596</v>
      </c>
      <c r="F16" s="8777"/>
      <c r="G16" s="8777"/>
      <c r="H16" s="8777"/>
      <c r="I16" s="8777"/>
      <c r="J16" s="8777"/>
      <c r="K16" s="8777"/>
      <c r="L16" s="8777"/>
      <c r="M16" s="8777"/>
      <c r="N16" s="8777"/>
      <c r="O16" s="8777"/>
      <c r="P16" s="8777"/>
      <c r="Q16" s="8777"/>
      <c r="R16" s="8777"/>
      <c r="S16" s="8777"/>
      <c r="T16" s="8777"/>
      <c r="U16" s="8777"/>
      <c r="V16" s="8777"/>
      <c r="W16" s="8778"/>
      <c r="X16" s="8754"/>
      <c r="Y16" s="8684"/>
      <c r="Z16" s="8684"/>
      <c r="AA16" s="8684"/>
      <c r="AB16" s="8684"/>
      <c r="AC16" s="139"/>
      <c r="AD16" s="110"/>
      <c r="AE16" s="139"/>
    </row>
    <row r="17" spans="1:42" ht="6.75" customHeight="1">
      <c r="A17" s="139"/>
      <c r="B17" s="8760"/>
      <c r="C17" s="8761"/>
      <c r="D17" s="8761"/>
      <c r="E17" s="367"/>
      <c r="F17" s="368"/>
      <c r="G17" s="368"/>
      <c r="H17" s="368"/>
      <c r="I17" s="368"/>
      <c r="J17" s="368"/>
      <c r="K17" s="368"/>
      <c r="L17" s="368"/>
      <c r="M17" s="368"/>
      <c r="N17" s="368"/>
      <c r="O17" s="368"/>
      <c r="P17" s="368"/>
      <c r="Q17" s="368"/>
      <c r="R17" s="368"/>
      <c r="S17" s="368"/>
      <c r="T17" s="368"/>
      <c r="U17" s="368"/>
      <c r="V17" s="368"/>
      <c r="W17" s="368"/>
      <c r="X17" s="8755"/>
      <c r="Y17" s="8756"/>
      <c r="Z17" s="8756"/>
      <c r="AA17" s="8756"/>
      <c r="AB17" s="8756"/>
      <c r="AC17" s="139"/>
      <c r="AD17" s="110"/>
      <c r="AE17" s="139"/>
    </row>
    <row r="18" spans="1:42" ht="12" customHeight="1">
      <c r="A18" s="139"/>
      <c r="B18" s="76" t="s">
        <v>2597</v>
      </c>
      <c r="C18" s="76"/>
      <c r="D18" s="74"/>
      <c r="E18" s="74"/>
      <c r="F18" s="74"/>
      <c r="G18" s="61"/>
      <c r="H18" s="61"/>
      <c r="I18" s="62"/>
      <c r="J18" s="62"/>
      <c r="K18" s="62"/>
      <c r="L18" s="62"/>
      <c r="M18" s="62"/>
      <c r="N18" s="16"/>
      <c r="O18" s="16"/>
      <c r="P18" s="16"/>
      <c r="Q18" s="16"/>
      <c r="R18" s="69"/>
      <c r="S18" s="67"/>
      <c r="T18" s="370" t="s">
        <v>1057</v>
      </c>
      <c r="U18" s="62"/>
      <c r="V18" s="62"/>
      <c r="W18" s="62"/>
      <c r="X18" s="61"/>
      <c r="Y18" s="61"/>
      <c r="Z18" s="61"/>
      <c r="AA18" s="61"/>
      <c r="AB18" s="61"/>
      <c r="AC18" s="139"/>
      <c r="AD18" s="110"/>
      <c r="AE18" s="139"/>
    </row>
    <row r="19" spans="1:42" ht="14.25" customHeight="1">
      <c r="A19" s="139"/>
      <c r="B19" s="8762" t="str">
        <f>Names</f>
        <v/>
      </c>
      <c r="C19" s="8762"/>
      <c r="D19" s="8763"/>
      <c r="E19" s="8763"/>
      <c r="F19" s="8763"/>
      <c r="G19" s="8763"/>
      <c r="H19" s="8763"/>
      <c r="I19" s="8763"/>
      <c r="J19" s="8763"/>
      <c r="K19" s="8763"/>
      <c r="L19" s="8763"/>
      <c r="M19" s="8763"/>
      <c r="N19" s="8763"/>
      <c r="O19" s="8763"/>
      <c r="P19" s="8763"/>
      <c r="Q19" s="8763"/>
      <c r="R19" s="8763"/>
      <c r="S19" s="8764"/>
      <c r="T19" s="8765">
        <f>IF(NoSSN,"",SS_Yours)</f>
        <v>1010001</v>
      </c>
      <c r="U19" s="8766"/>
      <c r="V19" s="8766"/>
      <c r="W19" s="8766"/>
      <c r="X19" s="8766"/>
      <c r="Y19" s="8766"/>
      <c r="Z19" s="8766"/>
      <c r="AA19" s="8766"/>
      <c r="AB19" s="8767"/>
      <c r="AC19" s="139"/>
      <c r="AD19" s="110"/>
      <c r="AE19" s="139"/>
    </row>
    <row r="20" spans="1:42" s="815" customFormat="1" ht="12" customHeight="1">
      <c r="A20" s="139"/>
      <c r="B20" s="856" t="str">
        <f>"You may be able to take this credit and reduce your tax if by the end of "&amp;TaxYear&amp;":"</f>
        <v>You may be able to take this credit and reduce your tax if by the end of 2025:</v>
      </c>
      <c r="C20" s="376"/>
      <c r="D20" s="376"/>
      <c r="E20" s="376"/>
      <c r="F20" s="1617"/>
      <c r="G20" s="1618"/>
      <c r="H20" s="1618"/>
      <c r="I20" s="1618"/>
      <c r="J20" s="1618"/>
      <c r="K20" s="1618"/>
      <c r="L20" s="1618"/>
      <c r="M20" s="1618"/>
      <c r="N20" s="1617"/>
      <c r="O20" s="1617"/>
      <c r="P20" s="217"/>
      <c r="Q20" s="217"/>
      <c r="R20" s="217"/>
      <c r="S20" s="217"/>
      <c r="T20" s="217"/>
      <c r="U20" s="217"/>
      <c r="V20" s="217"/>
      <c r="W20" s="217"/>
      <c r="X20" s="217"/>
      <c r="Y20" s="217"/>
      <c r="Z20" s="217"/>
      <c r="AA20" s="217"/>
      <c r="AB20" s="217"/>
      <c r="AC20" s="139"/>
      <c r="AD20" s="110"/>
      <c r="AE20" s="139"/>
      <c r="AF20"/>
      <c r="AG20" s="658"/>
      <c r="AH20" s="658"/>
      <c r="AI20" s="658"/>
      <c r="AJ20" s="658"/>
      <c r="AK20" s="658"/>
      <c r="AL20" s="658"/>
      <c r="AM20" s="658"/>
      <c r="AN20" s="658"/>
      <c r="AO20" s="658"/>
      <c r="AP20" s="658"/>
    </row>
    <row r="21" spans="1:42" s="815" customFormat="1" ht="12" customHeight="1">
      <c r="A21" s="139"/>
      <c r="B21" s="857" t="s">
        <v>2598</v>
      </c>
      <c r="C21" s="217" t="s">
        <v>2599</v>
      </c>
      <c r="D21" s="217"/>
      <c r="E21" s="217"/>
      <c r="F21" s="240" t="s">
        <v>1235</v>
      </c>
      <c r="G21" s="857" t="s">
        <v>2598</v>
      </c>
      <c r="H21" s="1430" t="s">
        <v>2600</v>
      </c>
      <c r="I21" s="1530"/>
      <c r="J21" s="1530"/>
      <c r="K21" s="1530"/>
      <c r="L21" s="1530"/>
      <c r="M21" s="1530"/>
      <c r="N21" s="217"/>
      <c r="O21" s="217"/>
      <c r="P21" s="217"/>
      <c r="Q21" s="217"/>
      <c r="R21" s="217"/>
      <c r="S21" s="217"/>
      <c r="T21" s="217"/>
      <c r="U21" s="217"/>
      <c r="V21" s="217"/>
      <c r="W21" s="217"/>
      <c r="X21" s="217"/>
      <c r="Y21" s="217"/>
      <c r="Z21" s="217"/>
      <c r="AA21" s="217"/>
      <c r="AB21" s="217"/>
      <c r="AC21" s="139"/>
      <c r="AD21" s="110"/>
      <c r="AE21" s="139"/>
      <c r="AF21"/>
      <c r="AG21" s="658"/>
      <c r="AH21" s="658"/>
      <c r="AI21" s="658"/>
      <c r="AJ21" s="658"/>
      <c r="AK21" s="658"/>
      <c r="AL21" s="658"/>
      <c r="AM21" s="658"/>
      <c r="AN21" s="658"/>
      <c r="AO21" s="658"/>
      <c r="AP21" s="658"/>
    </row>
    <row r="22" spans="1:42" s="815" customFormat="1" ht="12" customHeight="1">
      <c r="A22" s="139"/>
      <c r="B22" s="75"/>
      <c r="C22" s="323"/>
      <c r="D22" s="323"/>
      <c r="E22" s="217"/>
      <c r="F22" s="217"/>
      <c r="G22" s="1530"/>
      <c r="H22" s="1619" t="s">
        <v>2601</v>
      </c>
      <c r="I22" s="1530"/>
      <c r="J22" s="1530"/>
      <c r="K22" s="1530"/>
      <c r="L22" s="1530"/>
      <c r="M22" s="1530"/>
      <c r="N22" s="217"/>
      <c r="O22" s="217"/>
      <c r="P22" s="217"/>
      <c r="Q22" s="217"/>
      <c r="R22" s="217"/>
      <c r="S22" s="217"/>
      <c r="T22" s="217"/>
      <c r="U22" s="1530"/>
      <c r="V22" s="1530"/>
      <c r="W22" s="1530"/>
      <c r="X22" s="696"/>
      <c r="Y22" s="697"/>
      <c r="Z22" s="697"/>
      <c r="AA22" s="696"/>
      <c r="AB22" s="696"/>
      <c r="AC22" s="139"/>
      <c r="AD22" s="110"/>
      <c r="AE22" s="139"/>
      <c r="AF22"/>
      <c r="AG22" s="658"/>
      <c r="AH22" s="658"/>
      <c r="AI22" s="658"/>
      <c r="AJ22" s="658"/>
      <c r="AK22" s="658"/>
      <c r="AL22" s="658"/>
      <c r="AM22" s="658"/>
      <c r="AN22" s="658"/>
      <c r="AO22" s="658"/>
      <c r="AP22" s="658"/>
    </row>
    <row r="23" spans="1:42" s="815" customFormat="1" ht="12" customHeight="1">
      <c r="A23" s="139"/>
      <c r="B23" s="217" t="s">
        <v>2602</v>
      </c>
      <c r="C23" s="217"/>
      <c r="D23" s="323"/>
      <c r="E23" s="217"/>
      <c r="F23" s="217"/>
      <c r="G23" s="1530"/>
      <c r="H23" s="1530"/>
      <c r="I23" s="1530"/>
      <c r="J23" s="1530"/>
      <c r="K23" s="1530"/>
      <c r="L23" s="1530"/>
      <c r="M23" s="1530"/>
      <c r="N23" s="217"/>
      <c r="O23" s="217"/>
      <c r="P23" s="217"/>
      <c r="Q23" s="217"/>
      <c r="R23" s="217"/>
      <c r="S23" s="217"/>
      <c r="T23" s="217"/>
      <c r="U23" s="1530"/>
      <c r="V23" s="1530"/>
      <c r="W23" s="1530"/>
      <c r="X23" s="1530"/>
      <c r="Y23" s="1530"/>
      <c r="Z23" s="1530"/>
      <c r="AA23" s="1530"/>
      <c r="AB23" s="1530"/>
      <c r="AC23" s="139"/>
      <c r="AD23" s="110"/>
      <c r="AE23" s="806"/>
      <c r="AF23"/>
      <c r="AG23" s="658"/>
      <c r="AH23" s="658"/>
      <c r="AI23" s="658"/>
      <c r="AJ23" s="658"/>
      <c r="AK23" s="658"/>
      <c r="AL23" s="658"/>
      <c r="AM23" s="658"/>
      <c r="AN23" s="658"/>
      <c r="AO23" s="658"/>
      <c r="AP23" s="658"/>
    </row>
    <row r="24" spans="1:42" s="815" customFormat="1" ht="18.75" customHeight="1">
      <c r="A24" s="139"/>
      <c r="B24" s="75"/>
      <c r="C24" s="323"/>
      <c r="D24" s="1297" t="s">
        <v>2603</v>
      </c>
      <c r="E24" s="323"/>
      <c r="F24" s="217"/>
      <c r="G24" s="217"/>
      <c r="H24" s="217"/>
      <c r="I24" s="217"/>
      <c r="J24" s="217"/>
      <c r="K24" s="217"/>
      <c r="L24" s="217"/>
      <c r="M24" s="217"/>
      <c r="N24" s="217"/>
      <c r="O24" s="217"/>
      <c r="P24" s="217"/>
      <c r="Q24" s="217"/>
      <c r="R24" s="217"/>
      <c r="S24" s="217"/>
      <c r="T24" s="217"/>
      <c r="U24" s="1530"/>
      <c r="V24" s="1530"/>
      <c r="W24" s="1531"/>
      <c r="X24" s="793"/>
      <c r="Y24" s="794"/>
      <c r="Z24" s="794"/>
      <c r="AA24" s="794"/>
      <c r="AB24" s="794"/>
      <c r="AC24" s="139"/>
      <c r="AD24" s="110"/>
      <c r="AE24" s="139"/>
      <c r="AF24" s="382"/>
      <c r="AG24" s="658"/>
      <c r="AH24" s="658"/>
      <c r="AI24" s="658"/>
      <c r="AJ24" s="658"/>
      <c r="AK24" s="658"/>
      <c r="AL24" s="658"/>
      <c r="AM24" s="658"/>
      <c r="AN24" s="658"/>
      <c r="AO24" s="658"/>
      <c r="AP24" s="658"/>
    </row>
    <row r="25" spans="1:42" s="815" customFormat="1" ht="5.25" customHeight="1" thickBot="1">
      <c r="A25" s="139"/>
      <c r="B25" s="133"/>
      <c r="C25" s="323"/>
      <c r="D25" s="323"/>
      <c r="E25" s="323"/>
      <c r="F25" s="85"/>
      <c r="G25" s="85"/>
      <c r="H25" s="85"/>
      <c r="I25" s="85"/>
      <c r="J25" s="85"/>
      <c r="K25" s="85"/>
      <c r="L25" s="85"/>
      <c r="M25" s="85"/>
      <c r="N25" s="85"/>
      <c r="O25" s="85"/>
      <c r="P25" s="85"/>
      <c r="Q25" s="85"/>
      <c r="R25" s="65"/>
      <c r="S25" s="65"/>
      <c r="T25" s="76"/>
      <c r="U25" s="1532"/>
      <c r="V25" s="1532"/>
      <c r="W25" s="217"/>
      <c r="X25" s="15"/>
      <c r="Y25" s="15"/>
      <c r="Z25" s="154"/>
      <c r="AA25" s="15"/>
      <c r="AB25" s="15"/>
      <c r="AC25" s="139"/>
      <c r="AD25" s="110"/>
      <c r="AE25" s="805"/>
      <c r="AF25"/>
      <c r="AG25" s="658"/>
      <c r="AH25" s="658"/>
      <c r="AI25" s="658"/>
      <c r="AJ25" s="658"/>
      <c r="AK25" s="658"/>
      <c r="AL25" s="658"/>
      <c r="AM25" s="658"/>
      <c r="AN25" s="658"/>
      <c r="AO25" s="658"/>
      <c r="AP25" s="658"/>
    </row>
    <row r="26" spans="1:42" s="815" customFormat="1" ht="15.75" thickTop="1">
      <c r="A26" s="139"/>
      <c r="B26" s="8789" t="s">
        <v>780</v>
      </c>
      <c r="C26" s="8790"/>
      <c r="D26" s="858" t="s">
        <v>2604</v>
      </c>
      <c r="E26" s="78"/>
      <c r="F26" s="78"/>
      <c r="G26" s="78"/>
      <c r="H26" s="78"/>
      <c r="I26" s="78"/>
      <c r="J26" s="78"/>
      <c r="K26" s="78"/>
      <c r="L26" s="78"/>
      <c r="M26" s="78"/>
      <c r="N26" s="78"/>
      <c r="O26" s="78"/>
      <c r="P26" s="78"/>
      <c r="Q26" s="78"/>
      <c r="R26" s="78"/>
      <c r="S26" s="78"/>
      <c r="T26" s="78"/>
      <c r="U26" s="78"/>
      <c r="V26" s="78"/>
      <c r="W26" s="78"/>
      <c r="X26" s="78"/>
      <c r="Y26" s="78"/>
      <c r="Z26" s="78"/>
      <c r="AA26" s="78"/>
      <c r="AB26" s="78"/>
      <c r="AC26" s="139"/>
      <c r="AD26" s="937" t="s">
        <v>771</v>
      </c>
      <c r="AE26" s="139"/>
      <c r="AF26"/>
      <c r="AG26" s="658"/>
      <c r="AH26" s="658"/>
      <c r="AI26" s="658"/>
      <c r="AJ26" s="658"/>
      <c r="AK26" s="658"/>
      <c r="AL26" s="658"/>
      <c r="AM26" s="658"/>
      <c r="AN26" s="658"/>
      <c r="AO26" s="658"/>
      <c r="AP26" s="658"/>
    </row>
    <row r="27" spans="1:42" s="815" customFormat="1" ht="12" customHeight="1">
      <c r="A27" s="139"/>
      <c r="B27" s="1620" t="s">
        <v>2605</v>
      </c>
      <c r="C27" s="859"/>
      <c r="D27" s="859"/>
      <c r="E27" s="860"/>
      <c r="F27" s="860"/>
      <c r="G27" s="861"/>
      <c r="H27" s="862" t="str">
        <f>"And by the end of "&amp;TaxYear&amp;":"</f>
        <v>And by the end of 2025:</v>
      </c>
      <c r="I27" s="861"/>
      <c r="J27" s="861"/>
      <c r="K27" s="861"/>
      <c r="L27" s="861"/>
      <c r="M27" s="861"/>
      <c r="N27" s="860"/>
      <c r="O27" s="860"/>
      <c r="P27" s="860"/>
      <c r="Q27" s="860"/>
      <c r="R27" s="860"/>
      <c r="S27" s="860"/>
      <c r="T27" s="860"/>
      <c r="U27" s="861"/>
      <c r="V27" s="861"/>
      <c r="W27" s="861"/>
      <c r="X27" s="863"/>
      <c r="Y27" s="864"/>
      <c r="Z27" s="864"/>
      <c r="AA27" s="863"/>
      <c r="AB27" s="865" t="s">
        <v>2606</v>
      </c>
      <c r="AC27" s="139"/>
      <c r="AD27" s="110"/>
      <c r="AE27" s="139"/>
      <c r="AF27"/>
      <c r="AG27" s="658"/>
      <c r="AH27" s="658"/>
      <c r="AI27" s="658"/>
      <c r="AJ27" s="658"/>
      <c r="AK27" s="658"/>
      <c r="AL27" s="658"/>
      <c r="AM27" s="658"/>
      <c r="AN27" s="658"/>
      <c r="AO27" s="658"/>
      <c r="AP27" s="658"/>
    </row>
    <row r="28" spans="1:42" s="815" customFormat="1" ht="12" customHeight="1">
      <c r="A28" s="139"/>
      <c r="B28" s="8794" t="b">
        <f>OR(File_Single&lt;&gt;"",File_Head&lt;&gt;"",File_Qual_Widow&lt;&gt;"")</f>
        <v>0</v>
      </c>
      <c r="C28" s="8794"/>
      <c r="D28" s="323"/>
      <c r="E28" s="217"/>
      <c r="F28" s="217"/>
      <c r="G28" s="1530"/>
      <c r="H28" s="853"/>
      <c r="I28" s="1530"/>
      <c r="J28" s="1530"/>
      <c r="K28" s="1530"/>
      <c r="L28" s="1530"/>
      <c r="M28" s="1530"/>
      <c r="N28" s="217"/>
      <c r="O28" s="217"/>
      <c r="P28" s="217"/>
      <c r="Q28" s="217"/>
      <c r="R28" s="217"/>
      <c r="S28" s="217"/>
      <c r="T28" s="217"/>
      <c r="U28" s="1530"/>
      <c r="V28" s="1530"/>
      <c r="W28" s="1530"/>
      <c r="X28" s="696"/>
      <c r="Y28" s="697"/>
      <c r="Z28" s="697"/>
      <c r="AA28" s="696"/>
      <c r="AB28" s="696"/>
      <c r="AC28" s="139"/>
      <c r="AD28" s="110"/>
      <c r="AE28" s="139"/>
      <c r="AF28"/>
      <c r="AG28" s="658"/>
      <c r="AH28" s="658"/>
      <c r="AI28" s="658"/>
      <c r="AJ28" s="658"/>
      <c r="AK28" s="658"/>
      <c r="AL28" s="658"/>
      <c r="AM28" s="658"/>
      <c r="AN28" s="658"/>
      <c r="AO28" s="658"/>
      <c r="AP28" s="658"/>
    </row>
    <row r="29" spans="1:42" s="815" customFormat="1" ht="12" customHeight="1">
      <c r="A29" s="139"/>
      <c r="B29" s="112" t="s">
        <v>2607</v>
      </c>
      <c r="C29" s="323"/>
      <c r="D29" s="323"/>
      <c r="E29" s="217"/>
      <c r="F29" s="866" t="s">
        <v>228</v>
      </c>
      <c r="G29" s="1653" t="s">
        <v>2608</v>
      </c>
      <c r="H29" s="853"/>
      <c r="I29" s="1530"/>
      <c r="J29" s="1530"/>
      <c r="K29" s="1530"/>
      <c r="L29" s="1530"/>
      <c r="M29" s="1530"/>
      <c r="N29" s="217"/>
      <c r="O29" s="217"/>
      <c r="P29" s="217"/>
      <c r="Q29" s="217"/>
      <c r="R29" s="217"/>
      <c r="S29" s="217"/>
      <c r="T29" s="217"/>
      <c r="U29" s="1530"/>
      <c r="V29" s="1530"/>
      <c r="W29" s="1530"/>
      <c r="X29" s="140" t="s">
        <v>1859</v>
      </c>
      <c r="Y29" s="866" t="s">
        <v>228</v>
      </c>
      <c r="Z29" s="697"/>
      <c r="AA29" s="1188" t="str">
        <f>IF(OR($AD$34=1,AND($AD$34="",B28,YouR65)),"X","")</f>
        <v/>
      </c>
      <c r="AB29" s="696"/>
      <c r="AC29" s="139"/>
      <c r="AD29" s="110"/>
      <c r="AE29" s="139"/>
      <c r="AF29"/>
      <c r="AG29" s="658"/>
      <c r="AH29" s="658"/>
      <c r="AI29" s="658"/>
      <c r="AJ29" s="658"/>
      <c r="AK29" s="658"/>
      <c r="AL29" s="658"/>
      <c r="AM29" s="658"/>
      <c r="AN29" s="658"/>
      <c r="AO29" s="658"/>
      <c r="AP29" s="658"/>
    </row>
    <row r="30" spans="1:42" s="815" customFormat="1" ht="12" customHeight="1">
      <c r="A30" s="139"/>
      <c r="B30" s="112" t="s">
        <v>2609</v>
      </c>
      <c r="C30" s="323"/>
      <c r="D30" s="323"/>
      <c r="E30" s="217"/>
      <c r="F30" s="217"/>
      <c r="G30" s="1530"/>
      <c r="H30" s="853"/>
      <c r="I30" s="1530"/>
      <c r="J30" s="1530"/>
      <c r="K30" s="1530"/>
      <c r="L30" s="1530"/>
      <c r="M30" s="1530"/>
      <c r="N30" s="217"/>
      <c r="O30" s="217"/>
      <c r="P30" s="217"/>
      <c r="Q30" s="217"/>
      <c r="R30" s="217"/>
      <c r="S30" s="217"/>
      <c r="T30" s="217"/>
      <c r="U30" s="1530"/>
      <c r="V30" s="1530"/>
      <c r="W30" s="1530"/>
      <c r="X30" s="696"/>
      <c r="Y30" s="697"/>
      <c r="Z30" s="697"/>
      <c r="AA30" s="696"/>
      <c r="AB30" s="696"/>
      <c r="AC30" s="139"/>
      <c r="AD30" s="938" t="s">
        <v>2610</v>
      </c>
      <c r="AE30" s="139"/>
      <c r="AF30"/>
      <c r="AG30" s="658"/>
      <c r="AH30" s="658"/>
      <c r="AI30" s="658"/>
      <c r="AJ30" s="658"/>
      <c r="AK30" s="658"/>
      <c r="AL30" s="658"/>
      <c r="AM30" s="658"/>
      <c r="AN30" s="658"/>
      <c r="AO30" s="658"/>
      <c r="AP30" s="658"/>
    </row>
    <row r="31" spans="1:42" s="815" customFormat="1" ht="12" customHeight="1">
      <c r="A31" s="139"/>
      <c r="B31" s="112" t="s">
        <v>2611</v>
      </c>
      <c r="C31" s="323"/>
      <c r="D31" s="323"/>
      <c r="E31" s="217"/>
      <c r="F31" s="866" t="s">
        <v>230</v>
      </c>
      <c r="G31" s="1653" t="s">
        <v>2612</v>
      </c>
      <c r="H31" s="853"/>
      <c r="I31" s="1530"/>
      <c r="J31" s="1530"/>
      <c r="K31" s="1530"/>
      <c r="L31" s="1530"/>
      <c r="M31" s="1530"/>
      <c r="N31" s="217"/>
      <c r="O31" s="217"/>
      <c r="P31" s="217"/>
      <c r="Q31" s="217"/>
      <c r="R31" s="217"/>
      <c r="S31" s="217"/>
      <c r="T31" s="217"/>
      <c r="U31" s="1530"/>
      <c r="V31" s="1530"/>
      <c r="W31" s="1530"/>
      <c r="X31" s="140" t="s">
        <v>832</v>
      </c>
      <c r="Y31" s="866" t="s">
        <v>230</v>
      </c>
      <c r="Z31" s="697"/>
      <c r="AA31" s="1188" t="str">
        <f>IF(OR($AD$34=2,AND($AD$34="",B28,I6,I8)),"X","")</f>
        <v/>
      </c>
      <c r="AB31" s="696"/>
      <c r="AC31" s="139"/>
      <c r="AD31" s="938" t="s">
        <v>2613</v>
      </c>
      <c r="AE31" s="139"/>
      <c r="AF31"/>
      <c r="AG31" s="658"/>
      <c r="AH31" s="658"/>
      <c r="AI31" s="658"/>
      <c r="AJ31" s="658"/>
      <c r="AK31" s="658"/>
      <c r="AL31" s="658"/>
      <c r="AM31" s="658"/>
      <c r="AN31" s="658"/>
      <c r="AO31" s="658"/>
      <c r="AP31" s="658"/>
    </row>
    <row r="32" spans="1:42" s="815" customFormat="1" ht="12" customHeight="1">
      <c r="A32" s="139"/>
      <c r="B32" s="142"/>
      <c r="C32" s="456"/>
      <c r="D32" s="456"/>
      <c r="E32" s="1609"/>
      <c r="F32" s="1609"/>
      <c r="G32" s="1621"/>
      <c r="H32" s="1622"/>
      <c r="I32" s="1621"/>
      <c r="J32" s="1621"/>
      <c r="K32" s="1621"/>
      <c r="L32" s="1621"/>
      <c r="M32" s="1621"/>
      <c r="N32" s="1609"/>
      <c r="O32" s="1609"/>
      <c r="P32" s="1609"/>
      <c r="Q32" s="1609"/>
      <c r="R32" s="1609"/>
      <c r="S32" s="1609"/>
      <c r="T32" s="1609"/>
      <c r="U32" s="1621"/>
      <c r="V32" s="1621"/>
      <c r="W32" s="1621"/>
      <c r="X32" s="867"/>
      <c r="Y32" s="868"/>
      <c r="Z32" s="868"/>
      <c r="AA32" s="867"/>
      <c r="AB32" s="867"/>
      <c r="AC32" s="139"/>
      <c r="AD32" s="938" t="s">
        <v>2614</v>
      </c>
      <c r="AE32" s="139"/>
      <c r="AF32"/>
      <c r="AG32" s="658"/>
      <c r="AH32" s="658"/>
      <c r="AI32" s="658"/>
      <c r="AJ32" s="658"/>
      <c r="AK32" s="658"/>
      <c r="AL32" s="658"/>
      <c r="AM32" s="658"/>
      <c r="AN32" s="658"/>
      <c r="AO32" s="658"/>
      <c r="AP32" s="658"/>
    </row>
    <row r="33" spans="1:42" s="815" customFormat="1" ht="12" customHeight="1" thickBot="1">
      <c r="A33" s="139"/>
      <c r="B33" s="856"/>
      <c r="C33" s="869"/>
      <c r="D33" s="869"/>
      <c r="E33" s="1617"/>
      <c r="F33" s="1617"/>
      <c r="G33" s="1618"/>
      <c r="H33" s="1623"/>
      <c r="I33" s="1618"/>
      <c r="J33" s="1618"/>
      <c r="K33" s="1618"/>
      <c r="L33" s="1618"/>
      <c r="M33" s="1618"/>
      <c r="N33" s="1617"/>
      <c r="O33" s="1617"/>
      <c r="P33" s="1617"/>
      <c r="Q33" s="1617"/>
      <c r="R33" s="1617"/>
      <c r="S33" s="1617"/>
      <c r="T33" s="1617"/>
      <c r="U33" s="1618"/>
      <c r="V33" s="1618"/>
      <c r="W33" s="1618"/>
      <c r="X33" s="870"/>
      <c r="Y33" s="871"/>
      <c r="Z33" s="871"/>
      <c r="AA33" s="870"/>
      <c r="AB33" s="870"/>
      <c r="AC33" s="139"/>
      <c r="AD33" s="938" t="s">
        <v>2615</v>
      </c>
      <c r="AE33" s="139"/>
      <c r="AF33"/>
      <c r="AG33" s="658"/>
      <c r="AH33" s="658"/>
      <c r="AI33" s="658"/>
      <c r="AJ33" s="658"/>
      <c r="AK33" s="658"/>
      <c r="AL33" s="658"/>
      <c r="AM33" s="658"/>
      <c r="AN33" s="658"/>
      <c r="AO33" s="658"/>
      <c r="AP33" s="658"/>
    </row>
    <row r="34" spans="1:42" s="815" customFormat="1" ht="12" customHeight="1" thickBot="1">
      <c r="A34" s="139"/>
      <c r="B34" s="85"/>
      <c r="C34" s="323"/>
      <c r="D34" s="323"/>
      <c r="E34" s="217"/>
      <c r="F34" s="866" t="s">
        <v>232</v>
      </c>
      <c r="G34" s="1653" t="s">
        <v>2616</v>
      </c>
      <c r="H34" s="853"/>
      <c r="I34" s="1530"/>
      <c r="J34" s="1530"/>
      <c r="K34" s="1530"/>
      <c r="L34" s="1530"/>
      <c r="M34" s="1530"/>
      <c r="N34" s="217"/>
      <c r="O34" s="217"/>
      <c r="P34" s="217"/>
      <c r="Q34" s="217"/>
      <c r="R34" s="217"/>
      <c r="S34" s="217"/>
      <c r="T34" s="217"/>
      <c r="U34" s="1530"/>
      <c r="V34" s="1530"/>
      <c r="W34" s="1530"/>
      <c r="X34" s="140" t="s">
        <v>793</v>
      </c>
      <c r="Y34" s="866" t="s">
        <v>232</v>
      </c>
      <c r="Z34" s="697"/>
      <c r="AA34" s="1188" t="str">
        <f>IF(OR($AD$34=3,AND($AD$34="",B38,YouR65,SpouseIs65)),"X","")</f>
        <v/>
      </c>
      <c r="AB34" s="696"/>
      <c r="AC34" s="139"/>
      <c r="AD34" s="1026"/>
      <c r="AE34" s="139"/>
      <c r="AF34"/>
      <c r="AG34" s="658"/>
      <c r="AH34" s="658"/>
      <c r="AI34" s="658"/>
      <c r="AJ34" s="658"/>
      <c r="AK34" s="658"/>
      <c r="AL34" s="658"/>
      <c r="AM34" s="658"/>
      <c r="AN34" s="658"/>
      <c r="AO34" s="658"/>
      <c r="AP34" s="658"/>
    </row>
    <row r="35" spans="1:42" s="815" customFormat="1" ht="12" customHeight="1">
      <c r="A35" s="139"/>
      <c r="B35" s="85"/>
      <c r="C35" s="323"/>
      <c r="D35" s="323"/>
      <c r="E35" s="217"/>
      <c r="F35" s="217"/>
      <c r="G35" s="1530"/>
      <c r="H35" s="853"/>
      <c r="I35" s="1530"/>
      <c r="J35" s="1530"/>
      <c r="K35" s="1530"/>
      <c r="L35" s="1530"/>
      <c r="M35" s="1530"/>
      <c r="N35" s="217"/>
      <c r="O35" s="217"/>
      <c r="P35" s="217"/>
      <c r="Q35" s="217"/>
      <c r="R35" s="217"/>
      <c r="S35" s="217"/>
      <c r="T35" s="217"/>
      <c r="U35" s="1530"/>
      <c r="V35" s="1530"/>
      <c r="W35" s="1530"/>
      <c r="X35" s="696"/>
      <c r="Y35" s="697"/>
      <c r="Z35" s="697"/>
      <c r="AA35" s="696"/>
      <c r="AB35" s="696"/>
      <c r="AC35" s="139"/>
      <c r="AD35" s="110"/>
      <c r="AE35" s="139"/>
      <c r="AF35"/>
      <c r="AG35" s="658"/>
      <c r="AH35" s="658"/>
      <c r="AI35" s="658"/>
      <c r="AJ35" s="658"/>
      <c r="AK35" s="658"/>
      <c r="AL35" s="658"/>
      <c r="AM35" s="658"/>
      <c r="AN35" s="658"/>
      <c r="AO35" s="658"/>
      <c r="AP35" s="658"/>
    </row>
    <row r="36" spans="1:42" s="815" customFormat="1" ht="12" customHeight="1">
      <c r="A36" s="139"/>
      <c r="B36" s="85"/>
      <c r="C36" s="323"/>
      <c r="D36" s="323"/>
      <c r="E36" s="217"/>
      <c r="F36" s="866" t="s">
        <v>235</v>
      </c>
      <c r="G36" s="1653" t="s">
        <v>2617</v>
      </c>
      <c r="H36" s="853"/>
      <c r="I36" s="1530"/>
      <c r="J36" s="1530"/>
      <c r="K36" s="1530"/>
      <c r="L36" s="1530"/>
      <c r="M36" s="1530"/>
      <c r="N36" s="217"/>
      <c r="O36" s="217"/>
      <c r="P36" s="217"/>
      <c r="Q36" s="217"/>
      <c r="R36" s="217"/>
      <c r="S36" s="217"/>
      <c r="T36" s="217"/>
      <c r="U36" s="1530"/>
      <c r="V36" s="1530"/>
      <c r="W36" s="1530"/>
      <c r="X36" s="696"/>
      <c r="Y36" s="697"/>
      <c r="Z36" s="697"/>
      <c r="AA36" s="696"/>
      <c r="AB36" s="696"/>
      <c r="AC36" s="139"/>
      <c r="AD36" s="110"/>
      <c r="AE36" s="139"/>
      <c r="AF36"/>
      <c r="AG36" s="658"/>
      <c r="AH36" s="658"/>
      <c r="AI36" s="658"/>
      <c r="AJ36" s="658"/>
      <c r="AK36" s="658"/>
      <c r="AL36" s="658"/>
      <c r="AM36" s="658"/>
      <c r="AN36" s="658"/>
      <c r="AO36" s="658"/>
      <c r="AP36" s="658"/>
    </row>
    <row r="37" spans="1:42" s="815" customFormat="1" ht="12" customHeight="1">
      <c r="A37" s="139"/>
      <c r="B37" s="85"/>
      <c r="C37" s="323"/>
      <c r="D37" s="323"/>
      <c r="E37" s="217"/>
      <c r="F37" s="217"/>
      <c r="G37" s="1653" t="s">
        <v>2618</v>
      </c>
      <c r="H37" s="853"/>
      <c r="I37" s="1530"/>
      <c r="J37" s="1530"/>
      <c r="K37" s="1530"/>
      <c r="L37" s="1530"/>
      <c r="M37" s="1530"/>
      <c r="N37" s="217"/>
      <c r="O37" s="217"/>
      <c r="P37" s="217"/>
      <c r="Q37" s="217"/>
      <c r="R37" s="217"/>
      <c r="S37" s="217"/>
      <c r="T37" s="217"/>
      <c r="U37" s="1530"/>
      <c r="V37" s="1530"/>
      <c r="W37" s="1530"/>
      <c r="X37" s="140" t="s">
        <v>891</v>
      </c>
      <c r="Y37" s="866" t="s">
        <v>235</v>
      </c>
      <c r="Z37" s="697"/>
      <c r="AA37" s="1188" t="str">
        <f>IF(OR($AD$34=4,AND($AD$34="",B38,I4,P4,R8)),"X","")</f>
        <v/>
      </c>
      <c r="AB37" s="696"/>
      <c r="AC37" s="139"/>
      <c r="AD37" s="110"/>
      <c r="AE37" s="139"/>
      <c r="AF37"/>
      <c r="AG37" s="658"/>
      <c r="AH37" s="658"/>
      <c r="AI37" s="658"/>
      <c r="AJ37" s="658"/>
      <c r="AK37" s="658"/>
      <c r="AL37" s="658"/>
      <c r="AM37" s="658"/>
      <c r="AN37" s="658"/>
      <c r="AO37" s="658"/>
      <c r="AP37" s="658"/>
    </row>
    <row r="38" spans="1:42" s="815" customFormat="1" ht="12" customHeight="1">
      <c r="A38" s="139"/>
      <c r="B38" s="8791" t="b">
        <f>File_Marr_Joint&lt;&gt;""</f>
        <v>0</v>
      </c>
      <c r="C38" s="8791"/>
      <c r="D38" s="323"/>
      <c r="E38" s="217"/>
      <c r="F38" s="217"/>
      <c r="G38" s="1530"/>
      <c r="H38" s="853"/>
      <c r="I38" s="1530"/>
      <c r="J38" s="1530"/>
      <c r="K38" s="1530"/>
      <c r="L38" s="1530"/>
      <c r="M38" s="1530"/>
      <c r="N38" s="217"/>
      <c r="O38" s="217"/>
      <c r="P38" s="217"/>
      <c r="Q38" s="217"/>
      <c r="R38" s="217"/>
      <c r="S38" s="217"/>
      <c r="T38" s="217"/>
      <c r="U38" s="1530"/>
      <c r="V38" s="1530"/>
      <c r="W38" s="1530"/>
      <c r="X38" s="696"/>
      <c r="Y38" s="697"/>
      <c r="Z38" s="697"/>
      <c r="AA38" s="696"/>
      <c r="AB38" s="696"/>
      <c r="AC38" s="139"/>
      <c r="AD38" s="110"/>
      <c r="AE38" s="139"/>
      <c r="AF38"/>
      <c r="AG38" s="658"/>
      <c r="AH38" s="658"/>
      <c r="AI38" s="658"/>
      <c r="AJ38" s="658"/>
      <c r="AK38" s="658"/>
      <c r="AL38" s="658"/>
      <c r="AM38" s="658"/>
      <c r="AN38" s="658"/>
      <c r="AO38" s="658"/>
      <c r="AP38" s="658"/>
    </row>
    <row r="39" spans="1:42" s="815" customFormat="1" ht="12" customHeight="1">
      <c r="A39" s="139"/>
      <c r="B39" s="112" t="s">
        <v>645</v>
      </c>
      <c r="C39" s="323"/>
      <c r="D39" s="323"/>
      <c r="E39" s="217"/>
      <c r="F39" s="866" t="s">
        <v>237</v>
      </c>
      <c r="G39" s="1653" t="s">
        <v>2619</v>
      </c>
      <c r="H39" s="853"/>
      <c r="I39" s="1530"/>
      <c r="J39" s="1530"/>
      <c r="K39" s="1530"/>
      <c r="L39" s="1530"/>
      <c r="M39" s="1530"/>
      <c r="N39" s="217"/>
      <c r="O39" s="217"/>
      <c r="P39" s="217"/>
      <c r="Q39" s="217"/>
      <c r="R39" s="217"/>
      <c r="S39" s="217"/>
      <c r="T39" s="217"/>
      <c r="U39" s="1530"/>
      <c r="V39" s="1530"/>
      <c r="W39" s="1530"/>
      <c r="X39" s="696"/>
      <c r="Y39" s="697"/>
      <c r="Z39" s="697"/>
      <c r="AA39" s="696"/>
      <c r="AB39" s="696"/>
      <c r="AC39" s="139"/>
      <c r="AD39" s="110"/>
      <c r="AE39" s="139"/>
      <c r="AF39"/>
      <c r="AG39" s="658"/>
      <c r="AH39" s="658"/>
      <c r="AI39" s="658"/>
      <c r="AJ39" s="658"/>
      <c r="AK39" s="658"/>
      <c r="AL39" s="658"/>
      <c r="AM39" s="658"/>
      <c r="AN39" s="658"/>
      <c r="AO39" s="658"/>
      <c r="AP39" s="658"/>
    </row>
    <row r="40" spans="1:42" s="815" customFormat="1" ht="12" customHeight="1">
      <c r="A40" s="139"/>
      <c r="B40" s="112" t="s">
        <v>2620</v>
      </c>
      <c r="C40" s="323"/>
      <c r="D40" s="323"/>
      <c r="E40" s="217"/>
      <c r="F40" s="217"/>
      <c r="G40" s="1653" t="s">
        <v>2621</v>
      </c>
      <c r="H40" s="853"/>
      <c r="I40" s="1530"/>
      <c r="J40" s="1530"/>
      <c r="K40" s="1530"/>
      <c r="L40" s="1530"/>
      <c r="M40" s="1530"/>
      <c r="N40" s="217"/>
      <c r="O40" s="217"/>
      <c r="P40" s="217"/>
      <c r="Q40" s="217"/>
      <c r="R40" s="217"/>
      <c r="S40" s="217"/>
      <c r="T40" s="217"/>
      <c r="U40" s="1530"/>
      <c r="V40" s="1530"/>
      <c r="W40" s="1530"/>
      <c r="X40" s="140" t="s">
        <v>871</v>
      </c>
      <c r="Y40" s="866" t="s">
        <v>237</v>
      </c>
      <c r="Z40" s="697"/>
      <c r="AA40" s="1188" t="str">
        <f>IF(OR($AD$34=5,AND($AD$34="",B38,I4,P4,I8,P8)),"X","")</f>
        <v/>
      </c>
      <c r="AB40" s="696"/>
      <c r="AC40" s="139"/>
      <c r="AD40" s="110"/>
      <c r="AE40" s="139"/>
      <c r="AF40"/>
      <c r="AG40" s="658"/>
      <c r="AH40" s="658"/>
      <c r="AI40" s="658"/>
      <c r="AJ40" s="658"/>
      <c r="AK40" s="658"/>
      <c r="AL40" s="658"/>
      <c r="AM40" s="658"/>
      <c r="AN40" s="658"/>
      <c r="AO40" s="658"/>
      <c r="AP40" s="658"/>
    </row>
    <row r="41" spans="1:42" s="815" customFormat="1" ht="12" customHeight="1">
      <c r="A41" s="139"/>
      <c r="B41" s="85"/>
      <c r="C41" s="323"/>
      <c r="D41" s="323"/>
      <c r="E41" s="217"/>
      <c r="F41" s="217"/>
      <c r="G41" s="1530"/>
      <c r="H41" s="853"/>
      <c r="I41" s="1530"/>
      <c r="J41" s="1530"/>
      <c r="K41" s="1530"/>
      <c r="L41" s="1530"/>
      <c r="M41" s="1530"/>
      <c r="N41" s="217"/>
      <c r="O41" s="217"/>
      <c r="P41" s="217"/>
      <c r="Q41" s="217"/>
      <c r="R41" s="217"/>
      <c r="S41" s="217"/>
      <c r="T41" s="217"/>
      <c r="U41" s="1530"/>
      <c r="V41" s="1530"/>
      <c r="W41" s="1530"/>
      <c r="X41" s="696"/>
      <c r="Y41" s="697"/>
      <c r="Z41" s="697"/>
      <c r="AA41" s="696"/>
      <c r="AB41" s="696"/>
      <c r="AC41" s="139"/>
      <c r="AD41" s="110"/>
      <c r="AE41" s="139"/>
      <c r="AF41"/>
      <c r="AG41" s="658"/>
      <c r="AH41" s="658"/>
      <c r="AI41" s="658"/>
      <c r="AJ41" s="658"/>
      <c r="AK41" s="658"/>
      <c r="AL41" s="658"/>
      <c r="AM41" s="658"/>
      <c r="AN41" s="658"/>
      <c r="AO41" s="658"/>
      <c r="AP41" s="658"/>
    </row>
    <row r="42" spans="1:42" s="815" customFormat="1" ht="12" customHeight="1">
      <c r="A42" s="139"/>
      <c r="B42" s="85"/>
      <c r="C42" s="323"/>
      <c r="D42" s="323"/>
      <c r="E42" s="217"/>
      <c r="F42" s="866" t="s">
        <v>239</v>
      </c>
      <c r="G42" s="1653" t="s">
        <v>2622</v>
      </c>
      <c r="H42" s="853"/>
      <c r="I42" s="1530"/>
      <c r="J42" s="1530"/>
      <c r="K42" s="1530"/>
      <c r="L42" s="1530"/>
      <c r="M42" s="1530"/>
      <c r="N42" s="217"/>
      <c r="O42" s="217"/>
      <c r="P42" s="217"/>
      <c r="Q42" s="217"/>
      <c r="R42" s="217"/>
      <c r="S42" s="217"/>
      <c r="T42" s="217"/>
      <c r="U42" s="1530"/>
      <c r="V42" s="1530"/>
      <c r="W42" s="1530"/>
      <c r="X42" s="696"/>
      <c r="Y42" s="697"/>
      <c r="Z42" s="697"/>
      <c r="AA42" s="696"/>
      <c r="AB42" s="696"/>
      <c r="AC42" s="139"/>
      <c r="AD42" s="110"/>
      <c r="AE42" s="139"/>
      <c r="AF42"/>
      <c r="AG42" s="658"/>
      <c r="AH42" s="658"/>
      <c r="AI42" s="658"/>
      <c r="AJ42" s="658"/>
      <c r="AK42" s="658"/>
      <c r="AL42" s="658"/>
      <c r="AM42" s="658"/>
      <c r="AN42" s="658"/>
      <c r="AO42" s="658"/>
      <c r="AP42" s="658"/>
    </row>
    <row r="43" spans="1:42" s="815" customFormat="1" ht="12" customHeight="1">
      <c r="A43" s="139"/>
      <c r="B43" s="85"/>
      <c r="C43" s="323"/>
      <c r="D43" s="323"/>
      <c r="E43" s="217"/>
      <c r="F43" s="217"/>
      <c r="G43" s="1653" t="s">
        <v>2623</v>
      </c>
      <c r="H43" s="853"/>
      <c r="I43" s="1530"/>
      <c r="J43" s="1530"/>
      <c r="K43" s="1530"/>
      <c r="L43" s="1530"/>
      <c r="M43" s="1530"/>
      <c r="N43" s="217"/>
      <c r="O43" s="217"/>
      <c r="P43" s="217"/>
      <c r="Q43" s="217"/>
      <c r="R43" s="217"/>
      <c r="S43" s="217"/>
      <c r="T43" s="217"/>
      <c r="U43" s="1530"/>
      <c r="V43" s="1530"/>
      <c r="W43" s="1530"/>
      <c r="X43" s="140" t="s">
        <v>805</v>
      </c>
      <c r="Y43" s="866" t="s">
        <v>239</v>
      </c>
      <c r="Z43" s="697"/>
      <c r="AA43" s="1188" t="str">
        <f>IF(OR($AD$34=6,AND($AD$34="",B38,R4,OR(I8,P8))),"X","")</f>
        <v/>
      </c>
      <c r="AB43" s="696"/>
      <c r="AC43" s="139"/>
      <c r="AD43" s="110"/>
      <c r="AE43" s="139"/>
      <c r="AF43"/>
      <c r="AG43" s="658"/>
      <c r="AH43" s="658"/>
      <c r="AI43" s="658"/>
      <c r="AJ43" s="658"/>
      <c r="AK43" s="658"/>
      <c r="AL43" s="658"/>
      <c r="AM43" s="658"/>
      <c r="AN43" s="658"/>
      <c r="AO43" s="658"/>
      <c r="AP43" s="658"/>
    </row>
    <row r="44" spans="1:42" s="815" customFormat="1" ht="12" customHeight="1">
      <c r="A44" s="139"/>
      <c r="B44" s="85"/>
      <c r="C44" s="323"/>
      <c r="D44" s="323"/>
      <c r="E44" s="217"/>
      <c r="F44" s="217"/>
      <c r="G44" s="853"/>
      <c r="H44" s="853"/>
      <c r="I44" s="1530"/>
      <c r="J44" s="1530"/>
      <c r="K44" s="1530"/>
      <c r="L44" s="1530"/>
      <c r="M44" s="1530"/>
      <c r="N44" s="217"/>
      <c r="O44" s="217"/>
      <c r="P44" s="217"/>
      <c r="Q44" s="217"/>
      <c r="R44" s="217"/>
      <c r="S44" s="217"/>
      <c r="T44" s="217"/>
      <c r="U44" s="1530"/>
      <c r="V44" s="1530"/>
      <c r="W44" s="1530"/>
      <c r="X44" s="696"/>
      <c r="Y44" s="866"/>
      <c r="Z44" s="697"/>
      <c r="AA44" s="696"/>
      <c r="AB44" s="696"/>
      <c r="AC44" s="139"/>
      <c r="AD44" s="110"/>
      <c r="AE44" s="139"/>
      <c r="AF44"/>
      <c r="AG44" s="658"/>
      <c r="AH44" s="658"/>
      <c r="AI44" s="658"/>
      <c r="AJ44" s="658"/>
      <c r="AK44" s="658"/>
      <c r="AL44" s="658"/>
      <c r="AM44" s="658"/>
      <c r="AN44" s="658"/>
      <c r="AO44" s="658"/>
      <c r="AP44" s="658"/>
    </row>
    <row r="45" spans="1:42" s="815" customFormat="1" ht="12" customHeight="1">
      <c r="A45" s="139"/>
      <c r="B45" s="85"/>
      <c r="C45" s="323"/>
      <c r="D45" s="323"/>
      <c r="E45" s="217"/>
      <c r="F45" s="866" t="s">
        <v>242</v>
      </c>
      <c r="G45" s="1653" t="s">
        <v>5267</v>
      </c>
      <c r="H45" s="853"/>
      <c r="I45" s="1530"/>
      <c r="J45" s="1530"/>
      <c r="K45" s="1530"/>
      <c r="L45" s="1530"/>
      <c r="M45" s="1530"/>
      <c r="N45" s="217"/>
      <c r="O45" s="217"/>
      <c r="P45" s="217"/>
      <c r="Q45" s="217"/>
      <c r="R45" s="217"/>
      <c r="S45" s="217"/>
      <c r="T45" s="217"/>
      <c r="U45" s="1530"/>
      <c r="V45" s="1530"/>
      <c r="W45" s="1530"/>
      <c r="X45" s="696"/>
      <c r="Y45" s="866"/>
      <c r="Z45" s="697"/>
      <c r="AA45" s="696"/>
      <c r="AB45" s="696"/>
      <c r="AC45" s="139"/>
      <c r="AD45" s="110"/>
      <c r="AE45" s="139"/>
      <c r="AF45"/>
      <c r="AG45" s="658"/>
      <c r="AH45" s="658"/>
      <c r="AI45" s="658"/>
      <c r="AJ45" s="658"/>
      <c r="AK45" s="658"/>
      <c r="AL45" s="658"/>
      <c r="AM45" s="658"/>
      <c r="AN45" s="658"/>
      <c r="AO45" s="658"/>
      <c r="AP45" s="658"/>
    </row>
    <row r="46" spans="1:42" s="815" customFormat="1" ht="12" customHeight="1">
      <c r="A46" s="139"/>
      <c r="B46" s="85"/>
      <c r="C46" s="323"/>
      <c r="D46" s="323"/>
      <c r="E46" s="217"/>
      <c r="F46" s="217"/>
      <c r="G46" s="1653" t="s">
        <v>2624</v>
      </c>
      <c r="H46" s="853"/>
      <c r="I46" s="1530"/>
      <c r="J46" s="1530"/>
      <c r="K46" s="1530"/>
      <c r="L46" s="1530"/>
      <c r="M46" s="1530"/>
      <c r="N46" s="217"/>
      <c r="O46" s="217"/>
      <c r="P46" s="217"/>
      <c r="Q46" s="217"/>
      <c r="R46" s="217"/>
      <c r="S46" s="217"/>
      <c r="T46" s="217"/>
      <c r="U46" s="1530"/>
      <c r="V46" s="1530"/>
      <c r="W46" s="1530"/>
      <c r="X46" s="140" t="s">
        <v>894</v>
      </c>
      <c r="Y46" s="866" t="s">
        <v>242</v>
      </c>
      <c r="Z46" s="697"/>
      <c r="AA46" s="1188" t="str">
        <f>IF(OR($AD$34=7,AND($AD$34="",B38,R4,NOT(I8),NOT(P8))),"X","")</f>
        <v/>
      </c>
      <c r="AB46" s="696"/>
      <c r="AC46" s="139"/>
      <c r="AD46" s="110"/>
      <c r="AE46" s="139"/>
      <c r="AF46"/>
      <c r="AG46" s="658"/>
      <c r="AH46" s="658"/>
      <c r="AI46" s="658"/>
      <c r="AJ46" s="658"/>
      <c r="AK46" s="658"/>
      <c r="AL46" s="658"/>
      <c r="AM46" s="658"/>
      <c r="AN46" s="658"/>
      <c r="AO46" s="658"/>
      <c r="AP46" s="658"/>
    </row>
    <row r="47" spans="1:42" s="815" customFormat="1" ht="12" customHeight="1">
      <c r="A47" s="139"/>
      <c r="B47" s="142"/>
      <c r="C47" s="456"/>
      <c r="D47" s="456"/>
      <c r="E47" s="1609"/>
      <c r="F47" s="1609"/>
      <c r="G47" s="1621"/>
      <c r="H47" s="1622"/>
      <c r="I47" s="1621"/>
      <c r="J47" s="1621"/>
      <c r="K47" s="1621"/>
      <c r="L47" s="1621"/>
      <c r="M47" s="1621"/>
      <c r="N47" s="1609"/>
      <c r="O47" s="1609"/>
      <c r="P47" s="1609"/>
      <c r="Q47" s="1609"/>
      <c r="R47" s="1609"/>
      <c r="S47" s="1609"/>
      <c r="T47" s="1609"/>
      <c r="U47" s="1621"/>
      <c r="V47" s="1621"/>
      <c r="W47" s="1621"/>
      <c r="X47" s="867"/>
      <c r="Y47" s="868"/>
      <c r="Z47" s="868"/>
      <c r="AA47" s="867"/>
      <c r="AB47" s="867"/>
      <c r="AC47" s="139"/>
      <c r="AD47" s="110"/>
      <c r="AE47" s="139"/>
      <c r="AF47"/>
      <c r="AG47" s="658"/>
      <c r="AH47" s="658"/>
      <c r="AI47" s="658"/>
      <c r="AJ47" s="658"/>
      <c r="AK47" s="658"/>
      <c r="AL47" s="658"/>
      <c r="AM47" s="658"/>
      <c r="AN47" s="658"/>
      <c r="AO47" s="658"/>
      <c r="AP47" s="658"/>
    </row>
    <row r="48" spans="1:42" s="815" customFormat="1" ht="12" customHeight="1">
      <c r="A48" s="139"/>
      <c r="B48" s="856"/>
      <c r="C48" s="869"/>
      <c r="D48" s="869"/>
      <c r="E48" s="1617"/>
      <c r="F48" s="1617"/>
      <c r="G48" s="1618"/>
      <c r="H48" s="1623"/>
      <c r="I48" s="1618"/>
      <c r="J48" s="1618"/>
      <c r="K48" s="1618"/>
      <c r="L48" s="1618"/>
      <c r="M48" s="1618"/>
      <c r="N48" s="1617"/>
      <c r="O48" s="1617"/>
      <c r="P48" s="1617"/>
      <c r="Q48" s="1617"/>
      <c r="R48" s="1617"/>
      <c r="S48" s="1617"/>
      <c r="T48" s="1617"/>
      <c r="U48" s="1618"/>
      <c r="V48" s="1618"/>
      <c r="W48" s="1618"/>
      <c r="X48" s="870"/>
      <c r="Y48" s="871"/>
      <c r="Z48" s="871"/>
      <c r="AA48" s="870"/>
      <c r="AB48" s="870"/>
      <c r="AC48" s="139"/>
      <c r="AD48" s="110"/>
      <c r="AE48" s="139"/>
      <c r="AF48"/>
      <c r="AG48" s="658"/>
      <c r="AH48" s="658"/>
      <c r="AI48" s="658"/>
      <c r="AJ48" s="658"/>
      <c r="AK48" s="658"/>
      <c r="AL48" s="658"/>
      <c r="AM48" s="658"/>
      <c r="AN48" s="658"/>
      <c r="AO48" s="658"/>
      <c r="AP48" s="658"/>
    </row>
    <row r="49" spans="1:42" s="815" customFormat="1" ht="12" customHeight="1">
      <c r="A49" s="139"/>
      <c r="B49" s="8791" t="b">
        <f>File_Marr_Sep&lt;&gt;""</f>
        <v>0</v>
      </c>
      <c r="C49" s="8791"/>
      <c r="D49" s="323"/>
      <c r="E49" s="217"/>
      <c r="F49" s="866" t="s">
        <v>244</v>
      </c>
      <c r="G49" s="1653" t="str">
        <f>"You were 65 or older and you lived apart from your spouse for all of "&amp;TaxYear</f>
        <v>You were 65 or older and you lived apart from your spouse for all of 2025</v>
      </c>
      <c r="H49" s="853"/>
      <c r="I49" s="1530"/>
      <c r="J49" s="1530"/>
      <c r="K49" s="1530"/>
      <c r="L49" s="1530"/>
      <c r="M49" s="1530"/>
      <c r="N49" s="217"/>
      <c r="O49" s="217"/>
      <c r="P49" s="217"/>
      <c r="Q49" s="217"/>
      <c r="R49" s="217"/>
      <c r="S49" s="217"/>
      <c r="T49" s="217"/>
      <c r="U49" s="1530"/>
      <c r="V49" s="1530"/>
      <c r="W49" s="1530"/>
      <c r="X49" s="140" t="s">
        <v>828</v>
      </c>
      <c r="Y49" s="866" t="s">
        <v>244</v>
      </c>
      <c r="Z49" s="697"/>
      <c r="AA49" s="1188" t="str">
        <f>IF(OR($AD$34=8,AND($AD$34="",B49,YouR65,LivedApart)),"X","")</f>
        <v/>
      </c>
      <c r="AB49" s="696"/>
      <c r="AC49" s="139"/>
      <c r="AD49" s="110"/>
      <c r="AE49" s="139"/>
      <c r="AF49"/>
      <c r="AG49" s="658"/>
      <c r="AH49" s="658"/>
      <c r="AI49" s="658"/>
      <c r="AJ49" s="658"/>
      <c r="AK49" s="658"/>
      <c r="AL49" s="658"/>
      <c r="AM49" s="658"/>
      <c r="AN49" s="658"/>
      <c r="AO49" s="658"/>
      <c r="AP49" s="658"/>
    </row>
    <row r="50" spans="1:42" s="815" customFormat="1" ht="12" customHeight="1">
      <c r="A50" s="139"/>
      <c r="B50" s="112" t="s">
        <v>645</v>
      </c>
      <c r="C50" s="323"/>
      <c r="D50" s="323"/>
      <c r="E50" s="217"/>
      <c r="F50" s="217"/>
      <c r="G50" s="1530"/>
      <c r="H50" s="853"/>
      <c r="I50" s="1530"/>
      <c r="J50" s="1530"/>
      <c r="K50" s="1530"/>
      <c r="L50" s="1530"/>
      <c r="M50" s="1530"/>
      <c r="N50" s="217"/>
      <c r="O50" s="217"/>
      <c r="P50" s="217"/>
      <c r="Q50" s="217"/>
      <c r="R50" s="217"/>
      <c r="S50" s="217"/>
      <c r="T50" s="217"/>
      <c r="U50" s="1530"/>
      <c r="V50" s="1530"/>
      <c r="W50" s="1530"/>
      <c r="X50" s="696"/>
      <c r="Y50" s="697"/>
      <c r="Z50" s="697"/>
      <c r="AA50" s="696"/>
      <c r="AB50" s="696"/>
      <c r="AC50" s="139"/>
      <c r="AD50" s="110"/>
      <c r="AE50" s="139"/>
      <c r="AF50"/>
      <c r="AG50" s="658"/>
      <c r="AH50" s="658"/>
      <c r="AI50" s="658"/>
      <c r="AJ50" s="658"/>
      <c r="AK50" s="658"/>
      <c r="AL50" s="658"/>
      <c r="AM50" s="658"/>
      <c r="AN50" s="658"/>
      <c r="AO50" s="658"/>
      <c r="AP50" s="658"/>
    </row>
    <row r="51" spans="1:42" s="815" customFormat="1" ht="12" customHeight="1">
      <c r="A51" s="139"/>
      <c r="B51" s="112" t="s">
        <v>2625</v>
      </c>
      <c r="C51" s="323"/>
      <c r="D51" s="323"/>
      <c r="E51" s="217"/>
      <c r="F51" s="866" t="s">
        <v>377</v>
      </c>
      <c r="G51" s="1653" t="s">
        <v>2626</v>
      </c>
      <c r="H51" s="853"/>
      <c r="I51" s="1530"/>
      <c r="J51" s="1530"/>
      <c r="K51" s="1530"/>
      <c r="L51" s="1530"/>
      <c r="M51" s="1530"/>
      <c r="N51" s="217"/>
      <c r="O51" s="217"/>
      <c r="P51" s="217"/>
      <c r="Q51" s="217"/>
      <c r="R51" s="217"/>
      <c r="S51" s="217"/>
      <c r="T51" s="217"/>
      <c r="U51" s="1530"/>
      <c r="V51" s="1530"/>
      <c r="W51" s="1530"/>
      <c r="X51" s="696"/>
      <c r="Y51" s="697"/>
      <c r="Z51" s="697"/>
      <c r="AA51" s="696"/>
      <c r="AB51" s="696"/>
      <c r="AC51" s="139"/>
      <c r="AD51" s="110"/>
      <c r="AE51" s="139"/>
      <c r="AF51"/>
      <c r="AG51" s="658"/>
      <c r="AH51" s="658"/>
      <c r="AI51" s="658"/>
      <c r="AJ51" s="658"/>
      <c r="AK51" s="658"/>
      <c r="AL51" s="658"/>
      <c r="AM51" s="658"/>
      <c r="AN51" s="658"/>
      <c r="AO51" s="658"/>
      <c r="AP51" s="658"/>
    </row>
    <row r="52" spans="1:42" s="815" customFormat="1" ht="12" customHeight="1">
      <c r="A52" s="139"/>
      <c r="B52" s="85"/>
      <c r="C52" s="323"/>
      <c r="D52" s="323"/>
      <c r="E52" s="217"/>
      <c r="F52" s="217"/>
      <c r="G52" s="1653" t="str">
        <f>"lived apart from your spouse for all of "&amp;TaxYear</f>
        <v>lived apart from your spouse for all of 2025</v>
      </c>
      <c r="H52" s="853"/>
      <c r="I52" s="1530"/>
      <c r="J52" s="1530"/>
      <c r="K52" s="1530"/>
      <c r="L52" s="1530"/>
      <c r="M52" s="1530"/>
      <c r="N52" s="217"/>
      <c r="O52" s="217"/>
      <c r="P52" s="217"/>
      <c r="Q52" s="217"/>
      <c r="R52" s="217"/>
      <c r="S52" s="217"/>
      <c r="T52" s="217"/>
      <c r="U52" s="1530"/>
      <c r="V52" s="1530"/>
      <c r="W52" s="1530"/>
      <c r="X52" s="140" t="s">
        <v>816</v>
      </c>
      <c r="Y52" s="866" t="s">
        <v>377</v>
      </c>
      <c r="Z52" s="697"/>
      <c r="AA52" s="1188" t="str">
        <f>IF(OR($AD$34=9,AND($AD$34="",B49,NOT(YouR65),I8,LivedApart)),"X","")</f>
        <v/>
      </c>
      <c r="AB52" s="696"/>
      <c r="AC52" s="139"/>
      <c r="AD52" s="110"/>
      <c r="AE52" s="139"/>
      <c r="AF52"/>
      <c r="AG52" s="658"/>
      <c r="AH52" s="658"/>
      <c r="AI52" s="658"/>
      <c r="AJ52" s="658"/>
      <c r="AK52" s="658"/>
      <c r="AL52" s="658"/>
      <c r="AM52" s="658"/>
      <c r="AN52" s="658"/>
      <c r="AO52" s="658"/>
      <c r="AP52" s="658"/>
    </row>
    <row r="53" spans="1:42" s="815" customFormat="1" ht="12" customHeight="1">
      <c r="A53" s="139"/>
      <c r="B53" s="142"/>
      <c r="C53" s="456"/>
      <c r="D53" s="456"/>
      <c r="E53" s="1609"/>
      <c r="F53" s="1609"/>
      <c r="G53" s="1621"/>
      <c r="H53" s="1622"/>
      <c r="I53" s="1621"/>
      <c r="J53" s="1621"/>
      <c r="K53" s="1621"/>
      <c r="L53" s="1621"/>
      <c r="M53" s="1621"/>
      <c r="N53" s="1609"/>
      <c r="O53" s="1609"/>
      <c r="P53" s="1609"/>
      <c r="Q53" s="1609"/>
      <c r="R53" s="1609"/>
      <c r="S53" s="1609"/>
      <c r="T53" s="1609"/>
      <c r="U53" s="1621"/>
      <c r="V53" s="1621"/>
      <c r="W53" s="1621"/>
      <c r="X53" s="867"/>
      <c r="Y53" s="868"/>
      <c r="Z53" s="868"/>
      <c r="AA53" s="867"/>
      <c r="AB53" s="867"/>
      <c r="AC53" s="139"/>
      <c r="AD53" s="110"/>
      <c r="AE53" s="139"/>
      <c r="AF53"/>
      <c r="AG53" s="658"/>
      <c r="AH53" s="658"/>
      <c r="AI53" s="658"/>
      <c r="AJ53" s="658"/>
      <c r="AK53" s="658"/>
      <c r="AL53" s="658"/>
      <c r="AM53" s="658"/>
      <c r="AN53" s="658"/>
      <c r="AO53" s="658"/>
      <c r="AP53" s="658"/>
    </row>
    <row r="54" spans="1:42" s="815" customFormat="1" ht="12" customHeight="1" thickBot="1">
      <c r="A54" s="139"/>
      <c r="B54" s="8781" t="b">
        <f>OR(AA29&lt;&gt;"",AA34&lt;&gt;"",AA46&lt;&gt;"",AA49&lt;&gt;"")</f>
        <v>0</v>
      </c>
      <c r="C54" s="8781"/>
      <c r="D54" s="869"/>
      <c r="E54" s="1617"/>
      <c r="F54" s="1617"/>
      <c r="G54" s="1618"/>
      <c r="H54" s="1623"/>
      <c r="I54" s="1618"/>
      <c r="J54" s="1618"/>
      <c r="K54" s="1618"/>
      <c r="L54" s="1618"/>
      <c r="M54" s="1618"/>
      <c r="N54" s="1617"/>
      <c r="O54" s="1617"/>
      <c r="P54" s="1617"/>
      <c r="Q54" s="1617"/>
      <c r="R54" s="1617"/>
      <c r="S54" s="1617"/>
      <c r="T54" s="1617"/>
      <c r="U54" s="1618"/>
      <c r="V54" s="1618"/>
      <c r="W54" s="1618"/>
      <c r="X54" s="870"/>
      <c r="Y54" s="871"/>
      <c r="Z54" s="871"/>
      <c r="AA54" s="870"/>
      <c r="AB54" s="870"/>
      <c r="AC54" s="139"/>
      <c r="AD54" s="110"/>
      <c r="AE54" s="139"/>
      <c r="AF54"/>
      <c r="AG54" s="658"/>
      <c r="AH54" s="658"/>
      <c r="AI54" s="658"/>
      <c r="AJ54" s="658"/>
      <c r="AK54" s="658"/>
      <c r="AL54" s="658"/>
      <c r="AM54" s="658"/>
      <c r="AN54" s="658"/>
      <c r="AO54" s="658"/>
      <c r="AP54" s="658"/>
    </row>
    <row r="55" spans="1:42" s="815" customFormat="1" ht="6.75" customHeight="1" thickTop="1">
      <c r="A55" s="139"/>
      <c r="B55" s="1431"/>
      <c r="C55" s="1432"/>
      <c r="D55" s="1433"/>
      <c r="E55" s="217"/>
      <c r="F55" s="217"/>
      <c r="G55" s="1530"/>
      <c r="H55" s="853"/>
      <c r="I55" s="1530"/>
      <c r="J55" s="1530"/>
      <c r="K55" s="1530"/>
      <c r="L55" s="1530"/>
      <c r="M55" s="1530"/>
      <c r="N55" s="217"/>
      <c r="O55" s="217"/>
      <c r="P55" s="217"/>
      <c r="Q55" s="217"/>
      <c r="R55" s="217"/>
      <c r="S55" s="217"/>
      <c r="T55" s="217"/>
      <c r="U55" s="1530"/>
      <c r="V55" s="1530"/>
      <c r="W55" s="1530"/>
      <c r="X55" s="696"/>
      <c r="Y55" s="697"/>
      <c r="Z55" s="697"/>
      <c r="AA55" s="696"/>
      <c r="AB55" s="696"/>
      <c r="AC55" s="139"/>
      <c r="AD55" s="110"/>
      <c r="AE55" s="139"/>
      <c r="AF55"/>
      <c r="AG55" s="658"/>
      <c r="AH55" s="658"/>
      <c r="AI55" s="658"/>
      <c r="AJ55" s="658"/>
      <c r="AK55" s="658"/>
      <c r="AL55" s="658"/>
      <c r="AM55" s="658"/>
      <c r="AN55" s="658"/>
      <c r="AO55" s="658"/>
      <c r="AP55" s="658"/>
    </row>
    <row r="56" spans="1:42" s="815" customFormat="1" ht="12" customHeight="1">
      <c r="A56" s="139"/>
      <c r="B56" s="2286" t="s">
        <v>2627</v>
      </c>
      <c r="C56" s="323"/>
      <c r="D56" s="1434"/>
      <c r="E56" s="217" t="s">
        <v>2628</v>
      </c>
      <c r="F56" s="8792" t="s">
        <v>938</v>
      </c>
      <c r="G56" s="8793"/>
      <c r="H56" s="217" t="s">
        <v>2629</v>
      </c>
      <c r="I56" s="853"/>
      <c r="J56" s="1653" t="s">
        <v>2630</v>
      </c>
      <c r="K56" s="1530"/>
      <c r="L56" s="1530"/>
      <c r="M56" s="1530"/>
      <c r="N56" s="217"/>
      <c r="O56" s="217"/>
      <c r="P56" s="217"/>
      <c r="Q56" s="217"/>
      <c r="R56" s="217"/>
      <c r="S56" s="217"/>
      <c r="T56" s="217"/>
      <c r="U56" s="1530"/>
      <c r="V56" s="1530"/>
      <c r="W56" s="1530"/>
      <c r="X56" s="696"/>
      <c r="Y56" s="697"/>
      <c r="Z56" s="697"/>
      <c r="AA56" s="696"/>
      <c r="AB56" s="696"/>
      <c r="AC56" s="139"/>
      <c r="AD56" s="110"/>
      <c r="AE56" s="139"/>
      <c r="AF56"/>
      <c r="AG56" s="658"/>
      <c r="AH56" s="658"/>
      <c r="AI56" s="658"/>
      <c r="AJ56" s="658"/>
      <c r="AK56" s="658"/>
      <c r="AL56" s="658"/>
      <c r="AM56" s="658"/>
      <c r="AN56" s="658"/>
      <c r="AO56" s="658"/>
      <c r="AP56" s="658"/>
    </row>
    <row r="57" spans="1:42" s="815" customFormat="1" ht="4.5" customHeight="1">
      <c r="A57" s="139"/>
      <c r="B57" s="1435"/>
      <c r="C57" s="323"/>
      <c r="D57" s="1434"/>
      <c r="E57" s="217"/>
      <c r="F57" s="217"/>
      <c r="G57" s="1530"/>
      <c r="H57" s="853"/>
      <c r="I57" s="853"/>
      <c r="J57" s="1530"/>
      <c r="K57" s="1530"/>
      <c r="L57" s="1530"/>
      <c r="M57" s="1530"/>
      <c r="N57" s="217"/>
      <c r="O57" s="217"/>
      <c r="P57" s="217"/>
      <c r="Q57" s="217"/>
      <c r="R57" s="217"/>
      <c r="S57" s="217"/>
      <c r="T57" s="217"/>
      <c r="U57" s="1530"/>
      <c r="V57" s="1530"/>
      <c r="W57" s="1530"/>
      <c r="X57" s="696"/>
      <c r="Y57" s="697"/>
      <c r="Z57" s="697"/>
      <c r="AA57" s="696"/>
      <c r="AB57" s="696"/>
      <c r="AC57" s="139"/>
      <c r="AD57" s="110"/>
      <c r="AE57" s="139"/>
      <c r="AF57"/>
      <c r="AG57" s="658"/>
      <c r="AH57" s="658"/>
      <c r="AI57" s="658"/>
      <c r="AJ57" s="658"/>
      <c r="AK57" s="658"/>
      <c r="AL57" s="658"/>
      <c r="AM57" s="658"/>
      <c r="AN57" s="658"/>
      <c r="AO57" s="658"/>
      <c r="AP57" s="658"/>
    </row>
    <row r="58" spans="1:42" s="815" customFormat="1" ht="12" customHeight="1">
      <c r="A58" s="139"/>
      <c r="B58" s="2286" t="s">
        <v>2631</v>
      </c>
      <c r="C58" s="323"/>
      <c r="D58" s="1434"/>
      <c r="E58" s="217" t="s">
        <v>2628</v>
      </c>
      <c r="F58" s="8792" t="s">
        <v>936</v>
      </c>
      <c r="G58" s="8792"/>
      <c r="H58" s="217" t="s">
        <v>2629</v>
      </c>
      <c r="I58" s="853"/>
      <c r="J58" s="1653" t="s">
        <v>2632</v>
      </c>
      <c r="K58" s="1530"/>
      <c r="L58" s="1530"/>
      <c r="M58" s="1530"/>
      <c r="N58" s="217"/>
      <c r="O58" s="217"/>
      <c r="P58" s="217"/>
      <c r="Q58" s="217"/>
      <c r="R58" s="217"/>
      <c r="S58" s="217"/>
      <c r="T58" s="217"/>
      <c r="U58" s="1530"/>
      <c r="V58" s="1530"/>
      <c r="W58" s="1530"/>
      <c r="X58" s="696"/>
      <c r="Y58" s="697"/>
      <c r="Z58" s="697"/>
      <c r="AA58" s="696"/>
      <c r="AB58" s="696"/>
      <c r="AC58" s="139"/>
      <c r="AD58" s="110"/>
      <c r="AE58" s="139"/>
      <c r="AF58"/>
      <c r="AG58" s="658"/>
      <c r="AH58" s="658"/>
      <c r="AI58" s="658"/>
      <c r="AJ58" s="658"/>
      <c r="AK58" s="658"/>
      <c r="AL58" s="658"/>
      <c r="AM58" s="658"/>
      <c r="AN58" s="658"/>
      <c r="AO58" s="658"/>
      <c r="AP58" s="658"/>
    </row>
    <row r="59" spans="1:42" s="815" customFormat="1" ht="6.75" customHeight="1" thickBot="1">
      <c r="A59" s="139"/>
      <c r="B59" s="1436"/>
      <c r="C59" s="1437"/>
      <c r="D59" s="1438"/>
      <c r="E59" s="217"/>
      <c r="F59" s="217"/>
      <c r="G59" s="1530"/>
      <c r="H59" s="853"/>
      <c r="I59" s="1530"/>
      <c r="J59" s="1530"/>
      <c r="K59" s="1530"/>
      <c r="L59" s="1530"/>
      <c r="M59" s="1530"/>
      <c r="N59" s="217"/>
      <c r="O59" s="217"/>
      <c r="P59" s="217"/>
      <c r="Q59" s="217"/>
      <c r="R59" s="217"/>
      <c r="S59" s="217"/>
      <c r="T59" s="217"/>
      <c r="U59" s="1530"/>
      <c r="V59" s="1530"/>
      <c r="W59" s="1530"/>
      <c r="X59" s="696"/>
      <c r="Y59" s="697"/>
      <c r="Z59" s="697"/>
      <c r="AA59" s="696"/>
      <c r="AB59" s="696"/>
      <c r="AC59" s="139"/>
      <c r="AD59" s="110"/>
      <c r="AE59" s="139"/>
      <c r="AF59"/>
      <c r="AG59" s="658"/>
      <c r="AH59" s="658"/>
      <c r="AI59" s="658"/>
      <c r="AJ59" s="658"/>
      <c r="AK59" s="658"/>
      <c r="AL59" s="658"/>
      <c r="AM59" s="658"/>
      <c r="AN59" s="658"/>
      <c r="AO59" s="658"/>
      <c r="AP59" s="658"/>
    </row>
    <row r="60" spans="1:42" s="815" customFormat="1" ht="12" customHeight="1" thickTop="1" thickBot="1">
      <c r="A60" s="139"/>
      <c r="B60" s="85"/>
      <c r="C60" s="323"/>
      <c r="D60" s="323"/>
      <c r="E60" s="217"/>
      <c r="F60" s="217"/>
      <c r="G60" s="1530"/>
      <c r="H60" s="853"/>
      <c r="I60" s="1530"/>
      <c r="J60" s="1530"/>
      <c r="K60" s="1530"/>
      <c r="L60" s="1530"/>
      <c r="M60" s="1530"/>
      <c r="N60" s="217"/>
      <c r="O60" s="217"/>
      <c r="P60" s="217"/>
      <c r="Q60" s="217"/>
      <c r="R60" s="217"/>
      <c r="S60" s="217"/>
      <c r="T60" s="217"/>
      <c r="U60" s="1530"/>
      <c r="V60" s="1530"/>
      <c r="W60" s="1530"/>
      <c r="X60" s="696"/>
      <c r="Y60" s="697"/>
      <c r="Z60" s="697"/>
      <c r="AA60" s="696"/>
      <c r="AB60" s="696"/>
      <c r="AC60" s="139"/>
      <c r="AD60" s="110"/>
      <c r="AE60" s="139"/>
      <c r="AF60"/>
      <c r="AG60" s="658"/>
      <c r="AH60" s="658"/>
      <c r="AI60" s="658"/>
      <c r="AJ60" s="658"/>
      <c r="AK60" s="658"/>
      <c r="AL60" s="658"/>
      <c r="AM60" s="658"/>
      <c r="AN60" s="658"/>
      <c r="AO60" s="658"/>
      <c r="AP60" s="658"/>
    </row>
    <row r="61" spans="1:42" s="815" customFormat="1" ht="15.75" thickTop="1">
      <c r="A61" s="139"/>
      <c r="B61" s="8779" t="s">
        <v>868</v>
      </c>
      <c r="C61" s="8780"/>
      <c r="D61" s="858" t="s">
        <v>2633</v>
      </c>
      <c r="E61" s="78"/>
      <c r="F61" s="78"/>
      <c r="G61" s="78"/>
      <c r="H61" s="78"/>
      <c r="I61" s="78"/>
      <c r="J61" s="78"/>
      <c r="K61" s="78"/>
      <c r="L61" s="78"/>
      <c r="M61" s="875" t="s">
        <v>2634</v>
      </c>
      <c r="N61" s="78"/>
      <c r="O61" s="78"/>
      <c r="P61" s="78"/>
      <c r="Q61" s="78"/>
      <c r="R61" s="78"/>
      <c r="S61" s="78"/>
      <c r="T61" s="78"/>
      <c r="U61" s="78"/>
      <c r="V61" s="78"/>
      <c r="W61" s="78"/>
      <c r="X61" s="78"/>
      <c r="Y61" s="78"/>
      <c r="Z61" s="78"/>
      <c r="AA61" s="78"/>
      <c r="AB61" s="78"/>
      <c r="AC61" s="139"/>
      <c r="AD61" s="110"/>
      <c r="AE61" s="139"/>
      <c r="AF61"/>
      <c r="AG61" s="658"/>
      <c r="AH61" s="658"/>
      <c r="AI61" s="658"/>
      <c r="AJ61" s="658"/>
      <c r="AK61" s="658"/>
      <c r="AL61" s="658"/>
      <c r="AM61" s="658"/>
      <c r="AN61" s="658"/>
      <c r="AO61" s="658"/>
      <c r="AP61" s="658"/>
    </row>
    <row r="62" spans="1:42" s="815" customFormat="1" ht="14.25">
      <c r="A62" s="139"/>
      <c r="B62" s="876" t="s">
        <v>2635</v>
      </c>
      <c r="C62" s="878" t="s">
        <v>228</v>
      </c>
      <c r="D62" s="1044" t="s">
        <v>2636</v>
      </c>
      <c r="E62" s="96"/>
      <c r="F62" s="96"/>
      <c r="G62" s="96"/>
      <c r="H62" s="96"/>
      <c r="I62" s="96"/>
      <c r="J62" s="96"/>
      <c r="K62" s="96"/>
      <c r="L62" s="96"/>
      <c r="M62" s="96"/>
      <c r="N62" s="96"/>
      <c r="O62" s="96"/>
      <c r="P62" s="96"/>
      <c r="Q62" s="96"/>
      <c r="R62" s="96"/>
      <c r="S62" s="96"/>
      <c r="T62" s="96"/>
      <c r="U62" s="96"/>
      <c r="V62" s="96"/>
      <c r="W62" s="96"/>
      <c r="X62" s="96"/>
      <c r="Y62" s="96"/>
      <c r="Z62" s="96"/>
      <c r="AA62" s="96"/>
      <c r="AB62" s="96"/>
      <c r="AC62" s="139"/>
      <c r="AD62" s="110"/>
      <c r="AE62" s="139"/>
      <c r="AF62"/>
      <c r="AG62" s="658"/>
      <c r="AH62" s="658"/>
      <c r="AI62" s="658"/>
      <c r="AJ62" s="658"/>
      <c r="AK62" s="658"/>
      <c r="AL62" s="658"/>
      <c r="AM62" s="658"/>
      <c r="AN62" s="658"/>
      <c r="AO62" s="658"/>
      <c r="AP62" s="658"/>
    </row>
    <row r="63" spans="1:42" s="815" customFormat="1" ht="15">
      <c r="A63" s="139"/>
      <c r="B63" s="872"/>
      <c r="C63" s="873"/>
      <c r="D63" s="1044" t="s">
        <v>2637</v>
      </c>
      <c r="E63" s="96"/>
      <c r="F63" s="96"/>
      <c r="G63" s="96"/>
      <c r="H63" s="96"/>
      <c r="I63" s="96"/>
      <c r="J63" s="96"/>
      <c r="K63" s="96"/>
      <c r="L63" s="96"/>
      <c r="M63" s="96"/>
      <c r="N63" s="96"/>
      <c r="O63" s="96"/>
      <c r="P63" s="96"/>
      <c r="Q63" s="96"/>
      <c r="R63" s="96"/>
      <c r="S63" s="96"/>
      <c r="T63" s="96"/>
      <c r="U63" s="96"/>
      <c r="V63" s="96"/>
      <c r="W63" s="96"/>
      <c r="X63" s="96"/>
      <c r="Y63" s="96"/>
      <c r="Z63" s="96"/>
      <c r="AA63" s="96"/>
      <c r="AB63" s="96"/>
      <c r="AC63" s="139"/>
      <c r="AD63" s="110"/>
      <c r="AE63" s="139"/>
      <c r="AF63"/>
      <c r="AG63" s="658"/>
      <c r="AH63" s="658"/>
      <c r="AI63" s="658"/>
      <c r="AJ63" s="658"/>
      <c r="AK63" s="658"/>
      <c r="AL63" s="658"/>
      <c r="AM63" s="658"/>
      <c r="AN63" s="658"/>
      <c r="AO63" s="658"/>
      <c r="AP63" s="658"/>
    </row>
    <row r="64" spans="1:42" s="815" customFormat="1" ht="8.25" customHeight="1">
      <c r="A64" s="139"/>
      <c r="B64" s="872"/>
      <c r="C64" s="873"/>
      <c r="D64" s="874"/>
      <c r="E64" s="96"/>
      <c r="F64" s="96"/>
      <c r="G64" s="96"/>
      <c r="H64" s="96"/>
      <c r="I64" s="96"/>
      <c r="J64" s="96"/>
      <c r="K64" s="96"/>
      <c r="L64" s="96"/>
      <c r="M64" s="96"/>
      <c r="N64" s="96"/>
      <c r="O64" s="96"/>
      <c r="P64" s="96"/>
      <c r="Q64" s="96"/>
      <c r="R64" s="96"/>
      <c r="S64" s="96"/>
      <c r="T64" s="96"/>
      <c r="U64" s="96"/>
      <c r="V64" s="96"/>
      <c r="W64" s="96"/>
      <c r="X64" s="96"/>
      <c r="Y64" s="96"/>
      <c r="Z64" s="96"/>
      <c r="AA64" s="96"/>
      <c r="AB64" s="96"/>
      <c r="AC64" s="139"/>
      <c r="AD64" s="110"/>
      <c r="AE64" s="139"/>
      <c r="AF64"/>
      <c r="AG64" s="658"/>
      <c r="AH64" s="658"/>
      <c r="AI64" s="658"/>
      <c r="AJ64" s="658"/>
      <c r="AK64" s="658"/>
      <c r="AL64" s="658"/>
      <c r="AM64" s="658"/>
      <c r="AN64" s="658"/>
      <c r="AO64" s="658"/>
      <c r="AP64" s="658"/>
    </row>
    <row r="65" spans="1:42" s="815" customFormat="1" ht="14.25">
      <c r="A65" s="139"/>
      <c r="B65" s="872"/>
      <c r="C65" s="878" t="s">
        <v>230</v>
      </c>
      <c r="D65" s="1044" t="s">
        <v>2638</v>
      </c>
      <c r="E65" s="96"/>
      <c r="F65" s="96"/>
      <c r="G65" s="96"/>
      <c r="H65" s="96"/>
      <c r="I65" s="96"/>
      <c r="J65" s="96"/>
      <c r="K65" s="96"/>
      <c r="L65" s="96"/>
      <c r="M65" s="96"/>
      <c r="N65" s="96"/>
      <c r="O65" s="96"/>
      <c r="P65" s="96"/>
      <c r="Q65" s="96"/>
      <c r="R65" s="96"/>
      <c r="S65" s="96"/>
      <c r="T65" s="96"/>
      <c r="U65" s="96"/>
      <c r="V65" s="96"/>
      <c r="W65" s="96"/>
      <c r="X65" s="96"/>
      <c r="Y65" s="96"/>
      <c r="Z65" s="96"/>
      <c r="AA65" s="96"/>
      <c r="AB65" s="96"/>
      <c r="AC65" s="139"/>
      <c r="AD65" s="110"/>
      <c r="AE65" s="139"/>
      <c r="AF65"/>
      <c r="AG65" s="658"/>
      <c r="AH65" s="658"/>
      <c r="AI65" s="658"/>
      <c r="AJ65" s="658"/>
      <c r="AK65" s="658"/>
      <c r="AL65" s="658"/>
      <c r="AM65" s="658"/>
      <c r="AN65" s="658"/>
      <c r="AO65" s="658"/>
      <c r="AP65" s="658"/>
    </row>
    <row r="66" spans="1:42" s="815" customFormat="1" ht="14.25">
      <c r="A66" s="139"/>
      <c r="B66" s="872"/>
      <c r="C66" s="873"/>
      <c r="D66" s="1044" t="str">
        <f>"in "&amp;TaxYear&amp;", check this box"</f>
        <v>in 2025, check this box</v>
      </c>
      <c r="E66" s="96"/>
      <c r="F66" s="96"/>
      <c r="G66" s="96"/>
      <c r="H66" s="96"/>
      <c r="I66" s="96"/>
      <c r="J66" s="96"/>
      <c r="K66" s="96"/>
      <c r="L66" s="96"/>
      <c r="M66" s="96"/>
      <c r="N66" s="96"/>
      <c r="O66" s="96"/>
      <c r="P66" s="96"/>
      <c r="Q66" s="96"/>
      <c r="R66" s="96"/>
      <c r="S66" s="96"/>
      <c r="T66" s="96"/>
      <c r="U66" s="96"/>
      <c r="V66" s="96"/>
      <c r="W66" s="96"/>
      <c r="X66" s="96"/>
      <c r="Y66" s="96"/>
      <c r="Z66" s="140" t="s">
        <v>1121</v>
      </c>
      <c r="AA66" s="880"/>
      <c r="AB66" s="96"/>
      <c r="AC66" s="139"/>
      <c r="AD66" s="110"/>
      <c r="AE66" s="139"/>
      <c r="AF66"/>
      <c r="AG66" s="658"/>
      <c r="AH66" s="658"/>
      <c r="AI66" s="658"/>
      <c r="AJ66" s="658"/>
      <c r="AK66" s="658"/>
      <c r="AL66" s="658"/>
      <c r="AM66" s="658"/>
      <c r="AN66" s="658"/>
      <c r="AO66" s="658"/>
      <c r="AP66" s="658"/>
    </row>
    <row r="67" spans="1:42" s="815" customFormat="1" ht="7.5" customHeight="1">
      <c r="A67" s="139"/>
      <c r="B67" s="872"/>
      <c r="C67" s="873"/>
      <c r="D67" s="877"/>
      <c r="E67" s="96"/>
      <c r="F67" s="96"/>
      <c r="G67" s="96"/>
      <c r="H67" s="96"/>
      <c r="I67" s="96"/>
      <c r="J67" s="96"/>
      <c r="K67" s="96"/>
      <c r="L67" s="96"/>
      <c r="M67" s="96"/>
      <c r="N67" s="96"/>
      <c r="O67" s="96"/>
      <c r="P67" s="96"/>
      <c r="Q67" s="96"/>
      <c r="R67" s="96"/>
      <c r="S67" s="96"/>
      <c r="T67" s="96"/>
      <c r="U67" s="96"/>
      <c r="V67" s="96"/>
      <c r="W67" s="96"/>
      <c r="X67" s="96"/>
      <c r="Y67" s="96"/>
      <c r="Z67" s="96"/>
      <c r="AA67" s="96"/>
      <c r="AB67" s="96"/>
      <c r="AC67" s="139"/>
      <c r="AD67" s="110"/>
      <c r="AE67" s="139"/>
      <c r="AF67"/>
      <c r="AG67" s="658"/>
      <c r="AH67" s="658"/>
      <c r="AI67" s="658"/>
      <c r="AJ67" s="658"/>
      <c r="AK67" s="658"/>
      <c r="AL67" s="658"/>
      <c r="AM67" s="658"/>
      <c r="AN67" s="658"/>
      <c r="AO67" s="658"/>
      <c r="AP67" s="658"/>
    </row>
    <row r="68" spans="1:42" s="815" customFormat="1" ht="15">
      <c r="A68" s="139"/>
      <c r="B68" s="872"/>
      <c r="C68" s="857" t="s">
        <v>2598</v>
      </c>
      <c r="D68" s="1044" t="str">
        <f>"If you checked this box, you don’t have to get another statement for "&amp;TaxYear&amp;"."</f>
        <v>If you checked this box, you don’t have to get another statement for 2025.</v>
      </c>
      <c r="E68" s="96"/>
      <c r="F68" s="96"/>
      <c r="G68" s="96"/>
      <c r="H68" s="96"/>
      <c r="I68" s="96"/>
      <c r="J68" s="96"/>
      <c r="K68" s="96"/>
      <c r="L68" s="96"/>
      <c r="M68" s="96"/>
      <c r="N68" s="96"/>
      <c r="O68" s="96"/>
      <c r="P68" s="96"/>
      <c r="Q68" s="96"/>
      <c r="R68" s="96"/>
      <c r="S68" s="96"/>
      <c r="T68" s="96"/>
      <c r="U68" s="96"/>
      <c r="V68" s="96"/>
      <c r="W68" s="96"/>
      <c r="X68" s="96"/>
      <c r="Y68" s="96"/>
      <c r="Z68" s="96"/>
      <c r="AA68" s="96"/>
      <c r="AB68" s="96"/>
      <c r="AC68" s="139"/>
      <c r="AD68" s="110"/>
      <c r="AE68" s="139"/>
      <c r="AF68"/>
      <c r="AG68" s="658"/>
      <c r="AH68" s="658"/>
      <c r="AI68" s="658"/>
      <c r="AJ68" s="658"/>
      <c r="AK68" s="658"/>
      <c r="AL68" s="658"/>
      <c r="AM68" s="658"/>
      <c r="AN68" s="658"/>
      <c r="AO68" s="658"/>
      <c r="AP68" s="658"/>
    </row>
    <row r="69" spans="1:42" s="815" customFormat="1" ht="7.5" customHeight="1">
      <c r="A69" s="139"/>
      <c r="B69" s="872"/>
      <c r="C69" s="873"/>
      <c r="D69" s="877"/>
      <c r="E69" s="96"/>
      <c r="F69" s="96"/>
      <c r="G69" s="96"/>
      <c r="H69" s="96"/>
      <c r="I69" s="96"/>
      <c r="J69" s="96"/>
      <c r="K69" s="96"/>
      <c r="L69" s="96"/>
      <c r="M69" s="96"/>
      <c r="N69" s="96"/>
      <c r="O69" s="96"/>
      <c r="P69" s="96"/>
      <c r="Q69" s="96"/>
      <c r="R69" s="96"/>
      <c r="S69" s="96"/>
      <c r="T69" s="96"/>
      <c r="U69" s="96"/>
      <c r="V69" s="96"/>
      <c r="W69" s="96"/>
      <c r="X69" s="96"/>
      <c r="Y69" s="96"/>
      <c r="Z69" s="96"/>
      <c r="AA69" s="96"/>
      <c r="AB69" s="96"/>
      <c r="AC69" s="139"/>
      <c r="AD69" s="110"/>
      <c r="AE69" s="139"/>
      <c r="AF69"/>
      <c r="AG69" s="658"/>
      <c r="AH69" s="658"/>
      <c r="AI69" s="658"/>
      <c r="AJ69" s="658"/>
      <c r="AK69" s="658"/>
      <c r="AL69" s="658"/>
      <c r="AM69" s="658"/>
      <c r="AN69" s="658"/>
      <c r="AO69" s="658"/>
      <c r="AP69" s="658"/>
    </row>
    <row r="70" spans="1:42" s="815" customFormat="1" ht="15">
      <c r="A70" s="139"/>
      <c r="B70" s="872"/>
      <c r="C70" s="857" t="s">
        <v>2598</v>
      </c>
      <c r="D70" s="1044" t="s">
        <v>2639</v>
      </c>
      <c r="E70" s="96"/>
      <c r="F70" s="96"/>
      <c r="G70" s="96"/>
      <c r="H70" s="96"/>
      <c r="I70" s="96"/>
      <c r="J70" s="96"/>
      <c r="K70" s="96"/>
      <c r="L70" s="96"/>
      <c r="M70" s="96"/>
      <c r="N70" s="96"/>
      <c r="O70" s="96"/>
      <c r="P70" s="96"/>
      <c r="Q70" s="96"/>
      <c r="R70" s="96"/>
      <c r="S70" s="96"/>
      <c r="T70" s="96"/>
      <c r="U70" s="96"/>
      <c r="V70" s="96"/>
      <c r="W70" s="96"/>
      <c r="X70" s="96"/>
      <c r="Y70" s="96"/>
      <c r="Z70" s="96"/>
      <c r="AA70" s="96"/>
      <c r="AB70" s="96"/>
      <c r="AC70" s="139"/>
      <c r="AD70" s="110"/>
      <c r="AE70" s="139"/>
      <c r="AF70"/>
      <c r="AG70" s="658"/>
      <c r="AH70" s="658"/>
      <c r="AI70" s="658"/>
      <c r="AJ70" s="658"/>
      <c r="AK70" s="658"/>
      <c r="AL70" s="658"/>
      <c r="AM70" s="658"/>
      <c r="AN70" s="658"/>
      <c r="AO70" s="658"/>
      <c r="AP70" s="658"/>
    </row>
    <row r="71" spans="1:42" s="815" customFormat="1" ht="14.25">
      <c r="A71" s="139"/>
      <c r="B71" s="872"/>
      <c r="C71" s="873"/>
      <c r="D71" s="1044" t="s">
        <v>2640</v>
      </c>
      <c r="E71" s="96"/>
      <c r="F71" s="96"/>
      <c r="G71" s="96"/>
      <c r="H71" s="96"/>
      <c r="I71" s="96"/>
      <c r="J71" s="96"/>
      <c r="K71" s="96"/>
      <c r="L71" s="96"/>
      <c r="M71" s="96"/>
      <c r="N71" s="96"/>
      <c r="O71" s="96"/>
      <c r="P71" s="96"/>
      <c r="Q71" s="96"/>
      <c r="R71" s="96"/>
      <c r="S71" s="96"/>
      <c r="T71" s="96"/>
      <c r="U71" s="96"/>
      <c r="V71" s="96"/>
      <c r="W71" s="96"/>
      <c r="X71" s="96"/>
      <c r="Y71" s="96"/>
      <c r="Z71" s="96"/>
      <c r="AA71" s="96"/>
      <c r="AB71" s="96"/>
      <c r="AC71" s="139"/>
      <c r="AD71" s="110"/>
      <c r="AE71" s="139"/>
      <c r="AF71"/>
      <c r="AG71" s="658"/>
      <c r="AH71" s="658"/>
      <c r="AI71" s="658"/>
      <c r="AJ71" s="658"/>
      <c r="AK71" s="658"/>
      <c r="AL71" s="658"/>
      <c r="AM71" s="658"/>
      <c r="AN71" s="658"/>
      <c r="AO71" s="658"/>
      <c r="AP71" s="658"/>
    </row>
    <row r="72" spans="1:42" s="815" customFormat="1" ht="9" customHeight="1">
      <c r="A72" s="139"/>
      <c r="B72" s="872"/>
      <c r="C72" s="873"/>
      <c r="D72" s="877"/>
      <c r="E72" s="96"/>
      <c r="F72" s="96"/>
      <c r="G72" s="96"/>
      <c r="H72" s="96"/>
      <c r="I72" s="96"/>
      <c r="J72" s="96"/>
      <c r="K72" s="96"/>
      <c r="L72" s="96"/>
      <c r="M72" s="96"/>
      <c r="N72" s="96"/>
      <c r="O72" s="96"/>
      <c r="P72" s="96"/>
      <c r="Q72" s="96"/>
      <c r="R72" s="96"/>
      <c r="S72" s="96"/>
      <c r="T72" s="96"/>
      <c r="U72" s="96"/>
      <c r="V72" s="96"/>
      <c r="W72" s="96"/>
      <c r="X72" s="96"/>
      <c r="Y72" s="96"/>
      <c r="Z72" s="96"/>
      <c r="AA72" s="96"/>
      <c r="AB72" s="96"/>
      <c r="AC72" s="139"/>
      <c r="AD72" s="110"/>
      <c r="AE72" s="139"/>
      <c r="AF72"/>
      <c r="AG72" s="658"/>
      <c r="AH72" s="658"/>
      <c r="AI72" s="658"/>
      <c r="AJ72" s="658"/>
      <c r="AK72" s="658"/>
      <c r="AL72" s="658"/>
      <c r="AM72" s="658"/>
      <c r="AN72" s="658"/>
      <c r="AO72" s="658"/>
      <c r="AP72" s="658"/>
    </row>
    <row r="73" spans="1:42" s="815" customFormat="1" ht="3.75" customHeight="1" thickBot="1">
      <c r="A73" s="139"/>
      <c r="B73" s="133"/>
      <c r="C73" s="133"/>
      <c r="D73" s="76"/>
      <c r="E73" s="76"/>
      <c r="F73" s="76"/>
      <c r="G73" s="1532"/>
      <c r="H73" s="1532"/>
      <c r="I73" s="1532"/>
      <c r="J73" s="1532"/>
      <c r="K73" s="1532"/>
      <c r="L73" s="1532"/>
      <c r="M73" s="1532"/>
      <c r="N73" s="76"/>
      <c r="O73" s="76"/>
      <c r="P73" s="76"/>
      <c r="Q73" s="76"/>
      <c r="R73" s="65"/>
      <c r="S73" s="65"/>
      <c r="T73" s="76"/>
      <c r="U73" s="1532"/>
      <c r="V73" s="1532"/>
      <c r="W73" s="217"/>
      <c r="X73" s="15"/>
      <c r="Y73" s="15"/>
      <c r="Z73" s="154"/>
      <c r="AA73" s="15"/>
      <c r="AB73" s="15"/>
      <c r="AC73" s="139"/>
      <c r="AD73" s="110"/>
      <c r="AE73" s="139"/>
      <c r="AF73"/>
      <c r="AG73" s="658"/>
      <c r="AH73" s="658"/>
      <c r="AI73" s="658"/>
      <c r="AJ73" s="658"/>
      <c r="AK73" s="658"/>
      <c r="AL73" s="658"/>
      <c r="AM73" s="658"/>
      <c r="AN73" s="658"/>
      <c r="AO73" s="658"/>
      <c r="AP73" s="658"/>
    </row>
    <row r="74" spans="1:42" s="815" customFormat="1" ht="22.5" customHeight="1">
      <c r="A74" s="139"/>
      <c r="B74" s="855" t="s">
        <v>865</v>
      </c>
      <c r="C74" s="455"/>
      <c r="D74" s="1453"/>
      <c r="E74" s="1453"/>
      <c r="F74" s="1453"/>
      <c r="G74" s="1606"/>
      <c r="H74" s="1606"/>
      <c r="I74" s="1606"/>
      <c r="J74" s="1606"/>
      <c r="K74" s="1606"/>
      <c r="L74" s="1606"/>
      <c r="M74" s="1606"/>
      <c r="N74" s="1453"/>
      <c r="O74" s="1045"/>
      <c r="P74" s="242" t="s">
        <v>2641</v>
      </c>
      <c r="Q74" s="1453"/>
      <c r="R74" s="242"/>
      <c r="S74" s="242"/>
      <c r="T74" s="1453"/>
      <c r="U74" s="242"/>
      <c r="V74" s="1606"/>
      <c r="W74" s="1607"/>
      <c r="X74" s="879" t="str">
        <f>"Schedule R (Form 1040)  "&amp;TaxYear</f>
        <v>Schedule R (Form 1040)  2025</v>
      </c>
      <c r="Y74" s="879"/>
      <c r="Z74" s="1608"/>
      <c r="AA74" s="123"/>
      <c r="AB74" s="1170" t="s">
        <v>6371</v>
      </c>
      <c r="AC74" s="139"/>
      <c r="AD74" s="852"/>
      <c r="AE74" s="139"/>
      <c r="AF74" s="382"/>
      <c r="AG74" s="658"/>
      <c r="AH74" s="658"/>
      <c r="AI74" s="658"/>
      <c r="AJ74" s="658"/>
      <c r="AK74" s="658"/>
      <c r="AL74" s="658"/>
      <c r="AM74" s="658"/>
      <c r="AN74" s="658"/>
      <c r="AO74" s="658"/>
      <c r="AP74" s="658"/>
    </row>
    <row r="75" spans="1:42" s="815" customFormat="1" ht="19.5" customHeight="1" thickBot="1">
      <c r="A75" s="139"/>
      <c r="B75" s="1615" t="str">
        <f>"Schedule R (Form 1040) "&amp;TaxYear</f>
        <v>Schedule R (Form 1040) 2025</v>
      </c>
      <c r="C75" s="1615"/>
      <c r="D75" s="1615"/>
      <c r="E75" s="1615"/>
      <c r="F75" s="1615"/>
      <c r="G75" s="1615"/>
      <c r="H75" s="1615"/>
      <c r="I75" s="1615"/>
      <c r="J75" s="1615"/>
      <c r="K75" s="1615"/>
      <c r="L75" s="1615"/>
      <c r="M75" s="1615"/>
      <c r="N75" s="1615"/>
      <c r="O75" s="1615"/>
      <c r="P75" s="1615"/>
      <c r="Q75" s="1615"/>
      <c r="R75" s="1615"/>
      <c r="S75" s="1615"/>
      <c r="T75" s="1615"/>
      <c r="U75" s="1615"/>
      <c r="V75" s="1615"/>
      <c r="W75" s="1615"/>
      <c r="X75" s="1615"/>
      <c r="Y75" s="371"/>
      <c r="Z75" s="371"/>
      <c r="AA75" s="371" t="s">
        <v>2079</v>
      </c>
      <c r="AB75" s="372" t="str">
        <f>"2"</f>
        <v>2</v>
      </c>
      <c r="AC75" s="139"/>
      <c r="AD75" s="110"/>
      <c r="AE75" s="139"/>
      <c r="AF75"/>
      <c r="AG75" s="658"/>
      <c r="AH75" s="658"/>
      <c r="AI75" s="658"/>
      <c r="AJ75" s="658"/>
      <c r="AK75" s="658"/>
      <c r="AL75" s="658"/>
      <c r="AM75" s="658"/>
      <c r="AN75" s="658"/>
      <c r="AO75" s="658"/>
      <c r="AP75" s="658"/>
    </row>
    <row r="76" spans="1:42" s="815" customFormat="1" ht="15.75" thickTop="1">
      <c r="A76" s="139"/>
      <c r="B76" s="8785" t="s">
        <v>1938</v>
      </c>
      <c r="C76" s="8786"/>
      <c r="D76" s="374" t="s">
        <v>2642</v>
      </c>
      <c r="E76" s="373"/>
      <c r="F76" s="373"/>
      <c r="G76" s="373"/>
      <c r="H76" s="373"/>
      <c r="I76" s="373"/>
      <c r="J76" s="373"/>
      <c r="K76" s="373"/>
      <c r="L76" s="373"/>
      <c r="M76" s="373"/>
      <c r="N76" s="373"/>
      <c r="O76" s="373"/>
      <c r="P76" s="373"/>
      <c r="Q76" s="373"/>
      <c r="R76" s="373"/>
      <c r="S76" s="373"/>
      <c r="T76" s="373"/>
      <c r="U76" s="373"/>
      <c r="V76" s="373"/>
      <c r="W76" s="373"/>
      <c r="X76" s="373"/>
      <c r="Y76" s="373"/>
      <c r="Z76" s="373"/>
      <c r="AA76" s="373"/>
      <c r="AB76" s="373"/>
      <c r="AC76" s="139"/>
      <c r="AD76" s="110"/>
      <c r="AE76" s="139"/>
      <c r="AF76"/>
      <c r="AG76" s="658"/>
      <c r="AH76" s="658"/>
      <c r="AI76" s="658"/>
      <c r="AJ76" s="658"/>
      <c r="AK76" s="658"/>
      <c r="AL76" s="658"/>
      <c r="AM76" s="658"/>
      <c r="AN76" s="658"/>
      <c r="AO76" s="658"/>
      <c r="AP76" s="658"/>
    </row>
    <row r="77" spans="1:42" s="815" customFormat="1" ht="12" customHeight="1">
      <c r="A77" s="139"/>
      <c r="B77" s="75">
        <v>10</v>
      </c>
      <c r="C77" s="17" t="s">
        <v>2643</v>
      </c>
      <c r="D77" s="96"/>
      <c r="E77" s="96"/>
      <c r="F77" s="96"/>
      <c r="G77" s="96"/>
      <c r="H77" s="96"/>
      <c r="I77" s="96"/>
      <c r="J77" s="96"/>
      <c r="K77" s="74" t="s">
        <v>2644</v>
      </c>
      <c r="L77" s="96"/>
      <c r="M77" s="96"/>
      <c r="N77" s="96"/>
      <c r="O77" s="96"/>
      <c r="P77" s="96"/>
      <c r="Q77" s="96"/>
      <c r="R77" s="96"/>
      <c r="S77" s="96"/>
      <c r="T77" s="96"/>
      <c r="U77" s="96"/>
      <c r="V77" s="96"/>
      <c r="W77" s="96"/>
      <c r="X77" s="1624"/>
      <c r="Y77" s="217"/>
      <c r="Z77" s="79" t="str">
        <f>IF(AND(U77&lt;&gt;"",X77&lt;&gt;""),"Check ONLY one.","")</f>
        <v/>
      </c>
      <c r="AA77" s="217"/>
      <c r="AB77" s="217"/>
      <c r="AC77" s="139"/>
      <c r="AD77" s="110"/>
      <c r="AE77" s="139"/>
      <c r="AF77"/>
      <c r="AG77" s="658"/>
      <c r="AH77" s="658"/>
      <c r="AI77" s="658"/>
      <c r="AJ77" s="658"/>
      <c r="AK77" s="658"/>
      <c r="AL77" s="658"/>
      <c r="AM77" s="658"/>
      <c r="AN77" s="658"/>
      <c r="AO77" s="658"/>
      <c r="AP77" s="658"/>
    </row>
    <row r="78" spans="1:42" s="815" customFormat="1" ht="12" customHeight="1">
      <c r="A78" s="139"/>
      <c r="B78" s="889" t="b">
        <f>OR(AA29&lt;&gt;"",AA31&lt;&gt;"",AA37&lt;&gt;"",AA46&lt;&gt;"")</f>
        <v>0</v>
      </c>
      <c r="C78" s="221" t="s">
        <v>2645</v>
      </c>
      <c r="D78" s="76"/>
      <c r="E78" s="76"/>
      <c r="F78" s="76"/>
      <c r="G78" s="76"/>
      <c r="H78" s="76"/>
      <c r="I78" s="76"/>
      <c r="J78" s="140" t="s">
        <v>894</v>
      </c>
      <c r="K78" s="8787">
        <v>5000</v>
      </c>
      <c r="L78" s="8787"/>
      <c r="M78" s="8787"/>
      <c r="N78" s="76"/>
      <c r="O78" s="76"/>
      <c r="P78" s="76"/>
      <c r="Q78" s="76"/>
      <c r="R78" s="76"/>
      <c r="S78" s="76"/>
      <c r="T78" s="76"/>
      <c r="U78" s="76"/>
      <c r="V78" s="76"/>
      <c r="W78" s="140"/>
      <c r="X78" s="1625"/>
      <c r="Y78" s="217"/>
      <c r="Z78" s="79"/>
      <c r="AA78" s="217"/>
      <c r="AB78" s="217"/>
      <c r="AC78" s="139"/>
      <c r="AD78" s="110"/>
      <c r="AE78" s="139"/>
      <c r="AF78"/>
      <c r="AG78" s="658"/>
      <c r="AH78" s="658"/>
      <c r="AI78" s="658"/>
      <c r="AJ78" s="658"/>
      <c r="AK78" s="658"/>
      <c r="AL78" s="658"/>
      <c r="AM78" s="658"/>
      <c r="AN78" s="658"/>
      <c r="AO78" s="658"/>
      <c r="AP78" s="658"/>
    </row>
    <row r="79" spans="1:42" ht="12" customHeight="1">
      <c r="A79" s="139"/>
      <c r="B79" s="889" t="b">
        <f>OR(AA34&lt;&gt;"",AA40&lt;&gt;"",AA43&lt;&gt;"")</f>
        <v>0</v>
      </c>
      <c r="C79" s="221" t="s">
        <v>2646</v>
      </c>
      <c r="D79" s="76"/>
      <c r="E79" s="76"/>
      <c r="F79" s="76"/>
      <c r="G79" s="76"/>
      <c r="H79" s="76"/>
      <c r="I79" s="76"/>
      <c r="J79" s="140" t="s">
        <v>908</v>
      </c>
      <c r="K79" s="8787">
        <v>7500</v>
      </c>
      <c r="L79" s="8787"/>
      <c r="M79" s="8787"/>
      <c r="N79" s="76"/>
      <c r="O79" s="76"/>
      <c r="P79" s="76"/>
      <c r="Q79" s="76"/>
      <c r="R79" s="76"/>
      <c r="S79" s="76"/>
      <c r="T79" s="76"/>
      <c r="U79" s="76"/>
      <c r="V79" s="76"/>
      <c r="W79" s="140" t="s">
        <v>908</v>
      </c>
      <c r="X79" s="884">
        <v>10</v>
      </c>
      <c r="Y79" s="8782" t="str">
        <f>IF(B78,K78,IF(B79,K79,IF(B80,K80,"")))</f>
        <v/>
      </c>
      <c r="Z79" s="8803"/>
      <c r="AA79" s="8784"/>
      <c r="AB79" s="8784"/>
      <c r="AC79" s="139"/>
      <c r="AD79" s="110"/>
      <c r="AE79" s="139"/>
    </row>
    <row r="80" spans="1:42" ht="12" customHeight="1">
      <c r="A80" s="139"/>
      <c r="B80" s="889" t="b">
        <f>OR(AA49&lt;&gt;"",AA52&lt;&gt;"")</f>
        <v>0</v>
      </c>
      <c r="C80" s="221" t="s">
        <v>2647</v>
      </c>
      <c r="D80" s="886"/>
      <c r="E80" s="886"/>
      <c r="F80" s="886"/>
      <c r="G80" s="886"/>
      <c r="H80" s="886"/>
      <c r="I80" s="886"/>
      <c r="J80" s="140" t="s">
        <v>811</v>
      </c>
      <c r="K80" s="8787">
        <v>3750</v>
      </c>
      <c r="L80" s="8787"/>
      <c r="M80" s="8787"/>
      <c r="N80" s="885"/>
      <c r="O80" s="473"/>
      <c r="P80" s="473"/>
      <c r="Q80" s="887"/>
      <c r="R80" s="883"/>
      <c r="S80" s="361"/>
      <c r="T80" s="361"/>
      <c r="U80" s="361"/>
      <c r="V80" s="513"/>
      <c r="W80" s="513"/>
      <c r="X80" s="1625"/>
      <c r="Y80" s="217"/>
      <c r="Z80" s="79" t="str">
        <f>IF(AND(U80&lt;&gt;"",X80&lt;&gt;""),"Check ONLY one.","")</f>
        <v/>
      </c>
      <c r="AA80" s="217"/>
      <c r="AB80" s="217"/>
      <c r="AC80" s="139"/>
      <c r="AD80" s="110"/>
      <c r="AE80" s="139"/>
    </row>
    <row r="81" spans="1:31" ht="4.5" customHeight="1" thickBot="1">
      <c r="A81" s="139"/>
      <c r="B81" s="76"/>
      <c r="C81" s="76"/>
      <c r="D81" s="886"/>
      <c r="E81" s="886"/>
      <c r="F81" s="886"/>
      <c r="G81" s="886"/>
      <c r="H81" s="886"/>
      <c r="I81" s="886"/>
      <c r="J81" s="886"/>
      <c r="K81" s="886"/>
      <c r="L81" s="886"/>
      <c r="M81" s="886"/>
      <c r="N81" s="886"/>
      <c r="O81" s="886"/>
      <c r="P81" s="887"/>
      <c r="Q81" s="887"/>
      <c r="R81" s="887"/>
      <c r="S81" s="886"/>
      <c r="T81" s="886"/>
      <c r="U81" s="886"/>
      <c r="V81" s="886"/>
      <c r="W81" s="886"/>
      <c r="X81" s="1625"/>
      <c r="Y81" s="217"/>
      <c r="Z81" s="79" t="str">
        <f>IF(AND(U81&lt;&gt;"",X81&lt;&gt;""),"Check ONLY one.","")</f>
        <v/>
      </c>
      <c r="AA81" s="217"/>
      <c r="AB81" s="217"/>
      <c r="AC81" s="139"/>
      <c r="AD81" s="110"/>
      <c r="AE81" s="139"/>
    </row>
    <row r="82" spans="1:31" ht="5.25" customHeight="1" thickTop="1">
      <c r="A82" s="139"/>
      <c r="B82" s="76"/>
      <c r="C82" s="216"/>
      <c r="D82" s="1439"/>
      <c r="E82" s="886"/>
      <c r="F82" s="886"/>
      <c r="G82" s="886"/>
      <c r="H82" s="886"/>
      <c r="I82" s="886"/>
      <c r="J82" s="886"/>
      <c r="K82" s="881"/>
      <c r="L82" s="882"/>
      <c r="M82" s="885"/>
      <c r="N82" s="885"/>
      <c r="O82" s="473"/>
      <c r="P82" s="473"/>
      <c r="Q82" s="887"/>
      <c r="R82" s="883"/>
      <c r="S82" s="361"/>
      <c r="T82" s="361"/>
      <c r="U82" s="361"/>
      <c r="V82" s="513"/>
      <c r="W82" s="513"/>
      <c r="X82" s="1625"/>
      <c r="Y82" s="217"/>
      <c r="Z82" s="79" t="str">
        <f>IF(AND(U82&lt;&gt;"",X82&lt;&gt;""),"Check ONLY one.","")</f>
        <v/>
      </c>
      <c r="AA82" s="217"/>
      <c r="AB82" s="217"/>
      <c r="AC82" s="139"/>
      <c r="AD82" s="110"/>
      <c r="AE82" s="139"/>
    </row>
    <row r="83" spans="1:31" ht="12" customHeight="1">
      <c r="A83" s="139"/>
      <c r="B83" s="76"/>
      <c r="C83" s="1440" t="s">
        <v>2648</v>
      </c>
      <c r="D83" s="1441"/>
      <c r="E83" s="217" t="s">
        <v>2628</v>
      </c>
      <c r="F83" s="8804" t="s">
        <v>568</v>
      </c>
      <c r="G83" s="8804"/>
      <c r="H83" s="217" t="s">
        <v>2629</v>
      </c>
      <c r="I83" s="886"/>
      <c r="J83" s="886"/>
      <c r="K83" s="886"/>
      <c r="L83" s="886" t="s">
        <v>2649</v>
      </c>
      <c r="M83" s="886"/>
      <c r="N83" s="886"/>
      <c r="O83" s="886"/>
      <c r="P83" s="887"/>
      <c r="Q83" s="887"/>
      <c r="R83" s="887"/>
      <c r="S83" s="886"/>
      <c r="T83" s="886"/>
      <c r="U83" s="886"/>
      <c r="V83" s="886"/>
      <c r="W83" s="886"/>
      <c r="X83" s="1625"/>
      <c r="Y83" s="217"/>
      <c r="Z83" s="79" t="str">
        <f>IF(AND(U83&lt;&gt;"",X83&lt;&gt;""),"Check ONLY one.","")</f>
        <v/>
      </c>
      <c r="AA83" s="217"/>
      <c r="AB83" s="217"/>
      <c r="AC83" s="139"/>
      <c r="AD83" s="110"/>
      <c r="AE83" s="139"/>
    </row>
    <row r="84" spans="1:31" ht="12" customHeight="1">
      <c r="A84" s="139"/>
      <c r="B84" s="889" t="b">
        <f>OR(AA31&lt;&gt;"",AA37&lt;&gt;"",AA40&lt;&gt;"",AA43&lt;&gt;"",AA52&lt;&gt;"")</f>
        <v>0</v>
      </c>
      <c r="C84" s="1440" t="s">
        <v>2650</v>
      </c>
      <c r="D84" s="1441"/>
      <c r="E84" s="886"/>
      <c r="F84" s="886"/>
      <c r="G84" s="886"/>
      <c r="H84" s="886"/>
      <c r="I84" s="886"/>
      <c r="J84" s="886"/>
      <c r="K84" s="886"/>
      <c r="L84" s="886"/>
      <c r="M84" s="886"/>
      <c r="N84" s="886"/>
      <c r="O84" s="886"/>
      <c r="P84" s="887"/>
      <c r="Q84" s="887"/>
      <c r="R84" s="887"/>
      <c r="S84" s="886"/>
      <c r="T84" s="886"/>
      <c r="U84" s="886"/>
      <c r="V84" s="886"/>
      <c r="W84" s="886"/>
      <c r="X84" s="1625"/>
      <c r="Y84" s="217"/>
      <c r="Z84" s="79"/>
      <c r="AA84" s="217"/>
      <c r="AB84" s="217"/>
      <c r="AC84" s="139"/>
      <c r="AD84" s="110"/>
      <c r="AE84" s="139"/>
    </row>
    <row r="85" spans="1:31" ht="12" customHeight="1">
      <c r="A85" s="139"/>
      <c r="B85" s="76"/>
      <c r="C85" s="1440" t="s">
        <v>2651</v>
      </c>
      <c r="D85" s="1441"/>
      <c r="E85" s="217" t="s">
        <v>2628</v>
      </c>
      <c r="F85" s="8804" t="s">
        <v>569</v>
      </c>
      <c r="G85" s="8804"/>
      <c r="H85" s="217" t="s">
        <v>2629</v>
      </c>
      <c r="I85" s="886"/>
      <c r="J85" s="886"/>
      <c r="K85" s="886"/>
      <c r="L85" s="886" t="s">
        <v>4916</v>
      </c>
      <c r="M85" s="886"/>
      <c r="N85" s="886"/>
      <c r="O85" s="886"/>
      <c r="P85" s="886"/>
      <c r="Q85" s="886"/>
      <c r="R85" s="887"/>
      <c r="S85" s="883"/>
      <c r="T85" s="361"/>
      <c r="U85" s="361"/>
      <c r="V85" s="513"/>
      <c r="W85" s="883"/>
      <c r="X85" s="1625"/>
      <c r="Y85" s="217"/>
      <c r="Z85" s="79" t="str">
        <f>IF(AND(U85&lt;&gt;"",X85&lt;&gt;""),"Check ONLY one.","")</f>
        <v/>
      </c>
      <c r="AA85" s="217"/>
      <c r="AB85" s="217"/>
      <c r="AC85" s="139"/>
      <c r="AD85" s="110"/>
      <c r="AE85" s="139"/>
    </row>
    <row r="86" spans="1:31" ht="6" customHeight="1" thickBot="1">
      <c r="A86" s="139"/>
      <c r="B86" s="76"/>
      <c r="C86" s="1442"/>
      <c r="D86" s="1443"/>
      <c r="E86" s="886"/>
      <c r="F86" s="886"/>
      <c r="G86" s="886"/>
      <c r="H86" s="886"/>
      <c r="I86" s="886"/>
      <c r="J86" s="886"/>
      <c r="K86" s="886"/>
      <c r="L86" s="8805" t="s">
        <v>4917</v>
      </c>
      <c r="M86" s="8805"/>
      <c r="N86" s="8805"/>
      <c r="O86" s="8805"/>
      <c r="P86" s="8805"/>
      <c r="Q86" s="8805"/>
      <c r="R86" s="8805"/>
      <c r="S86" s="886"/>
      <c r="T86" s="886"/>
      <c r="U86" s="886"/>
      <c r="V86" s="886"/>
      <c r="W86" s="886"/>
      <c r="X86" s="1625"/>
      <c r="Y86" s="217"/>
      <c r="Z86" s="217"/>
      <c r="AA86" s="217"/>
      <c r="AB86" s="217"/>
      <c r="AC86" s="139"/>
      <c r="AD86" s="110"/>
      <c r="AE86" s="139"/>
    </row>
    <row r="87" spans="1:31" ht="6.75" customHeight="1" thickTop="1">
      <c r="A87" s="139"/>
      <c r="B87" s="76"/>
      <c r="C87" s="76"/>
      <c r="D87" s="886"/>
      <c r="E87" s="886"/>
      <c r="F87" s="886"/>
      <c r="G87" s="886"/>
      <c r="H87" s="886"/>
      <c r="I87" s="886"/>
      <c r="J87" s="886"/>
      <c r="K87" s="883"/>
      <c r="L87" s="8805"/>
      <c r="M87" s="8805"/>
      <c r="N87" s="8805"/>
      <c r="O87" s="8805"/>
      <c r="P87" s="8805"/>
      <c r="Q87" s="8805"/>
      <c r="R87" s="8805"/>
      <c r="S87" s="361"/>
      <c r="T87" s="361"/>
      <c r="U87" s="361"/>
      <c r="V87" s="513"/>
      <c r="W87" s="513"/>
      <c r="X87" s="1625"/>
      <c r="Y87" s="217"/>
      <c r="Z87" s="79" t="str">
        <f>IF(AND(U87&lt;&gt;"",X87&lt;&gt;""),"Check ONLY one.","")</f>
        <v/>
      </c>
      <c r="AA87" s="217"/>
      <c r="AB87" s="217"/>
      <c r="AC87" s="139"/>
      <c r="AD87" s="110"/>
      <c r="AE87" s="139"/>
    </row>
    <row r="88" spans="1:31" ht="12" customHeight="1">
      <c r="A88" s="139"/>
      <c r="B88" s="75">
        <v>11</v>
      </c>
      <c r="C88" s="17" t="s">
        <v>2643</v>
      </c>
      <c r="D88" s="888"/>
      <c r="E88" s="888"/>
      <c r="F88" s="888"/>
      <c r="G88" s="888"/>
      <c r="H88" s="888"/>
      <c r="I88" s="888"/>
      <c r="J88" s="888"/>
      <c r="K88" s="888"/>
      <c r="L88" s="888"/>
      <c r="M88" s="888"/>
      <c r="N88" s="888"/>
      <c r="O88" s="888"/>
      <c r="P88" s="888"/>
      <c r="Q88" s="888"/>
      <c r="R88" s="888"/>
      <c r="S88" s="888"/>
      <c r="T88" s="888"/>
      <c r="U88" s="888"/>
      <c r="V88" s="888"/>
      <c r="W88" s="888"/>
      <c r="X88" s="1625"/>
      <c r="Y88" s="96"/>
      <c r="Z88" s="96"/>
      <c r="AA88" s="96"/>
      <c r="AB88" s="96"/>
      <c r="AC88" s="139"/>
      <c r="AD88" s="110"/>
      <c r="AE88" s="139"/>
    </row>
    <row r="89" spans="1:31" ht="12" customHeight="1">
      <c r="A89" s="139"/>
      <c r="B89" s="889" t="b">
        <f>AA43&lt;&gt;""</f>
        <v>0</v>
      </c>
      <c r="C89" s="890" t="s">
        <v>2598</v>
      </c>
      <c r="D89" s="790" t="str">
        <f>"Box 6, add "&amp;TEXT(K78,"$0,000")&amp;" to the taxable disability income of the"</f>
        <v>Box 6, add $5,000 to the taxable disability income of the</v>
      </c>
      <c r="E89" s="887"/>
      <c r="F89" s="887"/>
      <c r="G89" s="887"/>
      <c r="H89" s="887"/>
      <c r="I89" s="887"/>
      <c r="J89" s="887"/>
      <c r="K89" s="887"/>
      <c r="L89" s="887"/>
      <c r="M89" s="887"/>
      <c r="N89" s="887"/>
      <c r="O89" s="887"/>
      <c r="P89" s="887"/>
      <c r="Q89" s="887"/>
      <c r="R89" s="887"/>
      <c r="S89" s="887"/>
      <c r="T89" s="887"/>
      <c r="U89" s="887"/>
      <c r="V89" s="887"/>
      <c r="W89" s="883"/>
      <c r="X89" s="1625"/>
      <c r="Y89" s="217"/>
      <c r="Z89" s="79" t="str">
        <f>IF(AND(U89&lt;&gt;"",X89&lt;&gt;""),"Check ONLY one.","")</f>
        <v/>
      </c>
      <c r="AA89" s="217"/>
      <c r="AB89" s="217"/>
      <c r="AC89" s="139"/>
      <c r="AD89" s="110"/>
      <c r="AE89" s="139"/>
    </row>
    <row r="90" spans="1:31" ht="12" customHeight="1">
      <c r="A90" s="139"/>
      <c r="B90" s="76"/>
      <c r="C90" s="106"/>
      <c r="D90" s="790" t="s">
        <v>2652</v>
      </c>
      <c r="E90" s="888"/>
      <c r="F90" s="888"/>
      <c r="G90" s="888"/>
      <c r="H90" s="888"/>
      <c r="I90" s="888"/>
      <c r="J90" s="888"/>
      <c r="K90" s="888"/>
      <c r="L90" s="888"/>
      <c r="M90" s="888"/>
      <c r="N90" s="888"/>
      <c r="O90" s="888"/>
      <c r="P90" s="888"/>
      <c r="Q90" s="888"/>
      <c r="R90" s="888"/>
      <c r="S90" s="888"/>
      <c r="T90" s="888"/>
      <c r="U90" s="888"/>
      <c r="V90" s="888"/>
      <c r="W90" s="888"/>
      <c r="X90" s="1625"/>
      <c r="Y90" s="96"/>
      <c r="Z90" s="96"/>
      <c r="AA90" s="96"/>
      <c r="AB90" s="96"/>
      <c r="AC90" s="139"/>
      <c r="AD90" s="110"/>
      <c r="AE90" s="139"/>
    </row>
    <row r="91" spans="1:31" ht="12" customHeight="1">
      <c r="A91" s="139"/>
      <c r="B91" s="889" t="b">
        <f>OR(AA31&lt;&gt;"",AA37&lt;&gt;"",AA52&lt;&gt;"")</f>
        <v>0</v>
      </c>
      <c r="C91" s="890" t="s">
        <v>2598</v>
      </c>
      <c r="D91" s="790" t="s">
        <v>2653</v>
      </c>
      <c r="E91" s="887"/>
      <c r="F91" s="887"/>
      <c r="G91" s="887"/>
      <c r="H91" s="887"/>
      <c r="I91" s="887"/>
      <c r="J91" s="887"/>
      <c r="K91" s="887"/>
      <c r="L91" s="887"/>
      <c r="M91" s="887"/>
      <c r="N91" s="887"/>
      <c r="O91" s="887"/>
      <c r="P91" s="887"/>
      <c r="Q91" s="887"/>
      <c r="R91" s="887"/>
      <c r="S91" s="887"/>
      <c r="T91" s="887"/>
      <c r="U91" s="887"/>
      <c r="V91" s="887"/>
      <c r="W91" s="140" t="s">
        <v>792</v>
      </c>
      <c r="X91" s="884">
        <v>11</v>
      </c>
      <c r="Y91" s="8782" t="str">
        <f>IF(AD91&lt;&gt;"",ROUND(AD91,0),IF(AND(B89,I12),SUM(K78,F10),IF(AND(B89,P12),SUM(K78,J10),IF(AND(B91,I12),F10,IF(AND(B91,P12),J10,IF(B92,SUM(F10,J10),""))))))</f>
        <v/>
      </c>
      <c r="Z91" s="8803"/>
      <c r="AA91" s="8784"/>
      <c r="AB91" s="8784"/>
      <c r="AC91" s="139"/>
      <c r="AD91" s="933"/>
      <c r="AE91" s="139"/>
    </row>
    <row r="92" spans="1:31" ht="12" customHeight="1">
      <c r="A92" s="139"/>
      <c r="B92" s="889" t="b">
        <f>AA40&lt;&gt;""</f>
        <v>0</v>
      </c>
      <c r="C92" s="890" t="s">
        <v>2598</v>
      </c>
      <c r="D92" s="790" t="s">
        <v>2654</v>
      </c>
      <c r="E92" s="888"/>
      <c r="F92" s="888"/>
      <c r="G92" s="888"/>
      <c r="H92" s="888"/>
      <c r="I92" s="888"/>
      <c r="J92" s="888"/>
      <c r="K92" s="888"/>
      <c r="L92" s="888"/>
      <c r="M92" s="888"/>
      <c r="N92" s="888"/>
      <c r="O92" s="888"/>
      <c r="P92" s="888"/>
      <c r="Q92" s="888"/>
      <c r="R92" s="888"/>
      <c r="S92" s="888"/>
      <c r="T92" s="888"/>
      <c r="U92" s="888"/>
      <c r="V92" s="888"/>
      <c r="W92" s="888"/>
      <c r="X92" s="1625"/>
      <c r="Y92" s="96"/>
      <c r="Z92" s="96"/>
      <c r="AA92" s="96"/>
      <c r="AB92" s="96"/>
      <c r="AC92" s="139"/>
      <c r="AD92" s="110"/>
      <c r="AE92" s="139"/>
    </row>
    <row r="93" spans="1:31" ht="12" customHeight="1">
      <c r="A93" s="139"/>
      <c r="B93" s="889" t="b">
        <f>OR(B89,B91,B92)</f>
        <v>0</v>
      </c>
      <c r="C93" s="76"/>
      <c r="D93" s="790" t="s">
        <v>2655</v>
      </c>
      <c r="E93" s="887"/>
      <c r="F93" s="887"/>
      <c r="G93" s="887"/>
      <c r="H93" s="887"/>
      <c r="I93" s="887"/>
      <c r="J93" s="887"/>
      <c r="K93" s="887"/>
      <c r="L93" s="887"/>
      <c r="M93" s="887"/>
      <c r="N93" s="887"/>
      <c r="O93" s="887"/>
      <c r="P93" s="887"/>
      <c r="Q93" s="887"/>
      <c r="R93" s="887"/>
      <c r="S93" s="887"/>
      <c r="T93" s="887"/>
      <c r="U93" s="887"/>
      <c r="V93" s="887"/>
      <c r="W93" s="883"/>
      <c r="X93" s="1625"/>
      <c r="Y93" s="96"/>
      <c r="Z93" s="96"/>
      <c r="AA93" s="96"/>
      <c r="AB93" s="96"/>
      <c r="AC93" s="139"/>
      <c r="AD93" s="110"/>
      <c r="AE93" s="139"/>
    </row>
    <row r="94" spans="1:31" ht="6.75" customHeight="1">
      <c r="A94" s="139"/>
      <c r="B94" s="888"/>
      <c r="C94" s="888"/>
      <c r="D94" s="888"/>
      <c r="E94" s="888"/>
      <c r="F94" s="888"/>
      <c r="G94" s="888"/>
      <c r="H94" s="888"/>
      <c r="I94" s="888"/>
      <c r="J94" s="888"/>
      <c r="K94" s="888"/>
      <c r="L94" s="888"/>
      <c r="M94" s="888"/>
      <c r="N94" s="888"/>
      <c r="O94" s="888"/>
      <c r="P94" s="888"/>
      <c r="Q94" s="888"/>
      <c r="R94" s="888"/>
      <c r="S94" s="888"/>
      <c r="T94" s="888"/>
      <c r="U94" s="888"/>
      <c r="V94" s="888"/>
      <c r="W94" s="888"/>
      <c r="X94" s="1625"/>
      <c r="Y94" s="96"/>
      <c r="Z94" s="96"/>
      <c r="AA94" s="96"/>
      <c r="AB94" s="96"/>
      <c r="AC94" s="139"/>
      <c r="AD94" s="110"/>
      <c r="AE94" s="139"/>
    </row>
    <row r="95" spans="1:31" ht="12" customHeight="1">
      <c r="A95" s="139"/>
      <c r="B95" s="75"/>
      <c r="C95" s="76"/>
      <c r="D95" s="953" t="s">
        <v>4918</v>
      </c>
      <c r="E95" s="76"/>
      <c r="F95" s="76"/>
      <c r="G95" s="76"/>
      <c r="H95" s="76"/>
      <c r="I95" s="76"/>
      <c r="J95" s="76"/>
      <c r="K95" s="76"/>
      <c r="L95" s="76"/>
      <c r="M95" s="76"/>
      <c r="N95" s="76"/>
      <c r="O95" s="76"/>
      <c r="P95" s="76"/>
      <c r="Q95" s="76"/>
      <c r="R95" s="76"/>
      <c r="S95" s="76"/>
      <c r="T95" s="76"/>
      <c r="U95" s="76"/>
      <c r="V95" s="76"/>
      <c r="W95" s="140"/>
      <c r="X95" s="1625"/>
      <c r="Y95" s="96"/>
      <c r="Z95" s="96"/>
      <c r="AA95" s="96"/>
      <c r="AB95" s="96"/>
      <c r="AC95" s="139"/>
      <c r="AD95" s="110"/>
      <c r="AE95" s="139"/>
    </row>
    <row r="96" spans="1:31" ht="6.75" customHeight="1">
      <c r="A96" s="139"/>
      <c r="B96" s="96"/>
      <c r="C96" s="96"/>
      <c r="D96" s="96"/>
      <c r="E96" s="96"/>
      <c r="F96" s="96"/>
      <c r="G96" s="96"/>
      <c r="H96" s="96"/>
      <c r="I96" s="96"/>
      <c r="J96" s="96"/>
      <c r="K96" s="96"/>
      <c r="L96" s="96"/>
      <c r="M96" s="96"/>
      <c r="N96" s="96"/>
      <c r="O96" s="96"/>
      <c r="P96" s="96"/>
      <c r="Q96" s="96"/>
      <c r="R96" s="96"/>
      <c r="S96" s="96"/>
      <c r="T96" s="96"/>
      <c r="U96" s="96"/>
      <c r="V96" s="96"/>
      <c r="W96" s="96"/>
      <c r="X96" s="1625"/>
      <c r="Y96" s="96"/>
      <c r="Z96" s="96"/>
      <c r="AA96" s="96"/>
      <c r="AB96" s="96"/>
      <c r="AC96" s="139"/>
      <c r="AD96" s="110"/>
      <c r="AE96" s="139"/>
    </row>
    <row r="97" spans="1:31" ht="12" customHeight="1">
      <c r="A97" s="139"/>
      <c r="B97" s="75">
        <v>12</v>
      </c>
      <c r="C97" s="221" t="s">
        <v>4919</v>
      </c>
      <c r="D97" s="76"/>
      <c r="E97" s="76"/>
      <c r="F97" s="76"/>
      <c r="G97" s="76"/>
      <c r="H97" s="76"/>
      <c r="I97" s="76"/>
      <c r="J97" s="76"/>
      <c r="K97" s="76"/>
      <c r="L97" s="76"/>
      <c r="M97" s="76"/>
      <c r="N97" s="76"/>
      <c r="O97" s="76"/>
      <c r="P97" s="76"/>
      <c r="Q97" s="76"/>
      <c r="R97" s="96"/>
      <c r="S97" s="96"/>
      <c r="T97" s="96"/>
      <c r="U97" s="96"/>
      <c r="V97" s="96"/>
      <c r="W97" s="96"/>
      <c r="X97" s="1625"/>
      <c r="Y97" s="96"/>
      <c r="Z97" s="96"/>
      <c r="AA97" s="96"/>
      <c r="AB97" s="96"/>
      <c r="AC97" s="139"/>
      <c r="AD97" s="110"/>
      <c r="AE97" s="139"/>
    </row>
    <row r="98" spans="1:31" ht="12" customHeight="1">
      <c r="A98" s="139"/>
      <c r="B98" s="75"/>
      <c r="C98" s="323" t="s">
        <v>2656</v>
      </c>
      <c r="D98" s="217"/>
      <c r="E98" s="217"/>
      <c r="F98" s="217"/>
      <c r="G98" s="217"/>
      <c r="H98" s="217"/>
      <c r="I98" s="217"/>
      <c r="J98" s="217"/>
      <c r="K98" s="217"/>
      <c r="L98" s="217"/>
      <c r="M98" s="217"/>
      <c r="N98" s="217"/>
      <c r="O98" s="217"/>
      <c r="P98" s="217"/>
      <c r="Q98" s="217"/>
      <c r="R98" s="96"/>
      <c r="S98" s="96"/>
      <c r="T98" s="96"/>
      <c r="U98" s="96"/>
      <c r="V98" s="96"/>
      <c r="W98" s="140" t="s">
        <v>1991</v>
      </c>
      <c r="X98" s="884">
        <v>12</v>
      </c>
      <c r="Y98" s="8782" t="str">
        <f>IF(B93,MIN(Y79,Y91),Y79)</f>
        <v/>
      </c>
      <c r="Z98" s="8803"/>
      <c r="AA98" s="8784"/>
      <c r="AB98" s="8784"/>
      <c r="AC98" s="139"/>
      <c r="AD98" s="933"/>
      <c r="AE98" s="139"/>
    </row>
    <row r="99" spans="1:31" ht="12" customHeight="1">
      <c r="A99" s="139"/>
      <c r="B99" s="75">
        <v>13</v>
      </c>
      <c r="C99" s="221" t="s">
        <v>6372</v>
      </c>
      <c r="D99" s="76"/>
      <c r="E99" s="76"/>
      <c r="F99" s="76"/>
      <c r="G99" s="76"/>
      <c r="H99" s="76"/>
      <c r="I99" s="76"/>
      <c r="J99" s="76"/>
      <c r="K99" s="76"/>
      <c r="L99" s="76"/>
      <c r="M99" s="76"/>
      <c r="N99" s="76"/>
      <c r="O99" s="76"/>
      <c r="P99" s="76"/>
      <c r="Q99" s="76"/>
      <c r="R99" s="96"/>
      <c r="S99" s="1298"/>
      <c r="T99" s="96"/>
      <c r="U99" s="96"/>
      <c r="V99" s="96"/>
      <c r="W99" s="96"/>
      <c r="X99" s="1625"/>
      <c r="Y99" s="96"/>
      <c r="Z99" s="96"/>
      <c r="AA99" s="96"/>
      <c r="AB99" s="96"/>
      <c r="AC99" s="139"/>
      <c r="AD99" s="110"/>
      <c r="AE99" s="139"/>
    </row>
    <row r="100" spans="1:31" ht="12" customHeight="1">
      <c r="A100" s="139"/>
      <c r="B100" s="75"/>
      <c r="C100" s="323" t="str">
        <f>"(and your spouse if filing jointly) received in "&amp;TaxYear&amp;"."</f>
        <v>(and your spouse if filing jointly) received in 2025.</v>
      </c>
      <c r="D100" s="217"/>
      <c r="E100" s="217"/>
      <c r="F100" s="217"/>
      <c r="G100" s="217"/>
      <c r="H100" s="217"/>
      <c r="I100" s="217"/>
      <c r="J100" s="217"/>
      <c r="K100" s="217"/>
      <c r="L100" s="217"/>
      <c r="M100" s="217"/>
      <c r="N100" s="217"/>
      <c r="O100" s="217"/>
      <c r="P100" s="217"/>
      <c r="Q100" s="217"/>
      <c r="R100" s="369"/>
      <c r="S100" s="1298"/>
      <c r="T100" s="96"/>
      <c r="U100" s="96"/>
      <c r="V100" s="96"/>
      <c r="W100" s="96"/>
      <c r="X100" s="1625"/>
      <c r="Y100" s="96"/>
      <c r="Z100" s="96"/>
      <c r="AA100" s="96"/>
      <c r="AB100" s="96"/>
      <c r="AC100" s="139"/>
      <c r="AD100" s="110"/>
      <c r="AE100" s="139"/>
    </row>
    <row r="101" spans="1:31" ht="12" customHeight="1">
      <c r="A101" s="139"/>
      <c r="B101" s="133" t="s">
        <v>588</v>
      </c>
      <c r="C101" s="221" t="s">
        <v>6373</v>
      </c>
      <c r="D101" s="76"/>
      <c r="E101" s="76"/>
      <c r="F101" s="76"/>
      <c r="G101" s="76"/>
      <c r="H101" s="76"/>
      <c r="I101" s="76"/>
      <c r="J101" s="76"/>
      <c r="K101" s="76"/>
      <c r="L101" s="76"/>
      <c r="M101" s="76"/>
      <c r="N101" s="76"/>
      <c r="O101" s="76"/>
      <c r="P101" s="76"/>
      <c r="Q101" s="76"/>
      <c r="R101" s="76"/>
      <c r="S101" s="1298"/>
      <c r="T101" s="96"/>
      <c r="U101" s="96"/>
      <c r="V101" s="96"/>
      <c r="W101" s="96"/>
      <c r="X101" s="1625"/>
      <c r="Y101" s="96"/>
      <c r="Z101" s="96"/>
      <c r="AA101" s="96"/>
      <c r="AB101" s="96"/>
      <c r="AC101" s="139"/>
      <c r="AD101" s="110"/>
      <c r="AE101" s="139"/>
    </row>
    <row r="102" spans="1:31" ht="12" customHeight="1">
      <c r="A102" s="139"/>
      <c r="B102" s="75"/>
      <c r="C102" s="323" t="s">
        <v>6374</v>
      </c>
      <c r="D102" s="76"/>
      <c r="E102" s="76"/>
      <c r="F102" s="76"/>
      <c r="G102" s="76"/>
      <c r="H102" s="76"/>
      <c r="I102" s="76"/>
      <c r="J102" s="76"/>
      <c r="K102" s="76"/>
      <c r="L102" s="76"/>
      <c r="M102" s="76"/>
      <c r="N102" s="76"/>
      <c r="O102" s="76"/>
      <c r="P102" s="76"/>
      <c r="Q102" s="76"/>
      <c r="R102" s="140" t="s">
        <v>905</v>
      </c>
      <c r="S102" s="892" t="s">
        <v>1164</v>
      </c>
      <c r="T102" s="8782">
        <f>IF(AD102&lt;&gt;"",ROUND(AD102,0),SUM('1040'!S71,-'1040'!AL71))</f>
        <v>0</v>
      </c>
      <c r="U102" s="8783"/>
      <c r="V102" s="8784"/>
      <c r="W102" s="8784"/>
      <c r="X102" s="1625"/>
      <c r="Y102" s="96"/>
      <c r="Z102" s="96"/>
      <c r="AA102" s="96"/>
      <c r="AB102" s="96"/>
      <c r="AC102" s="139"/>
      <c r="AD102" s="933"/>
      <c r="AE102" s="139"/>
    </row>
    <row r="103" spans="1:31" ht="12" customHeight="1">
      <c r="A103" s="139"/>
      <c r="B103" s="133" t="s">
        <v>592</v>
      </c>
      <c r="C103" s="323" t="s">
        <v>6375</v>
      </c>
      <c r="D103" s="217"/>
      <c r="E103" s="217"/>
      <c r="F103" s="217"/>
      <c r="G103" s="217"/>
      <c r="H103" s="217"/>
      <c r="I103" s="217"/>
      <c r="J103" s="217"/>
      <c r="K103" s="217"/>
      <c r="L103" s="217"/>
      <c r="M103" s="217"/>
      <c r="N103" s="217"/>
      <c r="O103" s="217"/>
      <c r="P103" s="217"/>
      <c r="Q103" s="217"/>
      <c r="R103" s="217"/>
      <c r="S103" s="1625"/>
      <c r="T103" s="217"/>
      <c r="U103" s="217"/>
      <c r="V103" s="217"/>
      <c r="W103" s="217"/>
      <c r="X103" s="1625"/>
      <c r="Y103" s="96"/>
      <c r="Z103" s="96"/>
      <c r="AA103" s="96"/>
      <c r="AB103" s="96"/>
      <c r="AC103" s="139"/>
      <c r="AD103" s="110"/>
      <c r="AE103" s="139"/>
    </row>
    <row r="104" spans="1:31" ht="12" customHeight="1">
      <c r="A104" s="139"/>
      <c r="B104" s="96"/>
      <c r="C104" s="323" t="s">
        <v>6376</v>
      </c>
      <c r="D104" s="217"/>
      <c r="E104" s="96"/>
      <c r="F104" s="96"/>
      <c r="G104" s="96"/>
      <c r="H104" s="96"/>
      <c r="I104" s="96"/>
      <c r="J104" s="96"/>
      <c r="K104" s="96"/>
      <c r="L104" s="96"/>
      <c r="M104" s="96"/>
      <c r="N104" s="96"/>
      <c r="O104" s="96"/>
      <c r="P104" s="96"/>
      <c r="Q104" s="96"/>
      <c r="R104" s="96"/>
      <c r="S104" s="1625"/>
      <c r="T104" s="96"/>
      <c r="U104" s="96"/>
      <c r="V104" s="96"/>
      <c r="W104" s="96"/>
      <c r="X104" s="1625"/>
      <c r="Y104" s="96"/>
      <c r="Z104" s="96"/>
      <c r="AA104" s="96"/>
      <c r="AB104" s="96"/>
      <c r="AC104" s="139"/>
      <c r="AD104" s="110"/>
      <c r="AE104" s="139"/>
    </row>
    <row r="105" spans="1:31" ht="12" customHeight="1">
      <c r="A105" s="139"/>
      <c r="B105" s="75"/>
      <c r="C105" s="323" t="s">
        <v>6377</v>
      </c>
      <c r="D105" s="217"/>
      <c r="E105" s="76"/>
      <c r="F105" s="76"/>
      <c r="G105" s="76"/>
      <c r="H105" s="76"/>
      <c r="I105" s="76"/>
      <c r="J105" s="76"/>
      <c r="K105" s="76"/>
      <c r="L105" s="76"/>
      <c r="M105" s="76"/>
      <c r="N105" s="76"/>
      <c r="O105" s="76"/>
      <c r="P105" s="76"/>
      <c r="Q105" s="76"/>
      <c r="R105" s="140" t="s">
        <v>792</v>
      </c>
      <c r="S105" s="892" t="s">
        <v>1165</v>
      </c>
      <c r="T105" s="8187"/>
      <c r="U105" s="8788"/>
      <c r="V105" s="8013"/>
      <c r="W105" s="8013"/>
      <c r="X105" s="1625"/>
      <c r="Y105" s="96"/>
      <c r="Z105" s="96"/>
      <c r="AA105" s="96"/>
      <c r="AB105" s="96"/>
      <c r="AC105" s="139"/>
      <c r="AD105" s="110"/>
      <c r="AE105" s="139"/>
    </row>
    <row r="106" spans="1:31" ht="12" customHeight="1">
      <c r="A106" s="139"/>
      <c r="B106" s="133" t="s">
        <v>595</v>
      </c>
      <c r="C106" s="323" t="s">
        <v>2658</v>
      </c>
      <c r="D106" s="217"/>
      <c r="E106" s="96"/>
      <c r="F106" s="96"/>
      <c r="G106" s="96"/>
      <c r="H106" s="96"/>
      <c r="I106" s="96"/>
      <c r="J106" s="96"/>
      <c r="K106" s="96"/>
      <c r="L106" s="96"/>
      <c r="M106" s="96"/>
      <c r="N106" s="96"/>
      <c r="O106" s="96"/>
      <c r="P106" s="96"/>
      <c r="Q106" s="96"/>
      <c r="R106" s="96"/>
      <c r="S106" s="1625"/>
      <c r="T106" s="96"/>
      <c r="U106" s="96"/>
      <c r="V106" s="96"/>
      <c r="W106" s="96"/>
      <c r="X106" s="1625"/>
      <c r="Y106" s="96"/>
      <c r="Z106" s="96"/>
      <c r="AA106" s="96"/>
      <c r="AB106" s="96"/>
      <c r="AC106" s="139"/>
      <c r="AD106" s="110"/>
      <c r="AE106" s="139"/>
    </row>
    <row r="107" spans="1:31" ht="12" customHeight="1">
      <c r="A107" s="139"/>
      <c r="B107" s="96"/>
      <c r="C107" s="323" t="s">
        <v>6378</v>
      </c>
      <c r="D107" s="217"/>
      <c r="E107" s="96"/>
      <c r="F107" s="96"/>
      <c r="G107" s="96"/>
      <c r="H107" s="96"/>
      <c r="I107" s="96"/>
      <c r="J107" s="96"/>
      <c r="K107" s="96"/>
      <c r="L107" s="96"/>
      <c r="M107" s="96"/>
      <c r="N107" s="96"/>
      <c r="O107" s="96"/>
      <c r="P107" s="96"/>
      <c r="Q107" s="96"/>
      <c r="R107" s="96"/>
      <c r="S107" s="1625"/>
      <c r="T107" s="96"/>
      <c r="U107" s="96"/>
      <c r="V107" s="96"/>
      <c r="W107" s="96"/>
      <c r="X107" s="1625"/>
      <c r="Y107" s="96"/>
      <c r="Z107" s="96"/>
      <c r="AA107" s="96"/>
      <c r="AB107" s="96"/>
      <c r="AC107" s="139"/>
      <c r="AD107" s="110"/>
      <c r="AE107" s="139"/>
    </row>
    <row r="108" spans="1:31" ht="12" customHeight="1">
      <c r="A108" s="139"/>
      <c r="B108" s="96"/>
      <c r="C108" s="323" t="s">
        <v>6379</v>
      </c>
      <c r="D108" s="217"/>
      <c r="E108" s="96"/>
      <c r="F108" s="96"/>
      <c r="G108" s="96"/>
      <c r="H108" s="96"/>
      <c r="I108" s="96"/>
      <c r="J108" s="96"/>
      <c r="K108" s="96"/>
      <c r="L108" s="96"/>
      <c r="M108" s="96"/>
      <c r="N108" s="96"/>
      <c r="O108" s="96"/>
      <c r="P108" s="96"/>
      <c r="Q108" s="96"/>
      <c r="R108" s="96"/>
      <c r="S108" s="1625"/>
      <c r="T108" s="96"/>
      <c r="U108" s="96"/>
      <c r="V108" s="96"/>
      <c r="W108" s="96"/>
      <c r="X108" s="1625"/>
      <c r="Y108" s="96"/>
      <c r="Z108" s="96"/>
      <c r="AA108" s="96"/>
      <c r="AB108" s="96"/>
      <c r="AC108" s="139"/>
      <c r="AD108" s="110"/>
      <c r="AE108" s="139"/>
    </row>
    <row r="109" spans="1:31" ht="12" customHeight="1">
      <c r="A109" s="139"/>
      <c r="B109" s="96"/>
      <c r="C109" s="323" t="s">
        <v>6380</v>
      </c>
      <c r="D109" s="217"/>
      <c r="E109" s="96"/>
      <c r="F109" s="96"/>
      <c r="G109" s="96"/>
      <c r="H109" s="96"/>
      <c r="I109" s="96"/>
      <c r="J109" s="96"/>
      <c r="K109" s="96"/>
      <c r="L109" s="96"/>
      <c r="M109" s="96"/>
      <c r="N109" s="96"/>
      <c r="O109" s="96"/>
      <c r="P109" s="96"/>
      <c r="Q109" s="96"/>
      <c r="R109" s="140" t="s">
        <v>805</v>
      </c>
      <c r="S109" s="892" t="s">
        <v>1167</v>
      </c>
      <c r="T109" s="8782">
        <f>ROUND(SUM(T102,T105),0)</f>
        <v>0</v>
      </c>
      <c r="U109" s="8783"/>
      <c r="V109" s="8784"/>
      <c r="W109" s="8784"/>
      <c r="X109" s="1625"/>
      <c r="Y109" s="96"/>
      <c r="Z109" s="96"/>
      <c r="AA109" s="96"/>
      <c r="AB109" s="96"/>
      <c r="AC109" s="139"/>
      <c r="AD109" s="110"/>
      <c r="AE109" s="139"/>
    </row>
    <row r="110" spans="1:31" ht="12" customHeight="1">
      <c r="A110" s="139"/>
      <c r="B110" s="75">
        <v>14</v>
      </c>
      <c r="C110" s="323" t="s">
        <v>2659</v>
      </c>
      <c r="D110" s="217"/>
      <c r="E110" s="96"/>
      <c r="F110" s="96"/>
      <c r="G110" s="96"/>
      <c r="H110" s="96"/>
      <c r="I110" s="96"/>
      <c r="J110" s="96"/>
      <c r="K110" s="96"/>
      <c r="L110" s="96"/>
      <c r="M110" s="96"/>
      <c r="N110" s="96"/>
      <c r="O110" s="96"/>
      <c r="P110" s="96"/>
      <c r="Q110" s="96"/>
      <c r="R110" s="96"/>
      <c r="S110" s="1625"/>
      <c r="T110" s="96"/>
      <c r="U110" s="96"/>
      <c r="V110" s="96"/>
      <c r="W110" s="96"/>
      <c r="X110" s="1625"/>
      <c r="Y110" s="96"/>
      <c r="Z110" s="96"/>
      <c r="AA110" s="96"/>
      <c r="AB110" s="96"/>
      <c r="AC110" s="139"/>
      <c r="AD110" s="110"/>
      <c r="AE110" s="139"/>
    </row>
    <row r="111" spans="1:31" ht="12" customHeight="1">
      <c r="A111" s="139"/>
      <c r="B111" s="96"/>
      <c r="C111" s="323" t="s">
        <v>6381</v>
      </c>
      <c r="D111" s="217"/>
      <c r="E111" s="96"/>
      <c r="F111" s="96"/>
      <c r="G111" s="96"/>
      <c r="H111" s="96"/>
      <c r="I111" s="96"/>
      <c r="J111" s="96"/>
      <c r="K111" s="96"/>
      <c r="L111" s="140"/>
      <c r="M111" s="140" t="s">
        <v>802</v>
      </c>
      <c r="N111" s="892">
        <v>14</v>
      </c>
      <c r="O111" s="8782" t="str">
        <f>IF(SchRQualify,Adj_Gross_Inc,"")</f>
        <v/>
      </c>
      <c r="P111" s="8783"/>
      <c r="Q111" s="8784"/>
      <c r="R111" s="8784"/>
      <c r="S111" s="1625"/>
      <c r="T111" s="96"/>
      <c r="U111" s="96"/>
      <c r="V111" s="96"/>
      <c r="W111" s="96"/>
      <c r="X111" s="1625"/>
      <c r="Y111" s="96"/>
      <c r="Z111" s="96"/>
      <c r="AA111" s="96"/>
      <c r="AB111" s="96"/>
      <c r="AC111" s="139"/>
      <c r="AD111" s="110"/>
      <c r="AE111" s="139"/>
    </row>
    <row r="112" spans="1:31" ht="12" customHeight="1">
      <c r="A112" s="139"/>
      <c r="B112" s="75">
        <v>15</v>
      </c>
      <c r="C112" s="1184" t="s">
        <v>2643</v>
      </c>
      <c r="D112" s="240"/>
      <c r="E112" s="96"/>
      <c r="F112" s="96"/>
      <c r="G112" s="96"/>
      <c r="H112" s="96"/>
      <c r="I112" s="363" t="s">
        <v>2644</v>
      </c>
      <c r="J112" s="96"/>
      <c r="K112" s="96"/>
      <c r="L112" s="96"/>
      <c r="M112" s="96"/>
      <c r="N112" s="1625"/>
      <c r="O112" s="96"/>
      <c r="P112" s="96"/>
      <c r="Q112" s="96"/>
      <c r="R112" s="96"/>
      <c r="S112" s="1625"/>
      <c r="T112" s="96"/>
      <c r="U112" s="96"/>
      <c r="V112" s="96"/>
      <c r="W112" s="96"/>
      <c r="X112" s="1625"/>
      <c r="Y112" s="96"/>
      <c r="Z112" s="96"/>
      <c r="AA112" s="96"/>
      <c r="AB112" s="96"/>
      <c r="AC112" s="139"/>
      <c r="AD112" s="110"/>
      <c r="AE112" s="139"/>
    </row>
    <row r="113" spans="1:32" ht="12" customHeight="1">
      <c r="A113" s="139"/>
      <c r="B113" s="889" t="b">
        <f>OR(AA29&lt;&gt;"",AA31&lt;&gt;"")</f>
        <v>0</v>
      </c>
      <c r="C113" s="323" t="s">
        <v>2660</v>
      </c>
      <c r="D113" s="217"/>
      <c r="E113" s="96"/>
      <c r="F113" s="96"/>
      <c r="G113" s="96"/>
      <c r="H113" s="140" t="s">
        <v>784</v>
      </c>
      <c r="I113" s="2287">
        <v>7500</v>
      </c>
      <c r="J113" s="1626"/>
      <c r="K113" s="1626"/>
      <c r="L113" s="96"/>
      <c r="M113" s="96"/>
      <c r="N113" s="1625"/>
      <c r="O113" s="96"/>
      <c r="P113" s="96"/>
      <c r="Q113" s="96"/>
      <c r="R113" s="96"/>
      <c r="S113" s="1625"/>
      <c r="T113" s="96"/>
      <c r="U113" s="96"/>
      <c r="V113" s="96"/>
      <c r="W113" s="96"/>
      <c r="X113" s="1625"/>
      <c r="Y113" s="96"/>
      <c r="Z113" s="96"/>
      <c r="AA113" s="96"/>
      <c r="AB113" s="96"/>
      <c r="AC113" s="139"/>
      <c r="AD113" s="110"/>
      <c r="AE113" s="139"/>
    </row>
    <row r="114" spans="1:32" ht="12" customHeight="1">
      <c r="A114" s="139"/>
      <c r="B114" s="889" t="b">
        <f>OR(AA34&lt;&gt;"",AA37&lt;&gt;"",AA40&lt;&gt;"",AA43&lt;&gt;"",AA46&lt;&gt;"")</f>
        <v>0</v>
      </c>
      <c r="C114" s="323" t="s">
        <v>2661</v>
      </c>
      <c r="D114" s="217"/>
      <c r="E114" s="96"/>
      <c r="F114" s="96"/>
      <c r="G114" s="96"/>
      <c r="H114" s="140" t="s">
        <v>1838</v>
      </c>
      <c r="I114" s="2287">
        <v>10000</v>
      </c>
      <c r="J114" s="96"/>
      <c r="K114" s="96"/>
      <c r="L114" s="96"/>
      <c r="M114" s="96"/>
      <c r="N114" s="892">
        <v>15</v>
      </c>
      <c r="O114" s="8782" t="str">
        <f>IF(B113,I113,IF(B114,I114,IF(B115,I115,"")))</f>
        <v/>
      </c>
      <c r="P114" s="8783"/>
      <c r="Q114" s="8784"/>
      <c r="R114" s="8784"/>
      <c r="S114" s="1625"/>
      <c r="T114" s="96"/>
      <c r="U114" s="96"/>
      <c r="V114" s="96"/>
      <c r="W114" s="96"/>
      <c r="X114" s="1625"/>
      <c r="Y114" s="96"/>
      <c r="Z114" s="96"/>
      <c r="AA114" s="96"/>
      <c r="AB114" s="96"/>
      <c r="AC114" s="139"/>
      <c r="AD114" s="110"/>
      <c r="AE114" s="139"/>
    </row>
    <row r="115" spans="1:32" ht="12" customHeight="1">
      <c r="A115" s="139"/>
      <c r="B115" s="889" t="b">
        <f>OR(AA49&lt;&gt;"",AA52&lt;&gt;"")</f>
        <v>0</v>
      </c>
      <c r="C115" s="323" t="s">
        <v>2647</v>
      </c>
      <c r="D115" s="217"/>
      <c r="E115" s="96"/>
      <c r="F115" s="96"/>
      <c r="G115" s="96"/>
      <c r="H115" s="140" t="s">
        <v>784</v>
      </c>
      <c r="I115" s="2287">
        <v>5000</v>
      </c>
      <c r="J115" s="96"/>
      <c r="K115" s="96"/>
      <c r="L115" s="96"/>
      <c r="M115" s="96"/>
      <c r="N115" s="1625"/>
      <c r="O115" s="8814">
        <f>IF(B113,I113,IF(B114,I114,IF(B115,I115,0)))</f>
        <v>0</v>
      </c>
      <c r="P115" s="8815"/>
      <c r="Q115" s="8816"/>
      <c r="R115" s="8817"/>
      <c r="S115" s="1625"/>
      <c r="T115" s="96"/>
      <c r="U115" s="96"/>
      <c r="V115" s="96"/>
      <c r="W115" s="96"/>
      <c r="X115" s="1625"/>
      <c r="Y115" s="96"/>
      <c r="Z115" s="96"/>
      <c r="AA115" s="96"/>
      <c r="AB115" s="96"/>
      <c r="AC115" s="139"/>
      <c r="AD115" s="110"/>
      <c r="AE115" s="139"/>
    </row>
    <row r="116" spans="1:32" ht="12" customHeight="1">
      <c r="A116" s="139"/>
      <c r="B116" s="75">
        <v>16</v>
      </c>
      <c r="C116" s="323" t="s">
        <v>6383</v>
      </c>
      <c r="D116" s="217"/>
      <c r="E116" s="96"/>
      <c r="F116" s="96"/>
      <c r="G116" s="96"/>
      <c r="H116" s="96"/>
      <c r="I116" s="1626"/>
      <c r="J116" s="96"/>
      <c r="K116" s="96"/>
      <c r="L116" s="96"/>
      <c r="M116" s="96"/>
      <c r="N116" s="1625"/>
      <c r="O116" s="96"/>
      <c r="P116" s="96"/>
      <c r="Q116" s="96"/>
      <c r="R116" s="96"/>
      <c r="S116" s="1625"/>
      <c r="T116" s="96"/>
      <c r="U116" s="96"/>
      <c r="V116" s="96"/>
      <c r="W116" s="96"/>
      <c r="X116" s="1625"/>
      <c r="Y116" s="96"/>
      <c r="Z116" s="96"/>
      <c r="AA116" s="96"/>
      <c r="AB116" s="96"/>
      <c r="AC116" s="139"/>
      <c r="AD116" s="110"/>
      <c r="AE116" s="139"/>
    </row>
    <row r="117" spans="1:32" ht="12" customHeight="1">
      <c r="A117" s="139"/>
      <c r="B117" s="96"/>
      <c r="C117" s="323" t="s">
        <v>6382</v>
      </c>
      <c r="D117" s="217"/>
      <c r="E117" s="96"/>
      <c r="F117" s="96"/>
      <c r="G117" s="96"/>
      <c r="H117" s="96"/>
      <c r="I117" s="1626"/>
      <c r="J117" s="96"/>
      <c r="K117" s="96"/>
      <c r="L117" s="96"/>
      <c r="M117" s="140" t="s">
        <v>805</v>
      </c>
      <c r="N117" s="892">
        <v>16</v>
      </c>
      <c r="O117" s="8782" t="str">
        <f>IF(SchRQualify,MAX(0,SUM(O111,-O115)),"")</f>
        <v/>
      </c>
      <c r="P117" s="8783"/>
      <c r="Q117" s="8784"/>
      <c r="R117" s="8784"/>
      <c r="S117" s="1625"/>
      <c r="T117" s="96"/>
      <c r="U117" s="96"/>
      <c r="V117" s="96"/>
      <c r="W117" s="96"/>
      <c r="X117" s="1625"/>
      <c r="Y117" s="96"/>
      <c r="Z117" s="96"/>
      <c r="AA117" s="96"/>
      <c r="AB117" s="96"/>
      <c r="AC117" s="139"/>
      <c r="AD117" s="110"/>
      <c r="AE117" s="139"/>
    </row>
    <row r="118" spans="1:32" ht="12" customHeight="1">
      <c r="A118" s="139"/>
      <c r="B118" s="75">
        <v>17</v>
      </c>
      <c r="C118" s="323" t="s">
        <v>2662</v>
      </c>
      <c r="D118" s="217"/>
      <c r="E118" s="96"/>
      <c r="F118" s="96"/>
      <c r="G118" s="96"/>
      <c r="H118" s="96"/>
      <c r="I118" s="1626"/>
      <c r="J118" s="96"/>
      <c r="K118" s="96"/>
      <c r="L118" s="96"/>
      <c r="M118" s="96"/>
      <c r="N118" s="96"/>
      <c r="O118" s="96"/>
      <c r="P118" s="96"/>
      <c r="Q118" s="96"/>
      <c r="R118" s="140" t="s">
        <v>1859</v>
      </c>
      <c r="S118" s="892">
        <v>17</v>
      </c>
      <c r="T118" s="8782" t="str">
        <f>IF(SchRQualify,ROUND(O117/2,0),"")</f>
        <v/>
      </c>
      <c r="U118" s="8783"/>
      <c r="V118" s="8784"/>
      <c r="W118" s="8784"/>
      <c r="X118" s="1625"/>
      <c r="Y118" s="96"/>
      <c r="Z118" s="96"/>
      <c r="AA118" s="96"/>
      <c r="AB118" s="96"/>
      <c r="AC118" s="139"/>
      <c r="AD118" s="110"/>
      <c r="AE118" s="139"/>
    </row>
    <row r="119" spans="1:32" ht="12" customHeight="1">
      <c r="A119" s="139"/>
      <c r="B119" s="75">
        <v>18</v>
      </c>
      <c r="C119" s="323" t="s">
        <v>2663</v>
      </c>
      <c r="D119" s="217"/>
      <c r="E119" s="96"/>
      <c r="F119" s="96"/>
      <c r="G119" s="96"/>
      <c r="H119" s="96"/>
      <c r="I119" s="1626"/>
      <c r="J119" s="96"/>
      <c r="K119" s="96"/>
      <c r="L119" s="96"/>
      <c r="M119" s="96"/>
      <c r="N119" s="96"/>
      <c r="O119" s="96"/>
      <c r="P119" s="96"/>
      <c r="Q119" s="96"/>
      <c r="R119" s="96"/>
      <c r="S119" s="96"/>
      <c r="T119" s="96"/>
      <c r="U119" s="96"/>
      <c r="V119" s="96"/>
      <c r="W119" s="140" t="s">
        <v>1991</v>
      </c>
      <c r="X119" s="884">
        <v>18</v>
      </c>
      <c r="Y119" s="8782" t="str">
        <f>IF(AD119&lt;&gt;"",ROUND(AD119,0),IF(SchRQualify,SUM(T109,T118),""))</f>
        <v/>
      </c>
      <c r="Z119" s="8803"/>
      <c r="AA119" s="8784"/>
      <c r="AB119" s="8784"/>
      <c r="AC119" s="139"/>
      <c r="AD119" s="933"/>
      <c r="AE119" s="139"/>
    </row>
    <row r="120" spans="1:32" ht="12" customHeight="1">
      <c r="A120" s="139"/>
      <c r="B120" s="75">
        <v>19</v>
      </c>
      <c r="C120" s="323" t="s">
        <v>2664</v>
      </c>
      <c r="D120" s="217"/>
      <c r="E120" s="96"/>
      <c r="F120" s="96"/>
      <c r="G120" s="323" t="s">
        <v>4921</v>
      </c>
      <c r="H120" s="96"/>
      <c r="I120" s="1626"/>
      <c r="J120" s="96"/>
      <c r="K120" s="96"/>
      <c r="L120" s="96"/>
      <c r="M120" s="96"/>
      <c r="N120" s="96"/>
      <c r="O120" s="96"/>
      <c r="P120" s="96"/>
      <c r="Q120" s="217"/>
      <c r="R120" s="323" t="s">
        <v>2665</v>
      </c>
      <c r="S120" s="96"/>
      <c r="T120" s="96"/>
      <c r="U120" s="96"/>
      <c r="V120" s="96"/>
      <c r="W120" s="96"/>
      <c r="X120" s="1625"/>
      <c r="Y120" s="8818" t="b">
        <f>(Y119&gt;=Y98)</f>
        <v>1</v>
      </c>
      <c r="Z120" s="8819"/>
      <c r="AA120" s="8819"/>
      <c r="AB120" s="8819"/>
      <c r="AC120" s="139"/>
      <c r="AD120" s="110"/>
      <c r="AE120" s="139"/>
    </row>
    <row r="121" spans="1:32" ht="12" customHeight="1">
      <c r="A121" s="139"/>
      <c r="B121" s="75"/>
      <c r="C121" s="323" t="s">
        <v>2666</v>
      </c>
      <c r="D121" s="217"/>
      <c r="E121" s="96"/>
      <c r="F121" s="96"/>
      <c r="G121" s="96"/>
      <c r="H121" s="96"/>
      <c r="I121" s="1626"/>
      <c r="J121" s="96"/>
      <c r="K121" s="96"/>
      <c r="L121" s="96"/>
      <c r="M121" s="96"/>
      <c r="N121" s="96"/>
      <c r="O121" s="96"/>
      <c r="P121" s="96"/>
      <c r="Q121" s="96"/>
      <c r="R121" s="96"/>
      <c r="S121" s="96"/>
      <c r="T121" s="96"/>
      <c r="U121" s="96"/>
      <c r="V121" s="96"/>
      <c r="W121" s="140" t="s">
        <v>5269</v>
      </c>
      <c r="X121" s="884">
        <v>19</v>
      </c>
      <c r="Y121" s="8782" t="str">
        <f>IF(SchRQualify,MAX(0,SUM(Y98,-Y119)),"")</f>
        <v/>
      </c>
      <c r="Z121" s="8803"/>
      <c r="AA121" s="8784"/>
      <c r="AB121" s="8784"/>
      <c r="AC121" s="139"/>
      <c r="AD121" s="110"/>
      <c r="AE121" s="139"/>
    </row>
    <row r="122" spans="1:32" ht="12" customHeight="1">
      <c r="A122" s="139"/>
      <c r="B122" s="75">
        <v>20</v>
      </c>
      <c r="C122" s="323" t="str">
        <f>"Multiply line 19 by "&amp;TEXT(AF122,"0%")&amp;" ("&amp;TEXT(AF122,"0.00")&amp;")"</f>
        <v>Multiply line 19 by 15% (0.15)</v>
      </c>
      <c r="D122" s="217"/>
      <c r="E122" s="96"/>
      <c r="F122" s="96"/>
      <c r="G122" s="96"/>
      <c r="H122" s="96"/>
      <c r="I122" s="1626"/>
      <c r="J122" s="96"/>
      <c r="K122" s="96"/>
      <c r="L122" s="96"/>
      <c r="M122" s="96"/>
      <c r="N122" s="96"/>
      <c r="O122" s="96"/>
      <c r="P122" s="96"/>
      <c r="Q122" s="96"/>
      <c r="R122" s="96"/>
      <c r="S122" s="96"/>
      <c r="T122" s="96"/>
      <c r="U122" s="96"/>
      <c r="V122" s="96"/>
      <c r="W122" s="140" t="s">
        <v>5268</v>
      </c>
      <c r="X122" s="884">
        <v>20</v>
      </c>
      <c r="Y122" s="8782" t="str">
        <f>IF(Y120,"",ROUND(Y121*AF122,0))</f>
        <v/>
      </c>
      <c r="Z122" s="8803"/>
      <c r="AA122" s="8784"/>
      <c r="AB122" s="8784"/>
      <c r="AC122" s="139"/>
      <c r="AD122" s="110"/>
      <c r="AE122" s="139"/>
      <c r="AF122" s="854">
        <v>0.15</v>
      </c>
    </row>
    <row r="123" spans="1:32" ht="12" customHeight="1">
      <c r="A123" s="139"/>
      <c r="B123" s="75">
        <v>21</v>
      </c>
      <c r="C123" s="323" t="s">
        <v>2668</v>
      </c>
      <c r="D123" s="217"/>
      <c r="E123" s="96"/>
      <c r="F123" s="96"/>
      <c r="G123" s="96"/>
      <c r="H123" s="96"/>
      <c r="I123" s="1626"/>
      <c r="J123" s="96"/>
      <c r="K123" s="96"/>
      <c r="L123" s="96"/>
      <c r="M123" s="96"/>
      <c r="N123" s="96"/>
      <c r="O123" s="96"/>
      <c r="P123" s="96"/>
      <c r="Q123" s="96"/>
      <c r="R123" s="96"/>
      <c r="S123" s="96"/>
      <c r="T123" s="96"/>
      <c r="U123" s="96"/>
      <c r="V123" s="96"/>
      <c r="W123" s="140" t="s">
        <v>842</v>
      </c>
      <c r="X123" s="884">
        <v>21</v>
      </c>
      <c r="Y123" s="8782" t="str">
        <f>IF(OR(Y120,AD136),"",AD135)</f>
        <v/>
      </c>
      <c r="Z123" s="8803"/>
      <c r="AA123" s="8784"/>
      <c r="AB123" s="8784"/>
      <c r="AC123" s="139"/>
      <c r="AD123" s="110"/>
      <c r="AE123" s="139"/>
    </row>
    <row r="124" spans="1:32" ht="12" customHeight="1">
      <c r="A124" s="139"/>
      <c r="B124" s="75">
        <v>22</v>
      </c>
      <c r="C124" s="323" t="s">
        <v>4920</v>
      </c>
      <c r="D124" s="217"/>
      <c r="E124" s="96"/>
      <c r="F124" s="96"/>
      <c r="G124" s="96"/>
      <c r="H124" s="96"/>
      <c r="I124" s="1626"/>
      <c r="J124" s="96"/>
      <c r="K124" s="96"/>
      <c r="L124" s="96"/>
      <c r="M124" s="96"/>
      <c r="N124" s="96"/>
      <c r="O124" s="96"/>
      <c r="P124" s="96"/>
      <c r="Q124" s="96"/>
      <c r="R124" s="96"/>
      <c r="S124" s="96"/>
      <c r="T124" s="96"/>
      <c r="U124" s="96"/>
      <c r="V124" s="96"/>
      <c r="W124" s="96"/>
      <c r="X124" s="1625"/>
      <c r="Y124" s="96"/>
      <c r="Z124" s="96"/>
      <c r="AA124" s="96"/>
      <c r="AB124" s="96"/>
      <c r="AC124" s="139"/>
      <c r="AD124" s="110"/>
      <c r="AE124" s="139"/>
    </row>
    <row r="125" spans="1:32" ht="12" customHeight="1" thickBot="1">
      <c r="A125" s="139"/>
      <c r="B125" s="1616"/>
      <c r="C125" s="1654" t="s">
        <v>2669</v>
      </c>
      <c r="D125" s="894"/>
      <c r="E125" s="375"/>
      <c r="F125" s="375"/>
      <c r="G125" s="375"/>
      <c r="H125" s="375"/>
      <c r="I125" s="375"/>
      <c r="J125" s="375"/>
      <c r="K125" s="375"/>
      <c r="L125" s="375"/>
      <c r="M125" s="375"/>
      <c r="N125" s="375"/>
      <c r="O125" s="375"/>
      <c r="P125" s="375"/>
      <c r="Q125" s="375"/>
      <c r="R125" s="375"/>
      <c r="S125" s="375"/>
      <c r="T125" s="375"/>
      <c r="U125" s="375"/>
      <c r="V125" s="375"/>
      <c r="W125" s="896" t="s">
        <v>802</v>
      </c>
      <c r="X125" s="895">
        <v>22</v>
      </c>
      <c r="Y125" s="8820" t="str">
        <f>IF(AD125&lt;&gt;"",ROUND(AD125,0),IF(OR(Y120,AD136),"",IF(AD136,"",MIN(Y122,Y123))))</f>
        <v/>
      </c>
      <c r="Z125" s="8821"/>
      <c r="AA125" s="8822"/>
      <c r="AB125" s="8822"/>
      <c r="AC125" s="139"/>
      <c r="AD125" s="933"/>
      <c r="AE125" s="139"/>
    </row>
    <row r="126" spans="1:32" ht="15" customHeight="1">
      <c r="A126" s="139"/>
      <c r="B126" s="105"/>
      <c r="C126" s="105"/>
      <c r="D126" s="105"/>
      <c r="E126" s="105"/>
      <c r="F126" s="105"/>
      <c r="G126" s="106"/>
      <c r="H126" s="106"/>
      <c r="I126" s="106"/>
      <c r="J126" s="106"/>
      <c r="K126" s="106"/>
      <c r="L126" s="106"/>
      <c r="M126" s="106"/>
      <c r="N126" s="107"/>
      <c r="O126" s="107"/>
      <c r="P126" s="107"/>
      <c r="Q126" s="107"/>
      <c r="R126" s="365"/>
      <c r="S126" s="365"/>
      <c r="T126" s="107"/>
      <c r="U126" s="106"/>
      <c r="V126" s="106"/>
      <c r="W126" s="108"/>
      <c r="X126" s="106"/>
      <c r="Y126" s="106"/>
      <c r="Z126" s="365"/>
      <c r="AA126" s="814"/>
      <c r="AB126" s="893" t="str">
        <f>"Schedule R   (Form 1040)  "&amp;TaxYear</f>
        <v>Schedule R   (Form 1040)  2025</v>
      </c>
      <c r="AC126" s="139"/>
      <c r="AD126" s="110"/>
      <c r="AE126" s="139"/>
    </row>
    <row r="127" spans="1:32" ht="8.25" customHeight="1">
      <c r="A127" s="139"/>
      <c r="B127" s="145"/>
      <c r="C127" s="145"/>
      <c r="D127" s="145"/>
      <c r="E127" s="145"/>
      <c r="F127" s="145"/>
      <c r="G127" s="132"/>
      <c r="H127" s="132"/>
      <c r="I127" s="132"/>
      <c r="J127" s="132"/>
      <c r="K127" s="132"/>
      <c r="L127" s="132"/>
      <c r="M127" s="132"/>
      <c r="N127" s="146"/>
      <c r="O127" s="146"/>
      <c r="P127" s="146"/>
      <c r="Q127" s="146"/>
      <c r="R127" s="146"/>
      <c r="S127" s="146"/>
      <c r="T127" s="146"/>
      <c r="U127" s="132"/>
      <c r="V127" s="132"/>
      <c r="W127" s="147"/>
      <c r="X127" s="132"/>
      <c r="Y127" s="132"/>
      <c r="Z127" s="132"/>
      <c r="AA127" s="132"/>
      <c r="AB127" s="132"/>
      <c r="AC127" s="139"/>
      <c r="AD127" s="110"/>
      <c r="AE127" s="139"/>
    </row>
    <row r="128" spans="1:32">
      <c r="B128" s="7"/>
      <c r="C128" s="7"/>
      <c r="D128" s="8"/>
      <c r="E128" s="8"/>
      <c r="F128" s="8"/>
      <c r="G128" s="8"/>
      <c r="H128" s="8"/>
      <c r="I128" s="8"/>
      <c r="J128" s="8"/>
      <c r="K128" s="8"/>
      <c r="L128" s="8"/>
      <c r="M128" s="8"/>
      <c r="N128" s="9"/>
      <c r="O128" s="9"/>
      <c r="P128" s="9"/>
      <c r="Q128" s="9"/>
      <c r="R128" s="9"/>
      <c r="S128" s="9"/>
      <c r="T128" s="10"/>
      <c r="U128" s="8"/>
      <c r="V128" s="8"/>
      <c r="W128" s="6"/>
      <c r="X128" s="8"/>
      <c r="Y128" s="8"/>
      <c r="Z128" s="8"/>
      <c r="AA128" s="8"/>
      <c r="AB128" s="8"/>
    </row>
    <row r="129" spans="2:31" ht="13.5" thickBot="1">
      <c r="B129" s="7"/>
      <c r="C129" s="7"/>
      <c r="D129" s="8"/>
      <c r="E129" s="8"/>
      <c r="F129" s="8"/>
      <c r="G129" s="8"/>
      <c r="H129" s="8"/>
      <c r="I129" s="8"/>
      <c r="J129" s="8"/>
      <c r="K129" s="918" t="s">
        <v>2670</v>
      </c>
      <c r="L129" s="919"/>
      <c r="M129" s="920"/>
      <c r="N129" s="919"/>
      <c r="O129" s="921"/>
      <c r="P129" s="921"/>
      <c r="Q129" s="921"/>
      <c r="R129" s="922"/>
      <c r="S129" s="922"/>
      <c r="T129" s="923"/>
      <c r="U129" s="920"/>
      <c r="V129" s="920"/>
      <c r="W129" s="924"/>
      <c r="X129" s="920"/>
      <c r="Y129" s="920"/>
      <c r="Z129" s="920"/>
      <c r="AA129" s="920"/>
      <c r="AB129" s="925"/>
      <c r="AC129" s="925" t="s">
        <v>2671</v>
      </c>
      <c r="AD129" s="386"/>
      <c r="AE129" s="407"/>
    </row>
    <row r="130" spans="2:31" ht="13.5" thickBot="1">
      <c r="B130" s="8811" t="s">
        <v>2672</v>
      </c>
      <c r="C130" s="8812"/>
      <c r="D130" s="8812"/>
      <c r="E130" s="8812"/>
      <c r="F130" s="8812"/>
      <c r="G130" s="8812"/>
      <c r="H130" s="8812"/>
      <c r="I130" s="8813"/>
      <c r="J130" s="130"/>
      <c r="K130" s="6486" t="s">
        <v>6384</v>
      </c>
      <c r="L130" s="6479"/>
      <c r="M130" s="6480"/>
      <c r="N130" s="6479"/>
      <c r="O130" s="6481"/>
      <c r="P130" s="6481"/>
      <c r="Q130" s="6481"/>
      <c r="R130" s="6482"/>
      <c r="S130" s="6482"/>
      <c r="T130" s="6483"/>
      <c r="U130" s="6480"/>
      <c r="V130" s="6480"/>
      <c r="W130" s="6484"/>
      <c r="X130" s="6480"/>
      <c r="Y130" s="6480"/>
      <c r="Z130" s="6480"/>
      <c r="AA130" s="6480"/>
      <c r="AB130" s="6485"/>
      <c r="AC130" s="253"/>
      <c r="AD130" s="275"/>
      <c r="AE130" s="409"/>
    </row>
    <row r="131" spans="2:31" ht="12" customHeight="1" thickBot="1">
      <c r="B131" s="129"/>
      <c r="C131" s="129"/>
      <c r="D131" s="130"/>
      <c r="E131" s="130"/>
      <c r="F131" s="130"/>
      <c r="G131" s="130"/>
      <c r="H131" s="130"/>
      <c r="I131" s="130"/>
      <c r="J131" s="130"/>
      <c r="K131" s="6487" t="s">
        <v>6385</v>
      </c>
      <c r="L131" s="926"/>
      <c r="M131" s="927"/>
      <c r="N131" s="926"/>
      <c r="O131" s="926"/>
      <c r="P131" s="926"/>
      <c r="Q131" s="926"/>
      <c r="R131" s="928"/>
      <c r="S131" s="928"/>
      <c r="T131" s="929"/>
      <c r="U131" s="927"/>
      <c r="V131" s="927"/>
      <c r="W131" s="930"/>
      <c r="X131" s="927"/>
      <c r="Y131" s="927"/>
      <c r="Z131" s="927"/>
      <c r="AA131" s="927"/>
      <c r="AB131" s="927"/>
      <c r="AC131" s="380"/>
      <c r="AD131" s="312"/>
      <c r="AE131" s="931"/>
    </row>
    <row r="132" spans="2:31" ht="13.5" customHeight="1" thickBot="1">
      <c r="B132" s="8808" t="s">
        <v>2674</v>
      </c>
      <c r="C132" s="8809"/>
      <c r="D132" s="8809"/>
      <c r="E132" s="8809"/>
      <c r="F132" s="8809"/>
      <c r="G132" s="8809"/>
      <c r="H132" s="8809"/>
      <c r="I132" s="8810"/>
      <c r="J132" s="130"/>
      <c r="K132" s="897" t="s">
        <v>157</v>
      </c>
      <c r="L132" s="898" t="s">
        <v>2673</v>
      </c>
      <c r="M132" s="899"/>
      <c r="N132" s="898"/>
      <c r="O132" s="898"/>
      <c r="P132" s="898"/>
      <c r="Q132" s="898"/>
      <c r="R132" s="900"/>
      <c r="S132" s="900"/>
      <c r="T132" s="901"/>
      <c r="U132" s="899"/>
      <c r="V132" s="899"/>
      <c r="W132" s="902"/>
      <c r="X132" s="899"/>
      <c r="Y132" s="899"/>
      <c r="Z132" s="899"/>
      <c r="AA132" s="899"/>
      <c r="AB132" s="2288" t="s">
        <v>1255</v>
      </c>
      <c r="AC132" s="903" t="s">
        <v>157</v>
      </c>
      <c r="AD132" s="917" t="str">
        <f>IF(Y120,"",Tax)</f>
        <v/>
      </c>
      <c r="AE132" s="904"/>
    </row>
    <row r="133" spans="2:31">
      <c r="K133" s="905" t="s">
        <v>161</v>
      </c>
      <c r="L133" s="906" t="s">
        <v>2675</v>
      </c>
      <c r="M133" s="907"/>
      <c r="N133" s="906"/>
      <c r="O133" s="906"/>
      <c r="P133" s="906"/>
      <c r="Q133" s="906"/>
      <c r="R133" s="908"/>
      <c r="S133" s="908"/>
      <c r="T133" s="909"/>
      <c r="U133" s="907"/>
      <c r="V133" s="907"/>
      <c r="W133" s="910"/>
      <c r="X133" s="907"/>
      <c r="Y133" s="907"/>
      <c r="Z133" s="907"/>
      <c r="AA133" s="907"/>
      <c r="AB133" s="2288" t="s">
        <v>2276</v>
      </c>
      <c r="AC133" s="911" t="s">
        <v>161</v>
      </c>
      <c r="AD133" s="334" t="str">
        <f>IF(Y120,"",SUM(Foreign_Tax_Credit,Care_Expenses,'Sch. 3'!W29))</f>
        <v/>
      </c>
      <c r="AE133" s="912"/>
    </row>
    <row r="134" spans="2:31">
      <c r="D134" s="7224" t="s">
        <v>42</v>
      </c>
      <c r="E134" s="7224"/>
      <c r="K134" s="905" t="s">
        <v>167</v>
      </c>
      <c r="L134" s="906" t="s">
        <v>2677</v>
      </c>
      <c r="M134" s="723"/>
      <c r="N134" s="906"/>
      <c r="O134" s="723"/>
      <c r="P134" s="723"/>
      <c r="Q134" s="723"/>
      <c r="R134" s="723"/>
      <c r="S134" s="723"/>
      <c r="T134" s="723"/>
      <c r="U134" s="723"/>
      <c r="V134" s="723"/>
      <c r="W134" s="723"/>
      <c r="X134" s="723"/>
      <c r="Y134" s="723"/>
      <c r="Z134" s="723"/>
      <c r="AA134" s="723"/>
      <c r="AB134" s="723"/>
      <c r="AC134" s="723"/>
      <c r="AD134" s="385"/>
      <c r="AE134" s="912"/>
    </row>
    <row r="135" spans="2:31">
      <c r="D135" s="7224"/>
      <c r="E135" s="7224"/>
      <c r="K135" s="913"/>
      <c r="L135" s="906" t="s">
        <v>2678</v>
      </c>
      <c r="M135" s="723"/>
      <c r="N135" s="906"/>
      <c r="O135" s="906" t="s">
        <v>2679</v>
      </c>
      <c r="P135" s="723"/>
      <c r="Q135" s="723"/>
      <c r="R135" s="723"/>
      <c r="S135" s="723"/>
      <c r="T135" s="723"/>
      <c r="U135" s="723"/>
      <c r="V135" s="723"/>
      <c r="W135" s="723"/>
      <c r="X135" s="723"/>
      <c r="Y135" s="723"/>
      <c r="Z135" s="723"/>
      <c r="AA135" s="723"/>
      <c r="AB135" s="2288" t="s">
        <v>2676</v>
      </c>
      <c r="AC135" s="911" t="s">
        <v>167</v>
      </c>
      <c r="AD135" s="334" t="str">
        <f>IF(Y120,"",SUM(AD132,-AD133))</f>
        <v/>
      </c>
      <c r="AE135" s="912"/>
    </row>
    <row r="136" spans="2:31" ht="13.5" thickBot="1">
      <c r="D136" s="7224"/>
      <c r="E136" s="7224"/>
      <c r="K136" s="914"/>
      <c r="L136" s="818"/>
      <c r="M136" s="818"/>
      <c r="N136" s="915"/>
      <c r="O136" s="818"/>
      <c r="P136" s="818"/>
      <c r="Q136" s="818"/>
      <c r="R136" s="818"/>
      <c r="S136" s="818"/>
      <c r="T136" s="818"/>
      <c r="U136" s="818"/>
      <c r="V136" s="818"/>
      <c r="W136" s="818"/>
      <c r="X136" s="818"/>
      <c r="Y136" s="818"/>
      <c r="Z136" s="818"/>
      <c r="AA136" s="818"/>
      <c r="AB136" s="818"/>
      <c r="AC136" s="818"/>
      <c r="AD136" s="932" t="b">
        <f>(AD135&lt;=0)</f>
        <v>0</v>
      </c>
      <c r="AE136" s="916"/>
    </row>
  </sheetData>
  <sheetProtection algorithmName="SHA-512" hashValue="BougqCHuOTKTFqsn9u6nG+h6CvolhnTXebvhd8TdtutMVJ23jbbQpI6ELCNYRRFVaX943qdYfVnHsvMaGTz31w==" saltValue="I9d9LI8dmnistZX0j2CaCQ==" spinCount="100000" sheet="1" objects="1" scenarios="1" formatCells="0" formatColumns="0" formatRows="0"/>
  <mergeCells count="60">
    <mergeCell ref="D134:E136"/>
    <mergeCell ref="B132:I132"/>
    <mergeCell ref="B130:I130"/>
    <mergeCell ref="O115:R115"/>
    <mergeCell ref="Y120:AB120"/>
    <mergeCell ref="Y119:AB119"/>
    <mergeCell ref="Y121:AB121"/>
    <mergeCell ref="Y122:AB122"/>
    <mergeCell ref="Y123:AB123"/>
    <mergeCell ref="Y125:AB125"/>
    <mergeCell ref="F10:H10"/>
    <mergeCell ref="J10:L10"/>
    <mergeCell ref="R8:S8"/>
    <mergeCell ref="R4:S4"/>
    <mergeCell ref="Y98:AB98"/>
    <mergeCell ref="F8:H8"/>
    <mergeCell ref="Y79:AB79"/>
    <mergeCell ref="F83:G83"/>
    <mergeCell ref="F85:G85"/>
    <mergeCell ref="L86:R87"/>
    <mergeCell ref="Y91:AB91"/>
    <mergeCell ref="R12:S12"/>
    <mergeCell ref="J8:L8"/>
    <mergeCell ref="X12:AB12"/>
    <mergeCell ref="X13:AB13"/>
    <mergeCell ref="F3:H3"/>
    <mergeCell ref="F4:H4"/>
    <mergeCell ref="J3:L3"/>
    <mergeCell ref="J4:L4"/>
    <mergeCell ref="F6:H6"/>
    <mergeCell ref="J6:L6"/>
    <mergeCell ref="B26:C26"/>
    <mergeCell ref="B38:C38"/>
    <mergeCell ref="B49:C49"/>
    <mergeCell ref="F56:G56"/>
    <mergeCell ref="F58:G58"/>
    <mergeCell ref="B28:C28"/>
    <mergeCell ref="B61:C61"/>
    <mergeCell ref="B54:C54"/>
    <mergeCell ref="O114:R114"/>
    <mergeCell ref="O117:R117"/>
    <mergeCell ref="T118:W118"/>
    <mergeCell ref="B76:C76"/>
    <mergeCell ref="K78:M78"/>
    <mergeCell ref="K79:M79"/>
    <mergeCell ref="K80:M80"/>
    <mergeCell ref="T102:W102"/>
    <mergeCell ref="T105:W105"/>
    <mergeCell ref="T109:W109"/>
    <mergeCell ref="O111:R111"/>
    <mergeCell ref="B13:D14"/>
    <mergeCell ref="X14:AB14"/>
    <mergeCell ref="X15:AB17"/>
    <mergeCell ref="B16:D17"/>
    <mergeCell ref="B19:S19"/>
    <mergeCell ref="T19:AB19"/>
    <mergeCell ref="B15:D15"/>
    <mergeCell ref="E15:W15"/>
    <mergeCell ref="E14:W14"/>
    <mergeCell ref="E16:W16"/>
  </mergeCells>
  <conditionalFormatting sqref="B19:C19 T19:AA19">
    <cfRule type="expression" dxfId="2404" priority="158">
      <formula>IF(NoColor,1,0)</formula>
    </cfRule>
  </conditionalFormatting>
  <conditionalFormatting sqref="E13">
    <cfRule type="expression" dxfId="2403" priority="67">
      <formula>NOT(Draft)</formula>
    </cfRule>
  </conditionalFormatting>
  <conditionalFormatting sqref="F56:G56">
    <cfRule type="expression" dxfId="2402" priority="62">
      <formula>$B$54</formula>
    </cfRule>
  </conditionalFormatting>
  <conditionalFormatting sqref="F58:G58">
    <cfRule type="expression" dxfId="2401" priority="61">
      <formula>NOT($B$54)</formula>
    </cfRule>
  </conditionalFormatting>
  <conditionalFormatting sqref="F83:G83">
    <cfRule type="expression" dxfId="2400" priority="58">
      <formula>$B$84</formula>
    </cfRule>
  </conditionalFormatting>
  <conditionalFormatting sqref="F85:G85">
    <cfRule type="expression" dxfId="2399" priority="57">
      <formula>NOT($B$84)</formula>
    </cfRule>
  </conditionalFormatting>
  <conditionalFormatting sqref="F6:H6">
    <cfRule type="expression" dxfId="2398" priority="51">
      <formula>$I$4</formula>
    </cfRule>
  </conditionalFormatting>
  <conditionalFormatting sqref="F8:H8">
    <cfRule type="expression" dxfId="2397" priority="50">
      <formula>$I$6</formula>
    </cfRule>
  </conditionalFormatting>
  <conditionalFormatting sqref="F10:H10">
    <cfRule type="expression" dxfId="2396" priority="49">
      <formula>$I$8</formula>
    </cfRule>
  </conditionalFormatting>
  <conditionalFormatting sqref="G120">
    <cfRule type="expression" dxfId="2395" priority="31">
      <formula>$Y$120</formula>
    </cfRule>
  </conditionalFormatting>
  <conditionalFormatting sqref="J3:L3">
    <cfRule type="expression" dxfId="2394" priority="30">
      <formula>File_Marr_Joint&lt;&gt;""</formula>
    </cfRule>
  </conditionalFormatting>
  <conditionalFormatting sqref="J4:L4">
    <cfRule type="expression" dxfId="2393" priority="55">
      <formula>File_Marr_Joint&lt;&gt;""</formula>
    </cfRule>
  </conditionalFormatting>
  <conditionalFormatting sqref="J6:L6">
    <cfRule type="expression" dxfId="2392" priority="54">
      <formula>AND(File_Marr_Joint&lt;&gt;"",P4)</formula>
    </cfRule>
  </conditionalFormatting>
  <conditionalFormatting sqref="J8:L8">
    <cfRule type="expression" dxfId="2391" priority="53">
      <formula>AND(File_Marr_Joint&lt;&gt;"",P6)</formula>
    </cfRule>
  </conditionalFormatting>
  <conditionalFormatting sqref="J10:L10">
    <cfRule type="expression" dxfId="2390" priority="48">
      <formula>$P$8</formula>
    </cfRule>
  </conditionalFormatting>
  <conditionalFormatting sqref="M82:N82">
    <cfRule type="expression" dxfId="2389" priority="89">
      <formula>IF(NoColor,1,0)</formula>
    </cfRule>
  </conditionalFormatting>
  <conditionalFormatting sqref="N80">
    <cfRule type="expression" dxfId="2388" priority="90">
      <formula>IF(NoColor,1,0)</formula>
    </cfRule>
  </conditionalFormatting>
  <conditionalFormatting sqref="O135">
    <cfRule type="expression" dxfId="2387" priority="34">
      <formula>$AD$136</formula>
    </cfRule>
  </conditionalFormatting>
  <conditionalFormatting sqref="O111:P111">
    <cfRule type="expression" dxfId="2386" priority="43">
      <formula>IF(NoColor,1,0)</formula>
    </cfRule>
  </conditionalFormatting>
  <conditionalFormatting sqref="O114:P115">
    <cfRule type="expression" dxfId="2385" priority="16">
      <formula>IF(NoColor,1,0)</formula>
    </cfRule>
  </conditionalFormatting>
  <conditionalFormatting sqref="O117:P117">
    <cfRule type="expression" dxfId="2384" priority="15">
      <formula>IF(NoColor,1,0)</formula>
    </cfRule>
  </conditionalFormatting>
  <conditionalFormatting sqref="T102">
    <cfRule type="expression" dxfId="2383" priority="46">
      <formula>IF(NoColor,1,0)</formula>
    </cfRule>
  </conditionalFormatting>
  <conditionalFormatting sqref="T105">
    <cfRule type="expression" dxfId="2382" priority="17">
      <formula>IF(NoColor,1,0)</formula>
    </cfRule>
  </conditionalFormatting>
  <conditionalFormatting sqref="T109">
    <cfRule type="expression" dxfId="2381" priority="44">
      <formula>IF(NoColor,1,0)</formula>
    </cfRule>
  </conditionalFormatting>
  <conditionalFormatting sqref="T118:U118">
    <cfRule type="expression" dxfId="2380" priority="20">
      <formula>IF(NoColor,1,0)</formula>
    </cfRule>
  </conditionalFormatting>
  <conditionalFormatting sqref="V13">
    <cfRule type="expression" dxfId="2379" priority="66">
      <formula>NOT(Draft)</formula>
    </cfRule>
  </conditionalFormatting>
  <conditionalFormatting sqref="Y79">
    <cfRule type="expression" dxfId="2377" priority="59">
      <formula>IF(NoColor,1,0)</formula>
    </cfRule>
  </conditionalFormatting>
  <conditionalFormatting sqref="Y91">
    <cfRule type="expression" dxfId="2376" priority="28">
      <formula>IF(NoColor,1,0)</formula>
    </cfRule>
  </conditionalFormatting>
  <conditionalFormatting sqref="Y98">
    <cfRule type="expression" dxfId="2375" priority="27">
      <formula>IF(NoColor,1,0)</formula>
    </cfRule>
  </conditionalFormatting>
  <conditionalFormatting sqref="Y119">
    <cfRule type="expression" dxfId="2374" priority="26">
      <formula>IF(NoColor,1,0)</formula>
    </cfRule>
  </conditionalFormatting>
  <conditionalFormatting sqref="Y121:Y123">
    <cfRule type="expression" dxfId="2373" priority="23">
      <formula>IF(NoColor,1,0)</formula>
    </cfRule>
  </conditionalFormatting>
  <conditionalFormatting sqref="Y125">
    <cfRule type="expression" dxfId="2372" priority="22">
      <formula>IF(NoColor,1,0)</formula>
    </cfRule>
  </conditionalFormatting>
  <conditionalFormatting sqref="AA29">
    <cfRule type="expression" dxfId="2371" priority="11">
      <formula>NoColor</formula>
    </cfRule>
  </conditionalFormatting>
  <conditionalFormatting sqref="AA31">
    <cfRule type="expression" dxfId="2370" priority="10">
      <formula>NoColor</formula>
    </cfRule>
  </conditionalFormatting>
  <conditionalFormatting sqref="AA34">
    <cfRule type="expression" dxfId="2369" priority="9">
      <formula>NoColor</formula>
    </cfRule>
  </conditionalFormatting>
  <conditionalFormatting sqref="AA37">
    <cfRule type="expression" dxfId="2368" priority="8">
      <formula>NoColor</formula>
    </cfRule>
  </conditionalFormatting>
  <conditionalFormatting sqref="AA40">
    <cfRule type="expression" dxfId="2367" priority="7">
      <formula>NoColor</formula>
    </cfRule>
  </conditionalFormatting>
  <conditionalFormatting sqref="AA43">
    <cfRule type="expression" dxfId="2366" priority="6">
      <formula>NoColor</formula>
    </cfRule>
  </conditionalFormatting>
  <conditionalFormatting sqref="AA46">
    <cfRule type="expression" dxfId="2365" priority="5">
      <formula>NoColor</formula>
    </cfRule>
  </conditionalFormatting>
  <conditionalFormatting sqref="AA49">
    <cfRule type="expression" dxfId="2364" priority="4">
      <formula>NoColor</formula>
    </cfRule>
  </conditionalFormatting>
  <conditionalFormatting sqref="AA52">
    <cfRule type="expression" dxfId="2363" priority="3">
      <formula>NoColor</formula>
    </cfRule>
  </conditionalFormatting>
  <conditionalFormatting sqref="AA66">
    <cfRule type="expression" dxfId="2362" priority="29">
      <formula>NoColor</formula>
    </cfRule>
  </conditionalFormatting>
  <conditionalFormatting sqref="AD74">
    <cfRule type="expression" dxfId="2360" priority="65">
      <formula>(Y25&lt;&gt;0)</formula>
    </cfRule>
  </conditionalFormatting>
  <conditionalFormatting sqref="AD132:AD133">
    <cfRule type="expression" dxfId="2359" priority="13">
      <formula>NoColor</formula>
    </cfRule>
  </conditionalFormatting>
  <conditionalFormatting sqref="AD135">
    <cfRule type="expression" dxfId="2358" priority="12">
      <formula>NoColor</formula>
    </cfRule>
  </conditionalFormatting>
  <conditionalFormatting sqref="AE23">
    <cfRule type="expression" dxfId="2357" priority="64">
      <formula>FarmProfitNet&lt;&gt;0</formula>
    </cfRule>
  </conditionalFormatting>
  <conditionalFormatting sqref="AE25">
    <cfRule type="expression" dxfId="2356" priority="63">
      <formula>FarmProfitNet&lt;&gt;0</formula>
    </cfRule>
  </conditionalFormatting>
  <hyperlinks>
    <hyperlink ref="B130:H130" r:id="rId1" display="Download Form 1040 Schedule R" xr:uid="{00000000-0004-0000-2300-000000000000}"/>
    <hyperlink ref="B132:H132" r:id="rId2" display="Download Form 1040 Schedule R Instructions" xr:uid="{00000000-0004-0000-2300-000001000000}"/>
    <hyperlink ref="D134:E136" location="'Table of Contents'!A1" display="Table of Contents" xr:uid="{00000000-0004-0000-2300-000002000000}"/>
  </hyperlinks>
  <pageMargins left="0.75" right="0.25" top="0.36" bottom="0.28999999999999998" header="0.36" footer="0.21"/>
  <pageSetup scale="91" fitToHeight="0" orientation="portrait" r:id="rId3"/>
  <rowBreaks count="1" manualBreakCount="1">
    <brk id="74" min="1" max="27" man="1"/>
  </rowBreaks>
  <drawing r:id="rId4"/>
  <extLst>
    <ext xmlns:x14="http://schemas.microsoft.com/office/spreadsheetml/2009/9/main" uri="{78C0D931-6437-407d-A8EE-F0AAD7539E65}">
      <x14:conditionalFormattings>
        <x14:conditionalFormatting xmlns:xm="http://schemas.microsoft.com/office/excel/2006/main">
          <x14:cfRule type="expression" priority="1" id="{4D4C1750-A169-470D-A216-E9997C384B6C}">
            <xm:f>AND(AC13="",'Table of Contents'!A41="D")</xm:f>
            <x14:dxf>
              <font>
                <b/>
                <i val="0"/>
                <color rgb="FFC00000"/>
              </font>
            </x14:dxf>
          </x14:cfRule>
          <xm:sqref>X13:AB13</xm:sqref>
        </x14:conditionalFormatting>
        <x14:conditionalFormatting xmlns:xm="http://schemas.microsoft.com/office/excel/2006/main">
          <x14:cfRule type="expression" priority="2" id="{DE99210F-43F7-480E-A4BE-121B9138EB18}">
            <xm:f>'Table of Contents'!A41="D"</xm:f>
            <x14:dxf>
              <fill>
                <patternFill>
                  <bgColor theme="0"/>
                </patternFill>
              </fill>
              <border>
                <right style="thin">
                  <color auto="1"/>
                </right>
                <top style="thin">
                  <color auto="1"/>
                </top>
                <bottom style="thin">
                  <color auto="1"/>
                </bottom>
                <vertical/>
                <horizontal/>
              </border>
            </x14:dxf>
          </x14:cfRule>
          <xm:sqref>AC13</xm:sqref>
        </x14:conditionalFormatting>
      </x14:conditionalFormatting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12">
    <pageSetUpPr fitToPage="1"/>
  </sheetPr>
  <dimension ref="A1:AZ147"/>
  <sheetViews>
    <sheetView zoomScaleNormal="100" zoomScaleSheetLayoutView="115" workbookViewId="0"/>
  </sheetViews>
  <sheetFormatPr defaultRowHeight="12.75"/>
  <cols>
    <col min="1" max="1" width="2.140625" customWidth="1"/>
    <col min="2" max="2" width="1.85546875" customWidth="1"/>
    <col min="3" max="4" width="3.140625" customWidth="1"/>
    <col min="5" max="5" width="4.140625" customWidth="1"/>
    <col min="6" max="6" width="9.28515625" customWidth="1"/>
    <col min="7" max="7" width="6.28515625" customWidth="1"/>
    <col min="8" max="8" width="5.42578125" customWidth="1"/>
    <col min="9" max="9" width="5" customWidth="1"/>
    <col min="10" max="10" width="4.140625" customWidth="1"/>
    <col min="11" max="11" width="9.85546875" customWidth="1"/>
    <col min="12" max="12" width="2.5703125" customWidth="1"/>
    <col min="13" max="13" width="3.7109375" customWidth="1"/>
    <col min="14" max="14" width="4.140625" customWidth="1"/>
    <col min="15" max="15" width="2.28515625" customWidth="1"/>
    <col min="16" max="16" width="4.5703125" customWidth="1"/>
    <col min="17" max="17" width="6.85546875" customWidth="1"/>
    <col min="18" max="22" width="3.7109375" customWidth="1"/>
    <col min="23" max="23" width="4" customWidth="1"/>
    <col min="24" max="24" width="11.42578125" customWidth="1"/>
    <col min="25" max="25" width="3.85546875" customWidth="1"/>
    <col min="26" max="26" width="1.5703125" customWidth="1"/>
    <col min="27" max="27" width="3.42578125" customWidth="1"/>
    <col min="28" max="28" width="17.140625" customWidth="1"/>
    <col min="29" max="30" width="4.28515625" customWidth="1"/>
    <col min="31" max="31" width="10.7109375" customWidth="1"/>
    <col min="32" max="32" width="6.5703125" customWidth="1"/>
    <col min="33" max="33" width="23.7109375" customWidth="1"/>
    <col min="34" max="34" width="14.85546875" customWidth="1"/>
    <col min="35" max="35" width="3.7109375" customWidth="1"/>
    <col min="36" max="36" width="13.85546875" hidden="1" customWidth="1"/>
    <col min="37" max="37" width="27.7109375" hidden="1" customWidth="1"/>
    <col min="38" max="41" width="12.140625" hidden="1" customWidth="1"/>
    <col min="42" max="42" width="5.28515625" customWidth="1"/>
    <col min="43" max="44" width="10.5703125" customWidth="1"/>
    <col min="45" max="45" width="10.42578125" customWidth="1"/>
    <col min="46" max="48" width="8.7109375" customWidth="1"/>
  </cols>
  <sheetData>
    <row r="1" spans="1:52" ht="27" customHeight="1">
      <c r="A1" s="139"/>
      <c r="B1" s="8934"/>
      <c r="C1" s="8934"/>
      <c r="D1" s="8934"/>
      <c r="E1" s="8934"/>
      <c r="F1" s="8934"/>
      <c r="G1" s="844" t="s">
        <v>2681</v>
      </c>
      <c r="H1" s="139"/>
      <c r="I1" s="139"/>
      <c r="J1" s="139"/>
      <c r="K1" s="139"/>
      <c r="L1" s="139"/>
      <c r="M1" s="139"/>
      <c r="N1" s="139"/>
      <c r="O1" s="139"/>
      <c r="P1" s="139"/>
      <c r="Q1" s="139"/>
      <c r="R1" s="139"/>
      <c r="S1" s="139"/>
      <c r="T1" s="139"/>
      <c r="U1" s="139"/>
      <c r="V1" s="139"/>
      <c r="W1" s="8823" t="str">
        <f>IF('Table of Contents'!A42="D","DRAFT","")</f>
        <v/>
      </c>
      <c r="X1" s="8823"/>
      <c r="Y1" s="8823"/>
      <c r="Z1" s="8823"/>
      <c r="AA1" s="139"/>
      <c r="AB1" s="5415"/>
      <c r="AC1" s="253"/>
      <c r="AD1" s="253"/>
      <c r="AE1" s="253"/>
      <c r="AF1" s="253"/>
      <c r="AG1" s="253"/>
      <c r="AH1" s="253"/>
      <c r="AI1" s="253"/>
      <c r="AJ1" s="253"/>
      <c r="AK1" s="253"/>
      <c r="AL1" s="253"/>
      <c r="AM1" s="253"/>
      <c r="AN1" s="253"/>
      <c r="AO1" s="253"/>
      <c r="AP1" s="253"/>
      <c r="AQ1" s="658"/>
      <c r="AR1" s="658"/>
      <c r="AS1" s="658"/>
      <c r="AT1" s="658"/>
      <c r="AU1" s="658"/>
      <c r="AV1" s="658"/>
      <c r="AW1" s="658"/>
      <c r="AX1" s="658"/>
      <c r="AY1" s="658"/>
      <c r="AZ1" s="658"/>
    </row>
    <row r="2" spans="1:52" ht="21.75" customHeight="1">
      <c r="A2" s="139"/>
      <c r="B2" s="8850" t="s">
        <v>2682</v>
      </c>
      <c r="C2" s="8851"/>
      <c r="D2" s="8851"/>
      <c r="E2" s="8851"/>
      <c r="F2" s="8852"/>
      <c r="G2" s="2118"/>
      <c r="H2" s="1660"/>
      <c r="I2" s="1660"/>
      <c r="J2" s="1660"/>
      <c r="K2" s="1660"/>
      <c r="L2" s="1660"/>
      <c r="M2" s="1660"/>
      <c r="N2" s="1660"/>
      <c r="O2" s="1660"/>
      <c r="P2" s="1660"/>
      <c r="Q2" s="1660"/>
      <c r="R2" s="1660"/>
      <c r="S2" s="1660"/>
      <c r="T2" s="1660"/>
      <c r="U2" s="1660"/>
      <c r="V2" s="5600"/>
      <c r="W2" s="8855" t="str">
        <f>IF(AND(AA2="",'Table of Contents'!A42="D"),"DRAFT","OMB No. 1545-0074")</f>
        <v>OMB No. 1545-0074</v>
      </c>
      <c r="X2" s="8320"/>
      <c r="Y2" s="8320"/>
      <c r="Z2" s="8320"/>
      <c r="AA2" s="2386"/>
      <c r="AB2" s="2975" t="s">
        <v>2683</v>
      </c>
      <c r="AC2" s="1009"/>
      <c r="AD2" s="1009"/>
      <c r="AE2" s="1009"/>
      <c r="AF2" s="1009"/>
      <c r="AG2" s="1009"/>
      <c r="AH2" s="1009"/>
      <c r="AI2" s="850"/>
      <c r="AJ2" s="1009"/>
      <c r="AK2" s="850"/>
      <c r="AL2" s="850"/>
      <c r="AM2" s="850"/>
      <c r="AN2" s="850"/>
      <c r="AO2" s="850"/>
      <c r="AP2" s="850"/>
      <c r="AQ2" s="657" t="s">
        <v>223</v>
      </c>
      <c r="AR2" s="658"/>
      <c r="AS2" s="658"/>
      <c r="AT2" s="658"/>
      <c r="AU2" s="658"/>
      <c r="AV2" s="658"/>
      <c r="AW2" s="658"/>
      <c r="AX2" s="658"/>
      <c r="AY2" s="658"/>
      <c r="AZ2" s="658"/>
    </row>
    <row r="3" spans="1:52" ht="27.75" customHeight="1">
      <c r="A3" s="139"/>
      <c r="B3" s="8853" t="s">
        <v>1815</v>
      </c>
      <c r="C3" s="8853"/>
      <c r="D3" s="8853"/>
      <c r="E3" s="8853"/>
      <c r="F3" s="8854"/>
      <c r="G3" s="8865" t="s">
        <v>2684</v>
      </c>
      <c r="H3" s="8866"/>
      <c r="I3" s="8866"/>
      <c r="J3" s="8866"/>
      <c r="K3" s="8866"/>
      <c r="L3" s="8866"/>
      <c r="M3" s="8866"/>
      <c r="N3" s="8866"/>
      <c r="O3" s="8866"/>
      <c r="P3" s="8866"/>
      <c r="Q3" s="8866"/>
      <c r="R3" s="8866"/>
      <c r="S3" s="8866"/>
      <c r="T3" s="8866"/>
      <c r="U3" s="8866"/>
      <c r="V3" s="8867"/>
      <c r="W3" s="8861">
        <f>TaxYear</f>
        <v>2025</v>
      </c>
      <c r="X3" s="7850"/>
      <c r="Y3" s="7850"/>
      <c r="Z3" s="7850"/>
      <c r="AA3" s="139"/>
      <c r="AB3" s="5415"/>
      <c r="AC3" s="7685" t="s">
        <v>2685</v>
      </c>
      <c r="AD3" s="7685"/>
      <c r="AE3" s="7685"/>
      <c r="AF3" s="1009"/>
      <c r="AG3" s="1009"/>
      <c r="AH3" s="1009"/>
      <c r="AI3" s="850"/>
      <c r="AJ3" s="1009"/>
      <c r="AK3" s="850"/>
      <c r="AL3" s="850"/>
      <c r="AM3" s="850"/>
      <c r="AN3" s="850"/>
      <c r="AO3" s="850"/>
      <c r="AP3" s="850"/>
      <c r="AQ3" s="658"/>
      <c r="AR3" s="658"/>
      <c r="AS3" s="658"/>
      <c r="AT3" s="658"/>
      <c r="AU3" s="658"/>
      <c r="AV3" s="658"/>
      <c r="AW3" s="658"/>
      <c r="AX3" s="658"/>
      <c r="AY3" s="658"/>
      <c r="AZ3" s="658"/>
    </row>
    <row r="4" spans="1:52" ht="13.5" customHeight="1" thickBot="1">
      <c r="A4" s="139"/>
      <c r="B4" s="8870" t="s">
        <v>503</v>
      </c>
      <c r="C4" s="8870"/>
      <c r="D4" s="8870"/>
      <c r="E4" s="8870"/>
      <c r="F4" s="8871"/>
      <c r="G4" s="8862" t="s">
        <v>4990</v>
      </c>
      <c r="H4" s="7996"/>
      <c r="I4" s="7996"/>
      <c r="J4" s="7996"/>
      <c r="K4" s="7996"/>
      <c r="L4" s="7996"/>
      <c r="M4" s="7996"/>
      <c r="N4" s="7996"/>
      <c r="O4" s="7996"/>
      <c r="P4" s="7996"/>
      <c r="Q4" s="7996"/>
      <c r="R4" s="7996"/>
      <c r="S4" s="7996"/>
      <c r="T4" s="7996"/>
      <c r="U4" s="7996"/>
      <c r="V4" s="8304"/>
      <c r="W4" s="5601"/>
      <c r="X4" s="8868" t="s">
        <v>2686</v>
      </c>
      <c r="Y4" s="8868"/>
      <c r="Z4" s="8868"/>
      <c r="AA4" s="139"/>
      <c r="AB4" s="5415"/>
      <c r="AC4" s="7685"/>
      <c r="AD4" s="7685"/>
      <c r="AE4" s="7685"/>
      <c r="AF4" s="1009"/>
      <c r="AG4" s="1009"/>
      <c r="AH4" s="1009"/>
      <c r="AI4" s="850"/>
      <c r="AJ4" s="1009"/>
      <c r="AK4" s="850"/>
      <c r="AL4" s="850"/>
      <c r="AM4" s="850"/>
      <c r="AN4" s="850"/>
      <c r="AO4" s="850"/>
      <c r="AP4" s="850"/>
      <c r="AQ4" s="658"/>
      <c r="AR4" s="658"/>
      <c r="AS4" s="658"/>
      <c r="AT4" s="658"/>
      <c r="AU4" s="658"/>
      <c r="AV4" s="658"/>
      <c r="AW4" s="658"/>
      <c r="AX4" s="658"/>
      <c r="AY4" s="658"/>
      <c r="AZ4" s="658"/>
    </row>
    <row r="5" spans="1:52" ht="12.75" customHeight="1" thickBot="1">
      <c r="A5" s="139"/>
      <c r="B5" s="8872" t="str">
        <f>"Internal Revenue Service  (99)"</f>
        <v>Internal Revenue Service  (99)</v>
      </c>
      <c r="C5" s="8872"/>
      <c r="D5" s="8872"/>
      <c r="E5" s="8872"/>
      <c r="F5" s="8873"/>
      <c r="G5" s="8862" t="s">
        <v>4991</v>
      </c>
      <c r="H5" s="8863"/>
      <c r="I5" s="8863"/>
      <c r="J5" s="8863"/>
      <c r="K5" s="8863"/>
      <c r="L5" s="8863"/>
      <c r="M5" s="8863"/>
      <c r="N5" s="8863"/>
      <c r="O5" s="8863"/>
      <c r="P5" s="8863"/>
      <c r="Q5" s="8863"/>
      <c r="R5" s="8863"/>
      <c r="S5" s="8863"/>
      <c r="T5" s="8863"/>
      <c r="U5" s="8863"/>
      <c r="V5" s="8864"/>
      <c r="W5" s="5602"/>
      <c r="X5" s="8869"/>
      <c r="Y5" s="8869"/>
      <c r="Z5" s="8869"/>
      <c r="AA5" s="139"/>
      <c r="AB5" s="5415"/>
      <c r="AC5" s="253"/>
      <c r="AD5" s="277" t="s">
        <v>2119</v>
      </c>
      <c r="AE5" s="1059" t="s">
        <v>2687</v>
      </c>
      <c r="AF5" s="253"/>
      <c r="AG5" s="8904" t="str">
        <f>IF(AND(AJ7,AL35),"Error: You can't check 'Spouse' if this form is for your statutory employee income.",IF(AND(AJ5,AM35),"Error: You can't check 'Yourself' if this form is for your spouse's statutory employee income.",""))</f>
        <v/>
      </c>
      <c r="AH5" s="850"/>
      <c r="AI5" s="253"/>
      <c r="AJ5" s="253" t="b">
        <f>(AD5&lt;&gt;"")</f>
        <v>1</v>
      </c>
      <c r="AK5" s="850"/>
      <c r="AL5" s="253" t="b">
        <f>OR(AND('Sch. C'!M7=SS_Yours,'Sch. C'!Y6,NOT('Sch. C'!Y10)),AND('Sch. C'!M121=SS_Yours,'Sch. C'!Y120,NOT('Sch. C'!Y124)))</f>
        <v>1</v>
      </c>
      <c r="AM5" s="850"/>
      <c r="AN5" s="850"/>
      <c r="AO5" s="850"/>
      <c r="AP5" s="850"/>
      <c r="AQ5" s="658"/>
      <c r="AR5" s="658"/>
      <c r="AS5" s="658"/>
      <c r="AT5" s="658"/>
      <c r="AU5" s="658"/>
      <c r="AV5" s="658"/>
      <c r="AW5" s="658"/>
      <c r="AX5" s="658"/>
      <c r="AY5" s="658"/>
      <c r="AZ5" s="658"/>
    </row>
    <row r="6" spans="1:52" ht="12" customHeight="1" thickBot="1">
      <c r="A6" s="139"/>
      <c r="B6" s="8880" t="s">
        <v>6388</v>
      </c>
      <c r="C6" s="8880"/>
      <c r="D6" s="8880"/>
      <c r="E6" s="8880"/>
      <c r="F6" s="8880"/>
      <c r="G6" s="8880"/>
      <c r="H6" s="8880"/>
      <c r="I6" s="8880"/>
      <c r="J6" s="8880"/>
      <c r="K6" s="8880"/>
      <c r="L6" s="8880"/>
      <c r="M6" s="8880"/>
      <c r="N6" s="8880"/>
      <c r="O6" s="8880"/>
      <c r="P6" s="8880"/>
      <c r="Q6" s="8874" t="str">
        <f>IF($AJ$6,"Social security number(s) MUST be entered for this form to work properly.","Social security number of person"&amp;CHAR(10)&amp;"with self-employment income")</f>
        <v>Social security number of person
with self-employment income</v>
      </c>
      <c r="R6" s="8875"/>
      <c r="S6" s="8875"/>
      <c r="T6" s="8875"/>
      <c r="U6" s="8875"/>
      <c r="V6" s="8876"/>
      <c r="W6" s="8856">
        <f>IF(AND(AJ5,AJ7),SS_Yours,IF(AJ5,SS_Yours,IF(AJ7,SS_Spouse,"")))</f>
        <v>1010001</v>
      </c>
      <c r="X6" s="8857"/>
      <c r="Y6" s="8857"/>
      <c r="Z6" s="8857"/>
      <c r="AA6" s="139"/>
      <c r="AB6" s="5415"/>
      <c r="AC6" s="253"/>
      <c r="AD6" s="253"/>
      <c r="AE6" s="5603" t="str">
        <f>IF(File_Marr_Joint&lt;&gt;"","Check both boxes if for both.","")</f>
        <v/>
      </c>
      <c r="AF6" s="253"/>
      <c r="AG6" s="8904"/>
      <c r="AH6" s="253"/>
      <c r="AI6" s="850"/>
      <c r="AJ6" s="850" t="b">
        <f>OR(AND(File_Marr_Joint&lt;&gt;"",SS_Yours=0,SS_Spouse=0),SS_Yours=0)</f>
        <v>0</v>
      </c>
      <c r="AK6" s="253"/>
      <c r="AL6" s="253"/>
      <c r="AM6" s="850"/>
      <c r="AN6" s="850"/>
      <c r="AO6" s="850"/>
      <c r="AP6" s="850"/>
      <c r="AQ6" s="658"/>
      <c r="AR6" s="658"/>
      <c r="AS6" s="658"/>
      <c r="AT6" s="658"/>
      <c r="AU6" s="658"/>
      <c r="AV6" s="658"/>
      <c r="AW6" s="658"/>
      <c r="AX6" s="658"/>
      <c r="AY6" s="658"/>
      <c r="AZ6" s="658"/>
    </row>
    <row r="7" spans="1:52" ht="16.5" customHeight="1" thickBot="1">
      <c r="A7" s="139"/>
      <c r="B7" s="8881" t="str">
        <f>IF(AND(AJ5,AJ7),NameYours&amp;" and "&amp;NameSpouse,IF(AJ5,NameYours,IF(AJ7,NameSpouse,"")))</f>
        <v xml:space="preserve"> </v>
      </c>
      <c r="C7" s="8881"/>
      <c r="D7" s="8881"/>
      <c r="E7" s="8881"/>
      <c r="F7" s="8881"/>
      <c r="G7" s="8881"/>
      <c r="H7" s="8881"/>
      <c r="I7" s="8881"/>
      <c r="J7" s="8881"/>
      <c r="K7" s="8881"/>
      <c r="L7" s="8881"/>
      <c r="M7" s="8881"/>
      <c r="N7" s="8881"/>
      <c r="O7" s="8881"/>
      <c r="P7" s="8881"/>
      <c r="Q7" s="8877"/>
      <c r="R7" s="8878"/>
      <c r="S7" s="8878"/>
      <c r="T7" s="8878"/>
      <c r="U7" s="8878"/>
      <c r="V7" s="8879"/>
      <c r="W7" s="8858"/>
      <c r="X7" s="8859"/>
      <c r="Y7" s="8859"/>
      <c r="Z7" s="8859"/>
      <c r="AA7" s="139"/>
      <c r="AB7" s="7820" t="s">
        <v>2688</v>
      </c>
      <c r="AC7" s="253"/>
      <c r="AD7" s="277"/>
      <c r="AE7" s="1059" t="str">
        <f>IF(AND(NumFileStatusBoxes=1,File_Marr_Joint&lt;&gt;""),"  Spouse","")</f>
        <v/>
      </c>
      <c r="AF7" s="253"/>
      <c r="AG7" s="8904"/>
      <c r="AH7" s="850"/>
      <c r="AI7" s="253"/>
      <c r="AJ7" s="253" t="b">
        <f>(AD7&lt;&gt;"")</f>
        <v>0</v>
      </c>
      <c r="AK7" s="253"/>
      <c r="AL7" s="253" t="b">
        <f>AND(File_Marr_Joint&lt;&gt;"",OR(AND('Sch. C'!M7=SS_Spouse,'Sch. C'!Y6,NOT('Sch. C'!Y10)),AND('Sch. C'!M121=SS_Spouse,'Sch. C'!Y120,NOT('Sch. C'!Y124))))</f>
        <v>0</v>
      </c>
      <c r="AM7" s="850"/>
      <c r="AN7" s="850"/>
      <c r="AO7" s="850"/>
      <c r="AP7" s="850"/>
      <c r="AQ7" s="658"/>
      <c r="AR7" s="658"/>
      <c r="AS7" s="658"/>
      <c r="AT7" s="658"/>
      <c r="AU7" s="658"/>
      <c r="AV7" s="658"/>
      <c r="AW7" s="658"/>
      <c r="AX7" s="658"/>
      <c r="AY7" s="658"/>
      <c r="AZ7" s="658"/>
    </row>
    <row r="8" spans="1:52" ht="18" customHeight="1">
      <c r="A8" s="139"/>
      <c r="B8" s="8882" t="s">
        <v>780</v>
      </c>
      <c r="C8" s="8882"/>
      <c r="D8" s="8882"/>
      <c r="E8" s="5604" t="s">
        <v>2684</v>
      </c>
      <c r="F8" s="2432"/>
      <c r="G8" s="2432"/>
      <c r="H8" s="2432"/>
      <c r="I8" s="2432"/>
      <c r="J8" s="2432"/>
      <c r="K8" s="2432"/>
      <c r="L8" s="2432"/>
      <c r="M8" s="2432"/>
      <c r="N8" s="2432"/>
      <c r="O8" s="2432"/>
      <c r="P8" s="2432"/>
      <c r="Q8" s="2432"/>
      <c r="R8" s="2432"/>
      <c r="S8" s="2432"/>
      <c r="T8" s="2432"/>
      <c r="U8" s="2432"/>
      <c r="V8" s="2432"/>
      <c r="W8" s="2432"/>
      <c r="X8" s="2432"/>
      <c r="Y8" s="2432"/>
      <c r="Z8" s="2432"/>
      <c r="AA8" s="139"/>
      <c r="AB8" s="7820"/>
      <c r="AC8" s="253"/>
      <c r="AD8" s="8341" t="s">
        <v>2689</v>
      </c>
      <c r="AE8" s="8341"/>
      <c r="AF8" s="8341"/>
      <c r="AG8" s="8341"/>
      <c r="AH8" s="8341"/>
      <c r="AI8" s="8341"/>
      <c r="AJ8" s="1196"/>
      <c r="AK8" s="850"/>
      <c r="AL8" s="850"/>
      <c r="AM8" s="850"/>
      <c r="AN8" s="850"/>
      <c r="AO8" s="850"/>
      <c r="AP8" s="850"/>
      <c r="AQ8" s="658"/>
      <c r="AR8" s="658"/>
      <c r="AS8" s="658"/>
      <c r="AT8" s="658"/>
      <c r="AU8" s="658"/>
      <c r="AV8" s="658"/>
      <c r="AW8" s="658"/>
      <c r="AX8" s="658"/>
      <c r="AY8" s="658"/>
      <c r="AZ8" s="658"/>
    </row>
    <row r="9" spans="1:52" ht="14.25" customHeight="1">
      <c r="A9" s="139"/>
      <c r="B9" s="2126" t="s">
        <v>2690</v>
      </c>
      <c r="C9" s="5359"/>
      <c r="D9" s="5359"/>
      <c r="E9" s="5605"/>
      <c r="F9" s="88"/>
      <c r="G9" s="88"/>
      <c r="H9" s="88"/>
      <c r="I9" s="88"/>
      <c r="J9" s="88"/>
      <c r="K9" s="88"/>
      <c r="L9" s="88"/>
      <c r="M9" s="88"/>
      <c r="N9" s="88"/>
      <c r="O9" s="88"/>
      <c r="P9" s="88"/>
      <c r="Q9" s="88"/>
      <c r="R9" s="88"/>
      <c r="S9" s="88"/>
      <c r="T9" s="88"/>
      <c r="U9" s="88"/>
      <c r="V9" s="88"/>
      <c r="W9" s="88"/>
      <c r="X9" s="88"/>
      <c r="Y9" s="88"/>
      <c r="Z9" s="88"/>
      <c r="AA9" s="139"/>
      <c r="AB9" s="5415"/>
      <c r="AC9" s="253"/>
      <c r="AD9" s="8341"/>
      <c r="AE9" s="8341"/>
      <c r="AF9" s="8341"/>
      <c r="AG9" s="8341"/>
      <c r="AH9" s="8341"/>
      <c r="AI9" s="8341"/>
      <c r="AJ9" s="1196"/>
      <c r="AK9" s="850"/>
      <c r="AL9" s="850"/>
      <c r="AM9" s="850"/>
      <c r="AN9" s="850"/>
      <c r="AO9" s="850"/>
      <c r="AP9" s="850"/>
      <c r="AQ9" s="658"/>
      <c r="AR9" s="658"/>
      <c r="AS9" s="658"/>
      <c r="AT9" s="658"/>
      <c r="AU9" s="658"/>
      <c r="AV9" s="658"/>
      <c r="AW9" s="658"/>
      <c r="AX9" s="658"/>
      <c r="AY9" s="658"/>
      <c r="AZ9" s="658"/>
    </row>
    <row r="10" spans="1:52" s="138" customFormat="1" ht="14.25" customHeight="1">
      <c r="A10" s="139"/>
      <c r="B10" s="2126" t="s">
        <v>2691</v>
      </c>
      <c r="C10" s="5359"/>
      <c r="D10" s="5359"/>
      <c r="E10" s="5605"/>
      <c r="F10" s="88"/>
      <c r="G10" s="88"/>
      <c r="H10" s="88"/>
      <c r="I10" s="88"/>
      <c r="J10" s="88"/>
      <c r="K10" s="88"/>
      <c r="L10" s="88"/>
      <c r="M10" s="88"/>
      <c r="N10" s="88"/>
      <c r="O10" s="88"/>
      <c r="P10" s="88"/>
      <c r="Q10" s="88"/>
      <c r="R10" s="88"/>
      <c r="S10" s="88"/>
      <c r="T10" s="88"/>
      <c r="U10" s="88"/>
      <c r="V10" s="88"/>
      <c r="W10" s="88"/>
      <c r="X10" s="88"/>
      <c r="Y10" s="88"/>
      <c r="Z10" s="88"/>
      <c r="AA10" s="139"/>
      <c r="AB10" s="8905" t="str">
        <f>IF(ChurchEmployee1,"Skip line 1 thru 4b, enter -0- on line 4c, and go to line 5a.","")</f>
        <v/>
      </c>
      <c r="AC10" s="253"/>
      <c r="AD10" s="8341"/>
      <c r="AE10" s="8341"/>
      <c r="AF10" s="8341"/>
      <c r="AG10" s="8341"/>
      <c r="AH10" s="8341"/>
      <c r="AI10" s="8341"/>
      <c r="AJ10" s="1196"/>
      <c r="AK10" s="850"/>
      <c r="AL10" s="850"/>
      <c r="AM10" s="850"/>
      <c r="AN10" s="850"/>
      <c r="AO10" s="850"/>
      <c r="AP10" s="850"/>
      <c r="AQ10" s="662"/>
      <c r="AR10" s="662"/>
      <c r="AS10" s="662"/>
      <c r="AT10" s="662"/>
      <c r="AU10" s="662"/>
      <c r="AV10" s="662"/>
      <c r="AW10" s="662"/>
      <c r="AX10" s="662"/>
      <c r="AY10" s="662"/>
      <c r="AZ10" s="662"/>
    </row>
    <row r="11" spans="1:52" ht="11.25" customHeight="1">
      <c r="A11" s="139"/>
      <c r="B11" s="7706" t="s">
        <v>510</v>
      </c>
      <c r="C11" s="7706"/>
      <c r="D11" s="5359"/>
      <c r="E11" s="2126" t="s">
        <v>2692</v>
      </c>
      <c r="F11" s="88"/>
      <c r="G11" s="88"/>
      <c r="H11" s="88"/>
      <c r="I11" s="88"/>
      <c r="J11" s="88"/>
      <c r="K11" s="88"/>
      <c r="L11" s="88"/>
      <c r="M11" s="88"/>
      <c r="N11" s="88"/>
      <c r="O11" s="88"/>
      <c r="P11" s="88"/>
      <c r="Q11" s="88"/>
      <c r="R11" s="88"/>
      <c r="S11" s="88"/>
      <c r="T11" s="88"/>
      <c r="U11" s="88"/>
      <c r="V11" s="88"/>
      <c r="W11" s="88"/>
      <c r="X11" s="88"/>
      <c r="Y11" s="88"/>
      <c r="Z11" s="88"/>
      <c r="AA11" s="139"/>
      <c r="AB11" s="8905"/>
      <c r="AC11" s="253"/>
      <c r="AD11" s="8341"/>
      <c r="AE11" s="8341"/>
      <c r="AF11" s="8341"/>
      <c r="AG11" s="8341"/>
      <c r="AH11" s="8341"/>
      <c r="AI11" s="8341"/>
      <c r="AJ11" s="1196"/>
      <c r="AK11" s="850"/>
      <c r="AL11" s="850"/>
      <c r="AM11" s="850"/>
      <c r="AN11" s="850"/>
      <c r="AO11" s="850"/>
      <c r="AP11" s="850"/>
      <c r="AQ11" s="658"/>
      <c r="AR11" s="658"/>
      <c r="AS11" s="658"/>
      <c r="AT11" s="658"/>
      <c r="AU11" s="658"/>
      <c r="AV11" s="658"/>
      <c r="AW11" s="658"/>
      <c r="AX11" s="658"/>
      <c r="AY11" s="658"/>
      <c r="AZ11" s="658"/>
    </row>
    <row r="12" spans="1:52" ht="11.25" customHeight="1">
      <c r="A12" s="139"/>
      <c r="B12" s="5359"/>
      <c r="C12" s="5359"/>
      <c r="D12" s="5359"/>
      <c r="E12" s="2126" t="str">
        <f>TEXT(AJ20,"$0")&amp;" or more of"</f>
        <v>$400 or more of</v>
      </c>
      <c r="F12" s="88"/>
      <c r="G12" s="1560"/>
      <c r="H12" s="2449"/>
      <c r="I12" s="5454" t="s">
        <v>2693</v>
      </c>
      <c r="J12" s="2617" t="s">
        <v>2694</v>
      </c>
      <c r="K12" s="88"/>
      <c r="L12" s="88"/>
      <c r="M12" s="88"/>
      <c r="N12" s="88"/>
      <c r="O12" s="88"/>
      <c r="P12" s="88"/>
      <c r="Q12" s="88"/>
      <c r="R12" s="88"/>
      <c r="S12" s="88"/>
      <c r="T12" s="88"/>
      <c r="U12" s="88"/>
      <c r="V12" s="88"/>
      <c r="W12" s="88"/>
      <c r="X12" s="2715" t="s">
        <v>877</v>
      </c>
      <c r="Y12" s="1111"/>
      <c r="Z12" s="88"/>
      <c r="AA12" s="139"/>
      <c r="AB12" s="8905"/>
      <c r="AC12" s="253"/>
      <c r="AD12" s="1196"/>
      <c r="AE12" s="1198" t="b">
        <f>AND(X21=0,ChurchEmployeeIncome1&lt;&gt;"",ChurchEmployeeIncome1&gt;0)</f>
        <v>0</v>
      </c>
      <c r="AF12" s="1196"/>
      <c r="AG12" s="1196"/>
      <c r="AH12" s="1196"/>
      <c r="AI12" s="850"/>
      <c r="AJ12" s="1196" t="b">
        <f>AND(Y12&lt;&gt;"",AJ5)</f>
        <v>0</v>
      </c>
      <c r="AK12" s="850"/>
      <c r="AL12" s="850" t="b">
        <f>AND(Y12&lt;&gt;"",AND(AJ7,NOT(AJ8)))</f>
        <v>0</v>
      </c>
      <c r="AM12" s="850"/>
      <c r="AN12" s="850"/>
      <c r="AO12" s="850"/>
      <c r="AP12" s="850"/>
      <c r="AQ12" s="658"/>
      <c r="AR12" s="658"/>
      <c r="AS12" s="658"/>
      <c r="AT12" s="658"/>
      <c r="AU12" s="658"/>
      <c r="AV12" s="658"/>
      <c r="AW12" s="658"/>
      <c r="AX12" s="658"/>
      <c r="AY12" s="658"/>
      <c r="AZ12" s="658"/>
    </row>
    <row r="13" spans="1:52" ht="13.5" customHeight="1" thickBot="1">
      <c r="A13" s="139"/>
      <c r="B13" s="2126" t="s">
        <v>2695</v>
      </c>
      <c r="C13" s="5359"/>
      <c r="D13" s="5359"/>
      <c r="E13" s="2126"/>
      <c r="F13" s="88"/>
      <c r="G13" s="88"/>
      <c r="H13" s="88"/>
      <c r="I13" s="88"/>
      <c r="J13" s="88"/>
      <c r="K13" s="88"/>
      <c r="L13" s="88"/>
      <c r="M13" s="88"/>
      <c r="N13" s="88"/>
      <c r="O13" s="88"/>
      <c r="P13" s="88"/>
      <c r="Q13" s="88"/>
      <c r="R13" s="88"/>
      <c r="S13" s="88"/>
      <c r="T13" s="88"/>
      <c r="U13" s="88"/>
      <c r="V13" s="88"/>
      <c r="W13" s="88"/>
      <c r="X13" s="88"/>
      <c r="Y13" s="88"/>
      <c r="Z13" s="88"/>
      <c r="AA13" s="139"/>
      <c r="AB13" s="5415"/>
      <c r="AC13" s="5415"/>
      <c r="AD13" s="5415"/>
      <c r="AE13" s="5415"/>
      <c r="AF13" s="5415"/>
      <c r="AG13" s="5415"/>
      <c r="AH13" s="5415"/>
      <c r="AI13" s="5415"/>
      <c r="AJ13" s="851">
        <f>IF(AB15&lt;&gt;"",ROUND(AB15,0),FarmProfitNet)</f>
        <v>0</v>
      </c>
      <c r="AK13" s="850"/>
      <c r="AL13" s="850"/>
      <c r="AM13" s="850"/>
      <c r="AN13" s="850"/>
      <c r="AO13" s="850"/>
      <c r="AP13" s="850"/>
      <c r="AQ13" s="658"/>
      <c r="AR13" s="658"/>
      <c r="AS13" s="658"/>
      <c r="AT13" s="658"/>
      <c r="AU13" s="658"/>
      <c r="AV13" s="658"/>
      <c r="AW13" s="658"/>
      <c r="AX13" s="658"/>
      <c r="AY13" s="658"/>
      <c r="AZ13" s="658"/>
    </row>
    <row r="14" spans="1:52" ht="13.5" customHeight="1" thickBot="1">
      <c r="A14" s="139"/>
      <c r="B14" s="88"/>
      <c r="C14" s="2715" t="s">
        <v>333</v>
      </c>
      <c r="D14" s="1560" t="s">
        <v>2696</v>
      </c>
      <c r="E14" s="88"/>
      <c r="F14" s="88"/>
      <c r="G14" s="88"/>
      <c r="H14" s="88"/>
      <c r="I14" s="88"/>
      <c r="J14" s="88"/>
      <c r="K14" s="88"/>
      <c r="L14" s="88"/>
      <c r="M14" s="88"/>
      <c r="N14" s="88"/>
      <c r="O14" s="88"/>
      <c r="P14" s="88"/>
      <c r="Q14" s="88"/>
      <c r="R14" s="88"/>
      <c r="S14" s="88"/>
      <c r="T14" s="88"/>
      <c r="U14" s="88"/>
      <c r="V14" s="88"/>
      <c r="W14" s="5448"/>
      <c r="X14" s="8860"/>
      <c r="Y14" s="7601"/>
      <c r="Z14" s="7601"/>
      <c r="AA14" s="139"/>
      <c r="AB14" s="5606"/>
      <c r="AC14" s="5415"/>
      <c r="AD14" s="5607" t="s">
        <v>2697</v>
      </c>
      <c r="AE14" s="377"/>
      <c r="AF14" s="377"/>
      <c r="AG14" s="5608"/>
      <c r="AH14" s="378"/>
      <c r="AI14" s="5415"/>
      <c r="AJ14" s="253"/>
      <c r="AK14" s="253"/>
      <c r="AL14" s="253"/>
      <c r="AM14" s="253"/>
      <c r="AN14" s="253"/>
      <c r="AO14" s="253"/>
      <c r="AP14" s="253"/>
      <c r="AQ14" s="658"/>
      <c r="AR14" s="658"/>
      <c r="AS14" s="658"/>
      <c r="AT14" s="658"/>
      <c r="AU14" s="658"/>
      <c r="AV14" s="658"/>
      <c r="AW14" s="658"/>
      <c r="AX14" s="658"/>
      <c r="AY14" s="658"/>
      <c r="AZ14" s="658"/>
    </row>
    <row r="15" spans="1:52" ht="13.5" customHeight="1" thickBot="1">
      <c r="A15" s="139"/>
      <c r="B15" s="182"/>
      <c r="C15" s="2975"/>
      <c r="D15" s="2449" t="s">
        <v>2698</v>
      </c>
      <c r="E15" s="182"/>
      <c r="F15" s="182"/>
      <c r="G15" s="182"/>
      <c r="H15" s="182"/>
      <c r="I15" s="182"/>
      <c r="J15" s="182"/>
      <c r="K15" s="182"/>
      <c r="L15" s="182"/>
      <c r="M15" s="182"/>
      <c r="N15" s="182"/>
      <c r="O15" s="182"/>
      <c r="P15" s="182"/>
      <c r="Q15" s="182"/>
      <c r="R15" s="182"/>
      <c r="S15" s="182"/>
      <c r="T15" s="182"/>
      <c r="U15" s="182"/>
      <c r="V15" s="5445" t="s">
        <v>2699</v>
      </c>
      <c r="W15" s="5447" t="s">
        <v>333</v>
      </c>
      <c r="X15" s="8887">
        <f>IF(AB15&lt;&gt;"",ROUND(AB15,0),IF(OR(FarmOptMeth1,AND(NOT(AJ5),NOT(AJ7))),"",IF(AND(AJ5,AJ7),SUM(AN32,ROUND(AH15,0)),IF(AJ5,SUM(AL32,ROUND(AH15,0)),IF(AJ7,SUM(AM32,ROUND(AH15,0)),"")))))</f>
        <v>0</v>
      </c>
      <c r="Y15" s="8888"/>
      <c r="Z15" s="8888"/>
      <c r="AA15" s="144"/>
      <c r="AB15" s="811"/>
      <c r="AC15" s="5415"/>
      <c r="AD15" s="980" t="s">
        <v>2700</v>
      </c>
      <c r="AE15" s="380"/>
      <c r="AF15" s="380"/>
      <c r="AG15" s="380"/>
      <c r="AH15" s="1031"/>
      <c r="AI15" s="5415"/>
      <c r="AJ15" s="253"/>
      <c r="AK15" s="253"/>
      <c r="AL15" s="253"/>
      <c r="AM15" s="253"/>
      <c r="AN15" s="253"/>
      <c r="AO15" s="253"/>
      <c r="AP15" s="253"/>
      <c r="AQ15" s="658"/>
      <c r="AR15" s="658"/>
      <c r="AS15" s="658"/>
      <c r="AT15" s="658"/>
      <c r="AU15" s="658"/>
      <c r="AV15" s="658"/>
      <c r="AW15" s="658"/>
      <c r="AX15" s="658"/>
      <c r="AY15" s="658"/>
      <c r="AZ15" s="658"/>
    </row>
    <row r="16" spans="1:52" ht="13.5" customHeight="1" thickBot="1">
      <c r="A16" s="139"/>
      <c r="B16" s="88"/>
      <c r="C16" s="2715" t="s">
        <v>592</v>
      </c>
      <c r="D16" s="1560" t="s">
        <v>2701</v>
      </c>
      <c r="E16" s="88"/>
      <c r="F16" s="88"/>
      <c r="G16" s="88"/>
      <c r="H16" s="88"/>
      <c r="I16" s="88"/>
      <c r="J16" s="88"/>
      <c r="K16" s="88"/>
      <c r="L16" s="88"/>
      <c r="M16" s="88"/>
      <c r="N16" s="88"/>
      <c r="O16" s="88"/>
      <c r="P16" s="88"/>
      <c r="Q16" s="88"/>
      <c r="R16" s="88"/>
      <c r="S16" s="88"/>
      <c r="T16" s="88"/>
      <c r="U16" s="88"/>
      <c r="V16" s="88"/>
      <c r="W16" s="2409"/>
      <c r="X16" s="8889" t="str">
        <f>IF('Sch. F'!AB24="","",'Sch. F'!AB24)</f>
        <v/>
      </c>
      <c r="Y16" s="8729"/>
      <c r="Z16" s="8729"/>
      <c r="AA16" s="139"/>
      <c r="AB16" s="5606"/>
      <c r="AC16" s="5415"/>
      <c r="AD16" s="5609" t="s">
        <v>2702</v>
      </c>
      <c r="AE16" s="406"/>
      <c r="AF16" s="406"/>
      <c r="AG16" s="406"/>
      <c r="AH16" s="406"/>
      <c r="AI16" s="5415"/>
      <c r="AJ16" s="253"/>
      <c r="AK16" s="253"/>
      <c r="AL16" s="253"/>
      <c r="AM16" s="253"/>
      <c r="AN16" s="253"/>
      <c r="AO16" s="253"/>
      <c r="AP16" s="253"/>
      <c r="AQ16" s="658"/>
      <c r="AR16" s="658"/>
      <c r="AS16" s="658"/>
      <c r="AT16" s="658"/>
      <c r="AU16" s="658"/>
      <c r="AV16" s="658"/>
      <c r="AW16" s="658"/>
      <c r="AX16" s="658"/>
      <c r="AY16" s="658"/>
      <c r="AZ16" s="658"/>
    </row>
    <row r="17" spans="1:52" ht="13.5" customHeight="1" thickBot="1">
      <c r="A17" s="139"/>
      <c r="B17" s="182"/>
      <c r="C17" s="2975"/>
      <c r="D17" s="2449" t="s">
        <v>5378</v>
      </c>
      <c r="E17" s="182"/>
      <c r="F17" s="182"/>
      <c r="G17" s="182"/>
      <c r="H17" s="182"/>
      <c r="I17" s="182"/>
      <c r="J17" s="182"/>
      <c r="K17" s="182"/>
      <c r="L17" s="182"/>
      <c r="M17" s="182"/>
      <c r="N17" s="182"/>
      <c r="O17" s="182"/>
      <c r="P17" s="182"/>
      <c r="Q17" s="182"/>
      <c r="R17" s="182"/>
      <c r="S17" s="182"/>
      <c r="T17" s="182"/>
      <c r="U17" s="182"/>
      <c r="V17" s="5445"/>
      <c r="W17" s="5447" t="s">
        <v>335</v>
      </c>
      <c r="X17" s="8887" t="str">
        <f>IF(AB17&lt;&gt;"",-ROUND(ABS(AB17),0),IF(OR(FarmOptMeth1,AND(NOT(AJ5),NOT(AJ7))),"",IF(AH17&lt;&gt;"",-ABS(ROUND(AH17,0)),"")))</f>
        <v/>
      </c>
      <c r="Y17" s="8888"/>
      <c r="Z17" s="8888"/>
      <c r="AA17" s="144"/>
      <c r="AB17" s="811"/>
      <c r="AC17" s="5415"/>
      <c r="AD17" s="1197" t="s">
        <v>2703</v>
      </c>
      <c r="AE17" s="380"/>
      <c r="AF17" s="380"/>
      <c r="AG17" s="1194"/>
      <c r="AH17" s="1031"/>
      <c r="AI17" s="5415"/>
      <c r="AJ17" s="253" t="b">
        <f>AND(FALSE,OR(AB17&gt;0,AH17&gt;0))</f>
        <v>0</v>
      </c>
      <c r="AK17" s="253"/>
      <c r="AL17" s="253"/>
      <c r="AM17" s="253"/>
      <c r="AN17" s="253"/>
      <c r="AO17" s="253"/>
      <c r="AP17" s="253"/>
      <c r="AQ17" s="658"/>
      <c r="AR17" s="658"/>
      <c r="AS17" s="658"/>
      <c r="AT17" s="658"/>
      <c r="AU17" s="658"/>
      <c r="AV17" s="658"/>
      <c r="AW17" s="658"/>
      <c r="AX17" s="658"/>
      <c r="AY17" s="658"/>
      <c r="AZ17" s="658"/>
    </row>
    <row r="18" spans="1:52" s="141" customFormat="1" ht="18.75" thickBot="1">
      <c r="A18" s="144"/>
      <c r="B18" s="2126" t="s">
        <v>2704</v>
      </c>
      <c r="C18" s="5359"/>
      <c r="D18" s="5359"/>
      <c r="E18" s="2126"/>
      <c r="F18" s="182"/>
      <c r="G18" s="182"/>
      <c r="H18" s="182"/>
      <c r="I18" s="182"/>
      <c r="J18" s="182"/>
      <c r="K18" s="182"/>
      <c r="L18" s="182"/>
      <c r="M18" s="182"/>
      <c r="N18" s="182"/>
      <c r="O18" s="182"/>
      <c r="P18" s="182"/>
      <c r="Q18" s="182"/>
      <c r="R18" s="182"/>
      <c r="S18" s="182"/>
      <c r="T18" s="182"/>
      <c r="U18" s="182"/>
      <c r="V18" s="182"/>
      <c r="W18" s="5610"/>
      <c r="X18" s="8826"/>
      <c r="Y18" s="8827"/>
      <c r="Z18" s="8827"/>
      <c r="AA18" s="144"/>
      <c r="AB18" s="8848" t="str">
        <f>IF(AN35,"See NOTE regarding Statutory Employee profit/loss.","")</f>
        <v/>
      </c>
      <c r="AC18" s="5415"/>
      <c r="AD18" s="5415"/>
      <c r="AE18" s="5415"/>
      <c r="AF18" s="5415"/>
      <c r="AG18" s="5415"/>
      <c r="AH18" s="5415"/>
      <c r="AI18" s="5611"/>
      <c r="AJ18" s="411"/>
      <c r="AK18" s="411"/>
      <c r="AL18" s="411"/>
      <c r="AM18" s="411"/>
      <c r="AN18" s="411"/>
      <c r="AO18" s="411"/>
      <c r="AP18" s="411"/>
      <c r="AQ18" s="665"/>
      <c r="AR18" s="665"/>
      <c r="AS18" s="665"/>
      <c r="AT18" s="665"/>
      <c r="AU18" s="665"/>
      <c r="AV18" s="665"/>
      <c r="AW18" s="665"/>
      <c r="AX18" s="665"/>
      <c r="AY18" s="665"/>
      <c r="AZ18" s="665"/>
    </row>
    <row r="19" spans="1:52" ht="13.5" thickBot="1">
      <c r="A19" s="139"/>
      <c r="B19" s="88"/>
      <c r="C19" s="228">
        <v>2</v>
      </c>
      <c r="D19" s="1560" t="s">
        <v>2705</v>
      </c>
      <c r="E19" s="88"/>
      <c r="F19" s="88"/>
      <c r="G19" s="88"/>
      <c r="H19" s="88"/>
      <c r="I19" s="88"/>
      <c r="J19" s="88"/>
      <c r="K19" s="88"/>
      <c r="L19" s="88"/>
      <c r="M19" s="88"/>
      <c r="N19" s="88"/>
      <c r="O19" s="88"/>
      <c r="P19" s="88"/>
      <c r="Q19" s="88"/>
      <c r="R19" s="88"/>
      <c r="S19" s="88"/>
      <c r="T19" s="88"/>
      <c r="U19" s="88"/>
      <c r="V19" s="88"/>
      <c r="W19" s="5448"/>
      <c r="X19" s="8894"/>
      <c r="Y19" s="8895"/>
      <c r="Z19" s="8895"/>
      <c r="AA19" s="139"/>
      <c r="AB19" s="8849"/>
      <c r="AC19" s="5415"/>
      <c r="AD19" s="5609" t="s">
        <v>2706</v>
      </c>
      <c r="AE19" s="1199"/>
      <c r="AF19" s="1199"/>
      <c r="AG19" s="1199"/>
      <c r="AH19" s="5612"/>
      <c r="AI19" s="5611"/>
      <c r="AJ19" s="253"/>
      <c r="AK19" s="253" t="b">
        <f>OR(AB15&lt;&gt;"",AB17&lt;&gt;"",AB20&lt;&gt;"",AH15&lt;&gt;"",AH17&lt;&gt;"", AH20&lt;&gt;"",AB21&lt;&gt;"",X52&lt;&gt;"",X58&lt;&gt;"")</f>
        <v>0</v>
      </c>
      <c r="AL19" s="253"/>
      <c r="AM19" s="253"/>
      <c r="AN19" s="253"/>
      <c r="AO19" s="253"/>
      <c r="AP19" s="253"/>
      <c r="AQ19" s="658"/>
      <c r="AR19" s="658"/>
      <c r="AS19" s="658"/>
      <c r="AT19" s="658"/>
      <c r="AU19" s="658"/>
      <c r="AV19" s="658"/>
      <c r="AW19" s="658"/>
      <c r="AX19" s="658"/>
      <c r="AY19" s="658"/>
      <c r="AZ19" s="658"/>
    </row>
    <row r="20" spans="1:52" ht="13.5" thickBot="1">
      <c r="A20" s="139"/>
      <c r="B20" s="88"/>
      <c r="C20" s="228"/>
      <c r="D20" s="2449" t="s">
        <v>2707</v>
      </c>
      <c r="E20" s="88"/>
      <c r="F20" s="88"/>
      <c r="G20" s="88"/>
      <c r="H20" s="88"/>
      <c r="I20" s="88"/>
      <c r="J20" s="88"/>
      <c r="K20" s="88"/>
      <c r="L20" s="88"/>
      <c r="M20" s="88"/>
      <c r="N20" s="88"/>
      <c r="O20" s="88"/>
      <c r="P20" s="88"/>
      <c r="Q20" s="88"/>
      <c r="R20" s="88"/>
      <c r="S20" s="88"/>
      <c r="T20" s="88"/>
      <c r="U20" s="88"/>
      <c r="V20" s="5445"/>
      <c r="W20" s="5450">
        <v>2</v>
      </c>
      <c r="X20" s="8836">
        <f>IF(AB20&lt;&gt;"",ROUND(AB20,0),IF($AJ$6,"Need SSN.",IF(NonFarmOptMeth1,"",IF(AND(AJ5,AJ7),SUM(AN33,ROUND(AH20,0)),IF(AJ5,SUM(AL33,ROUND(AH20,0)),IF(AJ7,SUM(AM33,ROUND(AH20,0)),""))))))</f>
        <v>0</v>
      </c>
      <c r="Y20" s="8837"/>
      <c r="Z20" s="8837"/>
      <c r="AA20" s="139"/>
      <c r="AB20" s="811"/>
      <c r="AC20" s="5613"/>
      <c r="AD20" s="1197" t="s">
        <v>2708</v>
      </c>
      <c r="AE20" s="380"/>
      <c r="AF20" s="380"/>
      <c r="AG20" s="1194"/>
      <c r="AH20" s="1031"/>
      <c r="AI20" s="5415"/>
      <c r="AJ20" s="253">
        <v>400</v>
      </c>
      <c r="AK20" s="1661"/>
      <c r="AL20" s="253"/>
      <c r="AM20" s="253"/>
      <c r="AN20" s="253"/>
      <c r="AO20" s="253"/>
      <c r="AP20" s="801"/>
      <c r="AQ20" s="658"/>
      <c r="AR20" s="658"/>
      <c r="AS20" s="658"/>
      <c r="AT20" s="658"/>
      <c r="AU20" s="658"/>
      <c r="AV20" s="658"/>
      <c r="AW20" s="658"/>
      <c r="AX20" s="658"/>
      <c r="AY20" s="658"/>
      <c r="AZ20" s="658"/>
    </row>
    <row r="21" spans="1:52" ht="13.5" thickBot="1">
      <c r="A21" s="139"/>
      <c r="B21" s="182"/>
      <c r="C21" s="2975">
        <v>3</v>
      </c>
      <c r="D21" s="1560" t="s">
        <v>2709</v>
      </c>
      <c r="E21" s="182"/>
      <c r="F21" s="182"/>
      <c r="G21" s="182"/>
      <c r="H21" s="182"/>
      <c r="I21" s="182"/>
      <c r="J21" s="182"/>
      <c r="K21" s="182"/>
      <c r="L21" s="182"/>
      <c r="M21" s="182"/>
      <c r="N21" s="182"/>
      <c r="O21" s="182"/>
      <c r="P21" s="182"/>
      <c r="Q21" s="182"/>
      <c r="R21" s="182"/>
      <c r="S21" s="182"/>
      <c r="T21" s="182"/>
      <c r="U21" s="182"/>
      <c r="V21" s="5445" t="s">
        <v>653</v>
      </c>
      <c r="W21" s="5447">
        <v>3</v>
      </c>
      <c r="X21" s="8836">
        <f>IF(AB21&lt;&gt;"",ROUND(AB21,0),SUM(X15,X17,X20))</f>
        <v>0</v>
      </c>
      <c r="Y21" s="8837"/>
      <c r="Z21" s="8837"/>
      <c r="AA21" s="144"/>
      <c r="AB21" s="811"/>
      <c r="AC21" s="5415"/>
      <c r="AD21" s="5415"/>
      <c r="AE21" s="5415"/>
      <c r="AF21" s="5415"/>
      <c r="AG21" s="5415"/>
      <c r="AH21" s="5415"/>
      <c r="AI21" s="5614"/>
      <c r="AJ21" s="253">
        <v>434</v>
      </c>
      <c r="AK21" s="851"/>
      <c r="AL21" s="851"/>
      <c r="AM21" s="851"/>
      <c r="AN21" s="851"/>
      <c r="AO21" s="851"/>
      <c r="AP21" s="851"/>
      <c r="AQ21" s="658"/>
      <c r="AR21" s="658"/>
      <c r="AS21" s="658"/>
      <c r="AT21" s="658"/>
      <c r="AU21" s="658"/>
      <c r="AV21" s="658"/>
      <c r="AW21" s="658"/>
      <c r="AX21" s="658"/>
      <c r="AY21" s="658"/>
      <c r="AZ21" s="658"/>
    </row>
    <row r="22" spans="1:52" ht="13.5" customHeight="1" thickBot="1">
      <c r="A22" s="139"/>
      <c r="B22" s="88"/>
      <c r="C22" s="2502" t="s">
        <v>591</v>
      </c>
      <c r="D22" s="88" t="str">
        <f>"If line 3 is more than zero, multiply line 3 by "&amp;TEXT(AJ22,"0.00%")&amp;" ("&amp;TEXT(AJ22,"0.0000")&amp;")."</f>
        <v>If line 3 is more than zero, multiply line 3 by 92.35% (0.9235).</v>
      </c>
      <c r="E22" s="226"/>
      <c r="F22" s="88"/>
      <c r="G22" s="88"/>
      <c r="H22" s="88"/>
      <c r="I22" s="1560"/>
      <c r="J22" s="88"/>
      <c r="K22" s="88"/>
      <c r="L22" s="88"/>
      <c r="M22" s="88"/>
      <c r="N22" s="1560" t="s">
        <v>2710</v>
      </c>
      <c r="O22" s="88"/>
      <c r="P22" s="1560"/>
      <c r="Q22" s="88"/>
      <c r="R22" s="88"/>
      <c r="S22" s="88"/>
      <c r="T22" s="88"/>
      <c r="U22" s="88"/>
      <c r="V22" s="88"/>
      <c r="W22" s="5488"/>
      <c r="X22" s="8834"/>
      <c r="Y22" s="8835"/>
      <c r="Z22" s="8835"/>
      <c r="AA22" s="139"/>
      <c r="AB22" s="5615"/>
      <c r="AC22" s="5415"/>
      <c r="AD22" s="8903" t="str">
        <f>IF(AN35,"NOTE: Statutory Employee profit/loss from Sch. C."&amp;CHAR(10)&amp;"has been excluded from Line 2.  See IRS instructions.","")</f>
        <v/>
      </c>
      <c r="AE22" s="8903"/>
      <c r="AF22" s="8903"/>
      <c r="AG22" s="8903"/>
      <c r="AH22" s="8903"/>
      <c r="AI22" s="5415"/>
      <c r="AJ22" s="253">
        <v>0.92349999999999999</v>
      </c>
      <c r="AK22" s="851">
        <f>IF(AND(X23&lt;AJ20,X17&lt;&gt;""),SUM(X15,X20),0)</f>
        <v>0</v>
      </c>
      <c r="AL22" s="851"/>
      <c r="AM22" s="851"/>
      <c r="AN22" s="851"/>
      <c r="AO22" s="851"/>
      <c r="AP22" s="851"/>
      <c r="AQ22" s="658"/>
      <c r="AR22" s="658"/>
      <c r="AS22" s="658"/>
      <c r="AT22" s="658"/>
      <c r="AU22" s="658"/>
      <c r="AV22" s="658"/>
      <c r="AW22" s="658"/>
      <c r="AX22" s="658"/>
      <c r="AY22" s="658"/>
      <c r="AZ22" s="658"/>
    </row>
    <row r="23" spans="1:52" ht="13.5" thickBot="1">
      <c r="A23" s="139"/>
      <c r="B23" s="226" t="s">
        <v>1933</v>
      </c>
      <c r="C23" s="1560"/>
      <c r="D23" s="1560" t="str">
        <f>"If line 4a is less than "&amp;TEXT(AJ20,"$0")&amp;" due to Conservation Reserve Program payments on line 1b, see instructions"</f>
        <v>If line 4a is less than $400 due to Conservation Reserve Program payments on line 1b, see instructions</v>
      </c>
      <c r="E23" s="226"/>
      <c r="F23" s="1560"/>
      <c r="G23" s="88"/>
      <c r="H23" s="88"/>
      <c r="I23" s="88"/>
      <c r="J23" s="88"/>
      <c r="K23" s="88"/>
      <c r="L23" s="88"/>
      <c r="M23" s="88"/>
      <c r="N23" s="88"/>
      <c r="O23" s="88"/>
      <c r="P23" s="88"/>
      <c r="Q23" s="88"/>
      <c r="R23" s="88"/>
      <c r="S23" s="88"/>
      <c r="T23" s="88"/>
      <c r="U23" s="5445"/>
      <c r="V23" s="5616" t="s">
        <v>4994</v>
      </c>
      <c r="W23" s="5450" t="s">
        <v>591</v>
      </c>
      <c r="X23" s="8838">
        <f>IF(AB23&lt;&gt;"",ROUND(AB23,0),IF(X21&gt;0,ROUND((X21*AJ22),0),X21))</f>
        <v>0</v>
      </c>
      <c r="Y23" s="8839"/>
      <c r="Z23" s="8839"/>
      <c r="AA23" s="139"/>
      <c r="AB23" s="811"/>
      <c r="AC23" s="5415"/>
      <c r="AD23" s="8903"/>
      <c r="AE23" s="8903"/>
      <c r="AF23" s="8903"/>
      <c r="AG23" s="8903"/>
      <c r="AH23" s="8903"/>
      <c r="AI23" s="5415"/>
      <c r="AJ23" s="5617">
        <v>137700</v>
      </c>
      <c r="AK23" s="253" t="b">
        <f>AND(S28&lt;&gt;"",S28&gt;0)</f>
        <v>0</v>
      </c>
      <c r="AL23" s="253" t="b">
        <v>1</v>
      </c>
      <c r="AM23" s="253"/>
      <c r="AN23" s="851"/>
      <c r="AO23" s="851"/>
      <c r="AP23" s="851"/>
      <c r="AQ23" s="658"/>
      <c r="AR23" s="658"/>
      <c r="AS23" s="658"/>
      <c r="AT23" s="658"/>
      <c r="AU23" s="658"/>
      <c r="AV23" s="658"/>
      <c r="AW23" s="658"/>
      <c r="AX23" s="658"/>
      <c r="AY23" s="658"/>
      <c r="AZ23" s="658"/>
    </row>
    <row r="24" spans="1:52">
      <c r="A24" s="139"/>
      <c r="B24" s="88"/>
      <c r="C24" s="228" t="s">
        <v>592</v>
      </c>
      <c r="D24" s="1560" t="s">
        <v>2711</v>
      </c>
      <c r="E24" s="226"/>
      <c r="F24" s="88"/>
      <c r="G24" s="88"/>
      <c r="H24" s="88"/>
      <c r="I24" s="88"/>
      <c r="J24" s="88"/>
      <c r="K24" s="88"/>
      <c r="L24" s="88"/>
      <c r="M24" s="88"/>
      <c r="N24" s="88"/>
      <c r="O24" s="88"/>
      <c r="P24" s="88"/>
      <c r="Q24" s="88"/>
      <c r="R24" s="88"/>
      <c r="S24" s="88"/>
      <c r="T24" s="88"/>
      <c r="U24" s="5445"/>
      <c r="V24" s="5445" t="s">
        <v>631</v>
      </c>
      <c r="W24" s="5450" t="s">
        <v>2483</v>
      </c>
      <c r="X24" s="8838" t="str">
        <f>IF(OR(FarmOptMeth1,NonFarmOptMeth1),SUM(X52,X58),"")</f>
        <v/>
      </c>
      <c r="Y24" s="8839"/>
      <c r="Z24" s="8839"/>
      <c r="AA24" s="139"/>
      <c r="AB24" s="5618" t="str">
        <f>IF(AK24,"IF line 4c is &lt;"&amp;TEXT(AJ20,"$0")&amp;",","")</f>
        <v>IF line 4c is &lt;$400,</v>
      </c>
      <c r="AC24" s="5415"/>
      <c r="AD24" s="5415"/>
      <c r="AE24" s="5415"/>
      <c r="AF24" s="5415"/>
      <c r="AG24" s="5415"/>
      <c r="AH24" s="5415"/>
      <c r="AI24" s="5415"/>
      <c r="AJ24" s="253">
        <v>2.9000000000000001E-2</v>
      </c>
      <c r="AK24" s="851" t="b">
        <f>AND(NOT(AK23),SUM(X23,X24)&lt;AJ20)</f>
        <v>1</v>
      </c>
      <c r="AL24" s="1193" t="s">
        <v>2712</v>
      </c>
      <c r="AM24" s="851"/>
      <c r="AN24" s="1193"/>
      <c r="AO24" s="1193"/>
      <c r="AP24" s="1193"/>
      <c r="AQ24" s="658"/>
      <c r="AR24" s="658"/>
      <c r="AS24" s="658"/>
      <c r="AT24" s="658"/>
      <c r="AU24" s="658"/>
      <c r="AV24" s="658"/>
      <c r="AW24" s="658"/>
      <c r="AX24" s="658"/>
      <c r="AY24" s="658"/>
      <c r="AZ24" s="658"/>
    </row>
    <row r="25" spans="1:52">
      <c r="A25" s="139"/>
      <c r="B25" s="88"/>
      <c r="C25" s="228" t="s">
        <v>595</v>
      </c>
      <c r="D25" s="1560" t="str">
        <f>"Combine  lines 4a and 4b. If less than "&amp;TEXT(AJ20,"$0")&amp;","</f>
        <v>Combine  lines 4a and 4b. If less than $400,</v>
      </c>
      <c r="E25" s="226"/>
      <c r="F25" s="88"/>
      <c r="G25" s="88"/>
      <c r="H25" s="88"/>
      <c r="I25" s="88"/>
      <c r="J25" s="88"/>
      <c r="K25" s="1560" t="s">
        <v>2713</v>
      </c>
      <c r="L25" s="88"/>
      <c r="M25" s="88"/>
      <c r="N25" s="88"/>
      <c r="O25" s="88"/>
      <c r="P25" s="88"/>
      <c r="Q25" s="88"/>
      <c r="R25" s="88"/>
      <c r="S25" s="88"/>
      <c r="T25" s="88"/>
      <c r="U25" s="5445"/>
      <c r="V25" s="5445"/>
      <c r="W25" s="5619"/>
      <c r="X25" s="8918"/>
      <c r="Y25" s="8919"/>
      <c r="Z25" s="8919"/>
      <c r="AA25" s="139"/>
      <c r="AB25" s="5618" t="str">
        <f>IF(AK24,"STOP you don't owe","")</f>
        <v>STOP you don't owe</v>
      </c>
      <c r="AC25" s="253"/>
      <c r="AD25" s="253"/>
      <c r="AE25" s="253"/>
      <c r="AF25" s="253"/>
      <c r="AG25" s="253"/>
      <c r="AH25" s="253"/>
      <c r="AI25" s="253"/>
      <c r="AJ25" s="740">
        <v>16479.599999999999</v>
      </c>
      <c r="AK25" s="1193" t="b">
        <f>AND(AK23,SUM(X23,X24)&lt;AJ20)</f>
        <v>0</v>
      </c>
      <c r="AL25" s="1193" t="s">
        <v>2714</v>
      </c>
      <c r="AM25" s="1193"/>
      <c r="AN25" s="253"/>
      <c r="AO25" s="253"/>
      <c r="AP25" s="253"/>
      <c r="AQ25" s="658"/>
      <c r="AR25" s="658"/>
      <c r="AS25" s="658"/>
      <c r="AT25" s="658"/>
      <c r="AU25" s="658"/>
      <c r="AV25" s="658"/>
      <c r="AW25" s="658"/>
      <c r="AX25" s="658"/>
      <c r="AY25" s="658"/>
      <c r="AZ25" s="658"/>
    </row>
    <row r="26" spans="1:52">
      <c r="A26" s="139"/>
      <c r="B26" s="88"/>
      <c r="C26" s="228"/>
      <c r="D26" s="1560" t="str">
        <f>"less than "&amp;TEXT(AJ20,"$0")&amp;" and"</f>
        <v>less than $400 and</v>
      </c>
      <c r="E26" s="226"/>
      <c r="F26" s="88"/>
      <c r="G26" s="1560" t="s">
        <v>2715</v>
      </c>
      <c r="H26" s="88"/>
      <c r="I26" s="88"/>
      <c r="J26" s="88"/>
      <c r="K26" s="88"/>
      <c r="L26" s="88"/>
      <c r="M26" s="88"/>
      <c r="N26" s="88"/>
      <c r="O26" s="88"/>
      <c r="P26" s="88"/>
      <c r="Q26" s="88"/>
      <c r="R26" s="88"/>
      <c r="S26" s="88"/>
      <c r="T26" s="88"/>
      <c r="U26" s="5445"/>
      <c r="V26" s="5445" t="s">
        <v>670</v>
      </c>
      <c r="W26" s="5450" t="s">
        <v>2716</v>
      </c>
      <c r="X26" s="8838">
        <f>IF(AK25,0,SUM(X23,X24))</f>
        <v>0</v>
      </c>
      <c r="Y26" s="8839"/>
      <c r="Z26" s="8839"/>
      <c r="AA26" s="139"/>
      <c r="AB26" s="5618" t="str">
        <f>IF(AK24,"self employment tax.","")</f>
        <v>self employment tax.</v>
      </c>
      <c r="AC26" s="253"/>
      <c r="AD26" s="253"/>
      <c r="AE26" s="253"/>
      <c r="AF26" s="253"/>
      <c r="AG26" s="253"/>
      <c r="AH26" s="253"/>
      <c r="AI26" s="253"/>
      <c r="AJ26" s="253">
        <v>0.153</v>
      </c>
      <c r="AK26" s="253"/>
      <c r="AL26" s="253"/>
      <c r="AM26" s="253"/>
      <c r="AN26" s="253"/>
      <c r="AO26" s="253"/>
      <c r="AP26" s="253"/>
      <c r="AQ26" s="658"/>
      <c r="AR26" s="658"/>
      <c r="AS26" s="658"/>
      <c r="AT26" s="658"/>
      <c r="AU26" s="658"/>
      <c r="AV26" s="658"/>
      <c r="AW26" s="658"/>
      <c r="AX26" s="658"/>
      <c r="AY26" s="658"/>
      <c r="AZ26" s="658"/>
    </row>
    <row r="27" spans="1:52">
      <c r="A27" s="139"/>
      <c r="B27" s="88"/>
      <c r="C27" s="2502" t="s">
        <v>629</v>
      </c>
      <c r="D27" s="1560" t="s">
        <v>2717</v>
      </c>
      <c r="E27" s="226"/>
      <c r="F27" s="88"/>
      <c r="G27" s="88"/>
      <c r="H27" s="88"/>
      <c r="I27" s="88"/>
      <c r="J27" s="88"/>
      <c r="K27" s="88"/>
      <c r="L27" s="88" t="s">
        <v>2718</v>
      </c>
      <c r="M27" s="88"/>
      <c r="N27" s="88"/>
      <c r="O27" s="88"/>
      <c r="P27" s="88"/>
      <c r="Q27" s="88"/>
      <c r="R27" s="5620"/>
      <c r="S27" s="8914"/>
      <c r="T27" s="8915"/>
      <c r="U27" s="8915"/>
      <c r="V27" s="8916"/>
      <c r="W27" s="5619"/>
      <c r="X27" s="8842"/>
      <c r="Y27" s="8843"/>
      <c r="Z27" s="8843"/>
      <c r="AA27" s="139"/>
      <c r="AB27" s="5426"/>
      <c r="AC27" s="253"/>
      <c r="AD27" s="253"/>
      <c r="AE27" s="253"/>
      <c r="AF27" s="253"/>
      <c r="AG27" s="253"/>
      <c r="AH27" s="253"/>
      <c r="AI27" s="253"/>
      <c r="AJ27" s="253">
        <v>6.2E-2</v>
      </c>
      <c r="AK27" s="253"/>
      <c r="AL27" s="253"/>
      <c r="AM27" s="253"/>
      <c r="AN27" s="253"/>
      <c r="AO27" s="253"/>
      <c r="AP27" s="253"/>
      <c r="AQ27" s="658"/>
      <c r="AR27" s="658"/>
      <c r="AS27" s="658"/>
      <c r="AT27" s="658"/>
      <c r="AU27" s="658"/>
      <c r="AV27" s="658"/>
      <c r="AW27" s="658"/>
      <c r="AX27" s="658"/>
      <c r="AY27" s="658"/>
      <c r="AZ27" s="658"/>
    </row>
    <row r="28" spans="1:52">
      <c r="A28" s="139"/>
      <c r="B28" s="88"/>
      <c r="C28" s="228"/>
      <c r="D28" s="1560" t="s">
        <v>2719</v>
      </c>
      <c r="E28" s="226"/>
      <c r="F28" s="88"/>
      <c r="G28" s="88"/>
      <c r="H28" s="88"/>
      <c r="I28" s="88"/>
      <c r="J28" s="88"/>
      <c r="K28" s="88"/>
      <c r="L28" s="88"/>
      <c r="M28" s="88"/>
      <c r="N28" s="88"/>
      <c r="O28" s="88"/>
      <c r="P28" s="88"/>
      <c r="Q28" s="5445" t="s">
        <v>590</v>
      </c>
      <c r="R28" s="5521" t="s">
        <v>629</v>
      </c>
      <c r="S28" s="8890"/>
      <c r="T28" s="8891"/>
      <c r="U28" s="8891"/>
      <c r="V28" s="8892"/>
      <c r="W28" s="5619"/>
      <c r="X28" s="8840">
        <f>ROUND(S28,0)</f>
        <v>0</v>
      </c>
      <c r="Y28" s="8841"/>
      <c r="Z28" s="8841"/>
      <c r="AA28" s="139"/>
      <c r="AB28" s="5621"/>
      <c r="AC28" s="253"/>
      <c r="AD28" s="253"/>
      <c r="AE28" s="253"/>
      <c r="AF28" s="253"/>
      <c r="AG28" s="253"/>
      <c r="AH28" s="253"/>
      <c r="AI28" s="253"/>
      <c r="AJ28" s="253">
        <v>7.6499999999999999E-2</v>
      </c>
      <c r="AK28" s="253"/>
      <c r="AL28" s="253"/>
      <c r="AM28" s="253"/>
      <c r="AN28" s="253"/>
      <c r="AO28" s="253"/>
      <c r="AP28" s="253"/>
      <c r="AQ28" s="658"/>
      <c r="AR28" s="658"/>
      <c r="AS28" s="658"/>
      <c r="AT28" s="658"/>
      <c r="AU28" s="658"/>
      <c r="AV28" s="658"/>
      <c r="AW28" s="658"/>
      <c r="AX28" s="658"/>
      <c r="AY28" s="658"/>
      <c r="AZ28" s="658"/>
    </row>
    <row r="29" spans="1:52" ht="13.5" thickBot="1">
      <c r="A29" s="139"/>
      <c r="B29" s="88"/>
      <c r="C29" s="228" t="s">
        <v>592</v>
      </c>
      <c r="D29" s="1560" t="str">
        <f>"Multiply line 5a by "&amp;TEXT(AC29,"0.00%")&amp;" ("&amp;TEXT(AC29,"0.0000")&amp;"). If less than "&amp;TEXT(AC30,"$0")&amp;", enter -0-"</f>
        <v>Multiply line 5a by 92.35% (0.9235). If less than $100, enter -0-</v>
      </c>
      <c r="E29" s="226"/>
      <c r="F29" s="88"/>
      <c r="G29" s="88"/>
      <c r="H29" s="88"/>
      <c r="I29" s="88"/>
      <c r="J29" s="88"/>
      <c r="K29" s="88"/>
      <c r="L29" s="88"/>
      <c r="M29" s="88"/>
      <c r="N29" s="88"/>
      <c r="O29" s="88"/>
      <c r="P29" s="88"/>
      <c r="Q29" s="441"/>
      <c r="R29" s="441"/>
      <c r="S29" s="5622"/>
      <c r="T29" s="5622"/>
      <c r="U29" s="5622"/>
      <c r="V29" s="5445" t="s">
        <v>590</v>
      </c>
      <c r="W29" s="5623" t="s">
        <v>985</v>
      </c>
      <c r="X29" s="8846" t="str">
        <f>IF(ChurchEmployeeIncome1="","",IF(ROUND(X28*AC29,0)&lt;AC30,0,ROUND(X28*AC29,0)))</f>
        <v/>
      </c>
      <c r="Y29" s="8847"/>
      <c r="Z29" s="8847"/>
      <c r="AA29" s="139"/>
      <c r="AB29" s="5624"/>
      <c r="AC29" s="8824">
        <v>0.92349999999999999</v>
      </c>
      <c r="AD29" s="8824"/>
      <c r="AE29" s="253"/>
      <c r="AF29" s="253"/>
      <c r="AG29" s="253"/>
      <c r="AH29" s="253"/>
      <c r="AI29" s="253"/>
      <c r="AJ29" s="253"/>
      <c r="AK29" s="1061"/>
      <c r="AL29" s="5625"/>
      <c r="AM29" s="5625"/>
      <c r="AN29" s="5625"/>
      <c r="AO29" s="253"/>
      <c r="AP29" s="253"/>
      <c r="AQ29" s="658"/>
      <c r="AR29" s="658"/>
      <c r="AS29" s="658"/>
      <c r="AT29" s="658"/>
      <c r="AU29" s="658"/>
      <c r="AV29" s="658"/>
      <c r="AW29" s="658"/>
      <c r="AX29" s="658"/>
      <c r="AY29" s="658"/>
      <c r="AZ29" s="658"/>
    </row>
    <row r="30" spans="1:52" ht="12.75" customHeight="1" thickBot="1">
      <c r="A30" s="139"/>
      <c r="B30" s="88"/>
      <c r="C30" s="2502">
        <v>6</v>
      </c>
      <c r="D30" s="1560" t="s">
        <v>2720</v>
      </c>
      <c r="E30" s="226"/>
      <c r="F30" s="88"/>
      <c r="G30" s="88"/>
      <c r="H30" s="88"/>
      <c r="I30" s="88"/>
      <c r="J30" s="88"/>
      <c r="K30" s="88"/>
      <c r="L30" s="88"/>
      <c r="M30" s="88"/>
      <c r="N30" s="88"/>
      <c r="O30" s="88"/>
      <c r="P30" s="88"/>
      <c r="Q30" s="88"/>
      <c r="R30" s="88"/>
      <c r="S30" s="88"/>
      <c r="T30" s="88"/>
      <c r="U30" s="5445"/>
      <c r="V30" s="5445" t="s">
        <v>2167</v>
      </c>
      <c r="W30" s="5450">
        <v>6</v>
      </c>
      <c r="X30" s="8838" t="str">
        <f>IF(AB30&lt;&gt;"",ROUND(AB30,0),IF(AK24,"",SUM(X26,X29)))</f>
        <v/>
      </c>
      <c r="Y30" s="8839"/>
      <c r="Z30" s="8839"/>
      <c r="AA30" s="139"/>
      <c r="AB30" s="811"/>
      <c r="AC30" s="8825">
        <v>100</v>
      </c>
      <c r="AD30" s="8824"/>
      <c r="AE30" s="253"/>
      <c r="AF30" s="253"/>
      <c r="AG30" s="253"/>
      <c r="AH30" s="253"/>
      <c r="AI30" s="253"/>
      <c r="AJ30" s="405"/>
      <c r="AK30" s="406"/>
      <c r="AL30" s="1206" t="s">
        <v>566</v>
      </c>
      <c r="AM30" s="5970" t="s">
        <v>567</v>
      </c>
      <c r="AN30" s="406"/>
      <c r="AO30" s="5971"/>
      <c r="AP30" s="253"/>
      <c r="AQ30" s="658"/>
      <c r="AR30" s="658"/>
      <c r="AS30" s="658"/>
      <c r="AT30" s="658"/>
      <c r="AU30" s="658"/>
      <c r="AV30" s="658"/>
      <c r="AW30" s="658"/>
      <c r="AX30" s="658"/>
      <c r="AY30" s="658"/>
      <c r="AZ30" s="658"/>
    </row>
    <row r="31" spans="1:52" ht="13.5" thickBot="1">
      <c r="A31" s="139"/>
      <c r="B31" s="88"/>
      <c r="C31" s="2502">
        <v>7</v>
      </c>
      <c r="D31" s="1560" t="s">
        <v>2721</v>
      </c>
      <c r="E31" s="226"/>
      <c r="F31" s="88"/>
      <c r="G31" s="88"/>
      <c r="H31" s="88"/>
      <c r="I31" s="88"/>
      <c r="J31" s="88"/>
      <c r="K31" s="88"/>
      <c r="L31" s="88"/>
      <c r="M31" s="88"/>
      <c r="N31" s="88"/>
      <c r="O31" s="88"/>
      <c r="P31" s="88"/>
      <c r="Q31" s="88"/>
      <c r="R31" s="88"/>
      <c r="S31" s="88"/>
      <c r="T31" s="88"/>
      <c r="U31" s="5445"/>
      <c r="V31" s="5445"/>
      <c r="W31" s="5619"/>
      <c r="X31" s="8830">
        <f>MaxSSTaxEarnings</f>
        <v>176100</v>
      </c>
      <c r="Y31" s="8831"/>
      <c r="Z31" s="8831"/>
      <c r="AA31" s="139"/>
      <c r="AB31" s="5426"/>
      <c r="AC31" s="807"/>
      <c r="AD31" s="253"/>
      <c r="AE31" s="253"/>
      <c r="AG31" s="253"/>
      <c r="AH31" s="730"/>
      <c r="AI31" s="730"/>
      <c r="AJ31" s="1207" t="s">
        <v>2722</v>
      </c>
      <c r="AK31" s="817" t="s">
        <v>2723</v>
      </c>
      <c r="AL31" s="5626">
        <f>SS_Yours</f>
        <v>1010001</v>
      </c>
      <c r="AM31" s="5626" t="str">
        <f>SS_Spouse</f>
        <v>Filing status?</v>
      </c>
      <c r="AN31" s="730" t="s">
        <v>725</v>
      </c>
      <c r="AO31" s="321"/>
      <c r="AP31" s="730"/>
      <c r="AQ31" s="658"/>
      <c r="AR31" s="658"/>
      <c r="AS31" s="658"/>
      <c r="AT31" s="658"/>
      <c r="AU31" s="658"/>
      <c r="AV31" s="658"/>
      <c r="AW31" s="658"/>
      <c r="AX31" s="658"/>
      <c r="AY31" s="658"/>
      <c r="AZ31" s="658"/>
    </row>
    <row r="32" spans="1:52" ht="12" customHeight="1">
      <c r="A32" s="139"/>
      <c r="B32" s="88"/>
      <c r="C32" s="228"/>
      <c r="D32" s="1560" t="str">
        <f>"the "&amp;TEXT(AJ27,"0.0%")&amp;" portion of the "&amp;TEXT(AJ28,"0.00%")&amp;" railroad retirement (tier 1) tax for "&amp;TaxYear</f>
        <v>the 6.2% portion of the 7.65% railroad retirement (tier 1) tax for 2025</v>
      </c>
      <c r="E32" s="226"/>
      <c r="F32" s="88"/>
      <c r="G32" s="88"/>
      <c r="H32" s="88"/>
      <c r="I32" s="88"/>
      <c r="J32" s="88"/>
      <c r="K32" s="88"/>
      <c r="L32" s="88"/>
      <c r="M32" s="88"/>
      <c r="N32" s="88"/>
      <c r="O32" s="88"/>
      <c r="P32" s="8893" t="b">
        <f>AND(X30&lt;&gt;"",X30&gt;0,NOT(AJ5),NOT(AJ7))</f>
        <v>0</v>
      </c>
      <c r="Q32" s="8893"/>
      <c r="R32" s="88"/>
      <c r="S32" s="8906" t="str">
        <f>IF(P32,"Identify above","")</f>
        <v/>
      </c>
      <c r="T32" s="8906"/>
      <c r="U32" s="8906"/>
      <c r="V32" s="8907"/>
      <c r="W32" s="5450">
        <v>7</v>
      </c>
      <c r="X32" s="8832"/>
      <c r="Y32" s="8833"/>
      <c r="Z32" s="8833"/>
      <c r="AA32" s="139"/>
      <c r="AB32" s="5426"/>
      <c r="AC32" s="253"/>
      <c r="AD32" s="253"/>
      <c r="AE32" s="253"/>
      <c r="AF32" s="253"/>
      <c r="AG32" s="253"/>
      <c r="AH32" s="5625"/>
      <c r="AI32" s="5625"/>
      <c r="AJ32" s="5627" t="s">
        <v>970</v>
      </c>
      <c r="AK32" s="344" t="s">
        <v>2724</v>
      </c>
      <c r="AL32" s="5628">
        <f>IF(SchF_SSN=SS_Yours,FarmProfitNet,0)</f>
        <v>0</v>
      </c>
      <c r="AM32" s="5629">
        <f>IF(SchF_SSN=SS_Spouse,FarmProfitNet,0)</f>
        <v>0</v>
      </c>
      <c r="AN32" s="5630">
        <f>SUM(AL32,AM32)</f>
        <v>0</v>
      </c>
      <c r="AO32" s="5631"/>
      <c r="AP32" s="5625"/>
      <c r="AQ32" s="658"/>
      <c r="AR32" s="658"/>
      <c r="AS32" s="658"/>
      <c r="AT32" s="658"/>
      <c r="AU32" s="658"/>
      <c r="AV32" s="658"/>
      <c r="AW32" s="658"/>
      <c r="AX32" s="658"/>
      <c r="AY32" s="658"/>
      <c r="AZ32" s="658"/>
    </row>
    <row r="33" spans="1:52" ht="13.5" customHeight="1">
      <c r="A33" s="139"/>
      <c r="B33" s="88"/>
      <c r="C33" s="2502" t="s">
        <v>798</v>
      </c>
      <c r="D33" s="1560" t="s">
        <v>2725</v>
      </c>
      <c r="E33" s="226"/>
      <c r="F33" s="88"/>
      <c r="G33" s="88"/>
      <c r="H33" s="88"/>
      <c r="I33" s="88"/>
      <c r="J33" s="88"/>
      <c r="K33" s="88"/>
      <c r="L33" s="88"/>
      <c r="M33" s="88"/>
      <c r="N33" s="88"/>
      <c r="O33" s="88"/>
      <c r="P33" s="88"/>
      <c r="Q33" s="88"/>
      <c r="R33" s="5448"/>
      <c r="S33" s="8908" t="str">
        <f>IF(P32,"for whom this form","")</f>
        <v/>
      </c>
      <c r="T33" s="8909"/>
      <c r="U33" s="8909"/>
      <c r="V33" s="8910"/>
      <c r="W33" s="5619"/>
      <c r="X33" s="8842"/>
      <c r="Y33" s="8843"/>
      <c r="Z33" s="8843"/>
      <c r="AA33" s="139"/>
      <c r="AB33" s="8828" t="s">
        <v>2726</v>
      </c>
      <c r="AC33" s="807"/>
      <c r="AD33" s="253"/>
      <c r="AE33" s="253"/>
      <c r="AG33" s="253"/>
      <c r="AH33" s="5625"/>
      <c r="AI33" s="5625"/>
      <c r="AJ33" s="5627" t="s">
        <v>161</v>
      </c>
      <c r="AK33" s="1061" t="s">
        <v>2727</v>
      </c>
      <c r="AL33" s="5632" t="str">
        <f>IF(AND(NOT(AL50),NOT(AL51),'Sch. C'!M7=SS_Yours,'Sch. C'!M121=SS_Yours,'Sch. C'!Y6,'Sch. C'!Y120),AL49,IF(AND(NOT(AL50),'Sch. C'!M7=SS_Yours,'Sch. C'!Y6),AL47,IF(AND(NOT(AL51),'Sch. C'!M121=SS_Yours,'Sch. C'!Y120),AL48,0)))</f>
        <v/>
      </c>
      <c r="AM33" s="5633">
        <f>IF(AND(NOT(AL50),NOT(AL51),'Sch. C'!M7=SS_Spouse,'Sch. C'!M121=SS_Spouse,'Sch. C'!Y6,'Sch. C'!Y120),AL49,IF(AND(NOT(AL50),'Sch. C'!M7=SS_Spouse,'Sch. C'!Y6),AL47,IF(AND(NOT(AL51),'Sch. C'!M121=SS_Spouse,'Sch. C'!Y120),AL48,0)))</f>
        <v>0</v>
      </c>
      <c r="AN33" s="5634">
        <f>SUM(AL33,AM33)</f>
        <v>0</v>
      </c>
      <c r="AO33" s="5631"/>
      <c r="AP33" s="5625"/>
      <c r="AQ33" s="658"/>
      <c r="AR33" s="658"/>
      <c r="AS33" s="658"/>
      <c r="AT33" s="658"/>
      <c r="AU33" s="658"/>
      <c r="AV33" s="658"/>
      <c r="AW33" s="658"/>
      <c r="AX33" s="658"/>
      <c r="AY33" s="658"/>
      <c r="AZ33" s="658"/>
    </row>
    <row r="34" spans="1:52">
      <c r="A34" s="139"/>
      <c r="B34" s="88"/>
      <c r="C34" s="228"/>
      <c r="D34" s="1560" t="str">
        <f>"and railroad retirement (tier 1) compensation. If "&amp;TEXT(X31,"$0,000")&amp;" or more, skip lines"</f>
        <v>and railroad retirement (tier 1) compensation. If $176,100 or more, skip lines</v>
      </c>
      <c r="E34" s="226"/>
      <c r="F34" s="88"/>
      <c r="G34" s="88"/>
      <c r="H34" s="88"/>
      <c r="I34" s="88"/>
      <c r="J34" s="88"/>
      <c r="K34" s="88"/>
      <c r="L34" s="88"/>
      <c r="M34" s="88"/>
      <c r="N34" s="88"/>
      <c r="O34" s="88"/>
      <c r="P34" s="88"/>
      <c r="Q34" s="88"/>
      <c r="R34" s="5448"/>
      <c r="S34" s="8911" t="str">
        <f>IF(P32,"is being completed.","")</f>
        <v/>
      </c>
      <c r="T34" s="8912"/>
      <c r="U34" s="8912"/>
      <c r="V34" s="8913"/>
      <c r="W34" s="5619"/>
      <c r="X34" s="8844"/>
      <c r="Y34" s="8845"/>
      <c r="Z34" s="8845"/>
      <c r="AA34" s="139"/>
      <c r="AB34" s="8829"/>
      <c r="AC34" s="253"/>
      <c r="AD34" s="253"/>
      <c r="AE34" s="253"/>
      <c r="AF34" s="253"/>
      <c r="AG34" s="253"/>
      <c r="AH34" s="5625"/>
      <c r="AI34" s="5625"/>
      <c r="AJ34" s="5627" t="s">
        <v>2728</v>
      </c>
      <c r="AK34" s="344" t="s">
        <v>2729</v>
      </c>
      <c r="AL34" s="5632">
        <f>ROUND(SUM(SocSecWages_You,SocSecTips_You),0)</f>
        <v>0</v>
      </c>
      <c r="AM34" s="5633">
        <f>ROUND(SUM(SocSecWages_Spouse,SocSecTips_Spouse),0)</f>
        <v>0</v>
      </c>
      <c r="AN34" s="5634">
        <f>SUM(AL34,AM34)</f>
        <v>0</v>
      </c>
      <c r="AO34" s="5631"/>
      <c r="AP34" s="5625"/>
      <c r="AQ34" s="658"/>
      <c r="AR34" s="658"/>
      <c r="AS34" s="658"/>
      <c r="AT34" s="658"/>
      <c r="AU34" s="658"/>
      <c r="AV34" s="658"/>
      <c r="AW34" s="658"/>
      <c r="AX34" s="658"/>
      <c r="AY34" s="658"/>
      <c r="AZ34" s="658"/>
    </row>
    <row r="35" spans="1:52" ht="13.5" thickBot="1">
      <c r="A35" s="139"/>
      <c r="B35" s="88"/>
      <c r="C35" s="228"/>
      <c r="D35" s="1560" t="s">
        <v>2730</v>
      </c>
      <c r="E35" s="226"/>
      <c r="F35" s="88"/>
      <c r="G35" s="88"/>
      <c r="H35" s="88"/>
      <c r="I35" s="88"/>
      <c r="J35" s="88"/>
      <c r="K35" s="88"/>
      <c r="L35" s="88"/>
      <c r="M35" s="88"/>
      <c r="N35" s="88"/>
      <c r="O35" s="88"/>
      <c r="P35" s="88"/>
      <c r="Q35" s="5445" t="s">
        <v>590</v>
      </c>
      <c r="R35" s="5521" t="s">
        <v>798</v>
      </c>
      <c r="S35" s="8836" t="str">
        <f>IF(AK24,"",IF(AND(AJ5,AJ7),SUM(AN34,X35),IF(AJ5,SUM(AL34,X35),IF(AJ7,SUM(AM34,X35),""))))</f>
        <v/>
      </c>
      <c r="T35" s="8837"/>
      <c r="U35" s="8837"/>
      <c r="V35" s="8917"/>
      <c r="W35" s="5619"/>
      <c r="X35" s="8840">
        <f>IF(AB35="",0,ROUND(AB35,0))</f>
        <v>0</v>
      </c>
      <c r="Y35" s="8841"/>
      <c r="Z35" s="8841"/>
      <c r="AA35" s="139"/>
      <c r="AB35" s="124"/>
      <c r="AC35" s="253"/>
      <c r="AD35" s="253"/>
      <c r="AE35" s="580"/>
      <c r="AF35" s="253"/>
      <c r="AG35" s="253"/>
      <c r="AH35" s="253"/>
      <c r="AI35" s="253"/>
      <c r="AJ35" s="408"/>
      <c r="AK35" s="344" t="s">
        <v>2731</v>
      </c>
      <c r="AL35" s="5635" t="b">
        <f>OR(AND(SS_Yours='Sch. C'!M7,AL50),AND(SS_Yours='Sch. C'!M121,AL51))</f>
        <v>0</v>
      </c>
      <c r="AM35" s="5636" t="b">
        <f>OR(AND(SS_Spouse='Sch. C'!M7,AL50),AND(SS_Spouse='Sch. C'!M121,AL51))</f>
        <v>0</v>
      </c>
      <c r="AN35" s="5637" t="b">
        <f>AND(NOT(AND(AJ5,AJ7)),OR(AND(AJ5,AL35),AND(AJ7,AM35)))</f>
        <v>0</v>
      </c>
      <c r="AO35" s="409"/>
      <c r="AP35" s="253"/>
      <c r="AQ35" s="658"/>
      <c r="AR35" s="658"/>
      <c r="AS35" s="658"/>
      <c r="AT35" s="658"/>
      <c r="AU35" s="658"/>
      <c r="AV35" s="658"/>
      <c r="AW35" s="658"/>
      <c r="AX35" s="658"/>
      <c r="AY35" s="658"/>
      <c r="AZ35" s="658"/>
    </row>
    <row r="36" spans="1:52">
      <c r="A36" s="139"/>
      <c r="B36" s="88"/>
      <c r="C36" s="228" t="s">
        <v>592</v>
      </c>
      <c r="D36" s="1560" t="s">
        <v>2732</v>
      </c>
      <c r="E36" s="226"/>
      <c r="F36" s="88"/>
      <c r="G36" s="88"/>
      <c r="H36" s="88"/>
      <c r="I36" s="88"/>
      <c r="J36" s="88"/>
      <c r="K36" s="88"/>
      <c r="L36" s="88"/>
      <c r="M36" s="88"/>
      <c r="N36" s="88"/>
      <c r="O36" s="88"/>
      <c r="P36" s="88"/>
      <c r="Q36" s="5445" t="s">
        <v>643</v>
      </c>
      <c r="R36" s="5521" t="s">
        <v>803</v>
      </c>
      <c r="S36" s="8890"/>
      <c r="T36" s="8891"/>
      <c r="U36" s="8891"/>
      <c r="V36" s="8892"/>
      <c r="W36" s="5619"/>
      <c r="X36" s="8840">
        <f>ROUND(S36,0)</f>
        <v>0</v>
      </c>
      <c r="Y36" s="8841"/>
      <c r="Z36" s="8841"/>
      <c r="AA36" s="139"/>
      <c r="AB36" s="5426"/>
      <c r="AC36" s="253"/>
      <c r="AD36" s="253"/>
      <c r="AE36" s="253"/>
      <c r="AF36" s="253"/>
      <c r="AG36" s="253"/>
      <c r="AH36" s="253"/>
      <c r="AI36" s="253"/>
      <c r="AJ36" s="412"/>
      <c r="AK36" s="569"/>
      <c r="AL36" s="569"/>
      <c r="AM36" s="569"/>
      <c r="AN36" s="569"/>
      <c r="AO36" s="414"/>
      <c r="AP36" s="253"/>
      <c r="AQ36" s="658"/>
      <c r="AR36" s="658"/>
      <c r="AS36" s="658"/>
      <c r="AT36" s="658"/>
      <c r="AU36" s="658"/>
      <c r="AV36" s="658"/>
      <c r="AW36" s="658"/>
      <c r="AX36" s="658"/>
      <c r="AY36" s="658"/>
      <c r="AZ36" s="658"/>
    </row>
    <row r="37" spans="1:52" ht="15" customHeight="1" thickBot="1">
      <c r="A37" s="139"/>
      <c r="B37" s="88"/>
      <c r="C37" s="228" t="s">
        <v>595</v>
      </c>
      <c r="D37" s="1560" t="s">
        <v>2733</v>
      </c>
      <c r="E37" s="226"/>
      <c r="F37" s="88"/>
      <c r="G37" s="88"/>
      <c r="H37" s="88"/>
      <c r="I37" s="88"/>
      <c r="J37" s="88"/>
      <c r="K37" s="88"/>
      <c r="L37" s="88"/>
      <c r="M37" s="88"/>
      <c r="N37" s="88"/>
      <c r="O37" s="88"/>
      <c r="P37" s="88"/>
      <c r="Q37" s="5445" t="s">
        <v>601</v>
      </c>
      <c r="R37" s="5638" t="s">
        <v>806</v>
      </c>
      <c r="S37" s="8896"/>
      <c r="T37" s="8897"/>
      <c r="U37" s="8897"/>
      <c r="V37" s="8898"/>
      <c r="W37" s="5619"/>
      <c r="X37" s="8840">
        <f>ROUND(S37,0)</f>
        <v>0</v>
      </c>
      <c r="Y37" s="8841"/>
      <c r="Z37" s="8841"/>
      <c r="AA37" s="139"/>
      <c r="AB37" s="5426"/>
      <c r="AC37" s="253"/>
      <c r="AE37" s="253"/>
      <c r="AF37" s="253"/>
      <c r="AG37" s="253"/>
      <c r="AH37" s="253"/>
      <c r="AI37" s="253"/>
      <c r="AJ37" s="253"/>
      <c r="AK37" s="253"/>
      <c r="AL37" s="253"/>
      <c r="AM37" s="253"/>
      <c r="AN37" s="253"/>
      <c r="AQ37" s="658"/>
      <c r="AR37" s="658"/>
      <c r="AS37" s="658"/>
      <c r="AT37" s="658"/>
      <c r="AU37" s="658"/>
      <c r="AV37" s="658"/>
      <c r="AW37" s="658"/>
      <c r="AX37" s="658"/>
      <c r="AY37" s="658"/>
      <c r="AZ37" s="658"/>
    </row>
    <row r="38" spans="1:52" ht="13.5" thickBot="1">
      <c r="A38" s="139"/>
      <c r="B38" s="88"/>
      <c r="C38" s="228" t="s">
        <v>599</v>
      </c>
      <c r="D38" s="1560" t="s">
        <v>2734</v>
      </c>
      <c r="E38" s="226"/>
      <c r="F38" s="88"/>
      <c r="G38" s="88"/>
      <c r="H38" s="88"/>
      <c r="I38" s="88"/>
      <c r="J38" s="88"/>
      <c r="K38" s="88"/>
      <c r="L38" s="88"/>
      <c r="M38" s="88"/>
      <c r="N38" s="88"/>
      <c r="O38" s="88"/>
      <c r="P38" s="88"/>
      <c r="Q38" s="88"/>
      <c r="R38" s="228"/>
      <c r="S38" s="1189"/>
      <c r="T38" s="1189"/>
      <c r="U38" s="1189"/>
      <c r="V38" s="5445" t="s">
        <v>1877</v>
      </c>
      <c r="W38" s="5639" t="s">
        <v>809</v>
      </c>
      <c r="X38" s="8846" t="str">
        <f>IF(AK24,"",SUM(S35,X36,X37))</f>
        <v/>
      </c>
      <c r="Y38" s="8847"/>
      <c r="Z38" s="8847"/>
      <c r="AA38" s="139"/>
      <c r="AB38" s="5426"/>
      <c r="AC38" s="253"/>
      <c r="AD38" s="253"/>
      <c r="AE38" s="253"/>
      <c r="AF38" s="253"/>
      <c r="AG38" s="253"/>
      <c r="AH38" s="253"/>
      <c r="AI38" s="253"/>
      <c r="AJ38" s="253">
        <f>IF(X38="",0,X38)</f>
        <v>0</v>
      </c>
      <c r="AK38" s="253"/>
      <c r="AL38" s="5640"/>
      <c r="AM38" s="253"/>
      <c r="AN38" s="253"/>
      <c r="AO38" s="253"/>
      <c r="AP38" s="253"/>
      <c r="AQ38" s="658"/>
      <c r="AR38" s="658"/>
      <c r="AS38" s="658"/>
      <c r="AT38" s="658"/>
      <c r="AU38" s="658"/>
      <c r="AV38" s="658"/>
      <c r="AW38" s="658"/>
      <c r="AX38" s="658"/>
      <c r="AY38" s="658"/>
      <c r="AZ38" s="658"/>
    </row>
    <row r="39" spans="1:52" ht="12.75" customHeight="1" thickBot="1">
      <c r="A39" s="139"/>
      <c r="B39" s="88"/>
      <c r="C39" s="228">
        <v>9</v>
      </c>
      <c r="D39" s="1560" t="s">
        <v>2735</v>
      </c>
      <c r="E39" s="226"/>
      <c r="F39" s="88"/>
      <c r="G39" s="88"/>
      <c r="H39" s="88"/>
      <c r="I39" s="88"/>
      <c r="J39" s="88"/>
      <c r="K39" s="88"/>
      <c r="L39" s="88"/>
      <c r="M39" s="88"/>
      <c r="N39" s="88"/>
      <c r="O39" s="88"/>
      <c r="P39" s="88"/>
      <c r="Q39" s="88"/>
      <c r="R39" s="228"/>
      <c r="S39" s="1189"/>
      <c r="T39" s="1663"/>
      <c r="U39" s="1663"/>
      <c r="V39" s="5445" t="s">
        <v>631</v>
      </c>
      <c r="W39" s="5450">
        <v>9</v>
      </c>
      <c r="X39" s="8838" t="str">
        <f>IF(OR(X38="",P32),"",IF(AJ40,0,SUM(X31,-AJ38)))</f>
        <v/>
      </c>
      <c r="Y39" s="8839"/>
      <c r="Z39" s="8839"/>
      <c r="AA39" s="139"/>
      <c r="AB39" s="5426"/>
      <c r="AC39" s="253"/>
      <c r="AD39" s="253"/>
      <c r="AE39" s="253"/>
      <c r="AF39" s="253"/>
      <c r="AG39" s="253"/>
      <c r="AH39" s="253"/>
      <c r="AI39" s="1195"/>
      <c r="AJ39" s="253">
        <f>IF(X39="",0,X39)</f>
        <v>0</v>
      </c>
      <c r="AK39" s="7879" t="s">
        <v>2736</v>
      </c>
      <c r="AL39" s="7863"/>
      <c r="AM39" s="253"/>
      <c r="AN39" s="253"/>
      <c r="AO39" s="1195"/>
      <c r="AP39" s="1195"/>
      <c r="AQ39" s="658"/>
      <c r="AR39" s="658"/>
      <c r="AS39" s="658"/>
      <c r="AT39" s="658"/>
      <c r="AU39" s="658"/>
      <c r="AV39" s="658"/>
      <c r="AW39" s="658"/>
      <c r="AX39" s="658"/>
      <c r="AY39" s="658"/>
      <c r="AZ39" s="658"/>
    </row>
    <row r="40" spans="1:52" ht="14.25" customHeight="1" thickBot="1">
      <c r="A40" s="139"/>
      <c r="B40" s="88"/>
      <c r="C40" s="2502">
        <v>10</v>
      </c>
      <c r="D40" s="1560" t="s">
        <v>2737</v>
      </c>
      <c r="E40" s="226"/>
      <c r="F40" s="88"/>
      <c r="G40" s="88"/>
      <c r="H40" s="88"/>
      <c r="I40" s="88"/>
      <c r="J40" s="1560"/>
      <c r="K40" s="1560" t="str">
        <f>TEXT(AE40,"0.0%")&amp;" ("&amp;TEXT(AE40,"0.000")&amp;")"</f>
        <v>12.4% (0.124)</v>
      </c>
      <c r="L40" s="88"/>
      <c r="M40" s="88"/>
      <c r="N40" s="88"/>
      <c r="O40" s="88"/>
      <c r="P40" s="88"/>
      <c r="Q40" s="88"/>
      <c r="R40" s="1191"/>
      <c r="S40" s="1191"/>
      <c r="T40" s="1191"/>
      <c r="U40" s="1190"/>
      <c r="V40" s="5641" t="s">
        <v>792</v>
      </c>
      <c r="W40" s="5450">
        <v>10</v>
      </c>
      <c r="X40" s="8838" t="str">
        <f>IF(OR(P32,AK24),"",IF(AJ40,0,ROUND(AJ41*AE40,0)))</f>
        <v/>
      </c>
      <c r="Y40" s="8839"/>
      <c r="Z40" s="8839"/>
      <c r="AA40" s="139"/>
      <c r="AB40" s="5426"/>
      <c r="AC40" s="253"/>
      <c r="AD40" s="253"/>
      <c r="AE40" s="8920">
        <v>0.124</v>
      </c>
      <c r="AF40" s="8920"/>
      <c r="AG40" s="253"/>
      <c r="AH40" s="253"/>
      <c r="AI40" s="1191"/>
      <c r="AJ40" s="1794" t="b">
        <f>SUM(X31,-AJ38)&lt;=0</f>
        <v>0</v>
      </c>
      <c r="AK40" s="5642">
        <f>IF(X21="",0,X21)</f>
        <v>0</v>
      </c>
      <c r="AL40" s="5643" t="s">
        <v>566</v>
      </c>
      <c r="AM40" s="5644" t="s">
        <v>567</v>
      </c>
      <c r="AN40" s="5645"/>
      <c r="AO40" s="1191"/>
      <c r="AP40" s="1191"/>
      <c r="AQ40" s="658"/>
      <c r="AR40" s="658"/>
      <c r="AS40" s="658"/>
      <c r="AT40" s="658"/>
      <c r="AU40" s="658"/>
      <c r="AV40" s="658"/>
      <c r="AW40" s="658"/>
      <c r="AX40" s="658"/>
      <c r="AY40" s="658"/>
      <c r="AZ40" s="658"/>
    </row>
    <row r="41" spans="1:52" ht="12.75" customHeight="1">
      <c r="A41" s="139"/>
      <c r="B41" s="88"/>
      <c r="C41" s="228">
        <v>11</v>
      </c>
      <c r="D41" s="1560" t="str">
        <f>"Multiply line 6 by "&amp;TEXT(AC41,"0.0%")&amp;" ("&amp;TEXT(AC41,"0.000")&amp;")"</f>
        <v>Multiply line 6 by 2.9% (0.029)</v>
      </c>
      <c r="E41" s="226"/>
      <c r="F41" s="88"/>
      <c r="G41" s="88"/>
      <c r="H41" s="88"/>
      <c r="I41" s="1190"/>
      <c r="J41" s="1190"/>
      <c r="K41" s="1190"/>
      <c r="L41" s="1190"/>
      <c r="M41" s="1190"/>
      <c r="N41" s="1190"/>
      <c r="O41" s="1190"/>
      <c r="P41" s="1190"/>
      <c r="Q41" s="1190"/>
      <c r="R41" s="1190"/>
      <c r="S41" s="1190"/>
      <c r="T41" s="1190"/>
      <c r="U41" s="1190"/>
      <c r="V41" s="5641" t="s">
        <v>1075</v>
      </c>
      <c r="W41" s="5450">
        <v>11</v>
      </c>
      <c r="X41" s="8838" t="str">
        <f>IF(OR(P32,AK24),"",ROUND(X30*AC41,0))</f>
        <v/>
      </c>
      <c r="Y41" s="8839"/>
      <c r="Z41" s="8839"/>
      <c r="AA41" s="139"/>
      <c r="AB41" s="5426"/>
      <c r="AC41" s="8920">
        <v>2.9000000000000001E-2</v>
      </c>
      <c r="AD41" s="8920"/>
      <c r="AE41" s="1192"/>
      <c r="AF41" s="1192"/>
      <c r="AG41" s="253"/>
      <c r="AH41" s="253"/>
      <c r="AI41" s="253"/>
      <c r="AJ41" s="1208">
        <f>MIN(X30,AJ39)</f>
        <v>0</v>
      </c>
      <c r="AK41" s="5646" t="s">
        <v>2738</v>
      </c>
      <c r="AL41" s="5647">
        <f>IF(NOT(AJ5),0,SchSE_Profit1)</f>
        <v>0</v>
      </c>
      <c r="AM41" s="5648">
        <f>IF(AND(NOT(AJ5),AJ7),SchSE_Profit1,0)</f>
        <v>0</v>
      </c>
      <c r="AN41" s="5649"/>
      <c r="AO41" s="253"/>
      <c r="AP41" s="253"/>
      <c r="AQ41" s="658"/>
      <c r="AR41" s="658"/>
      <c r="AS41" s="658"/>
      <c r="AT41" s="658"/>
      <c r="AU41" s="658"/>
      <c r="AV41" s="658"/>
      <c r="AW41" s="658"/>
      <c r="AX41" s="658"/>
      <c r="AY41" s="658"/>
      <c r="AZ41" s="658"/>
    </row>
    <row r="42" spans="1:52" ht="14.25" customHeight="1" thickBot="1">
      <c r="A42" s="139"/>
      <c r="B42" s="88"/>
      <c r="C42" s="228">
        <v>12</v>
      </c>
      <c r="D42" s="1560" t="s">
        <v>4993</v>
      </c>
      <c r="E42" s="226"/>
      <c r="F42" s="88"/>
      <c r="G42" s="88"/>
      <c r="H42" s="88"/>
      <c r="I42" s="88"/>
      <c r="J42" s="88"/>
      <c r="K42" s="88"/>
      <c r="L42" s="88"/>
      <c r="M42" s="88"/>
      <c r="N42" s="88"/>
      <c r="O42" s="88"/>
      <c r="P42" s="88"/>
      <c r="Q42" s="88"/>
      <c r="R42" s="228"/>
      <c r="S42" s="1189"/>
      <c r="T42" s="1189"/>
      <c r="U42" s="1189"/>
      <c r="V42" s="1189"/>
      <c r="W42" s="5650"/>
      <c r="X42" s="8932"/>
      <c r="Y42" s="8933"/>
      <c r="Z42" s="8933"/>
      <c r="AA42" s="139"/>
      <c r="AB42" s="5426"/>
      <c r="AC42" s="5972"/>
      <c r="AD42" s="5972"/>
      <c r="AE42" s="1192"/>
      <c r="AF42" s="1192"/>
      <c r="AG42" s="253"/>
      <c r="AH42" s="253"/>
      <c r="AI42" s="253"/>
      <c r="AJ42" s="1208"/>
      <c r="AK42" s="1061" t="s">
        <v>4892</v>
      </c>
      <c r="AL42" s="5651">
        <f>IF(AND(AJ5,SchSE_Clergy1_You),X30,IF(AJ5,ChurchEmployeeIncome1,0))</f>
        <v>0</v>
      </c>
      <c r="AM42" s="5652">
        <f>IF(AND(AJ5,SchSE_Clergy1_Sp),X30,IF(AJ5,ChurchEmployeeIncome1,0))</f>
        <v>0</v>
      </c>
      <c r="AN42" s="5653"/>
      <c r="AO42" s="253"/>
      <c r="AP42" s="253"/>
      <c r="AQ42" s="658"/>
      <c r="AR42" s="658"/>
      <c r="AS42" s="658"/>
      <c r="AT42" s="658"/>
      <c r="AU42" s="658"/>
      <c r="AV42" s="658"/>
      <c r="AW42" s="658"/>
      <c r="AX42" s="658"/>
      <c r="AY42" s="658"/>
      <c r="AZ42" s="658"/>
    </row>
    <row r="43" spans="1:52" ht="14.25" customHeight="1">
      <c r="A43" s="139"/>
      <c r="B43" s="88"/>
      <c r="C43" s="228"/>
      <c r="D43" s="2447" t="s">
        <v>4992</v>
      </c>
      <c r="E43" s="226"/>
      <c r="F43" s="88"/>
      <c r="G43" s="88"/>
      <c r="H43" s="88"/>
      <c r="I43" s="88"/>
      <c r="J43" s="88"/>
      <c r="K43" s="88"/>
      <c r="L43" s="88"/>
      <c r="M43" s="88"/>
      <c r="N43" s="88"/>
      <c r="O43" s="88"/>
      <c r="P43" s="88"/>
      <c r="Q43" s="88"/>
      <c r="R43" s="228"/>
      <c r="S43" s="1189"/>
      <c r="T43" s="1189"/>
      <c r="U43" s="1189"/>
      <c r="V43" s="5641" t="s">
        <v>1075</v>
      </c>
      <c r="W43" s="5450">
        <v>12</v>
      </c>
      <c r="X43" s="8836" t="str">
        <f>IF(OR(P32,AK24),"",SUM(X40,X41))</f>
        <v/>
      </c>
      <c r="Y43" s="8837"/>
      <c r="Z43" s="8837"/>
      <c r="AA43" s="139"/>
      <c r="AB43" s="5426"/>
      <c r="AC43" s="5972"/>
      <c r="AD43" s="5972"/>
      <c r="AE43" s="1192"/>
      <c r="AF43" s="1192"/>
      <c r="AG43" s="253"/>
      <c r="AH43" s="253"/>
      <c r="AI43" s="253"/>
      <c r="AJ43" s="1208"/>
      <c r="AK43" s="1061"/>
      <c r="AL43" s="1661"/>
      <c r="AM43" s="1661"/>
      <c r="AN43" s="1661"/>
      <c r="AO43" s="253"/>
      <c r="AP43" s="253"/>
      <c r="AQ43" s="658"/>
      <c r="AR43" s="658"/>
      <c r="AS43" s="658"/>
      <c r="AT43" s="658"/>
      <c r="AU43" s="658"/>
      <c r="AV43" s="658"/>
      <c r="AW43" s="658"/>
      <c r="AX43" s="658"/>
      <c r="AY43" s="658"/>
      <c r="AZ43" s="658"/>
    </row>
    <row r="44" spans="1:52">
      <c r="A44" s="139"/>
      <c r="B44" s="88"/>
      <c r="C44" s="228">
        <v>13</v>
      </c>
      <c r="D44" s="226" t="s">
        <v>2740</v>
      </c>
      <c r="E44" s="88"/>
      <c r="F44" s="88"/>
      <c r="G44" s="88"/>
      <c r="H44" s="88"/>
      <c r="I44" s="88"/>
      <c r="J44" s="88"/>
      <c r="K44" s="88"/>
      <c r="L44" s="88"/>
      <c r="M44" s="88"/>
      <c r="N44" s="88"/>
      <c r="O44" s="88"/>
      <c r="P44" s="88"/>
      <c r="Q44" s="88"/>
      <c r="R44" s="88"/>
      <c r="S44" s="88"/>
      <c r="T44" s="88"/>
      <c r="U44" s="8921"/>
      <c r="V44" s="8922"/>
      <c r="W44" s="8923"/>
      <c r="X44" s="7840"/>
      <c r="Y44" s="7840"/>
      <c r="Z44" s="7840"/>
      <c r="AA44" s="139"/>
      <c r="AB44" s="5415"/>
      <c r="AC44" s="5972"/>
      <c r="AD44" s="5972"/>
      <c r="AE44" s="1192"/>
      <c r="AF44" s="1192"/>
      <c r="AG44" s="253"/>
      <c r="AH44" s="253"/>
      <c r="AI44" s="253"/>
      <c r="AJ44" s="1208"/>
      <c r="AK44" s="344"/>
      <c r="AL44" s="344"/>
      <c r="AM44" s="344"/>
      <c r="AN44" s="344"/>
      <c r="AO44" s="253"/>
      <c r="AP44" s="253"/>
      <c r="AQ44" s="658"/>
      <c r="AR44" s="658"/>
      <c r="AS44" s="658"/>
      <c r="AT44" s="658"/>
      <c r="AU44" s="658"/>
      <c r="AV44" s="658"/>
      <c r="AW44" s="658"/>
      <c r="AX44" s="658"/>
      <c r="AY44" s="658"/>
      <c r="AZ44" s="658"/>
    </row>
    <row r="45" spans="1:52" ht="12.75" customHeight="1" thickBot="1">
      <c r="A45" s="139"/>
      <c r="B45" s="88"/>
      <c r="C45" s="228"/>
      <c r="D45" s="1560" t="str">
        <f>"Multiply  line 12  by "&amp;TEXT(U45,"0%")&amp;" ("&amp;TEXT(U45,"0.00")&amp;")."</f>
        <v>Multiply  line 12  by 50% (0.50).</v>
      </c>
      <c r="E45" s="1560"/>
      <c r="F45" s="88"/>
      <c r="G45" s="88"/>
      <c r="H45" s="1560"/>
      <c r="I45" s="2617" t="s">
        <v>2741</v>
      </c>
      <c r="J45" s="88"/>
      <c r="K45" s="88"/>
      <c r="L45" s="88"/>
      <c r="M45" s="226"/>
      <c r="N45" s="88"/>
      <c r="O45" s="2715"/>
      <c r="P45" s="88"/>
      <c r="Q45" s="88"/>
      <c r="R45" s="5448"/>
      <c r="S45" s="88"/>
      <c r="T45" s="88"/>
      <c r="U45" s="8893">
        <v>0.5</v>
      </c>
      <c r="V45" s="8902"/>
      <c r="W45" s="139"/>
      <c r="X45" s="139"/>
      <c r="Y45" s="139"/>
      <c r="Z45" s="139"/>
      <c r="AA45" s="139"/>
      <c r="AB45" s="5415"/>
      <c r="AC45" s="5972"/>
      <c r="AD45" s="5972"/>
      <c r="AE45" s="1192"/>
      <c r="AF45" s="1192"/>
      <c r="AG45" s="253"/>
      <c r="AH45" s="253"/>
      <c r="AI45" s="253"/>
      <c r="AJ45" s="253"/>
      <c r="AK45" s="344"/>
      <c r="AL45" s="1193"/>
      <c r="AM45" s="1193"/>
      <c r="AN45" s="1193"/>
      <c r="AO45" s="253"/>
      <c r="AP45" s="253"/>
      <c r="AQ45" s="658"/>
      <c r="AR45" s="658"/>
      <c r="AS45" s="658"/>
      <c r="AT45" s="658"/>
      <c r="AU45" s="658"/>
      <c r="AV45" s="658"/>
      <c r="AW45" s="658"/>
      <c r="AX45" s="658"/>
      <c r="AY45" s="658"/>
      <c r="AZ45" s="658"/>
    </row>
    <row r="46" spans="1:52" ht="16.5" customHeight="1" thickBot="1">
      <c r="A46" s="139"/>
      <c r="B46" s="91"/>
      <c r="C46" s="3448"/>
      <c r="D46" s="5654" t="s">
        <v>2742</v>
      </c>
      <c r="E46" s="5655"/>
      <c r="F46" s="5655"/>
      <c r="G46" s="91"/>
      <c r="H46" s="91"/>
      <c r="I46" s="91"/>
      <c r="J46" s="91"/>
      <c r="K46" s="91"/>
      <c r="L46" s="91"/>
      <c r="M46" s="91"/>
      <c r="N46" s="91"/>
      <c r="O46" s="5656"/>
      <c r="P46" s="91"/>
      <c r="Q46" s="5656" t="s">
        <v>1075</v>
      </c>
      <c r="R46" s="5623">
        <v>13</v>
      </c>
      <c r="S46" s="8935" t="str">
        <f>IF(AB46&lt;&gt;"",ROUND(AB46,0),IF(OR(P32,AK24),"",ROUND(X43*U45,0)))</f>
        <v/>
      </c>
      <c r="T46" s="8936"/>
      <c r="U46" s="8936"/>
      <c r="V46" s="8937"/>
      <c r="W46" s="8924"/>
      <c r="X46" s="8925"/>
      <c r="Y46" s="8925"/>
      <c r="Z46" s="8925"/>
      <c r="AA46" s="139"/>
      <c r="AB46" s="811"/>
      <c r="AC46" s="5972"/>
      <c r="AD46" s="5972"/>
      <c r="AE46" s="1192"/>
      <c r="AF46" s="1192"/>
      <c r="AG46" s="253"/>
      <c r="AH46" s="253"/>
      <c r="AI46" s="253"/>
      <c r="AJ46" s="253"/>
      <c r="AK46" s="344"/>
      <c r="AL46" s="1205" t="s">
        <v>2743</v>
      </c>
      <c r="AM46" s="1205" t="s">
        <v>2744</v>
      </c>
      <c r="AN46" s="1205"/>
      <c r="AO46" s="253"/>
      <c r="AP46" s="253"/>
      <c r="AQ46" s="658"/>
      <c r="AR46" s="658"/>
      <c r="AS46" s="658"/>
      <c r="AT46" s="658"/>
      <c r="AU46" s="658"/>
      <c r="AV46" s="658"/>
      <c r="AW46" s="658"/>
      <c r="AX46" s="658"/>
      <c r="AY46" s="658"/>
      <c r="AZ46" s="658"/>
    </row>
    <row r="47" spans="1:52" ht="13.5" customHeight="1">
      <c r="A47" s="139"/>
      <c r="B47" s="5657"/>
      <c r="C47" s="5658" t="s">
        <v>868</v>
      </c>
      <c r="D47" s="5659"/>
      <c r="E47" s="5660" t="s">
        <v>2745</v>
      </c>
      <c r="F47" s="5661"/>
      <c r="G47" s="5661"/>
      <c r="H47" s="5661"/>
      <c r="I47" s="5661"/>
      <c r="J47" s="5661"/>
      <c r="K47" s="5661"/>
      <c r="L47" s="5661"/>
      <c r="M47" s="5661"/>
      <c r="N47" s="5661"/>
      <c r="O47" s="5661"/>
      <c r="P47" s="5661"/>
      <c r="Q47" s="5661"/>
      <c r="R47" s="5661"/>
      <c r="S47" s="5661"/>
      <c r="T47" s="5661"/>
      <c r="U47" s="5661"/>
      <c r="V47" s="5661"/>
      <c r="W47" s="5661"/>
      <c r="X47" s="5661"/>
      <c r="Y47" s="5661"/>
      <c r="Z47" s="5661"/>
      <c r="AA47" s="139"/>
      <c r="AB47" s="5415"/>
      <c r="AC47" s="5972"/>
      <c r="AD47" s="5972"/>
      <c r="AE47" s="1192"/>
      <c r="AF47" s="1192"/>
      <c r="AG47" s="253"/>
      <c r="AH47" s="253"/>
      <c r="AI47" s="253"/>
      <c r="AJ47" s="1204" t="s">
        <v>161</v>
      </c>
      <c r="AK47" s="344" t="s">
        <v>2746</v>
      </c>
      <c r="AL47" s="5628" t="str">
        <f>IF('Sch. C'!Y10,0,IF('Sch. C'!Y6,SchC_ProfitLoss1,0))</f>
        <v/>
      </c>
      <c r="AM47" s="5630">
        <f>IF('Sch. C'!Y10,0,IF('Sch. C'!Y8,SchC_ProfitLoss1,0))</f>
        <v>0</v>
      </c>
      <c r="AN47" s="253"/>
      <c r="AO47" s="253"/>
      <c r="AP47" s="253"/>
      <c r="AQ47" s="658"/>
      <c r="AR47" s="658"/>
      <c r="AS47" s="658"/>
      <c r="AT47" s="658"/>
      <c r="AU47" s="658"/>
      <c r="AV47" s="658"/>
      <c r="AW47" s="658"/>
      <c r="AX47" s="658"/>
      <c r="AY47" s="658"/>
      <c r="AZ47" s="658"/>
    </row>
    <row r="48" spans="1:52" ht="14.25">
      <c r="A48" s="139"/>
      <c r="B48" s="226" t="s">
        <v>2747</v>
      </c>
      <c r="C48" s="88"/>
      <c r="D48" s="88"/>
      <c r="E48" s="88"/>
      <c r="F48" s="88"/>
      <c r="G48" s="88"/>
      <c r="H48" s="88"/>
      <c r="I48" s="88"/>
      <c r="J48" s="88"/>
      <c r="K48" s="88"/>
      <c r="L48" s="88"/>
      <c r="M48" s="88"/>
      <c r="N48" s="88"/>
      <c r="O48" s="88"/>
      <c r="P48" s="88"/>
      <c r="Q48" s="88"/>
      <c r="R48" s="88"/>
      <c r="S48" s="88"/>
      <c r="T48" s="88"/>
      <c r="U48" s="88"/>
      <c r="V48" s="88"/>
      <c r="W48" s="5448"/>
      <c r="X48" s="2468">
        <v>10860</v>
      </c>
      <c r="Y48" s="88"/>
      <c r="Z48" s="88"/>
      <c r="AA48" s="139"/>
      <c r="AB48" s="5415"/>
      <c r="AC48" s="5972"/>
      <c r="AD48" s="5972"/>
      <c r="AE48" s="1192"/>
      <c r="AF48" s="1192"/>
      <c r="AG48" s="253"/>
      <c r="AH48" s="253"/>
      <c r="AI48" s="253"/>
      <c r="AJ48" s="1204" t="s">
        <v>161</v>
      </c>
      <c r="AK48" s="344" t="s">
        <v>2748</v>
      </c>
      <c r="AL48" s="5632">
        <f>IF('Sch. C'!Y124,0,IF('Sch. C'!Y120,SchC_ProfitLoss2,0))</f>
        <v>0</v>
      </c>
      <c r="AM48" s="5634">
        <f>IF('Sch. C'!Y124,0,IF('Sch. C'!Y122,SchC_ProfitLoss2,0))</f>
        <v>0</v>
      </c>
      <c r="AN48" s="253"/>
      <c r="AO48" s="253"/>
      <c r="AP48" s="253"/>
      <c r="AQ48" s="658"/>
      <c r="AR48" s="658"/>
      <c r="AS48" s="658"/>
      <c r="AT48" s="658"/>
      <c r="AU48" s="658"/>
      <c r="AV48" s="658"/>
      <c r="AW48" s="658"/>
      <c r="AX48" s="658"/>
      <c r="AY48" s="658"/>
      <c r="AZ48" s="658"/>
    </row>
    <row r="49" spans="1:52" ht="12.75" customHeight="1" thickBot="1">
      <c r="A49" s="139"/>
      <c r="B49" s="1560" t="str">
        <f>"than "&amp;TEXT(X48,"$0,000")&amp;" or (b) your net farm profits were less than "&amp;TEXT(X49,"$0,000")&amp;"."</f>
        <v>than $10,860 or (b) your net farm profits were less than $7,840.</v>
      </c>
      <c r="C49" s="88"/>
      <c r="D49" s="88"/>
      <c r="E49" s="88"/>
      <c r="F49" s="88"/>
      <c r="G49" s="88"/>
      <c r="H49" s="88"/>
      <c r="I49" s="88"/>
      <c r="J49" s="88"/>
      <c r="K49" s="88"/>
      <c r="L49" s="88"/>
      <c r="M49" s="88"/>
      <c r="N49" s="88"/>
      <c r="O49" s="88"/>
      <c r="P49" s="88"/>
      <c r="Q49" s="88"/>
      <c r="R49" s="88"/>
      <c r="S49" s="88"/>
      <c r="T49" s="88"/>
      <c r="U49" s="88"/>
      <c r="V49" s="88"/>
      <c r="W49" s="5448"/>
      <c r="X49" s="2468">
        <v>7840</v>
      </c>
      <c r="Y49" s="88"/>
      <c r="Z49" s="88"/>
      <c r="AA49" s="139"/>
      <c r="AB49" s="5415"/>
      <c r="AC49" s="5972"/>
      <c r="AD49" s="5972"/>
      <c r="AE49" s="1192"/>
      <c r="AF49" s="1192"/>
      <c r="AG49" s="253"/>
      <c r="AH49" s="253"/>
      <c r="AI49" s="253"/>
      <c r="AJ49" s="1204" t="s">
        <v>161</v>
      </c>
      <c r="AK49" s="1061" t="s">
        <v>2727</v>
      </c>
      <c r="AL49" s="5662">
        <f>IF(AND('Sch. C'!Y6,NOT('Sch. C'!Y10),'Sch. C'!Y120,NOT('Sch. C'!Y124)),SUM(SchC_ProfitLoss1,SchC_ProfitLoss2),0)</f>
        <v>0</v>
      </c>
      <c r="AM49" s="5663">
        <f>IF(AND('Sch. C'!Y8,NOT('Sch. C'!Y10),'Sch. C'!Y122,NOT('Sch. C'!Y124)),SUM(SchC_ProfitLoss1,SchC_ProfitLoss2),0)</f>
        <v>0</v>
      </c>
      <c r="AN49" s="1193"/>
      <c r="AO49" s="253"/>
      <c r="AP49" s="253"/>
      <c r="AQ49" s="670"/>
      <c r="AR49" s="658"/>
      <c r="AS49" s="658"/>
      <c r="AT49" s="658"/>
      <c r="AU49" s="658"/>
      <c r="AV49" s="658"/>
      <c r="AW49" s="658"/>
      <c r="AX49" s="658"/>
      <c r="AY49" s="658"/>
      <c r="AZ49" s="658"/>
    </row>
    <row r="50" spans="1:52" ht="13.5" customHeight="1">
      <c r="A50" s="139"/>
      <c r="B50" s="88"/>
      <c r="C50" s="228">
        <v>14</v>
      </c>
      <c r="D50" s="88" t="s">
        <v>2749</v>
      </c>
      <c r="E50" s="88"/>
      <c r="F50" s="88"/>
      <c r="G50" s="88"/>
      <c r="H50" s="88"/>
      <c r="I50" s="88"/>
      <c r="J50" s="88"/>
      <c r="K50" s="88"/>
      <c r="L50" s="88"/>
      <c r="M50" s="88"/>
      <c r="N50" s="88"/>
      <c r="O50" s="88"/>
      <c r="P50" s="88"/>
      <c r="Q50" s="88"/>
      <c r="R50" s="88"/>
      <c r="S50" s="88"/>
      <c r="T50" s="88"/>
      <c r="U50" s="88"/>
      <c r="V50" s="2715" t="s">
        <v>647</v>
      </c>
      <c r="W50" s="5521">
        <v>14</v>
      </c>
      <c r="X50" s="8926">
        <v>7240</v>
      </c>
      <c r="Y50" s="8927"/>
      <c r="Z50" s="8927"/>
      <c r="AA50" s="139"/>
      <c r="AB50" s="5664" t="str">
        <f>IF(X52&gt;X50,"Line 15 cannot","")</f>
        <v/>
      </c>
      <c r="AC50" s="5972"/>
      <c r="AD50" s="5972"/>
      <c r="AE50" s="1192"/>
      <c r="AF50" s="1192"/>
      <c r="AG50" s="253"/>
      <c r="AH50" s="253"/>
      <c r="AI50" s="253"/>
      <c r="AJ50" s="253"/>
      <c r="AK50" s="344" t="s">
        <v>2750</v>
      </c>
      <c r="AL50" s="1193" t="b">
        <f>AND('Sch. C'!Y6,SchC_StatutoryEmp_1&lt;&gt;"")</f>
        <v>0</v>
      </c>
      <c r="AM50" s="1193" t="b">
        <f>AND('Sch. C'!Y8,SchC_StatutoryEmp_1&lt;&gt;"")</f>
        <v>0</v>
      </c>
      <c r="AN50" s="1193"/>
      <c r="AO50" s="253"/>
      <c r="AP50" s="253"/>
      <c r="AQ50" s="658"/>
      <c r="AR50" s="658"/>
      <c r="AS50" s="658"/>
      <c r="AT50" s="658"/>
      <c r="AU50" s="658"/>
      <c r="AV50" s="658"/>
      <c r="AW50" s="658"/>
      <c r="AX50" s="658"/>
      <c r="AY50" s="658"/>
      <c r="AZ50" s="658"/>
    </row>
    <row r="51" spans="1:52" ht="13.5" customHeight="1">
      <c r="A51" s="139"/>
      <c r="B51" s="88"/>
      <c r="C51" s="228">
        <v>15</v>
      </c>
      <c r="D51" s="1560" t="s">
        <v>2751</v>
      </c>
      <c r="E51" s="88"/>
      <c r="F51" s="88"/>
      <c r="G51" s="88"/>
      <c r="H51" s="88"/>
      <c r="I51" s="88"/>
      <c r="J51" s="88"/>
      <c r="K51" s="88"/>
      <c r="L51" s="88"/>
      <c r="M51" s="88"/>
      <c r="N51" s="88"/>
      <c r="O51" s="88"/>
      <c r="P51" s="88"/>
      <c r="Q51" s="88"/>
      <c r="R51" s="8921" t="str">
        <f>TEXT(X50,"$0,000")&amp;" "</f>
        <v xml:space="preserve">$7,240 </v>
      </c>
      <c r="S51" s="8921"/>
      <c r="T51" s="2423"/>
      <c r="U51" s="1560"/>
      <c r="V51" s="5454" t="s">
        <v>2752</v>
      </c>
      <c r="W51" s="5448"/>
      <c r="X51" s="441" t="b">
        <f>AND(X52&lt;&gt;"",X52&gt;0)</f>
        <v>0</v>
      </c>
      <c r="Y51" s="88"/>
      <c r="Z51" s="88"/>
      <c r="AA51" s="139"/>
      <c r="AB51" s="5664" t="str">
        <f>IF(X52&gt;X50,"be more than","")</f>
        <v/>
      </c>
      <c r="AC51" s="5972"/>
      <c r="AD51" s="5972"/>
      <c r="AE51" s="1192"/>
      <c r="AF51" s="1192"/>
      <c r="AG51" s="253"/>
      <c r="AH51" s="253"/>
      <c r="AI51" s="253"/>
      <c r="AJ51" s="253"/>
      <c r="AK51" s="344" t="s">
        <v>2753</v>
      </c>
      <c r="AL51" s="253" t="b">
        <f>AND('Sch. C'!Y120,NOT('Sch. C'!Y124),SchC_StatutoryEmp_2&lt;&gt;"")</f>
        <v>0</v>
      </c>
      <c r="AM51" s="253" t="b">
        <f>AND('Sch. C'!Y122,NOT('Sch. C'!Y124),SchC_StatutoryEmp_2&lt;&gt;"")</f>
        <v>0</v>
      </c>
      <c r="AN51" s="253"/>
      <c r="AO51" s="253"/>
      <c r="AP51" s="253"/>
      <c r="AQ51" s="658"/>
      <c r="AR51" s="658"/>
      <c r="AS51" s="658"/>
      <c r="AT51" s="658"/>
      <c r="AU51" s="658"/>
      <c r="AV51" s="658"/>
      <c r="AW51" s="658"/>
      <c r="AX51" s="658"/>
      <c r="AY51" s="658"/>
      <c r="AZ51" s="658"/>
    </row>
    <row r="52" spans="1:52" ht="13.5" customHeight="1">
      <c r="A52" s="139"/>
      <c r="B52" s="2432"/>
      <c r="C52" s="2432"/>
      <c r="D52" s="5665" t="s">
        <v>2754</v>
      </c>
      <c r="E52" s="2432"/>
      <c r="F52" s="2432"/>
      <c r="G52" s="2432"/>
      <c r="H52" s="2432"/>
      <c r="I52" s="2432"/>
      <c r="J52" s="2432"/>
      <c r="K52" s="2432"/>
      <c r="L52" s="2432"/>
      <c r="M52" s="2432"/>
      <c r="N52" s="2432"/>
      <c r="O52" s="2432"/>
      <c r="P52" s="2432"/>
      <c r="Q52" s="2432"/>
      <c r="R52" s="2432"/>
      <c r="S52" s="2432"/>
      <c r="T52" s="2432"/>
      <c r="U52" s="2432"/>
      <c r="V52" s="5666" t="s">
        <v>665</v>
      </c>
      <c r="W52" s="5521">
        <v>15</v>
      </c>
      <c r="X52" s="8928"/>
      <c r="Y52" s="8929"/>
      <c r="Z52" s="8929"/>
      <c r="AA52" s="139"/>
      <c r="AB52" s="5664" t="str">
        <f>IF(X52&gt;X50,"Line 14.","")</f>
        <v/>
      </c>
      <c r="AC52" s="5972"/>
      <c r="AD52" s="5972"/>
      <c r="AE52" s="1192"/>
      <c r="AF52" s="1192"/>
      <c r="AG52" s="253"/>
      <c r="AH52" s="253"/>
      <c r="AI52" s="253"/>
      <c r="AJ52" s="253"/>
      <c r="AK52" s="253"/>
      <c r="AL52" s="253"/>
      <c r="AM52" s="253"/>
      <c r="AN52" s="253"/>
      <c r="AO52" s="253"/>
      <c r="AP52" s="253"/>
      <c r="AQ52" s="658"/>
      <c r="AR52" s="658"/>
      <c r="AS52" s="658"/>
      <c r="AT52" s="658"/>
      <c r="AU52" s="658"/>
      <c r="AV52" s="658"/>
      <c r="AW52" s="658"/>
      <c r="AX52" s="658"/>
      <c r="AY52" s="658"/>
      <c r="AZ52" s="658"/>
    </row>
    <row r="53" spans="1:52" ht="13.5" customHeight="1">
      <c r="A53" s="139"/>
      <c r="B53" s="226" t="s">
        <v>2755</v>
      </c>
      <c r="C53" s="88"/>
      <c r="D53" s="88"/>
      <c r="E53" s="88"/>
      <c r="F53" s="88"/>
      <c r="G53" s="88"/>
      <c r="H53" s="88"/>
      <c r="I53" s="88"/>
      <c r="J53" s="88"/>
      <c r="K53" s="88"/>
      <c r="L53" s="88"/>
      <c r="M53" s="88"/>
      <c r="N53" s="88"/>
      <c r="O53" s="88"/>
      <c r="P53" s="88"/>
      <c r="Q53" s="88"/>
      <c r="R53" s="88"/>
      <c r="S53" s="88"/>
      <c r="T53" s="2498" t="str">
        <f>"than "&amp;TEXT(X49,"$0,000")</f>
        <v>than $7,840</v>
      </c>
      <c r="U53" s="2498"/>
      <c r="V53" s="5667"/>
      <c r="W53" s="5448"/>
      <c r="X53" s="441">
        <v>0.72189000000000003</v>
      </c>
      <c r="Y53" s="88"/>
      <c r="Z53" s="88"/>
      <c r="AA53" s="139"/>
      <c r="AB53" s="5415"/>
      <c r="AC53" s="5972"/>
      <c r="AD53" s="5972"/>
      <c r="AE53" s="1192"/>
      <c r="AF53" s="1192"/>
      <c r="AG53" s="253"/>
      <c r="AH53" s="253"/>
      <c r="AI53" s="253"/>
      <c r="AJ53" s="253"/>
      <c r="AK53" s="344"/>
      <c r="AL53" s="1193"/>
      <c r="AM53" s="344"/>
      <c r="AN53" s="253"/>
      <c r="AO53" s="253"/>
      <c r="AP53" s="253"/>
      <c r="AQ53" s="658"/>
      <c r="AR53" s="658"/>
      <c r="AS53" s="658"/>
      <c r="AT53" s="658"/>
      <c r="AU53" s="658"/>
      <c r="AV53" s="658"/>
      <c r="AW53" s="658"/>
      <c r="AX53" s="658"/>
      <c r="AY53" s="658"/>
      <c r="AZ53" s="658"/>
    </row>
    <row r="54" spans="1:52" ht="13.5" customHeight="1">
      <c r="A54" s="139"/>
      <c r="B54" s="2617" t="str">
        <f>"and also less than "&amp;TEXT(X53,"0.000%")&amp;" of your"</f>
        <v>and also less than 72.189% of your</v>
      </c>
      <c r="C54" s="88"/>
      <c r="D54" s="88"/>
      <c r="E54" s="88"/>
      <c r="F54" s="88"/>
      <c r="G54" s="88"/>
      <c r="H54" s="1560"/>
      <c r="I54" s="88"/>
      <c r="J54" s="1560"/>
      <c r="K54" s="88"/>
      <c r="L54" s="88"/>
      <c r="M54" s="88"/>
      <c r="N54" s="88"/>
      <c r="O54" s="88"/>
      <c r="P54" s="88"/>
      <c r="Q54" s="88"/>
      <c r="R54" s="88"/>
      <c r="S54" s="5454" t="s">
        <v>2756</v>
      </c>
      <c r="T54" s="88"/>
      <c r="U54" s="88"/>
      <c r="V54" s="88"/>
      <c r="W54" s="5448"/>
      <c r="X54" s="441">
        <v>400</v>
      </c>
      <c r="Y54" s="88"/>
      <c r="Z54" s="88"/>
      <c r="AA54" s="139"/>
      <c r="AB54" s="5415"/>
      <c r="AC54" s="5972"/>
      <c r="AD54" s="5972"/>
      <c r="AE54" s="1192"/>
      <c r="AF54" s="1192"/>
      <c r="AG54" s="253"/>
      <c r="AH54" s="253"/>
      <c r="AI54" s="253"/>
      <c r="AJ54" s="253"/>
      <c r="AK54" s="1195"/>
      <c r="AL54" s="1195"/>
      <c r="AM54" s="1195"/>
      <c r="AN54" s="1195"/>
      <c r="AO54" s="253"/>
      <c r="AP54" s="253"/>
      <c r="AQ54" s="658"/>
      <c r="AR54" s="658"/>
      <c r="AS54" s="658"/>
      <c r="AT54" s="658"/>
      <c r="AU54" s="658"/>
      <c r="AV54" s="658"/>
      <c r="AW54" s="658"/>
      <c r="AX54" s="658"/>
      <c r="AY54" s="658"/>
      <c r="AZ54" s="658"/>
    </row>
    <row r="55" spans="1:52">
      <c r="A55" s="139"/>
      <c r="B55" s="247" t="str">
        <f>"employment of at least "&amp;TEXT(X54,"$0")&amp;" in 2 of the prior 3 years."</f>
        <v>employment of at least $400 in 2 of the prior 3 years.</v>
      </c>
      <c r="C55" s="88"/>
      <c r="D55" s="88"/>
      <c r="E55" s="88"/>
      <c r="F55" s="88"/>
      <c r="G55" s="88"/>
      <c r="H55" s="88"/>
      <c r="I55" s="88"/>
      <c r="J55" s="88"/>
      <c r="K55" s="1560" t="s">
        <v>2757</v>
      </c>
      <c r="L55" s="88"/>
      <c r="M55" s="1560"/>
      <c r="N55" s="88"/>
      <c r="O55" s="88"/>
      <c r="P55" s="88"/>
      <c r="Q55" s="88"/>
      <c r="R55" s="88"/>
      <c r="S55" s="88"/>
      <c r="T55" s="88"/>
      <c r="U55" s="88"/>
      <c r="V55" s="88"/>
      <c r="W55" s="5448"/>
      <c r="X55" s="88"/>
      <c r="Y55" s="88"/>
      <c r="Z55" s="88"/>
      <c r="AA55" s="139"/>
      <c r="AB55" s="5415"/>
      <c r="AC55" s="5972"/>
      <c r="AD55" s="5972"/>
      <c r="AE55" s="1192"/>
      <c r="AF55" s="1192"/>
      <c r="AG55" s="253"/>
      <c r="AH55" s="253"/>
      <c r="AI55" s="253"/>
      <c r="AJ55" s="253"/>
      <c r="AK55" s="1191"/>
      <c r="AL55" s="1191"/>
      <c r="AM55" s="1191"/>
      <c r="AN55" s="1191"/>
      <c r="AO55" s="253"/>
      <c r="AP55" s="253"/>
      <c r="AQ55" s="658"/>
      <c r="AR55" s="658"/>
      <c r="AS55" s="658"/>
      <c r="AT55" s="658"/>
      <c r="AU55" s="658"/>
      <c r="AV55" s="658"/>
      <c r="AW55" s="658"/>
      <c r="AX55" s="658"/>
      <c r="AY55" s="658"/>
      <c r="AZ55" s="658"/>
    </row>
    <row r="56" spans="1:52">
      <c r="A56" s="139"/>
      <c r="B56" s="88"/>
      <c r="C56" s="228">
        <v>16</v>
      </c>
      <c r="D56" s="88" t="s">
        <v>2758</v>
      </c>
      <c r="E56" s="88"/>
      <c r="F56" s="88"/>
      <c r="G56" s="88"/>
      <c r="H56" s="88"/>
      <c r="I56" s="88"/>
      <c r="J56" s="88"/>
      <c r="K56" s="88"/>
      <c r="L56" s="88"/>
      <c r="M56" s="88"/>
      <c r="N56" s="88"/>
      <c r="O56" s="88"/>
      <c r="P56" s="88"/>
      <c r="Q56" s="88"/>
      <c r="R56" s="88"/>
      <c r="S56" s="88"/>
      <c r="T56" s="88"/>
      <c r="U56" s="88"/>
      <c r="V56" s="5668" t="s">
        <v>2759</v>
      </c>
      <c r="W56" s="5521">
        <v>16</v>
      </c>
      <c r="X56" s="8899" t="str">
        <f>IF(X52="","",IF(X50-X52&lt;0,0,X50-X52))</f>
        <v/>
      </c>
      <c r="Y56" s="8900"/>
      <c r="Z56" s="8900"/>
      <c r="AA56" s="139"/>
      <c r="AB56" s="5415"/>
      <c r="AC56" s="253"/>
      <c r="AD56" s="253"/>
      <c r="AE56" s="253"/>
      <c r="AF56" s="253"/>
      <c r="AG56" s="253"/>
      <c r="AH56" s="512" t="str">
        <f>IF(Q46="",0,Q46)</f>
        <v xml:space="preserve">.   .   .   .   .   .   .   .   .   .   .   .   .   .   .   .   .   .   .   .   .   .   .   .   .   .   .   .  </v>
      </c>
      <c r="AI56" s="253"/>
      <c r="AJ56" s="253"/>
      <c r="AK56" s="253"/>
      <c r="AL56" s="253"/>
      <c r="AM56" s="253"/>
      <c r="AN56" s="253"/>
      <c r="AO56" s="253"/>
      <c r="AP56" s="253"/>
      <c r="AQ56" s="658"/>
      <c r="AR56" s="658"/>
      <c r="AS56" s="658"/>
      <c r="AT56" s="658"/>
      <c r="AU56" s="658"/>
      <c r="AV56" s="658"/>
      <c r="AW56" s="658"/>
      <c r="AX56" s="658"/>
      <c r="AY56" s="658"/>
      <c r="AZ56" s="658"/>
    </row>
    <row r="57" spans="1:52" ht="14.25">
      <c r="A57" s="139"/>
      <c r="B57" s="88"/>
      <c r="C57" s="228">
        <v>17</v>
      </c>
      <c r="D57" s="1560" t="s">
        <v>2760</v>
      </c>
      <c r="E57" s="88"/>
      <c r="F57" s="88"/>
      <c r="G57" s="88"/>
      <c r="H57" s="88"/>
      <c r="I57" s="88"/>
      <c r="J57" s="88"/>
      <c r="K57" s="88"/>
      <c r="L57" s="88"/>
      <c r="M57" s="88"/>
      <c r="N57" s="88"/>
      <c r="O57" s="88"/>
      <c r="P57" s="88"/>
      <c r="Q57" s="88"/>
      <c r="R57" s="88"/>
      <c r="S57" s="88"/>
      <c r="T57" s="88"/>
      <c r="U57" s="88"/>
      <c r="V57" s="88"/>
      <c r="W57" s="5448"/>
      <c r="X57" s="441" t="b">
        <f>AND(X58&lt;&gt;"",X58&gt;0)</f>
        <v>0</v>
      </c>
      <c r="Y57" s="88"/>
      <c r="Z57" s="88"/>
      <c r="AA57" s="139"/>
      <c r="AB57" s="2701" t="str">
        <f>IF($X$58&gt;$X$56,"Line 17 cannot","")</f>
        <v/>
      </c>
      <c r="AC57" s="5669"/>
      <c r="AD57" s="5669"/>
      <c r="AE57" s="5669"/>
      <c r="AF57" s="5669"/>
      <c r="AG57" s="5669"/>
      <c r="AH57" s="5669"/>
      <c r="AI57" s="253"/>
      <c r="AJ57" s="1060"/>
      <c r="AK57" s="253"/>
      <c r="AL57" s="5640"/>
      <c r="AM57" s="730"/>
      <c r="AN57" s="730"/>
      <c r="AO57" s="253"/>
      <c r="AP57" s="253"/>
      <c r="AQ57" s="658"/>
      <c r="AR57" s="658"/>
      <c r="AS57" s="658"/>
      <c r="AT57" s="658"/>
      <c r="AU57" s="658"/>
      <c r="AV57" s="658"/>
      <c r="AW57" s="658"/>
      <c r="AX57" s="658"/>
      <c r="AY57" s="658"/>
      <c r="AZ57" s="658"/>
    </row>
    <row r="58" spans="1:52">
      <c r="A58" s="139"/>
      <c r="B58" s="88"/>
      <c r="C58" s="88"/>
      <c r="D58" s="2449" t="s">
        <v>2761</v>
      </c>
      <c r="E58" s="88"/>
      <c r="F58" s="88"/>
      <c r="G58" s="88"/>
      <c r="H58" s="88"/>
      <c r="I58" s="88"/>
      <c r="J58" s="88"/>
      <c r="K58" s="88"/>
      <c r="L58" s="88"/>
      <c r="M58" s="88"/>
      <c r="N58" s="88"/>
      <c r="O58" s="88"/>
      <c r="P58" s="88"/>
      <c r="Q58" s="88"/>
      <c r="R58" s="88"/>
      <c r="S58" s="88"/>
      <c r="T58" s="88"/>
      <c r="U58" s="88"/>
      <c r="V58" s="2715" t="s">
        <v>590</v>
      </c>
      <c r="W58" s="5521">
        <v>17</v>
      </c>
      <c r="X58" s="8928"/>
      <c r="Y58" s="8929"/>
      <c r="Z58" s="8929"/>
      <c r="AA58" s="139"/>
      <c r="AB58" s="2701" t="str">
        <f>IF($X$58&gt;$X$56,"be more than","")</f>
        <v/>
      </c>
      <c r="AC58" s="253"/>
      <c r="AD58" s="253"/>
      <c r="AE58" s="253"/>
      <c r="AF58" s="253"/>
      <c r="AG58" s="253"/>
      <c r="AH58" s="253"/>
      <c r="AI58" s="253"/>
      <c r="AJ58" s="5626"/>
      <c r="AK58" s="1060"/>
      <c r="AL58" s="5640"/>
      <c r="AM58" s="730"/>
      <c r="AN58" s="730"/>
      <c r="AO58" s="253"/>
      <c r="AP58" s="253"/>
      <c r="AQ58" s="658"/>
      <c r="AR58" s="658"/>
      <c r="AS58" s="658"/>
      <c r="AT58" s="658"/>
      <c r="AU58" s="658"/>
      <c r="AV58" s="658"/>
      <c r="AW58" s="658"/>
      <c r="AX58" s="658"/>
      <c r="AY58" s="658"/>
      <c r="AZ58" s="658"/>
    </row>
    <row r="59" spans="1:52" ht="14.25" customHeight="1">
      <c r="A59" s="139"/>
      <c r="B59" s="5670">
        <v>1</v>
      </c>
      <c r="C59" s="8938" t="s">
        <v>2762</v>
      </c>
      <c r="D59" s="8938"/>
      <c r="E59" s="8938"/>
      <c r="F59" s="8938"/>
      <c r="G59" s="8938"/>
      <c r="H59" s="8938"/>
      <c r="I59" s="8938"/>
      <c r="J59" s="8938"/>
      <c r="K59" s="8938"/>
      <c r="L59" s="8939"/>
      <c r="M59" s="5671">
        <v>3</v>
      </c>
      <c r="N59" s="8941" t="s">
        <v>2763</v>
      </c>
      <c r="O59" s="8941"/>
      <c r="P59" s="8941"/>
      <c r="Q59" s="8941"/>
      <c r="R59" s="8941"/>
      <c r="S59" s="8941"/>
      <c r="T59" s="8941"/>
      <c r="U59" s="8941"/>
      <c r="V59" s="8941"/>
      <c r="W59" s="8941"/>
      <c r="X59" s="8941"/>
      <c r="Y59" s="8941"/>
      <c r="Z59" s="8941"/>
      <c r="AA59" s="139"/>
      <c r="AB59" s="2701" t="str">
        <f>IF($X$58&gt;$X$56,"Line 16.","")</f>
        <v/>
      </c>
      <c r="AC59" s="253"/>
      <c r="AD59" s="253"/>
      <c r="AE59" s="253"/>
      <c r="AF59" s="253"/>
      <c r="AG59" s="253"/>
      <c r="AH59" s="253"/>
      <c r="AI59" s="253"/>
      <c r="AJ59" s="253"/>
      <c r="AK59" s="5672"/>
      <c r="AL59" s="5625"/>
      <c r="AM59" s="5625"/>
      <c r="AN59" s="5625"/>
      <c r="AO59" s="253"/>
      <c r="AP59" s="253"/>
      <c r="AQ59" s="658"/>
      <c r="AR59" s="658"/>
      <c r="AS59" s="658"/>
      <c r="AT59" s="658"/>
      <c r="AU59" s="658"/>
      <c r="AV59" s="658"/>
      <c r="AW59" s="658"/>
      <c r="AX59" s="658"/>
      <c r="AY59" s="658"/>
      <c r="AZ59" s="658"/>
    </row>
    <row r="60" spans="1:52" s="207" customFormat="1" ht="25.5" customHeight="1" thickBot="1">
      <c r="A60" s="139"/>
      <c r="B60" s="5673">
        <v>2</v>
      </c>
      <c r="C60" s="8901" t="s">
        <v>2764</v>
      </c>
      <c r="D60" s="8901"/>
      <c r="E60" s="8901"/>
      <c r="F60" s="8901"/>
      <c r="G60" s="8901"/>
      <c r="H60" s="8901"/>
      <c r="I60" s="8901"/>
      <c r="J60" s="8901"/>
      <c r="K60" s="8901"/>
      <c r="L60" s="8940"/>
      <c r="M60" s="5673">
        <v>4</v>
      </c>
      <c r="N60" s="8901" t="s">
        <v>2765</v>
      </c>
      <c r="O60" s="8901"/>
      <c r="P60" s="8901"/>
      <c r="Q60" s="8901"/>
      <c r="R60" s="8901"/>
      <c r="S60" s="8901"/>
      <c r="T60" s="8901"/>
      <c r="U60" s="8901"/>
      <c r="V60" s="8901"/>
      <c r="W60" s="8901"/>
      <c r="X60" s="8901"/>
      <c r="Y60" s="8901"/>
      <c r="Z60" s="8901"/>
      <c r="AA60" s="139"/>
      <c r="AB60" s="5415"/>
      <c r="AC60" s="253"/>
      <c r="AD60" s="253"/>
      <c r="AE60" s="253"/>
      <c r="AF60" s="253"/>
      <c r="AG60" s="253"/>
      <c r="AH60" s="253"/>
      <c r="AI60" s="253"/>
      <c r="AJ60" s="253"/>
      <c r="AK60" s="1061"/>
      <c r="AL60" s="5625"/>
      <c r="AM60" s="5625"/>
      <c r="AN60" s="5625"/>
      <c r="AO60" s="253"/>
      <c r="AP60" s="253"/>
      <c r="AQ60" s="687"/>
      <c r="AR60" s="687"/>
      <c r="AS60" s="687"/>
      <c r="AT60" s="687"/>
      <c r="AU60" s="687"/>
      <c r="AV60" s="687"/>
      <c r="AW60" s="687"/>
      <c r="AX60" s="687"/>
      <c r="AY60" s="687"/>
      <c r="AZ60" s="687"/>
    </row>
    <row r="61" spans="1:52" ht="13.5" thickBot="1">
      <c r="A61" s="5674"/>
      <c r="B61" s="6491" t="s">
        <v>865</v>
      </c>
      <c r="C61" s="5675"/>
      <c r="D61" s="5676"/>
      <c r="E61" s="5676"/>
      <c r="F61" s="5677"/>
      <c r="G61" s="5678"/>
      <c r="H61" s="5676"/>
      <c r="I61" s="5676"/>
      <c r="J61" s="5676"/>
      <c r="K61" s="5676"/>
      <c r="L61" s="5676"/>
      <c r="M61" s="5677"/>
      <c r="N61" s="5678"/>
      <c r="O61" s="5676"/>
      <c r="P61" s="5676"/>
      <c r="Q61" s="6488" t="s">
        <v>2766</v>
      </c>
      <c r="R61" s="5676"/>
      <c r="S61" s="6490" t="str">
        <f>"Schedule SE (Form 1040) "&amp;TaxYear</f>
        <v>Schedule SE (Form 1040) 2025</v>
      </c>
      <c r="T61" s="5679"/>
      <c r="U61" s="5680"/>
      <c r="V61" s="571"/>
      <c r="W61" s="5681"/>
      <c r="X61" s="5422"/>
      <c r="Y61" s="5422"/>
      <c r="Z61" s="6489" t="s">
        <v>6387</v>
      </c>
      <c r="AA61" s="5682"/>
      <c r="AB61" s="5683"/>
      <c r="AC61" s="253"/>
      <c r="AD61" s="253"/>
      <c r="AE61" s="253"/>
      <c r="AF61" s="253"/>
      <c r="AG61" s="253"/>
      <c r="AH61" s="253"/>
      <c r="AI61" s="253"/>
      <c r="AJ61" s="253"/>
      <c r="AK61" s="253"/>
      <c r="AL61" s="253"/>
      <c r="AM61" s="253"/>
      <c r="AN61" s="253"/>
      <c r="AO61" s="253"/>
      <c r="AP61" s="253"/>
      <c r="AQ61" s="658"/>
      <c r="AR61" s="658"/>
      <c r="AS61" s="658"/>
      <c r="AT61" s="658"/>
      <c r="AU61" s="658"/>
      <c r="AV61" s="658"/>
      <c r="AW61" s="658"/>
      <c r="AX61" s="658"/>
      <c r="AY61" s="658"/>
      <c r="AZ61" s="658"/>
    </row>
    <row r="62" spans="1:52" ht="21.75" customHeight="1">
      <c r="A62" s="139"/>
      <c r="B62" s="8850" t="s">
        <v>2682</v>
      </c>
      <c r="C62" s="8851"/>
      <c r="D62" s="8851"/>
      <c r="E62" s="8851"/>
      <c r="F62" s="8852"/>
      <c r="G62" s="5684"/>
      <c r="H62" s="88"/>
      <c r="I62" s="5685"/>
      <c r="J62" s="5685"/>
      <c r="K62" s="5685"/>
      <c r="L62" s="88"/>
      <c r="M62" s="5686"/>
      <c r="N62" s="88"/>
      <c r="O62" s="5685"/>
      <c r="P62" s="5685"/>
      <c r="Q62" s="5685"/>
      <c r="R62" s="88"/>
      <c r="S62" s="88"/>
      <c r="T62" s="88"/>
      <c r="U62" s="2699"/>
      <c r="V62" s="90"/>
      <c r="W62" s="8930" t="str">
        <f>IF(AND(AA62="",'Table of Contents'!A42="D"),"DRAFT","OMB No. 1545-0074")</f>
        <v>OMB No. 1545-0074</v>
      </c>
      <c r="X62" s="8931"/>
      <c r="Y62" s="8931"/>
      <c r="Z62" s="8931"/>
      <c r="AA62" s="5687"/>
      <c r="AB62" s="2975" t="s">
        <v>2767</v>
      </c>
      <c r="AC62" s="1009"/>
      <c r="AD62" s="1009"/>
      <c r="AE62" s="1009"/>
      <c r="AF62" s="1009"/>
      <c r="AG62" s="1009"/>
      <c r="AH62" s="1009"/>
      <c r="AI62" s="850"/>
      <c r="AJ62" s="253"/>
      <c r="AK62" s="253"/>
      <c r="AL62" s="253"/>
      <c r="AM62" s="253"/>
      <c r="AN62" s="253"/>
      <c r="AO62" s="253"/>
      <c r="AP62" s="850"/>
      <c r="AQ62" s="657" t="s">
        <v>223</v>
      </c>
      <c r="AR62" s="658"/>
      <c r="AS62" s="658"/>
      <c r="AT62" s="658"/>
      <c r="AU62" s="658"/>
      <c r="AV62" s="658"/>
      <c r="AW62" s="658"/>
      <c r="AX62" s="658"/>
      <c r="AY62" s="658"/>
      <c r="AZ62" s="658"/>
    </row>
    <row r="63" spans="1:52" ht="27.75" customHeight="1">
      <c r="A63" s="139"/>
      <c r="B63" s="8853" t="s">
        <v>1815</v>
      </c>
      <c r="C63" s="8853"/>
      <c r="D63" s="8853"/>
      <c r="E63" s="8853"/>
      <c r="F63" s="8854"/>
      <c r="G63" s="8865" t="s">
        <v>2684</v>
      </c>
      <c r="H63" s="8866"/>
      <c r="I63" s="8866"/>
      <c r="J63" s="8866"/>
      <c r="K63" s="8866"/>
      <c r="L63" s="8866"/>
      <c r="M63" s="8866"/>
      <c r="N63" s="8866"/>
      <c r="O63" s="8866"/>
      <c r="P63" s="8866"/>
      <c r="Q63" s="8866"/>
      <c r="R63" s="8866"/>
      <c r="S63" s="8866"/>
      <c r="T63" s="8866"/>
      <c r="U63" s="8866"/>
      <c r="V63" s="8867"/>
      <c r="W63" s="8861">
        <f>TaxYear</f>
        <v>2025</v>
      </c>
      <c r="X63" s="7850"/>
      <c r="Y63" s="7850"/>
      <c r="Z63" s="7850"/>
      <c r="AA63" s="139"/>
      <c r="AB63" s="5415"/>
      <c r="AC63" s="7685" t="s">
        <v>2685</v>
      </c>
      <c r="AD63" s="7685"/>
      <c r="AE63" s="7685"/>
      <c r="AF63" s="1009"/>
      <c r="AG63" s="1009"/>
      <c r="AH63" s="1009"/>
      <c r="AI63" s="850"/>
      <c r="AJ63" s="253"/>
      <c r="AK63" s="253"/>
      <c r="AL63" s="253"/>
      <c r="AM63" s="253"/>
      <c r="AN63" s="253"/>
      <c r="AO63" s="253"/>
      <c r="AP63" s="850"/>
      <c r="AQ63" s="658"/>
      <c r="AR63" s="658"/>
      <c r="AS63" s="658"/>
      <c r="AT63" s="658"/>
      <c r="AU63" s="658"/>
      <c r="AV63" s="658"/>
      <c r="AW63" s="658"/>
      <c r="AX63" s="658"/>
      <c r="AY63" s="658"/>
      <c r="AZ63" s="658"/>
    </row>
    <row r="64" spans="1:52" ht="13.5" customHeight="1" thickBot="1">
      <c r="A64" s="139"/>
      <c r="B64" s="8870" t="s">
        <v>503</v>
      </c>
      <c r="C64" s="8870"/>
      <c r="D64" s="8870"/>
      <c r="E64" s="8870"/>
      <c r="F64" s="8871"/>
      <c r="G64" s="8862" t="s">
        <v>4990</v>
      </c>
      <c r="H64" s="7996"/>
      <c r="I64" s="7996"/>
      <c r="J64" s="7996"/>
      <c r="K64" s="7996"/>
      <c r="L64" s="7996"/>
      <c r="M64" s="7996"/>
      <c r="N64" s="7996"/>
      <c r="O64" s="7996"/>
      <c r="P64" s="7996"/>
      <c r="Q64" s="7996"/>
      <c r="R64" s="7996"/>
      <c r="S64" s="7996"/>
      <c r="T64" s="7996"/>
      <c r="U64" s="7996"/>
      <c r="V64" s="8304"/>
      <c r="W64" s="5601"/>
      <c r="X64" s="8868" t="s">
        <v>2686</v>
      </c>
      <c r="Y64" s="8868"/>
      <c r="Z64" s="8868"/>
      <c r="AA64" s="139"/>
      <c r="AB64" s="5415"/>
      <c r="AC64" s="7685"/>
      <c r="AD64" s="7685"/>
      <c r="AE64" s="7685"/>
      <c r="AF64" s="1009"/>
      <c r="AG64" s="1009"/>
      <c r="AH64" s="1009"/>
      <c r="AI64" s="850"/>
      <c r="AJ64" s="1009"/>
      <c r="AK64" s="850"/>
      <c r="AL64" s="850"/>
      <c r="AM64" s="850"/>
      <c r="AN64" s="850"/>
      <c r="AO64" s="850"/>
      <c r="AP64" s="850"/>
      <c r="AQ64" s="658"/>
      <c r="AR64" s="658"/>
      <c r="AS64" s="658"/>
      <c r="AT64" s="658"/>
      <c r="AU64" s="658"/>
      <c r="AV64" s="658"/>
      <c r="AW64" s="658"/>
      <c r="AX64" s="658"/>
      <c r="AY64" s="658"/>
      <c r="AZ64" s="658"/>
    </row>
    <row r="65" spans="1:52" ht="12.75" customHeight="1" thickBot="1">
      <c r="A65" s="139"/>
      <c r="B65" s="8872" t="str">
        <f>"Internal Revenue Service  (99)"</f>
        <v>Internal Revenue Service  (99)</v>
      </c>
      <c r="C65" s="8872"/>
      <c r="D65" s="8872"/>
      <c r="E65" s="8872"/>
      <c r="F65" s="8873"/>
      <c r="G65" s="8862" t="s">
        <v>4991</v>
      </c>
      <c r="H65" s="8863"/>
      <c r="I65" s="8863"/>
      <c r="J65" s="8863"/>
      <c r="K65" s="8863"/>
      <c r="L65" s="8863"/>
      <c r="M65" s="8863"/>
      <c r="N65" s="8863"/>
      <c r="O65" s="8863"/>
      <c r="P65" s="8863"/>
      <c r="Q65" s="8863"/>
      <c r="R65" s="8863"/>
      <c r="S65" s="8863"/>
      <c r="T65" s="8863"/>
      <c r="U65" s="8863"/>
      <c r="V65" s="8864"/>
      <c r="W65" s="5602"/>
      <c r="X65" s="8869"/>
      <c r="Y65" s="8869"/>
      <c r="Z65" s="8869"/>
      <c r="AA65" s="139"/>
      <c r="AB65" s="5415"/>
      <c r="AC65" s="253"/>
      <c r="AD65" s="277" t="s">
        <v>2119</v>
      </c>
      <c r="AE65" s="1059" t="s">
        <v>2687</v>
      </c>
      <c r="AF65" s="253"/>
      <c r="AG65" s="8904" t="str">
        <f>IF(AND(AJ67,AL95),"Error: You can't check 'Spouse' if this form is for your statutory employee income.",IF(AND(AJ65,AM95),"Error: You can't check 'Yourself' if this form is for your spouse's statutory employee income.",""))</f>
        <v/>
      </c>
      <c r="AH65" s="850"/>
      <c r="AI65" s="253"/>
      <c r="AJ65" s="253" t="b">
        <f>(AD65&lt;&gt;"")</f>
        <v>1</v>
      </c>
      <c r="AK65" s="850"/>
      <c r="AL65" s="850"/>
      <c r="AM65" s="850"/>
      <c r="AN65" s="850"/>
      <c r="AO65" s="850"/>
      <c r="AP65" s="850"/>
      <c r="AQ65" s="658"/>
      <c r="AR65" s="658"/>
      <c r="AS65" s="658"/>
      <c r="AT65" s="658"/>
      <c r="AU65" s="658"/>
      <c r="AV65" s="658"/>
      <c r="AW65" s="658"/>
      <c r="AX65" s="658"/>
      <c r="AY65" s="658"/>
      <c r="AZ65" s="658"/>
    </row>
    <row r="66" spans="1:52" ht="12" customHeight="1" thickBot="1">
      <c r="A66" s="139"/>
      <c r="B66" s="8880" t="s">
        <v>6388</v>
      </c>
      <c r="C66" s="8880"/>
      <c r="D66" s="8880"/>
      <c r="E66" s="8880"/>
      <c r="F66" s="8880"/>
      <c r="G66" s="8880"/>
      <c r="H66" s="8880"/>
      <c r="I66" s="8880"/>
      <c r="J66" s="8880"/>
      <c r="K66" s="8880"/>
      <c r="L66" s="8880"/>
      <c r="M66" s="8880"/>
      <c r="N66" s="8880"/>
      <c r="O66" s="8880"/>
      <c r="P66" s="8880"/>
      <c r="Q66" s="8874" t="str">
        <f>IF($AJ$6,"Social security number(s) MUST be entered for this form to work properly.","Social security number of person"&amp;CHAR(10)&amp;"with self-employment income")</f>
        <v>Social security number of person
with self-employment income</v>
      </c>
      <c r="R66" s="8875"/>
      <c r="S66" s="8875"/>
      <c r="T66" s="8875"/>
      <c r="U66" s="8875"/>
      <c r="V66" s="8876"/>
      <c r="W66" s="8856">
        <f>IF(AND(AJ65,AJ67),SS_Yours,IF(AJ65,SS_Yours,IF(AJ67,SS_Spouse,"")))</f>
        <v>1010001</v>
      </c>
      <c r="X66" s="8857"/>
      <c r="Y66" s="8857"/>
      <c r="Z66" s="8857"/>
      <c r="AA66" s="139"/>
      <c r="AB66" s="5415"/>
      <c r="AC66" s="253"/>
      <c r="AD66" s="253"/>
      <c r="AE66" s="5603" t="str">
        <f>IF(File_Marr_Joint&lt;&gt;"","Check both boxes if for both.","")</f>
        <v/>
      </c>
      <c r="AF66" s="253"/>
      <c r="AG66" s="8904"/>
      <c r="AH66" s="850"/>
      <c r="AI66" s="253"/>
      <c r="AJ66" s="411"/>
      <c r="AK66" s="850"/>
      <c r="AL66" s="850"/>
      <c r="AM66" s="850"/>
      <c r="AN66" s="850"/>
      <c r="AO66" s="850"/>
      <c r="AP66" s="850"/>
      <c r="AQ66" s="658"/>
      <c r="AR66" s="658"/>
      <c r="AS66" s="658"/>
      <c r="AT66" s="658"/>
      <c r="AU66" s="658"/>
      <c r="AV66" s="658"/>
      <c r="AW66" s="658"/>
      <c r="AX66" s="658"/>
      <c r="AY66" s="658"/>
      <c r="AZ66" s="658"/>
    </row>
    <row r="67" spans="1:52" ht="16.5" customHeight="1" thickBot="1">
      <c r="A67" s="139"/>
      <c r="B67" s="8881" t="str">
        <f>IF(AND(AJ65,AJ67),NameYours&amp;" and "&amp;NameSpouse,IF(AJ65,NameYours,IF(AJ67,NameSpouse,"")))</f>
        <v xml:space="preserve"> </v>
      </c>
      <c r="C67" s="8881"/>
      <c r="D67" s="8881"/>
      <c r="E67" s="8881"/>
      <c r="F67" s="8881"/>
      <c r="G67" s="8881"/>
      <c r="H67" s="8881"/>
      <c r="I67" s="8881"/>
      <c r="J67" s="8881"/>
      <c r="K67" s="8881"/>
      <c r="L67" s="8881"/>
      <c r="M67" s="8881"/>
      <c r="N67" s="8881"/>
      <c r="O67" s="8881"/>
      <c r="P67" s="8881"/>
      <c r="Q67" s="8877"/>
      <c r="R67" s="8878"/>
      <c r="S67" s="8878"/>
      <c r="T67" s="8878"/>
      <c r="U67" s="8878"/>
      <c r="V67" s="8879"/>
      <c r="W67" s="8858"/>
      <c r="X67" s="8859"/>
      <c r="Y67" s="8859"/>
      <c r="Z67" s="8859"/>
      <c r="AA67" s="139"/>
      <c r="AB67" s="7820" t="s">
        <v>2688</v>
      </c>
      <c r="AC67" s="253"/>
      <c r="AD67" s="277"/>
      <c r="AE67" s="1059" t="str">
        <f>IF(AND(NumFileStatusBoxes=1,File_Marr_Joint&lt;&gt;""),"  Spouse","")</f>
        <v/>
      </c>
      <c r="AF67" s="253"/>
      <c r="AG67" s="8904"/>
      <c r="AH67" s="850"/>
      <c r="AI67" s="253"/>
      <c r="AJ67" s="253" t="b">
        <f>(AD67&lt;&gt;"")</f>
        <v>0</v>
      </c>
      <c r="AK67" s="850"/>
      <c r="AL67" s="253" t="b">
        <f>OR(AND('Sch. C'!M7=SS_Yours,'Sch. C'!Y8,NOT('Sch. C'!Y10)),AND('Sch. C'!M121=SS_Yours,'Sch. C'!Y122,NOT('Sch. C'!Y124)))</f>
        <v>0</v>
      </c>
      <c r="AM67" s="850"/>
      <c r="AN67" s="850"/>
      <c r="AO67" s="850"/>
      <c r="AP67" s="850"/>
      <c r="AQ67" s="658"/>
      <c r="AR67" s="658"/>
      <c r="AS67" s="658"/>
      <c r="AT67" s="658"/>
      <c r="AU67" s="658"/>
      <c r="AV67" s="658"/>
      <c r="AW67" s="658"/>
      <c r="AX67" s="658"/>
      <c r="AY67" s="658"/>
      <c r="AZ67" s="658"/>
    </row>
    <row r="68" spans="1:52" ht="18" customHeight="1">
      <c r="A68" s="139"/>
      <c r="B68" s="8882" t="s">
        <v>780</v>
      </c>
      <c r="C68" s="8882"/>
      <c r="D68" s="8882"/>
      <c r="E68" s="5604" t="s">
        <v>2684</v>
      </c>
      <c r="F68" s="2432"/>
      <c r="G68" s="2432"/>
      <c r="H68" s="2432"/>
      <c r="I68" s="2432"/>
      <c r="J68" s="2432"/>
      <c r="K68" s="2432"/>
      <c r="L68" s="2432"/>
      <c r="M68" s="2432"/>
      <c r="N68" s="2432"/>
      <c r="O68" s="2432"/>
      <c r="P68" s="2432"/>
      <c r="Q68" s="2432"/>
      <c r="R68" s="2432"/>
      <c r="S68" s="2432"/>
      <c r="T68" s="2432"/>
      <c r="U68" s="2432"/>
      <c r="V68" s="2432"/>
      <c r="W68" s="2432"/>
      <c r="X68" s="2432"/>
      <c r="Y68" s="2432"/>
      <c r="Z68" s="2432"/>
      <c r="AA68" s="139"/>
      <c r="AB68" s="7820"/>
      <c r="AC68" s="253"/>
      <c r="AD68" s="8341" t="s">
        <v>2689</v>
      </c>
      <c r="AE68" s="8341"/>
      <c r="AF68" s="8341"/>
      <c r="AG68" s="8341"/>
      <c r="AH68" s="8341"/>
      <c r="AI68" s="8341"/>
      <c r="AJ68" s="1009"/>
      <c r="AK68" s="850"/>
      <c r="AL68" s="253"/>
      <c r="AM68" s="850"/>
      <c r="AN68" s="850"/>
      <c r="AO68" s="850"/>
      <c r="AP68" s="850"/>
      <c r="AQ68" s="658"/>
      <c r="AR68" s="658"/>
      <c r="AS68" s="658"/>
      <c r="AT68" s="658"/>
      <c r="AU68" s="658"/>
      <c r="AV68" s="658"/>
      <c r="AW68" s="658"/>
      <c r="AX68" s="658"/>
      <c r="AY68" s="658"/>
      <c r="AZ68" s="658"/>
    </row>
    <row r="69" spans="1:52" ht="14.25" customHeight="1">
      <c r="A69" s="139"/>
      <c r="B69" s="2126" t="s">
        <v>2690</v>
      </c>
      <c r="C69" s="5359"/>
      <c r="D69" s="5359"/>
      <c r="E69" s="5605"/>
      <c r="F69" s="88"/>
      <c r="G69" s="88"/>
      <c r="H69" s="88"/>
      <c r="I69" s="88"/>
      <c r="J69" s="88"/>
      <c r="K69" s="88"/>
      <c r="L69" s="88"/>
      <c r="M69" s="88"/>
      <c r="N69" s="88"/>
      <c r="O69" s="88"/>
      <c r="P69" s="88"/>
      <c r="Q69" s="88"/>
      <c r="R69" s="88"/>
      <c r="S69" s="88"/>
      <c r="T69" s="88"/>
      <c r="U69" s="88"/>
      <c r="V69" s="88"/>
      <c r="W69" s="88"/>
      <c r="X69" s="88"/>
      <c r="Y69" s="88"/>
      <c r="Z69" s="88"/>
      <c r="AA69" s="139"/>
      <c r="AB69" s="5415"/>
      <c r="AC69" s="253"/>
      <c r="AD69" s="8341"/>
      <c r="AE69" s="8341"/>
      <c r="AF69" s="8341"/>
      <c r="AG69" s="8341"/>
      <c r="AH69" s="8341"/>
      <c r="AI69" s="8341"/>
      <c r="AJ69" s="1009"/>
      <c r="AK69" s="253"/>
      <c r="AL69" s="253" t="b">
        <f>AND(File_Marr_Joint&lt;&gt;"",OR(AND('Sch. C'!M7=SS_Spouse,'Sch. C'!Y8,NOT('Sch. C'!Y10)),AND('Sch. C'!M121=SS_Spouse,'Sch. C'!Y122,NOT('Sch. C'!Y124))))</f>
        <v>0</v>
      </c>
      <c r="AM69" s="850"/>
      <c r="AN69" s="850"/>
      <c r="AO69" s="850"/>
      <c r="AP69" s="850"/>
      <c r="AQ69" s="658"/>
      <c r="AR69" s="658"/>
      <c r="AS69" s="658"/>
      <c r="AT69" s="658"/>
      <c r="AU69" s="658"/>
      <c r="AV69" s="658"/>
      <c r="AW69" s="658"/>
      <c r="AX69" s="658"/>
      <c r="AY69" s="658"/>
      <c r="AZ69" s="658"/>
    </row>
    <row r="70" spans="1:52" s="138" customFormat="1" ht="14.25" customHeight="1">
      <c r="A70" s="139"/>
      <c r="B70" s="2126" t="s">
        <v>2691</v>
      </c>
      <c r="C70" s="5359"/>
      <c r="D70" s="5359"/>
      <c r="E70" s="5605"/>
      <c r="F70" s="88"/>
      <c r="G70" s="88"/>
      <c r="H70" s="88"/>
      <c r="I70" s="88"/>
      <c r="J70" s="88"/>
      <c r="K70" s="88"/>
      <c r="L70" s="88"/>
      <c r="M70" s="88"/>
      <c r="N70" s="88"/>
      <c r="O70" s="88"/>
      <c r="P70" s="88"/>
      <c r="Q70" s="88"/>
      <c r="R70" s="88"/>
      <c r="S70" s="88"/>
      <c r="T70" s="88"/>
      <c r="U70" s="88"/>
      <c r="V70" s="88"/>
      <c r="W70" s="88"/>
      <c r="X70" s="88"/>
      <c r="Y70" s="88"/>
      <c r="Z70" s="88"/>
      <c r="AA70" s="139"/>
      <c r="AB70" s="8905" t="str">
        <f>IF(ChurchEmployee2,"Skip line 1 thru 4b, enter -0- on line 4c, and go to line 5a.","")</f>
        <v/>
      </c>
      <c r="AC70" s="253"/>
      <c r="AD70" s="8341"/>
      <c r="AE70" s="8341"/>
      <c r="AF70" s="8341"/>
      <c r="AG70" s="8341"/>
      <c r="AH70" s="8341"/>
      <c r="AI70" s="8341"/>
      <c r="AJ70" s="1196"/>
      <c r="AK70" s="850"/>
      <c r="AL70" s="850"/>
      <c r="AM70" s="850"/>
      <c r="AN70" s="850"/>
      <c r="AO70" s="850"/>
      <c r="AP70" s="850"/>
      <c r="AQ70" s="662"/>
      <c r="AR70" s="662"/>
      <c r="AS70" s="662"/>
      <c r="AT70" s="662"/>
      <c r="AU70" s="662"/>
      <c r="AV70" s="662"/>
      <c r="AW70" s="662"/>
      <c r="AX70" s="662"/>
      <c r="AY70" s="662"/>
      <c r="AZ70" s="662"/>
    </row>
    <row r="71" spans="1:52" ht="11.25" customHeight="1">
      <c r="A71" s="139"/>
      <c r="B71" s="7706" t="s">
        <v>510</v>
      </c>
      <c r="C71" s="7706"/>
      <c r="D71" s="5359"/>
      <c r="E71" s="2126" t="s">
        <v>2692</v>
      </c>
      <c r="F71" s="88"/>
      <c r="G71" s="88"/>
      <c r="H71" s="88"/>
      <c r="I71" s="88"/>
      <c r="J71" s="88"/>
      <c r="K71" s="88"/>
      <c r="L71" s="88"/>
      <c r="M71" s="88"/>
      <c r="N71" s="88"/>
      <c r="O71" s="88"/>
      <c r="P71" s="88"/>
      <c r="Q71" s="88"/>
      <c r="R71" s="88"/>
      <c r="S71" s="88"/>
      <c r="T71" s="88"/>
      <c r="U71" s="88"/>
      <c r="V71" s="88"/>
      <c r="W71" s="88"/>
      <c r="X71" s="88"/>
      <c r="Y71" s="88"/>
      <c r="Z71" s="88"/>
      <c r="AA71" s="139"/>
      <c r="AB71" s="8905"/>
      <c r="AC71" s="253"/>
      <c r="AD71" s="8341"/>
      <c r="AE71" s="8341"/>
      <c r="AF71" s="8341"/>
      <c r="AG71" s="8341"/>
      <c r="AH71" s="8341"/>
      <c r="AI71" s="8341"/>
      <c r="AJ71" s="1196"/>
      <c r="AK71" s="850"/>
      <c r="AL71" s="850"/>
      <c r="AM71" s="850"/>
      <c r="AN71" s="850"/>
      <c r="AO71" s="850"/>
      <c r="AP71" s="850"/>
      <c r="AQ71" s="658"/>
      <c r="AR71" s="658"/>
      <c r="AS71" s="658"/>
      <c r="AT71" s="658"/>
      <c r="AU71" s="658"/>
      <c r="AV71" s="658"/>
      <c r="AW71" s="658"/>
      <c r="AX71" s="658"/>
      <c r="AY71" s="658"/>
      <c r="AZ71" s="658"/>
    </row>
    <row r="72" spans="1:52" ht="11.25" customHeight="1">
      <c r="A72" s="139"/>
      <c r="B72" s="5359"/>
      <c r="C72" s="5359"/>
      <c r="D72" s="5359"/>
      <c r="E72" s="2126" t="str">
        <f>TEXT(AJ80,"$0")&amp;" or more of"</f>
        <v>$400 or more of</v>
      </c>
      <c r="F72" s="88"/>
      <c r="G72" s="1560"/>
      <c r="H72" s="88"/>
      <c r="I72" s="5454" t="s">
        <v>2693</v>
      </c>
      <c r="J72" s="5455" t="s">
        <v>2694</v>
      </c>
      <c r="K72" s="88"/>
      <c r="L72" s="88"/>
      <c r="M72" s="88"/>
      <c r="N72" s="88"/>
      <c r="O72" s="88"/>
      <c r="P72" s="88"/>
      <c r="Q72" s="88"/>
      <c r="R72" s="88"/>
      <c r="S72" s="88"/>
      <c r="T72" s="88"/>
      <c r="U72" s="88"/>
      <c r="V72" s="88"/>
      <c r="W72" s="88"/>
      <c r="X72" s="2715" t="s">
        <v>877</v>
      </c>
      <c r="Y72" s="1111"/>
      <c r="Z72" s="88"/>
      <c r="AA72" s="139"/>
      <c r="AB72" s="8905"/>
      <c r="AC72" s="253"/>
      <c r="AD72" s="1196"/>
      <c r="AE72" s="1198" t="b">
        <f>AND(X81=0,ChurchEmployeeIncome2&lt;&gt;"",ChurchEmployeeIncome2&gt;0)</f>
        <v>0</v>
      </c>
      <c r="AF72" s="1196"/>
      <c r="AG72" s="1196"/>
      <c r="AH72" s="1196"/>
      <c r="AI72" s="850"/>
      <c r="AJ72" s="1196" t="b">
        <f>AND(Y72&lt;&gt;"",AJ65)</f>
        <v>0</v>
      </c>
      <c r="AK72" s="850"/>
      <c r="AL72" s="850" t="b">
        <f>AND(Y72&lt;&gt;"",AND(AJ67,NOT(AJ68)))</f>
        <v>0</v>
      </c>
      <c r="AM72" s="850"/>
      <c r="AN72" s="850"/>
      <c r="AO72" s="850"/>
      <c r="AP72" s="850"/>
      <c r="AQ72" s="658"/>
      <c r="AR72" s="658"/>
      <c r="AS72" s="658"/>
      <c r="AT72" s="658"/>
      <c r="AU72" s="658"/>
      <c r="AV72" s="658"/>
      <c r="AW72" s="658"/>
      <c r="AX72" s="658"/>
      <c r="AY72" s="658"/>
      <c r="AZ72" s="658"/>
    </row>
    <row r="73" spans="1:52" ht="13.5" customHeight="1" thickBot="1">
      <c r="A73" s="139"/>
      <c r="B73" s="2126" t="s">
        <v>2695</v>
      </c>
      <c r="C73" s="5359"/>
      <c r="D73" s="5359"/>
      <c r="E73" s="2126"/>
      <c r="F73" s="88"/>
      <c r="G73" s="88"/>
      <c r="H73" s="88"/>
      <c r="I73" s="88"/>
      <c r="J73" s="88"/>
      <c r="K73" s="88"/>
      <c r="L73" s="88"/>
      <c r="M73" s="88"/>
      <c r="N73" s="88"/>
      <c r="O73" s="88"/>
      <c r="P73" s="88"/>
      <c r="Q73" s="88"/>
      <c r="R73" s="88"/>
      <c r="S73" s="88"/>
      <c r="T73" s="88"/>
      <c r="U73" s="88"/>
      <c r="V73" s="88"/>
      <c r="W73" s="88"/>
      <c r="X73" s="88"/>
      <c r="Y73" s="88"/>
      <c r="Z73" s="88"/>
      <c r="AA73" s="139"/>
      <c r="AB73" s="5415"/>
      <c r="AC73" s="5415"/>
      <c r="AD73" s="5415"/>
      <c r="AE73" s="5415"/>
      <c r="AF73" s="5415"/>
      <c r="AG73" s="5415"/>
      <c r="AH73" s="5415"/>
      <c r="AI73" s="5415"/>
      <c r="AJ73" s="1196"/>
      <c r="AK73" s="850"/>
      <c r="AL73" s="850"/>
      <c r="AM73" s="850"/>
      <c r="AN73" s="850"/>
      <c r="AO73" s="850"/>
      <c r="AP73" s="850"/>
      <c r="AQ73" s="658"/>
      <c r="AR73" s="658"/>
      <c r="AS73" s="658"/>
      <c r="AT73" s="658"/>
      <c r="AU73" s="658"/>
      <c r="AV73" s="658"/>
      <c r="AW73" s="658"/>
      <c r="AX73" s="658"/>
      <c r="AY73" s="658"/>
      <c r="AZ73" s="658"/>
    </row>
    <row r="74" spans="1:52" ht="13.5" customHeight="1" thickBot="1">
      <c r="A74" s="139"/>
      <c r="B74" s="88"/>
      <c r="C74" s="2715" t="s">
        <v>333</v>
      </c>
      <c r="D74" s="1560" t="s">
        <v>2696</v>
      </c>
      <c r="E74" s="88"/>
      <c r="F74" s="88"/>
      <c r="G74" s="88"/>
      <c r="H74" s="88"/>
      <c r="I74" s="88"/>
      <c r="J74" s="88"/>
      <c r="K74" s="88"/>
      <c r="L74" s="88"/>
      <c r="M74" s="88"/>
      <c r="N74" s="88"/>
      <c r="O74" s="88"/>
      <c r="P74" s="88"/>
      <c r="Q74" s="88"/>
      <c r="R74" s="88"/>
      <c r="S74" s="88"/>
      <c r="T74" s="88"/>
      <c r="U74" s="88"/>
      <c r="V74" s="88"/>
      <c r="W74" s="5448"/>
      <c r="X74" s="8860"/>
      <c r="Y74" s="7601"/>
      <c r="Z74" s="7601"/>
      <c r="AA74" s="139"/>
      <c r="AB74" s="5606"/>
      <c r="AC74" s="5415"/>
      <c r="AD74" s="5607" t="s">
        <v>2697</v>
      </c>
      <c r="AE74" s="377"/>
      <c r="AF74" s="377"/>
      <c r="AG74" s="5608"/>
      <c r="AH74" s="378"/>
      <c r="AI74" s="5415"/>
      <c r="AJ74" s="1196"/>
      <c r="AK74" s="850"/>
      <c r="AL74" s="850"/>
      <c r="AM74" s="850"/>
      <c r="AN74" s="850"/>
      <c r="AO74" s="850"/>
      <c r="AP74" s="253"/>
      <c r="AQ74" s="658"/>
      <c r="AR74" s="658"/>
      <c r="AS74" s="658"/>
      <c r="AT74" s="658"/>
      <c r="AU74" s="658"/>
      <c r="AV74" s="658"/>
      <c r="AW74" s="658"/>
      <c r="AX74" s="658"/>
      <c r="AY74" s="658"/>
      <c r="AZ74" s="658"/>
    </row>
    <row r="75" spans="1:52" ht="13.5" customHeight="1" thickBot="1">
      <c r="A75" s="139"/>
      <c r="B75" s="182"/>
      <c r="C75" s="2975"/>
      <c r="D75" s="2449" t="s">
        <v>2698</v>
      </c>
      <c r="E75" s="182"/>
      <c r="F75" s="182"/>
      <c r="G75" s="182"/>
      <c r="H75" s="182"/>
      <c r="I75" s="182"/>
      <c r="J75" s="182"/>
      <c r="K75" s="182"/>
      <c r="L75" s="182"/>
      <c r="M75" s="182"/>
      <c r="N75" s="182"/>
      <c r="O75" s="182"/>
      <c r="P75" s="182"/>
      <c r="Q75" s="182"/>
      <c r="R75" s="182"/>
      <c r="S75" s="182"/>
      <c r="T75" s="182"/>
      <c r="U75" s="182"/>
      <c r="V75" s="5445" t="s">
        <v>2699</v>
      </c>
      <c r="W75" s="5447" t="s">
        <v>333</v>
      </c>
      <c r="X75" s="8887">
        <f>IF(AB75&lt;&gt;"",ROUND(AB75,0),IF(OR(FarmOptMeth2,AND(NOT(AJ65),NOT(AJ67))),"",IF(AND(AJ65,AJ67),SUM(AN92,ROUND(AH75,0)),IF(AJ65,SUM(AL92,ROUND(AH75,0)),IF(AJ67,SUM(AM92,ROUND(AH75,0)),"")))))</f>
        <v>0</v>
      </c>
      <c r="Y75" s="8888"/>
      <c r="Z75" s="8888"/>
      <c r="AA75" s="144"/>
      <c r="AB75" s="811"/>
      <c r="AC75" s="5415"/>
      <c r="AD75" s="980" t="s">
        <v>2700</v>
      </c>
      <c r="AE75" s="380"/>
      <c r="AF75" s="380"/>
      <c r="AG75" s="380"/>
      <c r="AH75" s="1031"/>
      <c r="AI75" s="5415"/>
      <c r="AJ75" s="851">
        <f>IF(AB75&lt;&gt;"",ROUND(AB75,0),FarmProfitNet)</f>
        <v>0</v>
      </c>
      <c r="AK75" s="850"/>
      <c r="AL75" s="850"/>
      <c r="AM75" s="850"/>
      <c r="AN75" s="850"/>
      <c r="AO75" s="850"/>
      <c r="AP75" s="253"/>
      <c r="AQ75" s="658"/>
      <c r="AR75" s="658"/>
      <c r="AS75" s="658"/>
      <c r="AT75" s="658"/>
      <c r="AU75" s="658"/>
      <c r="AV75" s="658"/>
      <c r="AW75" s="658"/>
      <c r="AX75" s="658"/>
      <c r="AY75" s="658"/>
      <c r="AZ75" s="658"/>
    </row>
    <row r="76" spans="1:52" ht="13.5" customHeight="1" thickBot="1">
      <c r="A76" s="139"/>
      <c r="B76" s="88"/>
      <c r="C76" s="2715" t="s">
        <v>592</v>
      </c>
      <c r="D76" s="1560" t="s">
        <v>2701</v>
      </c>
      <c r="E76" s="88"/>
      <c r="F76" s="88"/>
      <c r="G76" s="88"/>
      <c r="H76" s="88"/>
      <c r="I76" s="88"/>
      <c r="J76" s="88"/>
      <c r="K76" s="88"/>
      <c r="L76" s="88"/>
      <c r="M76" s="88"/>
      <c r="N76" s="88"/>
      <c r="O76" s="88"/>
      <c r="P76" s="88"/>
      <c r="Q76" s="88"/>
      <c r="R76" s="88"/>
      <c r="S76" s="88"/>
      <c r="T76" s="88"/>
      <c r="U76" s="88"/>
      <c r="V76" s="88"/>
      <c r="W76" s="2409"/>
      <c r="X76" s="8889" t="str">
        <f>IF('Sch. F'!AB100="","",'Sch. F'!AB100)</f>
        <v/>
      </c>
      <c r="Y76" s="8729"/>
      <c r="Z76" s="8729"/>
      <c r="AA76" s="139"/>
      <c r="AB76" s="5606"/>
      <c r="AC76" s="5415"/>
      <c r="AD76" s="5609" t="s">
        <v>2702</v>
      </c>
      <c r="AE76" s="406"/>
      <c r="AF76" s="406"/>
      <c r="AG76" s="406"/>
      <c r="AH76" s="406"/>
      <c r="AI76" s="5415"/>
      <c r="AJ76" s="253"/>
      <c r="AK76" s="253"/>
      <c r="AL76" s="253"/>
      <c r="AM76" s="253"/>
      <c r="AN76" s="253"/>
      <c r="AO76" s="253"/>
      <c r="AP76" s="411"/>
      <c r="AQ76" s="658"/>
      <c r="AR76" s="658"/>
      <c r="AS76" s="658"/>
      <c r="AT76" s="658"/>
      <c r="AU76" s="658"/>
      <c r="AV76" s="658"/>
      <c r="AW76" s="658"/>
      <c r="AX76" s="658"/>
      <c r="AY76" s="658"/>
      <c r="AZ76" s="658"/>
    </row>
    <row r="77" spans="1:52" ht="20.25" customHeight="1" thickBot="1">
      <c r="A77" s="139"/>
      <c r="B77" s="182"/>
      <c r="C77" s="2975"/>
      <c r="D77" s="2449" t="s">
        <v>5378</v>
      </c>
      <c r="E77" s="182"/>
      <c r="F77" s="182"/>
      <c r="G77" s="182"/>
      <c r="H77" s="182"/>
      <c r="I77" s="182"/>
      <c r="J77" s="182"/>
      <c r="K77" s="182"/>
      <c r="L77" s="182"/>
      <c r="M77" s="182"/>
      <c r="N77" s="182"/>
      <c r="O77" s="182"/>
      <c r="P77" s="182"/>
      <c r="Q77" s="182"/>
      <c r="R77" s="182"/>
      <c r="S77" s="182"/>
      <c r="T77" s="182"/>
      <c r="U77" s="182"/>
      <c r="V77" s="5445"/>
      <c r="W77" s="5447" t="s">
        <v>335</v>
      </c>
      <c r="X77" s="8887" t="str">
        <f>IF(AB77&lt;&gt;"",-ROUND(ABS(AB77),0),IF(OR(FarmOptMeth2,AND(NOT(AJ65),NOT(AJ67))),"",IF(AH77&lt;&gt;"",-ABS(ROUND(AH77,0)),"")))</f>
        <v/>
      </c>
      <c r="Y77" s="8888"/>
      <c r="Z77" s="8888"/>
      <c r="AA77" s="144"/>
      <c r="AB77" s="811"/>
      <c r="AC77" s="5415"/>
      <c r="AD77" s="1197" t="s">
        <v>2703</v>
      </c>
      <c r="AE77" s="380"/>
      <c r="AF77" s="380"/>
      <c r="AG77" s="1194"/>
      <c r="AH77" s="1031"/>
      <c r="AI77" s="5415"/>
      <c r="AJ77" s="253" t="b">
        <f>AND(FALSE,OR(AB77&gt;0,AH77&gt;0))</f>
        <v>0</v>
      </c>
      <c r="AK77" s="253"/>
      <c r="AL77" s="253"/>
      <c r="AM77" s="253"/>
      <c r="AN77" s="253"/>
      <c r="AO77" s="253"/>
      <c r="AP77" s="253"/>
      <c r="AQ77" s="658"/>
      <c r="AR77" s="658"/>
      <c r="AS77" s="658"/>
      <c r="AT77" s="658"/>
      <c r="AU77" s="658"/>
      <c r="AV77" s="658"/>
      <c r="AW77" s="658"/>
      <c r="AX77" s="658"/>
      <c r="AY77" s="658"/>
      <c r="AZ77" s="658"/>
    </row>
    <row r="78" spans="1:52" s="141" customFormat="1" ht="12.75" customHeight="1" thickBot="1">
      <c r="A78" s="144"/>
      <c r="B78" s="2126" t="s">
        <v>2704</v>
      </c>
      <c r="C78" s="5359"/>
      <c r="D78" s="5359"/>
      <c r="E78" s="2126"/>
      <c r="F78" s="182"/>
      <c r="G78" s="182"/>
      <c r="H78" s="182"/>
      <c r="I78" s="182"/>
      <c r="J78" s="182"/>
      <c r="K78" s="182"/>
      <c r="L78" s="182"/>
      <c r="M78" s="182"/>
      <c r="N78" s="182"/>
      <c r="O78" s="182"/>
      <c r="P78" s="182"/>
      <c r="Q78" s="182"/>
      <c r="R78" s="182"/>
      <c r="S78" s="182"/>
      <c r="T78" s="182"/>
      <c r="U78" s="182"/>
      <c r="V78" s="182"/>
      <c r="W78" s="5610"/>
      <c r="X78" s="8826"/>
      <c r="Y78" s="8827"/>
      <c r="Z78" s="8827"/>
      <c r="AA78" s="144"/>
      <c r="AB78" s="8848" t="str">
        <f>IF(AN95,"See NOTE regarding Statutory Employee profit/loss.","")</f>
        <v/>
      </c>
      <c r="AC78" s="5415"/>
      <c r="AD78" s="5415"/>
      <c r="AE78" s="5415"/>
      <c r="AF78" s="5415"/>
      <c r="AG78" s="5415"/>
      <c r="AH78" s="5415"/>
      <c r="AI78" s="5611"/>
      <c r="AJ78" s="411"/>
      <c r="AK78" s="411"/>
      <c r="AL78" s="411"/>
      <c r="AM78" s="411"/>
      <c r="AN78" s="411"/>
      <c r="AO78" s="411"/>
      <c r="AP78" s="801"/>
      <c r="AQ78" s="665"/>
      <c r="AR78" s="665"/>
      <c r="AS78" s="665"/>
      <c r="AT78" s="665"/>
      <c r="AU78" s="665"/>
      <c r="AV78" s="665"/>
      <c r="AW78" s="665"/>
      <c r="AX78" s="665"/>
      <c r="AY78" s="665"/>
      <c r="AZ78" s="665"/>
    </row>
    <row r="79" spans="1:52" ht="13.5" thickBot="1">
      <c r="A79" s="139"/>
      <c r="B79" s="88"/>
      <c r="C79" s="228">
        <v>2</v>
      </c>
      <c r="D79" s="1560" t="s">
        <v>2705</v>
      </c>
      <c r="E79" s="88"/>
      <c r="F79" s="88"/>
      <c r="G79" s="88"/>
      <c r="H79" s="88"/>
      <c r="I79" s="88"/>
      <c r="J79" s="88"/>
      <c r="K79" s="88"/>
      <c r="L79" s="88"/>
      <c r="M79" s="88"/>
      <c r="N79" s="88"/>
      <c r="O79" s="88"/>
      <c r="P79" s="88"/>
      <c r="Q79" s="88"/>
      <c r="R79" s="88"/>
      <c r="S79" s="88"/>
      <c r="T79" s="88"/>
      <c r="U79" s="88"/>
      <c r="V79" s="88"/>
      <c r="W79" s="5448"/>
      <c r="X79" s="8894"/>
      <c r="Y79" s="8895"/>
      <c r="Z79" s="8895"/>
      <c r="AA79" s="139"/>
      <c r="AB79" s="8849"/>
      <c r="AC79" s="5415"/>
      <c r="AD79" s="5609" t="s">
        <v>2706</v>
      </c>
      <c r="AE79" s="1199"/>
      <c r="AF79" s="1199"/>
      <c r="AG79" s="1199"/>
      <c r="AH79" s="5612"/>
      <c r="AI79" s="5611"/>
      <c r="AJ79" s="253"/>
      <c r="AK79" s="253" t="b">
        <f>OR(AB75&lt;&gt;"",AB77&lt;&gt;"",AB80&lt;&gt;"",AH75&lt;&gt;"",AH77&lt;&gt;"", AH80&lt;&gt;"",AB81&lt;&gt;"",X112&lt;&gt;"",X118&lt;&gt;"")</f>
        <v>0</v>
      </c>
      <c r="AL79" s="253"/>
      <c r="AM79" s="253"/>
      <c r="AN79" s="253"/>
      <c r="AO79" s="253"/>
      <c r="AP79" s="851"/>
      <c r="AQ79" s="658"/>
      <c r="AR79" s="658"/>
      <c r="AS79" s="658"/>
      <c r="AT79" s="658"/>
      <c r="AU79" s="658"/>
      <c r="AV79" s="658"/>
      <c r="AW79" s="658"/>
      <c r="AX79" s="658"/>
      <c r="AY79" s="658"/>
      <c r="AZ79" s="658"/>
    </row>
    <row r="80" spans="1:52" ht="13.5" thickBot="1">
      <c r="A80" s="139"/>
      <c r="B80" s="88"/>
      <c r="C80" s="228"/>
      <c r="D80" s="2449" t="s">
        <v>2707</v>
      </c>
      <c r="E80" s="88"/>
      <c r="F80" s="88"/>
      <c r="G80" s="88"/>
      <c r="H80" s="88"/>
      <c r="I80" s="88"/>
      <c r="J80" s="88"/>
      <c r="K80" s="88"/>
      <c r="L80" s="88"/>
      <c r="M80" s="88"/>
      <c r="N80" s="88"/>
      <c r="O80" s="88"/>
      <c r="P80" s="88"/>
      <c r="Q80" s="88"/>
      <c r="R80" s="88"/>
      <c r="S80" s="88"/>
      <c r="T80" s="88"/>
      <c r="U80" s="88"/>
      <c r="V80" s="5445"/>
      <c r="W80" s="5450">
        <v>2</v>
      </c>
      <c r="X80" s="8836">
        <f>IF(AB80&lt;&gt;"",ROUND(AB80,0),IF(NonFarmOptMeth2,"",IF(AND(AJ65,AJ67),SUM(AN93,ROUND(AH80,0)),IF(AJ65,SUM(AL93,ROUND(AH80,0)),IF(AJ67,SUM(AM93,ROUND(AH80,0)),"")))))</f>
        <v>0</v>
      </c>
      <c r="Y80" s="8837"/>
      <c r="Z80" s="8837"/>
      <c r="AA80" s="139"/>
      <c r="AB80" s="811"/>
      <c r="AC80" s="5613"/>
      <c r="AD80" s="1197" t="s">
        <v>2708</v>
      </c>
      <c r="AE80" s="380"/>
      <c r="AF80" s="380"/>
      <c r="AG80" s="1194"/>
      <c r="AH80" s="1031"/>
      <c r="AI80" s="5415"/>
      <c r="AJ80" s="253">
        <v>400</v>
      </c>
      <c r="AK80" s="801"/>
      <c r="AL80" s="253"/>
      <c r="AM80" s="253"/>
      <c r="AN80" s="253"/>
      <c r="AO80" s="253"/>
      <c r="AP80" s="851"/>
      <c r="AQ80" s="658"/>
      <c r="AR80" s="658"/>
      <c r="AS80" s="658"/>
      <c r="AT80" s="658"/>
      <c r="AU80" s="658"/>
      <c r="AV80" s="658"/>
      <c r="AW80" s="658"/>
      <c r="AX80" s="658"/>
      <c r="AY80" s="658"/>
      <c r="AZ80" s="658"/>
    </row>
    <row r="81" spans="1:52" ht="13.5" thickBot="1">
      <c r="A81" s="139"/>
      <c r="B81" s="182"/>
      <c r="C81" s="2975">
        <v>3</v>
      </c>
      <c r="D81" s="1560" t="s">
        <v>2709</v>
      </c>
      <c r="E81" s="182"/>
      <c r="F81" s="182"/>
      <c r="G81" s="182"/>
      <c r="H81" s="182"/>
      <c r="I81" s="182"/>
      <c r="J81" s="182"/>
      <c r="K81" s="182"/>
      <c r="L81" s="182"/>
      <c r="M81" s="182"/>
      <c r="N81" s="182"/>
      <c r="O81" s="182"/>
      <c r="P81" s="182"/>
      <c r="Q81" s="182"/>
      <c r="R81" s="182"/>
      <c r="S81" s="182"/>
      <c r="T81" s="182"/>
      <c r="U81" s="182"/>
      <c r="V81" s="5445" t="s">
        <v>653</v>
      </c>
      <c r="W81" s="5447">
        <v>3</v>
      </c>
      <c r="X81" s="8836">
        <f>IF(AB81&lt;&gt;"",ROUND(AB81,0),SUM(X75,X77,X80))</f>
        <v>0</v>
      </c>
      <c r="Y81" s="8837"/>
      <c r="Z81" s="8837"/>
      <c r="AA81" s="144"/>
      <c r="AB81" s="811"/>
      <c r="AC81" s="5415"/>
      <c r="AD81" s="5415"/>
      <c r="AE81" s="5415"/>
      <c r="AF81" s="5415"/>
      <c r="AG81" s="5415"/>
      <c r="AH81" s="5415"/>
      <c r="AI81" s="5614"/>
      <c r="AJ81" s="253">
        <v>434</v>
      </c>
      <c r="AK81" s="851"/>
      <c r="AL81" s="851"/>
      <c r="AM81" s="851"/>
      <c r="AN81" s="851"/>
      <c r="AO81" s="851"/>
      <c r="AP81" s="851"/>
      <c r="AQ81" s="658"/>
      <c r="AR81" s="658"/>
      <c r="AS81" s="658"/>
      <c r="AT81" s="658"/>
      <c r="AU81" s="658"/>
      <c r="AV81" s="658"/>
      <c r="AW81" s="658"/>
      <c r="AX81" s="658"/>
      <c r="AY81" s="658"/>
      <c r="AZ81" s="658"/>
    </row>
    <row r="82" spans="1:52" ht="13.5" customHeight="1" thickBot="1">
      <c r="A82" s="139"/>
      <c r="B82" s="88"/>
      <c r="C82" s="2502" t="s">
        <v>591</v>
      </c>
      <c r="D82" s="88" t="str">
        <f>"If line 3 is more than zero, multiply line 3 by "&amp;TEXT(AJ82,"0.00%")&amp;" ("&amp;TEXT(AJ82,"0.0000")&amp;")."</f>
        <v>If line 3 is more than zero, multiply line 3 by 92.35% (0.9235).</v>
      </c>
      <c r="E82" s="226"/>
      <c r="F82" s="88"/>
      <c r="G82" s="88"/>
      <c r="H82" s="88"/>
      <c r="I82" s="1560"/>
      <c r="J82" s="88"/>
      <c r="K82" s="88"/>
      <c r="L82" s="88"/>
      <c r="M82" s="88"/>
      <c r="N82" s="1560" t="s">
        <v>2710</v>
      </c>
      <c r="O82" s="88"/>
      <c r="P82" s="1560"/>
      <c r="Q82" s="88"/>
      <c r="R82" s="88"/>
      <c r="S82" s="88"/>
      <c r="T82" s="88"/>
      <c r="U82" s="88"/>
      <c r="V82" s="88"/>
      <c r="W82" s="5488"/>
      <c r="X82" s="8834"/>
      <c r="Y82" s="8835"/>
      <c r="Z82" s="8835"/>
      <c r="AA82" s="139"/>
      <c r="AB82" s="5615"/>
      <c r="AC82" s="5415"/>
      <c r="AD82" s="8903" t="str">
        <f>IF(AN95,"NOTE: Statutory Employee profit/loss from Sch. C."&amp;CHAR(10)&amp;"has been excluded from Line 2.  See IRS instructions.","")</f>
        <v/>
      </c>
      <c r="AE82" s="8903"/>
      <c r="AF82" s="8903"/>
      <c r="AG82" s="8903"/>
      <c r="AH82" s="8903"/>
      <c r="AI82" s="5415"/>
      <c r="AJ82" s="253">
        <v>0.92349999999999999</v>
      </c>
      <c r="AK82" s="851">
        <f>IF(AND(X83&lt;AJ80,X77&lt;&gt;""),SUM(X75,X80),0)</f>
        <v>0</v>
      </c>
      <c r="AL82" s="851"/>
      <c r="AM82" s="851"/>
      <c r="AN82" s="851"/>
      <c r="AO82" s="851"/>
      <c r="AP82" s="1193"/>
      <c r="AQ82" s="658"/>
      <c r="AR82" s="658"/>
      <c r="AS82" s="658"/>
      <c r="AT82" s="658"/>
      <c r="AU82" s="658"/>
      <c r="AV82" s="658"/>
      <c r="AW82" s="658"/>
      <c r="AX82" s="658"/>
      <c r="AY82" s="658"/>
      <c r="AZ82" s="658"/>
    </row>
    <row r="83" spans="1:52" ht="13.5" thickBot="1">
      <c r="A83" s="139"/>
      <c r="B83" s="226" t="s">
        <v>1933</v>
      </c>
      <c r="C83" s="1560"/>
      <c r="D83" s="1560" t="str">
        <f>"If line 4a is less than "&amp;TEXT(AJ80,"$0")&amp;" due to Conservation Reserve Program payments on line 1b, see instructions"</f>
        <v>If line 4a is less than $400 due to Conservation Reserve Program payments on line 1b, see instructions</v>
      </c>
      <c r="E83" s="226"/>
      <c r="F83" s="1560"/>
      <c r="G83" s="88"/>
      <c r="H83" s="88"/>
      <c r="I83" s="88"/>
      <c r="J83" s="88"/>
      <c r="K83" s="88"/>
      <c r="L83" s="88"/>
      <c r="M83" s="88"/>
      <c r="N83" s="88"/>
      <c r="O83" s="88"/>
      <c r="P83" s="88"/>
      <c r="Q83" s="88"/>
      <c r="R83" s="88"/>
      <c r="S83" s="88"/>
      <c r="T83" s="88"/>
      <c r="U83" s="5445"/>
      <c r="V83" s="5616" t="s">
        <v>4994</v>
      </c>
      <c r="W83" s="5450" t="s">
        <v>591</v>
      </c>
      <c r="X83" s="8838">
        <f>IF(AB83&lt;&gt;"",ROUND(AB83,0),IF(X81&gt;0,ROUND((X81*AJ82),0),X81))</f>
        <v>0</v>
      </c>
      <c r="Y83" s="8839"/>
      <c r="Z83" s="8839"/>
      <c r="AA83" s="139"/>
      <c r="AB83" s="811"/>
      <c r="AC83" s="5415"/>
      <c r="AD83" s="8903"/>
      <c r="AE83" s="8903"/>
      <c r="AF83" s="8903"/>
      <c r="AG83" s="8903"/>
      <c r="AH83" s="8903"/>
      <c r="AI83" s="5415"/>
      <c r="AJ83" s="5617">
        <v>137700</v>
      </c>
      <c r="AK83" s="253" t="b">
        <f>AND(S88&lt;&gt;"",S88&gt;0)</f>
        <v>0</v>
      </c>
      <c r="AL83" s="253"/>
      <c r="AM83" s="253"/>
      <c r="AN83" s="851"/>
      <c r="AO83" s="851"/>
      <c r="AP83" s="253"/>
      <c r="AQ83" s="658"/>
      <c r="AR83" s="658"/>
      <c r="AS83" s="658"/>
      <c r="AT83" s="658"/>
      <c r="AU83" s="658"/>
      <c r="AV83" s="658"/>
      <c r="AW83" s="658"/>
      <c r="AX83" s="658"/>
      <c r="AY83" s="658"/>
      <c r="AZ83" s="658"/>
    </row>
    <row r="84" spans="1:52">
      <c r="A84" s="139"/>
      <c r="B84" s="88"/>
      <c r="C84" s="228" t="s">
        <v>592</v>
      </c>
      <c r="D84" s="1560" t="s">
        <v>2711</v>
      </c>
      <c r="E84" s="226"/>
      <c r="F84" s="88"/>
      <c r="G84" s="88"/>
      <c r="H84" s="88"/>
      <c r="I84" s="88"/>
      <c r="J84" s="88"/>
      <c r="K84" s="88"/>
      <c r="L84" s="88"/>
      <c r="M84" s="88"/>
      <c r="N84" s="88"/>
      <c r="O84" s="88"/>
      <c r="P84" s="88"/>
      <c r="Q84" s="88"/>
      <c r="R84" s="88"/>
      <c r="S84" s="88"/>
      <c r="T84" s="88"/>
      <c r="U84" s="5445"/>
      <c r="V84" s="5445" t="s">
        <v>631</v>
      </c>
      <c r="W84" s="5450" t="s">
        <v>2483</v>
      </c>
      <c r="X84" s="8838" t="str">
        <f>IF(OR(FarmOptMeth2,NonFarmOptMeth2),SUM(X112,X118),"")</f>
        <v/>
      </c>
      <c r="Y84" s="8839"/>
      <c r="Z84" s="8839"/>
      <c r="AA84" s="139"/>
      <c r="AB84" s="5618" t="str">
        <f>IF(AK84,"IF line 4c is &lt;"&amp;TEXT(AJ80,"$0")&amp;",","")</f>
        <v>IF line 4c is &lt;$400,</v>
      </c>
      <c r="AC84" s="5415"/>
      <c r="AD84" s="5415"/>
      <c r="AE84" s="5415"/>
      <c r="AF84" s="5415"/>
      <c r="AG84" s="5415"/>
      <c r="AH84" s="5415"/>
      <c r="AI84" s="5415"/>
      <c r="AJ84" s="253">
        <v>2.9000000000000001E-2</v>
      </c>
      <c r="AK84" s="851" t="b">
        <f>AND(NOT(AK83),SUM(X83,X84)&lt;AJ80)</f>
        <v>1</v>
      </c>
      <c r="AL84" s="1193" t="s">
        <v>2712</v>
      </c>
      <c r="AM84" s="851"/>
      <c r="AN84" s="1193"/>
      <c r="AO84" s="1193"/>
      <c r="AP84" s="253"/>
      <c r="AQ84" s="658"/>
      <c r="AR84" s="658"/>
      <c r="AS84" s="658"/>
      <c r="AT84" s="658"/>
      <c r="AU84" s="658"/>
      <c r="AV84" s="658"/>
      <c r="AW84" s="658"/>
      <c r="AX84" s="658"/>
      <c r="AY84" s="658"/>
      <c r="AZ84" s="658"/>
    </row>
    <row r="85" spans="1:52">
      <c r="A85" s="139"/>
      <c r="B85" s="88"/>
      <c r="C85" s="228" t="s">
        <v>595</v>
      </c>
      <c r="D85" s="1560" t="str">
        <f>"Combine  lines 4a and 4b. If less than "&amp;TEXT(AJ80,"$0")&amp;","</f>
        <v>Combine  lines 4a and 4b. If less than $400,</v>
      </c>
      <c r="E85" s="226"/>
      <c r="F85" s="88"/>
      <c r="G85" s="88"/>
      <c r="H85" s="88"/>
      <c r="I85" s="88"/>
      <c r="J85" s="88"/>
      <c r="K85" s="1560" t="s">
        <v>2713</v>
      </c>
      <c r="L85" s="88"/>
      <c r="M85" s="88"/>
      <c r="N85" s="88"/>
      <c r="O85" s="88"/>
      <c r="P85" s="88"/>
      <c r="Q85" s="88"/>
      <c r="R85" s="88"/>
      <c r="S85" s="88"/>
      <c r="T85" s="88"/>
      <c r="U85" s="5445"/>
      <c r="V85" s="5445"/>
      <c r="W85" s="5619"/>
      <c r="X85" s="8918"/>
      <c r="Y85" s="8919"/>
      <c r="Z85" s="8919"/>
      <c r="AA85" s="139"/>
      <c r="AB85" s="5618" t="str">
        <f>IF(AK84,"STOP you don't owe","")</f>
        <v>STOP you don't owe</v>
      </c>
      <c r="AC85" s="253"/>
      <c r="AD85" s="253"/>
      <c r="AE85" s="253"/>
      <c r="AF85" s="253"/>
      <c r="AG85" s="253"/>
      <c r="AH85" s="253"/>
      <c r="AI85" s="253"/>
      <c r="AJ85" s="740">
        <v>16479.599999999999</v>
      </c>
      <c r="AK85" s="1193" t="b">
        <f>AND(ChurchEmployeeInc2,SUM(X83,X84)&lt;AJ80)</f>
        <v>0</v>
      </c>
      <c r="AL85" s="1193" t="s">
        <v>2714</v>
      </c>
      <c r="AM85" s="1193"/>
      <c r="AN85" s="253"/>
      <c r="AO85" s="253"/>
      <c r="AP85" s="253"/>
      <c r="AQ85" s="658"/>
      <c r="AR85" s="658"/>
      <c r="AS85" s="658"/>
      <c r="AT85" s="658"/>
      <c r="AU85" s="658"/>
      <c r="AV85" s="658"/>
      <c r="AW85" s="658"/>
      <c r="AX85" s="658"/>
      <c r="AY85" s="658"/>
      <c r="AZ85" s="658"/>
    </row>
    <row r="86" spans="1:52">
      <c r="A86" s="139"/>
      <c r="B86" s="88"/>
      <c r="C86" s="228"/>
      <c r="D86" s="1560" t="str">
        <f>"less than "&amp;TEXT(AJ80,"$0")&amp;" and"</f>
        <v>less than $400 and</v>
      </c>
      <c r="E86" s="226"/>
      <c r="F86" s="88"/>
      <c r="G86" s="1560" t="s">
        <v>2768</v>
      </c>
      <c r="H86" s="88"/>
      <c r="I86" s="88"/>
      <c r="J86" s="88"/>
      <c r="K86" s="88"/>
      <c r="L86" s="88"/>
      <c r="M86" s="88"/>
      <c r="N86" s="88"/>
      <c r="O86" s="88"/>
      <c r="P86" s="88"/>
      <c r="Q86" s="88"/>
      <c r="R86" s="88"/>
      <c r="S86" s="88"/>
      <c r="T86" s="88"/>
      <c r="U86" s="5445"/>
      <c r="V86" s="5445" t="s">
        <v>670</v>
      </c>
      <c r="W86" s="5450" t="s">
        <v>2716</v>
      </c>
      <c r="X86" s="8838">
        <f>IF(AK85,0,SUM(X83,X84))</f>
        <v>0</v>
      </c>
      <c r="Y86" s="8839"/>
      <c r="Z86" s="8839"/>
      <c r="AA86" s="139"/>
      <c r="AB86" s="5618" t="str">
        <f>IF(AK84,"self employment tax.","")</f>
        <v>self employment tax.</v>
      </c>
      <c r="AC86" s="253"/>
      <c r="AD86" s="253"/>
      <c r="AE86" s="253"/>
      <c r="AF86" s="253"/>
      <c r="AG86" s="253"/>
      <c r="AH86" s="253"/>
      <c r="AI86" s="253"/>
      <c r="AJ86" s="253">
        <v>0.153</v>
      </c>
      <c r="AK86" s="253"/>
      <c r="AL86" s="253"/>
      <c r="AM86" s="253"/>
      <c r="AN86" s="253"/>
      <c r="AO86" s="253"/>
      <c r="AP86" s="253"/>
      <c r="AQ86" s="658"/>
      <c r="AR86" s="658"/>
      <c r="AS86" s="658"/>
      <c r="AT86" s="658"/>
      <c r="AU86" s="658"/>
      <c r="AV86" s="658"/>
      <c r="AW86" s="658"/>
      <c r="AX86" s="658"/>
      <c r="AY86" s="658"/>
      <c r="AZ86" s="658"/>
    </row>
    <row r="87" spans="1:52">
      <c r="A87" s="139"/>
      <c r="B87" s="88"/>
      <c r="C87" s="2502" t="s">
        <v>629</v>
      </c>
      <c r="D87" s="1560" t="s">
        <v>2717</v>
      </c>
      <c r="E87" s="226"/>
      <c r="F87" s="88"/>
      <c r="G87" s="88"/>
      <c r="H87" s="88"/>
      <c r="I87" s="88"/>
      <c r="J87" s="88"/>
      <c r="K87" s="88"/>
      <c r="L87" s="88" t="s">
        <v>2718</v>
      </c>
      <c r="M87" s="88"/>
      <c r="N87" s="88"/>
      <c r="O87" s="88"/>
      <c r="P87" s="88"/>
      <c r="Q87" s="88"/>
      <c r="R87" s="5620"/>
      <c r="S87" s="88"/>
      <c r="T87" s="88"/>
      <c r="U87" s="5445"/>
      <c r="V87" s="5445"/>
      <c r="W87" s="5619"/>
      <c r="X87" s="8842"/>
      <c r="Y87" s="8843"/>
      <c r="Z87" s="8843"/>
      <c r="AA87" s="139"/>
      <c r="AB87" s="5614"/>
      <c r="AC87" s="253"/>
      <c r="AD87" s="253"/>
      <c r="AE87" s="253"/>
      <c r="AF87" s="253"/>
      <c r="AG87" s="253"/>
      <c r="AH87" s="253"/>
      <c r="AI87" s="253"/>
      <c r="AJ87" s="253">
        <v>6.2E-2</v>
      </c>
      <c r="AK87" s="253"/>
      <c r="AL87" s="253"/>
      <c r="AM87" s="253"/>
      <c r="AN87" s="253"/>
      <c r="AO87" s="253"/>
      <c r="AP87" s="253"/>
      <c r="AQ87" s="658"/>
      <c r="AR87" s="658"/>
      <c r="AS87" s="658"/>
      <c r="AT87" s="658"/>
      <c r="AU87" s="658"/>
      <c r="AV87" s="658"/>
      <c r="AW87" s="658"/>
      <c r="AX87" s="658"/>
      <c r="AY87" s="658"/>
      <c r="AZ87" s="658"/>
    </row>
    <row r="88" spans="1:52">
      <c r="A88" s="139"/>
      <c r="B88" s="88"/>
      <c r="C88" s="228"/>
      <c r="D88" s="1560" t="s">
        <v>2719</v>
      </c>
      <c r="E88" s="226"/>
      <c r="F88" s="88"/>
      <c r="G88" s="88"/>
      <c r="H88" s="88"/>
      <c r="I88" s="88"/>
      <c r="J88" s="88"/>
      <c r="K88" s="88"/>
      <c r="L88" s="88"/>
      <c r="M88" s="88"/>
      <c r="N88" s="88"/>
      <c r="O88" s="88"/>
      <c r="P88" s="88"/>
      <c r="Q88" s="5445" t="s">
        <v>590</v>
      </c>
      <c r="R88" s="5521" t="s">
        <v>629</v>
      </c>
      <c r="S88" s="8890"/>
      <c r="T88" s="8891"/>
      <c r="U88" s="8891"/>
      <c r="V88" s="8892"/>
      <c r="W88" s="5619"/>
      <c r="X88" s="8840">
        <f>ROUND(S88,0)</f>
        <v>0</v>
      </c>
      <c r="Y88" s="8841"/>
      <c r="Z88" s="8841"/>
      <c r="AA88" s="139"/>
      <c r="AB88" s="5614"/>
      <c r="AC88" s="253"/>
      <c r="AD88" s="253"/>
      <c r="AE88" s="253"/>
      <c r="AF88" s="253"/>
      <c r="AG88" s="253"/>
      <c r="AH88" s="253"/>
      <c r="AI88" s="253"/>
      <c r="AJ88" s="253">
        <v>7.6499999999999999E-2</v>
      </c>
      <c r="AK88" s="253"/>
      <c r="AL88" s="253"/>
      <c r="AM88" s="253"/>
      <c r="AN88" s="253"/>
      <c r="AO88" s="253"/>
      <c r="AP88" s="253"/>
      <c r="AQ88" s="658"/>
      <c r="AR88" s="658"/>
      <c r="AS88" s="658"/>
      <c r="AT88" s="658"/>
      <c r="AU88" s="658"/>
      <c r="AV88" s="658"/>
      <c r="AW88" s="658"/>
      <c r="AX88" s="658"/>
      <c r="AY88" s="658"/>
      <c r="AZ88" s="658"/>
    </row>
    <row r="89" spans="1:52" ht="13.5" thickBot="1">
      <c r="A89" s="139"/>
      <c r="B89" s="88"/>
      <c r="C89" s="228" t="s">
        <v>592</v>
      </c>
      <c r="D89" s="1560" t="str">
        <f>"Multiply line 5a by "&amp;TEXT(AC89,"0.00%")&amp;" ("&amp;TEXT(AC89,"0.0000")&amp;"). If less than "&amp;TEXT(AC90,"$0")&amp;", enter -0-"</f>
        <v>Multiply line 5a by 92.35% (0.9235). If less than $100, enter -0-</v>
      </c>
      <c r="E89" s="226"/>
      <c r="F89" s="88"/>
      <c r="G89" s="88"/>
      <c r="H89" s="88"/>
      <c r="I89" s="88"/>
      <c r="J89" s="88"/>
      <c r="K89" s="88"/>
      <c r="L89" s="88"/>
      <c r="M89" s="88"/>
      <c r="N89" s="88"/>
      <c r="O89" s="88"/>
      <c r="P89" s="88"/>
      <c r="Q89" s="441"/>
      <c r="R89" s="441"/>
      <c r="S89" s="5622"/>
      <c r="T89" s="5622"/>
      <c r="U89" s="5622"/>
      <c r="V89" s="5445" t="s">
        <v>590</v>
      </c>
      <c r="W89" s="5623" t="s">
        <v>985</v>
      </c>
      <c r="X89" s="8846" t="str">
        <f>IF(ChurchEmployeeIncome2="","",IF(ROUND(X88*S89,0)&lt;Q89,0,ROUND(X88*S89,0)))</f>
        <v/>
      </c>
      <c r="Y89" s="8847"/>
      <c r="Z89" s="8847"/>
      <c r="AA89" s="139"/>
      <c r="AB89" s="5614"/>
      <c r="AC89" s="8824">
        <v>0.92349999999999999</v>
      </c>
      <c r="AD89" s="8824"/>
      <c r="AE89" s="253"/>
      <c r="AF89" s="253"/>
      <c r="AG89" s="253"/>
      <c r="AH89" s="253"/>
      <c r="AI89" s="253"/>
      <c r="AJ89" s="253"/>
      <c r="AK89" s="1061"/>
      <c r="AL89" s="5625"/>
      <c r="AM89" s="5625"/>
      <c r="AN89" s="5625"/>
      <c r="AO89" s="253"/>
      <c r="AP89" s="730"/>
      <c r="AQ89" s="658"/>
      <c r="AR89" s="658"/>
      <c r="AS89" s="658"/>
      <c r="AT89" s="658"/>
      <c r="AU89" s="658"/>
      <c r="AV89" s="658"/>
      <c r="AW89" s="658"/>
      <c r="AX89" s="658"/>
      <c r="AY89" s="658"/>
      <c r="AZ89" s="658"/>
    </row>
    <row r="90" spans="1:52" ht="12.75" customHeight="1" thickBot="1">
      <c r="A90" s="139"/>
      <c r="B90" s="88"/>
      <c r="C90" s="2502">
        <v>6</v>
      </c>
      <c r="D90" s="1560" t="s">
        <v>2720</v>
      </c>
      <c r="E90" s="226"/>
      <c r="F90" s="88"/>
      <c r="G90" s="88"/>
      <c r="H90" s="88"/>
      <c r="I90" s="88"/>
      <c r="J90" s="88"/>
      <c r="K90" s="88"/>
      <c r="L90" s="88"/>
      <c r="M90" s="88"/>
      <c r="N90" s="88"/>
      <c r="O90" s="88"/>
      <c r="P90" s="88"/>
      <c r="Q90" s="88"/>
      <c r="R90" s="88"/>
      <c r="S90" s="88"/>
      <c r="T90" s="88"/>
      <c r="U90" s="5445"/>
      <c r="V90" s="5445" t="s">
        <v>2167</v>
      </c>
      <c r="W90" s="5450">
        <v>6</v>
      </c>
      <c r="X90" s="8838" t="str">
        <f>IF(AB90&lt;&gt;"",ROUND(AB90,0),IF(AK84,"",SUM(X86,X89)))</f>
        <v/>
      </c>
      <c r="Y90" s="8839"/>
      <c r="Z90" s="8839"/>
      <c r="AA90" s="139"/>
      <c r="AB90" s="811"/>
      <c r="AC90" s="8825">
        <v>100</v>
      </c>
      <c r="AD90" s="8824"/>
      <c r="AE90" s="253"/>
      <c r="AF90" s="253"/>
      <c r="AG90" s="253"/>
      <c r="AH90" s="253"/>
      <c r="AI90" s="253"/>
      <c r="AJ90" s="405"/>
      <c r="AK90" s="406"/>
      <c r="AL90" s="1206" t="s">
        <v>566</v>
      </c>
      <c r="AM90" s="5970" t="s">
        <v>567</v>
      </c>
      <c r="AN90" s="406"/>
      <c r="AO90" s="5971"/>
      <c r="AP90" s="5625"/>
      <c r="AQ90" s="658"/>
      <c r="AR90" s="658"/>
      <c r="AS90" s="658"/>
      <c r="AT90" s="658"/>
      <c r="AU90" s="658"/>
      <c r="AV90" s="658"/>
      <c r="AW90" s="658"/>
      <c r="AX90" s="658"/>
      <c r="AY90" s="658"/>
      <c r="AZ90" s="658"/>
    </row>
    <row r="91" spans="1:52" ht="13.5" customHeight="1" thickBot="1">
      <c r="A91" s="139"/>
      <c r="B91" s="88"/>
      <c r="C91" s="2502">
        <v>7</v>
      </c>
      <c r="D91" s="1560" t="s">
        <v>2721</v>
      </c>
      <c r="E91" s="226"/>
      <c r="F91" s="88"/>
      <c r="G91" s="88"/>
      <c r="H91" s="88"/>
      <c r="I91" s="88"/>
      <c r="J91" s="88"/>
      <c r="K91" s="88"/>
      <c r="L91" s="88"/>
      <c r="M91" s="88"/>
      <c r="N91" s="88"/>
      <c r="O91" s="88"/>
      <c r="P91" s="88"/>
      <c r="Q91" s="88"/>
      <c r="R91" s="88"/>
      <c r="S91" s="88"/>
      <c r="T91" s="88"/>
      <c r="U91" s="5445"/>
      <c r="V91" s="5445"/>
      <c r="W91" s="5619"/>
      <c r="X91" s="8830">
        <f>MaxSSTaxEarnings</f>
        <v>176100</v>
      </c>
      <c r="Y91" s="8831"/>
      <c r="Z91" s="8831"/>
      <c r="AA91" s="139"/>
      <c r="AB91" s="5426"/>
      <c r="AC91" s="807"/>
      <c r="AD91" s="253"/>
      <c r="AE91" s="253"/>
      <c r="AG91" s="253"/>
      <c r="AH91" s="730"/>
      <c r="AI91" s="730"/>
      <c r="AJ91" s="1207" t="s">
        <v>2722</v>
      </c>
      <c r="AK91" s="817" t="s">
        <v>2723</v>
      </c>
      <c r="AL91" s="5626">
        <f>SS_Yours</f>
        <v>1010001</v>
      </c>
      <c r="AM91" s="5626" t="str">
        <f>SS_Spouse</f>
        <v>Filing status?</v>
      </c>
      <c r="AN91" s="730" t="s">
        <v>725</v>
      </c>
      <c r="AO91" s="321"/>
      <c r="AP91" s="5625"/>
      <c r="AQ91" s="658"/>
      <c r="AR91" s="658"/>
      <c r="AS91" s="658"/>
      <c r="AT91" s="658"/>
      <c r="AU91" s="658"/>
      <c r="AV91" s="658"/>
      <c r="AW91" s="658"/>
      <c r="AX91" s="658"/>
      <c r="AY91" s="658"/>
      <c r="AZ91" s="658"/>
    </row>
    <row r="92" spans="1:52" ht="12" customHeight="1">
      <c r="A92" s="139"/>
      <c r="B92" s="88"/>
      <c r="C92" s="228"/>
      <c r="D92" s="1560" t="str">
        <f>"the "&amp;TEXT(AJ87,"0.0%")&amp;" portion of the "&amp;TEXT(AJ88,"0.00%")&amp;" railroad retirement (tier 1) tax for "&amp;TaxYear</f>
        <v>the 6.2% portion of the 7.65% railroad retirement (tier 1) tax for 2025</v>
      </c>
      <c r="E92" s="226"/>
      <c r="F92" s="88"/>
      <c r="G92" s="88"/>
      <c r="H92" s="88"/>
      <c r="I92" s="88"/>
      <c r="J92" s="88"/>
      <c r="K92" s="88"/>
      <c r="L92" s="88"/>
      <c r="M92" s="88"/>
      <c r="N92" s="88"/>
      <c r="O92" s="88"/>
      <c r="P92" s="8893" t="b">
        <f>AND(X90&lt;&gt;"",X90&gt;0,NOT(AJ65),NOT(AJ67))</f>
        <v>0</v>
      </c>
      <c r="Q92" s="8893"/>
      <c r="R92" s="88"/>
      <c r="S92" s="8906" t="str">
        <f>IF(P92,"Identify above","")</f>
        <v/>
      </c>
      <c r="T92" s="8906"/>
      <c r="U92" s="8906"/>
      <c r="V92" s="8907"/>
      <c r="W92" s="5450">
        <v>7</v>
      </c>
      <c r="X92" s="8832"/>
      <c r="Y92" s="8833"/>
      <c r="Z92" s="8833"/>
      <c r="AA92" s="139"/>
      <c r="AB92" s="5426"/>
      <c r="AC92" s="253"/>
      <c r="AD92" s="253"/>
      <c r="AE92" s="253"/>
      <c r="AF92" s="253"/>
      <c r="AG92" s="253"/>
      <c r="AH92" s="5625"/>
      <c r="AI92" s="5625"/>
      <c r="AJ92" s="5627" t="s">
        <v>970</v>
      </c>
      <c r="AK92" s="344" t="s">
        <v>2724</v>
      </c>
      <c r="AL92" s="5628">
        <f>IF(SchF_SSN=SS_Yours,FarmProfitNet,0)</f>
        <v>0</v>
      </c>
      <c r="AM92" s="5629">
        <f>IF(SchF_SSN=SS_Spouse,FarmProfitNet,0)</f>
        <v>0</v>
      </c>
      <c r="AN92" s="5630">
        <f>SUM(AL92,AM92)</f>
        <v>0</v>
      </c>
      <c r="AO92" s="5631"/>
      <c r="AP92" s="5625"/>
      <c r="AQ92" s="658"/>
      <c r="AR92" s="658"/>
      <c r="AS92" s="658"/>
      <c r="AT92" s="658"/>
      <c r="AU92" s="658"/>
      <c r="AV92" s="658"/>
      <c r="AW92" s="658"/>
      <c r="AX92" s="658"/>
      <c r="AY92" s="658"/>
      <c r="AZ92" s="658"/>
    </row>
    <row r="93" spans="1:52" ht="13.5" customHeight="1">
      <c r="A93" s="139"/>
      <c r="B93" s="88"/>
      <c r="C93" s="2502" t="s">
        <v>798</v>
      </c>
      <c r="D93" s="1560" t="s">
        <v>2725</v>
      </c>
      <c r="E93" s="226"/>
      <c r="F93" s="88"/>
      <c r="G93" s="88"/>
      <c r="H93" s="88"/>
      <c r="I93" s="88"/>
      <c r="J93" s="88"/>
      <c r="K93" s="88"/>
      <c r="L93" s="88"/>
      <c r="M93" s="88"/>
      <c r="N93" s="88"/>
      <c r="O93" s="88"/>
      <c r="P93" s="88"/>
      <c r="Q93" s="88"/>
      <c r="R93" s="5448"/>
      <c r="S93" s="8908" t="str">
        <f>IF(P92,"for whom this form","")</f>
        <v/>
      </c>
      <c r="T93" s="8909"/>
      <c r="U93" s="8909"/>
      <c r="V93" s="8910"/>
      <c r="W93" s="5619"/>
      <c r="X93" s="8842"/>
      <c r="Y93" s="8843"/>
      <c r="Z93" s="8843"/>
      <c r="AA93" s="139"/>
      <c r="AB93" s="8828" t="s">
        <v>2726</v>
      </c>
      <c r="AC93" s="807"/>
      <c r="AD93" s="253"/>
      <c r="AE93" s="253"/>
      <c r="AG93" s="253"/>
      <c r="AH93" s="5625"/>
      <c r="AI93" s="5625"/>
      <c r="AJ93" s="5627" t="s">
        <v>161</v>
      </c>
      <c r="AK93" s="1061" t="s">
        <v>2727</v>
      </c>
      <c r="AL93" s="5632">
        <f>IF(AND(NOT(AM124),NOT(AM125),'Sch. C'!M7=SS_Yours,'Sch. C'!M121=SS_Yours,'Sch. C'!Y8,'Sch. C'!Y122),AM123,IF(AND(NOT(AM124),'Sch. C'!M7=SS_Yours,'Sch. C'!Y8),AM121,IF(AND(NOT(AM125),'Sch. C'!M121=SS_Yours,'Sch. C'!Y122),AM122,0)))</f>
        <v>0</v>
      </c>
      <c r="AM93" s="5633">
        <f>IF(AND(NOT(AM124),NOT(AM125),'Sch. C'!M7=SS_Spouse,'Sch. C'!M121=SS_Spouse,'Sch. C'!Y8,'Sch. C'!Y122),AM123,IF(AND(NOT(AM124),'Sch. C'!M7=SS_Spouse,'Sch. C'!Y8),AM121,IF(AND(NOT(AM125),'Sch. C'!M121=SS_Spouse,'Sch. C'!Y122),AM122,0)))</f>
        <v>0</v>
      </c>
      <c r="AN93" s="5634">
        <f>SUM(AL93,AM93)</f>
        <v>0</v>
      </c>
      <c r="AO93" s="5631"/>
      <c r="AP93" s="253"/>
      <c r="AQ93" s="658"/>
      <c r="AR93" s="658"/>
      <c r="AS93" s="658"/>
      <c r="AT93" s="658"/>
      <c r="AU93" s="658"/>
      <c r="AV93" s="658"/>
      <c r="AW93" s="658"/>
      <c r="AX93" s="658"/>
      <c r="AY93" s="658"/>
      <c r="AZ93" s="658"/>
    </row>
    <row r="94" spans="1:52">
      <c r="A94" s="139"/>
      <c r="B94" s="88"/>
      <c r="C94" s="228"/>
      <c r="D94" s="1560" t="str">
        <f>"and railroad retirement (tier 1) compensation. If "&amp;TEXT(X91,"$0,000")&amp;" or more, skip lines"</f>
        <v>and railroad retirement (tier 1) compensation. If $176,100 or more, skip lines</v>
      </c>
      <c r="E94" s="226"/>
      <c r="F94" s="88"/>
      <c r="G94" s="88"/>
      <c r="H94" s="88"/>
      <c r="I94" s="88"/>
      <c r="J94" s="88"/>
      <c r="K94" s="88"/>
      <c r="L94" s="88"/>
      <c r="M94" s="88"/>
      <c r="N94" s="88"/>
      <c r="O94" s="88"/>
      <c r="P94" s="88"/>
      <c r="Q94" s="88"/>
      <c r="R94" s="5448"/>
      <c r="S94" s="8911" t="str">
        <f>IF(P92,"is being completed.","")</f>
        <v/>
      </c>
      <c r="T94" s="8912"/>
      <c r="U94" s="8912"/>
      <c r="V94" s="8913"/>
      <c r="W94" s="5619"/>
      <c r="X94" s="8918"/>
      <c r="Y94" s="8919"/>
      <c r="Z94" s="8919"/>
      <c r="AA94" s="139"/>
      <c r="AB94" s="8829"/>
      <c r="AC94" s="253"/>
      <c r="AD94" s="253"/>
      <c r="AE94" s="253"/>
      <c r="AF94" s="253"/>
      <c r="AG94" s="253"/>
      <c r="AH94" s="5625"/>
      <c r="AI94" s="5625"/>
      <c r="AJ94" s="5627" t="s">
        <v>2728</v>
      </c>
      <c r="AK94" s="344" t="s">
        <v>2729</v>
      </c>
      <c r="AL94" s="5632">
        <f>ROUND(SUM(SocSecWages_You,SocSecTips_You),0)</f>
        <v>0</v>
      </c>
      <c r="AM94" s="5633">
        <f>ROUND(SUM(SocSecWages_Spouse,SocSecTips_Spouse),0)</f>
        <v>0</v>
      </c>
      <c r="AN94" s="5634">
        <f>SUM(AL94,AM94)</f>
        <v>0</v>
      </c>
      <c r="AO94" s="5631"/>
      <c r="AP94" s="253"/>
      <c r="AQ94" s="658"/>
      <c r="AR94" s="658"/>
      <c r="AS94" s="658"/>
      <c r="AT94" s="658"/>
      <c r="AU94" s="658"/>
      <c r="AV94" s="658"/>
      <c r="AW94" s="658"/>
      <c r="AX94" s="658"/>
      <c r="AY94" s="658"/>
      <c r="AZ94" s="658"/>
    </row>
    <row r="95" spans="1:52" ht="13.5" thickBot="1">
      <c r="A95" s="139"/>
      <c r="B95" s="88"/>
      <c r="C95" s="228"/>
      <c r="D95" s="1560" t="s">
        <v>2730</v>
      </c>
      <c r="E95" s="226"/>
      <c r="F95" s="88"/>
      <c r="G95" s="88"/>
      <c r="H95" s="88"/>
      <c r="I95" s="88"/>
      <c r="J95" s="88"/>
      <c r="K95" s="88"/>
      <c r="L95" s="88"/>
      <c r="M95" s="88"/>
      <c r="N95" s="88"/>
      <c r="O95" s="88"/>
      <c r="P95" s="88"/>
      <c r="Q95" s="5445" t="s">
        <v>590</v>
      </c>
      <c r="R95" s="5521" t="s">
        <v>798</v>
      </c>
      <c r="S95" s="8836" t="str">
        <f>IF(AK84,"",IF(AND(AJ65,AJ67),SUM(AN94,X95),IF(AJ65,SUM(AL94,X95),IF(AJ67,SUM(AM94,X95),""))))</f>
        <v/>
      </c>
      <c r="T95" s="8837"/>
      <c r="U95" s="8837"/>
      <c r="V95" s="8917"/>
      <c r="W95" s="5619"/>
      <c r="X95" s="8840">
        <f>IF(AB95="",0,ROUND(AB95,0))</f>
        <v>0</v>
      </c>
      <c r="Y95" s="8841"/>
      <c r="Z95" s="8841"/>
      <c r="AA95" s="139"/>
      <c r="AB95" s="124"/>
      <c r="AC95" s="253"/>
      <c r="AD95" s="253"/>
      <c r="AE95" s="724"/>
      <c r="AF95" s="253"/>
      <c r="AG95" s="253"/>
      <c r="AH95" s="253"/>
      <c r="AI95" s="253"/>
      <c r="AJ95" s="408"/>
      <c r="AK95" s="344" t="s">
        <v>2731</v>
      </c>
      <c r="AL95" s="5635" t="b">
        <f>OR(AND(SS_Yours='Sch. C'!M7,AM124),AND(SS_Yours='Sch. C'!M121,AM125))</f>
        <v>0</v>
      </c>
      <c r="AM95" s="5636" t="b">
        <f>OR(AND(SS_Spouse='Sch. C'!M7,AM124),AND(SS_Spouse='Sch. C'!M121,AM125))</f>
        <v>0</v>
      </c>
      <c r="AN95" s="5637" t="b">
        <f>OR(AND(NOT(AND(AJ65,AJ67)),OR(AND(AJ65,AL95),AND(AJ67,AM95))))</f>
        <v>0</v>
      </c>
      <c r="AO95" s="409"/>
      <c r="AQ95" s="658"/>
      <c r="AR95" s="658"/>
      <c r="AS95" s="658"/>
      <c r="AT95" s="658"/>
      <c r="AU95" s="658"/>
      <c r="AV95" s="658"/>
      <c r="AW95" s="658"/>
      <c r="AX95" s="658"/>
      <c r="AY95" s="658"/>
      <c r="AZ95" s="658"/>
    </row>
    <row r="96" spans="1:52">
      <c r="A96" s="139"/>
      <c r="B96" s="88"/>
      <c r="C96" s="228" t="s">
        <v>592</v>
      </c>
      <c r="D96" s="1560" t="s">
        <v>2732</v>
      </c>
      <c r="E96" s="226"/>
      <c r="F96" s="88"/>
      <c r="G96" s="88"/>
      <c r="H96" s="88"/>
      <c r="I96" s="88"/>
      <c r="J96" s="88"/>
      <c r="K96" s="88"/>
      <c r="L96" s="88"/>
      <c r="M96" s="88"/>
      <c r="N96" s="88"/>
      <c r="O96" s="88"/>
      <c r="P96" s="88"/>
      <c r="Q96" s="5445" t="s">
        <v>708</v>
      </c>
      <c r="R96" s="5521" t="s">
        <v>803</v>
      </c>
      <c r="S96" s="8890"/>
      <c r="T96" s="8891"/>
      <c r="U96" s="8891"/>
      <c r="V96" s="8892"/>
      <c r="W96" s="5619"/>
      <c r="X96" s="8840">
        <f>ROUND(S96,0)</f>
        <v>0</v>
      </c>
      <c r="Y96" s="8841"/>
      <c r="Z96" s="8841"/>
      <c r="AA96" s="139"/>
      <c r="AB96" s="5426"/>
      <c r="AC96" s="253"/>
      <c r="AD96" s="253"/>
      <c r="AE96" s="253"/>
      <c r="AF96" s="253"/>
      <c r="AG96" s="253"/>
      <c r="AH96" s="253"/>
      <c r="AI96" s="253"/>
      <c r="AJ96" s="412"/>
      <c r="AK96" s="569"/>
      <c r="AL96" s="569"/>
      <c r="AM96" s="569"/>
      <c r="AN96" s="569"/>
      <c r="AO96" s="414"/>
      <c r="AP96" s="253"/>
      <c r="AQ96" s="658"/>
      <c r="AR96" s="658"/>
      <c r="AS96" s="658"/>
      <c r="AT96" s="658"/>
      <c r="AU96" s="658"/>
      <c r="AV96" s="658"/>
      <c r="AW96" s="658"/>
      <c r="AX96" s="658"/>
      <c r="AY96" s="658"/>
      <c r="AZ96" s="658"/>
    </row>
    <row r="97" spans="1:52" ht="15" customHeight="1" thickBot="1">
      <c r="A97" s="139"/>
      <c r="B97" s="88"/>
      <c r="C97" s="228" t="s">
        <v>595</v>
      </c>
      <c r="D97" s="1560" t="s">
        <v>2733</v>
      </c>
      <c r="E97" s="226"/>
      <c r="F97" s="88"/>
      <c r="G97" s="88"/>
      <c r="H97" s="88"/>
      <c r="I97" s="88"/>
      <c r="J97" s="88"/>
      <c r="K97" s="88"/>
      <c r="L97" s="88"/>
      <c r="M97" s="88"/>
      <c r="N97" s="88"/>
      <c r="O97" s="88"/>
      <c r="P97" s="88"/>
      <c r="Q97" s="5445" t="s">
        <v>624</v>
      </c>
      <c r="R97" s="5638" t="s">
        <v>806</v>
      </c>
      <c r="S97" s="8896"/>
      <c r="T97" s="8897"/>
      <c r="U97" s="8897"/>
      <c r="V97" s="8898"/>
      <c r="W97" s="5619"/>
      <c r="X97" s="8840">
        <f>ROUND(S97,0)</f>
        <v>0</v>
      </c>
      <c r="Y97" s="8841"/>
      <c r="Z97" s="8841"/>
      <c r="AA97" s="139"/>
      <c r="AB97" s="5426"/>
      <c r="AC97" s="253"/>
      <c r="AE97" s="253"/>
      <c r="AF97" s="253"/>
      <c r="AG97" s="253"/>
      <c r="AH97" s="253"/>
      <c r="AI97" s="253"/>
      <c r="AJ97" s="851">
        <f>IF(X90="",0,X90)</f>
        <v>0</v>
      </c>
      <c r="AK97" s="344" t="s">
        <v>773</v>
      </c>
      <c r="AL97" s="344"/>
      <c r="AM97" s="344"/>
      <c r="AN97" s="344"/>
      <c r="AO97" s="253"/>
      <c r="AP97" s="253"/>
      <c r="AQ97" s="658"/>
      <c r="AR97" s="658"/>
      <c r="AS97" s="658"/>
      <c r="AT97" s="658"/>
      <c r="AU97" s="658"/>
      <c r="AV97" s="658"/>
      <c r="AW97" s="658"/>
      <c r="AX97" s="658"/>
      <c r="AY97" s="658"/>
      <c r="AZ97" s="658"/>
    </row>
    <row r="98" spans="1:52" ht="13.5" thickBot="1">
      <c r="A98" s="139"/>
      <c r="B98" s="88"/>
      <c r="C98" s="228" t="s">
        <v>599</v>
      </c>
      <c r="D98" s="1560" t="s">
        <v>2734</v>
      </c>
      <c r="E98" s="226"/>
      <c r="F98" s="88"/>
      <c r="G98" s="88"/>
      <c r="H98" s="88"/>
      <c r="I98" s="88"/>
      <c r="J98" s="88"/>
      <c r="K98" s="88"/>
      <c r="L98" s="88"/>
      <c r="M98" s="88"/>
      <c r="N98" s="88"/>
      <c r="O98" s="88"/>
      <c r="P98" s="88"/>
      <c r="Q98" s="88"/>
      <c r="R98" s="228"/>
      <c r="S98" s="1189"/>
      <c r="T98" s="1189"/>
      <c r="U98" s="1189"/>
      <c r="V98" s="5445" t="s">
        <v>668</v>
      </c>
      <c r="W98" s="5639" t="s">
        <v>809</v>
      </c>
      <c r="X98" s="8846" t="str">
        <f>IF(AK84,"",SUM(S95,X96,X97))</f>
        <v/>
      </c>
      <c r="Y98" s="8847"/>
      <c r="Z98" s="8847"/>
      <c r="AA98" s="139"/>
      <c r="AB98" s="5426"/>
      <c r="AC98" s="253"/>
      <c r="AD98" s="253"/>
      <c r="AE98" s="253"/>
      <c r="AF98" s="253"/>
      <c r="AG98" s="253"/>
      <c r="AH98" s="253"/>
      <c r="AI98" s="253"/>
      <c r="AJ98" s="851">
        <f>IF(X98="",0,X98)</f>
        <v>0</v>
      </c>
      <c r="AK98" s="344" t="s">
        <v>4894</v>
      </c>
      <c r="AL98" s="344"/>
      <c r="AM98" s="344"/>
      <c r="AN98" s="344"/>
      <c r="AO98" s="253"/>
      <c r="AP98" s="253"/>
      <c r="AQ98" s="658"/>
      <c r="AR98" s="658"/>
      <c r="AS98" s="658"/>
      <c r="AT98" s="658"/>
      <c r="AU98" s="658"/>
      <c r="AV98" s="658"/>
      <c r="AW98" s="658"/>
      <c r="AX98" s="658"/>
      <c r="AY98" s="658"/>
      <c r="AZ98" s="658"/>
    </row>
    <row r="99" spans="1:52" ht="12.75" customHeight="1">
      <c r="A99" s="139"/>
      <c r="B99" s="88"/>
      <c r="C99" s="228">
        <v>9</v>
      </c>
      <c r="D99" s="1560" t="s">
        <v>2735</v>
      </c>
      <c r="E99" s="226"/>
      <c r="F99" s="88"/>
      <c r="G99" s="88"/>
      <c r="H99" s="88"/>
      <c r="I99" s="88"/>
      <c r="J99" s="88"/>
      <c r="K99" s="88"/>
      <c r="L99" s="88"/>
      <c r="M99" s="88"/>
      <c r="N99" s="88"/>
      <c r="O99" s="88"/>
      <c r="P99" s="88"/>
      <c r="Q99" s="88"/>
      <c r="R99" s="228"/>
      <c r="S99" s="1189"/>
      <c r="T99" s="1663"/>
      <c r="U99" s="1663"/>
      <c r="V99" s="5445" t="s">
        <v>631</v>
      </c>
      <c r="W99" s="5450">
        <v>9</v>
      </c>
      <c r="X99" s="8838" t="str">
        <f>IF(OR(X98="",P92),"",IF(AJ100,0,SUM(X91,-AJ98)))</f>
        <v/>
      </c>
      <c r="Y99" s="8839"/>
      <c r="Z99" s="8839"/>
      <c r="AA99" s="139"/>
      <c r="AB99" s="5426"/>
      <c r="AC99" s="253"/>
      <c r="AD99" s="253"/>
      <c r="AE99" s="253"/>
      <c r="AF99" s="253"/>
      <c r="AG99" s="253"/>
      <c r="AH99" s="253"/>
      <c r="AJ99" s="851">
        <f>IF(X99="",0,X99)</f>
        <v>0</v>
      </c>
      <c r="AK99" s="344" t="s">
        <v>4895</v>
      </c>
      <c r="AL99" s="344"/>
      <c r="AM99" s="344"/>
      <c r="AN99" s="344"/>
      <c r="AO99" s="253"/>
      <c r="AP99" s="253"/>
      <c r="AQ99" s="658"/>
      <c r="AR99" s="658"/>
      <c r="AS99" s="658"/>
      <c r="AT99" s="658"/>
      <c r="AU99" s="658"/>
      <c r="AV99" s="658"/>
      <c r="AW99" s="658"/>
      <c r="AX99" s="658"/>
      <c r="AY99" s="658"/>
      <c r="AZ99" s="658"/>
    </row>
    <row r="100" spans="1:52" ht="14.25" customHeight="1">
      <c r="A100" s="139"/>
      <c r="B100" s="88"/>
      <c r="C100" s="2502">
        <v>10</v>
      </c>
      <c r="D100" s="1560" t="s">
        <v>4893</v>
      </c>
      <c r="E100" s="226"/>
      <c r="F100" s="88"/>
      <c r="G100" s="88"/>
      <c r="H100" s="88"/>
      <c r="I100" s="88"/>
      <c r="J100" s="88"/>
      <c r="K100" s="728" t="str">
        <f>TEXT(AE100,"0.0%")&amp;" ("&amp;TEXT(AE100,"0.000")&amp;")"</f>
        <v>12.4% (0.124)</v>
      </c>
      <c r="L100" s="88"/>
      <c r="M100" s="88"/>
      <c r="N100" s="88"/>
      <c r="O100" s="88"/>
      <c r="P100" s="88"/>
      <c r="Q100" s="88"/>
      <c r="R100" s="88"/>
      <c r="S100" s="88"/>
      <c r="T100" s="88"/>
      <c r="U100" s="88"/>
      <c r="V100" s="5641" t="s">
        <v>792</v>
      </c>
      <c r="W100" s="5450">
        <v>10</v>
      </c>
      <c r="X100" s="8838" t="str">
        <f>IF(OR(P92,AK84),"",IF(AJ100,0,ROUND(AJ101*AE100,0)))</f>
        <v/>
      </c>
      <c r="Y100" s="8839"/>
      <c r="Z100" s="8839"/>
      <c r="AA100" s="139"/>
      <c r="AB100" s="5426"/>
      <c r="AC100" s="253"/>
      <c r="AD100" s="253"/>
      <c r="AE100" s="8920">
        <v>0.124</v>
      </c>
      <c r="AF100" s="8920"/>
      <c r="AG100" s="253"/>
      <c r="AH100" s="253"/>
      <c r="AI100" s="1191"/>
      <c r="AJ100" s="1195" t="b">
        <f>SUM(X91,-AJ98)&lt;=0</f>
        <v>0</v>
      </c>
      <c r="AK100" s="344"/>
      <c r="AL100" s="344"/>
      <c r="AM100" s="344"/>
      <c r="AN100" s="344"/>
      <c r="AO100" s="253"/>
      <c r="AP100" s="253"/>
      <c r="AQ100" s="658"/>
      <c r="AR100" s="658"/>
      <c r="AS100" s="658"/>
      <c r="AT100" s="658"/>
      <c r="AU100" s="658"/>
      <c r="AV100" s="658"/>
      <c r="AW100" s="658"/>
      <c r="AX100" s="658"/>
      <c r="AY100" s="658"/>
      <c r="AZ100" s="658"/>
    </row>
    <row r="101" spans="1:52" ht="12.75" customHeight="1">
      <c r="A101" s="139"/>
      <c r="B101" s="88"/>
      <c r="C101" s="228">
        <v>11</v>
      </c>
      <c r="D101" s="1560" t="str">
        <f>"Multiply line 6 by "&amp;TEXT(AC101,"0.0%")&amp;" ("&amp;TEXT(AC101,"0.000")&amp;")"</f>
        <v>Multiply line 6 by 2.9% (0.029)</v>
      </c>
      <c r="E101" s="226"/>
      <c r="F101" s="88"/>
      <c r="G101" s="88"/>
      <c r="H101" s="88"/>
      <c r="I101" s="88"/>
      <c r="J101" s="88"/>
      <c r="K101" s="88"/>
      <c r="L101" s="88"/>
      <c r="M101" s="88"/>
      <c r="N101" s="88"/>
      <c r="O101" s="88"/>
      <c r="P101" s="88"/>
      <c r="Q101" s="88"/>
      <c r="R101" s="228"/>
      <c r="S101" s="1189"/>
      <c r="T101" s="1189"/>
      <c r="U101" s="1190"/>
      <c r="V101" s="5641" t="s">
        <v>1075</v>
      </c>
      <c r="W101" s="5450">
        <v>11</v>
      </c>
      <c r="X101" s="8838" t="str">
        <f>IF(OR(P92,AK84),"",ROUND(X90*AC101,0))</f>
        <v/>
      </c>
      <c r="Y101" s="8839"/>
      <c r="Z101" s="8839"/>
      <c r="AA101" s="139"/>
      <c r="AB101" s="5426"/>
      <c r="AC101" s="8920">
        <v>2.9000000000000001E-2</v>
      </c>
      <c r="AD101" s="8920"/>
      <c r="AE101" s="1192"/>
      <c r="AF101" s="1192"/>
      <c r="AG101" s="253"/>
      <c r="AH101" s="253"/>
      <c r="AI101" s="253"/>
      <c r="AJ101" s="1208">
        <f>MIN(X90,AJ99)</f>
        <v>0</v>
      </c>
      <c r="AK101" s="253"/>
      <c r="AL101" s="253"/>
      <c r="AM101" s="253"/>
      <c r="AN101" s="253"/>
      <c r="AP101" s="1195"/>
      <c r="AQ101" s="658"/>
      <c r="AR101" s="658"/>
      <c r="AS101" s="658"/>
      <c r="AT101" s="658"/>
      <c r="AU101" s="658"/>
      <c r="AV101" s="658"/>
      <c r="AW101" s="658"/>
      <c r="AX101" s="658"/>
      <c r="AY101" s="658"/>
      <c r="AZ101" s="658"/>
    </row>
    <row r="102" spans="1:52" ht="14.25" customHeight="1">
      <c r="A102" s="139"/>
      <c r="B102" s="88"/>
      <c r="C102" s="228">
        <v>12</v>
      </c>
      <c r="D102" s="1560" t="s">
        <v>4993</v>
      </c>
      <c r="E102" s="226"/>
      <c r="F102" s="88"/>
      <c r="G102" s="88"/>
      <c r="H102" s="88"/>
      <c r="I102" s="88"/>
      <c r="J102" s="88"/>
      <c r="K102" s="88"/>
      <c r="L102" s="88"/>
      <c r="M102" s="88"/>
      <c r="N102" s="88"/>
      <c r="O102" s="88"/>
      <c r="P102" s="88"/>
      <c r="Q102" s="88"/>
      <c r="R102" s="228"/>
      <c r="S102" s="1189"/>
      <c r="T102" s="1189"/>
      <c r="U102" s="1189"/>
      <c r="V102" s="1189"/>
      <c r="W102" s="5689"/>
      <c r="X102" s="8840"/>
      <c r="Y102" s="8841"/>
      <c r="Z102" s="8841"/>
      <c r="AA102" s="139"/>
      <c r="AB102" s="5426"/>
      <c r="AC102" s="5972"/>
      <c r="AD102" s="5972"/>
      <c r="AE102" s="1192"/>
      <c r="AF102" s="1192"/>
      <c r="AG102" s="253"/>
      <c r="AH102" s="253"/>
      <c r="AI102" s="253"/>
      <c r="AJ102" s="1195" t="b">
        <f>SUM(X93,-AJ100)&lt;=0</f>
        <v>1</v>
      </c>
      <c r="AK102" s="253"/>
      <c r="AL102" s="5640"/>
      <c r="AM102" s="253"/>
      <c r="AN102" s="253"/>
      <c r="AO102" s="253"/>
      <c r="AP102" s="1191"/>
      <c r="AQ102" s="658"/>
      <c r="AR102" s="658"/>
      <c r="AS102" s="658"/>
      <c r="AT102" s="658"/>
      <c r="AU102" s="658"/>
      <c r="AV102" s="658"/>
      <c r="AW102" s="658"/>
      <c r="AX102" s="658"/>
      <c r="AY102" s="658"/>
      <c r="AZ102" s="658"/>
    </row>
    <row r="103" spans="1:52" ht="14.25" customHeight="1">
      <c r="A103" s="139"/>
      <c r="B103" s="88"/>
      <c r="C103" s="228"/>
      <c r="D103" s="2447" t="s">
        <v>4992</v>
      </c>
      <c r="E103" s="226"/>
      <c r="F103" s="88"/>
      <c r="G103" s="88"/>
      <c r="H103" s="88"/>
      <c r="I103" s="88"/>
      <c r="J103" s="88"/>
      <c r="K103" s="88"/>
      <c r="L103" s="88"/>
      <c r="M103" s="88"/>
      <c r="N103" s="88"/>
      <c r="O103" s="88"/>
      <c r="P103" s="88"/>
      <c r="Q103" s="88"/>
      <c r="R103" s="228"/>
      <c r="S103" s="1189"/>
      <c r="T103" s="1189"/>
      <c r="U103" s="1189"/>
      <c r="V103" s="5641" t="s">
        <v>1075</v>
      </c>
      <c r="W103" s="5450">
        <v>12</v>
      </c>
      <c r="X103" s="8836" t="str">
        <f>IF(OR(P92,AK84),"",SUM(X100,X101))</f>
        <v/>
      </c>
      <c r="Y103" s="8837"/>
      <c r="Z103" s="8837"/>
      <c r="AA103" s="139"/>
      <c r="AB103" s="5426"/>
      <c r="AC103" s="5972"/>
      <c r="AD103" s="5972"/>
      <c r="AE103" s="1192"/>
      <c r="AF103" s="1192"/>
      <c r="AG103" s="253"/>
      <c r="AH103" s="253"/>
      <c r="AI103" s="253"/>
      <c r="AJ103" s="1208"/>
      <c r="AK103" s="1061"/>
      <c r="AL103" s="1193"/>
      <c r="AM103" s="1193"/>
      <c r="AN103" s="1193"/>
      <c r="AO103" s="253"/>
      <c r="AP103" s="253"/>
      <c r="AQ103" s="658"/>
      <c r="AR103" s="658"/>
      <c r="AS103" s="658"/>
      <c r="AT103" s="658"/>
      <c r="AU103" s="658"/>
      <c r="AV103" s="658"/>
      <c r="AW103" s="658"/>
      <c r="AX103" s="658"/>
      <c r="AY103" s="658"/>
      <c r="AZ103" s="658"/>
    </row>
    <row r="104" spans="1:52" ht="13.5" thickBot="1">
      <c r="A104" s="139"/>
      <c r="B104" s="88"/>
      <c r="C104" s="228">
        <v>13</v>
      </c>
      <c r="D104" s="226" t="s">
        <v>2740</v>
      </c>
      <c r="E104" s="88"/>
      <c r="F104" s="88"/>
      <c r="G104" s="88"/>
      <c r="H104" s="88"/>
      <c r="I104" s="88"/>
      <c r="J104" s="88"/>
      <c r="K104" s="88"/>
      <c r="L104" s="88"/>
      <c r="M104" s="88"/>
      <c r="N104" s="88"/>
      <c r="O104" s="88"/>
      <c r="P104" s="88"/>
      <c r="Q104" s="88"/>
      <c r="R104" s="88"/>
      <c r="S104" s="88"/>
      <c r="T104" s="88"/>
      <c r="U104" s="8921"/>
      <c r="V104" s="8922"/>
      <c r="W104" s="8923"/>
      <c r="X104" s="7840"/>
      <c r="Y104" s="7840"/>
      <c r="Z104" s="7840"/>
      <c r="AA104" s="139"/>
      <c r="AB104" s="5415"/>
      <c r="AC104" s="5972"/>
      <c r="AD104" s="5972"/>
      <c r="AE104" s="1192"/>
      <c r="AF104" s="1192"/>
      <c r="AG104" s="253"/>
      <c r="AH104" s="253"/>
      <c r="AI104" s="253"/>
      <c r="AJ104" s="1208"/>
      <c r="AK104" s="7879" t="s">
        <v>2736</v>
      </c>
      <c r="AL104" s="7863"/>
      <c r="AM104" s="253"/>
      <c r="AN104" s="253"/>
      <c r="AO104" s="1195"/>
      <c r="AP104" s="253"/>
      <c r="AQ104" s="658"/>
      <c r="AR104" s="658"/>
      <c r="AS104" s="658"/>
      <c r="AT104" s="658"/>
      <c r="AU104" s="658"/>
      <c r="AV104" s="658"/>
      <c r="AW104" s="658"/>
      <c r="AX104" s="658"/>
      <c r="AY104" s="658"/>
      <c r="AZ104" s="658"/>
    </row>
    <row r="105" spans="1:52" ht="12.75" customHeight="1" thickBot="1">
      <c r="A105" s="139"/>
      <c r="B105" s="88"/>
      <c r="C105" s="228"/>
      <c r="D105" s="1560" t="str">
        <f>"Multiply  line 12  by "&amp;TEXT(U105,"0%")&amp;" ("&amp;TEXT(U105,"0.00")&amp;")."</f>
        <v>Multiply  line 12  by 50% (0.50).</v>
      </c>
      <c r="E105" s="1560"/>
      <c r="F105" s="88"/>
      <c r="G105" s="88"/>
      <c r="H105" s="1560"/>
      <c r="I105" s="2617" t="s">
        <v>2741</v>
      </c>
      <c r="J105" s="88"/>
      <c r="K105" s="88"/>
      <c r="L105" s="88"/>
      <c r="M105" s="226"/>
      <c r="N105" s="88"/>
      <c r="O105" s="2715"/>
      <c r="P105" s="88"/>
      <c r="Q105" s="88"/>
      <c r="R105" s="5448"/>
      <c r="S105" s="88"/>
      <c r="T105" s="88"/>
      <c r="U105" s="8893">
        <v>0.5</v>
      </c>
      <c r="V105" s="8902"/>
      <c r="W105" s="139"/>
      <c r="X105" s="139"/>
      <c r="Y105" s="139"/>
      <c r="Z105" s="139"/>
      <c r="AA105" s="139"/>
      <c r="AB105" s="5415"/>
      <c r="AC105" s="5972"/>
      <c r="AD105" s="5972"/>
      <c r="AE105" s="1192"/>
      <c r="AF105" s="1192"/>
      <c r="AG105" s="253"/>
      <c r="AH105" s="253"/>
      <c r="AI105" s="253"/>
      <c r="AJ105" s="253"/>
      <c r="AK105" s="5642"/>
      <c r="AL105" s="5643" t="s">
        <v>566</v>
      </c>
      <c r="AM105" s="5644" t="s">
        <v>567</v>
      </c>
      <c r="AN105" s="5645"/>
      <c r="AO105" s="1191"/>
      <c r="AP105" s="253"/>
      <c r="AQ105" s="658"/>
      <c r="AR105" s="658"/>
      <c r="AS105" s="658"/>
      <c r="AT105" s="658"/>
      <c r="AU105" s="658"/>
      <c r="AV105" s="658"/>
      <c r="AW105" s="658"/>
      <c r="AX105" s="658"/>
      <c r="AY105" s="658"/>
      <c r="AZ105" s="658"/>
    </row>
    <row r="106" spans="1:52" ht="16.5" customHeight="1" thickBot="1">
      <c r="A106" s="139"/>
      <c r="B106" s="91"/>
      <c r="C106" s="3448"/>
      <c r="D106" s="5654" t="s">
        <v>2742</v>
      </c>
      <c r="E106" s="5655"/>
      <c r="F106" s="5655"/>
      <c r="G106" s="91"/>
      <c r="H106" s="91"/>
      <c r="I106" s="91"/>
      <c r="J106" s="91"/>
      <c r="K106" s="91"/>
      <c r="L106" s="91"/>
      <c r="M106" s="91"/>
      <c r="N106" s="91"/>
      <c r="O106" s="5656"/>
      <c r="P106" s="91"/>
      <c r="Q106" s="5656" t="s">
        <v>1333</v>
      </c>
      <c r="R106" s="5623">
        <v>13</v>
      </c>
      <c r="S106" s="8935" t="str">
        <f>IF(AB106&lt;&gt;"",ROUND(AB106,0),IF(OR(P92,AK84),"",ROUND(X103*U105,0)))</f>
        <v/>
      </c>
      <c r="T106" s="8936"/>
      <c r="U106" s="8936"/>
      <c r="V106" s="8937"/>
      <c r="W106" s="8924"/>
      <c r="X106" s="8925"/>
      <c r="Y106" s="8925"/>
      <c r="Z106" s="8925"/>
      <c r="AA106" s="139"/>
      <c r="AB106" s="811"/>
      <c r="AC106" s="5972"/>
      <c r="AD106" s="5972"/>
      <c r="AE106" s="1192"/>
      <c r="AF106" s="1192"/>
      <c r="AG106" s="253"/>
      <c r="AH106" s="253"/>
      <c r="AI106" s="253"/>
      <c r="AJ106" s="253"/>
      <c r="AK106" s="5646" t="s">
        <v>2738</v>
      </c>
      <c r="AL106" s="5647">
        <f>IF(NOT($AJ$65),0,X81)</f>
        <v>0</v>
      </c>
      <c r="AM106" s="5648">
        <f>IF(AND(NOT($AJ$65),$AJ$67),X81,0)</f>
        <v>0</v>
      </c>
      <c r="AN106" s="5649"/>
      <c r="AO106" s="253"/>
      <c r="AP106" s="253"/>
      <c r="AQ106" s="658"/>
      <c r="AR106" s="658"/>
      <c r="AS106" s="658"/>
      <c r="AT106" s="658"/>
      <c r="AU106" s="658"/>
      <c r="AV106" s="658"/>
      <c r="AW106" s="658"/>
      <c r="AX106" s="658"/>
      <c r="AY106" s="658"/>
      <c r="AZ106" s="658"/>
    </row>
    <row r="107" spans="1:52" ht="13.5" customHeight="1" thickBot="1">
      <c r="A107" s="139"/>
      <c r="B107" s="5657"/>
      <c r="C107" s="5658" t="s">
        <v>868</v>
      </c>
      <c r="D107" s="5659"/>
      <c r="E107" s="5660" t="s">
        <v>2745</v>
      </c>
      <c r="F107" s="5661"/>
      <c r="G107" s="5661"/>
      <c r="H107" s="5661"/>
      <c r="I107" s="5661"/>
      <c r="J107" s="5661"/>
      <c r="K107" s="5661"/>
      <c r="L107" s="5661"/>
      <c r="M107" s="5661"/>
      <c r="N107" s="5661"/>
      <c r="O107" s="5661"/>
      <c r="P107" s="5661"/>
      <c r="Q107" s="5661"/>
      <c r="R107" s="5661"/>
      <c r="S107" s="5661"/>
      <c r="T107" s="5661"/>
      <c r="U107" s="5661"/>
      <c r="V107" s="5661"/>
      <c r="W107" s="5661"/>
      <c r="X107" s="5661"/>
      <c r="Y107" s="5661"/>
      <c r="Z107" s="5661"/>
      <c r="AA107" s="139"/>
      <c r="AB107" s="5415"/>
      <c r="AC107" s="5972"/>
      <c r="AD107" s="5972"/>
      <c r="AE107" s="1192"/>
      <c r="AF107" s="1192"/>
      <c r="AG107" s="253"/>
      <c r="AH107" s="253"/>
      <c r="AI107" s="253"/>
      <c r="AJ107" s="1208"/>
      <c r="AK107" s="1061" t="s">
        <v>2739</v>
      </c>
      <c r="AL107" s="5651">
        <f>IF(AND($AJ$65,SchSE_Clergy2_You),X90,IF($AJ$65,ChurchEmployeeIncome2,0))</f>
        <v>0</v>
      </c>
      <c r="AM107" s="5652">
        <f>IF(AND(NOT($AJ$65),$AJ$67,SchSE_Clergy2_Sp),X90,IF(AND(NOT($AJ$65),$AJ$67,ChurchEmployeeIncome2),S88,0))</f>
        <v>0</v>
      </c>
      <c r="AN107" s="5653"/>
      <c r="AO107" s="253"/>
      <c r="AP107" s="253"/>
      <c r="AQ107" s="658"/>
      <c r="AR107" s="658"/>
      <c r="AS107" s="658"/>
      <c r="AT107" s="658"/>
      <c r="AU107" s="658"/>
      <c r="AV107" s="658"/>
      <c r="AW107" s="658"/>
      <c r="AX107" s="658"/>
      <c r="AY107" s="658"/>
      <c r="AZ107" s="658"/>
    </row>
    <row r="108" spans="1:52" ht="15" thickBot="1">
      <c r="A108" s="139"/>
      <c r="B108" s="226" t="s">
        <v>2747</v>
      </c>
      <c r="C108" s="88"/>
      <c r="D108" s="88"/>
      <c r="E108" s="88"/>
      <c r="F108" s="88"/>
      <c r="G108" s="88"/>
      <c r="H108" s="88"/>
      <c r="I108" s="88"/>
      <c r="J108" s="88"/>
      <c r="K108" s="88"/>
      <c r="L108" s="88"/>
      <c r="M108" s="88"/>
      <c r="N108" s="88"/>
      <c r="O108" s="88"/>
      <c r="P108" s="88"/>
      <c r="Q108" s="88"/>
      <c r="R108" s="88"/>
      <c r="S108" s="88"/>
      <c r="T108" s="88"/>
      <c r="U108" s="88"/>
      <c r="V108" s="88"/>
      <c r="W108" s="5448"/>
      <c r="X108" s="2468">
        <f>X48</f>
        <v>10860</v>
      </c>
      <c r="Y108" s="88"/>
      <c r="Z108" s="88"/>
      <c r="AA108" s="139"/>
      <c r="AB108" s="5415"/>
      <c r="AC108" s="5972"/>
      <c r="AD108" s="5972"/>
      <c r="AE108" s="1192"/>
      <c r="AF108" s="1192"/>
      <c r="AG108" s="253"/>
      <c r="AH108" s="253"/>
      <c r="AI108" s="253"/>
      <c r="AJ108" s="1208"/>
      <c r="AK108" s="1061" t="s">
        <v>2769</v>
      </c>
      <c r="AL108" s="5651">
        <f>SUM(AL42,AL107)</f>
        <v>0</v>
      </c>
      <c r="AM108" s="5652">
        <f>SUM(AM42,AM107)</f>
        <v>0</v>
      </c>
      <c r="AN108" s="5653">
        <f>SUM(SchSE_Clergy_CEI_You,SchSE_Clergy_CEI_Sp)</f>
        <v>0</v>
      </c>
      <c r="AO108" s="253"/>
      <c r="AP108" s="253"/>
      <c r="AQ108" s="658"/>
      <c r="AR108" s="658"/>
      <c r="AS108" s="658"/>
      <c r="AT108" s="658"/>
      <c r="AU108" s="658"/>
      <c r="AV108" s="658"/>
      <c r="AW108" s="658"/>
      <c r="AX108" s="658"/>
      <c r="AY108" s="658"/>
      <c r="AZ108" s="658"/>
    </row>
    <row r="109" spans="1:52" ht="12.75" customHeight="1" thickBot="1">
      <c r="A109" s="139"/>
      <c r="B109" s="1560" t="str">
        <f>"than "&amp;TEXT(X108,"$0,000")&amp;" or (b) your net farm profits were less than "&amp;TEXT(X109,"$0,000")&amp;"."</f>
        <v>than $10,860 or (b) your net farm profits were less than $7,840.</v>
      </c>
      <c r="C109" s="88"/>
      <c r="D109" s="88"/>
      <c r="E109" s="88"/>
      <c r="F109" s="88"/>
      <c r="G109" s="88"/>
      <c r="H109" s="88"/>
      <c r="I109" s="88"/>
      <c r="J109" s="88"/>
      <c r="K109" s="88"/>
      <c r="L109" s="88"/>
      <c r="M109" s="88"/>
      <c r="N109" s="88"/>
      <c r="O109" s="88"/>
      <c r="P109" s="88"/>
      <c r="Q109" s="88"/>
      <c r="R109" s="88"/>
      <c r="S109" s="88"/>
      <c r="T109" s="88"/>
      <c r="U109" s="88"/>
      <c r="V109" s="88"/>
      <c r="W109" s="5448"/>
      <c r="X109" s="2468">
        <f>X49</f>
        <v>7840</v>
      </c>
      <c r="Y109" s="88"/>
      <c r="Z109" s="88"/>
      <c r="AA109" s="139"/>
      <c r="AB109" s="5415"/>
      <c r="AC109" s="5972"/>
      <c r="AD109" s="5972"/>
      <c r="AE109" s="1192"/>
      <c r="AF109" s="1192"/>
      <c r="AG109" s="253"/>
      <c r="AH109" s="253"/>
      <c r="AI109" s="253"/>
      <c r="AJ109" s="253"/>
      <c r="AK109" s="344"/>
      <c r="AL109" s="1193"/>
      <c r="AM109" s="1193"/>
      <c r="AN109" s="1193"/>
      <c r="AO109" s="253"/>
      <c r="AP109" s="253"/>
      <c r="AQ109" s="670"/>
      <c r="AR109" s="658"/>
      <c r="AS109" s="658"/>
      <c r="AT109" s="658"/>
      <c r="AU109" s="658"/>
      <c r="AV109" s="658"/>
      <c r="AW109" s="658"/>
      <c r="AX109" s="658"/>
      <c r="AY109" s="658"/>
      <c r="AZ109" s="658"/>
    </row>
    <row r="110" spans="1:52" ht="13.5" customHeight="1">
      <c r="A110" s="139"/>
      <c r="B110" s="88"/>
      <c r="C110" s="228">
        <v>14</v>
      </c>
      <c r="D110" s="88" t="s">
        <v>2749</v>
      </c>
      <c r="E110" s="88"/>
      <c r="F110" s="88"/>
      <c r="G110" s="88"/>
      <c r="H110" s="88"/>
      <c r="I110" s="88"/>
      <c r="J110" s="88"/>
      <c r="K110" s="88"/>
      <c r="L110" s="88"/>
      <c r="M110" s="88"/>
      <c r="N110" s="88"/>
      <c r="O110" s="88"/>
      <c r="P110" s="88"/>
      <c r="Q110" s="88"/>
      <c r="R110" s="88"/>
      <c r="S110" s="88"/>
      <c r="T110" s="88"/>
      <c r="U110" s="88"/>
      <c r="V110" s="2715" t="s">
        <v>647</v>
      </c>
      <c r="W110" s="5521">
        <v>14</v>
      </c>
      <c r="X110" s="8926">
        <f>X50</f>
        <v>7240</v>
      </c>
      <c r="Y110" s="8927"/>
      <c r="Z110" s="8927"/>
      <c r="AA110" s="139"/>
      <c r="AB110" s="5664" t="str">
        <f>IF(X112&gt;X110,"Line 15 cannot","")</f>
        <v/>
      </c>
      <c r="AC110" s="5972"/>
      <c r="AD110" s="5972"/>
      <c r="AE110" s="1192"/>
      <c r="AF110" s="1192"/>
      <c r="AG110" s="253"/>
      <c r="AH110" s="253"/>
      <c r="AI110" s="253"/>
      <c r="AJ110" s="253"/>
      <c r="AK110" s="5642"/>
      <c r="AL110" s="5643" t="s">
        <v>566</v>
      </c>
      <c r="AM110" s="5644" t="s">
        <v>567</v>
      </c>
      <c r="AN110" s="5645"/>
      <c r="AO110" s="1191"/>
      <c r="AP110" s="253"/>
      <c r="AQ110" s="658"/>
      <c r="AR110" s="658"/>
      <c r="AS110" s="658"/>
      <c r="AT110" s="658"/>
      <c r="AU110" s="658"/>
      <c r="AV110" s="658"/>
      <c r="AW110" s="658"/>
      <c r="AX110" s="658"/>
      <c r="AY110" s="658"/>
      <c r="AZ110" s="658"/>
    </row>
    <row r="111" spans="1:52" ht="13.5" customHeight="1">
      <c r="A111" s="139"/>
      <c r="B111" s="88"/>
      <c r="C111" s="228">
        <v>15</v>
      </c>
      <c r="D111" s="2617" t="s">
        <v>2751</v>
      </c>
      <c r="E111" s="88"/>
      <c r="F111" s="88"/>
      <c r="G111" s="88"/>
      <c r="H111" s="88"/>
      <c r="I111" s="88"/>
      <c r="J111" s="88"/>
      <c r="K111" s="88"/>
      <c r="L111" s="88"/>
      <c r="M111" s="88"/>
      <c r="N111" s="88"/>
      <c r="O111" s="88"/>
      <c r="P111" s="88"/>
      <c r="Q111" s="88"/>
      <c r="R111" s="8942" t="str">
        <f>TEXT(X110,"$0,000")&amp;" "</f>
        <v xml:space="preserve">$7,240 </v>
      </c>
      <c r="S111" s="8942"/>
      <c r="T111" s="2423"/>
      <c r="U111" s="1560"/>
      <c r="V111" s="5454" t="s">
        <v>2752</v>
      </c>
      <c r="W111" s="5448"/>
      <c r="X111" s="441" t="b">
        <f>AND(X112&lt;&gt;"",X112&gt;0)</f>
        <v>0</v>
      </c>
      <c r="Y111" s="88"/>
      <c r="Z111" s="88"/>
      <c r="AA111" s="139"/>
      <c r="AB111" s="5664" t="str">
        <f>IF(X112&gt;X110,"be more than","")</f>
        <v/>
      </c>
      <c r="AC111" s="5972"/>
      <c r="AD111" s="5972"/>
      <c r="AE111" s="1192"/>
      <c r="AF111" s="1192"/>
      <c r="AG111" s="253"/>
      <c r="AH111" s="253"/>
      <c r="AI111" s="253"/>
      <c r="AJ111" s="253"/>
      <c r="AK111" s="5646" t="s">
        <v>6253</v>
      </c>
      <c r="AL111" s="5647">
        <f>IF(NOT($AJ$5),0,SUM(SchSE_Profit1,SchSELine4b1))</f>
        <v>0</v>
      </c>
      <c r="AM111" s="5648">
        <f>IF(AND(NOT($AJ$5),$AJ$7),SUM(SchSE_Profit1,SchSELine4b1),0)</f>
        <v>0</v>
      </c>
      <c r="AN111" s="5649"/>
      <c r="AO111" s="253"/>
      <c r="AP111" s="253"/>
      <c r="AQ111" s="658"/>
      <c r="AR111" s="658"/>
      <c r="AS111" s="658"/>
      <c r="AT111" s="658"/>
      <c r="AU111" s="658"/>
      <c r="AV111" s="658"/>
      <c r="AW111" s="658"/>
      <c r="AX111" s="658"/>
      <c r="AY111" s="658"/>
      <c r="AZ111" s="658"/>
    </row>
    <row r="112" spans="1:52" ht="13.5" customHeight="1" thickBot="1">
      <c r="A112" s="139"/>
      <c r="B112" s="2432"/>
      <c r="C112" s="2432"/>
      <c r="D112" s="5665" t="s">
        <v>2754</v>
      </c>
      <c r="E112" s="2432"/>
      <c r="F112" s="2432"/>
      <c r="G112" s="2432"/>
      <c r="H112" s="2432"/>
      <c r="I112" s="2432"/>
      <c r="J112" s="2432"/>
      <c r="K112" s="2432"/>
      <c r="L112" s="2432"/>
      <c r="M112" s="2432"/>
      <c r="N112" s="2432"/>
      <c r="O112" s="2432"/>
      <c r="P112" s="2432"/>
      <c r="Q112" s="2432"/>
      <c r="R112" s="2432"/>
      <c r="S112" s="2432"/>
      <c r="T112" s="2432"/>
      <c r="U112" s="2432"/>
      <c r="V112" s="5666" t="s">
        <v>665</v>
      </c>
      <c r="W112" s="5521">
        <v>15</v>
      </c>
      <c r="X112" s="8928"/>
      <c r="Y112" s="8929"/>
      <c r="Z112" s="8929"/>
      <c r="AA112" s="139"/>
      <c r="AB112" s="5664" t="str">
        <f>IF(X112&gt;X110,"Line 14.","")</f>
        <v/>
      </c>
      <c r="AC112" s="5972"/>
      <c r="AD112" s="5972"/>
      <c r="AE112" s="1192"/>
      <c r="AF112" s="1192"/>
      <c r="AG112" s="253"/>
      <c r="AH112" s="253"/>
      <c r="AI112" s="253"/>
      <c r="AJ112" s="1208"/>
      <c r="AK112" s="5646" t="s">
        <v>6254</v>
      </c>
      <c r="AL112" s="5651">
        <f>IF(NOT($AJ$65),0,SUM(SchSE_Profit2,SchSELine4b2))</f>
        <v>0</v>
      </c>
      <c r="AM112" s="6404">
        <f>IF(AND(NOT($AJ$65),$AJ$67),SUM(SchSE_Profit2,SchSELine4b2),0)</f>
        <v>0</v>
      </c>
      <c r="AN112" s="5653"/>
      <c r="AO112" s="253"/>
      <c r="AP112" s="253"/>
      <c r="AQ112" s="658"/>
      <c r="AR112" s="658"/>
      <c r="AS112" s="658"/>
      <c r="AT112" s="658"/>
      <c r="AU112" s="658"/>
      <c r="AV112" s="658"/>
      <c r="AW112" s="658"/>
      <c r="AX112" s="658"/>
      <c r="AY112" s="658"/>
      <c r="AZ112" s="658"/>
    </row>
    <row r="113" spans="1:52" ht="13.5" customHeight="1" thickBot="1">
      <c r="A113" s="139"/>
      <c r="B113" s="226" t="s">
        <v>2755</v>
      </c>
      <c r="C113" s="88"/>
      <c r="D113" s="88"/>
      <c r="E113" s="88"/>
      <c r="F113" s="88"/>
      <c r="G113" s="88"/>
      <c r="H113" s="88"/>
      <c r="I113" s="88"/>
      <c r="J113" s="88"/>
      <c r="K113" s="88"/>
      <c r="L113" s="88"/>
      <c r="M113" s="88"/>
      <c r="N113" s="88"/>
      <c r="O113" s="88"/>
      <c r="P113" s="88"/>
      <c r="Q113" s="88"/>
      <c r="R113" s="88"/>
      <c r="S113" s="88"/>
      <c r="T113" s="2498" t="str">
        <f>"than "&amp;TEXT(X109,"$0,000")</f>
        <v>than $7,840</v>
      </c>
      <c r="U113" s="2498"/>
      <c r="V113" s="5667"/>
      <c r="W113" s="5448"/>
      <c r="X113" s="441">
        <v>0.72189000000000003</v>
      </c>
      <c r="Y113" s="88"/>
      <c r="Z113" s="88"/>
      <c r="AA113" s="139"/>
      <c r="AB113" s="5415"/>
      <c r="AC113" s="5972"/>
      <c r="AD113" s="5972"/>
      <c r="AE113" s="1192"/>
      <c r="AF113" s="1192"/>
      <c r="AG113" s="253"/>
      <c r="AH113" s="253"/>
      <c r="AI113" s="253"/>
      <c r="AJ113" s="1208"/>
      <c r="AK113" s="1061" t="s">
        <v>6255</v>
      </c>
      <c r="AL113" s="5651">
        <f>SUM(AL111:AL112)</f>
        <v>0</v>
      </c>
      <c r="AM113" s="6405">
        <f>SUM(AM111:AM112)</f>
        <v>0</v>
      </c>
      <c r="AN113" s="5653">
        <f>SUM(SchSE_Clergy_CEI_You,SchSE_Clergy_CEI_Sp)</f>
        <v>0</v>
      </c>
      <c r="AO113" s="253"/>
      <c r="AP113" s="253"/>
      <c r="AQ113" s="658"/>
      <c r="AR113" s="658"/>
      <c r="AS113" s="658"/>
      <c r="AT113" s="658"/>
      <c r="AU113" s="658"/>
      <c r="AV113" s="658"/>
      <c r="AW113" s="658"/>
      <c r="AX113" s="658"/>
      <c r="AY113" s="658"/>
      <c r="AZ113" s="658"/>
    </row>
    <row r="114" spans="1:52" ht="13.5" customHeight="1" thickBot="1">
      <c r="A114" s="139"/>
      <c r="B114" s="2617" t="str">
        <f>"and also less than "&amp;TEXT(X113,"0.000%")&amp;" of your"</f>
        <v>and also less than 72.189% of your</v>
      </c>
      <c r="C114" s="88"/>
      <c r="D114" s="88"/>
      <c r="E114" s="88"/>
      <c r="F114" s="88"/>
      <c r="G114" s="88"/>
      <c r="H114" s="1560"/>
      <c r="I114" s="88"/>
      <c r="J114" s="1560"/>
      <c r="K114" s="88"/>
      <c r="L114" s="88"/>
      <c r="M114" s="88"/>
      <c r="N114" s="88"/>
      <c r="O114" s="88"/>
      <c r="P114" s="88"/>
      <c r="Q114" s="88"/>
      <c r="R114" s="88"/>
      <c r="S114" s="5454" t="s">
        <v>2756</v>
      </c>
      <c r="T114" s="88"/>
      <c r="U114" s="88"/>
      <c r="V114" s="88"/>
      <c r="W114" s="5448"/>
      <c r="X114" s="441">
        <v>400</v>
      </c>
      <c r="Y114" s="88"/>
      <c r="Z114" s="88"/>
      <c r="AA114" s="139"/>
      <c r="AB114" s="5415"/>
      <c r="AC114" s="5972"/>
      <c r="AD114" s="5972"/>
      <c r="AE114" s="1192"/>
      <c r="AF114" s="1192"/>
      <c r="AG114" s="253"/>
      <c r="AH114" s="253"/>
      <c r="AI114" s="253"/>
      <c r="AJ114" s="253"/>
      <c r="AK114" s="344"/>
      <c r="AL114" s="1193"/>
      <c r="AM114" s="1193"/>
      <c r="AN114" s="1193"/>
      <c r="AO114" s="253"/>
      <c r="AP114" s="253"/>
      <c r="AQ114" s="658"/>
      <c r="AR114" s="658"/>
      <c r="AS114" s="658"/>
      <c r="AT114" s="658"/>
      <c r="AU114" s="658"/>
      <c r="AV114" s="658"/>
      <c r="AW114" s="658"/>
      <c r="AX114" s="658"/>
      <c r="AY114" s="658"/>
      <c r="AZ114" s="658"/>
    </row>
    <row r="115" spans="1:52">
      <c r="A115" s="139"/>
      <c r="B115" s="247" t="str">
        <f>"employment of at least "&amp;TEXT(X114,"$0")&amp;" in 2 of the prior 3 years."</f>
        <v>employment of at least $400 in 2 of the prior 3 years.</v>
      </c>
      <c r="C115" s="88"/>
      <c r="D115" s="88"/>
      <c r="E115" s="88"/>
      <c r="F115" s="88"/>
      <c r="G115" s="88"/>
      <c r="H115" s="88"/>
      <c r="I115" s="88"/>
      <c r="J115" s="88"/>
      <c r="K115" s="1560" t="s">
        <v>2757</v>
      </c>
      <c r="L115" s="88"/>
      <c r="M115" s="1560"/>
      <c r="N115" s="88"/>
      <c r="O115" s="88"/>
      <c r="P115" s="88"/>
      <c r="Q115" s="88"/>
      <c r="R115" s="88"/>
      <c r="S115" s="88"/>
      <c r="T115" s="88"/>
      <c r="U115" s="88"/>
      <c r="V115" s="88"/>
      <c r="W115" s="5448"/>
      <c r="X115" s="88"/>
      <c r="Y115" s="88"/>
      <c r="Z115" s="88"/>
      <c r="AA115" s="139"/>
      <c r="AB115" s="5415"/>
      <c r="AC115" s="5972"/>
      <c r="AD115" s="5972"/>
      <c r="AE115" s="1192"/>
      <c r="AF115" s="1192"/>
      <c r="AG115" s="253"/>
      <c r="AH115" s="253"/>
      <c r="AI115" s="253"/>
      <c r="AJ115" s="253"/>
      <c r="AK115" s="5642"/>
      <c r="AL115" s="5643" t="s">
        <v>566</v>
      </c>
      <c r="AM115" s="5644" t="s">
        <v>567</v>
      </c>
      <c r="AN115" s="5645"/>
      <c r="AO115" s="1191"/>
      <c r="AP115" s="253"/>
      <c r="AQ115" s="658"/>
      <c r="AR115" s="658"/>
      <c r="AS115" s="658"/>
      <c r="AT115" s="658"/>
      <c r="AU115" s="658"/>
      <c r="AV115" s="658"/>
      <c r="AW115" s="658"/>
      <c r="AX115" s="658"/>
      <c r="AY115" s="658"/>
      <c r="AZ115" s="658"/>
    </row>
    <row r="116" spans="1:52">
      <c r="A116" s="139"/>
      <c r="B116" s="88"/>
      <c r="C116" s="228">
        <v>16</v>
      </c>
      <c r="D116" s="88" t="s">
        <v>2758</v>
      </c>
      <c r="E116" s="88"/>
      <c r="F116" s="88"/>
      <c r="G116" s="88"/>
      <c r="H116" s="88"/>
      <c r="I116" s="88"/>
      <c r="J116" s="88"/>
      <c r="K116" s="88"/>
      <c r="L116" s="88"/>
      <c r="M116" s="88"/>
      <c r="N116" s="88"/>
      <c r="O116" s="88"/>
      <c r="P116" s="88"/>
      <c r="Q116" s="88"/>
      <c r="R116" s="88"/>
      <c r="S116" s="88"/>
      <c r="T116" s="88"/>
      <c r="U116" s="88"/>
      <c r="V116" s="5668" t="s">
        <v>2759</v>
      </c>
      <c r="W116" s="5521">
        <v>16</v>
      </c>
      <c r="X116" s="8899" t="str">
        <f>IF(X112="","",IF(X110-X112&lt;0,0,X110-X112))</f>
        <v/>
      </c>
      <c r="Y116" s="8900"/>
      <c r="Z116" s="8900"/>
      <c r="AA116" s="139"/>
      <c r="AB116" s="5415"/>
      <c r="AH116" s="304" t="str">
        <f>IF(Q106="",0,Q106)</f>
        <v>.   .   .   .   .   .   .   .   .   .   .   .   .   .   .   .   .   .   .   .   .   .   .   .   .   .   .   .</v>
      </c>
      <c r="AJ116" s="253"/>
      <c r="AK116" s="5646" t="s">
        <v>6256</v>
      </c>
      <c r="AL116" s="5647">
        <f>IF(NOT($AJ$5),0,SUM(SchSE_Profit1,SchSELine4b1,ChurchEmployeeIncome1))</f>
        <v>0</v>
      </c>
      <c r="AM116" s="5648">
        <f>IF(AND(NOT($AJ$5),$AJ$7),SUM(SchSE_Profit1,SchSELine4b1,ChurchEmployeeIncome1),0)</f>
        <v>0</v>
      </c>
      <c r="AN116" s="5649"/>
      <c r="AO116" s="253"/>
      <c r="AP116" s="253"/>
      <c r="AQ116" s="658"/>
      <c r="AR116" s="658"/>
      <c r="AS116" s="658"/>
      <c r="AT116" s="658"/>
      <c r="AU116" s="658"/>
      <c r="AV116" s="658"/>
      <c r="AW116" s="658"/>
      <c r="AX116" s="658"/>
      <c r="AY116" s="658"/>
      <c r="AZ116" s="658"/>
    </row>
    <row r="117" spans="1:52" ht="15" thickBot="1">
      <c r="A117" s="139"/>
      <c r="B117" s="88"/>
      <c r="C117" s="228">
        <v>17</v>
      </c>
      <c r="D117" s="1560" t="s">
        <v>2760</v>
      </c>
      <c r="E117" s="88"/>
      <c r="F117" s="88"/>
      <c r="G117" s="88"/>
      <c r="H117" s="88"/>
      <c r="I117" s="88"/>
      <c r="J117" s="88"/>
      <c r="K117" s="88"/>
      <c r="L117" s="88"/>
      <c r="M117" s="88"/>
      <c r="N117" s="88"/>
      <c r="O117" s="88"/>
      <c r="P117" s="88"/>
      <c r="Q117" s="88"/>
      <c r="R117" s="88"/>
      <c r="S117" s="88"/>
      <c r="T117" s="88"/>
      <c r="U117" s="88"/>
      <c r="V117" s="88"/>
      <c r="W117" s="5448"/>
      <c r="X117" s="441" t="b">
        <f>AND(X118&lt;&gt;"",X118&gt;0)</f>
        <v>0</v>
      </c>
      <c r="Y117" s="88"/>
      <c r="Z117" s="88"/>
      <c r="AA117" s="139"/>
      <c r="AB117" s="2701" t="str">
        <f>IF($X$58&gt;$X$56,"Line 17 cannot","")</f>
        <v/>
      </c>
      <c r="AC117" s="207"/>
      <c r="AD117" s="207"/>
      <c r="AE117" s="207"/>
      <c r="AF117" s="207"/>
      <c r="AG117" s="207"/>
      <c r="AH117" s="207"/>
      <c r="AJ117" s="1208"/>
      <c r="AK117" s="5646" t="s">
        <v>6257</v>
      </c>
      <c r="AL117" s="5651">
        <f>IF(NOT($AJ$65),0,SUM(SchSE_Profit2,SchSELine4b2,ChurchEmployeeIncome2))</f>
        <v>0</v>
      </c>
      <c r="AM117" s="6404">
        <f>IF(AND(NOT($AJ$65),$AJ$67),SUM(SchSE_Profit2,SchSELine4b2,ChurchEmployeeIncome2),0)</f>
        <v>0</v>
      </c>
      <c r="AN117" s="5653"/>
      <c r="AO117" s="253"/>
      <c r="AP117" s="253"/>
      <c r="AQ117" s="658"/>
      <c r="AR117" s="658"/>
      <c r="AS117" s="658"/>
      <c r="AT117" s="658"/>
      <c r="AU117" s="658"/>
      <c r="AV117" s="658"/>
      <c r="AW117" s="658"/>
      <c r="AX117" s="658"/>
      <c r="AY117" s="658"/>
      <c r="AZ117" s="658"/>
    </row>
    <row r="118" spans="1:52" ht="13.5" thickBot="1">
      <c r="A118" s="139"/>
      <c r="B118" s="88"/>
      <c r="C118" s="88"/>
      <c r="D118" s="2449" t="s">
        <v>2761</v>
      </c>
      <c r="E118" s="88"/>
      <c r="F118" s="88"/>
      <c r="G118" s="88"/>
      <c r="H118" s="88"/>
      <c r="I118" s="88"/>
      <c r="J118" s="88"/>
      <c r="K118" s="88"/>
      <c r="L118" s="88"/>
      <c r="M118" s="88"/>
      <c r="N118" s="88"/>
      <c r="O118" s="88"/>
      <c r="P118" s="88"/>
      <c r="Q118" s="88"/>
      <c r="R118" s="88"/>
      <c r="S118" s="88"/>
      <c r="T118" s="88"/>
      <c r="U118" s="88"/>
      <c r="V118" s="2715" t="s">
        <v>590</v>
      </c>
      <c r="W118" s="5521">
        <v>17</v>
      </c>
      <c r="X118" s="8928"/>
      <c r="Y118" s="8929"/>
      <c r="Z118" s="8929"/>
      <c r="AA118" s="139"/>
      <c r="AB118" s="2701" t="str">
        <f>IF($X$58&gt;$X$56,"be more than","")</f>
        <v/>
      </c>
      <c r="AJ118" s="1208"/>
      <c r="AK118" s="1061" t="s">
        <v>6258</v>
      </c>
      <c r="AL118" s="5651">
        <f>SUM(AL116:AL117)</f>
        <v>0</v>
      </c>
      <c r="AM118" s="6405">
        <f>SUM(AM116:AM117)</f>
        <v>0</v>
      </c>
      <c r="AN118" s="5653">
        <f>SUM(SchSE_Clergy_CEI_You,SchSE_Clergy_CEI_Sp)</f>
        <v>0</v>
      </c>
      <c r="AO118" s="253"/>
      <c r="AP118" s="253"/>
      <c r="AQ118" s="658"/>
      <c r="AR118" s="658"/>
      <c r="AS118" s="658"/>
      <c r="AT118" s="658"/>
      <c r="AU118" s="658"/>
      <c r="AV118" s="658"/>
      <c r="AW118" s="658"/>
      <c r="AX118" s="658"/>
      <c r="AY118" s="658"/>
      <c r="AZ118" s="658"/>
    </row>
    <row r="119" spans="1:52" ht="14.25" customHeight="1">
      <c r="A119" s="139"/>
      <c r="B119" s="5670">
        <v>1</v>
      </c>
      <c r="C119" s="8938" t="s">
        <v>2762</v>
      </c>
      <c r="D119" s="8938"/>
      <c r="E119" s="8938"/>
      <c r="F119" s="8938"/>
      <c r="G119" s="8938"/>
      <c r="H119" s="8938"/>
      <c r="I119" s="8938"/>
      <c r="J119" s="8938"/>
      <c r="K119" s="8938"/>
      <c r="L119" s="8939"/>
      <c r="M119" s="5671">
        <v>3</v>
      </c>
      <c r="N119" s="8941" t="s">
        <v>2763</v>
      </c>
      <c r="O119" s="8941"/>
      <c r="P119" s="8941"/>
      <c r="Q119" s="8941"/>
      <c r="R119" s="8941"/>
      <c r="S119" s="8941"/>
      <c r="T119" s="8941"/>
      <c r="U119" s="8941"/>
      <c r="V119" s="8941"/>
      <c r="W119" s="8941"/>
      <c r="X119" s="8941"/>
      <c r="Y119" s="8941"/>
      <c r="Z119" s="8941"/>
      <c r="AA119" s="139"/>
      <c r="AB119" s="2701" t="str">
        <f>IF($X$58&gt;$X$56,"Line 16.","")</f>
        <v/>
      </c>
      <c r="AJ119" s="1208"/>
      <c r="AK119" s="1061"/>
      <c r="AL119" s="1061"/>
      <c r="AM119" s="1061"/>
      <c r="AN119" s="1061"/>
      <c r="AO119" s="253"/>
      <c r="AP119" s="253"/>
      <c r="AQ119" s="658"/>
      <c r="AR119" s="658"/>
      <c r="AS119" s="658"/>
      <c r="AT119" s="658"/>
      <c r="AU119" s="658"/>
      <c r="AV119" s="658"/>
      <c r="AW119" s="658"/>
      <c r="AX119" s="658"/>
      <c r="AY119" s="658"/>
      <c r="AZ119" s="658"/>
    </row>
    <row r="120" spans="1:52" s="207" customFormat="1" ht="25.5" customHeight="1" thickBot="1">
      <c r="A120" s="139"/>
      <c r="B120" s="5673">
        <v>2</v>
      </c>
      <c r="C120" s="8901" t="s">
        <v>2764</v>
      </c>
      <c r="D120" s="8901"/>
      <c r="E120" s="8901"/>
      <c r="F120" s="8901"/>
      <c r="G120" s="8901"/>
      <c r="H120" s="8901"/>
      <c r="I120" s="8901"/>
      <c r="J120" s="8901"/>
      <c r="K120" s="8901"/>
      <c r="L120" s="8940"/>
      <c r="M120" s="5673">
        <v>4</v>
      </c>
      <c r="N120" s="8901" t="s">
        <v>2765</v>
      </c>
      <c r="O120" s="8901"/>
      <c r="P120" s="8901"/>
      <c r="Q120" s="8901"/>
      <c r="R120" s="8901"/>
      <c r="S120" s="8901"/>
      <c r="T120" s="8901"/>
      <c r="U120" s="8901"/>
      <c r="V120" s="8901"/>
      <c r="W120" s="8901"/>
      <c r="X120" s="8901"/>
      <c r="Y120" s="8901"/>
      <c r="Z120" s="8901"/>
      <c r="AA120" s="139"/>
      <c r="AB120" s="5415"/>
      <c r="AC120"/>
      <c r="AD120"/>
      <c r="AE120"/>
      <c r="AF120"/>
      <c r="AG120"/>
      <c r="AH120"/>
      <c r="AI120"/>
      <c r="AJ120" s="253"/>
      <c r="AK120" s="344"/>
      <c r="AL120" s="1205" t="s">
        <v>2743</v>
      </c>
      <c r="AM120" s="1205" t="s">
        <v>2744</v>
      </c>
      <c r="AN120" s="1205"/>
      <c r="AO120" s="253"/>
      <c r="AP120" s="253"/>
      <c r="AQ120" s="687"/>
      <c r="AR120" s="687"/>
      <c r="AS120" s="687"/>
      <c r="AT120" s="687"/>
      <c r="AU120" s="687"/>
      <c r="AV120" s="687"/>
      <c r="AW120" s="687"/>
      <c r="AX120" s="687"/>
      <c r="AY120" s="687"/>
      <c r="AZ120" s="687"/>
    </row>
    <row r="121" spans="1:52" ht="13.5" thickBot="1">
      <c r="A121" s="5674"/>
      <c r="B121" s="6491" t="s">
        <v>865</v>
      </c>
      <c r="C121" s="5675"/>
      <c r="D121" s="5676"/>
      <c r="E121" s="5676"/>
      <c r="F121" s="5677"/>
      <c r="G121" s="5678"/>
      <c r="H121" s="5676"/>
      <c r="I121" s="5676"/>
      <c r="J121" s="5676"/>
      <c r="K121" s="5676"/>
      <c r="L121" s="5676"/>
      <c r="M121" s="5677"/>
      <c r="N121" s="5678"/>
      <c r="O121" s="5676"/>
      <c r="P121" s="5676"/>
      <c r="Q121" s="6488" t="s">
        <v>2766</v>
      </c>
      <c r="R121" s="5676"/>
      <c r="S121" s="6490" t="str">
        <f>"Schedule SE (Form 1040) "&amp;TaxYear</f>
        <v>Schedule SE (Form 1040) 2025</v>
      </c>
      <c r="T121" s="5679"/>
      <c r="U121" s="5680"/>
      <c r="V121" s="571"/>
      <c r="W121" s="5681"/>
      <c r="X121" s="5422"/>
      <c r="Y121" s="5422"/>
      <c r="Z121" s="6489" t="s">
        <v>6387</v>
      </c>
      <c r="AA121" s="5682"/>
      <c r="AB121" s="5683"/>
      <c r="AJ121" s="1204" t="s">
        <v>161</v>
      </c>
      <c r="AK121" s="344" t="s">
        <v>2746</v>
      </c>
      <c r="AL121" s="5628" t="str">
        <f t="shared" ref="AL121:AM125" si="0">AL47</f>
        <v/>
      </c>
      <c r="AM121" s="5630">
        <f t="shared" si="0"/>
        <v>0</v>
      </c>
      <c r="AN121" s="253"/>
      <c r="AO121" s="253"/>
      <c r="AP121" s="253"/>
      <c r="AQ121" s="658"/>
      <c r="AR121" s="658"/>
      <c r="AS121" s="658"/>
      <c r="AT121" s="658"/>
      <c r="AU121" s="658"/>
      <c r="AV121" s="658"/>
      <c r="AW121" s="658"/>
      <c r="AX121" s="658"/>
      <c r="AY121" s="658"/>
      <c r="AZ121" s="658"/>
    </row>
    <row r="122" spans="1:52">
      <c r="A122" s="139"/>
      <c r="B122" s="139"/>
      <c r="C122" s="139"/>
      <c r="D122" s="139"/>
      <c r="E122" s="139"/>
      <c r="F122" s="139"/>
      <c r="G122" s="139"/>
      <c r="H122" s="139"/>
      <c r="I122" s="139"/>
      <c r="J122" s="139"/>
      <c r="K122" s="139"/>
      <c r="L122" s="139"/>
      <c r="M122" s="139"/>
      <c r="N122" s="139"/>
      <c r="O122" s="139"/>
      <c r="P122" s="139"/>
      <c r="Q122" s="139"/>
      <c r="R122" s="139"/>
      <c r="S122" s="139"/>
      <c r="T122" s="139"/>
      <c r="U122" s="139"/>
      <c r="V122" s="139"/>
      <c r="W122" s="139"/>
      <c r="X122" s="139"/>
      <c r="Y122" s="139"/>
      <c r="Z122" s="139"/>
      <c r="AA122" s="139"/>
      <c r="AB122" s="5415"/>
      <c r="AJ122" s="1204" t="s">
        <v>161</v>
      </c>
      <c r="AK122" s="344" t="s">
        <v>2748</v>
      </c>
      <c r="AL122" s="5632">
        <f t="shared" si="0"/>
        <v>0</v>
      </c>
      <c r="AM122" s="5634">
        <f t="shared" si="0"/>
        <v>0</v>
      </c>
      <c r="AN122" s="253"/>
      <c r="AO122" s="253"/>
      <c r="AP122" s="253"/>
    </row>
    <row r="123" spans="1:52" ht="13.5" thickBot="1">
      <c r="AJ123" s="1204" t="s">
        <v>161</v>
      </c>
      <c r="AK123" s="1061" t="s">
        <v>2727</v>
      </c>
      <c r="AL123" s="5662">
        <f t="shared" si="0"/>
        <v>0</v>
      </c>
      <c r="AM123" s="5663">
        <f t="shared" si="0"/>
        <v>0</v>
      </c>
      <c r="AN123" s="1193"/>
      <c r="AO123" s="253"/>
      <c r="AP123" s="253"/>
    </row>
    <row r="124" spans="1:52" ht="13.5" thickBot="1">
      <c r="AJ124" s="253"/>
      <c r="AK124" s="344" t="s">
        <v>2750</v>
      </c>
      <c r="AL124" s="1193" t="b">
        <f t="shared" si="0"/>
        <v>0</v>
      </c>
      <c r="AM124" s="1193" t="b">
        <f t="shared" si="0"/>
        <v>0</v>
      </c>
      <c r="AN124" s="1193"/>
      <c r="AO124" s="253"/>
      <c r="AP124" s="253"/>
    </row>
    <row r="125" spans="1:52" ht="26.25" customHeight="1" thickTop="1" thickBot="1">
      <c r="B125" s="383"/>
      <c r="C125" s="383"/>
      <c r="D125" s="383"/>
      <c r="E125" s="383"/>
      <c r="F125" s="8883" t="s">
        <v>2778</v>
      </c>
      <c r="G125" s="8884"/>
      <c r="H125" s="8884"/>
      <c r="I125" s="8884"/>
      <c r="J125" s="8885"/>
      <c r="K125" s="8886"/>
      <c r="L125" s="383"/>
      <c r="M125" s="383"/>
      <c r="N125" s="383"/>
      <c r="O125" s="383"/>
      <c r="P125" s="383"/>
      <c r="Q125" s="383"/>
      <c r="R125" s="383"/>
      <c r="S125" s="383"/>
      <c r="T125" s="383"/>
      <c r="U125" s="383"/>
      <c r="V125" s="383"/>
      <c r="W125" s="383"/>
      <c r="X125" s="383"/>
      <c r="Y125" s="383"/>
      <c r="Z125" s="383"/>
      <c r="AB125" s="383"/>
      <c r="AJ125" s="253"/>
      <c r="AK125" s="344" t="s">
        <v>2753</v>
      </c>
      <c r="AL125" s="253" t="b">
        <f t="shared" si="0"/>
        <v>0</v>
      </c>
      <c r="AM125" s="253" t="b">
        <f t="shared" si="0"/>
        <v>0</v>
      </c>
      <c r="AN125" s="253"/>
      <c r="AO125" s="253"/>
      <c r="AP125" s="253"/>
    </row>
    <row r="126" spans="1:52" ht="14.25" thickTop="1" thickBot="1">
      <c r="AA126" s="383"/>
      <c r="AJ126" s="253"/>
      <c r="AK126" s="253"/>
      <c r="AL126" s="253"/>
      <c r="AM126" s="253"/>
      <c r="AN126" s="253"/>
      <c r="AO126" s="253"/>
      <c r="AP126" s="253"/>
    </row>
    <row r="127" spans="1:52" ht="14.25" thickTop="1" thickBot="1">
      <c r="B127" s="383"/>
      <c r="C127" s="383"/>
      <c r="D127" s="383"/>
      <c r="E127" s="383"/>
      <c r="F127" s="8883" t="s">
        <v>2779</v>
      </c>
      <c r="G127" s="8884"/>
      <c r="H127" s="8884"/>
      <c r="I127" s="8884"/>
      <c r="J127" s="8885"/>
      <c r="K127" s="8886"/>
      <c r="L127" s="383"/>
      <c r="M127" s="383"/>
      <c r="N127" s="383"/>
      <c r="O127" s="383"/>
      <c r="P127" s="383"/>
      <c r="Q127" s="383"/>
      <c r="R127" s="383"/>
      <c r="S127" s="383"/>
      <c r="T127" s="383"/>
      <c r="U127" s="383"/>
      <c r="V127" s="383"/>
      <c r="W127" s="383"/>
      <c r="X127" s="383"/>
      <c r="Y127" s="383"/>
      <c r="Z127" s="383"/>
      <c r="AB127" s="383"/>
      <c r="AJ127" s="253"/>
      <c r="AK127" s="344"/>
      <c r="AL127" s="1193"/>
      <c r="AM127" s="344"/>
      <c r="AN127" s="253"/>
      <c r="AO127" s="253"/>
      <c r="AP127" s="253"/>
    </row>
    <row r="128" spans="1:52" ht="13.5" thickTop="1">
      <c r="AJ128" s="253"/>
      <c r="AK128" s="1192" t="s">
        <v>2770</v>
      </c>
      <c r="AL128" s="1209" t="str">
        <f>X43</f>
        <v/>
      </c>
      <c r="AM128" s="1195"/>
      <c r="AN128" s="1195"/>
      <c r="AO128" s="253"/>
      <c r="AP128" s="253"/>
    </row>
    <row r="129" spans="36:42" ht="13.5" thickBot="1">
      <c r="AJ129" s="253"/>
      <c r="AK129" s="1192" t="s">
        <v>2771</v>
      </c>
      <c r="AL129" s="1210" t="str">
        <f>X103</f>
        <v/>
      </c>
      <c r="AM129" s="1191"/>
      <c r="AN129" s="1191"/>
      <c r="AO129" s="253"/>
      <c r="AP129" s="253"/>
    </row>
    <row r="130" spans="36:42" ht="13.5" thickBot="1">
      <c r="AJ130" s="253"/>
      <c r="AK130" s="1192" t="s">
        <v>224</v>
      </c>
      <c r="AL130" s="1662">
        <f>SUM(AL128:AL129)</f>
        <v>0</v>
      </c>
      <c r="AM130" s="1191"/>
      <c r="AN130" s="1191"/>
      <c r="AO130" s="253"/>
    </row>
    <row r="131" spans="36:42">
      <c r="AJ131" s="253"/>
      <c r="AK131" s="1192"/>
      <c r="AL131" s="1191"/>
      <c r="AM131" s="1191"/>
      <c r="AN131" s="1191"/>
      <c r="AO131" s="253"/>
      <c r="AP131" s="253"/>
    </row>
    <row r="132" spans="36:42" ht="13.5" thickBot="1">
      <c r="AJ132" s="1060"/>
      <c r="AK132" s="1192"/>
      <c r="AL132" s="1208" t="s">
        <v>2772</v>
      </c>
      <c r="AM132" s="1208" t="s">
        <v>567</v>
      </c>
      <c r="AN132" s="1208" t="s">
        <v>2773</v>
      </c>
      <c r="AO132" s="253"/>
      <c r="AP132" s="253"/>
    </row>
    <row r="133" spans="36:42">
      <c r="AJ133" s="5626"/>
      <c r="AK133" s="1192" t="s">
        <v>2774</v>
      </c>
      <c r="AL133" s="1209" t="str">
        <f>IF(AND(AJ5,NOT(AJ7)),SchSEHalfTax1,0)</f>
        <v/>
      </c>
      <c r="AM133" s="1209">
        <f>IF(AND(NOT(AJ5),AJ7),SchSEHalfTax1,0)</f>
        <v>0</v>
      </c>
      <c r="AN133" s="1209">
        <f>IF(AND(AJ5,AJ7),SchSEHalfTax1,0)</f>
        <v>0</v>
      </c>
      <c r="AO133" s="253"/>
      <c r="AP133" s="253"/>
    </row>
    <row r="134" spans="36:42">
      <c r="AJ134" s="253"/>
      <c r="AK134" s="1192" t="s">
        <v>2775</v>
      </c>
      <c r="AL134" s="1342" t="str">
        <f>IF(AND(AJ65,NOT(AJ67)),SchSEHalfTax2,0)</f>
        <v/>
      </c>
      <c r="AM134" s="1342">
        <f>IF(AND(NOT(AJ65),AJ67),SchSEHalfTax2,0)</f>
        <v>0</v>
      </c>
      <c r="AN134" s="1342">
        <f>IF(AND(AJ65,AJ67),SchSEHalfTax2,0)</f>
        <v>0</v>
      </c>
      <c r="AO134" s="253"/>
      <c r="AP134" s="253"/>
    </row>
    <row r="135" spans="36:42" ht="13.5" thickBot="1">
      <c r="AJ135" s="253"/>
      <c r="AK135" s="1061" t="s">
        <v>224</v>
      </c>
      <c r="AL135" s="1343">
        <f>SUM(AL133:AL134)</f>
        <v>0</v>
      </c>
      <c r="AM135" s="1343">
        <f>SUM(AM133:AM134)</f>
        <v>0</v>
      </c>
      <c r="AN135" s="1343">
        <f>SUM(AN133:AN134)</f>
        <v>0</v>
      </c>
      <c r="AO135" s="253"/>
      <c r="AP135" s="253"/>
    </row>
    <row r="136" spans="36:42" ht="13.5" thickBot="1">
      <c r="AJ136" s="253"/>
      <c r="AK136" s="1061" t="s">
        <v>2776</v>
      </c>
      <c r="AL136" s="1343">
        <f>SUM(SchSE_Deduction_You,SchSE_Deduction_Sp,SchSE_Deduction_Both)</f>
        <v>0</v>
      </c>
      <c r="AM136" s="5690" t="s">
        <v>2777</v>
      </c>
      <c r="AN136" s="5625"/>
      <c r="AO136" s="253"/>
      <c r="AP136" s="253"/>
    </row>
    <row r="137" spans="36:42">
      <c r="AJ137" s="253"/>
      <c r="AK137" s="1061"/>
      <c r="AL137" s="5625"/>
      <c r="AM137" s="5625"/>
      <c r="AN137" s="5625"/>
      <c r="AO137" s="253"/>
      <c r="AP137" s="253"/>
    </row>
    <row r="138" spans="36:42">
      <c r="AJ138" s="253"/>
      <c r="AK138" s="253"/>
      <c r="AL138" s="253"/>
      <c r="AM138" s="253"/>
      <c r="AN138" s="253"/>
      <c r="AO138" s="253"/>
      <c r="AP138" s="253"/>
    </row>
    <row r="139" spans="36:42">
      <c r="AJ139" s="253"/>
      <c r="AK139" s="253"/>
      <c r="AL139" s="253"/>
      <c r="AM139" s="253"/>
      <c r="AN139" s="253"/>
      <c r="AO139" s="253"/>
      <c r="AP139" s="253"/>
    </row>
    <row r="140" spans="36:42">
      <c r="AJ140" s="253"/>
      <c r="AK140" s="253"/>
      <c r="AL140" s="253"/>
      <c r="AM140" s="253"/>
      <c r="AN140" s="253"/>
      <c r="AO140" s="253"/>
      <c r="AP140" s="253"/>
    </row>
    <row r="141" spans="36:42">
      <c r="AJ141" s="253"/>
      <c r="AK141" s="253"/>
      <c r="AL141" s="253"/>
      <c r="AM141" s="253"/>
      <c r="AN141" s="253"/>
      <c r="AO141" s="253"/>
      <c r="AP141" s="253"/>
    </row>
    <row r="142" spans="36:42">
      <c r="AJ142" s="253"/>
      <c r="AK142" s="253"/>
      <c r="AL142" s="253"/>
      <c r="AM142" s="253"/>
      <c r="AN142" s="253"/>
      <c r="AO142" s="253"/>
      <c r="AP142" s="253"/>
    </row>
    <row r="143" spans="36:42">
      <c r="AJ143" s="253"/>
      <c r="AK143" s="253"/>
      <c r="AL143" s="253"/>
      <c r="AM143" s="253"/>
      <c r="AN143" s="253"/>
      <c r="AO143" s="253"/>
      <c r="AP143" s="253"/>
    </row>
    <row r="144" spans="36:42">
      <c r="AJ144" s="253"/>
      <c r="AK144" s="253"/>
      <c r="AL144" s="253"/>
      <c r="AM144" s="253"/>
      <c r="AN144" s="253"/>
      <c r="AO144" s="253"/>
      <c r="AP144" s="253"/>
    </row>
    <row r="145" spans="36:42">
      <c r="AJ145" s="253"/>
      <c r="AK145" s="253"/>
      <c r="AL145" s="253"/>
      <c r="AM145" s="253"/>
      <c r="AN145" s="253"/>
      <c r="AO145" s="253"/>
      <c r="AP145" s="253"/>
    </row>
    <row r="146" spans="36:42">
      <c r="AJ146" s="253"/>
      <c r="AK146" s="253"/>
      <c r="AL146" s="253"/>
      <c r="AM146" s="253"/>
      <c r="AN146" s="253"/>
      <c r="AO146" s="253"/>
      <c r="AP146" s="253"/>
    </row>
    <row r="147" spans="36:42">
      <c r="AJ147" s="253"/>
      <c r="AK147" s="253"/>
      <c r="AL147" s="253"/>
      <c r="AM147" s="253"/>
      <c r="AN147" s="253"/>
      <c r="AO147" s="253"/>
    </row>
  </sheetData>
  <sheetProtection algorithmName="SHA-512" hashValue="YWA1xH0BrrOXTPEC/zAHL7w5mtn21OkjM59J9g1LdVwnGjSjnRPzqFPvJy1IsCGMYD4XQH1scpArwq39L9Ct5g==" saltValue="98puKppsGdrOonNF59O2Iw==" spinCount="100000" sheet="1" objects="1" scenarios="1" formatCells="0" formatColumns="0" formatRows="0"/>
  <mergeCells count="165">
    <mergeCell ref="C119:L119"/>
    <mergeCell ref="C120:L120"/>
    <mergeCell ref="S92:V92"/>
    <mergeCell ref="X98:Z98"/>
    <mergeCell ref="X100:Z100"/>
    <mergeCell ref="P32:Q32"/>
    <mergeCell ref="X36:Z36"/>
    <mergeCell ref="W44:Z44"/>
    <mergeCell ref="N60:Z60"/>
    <mergeCell ref="N59:Z59"/>
    <mergeCell ref="S106:V106"/>
    <mergeCell ref="W106:Z106"/>
    <mergeCell ref="X110:Z110"/>
    <mergeCell ref="X112:Z112"/>
    <mergeCell ref="R111:S111"/>
    <mergeCell ref="G63:V63"/>
    <mergeCell ref="X118:Z118"/>
    <mergeCell ref="N119:Z119"/>
    <mergeCell ref="U45:V45"/>
    <mergeCell ref="C59:L59"/>
    <mergeCell ref="C60:L60"/>
    <mergeCell ref="X56:Z56"/>
    <mergeCell ref="X58:Z58"/>
    <mergeCell ref="B1:F1"/>
    <mergeCell ref="X101:Z101"/>
    <mergeCell ref="S95:V95"/>
    <mergeCell ref="X95:Z95"/>
    <mergeCell ref="S96:V96"/>
    <mergeCell ref="X96:Z96"/>
    <mergeCell ref="X37:Z37"/>
    <mergeCell ref="AB93:AB94"/>
    <mergeCell ref="S94:V94"/>
    <mergeCell ref="X94:Z94"/>
    <mergeCell ref="R51:S51"/>
    <mergeCell ref="S46:V46"/>
    <mergeCell ref="U44:V44"/>
    <mergeCell ref="B68:D68"/>
    <mergeCell ref="B71:C71"/>
    <mergeCell ref="Q66:V67"/>
    <mergeCell ref="B67:P67"/>
    <mergeCell ref="B66:P66"/>
    <mergeCell ref="B64:F64"/>
    <mergeCell ref="G64:V64"/>
    <mergeCell ref="B65:F65"/>
    <mergeCell ref="G65:V65"/>
    <mergeCell ref="B62:F62"/>
    <mergeCell ref="B63:F63"/>
    <mergeCell ref="AD82:AH83"/>
    <mergeCell ref="X83:Z83"/>
    <mergeCell ref="X84:Z84"/>
    <mergeCell ref="X85:Z85"/>
    <mergeCell ref="X86:Z86"/>
    <mergeCell ref="AG65:AG67"/>
    <mergeCell ref="W66:Z67"/>
    <mergeCell ref="AB67:AB68"/>
    <mergeCell ref="AE40:AF40"/>
    <mergeCell ref="AC41:AD41"/>
    <mergeCell ref="X40:Z40"/>
    <mergeCell ref="X43:Z43"/>
    <mergeCell ref="W46:Z46"/>
    <mergeCell ref="X50:Z50"/>
    <mergeCell ref="X52:Z52"/>
    <mergeCell ref="AB78:AB79"/>
    <mergeCell ref="AD68:AI71"/>
    <mergeCell ref="AB70:AB72"/>
    <mergeCell ref="AC63:AE64"/>
    <mergeCell ref="X64:Z65"/>
    <mergeCell ref="W62:Z62"/>
    <mergeCell ref="W63:Z63"/>
    <mergeCell ref="X41:Z41"/>
    <mergeCell ref="X42:Z42"/>
    <mergeCell ref="AK104:AL104"/>
    <mergeCell ref="X99:Z99"/>
    <mergeCell ref="AE100:AF100"/>
    <mergeCell ref="AC101:AD101"/>
    <mergeCell ref="X103:Z103"/>
    <mergeCell ref="AC89:AD89"/>
    <mergeCell ref="AC90:AD90"/>
    <mergeCell ref="X102:Z102"/>
    <mergeCell ref="U104:V104"/>
    <mergeCell ref="W104:Z104"/>
    <mergeCell ref="S93:V93"/>
    <mergeCell ref="AK39:AL39"/>
    <mergeCell ref="AD22:AH23"/>
    <mergeCell ref="AG5:AG7"/>
    <mergeCell ref="AC3:AE4"/>
    <mergeCell ref="AB10:AB12"/>
    <mergeCell ref="X27:Z27"/>
    <mergeCell ref="S32:V32"/>
    <mergeCell ref="S33:V33"/>
    <mergeCell ref="X19:Z19"/>
    <mergeCell ref="X16:Z16"/>
    <mergeCell ref="X17:Z17"/>
    <mergeCell ref="X15:Z15"/>
    <mergeCell ref="S34:V34"/>
    <mergeCell ref="S27:V27"/>
    <mergeCell ref="S35:V35"/>
    <mergeCell ref="S36:V36"/>
    <mergeCell ref="S37:V37"/>
    <mergeCell ref="X38:Z38"/>
    <mergeCell ref="X39:Z39"/>
    <mergeCell ref="AD8:AI11"/>
    <mergeCell ref="X30:Z30"/>
    <mergeCell ref="S28:V28"/>
    <mergeCell ref="X35:Z35"/>
    <mergeCell ref="X25:Z25"/>
    <mergeCell ref="F125:K125"/>
    <mergeCell ref="F127:K127"/>
    <mergeCell ref="X74:Z74"/>
    <mergeCell ref="X75:Z75"/>
    <mergeCell ref="X76:Z76"/>
    <mergeCell ref="X77:Z77"/>
    <mergeCell ref="X78:Z78"/>
    <mergeCell ref="X82:Z82"/>
    <mergeCell ref="X87:Z87"/>
    <mergeCell ref="S88:V88"/>
    <mergeCell ref="X88:Z88"/>
    <mergeCell ref="X93:Z93"/>
    <mergeCell ref="X89:Z89"/>
    <mergeCell ref="X90:Z90"/>
    <mergeCell ref="X91:Z92"/>
    <mergeCell ref="P92:Q92"/>
    <mergeCell ref="X79:Z79"/>
    <mergeCell ref="X80:Z80"/>
    <mergeCell ref="X81:Z81"/>
    <mergeCell ref="S97:V97"/>
    <mergeCell ref="X97:Z97"/>
    <mergeCell ref="X116:Z116"/>
    <mergeCell ref="N120:Z120"/>
    <mergeCell ref="U105:V105"/>
    <mergeCell ref="B2:F2"/>
    <mergeCell ref="B3:F3"/>
    <mergeCell ref="W2:Z2"/>
    <mergeCell ref="W6:Z7"/>
    <mergeCell ref="X14:Z14"/>
    <mergeCell ref="W3:Z3"/>
    <mergeCell ref="G5:V5"/>
    <mergeCell ref="G3:V3"/>
    <mergeCell ref="G4:V4"/>
    <mergeCell ref="X4:Z5"/>
    <mergeCell ref="B4:F4"/>
    <mergeCell ref="B5:F5"/>
    <mergeCell ref="Q6:V7"/>
    <mergeCell ref="B6:P6"/>
    <mergeCell ref="B7:P7"/>
    <mergeCell ref="B8:D8"/>
    <mergeCell ref="B11:C11"/>
    <mergeCell ref="W1:Z1"/>
    <mergeCell ref="AC29:AD29"/>
    <mergeCell ref="AC30:AD30"/>
    <mergeCell ref="AB7:AB8"/>
    <mergeCell ref="X18:Z18"/>
    <mergeCell ref="AB33:AB34"/>
    <mergeCell ref="X31:Z32"/>
    <mergeCell ref="X22:Z22"/>
    <mergeCell ref="X20:Z20"/>
    <mergeCell ref="X21:Z21"/>
    <mergeCell ref="X26:Z26"/>
    <mergeCell ref="X23:Z23"/>
    <mergeCell ref="X24:Z24"/>
    <mergeCell ref="X28:Z28"/>
    <mergeCell ref="X33:Z33"/>
    <mergeCell ref="X34:Z34"/>
    <mergeCell ref="X29:Z29"/>
    <mergeCell ref="AB18:AB19"/>
  </mergeCells>
  <phoneticPr fontId="13" type="noConversion"/>
  <conditionalFormatting sqref="B7">
    <cfRule type="expression" dxfId="2355" priority="215">
      <formula>NoColor</formula>
    </cfRule>
  </conditionalFormatting>
  <conditionalFormatting sqref="B67">
    <cfRule type="expression" dxfId="2354" priority="78">
      <formula>NoColor</formula>
    </cfRule>
  </conditionalFormatting>
  <conditionalFormatting sqref="B23:C23">
    <cfRule type="expression" dxfId="2353" priority="211" stopIfTrue="1">
      <formula>IF(AND(#REF!&lt;&gt;"",OR($X$17="",$X$17=0),$X$23&lt;$X$22),1,0)</formula>
    </cfRule>
  </conditionalFormatting>
  <conditionalFormatting sqref="B83:C83">
    <cfRule type="expression" dxfId="2352" priority="76" stopIfTrue="1">
      <formula>IF(AND(#REF!&lt;&gt;"",OR($X$17="",$X$17=0),$X$23&lt;$X$22),1,0)</formula>
    </cfRule>
  </conditionalFormatting>
  <conditionalFormatting sqref="D27">
    <cfRule type="expression" dxfId="2351" priority="199">
      <formula>AND(ChurchEmployee,ChurchEmployeeIncome="")</formula>
    </cfRule>
  </conditionalFormatting>
  <conditionalFormatting sqref="D87">
    <cfRule type="expression" dxfId="2350" priority="69">
      <formula>AND(ChurchEmployee,ChurchEmployeeIncome="")</formula>
    </cfRule>
  </conditionalFormatting>
  <conditionalFormatting sqref="G62">
    <cfRule type="expression" dxfId="2349" priority="118">
      <formula>NOT(Draft)</formula>
    </cfRule>
  </conditionalFormatting>
  <conditionalFormatting sqref="I22">
    <cfRule type="expression" dxfId="2348" priority="503" stopIfTrue="1">
      <formula>IF(AND(#REF!&lt;&gt;"",OR($X$17="",$X$17=0),$X$23&lt;$X$22),1,0)</formula>
    </cfRule>
  </conditionalFormatting>
  <conditionalFormatting sqref="I82">
    <cfRule type="expression" dxfId="2347" priority="125" stopIfTrue="1">
      <formula>IF(AND(#REF!&lt;&gt;"",OR($X$17="",$X$17=0),$X$23&lt;$X$22),1,0)</formula>
    </cfRule>
  </conditionalFormatting>
  <conditionalFormatting sqref="Q6">
    <cfRule type="expression" dxfId="2346" priority="47">
      <formula>$AJ$6</formula>
    </cfRule>
  </conditionalFormatting>
  <conditionalFormatting sqref="Q66">
    <cfRule type="expression" dxfId="2345" priority="46">
      <formula>$AJ$6</formula>
    </cfRule>
  </conditionalFormatting>
  <conditionalFormatting sqref="S28">
    <cfRule type="expression" dxfId="2344" priority="253">
      <formula>IF(NoColor,1,0)</formula>
    </cfRule>
  </conditionalFormatting>
  <conditionalFormatting sqref="S35:S37">
    <cfRule type="expression" dxfId="2343" priority="245">
      <formula>IF(NoColor,1,0)</formula>
    </cfRule>
  </conditionalFormatting>
  <conditionalFormatting sqref="S46">
    <cfRule type="expression" dxfId="2342" priority="489">
      <formula>IF(NoColor,1,0)</formula>
    </cfRule>
  </conditionalFormatting>
  <conditionalFormatting sqref="S88">
    <cfRule type="expression" dxfId="2341" priority="109">
      <formula>IF(NoColor,1,0)</formula>
    </cfRule>
  </conditionalFormatting>
  <conditionalFormatting sqref="S95:S97">
    <cfRule type="expression" dxfId="2340" priority="102">
      <formula>IF(NoColor,1,0)</formula>
    </cfRule>
  </conditionalFormatting>
  <conditionalFormatting sqref="S106">
    <cfRule type="expression" dxfId="2339" priority="120">
      <formula>IF(NoColor,1,0)</formula>
    </cfRule>
  </conditionalFormatting>
  <conditionalFormatting sqref="U62">
    <cfRule type="expression" dxfId="2338" priority="117">
      <formula>NOT(Draft)</formula>
    </cfRule>
  </conditionalFormatting>
  <conditionalFormatting sqref="W6:Z7">
    <cfRule type="expression" dxfId="2336" priority="318">
      <formula>AND(NoColor,NoSSN)</formula>
    </cfRule>
    <cfRule type="expression" dxfId="2335" priority="321">
      <formula>IF(NoColor,1,0)</formula>
    </cfRule>
  </conditionalFormatting>
  <conditionalFormatting sqref="W66:Z67">
    <cfRule type="expression" dxfId="2333" priority="112">
      <formula>AND(NoColor,NoSSN)</formula>
    </cfRule>
    <cfRule type="expression" dxfId="2332" priority="113">
      <formula>IF(NoColor,1,0)</formula>
    </cfRule>
  </conditionalFormatting>
  <conditionalFormatting sqref="X103">
    <cfRule type="expression" dxfId="2331" priority="11">
      <formula>IF(NoColor,1,0)</formula>
    </cfRule>
  </conditionalFormatting>
  <conditionalFormatting sqref="X15:Z15">
    <cfRule type="expression" dxfId="2330" priority="497">
      <formula>IF(NoColor,1,0)</formula>
    </cfRule>
    <cfRule type="expression" dxfId="2329" priority="3657" stopIfTrue="1">
      <formula>AND(NOT(NoColor),ChurchEmployee1,AB15="")</formula>
    </cfRule>
  </conditionalFormatting>
  <conditionalFormatting sqref="X17:Z17">
    <cfRule type="expression" dxfId="2328" priority="233">
      <formula>IF(NoColor,1,0)</formula>
    </cfRule>
    <cfRule type="expression" dxfId="2327" priority="234" stopIfTrue="1">
      <formula>AND(NOT(NoColor),ChurchEmployee1,AB17="")</formula>
    </cfRule>
  </conditionalFormatting>
  <conditionalFormatting sqref="X18:Z18">
    <cfRule type="expression" dxfId="2326" priority="212" stopIfTrue="1">
      <formula>AND(X17&lt;&gt;"",X17&gt;0)</formula>
    </cfRule>
  </conditionalFormatting>
  <conditionalFormatting sqref="X19:Z19">
    <cfRule type="expression" dxfId="2325" priority="517" stopIfTrue="1">
      <formula>AND(X17&lt;&gt;"",X17&gt;0)</formula>
    </cfRule>
  </conditionalFormatting>
  <conditionalFormatting sqref="X20:Z20">
    <cfRule type="expression" dxfId="2324" priority="45">
      <formula>AND(NOT(NoColor),ChurchEmployee1,AB15="")</formula>
    </cfRule>
  </conditionalFormatting>
  <conditionalFormatting sqref="X20:Z21">
    <cfRule type="expression" dxfId="2323" priority="232">
      <formula>IF(NoColor,1,0)</formula>
    </cfRule>
  </conditionalFormatting>
  <conditionalFormatting sqref="X21:Z21">
    <cfRule type="expression" dxfId="2322" priority="4139">
      <formula>AND(NOT(NoColor),ChurchEmployee1,AB15="",AB17="",AB20="",AB21="")</formula>
    </cfRule>
  </conditionalFormatting>
  <conditionalFormatting sqref="X23:Z23">
    <cfRule type="expression" dxfId="2321" priority="4137">
      <formula>AND(NOT(NoColor),ChurchEmployee1,AB15="",AB17="",AB20="",AB23="")</formula>
    </cfRule>
  </conditionalFormatting>
  <conditionalFormatting sqref="X23:Z24">
    <cfRule type="expression" dxfId="2320" priority="226">
      <formula>IF(NoColor,1,0)</formula>
    </cfRule>
  </conditionalFormatting>
  <conditionalFormatting sqref="X24:Z24">
    <cfRule type="expression" dxfId="2319" priority="4141" stopIfTrue="1">
      <formula>AND(NOT(NoColor),ChurchEmployee1,AB15="",AB17="",AB20="",AB23="",AB24="")</formula>
    </cfRule>
  </conditionalFormatting>
  <conditionalFormatting sqref="X26:Z26">
    <cfRule type="expression" dxfId="2318" priority="249">
      <formula>IF(NoColor,1,0)</formula>
    </cfRule>
  </conditionalFormatting>
  <conditionalFormatting sqref="X29:Z30">
    <cfRule type="expression" dxfId="2317" priority="224">
      <formula>IF(NoColor,1,0)</formula>
    </cfRule>
  </conditionalFormatting>
  <conditionalFormatting sqref="X38:Z41 X43">
    <cfRule type="expression" dxfId="2316" priority="17">
      <formula>IF(NoColor,1,0)</formula>
    </cfRule>
  </conditionalFormatting>
  <conditionalFormatting sqref="X52:Z52">
    <cfRule type="expression" dxfId="2315" priority="220">
      <formula>IF(NoColor,1,0)</formula>
    </cfRule>
  </conditionalFormatting>
  <conditionalFormatting sqref="X56:Z56">
    <cfRule type="expression" dxfId="2314" priority="217">
      <formula>IF(NoColor,1,0)</formula>
    </cfRule>
  </conditionalFormatting>
  <conditionalFormatting sqref="X58:Z58">
    <cfRule type="expression" dxfId="2313" priority="216">
      <formula>IF(NoColor,1,0)</formula>
    </cfRule>
  </conditionalFormatting>
  <conditionalFormatting sqref="X75:Z75">
    <cfRule type="expression" dxfId="2312" priority="40" stopIfTrue="1">
      <formula>AND(NOT(NoColor),ChurchEmployee2,AB75="")</formula>
    </cfRule>
    <cfRule type="expression" dxfId="2311" priority="39">
      <formula>IF(NoColor,1,0)</formula>
    </cfRule>
  </conditionalFormatting>
  <conditionalFormatting sqref="X77:Z77">
    <cfRule type="expression" dxfId="2310" priority="38" stopIfTrue="1">
      <formula>AND(NOT(NoColor),ChurchEmployee2,AB77="")</formula>
    </cfRule>
    <cfRule type="expression" dxfId="2309" priority="37">
      <formula>IF(NoColor,1,0)</formula>
    </cfRule>
  </conditionalFormatting>
  <conditionalFormatting sqref="X78:Z78">
    <cfRule type="expression" dxfId="2308" priority="77" stopIfTrue="1">
      <formula>AND(X77&lt;&gt;"",X77&gt;0)</formula>
    </cfRule>
  </conditionalFormatting>
  <conditionalFormatting sqref="X79:Z79">
    <cfRule type="expression" dxfId="2307" priority="127" stopIfTrue="1">
      <formula>AND(X77&lt;&gt;"",X77&gt;0)</formula>
    </cfRule>
  </conditionalFormatting>
  <conditionalFormatting sqref="X80:Z81">
    <cfRule type="expression" dxfId="2306" priority="34">
      <formula>IF(NoColor,1,0)</formula>
    </cfRule>
    <cfRule type="expression" dxfId="2305" priority="33">
      <formula>AND(NOT(NoColor),ChurchEmployee2,AB75="")</formula>
    </cfRule>
  </conditionalFormatting>
  <conditionalFormatting sqref="X83:Z83">
    <cfRule type="expression" dxfId="2304" priority="4147">
      <formula>AND(NOT(NoColor),ChurchEmployee2,AB75="",AB77="",AB80="",AB83="")</formula>
    </cfRule>
  </conditionalFormatting>
  <conditionalFormatting sqref="X83:Z84">
    <cfRule type="expression" dxfId="2303" priority="29">
      <formula>IF(NoColor,1,0)</formula>
    </cfRule>
  </conditionalFormatting>
  <conditionalFormatting sqref="X84:Z84">
    <cfRule type="expression" dxfId="2302" priority="4149" stopIfTrue="1">
      <formula>AND(NOT(NoColor),ChurchEmployee2,AB75="",AB77="",AB80="",AB83="",AB84="")</formula>
    </cfRule>
  </conditionalFormatting>
  <conditionalFormatting sqref="X86:Z86">
    <cfRule type="expression" dxfId="2301" priority="25">
      <formula>IF(NoColor,1,0)</formula>
    </cfRule>
  </conditionalFormatting>
  <conditionalFormatting sqref="X89:Z90">
    <cfRule type="expression" dxfId="2300" priority="24">
      <formula>IF(NoColor,1,0)</formula>
    </cfRule>
  </conditionalFormatting>
  <conditionalFormatting sqref="X98:Z101">
    <cfRule type="expression" dxfId="2299" priority="7">
      <formula>IF(NoColor,1,0)</formula>
    </cfRule>
  </conditionalFormatting>
  <conditionalFormatting sqref="X112:Z112">
    <cfRule type="expression" dxfId="2298" priority="82">
      <formula>IF(NoColor,1,0)</formula>
    </cfRule>
  </conditionalFormatting>
  <conditionalFormatting sqref="X116:Z116">
    <cfRule type="expression" dxfId="2297" priority="80">
      <formula>IF(NoColor,1,0)</formula>
    </cfRule>
  </conditionalFormatting>
  <conditionalFormatting sqref="X118:Z118">
    <cfRule type="expression" dxfId="2296" priority="79">
      <formula>IF(NoColor,1,0)</formula>
    </cfRule>
  </conditionalFormatting>
  <conditionalFormatting sqref="Y12">
    <cfRule type="expression" dxfId="2295" priority="256">
      <formula>NoColor</formula>
    </cfRule>
  </conditionalFormatting>
  <conditionalFormatting sqref="Y72">
    <cfRule type="expression" dxfId="2294" priority="110">
      <formula>NoColor</formula>
    </cfRule>
  </conditionalFormatting>
  <conditionalFormatting sqref="AB10:AB12">
    <cfRule type="expression" dxfId="2291" priority="206">
      <formula>ChurchEmployee1</formula>
    </cfRule>
  </conditionalFormatting>
  <conditionalFormatting sqref="AB16">
    <cfRule type="expression" dxfId="2290" priority="307">
      <formula>AND(#REF!,SchC_StatutoryEmp_1&lt;&gt;"")</formula>
    </cfRule>
  </conditionalFormatting>
  <conditionalFormatting sqref="AB18">
    <cfRule type="expression" dxfId="2289" priority="198">
      <formula>AJ17</formula>
    </cfRule>
    <cfRule type="expression" dxfId="2288" priority="183">
      <formula>$AN$35</formula>
    </cfRule>
  </conditionalFormatting>
  <conditionalFormatting sqref="AB24:AB26">
    <cfRule type="expression" dxfId="2287" priority="3992">
      <formula>$AK$24</formula>
    </cfRule>
  </conditionalFormatting>
  <conditionalFormatting sqref="AB27">
    <cfRule type="expression" dxfId="2286" priority="20">
      <formula>#REF!</formula>
    </cfRule>
  </conditionalFormatting>
  <conditionalFormatting sqref="AB36:AB38 AC37:AC38 AB99:AC100">
    <cfRule type="expression" dxfId="2285" priority="3995">
      <formula>#REF!</formula>
    </cfRule>
  </conditionalFormatting>
  <conditionalFormatting sqref="AB41:AB43">
    <cfRule type="expression" dxfId="2284" priority="4017">
      <formula>#REF!</formula>
    </cfRule>
  </conditionalFormatting>
  <conditionalFormatting sqref="AB50:AB52">
    <cfRule type="expression" dxfId="2283" priority="221" stopIfTrue="1">
      <formula>($X$52&gt;$X$50)</formula>
    </cfRule>
  </conditionalFormatting>
  <conditionalFormatting sqref="AB52">
    <cfRule type="expression" dxfId="2282" priority="210" stopIfTrue="1">
      <formula>(X52&gt;X50)</formula>
    </cfRule>
  </conditionalFormatting>
  <conditionalFormatting sqref="AB57:AB59">
    <cfRule type="expression" dxfId="2281" priority="219" stopIfTrue="1">
      <formula>($X$58&gt;$X$56)</formula>
    </cfRule>
  </conditionalFormatting>
  <conditionalFormatting sqref="AB70:AB72">
    <cfRule type="expression" dxfId="2280" priority="73">
      <formula>ChurchEmployee2</formula>
    </cfRule>
  </conditionalFormatting>
  <conditionalFormatting sqref="AB76">
    <cfRule type="expression" dxfId="2279" priority="111">
      <formula>AND(#REF!,SchC_StatutoryEmp_1&lt;&gt;"")</formula>
    </cfRule>
  </conditionalFormatting>
  <conditionalFormatting sqref="AB78">
    <cfRule type="expression" dxfId="2278" priority="4969">
      <formula>AJ77</formula>
    </cfRule>
    <cfRule type="expression" dxfId="2277" priority="4968">
      <formula>AN95</formula>
    </cfRule>
  </conditionalFormatting>
  <conditionalFormatting sqref="AB84">
    <cfRule type="expression" dxfId="2276" priority="42">
      <formula>AK$84</formula>
    </cfRule>
  </conditionalFormatting>
  <conditionalFormatting sqref="AB85">
    <cfRule type="expression" dxfId="2275" priority="19">
      <formula>AK84</formula>
    </cfRule>
  </conditionalFormatting>
  <conditionalFormatting sqref="AB86">
    <cfRule type="expression" dxfId="2274" priority="18">
      <formula>AK84</formula>
    </cfRule>
  </conditionalFormatting>
  <conditionalFormatting sqref="AB87:AB89">
    <cfRule type="expression" dxfId="2273" priority="70">
      <formula>AND(#REF!,SchC_StatutoryEmp_1&lt;&gt;"")</formula>
    </cfRule>
  </conditionalFormatting>
  <conditionalFormatting sqref="AB96:AB98 AC97:AC98">
    <cfRule type="expression" dxfId="2272" priority="134">
      <formula>#REF!</formula>
    </cfRule>
  </conditionalFormatting>
  <conditionalFormatting sqref="AB101:AB103">
    <cfRule type="expression" dxfId="2271" priority="12">
      <formula>#REF!</formula>
    </cfRule>
  </conditionalFormatting>
  <conditionalFormatting sqref="AB110:AB111">
    <cfRule type="expression" dxfId="2270" priority="16" stopIfTrue="1">
      <formula>($X$52&gt;$X$50)</formula>
    </cfRule>
  </conditionalFormatting>
  <conditionalFormatting sqref="AB112">
    <cfRule type="expression" dxfId="2269" priority="75" stopIfTrue="1">
      <formula>(X112&gt;X110)</formula>
    </cfRule>
    <cfRule type="expression" dxfId="2268" priority="83" stopIfTrue="1">
      <formula>($X$52&gt;$X$50)</formula>
    </cfRule>
  </conditionalFormatting>
  <conditionalFormatting sqref="AB117:AB119">
    <cfRule type="expression" dxfId="2267" priority="81" stopIfTrue="1">
      <formula>($X$58&gt;$X$56)</formula>
    </cfRule>
  </conditionalFormatting>
  <conditionalFormatting sqref="AB31:AC31 AB32">
    <cfRule type="expression" dxfId="2266" priority="4011">
      <formula>#REF!</formula>
    </cfRule>
  </conditionalFormatting>
  <conditionalFormatting sqref="AB39:AC40">
    <cfRule type="expression" dxfId="2265" priority="4015">
      <formula>#REF!</formula>
    </cfRule>
  </conditionalFormatting>
  <conditionalFormatting sqref="AB91:AC91 AB92">
    <cfRule type="expression" dxfId="2264" priority="144">
      <formula>#REF!</formula>
    </cfRule>
  </conditionalFormatting>
  <conditionalFormatting sqref="AC28:AC30">
    <cfRule type="expression" dxfId="2263" priority="3989">
      <formula>#REF!</formula>
    </cfRule>
  </conditionalFormatting>
  <conditionalFormatting sqref="AC32:AC33">
    <cfRule type="expression" dxfId="2262" priority="3993">
      <formula>#REF!</formula>
    </cfRule>
  </conditionalFormatting>
  <conditionalFormatting sqref="AC88:AC90">
    <cfRule type="expression" dxfId="2261" priority="10">
      <formula>#REF!</formula>
    </cfRule>
  </conditionalFormatting>
  <conditionalFormatting sqref="AC92:AC93">
    <cfRule type="expression" dxfId="2260" priority="132">
      <formula>#REF!</formula>
    </cfRule>
  </conditionalFormatting>
  <conditionalFormatting sqref="AD5">
    <cfRule type="expression" dxfId="2259" priority="368">
      <formula>IF(NoColor,1,0)</formula>
    </cfRule>
  </conditionalFormatting>
  <conditionalFormatting sqref="AD28 AD31:AD33">
    <cfRule type="expression" dxfId="2258" priority="4003">
      <formula>#REF!</formula>
    </cfRule>
  </conditionalFormatting>
  <conditionalFormatting sqref="AD37:AD40 AD97:AD100">
    <cfRule type="expression" dxfId="2257" priority="4005">
      <formula>#REF!</formula>
    </cfRule>
  </conditionalFormatting>
  <conditionalFormatting sqref="AD65">
    <cfRule type="expression" dxfId="2256" priority="116">
      <formula>IF(NoColor,1,0)</formula>
    </cfRule>
  </conditionalFormatting>
  <conditionalFormatting sqref="AD88 AD91:AD93">
    <cfRule type="expression" dxfId="2255" priority="136">
      <formula>#REF!</formula>
    </cfRule>
  </conditionalFormatting>
  <conditionalFormatting sqref="AD7:AE7">
    <cfRule type="expression" dxfId="2254" priority="366">
      <formula>OR(NumFileStatusBoxes=0,AND(NumFileStatusBoxes=1,File_Marr_Joint=""))</formula>
    </cfRule>
    <cfRule type="expression" dxfId="2253" priority="367">
      <formula>IF(NoColor,1,0)</formula>
    </cfRule>
  </conditionalFormatting>
  <conditionalFormatting sqref="AD67:AE67">
    <cfRule type="expression" dxfId="2252" priority="114">
      <formula>OR(NumFileStatusBoxes=0,AND(NumFileStatusBoxes=1,File_Marr_Joint=""))</formula>
    </cfRule>
    <cfRule type="expression" dxfId="2251" priority="115">
      <formula>IF(NoColor,1,0)</formula>
    </cfRule>
  </conditionalFormatting>
  <conditionalFormatting sqref="AD22:AH23">
    <cfRule type="expression" dxfId="2250" priority="184">
      <formula>$AN$35</formula>
    </cfRule>
  </conditionalFormatting>
  <conditionalFormatting sqref="AD82:AH83">
    <cfRule type="expression" dxfId="2249" priority="56">
      <formula>$AN$95</formula>
    </cfRule>
  </conditionalFormatting>
  <conditionalFormatting sqref="AE29:AE33">
    <cfRule type="expression" dxfId="2248" priority="4048">
      <formula>#REF!</formula>
    </cfRule>
  </conditionalFormatting>
  <conditionalFormatting sqref="AE89:AE93">
    <cfRule type="expression" dxfId="2247" priority="168">
      <formula>#REF!</formula>
    </cfRule>
  </conditionalFormatting>
  <conditionalFormatting sqref="AG5 AG7 AG65">
    <cfRule type="expression" dxfId="2246" priority="4142">
      <formula>OR(AND(AJ7,AL35),AND(AJ5,AL35))</formula>
    </cfRule>
  </conditionalFormatting>
  <conditionalFormatting sqref="AG6">
    <cfRule type="expression" dxfId="2245" priority="4144">
      <formula>OR(AND(AJ8,AL36),AND(AH6,AL36))</formula>
    </cfRule>
  </conditionalFormatting>
  <conditionalFormatting sqref="AG66">
    <cfRule type="expression" dxfId="2244" priority="5071">
      <formula>OR(AND(AJ70,AL96),AND(AJ66,AL96))</formula>
    </cfRule>
  </conditionalFormatting>
  <conditionalFormatting sqref="AG67">
    <cfRule type="expression" dxfId="2243" priority="5072">
      <formula>OR(AND(AJ71,AL101),AND(AJ67,AL101))</formula>
    </cfRule>
  </conditionalFormatting>
  <conditionalFormatting sqref="AI21">
    <cfRule type="expression" dxfId="2242" priority="207">
      <formula>(File_Marr_Joint="")</formula>
    </cfRule>
  </conditionalFormatting>
  <conditionalFormatting sqref="AI81">
    <cfRule type="expression" dxfId="2241" priority="74">
      <formula>(File_Marr_Joint="")</formula>
    </cfRule>
  </conditionalFormatting>
  <hyperlinks>
    <hyperlink ref="F125:I125" r:id="rId1" display="Download Form 1040 Schedule SE" xr:uid="{00000000-0004-0000-2400-000000000000}"/>
    <hyperlink ref="F127:I127" r:id="rId2" display="Download Form 1040 Schedule SE Instructions" xr:uid="{00000000-0004-0000-2400-000001000000}"/>
  </hyperlinks>
  <pageMargins left="0.75" right="0.25" top="0.36" bottom="0.28999999999999998" header="0.36" footer="0.21"/>
  <pageSetup scale="84" fitToHeight="0" orientation="portrait" r:id="rId3"/>
  <rowBreaks count="1" manualBreakCount="1">
    <brk id="61" min="1" max="25" man="1"/>
  </rowBreaks>
  <extLst>
    <ext xmlns:x14="http://schemas.microsoft.com/office/spreadsheetml/2009/9/main" uri="{78C0D931-6437-407d-A8EE-F0AAD7539E65}">
      <x14:conditionalFormattings>
        <x14:conditionalFormatting xmlns:xm="http://schemas.microsoft.com/office/excel/2006/main">
          <x14:cfRule type="expression" priority="5" id="{EBDB6FDA-3B6E-4F65-BC7D-2D6E385B1F9C}">
            <xm:f>AND(AA2="",'Table of Contents'!A42="D")</xm:f>
            <x14:dxf>
              <font>
                <b/>
                <i val="0"/>
                <color rgb="FFC00000"/>
              </font>
            </x14:dxf>
          </x14:cfRule>
          <xm:sqref>W2:Z2</xm:sqref>
        </x14:conditionalFormatting>
        <x14:conditionalFormatting xmlns:xm="http://schemas.microsoft.com/office/excel/2006/main">
          <x14:cfRule type="expression" priority="4" id="{7CE1CA9D-926C-41C1-9F82-51FF507E66EA}">
            <xm:f>AND(AA62="",'Table of Contents'!A42="D")</xm:f>
            <x14:dxf>
              <font>
                <b/>
                <i val="0"/>
                <color rgb="FFC00000"/>
              </font>
            </x14:dxf>
          </x14:cfRule>
          <xm:sqref>W62:Z62</xm:sqref>
        </x14:conditionalFormatting>
        <x14:conditionalFormatting xmlns:xm="http://schemas.microsoft.com/office/excel/2006/main">
          <x14:cfRule type="expression" priority="6" id="{ABAD08F5-5A24-4A99-AEE4-D9CDA77BA226}">
            <xm:f>('Table of Contents'!A42="D")</xm:f>
            <x14:dxf>
              <fill>
                <patternFill>
                  <bgColor theme="0"/>
                </patternFill>
              </fill>
              <border>
                <right style="thin">
                  <color auto="1"/>
                </right>
                <top style="thin">
                  <color auto="1"/>
                </top>
                <bottom style="thin">
                  <color auto="1"/>
                </bottom>
                <vertical/>
                <horizontal/>
              </border>
            </x14:dxf>
          </x14:cfRule>
          <xm:sqref>AA2</xm:sqref>
        </x14:conditionalFormatting>
        <x14:conditionalFormatting xmlns:xm="http://schemas.microsoft.com/office/excel/2006/main">
          <x14:cfRule type="expression" priority="1" id="{D47E901D-1AD1-4808-B13A-41F548EC1587}">
            <xm:f>'Table of Contents'!A42="D"</xm:f>
            <x14:dxf>
              <fill>
                <patternFill>
                  <bgColor theme="0"/>
                </patternFill>
              </fill>
              <border>
                <right style="thin">
                  <color auto="1"/>
                </right>
                <top style="thin">
                  <color auto="1"/>
                </top>
                <bottom style="thin">
                  <color auto="1"/>
                </bottom>
                <vertical/>
                <horizontal/>
              </border>
            </x14:dxf>
          </x14:cfRule>
          <xm:sqref>AA62</xm:sqref>
        </x14:conditionalFormatting>
      </x14:conditionalFormatting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BH390"/>
  <sheetViews>
    <sheetView zoomScaleNormal="100" zoomScaleSheetLayoutView="150" workbookViewId="0"/>
  </sheetViews>
  <sheetFormatPr defaultColWidth="3.42578125" defaultRowHeight="12.75"/>
  <cols>
    <col min="1" max="1" width="6" style="4221" customWidth="1"/>
    <col min="2" max="2" width="3.5703125" customWidth="1"/>
    <col min="3" max="3" width="2.28515625" customWidth="1"/>
    <col min="4" max="4" width="3.7109375" customWidth="1"/>
    <col min="5" max="5" width="3.5703125" customWidth="1"/>
    <col min="6" max="6" width="4.28515625" customWidth="1"/>
    <col min="7" max="7" width="3.5703125" customWidth="1"/>
    <col min="8" max="8" width="3" customWidth="1"/>
    <col min="9" max="9" width="5.5703125" customWidth="1"/>
    <col min="10" max="10" width="3.42578125" customWidth="1"/>
    <col min="11" max="11" width="2.85546875" customWidth="1"/>
    <col min="12" max="12" width="4.5703125" customWidth="1"/>
    <col min="13" max="13" width="2.7109375" customWidth="1"/>
    <col min="14" max="14" width="3.5703125" customWidth="1"/>
    <col min="15" max="15" width="1.5703125" customWidth="1"/>
    <col min="16" max="19" width="1.85546875" customWidth="1"/>
    <col min="20" max="25" width="2.42578125" customWidth="1"/>
    <col min="26" max="26" width="3.28515625" customWidth="1"/>
    <col min="27" max="27" width="2" customWidth="1"/>
    <col min="28" max="30" width="2.5703125" customWidth="1"/>
    <col min="31" max="34" width="2.140625" customWidth="1"/>
    <col min="35" max="38" width="2.5703125" customWidth="1"/>
    <col min="39" max="40" width="2.7109375" customWidth="1"/>
    <col min="41" max="41" width="10.7109375" customWidth="1"/>
    <col min="43" max="43" width="9" customWidth="1"/>
    <col min="45" max="45" width="3.85546875" customWidth="1"/>
    <col min="48" max="48" width="5.140625" customWidth="1"/>
    <col min="49" max="49" width="5.85546875" customWidth="1"/>
    <col min="50" max="50" width="10.7109375" style="816" customWidth="1"/>
    <col min="51" max="52" width="10.7109375" style="966" customWidth="1"/>
    <col min="53" max="53" width="6.42578125" style="966" customWidth="1"/>
    <col min="54" max="54" width="10.7109375" style="966" customWidth="1"/>
    <col min="55" max="55" width="6" style="966" customWidth="1"/>
    <col min="56" max="56" width="12" style="966" customWidth="1"/>
    <col min="57" max="57" width="12.7109375" style="966" customWidth="1"/>
    <col min="58" max="58" width="8.42578125" style="966" customWidth="1"/>
    <col min="59" max="59" width="12.7109375" style="966" customWidth="1"/>
    <col min="60" max="60" width="7.5703125" style="966" customWidth="1"/>
  </cols>
  <sheetData>
    <row r="1" spans="1:60" ht="9.75" customHeight="1">
      <c r="A1" s="2112"/>
      <c r="B1" s="1277"/>
      <c r="C1" s="1277"/>
      <c r="D1" s="1277"/>
      <c r="E1" s="1277"/>
      <c r="F1" s="1277"/>
      <c r="G1" s="1277"/>
      <c r="H1" s="1277"/>
      <c r="I1" s="1277"/>
      <c r="J1" s="1277"/>
      <c r="K1" s="1277"/>
      <c r="L1" s="1277"/>
      <c r="M1" s="1277"/>
      <c r="N1" s="1277"/>
      <c r="O1" s="1277"/>
      <c r="P1" s="1277"/>
      <c r="Q1" s="1277"/>
      <c r="R1" s="1277"/>
      <c r="S1" s="1277"/>
      <c r="T1" s="1277"/>
      <c r="U1" s="1277"/>
      <c r="V1" s="1277"/>
      <c r="W1" s="1277"/>
      <c r="X1" s="1277"/>
      <c r="Y1" s="1277"/>
      <c r="Z1" s="1277"/>
      <c r="AA1" s="1277"/>
      <c r="AB1" s="1277"/>
      <c r="AC1" s="1277"/>
      <c r="AD1" s="1277"/>
      <c r="AE1" s="1277"/>
      <c r="AF1" s="1277"/>
      <c r="AG1" s="1277"/>
      <c r="AH1" s="1277"/>
      <c r="AI1" s="1277"/>
      <c r="AJ1" s="1277"/>
      <c r="AK1" s="1277"/>
      <c r="AL1" s="1277"/>
      <c r="AM1" s="1277"/>
      <c r="AN1" s="1277"/>
      <c r="AO1" s="1277"/>
      <c r="AP1" s="1277"/>
      <c r="AQ1" s="512"/>
      <c r="AR1" s="253"/>
      <c r="AS1" s="253"/>
      <c r="AT1" s="253"/>
      <c r="AU1" s="253"/>
      <c r="AV1" s="253"/>
      <c r="AW1" s="253"/>
      <c r="AX1" s="768"/>
      <c r="AY1" s="964"/>
      <c r="AZ1" s="964"/>
      <c r="BA1" s="964"/>
      <c r="BB1" s="964"/>
      <c r="BC1" s="964"/>
      <c r="BD1" s="964"/>
      <c r="BE1" s="964"/>
      <c r="BF1" s="964"/>
      <c r="BG1" s="964"/>
      <c r="BH1" s="964"/>
    </row>
    <row r="2" spans="1:60" ht="15">
      <c r="A2" s="2112"/>
      <c r="B2" s="4134" t="s">
        <v>5434</v>
      </c>
      <c r="C2" s="1277"/>
      <c r="D2" s="1277"/>
      <c r="E2" s="1277"/>
      <c r="F2" s="1277"/>
      <c r="G2" s="1277"/>
      <c r="H2" s="1277"/>
      <c r="I2" s="1277"/>
      <c r="J2" s="1277"/>
      <c r="K2" s="1277"/>
      <c r="L2" s="1277"/>
      <c r="M2" s="1277"/>
      <c r="N2" s="1277"/>
      <c r="O2" s="1277"/>
      <c r="P2" s="1277"/>
      <c r="Q2" s="1277"/>
      <c r="R2" s="1277"/>
      <c r="S2" s="1277"/>
      <c r="T2" s="1277"/>
      <c r="U2" s="1277"/>
      <c r="V2" s="1277"/>
      <c r="W2" s="1277"/>
      <c r="X2" s="1277"/>
      <c r="Y2" s="1277"/>
      <c r="Z2" s="1277"/>
      <c r="AA2" s="1277"/>
      <c r="AB2" s="1277"/>
      <c r="AC2" s="1277"/>
      <c r="AD2" s="1277"/>
      <c r="AE2" s="1277"/>
      <c r="AF2" s="1277"/>
      <c r="AG2" s="1277"/>
      <c r="AH2" s="1277"/>
      <c r="AI2" s="1277"/>
      <c r="AJ2" s="1277"/>
      <c r="AK2" s="1277"/>
      <c r="AL2" s="1277"/>
      <c r="AM2" s="1277"/>
      <c r="AN2" s="1277"/>
      <c r="AO2" s="1277"/>
      <c r="AP2" s="1277"/>
      <c r="AQ2" s="512"/>
      <c r="AR2" s="253"/>
      <c r="AS2" s="253"/>
      <c r="AT2" s="253"/>
      <c r="AU2" s="253"/>
      <c r="AV2" s="253"/>
      <c r="AW2" s="253"/>
      <c r="AX2" s="768" t="s">
        <v>223</v>
      </c>
      <c r="AY2" s="964"/>
      <c r="AZ2" s="964"/>
      <c r="BA2" s="964"/>
      <c r="BB2" s="964"/>
      <c r="BC2" s="964"/>
      <c r="BD2" s="964"/>
      <c r="BE2" s="964"/>
      <c r="BF2" s="964"/>
      <c r="BG2" s="964"/>
      <c r="BH2" s="964"/>
    </row>
    <row r="3" spans="1:60" ht="15">
      <c r="A3" s="2112"/>
      <c r="B3" s="1277"/>
      <c r="C3" s="1277"/>
      <c r="D3" s="1277"/>
      <c r="E3" s="1277"/>
      <c r="F3" s="1277"/>
      <c r="G3" s="1277"/>
      <c r="H3" s="1277"/>
      <c r="I3" s="1277"/>
      <c r="J3" s="1277"/>
      <c r="K3" s="1277"/>
      <c r="L3" s="1277"/>
      <c r="M3" s="1277"/>
      <c r="N3" s="1277"/>
      <c r="O3" s="1277"/>
      <c r="P3" s="1277"/>
      <c r="Q3" s="1277"/>
      <c r="R3" s="1277"/>
      <c r="S3" s="1277"/>
      <c r="T3" s="1277"/>
      <c r="U3" s="1277"/>
      <c r="V3" s="1277"/>
      <c r="W3" s="1277"/>
      <c r="X3" s="1277"/>
      <c r="Y3" s="1277"/>
      <c r="Z3" s="1277"/>
      <c r="AA3" s="1277"/>
      <c r="AB3" s="1277"/>
      <c r="AC3" s="1277"/>
      <c r="AD3" s="1277"/>
      <c r="AE3" s="1277"/>
      <c r="AF3" s="1277"/>
      <c r="AG3" s="1277"/>
      <c r="AH3" s="1277"/>
      <c r="AI3" s="1277"/>
      <c r="AJ3" s="1277"/>
      <c r="AK3" s="1277"/>
      <c r="AL3" s="1277"/>
      <c r="AM3" s="1277"/>
      <c r="AN3" s="1277"/>
      <c r="AO3" s="1277"/>
      <c r="AP3" s="1277"/>
      <c r="AQ3" s="512"/>
      <c r="AR3" s="253"/>
      <c r="AS3" s="253"/>
      <c r="AT3" s="253"/>
      <c r="AU3" s="253"/>
      <c r="AV3" s="253"/>
      <c r="AW3" s="253"/>
      <c r="AX3" s="768"/>
      <c r="AY3" s="964"/>
      <c r="AZ3" s="964"/>
      <c r="BA3" s="964"/>
      <c r="BB3" s="964"/>
      <c r="BC3" s="964"/>
      <c r="BD3" s="964"/>
      <c r="BE3" s="964"/>
      <c r="BF3" s="964"/>
      <c r="BG3" s="964"/>
      <c r="BH3" s="964"/>
    </row>
    <row r="4" spans="1:60">
      <c r="A4" s="4135" t="b">
        <f>IF(OR(B6="---",B10="---"),FALSE,IF(AND(B6,B8,B10),TRUE,FALSE))</f>
        <v>0</v>
      </c>
      <c r="B4" s="4136" t="str">
        <f>IF(OR(B6="---",B10="---",AND(A6&gt;0,SUM(AM80,AM202,AM323)=0)),"Complete Form 1116.  If all three of these conditions are TRUE, Form 1116 need not be filed.",IF(A4,"Form 1116 is not required to be filed.",IF(OR(ForeignTaxPaid&gt;AQ10,AND(K23="",AO22=1),NOT(B8)),"Form 1116 is required to be filed.",IF(AND(NOT(B6),NOT(B8),NOT(B10)),"You may be able to claim the foreign tax credit without filing Form 1116 -- See IRS instructions for details.","Finish completing Form 1116 to determine if it needs to be filed."))))</f>
        <v>Complete Form 1116.  If all three of these conditions are TRUE, Form 1116 need not be filed.</v>
      </c>
      <c r="C4" s="1277"/>
      <c r="D4" s="1277"/>
      <c r="E4" s="1277"/>
      <c r="F4" s="1277"/>
      <c r="G4" s="1277"/>
      <c r="H4" s="1277"/>
      <c r="I4" s="1277"/>
      <c r="J4" s="1277"/>
      <c r="K4" s="1277"/>
      <c r="L4" s="1277"/>
      <c r="M4" s="1277"/>
      <c r="N4" s="1277"/>
      <c r="O4" s="1277"/>
      <c r="P4" s="1277"/>
      <c r="Q4" s="1277"/>
      <c r="R4" s="1277"/>
      <c r="S4" s="1277"/>
      <c r="T4" s="1277"/>
      <c r="U4" s="1277"/>
      <c r="V4" s="1277"/>
      <c r="W4" s="1277"/>
      <c r="X4" s="1277"/>
      <c r="Y4" s="1277"/>
      <c r="Z4" s="1277"/>
      <c r="AA4" s="1277"/>
      <c r="AB4" s="1277"/>
      <c r="AC4" s="1277"/>
      <c r="AD4" s="1277"/>
      <c r="AE4" s="1277"/>
      <c r="AF4" s="1277"/>
      <c r="AG4" s="1277"/>
      <c r="AH4" s="1277"/>
      <c r="AI4" s="1277"/>
      <c r="AJ4" s="1277"/>
      <c r="AK4" s="1277"/>
      <c r="AL4" s="1277"/>
      <c r="AM4" s="1277"/>
      <c r="AN4" s="1277"/>
      <c r="AO4" s="1277"/>
      <c r="AP4" s="1277"/>
      <c r="AQ4" s="512"/>
      <c r="AR4" s="253"/>
      <c r="AS4" s="253"/>
      <c r="AT4" s="253"/>
      <c r="AU4" s="253"/>
      <c r="AV4" s="253"/>
      <c r="AW4" s="253"/>
      <c r="AX4" s="968" t="s">
        <v>227</v>
      </c>
      <c r="AY4" s="964"/>
      <c r="AZ4" s="964"/>
      <c r="BA4" s="964"/>
      <c r="BB4" s="964"/>
      <c r="BC4" s="964"/>
      <c r="BD4" s="964"/>
      <c r="BE4" s="964"/>
      <c r="BF4" s="964"/>
      <c r="BG4" s="964"/>
      <c r="BH4" s="964"/>
    </row>
    <row r="5" spans="1:60" ht="6.75" customHeight="1">
      <c r="A5" s="2112"/>
      <c r="B5" s="2260"/>
      <c r="C5" s="1277"/>
      <c r="D5" s="1277"/>
      <c r="E5" s="1277"/>
      <c r="F5" s="1277"/>
      <c r="G5" s="1277"/>
      <c r="H5" s="1277"/>
      <c r="I5" s="1277"/>
      <c r="J5" s="1277"/>
      <c r="K5" s="1277"/>
      <c r="L5" s="1277"/>
      <c r="M5" s="1277"/>
      <c r="N5" s="1277"/>
      <c r="O5" s="1277"/>
      <c r="P5" s="1277"/>
      <c r="Q5" s="1277"/>
      <c r="R5" s="1277"/>
      <c r="S5" s="1277"/>
      <c r="T5" s="1277"/>
      <c r="U5" s="1277"/>
      <c r="V5" s="1277"/>
      <c r="W5" s="1277"/>
      <c r="X5" s="1277"/>
      <c r="Y5" s="1277"/>
      <c r="Z5" s="1277"/>
      <c r="AA5" s="1277"/>
      <c r="AB5" s="1277"/>
      <c r="AC5" s="1277"/>
      <c r="AD5" s="1277"/>
      <c r="AE5" s="1277"/>
      <c r="AF5" s="1277"/>
      <c r="AG5" s="1277"/>
      <c r="AH5" s="1277"/>
      <c r="AI5" s="1277"/>
      <c r="AJ5" s="1277"/>
      <c r="AK5" s="1277"/>
      <c r="AL5" s="1277"/>
      <c r="AM5" s="1277"/>
      <c r="AN5" s="1277"/>
      <c r="AO5" s="1277"/>
      <c r="AP5" s="1277"/>
      <c r="AQ5" s="512"/>
      <c r="AR5" s="253"/>
      <c r="AS5" s="253"/>
      <c r="AT5" s="253"/>
      <c r="AU5" s="253"/>
      <c r="AV5" s="253"/>
      <c r="AW5" s="253"/>
      <c r="AX5" s="769"/>
      <c r="AY5" s="964"/>
      <c r="AZ5" s="964"/>
      <c r="BA5" s="964"/>
      <c r="BB5" s="964"/>
      <c r="BC5" s="964"/>
      <c r="BD5" s="964"/>
      <c r="BE5" s="964"/>
      <c r="BF5" s="964"/>
      <c r="BG5" s="964"/>
      <c r="BH5" s="964"/>
    </row>
    <row r="6" spans="1:60" ht="15">
      <c r="A6" s="4137">
        <f>SUM(AO22,AO144,AO265)</f>
        <v>0</v>
      </c>
      <c r="B6" s="9227" t="str">
        <f>IF(OR(B10="---",A6=0,AND(NOT(A80),NOT(A202),NOT(A323))),"---",IF(OR(AND(A6=3,A23,A145,A266),AND(A6=2,OR(AND(A23,A145),AND(A145,A266),AND(A23,A266))),AND(A6=1,OR(A23,A145,A266))),TRUE,FALSE))</f>
        <v>---</v>
      </c>
      <c r="C6" s="9228"/>
      <c r="D6" s="4138" t="s">
        <v>2780</v>
      </c>
      <c r="E6" s="1277"/>
      <c r="F6" s="1277"/>
      <c r="G6" s="1277"/>
      <c r="H6" s="1277"/>
      <c r="I6" s="1277"/>
      <c r="J6" s="1277"/>
      <c r="K6" s="1277"/>
      <c r="L6" s="1277"/>
      <c r="M6" s="1277"/>
      <c r="N6" s="1277"/>
      <c r="O6" s="1277"/>
      <c r="P6" s="1277"/>
      <c r="Q6" s="1277"/>
      <c r="R6" s="1277"/>
      <c r="S6" s="1277"/>
      <c r="T6" s="1277"/>
      <c r="U6" s="1277"/>
      <c r="V6" s="1277"/>
      <c r="W6" s="1277"/>
      <c r="X6" s="1277"/>
      <c r="Y6" s="1277"/>
      <c r="Z6" s="1277"/>
      <c r="AA6" s="1277"/>
      <c r="AB6" s="1277"/>
      <c r="AC6" s="1277"/>
      <c r="AD6" s="1277"/>
      <c r="AE6" s="1277"/>
      <c r="AF6" s="1277"/>
      <c r="AG6" s="1277"/>
      <c r="AH6" s="1277"/>
      <c r="AI6" s="1277"/>
      <c r="AJ6" s="1277"/>
      <c r="AK6" s="1277"/>
      <c r="AL6" s="1277"/>
      <c r="AM6" s="1277"/>
      <c r="AN6" s="1277"/>
      <c r="AO6" s="1277"/>
      <c r="AP6" s="1277"/>
      <c r="AQ6" s="512">
        <v>600</v>
      </c>
      <c r="AR6" s="253"/>
      <c r="AS6" s="253"/>
      <c r="AT6" s="253"/>
      <c r="AU6" s="253"/>
      <c r="AV6" s="253"/>
      <c r="AW6" s="253"/>
      <c r="AX6" s="768"/>
      <c r="AY6" s="964"/>
      <c r="AZ6" s="964"/>
      <c r="BA6" s="964"/>
      <c r="BB6" s="964"/>
      <c r="BC6" s="964"/>
      <c r="BD6" s="964"/>
      <c r="BE6" s="964"/>
      <c r="BF6" s="964"/>
      <c r="BG6" s="964"/>
      <c r="BH6" s="964"/>
    </row>
    <row r="7" spans="1:60" ht="7.5" customHeight="1">
      <c r="A7" s="2112"/>
      <c r="B7" s="1277"/>
      <c r="C7" s="1277"/>
      <c r="D7" s="4139"/>
      <c r="E7" s="1277"/>
      <c r="F7" s="1277"/>
      <c r="G7" s="1277"/>
      <c r="H7" s="1277"/>
      <c r="I7" s="1277"/>
      <c r="J7" s="1277"/>
      <c r="K7" s="1277"/>
      <c r="L7" s="1277"/>
      <c r="M7" s="1277"/>
      <c r="N7" s="1277"/>
      <c r="O7" s="1277"/>
      <c r="P7" s="1277"/>
      <c r="Q7" s="1277"/>
      <c r="R7" s="1277"/>
      <c r="S7" s="1277"/>
      <c r="T7" s="1277"/>
      <c r="U7" s="1277"/>
      <c r="V7" s="1277"/>
      <c r="W7" s="1277"/>
      <c r="X7" s="1277"/>
      <c r="Y7" s="1277"/>
      <c r="Z7" s="1277"/>
      <c r="AA7" s="1277"/>
      <c r="AB7" s="1277"/>
      <c r="AC7" s="1277"/>
      <c r="AD7" s="1277"/>
      <c r="AE7" s="1277"/>
      <c r="AF7" s="1277"/>
      <c r="AG7" s="1277"/>
      <c r="AH7" s="1277"/>
      <c r="AI7" s="1277"/>
      <c r="AJ7" s="1277"/>
      <c r="AK7" s="1277"/>
      <c r="AL7" s="1277"/>
      <c r="AM7" s="1277"/>
      <c r="AN7" s="1277"/>
      <c r="AO7" s="1277"/>
      <c r="AP7" s="1277"/>
      <c r="AQ7" s="512"/>
      <c r="AR7" s="253"/>
      <c r="AS7" s="253"/>
      <c r="AT7" s="253"/>
      <c r="AU7" s="253"/>
      <c r="AV7" s="253"/>
      <c r="AW7" s="253"/>
      <c r="AX7" s="768"/>
      <c r="AY7" s="964"/>
      <c r="AZ7" s="964"/>
      <c r="BA7" s="964"/>
      <c r="BB7" s="964"/>
      <c r="BC7" s="964"/>
      <c r="BD7" s="964"/>
      <c r="BE7" s="964"/>
      <c r="BF7" s="964"/>
      <c r="BG7" s="964"/>
      <c r="BH7" s="964"/>
    </row>
    <row r="8" spans="1:60" ht="15">
      <c r="A8" s="4135"/>
      <c r="B8" s="7311" t="b">
        <v>1</v>
      </c>
      <c r="C8" s="7312"/>
      <c r="D8" s="4138" t="s">
        <v>2781</v>
      </c>
      <c r="E8" s="1277"/>
      <c r="F8" s="2113"/>
      <c r="G8" s="1277"/>
      <c r="H8" s="1277"/>
      <c r="I8" s="1277"/>
      <c r="J8" s="1277"/>
      <c r="K8" s="1277"/>
      <c r="L8" s="1277"/>
      <c r="M8" s="1277"/>
      <c r="N8" s="1277"/>
      <c r="O8" s="1277"/>
      <c r="P8" s="1277"/>
      <c r="Q8" s="1277"/>
      <c r="R8" s="1277"/>
      <c r="S8" s="1277"/>
      <c r="T8" s="1277"/>
      <c r="U8" s="1277"/>
      <c r="V8" s="1277"/>
      <c r="W8" s="1277"/>
      <c r="X8" s="1277"/>
      <c r="Y8" s="1277"/>
      <c r="Z8" s="1277"/>
      <c r="AA8" s="1277"/>
      <c r="AB8" s="1277"/>
      <c r="AC8" s="1277"/>
      <c r="AD8" s="1277"/>
      <c r="AE8" s="1277"/>
      <c r="AF8" s="1277"/>
      <c r="AG8" s="1277"/>
      <c r="AH8" s="1277"/>
      <c r="AI8" s="1277"/>
      <c r="AJ8" s="1277"/>
      <c r="AK8" s="1277"/>
      <c r="AL8" s="1277"/>
      <c r="AM8" s="1277"/>
      <c r="AN8" s="1277"/>
      <c r="AO8" s="2112"/>
      <c r="AP8" s="1277"/>
      <c r="AQ8" s="512">
        <v>300</v>
      </c>
      <c r="AR8" s="253"/>
      <c r="AS8" s="253"/>
      <c r="AT8" s="253"/>
      <c r="AU8" s="253"/>
      <c r="AV8" s="253"/>
      <c r="AW8" s="253"/>
      <c r="AX8" s="768"/>
      <c r="AY8" s="964"/>
      <c r="AZ8" s="964"/>
      <c r="BA8" s="964"/>
      <c r="BB8" s="964"/>
      <c r="BC8" s="964"/>
      <c r="BD8" s="964"/>
      <c r="BE8" s="964"/>
      <c r="BF8" s="964"/>
      <c r="BG8" s="964"/>
      <c r="BH8" s="964"/>
    </row>
    <row r="9" spans="1:60" ht="7.5" customHeight="1">
      <c r="A9" s="2112"/>
      <c r="B9" s="1277"/>
      <c r="C9" s="1277"/>
      <c r="D9" s="4139"/>
      <c r="E9" s="1277"/>
      <c r="F9" s="1277"/>
      <c r="G9" s="1277"/>
      <c r="H9" s="1277"/>
      <c r="I9" s="1277"/>
      <c r="J9" s="1277"/>
      <c r="K9" s="1277"/>
      <c r="L9" s="1277"/>
      <c r="M9" s="1277"/>
      <c r="N9" s="1277"/>
      <c r="O9" s="1277"/>
      <c r="P9" s="1277"/>
      <c r="Q9" s="1277"/>
      <c r="R9" s="1277"/>
      <c r="S9" s="1277"/>
      <c r="T9" s="1277"/>
      <c r="U9" s="1277"/>
      <c r="V9" s="1277"/>
      <c r="W9" s="1277"/>
      <c r="X9" s="1277"/>
      <c r="Y9" s="1277"/>
      <c r="Z9" s="1277"/>
      <c r="AA9" s="1277"/>
      <c r="AB9" s="1277"/>
      <c r="AC9" s="1277"/>
      <c r="AD9" s="1277"/>
      <c r="AE9" s="1277"/>
      <c r="AF9" s="1277"/>
      <c r="AG9" s="1277"/>
      <c r="AH9" s="1277"/>
      <c r="AI9" s="1277"/>
      <c r="AJ9" s="1277"/>
      <c r="AK9" s="1277"/>
      <c r="AL9" s="1277"/>
      <c r="AM9" s="1277"/>
      <c r="AN9" s="1277"/>
      <c r="AO9" s="2112"/>
      <c r="AP9" s="1277"/>
      <c r="AQ9" s="512"/>
      <c r="AR9" s="253"/>
      <c r="AS9" s="253"/>
      <c r="AT9" s="253"/>
      <c r="AU9" s="253"/>
      <c r="AV9" s="253"/>
      <c r="AW9" s="253"/>
      <c r="AX9" s="768"/>
      <c r="AY9" s="964"/>
      <c r="AZ9" s="964"/>
      <c r="BA9" s="964"/>
      <c r="BB9" s="964"/>
      <c r="BC9" s="964"/>
      <c r="BD9" s="964"/>
      <c r="BE9" s="964"/>
      <c r="BF9" s="964"/>
      <c r="BG9" s="964"/>
      <c r="BH9" s="964"/>
    </row>
    <row r="10" spans="1:60" ht="15">
      <c r="A10" s="4140">
        <f>IF(SUM(AM80,AM202,AM323)&gt;0,SUM(AM80,AM202,AM323),SUM(ForeignTaxPaid_INT,ForeignTaxPaid_DIV))</f>
        <v>0</v>
      </c>
      <c r="B10" s="9227" t="str">
        <f>IF(OR(ForeignTaxPaid="",ForeignTaxPaid=0),"---",IF(ForeignTaxPaid&lt;=ForeignTaxThreshold,TRUE,FALSE))</f>
        <v>---</v>
      </c>
      <c r="C10" s="9228"/>
      <c r="D10" s="4138" t="s">
        <v>2782</v>
      </c>
      <c r="E10" s="1277"/>
      <c r="F10" s="1277"/>
      <c r="G10" s="1277"/>
      <c r="H10" s="1277"/>
      <c r="I10" s="1277"/>
      <c r="J10" s="1277"/>
      <c r="K10" s="1277"/>
      <c r="L10" s="1277"/>
      <c r="M10" s="1277"/>
      <c r="N10" s="1277"/>
      <c r="O10" s="1277"/>
      <c r="P10" s="1277"/>
      <c r="Q10" s="1277"/>
      <c r="R10" s="1277"/>
      <c r="S10" s="1277"/>
      <c r="T10" s="1277"/>
      <c r="U10" s="1277"/>
      <c r="V10" s="1277"/>
      <c r="W10" s="1277"/>
      <c r="X10" s="1277"/>
      <c r="Y10" s="1277"/>
      <c r="Z10" s="1277"/>
      <c r="AA10" s="1277"/>
      <c r="AB10" s="1277"/>
      <c r="AC10" s="1277"/>
      <c r="AD10" s="1277"/>
      <c r="AE10" s="1277"/>
      <c r="AF10" s="1277"/>
      <c r="AG10" s="9220" t="str">
        <f>IF(AND(ForeignTaxPaid&lt;&gt;"",ForeignTaxPaid&gt;0),"Foreign taxes paid &gt;","")</f>
        <v/>
      </c>
      <c r="AH10" s="9220"/>
      <c r="AI10" s="9220"/>
      <c r="AJ10" s="9220"/>
      <c r="AK10" s="9220"/>
      <c r="AL10" s="9220"/>
      <c r="AM10" s="9220"/>
      <c r="AN10" s="9220"/>
      <c r="AO10" s="4141" t="str">
        <f>IF(SUM(AM80,AM202,AM323,ForeignTaxPaid_INT,ForeignTaxPaid_DIV)=0,"", IF(AQ11&gt;0,AQ11,SUM(ForeignTaxPaid_INT,ForeignTaxPaid_DIV)))</f>
        <v/>
      </c>
      <c r="AP10" s="1277"/>
      <c r="AQ10" s="512">
        <f>IF(File_Marr_Joint&lt;&gt;"",AQ6,AQ8)</f>
        <v>300</v>
      </c>
      <c r="AR10" s="253"/>
      <c r="AS10" s="253"/>
      <c r="AT10" s="253"/>
      <c r="AU10" s="253"/>
      <c r="AV10" s="253"/>
      <c r="AW10" s="253"/>
      <c r="AX10" s="768"/>
      <c r="AY10" s="964"/>
      <c r="AZ10" s="964"/>
      <c r="BA10" s="964"/>
      <c r="BB10" s="964"/>
      <c r="BC10" s="964"/>
      <c r="BD10" s="964"/>
      <c r="BE10" s="964"/>
      <c r="BF10" s="964"/>
      <c r="BG10" s="964"/>
      <c r="BH10" s="964"/>
    </row>
    <row r="11" spans="1:60" ht="15.75" customHeight="1">
      <c r="A11" s="2112"/>
      <c r="B11" s="1277"/>
      <c r="C11" s="1277"/>
      <c r="D11" s="1277"/>
      <c r="E11" s="1277"/>
      <c r="F11" s="1277"/>
      <c r="G11" s="1277"/>
      <c r="H11" s="1277"/>
      <c r="I11" s="1277"/>
      <c r="J11" s="1277"/>
      <c r="K11" s="1277"/>
      <c r="L11" s="1277"/>
      <c r="M11" s="1277"/>
      <c r="N11" s="1277"/>
      <c r="O11" s="1277"/>
      <c r="P11" s="1277"/>
      <c r="Q11" s="1277"/>
      <c r="R11" s="1277"/>
      <c r="S11" s="1277"/>
      <c r="T11" s="1277"/>
      <c r="U11" s="1277"/>
      <c r="V11" s="1277"/>
      <c r="W11" s="1277"/>
      <c r="X11" s="1277"/>
      <c r="Y11" s="1277"/>
      <c r="Z11" s="1277"/>
      <c r="AA11" s="1277"/>
      <c r="AB11" s="1277"/>
      <c r="AC11" s="1277"/>
      <c r="AD11" s="1277"/>
      <c r="AE11" s="1277"/>
      <c r="AF11" s="1277"/>
      <c r="AG11" s="1277"/>
      <c r="AH11" s="1277"/>
      <c r="AI11" s="1277"/>
      <c r="AJ11" s="1277"/>
      <c r="AK11" s="1277"/>
      <c r="AL11" s="1277"/>
      <c r="AM11" s="1277"/>
      <c r="AN11" s="1277"/>
      <c r="AO11" s="1277"/>
      <c r="AP11" s="1277"/>
      <c r="AQ11" s="990">
        <f>SUM(AM80,AM202,AM323)</f>
        <v>0</v>
      </c>
      <c r="AR11" s="253"/>
      <c r="AS11" s="253"/>
      <c r="AT11" s="253"/>
      <c r="AU11" s="253"/>
      <c r="AV11" s="253"/>
      <c r="AW11" s="253"/>
      <c r="AX11" s="769"/>
      <c r="AY11" s="964"/>
      <c r="AZ11" s="964"/>
      <c r="BA11" s="964"/>
      <c r="BB11" s="964"/>
      <c r="BC11" s="964"/>
      <c r="BD11" s="964"/>
      <c r="BE11" s="964"/>
      <c r="BF11" s="964"/>
      <c r="BG11" s="964"/>
      <c r="BH11" s="964"/>
    </row>
    <row r="12" spans="1:60" ht="15.75" customHeight="1">
      <c r="A12" s="2112"/>
      <c r="B12" s="9126" t="s">
        <v>2783</v>
      </c>
      <c r="C12" s="7976"/>
      <c r="D12" s="7976"/>
      <c r="E12" s="7976"/>
      <c r="F12" s="7976"/>
      <c r="G12" s="7976"/>
      <c r="H12" s="4142" t="str">
        <f>IF(AND(NOT(NoColor),'Table of Contents'!$A$43="D"),"DRAFT","")</f>
        <v/>
      </c>
      <c r="I12" s="799"/>
      <c r="J12" s="799"/>
      <c r="K12" s="799"/>
      <c r="L12" s="799"/>
      <c r="M12" s="7932" t="s">
        <v>2784</v>
      </c>
      <c r="N12" s="7932"/>
      <c r="O12" s="7932"/>
      <c r="P12" s="7932"/>
      <c r="Q12" s="7932"/>
      <c r="R12" s="7932"/>
      <c r="S12" s="7932"/>
      <c r="T12" s="7932"/>
      <c r="U12" s="7932"/>
      <c r="V12" s="7932"/>
      <c r="W12" s="7932"/>
      <c r="X12" s="7932"/>
      <c r="Y12" s="7932"/>
      <c r="Z12" s="7932"/>
      <c r="AA12" s="799"/>
      <c r="AB12" s="799"/>
      <c r="AC12" s="799"/>
      <c r="AD12" s="799"/>
      <c r="AE12" s="799"/>
      <c r="AF12" s="799"/>
      <c r="AG12" s="799"/>
      <c r="AH12" s="2910"/>
      <c r="AI12" s="8578" t="s">
        <v>2785</v>
      </c>
      <c r="AJ12" s="8458"/>
      <c r="AK12" s="8458"/>
      <c r="AL12" s="8458"/>
      <c r="AM12" s="8458"/>
      <c r="AN12" s="8458"/>
      <c r="AO12" s="8458"/>
      <c r="AP12" s="1277"/>
      <c r="AQ12" s="2158" t="b">
        <f>AND(AQ23="",AQ38="",AQ77="")</f>
        <v>0</v>
      </c>
      <c r="AR12" s="4143"/>
      <c r="AS12" s="4143"/>
      <c r="AT12" s="4143"/>
      <c r="AU12" s="4143"/>
      <c r="AV12" s="4143"/>
      <c r="AW12" s="4143"/>
      <c r="AX12" s="768"/>
      <c r="AY12" s="964"/>
      <c r="AZ12" s="964"/>
      <c r="BA12" s="964"/>
      <c r="BB12" s="964"/>
      <c r="BC12" s="964"/>
      <c r="BD12" s="964"/>
      <c r="BE12" s="964"/>
      <c r="BF12" s="964"/>
      <c r="BG12" s="964"/>
      <c r="BH12" s="964"/>
    </row>
    <row r="13" spans="1:60" ht="22.5" customHeight="1">
      <c r="A13" s="4135"/>
      <c r="B13" s="7976"/>
      <c r="C13" s="7976"/>
      <c r="D13" s="7976"/>
      <c r="E13" s="7976"/>
      <c r="F13" s="7976"/>
      <c r="G13" s="7976"/>
      <c r="H13" s="4144"/>
      <c r="I13" s="799"/>
      <c r="J13" s="799"/>
      <c r="K13" s="799"/>
      <c r="L13" s="799"/>
      <c r="M13" s="7932"/>
      <c r="N13" s="7932"/>
      <c r="O13" s="7932"/>
      <c r="P13" s="7932"/>
      <c r="Q13" s="7932"/>
      <c r="R13" s="7932"/>
      <c r="S13" s="7932"/>
      <c r="T13" s="7932"/>
      <c r="U13" s="7932"/>
      <c r="V13" s="7932"/>
      <c r="W13" s="7932"/>
      <c r="X13" s="7932"/>
      <c r="Y13" s="7932"/>
      <c r="Z13" s="7932"/>
      <c r="AA13" s="799"/>
      <c r="AB13" s="799"/>
      <c r="AC13" s="799"/>
      <c r="AD13" s="799"/>
      <c r="AE13" s="799"/>
      <c r="AF13" s="799"/>
      <c r="AG13" s="799"/>
      <c r="AH13" s="809"/>
      <c r="AI13" s="8946">
        <f>TaxYear</f>
        <v>2025</v>
      </c>
      <c r="AJ13" s="8947"/>
      <c r="AK13" s="8947"/>
      <c r="AL13" s="8947"/>
      <c r="AM13" s="8947"/>
      <c r="AN13" s="8947"/>
      <c r="AO13" s="8947"/>
      <c r="AP13" s="1277"/>
      <c r="AQ13" s="8962" t="str">
        <f>IF(AND(ForeignTaxPaid&lt;&gt;"",ForeignTaxPaid&gt;0),"Note: Foreign Tax payments of ","")</f>
        <v/>
      </c>
      <c r="AR13" s="8962"/>
      <c r="AS13" s="8962"/>
      <c r="AT13" s="8962"/>
      <c r="AU13" s="8962"/>
      <c r="AV13" s="8962"/>
      <c r="AW13" s="8962"/>
      <c r="AX13" s="768"/>
      <c r="AY13" s="964"/>
      <c r="AZ13" s="964"/>
      <c r="BA13" s="964"/>
      <c r="BB13" s="964"/>
      <c r="BC13" s="964"/>
      <c r="BD13" s="964"/>
      <c r="BE13" s="964"/>
      <c r="BF13" s="964"/>
      <c r="BG13" s="964"/>
      <c r="BH13" s="964"/>
    </row>
    <row r="14" spans="1:60" ht="15">
      <c r="A14" s="2112"/>
      <c r="B14" s="2677"/>
      <c r="C14" s="253"/>
      <c r="D14" s="253"/>
      <c r="E14" s="253"/>
      <c r="F14" s="253"/>
      <c r="G14" s="253"/>
      <c r="H14" s="9098" t="s">
        <v>2786</v>
      </c>
      <c r="I14" s="9099"/>
      <c r="J14" s="9099"/>
      <c r="K14" s="9099"/>
      <c r="L14" s="9099"/>
      <c r="M14" s="9099"/>
      <c r="N14" s="9099"/>
      <c r="O14" s="9099"/>
      <c r="P14" s="9099"/>
      <c r="Q14" s="9099"/>
      <c r="R14" s="9099"/>
      <c r="S14" s="9099"/>
      <c r="T14" s="9099"/>
      <c r="U14" s="9099"/>
      <c r="V14" s="9099"/>
      <c r="W14" s="9099"/>
      <c r="X14" s="9099"/>
      <c r="Y14" s="9099"/>
      <c r="Z14" s="9099"/>
      <c r="AA14" s="9099"/>
      <c r="AB14" s="9099"/>
      <c r="AC14" s="9099"/>
      <c r="AD14" s="9099"/>
      <c r="AE14" s="9099"/>
      <c r="AF14" s="9099"/>
      <c r="AG14" s="9099"/>
      <c r="AH14" s="9100"/>
      <c r="AI14" s="8948"/>
      <c r="AJ14" s="8949"/>
      <c r="AK14" s="8949"/>
      <c r="AL14" s="8949"/>
      <c r="AM14" s="8949"/>
      <c r="AN14" s="8949"/>
      <c r="AO14" s="8949"/>
      <c r="AP14" s="1277"/>
      <c r="AQ14" s="8962"/>
      <c r="AR14" s="8962"/>
      <c r="AS14" s="8962"/>
      <c r="AT14" s="8962"/>
      <c r="AU14" s="8962"/>
      <c r="AV14" s="8962"/>
      <c r="AW14" s="8962"/>
      <c r="AX14" s="768"/>
      <c r="AY14" s="964"/>
      <c r="AZ14" s="964"/>
      <c r="BA14" s="964"/>
      <c r="BB14" s="964"/>
      <c r="BC14" s="964"/>
      <c r="BD14" s="964"/>
      <c r="BE14" s="964"/>
      <c r="BF14" s="964"/>
      <c r="BG14" s="964"/>
      <c r="BH14" s="964"/>
    </row>
    <row r="15" spans="1:60" ht="11.25" customHeight="1">
      <c r="A15" s="2112"/>
      <c r="B15" s="7613" t="s">
        <v>2318</v>
      </c>
      <c r="C15" s="7925"/>
      <c r="D15" s="7925"/>
      <c r="E15" s="7925"/>
      <c r="F15" s="7925"/>
      <c r="G15" s="8579"/>
      <c r="H15" s="9101" t="s">
        <v>2787</v>
      </c>
      <c r="I15" s="9102"/>
      <c r="J15" s="9102"/>
      <c r="K15" s="9102"/>
      <c r="L15" s="9102"/>
      <c r="M15" s="9102"/>
      <c r="N15" s="9102"/>
      <c r="O15" s="9102"/>
      <c r="P15" s="9102"/>
      <c r="Q15" s="9102"/>
      <c r="R15" s="9102"/>
      <c r="S15" s="9102"/>
      <c r="T15" s="9102"/>
      <c r="U15" s="9102"/>
      <c r="V15" s="9102"/>
      <c r="W15" s="9102"/>
      <c r="X15" s="9102"/>
      <c r="Y15" s="9102"/>
      <c r="Z15" s="9102"/>
      <c r="AA15" s="9102"/>
      <c r="AB15" s="9102"/>
      <c r="AC15" s="9102"/>
      <c r="AD15" s="9102"/>
      <c r="AE15" s="9102"/>
      <c r="AF15" s="9102"/>
      <c r="AG15" s="9102"/>
      <c r="AH15" s="9103"/>
      <c r="AI15" s="9107" t="s">
        <v>2320</v>
      </c>
      <c r="AJ15" s="9108"/>
      <c r="AK15" s="9108"/>
      <c r="AL15" s="9108"/>
      <c r="AM15" s="9108"/>
      <c r="AN15" s="9111">
        <v>19</v>
      </c>
      <c r="AO15" s="9111"/>
      <c r="AP15" s="1277"/>
      <c r="AQ15" s="8962" t="str">
        <f>IF(AND(ForeignTaxPaid_INT_DIV&lt;&gt;"",ForeignTaxPaid_INT_DIV&gt;=1000),TEXT(ForeignTaxPaid_INT_DIV,"$0,000")&amp;" were reported on Forms",IF(AND(ForeignTaxPaid_INT_DIV&lt;&gt;"",ForeignTaxPaid_INT_DIV&gt;0),TEXT(ForeignTaxPaid_INT_DIV,"$0")&amp;" were reported on Forms",""))</f>
        <v/>
      </c>
      <c r="AR15" s="8962"/>
      <c r="AS15" s="8962"/>
      <c r="AT15" s="8962"/>
      <c r="AU15" s="8962"/>
      <c r="AV15" s="8962"/>
      <c r="AW15" s="8962"/>
      <c r="AX15" s="768"/>
      <c r="AY15" s="964"/>
      <c r="AZ15" s="964"/>
      <c r="BA15" s="964"/>
      <c r="BB15" s="964"/>
      <c r="BC15" s="964"/>
      <c r="BD15" s="964"/>
      <c r="BE15" s="964"/>
      <c r="BF15" s="964"/>
      <c r="BG15" s="964"/>
      <c r="BH15" s="964"/>
    </row>
    <row r="16" spans="1:60" ht="11.25" customHeight="1" thickBot="1">
      <c r="A16" s="2112"/>
      <c r="B16" s="7926"/>
      <c r="C16" s="7926"/>
      <c r="D16" s="7926"/>
      <c r="E16" s="7926"/>
      <c r="F16" s="7926"/>
      <c r="G16" s="8580"/>
      <c r="H16" s="9104" t="s">
        <v>2788</v>
      </c>
      <c r="I16" s="9105"/>
      <c r="J16" s="9105"/>
      <c r="K16" s="9105"/>
      <c r="L16" s="9105"/>
      <c r="M16" s="9105"/>
      <c r="N16" s="9105"/>
      <c r="O16" s="9105"/>
      <c r="P16" s="9105"/>
      <c r="Q16" s="9105"/>
      <c r="R16" s="9105"/>
      <c r="S16" s="9105"/>
      <c r="T16" s="9105"/>
      <c r="U16" s="9105"/>
      <c r="V16" s="9105"/>
      <c r="W16" s="9105"/>
      <c r="X16" s="9105"/>
      <c r="Y16" s="9105"/>
      <c r="Z16" s="9105"/>
      <c r="AA16" s="9105"/>
      <c r="AB16" s="9105"/>
      <c r="AC16" s="9105"/>
      <c r="AD16" s="9105"/>
      <c r="AE16" s="9105"/>
      <c r="AF16" s="9105"/>
      <c r="AG16" s="9105"/>
      <c r="AH16" s="9106"/>
      <c r="AI16" s="9109"/>
      <c r="AJ16" s="9110"/>
      <c r="AK16" s="9110"/>
      <c r="AL16" s="9110"/>
      <c r="AM16" s="9110"/>
      <c r="AN16" s="9112"/>
      <c r="AO16" s="9112"/>
      <c r="AP16" s="1277"/>
      <c r="AQ16" s="8963" t="str">
        <f>IF(AND(ForeignTaxPaid&lt;&gt;"",ForeignTaxPaid&gt;0),"1099-INT &amp; DIV. Complete Form 1116,","")</f>
        <v/>
      </c>
      <c r="AR16" s="8963"/>
      <c r="AS16" s="8963"/>
      <c r="AT16" s="8963"/>
      <c r="AU16" s="8963"/>
      <c r="AV16" s="8963"/>
      <c r="AW16" s="8963"/>
      <c r="AX16" s="769"/>
      <c r="AY16" s="964"/>
      <c r="AZ16" s="964"/>
      <c r="BA16" s="964"/>
      <c r="BB16" s="964"/>
      <c r="BC16" s="964"/>
      <c r="BD16" s="964"/>
      <c r="BE16" s="964"/>
      <c r="BF16" s="964"/>
      <c r="BG16" s="964"/>
      <c r="BH16" s="964"/>
    </row>
    <row r="17" spans="1:60">
      <c r="A17" s="2112"/>
      <c r="B17" s="339" t="s">
        <v>2789</v>
      </c>
      <c r="C17" s="377"/>
      <c r="D17" s="377"/>
      <c r="E17" s="377"/>
      <c r="F17" s="377"/>
      <c r="G17" s="377"/>
      <c r="H17" s="377"/>
      <c r="I17" s="377"/>
      <c r="J17" s="377"/>
      <c r="K17" s="377"/>
      <c r="L17" s="377"/>
      <c r="M17" s="377"/>
      <c r="N17" s="377"/>
      <c r="O17" s="377"/>
      <c r="P17" s="377"/>
      <c r="Q17" s="377"/>
      <c r="R17" s="377"/>
      <c r="S17" s="377"/>
      <c r="T17" s="377"/>
      <c r="U17" s="377"/>
      <c r="V17" s="377"/>
      <c r="W17" s="377"/>
      <c r="X17" s="377"/>
      <c r="Y17" s="377"/>
      <c r="Z17" s="377"/>
      <c r="AA17" s="8997" t="s">
        <v>2790</v>
      </c>
      <c r="AB17" s="8998"/>
      <c r="AC17" s="8998"/>
      <c r="AD17" s="8998"/>
      <c r="AE17" s="8998"/>
      <c r="AF17" s="8998"/>
      <c r="AG17" s="8998"/>
      <c r="AH17" s="8998"/>
      <c r="AI17" s="8998"/>
      <c r="AJ17" s="8998"/>
      <c r="AK17" s="8998"/>
      <c r="AL17" s="8998"/>
      <c r="AM17" s="8998"/>
      <c r="AN17" s="8998"/>
      <c r="AO17" s="8998"/>
      <c r="AP17" s="1277"/>
      <c r="AQ17" s="8964" t="str">
        <f>IF(AND(ForeignTaxPaid&lt;&gt;"",ForeignTaxPaid&gt;0),"to determine Sch.3, Line 1 amount.","")</f>
        <v/>
      </c>
      <c r="AR17" s="8964"/>
      <c r="AS17" s="8964"/>
      <c r="AT17" s="8964"/>
      <c r="AU17" s="8964"/>
      <c r="AV17" s="8964"/>
      <c r="AW17" s="8964"/>
      <c r="AX17" s="769"/>
      <c r="AY17" s="964"/>
      <c r="AZ17" s="964"/>
      <c r="BA17" s="964"/>
      <c r="BB17" s="964"/>
      <c r="BC17" s="964"/>
      <c r="BD17" s="964"/>
      <c r="BE17" s="964"/>
      <c r="BF17" s="964"/>
      <c r="BG17" s="964"/>
      <c r="BH17" s="964"/>
    </row>
    <row r="18" spans="1:60" ht="9" customHeight="1">
      <c r="A18" s="2112"/>
      <c r="B18" s="8996" t="str">
        <f>Names</f>
        <v/>
      </c>
      <c r="C18" s="7976"/>
      <c r="D18" s="7976"/>
      <c r="E18" s="7976"/>
      <c r="F18" s="7976"/>
      <c r="G18" s="7976"/>
      <c r="H18" s="7976"/>
      <c r="I18" s="7976"/>
      <c r="J18" s="7976"/>
      <c r="K18" s="7976"/>
      <c r="L18" s="7976"/>
      <c r="M18" s="7976"/>
      <c r="N18" s="7976"/>
      <c r="O18" s="7976"/>
      <c r="P18" s="7976"/>
      <c r="Q18" s="7976"/>
      <c r="R18" s="7976"/>
      <c r="S18" s="7976"/>
      <c r="T18" s="7976"/>
      <c r="U18" s="7976"/>
      <c r="V18" s="7976"/>
      <c r="W18" s="7976"/>
      <c r="X18" s="7976"/>
      <c r="Y18" s="7976"/>
      <c r="Z18" s="7976"/>
      <c r="AA18" s="8999">
        <f>IF(NoSSN,"",SS_Yours)</f>
        <v>1010001</v>
      </c>
      <c r="AB18" s="9000"/>
      <c r="AC18" s="9000"/>
      <c r="AD18" s="9000"/>
      <c r="AE18" s="9000"/>
      <c r="AF18" s="9000"/>
      <c r="AG18" s="9000"/>
      <c r="AH18" s="9000"/>
      <c r="AI18" s="9000"/>
      <c r="AJ18" s="9000"/>
      <c r="AK18" s="9000"/>
      <c r="AL18" s="9000"/>
      <c r="AM18" s="9000"/>
      <c r="AN18" s="9000"/>
      <c r="AO18" s="9000"/>
      <c r="AP18" s="1277"/>
      <c r="AQ18" s="253"/>
      <c r="AR18" s="253"/>
      <c r="AS18" s="253"/>
      <c r="AT18" s="253"/>
      <c r="AU18" s="253"/>
      <c r="AV18" s="253"/>
      <c r="AW18" s="253"/>
      <c r="AX18" s="769"/>
      <c r="AY18" s="964"/>
      <c r="AZ18" s="964"/>
      <c r="BA18" s="964"/>
      <c r="BB18" s="964"/>
      <c r="BC18" s="964"/>
      <c r="BD18" s="964"/>
      <c r="BE18" s="964"/>
      <c r="BF18" s="964"/>
      <c r="BG18" s="964"/>
      <c r="BH18" s="964"/>
    </row>
    <row r="19" spans="1:60" ht="9" customHeight="1">
      <c r="A19" s="2112"/>
      <c r="B19" s="8296"/>
      <c r="C19" s="8296"/>
      <c r="D19" s="8296"/>
      <c r="E19" s="8296"/>
      <c r="F19" s="8296"/>
      <c r="G19" s="8296"/>
      <c r="H19" s="8296"/>
      <c r="I19" s="8296"/>
      <c r="J19" s="8296"/>
      <c r="K19" s="8296"/>
      <c r="L19" s="8296"/>
      <c r="M19" s="8296"/>
      <c r="N19" s="8296"/>
      <c r="O19" s="8296"/>
      <c r="P19" s="8296"/>
      <c r="Q19" s="8296"/>
      <c r="R19" s="8296"/>
      <c r="S19" s="8296"/>
      <c r="T19" s="8296"/>
      <c r="U19" s="8296"/>
      <c r="V19" s="8296"/>
      <c r="W19" s="8296"/>
      <c r="X19" s="8296"/>
      <c r="Y19" s="8296"/>
      <c r="Z19" s="8296"/>
      <c r="AA19" s="9001"/>
      <c r="AB19" s="9002"/>
      <c r="AC19" s="9002"/>
      <c r="AD19" s="9002"/>
      <c r="AE19" s="9002"/>
      <c r="AF19" s="9002"/>
      <c r="AG19" s="9002"/>
      <c r="AH19" s="9002"/>
      <c r="AI19" s="9002"/>
      <c r="AJ19" s="9002"/>
      <c r="AK19" s="9002"/>
      <c r="AL19" s="9002"/>
      <c r="AM19" s="9002"/>
      <c r="AN19" s="9002"/>
      <c r="AO19" s="9002"/>
      <c r="AP19" s="1277"/>
      <c r="AQ19" s="253"/>
      <c r="AR19" s="253"/>
      <c r="AS19" s="253"/>
      <c r="AT19" s="253"/>
      <c r="AU19" s="253"/>
      <c r="AV19" s="253"/>
      <c r="AW19" s="253"/>
      <c r="AX19" s="769"/>
      <c r="AY19" s="964"/>
      <c r="AZ19" s="964"/>
      <c r="BA19" s="964"/>
      <c r="BB19" s="964"/>
      <c r="BC19" s="964"/>
      <c r="BD19" s="964"/>
      <c r="BE19" s="964"/>
      <c r="BF19" s="964"/>
      <c r="BG19" s="964"/>
      <c r="BH19" s="964"/>
    </row>
    <row r="20" spans="1:60" ht="12.75" customHeight="1">
      <c r="A20" s="2112"/>
      <c r="B20" s="2263" t="s">
        <v>2791</v>
      </c>
      <c r="C20" s="406"/>
      <c r="D20" s="406"/>
      <c r="E20" s="406"/>
      <c r="F20" s="406"/>
      <c r="G20" s="406"/>
      <c r="H20" s="406"/>
      <c r="I20" s="406"/>
      <c r="J20" s="406"/>
      <c r="K20" s="406"/>
      <c r="L20" s="406"/>
      <c r="M20" s="406"/>
      <c r="N20" s="406"/>
      <c r="O20" s="406"/>
      <c r="P20" s="406"/>
      <c r="Q20" s="406"/>
      <c r="R20" s="406"/>
      <c r="S20" s="406"/>
      <c r="T20" s="406"/>
      <c r="U20" s="406"/>
      <c r="V20" s="406"/>
      <c r="W20" s="406"/>
      <c r="X20" s="406"/>
      <c r="Y20" s="406"/>
      <c r="Z20" s="406"/>
      <c r="AA20" s="406"/>
      <c r="AB20" s="406"/>
      <c r="AC20" s="406"/>
      <c r="AD20" s="406"/>
      <c r="AE20" s="406"/>
      <c r="AF20" s="406"/>
      <c r="AG20" s="406"/>
      <c r="AH20" s="406"/>
      <c r="AI20" s="4133" t="s">
        <v>2792</v>
      </c>
      <c r="AJ20" s="406"/>
      <c r="AK20" s="406"/>
      <c r="AL20" s="406"/>
      <c r="AM20" s="406"/>
      <c r="AN20" s="406"/>
      <c r="AO20" s="4145"/>
      <c r="AP20" s="1277"/>
      <c r="AQ20" s="512" t="b">
        <f>AND(AO22&lt;2,AO144&lt;2,AO265&lt;2,SUM(AO22,AO144,AO265)&gt;1)</f>
        <v>0</v>
      </c>
      <c r="AR20" s="512"/>
      <c r="AS20" s="512"/>
      <c r="AT20" s="512"/>
      <c r="AU20" s="512"/>
      <c r="AV20" s="4146"/>
      <c r="AW20" s="4146"/>
      <c r="AX20" s="769"/>
      <c r="AY20" s="964"/>
      <c r="AZ20" s="964"/>
      <c r="BA20" s="964"/>
      <c r="BB20" s="964"/>
      <c r="BC20" s="964"/>
      <c r="BD20" s="964"/>
      <c r="BE20" s="964"/>
      <c r="BF20" s="964"/>
      <c r="BG20" s="964"/>
      <c r="BH20" s="964"/>
    </row>
    <row r="21" spans="1:60" ht="12.75" customHeight="1">
      <c r="A21" s="4135"/>
      <c r="B21" s="504" t="s">
        <v>2793</v>
      </c>
      <c r="C21" s="253"/>
      <c r="D21" s="253"/>
      <c r="E21" s="504" t="s">
        <v>2794</v>
      </c>
      <c r="F21" s="1323"/>
      <c r="G21" s="253"/>
      <c r="H21" s="253"/>
      <c r="I21" s="253"/>
      <c r="J21" s="253"/>
      <c r="K21" s="253"/>
      <c r="L21" s="253"/>
      <c r="M21" s="253"/>
      <c r="N21" s="253"/>
      <c r="O21" s="253"/>
      <c r="P21" s="253"/>
      <c r="Q21" s="253"/>
      <c r="R21" s="253"/>
      <c r="S21" s="253"/>
      <c r="T21" s="253"/>
      <c r="U21" s="253"/>
      <c r="V21" s="253"/>
      <c r="W21" s="253"/>
      <c r="X21" s="253"/>
      <c r="Y21" s="253"/>
      <c r="Z21" s="253"/>
      <c r="AA21" s="253"/>
      <c r="AB21" s="253"/>
      <c r="AC21" s="253"/>
      <c r="AD21" s="253"/>
      <c r="AE21" s="253"/>
      <c r="AF21" s="253"/>
      <c r="AG21" s="253"/>
      <c r="AH21" s="253"/>
      <c r="AI21" s="253"/>
      <c r="AJ21" s="253"/>
      <c r="AK21" s="253"/>
      <c r="AL21" s="253"/>
      <c r="AM21" s="253"/>
      <c r="AN21" s="253"/>
      <c r="AO21" s="253"/>
      <c r="AP21" s="1277"/>
      <c r="AQ21" s="724"/>
      <c r="AR21" s="9229"/>
      <c r="AS21" s="9230"/>
      <c r="AT21" s="9230"/>
      <c r="AU21" s="9230"/>
      <c r="AV21" s="512"/>
      <c r="AW21" s="512"/>
      <c r="AX21" s="769"/>
      <c r="AY21" s="964"/>
      <c r="AZ21" s="964"/>
      <c r="BA21" s="964"/>
      <c r="BB21" s="964"/>
      <c r="BC21" s="964"/>
      <c r="BD21" s="964"/>
      <c r="BE21" s="964"/>
      <c r="BF21" s="964"/>
      <c r="BG21" s="964"/>
      <c r="BH21" s="964"/>
    </row>
    <row r="22" spans="1:60" ht="6" customHeight="1">
      <c r="A22" s="2112"/>
      <c r="B22" s="253"/>
      <c r="C22" s="3235">
        <f>IF(C23&lt;&gt;"",1,0)</f>
        <v>0</v>
      </c>
      <c r="D22" s="512"/>
      <c r="E22" s="512"/>
      <c r="F22" s="4148"/>
      <c r="G22" s="512"/>
      <c r="H22" s="512"/>
      <c r="I22" s="512"/>
      <c r="J22" s="512"/>
      <c r="K22" s="3235">
        <f>IF(K23&lt;&gt;"",1,0)</f>
        <v>0</v>
      </c>
      <c r="L22" s="512"/>
      <c r="M22" s="512"/>
      <c r="N22" s="3235"/>
      <c r="O22" s="512"/>
      <c r="P22" s="512"/>
      <c r="Q22" s="512"/>
      <c r="R22" s="512"/>
      <c r="S22" s="512"/>
      <c r="T22" s="512"/>
      <c r="U22" s="512"/>
      <c r="V22" s="512"/>
      <c r="W22" s="3235">
        <f>IF(W23&lt;&gt;"",1,0)</f>
        <v>0</v>
      </c>
      <c r="X22" s="512"/>
      <c r="Y22" s="512"/>
      <c r="Z22" s="512"/>
      <c r="AA22" s="512"/>
      <c r="AB22" s="3235"/>
      <c r="AC22" s="253"/>
      <c r="AD22" s="253"/>
      <c r="AE22" s="253"/>
      <c r="AF22" s="253"/>
      <c r="AG22" s="253"/>
      <c r="AH22" s="253"/>
      <c r="AI22" s="3235">
        <f>IF(AI23&lt;&gt;"",1,0)</f>
        <v>0</v>
      </c>
      <c r="AJ22" s="253"/>
      <c r="AK22" s="253"/>
      <c r="AL22" s="253"/>
      <c r="AM22" s="253"/>
      <c r="AN22" s="253"/>
      <c r="AO22" s="3787">
        <f>SUM(C22,K22,W22,AI22,C24,K24,W24)</f>
        <v>0</v>
      </c>
      <c r="AP22" s="1277"/>
      <c r="AQ22" s="512"/>
      <c r="AR22" s="512"/>
      <c r="AS22" s="512"/>
      <c r="AT22" s="512"/>
      <c r="AU22" s="512"/>
      <c r="AV22" s="512"/>
      <c r="AW22" s="512"/>
      <c r="AX22" s="769"/>
      <c r="AY22" s="964"/>
      <c r="AZ22" s="964"/>
      <c r="BA22" s="964"/>
      <c r="BB22" s="964"/>
      <c r="BC22" s="964"/>
      <c r="BD22" s="964"/>
      <c r="BE22" s="964"/>
      <c r="BF22" s="964"/>
      <c r="BG22" s="964"/>
      <c r="BH22" s="964"/>
    </row>
    <row r="23" spans="1:60" ht="11.25" customHeight="1">
      <c r="A23" s="4135" t="b">
        <f>AND(K23&lt;&gt;"",AO22=1,A80)</f>
        <v>0</v>
      </c>
      <c r="B23" s="3377" t="s">
        <v>588</v>
      </c>
      <c r="C23" s="325"/>
      <c r="D23" s="2853" t="s">
        <v>2795</v>
      </c>
      <c r="E23" s="253"/>
      <c r="F23" s="253"/>
      <c r="G23" s="253"/>
      <c r="H23" s="253"/>
      <c r="I23" s="253"/>
      <c r="J23" s="3377" t="s">
        <v>595</v>
      </c>
      <c r="K23" s="325"/>
      <c r="L23" s="2853" t="s">
        <v>2796</v>
      </c>
      <c r="M23" s="2853"/>
      <c r="N23" s="344"/>
      <c r="O23" s="2853"/>
      <c r="P23" s="344"/>
      <c r="Q23" s="253"/>
      <c r="R23" s="253"/>
      <c r="S23" s="253"/>
      <c r="T23" s="253"/>
      <c r="U23" s="253"/>
      <c r="V23" s="3377" t="s">
        <v>603</v>
      </c>
      <c r="W23" s="325"/>
      <c r="X23" s="2853" t="s">
        <v>2797</v>
      </c>
      <c r="Y23" s="253"/>
      <c r="Z23" s="253"/>
      <c r="AA23" s="3377"/>
      <c r="AB23" s="253"/>
      <c r="AC23" s="2853"/>
      <c r="AD23" s="3377"/>
      <c r="AE23" s="253"/>
      <c r="AF23" s="3377"/>
      <c r="AG23" s="253"/>
      <c r="AH23" s="3377" t="s">
        <v>610</v>
      </c>
      <c r="AI23" s="325"/>
      <c r="AJ23" s="2853" t="s">
        <v>2798</v>
      </c>
      <c r="AK23" s="253"/>
      <c r="AL23" s="253"/>
      <c r="AM23" s="253"/>
      <c r="AN23" s="253"/>
      <c r="AO23" s="1039"/>
      <c r="AP23" s="1277"/>
      <c r="AQ23" s="4149" t="str">
        <f>IF(NOT(AO22),"←  Check one box.","")</f>
        <v>←  Check one box.</v>
      </c>
      <c r="AR23" s="4150"/>
      <c r="AS23" s="4150"/>
      <c r="AT23" s="580"/>
      <c r="AU23" s="4150"/>
      <c r="AV23" s="4150"/>
      <c r="AW23" s="4146"/>
      <c r="AX23" s="769"/>
      <c r="AY23" s="964"/>
      <c r="AZ23" s="964"/>
      <c r="BA23" s="964"/>
      <c r="BB23" s="964"/>
      <c r="BC23" s="964"/>
      <c r="BD23" s="964"/>
      <c r="BE23" s="964"/>
      <c r="BF23" s="964"/>
      <c r="BG23" s="964"/>
      <c r="BH23" s="964"/>
    </row>
    <row r="24" spans="1:60" ht="6.75" customHeight="1">
      <c r="A24" s="2112"/>
      <c r="B24" s="4151"/>
      <c r="C24" s="3235">
        <f>IF(C25&lt;&gt;"",1,0)</f>
        <v>0</v>
      </c>
      <c r="D24" s="4152"/>
      <c r="E24" s="512"/>
      <c r="F24" s="512"/>
      <c r="G24" s="512"/>
      <c r="H24" s="512"/>
      <c r="I24" s="512"/>
      <c r="J24" s="512"/>
      <c r="K24" s="3235">
        <f>IF(K25&lt;&gt;"",1,0)</f>
        <v>0</v>
      </c>
      <c r="L24" s="512"/>
      <c r="M24" s="512"/>
      <c r="N24" s="3235"/>
      <c r="O24" s="253"/>
      <c r="P24" s="253"/>
      <c r="Q24" s="253"/>
      <c r="R24" s="253"/>
      <c r="S24" s="253"/>
      <c r="T24" s="253"/>
      <c r="U24" s="253"/>
      <c r="V24" s="253"/>
      <c r="W24" s="3235">
        <f>IF(W25&lt;&gt;"",1,0)</f>
        <v>0</v>
      </c>
      <c r="X24" s="253"/>
      <c r="Y24" s="253"/>
      <c r="Z24" s="253"/>
      <c r="AA24" s="253"/>
      <c r="AB24" s="253"/>
      <c r="AC24" s="253"/>
      <c r="AD24" s="253"/>
      <c r="AE24" s="253"/>
      <c r="AF24" s="253"/>
      <c r="AG24" s="253"/>
      <c r="AH24" s="253"/>
      <c r="AI24" s="253"/>
      <c r="AJ24" s="253"/>
      <c r="AK24" s="253"/>
      <c r="AL24" s="253"/>
      <c r="AM24" s="253"/>
      <c r="AN24" s="253"/>
      <c r="AO24" s="253"/>
      <c r="AP24" s="1277"/>
      <c r="AQ24" s="571"/>
      <c r="AR24" s="571"/>
      <c r="AS24" s="571"/>
      <c r="AT24" s="571"/>
      <c r="AU24" s="571"/>
      <c r="AV24" s="571"/>
      <c r="AW24" s="571"/>
      <c r="AX24" s="769"/>
      <c r="AY24" s="964"/>
      <c r="AZ24" s="964"/>
      <c r="BA24" s="964"/>
      <c r="BB24" s="964"/>
      <c r="BC24" s="964"/>
      <c r="BD24" s="964"/>
      <c r="BE24" s="964"/>
      <c r="BF24" s="964"/>
      <c r="BG24" s="964"/>
      <c r="BH24" s="964"/>
    </row>
    <row r="25" spans="1:60" ht="11.25" customHeight="1">
      <c r="A25" s="2112"/>
      <c r="B25" s="3377" t="s">
        <v>592</v>
      </c>
      <c r="C25" s="325"/>
      <c r="D25" s="2853" t="s">
        <v>2799</v>
      </c>
      <c r="E25" s="253"/>
      <c r="F25" s="253"/>
      <c r="G25" s="253"/>
      <c r="H25" s="253"/>
      <c r="I25" s="253"/>
      <c r="J25" s="3377" t="s">
        <v>599</v>
      </c>
      <c r="K25" s="325"/>
      <c r="L25" s="2853" t="s">
        <v>2800</v>
      </c>
      <c r="M25" s="2853"/>
      <c r="N25" s="344"/>
      <c r="O25" s="2853"/>
      <c r="P25" s="344"/>
      <c r="Q25" s="253"/>
      <c r="R25" s="253"/>
      <c r="S25" s="253"/>
      <c r="T25" s="253"/>
      <c r="U25" s="253"/>
      <c r="V25" s="3377" t="s">
        <v>606</v>
      </c>
      <c r="W25" s="325"/>
      <c r="X25" s="2853" t="s">
        <v>2801</v>
      </c>
      <c r="Y25" s="253"/>
      <c r="Z25" s="253"/>
      <c r="AA25" s="253"/>
      <c r="AB25" s="253"/>
      <c r="AC25" s="253"/>
      <c r="AD25" s="253"/>
      <c r="AE25" s="253"/>
      <c r="AF25" s="253"/>
      <c r="AG25" s="253"/>
      <c r="AH25" s="253"/>
      <c r="AI25" s="253"/>
      <c r="AJ25" s="253"/>
      <c r="AK25" s="253"/>
      <c r="AL25" s="253"/>
      <c r="AM25" s="253"/>
      <c r="AN25" s="253"/>
      <c r="AO25" s="512" t="b">
        <f>AO22&lt;&gt;1</f>
        <v>1</v>
      </c>
      <c r="AP25" s="1277"/>
      <c r="AQ25" s="512"/>
      <c r="AR25" s="735"/>
      <c r="AS25" s="735"/>
      <c r="AT25" s="735"/>
      <c r="AU25" s="735"/>
      <c r="AV25" s="580"/>
      <c r="AW25" s="4146"/>
      <c r="AX25" s="769"/>
      <c r="AY25" s="964"/>
      <c r="AZ25" s="964"/>
      <c r="BA25" s="964"/>
      <c r="BB25" s="964"/>
      <c r="BC25" s="964"/>
      <c r="BD25" s="964"/>
      <c r="BE25" s="964"/>
      <c r="BF25" s="964"/>
      <c r="BG25" s="964"/>
      <c r="BH25" s="964"/>
    </row>
    <row r="26" spans="1:60" ht="6" customHeight="1">
      <c r="A26" s="2112"/>
      <c r="B26" s="4151"/>
      <c r="C26" s="4151"/>
      <c r="D26" s="511"/>
      <c r="E26" s="253"/>
      <c r="F26" s="253"/>
      <c r="G26" s="253"/>
      <c r="H26" s="253"/>
      <c r="I26" s="253"/>
      <c r="J26" s="253"/>
      <c r="K26" s="253"/>
      <c r="L26" s="253"/>
      <c r="M26" s="253"/>
      <c r="N26" s="253"/>
      <c r="O26" s="253"/>
      <c r="P26" s="253"/>
      <c r="Q26" s="253"/>
      <c r="R26" s="253"/>
      <c r="S26" s="253"/>
      <c r="T26" s="253"/>
      <c r="U26" s="253"/>
      <c r="V26" s="253"/>
      <c r="W26" s="253"/>
      <c r="X26" s="253"/>
      <c r="Y26" s="253"/>
      <c r="Z26" s="253"/>
      <c r="AA26" s="253"/>
      <c r="AB26" s="253"/>
      <c r="AC26" s="253"/>
      <c r="AD26" s="253"/>
      <c r="AE26" s="253"/>
      <c r="AF26" s="253"/>
      <c r="AG26" s="253"/>
      <c r="AH26" s="253"/>
      <c r="AI26" s="253"/>
      <c r="AJ26" s="253"/>
      <c r="AK26" s="253"/>
      <c r="AL26" s="253"/>
      <c r="AM26" s="253"/>
      <c r="AN26" s="253"/>
      <c r="AO26" s="253"/>
      <c r="AP26" s="1277"/>
      <c r="AQ26" s="724"/>
      <c r="AR26" s="4147"/>
      <c r="AS26" s="4147"/>
      <c r="AT26" s="724"/>
      <c r="AU26" s="4147"/>
      <c r="AV26" s="580"/>
      <c r="AW26" s="4146"/>
      <c r="AX26" s="769"/>
      <c r="AY26" s="964"/>
      <c r="AZ26" s="964"/>
      <c r="BA26" s="964"/>
      <c r="BB26" s="964"/>
      <c r="BC26" s="964"/>
      <c r="BD26" s="964"/>
      <c r="BE26" s="964"/>
      <c r="BF26" s="964"/>
      <c r="BG26" s="964"/>
      <c r="BH26" s="964"/>
    </row>
    <row r="27" spans="1:60" ht="15.75" customHeight="1">
      <c r="A27" s="2112"/>
      <c r="B27" s="4153" t="s">
        <v>615</v>
      </c>
      <c r="C27" s="4154" t="s">
        <v>2802</v>
      </c>
      <c r="D27" s="773"/>
      <c r="E27" s="773"/>
      <c r="F27" s="773"/>
      <c r="G27" s="773"/>
      <c r="H27" s="773"/>
      <c r="I27" s="773"/>
      <c r="J27" s="773"/>
      <c r="K27" s="773"/>
      <c r="L27" s="9150"/>
      <c r="M27" s="9150"/>
      <c r="N27" s="9150"/>
      <c r="O27" s="9150"/>
      <c r="P27" s="9150"/>
      <c r="Q27" s="9150"/>
      <c r="R27" s="9150"/>
      <c r="S27" s="9150"/>
      <c r="T27" s="9150"/>
      <c r="U27" s="9150"/>
      <c r="V27" s="9150"/>
      <c r="W27" s="9150"/>
      <c r="X27" s="9150"/>
      <c r="Y27" s="9150"/>
      <c r="Z27" s="9150"/>
      <c r="AA27" s="9150"/>
      <c r="AB27" s="9150"/>
      <c r="AC27" s="9150"/>
      <c r="AD27" s="9150"/>
      <c r="AE27" s="9150"/>
      <c r="AF27" s="9150"/>
      <c r="AG27" s="9150"/>
      <c r="AH27" s="9150"/>
      <c r="AI27" s="9150"/>
      <c r="AJ27" s="9150"/>
      <c r="AK27" s="9150"/>
      <c r="AL27" s="9150"/>
      <c r="AM27" s="9150"/>
      <c r="AN27" s="9150"/>
      <c r="AO27" s="9150"/>
      <c r="AP27" s="1277"/>
      <c r="AQ27" s="4155" t="s">
        <v>588</v>
      </c>
      <c r="AR27" s="9221">
        <f t="shared" ref="AR27:AR33" si="0">SUM(AR121,AR242,AR365)</f>
        <v>0</v>
      </c>
      <c r="AS27" s="9221"/>
      <c r="AT27" s="9221"/>
      <c r="AU27" s="9221"/>
      <c r="AV27" s="580"/>
      <c r="AW27" s="4146"/>
      <c r="AX27" s="769"/>
      <c r="AY27" s="964"/>
      <c r="AZ27" s="964"/>
      <c r="BA27" s="964"/>
      <c r="BB27" s="964"/>
      <c r="BC27" s="964"/>
      <c r="BD27" s="964"/>
      <c r="BE27" s="964"/>
      <c r="BF27" s="964"/>
      <c r="BG27" s="964"/>
      <c r="BH27" s="964"/>
    </row>
    <row r="28" spans="1:60" ht="12.75" customHeight="1">
      <c r="A28" s="2112"/>
      <c r="B28" s="9073" t="s">
        <v>1933</v>
      </c>
      <c r="C28" s="9073"/>
      <c r="D28" s="344" t="s">
        <v>2803</v>
      </c>
      <c r="E28" s="253"/>
      <c r="F28" s="253"/>
      <c r="G28" s="253"/>
      <c r="H28" s="253"/>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1277"/>
      <c r="AQ28" s="4155" t="s">
        <v>592</v>
      </c>
      <c r="AR28" s="9222">
        <f t="shared" si="0"/>
        <v>0</v>
      </c>
      <c r="AS28" s="9222"/>
      <c r="AT28" s="9222"/>
      <c r="AU28" s="9222"/>
      <c r="AV28" s="580"/>
      <c r="AW28" s="4146"/>
      <c r="AX28" s="769"/>
      <c r="AY28" s="964"/>
      <c r="AZ28" s="964"/>
      <c r="BA28" s="964"/>
      <c r="BB28" s="964"/>
      <c r="BC28" s="964"/>
      <c r="BD28" s="964"/>
      <c r="BE28" s="964"/>
      <c r="BF28" s="964"/>
      <c r="BG28" s="964"/>
      <c r="BH28" s="964"/>
    </row>
    <row r="29" spans="1:60" ht="12.75" customHeight="1">
      <c r="A29" s="2112"/>
      <c r="B29" s="3801" t="s">
        <v>2804</v>
      </c>
      <c r="C29" s="4156"/>
      <c r="D29" s="1996"/>
      <c r="E29" s="413"/>
      <c r="F29" s="413"/>
      <c r="G29" s="413"/>
      <c r="H29" s="413"/>
      <c r="I29" s="413"/>
      <c r="J29" s="413"/>
      <c r="K29" s="413"/>
      <c r="L29" s="413"/>
      <c r="M29" s="413"/>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1277"/>
      <c r="AQ29" s="4155" t="s">
        <v>595</v>
      </c>
      <c r="AR29" s="9221">
        <f t="shared" si="0"/>
        <v>0</v>
      </c>
      <c r="AS29" s="9221"/>
      <c r="AT29" s="9221"/>
      <c r="AU29" s="9221"/>
      <c r="AV29" s="580"/>
      <c r="AW29" s="4146"/>
      <c r="AX29" s="769"/>
      <c r="AY29" s="964"/>
      <c r="AZ29" s="964"/>
      <c r="BA29" s="964"/>
      <c r="BB29" s="964"/>
      <c r="BC29" s="964"/>
      <c r="BD29" s="964"/>
      <c r="BE29" s="964"/>
      <c r="BF29" s="964"/>
      <c r="BG29" s="964"/>
      <c r="BH29" s="964"/>
    </row>
    <row r="30" spans="1:60" s="1405" customFormat="1" ht="17.25" customHeight="1">
      <c r="A30" s="4157"/>
      <c r="B30" s="8427" t="s">
        <v>780</v>
      </c>
      <c r="C30" s="8427"/>
      <c r="D30" s="8428"/>
      <c r="E30" s="9096" t="s">
        <v>2805</v>
      </c>
      <c r="F30" s="9097"/>
      <c r="G30" s="9097"/>
      <c r="H30" s="9097"/>
      <c r="I30" s="9097"/>
      <c r="J30" s="9097"/>
      <c r="K30" s="9097"/>
      <c r="L30" s="9097"/>
      <c r="M30" s="9097"/>
      <c r="N30" s="9097"/>
      <c r="O30" s="9097"/>
      <c r="P30" s="9097"/>
      <c r="Q30" s="9097"/>
      <c r="R30" s="9097"/>
      <c r="S30" s="9097"/>
      <c r="T30" s="9097"/>
      <c r="U30" s="9097"/>
      <c r="V30" s="9097"/>
      <c r="W30" s="9097"/>
      <c r="X30" s="9097"/>
      <c r="Y30" s="9097"/>
      <c r="Z30" s="9097"/>
      <c r="AA30" s="9097"/>
      <c r="AB30" s="9097"/>
      <c r="AC30" s="9097"/>
      <c r="AD30" s="9097"/>
      <c r="AE30" s="9097"/>
      <c r="AF30" s="9097"/>
      <c r="AG30" s="9097"/>
      <c r="AH30" s="9097"/>
      <c r="AI30" s="9097"/>
      <c r="AJ30" s="9097"/>
      <c r="AK30" s="9097"/>
      <c r="AL30" s="9097"/>
      <c r="AM30" s="9097"/>
      <c r="AN30" s="9097"/>
      <c r="AO30" s="9097"/>
      <c r="AP30" s="1277"/>
      <c r="AQ30" s="4155" t="s">
        <v>599</v>
      </c>
      <c r="AR30" s="9222">
        <f t="shared" si="0"/>
        <v>0</v>
      </c>
      <c r="AS30" s="9222"/>
      <c r="AT30" s="9222"/>
      <c r="AU30" s="9222"/>
      <c r="AV30" s="580"/>
      <c r="AW30" s="4146"/>
      <c r="AX30" s="769"/>
      <c r="AY30" s="964"/>
      <c r="AZ30" s="964"/>
      <c r="BA30" s="964"/>
      <c r="BB30" s="964"/>
      <c r="BC30" s="964"/>
      <c r="BD30" s="964"/>
      <c r="BE30" s="964"/>
      <c r="BF30" s="964"/>
      <c r="BG30" s="964"/>
      <c r="BH30" s="964"/>
    </row>
    <row r="31" spans="1:60" ht="14.25">
      <c r="A31" s="2112"/>
      <c r="B31" s="9028"/>
      <c r="C31" s="9028"/>
      <c r="D31" s="511"/>
      <c r="E31" s="253"/>
      <c r="F31" s="253"/>
      <c r="G31" s="253"/>
      <c r="H31" s="253"/>
      <c r="I31" s="253"/>
      <c r="J31" s="253"/>
      <c r="K31" s="253"/>
      <c r="L31" s="253"/>
      <c r="M31" s="253"/>
      <c r="N31" s="253"/>
      <c r="O31" s="253"/>
      <c r="P31" s="9008" t="s">
        <v>2806</v>
      </c>
      <c r="Q31" s="9009"/>
      <c r="R31" s="9009"/>
      <c r="S31" s="9009"/>
      <c r="T31" s="9009"/>
      <c r="U31" s="9009"/>
      <c r="V31" s="9009"/>
      <c r="W31" s="9009"/>
      <c r="X31" s="9009"/>
      <c r="Y31" s="9009"/>
      <c r="Z31" s="9009"/>
      <c r="AA31" s="9009"/>
      <c r="AB31" s="9009"/>
      <c r="AC31" s="9009"/>
      <c r="AD31" s="9009"/>
      <c r="AE31" s="9009"/>
      <c r="AF31" s="9009"/>
      <c r="AG31" s="9009"/>
      <c r="AH31" s="9009"/>
      <c r="AI31" s="9010"/>
      <c r="AJ31" s="7681" t="s">
        <v>2807</v>
      </c>
      <c r="AK31" s="8454"/>
      <c r="AL31" s="8454"/>
      <c r="AM31" s="8454"/>
      <c r="AN31" s="8454"/>
      <c r="AO31" s="8454"/>
      <c r="AP31" s="1277"/>
      <c r="AQ31" s="4155" t="s">
        <v>603</v>
      </c>
      <c r="AR31" s="8970">
        <f t="shared" si="0"/>
        <v>0</v>
      </c>
      <c r="AS31" s="9223"/>
      <c r="AT31" s="9223"/>
      <c r="AU31" s="9223"/>
      <c r="AV31" s="580"/>
      <c r="AW31" s="4146"/>
      <c r="AX31" s="769"/>
      <c r="AY31" s="964"/>
      <c r="AZ31" s="964"/>
      <c r="BA31" s="964"/>
      <c r="BB31" s="964"/>
      <c r="BC31" s="964"/>
      <c r="BD31" s="964"/>
      <c r="BE31" s="964"/>
      <c r="BF31" s="964"/>
      <c r="BG31" s="964"/>
      <c r="BH31" s="964"/>
    </row>
    <row r="32" spans="1:60" ht="15">
      <c r="A32" s="2112"/>
      <c r="B32" s="9129" t="s">
        <v>619</v>
      </c>
      <c r="C32" s="9129"/>
      <c r="D32" s="807" t="s">
        <v>2808</v>
      </c>
      <c r="E32" s="253"/>
      <c r="F32" s="253"/>
      <c r="G32" s="253"/>
      <c r="H32" s="253"/>
      <c r="I32" s="253"/>
      <c r="J32" s="253"/>
      <c r="K32" s="253"/>
      <c r="L32" s="253"/>
      <c r="M32" s="253"/>
      <c r="N32" s="253"/>
      <c r="O32" s="253"/>
      <c r="P32" s="9057" t="s">
        <v>510</v>
      </c>
      <c r="Q32" s="9094"/>
      <c r="R32" s="9094"/>
      <c r="S32" s="9094"/>
      <c r="T32" s="9094"/>
      <c r="U32" s="9094"/>
      <c r="V32" s="9095"/>
      <c r="W32" s="9057" t="s">
        <v>516</v>
      </c>
      <c r="X32" s="9094"/>
      <c r="Y32" s="9094"/>
      <c r="Z32" s="9094"/>
      <c r="AA32" s="9094"/>
      <c r="AB32" s="9094"/>
      <c r="AC32" s="9095"/>
      <c r="AD32" s="9057" t="s">
        <v>518</v>
      </c>
      <c r="AE32" s="9094"/>
      <c r="AF32" s="9094"/>
      <c r="AG32" s="9094"/>
      <c r="AH32" s="9094"/>
      <c r="AI32" s="9095"/>
      <c r="AJ32" s="8457"/>
      <c r="AK32" s="8458"/>
      <c r="AL32" s="8458"/>
      <c r="AM32" s="8458"/>
      <c r="AN32" s="8458"/>
      <c r="AO32" s="8458"/>
      <c r="AP32" s="1277"/>
      <c r="AQ32" s="4155" t="s">
        <v>606</v>
      </c>
      <c r="AR32" s="8970">
        <f t="shared" si="0"/>
        <v>0</v>
      </c>
      <c r="AS32" s="9223"/>
      <c r="AT32" s="9223"/>
      <c r="AU32" s="9223"/>
      <c r="AV32" s="580"/>
      <c r="AW32" s="4146"/>
      <c r="AX32" s="769"/>
      <c r="AY32" s="964"/>
      <c r="AZ32" s="964"/>
      <c r="BA32" s="964"/>
      <c r="BB32" s="964"/>
      <c r="BC32" s="964"/>
      <c r="BD32" s="964"/>
      <c r="BE32" s="964"/>
      <c r="BF32" s="964"/>
      <c r="BG32" s="964"/>
      <c r="BH32" s="964"/>
    </row>
    <row r="33" spans="1:60" s="138" customFormat="1" ht="13.5" customHeight="1">
      <c r="A33" s="4158"/>
      <c r="B33" s="9130"/>
      <c r="C33" s="9130"/>
      <c r="D33" s="4159" t="s">
        <v>2809</v>
      </c>
      <c r="E33" s="571"/>
      <c r="F33" s="571"/>
      <c r="G33" s="571"/>
      <c r="H33" s="571"/>
      <c r="I33" s="571"/>
      <c r="J33" s="571"/>
      <c r="K33" s="571"/>
      <c r="L33" s="571"/>
      <c r="M33" s="571"/>
      <c r="N33" s="571"/>
      <c r="O33" s="4160" t="s">
        <v>894</v>
      </c>
      <c r="P33" s="9022"/>
      <c r="Q33" s="9023"/>
      <c r="R33" s="9023"/>
      <c r="S33" s="9023"/>
      <c r="T33" s="9023"/>
      <c r="U33" s="9023"/>
      <c r="V33" s="9024"/>
      <c r="W33" s="9022"/>
      <c r="X33" s="9023"/>
      <c r="Y33" s="9023"/>
      <c r="Z33" s="9023"/>
      <c r="AA33" s="9023"/>
      <c r="AB33" s="9023"/>
      <c r="AC33" s="9024"/>
      <c r="AD33" s="9022"/>
      <c r="AE33" s="9023"/>
      <c r="AF33" s="9023"/>
      <c r="AG33" s="9023"/>
      <c r="AH33" s="9023"/>
      <c r="AI33" s="9024"/>
      <c r="AJ33" s="9005"/>
      <c r="AK33" s="9006"/>
      <c r="AL33" s="4161"/>
      <c r="AM33" s="4132"/>
      <c r="AN33" s="4132"/>
      <c r="AO33" s="4132"/>
      <c r="AP33" s="2888"/>
      <c r="AQ33" s="4155" t="s">
        <v>610</v>
      </c>
      <c r="AR33" s="8970">
        <f t="shared" si="0"/>
        <v>0</v>
      </c>
      <c r="AS33" s="9223"/>
      <c r="AT33" s="9223"/>
      <c r="AU33" s="9223"/>
      <c r="AV33" s="580"/>
      <c r="AW33" s="4146"/>
      <c r="AX33" s="967"/>
      <c r="AY33" s="965"/>
      <c r="AZ33" s="965"/>
      <c r="BA33" s="965"/>
      <c r="BB33" s="965"/>
      <c r="BC33" s="965"/>
      <c r="BD33" s="965"/>
      <c r="BE33" s="965"/>
      <c r="BF33" s="965"/>
      <c r="BG33" s="965"/>
      <c r="BH33" s="965"/>
    </row>
    <row r="34" spans="1:60" ht="12" customHeight="1">
      <c r="A34" s="2112"/>
      <c r="B34" s="9007" t="s">
        <v>333</v>
      </c>
      <c r="C34" s="9007"/>
      <c r="D34" s="504" t="s">
        <v>2810</v>
      </c>
      <c r="E34" s="253"/>
      <c r="F34" s="253"/>
      <c r="G34" s="253"/>
      <c r="H34" s="253"/>
      <c r="I34" s="253"/>
      <c r="J34" s="253"/>
      <c r="K34" s="253"/>
      <c r="L34" s="253"/>
      <c r="M34" s="253"/>
      <c r="N34" s="253"/>
      <c r="O34" s="253"/>
      <c r="P34" s="2094"/>
      <c r="Q34" s="723"/>
      <c r="R34" s="723"/>
      <c r="S34" s="723"/>
      <c r="T34" s="723"/>
      <c r="U34" s="723"/>
      <c r="V34" s="2095"/>
      <c r="W34" s="2094"/>
      <c r="X34" s="723"/>
      <c r="Y34" s="723"/>
      <c r="Z34" s="723"/>
      <c r="AA34" s="723"/>
      <c r="AB34" s="723"/>
      <c r="AC34" s="2095"/>
      <c r="AD34" s="2094"/>
      <c r="AE34" s="723"/>
      <c r="AF34" s="723"/>
      <c r="AG34" s="723"/>
      <c r="AH34" s="723"/>
      <c r="AI34" s="2095"/>
      <c r="AJ34" s="8976"/>
      <c r="AK34" s="7976"/>
      <c r="AL34" s="408"/>
      <c r="AM34" s="253"/>
      <c r="AN34" s="253"/>
      <c r="AO34" s="253"/>
      <c r="AP34" s="1277"/>
      <c r="AQ34" s="253"/>
      <c r="AR34" s="253"/>
      <c r="AS34" s="253"/>
      <c r="AT34" s="253"/>
      <c r="AU34" s="253"/>
      <c r="AV34" s="253"/>
      <c r="AW34" s="253"/>
      <c r="AX34" s="769"/>
      <c r="AY34" s="964"/>
      <c r="AZ34" s="964"/>
      <c r="BA34" s="964"/>
      <c r="BB34" s="964"/>
      <c r="BC34" s="964"/>
      <c r="BD34" s="964"/>
      <c r="BE34" s="964"/>
      <c r="BF34" s="964"/>
      <c r="BG34" s="964"/>
      <c r="BH34" s="964"/>
    </row>
    <row r="35" spans="1:60" ht="12" customHeight="1">
      <c r="A35" s="2112"/>
      <c r="B35" s="2373"/>
      <c r="C35" s="2373"/>
      <c r="D35" s="344" t="s">
        <v>2811</v>
      </c>
      <c r="E35" s="253"/>
      <c r="F35" s="253"/>
      <c r="G35" s="253"/>
      <c r="H35" s="253"/>
      <c r="I35" s="253"/>
      <c r="J35" s="253"/>
      <c r="K35" s="253"/>
      <c r="L35" s="253"/>
      <c r="M35" s="253"/>
      <c r="N35" s="253"/>
      <c r="O35" s="253"/>
      <c r="P35" s="2073"/>
      <c r="Q35" s="723"/>
      <c r="R35" s="723"/>
      <c r="S35" s="723"/>
      <c r="T35" s="723"/>
      <c r="U35" s="723"/>
      <c r="V35" s="2074"/>
      <c r="W35" s="2073"/>
      <c r="X35" s="723"/>
      <c r="Y35" s="723"/>
      <c r="Z35" s="723"/>
      <c r="AA35" s="723"/>
      <c r="AB35" s="723"/>
      <c r="AC35" s="2074"/>
      <c r="AD35" s="2073"/>
      <c r="AE35" s="723"/>
      <c r="AF35" s="723"/>
      <c r="AG35" s="723"/>
      <c r="AH35" s="723"/>
      <c r="AI35" s="2074"/>
      <c r="AJ35" s="8976"/>
      <c r="AK35" s="7976"/>
      <c r="AL35" s="408"/>
      <c r="AM35" s="253"/>
      <c r="AN35" s="253"/>
      <c r="AO35" s="253"/>
      <c r="AP35" s="1277"/>
      <c r="AQ35" s="253"/>
      <c r="AR35" s="253"/>
      <c r="AS35" s="253"/>
      <c r="AT35" s="253"/>
      <c r="AU35" s="253"/>
      <c r="AV35" s="253"/>
      <c r="AW35" s="253"/>
      <c r="AX35" s="769"/>
      <c r="AY35" s="964"/>
      <c r="AZ35" s="964"/>
      <c r="BA35" s="964"/>
      <c r="BB35" s="964"/>
      <c r="BC35" s="964"/>
      <c r="BD35" s="964"/>
      <c r="BE35" s="964"/>
      <c r="BF35" s="964"/>
      <c r="BG35" s="964"/>
      <c r="BH35" s="964"/>
    </row>
    <row r="36" spans="1:60" ht="12" customHeight="1">
      <c r="A36" s="2112"/>
      <c r="B36" s="2373"/>
      <c r="C36" s="2373"/>
      <c r="D36" s="979" t="s">
        <v>2812</v>
      </c>
      <c r="E36" s="253"/>
      <c r="F36" s="253"/>
      <c r="G36" s="253"/>
      <c r="H36" s="9014"/>
      <c r="I36" s="9015"/>
      <c r="J36" s="9015"/>
      <c r="K36" s="9015"/>
      <c r="L36" s="9015"/>
      <c r="M36" s="9015"/>
      <c r="N36" s="9015"/>
      <c r="O36" s="253"/>
      <c r="P36" s="2073"/>
      <c r="Q36" s="723"/>
      <c r="R36" s="723"/>
      <c r="S36" s="723"/>
      <c r="T36" s="723"/>
      <c r="U36" s="723"/>
      <c r="V36" s="2074"/>
      <c r="W36" s="2073"/>
      <c r="X36" s="723"/>
      <c r="Y36" s="723"/>
      <c r="Z36" s="723"/>
      <c r="AA36" s="723"/>
      <c r="AB36" s="723"/>
      <c r="AC36" s="2074"/>
      <c r="AD36" s="2073"/>
      <c r="AE36" s="723"/>
      <c r="AF36" s="723"/>
      <c r="AG36" s="723"/>
      <c r="AH36" s="723"/>
      <c r="AI36" s="2074"/>
      <c r="AJ36" s="8976"/>
      <c r="AK36" s="7976"/>
      <c r="AL36" s="408"/>
      <c r="AM36" s="253"/>
      <c r="AN36" s="253"/>
      <c r="AO36" s="253"/>
      <c r="AP36" s="1277"/>
      <c r="AQ36" s="253"/>
      <c r="AR36" s="253"/>
      <c r="AS36" s="253"/>
      <c r="AT36" s="253"/>
      <c r="AU36" s="253"/>
      <c r="AV36" s="253"/>
      <c r="AW36" s="253"/>
      <c r="AX36" s="769"/>
      <c r="AY36" s="964"/>
      <c r="AZ36" s="964"/>
      <c r="BA36" s="964"/>
      <c r="BB36" s="964"/>
      <c r="BC36" s="964"/>
      <c r="BD36" s="964"/>
      <c r="BE36" s="964"/>
      <c r="BF36" s="964"/>
      <c r="BG36" s="964"/>
      <c r="BH36" s="964"/>
    </row>
    <row r="37" spans="1:60" ht="12" customHeight="1">
      <c r="A37" s="2112"/>
      <c r="B37" s="2373"/>
      <c r="C37" s="2373"/>
      <c r="D37" s="9154"/>
      <c r="E37" s="9155"/>
      <c r="F37" s="9155"/>
      <c r="G37" s="9155"/>
      <c r="H37" s="9155"/>
      <c r="I37" s="9155"/>
      <c r="J37" s="9155"/>
      <c r="K37" s="9155"/>
      <c r="L37" s="9155"/>
      <c r="M37" s="9155"/>
      <c r="N37" s="9155"/>
      <c r="O37" s="253"/>
      <c r="P37" s="2073"/>
      <c r="Q37" s="723"/>
      <c r="R37" s="723"/>
      <c r="S37" s="723"/>
      <c r="T37" s="723"/>
      <c r="U37" s="723"/>
      <c r="V37" s="2074"/>
      <c r="W37" s="2073"/>
      <c r="X37" s="723"/>
      <c r="Y37" s="723"/>
      <c r="Z37" s="723"/>
      <c r="AA37" s="723"/>
      <c r="AB37" s="723"/>
      <c r="AC37" s="2074"/>
      <c r="AD37" s="2073"/>
      <c r="AE37" s="723"/>
      <c r="AF37" s="723"/>
      <c r="AG37" s="723"/>
      <c r="AH37" s="723"/>
      <c r="AI37" s="2074"/>
      <c r="AJ37" s="8976"/>
      <c r="AK37" s="7976"/>
      <c r="AL37" s="408"/>
      <c r="AM37" s="253"/>
      <c r="AN37" s="253"/>
      <c r="AO37" s="253"/>
      <c r="AP37" s="1277"/>
      <c r="AQ37" s="253"/>
      <c r="AR37" s="253"/>
      <c r="AS37" s="253"/>
      <c r="AT37" s="253"/>
      <c r="AU37" s="253"/>
      <c r="AV37" s="253"/>
      <c r="AW37" s="253"/>
      <c r="AX37" s="769"/>
      <c r="AY37" s="964"/>
      <c r="AZ37" s="964"/>
      <c r="BA37" s="964"/>
      <c r="BB37" s="964"/>
      <c r="BC37" s="964"/>
      <c r="BD37" s="964"/>
      <c r="BE37" s="964"/>
      <c r="BF37" s="964"/>
      <c r="BG37" s="964"/>
      <c r="BH37" s="964"/>
    </row>
    <row r="38" spans="1:60" ht="12" customHeight="1">
      <c r="A38" s="2112"/>
      <c r="B38" s="2373"/>
      <c r="C38" s="2373"/>
      <c r="D38" s="9025"/>
      <c r="E38" s="9026"/>
      <c r="F38" s="9026"/>
      <c r="G38" s="9026"/>
      <c r="H38" s="9026"/>
      <c r="I38" s="9026"/>
      <c r="J38" s="9026"/>
      <c r="K38" s="9026"/>
      <c r="L38" s="9026"/>
      <c r="M38" s="9026"/>
      <c r="N38" s="9026"/>
      <c r="O38" s="253"/>
      <c r="P38" s="9011"/>
      <c r="Q38" s="9012"/>
      <c r="R38" s="9012"/>
      <c r="S38" s="9012"/>
      <c r="T38" s="9012"/>
      <c r="U38" s="9012"/>
      <c r="V38" s="9013"/>
      <c r="W38" s="9011"/>
      <c r="X38" s="9012"/>
      <c r="Y38" s="9012"/>
      <c r="Z38" s="9012"/>
      <c r="AA38" s="9012"/>
      <c r="AB38" s="9012"/>
      <c r="AC38" s="9013"/>
      <c r="AD38" s="9011"/>
      <c r="AE38" s="9012"/>
      <c r="AF38" s="9012"/>
      <c r="AG38" s="9012"/>
      <c r="AH38" s="9012"/>
      <c r="AI38" s="9013"/>
      <c r="AJ38" s="8981" t="s">
        <v>333</v>
      </c>
      <c r="AK38" s="8297"/>
      <c r="AL38" s="9003">
        <f>IF(AND(SUM(P38,W38,AD38)&gt;0,AO22=0),"Check one box.",ROUND(SUM(P38,W38,AD38),0))</f>
        <v>0</v>
      </c>
      <c r="AM38" s="9004"/>
      <c r="AN38" s="9004"/>
      <c r="AO38" s="9004"/>
      <c r="AP38" s="1277"/>
      <c r="AQ38" s="4149" t="str">
        <f>IF(AND(ForeignTaxPaid&lt;&gt;"",ForeignTaxPaid&gt;0,P38="",W38="",AD38=""),"←  Enter gross income.","")</f>
        <v/>
      </c>
      <c r="AR38" s="253"/>
      <c r="AS38" s="253"/>
      <c r="AT38" s="253"/>
      <c r="AU38" s="253"/>
      <c r="AV38" s="253"/>
      <c r="AW38" s="253"/>
      <c r="AX38" s="769"/>
      <c r="AY38" s="964"/>
      <c r="AZ38" s="964"/>
      <c r="BA38" s="964"/>
      <c r="BB38" s="964"/>
      <c r="BC38" s="964"/>
      <c r="BD38" s="964"/>
      <c r="BE38" s="964"/>
      <c r="BF38" s="964"/>
      <c r="BG38" s="964"/>
      <c r="BH38" s="964"/>
    </row>
    <row r="39" spans="1:60" ht="12" customHeight="1">
      <c r="A39" s="2112"/>
      <c r="B39" s="9007" t="s">
        <v>592</v>
      </c>
      <c r="C39" s="9007"/>
      <c r="D39" s="1680" t="s">
        <v>2813</v>
      </c>
      <c r="E39" s="253"/>
      <c r="F39" s="253"/>
      <c r="G39" s="253"/>
      <c r="H39" s="253"/>
      <c r="I39" s="253"/>
      <c r="J39" s="253"/>
      <c r="K39" s="253"/>
      <c r="L39" s="253"/>
      <c r="M39" s="253"/>
      <c r="N39" s="253"/>
      <c r="O39" s="253"/>
      <c r="P39" s="2073"/>
      <c r="Q39" s="723"/>
      <c r="R39" s="723"/>
      <c r="S39" s="723"/>
      <c r="T39" s="723"/>
      <c r="U39" s="723"/>
      <c r="V39" s="2074"/>
      <c r="W39" s="2073"/>
      <c r="X39" s="723"/>
      <c r="Y39" s="723"/>
      <c r="Z39" s="723"/>
      <c r="AA39" s="723"/>
      <c r="AB39" s="723"/>
      <c r="AC39" s="2074"/>
      <c r="AD39" s="2073"/>
      <c r="AE39" s="723"/>
      <c r="AF39" s="723"/>
      <c r="AG39" s="723"/>
      <c r="AH39" s="723"/>
      <c r="AI39" s="2074"/>
      <c r="AJ39" s="9027"/>
      <c r="AK39" s="7577"/>
      <c r="AL39" s="405"/>
      <c r="AM39" s="253"/>
      <c r="AN39" s="253"/>
      <c r="AO39" s="253"/>
      <c r="AP39" s="1277"/>
      <c r="AQ39" s="253"/>
      <c r="AR39" s="253"/>
      <c r="AS39" s="253"/>
      <c r="AT39" s="253"/>
      <c r="AU39" s="253"/>
      <c r="AV39" s="253"/>
      <c r="AW39" s="253"/>
      <c r="AX39" s="769"/>
      <c r="AY39" s="964"/>
      <c r="AZ39" s="964"/>
      <c r="BA39" s="964"/>
      <c r="BB39" s="964"/>
      <c r="BC39" s="964"/>
      <c r="BD39" s="964"/>
      <c r="BE39" s="964"/>
      <c r="BF39" s="964"/>
      <c r="BG39" s="964"/>
      <c r="BH39" s="964"/>
    </row>
    <row r="40" spans="1:60" ht="12" customHeight="1">
      <c r="A40" s="2112"/>
      <c r="B40" s="2373"/>
      <c r="C40" s="2373"/>
      <c r="D40" s="1680" t="s">
        <v>5469</v>
      </c>
      <c r="E40" s="253"/>
      <c r="F40" s="253"/>
      <c r="G40" s="253"/>
      <c r="H40" s="253"/>
      <c r="I40" s="253"/>
      <c r="J40" s="253"/>
      <c r="K40" s="253"/>
      <c r="L40" s="253"/>
      <c r="M40" s="253"/>
      <c r="N40" s="253"/>
      <c r="O40" s="253"/>
      <c r="P40" s="2073"/>
      <c r="Q40" s="723"/>
      <c r="R40" s="723"/>
      <c r="S40" s="723"/>
      <c r="T40" s="723"/>
      <c r="U40" s="723"/>
      <c r="V40" s="2074"/>
      <c r="W40" s="2073"/>
      <c r="X40" s="723"/>
      <c r="Y40" s="723"/>
      <c r="Z40" s="723"/>
      <c r="AA40" s="723"/>
      <c r="AB40" s="723"/>
      <c r="AC40" s="2074"/>
      <c r="AD40" s="2073"/>
      <c r="AE40" s="723"/>
      <c r="AF40" s="723"/>
      <c r="AG40" s="723"/>
      <c r="AH40" s="723"/>
      <c r="AI40" s="2074"/>
      <c r="AJ40" s="8976"/>
      <c r="AK40" s="7976"/>
      <c r="AL40" s="408"/>
      <c r="AM40" s="253"/>
      <c r="AN40" s="253"/>
      <c r="AO40" s="253"/>
      <c r="AP40" s="1277"/>
      <c r="AQ40" s="253"/>
      <c r="AR40" s="253"/>
      <c r="AS40" s="253"/>
      <c r="AT40" s="253"/>
      <c r="AU40" s="253"/>
      <c r="AV40" s="253"/>
      <c r="AW40" s="253"/>
      <c r="AX40" s="769"/>
      <c r="AY40" s="964"/>
      <c r="AZ40" s="964"/>
      <c r="BA40" s="964"/>
      <c r="BB40" s="964"/>
      <c r="BC40" s="964"/>
      <c r="BD40" s="964"/>
      <c r="BE40" s="964"/>
      <c r="BF40" s="964"/>
      <c r="BG40" s="964"/>
      <c r="BH40" s="964"/>
    </row>
    <row r="41" spans="1:60" ht="12" customHeight="1">
      <c r="A41" s="2112"/>
      <c r="B41" s="2373"/>
      <c r="C41" s="2373"/>
      <c r="D41" s="1680" t="s">
        <v>5470</v>
      </c>
      <c r="E41" s="253"/>
      <c r="F41" s="253"/>
      <c r="G41" s="253"/>
      <c r="H41" s="253"/>
      <c r="I41" s="253"/>
      <c r="J41" s="253"/>
      <c r="K41" s="253"/>
      <c r="L41" s="253"/>
      <c r="M41" s="253"/>
      <c r="N41" s="253"/>
      <c r="O41" s="253"/>
      <c r="P41" s="2073"/>
      <c r="Q41" s="723"/>
      <c r="R41" s="723"/>
      <c r="S41" s="723"/>
      <c r="T41" s="723"/>
      <c r="U41" s="723"/>
      <c r="V41" s="2074"/>
      <c r="W41" s="2073"/>
      <c r="X41" s="723"/>
      <c r="Y41" s="723"/>
      <c r="Z41" s="723"/>
      <c r="AA41" s="723"/>
      <c r="AB41" s="723"/>
      <c r="AC41" s="2074"/>
      <c r="AD41" s="2073"/>
      <c r="AE41" s="723"/>
      <c r="AF41" s="723"/>
      <c r="AG41" s="723"/>
      <c r="AH41" s="723"/>
      <c r="AI41" s="2074"/>
      <c r="AJ41" s="8976"/>
      <c r="AK41" s="7976"/>
      <c r="AL41" s="408"/>
      <c r="AM41" s="253"/>
      <c r="AN41" s="253"/>
      <c r="AO41" s="253"/>
      <c r="AP41" s="1277"/>
      <c r="AQ41" s="253"/>
      <c r="AR41" s="253"/>
      <c r="AS41" s="253"/>
      <c r="AT41" s="253"/>
      <c r="AU41" s="253"/>
      <c r="AV41" s="253"/>
      <c r="AW41" s="253"/>
      <c r="AX41" s="769"/>
      <c r="AY41" s="964"/>
      <c r="AZ41" s="964"/>
      <c r="BA41" s="964"/>
      <c r="BB41" s="964"/>
      <c r="BC41" s="964"/>
      <c r="BD41" s="964"/>
      <c r="BE41" s="964"/>
      <c r="BF41" s="964"/>
      <c r="BG41" s="964"/>
      <c r="BH41" s="964"/>
    </row>
    <row r="42" spans="1:60" ht="12" customHeight="1">
      <c r="A42" s="2112"/>
      <c r="B42" s="2373"/>
      <c r="C42" s="2373"/>
      <c r="D42" s="1680" t="s">
        <v>5471</v>
      </c>
      <c r="E42" s="253"/>
      <c r="F42" s="253"/>
      <c r="G42" s="253"/>
      <c r="H42" s="253"/>
      <c r="I42" s="253"/>
      <c r="J42" s="253"/>
      <c r="K42" s="253"/>
      <c r="L42" s="253"/>
      <c r="M42" s="253"/>
      <c r="N42" s="253"/>
      <c r="O42" s="253"/>
      <c r="P42" s="2073"/>
      <c r="Q42" s="723"/>
      <c r="R42" s="723"/>
      <c r="S42" s="723"/>
      <c r="T42" s="723"/>
      <c r="U42" s="723"/>
      <c r="V42" s="2074"/>
      <c r="W42" s="2073"/>
      <c r="X42" s="723"/>
      <c r="Y42" s="723"/>
      <c r="Z42" s="723"/>
      <c r="AA42" s="723"/>
      <c r="AB42" s="723"/>
      <c r="AC42" s="2074"/>
      <c r="AD42" s="2073"/>
      <c r="AE42" s="723"/>
      <c r="AF42" s="723"/>
      <c r="AG42" s="723"/>
      <c r="AH42" s="723"/>
      <c r="AI42" s="2074"/>
      <c r="AJ42" s="8976"/>
      <c r="AK42" s="7976"/>
      <c r="AL42" s="408"/>
      <c r="AM42" s="253"/>
      <c r="AN42" s="253"/>
      <c r="AO42" s="253"/>
      <c r="AP42" s="1277"/>
      <c r="AQ42" s="253"/>
      <c r="AR42" s="253"/>
      <c r="AS42" s="253"/>
      <c r="AT42" s="253"/>
      <c r="AU42" s="253"/>
      <c r="AV42" s="253"/>
      <c r="AW42" s="253"/>
      <c r="AX42" s="769"/>
      <c r="AY42" s="964"/>
      <c r="AZ42" s="964"/>
      <c r="BA42" s="964"/>
      <c r="BB42" s="964"/>
      <c r="BC42" s="964"/>
      <c r="BD42" s="964"/>
      <c r="BE42" s="964"/>
      <c r="BF42" s="964"/>
      <c r="BG42" s="964"/>
      <c r="BH42" s="964"/>
    </row>
    <row r="43" spans="1:60" ht="12" customHeight="1">
      <c r="A43" s="2112"/>
      <c r="B43" s="2373"/>
      <c r="C43" s="2373"/>
      <c r="D43" s="1680" t="s">
        <v>726</v>
      </c>
      <c r="E43" s="253"/>
      <c r="F43" s="253"/>
      <c r="G43" s="253"/>
      <c r="H43" s="253"/>
      <c r="I43" s="253"/>
      <c r="J43" s="253"/>
      <c r="K43" s="253"/>
      <c r="L43" s="253"/>
      <c r="M43" s="1401" t="s">
        <v>784</v>
      </c>
      <c r="N43" s="276"/>
      <c r="O43" s="253"/>
      <c r="P43" s="2073"/>
      <c r="Q43" s="723"/>
      <c r="R43" s="723"/>
      <c r="S43" s="723"/>
      <c r="T43" s="723"/>
      <c r="U43" s="723"/>
      <c r="V43" s="2074"/>
      <c r="W43" s="2073"/>
      <c r="X43" s="723"/>
      <c r="Y43" s="723"/>
      <c r="Z43" s="723"/>
      <c r="AA43" s="723"/>
      <c r="AB43" s="723"/>
      <c r="AC43" s="2074"/>
      <c r="AD43" s="2073"/>
      <c r="AE43" s="723"/>
      <c r="AF43" s="723"/>
      <c r="AG43" s="723"/>
      <c r="AH43" s="723"/>
      <c r="AI43" s="2074"/>
      <c r="AJ43" s="8976"/>
      <c r="AK43" s="7976"/>
      <c r="AL43" s="408"/>
      <c r="AM43" s="253"/>
      <c r="AN43" s="253"/>
      <c r="AO43" s="253"/>
      <c r="AP43" s="1277"/>
      <c r="AQ43" s="253"/>
      <c r="AR43" s="253"/>
      <c r="AS43" s="253"/>
      <c r="AT43" s="253"/>
      <c r="AU43" s="253"/>
      <c r="AV43" s="253"/>
      <c r="AW43" s="253"/>
      <c r="AX43" s="769"/>
      <c r="AY43" s="964"/>
      <c r="AZ43" s="964"/>
      <c r="BA43" s="964"/>
      <c r="BB43" s="964"/>
      <c r="BC43" s="964"/>
      <c r="BD43" s="964"/>
      <c r="BE43" s="964"/>
      <c r="BF43" s="964"/>
      <c r="BG43" s="964"/>
      <c r="BH43" s="964"/>
    </row>
    <row r="44" spans="1:60" ht="6" customHeight="1">
      <c r="A44" s="2112"/>
      <c r="B44" s="4156"/>
      <c r="C44" s="4156"/>
      <c r="D44" s="4162"/>
      <c r="E44" s="413"/>
      <c r="F44" s="413"/>
      <c r="G44" s="413"/>
      <c r="H44" s="413"/>
      <c r="I44" s="413"/>
      <c r="J44" s="413"/>
      <c r="K44" s="413"/>
      <c r="L44" s="413"/>
      <c r="M44" s="413"/>
      <c r="N44" s="413"/>
      <c r="O44" s="413"/>
      <c r="P44" s="4163"/>
      <c r="Q44" s="4164"/>
      <c r="R44" s="4164"/>
      <c r="S44" s="4164"/>
      <c r="T44" s="4164"/>
      <c r="U44" s="4164"/>
      <c r="V44" s="4165"/>
      <c r="W44" s="4163"/>
      <c r="X44" s="4164"/>
      <c r="Y44" s="4164"/>
      <c r="Z44" s="4164"/>
      <c r="AA44" s="4164"/>
      <c r="AB44" s="4164"/>
      <c r="AC44" s="4165"/>
      <c r="AD44" s="4163"/>
      <c r="AE44" s="4164"/>
      <c r="AF44" s="4164"/>
      <c r="AG44" s="4164"/>
      <c r="AH44" s="4164"/>
      <c r="AI44" s="4165"/>
      <c r="AJ44" s="8976"/>
      <c r="AK44" s="7976"/>
      <c r="AL44" s="408"/>
      <c r="AM44" s="253"/>
      <c r="AN44" s="253"/>
      <c r="AO44" s="253"/>
      <c r="AP44" s="1277"/>
      <c r="AQ44" s="253"/>
      <c r="AR44" s="253"/>
      <c r="AS44" s="253"/>
      <c r="AT44" s="253"/>
      <c r="AU44" s="253"/>
      <c r="AV44" s="253"/>
      <c r="AW44" s="253"/>
      <c r="AX44" s="769"/>
      <c r="AY44" s="964"/>
      <c r="AZ44" s="964"/>
      <c r="BA44" s="964"/>
      <c r="BB44" s="964"/>
      <c r="BC44" s="964"/>
      <c r="BD44" s="964"/>
      <c r="BE44" s="964"/>
      <c r="BF44" s="964"/>
      <c r="BG44" s="964"/>
      <c r="BH44" s="964"/>
    </row>
    <row r="45" spans="1:60" ht="13.5" customHeight="1">
      <c r="A45" s="2112"/>
      <c r="B45" s="504" t="s">
        <v>2814</v>
      </c>
      <c r="C45" s="2373"/>
      <c r="D45" s="511"/>
      <c r="E45" s="253"/>
      <c r="F45" s="253"/>
      <c r="G45" s="253"/>
      <c r="H45" s="253"/>
      <c r="I45" s="253"/>
      <c r="J45" s="253"/>
      <c r="K45" s="253"/>
      <c r="L45" s="253"/>
      <c r="M45" s="253"/>
      <c r="N45" s="253"/>
      <c r="O45" s="253"/>
      <c r="P45" s="2073"/>
      <c r="Q45" s="723"/>
      <c r="R45" s="723"/>
      <c r="S45" s="723"/>
      <c r="T45" s="723"/>
      <c r="U45" s="723"/>
      <c r="V45" s="2074"/>
      <c r="W45" s="2073"/>
      <c r="X45" s="723"/>
      <c r="Y45" s="723"/>
      <c r="Z45" s="723"/>
      <c r="AA45" s="723"/>
      <c r="AB45" s="723"/>
      <c r="AC45" s="2074"/>
      <c r="AD45" s="2073"/>
      <c r="AE45" s="723"/>
      <c r="AF45" s="723"/>
      <c r="AG45" s="723"/>
      <c r="AH45" s="723"/>
      <c r="AI45" s="2074"/>
      <c r="AJ45" s="8976"/>
      <c r="AK45" s="7976"/>
      <c r="AL45" s="408"/>
      <c r="AM45" s="253"/>
      <c r="AN45" s="253"/>
      <c r="AO45" s="253"/>
      <c r="AP45" s="1277"/>
      <c r="AQ45" s="253"/>
      <c r="AR45" s="253"/>
      <c r="AS45" s="253"/>
      <c r="AT45" s="253"/>
      <c r="AU45" s="253"/>
      <c r="AV45" s="253"/>
      <c r="AW45" s="253"/>
      <c r="AX45" s="769"/>
      <c r="AY45" s="964"/>
      <c r="AZ45" s="964"/>
      <c r="BA45" s="964"/>
      <c r="BB45" s="964"/>
      <c r="BC45" s="964"/>
      <c r="BD45" s="964"/>
      <c r="BE45" s="964"/>
      <c r="BF45" s="964"/>
      <c r="BG45" s="964"/>
      <c r="BH45" s="964"/>
    </row>
    <row r="46" spans="1:60" ht="13.5" customHeight="1">
      <c r="A46" s="2112"/>
      <c r="B46" s="8975">
        <v>2</v>
      </c>
      <c r="C46" s="8975"/>
      <c r="D46" s="504" t="s">
        <v>2815</v>
      </c>
      <c r="E46" s="253"/>
      <c r="F46" s="253"/>
      <c r="G46" s="253"/>
      <c r="H46" s="253"/>
      <c r="I46" s="253"/>
      <c r="J46" s="253"/>
      <c r="K46" s="253"/>
      <c r="L46" s="253"/>
      <c r="M46" s="253"/>
      <c r="N46" s="253"/>
      <c r="O46" s="253"/>
      <c r="P46" s="408"/>
      <c r="Q46" s="253"/>
      <c r="R46" s="253"/>
      <c r="S46" s="253"/>
      <c r="T46" s="253"/>
      <c r="U46" s="253"/>
      <c r="V46" s="409"/>
      <c r="W46" s="253"/>
      <c r="X46" s="253"/>
      <c r="Y46" s="253"/>
      <c r="Z46" s="253"/>
      <c r="AA46" s="253"/>
      <c r="AB46" s="253"/>
      <c r="AC46" s="409"/>
      <c r="AD46" s="253"/>
      <c r="AE46" s="253"/>
      <c r="AF46" s="253"/>
      <c r="AG46" s="253"/>
      <c r="AH46" s="253"/>
      <c r="AI46" s="409"/>
      <c r="AJ46" s="8976"/>
      <c r="AK46" s="7976"/>
      <c r="AL46" s="408"/>
      <c r="AM46" s="253"/>
      <c r="AN46" s="253"/>
      <c r="AO46" s="253"/>
      <c r="AP46" s="1277"/>
      <c r="AQ46" s="253"/>
      <c r="AR46" s="253"/>
      <c r="AS46" s="253"/>
      <c r="AT46" s="253"/>
      <c r="AU46" s="253"/>
      <c r="AV46" s="253"/>
      <c r="AW46" s="253"/>
      <c r="AX46" s="769"/>
      <c r="AY46" s="964"/>
      <c r="AZ46" s="964"/>
      <c r="BA46" s="964"/>
      <c r="BB46" s="964"/>
      <c r="BC46" s="964"/>
      <c r="BD46" s="964"/>
      <c r="BE46" s="964"/>
      <c r="BF46" s="964"/>
      <c r="BG46" s="964"/>
      <c r="BH46" s="964"/>
    </row>
    <row r="47" spans="1:60" ht="13.5" customHeight="1">
      <c r="A47" s="2112"/>
      <c r="B47" s="9007"/>
      <c r="C47" s="9007"/>
      <c r="D47" s="344" t="s">
        <v>2816</v>
      </c>
      <c r="E47" s="253"/>
      <c r="F47" s="253"/>
      <c r="G47" s="253"/>
      <c r="H47" s="253"/>
      <c r="I47" s="253"/>
      <c r="J47" s="253"/>
      <c r="K47" s="253"/>
      <c r="L47" s="253"/>
      <c r="M47" s="253"/>
      <c r="N47" s="253"/>
      <c r="O47" s="1401" t="s">
        <v>842</v>
      </c>
      <c r="P47" s="9011"/>
      <c r="Q47" s="9012"/>
      <c r="R47" s="9012"/>
      <c r="S47" s="9012"/>
      <c r="T47" s="9012"/>
      <c r="U47" s="9012"/>
      <c r="V47" s="9013"/>
      <c r="W47" s="9011"/>
      <c r="X47" s="9012"/>
      <c r="Y47" s="9012"/>
      <c r="Z47" s="9012"/>
      <c r="AA47" s="9012"/>
      <c r="AB47" s="9012"/>
      <c r="AC47" s="9013"/>
      <c r="AD47" s="9011"/>
      <c r="AE47" s="9012"/>
      <c r="AF47" s="9012"/>
      <c r="AG47" s="9012"/>
      <c r="AH47" s="9012"/>
      <c r="AI47" s="9013"/>
      <c r="AJ47" s="8976"/>
      <c r="AK47" s="7976"/>
      <c r="AL47" s="408"/>
      <c r="AM47" s="253"/>
      <c r="AN47" s="253"/>
      <c r="AO47" s="253"/>
      <c r="AP47" s="1277"/>
      <c r="AQ47" s="253"/>
      <c r="AR47" s="253"/>
      <c r="AS47" s="253"/>
      <c r="AT47" s="253"/>
      <c r="AU47" s="253"/>
      <c r="AV47" s="253"/>
      <c r="AW47" s="253"/>
      <c r="AX47" s="769"/>
      <c r="AY47" s="964"/>
      <c r="AZ47" s="964"/>
      <c r="BA47" s="964"/>
      <c r="BB47" s="964"/>
      <c r="BC47" s="964"/>
      <c r="BD47" s="964"/>
      <c r="BE47" s="964"/>
      <c r="BF47" s="964"/>
      <c r="BG47" s="964"/>
      <c r="BH47" s="964"/>
    </row>
    <row r="48" spans="1:60" ht="13.5" customHeight="1">
      <c r="A48" s="2112"/>
      <c r="B48" s="8975">
        <v>3</v>
      </c>
      <c r="C48" s="8975"/>
      <c r="D48" s="504" t="s">
        <v>2817</v>
      </c>
      <c r="E48" s="253"/>
      <c r="F48" s="253"/>
      <c r="G48" s="253"/>
      <c r="H48" s="253"/>
      <c r="I48" s="253"/>
      <c r="J48" s="253"/>
      <c r="K48" s="253"/>
      <c r="L48" s="253"/>
      <c r="M48" s="253"/>
      <c r="N48" s="253"/>
      <c r="O48" s="253"/>
      <c r="P48" s="2073"/>
      <c r="Q48" s="723"/>
      <c r="R48" s="723"/>
      <c r="S48" s="723"/>
      <c r="T48" s="723"/>
      <c r="U48" s="723"/>
      <c r="V48" s="2074"/>
      <c r="W48" s="2073"/>
      <c r="X48" s="723"/>
      <c r="Y48" s="723"/>
      <c r="Z48" s="723"/>
      <c r="AA48" s="723"/>
      <c r="AB48" s="723"/>
      <c r="AC48" s="2074"/>
      <c r="AD48" s="2073"/>
      <c r="AE48" s="723"/>
      <c r="AF48" s="723"/>
      <c r="AG48" s="723"/>
      <c r="AH48" s="723"/>
      <c r="AI48" s="2074"/>
      <c r="AJ48" s="8976"/>
      <c r="AK48" s="7976"/>
      <c r="AL48" s="408"/>
      <c r="AM48" s="253"/>
      <c r="AN48" s="253"/>
      <c r="AO48" s="253"/>
      <c r="AP48" s="1277"/>
      <c r="AQ48" s="253"/>
      <c r="AR48" s="253"/>
      <c r="AS48" s="253"/>
      <c r="AT48" s="253"/>
      <c r="AU48" s="253"/>
      <c r="AV48" s="253"/>
      <c r="AW48" s="253"/>
      <c r="AX48" s="769"/>
      <c r="AY48" s="964"/>
      <c r="AZ48" s="964"/>
      <c r="BA48" s="964"/>
      <c r="BB48" s="964"/>
      <c r="BC48" s="964"/>
      <c r="BD48" s="964"/>
      <c r="BE48" s="964"/>
      <c r="BF48" s="964"/>
      <c r="BG48" s="964"/>
      <c r="BH48" s="964"/>
    </row>
    <row r="49" spans="1:60" ht="13.5" customHeight="1">
      <c r="A49" s="2112"/>
      <c r="B49" s="9007"/>
      <c r="C49" s="9007"/>
      <c r="D49" s="807" t="s">
        <v>2818</v>
      </c>
      <c r="E49" s="253"/>
      <c r="F49" s="253"/>
      <c r="G49" s="253"/>
      <c r="H49" s="253"/>
      <c r="I49" s="253"/>
      <c r="J49" s="253"/>
      <c r="K49" s="253"/>
      <c r="L49" s="253"/>
      <c r="M49" s="253"/>
      <c r="N49" s="253"/>
      <c r="O49" s="253"/>
      <c r="P49" s="2073"/>
      <c r="Q49" s="723"/>
      <c r="R49" s="723"/>
      <c r="S49" s="723"/>
      <c r="T49" s="723"/>
      <c r="U49" s="723"/>
      <c r="V49" s="2074"/>
      <c r="W49" s="2073"/>
      <c r="X49" s="723"/>
      <c r="Y49" s="723"/>
      <c r="Z49" s="723"/>
      <c r="AA49" s="723"/>
      <c r="AB49" s="723"/>
      <c r="AC49" s="2074"/>
      <c r="AD49" s="2073"/>
      <c r="AE49" s="723"/>
      <c r="AF49" s="723"/>
      <c r="AG49" s="723"/>
      <c r="AH49" s="723"/>
      <c r="AI49" s="2074"/>
      <c r="AJ49" s="8976"/>
      <c r="AK49" s="7976"/>
      <c r="AL49" s="408"/>
      <c r="AM49" s="253"/>
      <c r="AN49" s="253"/>
      <c r="AO49" s="253"/>
      <c r="AP49" s="1277"/>
      <c r="AQ49" s="253"/>
      <c r="AR49" s="253"/>
      <c r="AS49" s="253"/>
      <c r="AT49" s="253"/>
      <c r="AU49" s="253"/>
      <c r="AV49" s="253"/>
      <c r="AW49" s="253"/>
      <c r="AX49" s="769"/>
      <c r="AY49" s="964"/>
      <c r="AZ49" s="964"/>
      <c r="BA49" s="964"/>
      <c r="BB49" s="964"/>
      <c r="BC49" s="964"/>
      <c r="BD49" s="964"/>
      <c r="BE49" s="964"/>
      <c r="BF49" s="964"/>
      <c r="BG49" s="964"/>
      <c r="BH49" s="964"/>
    </row>
    <row r="50" spans="1:60" ht="13.5" customHeight="1">
      <c r="A50" s="2112"/>
      <c r="B50" s="8975" t="s">
        <v>588</v>
      </c>
      <c r="C50" s="8975"/>
      <c r="D50" s="504" t="s">
        <v>2819</v>
      </c>
      <c r="E50" s="253"/>
      <c r="F50" s="253"/>
      <c r="G50" s="253"/>
      <c r="H50" s="253"/>
      <c r="I50" s="253"/>
      <c r="J50" s="253"/>
      <c r="K50" s="253"/>
      <c r="L50" s="253"/>
      <c r="M50" s="253"/>
      <c r="N50" s="253"/>
      <c r="O50" s="253"/>
      <c r="P50" s="408"/>
      <c r="Q50" s="253"/>
      <c r="R50" s="253"/>
      <c r="S50" s="253"/>
      <c r="T50" s="253"/>
      <c r="U50" s="253"/>
      <c r="V50" s="409"/>
      <c r="W50" s="253"/>
      <c r="X50" s="253"/>
      <c r="Y50" s="253"/>
      <c r="Z50" s="253"/>
      <c r="AA50" s="253"/>
      <c r="AB50" s="253"/>
      <c r="AC50" s="409"/>
      <c r="AD50" s="253"/>
      <c r="AE50" s="253"/>
      <c r="AF50" s="253"/>
      <c r="AG50" s="253"/>
      <c r="AH50" s="253"/>
      <c r="AI50" s="409"/>
      <c r="AJ50" s="8976"/>
      <c r="AK50" s="7976"/>
      <c r="AL50" s="408"/>
      <c r="AM50" s="253"/>
      <c r="AN50" s="253"/>
      <c r="AO50" s="253"/>
      <c r="AP50" s="1277"/>
      <c r="AQ50" s="253"/>
      <c r="AR50" s="253"/>
      <c r="AS50" s="253"/>
      <c r="AT50" s="253"/>
      <c r="AU50" s="253"/>
      <c r="AV50" s="253"/>
      <c r="AW50" s="253"/>
      <c r="AX50" s="769"/>
      <c r="AY50" s="964"/>
      <c r="AZ50" s="964"/>
      <c r="BA50" s="964"/>
      <c r="BB50" s="964"/>
      <c r="BC50" s="964"/>
      <c r="BD50" s="964"/>
      <c r="BE50" s="964"/>
      <c r="BF50" s="964"/>
      <c r="BG50" s="964"/>
      <c r="BH50" s="964"/>
    </row>
    <row r="51" spans="1:60" ht="13.5" customHeight="1">
      <c r="A51" s="2112"/>
      <c r="B51" s="4151"/>
      <c r="C51" s="4151"/>
      <c r="D51" s="504" t="s">
        <v>2018</v>
      </c>
      <c r="E51" s="253"/>
      <c r="F51" s="253"/>
      <c r="G51" s="253"/>
      <c r="H51" s="253"/>
      <c r="I51" s="253"/>
      <c r="J51" s="253"/>
      <c r="K51" s="253"/>
      <c r="L51" s="253"/>
      <c r="M51" s="253"/>
      <c r="N51" s="253"/>
      <c r="O51" s="1401" t="s">
        <v>824</v>
      </c>
      <c r="P51" s="9011"/>
      <c r="Q51" s="9012"/>
      <c r="R51" s="9012"/>
      <c r="S51" s="9012"/>
      <c r="T51" s="9012"/>
      <c r="U51" s="9012"/>
      <c r="V51" s="9013"/>
      <c r="W51" s="9011"/>
      <c r="X51" s="9012"/>
      <c r="Y51" s="9012"/>
      <c r="Z51" s="9012"/>
      <c r="AA51" s="9012"/>
      <c r="AB51" s="9012"/>
      <c r="AC51" s="9013"/>
      <c r="AD51" s="9011"/>
      <c r="AE51" s="9012"/>
      <c r="AF51" s="9012"/>
      <c r="AG51" s="9012"/>
      <c r="AH51" s="9012"/>
      <c r="AI51" s="9013"/>
      <c r="AJ51" s="8976"/>
      <c r="AK51" s="7976"/>
      <c r="AL51" s="408"/>
      <c r="AM51" s="253"/>
      <c r="AN51" s="253"/>
      <c r="AO51" s="253"/>
      <c r="AP51" s="1277"/>
      <c r="AQ51" s="253"/>
      <c r="AR51" s="253"/>
      <c r="AS51" s="253"/>
      <c r="AT51" s="253"/>
      <c r="AU51" s="253"/>
      <c r="AV51" s="253"/>
      <c r="AW51" s="253"/>
      <c r="AX51" s="769"/>
      <c r="AY51" s="964"/>
      <c r="AZ51" s="964"/>
      <c r="BA51" s="964"/>
      <c r="BB51" s="964"/>
      <c r="BC51" s="964"/>
      <c r="BD51" s="964"/>
      <c r="BE51" s="964"/>
      <c r="BF51" s="964"/>
      <c r="BG51" s="964"/>
      <c r="BH51" s="964"/>
    </row>
    <row r="52" spans="1:60" ht="13.5" customHeight="1">
      <c r="A52" s="2112"/>
      <c r="B52" s="8975" t="s">
        <v>592</v>
      </c>
      <c r="C52" s="8975"/>
      <c r="D52" s="504" t="s">
        <v>2820</v>
      </c>
      <c r="E52" s="253"/>
      <c r="F52" s="253"/>
      <c r="G52" s="253"/>
      <c r="H52" s="253"/>
      <c r="I52" s="253"/>
      <c r="J52" s="253"/>
      <c r="K52" s="253"/>
      <c r="L52" s="253"/>
      <c r="M52" s="253"/>
      <c r="N52" s="253"/>
      <c r="O52" s="1401" t="s">
        <v>905</v>
      </c>
      <c r="P52" s="9019"/>
      <c r="Q52" s="9020"/>
      <c r="R52" s="9020"/>
      <c r="S52" s="9020"/>
      <c r="T52" s="9020"/>
      <c r="U52" s="9020"/>
      <c r="V52" s="9021"/>
      <c r="W52" s="9019"/>
      <c r="X52" s="9020"/>
      <c r="Y52" s="9020"/>
      <c r="Z52" s="9020"/>
      <c r="AA52" s="9020"/>
      <c r="AB52" s="9020"/>
      <c r="AC52" s="9021"/>
      <c r="AD52" s="9019"/>
      <c r="AE52" s="9020"/>
      <c r="AF52" s="9020"/>
      <c r="AG52" s="9020"/>
      <c r="AH52" s="9020"/>
      <c r="AI52" s="9021"/>
      <c r="AJ52" s="8976"/>
      <c r="AK52" s="7976"/>
      <c r="AL52" s="408"/>
      <c r="AM52" s="253"/>
      <c r="AN52" s="253"/>
      <c r="AO52" s="253"/>
      <c r="AP52" s="1277"/>
      <c r="AQ52" s="253"/>
      <c r="AR52" s="253"/>
      <c r="AS52" s="253"/>
      <c r="AT52" s="253"/>
      <c r="AU52" s="253"/>
      <c r="AV52" s="253"/>
      <c r="AW52" s="253"/>
      <c r="AX52" s="769"/>
      <c r="AY52" s="964"/>
      <c r="AZ52" s="964"/>
      <c r="BA52" s="964"/>
      <c r="BB52" s="964"/>
      <c r="BC52" s="964"/>
      <c r="BD52" s="964"/>
      <c r="BE52" s="964"/>
      <c r="BF52" s="964"/>
      <c r="BG52" s="964"/>
      <c r="BH52" s="964"/>
    </row>
    <row r="53" spans="1:60" ht="13.5" customHeight="1">
      <c r="A53" s="2112"/>
      <c r="B53" s="8975" t="s">
        <v>595</v>
      </c>
      <c r="C53" s="8975"/>
      <c r="D53" s="504" t="s">
        <v>2821</v>
      </c>
      <c r="E53" s="253"/>
      <c r="F53" s="253"/>
      <c r="G53" s="253"/>
      <c r="H53" s="253"/>
      <c r="I53" s="253"/>
      <c r="J53" s="253"/>
      <c r="K53" s="253"/>
      <c r="L53" s="253"/>
      <c r="M53" s="253"/>
      <c r="N53" s="253"/>
      <c r="O53" s="1401" t="s">
        <v>784</v>
      </c>
      <c r="P53" s="9016">
        <f>SUM(P51:P52)</f>
        <v>0</v>
      </c>
      <c r="Q53" s="9017"/>
      <c r="R53" s="9017"/>
      <c r="S53" s="9017"/>
      <c r="T53" s="9017"/>
      <c r="U53" s="9017"/>
      <c r="V53" s="9018"/>
      <c r="W53" s="9016">
        <f>SUM(W51:W52)</f>
        <v>0</v>
      </c>
      <c r="X53" s="9017"/>
      <c r="Y53" s="9017"/>
      <c r="Z53" s="9017"/>
      <c r="AA53" s="9017"/>
      <c r="AB53" s="9017"/>
      <c r="AC53" s="9018"/>
      <c r="AD53" s="9016">
        <f>SUM(AD51:AD52)</f>
        <v>0</v>
      </c>
      <c r="AE53" s="9017"/>
      <c r="AF53" s="9017"/>
      <c r="AG53" s="9017"/>
      <c r="AH53" s="9017"/>
      <c r="AI53" s="9018"/>
      <c r="AJ53" s="8976"/>
      <c r="AK53" s="7976"/>
      <c r="AL53" s="408"/>
      <c r="AM53" s="253"/>
      <c r="AN53" s="253"/>
      <c r="AO53" s="253"/>
      <c r="AP53" s="1277"/>
      <c r="AQ53" s="253"/>
      <c r="AR53" s="253"/>
      <c r="AS53" s="253"/>
      <c r="AT53" s="253"/>
      <c r="AU53" s="253"/>
      <c r="AV53" s="253"/>
      <c r="AW53" s="253"/>
      <c r="AX53" s="769"/>
      <c r="AY53" s="964"/>
      <c r="AZ53" s="964"/>
      <c r="BA53" s="964"/>
      <c r="BB53" s="964"/>
      <c r="BC53" s="964"/>
      <c r="BD53" s="964"/>
      <c r="BE53" s="964"/>
      <c r="BF53" s="964"/>
      <c r="BG53" s="964"/>
      <c r="BH53" s="964"/>
    </row>
    <row r="54" spans="1:60" ht="13.5" customHeight="1">
      <c r="A54" s="2112"/>
      <c r="B54" s="8975" t="s">
        <v>599</v>
      </c>
      <c r="C54" s="8975"/>
      <c r="D54" s="504" t="s">
        <v>2822</v>
      </c>
      <c r="E54" s="253"/>
      <c r="F54" s="253"/>
      <c r="G54" s="253"/>
      <c r="H54" s="253"/>
      <c r="I54" s="253"/>
      <c r="J54" s="253"/>
      <c r="K54" s="253"/>
      <c r="L54" s="253"/>
      <c r="M54" s="253"/>
      <c r="N54" s="253"/>
      <c r="O54" s="1401" t="s">
        <v>2823</v>
      </c>
      <c r="P54" s="9019"/>
      <c r="Q54" s="9020"/>
      <c r="R54" s="9020"/>
      <c r="S54" s="9020"/>
      <c r="T54" s="9020"/>
      <c r="U54" s="9020"/>
      <c r="V54" s="9021"/>
      <c r="W54" s="9019"/>
      <c r="X54" s="9020"/>
      <c r="Y54" s="9020"/>
      <c r="Z54" s="9020"/>
      <c r="AA54" s="9020"/>
      <c r="AB54" s="9020"/>
      <c r="AC54" s="9021"/>
      <c r="AD54" s="9019"/>
      <c r="AE54" s="9020"/>
      <c r="AF54" s="9020"/>
      <c r="AG54" s="9020"/>
      <c r="AH54" s="9020"/>
      <c r="AI54" s="9021"/>
      <c r="AJ54" s="8976"/>
      <c r="AK54" s="7976"/>
      <c r="AL54" s="408"/>
      <c r="AM54" s="253"/>
      <c r="AN54" s="253"/>
      <c r="AO54" s="253"/>
      <c r="AP54" s="1277"/>
      <c r="AQ54" s="253"/>
      <c r="AR54" s="253"/>
      <c r="AS54" s="253"/>
      <c r="AT54" s="253"/>
      <c r="AU54" s="253"/>
      <c r="AV54" s="253"/>
      <c r="AW54" s="253"/>
      <c r="AX54" s="769"/>
      <c r="AY54" s="964"/>
      <c r="AZ54" s="964"/>
      <c r="BA54" s="964"/>
      <c r="BB54" s="964"/>
      <c r="BC54" s="964"/>
      <c r="BD54" s="964"/>
      <c r="BE54" s="964"/>
      <c r="BF54" s="964"/>
      <c r="BG54" s="964"/>
      <c r="BH54" s="964"/>
    </row>
    <row r="55" spans="1:60" ht="13.5" customHeight="1">
      <c r="A55" s="2112"/>
      <c r="B55" s="8975" t="s">
        <v>603</v>
      </c>
      <c r="C55" s="8975"/>
      <c r="D55" s="504" t="s">
        <v>2824</v>
      </c>
      <c r="E55" s="253"/>
      <c r="F55" s="253"/>
      <c r="G55" s="253"/>
      <c r="H55" s="253"/>
      <c r="I55" s="253"/>
      <c r="J55" s="253"/>
      <c r="K55" s="253"/>
      <c r="L55" s="253"/>
      <c r="M55" s="253"/>
      <c r="N55" s="253"/>
      <c r="O55" s="1401" t="s">
        <v>2823</v>
      </c>
      <c r="P55" s="9019"/>
      <c r="Q55" s="9020"/>
      <c r="R55" s="9020"/>
      <c r="S55" s="9020"/>
      <c r="T55" s="9020"/>
      <c r="U55" s="9020"/>
      <c r="V55" s="9021"/>
      <c r="W55" s="9019"/>
      <c r="X55" s="9020"/>
      <c r="Y55" s="9020"/>
      <c r="Z55" s="9020"/>
      <c r="AA55" s="9020"/>
      <c r="AB55" s="9020"/>
      <c r="AC55" s="9021"/>
      <c r="AD55" s="9019"/>
      <c r="AE55" s="9020"/>
      <c r="AF55" s="9020"/>
      <c r="AG55" s="9020"/>
      <c r="AH55" s="9020"/>
      <c r="AI55" s="9021"/>
      <c r="AJ55" s="8976"/>
      <c r="AK55" s="7976"/>
      <c r="AL55" s="408"/>
      <c r="AM55" s="253"/>
      <c r="AN55" s="253"/>
      <c r="AO55" s="253"/>
      <c r="AP55" s="1277"/>
      <c r="AQ55" s="253"/>
      <c r="AR55" s="253"/>
      <c r="AS55" s="253"/>
      <c r="AT55" s="253"/>
      <c r="AU55" s="253"/>
      <c r="AV55" s="253"/>
      <c r="AW55" s="253"/>
      <c r="AX55" s="769"/>
      <c r="AY55" s="964"/>
      <c r="AZ55" s="964"/>
      <c r="BA55" s="964"/>
      <c r="BB55" s="964"/>
      <c r="BC55" s="964"/>
      <c r="BD55" s="964"/>
      <c r="BE55" s="964"/>
      <c r="BF55" s="964"/>
      <c r="BG55" s="964"/>
      <c r="BH55" s="964"/>
    </row>
    <row r="56" spans="1:60" ht="13.5" customHeight="1">
      <c r="A56" s="2112"/>
      <c r="B56" s="8975" t="s">
        <v>606</v>
      </c>
      <c r="C56" s="8975"/>
      <c r="D56" s="504" t="s">
        <v>2825</v>
      </c>
      <c r="E56" s="253"/>
      <c r="F56" s="253"/>
      <c r="G56" s="253"/>
      <c r="H56" s="253"/>
      <c r="I56" s="253"/>
      <c r="J56" s="253"/>
      <c r="K56" s="253"/>
      <c r="L56" s="253"/>
      <c r="M56" s="253"/>
      <c r="N56" s="253"/>
      <c r="O56" s="1401" t="s">
        <v>832</v>
      </c>
      <c r="P56" s="9088" t="str">
        <f>IF(P55=0,"",ROUND(P54/P55,4))</f>
        <v/>
      </c>
      <c r="Q56" s="9089"/>
      <c r="R56" s="9089"/>
      <c r="S56" s="9089"/>
      <c r="T56" s="9089"/>
      <c r="U56" s="9089"/>
      <c r="V56" s="9090"/>
      <c r="W56" s="9088" t="str">
        <f>IF(W55=0,"",ROUND(W54/W55,4))</f>
        <v/>
      </c>
      <c r="X56" s="9089"/>
      <c r="Y56" s="9089"/>
      <c r="Z56" s="9089"/>
      <c r="AA56" s="9089"/>
      <c r="AB56" s="9089"/>
      <c r="AC56" s="9090"/>
      <c r="AD56" s="9091" t="str">
        <f>IF(AD55=0,"",ROUND(AD54/AD55,4))</f>
        <v/>
      </c>
      <c r="AE56" s="9092"/>
      <c r="AF56" s="9092"/>
      <c r="AG56" s="9092"/>
      <c r="AH56" s="9092"/>
      <c r="AI56" s="9093"/>
      <c r="AJ56" s="8976"/>
      <c r="AK56" s="7976"/>
      <c r="AL56" s="408"/>
      <c r="AM56" s="253"/>
      <c r="AN56" s="253"/>
      <c r="AO56" s="253"/>
      <c r="AP56" s="1277"/>
      <c r="AQ56" s="253"/>
      <c r="AR56" s="253"/>
      <c r="AS56" s="253"/>
      <c r="AT56" s="253"/>
      <c r="AU56" s="253"/>
      <c r="AV56" s="253"/>
      <c r="AW56" s="253"/>
      <c r="AX56" s="769"/>
      <c r="AY56" s="964"/>
      <c r="AZ56" s="964"/>
      <c r="BA56" s="964"/>
      <c r="BB56" s="964"/>
      <c r="BC56" s="964"/>
      <c r="BD56" s="964"/>
      <c r="BE56" s="964"/>
      <c r="BF56" s="964"/>
      <c r="BG56" s="964"/>
      <c r="BH56" s="964"/>
    </row>
    <row r="57" spans="1:60" ht="13.5" customHeight="1">
      <c r="A57" s="2112"/>
      <c r="B57" s="8975" t="s">
        <v>610</v>
      </c>
      <c r="C57" s="8975"/>
      <c r="D57" s="504" t="s">
        <v>2826</v>
      </c>
      <c r="E57" s="253"/>
      <c r="F57" s="253"/>
      <c r="G57" s="253"/>
      <c r="H57" s="253"/>
      <c r="I57" s="253"/>
      <c r="J57" s="253"/>
      <c r="K57" s="253"/>
      <c r="L57" s="253"/>
      <c r="M57" s="253"/>
      <c r="N57" s="253"/>
      <c r="O57" s="1401" t="s">
        <v>877</v>
      </c>
      <c r="P57" s="9016" t="str">
        <f>IF(OR(P53="",P56=""),"",P53*P56)</f>
        <v/>
      </c>
      <c r="Q57" s="9017"/>
      <c r="R57" s="9017"/>
      <c r="S57" s="9017"/>
      <c r="T57" s="9017"/>
      <c r="U57" s="9017"/>
      <c r="V57" s="9018"/>
      <c r="W57" s="9016" t="str">
        <f>IF(OR(W53="",W56=""),"",W53*W56)</f>
        <v/>
      </c>
      <c r="X57" s="9017"/>
      <c r="Y57" s="9017"/>
      <c r="Z57" s="9017"/>
      <c r="AA57" s="9017"/>
      <c r="AB57" s="9017"/>
      <c r="AC57" s="9018"/>
      <c r="AD57" s="9016" t="str">
        <f>IF(OR(AD53="",AD56=""),"",AD53*AD56)</f>
        <v/>
      </c>
      <c r="AE57" s="9017"/>
      <c r="AF57" s="9017"/>
      <c r="AG57" s="9017"/>
      <c r="AH57" s="9017"/>
      <c r="AI57" s="9018"/>
      <c r="AJ57" s="8976"/>
      <c r="AK57" s="7976"/>
      <c r="AL57" s="408"/>
      <c r="AM57" s="253"/>
      <c r="AN57" s="253"/>
      <c r="AO57" s="253"/>
      <c r="AP57" s="1277"/>
      <c r="AQ57" s="253"/>
      <c r="AR57" s="253"/>
      <c r="AS57" s="253"/>
      <c r="AT57" s="253"/>
      <c r="AU57" s="253"/>
      <c r="AV57" s="253"/>
      <c r="AW57" s="253"/>
      <c r="AX57" s="769"/>
      <c r="AY57" s="964"/>
      <c r="AZ57" s="964"/>
      <c r="BA57" s="964"/>
      <c r="BB57" s="964"/>
      <c r="BC57" s="964"/>
      <c r="BD57" s="964"/>
      <c r="BE57" s="964"/>
      <c r="BF57" s="964"/>
      <c r="BG57" s="964"/>
      <c r="BH57" s="964"/>
    </row>
    <row r="58" spans="1:60" ht="13.5" customHeight="1">
      <c r="A58" s="2112"/>
      <c r="B58" s="9061">
        <v>4</v>
      </c>
      <c r="C58" s="9061"/>
      <c r="D58" s="504" t="s">
        <v>2827</v>
      </c>
      <c r="E58" s="253"/>
      <c r="F58" s="253"/>
      <c r="G58" s="253"/>
      <c r="H58" s="253"/>
      <c r="I58" s="253"/>
      <c r="J58" s="253"/>
      <c r="K58" s="253"/>
      <c r="L58" s="253"/>
      <c r="M58" s="253"/>
      <c r="N58" s="253"/>
      <c r="O58" s="253"/>
      <c r="P58" s="4167"/>
      <c r="Q58" s="4168"/>
      <c r="R58" s="4168"/>
      <c r="S58" s="4168"/>
      <c r="T58" s="4168"/>
      <c r="U58" s="4168"/>
      <c r="V58" s="4169"/>
      <c r="W58" s="4167"/>
      <c r="X58" s="4168"/>
      <c r="Y58" s="4168"/>
      <c r="Z58" s="4168"/>
      <c r="AA58" s="4168"/>
      <c r="AB58" s="4168"/>
      <c r="AC58" s="4169"/>
      <c r="AD58" s="4167"/>
      <c r="AE58" s="4168"/>
      <c r="AF58" s="4168"/>
      <c r="AG58" s="4168"/>
      <c r="AH58" s="4168"/>
      <c r="AI58" s="4169"/>
      <c r="AJ58" s="8976"/>
      <c r="AK58" s="7976"/>
      <c r="AL58" s="408"/>
      <c r="AM58" s="253"/>
      <c r="AN58" s="253"/>
      <c r="AO58" s="253"/>
      <c r="AP58" s="1277"/>
      <c r="AQ58" s="253"/>
      <c r="AR58" s="253"/>
      <c r="AS58" s="253"/>
      <c r="AT58" s="253"/>
      <c r="AU58" s="253"/>
      <c r="AV58" s="253"/>
      <c r="AW58" s="253"/>
      <c r="AX58" s="769"/>
      <c r="AY58" s="964"/>
      <c r="AZ58" s="964"/>
      <c r="BA58" s="964"/>
      <c r="BB58" s="964"/>
      <c r="BC58" s="964"/>
      <c r="BD58" s="964"/>
      <c r="BE58" s="964"/>
      <c r="BF58" s="964"/>
      <c r="BG58" s="964"/>
      <c r="BH58" s="964"/>
    </row>
    <row r="59" spans="1:60" ht="13.5" customHeight="1">
      <c r="A59" s="2112"/>
      <c r="B59" s="8975" t="s">
        <v>588</v>
      </c>
      <c r="C59" s="8975"/>
      <c r="D59" s="504" t="s">
        <v>2828</v>
      </c>
      <c r="E59" s="253"/>
      <c r="F59" s="253"/>
      <c r="G59" s="253"/>
      <c r="H59" s="253"/>
      <c r="I59" s="253"/>
      <c r="J59" s="253"/>
      <c r="K59" s="253"/>
      <c r="L59" s="253"/>
      <c r="M59" s="253"/>
      <c r="N59" s="253"/>
      <c r="O59" s="253"/>
      <c r="P59" s="566"/>
      <c r="Q59" s="344"/>
      <c r="R59" s="344"/>
      <c r="S59" s="344"/>
      <c r="T59" s="344"/>
      <c r="U59" s="344"/>
      <c r="V59" s="567"/>
      <c r="W59" s="344"/>
      <c r="X59" s="344"/>
      <c r="Y59" s="344"/>
      <c r="Z59" s="344"/>
      <c r="AA59" s="344"/>
      <c r="AB59" s="344"/>
      <c r="AC59" s="567"/>
      <c r="AD59" s="344"/>
      <c r="AE59" s="344"/>
      <c r="AF59" s="344"/>
      <c r="AG59" s="344"/>
      <c r="AH59" s="344"/>
      <c r="AI59" s="567"/>
      <c r="AJ59" s="8976"/>
      <c r="AK59" s="7976"/>
      <c r="AL59" s="408"/>
      <c r="AM59" s="253"/>
      <c r="AN59" s="253"/>
      <c r="AO59" s="253"/>
      <c r="AP59" s="1277"/>
      <c r="AQ59" s="253"/>
      <c r="AR59" s="253"/>
      <c r="AS59" s="253"/>
      <c r="AT59" s="253"/>
      <c r="AU59" s="253"/>
      <c r="AV59" s="253"/>
      <c r="AW59" s="253"/>
      <c r="AX59" s="769"/>
      <c r="AY59" s="964"/>
      <c r="AZ59" s="964"/>
      <c r="BA59" s="964"/>
      <c r="BB59" s="964"/>
      <c r="BC59" s="964"/>
      <c r="BD59" s="964"/>
      <c r="BE59" s="964"/>
      <c r="BF59" s="964"/>
      <c r="BG59" s="964"/>
      <c r="BH59" s="964"/>
    </row>
    <row r="60" spans="1:60" ht="13.5" customHeight="1">
      <c r="A60" s="2112"/>
      <c r="B60" s="4166"/>
      <c r="C60" s="4166"/>
      <c r="D60" s="504" t="s">
        <v>2829</v>
      </c>
      <c r="E60" s="253"/>
      <c r="F60" s="253"/>
      <c r="G60" s="253"/>
      <c r="H60" s="253"/>
      <c r="I60" s="253"/>
      <c r="J60" s="253"/>
      <c r="K60" s="253"/>
      <c r="L60" s="253"/>
      <c r="M60" s="253"/>
      <c r="N60" s="253"/>
      <c r="O60" s="1401" t="s">
        <v>832</v>
      </c>
      <c r="P60" s="9011"/>
      <c r="Q60" s="9012"/>
      <c r="R60" s="9012"/>
      <c r="S60" s="9012"/>
      <c r="T60" s="9012"/>
      <c r="U60" s="9012"/>
      <c r="V60" s="9013"/>
      <c r="W60" s="9011"/>
      <c r="X60" s="9012"/>
      <c r="Y60" s="9012"/>
      <c r="Z60" s="9012"/>
      <c r="AA60" s="9012"/>
      <c r="AB60" s="9012"/>
      <c r="AC60" s="9013"/>
      <c r="AD60" s="9011"/>
      <c r="AE60" s="9012"/>
      <c r="AF60" s="9012"/>
      <c r="AG60" s="9012"/>
      <c r="AH60" s="9012"/>
      <c r="AI60" s="9013"/>
      <c r="AJ60" s="8976"/>
      <c r="AK60" s="7976"/>
      <c r="AL60" s="408"/>
      <c r="AM60" s="253"/>
      <c r="AN60" s="253"/>
      <c r="AO60" s="253"/>
      <c r="AP60" s="1277"/>
      <c r="AQ60" s="253"/>
      <c r="AR60" s="253"/>
      <c r="AS60" s="253"/>
      <c r="AT60" s="253"/>
      <c r="AU60" s="253"/>
      <c r="AV60" s="253"/>
      <c r="AW60" s="253"/>
      <c r="AX60" s="769"/>
      <c r="AY60" s="964"/>
      <c r="AZ60" s="964"/>
      <c r="BA60" s="964"/>
      <c r="BB60" s="964"/>
      <c r="BC60" s="964"/>
      <c r="BD60" s="964"/>
      <c r="BE60" s="964"/>
      <c r="BF60" s="964"/>
      <c r="BG60" s="964"/>
      <c r="BH60" s="964"/>
    </row>
    <row r="61" spans="1:60" ht="13.5" customHeight="1">
      <c r="A61" s="2112"/>
      <c r="B61" s="8975" t="s">
        <v>592</v>
      </c>
      <c r="C61" s="8975"/>
      <c r="D61" s="504" t="s">
        <v>2830</v>
      </c>
      <c r="E61" s="253"/>
      <c r="F61" s="253"/>
      <c r="G61" s="253"/>
      <c r="H61" s="253"/>
      <c r="I61" s="253"/>
      <c r="J61" s="253"/>
      <c r="K61" s="253"/>
      <c r="L61" s="253"/>
      <c r="M61" s="253"/>
      <c r="N61" s="253"/>
      <c r="O61" s="1401" t="s">
        <v>877</v>
      </c>
      <c r="P61" s="9019"/>
      <c r="Q61" s="9020"/>
      <c r="R61" s="9020"/>
      <c r="S61" s="9020"/>
      <c r="T61" s="9020"/>
      <c r="U61" s="9020"/>
      <c r="V61" s="9021"/>
      <c r="W61" s="9019"/>
      <c r="X61" s="9020"/>
      <c r="Y61" s="9020"/>
      <c r="Z61" s="9020"/>
      <c r="AA61" s="9020"/>
      <c r="AB61" s="9020"/>
      <c r="AC61" s="9021"/>
      <c r="AD61" s="9019"/>
      <c r="AE61" s="9020"/>
      <c r="AF61" s="9020"/>
      <c r="AG61" s="9020"/>
      <c r="AH61" s="9020"/>
      <c r="AI61" s="9021"/>
      <c r="AJ61" s="8976"/>
      <c r="AK61" s="7976"/>
      <c r="AL61" s="408"/>
      <c r="AM61" s="253"/>
      <c r="AN61" s="253"/>
      <c r="AO61" s="253"/>
      <c r="AP61" s="1277"/>
      <c r="AQ61" s="253"/>
      <c r="AR61" s="253"/>
      <c r="AS61" s="253"/>
      <c r="AT61" s="253"/>
      <c r="AU61" s="253"/>
      <c r="AV61" s="253"/>
      <c r="AW61" s="253"/>
      <c r="AX61" s="769"/>
      <c r="AY61" s="964"/>
      <c r="AZ61" s="964"/>
      <c r="BA61" s="964"/>
      <c r="BB61" s="964"/>
      <c r="BC61" s="964"/>
      <c r="BD61" s="964"/>
      <c r="BE61" s="964"/>
      <c r="BF61" s="964"/>
      <c r="BG61" s="964"/>
      <c r="BH61" s="964"/>
    </row>
    <row r="62" spans="1:60" ht="13.5" customHeight="1">
      <c r="A62" s="2112"/>
      <c r="B62" s="9061">
        <v>5</v>
      </c>
      <c r="C62" s="9061"/>
      <c r="D62" s="504" t="s">
        <v>2831</v>
      </c>
      <c r="E62" s="253"/>
      <c r="F62" s="253"/>
      <c r="G62" s="253"/>
      <c r="H62" s="253"/>
      <c r="I62" s="253"/>
      <c r="J62" s="253"/>
      <c r="K62" s="253"/>
      <c r="L62" s="253"/>
      <c r="M62" s="253"/>
      <c r="N62" s="253"/>
      <c r="O62" s="1401" t="s">
        <v>808</v>
      </c>
      <c r="P62" s="9019"/>
      <c r="Q62" s="9020"/>
      <c r="R62" s="9020"/>
      <c r="S62" s="9020"/>
      <c r="T62" s="9020"/>
      <c r="U62" s="9020"/>
      <c r="V62" s="9021"/>
      <c r="W62" s="9019"/>
      <c r="X62" s="9020"/>
      <c r="Y62" s="9020"/>
      <c r="Z62" s="9020"/>
      <c r="AA62" s="9020"/>
      <c r="AB62" s="9020"/>
      <c r="AC62" s="9021"/>
      <c r="AD62" s="9019"/>
      <c r="AE62" s="9020"/>
      <c r="AF62" s="9020"/>
      <c r="AG62" s="9020"/>
      <c r="AH62" s="9020"/>
      <c r="AI62" s="9021"/>
      <c r="AJ62" s="8976"/>
      <c r="AK62" s="7976"/>
      <c r="AL62" s="408"/>
      <c r="AM62" s="253"/>
      <c r="AN62" s="253"/>
      <c r="AO62" s="253"/>
      <c r="AP62" s="1277"/>
      <c r="AQ62" s="1277"/>
      <c r="AR62" s="1277"/>
      <c r="AS62" s="1277"/>
      <c r="AT62" s="1277"/>
      <c r="AU62" s="1277"/>
      <c r="AV62" s="253"/>
      <c r="AW62" s="253"/>
      <c r="AX62" s="769"/>
      <c r="AY62" s="964"/>
      <c r="AZ62" s="964"/>
      <c r="BA62" s="964"/>
      <c r="BB62" s="964"/>
      <c r="BC62" s="964"/>
      <c r="BD62" s="964"/>
      <c r="BE62" s="964"/>
      <c r="BF62" s="964"/>
      <c r="BG62" s="964"/>
      <c r="BH62" s="964"/>
    </row>
    <row r="63" spans="1:60" ht="13.5" customHeight="1">
      <c r="A63" s="2112"/>
      <c r="B63" s="9061">
        <v>6</v>
      </c>
      <c r="C63" s="9061"/>
      <c r="D63" s="504" t="s">
        <v>2832</v>
      </c>
      <c r="E63" s="253"/>
      <c r="F63" s="253"/>
      <c r="G63" s="253"/>
      <c r="H63" s="253"/>
      <c r="I63" s="253"/>
      <c r="J63" s="253"/>
      <c r="K63" s="253"/>
      <c r="L63" s="253"/>
      <c r="M63" s="253"/>
      <c r="N63" s="253"/>
      <c r="O63" s="1401" t="s">
        <v>808</v>
      </c>
      <c r="P63" s="9077">
        <f>SUM(P47,P57,P60,P61,P62)</f>
        <v>0</v>
      </c>
      <c r="Q63" s="9078"/>
      <c r="R63" s="9078"/>
      <c r="S63" s="9078"/>
      <c r="T63" s="9078"/>
      <c r="U63" s="9078"/>
      <c r="V63" s="9079"/>
      <c r="W63" s="9077">
        <f>SUM(W47,W57,W60,W61,W62)</f>
        <v>0</v>
      </c>
      <c r="X63" s="9078"/>
      <c r="Y63" s="9078"/>
      <c r="Z63" s="9078"/>
      <c r="AA63" s="9078"/>
      <c r="AB63" s="9078"/>
      <c r="AC63" s="9079"/>
      <c r="AD63" s="9077">
        <f>SUM(AD47,AD57,AD60,AD61,AD62)</f>
        <v>0</v>
      </c>
      <c r="AE63" s="9078"/>
      <c r="AF63" s="9078"/>
      <c r="AG63" s="9078"/>
      <c r="AH63" s="9078"/>
      <c r="AI63" s="9079"/>
      <c r="AJ63" s="8981">
        <v>6</v>
      </c>
      <c r="AK63" s="8297"/>
      <c r="AL63" s="8977" t="str">
        <f>IF(AQ63&lt;&gt;"",ROUND(AQ63,0),IF(AO22=0,"",ROUND(SUM(P63,W63,AD63),0)))</f>
        <v/>
      </c>
      <c r="AM63" s="8978"/>
      <c r="AN63" s="8978"/>
      <c r="AO63" s="8978"/>
      <c r="AP63" s="1277"/>
      <c r="AQ63" s="8967"/>
      <c r="AR63" s="8968"/>
      <c r="AS63" s="8968"/>
      <c r="AT63" s="8968"/>
      <c r="AU63" s="1277"/>
      <c r="AV63" s="253"/>
      <c r="AW63" s="253"/>
      <c r="AX63" s="769"/>
      <c r="AY63" s="964"/>
      <c r="AZ63" s="964"/>
      <c r="BA63" s="964"/>
      <c r="BB63" s="964"/>
      <c r="BC63" s="964"/>
      <c r="BD63" s="964"/>
      <c r="BE63" s="964"/>
      <c r="BF63" s="964"/>
      <c r="BG63" s="964"/>
      <c r="BH63" s="964"/>
    </row>
    <row r="64" spans="1:60" ht="16.5" customHeight="1" thickBot="1">
      <c r="A64" s="2112"/>
      <c r="B64" s="8952">
        <v>7</v>
      </c>
      <c r="C64" s="8952"/>
      <c r="D64" s="2003" t="s">
        <v>2833</v>
      </c>
      <c r="E64" s="406"/>
      <c r="F64" s="406"/>
      <c r="G64" s="406"/>
      <c r="H64" s="406"/>
      <c r="I64" s="406"/>
      <c r="J64" s="406"/>
      <c r="K64" s="406"/>
      <c r="L64" s="406"/>
      <c r="M64" s="406"/>
      <c r="N64" s="406"/>
      <c r="O64" s="406"/>
      <c r="P64" s="406"/>
      <c r="Q64" s="406"/>
      <c r="R64" s="406"/>
      <c r="S64" s="406"/>
      <c r="T64" s="406"/>
      <c r="U64" s="406"/>
      <c r="V64" s="406"/>
      <c r="W64" s="406"/>
      <c r="X64" s="406"/>
      <c r="Y64" s="406"/>
      <c r="Z64" s="406"/>
      <c r="AA64" s="406"/>
      <c r="AB64" s="406"/>
      <c r="AC64" s="406"/>
      <c r="AD64" s="406"/>
      <c r="AE64" s="406"/>
      <c r="AF64" s="406"/>
      <c r="AG64" s="406"/>
      <c r="AH64" s="406"/>
      <c r="AI64" s="1401" t="s">
        <v>874</v>
      </c>
      <c r="AJ64" s="8561">
        <v>7</v>
      </c>
      <c r="AK64" s="8295"/>
      <c r="AL64" s="8979" t="str">
        <f>IF(AQ64&lt;&gt;"",ROUND(AQ64,0),IF(AO22=0,"",ROUND(SUM(AL38,-AL63),0)))</f>
        <v/>
      </c>
      <c r="AM64" s="8980"/>
      <c r="AN64" s="8980"/>
      <c r="AO64" s="8980"/>
      <c r="AP64" s="1277"/>
      <c r="AQ64" s="8967"/>
      <c r="AR64" s="8968"/>
      <c r="AS64" s="8968"/>
      <c r="AT64" s="8968"/>
      <c r="AU64" s="1277"/>
      <c r="AV64" s="253"/>
      <c r="AW64" s="253"/>
      <c r="AX64" s="769"/>
      <c r="AY64" s="964"/>
      <c r="AZ64" s="964"/>
      <c r="BA64" s="964"/>
      <c r="BB64" s="964"/>
      <c r="BC64" s="964"/>
      <c r="BD64" s="964"/>
      <c r="BE64" s="964"/>
      <c r="BF64" s="964"/>
      <c r="BG64" s="964"/>
      <c r="BH64" s="964"/>
    </row>
    <row r="65" spans="1:60" s="1405" customFormat="1" ht="17.25" customHeight="1">
      <c r="A65" s="4157"/>
      <c r="B65" s="9031" t="s">
        <v>868</v>
      </c>
      <c r="C65" s="9031"/>
      <c r="D65" s="9032"/>
      <c r="E65" s="9033" t="s">
        <v>2834</v>
      </c>
      <c r="F65" s="9034"/>
      <c r="G65" s="9034"/>
      <c r="H65" s="9034"/>
      <c r="I65" s="9034"/>
      <c r="J65" s="9034"/>
      <c r="K65" s="9034"/>
      <c r="L65" s="9034"/>
      <c r="M65" s="9034"/>
      <c r="N65" s="9034"/>
      <c r="O65" s="9034"/>
      <c r="P65" s="9034"/>
      <c r="Q65" s="9034"/>
      <c r="R65" s="9034"/>
      <c r="S65" s="9034"/>
      <c r="T65" s="9034"/>
      <c r="U65" s="9034"/>
      <c r="V65" s="9034"/>
      <c r="W65" s="9034"/>
      <c r="X65" s="9034"/>
      <c r="Y65" s="9034"/>
      <c r="Z65" s="9034"/>
      <c r="AA65" s="9034"/>
      <c r="AB65" s="9034"/>
      <c r="AC65" s="9034"/>
      <c r="AD65" s="9034"/>
      <c r="AE65" s="9034"/>
      <c r="AF65" s="9034"/>
      <c r="AG65" s="9034"/>
      <c r="AH65" s="9034"/>
      <c r="AI65" s="9034"/>
      <c r="AJ65" s="9034"/>
      <c r="AK65" s="9034"/>
      <c r="AL65" s="9034"/>
      <c r="AM65" s="9034"/>
      <c r="AN65" s="9034"/>
      <c r="AO65" s="9034"/>
      <c r="AP65" s="1277"/>
      <c r="AQ65" s="1277"/>
      <c r="AR65" s="1277"/>
      <c r="AS65" s="1277"/>
      <c r="AT65" s="1277"/>
      <c r="AU65" s="1277"/>
      <c r="AV65" s="1323"/>
      <c r="AW65" s="1323"/>
      <c r="AX65" s="769"/>
      <c r="AY65" s="964"/>
      <c r="AZ65" s="964"/>
      <c r="BA65" s="964"/>
      <c r="BB65" s="964"/>
      <c r="BC65" s="964"/>
      <c r="BD65" s="964"/>
      <c r="BE65" s="964"/>
      <c r="BF65" s="964"/>
      <c r="BG65" s="964"/>
      <c r="BH65" s="964"/>
    </row>
    <row r="66" spans="1:60" s="1405" customFormat="1" ht="10.5" customHeight="1">
      <c r="A66" s="4157"/>
      <c r="B66" s="9074" t="s">
        <v>2835</v>
      </c>
      <c r="C66" s="9062" t="s">
        <v>2836</v>
      </c>
      <c r="D66" s="8440"/>
      <c r="E66" s="8440"/>
      <c r="F66" s="8440"/>
      <c r="G66" s="8441"/>
      <c r="H66" s="9080" t="s">
        <v>2837</v>
      </c>
      <c r="I66" s="9081"/>
      <c r="J66" s="9081"/>
      <c r="K66" s="9081"/>
      <c r="L66" s="9081"/>
      <c r="M66" s="9081"/>
      <c r="N66" s="9081"/>
      <c r="O66" s="9081"/>
      <c r="P66" s="9081"/>
      <c r="Q66" s="9081"/>
      <c r="R66" s="9081"/>
      <c r="S66" s="9081"/>
      <c r="T66" s="9081"/>
      <c r="U66" s="9081"/>
      <c r="V66" s="9081"/>
      <c r="W66" s="9081"/>
      <c r="X66" s="9081"/>
      <c r="Y66" s="9081"/>
      <c r="Z66" s="9081"/>
      <c r="AA66" s="9081"/>
      <c r="AB66" s="9081"/>
      <c r="AC66" s="9081"/>
      <c r="AD66" s="9081"/>
      <c r="AE66" s="9081"/>
      <c r="AF66" s="9081"/>
      <c r="AG66" s="9081"/>
      <c r="AH66" s="9081"/>
      <c r="AI66" s="9081"/>
      <c r="AJ66" s="9081"/>
      <c r="AK66" s="9081"/>
      <c r="AL66" s="9081"/>
      <c r="AM66" s="9081"/>
      <c r="AN66" s="9081"/>
      <c r="AO66" s="9081"/>
      <c r="AP66" s="1277"/>
      <c r="AQ66" s="1323"/>
      <c r="AR66" s="1323"/>
      <c r="AS66" s="1323"/>
      <c r="AT66" s="1323"/>
      <c r="AU66" s="1323"/>
      <c r="AV66" s="1323"/>
      <c r="AW66" s="1323"/>
      <c r="AX66" s="769"/>
      <c r="AY66" s="964"/>
      <c r="AZ66" s="964"/>
      <c r="BA66" s="964"/>
      <c r="BB66" s="964"/>
      <c r="BC66" s="964"/>
      <c r="BD66" s="964"/>
      <c r="BE66" s="964"/>
      <c r="BF66" s="964"/>
      <c r="BG66" s="964"/>
      <c r="BH66" s="964"/>
    </row>
    <row r="67" spans="1:60" s="1405" customFormat="1" ht="10.5" customHeight="1">
      <c r="A67" s="4157"/>
      <c r="B67" s="9075"/>
      <c r="C67" s="8455"/>
      <c r="D67" s="8456"/>
      <c r="E67" s="8456"/>
      <c r="F67" s="8456"/>
      <c r="G67" s="8342"/>
      <c r="H67" s="9082"/>
      <c r="I67" s="9083"/>
      <c r="J67" s="9083"/>
      <c r="K67" s="9083"/>
      <c r="L67" s="9083"/>
      <c r="M67" s="9083"/>
      <c r="N67" s="9083"/>
      <c r="O67" s="9083"/>
      <c r="P67" s="9083"/>
      <c r="Q67" s="9083"/>
      <c r="R67" s="9083"/>
      <c r="S67" s="9083"/>
      <c r="T67" s="9083"/>
      <c r="U67" s="9083"/>
      <c r="V67" s="9083"/>
      <c r="W67" s="9083"/>
      <c r="X67" s="9083"/>
      <c r="Y67" s="9083"/>
      <c r="Z67" s="9083"/>
      <c r="AA67" s="9083"/>
      <c r="AB67" s="9083"/>
      <c r="AC67" s="9083"/>
      <c r="AD67" s="9083"/>
      <c r="AE67" s="9083"/>
      <c r="AF67" s="9083"/>
      <c r="AG67" s="9083"/>
      <c r="AH67" s="9083"/>
      <c r="AI67" s="9083"/>
      <c r="AJ67" s="9083"/>
      <c r="AK67" s="9083"/>
      <c r="AL67" s="9083"/>
      <c r="AM67" s="9083"/>
      <c r="AN67" s="9083"/>
      <c r="AO67" s="9083"/>
      <c r="AP67" s="1277"/>
      <c r="AQ67" s="1323"/>
      <c r="AR67" s="1323"/>
      <c r="AS67" s="1323"/>
      <c r="AT67" s="1323"/>
      <c r="AU67" s="1323"/>
      <c r="AV67" s="1323"/>
      <c r="AW67" s="1323"/>
      <c r="AX67" s="769"/>
      <c r="AY67" s="964"/>
      <c r="AZ67" s="964"/>
      <c r="BA67" s="964"/>
      <c r="BB67" s="964"/>
      <c r="BC67" s="964"/>
      <c r="BD67" s="964"/>
      <c r="BE67" s="964"/>
      <c r="BF67" s="964"/>
      <c r="BG67" s="964"/>
      <c r="BH67" s="964"/>
    </row>
    <row r="68" spans="1:60" s="1405" customFormat="1" ht="12.75" customHeight="1">
      <c r="A68" s="4157"/>
      <c r="B68" s="9075"/>
      <c r="C68" s="8455"/>
      <c r="D68" s="8456"/>
      <c r="E68" s="8456"/>
      <c r="F68" s="8456"/>
      <c r="G68" s="8342"/>
      <c r="H68" s="9084"/>
      <c r="I68" s="9085"/>
      <c r="J68" s="9085"/>
      <c r="K68" s="9085"/>
      <c r="L68" s="9085"/>
      <c r="M68" s="9085"/>
      <c r="N68" s="9085"/>
      <c r="O68" s="9085"/>
      <c r="P68" s="9085"/>
      <c r="Q68" s="9085"/>
      <c r="R68" s="9085"/>
      <c r="S68" s="9085"/>
      <c r="T68" s="9085"/>
      <c r="U68" s="9085"/>
      <c r="V68" s="9085"/>
      <c r="W68" s="9085"/>
      <c r="X68" s="9085"/>
      <c r="Y68" s="9085"/>
      <c r="Z68" s="9085"/>
      <c r="AA68" s="9085"/>
      <c r="AB68" s="9085"/>
      <c r="AC68" s="9085"/>
      <c r="AD68" s="9085"/>
      <c r="AE68" s="9085"/>
      <c r="AF68" s="9085"/>
      <c r="AG68" s="9085"/>
      <c r="AH68" s="9085"/>
      <c r="AI68" s="9085"/>
      <c r="AJ68" s="9085"/>
      <c r="AK68" s="9085"/>
      <c r="AL68" s="9085"/>
      <c r="AM68" s="9085"/>
      <c r="AN68" s="9085"/>
      <c r="AO68" s="9085"/>
      <c r="AP68" s="1277"/>
      <c r="AQ68" s="1323"/>
      <c r="AR68" s="1323"/>
      <c r="AS68" s="1323"/>
      <c r="AT68" s="1323"/>
      <c r="AU68" s="1323"/>
      <c r="AV68" s="1323"/>
      <c r="AW68" s="1323"/>
      <c r="AX68" s="769"/>
      <c r="AY68" s="964"/>
      <c r="AZ68" s="964"/>
      <c r="BA68" s="964"/>
      <c r="BB68" s="964"/>
      <c r="BC68" s="964"/>
      <c r="BD68" s="964"/>
      <c r="BE68" s="964"/>
      <c r="BF68" s="964"/>
      <c r="BG68" s="964"/>
      <c r="BH68" s="964"/>
    </row>
    <row r="69" spans="1:60" s="1405" customFormat="1" ht="10.5" customHeight="1">
      <c r="A69" s="4157"/>
      <c r="B69" s="9075"/>
      <c r="C69" s="4170">
        <f>IF(E69&lt;&gt;"",1,0)</f>
        <v>1</v>
      </c>
      <c r="D69" s="817" t="s">
        <v>2838</v>
      </c>
      <c r="E69" s="278" t="s">
        <v>6540</v>
      </c>
      <c r="F69" s="2855" t="s">
        <v>2839</v>
      </c>
      <c r="G69" s="4171"/>
      <c r="H69" s="8417" t="s">
        <v>2840</v>
      </c>
      <c r="I69" s="8418"/>
      <c r="J69" s="8418"/>
      <c r="K69" s="8418"/>
      <c r="L69" s="8418"/>
      <c r="M69" s="8418"/>
      <c r="N69" s="8418"/>
      <c r="O69" s="8418"/>
      <c r="P69" s="8418"/>
      <c r="Q69" s="8418"/>
      <c r="R69" s="8418"/>
      <c r="S69" s="8418"/>
      <c r="T69" s="8418"/>
      <c r="U69" s="8418"/>
      <c r="V69" s="8418"/>
      <c r="W69" s="8507"/>
      <c r="X69" s="8417" t="s">
        <v>2841</v>
      </c>
      <c r="Y69" s="8391"/>
      <c r="Z69" s="8391"/>
      <c r="AA69" s="8391"/>
      <c r="AB69" s="8391"/>
      <c r="AC69" s="8391"/>
      <c r="AD69" s="8391"/>
      <c r="AE69" s="8391"/>
      <c r="AF69" s="8391"/>
      <c r="AG69" s="8391"/>
      <c r="AH69" s="8391"/>
      <c r="AI69" s="8391"/>
      <c r="AJ69" s="8391"/>
      <c r="AK69" s="8391"/>
      <c r="AL69" s="8391"/>
      <c r="AM69" s="8391"/>
      <c r="AN69" s="8391"/>
      <c r="AO69" s="8391"/>
      <c r="AP69" s="1277"/>
      <c r="AQ69" s="8961"/>
      <c r="AR69" s="4173"/>
      <c r="AS69" s="4173"/>
      <c r="AT69" s="4173"/>
      <c r="AU69" s="4173"/>
      <c r="AV69" s="4173"/>
      <c r="AW69" s="4173"/>
      <c r="AX69" s="769"/>
      <c r="AY69" s="964"/>
      <c r="AZ69" s="964"/>
      <c r="BA69" s="964"/>
      <c r="BB69" s="964"/>
      <c r="BC69" s="964"/>
      <c r="BD69" s="964"/>
      <c r="BE69" s="964"/>
      <c r="BF69" s="964"/>
      <c r="BG69" s="964"/>
      <c r="BH69" s="964"/>
    </row>
    <row r="70" spans="1:60" ht="6.75" customHeight="1">
      <c r="A70" s="2112"/>
      <c r="B70" s="9075"/>
      <c r="C70" s="4174"/>
      <c r="D70" s="344"/>
      <c r="E70" s="253"/>
      <c r="F70" s="253"/>
      <c r="G70" s="409"/>
      <c r="H70" s="8421"/>
      <c r="I70" s="8422"/>
      <c r="J70" s="8422"/>
      <c r="K70" s="8422"/>
      <c r="L70" s="8422"/>
      <c r="M70" s="8422"/>
      <c r="N70" s="8422"/>
      <c r="O70" s="8422"/>
      <c r="P70" s="8422"/>
      <c r="Q70" s="8422"/>
      <c r="R70" s="8422"/>
      <c r="S70" s="8422"/>
      <c r="T70" s="8422"/>
      <c r="U70" s="8422"/>
      <c r="V70" s="8422"/>
      <c r="W70" s="8509"/>
      <c r="X70" s="9086"/>
      <c r="Y70" s="9087"/>
      <c r="Z70" s="9087"/>
      <c r="AA70" s="9087"/>
      <c r="AB70" s="9087"/>
      <c r="AC70" s="9087"/>
      <c r="AD70" s="9087"/>
      <c r="AE70" s="9087"/>
      <c r="AF70" s="9087"/>
      <c r="AG70" s="9087"/>
      <c r="AH70" s="9087"/>
      <c r="AI70" s="9087"/>
      <c r="AJ70" s="9087"/>
      <c r="AK70" s="9087"/>
      <c r="AL70" s="9087"/>
      <c r="AM70" s="9087"/>
      <c r="AN70" s="9087"/>
      <c r="AO70" s="9087"/>
      <c r="AP70" s="1277"/>
      <c r="AQ70" s="8961"/>
      <c r="AR70" s="4172"/>
      <c r="AS70" s="4172"/>
      <c r="AT70" s="4172"/>
      <c r="AU70" s="4172"/>
      <c r="AV70" s="4172"/>
      <c r="AW70" s="4172"/>
      <c r="AX70" s="769"/>
      <c r="AY70" s="964"/>
      <c r="AZ70" s="964"/>
      <c r="BA70" s="964"/>
      <c r="BB70" s="964"/>
      <c r="BC70" s="964"/>
      <c r="BD70" s="964"/>
      <c r="BE70" s="964"/>
      <c r="BF70" s="964"/>
      <c r="BG70" s="964"/>
      <c r="BH70" s="964"/>
    </row>
    <row r="71" spans="1:60" ht="10.5" customHeight="1">
      <c r="A71" s="2112"/>
      <c r="B71" s="9075"/>
      <c r="C71" s="4170">
        <f>IF(E71&lt;&gt;"",1,0)</f>
        <v>0</v>
      </c>
      <c r="D71" s="733" t="s">
        <v>2842</v>
      </c>
      <c r="E71" s="278"/>
      <c r="F71" s="2855" t="s">
        <v>2843</v>
      </c>
      <c r="G71" s="4175"/>
      <c r="H71" s="8439" t="s">
        <v>2844</v>
      </c>
      <c r="I71" s="8440"/>
      <c r="J71" s="8440"/>
      <c r="K71" s="8440"/>
      <c r="L71" s="8440"/>
      <c r="M71" s="8440"/>
      <c r="N71" s="8440"/>
      <c r="O71" s="8440"/>
      <c r="P71" s="8440"/>
      <c r="Q71" s="8440"/>
      <c r="R71" s="8440"/>
      <c r="S71" s="8441"/>
      <c r="T71" s="8439" t="s">
        <v>2845</v>
      </c>
      <c r="U71" s="8440"/>
      <c r="V71" s="8440"/>
      <c r="W71" s="8441"/>
      <c r="X71" s="8439" t="s">
        <v>2844</v>
      </c>
      <c r="Y71" s="8440"/>
      <c r="Z71" s="8440"/>
      <c r="AA71" s="8440"/>
      <c r="AB71" s="8440"/>
      <c r="AC71" s="8440"/>
      <c r="AD71" s="8440"/>
      <c r="AE71" s="8440"/>
      <c r="AF71" s="8440"/>
      <c r="AG71" s="8440"/>
      <c r="AH71" s="8441"/>
      <c r="AI71" s="8439" t="s">
        <v>2846</v>
      </c>
      <c r="AJ71" s="8440"/>
      <c r="AK71" s="8440"/>
      <c r="AL71" s="8441"/>
      <c r="AM71" s="8439" t="s">
        <v>2847</v>
      </c>
      <c r="AN71" s="9039"/>
      <c r="AO71" s="9039"/>
      <c r="AP71" s="1277"/>
      <c r="AQ71" s="8961"/>
      <c r="AR71" s="8961"/>
      <c r="AS71" s="8961"/>
      <c r="AT71" s="8961"/>
      <c r="AU71" s="8961"/>
      <c r="AV71" s="8961"/>
      <c r="AW71" s="8961"/>
      <c r="AX71" s="769"/>
      <c r="AY71" s="964"/>
      <c r="AZ71" s="964"/>
      <c r="BA71" s="964"/>
      <c r="BB71" s="964"/>
      <c r="BC71" s="964"/>
      <c r="BD71" s="964"/>
      <c r="BE71" s="964"/>
      <c r="BF71" s="964"/>
      <c r="BG71" s="964"/>
      <c r="BH71" s="964"/>
    </row>
    <row r="72" spans="1:60" ht="7.5" customHeight="1">
      <c r="A72" s="2112"/>
      <c r="B72" s="9076"/>
      <c r="C72" s="4176"/>
      <c r="D72" s="2271"/>
      <c r="E72" s="2271"/>
      <c r="F72" s="2271"/>
      <c r="G72" s="4177"/>
      <c r="H72" s="8445"/>
      <c r="I72" s="8446"/>
      <c r="J72" s="8446"/>
      <c r="K72" s="8446"/>
      <c r="L72" s="8446"/>
      <c r="M72" s="8446"/>
      <c r="N72" s="8446"/>
      <c r="O72" s="8446"/>
      <c r="P72" s="8446"/>
      <c r="Q72" s="8446"/>
      <c r="R72" s="8446"/>
      <c r="S72" s="8447"/>
      <c r="T72" s="8442"/>
      <c r="U72" s="8443"/>
      <c r="V72" s="8443"/>
      <c r="W72" s="8444"/>
      <c r="X72" s="8445"/>
      <c r="Y72" s="8446"/>
      <c r="Z72" s="8446"/>
      <c r="AA72" s="8446"/>
      <c r="AB72" s="8446"/>
      <c r="AC72" s="8446"/>
      <c r="AD72" s="8446"/>
      <c r="AE72" s="8446"/>
      <c r="AF72" s="8446"/>
      <c r="AG72" s="8446"/>
      <c r="AH72" s="8447"/>
      <c r="AI72" s="8442"/>
      <c r="AJ72" s="8443"/>
      <c r="AK72" s="8443"/>
      <c r="AL72" s="8444"/>
      <c r="AM72" s="9040"/>
      <c r="AN72" s="9041"/>
      <c r="AO72" s="9041"/>
      <c r="AP72" s="1277"/>
      <c r="AQ72" s="253"/>
      <c r="AR72" s="253"/>
      <c r="AS72" s="253"/>
      <c r="AT72" s="253"/>
      <c r="AU72" s="253"/>
      <c r="AV72" s="253"/>
      <c r="AW72" s="253"/>
      <c r="AX72" s="769"/>
      <c r="AY72" s="964"/>
      <c r="AZ72" s="964"/>
      <c r="BA72" s="964"/>
      <c r="BB72" s="964"/>
      <c r="BC72" s="964"/>
      <c r="BD72" s="964"/>
      <c r="BE72" s="964"/>
      <c r="BF72" s="964"/>
      <c r="BG72" s="964"/>
      <c r="BH72" s="964"/>
    </row>
    <row r="73" spans="1:60" ht="7.5" customHeight="1">
      <c r="A73" s="2112"/>
      <c r="B73" s="4178"/>
      <c r="C73" s="9067" t="s">
        <v>2848</v>
      </c>
      <c r="D73" s="9068"/>
      <c r="E73" s="9068"/>
      <c r="F73" s="9068"/>
      <c r="G73" s="9069"/>
      <c r="H73" s="8439" t="s">
        <v>2849</v>
      </c>
      <c r="I73" s="8440"/>
      <c r="J73" s="8440"/>
      <c r="K73" s="8439" t="s">
        <v>2850</v>
      </c>
      <c r="L73" s="8440"/>
      <c r="M73" s="8440"/>
      <c r="N73" s="8440"/>
      <c r="O73" s="8439" t="s">
        <v>2851</v>
      </c>
      <c r="P73" s="8440"/>
      <c r="Q73" s="8440"/>
      <c r="R73" s="8440"/>
      <c r="S73" s="9050"/>
      <c r="T73" s="8442"/>
      <c r="U73" s="8443"/>
      <c r="V73" s="8443"/>
      <c r="W73" s="8444"/>
      <c r="X73" s="8439" t="s">
        <v>2852</v>
      </c>
      <c r="Y73" s="8440"/>
      <c r="Z73" s="8440"/>
      <c r="AA73" s="8439" t="s">
        <v>2853</v>
      </c>
      <c r="AB73" s="8440"/>
      <c r="AC73" s="8440"/>
      <c r="AD73" s="8440"/>
      <c r="AE73" s="8439" t="s">
        <v>2854</v>
      </c>
      <c r="AF73" s="9049"/>
      <c r="AG73" s="9049"/>
      <c r="AH73" s="9050"/>
      <c r="AI73" s="8442"/>
      <c r="AJ73" s="8443"/>
      <c r="AK73" s="8443"/>
      <c r="AL73" s="8444"/>
      <c r="AM73" s="9040"/>
      <c r="AN73" s="9041"/>
      <c r="AO73" s="9041"/>
      <c r="AP73" s="1277"/>
      <c r="AQ73" s="253"/>
      <c r="AR73" s="253"/>
      <c r="AS73" s="253"/>
      <c r="AT73" s="253"/>
      <c r="AU73" s="253"/>
      <c r="AV73" s="253"/>
      <c r="AW73" s="253"/>
      <c r="AX73" s="769"/>
      <c r="AY73" s="964"/>
      <c r="AZ73" s="964"/>
      <c r="BA73" s="964"/>
      <c r="BB73" s="964"/>
      <c r="BC73" s="964"/>
      <c r="BD73" s="964"/>
      <c r="BE73" s="964"/>
      <c r="BF73" s="964"/>
      <c r="BG73" s="964"/>
      <c r="BH73" s="964"/>
    </row>
    <row r="74" spans="1:60" ht="13.5" customHeight="1">
      <c r="A74" s="2112"/>
      <c r="B74" s="4179" t="b">
        <f>IF(SUM(C69,C71)=1,TRUE,FALSE)</f>
        <v>1</v>
      </c>
      <c r="C74" s="9070"/>
      <c r="D74" s="9071"/>
      <c r="E74" s="9071"/>
      <c r="F74" s="9071"/>
      <c r="G74" s="9072"/>
      <c r="H74" s="8442"/>
      <c r="I74" s="8443"/>
      <c r="J74" s="8443"/>
      <c r="K74" s="8442"/>
      <c r="L74" s="8443"/>
      <c r="M74" s="8443"/>
      <c r="N74" s="8443"/>
      <c r="O74" s="8442"/>
      <c r="P74" s="8443"/>
      <c r="Q74" s="8443"/>
      <c r="R74" s="8443"/>
      <c r="S74" s="9053"/>
      <c r="T74" s="8442"/>
      <c r="U74" s="8443"/>
      <c r="V74" s="8443"/>
      <c r="W74" s="8444"/>
      <c r="X74" s="8442"/>
      <c r="Y74" s="8443"/>
      <c r="Z74" s="8443"/>
      <c r="AA74" s="8442"/>
      <c r="AB74" s="8443"/>
      <c r="AC74" s="8443"/>
      <c r="AD74" s="8443"/>
      <c r="AE74" s="9051"/>
      <c r="AF74" s="9052"/>
      <c r="AG74" s="9052"/>
      <c r="AH74" s="9053"/>
      <c r="AI74" s="8442"/>
      <c r="AJ74" s="8443"/>
      <c r="AK74" s="8443"/>
      <c r="AL74" s="8444"/>
      <c r="AM74" s="9040"/>
      <c r="AN74" s="9041"/>
      <c r="AO74" s="9041"/>
      <c r="AP74" s="1277"/>
      <c r="AQ74" s="253"/>
      <c r="AR74" s="253"/>
      <c r="AS74" s="253"/>
      <c r="AT74" s="253"/>
      <c r="AU74" s="253"/>
      <c r="AV74" s="253"/>
      <c r="AW74" s="253"/>
      <c r="AX74" s="769"/>
      <c r="AY74" s="964"/>
      <c r="AZ74" s="964"/>
      <c r="BA74" s="964"/>
      <c r="BB74" s="964"/>
      <c r="BC74" s="964"/>
      <c r="BD74" s="964"/>
      <c r="BE74" s="964"/>
      <c r="BF74" s="964"/>
      <c r="BG74" s="964"/>
      <c r="BH74" s="964"/>
    </row>
    <row r="75" spans="1:60" ht="13.5" customHeight="1">
      <c r="A75" s="2112"/>
      <c r="B75" s="4178"/>
      <c r="C75" s="9064" t="s">
        <v>2855</v>
      </c>
      <c r="D75" s="9065"/>
      <c r="E75" s="9065"/>
      <c r="F75" s="9065"/>
      <c r="G75" s="9066"/>
      <c r="H75" s="8442"/>
      <c r="I75" s="8443"/>
      <c r="J75" s="8443"/>
      <c r="K75" s="8442"/>
      <c r="L75" s="8443"/>
      <c r="M75" s="8443"/>
      <c r="N75" s="8443"/>
      <c r="O75" s="8442"/>
      <c r="P75" s="8443"/>
      <c r="Q75" s="8443"/>
      <c r="R75" s="8443"/>
      <c r="S75" s="9053"/>
      <c r="T75" s="8442"/>
      <c r="U75" s="8443"/>
      <c r="V75" s="8443"/>
      <c r="W75" s="8444"/>
      <c r="X75" s="8442"/>
      <c r="Y75" s="8443"/>
      <c r="Z75" s="8443"/>
      <c r="AA75" s="8442"/>
      <c r="AB75" s="8443"/>
      <c r="AC75" s="8443"/>
      <c r="AD75" s="8443"/>
      <c r="AE75" s="9051"/>
      <c r="AF75" s="9052"/>
      <c r="AG75" s="9052"/>
      <c r="AH75" s="9053"/>
      <c r="AI75" s="8442"/>
      <c r="AJ75" s="8443"/>
      <c r="AK75" s="8443"/>
      <c r="AL75" s="8444"/>
      <c r="AM75" s="9040"/>
      <c r="AN75" s="9041"/>
      <c r="AO75" s="9041"/>
      <c r="AP75" s="1277"/>
      <c r="AQ75" s="253"/>
      <c r="AR75" s="253"/>
      <c r="AS75" s="253"/>
      <c r="AT75" s="253"/>
      <c r="AU75" s="253"/>
      <c r="AV75" s="253"/>
      <c r="AW75" s="253"/>
      <c r="AX75" s="769"/>
      <c r="AY75" s="964"/>
      <c r="AZ75" s="964"/>
      <c r="BA75" s="964"/>
      <c r="BB75" s="964"/>
      <c r="BC75" s="964"/>
      <c r="BD75" s="964"/>
      <c r="BE75" s="964"/>
      <c r="BF75" s="964"/>
      <c r="BG75" s="964"/>
      <c r="BH75" s="964"/>
    </row>
    <row r="76" spans="1:60" ht="6.75" customHeight="1">
      <c r="A76" s="2112"/>
      <c r="B76" s="4180"/>
      <c r="C76" s="4181"/>
      <c r="D76" s="462"/>
      <c r="E76" s="462"/>
      <c r="F76" s="462"/>
      <c r="G76" s="4182"/>
      <c r="H76" s="8445"/>
      <c r="I76" s="8446"/>
      <c r="J76" s="8446"/>
      <c r="K76" s="8445"/>
      <c r="L76" s="8446"/>
      <c r="M76" s="8446"/>
      <c r="N76" s="8446"/>
      <c r="O76" s="9042"/>
      <c r="P76" s="9055"/>
      <c r="Q76" s="9055"/>
      <c r="R76" s="9055"/>
      <c r="S76" s="9056"/>
      <c r="T76" s="8445"/>
      <c r="U76" s="8446"/>
      <c r="V76" s="8446"/>
      <c r="W76" s="8447"/>
      <c r="X76" s="8445"/>
      <c r="Y76" s="8446"/>
      <c r="Z76" s="8446"/>
      <c r="AA76" s="8445"/>
      <c r="AB76" s="8446"/>
      <c r="AC76" s="8446"/>
      <c r="AD76" s="8446"/>
      <c r="AE76" s="9054"/>
      <c r="AF76" s="9055"/>
      <c r="AG76" s="9055"/>
      <c r="AH76" s="9056"/>
      <c r="AI76" s="8445"/>
      <c r="AJ76" s="8446"/>
      <c r="AK76" s="8446"/>
      <c r="AL76" s="8447"/>
      <c r="AM76" s="9042"/>
      <c r="AN76" s="9043"/>
      <c r="AO76" s="9043"/>
      <c r="AP76" s="1277"/>
      <c r="AQ76" s="253"/>
      <c r="AR76" s="253"/>
      <c r="AS76" s="253"/>
      <c r="AT76" s="253"/>
      <c r="AU76" s="253"/>
      <c r="AV76" s="253"/>
      <c r="AW76" s="253"/>
      <c r="AX76" s="769"/>
      <c r="AY76" s="964"/>
      <c r="AZ76" s="964"/>
      <c r="BA76" s="964"/>
      <c r="BB76" s="964"/>
      <c r="BC76" s="964"/>
      <c r="BD76" s="964"/>
      <c r="BE76" s="964"/>
      <c r="BF76" s="964"/>
      <c r="BG76" s="964"/>
      <c r="BH76" s="964"/>
    </row>
    <row r="77" spans="1:60" ht="15" customHeight="1">
      <c r="A77" s="4183">
        <f>SUM(X77:AL77)</f>
        <v>0</v>
      </c>
      <c r="B77" s="4184" t="s">
        <v>510</v>
      </c>
      <c r="C77" s="9046"/>
      <c r="D77" s="9047"/>
      <c r="E77" s="9047"/>
      <c r="F77" s="9047"/>
      <c r="G77" s="9048"/>
      <c r="H77" s="8982"/>
      <c r="I77" s="8950"/>
      <c r="J77" s="8983"/>
      <c r="K77" s="8950"/>
      <c r="L77" s="8951"/>
      <c r="M77" s="8951"/>
      <c r="N77" s="8951"/>
      <c r="O77" s="8982"/>
      <c r="P77" s="8950"/>
      <c r="Q77" s="8950"/>
      <c r="R77" s="8950"/>
      <c r="S77" s="8983"/>
      <c r="T77" s="8982"/>
      <c r="U77" s="8950"/>
      <c r="V77" s="8950"/>
      <c r="W77" s="8983"/>
      <c r="X77" s="8982"/>
      <c r="Y77" s="8951"/>
      <c r="Z77" s="9060"/>
      <c r="AA77" s="8950"/>
      <c r="AB77" s="8950"/>
      <c r="AC77" s="8950"/>
      <c r="AD77" s="8983"/>
      <c r="AE77" s="8982"/>
      <c r="AF77" s="8950"/>
      <c r="AG77" s="8950"/>
      <c r="AH77" s="8983"/>
      <c r="AI77" s="8982"/>
      <c r="AJ77" s="8950"/>
      <c r="AK77" s="8950"/>
      <c r="AL77" s="8983"/>
      <c r="AM77" s="9038">
        <f>ROUND(SUM(X77:AL77),0)</f>
        <v>0</v>
      </c>
      <c r="AN77" s="9038"/>
      <c r="AO77" s="9038"/>
      <c r="AP77" s="1277"/>
      <c r="AQ77" s="4149" t="str">
        <f>IF(AND(ForeignTaxPaid&lt;&gt;"",ForeignTaxPaid&gt;0,X77="",AA77="",AE77="",AI77="",X78="",AA78="",AE78="",AI78="",X79="",AA79="",AE79="",AI79=""),"←  Enter foreign tax paid.","")</f>
        <v/>
      </c>
      <c r="AR77" s="253"/>
      <c r="AS77" s="253"/>
      <c r="AT77" s="253"/>
      <c r="AU77" s="253"/>
      <c r="AV77" s="253"/>
      <c r="AW77" s="253"/>
      <c r="AX77" s="769"/>
      <c r="AY77" s="964"/>
      <c r="AZ77" s="964"/>
      <c r="BA77" s="964"/>
      <c r="BB77" s="964"/>
      <c r="BC77" s="964"/>
      <c r="BD77" s="964"/>
      <c r="BE77" s="964"/>
      <c r="BF77" s="964"/>
      <c r="BG77" s="964"/>
      <c r="BH77" s="964"/>
    </row>
    <row r="78" spans="1:60" ht="15" customHeight="1">
      <c r="A78" s="4183">
        <f>SUM(X78:AL78)</f>
        <v>0</v>
      </c>
      <c r="B78" s="4184" t="s">
        <v>516</v>
      </c>
      <c r="C78" s="9046"/>
      <c r="D78" s="9047"/>
      <c r="E78" s="9047"/>
      <c r="F78" s="9047"/>
      <c r="G78" s="9048"/>
      <c r="H78" s="8982"/>
      <c r="I78" s="8950"/>
      <c r="J78" s="8983"/>
      <c r="K78" s="8950"/>
      <c r="L78" s="8951"/>
      <c r="M78" s="8951"/>
      <c r="N78" s="8951"/>
      <c r="O78" s="8982"/>
      <c r="P78" s="8950"/>
      <c r="Q78" s="8950"/>
      <c r="R78" s="8950"/>
      <c r="S78" s="8983"/>
      <c r="T78" s="8982"/>
      <c r="U78" s="8950"/>
      <c r="V78" s="8950"/>
      <c r="W78" s="8983"/>
      <c r="X78" s="8982"/>
      <c r="Y78" s="8951"/>
      <c r="Z78" s="9060"/>
      <c r="AA78" s="8950"/>
      <c r="AB78" s="8950"/>
      <c r="AC78" s="8950"/>
      <c r="AD78" s="8983"/>
      <c r="AE78" s="8982"/>
      <c r="AF78" s="8950"/>
      <c r="AG78" s="8950"/>
      <c r="AH78" s="8983"/>
      <c r="AI78" s="8982"/>
      <c r="AJ78" s="8950"/>
      <c r="AK78" s="8950"/>
      <c r="AL78" s="8983"/>
      <c r="AM78" s="9038">
        <f>ROUND(SUM(X78:AL78),0)</f>
        <v>0</v>
      </c>
      <c r="AN78" s="9038"/>
      <c r="AO78" s="9038"/>
      <c r="AP78" s="1277"/>
      <c r="AQ78" s="253"/>
      <c r="AR78" s="253"/>
      <c r="AS78" s="253"/>
      <c r="AT78" s="253"/>
      <c r="AU78" s="253"/>
      <c r="AV78" s="253"/>
      <c r="AW78" s="253"/>
      <c r="AX78" s="769"/>
      <c r="AY78" s="964"/>
      <c r="AZ78" s="964"/>
      <c r="BA78" s="964"/>
      <c r="BB78" s="964"/>
      <c r="BC78" s="964"/>
      <c r="BD78" s="964"/>
      <c r="BE78" s="964"/>
      <c r="BF78" s="964"/>
      <c r="BG78" s="964"/>
      <c r="BH78" s="964"/>
    </row>
    <row r="79" spans="1:60" ht="15" customHeight="1">
      <c r="A79" s="4183">
        <f>SUM(X79:AL79)</f>
        <v>0</v>
      </c>
      <c r="B79" s="4184" t="s">
        <v>518</v>
      </c>
      <c r="C79" s="9046"/>
      <c r="D79" s="9047"/>
      <c r="E79" s="9047"/>
      <c r="F79" s="9047"/>
      <c r="G79" s="9048"/>
      <c r="H79" s="8982"/>
      <c r="I79" s="8950"/>
      <c r="J79" s="8983"/>
      <c r="K79" s="8950"/>
      <c r="L79" s="8951"/>
      <c r="M79" s="8951"/>
      <c r="N79" s="8951"/>
      <c r="O79" s="8982"/>
      <c r="P79" s="8950"/>
      <c r="Q79" s="8950"/>
      <c r="R79" s="8950"/>
      <c r="S79" s="8983"/>
      <c r="T79" s="8982"/>
      <c r="U79" s="8950"/>
      <c r="V79" s="8950"/>
      <c r="W79" s="8983"/>
      <c r="X79" s="8982"/>
      <c r="Y79" s="8951"/>
      <c r="Z79" s="9060"/>
      <c r="AA79" s="8950"/>
      <c r="AB79" s="8950"/>
      <c r="AC79" s="8950"/>
      <c r="AD79" s="8983"/>
      <c r="AE79" s="8982"/>
      <c r="AF79" s="8950"/>
      <c r="AG79" s="8950"/>
      <c r="AH79" s="8983"/>
      <c r="AI79" s="8982"/>
      <c r="AJ79" s="8950"/>
      <c r="AK79" s="8950"/>
      <c r="AL79" s="8983"/>
      <c r="AM79" s="9038">
        <f>ROUND(SUM(X79:AL79),0)</f>
        <v>0</v>
      </c>
      <c r="AN79" s="9038"/>
      <c r="AO79" s="9038"/>
      <c r="AP79" s="1277"/>
      <c r="AQ79" s="1277"/>
      <c r="AR79" s="1277"/>
      <c r="AS79" s="1277"/>
      <c r="AT79" s="1277"/>
      <c r="AU79" s="1277"/>
      <c r="AV79" s="253"/>
      <c r="AW79" s="253"/>
      <c r="AX79" s="769"/>
      <c r="AY79" s="964"/>
      <c r="AZ79" s="964"/>
      <c r="BA79" s="964"/>
      <c r="BB79" s="964"/>
      <c r="BC79" s="964"/>
      <c r="BD79" s="964"/>
      <c r="BE79" s="964"/>
      <c r="BF79" s="964"/>
      <c r="BG79" s="964"/>
      <c r="BH79" s="964"/>
    </row>
    <row r="80" spans="1:60" ht="16.5" customHeight="1">
      <c r="A80" s="4185" t="b">
        <f>SUM(A77:A79)&gt;0</f>
        <v>0</v>
      </c>
      <c r="B80" s="9063">
        <v>8</v>
      </c>
      <c r="C80" s="9063"/>
      <c r="D80" s="4186" t="s">
        <v>2856</v>
      </c>
      <c r="E80" s="773"/>
      <c r="F80" s="773"/>
      <c r="G80" s="773"/>
      <c r="H80" s="773"/>
      <c r="I80" s="773"/>
      <c r="J80" s="773"/>
      <c r="K80" s="773"/>
      <c r="L80" s="773"/>
      <c r="M80" s="773"/>
      <c r="N80" s="773"/>
      <c r="O80" s="773"/>
      <c r="P80" s="773"/>
      <c r="Q80" s="773"/>
      <c r="R80" s="773"/>
      <c r="S80" s="773"/>
      <c r="T80" s="773"/>
      <c r="U80" s="773"/>
      <c r="V80" s="773"/>
      <c r="W80" s="773"/>
      <c r="X80" s="773"/>
      <c r="Y80" s="773"/>
      <c r="Z80" s="773"/>
      <c r="AA80" s="773"/>
      <c r="AB80" s="773"/>
      <c r="AC80" s="773"/>
      <c r="AD80" s="773"/>
      <c r="AE80" s="773"/>
      <c r="AF80" s="773"/>
      <c r="AG80" s="773"/>
      <c r="AH80" s="773"/>
      <c r="AI80" s="773"/>
      <c r="AJ80" s="4187" t="s">
        <v>877</v>
      </c>
      <c r="AK80" s="9057">
        <v>8</v>
      </c>
      <c r="AL80" s="9058"/>
      <c r="AM80" s="8988">
        <f>IF(AQ80&lt;&gt;"",ROUND(AQ80,0),ROUND(SUM(AM77:AM79),0))</f>
        <v>0</v>
      </c>
      <c r="AN80" s="8989"/>
      <c r="AO80" s="8989"/>
      <c r="AP80" s="1277"/>
      <c r="AQ80" s="9211"/>
      <c r="AR80" s="9212"/>
      <c r="AS80" s="9212"/>
      <c r="AT80" s="9212"/>
      <c r="AU80" s="1277"/>
      <c r="AV80" s="253"/>
      <c r="AW80" s="253"/>
      <c r="AX80" s="769"/>
      <c r="AY80" s="964"/>
      <c r="AZ80" s="964"/>
      <c r="BA80" s="964"/>
      <c r="BB80" s="964"/>
      <c r="BC80" s="964"/>
      <c r="BD80" s="964"/>
      <c r="BE80" s="964"/>
      <c r="BF80" s="964"/>
      <c r="BG80" s="964"/>
      <c r="BH80" s="964"/>
    </row>
    <row r="81" spans="1:60" ht="18">
      <c r="A81" s="2112"/>
      <c r="B81" s="1218" t="s">
        <v>2857</v>
      </c>
      <c r="C81" s="2373"/>
      <c r="D81" s="253"/>
      <c r="E81" s="253"/>
      <c r="F81" s="253"/>
      <c r="G81" s="253"/>
      <c r="H81" s="253"/>
      <c r="I81" s="253"/>
      <c r="J81" s="253"/>
      <c r="K81" s="253"/>
      <c r="L81" s="253"/>
      <c r="M81" s="253"/>
      <c r="N81" s="253"/>
      <c r="O81" s="253"/>
      <c r="P81" s="253"/>
      <c r="Q81" s="253"/>
      <c r="R81" s="253"/>
      <c r="S81" s="253"/>
      <c r="T81" s="253"/>
      <c r="U81" s="253"/>
      <c r="V81" s="253"/>
      <c r="W81" s="253"/>
      <c r="X81" s="344" t="s">
        <v>2858</v>
      </c>
      <c r="Y81" s="253"/>
      <c r="Z81" s="253"/>
      <c r="AA81" s="253"/>
      <c r="AB81" s="253"/>
      <c r="AC81" s="253"/>
      <c r="AD81" s="253"/>
      <c r="AE81" s="253"/>
      <c r="AF81" s="253"/>
      <c r="AG81" s="253"/>
      <c r="AH81" s="253"/>
      <c r="AI81" s="253"/>
      <c r="AJ81" s="253"/>
      <c r="AK81" s="1061" t="s">
        <v>2859</v>
      </c>
      <c r="AL81" s="253"/>
      <c r="AM81" s="416" t="str">
        <f>"("&amp;TaxYear&amp;")"</f>
        <v>(2025)</v>
      </c>
      <c r="AN81" s="1061"/>
      <c r="AO81" s="689" t="s">
        <v>6389</v>
      </c>
      <c r="AP81" s="1277"/>
      <c r="AQ81" s="1277"/>
      <c r="AR81" s="1277"/>
      <c r="AS81" s="1277"/>
      <c r="AT81" s="1277"/>
      <c r="AU81" s="1277"/>
      <c r="AV81" s="253"/>
      <c r="AW81" s="253"/>
      <c r="AX81" s="769"/>
      <c r="AY81" s="964"/>
      <c r="AZ81" s="964"/>
      <c r="BA81" s="964"/>
      <c r="BB81" s="964"/>
      <c r="BC81" s="964"/>
      <c r="BD81" s="964"/>
      <c r="BE81" s="964"/>
      <c r="BF81" s="964"/>
      <c r="BG81" s="964"/>
      <c r="BH81" s="964"/>
    </row>
    <row r="82" spans="1:60" ht="6" customHeight="1">
      <c r="A82" s="2112"/>
      <c r="B82" s="253"/>
      <c r="C82" s="253"/>
      <c r="D82" s="253"/>
      <c r="E82" s="253"/>
      <c r="F82" s="253"/>
      <c r="G82" s="253"/>
      <c r="H82" s="253"/>
      <c r="I82" s="253"/>
      <c r="J82" s="253"/>
      <c r="K82" s="253"/>
      <c r="L82" s="253"/>
      <c r="M82" s="253"/>
      <c r="N82" s="253"/>
      <c r="O82" s="253"/>
      <c r="P82" s="253"/>
      <c r="Q82" s="253"/>
      <c r="R82" s="253"/>
      <c r="S82" s="253"/>
      <c r="T82" s="794"/>
      <c r="U82" s="253"/>
      <c r="V82" s="253"/>
      <c r="W82" s="253"/>
      <c r="X82" s="253"/>
      <c r="Y82" s="253"/>
      <c r="Z82" s="253"/>
      <c r="AA82" s="253"/>
      <c r="AB82" s="253"/>
      <c r="AC82" s="253"/>
      <c r="AD82" s="253"/>
      <c r="AE82" s="253"/>
      <c r="AF82" s="253"/>
      <c r="AG82" s="253"/>
      <c r="AH82" s="253"/>
      <c r="AI82" s="253"/>
      <c r="AJ82" s="253"/>
      <c r="AK82" s="253"/>
      <c r="AL82" s="253"/>
      <c r="AM82" s="253"/>
      <c r="AN82" s="253"/>
      <c r="AO82" s="253"/>
      <c r="AP82" s="1277"/>
      <c r="AQ82" s="253"/>
      <c r="AR82" s="253"/>
      <c r="AS82" s="253"/>
      <c r="AT82" s="253"/>
      <c r="AU82" s="253"/>
      <c r="AV82" s="253"/>
      <c r="AW82" s="253"/>
      <c r="AX82" s="769"/>
      <c r="AY82" s="964"/>
      <c r="AZ82" s="964"/>
      <c r="BA82" s="964"/>
      <c r="BB82" s="964"/>
      <c r="BC82" s="964"/>
      <c r="BD82" s="964"/>
      <c r="BE82" s="964"/>
      <c r="BF82" s="964"/>
      <c r="BG82" s="964"/>
      <c r="BH82" s="964"/>
    </row>
    <row r="83" spans="1:60" ht="18" customHeight="1" thickBot="1">
      <c r="A83" s="2112"/>
      <c r="B83" s="2266" t="str">
        <f>"Form 1116 ("&amp;TaxYear&amp;")"</f>
        <v>Form 1116 (2025)</v>
      </c>
      <c r="C83" s="380"/>
      <c r="D83" s="380"/>
      <c r="E83" s="380"/>
      <c r="F83" s="380"/>
      <c r="G83" s="380"/>
      <c r="H83" s="380"/>
      <c r="I83" s="380"/>
      <c r="J83" s="380"/>
      <c r="K83" s="380"/>
      <c r="L83" s="380"/>
      <c r="M83" s="380"/>
      <c r="N83" s="380"/>
      <c r="O83" s="380"/>
      <c r="P83" s="380"/>
      <c r="Q83" s="380"/>
      <c r="R83" s="380"/>
      <c r="S83" s="380"/>
      <c r="T83" s="380"/>
      <c r="U83" s="380"/>
      <c r="V83" s="380"/>
      <c r="W83" s="380"/>
      <c r="X83" s="380"/>
      <c r="Y83" s="380"/>
      <c r="Z83" s="380"/>
      <c r="AA83" s="380"/>
      <c r="AB83" s="380"/>
      <c r="AC83" s="380"/>
      <c r="AD83" s="380"/>
      <c r="AE83" s="380"/>
      <c r="AF83" s="380"/>
      <c r="AG83" s="380"/>
      <c r="AH83" s="380"/>
      <c r="AI83" s="380"/>
      <c r="AJ83" s="380"/>
      <c r="AK83" s="380"/>
      <c r="AL83" s="380"/>
      <c r="AM83" s="380"/>
      <c r="AN83" s="380"/>
      <c r="AO83" s="4188" t="s">
        <v>2860</v>
      </c>
      <c r="AP83" s="1277"/>
      <c r="AQ83" s="253"/>
      <c r="AR83" s="253"/>
      <c r="AS83" s="253"/>
      <c r="AT83" s="253"/>
      <c r="AU83" s="253"/>
      <c r="AV83" s="253"/>
      <c r="AW83" s="253"/>
      <c r="AX83" s="769"/>
      <c r="AY83" s="964"/>
      <c r="AZ83" s="964"/>
      <c r="BA83" s="964"/>
      <c r="BB83" s="964"/>
      <c r="BC83" s="964"/>
      <c r="BD83" s="964"/>
      <c r="BE83" s="964"/>
      <c r="BF83" s="964"/>
      <c r="BG83" s="964"/>
      <c r="BH83" s="964"/>
    </row>
    <row r="84" spans="1:60" s="1405" customFormat="1" ht="16.5" customHeight="1">
      <c r="A84" s="4157"/>
      <c r="B84" s="9031" t="s">
        <v>1938</v>
      </c>
      <c r="C84" s="9031"/>
      <c r="D84" s="9032"/>
      <c r="E84" s="2120"/>
      <c r="F84" s="4189" t="s">
        <v>2861</v>
      </c>
      <c r="G84" s="2120"/>
      <c r="H84" s="2120"/>
      <c r="I84" s="2120"/>
      <c r="J84" s="2120"/>
      <c r="K84" s="2120"/>
      <c r="L84" s="2120"/>
      <c r="M84" s="2120"/>
      <c r="N84" s="2120"/>
      <c r="O84" s="2120"/>
      <c r="P84" s="2120"/>
      <c r="Q84" s="2120"/>
      <c r="R84" s="2120"/>
      <c r="S84" s="2120"/>
      <c r="T84" s="2120"/>
      <c r="U84" s="2120"/>
      <c r="V84" s="2120"/>
      <c r="W84" s="2120"/>
      <c r="X84" s="2120"/>
      <c r="Y84" s="2120"/>
      <c r="Z84" s="2120"/>
      <c r="AA84" s="2120"/>
      <c r="AB84" s="2120"/>
      <c r="AC84" s="2120"/>
      <c r="AD84" s="2120"/>
      <c r="AE84" s="2120"/>
      <c r="AF84" s="2120"/>
      <c r="AG84" s="2120"/>
      <c r="AH84" s="2120"/>
      <c r="AI84" s="2120"/>
      <c r="AJ84" s="2120"/>
      <c r="AK84" s="2120"/>
      <c r="AL84" s="2120"/>
      <c r="AM84" s="2120"/>
      <c r="AN84" s="2120"/>
      <c r="AO84" s="2120"/>
      <c r="AP84" s="1277"/>
      <c r="AQ84" s="1323"/>
      <c r="AR84" s="1323"/>
      <c r="AS84" s="1323"/>
      <c r="AT84" s="1323"/>
      <c r="AU84" s="1323"/>
      <c r="AV84" s="1323"/>
      <c r="AW84" s="1323"/>
      <c r="AX84" s="769"/>
      <c r="AY84" s="964"/>
      <c r="AZ84" s="964"/>
      <c r="BA84" s="964"/>
      <c r="BB84" s="964"/>
      <c r="BC84" s="964"/>
      <c r="BD84" s="964"/>
      <c r="BE84" s="964"/>
      <c r="BF84" s="964"/>
      <c r="BG84" s="964"/>
      <c r="BH84" s="964"/>
    </row>
    <row r="85" spans="1:60" ht="17.25" customHeight="1">
      <c r="A85" s="2112"/>
      <c r="B85" s="9127">
        <v>9</v>
      </c>
      <c r="C85" s="9127"/>
      <c r="D85" s="253" t="s">
        <v>2862</v>
      </c>
      <c r="E85" s="253"/>
      <c r="F85" s="511"/>
      <c r="G85" s="253"/>
      <c r="H85" s="253"/>
      <c r="I85" s="253"/>
      <c r="J85" s="253"/>
      <c r="K85" s="253"/>
      <c r="L85" s="253"/>
      <c r="M85" s="253"/>
      <c r="N85" s="253"/>
      <c r="O85" s="253"/>
      <c r="P85" s="253"/>
      <c r="Q85" s="253"/>
      <c r="R85" s="253"/>
      <c r="S85" s="253"/>
      <c r="T85" s="253"/>
      <c r="U85" s="253"/>
      <c r="V85" s="253"/>
      <c r="W85" s="253"/>
      <c r="X85" s="253"/>
      <c r="Y85" s="253"/>
      <c r="Z85" s="9128"/>
      <c r="AA85" s="8629"/>
      <c r="AB85" s="405"/>
      <c r="AC85" s="406"/>
      <c r="AD85" s="406"/>
      <c r="AE85" s="406"/>
      <c r="AF85" s="406"/>
      <c r="AG85" s="406"/>
      <c r="AH85" s="406"/>
      <c r="AI85" s="407"/>
      <c r="AJ85" s="8976"/>
      <c r="AK85" s="7976"/>
      <c r="AL85" s="405"/>
      <c r="AM85" s="406"/>
      <c r="AN85" s="406"/>
      <c r="AO85" s="406"/>
      <c r="AP85" s="1277"/>
      <c r="AQ85" s="1323"/>
      <c r="AR85" s="1323"/>
      <c r="AS85" s="1323"/>
      <c r="AT85" s="1323"/>
      <c r="AU85" s="1323"/>
      <c r="AV85" s="253"/>
      <c r="AW85" s="253"/>
      <c r="AX85" s="769"/>
      <c r="AY85" s="964"/>
      <c r="AZ85" s="964"/>
      <c r="BA85" s="964"/>
      <c r="BB85" s="964"/>
      <c r="BC85" s="964"/>
      <c r="BD85" s="964"/>
      <c r="BE85" s="964"/>
      <c r="BF85" s="964"/>
      <c r="BG85" s="964"/>
      <c r="BH85" s="964"/>
    </row>
    <row r="86" spans="1:60" ht="14.25" customHeight="1">
      <c r="A86" s="2112"/>
      <c r="B86" s="344"/>
      <c r="C86" s="344"/>
      <c r="D86" s="253" t="s">
        <v>2863</v>
      </c>
      <c r="E86" s="253"/>
      <c r="F86" s="511"/>
      <c r="G86" s="253"/>
      <c r="H86" s="253"/>
      <c r="I86" s="253"/>
      <c r="J86" s="253"/>
      <c r="K86" s="253"/>
      <c r="L86" s="253"/>
      <c r="M86" s="253"/>
      <c r="N86" s="253"/>
      <c r="O86" s="253"/>
      <c r="P86" s="253"/>
      <c r="Q86" s="253"/>
      <c r="R86" s="253"/>
      <c r="S86" s="253"/>
      <c r="T86" s="253"/>
      <c r="U86" s="253"/>
      <c r="V86" s="253"/>
      <c r="W86" s="253"/>
      <c r="X86" s="253"/>
      <c r="Y86" s="1401" t="s">
        <v>1838</v>
      </c>
      <c r="Z86" s="8994">
        <v>9</v>
      </c>
      <c r="AA86" s="9030"/>
      <c r="AB86" s="9035">
        <f>AM80</f>
        <v>0</v>
      </c>
      <c r="AC86" s="9036"/>
      <c r="AD86" s="9036"/>
      <c r="AE86" s="9036"/>
      <c r="AF86" s="9036"/>
      <c r="AG86" s="9036"/>
      <c r="AH86" s="9036"/>
      <c r="AI86" s="9037"/>
      <c r="AJ86" s="8976"/>
      <c r="AK86" s="7976"/>
      <c r="AL86" s="408"/>
      <c r="AM86" s="253"/>
      <c r="AN86" s="253"/>
      <c r="AO86" s="253"/>
      <c r="AP86" s="1277"/>
      <c r="AQ86" s="1323"/>
      <c r="AR86" s="1323"/>
      <c r="AS86" s="1323"/>
      <c r="AT86" s="1323"/>
      <c r="AU86" s="1323"/>
      <c r="AV86" s="253"/>
      <c r="AW86" s="253"/>
      <c r="AX86" s="769"/>
      <c r="AY86" s="964"/>
      <c r="AZ86" s="964"/>
      <c r="BA86" s="964"/>
      <c r="BB86" s="964"/>
      <c r="BC86" s="964"/>
      <c r="BD86" s="964"/>
      <c r="BE86" s="964"/>
      <c r="BF86" s="964"/>
      <c r="BG86" s="964"/>
      <c r="BH86" s="964"/>
    </row>
    <row r="87" spans="1:60" ht="15" customHeight="1">
      <c r="A87" s="2112"/>
      <c r="B87" s="9029">
        <v>10</v>
      </c>
      <c r="C87" s="9029"/>
      <c r="D87" s="344" t="s">
        <v>5190</v>
      </c>
      <c r="E87" s="253"/>
      <c r="F87" s="511"/>
      <c r="G87" s="253"/>
      <c r="H87" s="253"/>
      <c r="I87" s="253"/>
      <c r="J87" s="253"/>
      <c r="K87" s="253"/>
      <c r="L87" s="253"/>
      <c r="M87" s="253"/>
      <c r="N87" s="253"/>
      <c r="O87" s="253"/>
      <c r="P87" s="253"/>
      <c r="Q87" s="253"/>
      <c r="R87" s="253"/>
      <c r="S87" s="253"/>
      <c r="T87" s="253"/>
      <c r="U87" s="253"/>
      <c r="V87" s="253"/>
      <c r="W87" s="253"/>
      <c r="X87" s="253"/>
      <c r="Y87" s="253"/>
      <c r="Z87" s="9128"/>
      <c r="AA87" s="8629"/>
      <c r="AB87" s="405"/>
      <c r="AC87" s="406"/>
      <c r="AD87" s="406"/>
      <c r="AE87" s="406"/>
      <c r="AF87" s="406"/>
      <c r="AG87" s="406"/>
      <c r="AH87" s="406"/>
      <c r="AI87" s="407"/>
      <c r="AJ87" s="8976"/>
      <c r="AK87" s="7976"/>
      <c r="AL87" s="408"/>
      <c r="AM87" s="253"/>
      <c r="AN87" s="253"/>
      <c r="AO87" s="253"/>
      <c r="AP87" s="1277"/>
      <c r="AQ87" s="1323"/>
      <c r="AR87" s="1323"/>
      <c r="AS87" s="1323"/>
      <c r="AT87" s="1323"/>
      <c r="AU87" s="1323"/>
      <c r="AV87" s="253"/>
      <c r="AW87" s="253"/>
      <c r="AX87" s="769"/>
      <c r="AY87" s="964"/>
      <c r="AZ87" s="964"/>
      <c r="BA87" s="964"/>
      <c r="BB87" s="964"/>
      <c r="BC87" s="964"/>
      <c r="BD87" s="964"/>
      <c r="BE87" s="964"/>
      <c r="BF87" s="964"/>
      <c r="BG87" s="964"/>
      <c r="BH87" s="964"/>
    </row>
    <row r="88" spans="1:60" ht="13.5" customHeight="1">
      <c r="A88" s="2112"/>
      <c r="B88" s="9029"/>
      <c r="C88" s="9029"/>
      <c r="D88" s="344" t="s">
        <v>5191</v>
      </c>
      <c r="E88" s="253"/>
      <c r="F88" s="511"/>
      <c r="G88" s="253"/>
      <c r="H88" s="253"/>
      <c r="I88" s="253"/>
      <c r="J88" s="253"/>
      <c r="K88" s="253"/>
      <c r="L88" s="253"/>
      <c r="M88" s="253"/>
      <c r="N88" s="253"/>
      <c r="O88" s="253"/>
      <c r="P88" s="253"/>
      <c r="Q88" s="253"/>
      <c r="R88" s="253"/>
      <c r="S88" s="253"/>
      <c r="T88" s="253"/>
      <c r="U88" s="253"/>
      <c r="V88" s="253"/>
      <c r="W88" s="253"/>
      <c r="X88" s="253"/>
      <c r="Y88" s="1401"/>
      <c r="Z88" s="8984"/>
      <c r="AA88" s="8985"/>
      <c r="AB88" s="408"/>
      <c r="AC88" s="253"/>
      <c r="AD88" s="253"/>
      <c r="AE88" s="253"/>
      <c r="AF88" s="253"/>
      <c r="AG88" s="253"/>
      <c r="AH88" s="253"/>
      <c r="AI88" s="409"/>
      <c r="AJ88" s="8976"/>
      <c r="AK88" s="7976"/>
      <c r="AL88" s="408"/>
      <c r="AM88" s="253"/>
      <c r="AN88" s="253"/>
      <c r="AO88" s="253"/>
      <c r="AP88" s="1277"/>
      <c r="AQ88" s="253"/>
      <c r="AR88" s="253"/>
      <c r="AS88" s="253"/>
      <c r="AT88" s="253"/>
      <c r="AU88" s="253"/>
      <c r="AV88" s="253"/>
      <c r="AW88" s="253"/>
      <c r="AX88" s="769"/>
      <c r="AY88" s="964"/>
      <c r="AZ88" s="964"/>
      <c r="BA88" s="964"/>
      <c r="BB88" s="964"/>
      <c r="BC88" s="964"/>
      <c r="BD88" s="964"/>
      <c r="BE88" s="964"/>
      <c r="BF88" s="964"/>
      <c r="BG88" s="964"/>
      <c r="BH88" s="964"/>
    </row>
    <row r="89" spans="1:60" ht="13.5" customHeight="1">
      <c r="A89" s="2112"/>
      <c r="B89" s="1291"/>
      <c r="C89" s="1291"/>
      <c r="D89" s="344" t="s">
        <v>5192</v>
      </c>
      <c r="E89" s="253"/>
      <c r="F89" s="511"/>
      <c r="G89" s="253"/>
      <c r="H89" s="253"/>
      <c r="I89" s="253"/>
      <c r="J89" s="253"/>
      <c r="K89" s="253"/>
      <c r="L89" s="253"/>
      <c r="M89" s="253"/>
      <c r="N89" s="253"/>
      <c r="O89" s="253"/>
      <c r="P89" s="253"/>
      <c r="Q89" s="253"/>
      <c r="R89" s="253"/>
      <c r="S89" s="253"/>
      <c r="T89" s="253"/>
      <c r="U89" s="253"/>
      <c r="V89" s="253"/>
      <c r="W89" s="253"/>
      <c r="X89" s="253"/>
      <c r="Y89" s="1401"/>
      <c r="Z89" s="1207"/>
      <c r="AA89" s="4190"/>
      <c r="AB89" s="408"/>
      <c r="AC89" s="253"/>
      <c r="AD89" s="253"/>
      <c r="AE89" s="253"/>
      <c r="AF89" s="253"/>
      <c r="AG89" s="253"/>
      <c r="AH89" s="253"/>
      <c r="AI89" s="409"/>
      <c r="AJ89" s="8976"/>
      <c r="AK89" s="7976"/>
      <c r="AL89" s="408"/>
      <c r="AM89" s="253"/>
      <c r="AN89" s="253"/>
      <c r="AO89" s="253"/>
      <c r="AP89" s="1277"/>
      <c r="AQ89" s="253"/>
      <c r="AR89" s="253"/>
      <c r="AS89" s="253"/>
      <c r="AT89" s="253"/>
      <c r="AU89" s="253"/>
      <c r="AV89" s="253"/>
      <c r="AW89" s="253"/>
      <c r="AX89" s="769"/>
      <c r="AY89" s="964"/>
      <c r="AZ89" s="964"/>
      <c r="BA89" s="964"/>
      <c r="BB89" s="964"/>
      <c r="BC89" s="964"/>
      <c r="BD89" s="964"/>
      <c r="BE89" s="964"/>
      <c r="BF89" s="964"/>
      <c r="BG89" s="964"/>
      <c r="BH89" s="964"/>
    </row>
    <row r="90" spans="1:60" ht="16.5" customHeight="1">
      <c r="A90" s="2112"/>
      <c r="B90" s="9029"/>
      <c r="C90" s="9029"/>
      <c r="D90" s="344" t="s">
        <v>5193</v>
      </c>
      <c r="E90" s="253"/>
      <c r="F90" s="511"/>
      <c r="G90" s="253"/>
      <c r="H90" s="253"/>
      <c r="I90" s="253"/>
      <c r="J90" s="253"/>
      <c r="K90" s="253"/>
      <c r="L90" s="253"/>
      <c r="M90" s="253"/>
      <c r="N90" s="253"/>
      <c r="O90" s="253"/>
      <c r="P90" s="253"/>
      <c r="Q90" s="253"/>
      <c r="R90" s="253"/>
      <c r="S90" s="253"/>
      <c r="T90" s="253"/>
      <c r="U90" s="253"/>
      <c r="V90" s="253"/>
      <c r="W90" s="253"/>
      <c r="X90" s="276"/>
      <c r="Y90" s="253"/>
      <c r="Z90" s="8994">
        <v>10</v>
      </c>
      <c r="AA90" s="9030"/>
      <c r="AB90" s="8972"/>
      <c r="AC90" s="8973"/>
      <c r="AD90" s="8973"/>
      <c r="AE90" s="8973"/>
      <c r="AF90" s="8973"/>
      <c r="AG90" s="8973"/>
      <c r="AH90" s="8973"/>
      <c r="AI90" s="8974"/>
      <c r="AJ90" s="8976"/>
      <c r="AK90" s="7976"/>
      <c r="AL90" s="8995">
        <f>ROUND(AB90,0)</f>
        <v>0</v>
      </c>
      <c r="AM90" s="8824"/>
      <c r="AN90" s="8824"/>
      <c r="AO90" s="8824"/>
      <c r="AP90" s="1277"/>
      <c r="AQ90" s="253"/>
      <c r="AR90" s="253"/>
      <c r="AS90" s="253"/>
      <c r="AT90" s="253"/>
      <c r="AU90" s="253"/>
      <c r="AV90" s="253"/>
      <c r="AW90" s="253"/>
      <c r="AX90" s="769"/>
      <c r="AY90" s="964"/>
      <c r="AZ90" s="964"/>
      <c r="BA90" s="964"/>
      <c r="BB90" s="964"/>
      <c r="BC90" s="964"/>
      <c r="BD90" s="964"/>
      <c r="BE90" s="964"/>
      <c r="BF90" s="964"/>
      <c r="BG90" s="964"/>
      <c r="BH90" s="964"/>
    </row>
    <row r="91" spans="1:60" ht="13.5" customHeight="1">
      <c r="A91" s="2112"/>
      <c r="B91" s="9029"/>
      <c r="C91" s="9029"/>
      <c r="D91" s="344" t="s">
        <v>5194</v>
      </c>
      <c r="E91" s="253"/>
      <c r="F91" s="511"/>
      <c r="G91" s="253"/>
      <c r="H91" s="253"/>
      <c r="I91" s="253"/>
      <c r="J91" s="253"/>
      <c r="K91" s="253"/>
      <c r="L91" s="253"/>
      <c r="M91" s="253"/>
      <c r="N91" s="253"/>
      <c r="O91" s="253"/>
      <c r="P91" s="253"/>
      <c r="Q91" s="253"/>
      <c r="R91" s="253"/>
      <c r="S91" s="253"/>
      <c r="T91" s="253"/>
      <c r="U91" s="253"/>
      <c r="V91" s="253"/>
      <c r="W91" s="253"/>
      <c r="X91" s="253"/>
      <c r="Y91" s="253"/>
      <c r="Z91" s="8984"/>
      <c r="AA91" s="8985"/>
      <c r="AB91" s="408"/>
      <c r="AC91" s="253"/>
      <c r="AD91" s="253"/>
      <c r="AE91" s="253"/>
      <c r="AF91" s="253"/>
      <c r="AG91" s="253"/>
      <c r="AH91" s="253"/>
      <c r="AI91" s="409"/>
      <c r="AJ91" s="8976"/>
      <c r="AK91" s="7976"/>
      <c r="AL91" s="408"/>
      <c r="AM91" s="253"/>
      <c r="AN91" s="253"/>
      <c r="AO91" s="253"/>
      <c r="AP91" s="1277"/>
      <c r="AQ91" s="253"/>
      <c r="AR91" s="253"/>
      <c r="AS91" s="253"/>
      <c r="AT91" s="253"/>
      <c r="AU91" s="253"/>
      <c r="AV91" s="253"/>
      <c r="AW91" s="253"/>
      <c r="AX91" s="769"/>
      <c r="AY91" s="964"/>
      <c r="AZ91" s="964"/>
      <c r="BA91" s="964"/>
      <c r="BB91" s="964"/>
      <c r="BC91" s="964"/>
      <c r="BD91" s="964"/>
      <c r="BE91" s="964"/>
      <c r="BF91" s="964"/>
      <c r="BG91" s="964"/>
      <c r="BH91" s="964"/>
    </row>
    <row r="92" spans="1:60" ht="13.5" customHeight="1">
      <c r="A92" s="2112"/>
      <c r="B92" s="1291"/>
      <c r="C92" s="1291"/>
      <c r="D92" s="344" t="s">
        <v>2864</v>
      </c>
      <c r="E92" s="253"/>
      <c r="F92" s="511"/>
      <c r="G92" s="253"/>
      <c r="H92" s="253"/>
      <c r="I92" s="253"/>
      <c r="J92" s="253"/>
      <c r="K92" s="253"/>
      <c r="L92" s="253"/>
      <c r="M92" s="253"/>
      <c r="N92" s="253"/>
      <c r="O92" s="253"/>
      <c r="P92" s="253"/>
      <c r="Q92" s="253"/>
      <c r="R92" s="253"/>
      <c r="S92" s="253"/>
      <c r="T92" s="253"/>
      <c r="U92" s="253"/>
      <c r="V92" s="253"/>
      <c r="W92" s="253"/>
      <c r="X92" s="253"/>
      <c r="Y92" s="253"/>
      <c r="Z92" s="1207"/>
      <c r="AA92" s="4190"/>
      <c r="AB92" s="408"/>
      <c r="AC92" s="253"/>
      <c r="AD92" s="253"/>
      <c r="AE92" s="253"/>
      <c r="AF92" s="253"/>
      <c r="AG92" s="253"/>
      <c r="AH92" s="253"/>
      <c r="AI92" s="409"/>
      <c r="AJ92" s="8976"/>
      <c r="AK92" s="7976"/>
      <c r="AL92" s="408"/>
      <c r="AM92" s="253"/>
      <c r="AN92" s="253"/>
      <c r="AO92" s="253"/>
      <c r="AP92" s="1277"/>
      <c r="AQ92" s="253"/>
      <c r="AR92" s="253"/>
      <c r="AS92" s="253"/>
      <c r="AT92" s="253"/>
      <c r="AU92" s="253"/>
      <c r="AV92" s="253"/>
      <c r="AW92" s="253"/>
      <c r="AX92" s="769"/>
      <c r="AY92" s="964"/>
      <c r="AZ92" s="964"/>
      <c r="BA92" s="964"/>
      <c r="BB92" s="964"/>
      <c r="BC92" s="964"/>
      <c r="BD92" s="964"/>
      <c r="BE92" s="964"/>
      <c r="BF92" s="964"/>
      <c r="BG92" s="964"/>
      <c r="BH92" s="964"/>
    </row>
    <row r="93" spans="1:60" ht="15.75" customHeight="1" thickBot="1">
      <c r="A93" s="2112"/>
      <c r="B93" s="9029">
        <v>11</v>
      </c>
      <c r="C93" s="9029"/>
      <c r="D93" s="253" t="s">
        <v>2865</v>
      </c>
      <c r="E93" s="253"/>
      <c r="F93" s="511"/>
      <c r="G93" s="253"/>
      <c r="H93" s="253"/>
      <c r="I93" s="253"/>
      <c r="J93" s="253"/>
      <c r="K93" s="253"/>
      <c r="L93" s="253"/>
      <c r="M93" s="253"/>
      <c r="N93" s="253"/>
      <c r="O93" s="253"/>
      <c r="P93" s="253"/>
      <c r="Q93" s="253"/>
      <c r="R93" s="253"/>
      <c r="S93" s="253"/>
      <c r="T93" s="253"/>
      <c r="U93" s="253"/>
      <c r="V93" s="253"/>
      <c r="W93" s="253"/>
      <c r="X93" s="253"/>
      <c r="Y93" s="1401" t="s">
        <v>805</v>
      </c>
      <c r="Z93" s="8994">
        <v>11</v>
      </c>
      <c r="AA93" s="9030"/>
      <c r="AB93" s="9035">
        <f>SUM(AB86,AL90)</f>
        <v>0</v>
      </c>
      <c r="AC93" s="9036"/>
      <c r="AD93" s="9036"/>
      <c r="AE93" s="9036"/>
      <c r="AF93" s="9036"/>
      <c r="AG93" s="9036"/>
      <c r="AH93" s="9036"/>
      <c r="AI93" s="9037"/>
      <c r="AJ93" s="8976"/>
      <c r="AK93" s="7976"/>
      <c r="AL93" s="9044" t="str">
        <f>IF(AB94&gt;0,"Line 12 cannot be","")</f>
        <v/>
      </c>
      <c r="AM93" s="9045"/>
      <c r="AN93" s="9045"/>
      <c r="AO93" s="9045"/>
      <c r="AP93" s="1277"/>
      <c r="AQ93" s="253"/>
      <c r="AR93" s="253"/>
      <c r="AS93" s="253"/>
      <c r="AT93" s="253"/>
      <c r="AU93" s="253"/>
      <c r="AV93" s="253"/>
      <c r="AW93" s="253"/>
      <c r="AX93" s="769"/>
      <c r="AY93" s="964"/>
      <c r="AZ93" s="964"/>
      <c r="BA93" s="964"/>
      <c r="BB93" s="964"/>
      <c r="BC93" s="964"/>
      <c r="BD93" s="964"/>
      <c r="BE93" s="964"/>
      <c r="BF93" s="964"/>
      <c r="BG93" s="964"/>
      <c r="BH93" s="964"/>
    </row>
    <row r="94" spans="1:60" ht="13.5" customHeight="1">
      <c r="A94" s="2112"/>
      <c r="B94" s="9029">
        <v>12</v>
      </c>
      <c r="C94" s="9029"/>
      <c r="D94" s="344" t="s">
        <v>2866</v>
      </c>
      <c r="E94" s="253"/>
      <c r="F94" s="511"/>
      <c r="G94" s="253"/>
      <c r="H94" s="253"/>
      <c r="I94" s="253"/>
      <c r="J94" s="253"/>
      <c r="K94" s="253"/>
      <c r="L94" s="253"/>
      <c r="M94" s="253"/>
      <c r="N94" s="253"/>
      <c r="O94" s="253"/>
      <c r="P94" s="253"/>
      <c r="Q94" s="253"/>
      <c r="R94" s="253"/>
      <c r="S94" s="253"/>
      <c r="T94" s="253"/>
      <c r="U94" s="253"/>
      <c r="V94" s="253"/>
      <c r="W94" s="253"/>
      <c r="X94" s="253"/>
      <c r="Y94" s="1401" t="s">
        <v>824</v>
      </c>
      <c r="Z94" s="8994">
        <v>12</v>
      </c>
      <c r="AA94" s="9030"/>
      <c r="AB94" s="9059"/>
      <c r="AC94" s="8973"/>
      <c r="AD94" s="8973"/>
      <c r="AE94" s="8973"/>
      <c r="AF94" s="8973"/>
      <c r="AG94" s="8973"/>
      <c r="AH94" s="8973"/>
      <c r="AI94" s="8974"/>
      <c r="AJ94" s="8976"/>
      <c r="AK94" s="7976"/>
      <c r="AL94" s="9044" t="str">
        <f>IF(AB94&gt;0,"a positive number.","")</f>
        <v/>
      </c>
      <c r="AM94" s="9045"/>
      <c r="AN94" s="9045"/>
      <c r="AO94" s="9045"/>
      <c r="AP94" s="1277"/>
      <c r="AQ94" s="253"/>
      <c r="AR94" s="253"/>
      <c r="AS94" s="253"/>
      <c r="AT94" s="253"/>
      <c r="AU94" s="253"/>
      <c r="AV94" s="253"/>
      <c r="AW94" s="253"/>
      <c r="AX94" s="1384"/>
      <c r="AY94" s="1385"/>
      <c r="AZ94" s="1385"/>
      <c r="BA94" s="1385"/>
      <c r="BB94" s="1385"/>
      <c r="BC94" s="1385"/>
      <c r="BD94" s="1385"/>
      <c r="BE94" s="1385"/>
      <c r="BF94" s="1385"/>
      <c r="BG94" s="1385"/>
      <c r="BH94" s="1386"/>
    </row>
    <row r="95" spans="1:60" ht="13.5" customHeight="1">
      <c r="A95" s="2112"/>
      <c r="B95" s="9029">
        <v>13</v>
      </c>
      <c r="C95" s="9029"/>
      <c r="D95" s="344" t="s">
        <v>2867</v>
      </c>
      <c r="E95" s="253"/>
      <c r="F95" s="511"/>
      <c r="G95" s="253"/>
      <c r="H95" s="253"/>
      <c r="I95" s="253"/>
      <c r="J95" s="253"/>
      <c r="K95" s="253"/>
      <c r="L95" s="253"/>
      <c r="M95" s="253"/>
      <c r="N95" s="253"/>
      <c r="O95" s="253"/>
      <c r="P95" s="253"/>
      <c r="Q95" s="253"/>
      <c r="R95" s="253"/>
      <c r="S95" s="253"/>
      <c r="T95" s="253"/>
      <c r="U95" s="253"/>
      <c r="V95" s="253"/>
      <c r="W95" s="253"/>
      <c r="X95" s="253"/>
      <c r="Y95" s="1401" t="s">
        <v>1838</v>
      </c>
      <c r="Z95" s="8994">
        <v>13</v>
      </c>
      <c r="AA95" s="9030"/>
      <c r="AB95" s="8972"/>
      <c r="AC95" s="8973"/>
      <c r="AD95" s="8973"/>
      <c r="AE95" s="8973"/>
      <c r="AF95" s="8973"/>
      <c r="AG95" s="8973"/>
      <c r="AH95" s="8973"/>
      <c r="AI95" s="8974"/>
      <c r="AJ95" s="8976"/>
      <c r="AK95" s="7976"/>
      <c r="AL95" s="408"/>
      <c r="AM95" s="253"/>
      <c r="AN95" s="253"/>
      <c r="AO95" s="253"/>
      <c r="AP95" s="1277"/>
      <c r="AQ95" s="253"/>
      <c r="AR95" s="253"/>
      <c r="AS95" s="253"/>
      <c r="AT95" s="253"/>
      <c r="AU95" s="253"/>
      <c r="AV95" s="253"/>
      <c r="AW95" s="253"/>
      <c r="AX95" s="1387" t="s">
        <v>2869</v>
      </c>
      <c r="AY95" s="1388"/>
      <c r="AZ95" s="1027"/>
      <c r="BA95" s="1027"/>
      <c r="BB95" s="1027"/>
      <c r="BC95" s="1027"/>
      <c r="BD95" s="1027"/>
      <c r="BE95" s="1027"/>
      <c r="BF95" s="1027"/>
      <c r="BG95" s="1027"/>
      <c r="BH95" s="1389"/>
    </row>
    <row r="96" spans="1:60" ht="13.5" customHeight="1">
      <c r="A96" s="2112"/>
      <c r="B96" s="9029">
        <v>14</v>
      </c>
      <c r="C96" s="9029"/>
      <c r="D96" s="344" t="s">
        <v>2868</v>
      </c>
      <c r="E96" s="253"/>
      <c r="F96" s="511"/>
      <c r="G96" s="253"/>
      <c r="H96" s="253"/>
      <c r="I96" s="253"/>
      <c r="J96" s="253"/>
      <c r="K96" s="253"/>
      <c r="L96" s="253"/>
      <c r="M96" s="253"/>
      <c r="N96" s="253"/>
      <c r="O96" s="253"/>
      <c r="P96" s="253"/>
      <c r="Q96" s="253"/>
      <c r="R96" s="253"/>
      <c r="S96" s="253"/>
      <c r="T96" s="253"/>
      <c r="U96" s="253"/>
      <c r="V96" s="253"/>
      <c r="W96" s="253"/>
      <c r="X96" s="253"/>
      <c r="Y96" s="253"/>
      <c r="Z96" s="253"/>
      <c r="AA96" s="253"/>
      <c r="AB96" s="253"/>
      <c r="AC96" s="253"/>
      <c r="AD96" s="253"/>
      <c r="AE96" s="253"/>
      <c r="AF96" s="253"/>
      <c r="AG96" s="253"/>
      <c r="AH96" s="253"/>
      <c r="AI96" s="1401" t="s">
        <v>905</v>
      </c>
      <c r="AJ96" s="8994">
        <v>14</v>
      </c>
      <c r="AK96" s="9030"/>
      <c r="AL96" s="8969">
        <f>SUM(AB93,AB94,AB95)</f>
        <v>0</v>
      </c>
      <c r="AM96" s="7827"/>
      <c r="AN96" s="7827"/>
      <c r="AO96" s="7827"/>
      <c r="AP96" s="1277"/>
      <c r="AQ96" s="253"/>
      <c r="AR96" s="253"/>
      <c r="AS96" s="253"/>
      <c r="AT96" s="253"/>
      <c r="AU96" s="253"/>
      <c r="AV96" s="253"/>
      <c r="AW96" s="253"/>
      <c r="AX96" s="1390" t="b">
        <f>AND(CGTW_Line5&gt;0,CGTW_Line5&lt;&gt;"")</f>
        <v>0</v>
      </c>
      <c r="AY96" s="1388" t="s">
        <v>2871</v>
      </c>
      <c r="AZ96" s="1027"/>
      <c r="BA96" s="1027"/>
      <c r="BB96" s="1027"/>
      <c r="BC96" s="1027"/>
      <c r="BD96" s="1027"/>
      <c r="BE96" s="1027"/>
      <c r="BF96" s="1027"/>
      <c r="BG96" s="1027"/>
      <c r="BH96" s="1389"/>
    </row>
    <row r="97" spans="1:60" ht="18" customHeight="1">
      <c r="A97" s="2112"/>
      <c r="B97" s="9029">
        <v>15</v>
      </c>
      <c r="C97" s="9029"/>
      <c r="D97" s="253" t="s">
        <v>2870</v>
      </c>
      <c r="E97" s="253"/>
      <c r="F97" s="511"/>
      <c r="G97" s="253"/>
      <c r="H97" s="253"/>
      <c r="I97" s="253"/>
      <c r="J97" s="253"/>
      <c r="K97" s="253"/>
      <c r="L97" s="253"/>
      <c r="M97" s="253"/>
      <c r="N97" s="253"/>
      <c r="O97" s="253"/>
      <c r="P97" s="253"/>
      <c r="Q97" s="253"/>
      <c r="R97" s="253"/>
      <c r="S97" s="253"/>
      <c r="T97" s="253"/>
      <c r="U97" s="253"/>
      <c r="V97" s="253"/>
      <c r="W97" s="253"/>
      <c r="X97" s="253"/>
      <c r="Y97" s="253"/>
      <c r="Z97" s="8984"/>
      <c r="AA97" s="8985"/>
      <c r="AB97" s="408"/>
      <c r="AC97" s="253"/>
      <c r="AD97" s="253"/>
      <c r="AE97" s="253"/>
      <c r="AF97" s="253"/>
      <c r="AG97" s="253"/>
      <c r="AH97" s="253"/>
      <c r="AI97" s="409"/>
      <c r="AJ97" s="6616"/>
      <c r="AK97" s="6618"/>
      <c r="AL97" s="253"/>
      <c r="AM97" s="253"/>
      <c r="AN97" s="253"/>
      <c r="AO97" s="253"/>
      <c r="AP97" s="1277"/>
      <c r="AQ97" s="253"/>
      <c r="AR97" s="253"/>
      <c r="AS97" s="253"/>
      <c r="AT97" s="253"/>
      <c r="AU97" s="253"/>
      <c r="AV97" s="253"/>
      <c r="AW97" s="253"/>
      <c r="AX97" s="1390" t="b">
        <f>AND(CGTW_Line23&lt;&gt;"",CGTW_Line24&lt;&gt;"",CGTW_Line23&lt;CGTW_Line24)</f>
        <v>0</v>
      </c>
      <c r="AY97" s="1388" t="s">
        <v>2873</v>
      </c>
      <c r="AZ97" s="1027"/>
      <c r="BA97" s="1027"/>
      <c r="BB97" s="1027"/>
      <c r="BC97" s="1027"/>
      <c r="BD97" s="1027"/>
      <c r="BE97" s="1027"/>
      <c r="BF97" s="1027"/>
      <c r="BG97" s="1027"/>
      <c r="BH97" s="1389"/>
    </row>
    <row r="98" spans="1:60" ht="13.5" customHeight="1">
      <c r="A98" s="2112"/>
      <c r="B98" s="9029"/>
      <c r="C98" s="9029"/>
      <c r="D98" s="253" t="s">
        <v>2872</v>
      </c>
      <c r="E98" s="253"/>
      <c r="F98" s="511"/>
      <c r="G98" s="253"/>
      <c r="H98" s="253"/>
      <c r="I98" s="253"/>
      <c r="J98" s="253"/>
      <c r="K98" s="253"/>
      <c r="L98" s="253"/>
      <c r="M98" s="253"/>
      <c r="N98" s="253"/>
      <c r="O98" s="253"/>
      <c r="P98" s="253"/>
      <c r="Q98" s="253"/>
      <c r="R98" s="253"/>
      <c r="S98" s="253"/>
      <c r="T98" s="253"/>
      <c r="U98" s="253"/>
      <c r="V98" s="253"/>
      <c r="W98" s="253"/>
      <c r="X98" s="253"/>
      <c r="Y98" s="253"/>
      <c r="Z98" s="8984"/>
      <c r="AA98" s="8985"/>
      <c r="AB98" s="408"/>
      <c r="AC98" s="253"/>
      <c r="AD98" s="253"/>
      <c r="AE98" s="253"/>
      <c r="AF98" s="253"/>
      <c r="AG98" s="253"/>
      <c r="AH98" s="253"/>
      <c r="AI98" s="409"/>
      <c r="AJ98" s="6615"/>
      <c r="AK98" s="6617"/>
      <c r="AL98" s="253"/>
      <c r="AM98" s="253"/>
      <c r="AN98" s="253"/>
      <c r="AO98" s="253"/>
      <c r="AP98" s="1277"/>
      <c r="AQ98" s="253"/>
      <c r="AR98" s="253"/>
      <c r="AS98" s="253"/>
      <c r="AT98" s="253"/>
      <c r="AU98" s="253"/>
      <c r="AV98" s="253"/>
      <c r="AW98" s="253"/>
      <c r="AX98" s="1391" t="b">
        <f>AND(AX96,AX97)</f>
        <v>0</v>
      </c>
      <c r="AY98" s="1388"/>
      <c r="AZ98" s="1027"/>
      <c r="BA98" s="1027"/>
      <c r="BB98" s="1027"/>
      <c r="BC98" s="1027"/>
      <c r="BD98" s="1027"/>
      <c r="BE98" s="1027"/>
      <c r="BF98" s="1027"/>
      <c r="BG98" s="1027"/>
      <c r="BH98" s="1389"/>
    </row>
    <row r="99" spans="1:60" ht="13.5" customHeight="1">
      <c r="A99" s="2112"/>
      <c r="B99" s="1321"/>
      <c r="C99" s="1321"/>
      <c r="D99" s="571" t="s">
        <v>2874</v>
      </c>
      <c r="E99" s="253"/>
      <c r="F99" s="253"/>
      <c r="G99" s="253"/>
      <c r="H99" s="253"/>
      <c r="I99" s="253"/>
      <c r="J99" s="253"/>
      <c r="K99" s="253"/>
      <c r="L99" s="253"/>
      <c r="M99" s="253"/>
      <c r="N99" s="253"/>
      <c r="O99" s="253"/>
      <c r="P99" s="253"/>
      <c r="Q99" s="253"/>
      <c r="R99" s="253"/>
      <c r="S99" s="253"/>
      <c r="T99" s="253"/>
      <c r="U99" s="253"/>
      <c r="V99" s="253"/>
      <c r="W99" s="253"/>
      <c r="X99" s="253"/>
      <c r="Y99" s="1401" t="s">
        <v>877</v>
      </c>
      <c r="Z99" s="8994">
        <v>15</v>
      </c>
      <c r="AA99" s="8464"/>
      <c r="AB99" s="9035" t="str">
        <f>AL64</f>
        <v/>
      </c>
      <c r="AC99" s="9036"/>
      <c r="AD99" s="9036"/>
      <c r="AE99" s="9036"/>
      <c r="AF99" s="9036"/>
      <c r="AG99" s="9036"/>
      <c r="AH99" s="9036"/>
      <c r="AI99" s="9037"/>
      <c r="AJ99" s="6615"/>
      <c r="AK99" s="6617"/>
      <c r="AL99" s="253"/>
      <c r="AM99" s="253"/>
      <c r="AN99" s="253"/>
      <c r="AO99" s="253"/>
      <c r="AP99" s="1277"/>
      <c r="AQ99" s="253"/>
      <c r="AR99" s="253"/>
      <c r="AS99" s="253"/>
      <c r="AT99" s="253"/>
      <c r="AU99" s="253"/>
      <c r="AV99" s="253"/>
      <c r="AW99" s="253"/>
      <c r="AX99" s="1392" t="s">
        <v>2876</v>
      </c>
      <c r="AY99" s="1388"/>
      <c r="AZ99" s="1027"/>
      <c r="BA99" s="1027"/>
      <c r="BB99" s="1027"/>
      <c r="BC99" s="1027"/>
      <c r="BD99" s="1027"/>
      <c r="BE99" s="1027"/>
      <c r="BF99" s="1027"/>
      <c r="BG99" s="1027"/>
      <c r="BH99" s="1389"/>
    </row>
    <row r="100" spans="1:60" ht="15" customHeight="1" thickBot="1">
      <c r="A100" s="2112"/>
      <c r="B100" s="9029">
        <v>16</v>
      </c>
      <c r="C100" s="9029"/>
      <c r="D100" s="759" t="s">
        <v>2875</v>
      </c>
      <c r="E100" s="733"/>
      <c r="F100" s="2855"/>
      <c r="G100" s="253"/>
      <c r="H100" s="253"/>
      <c r="I100" s="253"/>
      <c r="J100" s="253"/>
      <c r="K100" s="253"/>
      <c r="L100" s="253"/>
      <c r="M100" s="253"/>
      <c r="N100" s="253"/>
      <c r="O100" s="253"/>
      <c r="P100" s="3377"/>
      <c r="Q100" s="733"/>
      <c r="R100" s="2855"/>
      <c r="S100" s="344"/>
      <c r="T100" s="253"/>
      <c r="U100" s="253"/>
      <c r="V100" s="253"/>
      <c r="W100" s="253"/>
      <c r="X100" s="253"/>
      <c r="Y100" s="1401" t="s">
        <v>874</v>
      </c>
      <c r="Z100" s="8552">
        <v>16</v>
      </c>
      <c r="AA100" s="8469"/>
      <c r="AB100" s="9115"/>
      <c r="AC100" s="9116"/>
      <c r="AD100" s="9116"/>
      <c r="AE100" s="9116"/>
      <c r="AF100" s="9116"/>
      <c r="AG100" s="9116"/>
      <c r="AH100" s="9116"/>
      <c r="AI100" s="9117"/>
      <c r="AJ100" s="6615"/>
      <c r="AK100" s="6617"/>
      <c r="AL100" s="253"/>
      <c r="AM100" s="253"/>
      <c r="AN100" s="253"/>
      <c r="AO100" s="253"/>
      <c r="AP100" s="1277"/>
      <c r="AQ100" s="253"/>
      <c r="AR100" s="253"/>
      <c r="AS100" s="253"/>
      <c r="AT100" s="253"/>
      <c r="AU100" s="253"/>
      <c r="AV100" s="253"/>
      <c r="AW100" s="253"/>
      <c r="AX100" s="1393" t="s">
        <v>2877</v>
      </c>
      <c r="AY100" s="1394"/>
      <c r="AZ100" s="1395"/>
      <c r="BA100" s="1395"/>
      <c r="BB100" s="1395"/>
      <c r="BC100" s="1395"/>
      <c r="BD100" s="1395"/>
      <c r="BE100" s="1395"/>
      <c r="BF100" s="1395"/>
      <c r="BG100" s="1395"/>
      <c r="BH100" s="1396"/>
    </row>
    <row r="101" spans="1:60" ht="14.25">
      <c r="A101" s="2112"/>
      <c r="B101" s="9029">
        <v>17</v>
      </c>
      <c r="C101" s="9029"/>
      <c r="D101" s="344" t="s">
        <v>6394</v>
      </c>
      <c r="E101" s="253"/>
      <c r="F101" s="511"/>
      <c r="G101" s="253"/>
      <c r="H101" s="253"/>
      <c r="I101" s="253"/>
      <c r="J101" s="253"/>
      <c r="K101" s="253"/>
      <c r="L101" s="253"/>
      <c r="M101" s="253"/>
      <c r="N101" s="253"/>
      <c r="O101" s="253"/>
      <c r="P101" s="253"/>
      <c r="Q101" s="253"/>
      <c r="R101" s="253"/>
      <c r="S101" s="253"/>
      <c r="T101" s="253"/>
      <c r="U101" s="253"/>
      <c r="V101" s="253"/>
      <c r="W101" s="253"/>
      <c r="X101" s="253"/>
      <c r="Y101" s="253"/>
      <c r="Z101" s="8984"/>
      <c r="AA101" s="8985"/>
      <c r="AB101" s="408"/>
      <c r="AC101" s="253"/>
      <c r="AD101" s="253"/>
      <c r="AE101" s="253"/>
      <c r="AF101" s="253"/>
      <c r="AG101" s="253"/>
      <c r="AH101" s="253"/>
      <c r="AI101" s="409"/>
      <c r="AJ101" s="6615"/>
      <c r="AK101" s="6617"/>
      <c r="AL101" s="253"/>
      <c r="AM101" s="253"/>
      <c r="AN101" s="253"/>
      <c r="AO101" s="253"/>
      <c r="AP101" s="1277"/>
      <c r="AQ101" s="253"/>
      <c r="AR101" s="253"/>
      <c r="AS101" s="253"/>
      <c r="AT101" s="253"/>
      <c r="AU101" s="253"/>
      <c r="AV101" s="253"/>
      <c r="AW101" s="253"/>
      <c r="AX101" s="8953" t="s">
        <v>2878</v>
      </c>
      <c r="AY101" s="8954"/>
      <c r="AZ101" s="8954"/>
      <c r="BA101" s="8954"/>
      <c r="BB101" s="8954"/>
      <c r="BC101" s="8954"/>
      <c r="BD101" s="8954"/>
      <c r="BE101" s="8954"/>
      <c r="BF101" s="8957" t="s">
        <v>926</v>
      </c>
      <c r="BG101" s="8957"/>
      <c r="BH101" s="4191"/>
    </row>
    <row r="102" spans="1:60" ht="12" customHeight="1">
      <c r="A102" s="2112"/>
      <c r="B102" s="9029"/>
      <c r="C102" s="9029"/>
      <c r="D102" s="344" t="s">
        <v>6534</v>
      </c>
      <c r="E102" s="253"/>
      <c r="F102" s="511"/>
      <c r="G102" s="253"/>
      <c r="H102" s="253"/>
      <c r="I102" s="253"/>
      <c r="J102" s="253"/>
      <c r="K102" s="253"/>
      <c r="L102" s="253"/>
      <c r="M102" s="253"/>
      <c r="N102" s="253"/>
      <c r="O102" s="253"/>
      <c r="P102" s="253"/>
      <c r="Q102" s="253"/>
      <c r="R102" s="253"/>
      <c r="S102" s="253"/>
      <c r="T102" s="253"/>
      <c r="U102" s="253"/>
      <c r="V102" s="253"/>
      <c r="W102" s="253"/>
      <c r="X102" s="253"/>
      <c r="Y102" s="253"/>
      <c r="Z102" s="8984"/>
      <c r="AA102" s="8985"/>
      <c r="AB102" s="6494"/>
      <c r="AC102" s="1193"/>
      <c r="AD102" s="1193"/>
      <c r="AE102" s="1193"/>
      <c r="AF102" s="1193"/>
      <c r="AG102" s="1193"/>
      <c r="AH102" s="1193"/>
      <c r="AI102" s="6495"/>
      <c r="AJ102" s="6615"/>
      <c r="AK102" s="6617"/>
      <c r="AL102" s="253"/>
      <c r="AM102" s="253"/>
      <c r="AN102" s="253"/>
      <c r="AO102" s="253"/>
      <c r="AP102" s="1277"/>
      <c r="AQ102" s="253"/>
      <c r="AR102" s="253"/>
      <c r="AS102" s="253"/>
      <c r="AT102" s="253"/>
      <c r="AU102" s="253"/>
      <c r="AV102" s="253"/>
      <c r="AW102" s="253"/>
      <c r="AX102" s="8955"/>
      <c r="AY102" s="8956"/>
      <c r="AZ102" s="8956"/>
      <c r="BA102" s="8956"/>
      <c r="BB102" s="8956"/>
      <c r="BC102" s="8956"/>
      <c r="BD102" s="8956"/>
      <c r="BE102" s="8956"/>
      <c r="BF102" s="8958"/>
      <c r="BG102" s="8958"/>
      <c r="BH102" s="4192"/>
    </row>
    <row r="103" spans="1:60" ht="13.5" customHeight="1">
      <c r="A103" s="2112"/>
      <c r="B103" s="1321"/>
      <c r="C103" s="1321"/>
      <c r="D103" s="979" t="s">
        <v>6535</v>
      </c>
      <c r="E103" s="253"/>
      <c r="F103" s="253"/>
      <c r="G103" s="253"/>
      <c r="H103" s="253"/>
      <c r="I103" s="253"/>
      <c r="J103" s="253"/>
      <c r="K103" s="253"/>
      <c r="L103" s="253"/>
      <c r="M103" s="253"/>
      <c r="N103" s="253"/>
      <c r="O103" s="253"/>
      <c r="P103" s="253"/>
      <c r="Q103" s="253"/>
      <c r="R103" s="253"/>
      <c r="S103" s="253"/>
      <c r="T103" s="253"/>
      <c r="U103" s="253"/>
      <c r="V103" s="253"/>
      <c r="W103" s="253"/>
      <c r="X103" s="253"/>
      <c r="Y103" s="1401" t="s">
        <v>802</v>
      </c>
      <c r="Z103" s="8994">
        <v>17</v>
      </c>
      <c r="AA103" s="8464"/>
      <c r="AB103" s="9035">
        <f>SUM(AB99,AB100)</f>
        <v>0</v>
      </c>
      <c r="AC103" s="9036"/>
      <c r="AD103" s="9036"/>
      <c r="AE103" s="9036"/>
      <c r="AF103" s="9036"/>
      <c r="AG103" s="9036"/>
      <c r="AH103" s="9036"/>
      <c r="AI103" s="9037"/>
      <c r="AJ103" s="6615"/>
      <c r="AK103" s="6617"/>
      <c r="AL103" s="8990"/>
      <c r="AM103" s="8991"/>
      <c r="AN103" s="8991"/>
      <c r="AO103" s="8991"/>
      <c r="AP103" s="1277"/>
      <c r="AQ103" s="8990" t="str">
        <f>IF(AND(AL96&gt;0,AB104),"Skip lines 18 through 24.","")</f>
        <v/>
      </c>
      <c r="AR103" s="8990"/>
      <c r="AS103" s="8990"/>
      <c r="AT103" s="8990"/>
      <c r="AU103" s="8990"/>
      <c r="AV103" s="253"/>
      <c r="AW103" s="253"/>
      <c r="AX103" s="4193"/>
      <c r="AY103" s="851"/>
      <c r="AZ103" s="851"/>
      <c r="BA103" s="851"/>
      <c r="BB103" s="851"/>
      <c r="BC103" s="851"/>
      <c r="BD103" s="851"/>
      <c r="BE103" s="851"/>
      <c r="BF103" s="851"/>
      <c r="BG103" s="851"/>
      <c r="BH103" s="4194"/>
    </row>
    <row r="104" spans="1:60" ht="14.25" customHeight="1">
      <c r="A104" s="2112"/>
      <c r="B104" s="9029">
        <v>18</v>
      </c>
      <c r="C104" s="9029"/>
      <c r="D104" s="344" t="s">
        <v>6536</v>
      </c>
      <c r="E104" s="253"/>
      <c r="F104" s="511"/>
      <c r="G104" s="253"/>
      <c r="H104" s="253"/>
      <c r="I104" s="253"/>
      <c r="J104" s="253"/>
      <c r="K104" s="253"/>
      <c r="L104" s="253"/>
      <c r="M104" s="253"/>
      <c r="N104" s="253"/>
      <c r="O104" s="253"/>
      <c r="P104" s="253"/>
      <c r="Q104" s="253"/>
      <c r="R104" s="253"/>
      <c r="S104" s="253"/>
      <c r="T104" s="253"/>
      <c r="U104" s="253"/>
      <c r="V104" s="253"/>
      <c r="W104" s="253"/>
      <c r="X104" s="253"/>
      <c r="Y104" s="253"/>
      <c r="Z104" s="8984"/>
      <c r="AA104" s="8985"/>
      <c r="AB104" s="9113" t="b">
        <f>AND(AB103&lt;=0,AQ107="")</f>
        <v>1</v>
      </c>
      <c r="AC104" s="8729"/>
      <c r="AD104" s="8729"/>
      <c r="AE104" s="8729"/>
      <c r="AF104" s="8729"/>
      <c r="AG104" s="8729"/>
      <c r="AH104" s="8729"/>
      <c r="AI104" s="9114"/>
      <c r="AJ104" s="6615"/>
      <c r="AK104" s="6617"/>
      <c r="AL104" s="8986"/>
      <c r="AM104" s="8987"/>
      <c r="AN104" s="8987"/>
      <c r="AO104" s="8987"/>
      <c r="AP104" s="1277"/>
      <c r="AQ104" s="8986"/>
      <c r="AR104" s="8987"/>
      <c r="AS104" s="8987"/>
      <c r="AT104" s="8987"/>
      <c r="AU104" s="7601"/>
      <c r="AV104" s="7601"/>
      <c r="AW104" s="7601"/>
      <c r="AX104" s="6501" t="s">
        <v>5578</v>
      </c>
      <c r="AY104" s="1193" t="s">
        <v>2879</v>
      </c>
      <c r="AZ104" s="851"/>
      <c r="BA104" s="851"/>
      <c r="BB104" s="851"/>
      <c r="BC104" s="851"/>
      <c r="BD104" s="851"/>
      <c r="BE104" s="851"/>
      <c r="BF104" s="851"/>
      <c r="BG104" s="851"/>
      <c r="BH104" s="4194"/>
    </row>
    <row r="105" spans="1:60" ht="12" customHeight="1">
      <c r="A105" s="2112"/>
      <c r="B105" s="1291"/>
      <c r="C105" s="1291"/>
      <c r="D105" s="759" t="s">
        <v>6391</v>
      </c>
      <c r="E105" s="1291"/>
      <c r="F105" s="511"/>
      <c r="G105" s="253"/>
      <c r="H105" s="253"/>
      <c r="I105" s="253"/>
      <c r="J105" s="253"/>
      <c r="K105" s="253"/>
      <c r="L105" s="253"/>
      <c r="M105" s="253"/>
      <c r="N105" s="253"/>
      <c r="O105" s="253"/>
      <c r="P105" s="253"/>
      <c r="Q105" s="253"/>
      <c r="R105" s="253"/>
      <c r="S105" s="253"/>
      <c r="T105" s="253"/>
      <c r="U105" s="253"/>
      <c r="V105" s="253"/>
      <c r="W105" s="253"/>
      <c r="X105" s="253"/>
      <c r="Y105" s="253"/>
      <c r="Z105" s="1207"/>
      <c r="AA105" s="4190"/>
      <c r="AB105" s="9123">
        <f>IF(TotalDeductions="",0,TotalDeductions)</f>
        <v>0</v>
      </c>
      <c r="AC105" s="9124"/>
      <c r="AD105" s="9124"/>
      <c r="AE105" s="9124"/>
      <c r="AF105" s="9124"/>
      <c r="AG105" s="9124"/>
      <c r="AH105" s="9124"/>
      <c r="AI105" s="9125"/>
      <c r="AJ105" s="6615"/>
      <c r="AK105" s="6617"/>
      <c r="AL105" s="6475"/>
      <c r="AM105" s="6475"/>
      <c r="AN105" s="6475"/>
      <c r="AO105" s="6475"/>
      <c r="AP105" s="1277"/>
      <c r="AQ105" s="6475"/>
      <c r="AR105" s="6475"/>
      <c r="AS105" s="6475"/>
      <c r="AT105" s="6475"/>
      <c r="AU105" s="253"/>
      <c r="AV105" s="253"/>
      <c r="AW105" s="253"/>
      <c r="AX105" s="4193"/>
      <c r="AY105" s="851"/>
      <c r="AZ105" s="851"/>
      <c r="BA105" s="851"/>
      <c r="BB105" s="851"/>
      <c r="BC105" s="851"/>
      <c r="BD105" s="851"/>
      <c r="BE105" s="851"/>
      <c r="BF105" s="851"/>
      <c r="BG105" s="851"/>
      <c r="BH105" s="4194"/>
    </row>
    <row r="106" spans="1:60" ht="12" customHeight="1">
      <c r="A106" s="2112"/>
      <c r="B106" s="1291"/>
      <c r="C106" s="1291"/>
      <c r="D106" s="329" t="s">
        <v>6537</v>
      </c>
      <c r="E106" s="1291"/>
      <c r="F106" s="511"/>
      <c r="G106" s="253"/>
      <c r="H106" s="253"/>
      <c r="I106" s="253"/>
      <c r="J106" s="253"/>
      <c r="K106" s="253"/>
      <c r="L106" s="253"/>
      <c r="M106" s="253"/>
      <c r="N106" s="253"/>
      <c r="O106" s="253"/>
      <c r="P106" s="253"/>
      <c r="Q106" s="253"/>
      <c r="R106" s="253"/>
      <c r="S106" s="253"/>
      <c r="T106" s="253"/>
      <c r="U106" s="253"/>
      <c r="V106" s="253"/>
      <c r="W106" s="253"/>
      <c r="X106" s="253"/>
      <c r="Y106" s="253"/>
      <c r="Z106" s="1207"/>
      <c r="AA106" s="4190"/>
      <c r="AB106" s="9123">
        <f>IF(DeductionForSeniors="",0,DeductionForSeniors)</f>
        <v>0</v>
      </c>
      <c r="AC106" s="9124"/>
      <c r="AD106" s="9124"/>
      <c r="AE106" s="9124"/>
      <c r="AF106" s="9124"/>
      <c r="AG106" s="9124"/>
      <c r="AH106" s="9124"/>
      <c r="AI106" s="9125"/>
      <c r="AJ106" s="6615"/>
      <c r="AK106" s="6617"/>
      <c r="AL106" s="6475"/>
      <c r="AM106" s="6475"/>
      <c r="AN106" s="6475"/>
      <c r="AO106" s="6475"/>
      <c r="AP106" s="1277"/>
      <c r="AQ106" s="6475"/>
      <c r="AR106" s="6475"/>
      <c r="AS106" s="6475"/>
      <c r="AT106" s="6475"/>
      <c r="AU106" s="253"/>
      <c r="AV106" s="253"/>
      <c r="AW106" s="253"/>
      <c r="AX106" s="4193"/>
      <c r="AY106" s="851"/>
      <c r="AZ106" s="851"/>
      <c r="BA106" s="851"/>
      <c r="BB106" s="851"/>
      <c r="BC106" s="851"/>
      <c r="BD106" s="851"/>
      <c r="BE106" s="851"/>
      <c r="BF106" s="851"/>
      <c r="BG106" s="851"/>
      <c r="BH106" s="4194"/>
    </row>
    <row r="107" spans="1:60" ht="12.75" customHeight="1">
      <c r="A107" s="2112"/>
      <c r="B107" s="1321"/>
      <c r="C107" s="1321"/>
      <c r="D107" s="329" t="s">
        <v>6538</v>
      </c>
      <c r="E107" s="253"/>
      <c r="F107" s="253"/>
      <c r="G107" s="253"/>
      <c r="H107" s="253"/>
      <c r="I107" s="253"/>
      <c r="J107" s="253"/>
      <c r="K107" s="253"/>
      <c r="L107" s="253"/>
      <c r="M107" s="253"/>
      <c r="N107" s="253"/>
      <c r="O107" s="253"/>
      <c r="P107" s="253"/>
      <c r="Q107" s="253"/>
      <c r="R107" s="253"/>
      <c r="S107" s="253"/>
      <c r="T107" s="253"/>
      <c r="U107" s="253"/>
      <c r="V107" s="253"/>
      <c r="W107" s="253"/>
      <c r="X107" s="253"/>
      <c r="Y107" s="1401" t="s">
        <v>908</v>
      </c>
      <c r="Z107" s="8994">
        <v>18</v>
      </c>
      <c r="AA107" s="8464"/>
      <c r="AB107" s="9035" t="str">
        <f>IF(AQ107&lt;&gt;"",ROUND(AQ107,0),IF(AB104,"",IF(AX98,BG122,SUM(Adj_Gross_Inc_Pg2,-AB105,AB106))))</f>
        <v/>
      </c>
      <c r="AC107" s="9036"/>
      <c r="AD107" s="9036"/>
      <c r="AE107" s="9036"/>
      <c r="AF107" s="9036"/>
      <c r="AG107" s="9036"/>
      <c r="AH107" s="9036"/>
      <c r="AI107" s="9037"/>
      <c r="AJ107" s="6615"/>
      <c r="AK107" s="6617"/>
      <c r="AL107" s="253"/>
      <c r="AM107" s="253"/>
      <c r="AN107" s="253"/>
      <c r="AO107" s="253"/>
      <c r="AP107" s="1277"/>
      <c r="AQ107" s="8967"/>
      <c r="AR107" s="8968"/>
      <c r="AS107" s="8968"/>
      <c r="AT107" s="8968"/>
      <c r="AU107" s="1277"/>
      <c r="AV107" s="253"/>
      <c r="AW107" s="253"/>
      <c r="AX107" s="4195" t="s">
        <v>157</v>
      </c>
      <c r="AY107" s="1193" t="s">
        <v>6402</v>
      </c>
      <c r="AZ107" s="851"/>
      <c r="BA107" s="851"/>
      <c r="BB107" s="851"/>
      <c r="BC107" s="851"/>
      <c r="BD107" s="851"/>
      <c r="BE107" s="851"/>
      <c r="BF107" s="851"/>
      <c r="BG107" s="990">
        <f>IF(TotalDeductions="",0,TotalDeductions)</f>
        <v>0</v>
      </c>
      <c r="BH107" s="4194"/>
    </row>
    <row r="108" spans="1:60" ht="12.75" customHeight="1">
      <c r="A108" s="2112"/>
      <c r="B108" s="1321"/>
      <c r="C108" s="1321"/>
      <c r="D108" s="979" t="s">
        <v>2880</v>
      </c>
      <c r="E108" s="733"/>
      <c r="F108" s="2855"/>
      <c r="G108" s="253"/>
      <c r="H108" s="253"/>
      <c r="I108" s="253"/>
      <c r="J108" s="253"/>
      <c r="K108" s="253"/>
      <c r="L108" s="253"/>
      <c r="M108" s="253"/>
      <c r="N108" s="253"/>
      <c r="O108" s="253"/>
      <c r="P108" s="3377"/>
      <c r="Q108" s="733"/>
      <c r="R108" s="2855"/>
      <c r="S108" s="344"/>
      <c r="T108" s="253"/>
      <c r="U108" s="253"/>
      <c r="V108" s="253"/>
      <c r="W108" s="253"/>
      <c r="X108" s="253"/>
      <c r="Y108" s="253"/>
      <c r="Z108" s="253"/>
      <c r="AA108" s="253"/>
      <c r="AB108" s="253"/>
      <c r="AC108" s="253"/>
      <c r="AD108" s="3377"/>
      <c r="AE108" s="733"/>
      <c r="AF108" s="2855"/>
      <c r="AG108" s="253"/>
      <c r="AH108" s="253"/>
      <c r="AI108" s="253"/>
      <c r="AJ108" s="6615"/>
      <c r="AK108" s="6617"/>
      <c r="AL108" s="253"/>
      <c r="AM108" s="253"/>
      <c r="AN108" s="253"/>
      <c r="AO108" s="253"/>
      <c r="AP108" s="1277"/>
      <c r="AQ108" s="1277"/>
      <c r="AR108" s="1277"/>
      <c r="AS108" s="1277"/>
      <c r="AT108" s="1277"/>
      <c r="AU108" s="1277"/>
      <c r="AV108" s="253"/>
      <c r="AW108" s="253"/>
      <c r="AX108" s="4195"/>
      <c r="AY108" s="1193" t="s">
        <v>6403</v>
      </c>
      <c r="AZ108" s="851"/>
      <c r="BA108" s="851"/>
      <c r="BB108" s="851"/>
      <c r="BC108" s="851"/>
      <c r="BD108" s="851"/>
      <c r="BE108" s="851"/>
      <c r="BF108" s="851"/>
      <c r="BG108" s="990">
        <f>IF(DeductionForSeniors="",0,DeductionForSeniors)</f>
        <v>0</v>
      </c>
      <c r="BH108" s="4194"/>
    </row>
    <row r="109" spans="1:60" ht="12.75" customHeight="1">
      <c r="A109" s="2112"/>
      <c r="B109" s="344"/>
      <c r="C109" s="344"/>
      <c r="D109" s="571" t="s">
        <v>2882</v>
      </c>
      <c r="E109" s="253"/>
      <c r="F109" s="253"/>
      <c r="G109" s="253"/>
      <c r="H109" s="253"/>
      <c r="I109" s="253"/>
      <c r="J109" s="253"/>
      <c r="K109" s="253"/>
      <c r="L109" s="253"/>
      <c r="M109" s="253"/>
      <c r="N109" s="253"/>
      <c r="O109" s="253"/>
      <c r="P109" s="253"/>
      <c r="Q109" s="253"/>
      <c r="R109" s="253"/>
      <c r="S109" s="253"/>
      <c r="T109" s="794"/>
      <c r="U109" s="253"/>
      <c r="V109" s="253"/>
      <c r="W109" s="253"/>
      <c r="X109" s="253"/>
      <c r="Y109" s="253"/>
      <c r="Z109" s="253"/>
      <c r="AA109" s="253"/>
      <c r="AB109" s="253"/>
      <c r="AC109" s="253"/>
      <c r="AD109" s="253"/>
      <c r="AE109" s="253"/>
      <c r="AF109" s="253"/>
      <c r="AG109" s="253"/>
      <c r="AH109" s="253"/>
      <c r="AI109" s="253"/>
      <c r="AJ109" s="6615"/>
      <c r="AK109" s="6617"/>
      <c r="AL109" s="253"/>
      <c r="AM109" s="253"/>
      <c r="AN109" s="253"/>
      <c r="AO109" s="253"/>
      <c r="AP109" s="1277"/>
      <c r="AQ109" s="1277"/>
      <c r="AR109" s="1277"/>
      <c r="AS109" s="1277"/>
      <c r="AT109" s="1277"/>
      <c r="AU109" s="1277"/>
      <c r="AV109" s="253"/>
      <c r="AW109" s="253"/>
      <c r="AX109" s="4193"/>
      <c r="AY109" s="1193" t="s">
        <v>2881</v>
      </c>
      <c r="AZ109" s="851"/>
      <c r="BA109" s="851"/>
      <c r="BB109" s="851"/>
      <c r="BC109" s="851"/>
      <c r="BD109" s="851"/>
      <c r="BE109" s="1027"/>
      <c r="BF109" s="1028" t="s">
        <v>157</v>
      </c>
      <c r="BG109" s="1030" t="str">
        <f>IF(NOT(AX98),"",SUM(Adj_Gross_Inc_Pg2,-BG107,BG108))</f>
        <v/>
      </c>
      <c r="BH109" s="4194"/>
    </row>
    <row r="110" spans="1:60" ht="16.5" customHeight="1">
      <c r="A110" s="2112"/>
      <c r="B110" s="9029">
        <v>19</v>
      </c>
      <c r="C110" s="9029"/>
      <c r="D110" s="344" t="s">
        <v>2883</v>
      </c>
      <c r="E110" s="253"/>
      <c r="F110" s="511"/>
      <c r="G110" s="253"/>
      <c r="H110" s="253"/>
      <c r="I110" s="253"/>
      <c r="J110" s="253"/>
      <c r="K110" s="253"/>
      <c r="L110" s="253"/>
      <c r="M110" s="253"/>
      <c r="N110" s="253"/>
      <c r="O110" s="253"/>
      <c r="P110" s="253"/>
      <c r="Q110" s="253"/>
      <c r="R110" s="253"/>
      <c r="S110" s="253"/>
      <c r="T110" s="253"/>
      <c r="U110" s="253"/>
      <c r="V110" s="253"/>
      <c r="W110" s="253"/>
      <c r="X110" s="253"/>
      <c r="Y110" s="253"/>
      <c r="Z110" s="253"/>
      <c r="AA110" s="253"/>
      <c r="AB110" s="253"/>
      <c r="AC110" s="253"/>
      <c r="AD110" s="253"/>
      <c r="AE110" s="253"/>
      <c r="AF110" s="253"/>
      <c r="AG110" s="253"/>
      <c r="AH110" s="253"/>
      <c r="AI110" s="1401" t="s">
        <v>894</v>
      </c>
      <c r="AJ110" s="8994">
        <v>19</v>
      </c>
      <c r="AK110" s="9030"/>
      <c r="AL110" s="8992">
        <f>IF(AQ110&lt;&gt;"",ROUND(AQ110,4),IF(AB104,0,IF(OR(AB107="",AB107=0),"                    ---",IF(AB103&gt;AB107,1,ROUND(AB103/AB107,4)))))</f>
        <v>0</v>
      </c>
      <c r="AM110" s="8993"/>
      <c r="AN110" s="8993"/>
      <c r="AO110" s="8993"/>
      <c r="AP110" s="1277"/>
      <c r="AQ110" s="9195"/>
      <c r="AR110" s="9196"/>
      <c r="AS110" s="9196"/>
      <c r="AT110" s="9196"/>
      <c r="AU110" s="1277"/>
      <c r="AV110" s="253"/>
      <c r="AW110" s="253"/>
      <c r="AX110" s="4195" t="s">
        <v>161</v>
      </c>
      <c r="AY110" s="1193" t="str">
        <f>"Enter your worldwide "&amp;TEXT(BF110,"0%")&amp;" gains (see instructions)"</f>
        <v>Enter your worldwide 28% gains (see instructions)</v>
      </c>
      <c r="AZ110" s="851"/>
      <c r="BA110" s="851"/>
      <c r="BB110" s="851"/>
      <c r="BC110" s="851"/>
      <c r="BD110" s="4196" t="s">
        <v>161</v>
      </c>
      <c r="BE110" s="443"/>
      <c r="BF110" s="4197">
        <v>0.28000000000000003</v>
      </c>
      <c r="BG110" s="851"/>
      <c r="BH110" s="4194"/>
    </row>
    <row r="111" spans="1:60" ht="18" customHeight="1">
      <c r="A111" s="2112"/>
      <c r="B111" s="9029">
        <v>20</v>
      </c>
      <c r="C111" s="9029"/>
      <c r="D111" s="344" t="s">
        <v>2884</v>
      </c>
      <c r="E111" s="253"/>
      <c r="F111" s="511"/>
      <c r="G111" s="253"/>
      <c r="H111" s="253"/>
      <c r="I111" s="253"/>
      <c r="J111" s="253"/>
      <c r="K111" s="253"/>
      <c r="L111" s="253"/>
      <c r="M111" s="253"/>
      <c r="N111" s="253"/>
      <c r="O111" s="253"/>
      <c r="P111" s="253"/>
      <c r="Q111" s="253"/>
      <c r="R111" s="253"/>
      <c r="S111" s="253"/>
      <c r="T111" s="253"/>
      <c r="U111" s="253"/>
      <c r="V111" s="253"/>
      <c r="W111" s="253"/>
      <c r="X111" s="253"/>
      <c r="Y111" s="253"/>
      <c r="Z111" s="253"/>
      <c r="AA111" s="253"/>
      <c r="AB111" s="253"/>
      <c r="AC111" s="253"/>
      <c r="AD111" s="253"/>
      <c r="AE111" s="253"/>
      <c r="AF111" s="253"/>
      <c r="AG111" s="253"/>
      <c r="AH111" s="253"/>
      <c r="AI111" s="253"/>
      <c r="AJ111" s="9118"/>
      <c r="AK111" s="9119"/>
      <c r="AL111" s="408"/>
      <c r="AM111" s="253"/>
      <c r="AN111" s="253"/>
      <c r="AO111" s="253"/>
      <c r="AP111" s="1277"/>
      <c r="AQ111" s="1277"/>
      <c r="AR111" s="1277"/>
      <c r="AS111" s="1277"/>
      <c r="AT111" s="1277"/>
      <c r="AU111" s="1277"/>
      <c r="AV111" s="253"/>
      <c r="AW111" s="253"/>
      <c r="AX111" s="4195" t="s">
        <v>167</v>
      </c>
      <c r="AY111" s="1193" t="str">
        <f>"Multiply line 2 by "&amp;TEXT(BF111,"0.0000")</f>
        <v>Multiply line 2 by 0.2432</v>
      </c>
      <c r="AZ111" s="851"/>
      <c r="BA111" s="851"/>
      <c r="BB111" s="851"/>
      <c r="BC111" s="851"/>
      <c r="BD111" s="4196" t="s">
        <v>167</v>
      </c>
      <c r="BE111" s="2499" t="str">
        <f>IF(BE110&lt;&gt;"",ROUND(BE110*BF111,0),"")</f>
        <v/>
      </c>
      <c r="BF111" s="4198">
        <v>0.2432</v>
      </c>
      <c r="BG111" s="851"/>
      <c r="BH111" s="4194"/>
    </row>
    <row r="112" spans="1:60" ht="13.5" customHeight="1">
      <c r="A112" s="2112"/>
      <c r="B112" s="1321"/>
      <c r="C112" s="1321"/>
      <c r="D112" s="344" t="s">
        <v>5516</v>
      </c>
      <c r="E112" s="253"/>
      <c r="F112" s="253"/>
      <c r="G112" s="253"/>
      <c r="H112" s="253"/>
      <c r="I112" s="253"/>
      <c r="J112" s="253"/>
      <c r="K112" s="253"/>
      <c r="L112" s="253"/>
      <c r="M112" s="253"/>
      <c r="N112" s="253"/>
      <c r="O112" s="253"/>
      <c r="P112" s="253"/>
      <c r="Q112" s="253"/>
      <c r="R112" s="253"/>
      <c r="S112" s="253"/>
      <c r="T112" s="253"/>
      <c r="U112" s="253"/>
      <c r="V112" s="253"/>
      <c r="W112" s="253"/>
      <c r="X112" s="253"/>
      <c r="Y112" s="253"/>
      <c r="Z112" s="253"/>
      <c r="AA112" s="253"/>
      <c r="AB112" s="253"/>
      <c r="AC112" s="253"/>
      <c r="AD112" s="253"/>
      <c r="AE112" s="253"/>
      <c r="AF112" s="253"/>
      <c r="AG112" s="253"/>
      <c r="AH112" s="253"/>
      <c r="AI112" s="1401" t="s">
        <v>887</v>
      </c>
      <c r="AJ112" s="8994">
        <v>20</v>
      </c>
      <c r="AK112" s="9030"/>
      <c r="AL112" s="8969" t="str">
        <f>IF(AQ112&lt;&gt;"",ROUND(AQ112,0),IF(AB104,"",IF(AO22&lt;&gt;1,"",SUM(Tax_SubTotal,PTC_ExcessAdv))))</f>
        <v/>
      </c>
      <c r="AM112" s="7827"/>
      <c r="AN112" s="7827"/>
      <c r="AO112" s="7827"/>
      <c r="AP112" s="1277"/>
      <c r="AQ112" s="8967"/>
      <c r="AR112" s="8968"/>
      <c r="AS112" s="8968"/>
      <c r="AT112" s="8968"/>
      <c r="AU112" s="1277"/>
      <c r="AV112" s="253"/>
      <c r="AW112" s="253"/>
      <c r="AX112" s="4195" t="s">
        <v>171</v>
      </c>
      <c r="AY112" s="1193" t="str">
        <f>"Enter your worldwide "&amp;TEXT(BF112,"0%")&amp;" gains (see instructions)"</f>
        <v>Enter your worldwide 25% gains (see instructions)</v>
      </c>
      <c r="AZ112" s="851"/>
      <c r="BA112" s="851"/>
      <c r="BB112" s="851"/>
      <c r="BC112" s="851"/>
      <c r="BD112" s="4196" t="s">
        <v>171</v>
      </c>
      <c r="BE112" s="443"/>
      <c r="BF112" s="4197">
        <v>0.25</v>
      </c>
      <c r="BG112" s="851"/>
      <c r="BH112" s="4194"/>
    </row>
    <row r="113" spans="1:60" ht="13.5" customHeight="1">
      <c r="A113" s="2112"/>
      <c r="B113" s="9029"/>
      <c r="C113" s="9029"/>
      <c r="D113" s="344" t="s">
        <v>2888</v>
      </c>
      <c r="E113" s="253"/>
      <c r="F113" s="511"/>
      <c r="G113" s="253"/>
      <c r="H113" s="253"/>
      <c r="I113" s="253"/>
      <c r="J113" s="253"/>
      <c r="K113" s="253"/>
      <c r="L113" s="253"/>
      <c r="M113" s="253"/>
      <c r="N113" s="253"/>
      <c r="O113" s="253"/>
      <c r="P113" s="253"/>
      <c r="Q113" s="253"/>
      <c r="R113" s="253"/>
      <c r="S113" s="253"/>
      <c r="T113" s="253"/>
      <c r="U113" s="253"/>
      <c r="V113" s="253"/>
      <c r="W113" s="253"/>
      <c r="X113" s="253"/>
      <c r="Y113" s="253"/>
      <c r="Z113" s="253"/>
      <c r="AA113" s="253"/>
      <c r="AB113" s="253"/>
      <c r="AC113" s="253"/>
      <c r="AD113" s="253"/>
      <c r="AE113" s="253"/>
      <c r="AF113" s="253"/>
      <c r="AG113" s="253"/>
      <c r="AH113" s="253"/>
      <c r="AI113" s="253"/>
      <c r="AJ113" s="408"/>
      <c r="AK113" s="409"/>
      <c r="AL113" s="253"/>
      <c r="AM113" s="253"/>
      <c r="AN113" s="253"/>
      <c r="AO113" s="253"/>
      <c r="AP113" s="1277"/>
      <c r="AQ113" s="1277"/>
      <c r="AR113" s="1277"/>
      <c r="AS113" s="1277"/>
      <c r="AT113" s="1277"/>
      <c r="AU113" s="1277"/>
      <c r="AV113" s="253"/>
      <c r="AW113" s="253"/>
      <c r="AX113" s="4195" t="s">
        <v>184</v>
      </c>
      <c r="AY113" s="1193" t="str">
        <f>"Multiply line 4 by "&amp;TEXT(BF113,"0.0000")</f>
        <v>Multiply line 4 by 0.3243</v>
      </c>
      <c r="AZ113" s="851"/>
      <c r="BA113" s="851"/>
      <c r="BB113" s="851"/>
      <c r="BC113" s="851"/>
      <c r="BD113" s="4196" t="s">
        <v>184</v>
      </c>
      <c r="BE113" s="2499" t="str">
        <f>IF(BE112&lt;&gt;"",ROUND(BE112*BF113,0),"")</f>
        <v/>
      </c>
      <c r="BF113" s="4198">
        <v>0.32429999999999998</v>
      </c>
      <c r="BG113" s="851"/>
      <c r="BH113" s="4194"/>
    </row>
    <row r="114" spans="1:60" ht="13.5" customHeight="1">
      <c r="A114" s="2112"/>
      <c r="B114" s="344"/>
      <c r="C114" s="344"/>
      <c r="D114" s="571" t="s">
        <v>2889</v>
      </c>
      <c r="E114" s="253"/>
      <c r="F114" s="253"/>
      <c r="G114" s="253"/>
      <c r="H114" s="253"/>
      <c r="I114" s="253"/>
      <c r="J114" s="253"/>
      <c r="K114" s="253"/>
      <c r="L114" s="253"/>
      <c r="M114" s="253"/>
      <c r="N114" s="253"/>
      <c r="O114" s="253"/>
      <c r="P114" s="253"/>
      <c r="Q114" s="253"/>
      <c r="R114" s="253"/>
      <c r="S114" s="253"/>
      <c r="T114" s="794"/>
      <c r="U114" s="253"/>
      <c r="V114" s="253"/>
      <c r="W114" s="253"/>
      <c r="X114" s="253"/>
      <c r="Y114" s="253"/>
      <c r="Z114" s="253"/>
      <c r="AA114" s="253"/>
      <c r="AB114" s="253"/>
      <c r="AC114" s="253"/>
      <c r="AD114" s="253"/>
      <c r="AE114" s="253"/>
      <c r="AF114" s="253"/>
      <c r="AG114" s="253"/>
      <c r="AH114" s="253"/>
      <c r="AI114" s="253"/>
      <c r="AJ114" s="408"/>
      <c r="AK114" s="409"/>
      <c r="AL114" s="253"/>
      <c r="AM114" s="253"/>
      <c r="AN114" s="253"/>
      <c r="AO114" s="253"/>
      <c r="AP114" s="1277"/>
      <c r="AQ114" s="1277"/>
      <c r="AR114" s="1277"/>
      <c r="AS114" s="1277"/>
      <c r="AT114" s="1277"/>
      <c r="AU114" s="1277"/>
      <c r="AV114" s="253"/>
      <c r="AW114" s="253"/>
      <c r="AX114" s="4195" t="s">
        <v>188</v>
      </c>
      <c r="AY114" s="1193" t="str">
        <f>"Enter your worldwide "&amp;TEXT(BF114,"0%")&amp;" gains (see instructions)"</f>
        <v>Enter your worldwide 20% gains (see instructions)</v>
      </c>
      <c r="AZ114" s="851"/>
      <c r="BA114" s="851"/>
      <c r="BB114" s="851"/>
      <c r="BC114" s="851"/>
      <c r="BD114" s="4196" t="s">
        <v>188</v>
      </c>
      <c r="BE114" s="443"/>
      <c r="BF114" s="4197">
        <v>0.2</v>
      </c>
      <c r="BG114" s="851"/>
      <c r="BH114" s="4194"/>
    </row>
    <row r="115" spans="1:60" ht="15.75" customHeight="1">
      <c r="A115" s="2112"/>
      <c r="B115" s="9029">
        <v>21</v>
      </c>
      <c r="C115" s="9029"/>
      <c r="D115" s="253" t="s">
        <v>2890</v>
      </c>
      <c r="E115" s="253"/>
      <c r="F115" s="253"/>
      <c r="G115" s="253"/>
      <c r="H115" s="253"/>
      <c r="I115" s="253"/>
      <c r="J115" s="253"/>
      <c r="K115" s="253"/>
      <c r="L115" s="253"/>
      <c r="M115" s="253"/>
      <c r="N115" s="253"/>
      <c r="O115" s="253"/>
      <c r="P115" s="253"/>
      <c r="Q115" s="253"/>
      <c r="R115" s="253"/>
      <c r="S115" s="253"/>
      <c r="T115" s="794"/>
      <c r="U115" s="253"/>
      <c r="V115" s="253"/>
      <c r="W115" s="253"/>
      <c r="X115" s="253"/>
      <c r="Y115" s="253"/>
      <c r="Z115" s="253"/>
      <c r="AA115" s="253"/>
      <c r="AB115" s="253"/>
      <c r="AC115" s="253"/>
      <c r="AD115" s="253"/>
      <c r="AE115" s="253"/>
      <c r="AF115" s="253"/>
      <c r="AG115" s="253"/>
      <c r="AH115" s="253"/>
      <c r="AI115" s="1401" t="s">
        <v>792</v>
      </c>
      <c r="AJ115" s="8994">
        <v>21</v>
      </c>
      <c r="AK115" s="9030"/>
      <c r="AL115" s="8969" t="str">
        <f>IF(AB104,"",IF(ISERROR(AL110*AL112),"                    ---",ROUND(AL110*AL112,0)))</f>
        <v/>
      </c>
      <c r="AM115" s="7827"/>
      <c r="AN115" s="7827"/>
      <c r="AO115" s="7827"/>
      <c r="AP115" s="1277"/>
      <c r="AQ115" s="1277"/>
      <c r="AR115" s="1277"/>
      <c r="AS115" s="1277"/>
      <c r="AT115" s="1277"/>
      <c r="AU115" s="1277"/>
      <c r="AV115" s="253"/>
      <c r="AW115" s="253"/>
      <c r="AX115" s="4195" t="s">
        <v>198</v>
      </c>
      <c r="AY115" s="1193" t="str">
        <f>"Multiply line 6 by "&amp;TEXT(BF115,"0.0000")</f>
        <v>Multiply line 6 by 0.4595</v>
      </c>
      <c r="AZ115" s="851"/>
      <c r="BA115" s="851"/>
      <c r="BB115" s="851"/>
      <c r="BC115" s="851"/>
      <c r="BD115" s="4196" t="s">
        <v>198</v>
      </c>
      <c r="BE115" s="2499" t="str">
        <f>IF(BE114&lt;&gt;"",ROUND(BE114*BF115,0),"")</f>
        <v/>
      </c>
      <c r="BF115" s="4198">
        <v>0.45950000000000002</v>
      </c>
      <c r="BG115" s="851"/>
      <c r="BH115" s="4194"/>
    </row>
    <row r="116" spans="1:60" ht="12.75" customHeight="1">
      <c r="A116" s="2112"/>
      <c r="B116" s="9029">
        <v>22</v>
      </c>
      <c r="C116" s="9029"/>
      <c r="D116" s="344" t="s">
        <v>2892</v>
      </c>
      <c r="E116" s="253"/>
      <c r="F116" s="253"/>
      <c r="G116" s="253"/>
      <c r="H116" s="253"/>
      <c r="I116" s="253"/>
      <c r="J116" s="253"/>
      <c r="K116" s="253"/>
      <c r="L116" s="253"/>
      <c r="M116" s="253"/>
      <c r="N116" s="253"/>
      <c r="O116" s="253"/>
      <c r="P116" s="253"/>
      <c r="Q116" s="253"/>
      <c r="R116" s="253"/>
      <c r="S116" s="253"/>
      <c r="T116" s="794"/>
      <c r="U116" s="253"/>
      <c r="V116" s="253"/>
      <c r="W116" s="253"/>
      <c r="X116" s="253"/>
      <c r="Y116" s="253"/>
      <c r="Z116" s="253"/>
      <c r="AA116" s="253"/>
      <c r="AB116" s="253"/>
      <c r="AC116" s="253"/>
      <c r="AD116" s="253"/>
      <c r="AE116" s="253"/>
      <c r="AF116" s="253"/>
      <c r="AG116" s="253"/>
      <c r="AH116" s="253"/>
      <c r="AI116" s="1401" t="s">
        <v>872</v>
      </c>
      <c r="AJ116" s="8994">
        <v>22</v>
      </c>
      <c r="AK116" s="9030"/>
      <c r="AL116" s="9135"/>
      <c r="AM116" s="7826"/>
      <c r="AN116" s="7826"/>
      <c r="AO116" s="7826"/>
      <c r="AP116" s="1277"/>
      <c r="AQ116" s="9198">
        <f>IF(AL116&lt;&gt;"",ROUND(AL116,0),0)</f>
        <v>0</v>
      </c>
      <c r="AR116" s="9198"/>
      <c r="AS116" s="9198"/>
      <c r="AT116" s="9198"/>
      <c r="AU116" s="1277"/>
      <c r="AV116" s="253"/>
      <c r="AW116" s="253"/>
      <c r="AX116" s="4195" t="s">
        <v>200</v>
      </c>
      <c r="AY116" s="1193" t="str">
        <f>"Enter your worldwide "&amp;TEXT(BF116,"0%")&amp;" gains (see instructions)"</f>
        <v>Enter your worldwide 15% gains (see instructions)</v>
      </c>
      <c r="AZ116" s="851"/>
      <c r="BA116" s="851"/>
      <c r="BB116" s="851"/>
      <c r="BC116" s="851"/>
      <c r="BD116" s="4196" t="s">
        <v>200</v>
      </c>
      <c r="BE116" s="443"/>
      <c r="BF116" s="4197">
        <v>0.15</v>
      </c>
      <c r="BG116" s="851"/>
      <c r="BH116" s="4194"/>
    </row>
    <row r="117" spans="1:60" ht="13.5" customHeight="1">
      <c r="A117" s="2112"/>
      <c r="B117" s="9029">
        <v>23</v>
      </c>
      <c r="C117" s="9029"/>
      <c r="D117" s="344" t="s">
        <v>1516</v>
      </c>
      <c r="E117" s="253"/>
      <c r="F117" s="253"/>
      <c r="G117" s="253"/>
      <c r="H117" s="253"/>
      <c r="I117" s="253"/>
      <c r="J117" s="253"/>
      <c r="K117" s="253"/>
      <c r="L117" s="253"/>
      <c r="M117" s="253"/>
      <c r="N117" s="253"/>
      <c r="O117" s="253"/>
      <c r="P117" s="253"/>
      <c r="Q117" s="253"/>
      <c r="R117" s="253"/>
      <c r="S117" s="253"/>
      <c r="T117" s="794"/>
      <c r="U117" s="253"/>
      <c r="V117" s="253"/>
      <c r="W117" s="253"/>
      <c r="X117" s="253"/>
      <c r="Y117" s="253"/>
      <c r="Z117" s="253"/>
      <c r="AA117" s="253"/>
      <c r="AB117" s="253"/>
      <c r="AC117" s="253"/>
      <c r="AD117" s="253"/>
      <c r="AE117" s="253"/>
      <c r="AF117" s="253"/>
      <c r="AG117" s="253"/>
      <c r="AH117" s="253"/>
      <c r="AI117" s="1401" t="s">
        <v>2657</v>
      </c>
      <c r="AJ117" s="8994">
        <v>23</v>
      </c>
      <c r="AK117" s="9030"/>
      <c r="AL117" s="8969" t="str">
        <f>IF(AB104,"",SUM(AL115,AQ116))</f>
        <v/>
      </c>
      <c r="AM117" s="7827"/>
      <c r="AN117" s="7827"/>
      <c r="AO117" s="7827"/>
      <c r="AP117" s="1277"/>
      <c r="AQ117" s="1277"/>
      <c r="AR117" s="1277"/>
      <c r="AS117" s="1277"/>
      <c r="AT117" s="1277"/>
      <c r="AU117" s="1277"/>
      <c r="AV117" s="253"/>
      <c r="AW117" s="253"/>
      <c r="AX117" s="4195" t="s">
        <v>205</v>
      </c>
      <c r="AY117" s="1193" t="str">
        <f>"Multiply line 8 by "&amp;TEXT(BF117,"0.0000")</f>
        <v>Multiply line 8 by 0.5946</v>
      </c>
      <c r="AZ117" s="851"/>
      <c r="BA117" s="851"/>
      <c r="BB117" s="851"/>
      <c r="BC117" s="851"/>
      <c r="BD117" s="4196" t="s">
        <v>205</v>
      </c>
      <c r="BE117" s="2499" t="str">
        <f>IF(BE116&lt;&gt;"",ROUND(BE116*BF117,0),"")</f>
        <v/>
      </c>
      <c r="BF117" s="4198">
        <v>0.59460000000000002</v>
      </c>
      <c r="BG117" s="851"/>
      <c r="BH117" s="4194"/>
    </row>
    <row r="118" spans="1:60" ht="14.25" customHeight="1" thickBot="1">
      <c r="A118" s="2112"/>
      <c r="B118" s="9120">
        <v>24</v>
      </c>
      <c r="C118" s="9120"/>
      <c r="D118" s="498" t="s">
        <v>6397</v>
      </c>
      <c r="E118" s="380"/>
      <c r="F118" s="380"/>
      <c r="G118" s="380"/>
      <c r="H118" s="380"/>
      <c r="I118" s="380"/>
      <c r="J118" s="380"/>
      <c r="K118" s="380"/>
      <c r="L118" s="380"/>
      <c r="M118" s="380"/>
      <c r="N118" s="380"/>
      <c r="O118" s="380"/>
      <c r="P118" s="380"/>
      <c r="Q118" s="380"/>
      <c r="R118" s="380"/>
      <c r="S118" s="380"/>
      <c r="T118" s="4206"/>
      <c r="U118" s="380"/>
      <c r="V118" s="380"/>
      <c r="W118" s="380"/>
      <c r="X118" s="380"/>
      <c r="Y118" s="380"/>
      <c r="Z118" s="380"/>
      <c r="AA118" s="380"/>
      <c r="AB118" s="380"/>
      <c r="AC118" s="380"/>
      <c r="AD118" s="380"/>
      <c r="AE118" s="380"/>
      <c r="AF118" s="380"/>
      <c r="AG118" s="380"/>
      <c r="AH118" s="380"/>
      <c r="AI118" s="4488"/>
      <c r="AJ118" s="9121">
        <v>24</v>
      </c>
      <c r="AK118" s="9122"/>
      <c r="AL118" s="8965" t="str">
        <f>IF(AQ118&lt;&gt;"",ROUND(AQ118,0),IF(AB104,"",IF(ISERROR(AL96*AL115),"                    ---",MIN(AL96,AL115))))</f>
        <v/>
      </c>
      <c r="AM118" s="8966"/>
      <c r="AN118" s="8966"/>
      <c r="AO118" s="8966"/>
      <c r="AP118" s="1277"/>
      <c r="AQ118" s="8967"/>
      <c r="AR118" s="8968"/>
      <c r="AS118" s="8968"/>
      <c r="AT118" s="8968"/>
      <c r="AU118" s="1277"/>
      <c r="AV118" s="253"/>
      <c r="AW118" s="253"/>
      <c r="AX118" s="4195" t="s">
        <v>210</v>
      </c>
      <c r="AY118" s="1193" t="str">
        <f>"Enter your worldwide "&amp;TEXT(BF118,"0%")&amp;" gains and qualified dividends"</f>
        <v>Enter your worldwide 0% gains and qualified dividends</v>
      </c>
      <c r="AZ118" s="851"/>
      <c r="BA118" s="851"/>
      <c r="BB118" s="851"/>
      <c r="BC118" s="851"/>
      <c r="BD118" s="4196"/>
      <c r="BE118" s="1027"/>
      <c r="BF118" s="4197">
        <v>0</v>
      </c>
      <c r="BG118" s="851"/>
      <c r="BH118" s="4194"/>
    </row>
    <row r="119" spans="1:60" ht="14.25" customHeight="1">
      <c r="A119" s="4157"/>
      <c r="B119" s="9133" t="s">
        <v>2102</v>
      </c>
      <c r="C119" s="9133"/>
      <c r="D119" s="9134"/>
      <c r="E119" s="1323"/>
      <c r="F119" s="342" t="s">
        <v>6398</v>
      </c>
      <c r="G119" s="1323"/>
      <c r="H119" s="1323"/>
      <c r="I119" s="1323"/>
      <c r="J119" s="1323"/>
      <c r="K119" s="1323"/>
      <c r="L119" s="1323"/>
      <c r="M119" s="1323"/>
      <c r="N119" s="1323"/>
      <c r="O119" s="1323"/>
      <c r="P119" s="1323"/>
      <c r="Q119" s="1323"/>
      <c r="R119" s="1323"/>
      <c r="S119" s="1323"/>
      <c r="T119" s="1323"/>
      <c r="U119" s="1323"/>
      <c r="V119" s="1323"/>
      <c r="W119" s="1323"/>
      <c r="X119" s="1323"/>
      <c r="Y119" s="1323"/>
      <c r="Z119" s="1323"/>
      <c r="AA119" s="1323"/>
      <c r="AB119" s="1323"/>
      <c r="AC119" s="1323"/>
      <c r="AD119" s="1323"/>
      <c r="AE119" s="1323"/>
      <c r="AF119" s="1323"/>
      <c r="AG119" s="1323"/>
      <c r="AH119" s="1323"/>
      <c r="AI119" s="1323"/>
      <c r="AJ119" s="1323"/>
      <c r="AK119" s="1323"/>
      <c r="AL119" s="6496"/>
      <c r="AM119" s="6496"/>
      <c r="AN119" s="6496"/>
      <c r="AO119" s="6496"/>
      <c r="AP119" s="1277"/>
      <c r="AQ119" s="1277"/>
      <c r="AR119" s="1277"/>
      <c r="AS119" s="1277"/>
      <c r="AT119" s="1277"/>
      <c r="AU119" s="1277"/>
      <c r="AV119" s="253"/>
      <c r="AW119" s="253"/>
      <c r="AX119" s="4193"/>
      <c r="AY119" s="1193" t="s">
        <v>2018</v>
      </c>
      <c r="AZ119" s="851"/>
      <c r="BA119" s="851"/>
      <c r="BB119" s="851"/>
      <c r="BC119" s="851"/>
      <c r="BD119" s="4196" t="s">
        <v>210</v>
      </c>
      <c r="BE119" s="443"/>
      <c r="BF119" s="851"/>
      <c r="BG119" s="990">
        <f>ROUND(BE119,0)</f>
        <v>0</v>
      </c>
      <c r="BH119" s="4194"/>
    </row>
    <row r="120" spans="1:60" ht="14.25" customHeight="1">
      <c r="A120" s="4157"/>
      <c r="B120" s="3879"/>
      <c r="C120" s="3879"/>
      <c r="D120" s="3879"/>
      <c r="E120" s="3879"/>
      <c r="F120" s="2002" t="s">
        <v>6399</v>
      </c>
      <c r="G120" s="1998"/>
      <c r="H120" s="1998"/>
      <c r="I120" s="1998"/>
      <c r="J120" s="1998"/>
      <c r="K120" s="1998"/>
      <c r="L120" s="1998"/>
      <c r="M120" s="1998"/>
      <c r="N120" s="1998"/>
      <c r="O120" s="1998"/>
      <c r="P120" s="1998"/>
      <c r="Q120" s="1998"/>
      <c r="R120" s="1998"/>
      <c r="S120" s="1998"/>
      <c r="T120" s="1998"/>
      <c r="U120" s="1998"/>
      <c r="V120" s="1998"/>
      <c r="W120" s="1998"/>
      <c r="X120" s="1998"/>
      <c r="Y120" s="1998"/>
      <c r="Z120" s="1998"/>
      <c r="AA120" s="1998"/>
      <c r="AB120" s="1998"/>
      <c r="AC120" s="1998"/>
      <c r="AD120" s="1998"/>
      <c r="AE120" s="1998"/>
      <c r="AF120" s="1998"/>
      <c r="AG120" s="1998"/>
      <c r="AH120" s="1998"/>
      <c r="AI120" s="1998"/>
      <c r="AJ120" s="1998"/>
      <c r="AK120" s="1998"/>
      <c r="AL120" s="8945">
        <f>SUM($AO$22,$AO$144,$AO$265)</f>
        <v>0</v>
      </c>
      <c r="AM120" s="8945"/>
      <c r="AN120" s="8945"/>
      <c r="AO120" s="6500" t="b">
        <f>AND(AL120&gt;0,AL118=MAX($AL$118,$AL$239,$AL$362))</f>
        <v>0</v>
      </c>
      <c r="AP120" s="1277"/>
      <c r="AQ120" s="1277"/>
      <c r="AR120" s="1277"/>
      <c r="AS120" s="1277"/>
      <c r="AT120" s="1277"/>
      <c r="AU120" s="1277"/>
      <c r="AV120" s="253"/>
      <c r="AW120" s="253"/>
      <c r="AX120" s="4195" t="s">
        <v>212</v>
      </c>
      <c r="AY120" s="1193" t="s">
        <v>2891</v>
      </c>
      <c r="AZ120" s="851"/>
      <c r="BA120" s="851"/>
      <c r="BB120" s="851"/>
      <c r="BC120" s="851"/>
      <c r="BD120" s="851"/>
      <c r="BE120" s="990" t="b">
        <f>OR(BE110&lt;&gt;"",BE112&lt;&gt;"",BE114&lt;&gt;"",BE116&lt;&gt;"",BE119&lt;&gt;"")</f>
        <v>0</v>
      </c>
      <c r="BF120" s="4196" t="s">
        <v>212</v>
      </c>
      <c r="BG120" s="2499" t="str">
        <f>IF(BE120,SUM(BE111,BE113,BE115,BE117,BG119),IF(AB104,"",0))</f>
        <v/>
      </c>
      <c r="BH120" s="4194"/>
    </row>
    <row r="121" spans="1:60" ht="14.25" customHeight="1">
      <c r="A121" s="2112"/>
      <c r="B121" s="9029">
        <v>25</v>
      </c>
      <c r="C121" s="9029"/>
      <c r="D121" s="344" t="s">
        <v>2894</v>
      </c>
      <c r="E121" s="253"/>
      <c r="F121" s="511"/>
      <c r="G121" s="253"/>
      <c r="H121" s="253"/>
      <c r="I121" s="253"/>
      <c r="J121" s="253"/>
      <c r="K121" s="253"/>
      <c r="L121" s="253"/>
      <c r="M121" s="253"/>
      <c r="N121" s="253"/>
      <c r="O121" s="253"/>
      <c r="P121" s="253"/>
      <c r="Q121" s="253"/>
      <c r="R121" s="253"/>
      <c r="S121" s="253"/>
      <c r="T121" s="253"/>
      <c r="U121" s="253"/>
      <c r="V121" s="253"/>
      <c r="W121" s="253"/>
      <c r="X121" s="580"/>
      <c r="Y121" s="1401" t="s">
        <v>911</v>
      </c>
      <c r="Z121" s="8994">
        <v>25</v>
      </c>
      <c r="AA121" s="9030"/>
      <c r="AB121" s="8972" t="str">
        <f>IF(AO120,$AR$27,"")</f>
        <v/>
      </c>
      <c r="AC121" s="8973"/>
      <c r="AD121" s="8973"/>
      <c r="AE121" s="8973"/>
      <c r="AF121" s="8973"/>
      <c r="AG121" s="8973"/>
      <c r="AH121" s="8973"/>
      <c r="AI121" s="8974"/>
      <c r="AJ121" s="8976"/>
      <c r="AK121" s="7976"/>
      <c r="AL121" s="408"/>
      <c r="AM121" s="253"/>
      <c r="AN121" s="253"/>
      <c r="AO121" s="253"/>
      <c r="AP121" s="1277"/>
      <c r="AQ121" s="512" t="s">
        <v>588</v>
      </c>
      <c r="AR121" s="8970">
        <f>IF(C23&lt;&gt;"",$AL$118,0)</f>
        <v>0</v>
      </c>
      <c r="AS121" s="8970"/>
      <c r="AT121" s="8970"/>
      <c r="AU121" s="8970"/>
      <c r="AV121" s="253"/>
      <c r="AW121" s="253"/>
      <c r="AX121" s="4195"/>
      <c r="AY121" s="1193"/>
      <c r="AZ121" s="851"/>
      <c r="BA121" s="851"/>
      <c r="BB121" s="851"/>
      <c r="BC121" s="851"/>
      <c r="BD121" s="851"/>
      <c r="BE121" s="990"/>
      <c r="BF121" s="4196"/>
      <c r="BG121" s="4196"/>
      <c r="BH121" s="4194"/>
    </row>
    <row r="122" spans="1:60" ht="14.25" customHeight="1">
      <c r="A122" s="2112"/>
      <c r="B122" s="9029">
        <v>26</v>
      </c>
      <c r="C122" s="9029"/>
      <c r="D122" s="344" t="s">
        <v>2895</v>
      </c>
      <c r="E122" s="253"/>
      <c r="F122" s="511"/>
      <c r="G122" s="253"/>
      <c r="H122" s="253"/>
      <c r="I122" s="253"/>
      <c r="J122" s="253"/>
      <c r="K122" s="253"/>
      <c r="L122" s="253"/>
      <c r="M122" s="253"/>
      <c r="N122" s="253"/>
      <c r="O122" s="253"/>
      <c r="P122" s="253"/>
      <c r="Q122" s="253"/>
      <c r="R122" s="253"/>
      <c r="S122" s="253"/>
      <c r="T122" s="253"/>
      <c r="U122" s="253"/>
      <c r="V122" s="253"/>
      <c r="W122" s="253"/>
      <c r="X122" s="580"/>
      <c r="Y122" s="1401" t="s">
        <v>874</v>
      </c>
      <c r="Z122" s="8994">
        <v>26</v>
      </c>
      <c r="AA122" s="9030"/>
      <c r="AB122" s="8972" t="str">
        <f>IF(AO120,$AR$28,"")</f>
        <v/>
      </c>
      <c r="AC122" s="8973"/>
      <c r="AD122" s="8973"/>
      <c r="AE122" s="8973"/>
      <c r="AF122" s="8973"/>
      <c r="AG122" s="8973"/>
      <c r="AH122" s="8973"/>
      <c r="AI122" s="8974"/>
      <c r="AJ122" s="8976"/>
      <c r="AK122" s="7976"/>
      <c r="AL122" s="408"/>
      <c r="AM122" s="253"/>
      <c r="AN122" s="253"/>
      <c r="AO122" s="253"/>
      <c r="AP122" s="1277"/>
      <c r="AQ122" s="512" t="s">
        <v>592</v>
      </c>
      <c r="AR122" s="8970">
        <f>IF(C25&lt;&gt;"",$AL$118,0)</f>
        <v>0</v>
      </c>
      <c r="AS122" s="8970"/>
      <c r="AT122" s="8970"/>
      <c r="AU122" s="8970"/>
      <c r="AV122" s="253"/>
      <c r="AW122" s="253"/>
      <c r="AX122" s="4195" t="s">
        <v>1366</v>
      </c>
      <c r="AY122" s="1193" t="s">
        <v>2893</v>
      </c>
      <c r="AZ122" s="851"/>
      <c r="BA122" s="851"/>
      <c r="BB122" s="851"/>
      <c r="BC122" s="851"/>
      <c r="BD122" s="851"/>
      <c r="BE122" s="851"/>
      <c r="BF122" s="4196" t="s">
        <v>1366</v>
      </c>
      <c r="BG122" s="2499" t="str">
        <f>IF(BG120="","",MAX(0,SUM(BG109,-BG120)))</f>
        <v/>
      </c>
      <c r="BH122" s="4194"/>
    </row>
    <row r="123" spans="1:60" ht="14.25" customHeight="1" thickBot="1">
      <c r="A123" s="2112"/>
      <c r="B123" s="9029">
        <v>27</v>
      </c>
      <c r="C123" s="9029"/>
      <c r="D123" s="344" t="s">
        <v>2896</v>
      </c>
      <c r="E123" s="253"/>
      <c r="F123" s="511"/>
      <c r="G123" s="253"/>
      <c r="H123" s="253"/>
      <c r="I123" s="253"/>
      <c r="J123" s="253"/>
      <c r="K123" s="253"/>
      <c r="L123" s="253"/>
      <c r="M123" s="253"/>
      <c r="N123" s="253"/>
      <c r="O123" s="253"/>
      <c r="P123" s="253"/>
      <c r="Q123" s="253"/>
      <c r="R123" s="253"/>
      <c r="S123" s="253"/>
      <c r="T123" s="253"/>
      <c r="U123" s="253"/>
      <c r="V123" s="253"/>
      <c r="W123" s="253"/>
      <c r="X123" s="580"/>
      <c r="Y123" s="1401" t="s">
        <v>824</v>
      </c>
      <c r="Z123" s="8994">
        <v>27</v>
      </c>
      <c r="AA123" s="9030"/>
      <c r="AB123" s="8972" t="str">
        <f>IF(AO120,$AR$29,"")</f>
        <v/>
      </c>
      <c r="AC123" s="8973"/>
      <c r="AD123" s="8973"/>
      <c r="AE123" s="8973"/>
      <c r="AF123" s="8973"/>
      <c r="AG123" s="8973"/>
      <c r="AH123" s="8973"/>
      <c r="AI123" s="8974"/>
      <c r="AJ123" s="8976"/>
      <c r="AK123" s="7976"/>
      <c r="AL123" s="408"/>
      <c r="AM123" s="253"/>
      <c r="AN123" s="253"/>
      <c r="AO123" s="253"/>
      <c r="AP123" s="1277"/>
      <c r="AQ123" s="512" t="s">
        <v>595</v>
      </c>
      <c r="AR123" s="8970">
        <f>IF(K23&lt;&gt;"",$AL$118,0)</f>
        <v>0</v>
      </c>
      <c r="AS123" s="8970"/>
      <c r="AT123" s="8970"/>
      <c r="AU123" s="8970"/>
      <c r="AV123" s="253"/>
      <c r="AW123" s="253"/>
      <c r="AX123" s="4201"/>
      <c r="AY123" s="6502" t="s">
        <v>6404</v>
      </c>
      <c r="AZ123" s="1194"/>
      <c r="BA123" s="1194"/>
      <c r="BB123" s="1194"/>
      <c r="BC123" s="1194"/>
      <c r="BD123" s="1194"/>
      <c r="BE123" s="1194"/>
      <c r="BF123" s="1194"/>
      <c r="BG123" s="1194"/>
      <c r="BH123" s="4202"/>
    </row>
    <row r="124" spans="1:60" ht="14.25" customHeight="1">
      <c r="A124" s="2112"/>
      <c r="B124" s="9029">
        <v>28</v>
      </c>
      <c r="C124" s="9029"/>
      <c r="D124" s="344" t="s">
        <v>2899</v>
      </c>
      <c r="E124" s="253"/>
      <c r="F124" s="511"/>
      <c r="G124" s="253"/>
      <c r="H124" s="253"/>
      <c r="I124" s="253"/>
      <c r="J124" s="253"/>
      <c r="K124" s="253"/>
      <c r="L124" s="253"/>
      <c r="M124" s="253"/>
      <c r="N124" s="253"/>
      <c r="O124" s="253"/>
      <c r="P124" s="253"/>
      <c r="Q124" s="253"/>
      <c r="R124" s="253"/>
      <c r="S124" s="253"/>
      <c r="T124" s="253"/>
      <c r="U124" s="253"/>
      <c r="V124" s="253"/>
      <c r="W124" s="253"/>
      <c r="X124" s="580"/>
      <c r="Y124" s="1401" t="s">
        <v>824</v>
      </c>
      <c r="Z124" s="8994">
        <v>28</v>
      </c>
      <c r="AA124" s="9030"/>
      <c r="AB124" s="8972" t="str">
        <f>IF(AO120,$AR$30,"")</f>
        <v/>
      </c>
      <c r="AC124" s="8973"/>
      <c r="AD124" s="8973"/>
      <c r="AE124" s="8973"/>
      <c r="AF124" s="8973"/>
      <c r="AG124" s="8973"/>
      <c r="AH124" s="8973"/>
      <c r="AI124" s="8974"/>
      <c r="AJ124" s="8976"/>
      <c r="AK124" s="7976"/>
      <c r="AL124" s="408"/>
      <c r="AM124" s="253"/>
      <c r="AN124" s="253"/>
      <c r="AO124" s="253"/>
      <c r="AP124" s="1277"/>
      <c r="AQ124" s="512" t="s">
        <v>599</v>
      </c>
      <c r="AR124" s="8970">
        <f>IF(K25&lt;&gt;"",$AL$118,0)</f>
        <v>0</v>
      </c>
      <c r="AS124" s="8970"/>
      <c r="AT124" s="8970"/>
      <c r="AU124" s="8970"/>
      <c r="AV124" s="253"/>
      <c r="AW124" s="253"/>
      <c r="AX124" s="769"/>
      <c r="AY124" s="964"/>
      <c r="AZ124" s="964"/>
      <c r="BA124" s="964"/>
      <c r="BB124" s="964"/>
      <c r="BC124" s="964"/>
      <c r="BD124" s="964"/>
      <c r="BE124" s="964"/>
      <c r="BF124" s="964"/>
      <c r="BG124" s="964"/>
      <c r="BH124" s="964"/>
    </row>
    <row r="125" spans="1:60" ht="14.25" customHeight="1">
      <c r="A125" s="2112"/>
      <c r="B125" s="9029">
        <v>29</v>
      </c>
      <c r="C125" s="9029"/>
      <c r="D125" s="344" t="s">
        <v>2902</v>
      </c>
      <c r="E125" s="253"/>
      <c r="F125" s="511"/>
      <c r="G125" s="253"/>
      <c r="H125" s="253"/>
      <c r="I125" s="253"/>
      <c r="J125" s="253"/>
      <c r="K125" s="253"/>
      <c r="L125" s="253"/>
      <c r="M125" s="253"/>
      <c r="N125" s="253"/>
      <c r="O125" s="253"/>
      <c r="P125" s="253"/>
      <c r="Q125" s="253"/>
      <c r="R125" s="253"/>
      <c r="S125" s="253"/>
      <c r="T125" s="253"/>
      <c r="U125" s="253"/>
      <c r="V125" s="253"/>
      <c r="W125" s="253"/>
      <c r="X125" s="580"/>
      <c r="Y125" s="1401" t="s">
        <v>874</v>
      </c>
      <c r="Z125" s="8994">
        <v>29</v>
      </c>
      <c r="AA125" s="9030"/>
      <c r="AB125" s="8972" t="str">
        <f>IF(AO120,$AR$31,"")</f>
        <v/>
      </c>
      <c r="AC125" s="8973"/>
      <c r="AD125" s="8973"/>
      <c r="AE125" s="8973"/>
      <c r="AF125" s="8973"/>
      <c r="AG125" s="8973"/>
      <c r="AH125" s="8973"/>
      <c r="AI125" s="8974"/>
      <c r="AJ125" s="8976"/>
      <c r="AK125" s="7976"/>
      <c r="AL125" s="408"/>
      <c r="AM125" s="253"/>
      <c r="AN125" s="253"/>
      <c r="AO125" s="253"/>
      <c r="AP125" s="1277"/>
      <c r="AQ125" s="512" t="s">
        <v>603</v>
      </c>
      <c r="AR125" s="8970">
        <f>IF(W23&lt;&gt;"",$AL$118,0)</f>
        <v>0</v>
      </c>
      <c r="AS125" s="8970"/>
      <c r="AT125" s="8970"/>
      <c r="AU125" s="8970"/>
      <c r="AV125" s="253"/>
      <c r="AW125" s="253"/>
      <c r="AX125" s="769"/>
      <c r="AY125" s="964"/>
      <c r="AZ125" s="964"/>
      <c r="BA125" s="964"/>
      <c r="BB125" s="964"/>
      <c r="BC125" s="964"/>
      <c r="BD125" s="964"/>
      <c r="BE125" s="964"/>
      <c r="BF125" s="964"/>
      <c r="BG125" s="964"/>
      <c r="BH125" s="964"/>
    </row>
    <row r="126" spans="1:60" ht="14.25" customHeight="1">
      <c r="A126" s="2112"/>
      <c r="B126" s="9029">
        <v>30</v>
      </c>
      <c r="C126" s="9029"/>
      <c r="D126" s="344" t="s">
        <v>2903</v>
      </c>
      <c r="E126" s="253"/>
      <c r="F126" s="511"/>
      <c r="G126" s="253"/>
      <c r="H126" s="253"/>
      <c r="I126" s="253"/>
      <c r="J126" s="253"/>
      <c r="K126" s="253"/>
      <c r="L126" s="253"/>
      <c r="M126" s="253"/>
      <c r="N126" s="253"/>
      <c r="O126" s="253"/>
      <c r="P126" s="253"/>
      <c r="Q126" s="253"/>
      <c r="R126" s="253"/>
      <c r="S126" s="253"/>
      <c r="T126" s="253"/>
      <c r="U126" s="253"/>
      <c r="V126" s="253"/>
      <c r="W126" s="253"/>
      <c r="X126" s="580"/>
      <c r="Y126" s="1401" t="s">
        <v>808</v>
      </c>
      <c r="Z126" s="8994">
        <v>30</v>
      </c>
      <c r="AA126" s="9030"/>
      <c r="AB126" s="8972" t="str">
        <f>IF(AO120,$AR$32,"")</f>
        <v/>
      </c>
      <c r="AC126" s="8973"/>
      <c r="AD126" s="8973"/>
      <c r="AE126" s="8973"/>
      <c r="AF126" s="8973"/>
      <c r="AG126" s="8973"/>
      <c r="AH126" s="8973"/>
      <c r="AI126" s="8974"/>
      <c r="AJ126" s="8976"/>
      <c r="AK126" s="7976"/>
      <c r="AL126" s="408"/>
      <c r="AM126" s="253"/>
      <c r="AN126" s="253"/>
      <c r="AO126" s="253"/>
      <c r="AP126" s="1277"/>
      <c r="AQ126" s="512" t="s">
        <v>606</v>
      </c>
      <c r="AR126" s="8970">
        <f>IF(W25&lt;&gt;"",$AL$118,0)</f>
        <v>0</v>
      </c>
      <c r="AS126" s="8970"/>
      <c r="AT126" s="8970"/>
      <c r="AU126" s="8970"/>
      <c r="AV126" s="253"/>
      <c r="AW126" s="253"/>
      <c r="AX126" s="769"/>
      <c r="AY126" s="964"/>
      <c r="AZ126" s="964"/>
      <c r="BA126" s="964"/>
      <c r="BB126" s="964"/>
      <c r="BC126" s="964"/>
      <c r="BD126" s="964"/>
      <c r="BE126" s="964"/>
      <c r="BF126" s="964"/>
      <c r="BG126" s="964"/>
      <c r="BH126" s="964"/>
    </row>
    <row r="127" spans="1:60" ht="14.25" customHeight="1" thickBot="1">
      <c r="A127" s="2112"/>
      <c r="B127" s="9029">
        <v>31</v>
      </c>
      <c r="C127" s="9029"/>
      <c r="D127" s="344" t="s">
        <v>2905</v>
      </c>
      <c r="E127" s="253"/>
      <c r="F127" s="511"/>
      <c r="G127" s="253"/>
      <c r="H127" s="253"/>
      <c r="I127" s="253"/>
      <c r="J127" s="253"/>
      <c r="K127" s="253"/>
      <c r="L127" s="253"/>
      <c r="M127" s="253"/>
      <c r="N127" s="253"/>
      <c r="O127" s="253"/>
      <c r="P127" s="253"/>
      <c r="Q127" s="253"/>
      <c r="R127" s="253"/>
      <c r="S127" s="253"/>
      <c r="T127" s="253"/>
      <c r="U127" s="253"/>
      <c r="V127" s="253"/>
      <c r="W127" s="253"/>
      <c r="X127" s="580"/>
      <c r="Y127" s="1401" t="s">
        <v>874</v>
      </c>
      <c r="Z127" s="9138">
        <v>31</v>
      </c>
      <c r="AA127" s="9139"/>
      <c r="AB127" s="9140" t="str">
        <f>IF(AO120,$AR$33,"")</f>
        <v/>
      </c>
      <c r="AC127" s="9141"/>
      <c r="AD127" s="9141"/>
      <c r="AE127" s="9141"/>
      <c r="AF127" s="9141"/>
      <c r="AG127" s="9141"/>
      <c r="AH127" s="9141"/>
      <c r="AI127" s="9142"/>
      <c r="AJ127" s="8976"/>
      <c r="AK127" s="7976"/>
      <c r="AL127" s="408"/>
      <c r="AM127" s="253"/>
      <c r="AN127" s="253"/>
      <c r="AO127" s="253"/>
      <c r="AP127" s="1277"/>
      <c r="AQ127" s="4204" t="s">
        <v>610</v>
      </c>
      <c r="AR127" s="8971">
        <f>IF(AI23&lt;&gt;"",$AL$118,0)</f>
        <v>0</v>
      </c>
      <c r="AS127" s="8971"/>
      <c r="AT127" s="8971"/>
      <c r="AU127" s="8971"/>
      <c r="AV127" s="253"/>
      <c r="AW127" s="253"/>
      <c r="AX127" s="769"/>
      <c r="AY127" s="964"/>
      <c r="AZ127" s="964"/>
      <c r="BA127" s="964"/>
      <c r="BB127" s="964"/>
      <c r="BC127" s="964"/>
      <c r="BD127" s="964"/>
      <c r="BE127" s="964"/>
      <c r="BF127" s="964"/>
      <c r="BG127" s="964"/>
      <c r="BH127" s="964"/>
    </row>
    <row r="128" spans="1:60" ht="14.25" customHeight="1">
      <c r="A128" s="2112"/>
      <c r="B128" s="9029">
        <v>32</v>
      </c>
      <c r="C128" s="9029"/>
      <c r="D128" s="344" t="s">
        <v>2907</v>
      </c>
      <c r="E128" s="253"/>
      <c r="F128" s="511"/>
      <c r="G128" s="253"/>
      <c r="H128" s="253"/>
      <c r="I128" s="253"/>
      <c r="J128" s="253"/>
      <c r="K128" s="253"/>
      <c r="L128" s="253"/>
      <c r="M128" s="253"/>
      <c r="N128" s="253"/>
      <c r="O128" s="253"/>
      <c r="P128" s="253"/>
      <c r="Q128" s="253"/>
      <c r="R128" s="253"/>
      <c r="S128" s="253"/>
      <c r="T128" s="253"/>
      <c r="U128" s="253"/>
      <c r="V128" s="253"/>
      <c r="W128" s="253"/>
      <c r="X128" s="253"/>
      <c r="Y128" s="253"/>
      <c r="Z128" s="817"/>
      <c r="AA128" s="817"/>
      <c r="AB128" s="253"/>
      <c r="AC128" s="253"/>
      <c r="AD128" s="253"/>
      <c r="AE128" s="253"/>
      <c r="AF128" s="253"/>
      <c r="AG128" s="253"/>
      <c r="AH128" s="253"/>
      <c r="AI128" s="1401" t="s">
        <v>871</v>
      </c>
      <c r="AJ128" s="8994">
        <v>32</v>
      </c>
      <c r="AK128" s="9030"/>
      <c r="AL128" s="8969" t="str">
        <f>IF(AQ128&lt;&gt;"",ROUND(AQ128,0),IF(NOT(AO120),"",SUM(AB121:AI127)))</f>
        <v/>
      </c>
      <c r="AM128" s="7827"/>
      <c r="AN128" s="7827"/>
      <c r="AO128" s="7827"/>
      <c r="AP128" s="1277"/>
      <c r="AQ128" s="8967"/>
      <c r="AR128" s="8968"/>
      <c r="AS128" s="8968"/>
      <c r="AT128" s="8968"/>
      <c r="AU128" s="1277"/>
      <c r="AV128" s="1323"/>
      <c r="AW128" s="1323"/>
      <c r="AX128" s="769"/>
      <c r="AY128" s="964"/>
      <c r="AZ128" s="964"/>
      <c r="BA128" s="964"/>
      <c r="BB128" s="964"/>
      <c r="BC128" s="964"/>
      <c r="BD128" s="964"/>
      <c r="BE128" s="964"/>
      <c r="BF128" s="964"/>
      <c r="BG128" s="964"/>
      <c r="BH128" s="964"/>
    </row>
    <row r="129" spans="1:60" ht="14.25" customHeight="1">
      <c r="A129" s="2112"/>
      <c r="B129" s="9029">
        <v>33</v>
      </c>
      <c r="C129" s="9029"/>
      <c r="D129" s="344" t="s">
        <v>2909</v>
      </c>
      <c r="E129" s="253"/>
      <c r="F129" s="511"/>
      <c r="G129" s="253"/>
      <c r="H129" s="253"/>
      <c r="I129" s="253"/>
      <c r="J129" s="253"/>
      <c r="K129" s="253"/>
      <c r="L129" s="253"/>
      <c r="M129" s="253"/>
      <c r="N129" s="253"/>
      <c r="O129" s="253"/>
      <c r="P129" s="253"/>
      <c r="Q129" s="253"/>
      <c r="R129" s="253"/>
      <c r="S129" s="253"/>
      <c r="T129" s="253"/>
      <c r="U129" s="253"/>
      <c r="V129" s="253"/>
      <c r="W129" s="253"/>
      <c r="X129" s="253"/>
      <c r="Y129" s="253"/>
      <c r="Z129" s="817"/>
      <c r="AA129" s="817"/>
      <c r="AB129" s="253"/>
      <c r="AC129" s="253"/>
      <c r="AD129" s="253"/>
      <c r="AE129" s="253"/>
      <c r="AF129" s="253"/>
      <c r="AG129" s="253"/>
      <c r="AH129" s="253"/>
      <c r="AI129" s="1401" t="s">
        <v>802</v>
      </c>
      <c r="AJ129" s="8994">
        <v>33</v>
      </c>
      <c r="AK129" s="9030"/>
      <c r="AL129" s="8969" t="str">
        <f>IF(NOT(AQ20),AL118,IF(NOT(AO120),"",IF(ISERROR(MIN(AL112,AL128)),"",MIN(AL112,AL128))))</f>
        <v/>
      </c>
      <c r="AM129" s="7827"/>
      <c r="AN129" s="7827"/>
      <c r="AO129" s="7827"/>
      <c r="AP129" s="1277"/>
      <c r="AQ129" s="1277"/>
      <c r="AR129" s="1277"/>
      <c r="AS129" s="1277"/>
      <c r="AT129" s="1277"/>
      <c r="AU129" s="1277"/>
      <c r="AV129" s="253"/>
      <c r="AW129" s="253"/>
      <c r="AX129" s="769"/>
      <c r="AY129" s="969" t="s">
        <v>2897</v>
      </c>
      <c r="AZ129" s="964"/>
      <c r="BA129" s="964"/>
      <c r="BB129" s="971" t="str">
        <f>IF(ISERROR(SUM(AL115,-ForeignTaxCredit_1))," ---",MAX(SUM(AL115,-ForeignTaxCredit_1),0))</f>
        <v xml:space="preserve"> ---</v>
      </c>
      <c r="BC129" s="973" t="s">
        <v>2898</v>
      </c>
      <c r="BD129" s="964"/>
      <c r="BE129" s="964"/>
      <c r="BF129" s="964"/>
      <c r="BG129" s="964"/>
      <c r="BH129" s="964"/>
    </row>
    <row r="130" spans="1:60" ht="14.25" customHeight="1">
      <c r="A130" s="2112"/>
      <c r="B130" s="9029">
        <v>34</v>
      </c>
      <c r="C130" s="9029"/>
      <c r="D130" s="344" t="s">
        <v>2910</v>
      </c>
      <c r="E130" s="253"/>
      <c r="F130" s="511"/>
      <c r="G130" s="253"/>
      <c r="H130" s="253"/>
      <c r="I130" s="253"/>
      <c r="J130" s="253"/>
      <c r="K130" s="253"/>
      <c r="L130" s="253"/>
      <c r="M130" s="253"/>
      <c r="N130" s="253"/>
      <c r="O130" s="253"/>
      <c r="P130" s="253"/>
      <c r="Q130" s="253"/>
      <c r="R130" s="253"/>
      <c r="S130" s="253"/>
      <c r="T130" s="253"/>
      <c r="U130" s="253"/>
      <c r="V130" s="253"/>
      <c r="W130" s="253"/>
      <c r="X130" s="253"/>
      <c r="Y130" s="253"/>
      <c r="Z130" s="817"/>
      <c r="AA130" s="817"/>
      <c r="AB130" s="253"/>
      <c r="AC130" s="253"/>
      <c r="AD130" s="253"/>
      <c r="AE130" s="253"/>
      <c r="AF130" s="253"/>
      <c r="AG130" s="253"/>
      <c r="AH130" s="253"/>
      <c r="AI130" s="1401" t="s">
        <v>808</v>
      </c>
      <c r="AJ130" s="9128">
        <v>34</v>
      </c>
      <c r="AK130" s="8629"/>
      <c r="AL130" s="9131"/>
      <c r="AM130" s="9132"/>
      <c r="AN130" s="9132"/>
      <c r="AO130" s="9132"/>
      <c r="AP130" s="1277"/>
      <c r="AQ130" s="253"/>
      <c r="AR130" s="253"/>
      <c r="AS130" s="253"/>
      <c r="AT130" s="253"/>
      <c r="AU130" s="253"/>
      <c r="AV130" s="253"/>
      <c r="AW130" s="253"/>
      <c r="AX130" s="769"/>
      <c r="AY130" s="969" t="s">
        <v>2900</v>
      </c>
      <c r="AZ130" s="964"/>
      <c r="BA130" s="964"/>
      <c r="BB130" s="972" t="str">
        <f>IF(ISERROR(SUM(AL96,-ForeignTaxCredit_1))," ---",MAX(SUM(AL96,-ForeignTaxCredit_1),0))</f>
        <v xml:space="preserve"> ---</v>
      </c>
      <c r="BC130" s="973" t="s">
        <v>2901</v>
      </c>
      <c r="BD130" s="964"/>
      <c r="BE130" s="964"/>
      <c r="BF130" s="964"/>
      <c r="BG130" s="964"/>
      <c r="BH130" s="964"/>
    </row>
    <row r="131" spans="1:60">
      <c r="A131" s="2112"/>
      <c r="B131" s="9029">
        <v>35</v>
      </c>
      <c r="C131" s="9029"/>
      <c r="D131" s="344" t="s">
        <v>6400</v>
      </c>
      <c r="E131" s="253"/>
      <c r="F131" s="253"/>
      <c r="G131" s="253"/>
      <c r="H131" s="253"/>
      <c r="I131" s="253"/>
      <c r="J131" s="253"/>
      <c r="K131" s="253"/>
      <c r="L131" s="253"/>
      <c r="M131" s="253"/>
      <c r="N131" s="253"/>
      <c r="O131" s="253"/>
      <c r="P131" s="253"/>
      <c r="Q131" s="253"/>
      <c r="R131" s="253"/>
      <c r="S131" s="253"/>
      <c r="T131" s="794"/>
      <c r="U131" s="253"/>
      <c r="V131" s="253"/>
      <c r="W131" s="253"/>
      <c r="X131" s="253"/>
      <c r="Y131" s="253"/>
      <c r="Z131" s="253"/>
      <c r="AA131" s="253"/>
      <c r="AB131" s="253"/>
      <c r="AC131" s="253"/>
      <c r="AD131" s="253"/>
      <c r="AE131" s="253"/>
      <c r="AF131" s="253"/>
      <c r="AG131" s="253"/>
      <c r="AH131" s="253"/>
      <c r="AI131" s="253"/>
      <c r="AJ131" s="7576"/>
      <c r="AK131" s="9149"/>
      <c r="AL131" s="405"/>
      <c r="AM131" s="406"/>
      <c r="AN131" s="406"/>
      <c r="AO131" s="406"/>
      <c r="AP131" s="1277"/>
      <c r="AQ131" s="1277"/>
      <c r="AR131" s="1277"/>
      <c r="AS131" s="1277"/>
      <c r="AT131" s="1277"/>
      <c r="AU131" s="1277"/>
      <c r="AV131" s="253"/>
      <c r="AW131" s="253"/>
      <c r="AX131" s="769"/>
      <c r="AY131" s="964"/>
      <c r="AZ131" s="964"/>
      <c r="BA131" s="964"/>
      <c r="BB131" s="964"/>
      <c r="BC131" s="964"/>
      <c r="BD131" s="964"/>
      <c r="BE131" s="964"/>
      <c r="BF131" s="964"/>
      <c r="BG131" s="964"/>
      <c r="BH131" s="964"/>
    </row>
    <row r="132" spans="1:60" ht="13.5" thickBot="1">
      <c r="A132" s="2112"/>
      <c r="B132" s="4205"/>
      <c r="C132" s="4205"/>
      <c r="D132" s="498" t="s">
        <v>6401</v>
      </c>
      <c r="E132" s="380"/>
      <c r="F132" s="380"/>
      <c r="G132" s="380"/>
      <c r="H132" s="380"/>
      <c r="I132" s="380"/>
      <c r="J132" s="380"/>
      <c r="K132" s="380"/>
      <c r="L132" s="380"/>
      <c r="M132" s="380"/>
      <c r="N132" s="380"/>
      <c r="O132" s="380"/>
      <c r="P132" s="380"/>
      <c r="Q132" s="380"/>
      <c r="R132" s="380"/>
      <c r="S132" s="380"/>
      <c r="T132" s="4206"/>
      <c r="U132" s="380"/>
      <c r="V132" s="380"/>
      <c r="W132" s="380"/>
      <c r="X132" s="380"/>
      <c r="Y132" s="380"/>
      <c r="Z132" s="380"/>
      <c r="AA132" s="380"/>
      <c r="AB132" s="380"/>
      <c r="AC132" s="380"/>
      <c r="AD132" s="380"/>
      <c r="AE132" s="380"/>
      <c r="AF132" s="380"/>
      <c r="AG132" s="380"/>
      <c r="AH132" s="380"/>
      <c r="AI132" s="1658" t="s">
        <v>784</v>
      </c>
      <c r="AJ132" s="9121">
        <v>35</v>
      </c>
      <c r="AK132" s="9122"/>
      <c r="AL132" s="8965" t="str">
        <f>IF(AQ132&lt;&gt;"",ROUND(AQ132,0),IF(AND(AL120=1,AO22=1),AL118,IF(NOT(AO120),"",IF(ISERROR(SUM(AL129,-AL130)),"",SUM(AL129,-AL130)))))</f>
        <v/>
      </c>
      <c r="AM132" s="8966"/>
      <c r="AN132" s="8966"/>
      <c r="AO132" s="8966"/>
      <c r="AP132" s="1277"/>
      <c r="AQ132" s="8967"/>
      <c r="AR132" s="8968"/>
      <c r="AS132" s="8968"/>
      <c r="AT132" s="8968"/>
      <c r="AU132" s="1277"/>
      <c r="AV132" s="253"/>
      <c r="AW132" s="253"/>
      <c r="AX132" s="769"/>
      <c r="AY132" s="969" t="s">
        <v>2904</v>
      </c>
      <c r="AZ132" s="964"/>
      <c r="BA132" s="964"/>
      <c r="BB132" s="964"/>
      <c r="BC132" s="964"/>
      <c r="BD132" s="964"/>
      <c r="BE132" s="964"/>
      <c r="BF132" s="964"/>
      <c r="BG132" s="964"/>
      <c r="BH132" s="964"/>
    </row>
    <row r="133" spans="1:60" ht="18">
      <c r="A133" s="2112"/>
      <c r="B133" s="1218"/>
      <c r="C133" s="2373"/>
      <c r="D133" s="253"/>
      <c r="E133" s="253"/>
      <c r="F133" s="253"/>
      <c r="G133" s="253"/>
      <c r="H133" s="253"/>
      <c r="I133" s="253"/>
      <c r="J133" s="253"/>
      <c r="K133" s="253"/>
      <c r="L133" s="253"/>
      <c r="M133" s="253"/>
      <c r="N133" s="253"/>
      <c r="O133" s="253"/>
      <c r="P133" s="253"/>
      <c r="Q133" s="253"/>
      <c r="R133" s="253"/>
      <c r="S133" s="253"/>
      <c r="T133" s="253"/>
      <c r="U133" s="253"/>
      <c r="V133" s="253"/>
      <c r="W133" s="253"/>
      <c r="X133" s="253"/>
      <c r="Y133" s="253"/>
      <c r="Z133" s="253"/>
      <c r="AA133" s="253"/>
      <c r="AB133" s="253"/>
      <c r="AC133" s="253"/>
      <c r="AD133" s="253"/>
      <c r="AE133" s="253"/>
      <c r="AF133" s="253"/>
      <c r="AG133" s="253"/>
      <c r="AH133" s="253"/>
      <c r="AI133" s="253"/>
      <c r="AJ133" s="253"/>
      <c r="AK133" s="1061"/>
      <c r="AL133" s="253"/>
      <c r="AM133" s="253"/>
      <c r="AN133" s="1061" t="s">
        <v>2913</v>
      </c>
      <c r="AO133" s="416" t="str">
        <f>"("&amp;TaxYear&amp;")"</f>
        <v>(2025)</v>
      </c>
      <c r="AP133" s="1277"/>
      <c r="AQ133" s="1277"/>
      <c r="AR133" s="1277"/>
      <c r="AS133" s="1277"/>
      <c r="AT133" s="1277"/>
      <c r="AU133" s="1277"/>
      <c r="AV133" s="253"/>
      <c r="AW133" s="253"/>
      <c r="AX133" s="769"/>
      <c r="AY133" s="969" t="s">
        <v>2906</v>
      </c>
      <c r="AZ133" s="964"/>
      <c r="BA133" s="964"/>
      <c r="BB133" s="964"/>
      <c r="BC133" s="964"/>
      <c r="BD133" s="964"/>
      <c r="BE133" s="964"/>
      <c r="BF133" s="964"/>
      <c r="BG133" s="964"/>
      <c r="BH133" s="964"/>
    </row>
    <row r="134" spans="1:60" ht="20.25">
      <c r="A134" s="2112"/>
      <c r="B134" s="9126" t="s">
        <v>2914</v>
      </c>
      <c r="C134" s="7976"/>
      <c r="D134" s="7976"/>
      <c r="E134" s="7976"/>
      <c r="F134" s="7976"/>
      <c r="G134" s="7976"/>
      <c r="H134" s="4142" t="str">
        <f>IF(AND(NOT(NoColor),'Table of Contents'!$A$43="D"),"DRAFT","")</f>
        <v/>
      </c>
      <c r="I134" s="799"/>
      <c r="J134" s="799"/>
      <c r="K134" s="799"/>
      <c r="L134" s="799"/>
      <c r="M134" s="7932" t="s">
        <v>2784</v>
      </c>
      <c r="N134" s="7932"/>
      <c r="O134" s="7932"/>
      <c r="P134" s="7932"/>
      <c r="Q134" s="7932"/>
      <c r="R134" s="7932"/>
      <c r="S134" s="7932"/>
      <c r="T134" s="7932"/>
      <c r="U134" s="7932"/>
      <c r="V134" s="7932"/>
      <c r="W134" s="7932"/>
      <c r="X134" s="7932"/>
      <c r="Y134" s="7932"/>
      <c r="Z134" s="7932"/>
      <c r="AA134" s="799"/>
      <c r="AB134" s="799"/>
      <c r="AC134" s="799"/>
      <c r="AD134" s="799"/>
      <c r="AE134" s="799"/>
      <c r="AF134" s="799"/>
      <c r="AG134" s="799"/>
      <c r="AH134" s="2910"/>
      <c r="AI134" s="8578" t="s">
        <v>2785</v>
      </c>
      <c r="AJ134" s="8458"/>
      <c r="AK134" s="8458"/>
      <c r="AL134" s="8458"/>
      <c r="AM134" s="8458"/>
      <c r="AN134" s="8458"/>
      <c r="AO134" s="8458"/>
      <c r="AP134" s="1277"/>
      <c r="AQ134" s="253"/>
      <c r="AR134" s="253"/>
      <c r="AS134" s="253"/>
      <c r="AT134" s="253"/>
      <c r="AU134" s="253"/>
      <c r="AV134" s="253"/>
      <c r="AW134" s="253"/>
      <c r="AX134" s="769"/>
      <c r="AY134" s="970" t="s">
        <v>2908</v>
      </c>
      <c r="AZ134" s="964"/>
      <c r="BA134" s="964"/>
      <c r="BB134" s="964"/>
      <c r="BC134" s="964"/>
      <c r="BD134" s="964"/>
      <c r="BE134" s="964"/>
      <c r="BF134" s="964"/>
      <c r="BG134" s="964"/>
      <c r="BH134" s="964"/>
    </row>
    <row r="135" spans="1:60" ht="11.25" customHeight="1">
      <c r="A135" s="4135"/>
      <c r="B135" s="7976"/>
      <c r="C135" s="7976"/>
      <c r="D135" s="7976"/>
      <c r="E135" s="7976"/>
      <c r="F135" s="7976"/>
      <c r="G135" s="7976"/>
      <c r="H135" s="4144"/>
      <c r="I135" s="799"/>
      <c r="J135" s="799"/>
      <c r="K135" s="799"/>
      <c r="L135" s="799"/>
      <c r="M135" s="7932"/>
      <c r="N135" s="7932"/>
      <c r="O135" s="7932"/>
      <c r="P135" s="7932"/>
      <c r="Q135" s="7932"/>
      <c r="R135" s="7932"/>
      <c r="S135" s="7932"/>
      <c r="T135" s="7932"/>
      <c r="U135" s="7932"/>
      <c r="V135" s="7932"/>
      <c r="W135" s="7932"/>
      <c r="X135" s="7932"/>
      <c r="Y135" s="7932"/>
      <c r="Z135" s="7932"/>
      <c r="AA135" s="799"/>
      <c r="AB135" s="799"/>
      <c r="AC135" s="799"/>
      <c r="AD135" s="799"/>
      <c r="AE135" s="799"/>
      <c r="AF135" s="799"/>
      <c r="AG135" s="799"/>
      <c r="AH135" s="809"/>
      <c r="AI135" s="8946">
        <f>TaxYear</f>
        <v>2025</v>
      </c>
      <c r="AJ135" s="8947"/>
      <c r="AK135" s="8947"/>
      <c r="AL135" s="8947"/>
      <c r="AM135" s="8947"/>
      <c r="AN135" s="8947"/>
      <c r="AO135" s="8947"/>
      <c r="AP135" s="1277"/>
      <c r="AQ135" s="253"/>
      <c r="AR135" s="253"/>
      <c r="AS135" s="253"/>
      <c r="AT135" s="253"/>
      <c r="AU135" s="253"/>
      <c r="AV135" s="253"/>
      <c r="AW135" s="253"/>
      <c r="AX135" s="769"/>
      <c r="AY135" s="970"/>
      <c r="AZ135" s="964"/>
      <c r="BA135" s="964"/>
      <c r="BB135" s="964"/>
      <c r="BC135" s="964"/>
      <c r="BD135" s="964"/>
      <c r="BE135" s="964"/>
      <c r="BF135" s="964"/>
      <c r="BG135" s="964"/>
      <c r="BH135" s="964"/>
    </row>
    <row r="136" spans="1:60" ht="18" customHeight="1">
      <c r="A136" s="2112"/>
      <c r="B136" s="2677"/>
      <c r="C136" s="253"/>
      <c r="D136" s="253"/>
      <c r="E136" s="253"/>
      <c r="F136" s="253"/>
      <c r="G136" s="253"/>
      <c r="H136" s="9136" t="s">
        <v>2786</v>
      </c>
      <c r="I136" s="7522"/>
      <c r="J136" s="7522"/>
      <c r="K136" s="7522"/>
      <c r="L136" s="7522"/>
      <c r="M136" s="7522"/>
      <c r="N136" s="7522"/>
      <c r="O136" s="7522"/>
      <c r="P136" s="7522"/>
      <c r="Q136" s="7522"/>
      <c r="R136" s="7522"/>
      <c r="S136" s="7522"/>
      <c r="T136" s="7522"/>
      <c r="U136" s="7522"/>
      <c r="V136" s="7522"/>
      <c r="W136" s="7522"/>
      <c r="X136" s="7522"/>
      <c r="Y136" s="7522"/>
      <c r="Z136" s="7522"/>
      <c r="AA136" s="7522"/>
      <c r="AB136" s="7522"/>
      <c r="AC136" s="7522"/>
      <c r="AD136" s="7522"/>
      <c r="AE136" s="7522"/>
      <c r="AF136" s="7522"/>
      <c r="AG136" s="7522"/>
      <c r="AH136" s="9137"/>
      <c r="AI136" s="8948"/>
      <c r="AJ136" s="8949"/>
      <c r="AK136" s="8949"/>
      <c r="AL136" s="8949"/>
      <c r="AM136" s="8949"/>
      <c r="AN136" s="8949"/>
      <c r="AO136" s="8949"/>
      <c r="AP136" s="1277"/>
      <c r="AQ136" s="253"/>
      <c r="AR136" s="253"/>
      <c r="AS136" s="253"/>
      <c r="AT136" s="253"/>
      <c r="AU136" s="253"/>
      <c r="AV136" s="253"/>
      <c r="AW136" s="253"/>
      <c r="AX136" s="768"/>
      <c r="AY136" s="964"/>
      <c r="AZ136" s="964"/>
      <c r="BA136" s="964"/>
      <c r="BB136" s="964"/>
      <c r="BC136" s="964"/>
      <c r="BD136" s="964"/>
      <c r="BE136" s="964"/>
      <c r="BF136" s="964"/>
      <c r="BG136" s="964"/>
      <c r="BH136" s="964"/>
    </row>
    <row r="137" spans="1:60" ht="14.25" customHeight="1">
      <c r="A137" s="2112"/>
      <c r="B137" s="7613" t="s">
        <v>2318</v>
      </c>
      <c r="C137" s="7925"/>
      <c r="D137" s="7925"/>
      <c r="E137" s="7925"/>
      <c r="F137" s="7925"/>
      <c r="G137" s="8579"/>
      <c r="H137" s="9101" t="s">
        <v>2787</v>
      </c>
      <c r="I137" s="9102"/>
      <c r="J137" s="9102"/>
      <c r="K137" s="9102"/>
      <c r="L137" s="9102"/>
      <c r="M137" s="9102"/>
      <c r="N137" s="9102"/>
      <c r="O137" s="9102"/>
      <c r="P137" s="9102"/>
      <c r="Q137" s="9102"/>
      <c r="R137" s="9102"/>
      <c r="S137" s="9102"/>
      <c r="T137" s="9102"/>
      <c r="U137" s="9102"/>
      <c r="V137" s="9102"/>
      <c r="W137" s="9102"/>
      <c r="X137" s="9102"/>
      <c r="Y137" s="9102"/>
      <c r="Z137" s="9102"/>
      <c r="AA137" s="9102"/>
      <c r="AB137" s="9102"/>
      <c r="AC137" s="9102"/>
      <c r="AD137" s="9102"/>
      <c r="AE137" s="9102"/>
      <c r="AF137" s="9102"/>
      <c r="AG137" s="9102"/>
      <c r="AH137" s="9103"/>
      <c r="AI137" s="9143" t="s">
        <v>2320</v>
      </c>
      <c r="AJ137" s="9144"/>
      <c r="AK137" s="9144"/>
      <c r="AL137" s="9144"/>
      <c r="AM137" s="9144"/>
      <c r="AN137" s="9147">
        <v>19</v>
      </c>
      <c r="AO137" s="9147"/>
      <c r="AP137" s="1277"/>
      <c r="AQ137" s="253"/>
      <c r="AR137" s="253"/>
      <c r="AS137" s="253"/>
      <c r="AT137" s="253"/>
      <c r="AU137" s="253"/>
      <c r="AV137" s="253"/>
      <c r="AW137" s="253"/>
      <c r="AX137" s="768" t="s">
        <v>223</v>
      </c>
      <c r="AY137" s="964"/>
      <c r="AZ137" s="964"/>
      <c r="BA137" s="964"/>
      <c r="BB137" s="964"/>
      <c r="BC137" s="964"/>
      <c r="BD137" s="964"/>
      <c r="BE137" s="964"/>
      <c r="BF137" s="964"/>
      <c r="BG137" s="964"/>
      <c r="BH137" s="964"/>
    </row>
    <row r="138" spans="1:60" ht="13.5" thickBot="1">
      <c r="A138" s="2112"/>
      <c r="B138" s="7926"/>
      <c r="C138" s="7926"/>
      <c r="D138" s="7926"/>
      <c r="E138" s="7926"/>
      <c r="F138" s="7926"/>
      <c r="G138" s="8580"/>
      <c r="H138" s="9104" t="s">
        <v>2788</v>
      </c>
      <c r="I138" s="9105"/>
      <c r="J138" s="9105"/>
      <c r="K138" s="9105"/>
      <c r="L138" s="9105"/>
      <c r="M138" s="9105"/>
      <c r="N138" s="9105"/>
      <c r="O138" s="9105"/>
      <c r="P138" s="9105"/>
      <c r="Q138" s="9105"/>
      <c r="R138" s="9105"/>
      <c r="S138" s="9105"/>
      <c r="T138" s="9105"/>
      <c r="U138" s="9105"/>
      <c r="V138" s="9105"/>
      <c r="W138" s="9105"/>
      <c r="X138" s="9105"/>
      <c r="Y138" s="9105"/>
      <c r="Z138" s="9105"/>
      <c r="AA138" s="9105"/>
      <c r="AB138" s="9105"/>
      <c r="AC138" s="9105"/>
      <c r="AD138" s="9105"/>
      <c r="AE138" s="9105"/>
      <c r="AF138" s="9105"/>
      <c r="AG138" s="9105"/>
      <c r="AH138" s="9106"/>
      <c r="AI138" s="9145"/>
      <c r="AJ138" s="9146"/>
      <c r="AK138" s="9146"/>
      <c r="AL138" s="9146"/>
      <c r="AM138" s="9146"/>
      <c r="AN138" s="9148"/>
      <c r="AO138" s="9148"/>
      <c r="AP138" s="1277"/>
      <c r="AQ138" s="253"/>
      <c r="AR138" s="253"/>
      <c r="AS138" s="253"/>
      <c r="AT138" s="253"/>
      <c r="AU138" s="253"/>
      <c r="AV138" s="253"/>
      <c r="AW138" s="253"/>
      <c r="AX138" s="968" t="s">
        <v>227</v>
      </c>
      <c r="AY138" s="964"/>
      <c r="AZ138" s="964"/>
      <c r="BA138" s="964"/>
      <c r="BB138" s="964"/>
      <c r="BC138" s="964"/>
      <c r="BD138" s="964"/>
      <c r="BE138" s="964"/>
      <c r="BF138" s="964"/>
      <c r="BG138" s="964"/>
      <c r="BH138" s="964"/>
    </row>
    <row r="139" spans="1:60" ht="9.75" customHeight="1">
      <c r="A139" s="2112"/>
      <c r="B139" s="339" t="s">
        <v>2789</v>
      </c>
      <c r="C139" s="377"/>
      <c r="D139" s="377"/>
      <c r="E139" s="377"/>
      <c r="F139" s="377"/>
      <c r="G139" s="377"/>
      <c r="H139" s="377"/>
      <c r="I139" s="377"/>
      <c r="J139" s="377"/>
      <c r="K139" s="377"/>
      <c r="L139" s="377"/>
      <c r="M139" s="377"/>
      <c r="N139" s="377"/>
      <c r="O139" s="377"/>
      <c r="P139" s="377"/>
      <c r="Q139" s="377"/>
      <c r="R139" s="377"/>
      <c r="S139" s="377"/>
      <c r="T139" s="377"/>
      <c r="U139" s="377"/>
      <c r="V139" s="377"/>
      <c r="W139" s="377"/>
      <c r="X139" s="377"/>
      <c r="Y139" s="377"/>
      <c r="Z139" s="377"/>
      <c r="AA139" s="8997" t="s">
        <v>2790</v>
      </c>
      <c r="AB139" s="8998"/>
      <c r="AC139" s="8998"/>
      <c r="AD139" s="8998"/>
      <c r="AE139" s="8998"/>
      <c r="AF139" s="8998"/>
      <c r="AG139" s="8998"/>
      <c r="AH139" s="8998"/>
      <c r="AI139" s="8998"/>
      <c r="AJ139" s="8998"/>
      <c r="AK139" s="8998"/>
      <c r="AL139" s="8998"/>
      <c r="AM139" s="8998"/>
      <c r="AN139" s="8998"/>
      <c r="AO139" s="8998"/>
      <c r="AP139" s="1277"/>
      <c r="AQ139" s="253"/>
      <c r="AR139" s="253"/>
      <c r="AS139" s="253"/>
      <c r="AT139" s="253"/>
      <c r="AU139" s="253"/>
      <c r="AV139" s="253"/>
      <c r="AW139" s="253"/>
      <c r="AX139" s="769"/>
      <c r="AY139" s="964"/>
      <c r="AZ139" s="964"/>
      <c r="BA139" s="964"/>
      <c r="BB139" s="964"/>
      <c r="BC139" s="964"/>
      <c r="BD139" s="964"/>
      <c r="BE139" s="964"/>
      <c r="BF139" s="964"/>
      <c r="BG139" s="964"/>
      <c r="BH139" s="964"/>
    </row>
    <row r="140" spans="1:60" ht="12.75" customHeight="1">
      <c r="A140" s="2112"/>
      <c r="B140" s="8996" t="str">
        <f>Names</f>
        <v/>
      </c>
      <c r="C140" s="7976"/>
      <c r="D140" s="7976"/>
      <c r="E140" s="7976"/>
      <c r="F140" s="7976"/>
      <c r="G140" s="7976"/>
      <c r="H140" s="7976"/>
      <c r="I140" s="7976"/>
      <c r="J140" s="7976"/>
      <c r="K140" s="7976"/>
      <c r="L140" s="7976"/>
      <c r="M140" s="7976"/>
      <c r="N140" s="7976"/>
      <c r="O140" s="7976"/>
      <c r="P140" s="7976"/>
      <c r="Q140" s="7976"/>
      <c r="R140" s="7976"/>
      <c r="S140" s="7976"/>
      <c r="T140" s="7976"/>
      <c r="U140" s="7976"/>
      <c r="V140" s="7976"/>
      <c r="W140" s="7976"/>
      <c r="X140" s="7976"/>
      <c r="Y140" s="7976"/>
      <c r="Z140" s="7976"/>
      <c r="AA140" s="8999">
        <f>IF(NoSSN,"",SS_Yours)</f>
        <v>1010001</v>
      </c>
      <c r="AB140" s="9000"/>
      <c r="AC140" s="9000"/>
      <c r="AD140" s="9000"/>
      <c r="AE140" s="9000"/>
      <c r="AF140" s="9000"/>
      <c r="AG140" s="9000"/>
      <c r="AH140" s="9000"/>
      <c r="AI140" s="9000"/>
      <c r="AJ140" s="9000"/>
      <c r="AK140" s="9000"/>
      <c r="AL140" s="9000"/>
      <c r="AM140" s="9000"/>
      <c r="AN140" s="9000"/>
      <c r="AO140" s="9000"/>
      <c r="AP140" s="1277"/>
      <c r="AQ140" s="253"/>
      <c r="AR140" s="253"/>
      <c r="AS140" s="253"/>
      <c r="AT140" s="253"/>
      <c r="AU140" s="253"/>
      <c r="AV140" s="253"/>
      <c r="AW140" s="253"/>
      <c r="AX140" s="769"/>
      <c r="AY140" s="964"/>
      <c r="AZ140" s="964"/>
      <c r="BA140" s="964"/>
      <c r="BB140" s="964"/>
      <c r="BC140" s="964"/>
      <c r="BD140" s="964"/>
      <c r="BE140" s="964"/>
      <c r="BF140" s="964"/>
      <c r="BG140" s="964"/>
      <c r="BH140" s="964"/>
    </row>
    <row r="141" spans="1:60" ht="12.75" customHeight="1">
      <c r="A141" s="2112"/>
      <c r="B141" s="8296"/>
      <c r="C141" s="8296"/>
      <c r="D141" s="8296"/>
      <c r="E141" s="8296"/>
      <c r="F141" s="8296"/>
      <c r="G141" s="8296"/>
      <c r="H141" s="8296"/>
      <c r="I141" s="8296"/>
      <c r="J141" s="8296"/>
      <c r="K141" s="8296"/>
      <c r="L141" s="8296"/>
      <c r="M141" s="8296"/>
      <c r="N141" s="8296"/>
      <c r="O141" s="8296"/>
      <c r="P141" s="8296"/>
      <c r="Q141" s="8296"/>
      <c r="R141" s="8296"/>
      <c r="S141" s="8296"/>
      <c r="T141" s="8296"/>
      <c r="U141" s="8296"/>
      <c r="V141" s="8296"/>
      <c r="W141" s="8296"/>
      <c r="X141" s="8296"/>
      <c r="Y141" s="8296"/>
      <c r="Z141" s="8296"/>
      <c r="AA141" s="9001"/>
      <c r="AB141" s="9002"/>
      <c r="AC141" s="9002"/>
      <c r="AD141" s="9002"/>
      <c r="AE141" s="9002"/>
      <c r="AF141" s="9002"/>
      <c r="AG141" s="9002"/>
      <c r="AH141" s="9002"/>
      <c r="AI141" s="9002"/>
      <c r="AJ141" s="9002"/>
      <c r="AK141" s="9002"/>
      <c r="AL141" s="9002"/>
      <c r="AM141" s="9002"/>
      <c r="AN141" s="9002"/>
      <c r="AO141" s="9002"/>
      <c r="AP141" s="1277"/>
      <c r="AQ141" s="253"/>
      <c r="AR141" s="253"/>
      <c r="AS141" s="253"/>
      <c r="AT141" s="253"/>
      <c r="AU141" s="253"/>
      <c r="AV141" s="253"/>
      <c r="AW141" s="253"/>
      <c r="AX141" s="769"/>
      <c r="AY141" s="964"/>
      <c r="AZ141" s="964"/>
      <c r="BA141" s="964"/>
      <c r="BB141" s="964"/>
      <c r="BC141" s="964"/>
      <c r="BD141" s="964"/>
      <c r="BE141" s="964"/>
      <c r="BF141" s="964"/>
      <c r="BG141" s="964"/>
      <c r="BH141" s="964"/>
    </row>
    <row r="142" spans="1:60">
      <c r="A142" s="2112"/>
      <c r="B142" s="2263" t="s">
        <v>2791</v>
      </c>
      <c r="C142" s="406"/>
      <c r="D142" s="406"/>
      <c r="E142" s="406"/>
      <c r="F142" s="406"/>
      <c r="G142" s="406"/>
      <c r="H142" s="406"/>
      <c r="I142" s="406"/>
      <c r="J142" s="406"/>
      <c r="K142" s="406"/>
      <c r="L142" s="406"/>
      <c r="M142" s="406"/>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133" t="s">
        <v>2792</v>
      </c>
      <c r="AJ142" s="406"/>
      <c r="AK142" s="406"/>
      <c r="AL142" s="406"/>
      <c r="AM142" s="406"/>
      <c r="AN142" s="406"/>
      <c r="AO142" s="406"/>
      <c r="AP142" s="1277"/>
      <c r="AQ142" s="253"/>
      <c r="AR142" s="253"/>
      <c r="AS142" s="253"/>
      <c r="AT142" s="253"/>
      <c r="AU142" s="253"/>
      <c r="AV142" s="253"/>
      <c r="AW142" s="253"/>
      <c r="AX142" s="769"/>
      <c r="AY142" s="964"/>
      <c r="AZ142" s="964"/>
      <c r="BA142" s="964"/>
      <c r="BB142" s="964"/>
      <c r="BC142" s="964"/>
      <c r="BD142" s="964"/>
      <c r="BE142" s="964"/>
      <c r="BF142" s="964"/>
      <c r="BG142" s="964"/>
      <c r="BH142" s="964"/>
    </row>
    <row r="143" spans="1:60" ht="13.5" customHeight="1">
      <c r="A143" s="4135"/>
      <c r="B143" s="253" t="s">
        <v>2793</v>
      </c>
      <c r="C143" s="253"/>
      <c r="D143" s="253"/>
      <c r="E143" s="253" t="s">
        <v>2794</v>
      </c>
      <c r="F143" s="1323"/>
      <c r="G143" s="253"/>
      <c r="H143" s="253"/>
      <c r="I143" s="253"/>
      <c r="J143" s="253"/>
      <c r="K143" s="253"/>
      <c r="L143" s="253"/>
      <c r="M143" s="253"/>
      <c r="N143" s="253"/>
      <c r="O143" s="253"/>
      <c r="P143" s="253"/>
      <c r="Q143" s="253"/>
      <c r="R143" s="253"/>
      <c r="S143" s="253"/>
      <c r="T143" s="253"/>
      <c r="U143" s="253"/>
      <c r="V143" s="253"/>
      <c r="W143" s="253"/>
      <c r="X143" s="253"/>
      <c r="Y143" s="253"/>
      <c r="Z143" s="253"/>
      <c r="AA143" s="253"/>
      <c r="AB143" s="253"/>
      <c r="AC143" s="253"/>
      <c r="AD143" s="253"/>
      <c r="AE143" s="253"/>
      <c r="AF143" s="253"/>
      <c r="AG143" s="253"/>
      <c r="AH143" s="253"/>
      <c r="AI143" s="253"/>
      <c r="AJ143" s="253"/>
      <c r="AK143" s="253"/>
      <c r="AL143" s="253"/>
      <c r="AM143" s="253"/>
      <c r="AN143" s="253"/>
      <c r="AO143" s="253"/>
      <c r="AP143" s="1277"/>
      <c r="AQ143" s="512"/>
      <c r="AR143" s="735"/>
      <c r="AS143" s="517"/>
      <c r="AT143" s="517"/>
      <c r="AU143" s="517"/>
      <c r="AV143" s="253"/>
      <c r="AW143" s="253"/>
      <c r="AX143" s="769"/>
      <c r="AY143" s="964"/>
      <c r="AZ143" s="964"/>
      <c r="BA143" s="964"/>
      <c r="BB143" s="964"/>
      <c r="BC143" s="964"/>
      <c r="BD143" s="964"/>
      <c r="BE143" s="964"/>
      <c r="BF143" s="964"/>
      <c r="BG143" s="964"/>
      <c r="BH143" s="964"/>
    </row>
    <row r="144" spans="1:60" ht="6.75" customHeight="1">
      <c r="A144" s="2112"/>
      <c r="B144" s="253"/>
      <c r="C144" s="3235">
        <f>IF(C145&lt;&gt;"",1,0)</f>
        <v>0</v>
      </c>
      <c r="D144" s="512"/>
      <c r="E144" s="512"/>
      <c r="F144" s="4148"/>
      <c r="G144" s="512"/>
      <c r="H144" s="512"/>
      <c r="I144" s="512"/>
      <c r="J144" s="512"/>
      <c r="K144" s="3235">
        <f>IF(K145&lt;&gt;"",1,0)</f>
        <v>0</v>
      </c>
      <c r="L144" s="512"/>
      <c r="M144" s="512"/>
      <c r="N144" s="3235"/>
      <c r="O144" s="512"/>
      <c r="P144" s="512"/>
      <c r="Q144" s="512"/>
      <c r="R144" s="512"/>
      <c r="S144" s="512"/>
      <c r="T144" s="512"/>
      <c r="U144" s="512"/>
      <c r="V144" s="512"/>
      <c r="W144" s="3235">
        <f>IF(W145&lt;&gt;"",1,0)</f>
        <v>0</v>
      </c>
      <c r="X144" s="512"/>
      <c r="Y144" s="512"/>
      <c r="Z144" s="512"/>
      <c r="AA144" s="512"/>
      <c r="AB144" s="3235"/>
      <c r="AC144" s="253"/>
      <c r="AD144" s="253"/>
      <c r="AE144" s="253"/>
      <c r="AF144" s="253"/>
      <c r="AG144" s="253"/>
      <c r="AH144" s="253"/>
      <c r="AI144" s="3235">
        <f>IF(AI145&lt;&gt;"",1,0)</f>
        <v>0</v>
      </c>
      <c r="AJ144" s="253"/>
      <c r="AK144" s="253"/>
      <c r="AL144" s="253"/>
      <c r="AM144" s="253"/>
      <c r="AN144" s="253"/>
      <c r="AO144" s="1318">
        <f>SUM(C144,K144,W144,AI144,C146,K146,W146)</f>
        <v>0</v>
      </c>
      <c r="AP144" s="1277"/>
      <c r="AQ144" s="512"/>
      <c r="AR144" s="512"/>
      <c r="AS144" s="512"/>
      <c r="AT144" s="512"/>
      <c r="AU144" s="512"/>
      <c r="AV144" s="253"/>
      <c r="AW144" s="253"/>
      <c r="AX144" s="769"/>
      <c r="AY144" s="964"/>
      <c r="AZ144" s="964"/>
      <c r="BA144" s="964"/>
      <c r="BB144" s="964"/>
      <c r="BC144" s="964"/>
      <c r="BD144" s="964"/>
      <c r="BE144" s="964"/>
      <c r="BF144" s="964"/>
      <c r="BG144" s="964"/>
      <c r="BH144" s="964"/>
    </row>
    <row r="145" spans="1:60" ht="11.25" customHeight="1">
      <c r="A145" s="4135" t="b">
        <f>AND(K145&lt;&gt;"",AO144=1,A202)</f>
        <v>0</v>
      </c>
      <c r="B145" s="3377" t="s">
        <v>588</v>
      </c>
      <c r="C145" s="325"/>
      <c r="D145" s="2853" t="s">
        <v>2795</v>
      </c>
      <c r="E145" s="253"/>
      <c r="F145" s="253"/>
      <c r="G145" s="253"/>
      <c r="H145" s="253"/>
      <c r="I145" s="253"/>
      <c r="J145" s="3377" t="s">
        <v>595</v>
      </c>
      <c r="K145" s="325"/>
      <c r="L145" s="2853" t="s">
        <v>2796</v>
      </c>
      <c r="M145" s="2853"/>
      <c r="N145" s="344"/>
      <c r="O145" s="2853"/>
      <c r="P145" s="344"/>
      <c r="Q145" s="253"/>
      <c r="R145" s="253"/>
      <c r="S145" s="253"/>
      <c r="T145" s="253"/>
      <c r="U145" s="253"/>
      <c r="V145" s="3377" t="s">
        <v>603</v>
      </c>
      <c r="W145" s="325"/>
      <c r="X145" s="2853" t="s">
        <v>2797</v>
      </c>
      <c r="Y145" s="253"/>
      <c r="Z145" s="253"/>
      <c r="AA145" s="3377"/>
      <c r="AB145" s="253"/>
      <c r="AC145" s="2853"/>
      <c r="AD145" s="3377"/>
      <c r="AE145" s="253"/>
      <c r="AF145" s="3377"/>
      <c r="AG145" s="253"/>
      <c r="AH145" s="3377" t="s">
        <v>610</v>
      </c>
      <c r="AI145" s="325"/>
      <c r="AJ145" s="2853" t="s">
        <v>2798</v>
      </c>
      <c r="AK145" s="253"/>
      <c r="AL145" s="253"/>
      <c r="AM145" s="253"/>
      <c r="AN145" s="253"/>
      <c r="AO145" s="1039"/>
      <c r="AP145" s="1277"/>
      <c r="AQ145" s="512"/>
      <c r="AR145" s="735"/>
      <c r="AS145" s="517"/>
      <c r="AT145" s="517"/>
      <c r="AU145" s="517"/>
      <c r="AV145" s="253"/>
      <c r="AW145" s="253"/>
      <c r="AX145" s="769"/>
      <c r="AY145" s="964"/>
      <c r="AZ145" s="964"/>
      <c r="BA145" s="964"/>
      <c r="BB145" s="964"/>
      <c r="BC145" s="964"/>
      <c r="BD145" s="964"/>
      <c r="BE145" s="964"/>
      <c r="BF145" s="964"/>
      <c r="BG145" s="964"/>
      <c r="BH145" s="964"/>
    </row>
    <row r="146" spans="1:60" ht="6.75" customHeight="1">
      <c r="A146" s="2112"/>
      <c r="B146" s="4151"/>
      <c r="C146" s="3235">
        <f>IF(C147&lt;&gt;"",1,0)</f>
        <v>0</v>
      </c>
      <c r="D146" s="4152"/>
      <c r="E146" s="512"/>
      <c r="F146" s="512"/>
      <c r="G146" s="512"/>
      <c r="H146" s="512"/>
      <c r="I146" s="512"/>
      <c r="J146" s="512"/>
      <c r="K146" s="3235">
        <f>IF(K147&lt;&gt;"",1,0)</f>
        <v>0</v>
      </c>
      <c r="L146" s="512"/>
      <c r="M146" s="512"/>
      <c r="N146" s="3235"/>
      <c r="O146" s="253"/>
      <c r="P146" s="253"/>
      <c r="Q146" s="253"/>
      <c r="R146" s="253"/>
      <c r="S146" s="253"/>
      <c r="T146" s="253"/>
      <c r="U146" s="253"/>
      <c r="V146" s="253"/>
      <c r="W146" s="3235">
        <f>IF(W147&lt;&gt;"",1,0)</f>
        <v>0</v>
      </c>
      <c r="X146" s="253"/>
      <c r="Y146" s="253"/>
      <c r="Z146" s="253"/>
      <c r="AA146" s="253"/>
      <c r="AB146" s="253"/>
      <c r="AC146" s="253"/>
      <c r="AD146" s="253"/>
      <c r="AE146" s="253"/>
      <c r="AF146" s="253"/>
      <c r="AG146" s="253"/>
      <c r="AH146" s="253"/>
      <c r="AI146" s="253"/>
      <c r="AJ146" s="253"/>
      <c r="AK146" s="253"/>
      <c r="AL146" s="253"/>
      <c r="AM146" s="253"/>
      <c r="AN146" s="253"/>
      <c r="AO146" s="253"/>
      <c r="AP146" s="1277"/>
      <c r="AQ146" s="512"/>
      <c r="AR146" s="512"/>
      <c r="AS146" s="512"/>
      <c r="AT146" s="512"/>
      <c r="AU146" s="512"/>
      <c r="AV146" s="253"/>
      <c r="AW146" s="253"/>
      <c r="AX146" s="769"/>
      <c r="AY146" s="964"/>
      <c r="AZ146" s="964"/>
      <c r="BA146" s="964"/>
      <c r="BB146" s="964"/>
      <c r="BC146" s="964"/>
      <c r="BD146" s="964"/>
      <c r="BE146" s="964"/>
      <c r="BF146" s="964"/>
      <c r="BG146" s="964"/>
      <c r="BH146" s="964"/>
    </row>
    <row r="147" spans="1:60" ht="11.25" customHeight="1">
      <c r="A147" s="2112"/>
      <c r="B147" s="3377" t="s">
        <v>592</v>
      </c>
      <c r="C147" s="325"/>
      <c r="D147" s="2853" t="s">
        <v>2799</v>
      </c>
      <c r="E147" s="253"/>
      <c r="F147" s="253"/>
      <c r="G147" s="253"/>
      <c r="H147" s="253"/>
      <c r="I147" s="253"/>
      <c r="J147" s="3377" t="s">
        <v>599</v>
      </c>
      <c r="K147" s="325"/>
      <c r="L147" s="2853" t="s">
        <v>2800</v>
      </c>
      <c r="M147" s="2853"/>
      <c r="N147" s="344"/>
      <c r="O147" s="2853"/>
      <c r="P147" s="344"/>
      <c r="Q147" s="253"/>
      <c r="R147" s="253"/>
      <c r="S147" s="253"/>
      <c r="T147" s="253"/>
      <c r="U147" s="253"/>
      <c r="V147" s="3377" t="s">
        <v>606</v>
      </c>
      <c r="W147" s="325"/>
      <c r="X147" s="2853" t="s">
        <v>2801</v>
      </c>
      <c r="Y147" s="253"/>
      <c r="Z147" s="253"/>
      <c r="AA147" s="253"/>
      <c r="AB147" s="253"/>
      <c r="AC147" s="253"/>
      <c r="AD147" s="253"/>
      <c r="AE147" s="253"/>
      <c r="AF147" s="253"/>
      <c r="AG147" s="253"/>
      <c r="AH147" s="253"/>
      <c r="AI147" s="253"/>
      <c r="AJ147" s="253"/>
      <c r="AK147" s="253"/>
      <c r="AL147" s="253"/>
      <c r="AM147" s="253"/>
      <c r="AN147" s="253"/>
      <c r="AO147" s="512" t="b">
        <f>IF(AO144&lt;&gt;1,TRUE,FALSE)</f>
        <v>1</v>
      </c>
      <c r="AP147" s="1277"/>
      <c r="AQ147" s="512"/>
      <c r="AR147" s="735"/>
      <c r="AS147" s="517"/>
      <c r="AT147" s="517"/>
      <c r="AU147" s="517"/>
      <c r="AV147" s="253"/>
      <c r="AW147" s="253"/>
      <c r="AX147" s="769"/>
      <c r="AY147" s="964"/>
      <c r="AZ147" s="964"/>
      <c r="BA147" s="964"/>
      <c r="BB147" s="964"/>
      <c r="BC147" s="964"/>
      <c r="BD147" s="964"/>
      <c r="BE147" s="964"/>
      <c r="BF147" s="964"/>
      <c r="BG147" s="964"/>
      <c r="BH147" s="964"/>
    </row>
    <row r="148" spans="1:60" ht="6.75" customHeight="1">
      <c r="A148" s="2112"/>
      <c r="B148" s="4151"/>
      <c r="C148" s="4151"/>
      <c r="D148" s="511"/>
      <c r="E148" s="253"/>
      <c r="F148" s="253"/>
      <c r="G148" s="253"/>
      <c r="H148" s="253"/>
      <c r="I148" s="253"/>
      <c r="J148" s="253"/>
      <c r="K148" s="253"/>
      <c r="L148" s="253"/>
      <c r="M148" s="253"/>
      <c r="N148" s="253"/>
      <c r="O148" s="253"/>
      <c r="P148" s="253"/>
      <c r="Q148" s="253"/>
      <c r="R148" s="253"/>
      <c r="S148" s="253"/>
      <c r="T148" s="253"/>
      <c r="U148" s="253"/>
      <c r="V148" s="253"/>
      <c r="W148" s="253"/>
      <c r="X148" s="253"/>
      <c r="Y148" s="253"/>
      <c r="Z148" s="253"/>
      <c r="AA148" s="253"/>
      <c r="AB148" s="253"/>
      <c r="AC148" s="253"/>
      <c r="AD148" s="253"/>
      <c r="AE148" s="253"/>
      <c r="AF148" s="253"/>
      <c r="AG148" s="253"/>
      <c r="AH148" s="253"/>
      <c r="AI148" s="253"/>
      <c r="AJ148" s="253"/>
      <c r="AK148" s="253"/>
      <c r="AL148" s="253"/>
      <c r="AM148" s="253"/>
      <c r="AN148" s="253"/>
      <c r="AO148" s="253"/>
      <c r="AP148" s="1277"/>
      <c r="AQ148" s="512"/>
      <c r="AR148" s="512"/>
      <c r="AS148" s="512"/>
      <c r="AT148" s="512"/>
      <c r="AU148" s="512"/>
      <c r="AV148" s="253"/>
      <c r="AW148" s="253"/>
      <c r="AX148" s="769"/>
      <c r="AY148" s="964"/>
      <c r="AZ148" s="964"/>
      <c r="BA148" s="964"/>
      <c r="BB148" s="964"/>
      <c r="BC148" s="964"/>
      <c r="BD148" s="964"/>
      <c r="BE148" s="964"/>
      <c r="BF148" s="964"/>
      <c r="BG148" s="964"/>
      <c r="BH148" s="964"/>
    </row>
    <row r="149" spans="1:60" ht="12.75" customHeight="1">
      <c r="A149" s="2112"/>
      <c r="B149" s="4153" t="s">
        <v>606</v>
      </c>
      <c r="C149" s="4154" t="s">
        <v>2802</v>
      </c>
      <c r="D149" s="773"/>
      <c r="E149" s="773"/>
      <c r="F149" s="773"/>
      <c r="G149" s="773"/>
      <c r="H149" s="773"/>
      <c r="I149" s="773"/>
      <c r="J149" s="773"/>
      <c r="K149" s="773"/>
      <c r="L149" s="9150"/>
      <c r="M149" s="9150"/>
      <c r="N149" s="9150"/>
      <c r="O149" s="9150"/>
      <c r="P149" s="9150"/>
      <c r="Q149" s="9150"/>
      <c r="R149" s="9150"/>
      <c r="S149" s="9150"/>
      <c r="T149" s="9150"/>
      <c r="U149" s="9150"/>
      <c r="V149" s="9150"/>
      <c r="W149" s="9150"/>
      <c r="X149" s="9150"/>
      <c r="Y149" s="9150"/>
      <c r="Z149" s="9150"/>
      <c r="AA149" s="9150"/>
      <c r="AB149" s="9150"/>
      <c r="AC149" s="9150"/>
      <c r="AD149" s="9150"/>
      <c r="AE149" s="9150"/>
      <c r="AF149" s="9150"/>
      <c r="AG149" s="9150"/>
      <c r="AH149" s="9150"/>
      <c r="AI149" s="9150"/>
      <c r="AJ149" s="9150"/>
      <c r="AK149" s="9150"/>
      <c r="AL149" s="9150"/>
      <c r="AM149" s="9150"/>
      <c r="AN149" s="9150"/>
      <c r="AO149" s="9150"/>
      <c r="AP149" s="1277"/>
      <c r="AQ149" s="253"/>
      <c r="AR149" s="253"/>
      <c r="AS149" s="253"/>
      <c r="AT149" s="253"/>
      <c r="AU149" s="253"/>
      <c r="AV149" s="253"/>
      <c r="AW149" s="253"/>
      <c r="AX149" s="769"/>
      <c r="AY149" s="964"/>
      <c r="AZ149" s="964"/>
      <c r="BA149" s="964"/>
      <c r="BB149" s="964"/>
      <c r="BC149" s="964"/>
      <c r="BD149" s="964"/>
      <c r="BE149" s="964"/>
      <c r="BF149" s="964"/>
      <c r="BG149" s="964"/>
      <c r="BH149" s="964"/>
    </row>
    <row r="150" spans="1:60" s="1405" customFormat="1" ht="15">
      <c r="A150" s="2112"/>
      <c r="B150" s="9073" t="s">
        <v>1933</v>
      </c>
      <c r="C150" s="9073"/>
      <c r="D150" s="344" t="s">
        <v>2803</v>
      </c>
      <c r="E150" s="253"/>
      <c r="F150" s="253"/>
      <c r="G150" s="253"/>
      <c r="H150" s="253"/>
      <c r="I150" s="253"/>
      <c r="J150" s="253"/>
      <c r="K150" s="253"/>
      <c r="L150" s="253"/>
      <c r="M150" s="253"/>
      <c r="N150" s="253"/>
      <c r="O150" s="253"/>
      <c r="P150" s="253"/>
      <c r="Q150" s="253"/>
      <c r="R150" s="253"/>
      <c r="S150" s="253"/>
      <c r="T150" s="253"/>
      <c r="U150" s="253"/>
      <c r="V150" s="253"/>
      <c r="W150" s="253"/>
      <c r="X150" s="253"/>
      <c r="Y150" s="253"/>
      <c r="Z150" s="253"/>
      <c r="AA150" s="253"/>
      <c r="AB150" s="253"/>
      <c r="AC150" s="253"/>
      <c r="AD150" s="253"/>
      <c r="AE150" s="253"/>
      <c r="AF150" s="253"/>
      <c r="AG150" s="253"/>
      <c r="AH150" s="253"/>
      <c r="AI150" s="253"/>
      <c r="AJ150" s="253"/>
      <c r="AK150" s="253"/>
      <c r="AL150" s="253"/>
      <c r="AM150" s="253"/>
      <c r="AN150" s="253"/>
      <c r="AO150" s="253"/>
      <c r="AP150" s="1277"/>
      <c r="AQ150" s="253"/>
      <c r="AR150" s="253"/>
      <c r="AS150" s="253"/>
      <c r="AT150" s="253"/>
      <c r="AU150" s="253"/>
      <c r="AV150" s="253"/>
      <c r="AW150" s="253"/>
      <c r="AX150" s="769"/>
      <c r="AY150" s="964"/>
      <c r="AZ150" s="964"/>
      <c r="BA150" s="964"/>
      <c r="BB150" s="964"/>
      <c r="BC150" s="964"/>
      <c r="BD150" s="964"/>
      <c r="BE150" s="964"/>
      <c r="BF150" s="964"/>
      <c r="BG150" s="964"/>
      <c r="BH150" s="964"/>
    </row>
    <row r="151" spans="1:60" ht="14.25">
      <c r="A151" s="2112"/>
      <c r="B151" s="3801" t="s">
        <v>2804</v>
      </c>
      <c r="C151" s="4156"/>
      <c r="D151" s="1996"/>
      <c r="E151" s="413"/>
      <c r="F151" s="413"/>
      <c r="G151" s="413"/>
      <c r="H151" s="413"/>
      <c r="I151" s="413"/>
      <c r="J151" s="413"/>
      <c r="K151" s="413"/>
      <c r="L151" s="413"/>
      <c r="M151" s="413"/>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1277"/>
      <c r="AQ151" s="253"/>
      <c r="AR151" s="253"/>
      <c r="AS151" s="253"/>
      <c r="AT151" s="253"/>
      <c r="AU151" s="253"/>
      <c r="AV151" s="253"/>
      <c r="AW151" s="253"/>
      <c r="AX151" s="769"/>
      <c r="AY151" s="964"/>
      <c r="AZ151" s="964"/>
      <c r="BA151" s="964"/>
      <c r="BB151" s="964"/>
      <c r="BC151" s="964"/>
      <c r="BD151" s="964"/>
      <c r="BE151" s="964"/>
      <c r="BF151" s="964"/>
      <c r="BG151" s="964"/>
      <c r="BH151" s="964"/>
    </row>
    <row r="152" spans="1:60" ht="15.75">
      <c r="A152" s="4157"/>
      <c r="B152" s="9151" t="s">
        <v>780</v>
      </c>
      <c r="C152" s="9151"/>
      <c r="D152" s="9152"/>
      <c r="E152" s="9096" t="s">
        <v>2805</v>
      </c>
      <c r="F152" s="9097"/>
      <c r="G152" s="9097"/>
      <c r="H152" s="9097"/>
      <c r="I152" s="9097"/>
      <c r="J152" s="9097"/>
      <c r="K152" s="9097"/>
      <c r="L152" s="9097"/>
      <c r="M152" s="9097"/>
      <c r="N152" s="9097"/>
      <c r="O152" s="9097"/>
      <c r="P152" s="9097"/>
      <c r="Q152" s="9097"/>
      <c r="R152" s="9097"/>
      <c r="S152" s="9097"/>
      <c r="T152" s="9097"/>
      <c r="U152" s="9097"/>
      <c r="V152" s="9097"/>
      <c r="W152" s="9097"/>
      <c r="X152" s="9097"/>
      <c r="Y152" s="9097"/>
      <c r="Z152" s="9097"/>
      <c r="AA152" s="9097"/>
      <c r="AB152" s="9097"/>
      <c r="AC152" s="9097"/>
      <c r="AD152" s="9097"/>
      <c r="AE152" s="9097"/>
      <c r="AF152" s="9097"/>
      <c r="AG152" s="9097"/>
      <c r="AH152" s="9097"/>
      <c r="AI152" s="9097"/>
      <c r="AJ152" s="9097"/>
      <c r="AK152" s="9097"/>
      <c r="AL152" s="9097"/>
      <c r="AM152" s="9097"/>
      <c r="AN152" s="9097"/>
      <c r="AO152" s="9097"/>
      <c r="AP152" s="1277"/>
      <c r="AQ152" s="1323"/>
      <c r="AR152" s="1323"/>
      <c r="AS152" s="1323"/>
      <c r="AT152" s="1323"/>
      <c r="AU152" s="1323"/>
      <c r="AV152" s="1323"/>
      <c r="AW152" s="1323"/>
      <c r="AX152" s="769"/>
      <c r="AY152" s="964"/>
      <c r="AZ152" s="964"/>
      <c r="BA152" s="964"/>
      <c r="BB152" s="964"/>
      <c r="BC152" s="964"/>
      <c r="BD152" s="964"/>
      <c r="BE152" s="964"/>
      <c r="BF152" s="964"/>
      <c r="BG152" s="964"/>
      <c r="BH152" s="964"/>
    </row>
    <row r="153" spans="1:60" s="138" customFormat="1" ht="13.5" customHeight="1">
      <c r="A153" s="2112"/>
      <c r="B153" s="9028"/>
      <c r="C153" s="9028"/>
      <c r="D153" s="511"/>
      <c r="E153" s="253"/>
      <c r="F153" s="253"/>
      <c r="G153" s="253"/>
      <c r="H153" s="253"/>
      <c r="I153" s="253"/>
      <c r="J153" s="253"/>
      <c r="K153" s="253"/>
      <c r="L153" s="253"/>
      <c r="M153" s="253"/>
      <c r="N153" s="253"/>
      <c r="O153" s="253"/>
      <c r="P153" s="9008" t="s">
        <v>2806</v>
      </c>
      <c r="Q153" s="9009"/>
      <c r="R153" s="9009"/>
      <c r="S153" s="9009"/>
      <c r="T153" s="9009"/>
      <c r="U153" s="9009"/>
      <c r="V153" s="9009"/>
      <c r="W153" s="9009"/>
      <c r="X153" s="9009"/>
      <c r="Y153" s="9009"/>
      <c r="Z153" s="9009"/>
      <c r="AA153" s="9009"/>
      <c r="AB153" s="9009"/>
      <c r="AC153" s="9009"/>
      <c r="AD153" s="9009"/>
      <c r="AE153" s="9009"/>
      <c r="AF153" s="9009"/>
      <c r="AG153" s="9009"/>
      <c r="AH153" s="9009"/>
      <c r="AI153" s="9010"/>
      <c r="AJ153" s="7681" t="s">
        <v>2807</v>
      </c>
      <c r="AK153" s="8454"/>
      <c r="AL153" s="8454"/>
      <c r="AM153" s="8454"/>
      <c r="AN153" s="8454"/>
      <c r="AO153" s="8454"/>
      <c r="AP153" s="1277"/>
      <c r="AQ153" s="253"/>
      <c r="AR153" s="253"/>
      <c r="AS153" s="253"/>
      <c r="AT153" s="253"/>
      <c r="AU153" s="253"/>
      <c r="AV153" s="253"/>
      <c r="AW153" s="253"/>
      <c r="AX153" s="769"/>
      <c r="AY153" s="964"/>
      <c r="AZ153" s="964"/>
      <c r="BA153" s="964"/>
      <c r="BB153" s="964"/>
      <c r="BC153" s="964"/>
      <c r="BD153" s="964"/>
      <c r="BE153" s="964"/>
      <c r="BF153" s="964"/>
      <c r="BG153" s="964"/>
      <c r="BH153" s="964"/>
    </row>
    <row r="154" spans="1:60">
      <c r="A154" s="2112"/>
      <c r="B154" s="9061" t="str">
        <f>B32</f>
        <v>i</v>
      </c>
      <c r="C154" s="9061"/>
      <c r="D154" s="807" t="s">
        <v>2808</v>
      </c>
      <c r="E154" s="253"/>
      <c r="F154" s="253"/>
      <c r="G154" s="253"/>
      <c r="H154" s="253"/>
      <c r="I154" s="253"/>
      <c r="J154" s="253"/>
      <c r="K154" s="253"/>
      <c r="L154" s="253"/>
      <c r="M154" s="253"/>
      <c r="N154" s="253"/>
      <c r="O154" s="253"/>
      <c r="P154" s="9057" t="s">
        <v>510</v>
      </c>
      <c r="Q154" s="9094"/>
      <c r="R154" s="9094"/>
      <c r="S154" s="9094"/>
      <c r="T154" s="9094"/>
      <c r="U154" s="9094"/>
      <c r="V154" s="9095"/>
      <c r="W154" s="9057" t="s">
        <v>516</v>
      </c>
      <c r="X154" s="9094"/>
      <c r="Y154" s="9094"/>
      <c r="Z154" s="9094"/>
      <c r="AA154" s="9094"/>
      <c r="AB154" s="9094"/>
      <c r="AC154" s="9095"/>
      <c r="AD154" s="9057" t="s">
        <v>518</v>
      </c>
      <c r="AE154" s="9094"/>
      <c r="AF154" s="9094"/>
      <c r="AG154" s="9094"/>
      <c r="AH154" s="9094"/>
      <c r="AI154" s="9095"/>
      <c r="AJ154" s="8457"/>
      <c r="AK154" s="8458"/>
      <c r="AL154" s="8458"/>
      <c r="AM154" s="8458"/>
      <c r="AN154" s="8458"/>
      <c r="AO154" s="8458"/>
      <c r="AP154" s="1277"/>
      <c r="AQ154" s="253"/>
      <c r="AR154" s="253"/>
      <c r="AS154" s="253"/>
      <c r="AT154" s="253"/>
      <c r="AU154" s="253"/>
      <c r="AV154" s="253"/>
      <c r="AW154" s="253"/>
      <c r="AX154" s="769"/>
      <c r="AY154" s="964"/>
      <c r="AZ154" s="964"/>
      <c r="BA154" s="964"/>
      <c r="BB154" s="964"/>
      <c r="BC154" s="964"/>
      <c r="BD154" s="964"/>
      <c r="BE154" s="964"/>
      <c r="BF154" s="964"/>
      <c r="BG154" s="964"/>
      <c r="BH154" s="964"/>
    </row>
    <row r="155" spans="1:60" ht="12" customHeight="1">
      <c r="A155" s="4158"/>
      <c r="B155" s="9153"/>
      <c r="C155" s="9153"/>
      <c r="D155" s="4159" t="s">
        <v>2809</v>
      </c>
      <c r="E155" s="571"/>
      <c r="F155" s="571"/>
      <c r="G155" s="571"/>
      <c r="H155" s="571"/>
      <c r="I155" s="571"/>
      <c r="J155" s="571"/>
      <c r="K155" s="571"/>
      <c r="L155" s="571"/>
      <c r="M155" s="571"/>
      <c r="N155" s="571"/>
      <c r="O155" s="4160" t="s">
        <v>894</v>
      </c>
      <c r="P155" s="9022"/>
      <c r="Q155" s="9023"/>
      <c r="R155" s="9023"/>
      <c r="S155" s="9023"/>
      <c r="T155" s="9023"/>
      <c r="U155" s="9023"/>
      <c r="V155" s="9024"/>
      <c r="W155" s="9022"/>
      <c r="X155" s="9023"/>
      <c r="Y155" s="9023"/>
      <c r="Z155" s="9023"/>
      <c r="AA155" s="9023"/>
      <c r="AB155" s="9023"/>
      <c r="AC155" s="9024"/>
      <c r="AD155" s="9022"/>
      <c r="AE155" s="9023"/>
      <c r="AF155" s="9023"/>
      <c r="AG155" s="9023"/>
      <c r="AH155" s="9023"/>
      <c r="AI155" s="9024"/>
      <c r="AJ155" s="9005"/>
      <c r="AK155" s="9006"/>
      <c r="AL155" s="4161"/>
      <c r="AM155" s="571"/>
      <c r="AN155" s="571"/>
      <c r="AO155" s="571"/>
      <c r="AP155" s="2888"/>
      <c r="AQ155" s="571"/>
      <c r="AR155" s="571"/>
      <c r="AS155" s="571"/>
      <c r="AT155" s="571"/>
      <c r="AU155" s="571"/>
      <c r="AV155" s="571"/>
      <c r="AW155" s="571"/>
      <c r="AX155" s="769"/>
      <c r="AY155" s="964"/>
      <c r="AZ155" s="964"/>
      <c r="BA155" s="964"/>
      <c r="BB155" s="964"/>
      <c r="BC155" s="964"/>
      <c r="BD155" s="964"/>
      <c r="BE155" s="964"/>
      <c r="BF155" s="964"/>
      <c r="BG155" s="964"/>
      <c r="BH155" s="964"/>
    </row>
    <row r="156" spans="1:60" ht="12" customHeight="1">
      <c r="A156" s="2112"/>
      <c r="B156" s="8975" t="s">
        <v>333</v>
      </c>
      <c r="C156" s="8975"/>
      <c r="D156" s="504" t="s">
        <v>2810</v>
      </c>
      <c r="E156" s="253"/>
      <c r="F156" s="253"/>
      <c r="G156" s="253"/>
      <c r="H156" s="253"/>
      <c r="I156" s="253"/>
      <c r="J156" s="253"/>
      <c r="K156" s="253"/>
      <c r="L156" s="253"/>
      <c r="M156" s="253"/>
      <c r="N156" s="253"/>
      <c r="O156" s="253"/>
      <c r="P156" s="2094"/>
      <c r="Q156" s="723"/>
      <c r="R156" s="723"/>
      <c r="S156" s="723"/>
      <c r="T156" s="723"/>
      <c r="U156" s="723"/>
      <c r="V156" s="2095"/>
      <c r="W156" s="2094"/>
      <c r="X156" s="723"/>
      <c r="Y156" s="723"/>
      <c r="Z156" s="723"/>
      <c r="AA156" s="723"/>
      <c r="AB156" s="723"/>
      <c r="AC156" s="2095"/>
      <c r="AD156" s="2094"/>
      <c r="AE156" s="723"/>
      <c r="AF156" s="723"/>
      <c r="AG156" s="723"/>
      <c r="AH156" s="723"/>
      <c r="AI156" s="2095"/>
      <c r="AJ156" s="8976"/>
      <c r="AK156" s="7976"/>
      <c r="AL156" s="408"/>
      <c r="AM156" s="253"/>
      <c r="AN156" s="253"/>
      <c r="AO156" s="253"/>
      <c r="AP156" s="1277"/>
      <c r="AQ156" s="253"/>
      <c r="AR156" s="253"/>
      <c r="AS156" s="253"/>
      <c r="AT156" s="253"/>
      <c r="AU156" s="253"/>
      <c r="AV156" s="253"/>
      <c r="AW156" s="253"/>
      <c r="AX156" s="769"/>
      <c r="AY156" s="964"/>
      <c r="AZ156" s="964"/>
      <c r="BA156" s="964"/>
      <c r="BB156" s="964"/>
      <c r="BC156" s="964"/>
      <c r="BD156" s="964"/>
      <c r="BE156" s="964"/>
      <c r="BF156" s="964"/>
      <c r="BG156" s="964"/>
      <c r="BH156" s="964"/>
    </row>
    <row r="157" spans="1:60" ht="12" customHeight="1">
      <c r="A157" s="2112"/>
      <c r="B157" s="2373"/>
      <c r="C157" s="2373"/>
      <c r="D157" s="344" t="s">
        <v>2811</v>
      </c>
      <c r="E157" s="253"/>
      <c r="F157" s="253"/>
      <c r="G157" s="253"/>
      <c r="H157" s="253"/>
      <c r="I157" s="253"/>
      <c r="J157" s="253"/>
      <c r="K157" s="253"/>
      <c r="L157" s="253"/>
      <c r="M157" s="253"/>
      <c r="N157" s="253"/>
      <c r="O157" s="253"/>
      <c r="P157" s="2073"/>
      <c r="Q157" s="723"/>
      <c r="R157" s="723"/>
      <c r="S157" s="723"/>
      <c r="T157" s="723"/>
      <c r="U157" s="723"/>
      <c r="V157" s="2074"/>
      <c r="W157" s="2073"/>
      <c r="X157" s="723"/>
      <c r="Y157" s="723"/>
      <c r="Z157" s="723"/>
      <c r="AA157" s="723"/>
      <c r="AB157" s="723"/>
      <c r="AC157" s="2074"/>
      <c r="AD157" s="2073"/>
      <c r="AE157" s="723"/>
      <c r="AF157" s="723"/>
      <c r="AG157" s="723"/>
      <c r="AH157" s="723"/>
      <c r="AI157" s="2074"/>
      <c r="AJ157" s="8976"/>
      <c r="AK157" s="7976"/>
      <c r="AL157" s="408"/>
      <c r="AM157" s="253"/>
      <c r="AN157" s="253"/>
      <c r="AO157" s="253"/>
      <c r="AP157" s="1277"/>
      <c r="AQ157" s="253"/>
      <c r="AR157" s="253"/>
      <c r="AS157" s="253"/>
      <c r="AT157" s="253"/>
      <c r="AU157" s="253"/>
      <c r="AV157" s="253"/>
      <c r="AW157" s="253"/>
      <c r="AX157" s="967"/>
      <c r="AY157" s="965"/>
      <c r="AZ157" s="965"/>
      <c r="BA157" s="965"/>
      <c r="BB157" s="965"/>
      <c r="BC157" s="965"/>
      <c r="BD157" s="965"/>
      <c r="BE157" s="965"/>
      <c r="BF157" s="965"/>
      <c r="BG157" s="965"/>
      <c r="BH157" s="965"/>
    </row>
    <row r="158" spans="1:60" ht="12" customHeight="1">
      <c r="A158" s="2112"/>
      <c r="B158" s="2373"/>
      <c r="C158" s="2373"/>
      <c r="D158" s="979" t="s">
        <v>2812</v>
      </c>
      <c r="E158" s="253"/>
      <c r="F158" s="253"/>
      <c r="G158" s="253"/>
      <c r="H158" s="9014"/>
      <c r="I158" s="9015"/>
      <c r="J158" s="9015"/>
      <c r="K158" s="9015"/>
      <c r="L158" s="9015"/>
      <c r="M158" s="9015"/>
      <c r="N158" s="9015"/>
      <c r="O158" s="253"/>
      <c r="P158" s="2073"/>
      <c r="Q158" s="723"/>
      <c r="R158" s="723"/>
      <c r="S158" s="723"/>
      <c r="T158" s="723"/>
      <c r="U158" s="723"/>
      <c r="V158" s="2074"/>
      <c r="W158" s="2073"/>
      <c r="X158" s="723"/>
      <c r="Y158" s="723"/>
      <c r="Z158" s="723"/>
      <c r="AA158" s="723"/>
      <c r="AB158" s="723"/>
      <c r="AC158" s="2074"/>
      <c r="AD158" s="2073"/>
      <c r="AE158" s="723"/>
      <c r="AF158" s="723"/>
      <c r="AG158" s="723"/>
      <c r="AH158" s="723"/>
      <c r="AI158" s="2074"/>
      <c r="AJ158" s="8976"/>
      <c r="AK158" s="7976"/>
      <c r="AL158" s="408"/>
      <c r="AM158" s="253"/>
      <c r="AN158" s="253"/>
      <c r="AO158" s="253"/>
      <c r="AP158" s="1277"/>
      <c r="AQ158" s="253"/>
      <c r="AR158" s="253"/>
      <c r="AS158" s="253"/>
      <c r="AT158" s="253"/>
      <c r="AU158" s="253"/>
      <c r="AV158" s="253"/>
      <c r="AW158" s="253"/>
      <c r="AX158" s="769"/>
      <c r="AY158" s="964"/>
      <c r="AZ158" s="964"/>
      <c r="BA158" s="964"/>
      <c r="BB158" s="964"/>
      <c r="BC158" s="964"/>
      <c r="BD158" s="964"/>
      <c r="BE158" s="964"/>
      <c r="BF158" s="964"/>
      <c r="BG158" s="964"/>
      <c r="BH158" s="964"/>
    </row>
    <row r="159" spans="1:60" ht="12" customHeight="1">
      <c r="A159" s="2112"/>
      <c r="B159" s="2373"/>
      <c r="C159" s="2373"/>
      <c r="D159" s="9154"/>
      <c r="E159" s="9155"/>
      <c r="F159" s="9155"/>
      <c r="G159" s="9155"/>
      <c r="H159" s="9155"/>
      <c r="I159" s="9155"/>
      <c r="J159" s="9155"/>
      <c r="K159" s="9155"/>
      <c r="L159" s="9155"/>
      <c r="M159" s="9155"/>
      <c r="N159" s="9155"/>
      <c r="O159" s="253"/>
      <c r="P159" s="2073"/>
      <c r="Q159" s="723"/>
      <c r="R159" s="723"/>
      <c r="S159" s="723"/>
      <c r="T159" s="723"/>
      <c r="U159" s="723"/>
      <c r="V159" s="2074"/>
      <c r="W159" s="2073"/>
      <c r="X159" s="723"/>
      <c r="Y159" s="723"/>
      <c r="Z159" s="723"/>
      <c r="AA159" s="723"/>
      <c r="AB159" s="723"/>
      <c r="AC159" s="2074"/>
      <c r="AD159" s="2073"/>
      <c r="AE159" s="723"/>
      <c r="AF159" s="723"/>
      <c r="AG159" s="723"/>
      <c r="AH159" s="723"/>
      <c r="AI159" s="2074"/>
      <c r="AJ159" s="8976"/>
      <c r="AK159" s="7976"/>
      <c r="AL159" s="408"/>
      <c r="AM159" s="253"/>
      <c r="AN159" s="253"/>
      <c r="AO159" s="253"/>
      <c r="AP159" s="1277"/>
      <c r="AQ159" s="253"/>
      <c r="AR159" s="253"/>
      <c r="AS159" s="253"/>
      <c r="AT159" s="253"/>
      <c r="AU159" s="253"/>
      <c r="AV159" s="253"/>
      <c r="AW159" s="253"/>
      <c r="AX159" s="769"/>
      <c r="AY159" s="964"/>
      <c r="AZ159" s="964"/>
      <c r="BA159" s="964"/>
      <c r="BB159" s="964"/>
      <c r="BC159" s="964"/>
      <c r="BD159" s="964"/>
      <c r="BE159" s="964"/>
      <c r="BF159" s="964"/>
      <c r="BG159" s="964"/>
      <c r="BH159" s="964"/>
    </row>
    <row r="160" spans="1:60" ht="12" customHeight="1">
      <c r="A160" s="2112"/>
      <c r="B160" s="2373"/>
      <c r="C160" s="2373"/>
      <c r="D160" s="9025"/>
      <c r="E160" s="9026"/>
      <c r="F160" s="9026"/>
      <c r="G160" s="9026"/>
      <c r="H160" s="9026"/>
      <c r="I160" s="9026"/>
      <c r="J160" s="9026"/>
      <c r="K160" s="9026"/>
      <c r="L160" s="9026"/>
      <c r="M160" s="9026"/>
      <c r="N160" s="9026"/>
      <c r="O160" s="253"/>
      <c r="P160" s="9156"/>
      <c r="Q160" s="9157"/>
      <c r="R160" s="9157"/>
      <c r="S160" s="9157"/>
      <c r="T160" s="9157"/>
      <c r="U160" s="9157"/>
      <c r="V160" s="9158"/>
      <c r="W160" s="9156"/>
      <c r="X160" s="9157"/>
      <c r="Y160" s="9157"/>
      <c r="Z160" s="9157"/>
      <c r="AA160" s="9157"/>
      <c r="AB160" s="9157"/>
      <c r="AC160" s="9158"/>
      <c r="AD160" s="9156"/>
      <c r="AE160" s="9157"/>
      <c r="AF160" s="9157"/>
      <c r="AG160" s="9157"/>
      <c r="AH160" s="9157"/>
      <c r="AI160" s="9158"/>
      <c r="AJ160" s="8981" t="s">
        <v>333</v>
      </c>
      <c r="AK160" s="8297"/>
      <c r="AL160" s="9003">
        <f>IF(AND(SUM(P160,W160,AD160)&gt;0,AO144=0),"Check one box.",ROUND(SUM(P160,W160,AD160),0))</f>
        <v>0</v>
      </c>
      <c r="AM160" s="9004"/>
      <c r="AN160" s="9004"/>
      <c r="AO160" s="9004"/>
      <c r="AP160" s="1277"/>
      <c r="AQ160" s="253"/>
      <c r="AR160" s="253"/>
      <c r="AS160" s="253"/>
      <c r="AT160" s="253"/>
      <c r="AU160" s="253"/>
      <c r="AV160" s="253"/>
      <c r="AW160" s="253"/>
      <c r="AX160" s="769"/>
      <c r="AY160" s="964"/>
      <c r="AZ160" s="964"/>
      <c r="BA160" s="964"/>
      <c r="BB160" s="964"/>
      <c r="BC160" s="964"/>
      <c r="BD160" s="964"/>
      <c r="BE160" s="964"/>
      <c r="BF160" s="964"/>
      <c r="BG160" s="964"/>
      <c r="BH160" s="964"/>
    </row>
    <row r="161" spans="1:60" ht="12" customHeight="1">
      <c r="A161" s="2112"/>
      <c r="B161" s="9007" t="s">
        <v>592</v>
      </c>
      <c r="C161" s="9007"/>
      <c r="D161" s="1680" t="s">
        <v>2813</v>
      </c>
      <c r="E161" s="253"/>
      <c r="F161" s="253"/>
      <c r="G161" s="253"/>
      <c r="H161" s="253"/>
      <c r="I161" s="253"/>
      <c r="J161" s="253"/>
      <c r="K161" s="253"/>
      <c r="L161" s="253"/>
      <c r="M161" s="253"/>
      <c r="N161" s="253"/>
      <c r="O161" s="253"/>
      <c r="P161" s="4167"/>
      <c r="Q161" s="4168"/>
      <c r="R161" s="4168"/>
      <c r="S161" s="4168"/>
      <c r="T161" s="4168"/>
      <c r="U161" s="4168"/>
      <c r="V161" s="4169"/>
      <c r="W161" s="4167"/>
      <c r="X161" s="4168"/>
      <c r="Y161" s="4168"/>
      <c r="Z161" s="4168"/>
      <c r="AA161" s="4168"/>
      <c r="AB161" s="4168"/>
      <c r="AC161" s="4169"/>
      <c r="AD161" s="4167"/>
      <c r="AE161" s="4168"/>
      <c r="AF161" s="4168"/>
      <c r="AG161" s="4168"/>
      <c r="AH161" s="4168"/>
      <c r="AI161" s="4169"/>
      <c r="AJ161" s="9027"/>
      <c r="AK161" s="7577"/>
      <c r="AL161" s="405"/>
      <c r="AM161" s="253"/>
      <c r="AN161" s="253"/>
      <c r="AO161" s="253"/>
      <c r="AP161" s="1277"/>
      <c r="AQ161" s="253"/>
      <c r="AR161" s="253"/>
      <c r="AS161" s="253"/>
      <c r="AT161" s="253"/>
      <c r="AU161" s="253"/>
      <c r="AV161" s="253"/>
      <c r="AW161" s="253"/>
      <c r="AX161" s="769"/>
      <c r="AY161" s="964"/>
      <c r="AZ161" s="964"/>
      <c r="BA161" s="964"/>
      <c r="BB161" s="964"/>
      <c r="BC161" s="964"/>
      <c r="BD161" s="964"/>
      <c r="BE161" s="964"/>
      <c r="BF161" s="964"/>
      <c r="BG161" s="964"/>
      <c r="BH161" s="964"/>
    </row>
    <row r="162" spans="1:60" ht="12" customHeight="1">
      <c r="A162" s="2112"/>
      <c r="B162" s="2373"/>
      <c r="C162" s="2373"/>
      <c r="D162" s="1680" t="s">
        <v>5469</v>
      </c>
      <c r="E162" s="253"/>
      <c r="F162" s="253"/>
      <c r="G162" s="253"/>
      <c r="H162" s="253"/>
      <c r="I162" s="253"/>
      <c r="J162" s="253"/>
      <c r="K162" s="253"/>
      <c r="L162" s="253"/>
      <c r="M162" s="253"/>
      <c r="N162" s="253"/>
      <c r="O162" s="253"/>
      <c r="P162" s="4167"/>
      <c r="Q162" s="4168"/>
      <c r="R162" s="4168"/>
      <c r="S162" s="4168"/>
      <c r="T162" s="4168"/>
      <c r="U162" s="4168"/>
      <c r="V162" s="4169"/>
      <c r="W162" s="4167"/>
      <c r="X162" s="4168"/>
      <c r="Y162" s="4168"/>
      <c r="Z162" s="4168"/>
      <c r="AA162" s="4168"/>
      <c r="AB162" s="4168"/>
      <c r="AC162" s="4169"/>
      <c r="AD162" s="4167"/>
      <c r="AE162" s="4168"/>
      <c r="AF162" s="4168"/>
      <c r="AG162" s="4168"/>
      <c r="AH162" s="4168"/>
      <c r="AI162" s="4169"/>
      <c r="AJ162" s="8976"/>
      <c r="AK162" s="7976"/>
      <c r="AL162" s="408"/>
      <c r="AM162" s="253"/>
      <c r="AN162" s="253"/>
      <c r="AO162" s="253"/>
      <c r="AP162" s="1277"/>
      <c r="AQ162" s="253"/>
      <c r="AR162" s="253"/>
      <c r="AS162" s="253"/>
      <c r="AT162" s="253"/>
      <c r="AU162" s="253"/>
      <c r="AV162" s="253"/>
      <c r="AW162" s="253"/>
      <c r="AX162" s="769"/>
      <c r="AY162" s="964"/>
      <c r="AZ162" s="964"/>
      <c r="BA162" s="964"/>
      <c r="BB162" s="964"/>
      <c r="BC162" s="964"/>
      <c r="BD162" s="964"/>
      <c r="BE162" s="964"/>
      <c r="BF162" s="964"/>
      <c r="BG162" s="964"/>
      <c r="BH162" s="964"/>
    </row>
    <row r="163" spans="1:60" ht="12" customHeight="1">
      <c r="A163" s="2112"/>
      <c r="B163" s="2373"/>
      <c r="C163" s="2373"/>
      <c r="D163" s="1680" t="s">
        <v>5470</v>
      </c>
      <c r="E163" s="253"/>
      <c r="F163" s="253"/>
      <c r="G163" s="253"/>
      <c r="H163" s="253"/>
      <c r="I163" s="253"/>
      <c r="J163" s="253"/>
      <c r="K163" s="253"/>
      <c r="L163" s="253"/>
      <c r="M163" s="253"/>
      <c r="N163" s="253"/>
      <c r="O163" s="253"/>
      <c r="P163" s="4167"/>
      <c r="Q163" s="4168"/>
      <c r="R163" s="4168"/>
      <c r="S163" s="4168"/>
      <c r="T163" s="4168"/>
      <c r="U163" s="4168"/>
      <c r="V163" s="4169"/>
      <c r="W163" s="4167"/>
      <c r="X163" s="4168"/>
      <c r="Y163" s="4168"/>
      <c r="Z163" s="4168"/>
      <c r="AA163" s="4168"/>
      <c r="AB163" s="4168"/>
      <c r="AC163" s="4169"/>
      <c r="AD163" s="4167"/>
      <c r="AE163" s="4168"/>
      <c r="AF163" s="4168"/>
      <c r="AG163" s="4168"/>
      <c r="AH163" s="4168"/>
      <c r="AI163" s="4169"/>
      <c r="AJ163" s="8976"/>
      <c r="AK163" s="7976"/>
      <c r="AL163" s="408"/>
      <c r="AM163" s="253"/>
      <c r="AN163" s="253"/>
      <c r="AO163" s="253"/>
      <c r="AP163" s="1277"/>
      <c r="AQ163" s="253"/>
      <c r="AR163" s="253"/>
      <c r="AS163" s="253"/>
      <c r="AT163" s="253"/>
      <c r="AU163" s="253"/>
      <c r="AV163" s="253"/>
      <c r="AW163" s="253"/>
      <c r="AX163" s="769"/>
      <c r="AY163" s="964"/>
      <c r="AZ163" s="964"/>
      <c r="BA163" s="964"/>
      <c r="BB163" s="964"/>
      <c r="BC163" s="964"/>
      <c r="BD163" s="964"/>
      <c r="BE163" s="964"/>
      <c r="BF163" s="964"/>
      <c r="BG163" s="964"/>
      <c r="BH163" s="964"/>
    </row>
    <row r="164" spans="1:60">
      <c r="A164" s="2112"/>
      <c r="B164" s="2373"/>
      <c r="C164" s="2373"/>
      <c r="D164" s="1680" t="s">
        <v>5471</v>
      </c>
      <c r="E164" s="253"/>
      <c r="F164" s="253"/>
      <c r="G164" s="253"/>
      <c r="H164" s="253"/>
      <c r="I164" s="253"/>
      <c r="J164" s="253"/>
      <c r="K164" s="253"/>
      <c r="L164" s="253"/>
      <c r="M164" s="253"/>
      <c r="N164" s="253"/>
      <c r="O164" s="253"/>
      <c r="P164" s="4167"/>
      <c r="Q164" s="4168"/>
      <c r="R164" s="4168"/>
      <c r="S164" s="4168"/>
      <c r="T164" s="4168"/>
      <c r="U164" s="4168"/>
      <c r="V164" s="4169"/>
      <c r="W164" s="4167"/>
      <c r="X164" s="4168"/>
      <c r="Y164" s="4168"/>
      <c r="Z164" s="4168"/>
      <c r="AA164" s="4168"/>
      <c r="AB164" s="4168"/>
      <c r="AC164" s="4169"/>
      <c r="AD164" s="4167"/>
      <c r="AE164" s="4168"/>
      <c r="AF164" s="4168"/>
      <c r="AG164" s="4168"/>
      <c r="AH164" s="4168"/>
      <c r="AI164" s="4169"/>
      <c r="AJ164" s="8976"/>
      <c r="AK164" s="7976"/>
      <c r="AL164" s="408"/>
      <c r="AM164" s="253"/>
      <c r="AN164" s="253"/>
      <c r="AO164" s="253"/>
      <c r="AP164" s="1277"/>
      <c r="AQ164" s="253"/>
      <c r="AR164" s="253"/>
      <c r="AS164" s="253"/>
      <c r="AT164" s="253"/>
      <c r="AU164" s="253"/>
      <c r="AV164" s="253"/>
      <c r="AW164" s="253"/>
      <c r="AX164" s="769"/>
      <c r="AY164" s="964"/>
      <c r="AZ164" s="964"/>
      <c r="BA164" s="964"/>
      <c r="BB164" s="964"/>
      <c r="BC164" s="964"/>
      <c r="BD164" s="964"/>
      <c r="BE164" s="964"/>
      <c r="BF164" s="964"/>
      <c r="BG164" s="964"/>
      <c r="BH164" s="964"/>
    </row>
    <row r="165" spans="1:60" ht="13.5" customHeight="1">
      <c r="A165" s="2112"/>
      <c r="B165" s="2373"/>
      <c r="C165" s="2373"/>
      <c r="D165" s="1680" t="s">
        <v>726</v>
      </c>
      <c r="E165" s="253"/>
      <c r="F165" s="253"/>
      <c r="G165" s="253"/>
      <c r="H165" s="253"/>
      <c r="I165" s="253"/>
      <c r="J165" s="253"/>
      <c r="K165" s="253"/>
      <c r="L165" s="253"/>
      <c r="M165" s="1401" t="s">
        <v>784</v>
      </c>
      <c r="N165" s="276"/>
      <c r="O165" s="253"/>
      <c r="P165" s="4167"/>
      <c r="Q165" s="4168"/>
      <c r="R165" s="4168"/>
      <c r="S165" s="4168"/>
      <c r="T165" s="4168"/>
      <c r="U165" s="4168"/>
      <c r="V165" s="4169"/>
      <c r="W165" s="4167"/>
      <c r="X165" s="4168"/>
      <c r="Y165" s="4168"/>
      <c r="Z165" s="4168"/>
      <c r="AA165" s="4168"/>
      <c r="AB165" s="4168"/>
      <c r="AC165" s="4169"/>
      <c r="AD165" s="4167"/>
      <c r="AE165" s="4168"/>
      <c r="AF165" s="4168"/>
      <c r="AG165" s="4168"/>
      <c r="AH165" s="4168"/>
      <c r="AI165" s="4169"/>
      <c r="AJ165" s="8976"/>
      <c r="AK165" s="7976"/>
      <c r="AL165" s="408"/>
      <c r="AM165" s="253"/>
      <c r="AN165" s="253"/>
      <c r="AO165" s="253"/>
      <c r="AP165" s="1277"/>
      <c r="AQ165" s="253"/>
      <c r="AR165" s="253"/>
      <c r="AS165" s="253"/>
      <c r="AT165" s="253"/>
      <c r="AU165" s="253"/>
      <c r="AV165" s="253"/>
      <c r="AW165" s="253"/>
      <c r="AX165" s="769"/>
      <c r="AY165" s="964"/>
      <c r="AZ165" s="964"/>
      <c r="BA165" s="964"/>
      <c r="BB165" s="964"/>
      <c r="BC165" s="964"/>
      <c r="BD165" s="964"/>
      <c r="BE165" s="964"/>
      <c r="BF165" s="964"/>
      <c r="BG165" s="964"/>
      <c r="BH165" s="964"/>
    </row>
    <row r="166" spans="1:60" ht="13.5" customHeight="1">
      <c r="A166" s="2112"/>
      <c r="B166" s="4156"/>
      <c r="C166" s="4156"/>
      <c r="D166" s="4162"/>
      <c r="E166" s="413"/>
      <c r="F166" s="413"/>
      <c r="G166" s="413"/>
      <c r="H166" s="413"/>
      <c r="I166" s="413"/>
      <c r="J166" s="413"/>
      <c r="K166" s="413"/>
      <c r="L166" s="413"/>
      <c r="M166" s="413"/>
      <c r="N166" s="413"/>
      <c r="O166" s="413"/>
      <c r="P166" s="4207"/>
      <c r="Q166" s="4208"/>
      <c r="R166" s="4208"/>
      <c r="S166" s="4208"/>
      <c r="T166" s="4208"/>
      <c r="U166" s="4208"/>
      <c r="V166" s="4209"/>
      <c r="W166" s="4207"/>
      <c r="X166" s="4208"/>
      <c r="Y166" s="4208"/>
      <c r="Z166" s="4208"/>
      <c r="AA166" s="4208"/>
      <c r="AB166" s="4208"/>
      <c r="AC166" s="4209"/>
      <c r="AD166" s="4207"/>
      <c r="AE166" s="4208"/>
      <c r="AF166" s="4208"/>
      <c r="AG166" s="4208"/>
      <c r="AH166" s="4208"/>
      <c r="AI166" s="4209"/>
      <c r="AJ166" s="8976"/>
      <c r="AK166" s="7976"/>
      <c r="AL166" s="408"/>
      <c r="AM166" s="253"/>
      <c r="AN166" s="253"/>
      <c r="AO166" s="253"/>
      <c r="AP166" s="1277"/>
      <c r="AQ166" s="253"/>
      <c r="AR166" s="253"/>
      <c r="AS166" s="253"/>
      <c r="AT166" s="253"/>
      <c r="AU166" s="253"/>
      <c r="AV166" s="253"/>
      <c r="AW166" s="253"/>
      <c r="AX166" s="769"/>
      <c r="AY166" s="964"/>
      <c r="AZ166" s="964"/>
      <c r="BA166" s="964"/>
      <c r="BB166" s="964"/>
      <c r="BC166" s="964"/>
      <c r="BD166" s="964"/>
      <c r="BE166" s="964"/>
      <c r="BF166" s="964"/>
      <c r="BG166" s="964"/>
      <c r="BH166" s="964"/>
    </row>
    <row r="167" spans="1:60" ht="13.5" customHeight="1">
      <c r="A167" s="2112"/>
      <c r="B167" s="344" t="s">
        <v>2915</v>
      </c>
      <c r="C167" s="2373"/>
      <c r="D167" s="511"/>
      <c r="E167" s="253"/>
      <c r="F167" s="253"/>
      <c r="G167" s="253"/>
      <c r="H167" s="253"/>
      <c r="I167" s="253"/>
      <c r="J167" s="253"/>
      <c r="K167" s="253"/>
      <c r="L167" s="253"/>
      <c r="M167" s="253"/>
      <c r="N167" s="253"/>
      <c r="O167" s="253"/>
      <c r="P167" s="4167"/>
      <c r="Q167" s="4168"/>
      <c r="R167" s="4168"/>
      <c r="S167" s="4168"/>
      <c r="T167" s="4168"/>
      <c r="U167" s="4168"/>
      <c r="V167" s="4169"/>
      <c r="W167" s="4167"/>
      <c r="X167" s="4168"/>
      <c r="Y167" s="4168"/>
      <c r="Z167" s="4168"/>
      <c r="AA167" s="4168"/>
      <c r="AB167" s="4168"/>
      <c r="AC167" s="4169"/>
      <c r="AD167" s="4167"/>
      <c r="AE167" s="4168"/>
      <c r="AF167" s="4168"/>
      <c r="AG167" s="4168"/>
      <c r="AH167" s="4168"/>
      <c r="AI167" s="4169"/>
      <c r="AJ167" s="8976"/>
      <c r="AK167" s="7976"/>
      <c r="AL167" s="408"/>
      <c r="AM167" s="253"/>
      <c r="AN167" s="253"/>
      <c r="AO167" s="253"/>
      <c r="AP167" s="1277"/>
      <c r="AQ167" s="253"/>
      <c r="AR167" s="253"/>
      <c r="AS167" s="253"/>
      <c r="AT167" s="253"/>
      <c r="AU167" s="253"/>
      <c r="AV167" s="253"/>
      <c r="AW167" s="253"/>
      <c r="AX167" s="769"/>
      <c r="AY167" s="964"/>
      <c r="AZ167" s="964"/>
      <c r="BA167" s="964"/>
      <c r="BB167" s="964"/>
      <c r="BC167" s="964"/>
      <c r="BD167" s="964"/>
      <c r="BE167" s="964"/>
      <c r="BF167" s="964"/>
      <c r="BG167" s="964"/>
      <c r="BH167" s="964"/>
    </row>
    <row r="168" spans="1:60">
      <c r="A168" s="2112"/>
      <c r="B168" s="8975">
        <v>2</v>
      </c>
      <c r="C168" s="8975"/>
      <c r="D168" s="504" t="s">
        <v>2815</v>
      </c>
      <c r="E168" s="253"/>
      <c r="F168" s="253"/>
      <c r="G168" s="253"/>
      <c r="H168" s="253"/>
      <c r="I168" s="253"/>
      <c r="J168" s="253"/>
      <c r="K168" s="253"/>
      <c r="L168" s="253"/>
      <c r="M168" s="253"/>
      <c r="N168" s="253"/>
      <c r="O168" s="253"/>
      <c r="P168" s="566"/>
      <c r="Q168" s="344"/>
      <c r="R168" s="344"/>
      <c r="S168" s="344"/>
      <c r="T168" s="344"/>
      <c r="U168" s="344"/>
      <c r="V168" s="567"/>
      <c r="W168" s="344"/>
      <c r="X168" s="344"/>
      <c r="Y168" s="344"/>
      <c r="Z168" s="344"/>
      <c r="AA168" s="344"/>
      <c r="AB168" s="344"/>
      <c r="AC168" s="567"/>
      <c r="AD168" s="344"/>
      <c r="AE168" s="344"/>
      <c r="AF168" s="344"/>
      <c r="AG168" s="344"/>
      <c r="AH168" s="344"/>
      <c r="AI168" s="567"/>
      <c r="AJ168" s="8976"/>
      <c r="AK168" s="7976"/>
      <c r="AL168" s="408"/>
      <c r="AM168" s="253"/>
      <c r="AN168" s="253"/>
      <c r="AO168" s="253"/>
      <c r="AP168" s="1277"/>
      <c r="AQ168" s="253"/>
      <c r="AR168" s="253"/>
      <c r="AS168" s="253"/>
      <c r="AT168" s="253"/>
      <c r="AU168" s="253"/>
      <c r="AV168" s="253"/>
      <c r="AW168" s="253"/>
      <c r="AX168" s="769"/>
      <c r="AY168" s="964"/>
      <c r="AZ168" s="964"/>
      <c r="BA168" s="964"/>
      <c r="BB168" s="964"/>
      <c r="BC168" s="964"/>
      <c r="BD168" s="964"/>
      <c r="BE168" s="964"/>
      <c r="BF168" s="964"/>
      <c r="BG168" s="964"/>
      <c r="BH168" s="964"/>
    </row>
    <row r="169" spans="1:60" ht="13.5" customHeight="1">
      <c r="A169" s="2112"/>
      <c r="B169" s="8975"/>
      <c r="C169" s="8975"/>
      <c r="D169" s="344" t="s">
        <v>2816</v>
      </c>
      <c r="E169" s="253"/>
      <c r="F169" s="253"/>
      <c r="G169" s="253"/>
      <c r="H169" s="253"/>
      <c r="I169" s="253"/>
      <c r="J169" s="253"/>
      <c r="K169" s="253"/>
      <c r="L169" s="253"/>
      <c r="M169" s="253"/>
      <c r="N169" s="253"/>
      <c r="O169" s="1401" t="s">
        <v>842</v>
      </c>
      <c r="P169" s="9011"/>
      <c r="Q169" s="9012"/>
      <c r="R169" s="9012"/>
      <c r="S169" s="9012"/>
      <c r="T169" s="9012"/>
      <c r="U169" s="9012"/>
      <c r="V169" s="9013"/>
      <c r="W169" s="9011"/>
      <c r="X169" s="9012"/>
      <c r="Y169" s="9012"/>
      <c r="Z169" s="9012"/>
      <c r="AA169" s="9012"/>
      <c r="AB169" s="9012"/>
      <c r="AC169" s="9013"/>
      <c r="AD169" s="9011"/>
      <c r="AE169" s="9012"/>
      <c r="AF169" s="9012"/>
      <c r="AG169" s="9012"/>
      <c r="AH169" s="9012"/>
      <c r="AI169" s="9013"/>
      <c r="AJ169" s="8976"/>
      <c r="AK169" s="7976"/>
      <c r="AL169" s="408"/>
      <c r="AM169" s="253"/>
      <c r="AN169" s="253"/>
      <c r="AO169" s="253"/>
      <c r="AP169" s="1277"/>
      <c r="AQ169" s="253"/>
      <c r="AR169" s="253"/>
      <c r="AS169" s="253"/>
      <c r="AT169" s="253"/>
      <c r="AU169" s="253"/>
      <c r="AV169" s="253"/>
      <c r="AW169" s="253"/>
      <c r="AX169" s="769"/>
      <c r="AY169" s="964"/>
      <c r="AZ169" s="964"/>
      <c r="BA169" s="964"/>
      <c r="BB169" s="964"/>
      <c r="BC169" s="964"/>
      <c r="BD169" s="964"/>
      <c r="BE169" s="964"/>
      <c r="BF169" s="964"/>
      <c r="BG169" s="964"/>
      <c r="BH169" s="964"/>
    </row>
    <row r="170" spans="1:60" ht="13.5" customHeight="1">
      <c r="A170" s="2112"/>
      <c r="B170" s="8975">
        <v>3</v>
      </c>
      <c r="C170" s="8975"/>
      <c r="D170" s="504" t="s">
        <v>2817</v>
      </c>
      <c r="E170" s="253"/>
      <c r="F170" s="253"/>
      <c r="G170" s="253"/>
      <c r="H170" s="253"/>
      <c r="I170" s="253"/>
      <c r="J170" s="253"/>
      <c r="K170" s="253"/>
      <c r="L170" s="253"/>
      <c r="M170" s="253"/>
      <c r="N170" s="253"/>
      <c r="O170" s="253"/>
      <c r="P170" s="4167"/>
      <c r="Q170" s="4168"/>
      <c r="R170" s="4168"/>
      <c r="S170" s="4168"/>
      <c r="T170" s="4168"/>
      <c r="U170" s="4168"/>
      <c r="V170" s="4169"/>
      <c r="W170" s="4167"/>
      <c r="X170" s="4168"/>
      <c r="Y170" s="4168"/>
      <c r="Z170" s="4168"/>
      <c r="AA170" s="4168"/>
      <c r="AB170" s="4168"/>
      <c r="AC170" s="4169"/>
      <c r="AD170" s="4167"/>
      <c r="AE170" s="4168"/>
      <c r="AF170" s="4168"/>
      <c r="AG170" s="4168"/>
      <c r="AH170" s="4168"/>
      <c r="AI170" s="4169"/>
      <c r="AJ170" s="8976"/>
      <c r="AK170" s="7976"/>
      <c r="AL170" s="408"/>
      <c r="AM170" s="253"/>
      <c r="AN170" s="253"/>
      <c r="AO170" s="253"/>
      <c r="AP170" s="1277"/>
      <c r="AQ170" s="253"/>
      <c r="AR170" s="253"/>
      <c r="AS170" s="253"/>
      <c r="AT170" s="253"/>
      <c r="AU170" s="253"/>
      <c r="AV170" s="253"/>
      <c r="AW170" s="253"/>
      <c r="AX170" s="769"/>
      <c r="AY170" s="964"/>
      <c r="AZ170" s="964"/>
      <c r="BA170" s="964"/>
      <c r="BB170" s="964"/>
      <c r="BC170" s="964"/>
      <c r="BD170" s="964"/>
      <c r="BE170" s="964"/>
      <c r="BF170" s="964"/>
      <c r="BG170" s="964"/>
      <c r="BH170" s="964"/>
    </row>
    <row r="171" spans="1:60" ht="13.5" customHeight="1">
      <c r="A171" s="2112"/>
      <c r="B171" s="8975"/>
      <c r="C171" s="8975"/>
      <c r="D171" s="807" t="s">
        <v>2818</v>
      </c>
      <c r="E171" s="253"/>
      <c r="F171" s="253"/>
      <c r="G171" s="253"/>
      <c r="H171" s="253"/>
      <c r="I171" s="253"/>
      <c r="J171" s="253"/>
      <c r="K171" s="253"/>
      <c r="L171" s="253"/>
      <c r="M171" s="253"/>
      <c r="N171" s="253"/>
      <c r="O171" s="253"/>
      <c r="P171" s="4167"/>
      <c r="Q171" s="4168"/>
      <c r="R171" s="4168"/>
      <c r="S171" s="4168"/>
      <c r="T171" s="4168"/>
      <c r="U171" s="4168"/>
      <c r="V171" s="4169"/>
      <c r="W171" s="4167"/>
      <c r="X171" s="4168"/>
      <c r="Y171" s="4168"/>
      <c r="Z171" s="4168"/>
      <c r="AA171" s="4168"/>
      <c r="AB171" s="4168"/>
      <c r="AC171" s="4169"/>
      <c r="AD171" s="4167"/>
      <c r="AE171" s="4168"/>
      <c r="AF171" s="4168"/>
      <c r="AG171" s="4168"/>
      <c r="AH171" s="4168"/>
      <c r="AI171" s="4169"/>
      <c r="AJ171" s="8976"/>
      <c r="AK171" s="7976"/>
      <c r="AL171" s="408"/>
      <c r="AM171" s="253"/>
      <c r="AN171" s="253"/>
      <c r="AO171" s="253"/>
      <c r="AP171" s="1277"/>
      <c r="AQ171" s="253"/>
      <c r="AR171" s="253"/>
      <c r="AS171" s="253"/>
      <c r="AT171" s="253"/>
      <c r="AU171" s="253"/>
      <c r="AV171" s="253"/>
      <c r="AW171" s="253"/>
      <c r="AX171" s="769"/>
      <c r="AY171" s="964"/>
      <c r="AZ171" s="964"/>
      <c r="BA171" s="964"/>
      <c r="BB171" s="964"/>
      <c r="BC171" s="964"/>
      <c r="BD171" s="964"/>
      <c r="BE171" s="964"/>
      <c r="BF171" s="964"/>
      <c r="BG171" s="964"/>
      <c r="BH171" s="964"/>
    </row>
    <row r="172" spans="1:60" ht="13.5" customHeight="1">
      <c r="A172" s="2112"/>
      <c r="B172" s="8975" t="s">
        <v>588</v>
      </c>
      <c r="C172" s="8975"/>
      <c r="D172" s="504" t="s">
        <v>2819</v>
      </c>
      <c r="E172" s="253"/>
      <c r="F172" s="253"/>
      <c r="G172" s="253"/>
      <c r="H172" s="253"/>
      <c r="I172" s="253"/>
      <c r="J172" s="253"/>
      <c r="K172" s="253"/>
      <c r="L172" s="253"/>
      <c r="M172" s="253"/>
      <c r="N172" s="253"/>
      <c r="O172" s="253"/>
      <c r="P172" s="566"/>
      <c r="Q172" s="344"/>
      <c r="R172" s="344"/>
      <c r="S172" s="344"/>
      <c r="T172" s="344"/>
      <c r="U172" s="344"/>
      <c r="V172" s="567"/>
      <c r="W172" s="344"/>
      <c r="X172" s="344"/>
      <c r="Y172" s="344"/>
      <c r="Z172" s="344"/>
      <c r="AA172" s="344"/>
      <c r="AB172" s="344"/>
      <c r="AC172" s="567"/>
      <c r="AD172" s="344"/>
      <c r="AE172" s="344"/>
      <c r="AF172" s="344"/>
      <c r="AG172" s="344"/>
      <c r="AH172" s="344"/>
      <c r="AI172" s="567"/>
      <c r="AJ172" s="8976"/>
      <c r="AK172" s="7976"/>
      <c r="AL172" s="408"/>
      <c r="AM172" s="253"/>
      <c r="AN172" s="253"/>
      <c r="AO172" s="253"/>
      <c r="AP172" s="1277"/>
      <c r="AQ172" s="253"/>
      <c r="AR172" s="253"/>
      <c r="AS172" s="253"/>
      <c r="AT172" s="253"/>
      <c r="AU172" s="253"/>
      <c r="AV172" s="253"/>
      <c r="AW172" s="253"/>
      <c r="AX172" s="769"/>
      <c r="AY172" s="964"/>
      <c r="AZ172" s="964"/>
      <c r="BA172" s="964"/>
      <c r="BB172" s="964"/>
      <c r="BC172" s="964"/>
      <c r="BD172" s="964"/>
      <c r="BE172" s="964"/>
      <c r="BF172" s="964"/>
      <c r="BG172" s="964"/>
      <c r="BH172" s="964"/>
    </row>
    <row r="173" spans="1:60" ht="13.5" customHeight="1">
      <c r="A173" s="2112"/>
      <c r="B173" s="4166"/>
      <c r="C173" s="4166"/>
      <c r="D173" s="504" t="s">
        <v>2018</v>
      </c>
      <c r="E173" s="253"/>
      <c r="F173" s="253"/>
      <c r="G173" s="253"/>
      <c r="H173" s="253"/>
      <c r="I173" s="253"/>
      <c r="J173" s="253"/>
      <c r="K173" s="253"/>
      <c r="L173" s="253"/>
      <c r="M173" s="253"/>
      <c r="N173" s="253"/>
      <c r="O173" s="1401" t="s">
        <v>824</v>
      </c>
      <c r="P173" s="9011"/>
      <c r="Q173" s="9012"/>
      <c r="R173" s="9012"/>
      <c r="S173" s="9012"/>
      <c r="T173" s="9012"/>
      <c r="U173" s="9012"/>
      <c r="V173" s="9013"/>
      <c r="W173" s="9011"/>
      <c r="X173" s="9012"/>
      <c r="Y173" s="9012"/>
      <c r="Z173" s="9012"/>
      <c r="AA173" s="9012"/>
      <c r="AB173" s="9012"/>
      <c r="AC173" s="9013"/>
      <c r="AD173" s="9011"/>
      <c r="AE173" s="9012"/>
      <c r="AF173" s="9012"/>
      <c r="AG173" s="9012"/>
      <c r="AH173" s="9012"/>
      <c r="AI173" s="9013"/>
      <c r="AJ173" s="8976"/>
      <c r="AK173" s="7976"/>
      <c r="AL173" s="408"/>
      <c r="AM173" s="253"/>
      <c r="AN173" s="253"/>
      <c r="AO173" s="253"/>
      <c r="AP173" s="1277"/>
      <c r="AQ173" s="253"/>
      <c r="AR173" s="253"/>
      <c r="AS173" s="253"/>
      <c r="AT173" s="253"/>
      <c r="AU173" s="253"/>
      <c r="AV173" s="253"/>
      <c r="AW173" s="253"/>
      <c r="AX173" s="769"/>
      <c r="AY173" s="964"/>
      <c r="AZ173" s="964"/>
      <c r="BA173" s="964"/>
      <c r="BB173" s="964"/>
      <c r="BC173" s="964"/>
      <c r="BD173" s="964"/>
      <c r="BE173" s="964"/>
      <c r="BF173" s="964"/>
      <c r="BG173" s="964"/>
      <c r="BH173" s="964"/>
    </row>
    <row r="174" spans="1:60" ht="13.5" customHeight="1">
      <c r="A174" s="2112"/>
      <c r="B174" s="8975" t="s">
        <v>592</v>
      </c>
      <c r="C174" s="8975"/>
      <c r="D174" s="504" t="s">
        <v>2820</v>
      </c>
      <c r="E174" s="253"/>
      <c r="F174" s="253"/>
      <c r="G174" s="253"/>
      <c r="H174" s="253"/>
      <c r="I174" s="253"/>
      <c r="J174" s="253"/>
      <c r="K174" s="253"/>
      <c r="L174" s="253"/>
      <c r="M174" s="253"/>
      <c r="N174" s="253"/>
      <c r="O174" s="1401" t="s">
        <v>905</v>
      </c>
      <c r="P174" s="9011"/>
      <c r="Q174" s="9012"/>
      <c r="R174" s="9012"/>
      <c r="S174" s="9012"/>
      <c r="T174" s="9012"/>
      <c r="U174" s="9012"/>
      <c r="V174" s="9013"/>
      <c r="W174" s="9011"/>
      <c r="X174" s="9012"/>
      <c r="Y174" s="9012"/>
      <c r="Z174" s="9012"/>
      <c r="AA174" s="9012"/>
      <c r="AB174" s="9012"/>
      <c r="AC174" s="9013"/>
      <c r="AD174" s="9011"/>
      <c r="AE174" s="9012"/>
      <c r="AF174" s="9012"/>
      <c r="AG174" s="9012"/>
      <c r="AH174" s="9012"/>
      <c r="AI174" s="9013"/>
      <c r="AJ174" s="8976"/>
      <c r="AK174" s="7976"/>
      <c r="AL174" s="408"/>
      <c r="AM174" s="253"/>
      <c r="AN174" s="253"/>
      <c r="AO174" s="253"/>
      <c r="AP174" s="1277"/>
      <c r="AQ174" s="253"/>
      <c r="AR174" s="253"/>
      <c r="AS174" s="253"/>
      <c r="AT174" s="253"/>
      <c r="AU174" s="253"/>
      <c r="AV174" s="253"/>
      <c r="AW174" s="253"/>
      <c r="AX174" s="769"/>
      <c r="AY174" s="964"/>
      <c r="AZ174" s="964"/>
      <c r="BA174" s="964"/>
      <c r="BB174" s="964"/>
      <c r="BC174" s="964"/>
      <c r="BD174" s="964"/>
      <c r="BE174" s="964"/>
      <c r="BF174" s="964"/>
      <c r="BG174" s="964"/>
      <c r="BH174" s="964"/>
    </row>
    <row r="175" spans="1:60" ht="13.5" customHeight="1">
      <c r="A175" s="2112"/>
      <c r="B175" s="8975" t="s">
        <v>595</v>
      </c>
      <c r="C175" s="8975"/>
      <c r="D175" s="504" t="s">
        <v>2821</v>
      </c>
      <c r="E175" s="253"/>
      <c r="F175" s="253"/>
      <c r="G175" s="253"/>
      <c r="H175" s="253"/>
      <c r="I175" s="253"/>
      <c r="J175" s="253"/>
      <c r="K175" s="253"/>
      <c r="L175" s="253"/>
      <c r="M175" s="253"/>
      <c r="N175" s="253"/>
      <c r="O175" s="1401" t="s">
        <v>784</v>
      </c>
      <c r="P175" s="9016">
        <f>SUM(P173:P174)</f>
        <v>0</v>
      </c>
      <c r="Q175" s="9017"/>
      <c r="R175" s="9017"/>
      <c r="S175" s="9017"/>
      <c r="T175" s="9017"/>
      <c r="U175" s="9017"/>
      <c r="V175" s="9018"/>
      <c r="W175" s="9016">
        <f>SUM(W173:W174)</f>
        <v>0</v>
      </c>
      <c r="X175" s="9017"/>
      <c r="Y175" s="9017"/>
      <c r="Z175" s="9017"/>
      <c r="AA175" s="9017"/>
      <c r="AB175" s="9017"/>
      <c r="AC175" s="9018"/>
      <c r="AD175" s="9016">
        <f>SUM(AD173:AD174)</f>
        <v>0</v>
      </c>
      <c r="AE175" s="9017"/>
      <c r="AF175" s="9017"/>
      <c r="AG175" s="9017"/>
      <c r="AH175" s="9017"/>
      <c r="AI175" s="9018"/>
      <c r="AJ175" s="8976"/>
      <c r="AK175" s="7976"/>
      <c r="AL175" s="408"/>
      <c r="AM175" s="253"/>
      <c r="AN175" s="253"/>
      <c r="AO175" s="253"/>
      <c r="AP175" s="1277"/>
      <c r="AQ175" s="253"/>
      <c r="AR175" s="253"/>
      <c r="AS175" s="253"/>
      <c r="AT175" s="253"/>
      <c r="AU175" s="253"/>
      <c r="AV175" s="253"/>
      <c r="AW175" s="253"/>
      <c r="AX175" s="769"/>
      <c r="AY175" s="964"/>
      <c r="AZ175" s="964"/>
      <c r="BA175" s="964"/>
      <c r="BB175" s="964"/>
      <c r="BC175" s="964"/>
      <c r="BD175" s="964"/>
      <c r="BE175" s="964"/>
      <c r="BF175" s="964"/>
      <c r="BG175" s="964"/>
      <c r="BH175" s="964"/>
    </row>
    <row r="176" spans="1:60" ht="13.5" customHeight="1">
      <c r="A176" s="2112"/>
      <c r="B176" s="8975" t="s">
        <v>599</v>
      </c>
      <c r="C176" s="8975"/>
      <c r="D176" s="504" t="s">
        <v>2822</v>
      </c>
      <c r="E176" s="253"/>
      <c r="F176" s="253"/>
      <c r="G176" s="253"/>
      <c r="H176" s="253"/>
      <c r="I176" s="253"/>
      <c r="J176" s="253"/>
      <c r="K176" s="253"/>
      <c r="L176" s="253"/>
      <c r="M176" s="253"/>
      <c r="N176" s="253"/>
      <c r="O176" s="1401" t="s">
        <v>2823</v>
      </c>
      <c r="P176" s="9011"/>
      <c r="Q176" s="9012"/>
      <c r="R176" s="9012"/>
      <c r="S176" s="9012"/>
      <c r="T176" s="9012"/>
      <c r="U176" s="9012"/>
      <c r="V176" s="9013"/>
      <c r="W176" s="9011"/>
      <c r="X176" s="9012"/>
      <c r="Y176" s="9012"/>
      <c r="Z176" s="9012"/>
      <c r="AA176" s="9012"/>
      <c r="AB176" s="9012"/>
      <c r="AC176" s="9013"/>
      <c r="AD176" s="9011"/>
      <c r="AE176" s="9012"/>
      <c r="AF176" s="9012"/>
      <c r="AG176" s="9012"/>
      <c r="AH176" s="9012"/>
      <c r="AI176" s="9013"/>
      <c r="AJ176" s="8976"/>
      <c r="AK176" s="7976"/>
      <c r="AL176" s="408"/>
      <c r="AM176" s="253"/>
      <c r="AN176" s="253"/>
      <c r="AO176" s="253"/>
      <c r="AP176" s="1277"/>
      <c r="AQ176" s="253"/>
      <c r="AR176" s="253"/>
      <c r="AS176" s="253"/>
      <c r="AT176" s="253"/>
      <c r="AU176" s="253"/>
      <c r="AV176" s="253"/>
      <c r="AW176" s="253"/>
      <c r="AX176" s="769"/>
      <c r="AY176" s="964"/>
      <c r="AZ176" s="964"/>
      <c r="BA176" s="964"/>
      <c r="BB176" s="964"/>
      <c r="BC176" s="964"/>
      <c r="BD176" s="964"/>
      <c r="BE176" s="964"/>
      <c r="BF176" s="964"/>
      <c r="BG176" s="964"/>
      <c r="BH176" s="964"/>
    </row>
    <row r="177" spans="1:60" ht="13.5" customHeight="1">
      <c r="A177" s="2112"/>
      <c r="B177" s="8975" t="s">
        <v>603</v>
      </c>
      <c r="C177" s="8975"/>
      <c r="D177" s="504" t="s">
        <v>2824</v>
      </c>
      <c r="E177" s="253"/>
      <c r="F177" s="253"/>
      <c r="G177" s="253"/>
      <c r="H177" s="253"/>
      <c r="I177" s="253"/>
      <c r="J177" s="253"/>
      <c r="K177" s="253"/>
      <c r="L177" s="253"/>
      <c r="M177" s="253"/>
      <c r="N177" s="253"/>
      <c r="O177" s="1401" t="s">
        <v>2823</v>
      </c>
      <c r="P177" s="9011"/>
      <c r="Q177" s="9012"/>
      <c r="R177" s="9012"/>
      <c r="S177" s="9012"/>
      <c r="T177" s="9012"/>
      <c r="U177" s="9012"/>
      <c r="V177" s="9013"/>
      <c r="W177" s="9011"/>
      <c r="X177" s="9012"/>
      <c r="Y177" s="9012"/>
      <c r="Z177" s="9012"/>
      <c r="AA177" s="9012"/>
      <c r="AB177" s="9012"/>
      <c r="AC177" s="9013"/>
      <c r="AD177" s="9011"/>
      <c r="AE177" s="9012"/>
      <c r="AF177" s="9012"/>
      <c r="AG177" s="9012"/>
      <c r="AH177" s="9012"/>
      <c r="AI177" s="9013"/>
      <c r="AJ177" s="8976"/>
      <c r="AK177" s="7976"/>
      <c r="AL177" s="408"/>
      <c r="AM177" s="253"/>
      <c r="AN177" s="253"/>
      <c r="AO177" s="253"/>
      <c r="AP177" s="1277"/>
      <c r="AQ177" s="253"/>
      <c r="AR177" s="253"/>
      <c r="AS177" s="253"/>
      <c r="AT177" s="253"/>
      <c r="AU177" s="253"/>
      <c r="AV177" s="253"/>
      <c r="AW177" s="253"/>
      <c r="AX177" s="769"/>
      <c r="AY177" s="964"/>
      <c r="AZ177" s="964"/>
      <c r="BA177" s="964"/>
      <c r="BB177" s="964"/>
      <c r="BC177" s="964"/>
      <c r="BD177" s="964"/>
      <c r="BE177" s="964"/>
      <c r="BF177" s="964"/>
      <c r="BG177" s="964"/>
      <c r="BH177" s="964"/>
    </row>
    <row r="178" spans="1:60" ht="13.5" customHeight="1">
      <c r="A178" s="2112"/>
      <c r="B178" s="8975" t="s">
        <v>606</v>
      </c>
      <c r="C178" s="8975"/>
      <c r="D178" s="504" t="s">
        <v>2825</v>
      </c>
      <c r="E178" s="253"/>
      <c r="F178" s="253"/>
      <c r="G178" s="253"/>
      <c r="H178" s="253"/>
      <c r="I178" s="253"/>
      <c r="J178" s="253"/>
      <c r="K178" s="253"/>
      <c r="L178" s="253"/>
      <c r="M178" s="253"/>
      <c r="N178" s="253"/>
      <c r="O178" s="1401" t="s">
        <v>832</v>
      </c>
      <c r="P178" s="9159" t="str">
        <f>IF(P177=0,"",ROUND(P176/P177,4))</f>
        <v/>
      </c>
      <c r="Q178" s="9160"/>
      <c r="R178" s="9160"/>
      <c r="S178" s="9160"/>
      <c r="T178" s="9160"/>
      <c r="U178" s="9160"/>
      <c r="V178" s="9161"/>
      <c r="W178" s="9159" t="str">
        <f>IF(W177=0,"",ROUND(W176/W177,4))</f>
        <v/>
      </c>
      <c r="X178" s="9160"/>
      <c r="Y178" s="9160"/>
      <c r="Z178" s="9160"/>
      <c r="AA178" s="9160"/>
      <c r="AB178" s="9160"/>
      <c r="AC178" s="9161"/>
      <c r="AD178" s="9162" t="str">
        <f>IF(AD177=0,"",ROUND(AD176/AD177,4))</f>
        <v/>
      </c>
      <c r="AE178" s="9163"/>
      <c r="AF178" s="9163"/>
      <c r="AG178" s="9163"/>
      <c r="AH178" s="9163"/>
      <c r="AI178" s="9164"/>
      <c r="AJ178" s="8976"/>
      <c r="AK178" s="7976"/>
      <c r="AL178" s="408"/>
      <c r="AM178" s="253"/>
      <c r="AN178" s="253"/>
      <c r="AO178" s="253"/>
      <c r="AP178" s="1277"/>
      <c r="AQ178" s="253"/>
      <c r="AR178" s="253"/>
      <c r="AS178" s="253"/>
      <c r="AT178" s="253"/>
      <c r="AU178" s="253"/>
      <c r="AV178" s="253"/>
      <c r="AW178" s="253"/>
      <c r="AX178" s="769"/>
      <c r="AY178" s="964"/>
      <c r="AZ178" s="964"/>
      <c r="BA178" s="964"/>
      <c r="BB178" s="964"/>
      <c r="BC178" s="964"/>
      <c r="BD178" s="964"/>
      <c r="BE178" s="964"/>
      <c r="BF178" s="964"/>
      <c r="BG178" s="964"/>
      <c r="BH178" s="964"/>
    </row>
    <row r="179" spans="1:60" ht="13.5" customHeight="1">
      <c r="A179" s="2112"/>
      <c r="B179" s="8975" t="s">
        <v>610</v>
      </c>
      <c r="C179" s="8975"/>
      <c r="D179" s="504" t="s">
        <v>2826</v>
      </c>
      <c r="E179" s="253"/>
      <c r="F179" s="253"/>
      <c r="G179" s="253"/>
      <c r="H179" s="253"/>
      <c r="I179" s="253"/>
      <c r="J179" s="253"/>
      <c r="K179" s="253"/>
      <c r="L179" s="253"/>
      <c r="M179" s="253"/>
      <c r="N179" s="253"/>
      <c r="O179" s="1401" t="s">
        <v>877</v>
      </c>
      <c r="P179" s="9165" t="str">
        <f>IF(OR(P175="",P178=""),"",P175*P178)</f>
        <v/>
      </c>
      <c r="Q179" s="9166"/>
      <c r="R179" s="9166"/>
      <c r="S179" s="9166"/>
      <c r="T179" s="9166"/>
      <c r="U179" s="9166"/>
      <c r="V179" s="9167"/>
      <c r="W179" s="9165" t="str">
        <f>IF(OR(W175="",W178=""),"",W175*W178)</f>
        <v/>
      </c>
      <c r="X179" s="9166"/>
      <c r="Y179" s="9166"/>
      <c r="Z179" s="9166"/>
      <c r="AA179" s="9166"/>
      <c r="AB179" s="9166"/>
      <c r="AC179" s="9167"/>
      <c r="AD179" s="9165" t="str">
        <f>IF(OR(AD175="",AD178=""),"",AD175*AD178)</f>
        <v/>
      </c>
      <c r="AE179" s="9166"/>
      <c r="AF179" s="9166"/>
      <c r="AG179" s="9166"/>
      <c r="AH179" s="9166"/>
      <c r="AI179" s="9167"/>
      <c r="AJ179" s="8976"/>
      <c r="AK179" s="7976"/>
      <c r="AL179" s="408"/>
      <c r="AM179" s="253"/>
      <c r="AN179" s="253"/>
      <c r="AO179" s="253"/>
      <c r="AP179" s="1277"/>
      <c r="AQ179" s="253"/>
      <c r="AR179" s="253"/>
      <c r="AS179" s="253"/>
      <c r="AT179" s="253"/>
      <c r="AU179" s="253"/>
      <c r="AV179" s="253"/>
      <c r="AW179" s="253"/>
      <c r="AX179" s="769"/>
      <c r="AY179" s="964"/>
      <c r="AZ179" s="964"/>
      <c r="BA179" s="964"/>
      <c r="BB179" s="964"/>
      <c r="BC179" s="964"/>
      <c r="BD179" s="964"/>
      <c r="BE179" s="964"/>
      <c r="BF179" s="964"/>
      <c r="BG179" s="964"/>
      <c r="BH179" s="964"/>
    </row>
    <row r="180" spans="1:60" ht="13.5" customHeight="1">
      <c r="A180" s="2112"/>
      <c r="B180" s="9061">
        <v>4</v>
      </c>
      <c r="C180" s="9061"/>
      <c r="D180" s="504" t="s">
        <v>2827</v>
      </c>
      <c r="E180" s="253"/>
      <c r="F180" s="253"/>
      <c r="G180" s="253"/>
      <c r="H180" s="253"/>
      <c r="I180" s="253"/>
      <c r="J180" s="253"/>
      <c r="K180" s="253"/>
      <c r="L180" s="253"/>
      <c r="M180" s="253"/>
      <c r="N180" s="253"/>
      <c r="O180" s="253"/>
      <c r="P180" s="4167"/>
      <c r="Q180" s="4168"/>
      <c r="R180" s="4168"/>
      <c r="S180" s="4168"/>
      <c r="T180" s="4168"/>
      <c r="U180" s="4168"/>
      <c r="V180" s="4169"/>
      <c r="W180" s="4167"/>
      <c r="X180" s="4168"/>
      <c r="Y180" s="4168"/>
      <c r="Z180" s="4168"/>
      <c r="AA180" s="4168"/>
      <c r="AB180" s="4168"/>
      <c r="AC180" s="4169"/>
      <c r="AD180" s="4167"/>
      <c r="AE180" s="4168"/>
      <c r="AF180" s="4168"/>
      <c r="AG180" s="4168"/>
      <c r="AH180" s="4168"/>
      <c r="AI180" s="4169"/>
      <c r="AJ180" s="8976"/>
      <c r="AK180" s="7976"/>
      <c r="AL180" s="408"/>
      <c r="AM180" s="253"/>
      <c r="AN180" s="253"/>
      <c r="AO180" s="253"/>
      <c r="AP180" s="1277"/>
      <c r="AQ180" s="253"/>
      <c r="AR180" s="253"/>
      <c r="AS180" s="253"/>
      <c r="AT180" s="253"/>
      <c r="AU180" s="253"/>
      <c r="AV180" s="253"/>
      <c r="AW180" s="253"/>
      <c r="AX180" s="769"/>
      <c r="AY180" s="964"/>
      <c r="AZ180" s="964"/>
      <c r="BA180" s="964"/>
      <c r="BB180" s="964"/>
      <c r="BC180" s="964"/>
      <c r="BD180" s="964"/>
      <c r="BE180" s="964"/>
      <c r="BF180" s="964"/>
      <c r="BG180" s="964"/>
      <c r="BH180" s="964"/>
    </row>
    <row r="181" spans="1:60" ht="13.5" customHeight="1">
      <c r="A181" s="2112"/>
      <c r="B181" s="8975" t="s">
        <v>588</v>
      </c>
      <c r="C181" s="8975"/>
      <c r="D181" s="504" t="s">
        <v>2828</v>
      </c>
      <c r="E181" s="253"/>
      <c r="F181" s="253"/>
      <c r="G181" s="253"/>
      <c r="H181" s="253"/>
      <c r="I181" s="253"/>
      <c r="J181" s="253"/>
      <c r="K181" s="253"/>
      <c r="L181" s="253"/>
      <c r="M181" s="253"/>
      <c r="N181" s="253"/>
      <c r="O181" s="253"/>
      <c r="P181" s="566"/>
      <c r="Q181" s="344"/>
      <c r="R181" s="344"/>
      <c r="S181" s="344"/>
      <c r="T181" s="344"/>
      <c r="U181" s="344"/>
      <c r="V181" s="567"/>
      <c r="W181" s="344"/>
      <c r="X181" s="344"/>
      <c r="Y181" s="344"/>
      <c r="Z181" s="344"/>
      <c r="AA181" s="344"/>
      <c r="AB181" s="344"/>
      <c r="AC181" s="567"/>
      <c r="AD181" s="344"/>
      <c r="AE181" s="344"/>
      <c r="AF181" s="344"/>
      <c r="AG181" s="344"/>
      <c r="AH181" s="344"/>
      <c r="AI181" s="567"/>
      <c r="AJ181" s="8976"/>
      <c r="AK181" s="7976"/>
      <c r="AL181" s="408"/>
      <c r="AM181" s="253"/>
      <c r="AN181" s="253"/>
      <c r="AO181" s="253"/>
      <c r="AP181" s="1277"/>
      <c r="AQ181" s="253"/>
      <c r="AR181" s="253"/>
      <c r="AS181" s="253"/>
      <c r="AT181" s="253"/>
      <c r="AU181" s="253"/>
      <c r="AV181" s="253"/>
      <c r="AW181" s="253"/>
      <c r="AX181" s="769"/>
      <c r="AY181" s="964"/>
      <c r="AZ181" s="964"/>
      <c r="BA181" s="964"/>
      <c r="BB181" s="964"/>
      <c r="BC181" s="964"/>
      <c r="BD181" s="964"/>
      <c r="BE181" s="964"/>
      <c r="BF181" s="964"/>
      <c r="BG181" s="964"/>
      <c r="BH181" s="964"/>
    </row>
    <row r="182" spans="1:60" ht="13.5" customHeight="1">
      <c r="A182" s="2112"/>
      <c r="B182" s="4166"/>
      <c r="C182" s="4166"/>
      <c r="D182" s="504" t="s">
        <v>2829</v>
      </c>
      <c r="E182" s="253"/>
      <c r="F182" s="253"/>
      <c r="G182" s="253"/>
      <c r="H182" s="253"/>
      <c r="I182" s="253"/>
      <c r="J182" s="253"/>
      <c r="K182" s="253"/>
      <c r="L182" s="253"/>
      <c r="M182" s="253"/>
      <c r="N182" s="253"/>
      <c r="O182" s="1401" t="s">
        <v>832</v>
      </c>
      <c r="P182" s="9011"/>
      <c r="Q182" s="9012"/>
      <c r="R182" s="9012"/>
      <c r="S182" s="9012"/>
      <c r="T182" s="9012"/>
      <c r="U182" s="9012"/>
      <c r="V182" s="9013"/>
      <c r="W182" s="9011"/>
      <c r="X182" s="9012"/>
      <c r="Y182" s="9012"/>
      <c r="Z182" s="9012"/>
      <c r="AA182" s="9012"/>
      <c r="AB182" s="9012"/>
      <c r="AC182" s="9013"/>
      <c r="AD182" s="9011"/>
      <c r="AE182" s="9012"/>
      <c r="AF182" s="9012"/>
      <c r="AG182" s="9012"/>
      <c r="AH182" s="9012"/>
      <c r="AI182" s="9013"/>
      <c r="AJ182" s="8976"/>
      <c r="AK182" s="7976"/>
      <c r="AL182" s="408"/>
      <c r="AM182" s="253"/>
      <c r="AN182" s="253"/>
      <c r="AO182" s="253"/>
      <c r="AP182" s="1277"/>
      <c r="AQ182" s="253"/>
      <c r="AR182" s="253"/>
      <c r="AS182" s="253"/>
      <c r="AT182" s="253"/>
      <c r="AU182" s="253"/>
      <c r="AV182" s="253"/>
      <c r="AW182" s="253"/>
      <c r="AX182" s="769"/>
      <c r="AY182" s="964"/>
      <c r="AZ182" s="964"/>
      <c r="BA182" s="964"/>
      <c r="BB182" s="964"/>
      <c r="BC182" s="964"/>
      <c r="BD182" s="964"/>
      <c r="BE182" s="964"/>
      <c r="BF182" s="964"/>
      <c r="BG182" s="964"/>
      <c r="BH182" s="964"/>
    </row>
    <row r="183" spans="1:60" ht="13.5" customHeight="1">
      <c r="A183" s="2112"/>
      <c r="B183" s="8975" t="s">
        <v>592</v>
      </c>
      <c r="C183" s="8975"/>
      <c r="D183" s="504" t="s">
        <v>2830</v>
      </c>
      <c r="E183" s="253"/>
      <c r="F183" s="253"/>
      <c r="G183" s="253"/>
      <c r="H183" s="253"/>
      <c r="I183" s="253"/>
      <c r="J183" s="253"/>
      <c r="K183" s="253"/>
      <c r="L183" s="253"/>
      <c r="M183" s="253"/>
      <c r="N183" s="253"/>
      <c r="O183" s="1401" t="s">
        <v>877</v>
      </c>
      <c r="P183" s="9011"/>
      <c r="Q183" s="9012"/>
      <c r="R183" s="9012"/>
      <c r="S183" s="9012"/>
      <c r="T183" s="9012"/>
      <c r="U183" s="9012"/>
      <c r="V183" s="9013"/>
      <c r="W183" s="9011"/>
      <c r="X183" s="9012"/>
      <c r="Y183" s="9012"/>
      <c r="Z183" s="9012"/>
      <c r="AA183" s="9012"/>
      <c r="AB183" s="9012"/>
      <c r="AC183" s="9013"/>
      <c r="AD183" s="9011"/>
      <c r="AE183" s="9012"/>
      <c r="AF183" s="9012"/>
      <c r="AG183" s="9012"/>
      <c r="AH183" s="9012"/>
      <c r="AI183" s="9013"/>
      <c r="AJ183" s="8976"/>
      <c r="AK183" s="7976"/>
      <c r="AL183" s="408"/>
      <c r="AM183" s="253"/>
      <c r="AN183" s="253"/>
      <c r="AO183" s="253"/>
      <c r="AP183" s="1277"/>
      <c r="AQ183" s="253"/>
      <c r="AR183" s="253"/>
      <c r="AS183" s="253"/>
      <c r="AT183" s="253"/>
      <c r="AU183" s="253"/>
      <c r="AV183" s="253"/>
      <c r="AW183" s="253"/>
      <c r="AX183" s="769"/>
      <c r="AY183" s="964"/>
      <c r="AZ183" s="964"/>
      <c r="BA183" s="964"/>
      <c r="BB183" s="964"/>
      <c r="BC183" s="964"/>
      <c r="BD183" s="964"/>
      <c r="BE183" s="964"/>
      <c r="BF183" s="964"/>
      <c r="BG183" s="964"/>
      <c r="BH183" s="964"/>
    </row>
    <row r="184" spans="1:60">
      <c r="A184" s="2112"/>
      <c r="B184" s="9061">
        <v>5</v>
      </c>
      <c r="C184" s="9061"/>
      <c r="D184" s="504" t="s">
        <v>2831</v>
      </c>
      <c r="E184" s="253"/>
      <c r="F184" s="253"/>
      <c r="G184" s="253"/>
      <c r="H184" s="253"/>
      <c r="I184" s="253"/>
      <c r="J184" s="253"/>
      <c r="K184" s="253"/>
      <c r="L184" s="253"/>
      <c r="M184" s="253"/>
      <c r="N184" s="253"/>
      <c r="O184" s="1401" t="s">
        <v>808</v>
      </c>
      <c r="P184" s="9011"/>
      <c r="Q184" s="9012"/>
      <c r="R184" s="9012"/>
      <c r="S184" s="9012"/>
      <c r="T184" s="9012"/>
      <c r="U184" s="9012"/>
      <c r="V184" s="9013"/>
      <c r="W184" s="9011"/>
      <c r="X184" s="9012"/>
      <c r="Y184" s="9012"/>
      <c r="Z184" s="9012"/>
      <c r="AA184" s="9012"/>
      <c r="AB184" s="9012"/>
      <c r="AC184" s="9013"/>
      <c r="AD184" s="9011"/>
      <c r="AE184" s="9012"/>
      <c r="AF184" s="9012"/>
      <c r="AG184" s="9012"/>
      <c r="AH184" s="9012"/>
      <c r="AI184" s="9013"/>
      <c r="AJ184" s="8976"/>
      <c r="AK184" s="7976"/>
      <c r="AL184" s="408"/>
      <c r="AM184" s="253"/>
      <c r="AN184" s="253"/>
      <c r="AO184" s="253"/>
      <c r="AP184" s="1277"/>
      <c r="AQ184" s="1277"/>
      <c r="AR184" s="1277"/>
      <c r="AS184" s="1277"/>
      <c r="AT184" s="1277"/>
      <c r="AU184" s="1277"/>
      <c r="AV184" s="253"/>
      <c r="AW184" s="253"/>
      <c r="AX184" s="769"/>
      <c r="AY184" s="964"/>
      <c r="AZ184" s="964"/>
      <c r="BA184" s="964"/>
      <c r="BB184" s="964"/>
      <c r="BC184" s="964"/>
      <c r="BD184" s="964"/>
      <c r="BE184" s="964"/>
      <c r="BF184" s="964"/>
      <c r="BG184" s="964"/>
      <c r="BH184" s="964"/>
    </row>
    <row r="185" spans="1:60" s="1405" customFormat="1" ht="15">
      <c r="A185" s="2112"/>
      <c r="B185" s="9061">
        <v>6</v>
      </c>
      <c r="C185" s="9061"/>
      <c r="D185" s="344" t="s">
        <v>2832</v>
      </c>
      <c r="E185" s="253"/>
      <c r="F185" s="253"/>
      <c r="G185" s="253"/>
      <c r="H185" s="253"/>
      <c r="I185" s="253"/>
      <c r="J185" s="253"/>
      <c r="K185" s="253"/>
      <c r="L185" s="253"/>
      <c r="M185" s="253"/>
      <c r="N185" s="253"/>
      <c r="O185" s="1401" t="s">
        <v>808</v>
      </c>
      <c r="P185" s="9165">
        <f>SUM(P169,P179,P182,P183,P184)</f>
        <v>0</v>
      </c>
      <c r="Q185" s="9166"/>
      <c r="R185" s="9166"/>
      <c r="S185" s="9166"/>
      <c r="T185" s="9166"/>
      <c r="U185" s="9166"/>
      <c r="V185" s="9167"/>
      <c r="W185" s="9165">
        <f>SUM(W169,W179,W182,W183,W184)</f>
        <v>0</v>
      </c>
      <c r="X185" s="9166"/>
      <c r="Y185" s="9166"/>
      <c r="Z185" s="9166"/>
      <c r="AA185" s="9166"/>
      <c r="AB185" s="9166"/>
      <c r="AC185" s="9167"/>
      <c r="AD185" s="9165">
        <f>SUM(AD169,AD179,AD182,AD183,AD184)</f>
        <v>0</v>
      </c>
      <c r="AE185" s="9166"/>
      <c r="AF185" s="9166"/>
      <c r="AG185" s="9166"/>
      <c r="AH185" s="9166"/>
      <c r="AI185" s="9167"/>
      <c r="AJ185" s="8981">
        <v>6</v>
      </c>
      <c r="AK185" s="8297"/>
      <c r="AL185" s="9003" t="str">
        <f>IF(AQ185&lt;&gt;"",ROUND(AQ185,0),IF(AO144=0,"",ROUND(SUM(P185,W185,AD185),0)))</f>
        <v/>
      </c>
      <c r="AM185" s="9004"/>
      <c r="AN185" s="9004"/>
      <c r="AO185" s="9004"/>
      <c r="AP185" s="1277"/>
      <c r="AQ185" s="8967"/>
      <c r="AR185" s="8968"/>
      <c r="AS185" s="8968"/>
      <c r="AT185" s="8968"/>
      <c r="AU185" s="1277"/>
      <c r="AV185" s="253"/>
      <c r="AW185" s="253"/>
      <c r="AX185" s="769"/>
      <c r="AY185" s="964"/>
      <c r="AZ185" s="964"/>
      <c r="BA185" s="964"/>
      <c r="BB185" s="964"/>
      <c r="BC185" s="964"/>
      <c r="BD185" s="964"/>
      <c r="BE185" s="964"/>
      <c r="BF185" s="964"/>
      <c r="BG185" s="964"/>
      <c r="BH185" s="964"/>
    </row>
    <row r="186" spans="1:60" s="1405" customFormat="1" ht="12" customHeight="1" thickBot="1">
      <c r="A186" s="2112"/>
      <c r="B186" s="8952">
        <v>7</v>
      </c>
      <c r="C186" s="8952"/>
      <c r="D186" s="2003" t="s">
        <v>2833</v>
      </c>
      <c r="E186" s="406"/>
      <c r="F186" s="406"/>
      <c r="G186" s="406"/>
      <c r="H186" s="406"/>
      <c r="I186" s="406"/>
      <c r="J186" s="406"/>
      <c r="K186" s="406"/>
      <c r="L186" s="406"/>
      <c r="M186" s="406"/>
      <c r="N186" s="406"/>
      <c r="O186" s="406"/>
      <c r="P186" s="406"/>
      <c r="Q186" s="406"/>
      <c r="R186" s="406"/>
      <c r="S186" s="406"/>
      <c r="T186" s="406"/>
      <c r="U186" s="406"/>
      <c r="V186" s="406"/>
      <c r="W186" s="406"/>
      <c r="X186" s="406"/>
      <c r="Y186" s="406"/>
      <c r="Z186" s="406"/>
      <c r="AA186" s="406"/>
      <c r="AB186" s="406"/>
      <c r="AC186" s="406"/>
      <c r="AD186" s="406"/>
      <c r="AE186" s="406"/>
      <c r="AF186" s="406"/>
      <c r="AG186" s="406"/>
      <c r="AH186" s="406"/>
      <c r="AI186" s="1321" t="s">
        <v>824</v>
      </c>
      <c r="AJ186" s="8561">
        <v>7</v>
      </c>
      <c r="AK186" s="8295"/>
      <c r="AL186" s="9173" t="str">
        <f>IF(AQ186&lt;&gt;"",ROUND(AQ186,0),IF(AO144=0,"",ROUND(SUM(AL160,-AL185),0)))</f>
        <v/>
      </c>
      <c r="AM186" s="9174"/>
      <c r="AN186" s="9174"/>
      <c r="AO186" s="9174"/>
      <c r="AP186" s="1277"/>
      <c r="AQ186" s="8967"/>
      <c r="AR186" s="8968"/>
      <c r="AS186" s="8968"/>
      <c r="AT186" s="8968"/>
      <c r="AU186" s="1277"/>
      <c r="AV186" s="253"/>
      <c r="AW186" s="253"/>
      <c r="AX186" s="769"/>
      <c r="AY186" s="964"/>
      <c r="AZ186" s="964"/>
      <c r="BA186" s="964"/>
      <c r="BB186" s="964"/>
      <c r="BC186" s="964"/>
      <c r="BD186" s="964"/>
      <c r="BE186" s="964"/>
      <c r="BF186" s="964"/>
      <c r="BG186" s="964"/>
      <c r="BH186" s="964"/>
    </row>
    <row r="187" spans="1:60" s="1405" customFormat="1" ht="18">
      <c r="A187" s="4157"/>
      <c r="B187" s="9031" t="s">
        <v>868</v>
      </c>
      <c r="C187" s="9031"/>
      <c r="D187" s="9032"/>
      <c r="E187" s="9175" t="s">
        <v>2834</v>
      </c>
      <c r="F187" s="9176"/>
      <c r="G187" s="9176"/>
      <c r="H187" s="9176"/>
      <c r="I187" s="9176"/>
      <c r="J187" s="9176"/>
      <c r="K187" s="9176"/>
      <c r="L187" s="9176"/>
      <c r="M187" s="9176"/>
      <c r="N187" s="9176"/>
      <c r="O187" s="9176"/>
      <c r="P187" s="9176"/>
      <c r="Q187" s="9176"/>
      <c r="R187" s="9176"/>
      <c r="S187" s="9176"/>
      <c r="T187" s="9176"/>
      <c r="U187" s="9176"/>
      <c r="V187" s="9176"/>
      <c r="W187" s="9176"/>
      <c r="X187" s="9176"/>
      <c r="Y187" s="9176"/>
      <c r="Z187" s="9176"/>
      <c r="AA187" s="9176"/>
      <c r="AB187" s="9176"/>
      <c r="AC187" s="9176"/>
      <c r="AD187" s="9176"/>
      <c r="AE187" s="9176"/>
      <c r="AF187" s="9176"/>
      <c r="AG187" s="9176"/>
      <c r="AH187" s="9176"/>
      <c r="AI187" s="9176"/>
      <c r="AJ187" s="9176"/>
      <c r="AK187" s="9176"/>
      <c r="AL187" s="9176"/>
      <c r="AM187" s="9176"/>
      <c r="AN187" s="9176"/>
      <c r="AO187" s="9176"/>
      <c r="AP187" s="1277"/>
      <c r="AQ187" s="1277"/>
      <c r="AR187" s="1277"/>
      <c r="AS187" s="1277"/>
      <c r="AT187" s="1277"/>
      <c r="AU187" s="1277"/>
      <c r="AV187" s="1323"/>
      <c r="AW187" s="1323"/>
      <c r="AX187" s="769"/>
      <c r="AY187" s="964"/>
      <c r="AZ187" s="964"/>
      <c r="BA187" s="964"/>
      <c r="BB187" s="964"/>
      <c r="BC187" s="964"/>
      <c r="BD187" s="964"/>
      <c r="BE187" s="964"/>
      <c r="BF187" s="964"/>
      <c r="BG187" s="964"/>
      <c r="BH187" s="964"/>
    </row>
    <row r="188" spans="1:60" s="1405" customFormat="1" ht="15" customHeight="1">
      <c r="A188" s="4157"/>
      <c r="B188" s="9074" t="s">
        <v>2835</v>
      </c>
      <c r="C188" s="9062" t="s">
        <v>2836</v>
      </c>
      <c r="D188" s="8440"/>
      <c r="E188" s="8440"/>
      <c r="F188" s="8440"/>
      <c r="G188" s="8441"/>
      <c r="H188" s="9080" t="s">
        <v>2837</v>
      </c>
      <c r="I188" s="9081"/>
      <c r="J188" s="9081"/>
      <c r="K188" s="9081"/>
      <c r="L188" s="9081"/>
      <c r="M188" s="9081"/>
      <c r="N188" s="9081"/>
      <c r="O188" s="9081"/>
      <c r="P188" s="9081"/>
      <c r="Q188" s="9081"/>
      <c r="R188" s="9081"/>
      <c r="S188" s="9081"/>
      <c r="T188" s="9081"/>
      <c r="U188" s="9081"/>
      <c r="V188" s="9081"/>
      <c r="W188" s="9081"/>
      <c r="X188" s="9081"/>
      <c r="Y188" s="9081"/>
      <c r="Z188" s="9081"/>
      <c r="AA188" s="9081"/>
      <c r="AB188" s="9081"/>
      <c r="AC188" s="9081"/>
      <c r="AD188" s="9081"/>
      <c r="AE188" s="9081"/>
      <c r="AF188" s="9081"/>
      <c r="AG188" s="9081"/>
      <c r="AH188" s="9081"/>
      <c r="AI188" s="9081"/>
      <c r="AJ188" s="9081"/>
      <c r="AK188" s="9081"/>
      <c r="AL188" s="9081"/>
      <c r="AM188" s="9081"/>
      <c r="AN188" s="9081"/>
      <c r="AO188" s="9081"/>
      <c r="AP188" s="1277"/>
      <c r="AQ188" s="1323"/>
      <c r="AR188" s="1323"/>
      <c r="AS188" s="1323"/>
      <c r="AT188" s="1323"/>
      <c r="AU188" s="1323"/>
      <c r="AV188" s="1323"/>
      <c r="AW188" s="1323"/>
      <c r="AX188" s="769"/>
      <c r="AY188" s="964"/>
      <c r="AZ188" s="964"/>
      <c r="BA188" s="964"/>
      <c r="BB188" s="964"/>
      <c r="BC188" s="964"/>
      <c r="BD188" s="964"/>
      <c r="BE188" s="964"/>
      <c r="BF188" s="964"/>
      <c r="BG188" s="964"/>
      <c r="BH188" s="964"/>
    </row>
    <row r="189" spans="1:60" s="1405" customFormat="1" ht="15">
      <c r="A189" s="4157"/>
      <c r="B189" s="9075"/>
      <c r="C189" s="8455"/>
      <c r="D189" s="8456"/>
      <c r="E189" s="8456"/>
      <c r="F189" s="8456"/>
      <c r="G189" s="8342"/>
      <c r="H189" s="9082"/>
      <c r="I189" s="9083"/>
      <c r="J189" s="9083"/>
      <c r="K189" s="9083"/>
      <c r="L189" s="9083"/>
      <c r="M189" s="9083"/>
      <c r="N189" s="9083"/>
      <c r="O189" s="9083"/>
      <c r="P189" s="9083"/>
      <c r="Q189" s="9083"/>
      <c r="R189" s="9083"/>
      <c r="S189" s="9083"/>
      <c r="T189" s="9083"/>
      <c r="U189" s="9083"/>
      <c r="V189" s="9083"/>
      <c r="W189" s="9083"/>
      <c r="X189" s="9083"/>
      <c r="Y189" s="9083"/>
      <c r="Z189" s="9083"/>
      <c r="AA189" s="9083"/>
      <c r="AB189" s="9083"/>
      <c r="AC189" s="9083"/>
      <c r="AD189" s="9083"/>
      <c r="AE189" s="9083"/>
      <c r="AF189" s="9083"/>
      <c r="AG189" s="9083"/>
      <c r="AH189" s="9083"/>
      <c r="AI189" s="9083"/>
      <c r="AJ189" s="9083"/>
      <c r="AK189" s="9083"/>
      <c r="AL189" s="9083"/>
      <c r="AM189" s="9083"/>
      <c r="AN189" s="9083"/>
      <c r="AO189" s="9083"/>
      <c r="AP189" s="1277"/>
      <c r="AQ189" s="1323"/>
      <c r="AR189" s="1323"/>
      <c r="AS189" s="1323"/>
      <c r="AT189" s="1323"/>
      <c r="AU189" s="1323"/>
      <c r="AV189" s="1323"/>
      <c r="AW189" s="1323"/>
      <c r="AX189" s="769"/>
      <c r="AY189" s="964"/>
      <c r="AZ189" s="964"/>
      <c r="BA189" s="964"/>
      <c r="BB189" s="964"/>
      <c r="BC189" s="964"/>
      <c r="BD189" s="964"/>
      <c r="BE189" s="964"/>
      <c r="BF189" s="964"/>
      <c r="BG189" s="964"/>
      <c r="BH189" s="964"/>
    </row>
    <row r="190" spans="1:60" ht="15">
      <c r="A190" s="4157"/>
      <c r="B190" s="9075"/>
      <c r="C190" s="8455"/>
      <c r="D190" s="8456"/>
      <c r="E190" s="8456"/>
      <c r="F190" s="8456"/>
      <c r="G190" s="8342"/>
      <c r="H190" s="9084"/>
      <c r="I190" s="9085"/>
      <c r="J190" s="9085"/>
      <c r="K190" s="9085"/>
      <c r="L190" s="9085"/>
      <c r="M190" s="9085"/>
      <c r="N190" s="9085"/>
      <c r="O190" s="9085"/>
      <c r="P190" s="9085"/>
      <c r="Q190" s="9085"/>
      <c r="R190" s="9085"/>
      <c r="S190" s="9085"/>
      <c r="T190" s="9085"/>
      <c r="U190" s="9085"/>
      <c r="V190" s="9085"/>
      <c r="W190" s="9085"/>
      <c r="X190" s="9085"/>
      <c r="Y190" s="9085"/>
      <c r="Z190" s="9085"/>
      <c r="AA190" s="9085"/>
      <c r="AB190" s="9085"/>
      <c r="AC190" s="9085"/>
      <c r="AD190" s="9085"/>
      <c r="AE190" s="9085"/>
      <c r="AF190" s="9085"/>
      <c r="AG190" s="9085"/>
      <c r="AH190" s="9085"/>
      <c r="AI190" s="9085"/>
      <c r="AJ190" s="9085"/>
      <c r="AK190" s="9085"/>
      <c r="AL190" s="9085"/>
      <c r="AM190" s="9085"/>
      <c r="AN190" s="9085"/>
      <c r="AO190" s="9085"/>
      <c r="AP190" s="1277"/>
      <c r="AQ190" s="1323"/>
      <c r="AR190" s="1323"/>
      <c r="AS190" s="1323"/>
      <c r="AT190" s="1323"/>
      <c r="AU190" s="1323"/>
      <c r="AV190" s="1323"/>
      <c r="AW190" s="1323"/>
      <c r="AX190" s="769"/>
      <c r="AY190" s="964"/>
      <c r="AZ190" s="964"/>
      <c r="BA190" s="964"/>
      <c r="BB190" s="964"/>
      <c r="BC190" s="964"/>
      <c r="BD190" s="964"/>
      <c r="BE190" s="964"/>
      <c r="BF190" s="964"/>
      <c r="BG190" s="964"/>
      <c r="BH190" s="964"/>
    </row>
    <row r="191" spans="1:60" ht="15.75">
      <c r="A191" s="4157"/>
      <c r="B191" s="9075"/>
      <c r="C191" s="4170">
        <f>IF(E191&lt;&gt;"",1,0)</f>
        <v>0</v>
      </c>
      <c r="D191" s="817" t="s">
        <v>2838</v>
      </c>
      <c r="E191" s="278"/>
      <c r="F191" s="2855" t="s">
        <v>2839</v>
      </c>
      <c r="G191" s="4171"/>
      <c r="H191" s="8417" t="s">
        <v>2840</v>
      </c>
      <c r="I191" s="8418"/>
      <c r="J191" s="8418"/>
      <c r="K191" s="8418"/>
      <c r="L191" s="8418"/>
      <c r="M191" s="8418"/>
      <c r="N191" s="8418"/>
      <c r="O191" s="8418"/>
      <c r="P191" s="8418"/>
      <c r="Q191" s="8418"/>
      <c r="R191" s="8418"/>
      <c r="S191" s="8418"/>
      <c r="T191" s="8418"/>
      <c r="U191" s="8418"/>
      <c r="V191" s="8418"/>
      <c r="W191" s="8507"/>
      <c r="X191" s="8417" t="s">
        <v>2841</v>
      </c>
      <c r="Y191" s="8391"/>
      <c r="Z191" s="8391"/>
      <c r="AA191" s="8391"/>
      <c r="AB191" s="8391"/>
      <c r="AC191" s="8391"/>
      <c r="AD191" s="8391"/>
      <c r="AE191" s="8391"/>
      <c r="AF191" s="8391"/>
      <c r="AG191" s="8391"/>
      <c r="AH191" s="8391"/>
      <c r="AI191" s="8391"/>
      <c r="AJ191" s="8391"/>
      <c r="AK191" s="8391"/>
      <c r="AL191" s="8391"/>
      <c r="AM191" s="8391"/>
      <c r="AN191" s="8391"/>
      <c r="AO191" s="8391"/>
      <c r="AP191" s="1277"/>
      <c r="AQ191" s="1323"/>
      <c r="AR191" s="1323"/>
      <c r="AS191" s="1323"/>
      <c r="AT191" s="1323"/>
      <c r="AU191" s="1323"/>
      <c r="AV191" s="1323"/>
      <c r="AW191" s="1323"/>
      <c r="AX191" s="769"/>
      <c r="AY191" s="964"/>
      <c r="AZ191" s="964"/>
      <c r="BA191" s="964"/>
      <c r="BB191" s="964"/>
      <c r="BC191" s="964"/>
      <c r="BD191" s="964"/>
      <c r="BE191" s="964"/>
      <c r="BF191" s="964"/>
      <c r="BG191" s="964"/>
      <c r="BH191" s="964"/>
    </row>
    <row r="192" spans="1:60" ht="8.25" customHeight="1">
      <c r="A192" s="2112"/>
      <c r="B192" s="9075"/>
      <c r="C192" s="4174"/>
      <c r="D192" s="344"/>
      <c r="E192" s="253"/>
      <c r="F192" s="253"/>
      <c r="G192" s="409"/>
      <c r="H192" s="8421"/>
      <c r="I192" s="8422"/>
      <c r="J192" s="8422"/>
      <c r="K192" s="8422"/>
      <c r="L192" s="8422"/>
      <c r="M192" s="8422"/>
      <c r="N192" s="8422"/>
      <c r="O192" s="8422"/>
      <c r="P192" s="8422"/>
      <c r="Q192" s="8422"/>
      <c r="R192" s="8422"/>
      <c r="S192" s="8422"/>
      <c r="T192" s="8422"/>
      <c r="U192" s="8422"/>
      <c r="V192" s="8422"/>
      <c r="W192" s="8509"/>
      <c r="X192" s="9086"/>
      <c r="Y192" s="9087"/>
      <c r="Z192" s="9087"/>
      <c r="AA192" s="9087"/>
      <c r="AB192" s="9087"/>
      <c r="AC192" s="9087"/>
      <c r="AD192" s="9087"/>
      <c r="AE192" s="9087"/>
      <c r="AF192" s="9087"/>
      <c r="AG192" s="9087"/>
      <c r="AH192" s="9087"/>
      <c r="AI192" s="9087"/>
      <c r="AJ192" s="9087"/>
      <c r="AK192" s="9087"/>
      <c r="AL192" s="9087"/>
      <c r="AM192" s="9087"/>
      <c r="AN192" s="9087"/>
      <c r="AO192" s="9087"/>
      <c r="AP192" s="1277"/>
      <c r="AQ192" s="253"/>
      <c r="AR192" s="253"/>
      <c r="AS192" s="253"/>
      <c r="AT192" s="253"/>
      <c r="AU192" s="253"/>
      <c r="AV192" s="253"/>
      <c r="AW192" s="253"/>
      <c r="AX192" s="769"/>
      <c r="AY192" s="964"/>
      <c r="AZ192" s="964"/>
      <c r="BA192" s="964"/>
      <c r="BB192" s="964"/>
      <c r="BC192" s="964"/>
      <c r="BD192" s="964"/>
      <c r="BE192" s="964"/>
      <c r="BF192" s="964"/>
      <c r="BG192" s="964"/>
      <c r="BH192" s="964"/>
    </row>
    <row r="193" spans="1:60" ht="12" customHeight="1">
      <c r="A193" s="2112"/>
      <c r="B193" s="9075"/>
      <c r="C193" s="4170">
        <f>IF(E193&lt;&gt;"",1,0)</f>
        <v>0</v>
      </c>
      <c r="D193" s="733" t="s">
        <v>2842</v>
      </c>
      <c r="E193" s="278"/>
      <c r="F193" s="2855" t="s">
        <v>2843</v>
      </c>
      <c r="G193" s="4175"/>
      <c r="H193" s="8439" t="s">
        <v>2844</v>
      </c>
      <c r="I193" s="8440"/>
      <c r="J193" s="8440"/>
      <c r="K193" s="8440"/>
      <c r="L193" s="8440"/>
      <c r="M193" s="8440"/>
      <c r="N193" s="8440"/>
      <c r="O193" s="8440"/>
      <c r="P193" s="8440"/>
      <c r="Q193" s="8440"/>
      <c r="R193" s="8440"/>
      <c r="S193" s="8441"/>
      <c r="T193" s="8439" t="s">
        <v>2845</v>
      </c>
      <c r="U193" s="8440"/>
      <c r="V193" s="8440"/>
      <c r="W193" s="8441"/>
      <c r="X193" s="8439" t="s">
        <v>2844</v>
      </c>
      <c r="Y193" s="8440"/>
      <c r="Z193" s="8440"/>
      <c r="AA193" s="8440"/>
      <c r="AB193" s="8440"/>
      <c r="AC193" s="8440"/>
      <c r="AD193" s="8440"/>
      <c r="AE193" s="8440"/>
      <c r="AF193" s="8440"/>
      <c r="AG193" s="8440"/>
      <c r="AH193" s="8441"/>
      <c r="AI193" s="8439" t="s">
        <v>2846</v>
      </c>
      <c r="AJ193" s="8440"/>
      <c r="AK193" s="8440"/>
      <c r="AL193" s="8441"/>
      <c r="AM193" s="8439" t="s">
        <v>2847</v>
      </c>
      <c r="AN193" s="9039"/>
      <c r="AO193" s="9039"/>
      <c r="AP193" s="1277"/>
      <c r="AQ193" s="253"/>
      <c r="AR193" s="253"/>
      <c r="AS193" s="253"/>
      <c r="AT193" s="253"/>
      <c r="AU193" s="253"/>
      <c r="AV193" s="253"/>
      <c r="AW193" s="253"/>
      <c r="AX193" s="769"/>
      <c r="AY193" s="964"/>
      <c r="AZ193" s="964"/>
      <c r="BA193" s="964"/>
      <c r="BB193" s="964"/>
      <c r="BC193" s="964"/>
      <c r="BD193" s="964"/>
      <c r="BE193" s="964"/>
      <c r="BF193" s="964"/>
      <c r="BG193" s="964"/>
      <c r="BH193" s="964"/>
    </row>
    <row r="194" spans="1:60" ht="7.5" customHeight="1">
      <c r="A194" s="2112"/>
      <c r="B194" s="9076"/>
      <c r="C194" s="4176"/>
      <c r="D194" s="2271"/>
      <c r="E194" s="2271"/>
      <c r="F194" s="2271"/>
      <c r="G194" s="4177"/>
      <c r="H194" s="8445"/>
      <c r="I194" s="8446"/>
      <c r="J194" s="8446"/>
      <c r="K194" s="8446"/>
      <c r="L194" s="8446"/>
      <c r="M194" s="8446"/>
      <c r="N194" s="8446"/>
      <c r="O194" s="8446"/>
      <c r="P194" s="8446"/>
      <c r="Q194" s="8446"/>
      <c r="R194" s="8446"/>
      <c r="S194" s="8447"/>
      <c r="T194" s="8442"/>
      <c r="U194" s="8443"/>
      <c r="V194" s="8443"/>
      <c r="W194" s="8444"/>
      <c r="X194" s="8445"/>
      <c r="Y194" s="8446"/>
      <c r="Z194" s="8446"/>
      <c r="AA194" s="8446"/>
      <c r="AB194" s="8446"/>
      <c r="AC194" s="8446"/>
      <c r="AD194" s="8446"/>
      <c r="AE194" s="8446"/>
      <c r="AF194" s="8446"/>
      <c r="AG194" s="8446"/>
      <c r="AH194" s="8447"/>
      <c r="AI194" s="8442"/>
      <c r="AJ194" s="8443"/>
      <c r="AK194" s="8443"/>
      <c r="AL194" s="8444"/>
      <c r="AM194" s="9040"/>
      <c r="AN194" s="9041"/>
      <c r="AO194" s="9041"/>
      <c r="AP194" s="1277"/>
      <c r="AQ194" s="253"/>
      <c r="AR194" s="253"/>
      <c r="AS194" s="253"/>
      <c r="AT194" s="253"/>
      <c r="AU194" s="253"/>
      <c r="AV194" s="253"/>
      <c r="AW194" s="253"/>
      <c r="AX194" s="769"/>
      <c r="AY194" s="964"/>
      <c r="AZ194" s="964"/>
      <c r="BA194" s="964"/>
      <c r="BB194" s="964"/>
      <c r="BC194" s="964"/>
      <c r="BD194" s="964"/>
      <c r="BE194" s="964"/>
      <c r="BF194" s="964"/>
      <c r="BG194" s="964"/>
      <c r="BH194" s="964"/>
    </row>
    <row r="195" spans="1:60" ht="9.75" customHeight="1">
      <c r="A195" s="2112"/>
      <c r="B195" s="4178"/>
      <c r="C195" s="9177" t="s">
        <v>2916</v>
      </c>
      <c r="D195" s="9068"/>
      <c r="E195" s="9068"/>
      <c r="F195" s="9068"/>
      <c r="G195" s="9069"/>
      <c r="H195" s="8439" t="s">
        <v>2849</v>
      </c>
      <c r="I195" s="8440"/>
      <c r="J195" s="8440"/>
      <c r="K195" s="8439" t="s">
        <v>2850</v>
      </c>
      <c r="L195" s="8440"/>
      <c r="M195" s="8440"/>
      <c r="N195" s="8440"/>
      <c r="O195" s="8439" t="s">
        <v>2851</v>
      </c>
      <c r="P195" s="8440"/>
      <c r="Q195" s="8440"/>
      <c r="R195" s="8440"/>
      <c r="S195" s="9050"/>
      <c r="T195" s="8442"/>
      <c r="U195" s="8443"/>
      <c r="V195" s="8443"/>
      <c r="W195" s="8444"/>
      <c r="X195" s="8439" t="s">
        <v>2852</v>
      </c>
      <c r="Y195" s="8440"/>
      <c r="Z195" s="8440"/>
      <c r="AA195" s="8439" t="s">
        <v>2853</v>
      </c>
      <c r="AB195" s="8440"/>
      <c r="AC195" s="8440"/>
      <c r="AD195" s="8440"/>
      <c r="AE195" s="8439" t="s">
        <v>2854</v>
      </c>
      <c r="AF195" s="9049"/>
      <c r="AG195" s="9049"/>
      <c r="AH195" s="9050"/>
      <c r="AI195" s="8442"/>
      <c r="AJ195" s="8443"/>
      <c r="AK195" s="8443"/>
      <c r="AL195" s="8444"/>
      <c r="AM195" s="9040"/>
      <c r="AN195" s="9041"/>
      <c r="AO195" s="9041"/>
      <c r="AP195" s="1277"/>
      <c r="AQ195" s="253"/>
      <c r="AR195" s="253"/>
      <c r="AS195" s="253"/>
      <c r="AT195" s="253"/>
      <c r="AU195" s="253"/>
      <c r="AV195" s="253"/>
      <c r="AW195" s="253"/>
      <c r="AX195" s="769"/>
      <c r="AY195" s="964"/>
      <c r="AZ195" s="964"/>
      <c r="BA195" s="964"/>
      <c r="BB195" s="964"/>
      <c r="BC195" s="964"/>
      <c r="BD195" s="964"/>
      <c r="BE195" s="964"/>
      <c r="BF195" s="964"/>
      <c r="BG195" s="964"/>
      <c r="BH195" s="964"/>
    </row>
    <row r="196" spans="1:60" ht="6.75" customHeight="1">
      <c r="A196" s="2112"/>
      <c r="B196" s="4178"/>
      <c r="C196" s="9070"/>
      <c r="D196" s="9071"/>
      <c r="E196" s="9071"/>
      <c r="F196" s="9071"/>
      <c r="G196" s="9072"/>
      <c r="H196" s="8442"/>
      <c r="I196" s="8443"/>
      <c r="J196" s="8443"/>
      <c r="K196" s="8442"/>
      <c r="L196" s="8443"/>
      <c r="M196" s="8443"/>
      <c r="N196" s="8443"/>
      <c r="O196" s="8442"/>
      <c r="P196" s="8443"/>
      <c r="Q196" s="8443"/>
      <c r="R196" s="8443"/>
      <c r="S196" s="9053"/>
      <c r="T196" s="8442"/>
      <c r="U196" s="8443"/>
      <c r="V196" s="8443"/>
      <c r="W196" s="8444"/>
      <c r="X196" s="8442"/>
      <c r="Y196" s="8443"/>
      <c r="Z196" s="8443"/>
      <c r="AA196" s="8442"/>
      <c r="AB196" s="8443"/>
      <c r="AC196" s="8443"/>
      <c r="AD196" s="8443"/>
      <c r="AE196" s="9051"/>
      <c r="AF196" s="9052"/>
      <c r="AG196" s="9052"/>
      <c r="AH196" s="9053"/>
      <c r="AI196" s="8442"/>
      <c r="AJ196" s="8443"/>
      <c r="AK196" s="8443"/>
      <c r="AL196" s="8444"/>
      <c r="AM196" s="9040"/>
      <c r="AN196" s="9041"/>
      <c r="AO196" s="9041"/>
      <c r="AP196" s="1277"/>
      <c r="AQ196" s="253"/>
      <c r="AR196" s="253"/>
      <c r="AS196" s="253"/>
      <c r="AT196" s="253"/>
      <c r="AU196" s="253"/>
      <c r="AV196" s="253"/>
      <c r="AW196" s="253"/>
      <c r="AX196" s="769"/>
      <c r="AY196" s="964"/>
      <c r="AZ196" s="964"/>
      <c r="BA196" s="964"/>
      <c r="BB196" s="964"/>
      <c r="BC196" s="964"/>
      <c r="BD196" s="964"/>
      <c r="BE196" s="964"/>
      <c r="BF196" s="964"/>
      <c r="BG196" s="964"/>
      <c r="BH196" s="964"/>
    </row>
    <row r="197" spans="1:60" ht="12.75" customHeight="1">
      <c r="A197" s="2112"/>
      <c r="B197" s="4178"/>
      <c r="C197" s="9064" t="s">
        <v>2855</v>
      </c>
      <c r="D197" s="9168"/>
      <c r="E197" s="9168"/>
      <c r="F197" s="9168"/>
      <c r="G197" s="9169"/>
      <c r="H197" s="8442"/>
      <c r="I197" s="8443"/>
      <c r="J197" s="8443"/>
      <c r="K197" s="8442"/>
      <c r="L197" s="8443"/>
      <c r="M197" s="8443"/>
      <c r="N197" s="8443"/>
      <c r="O197" s="8442"/>
      <c r="P197" s="8443"/>
      <c r="Q197" s="8443"/>
      <c r="R197" s="8443"/>
      <c r="S197" s="9053"/>
      <c r="T197" s="8442"/>
      <c r="U197" s="8443"/>
      <c r="V197" s="8443"/>
      <c r="W197" s="8444"/>
      <c r="X197" s="8442"/>
      <c r="Y197" s="8443"/>
      <c r="Z197" s="8443"/>
      <c r="AA197" s="8442"/>
      <c r="AB197" s="8443"/>
      <c r="AC197" s="8443"/>
      <c r="AD197" s="8443"/>
      <c r="AE197" s="9051"/>
      <c r="AF197" s="9052"/>
      <c r="AG197" s="9052"/>
      <c r="AH197" s="9053"/>
      <c r="AI197" s="8442"/>
      <c r="AJ197" s="8443"/>
      <c r="AK197" s="8443"/>
      <c r="AL197" s="8444"/>
      <c r="AM197" s="9040"/>
      <c r="AN197" s="9041"/>
      <c r="AO197" s="9041"/>
      <c r="AP197" s="1277"/>
      <c r="AQ197" s="253"/>
      <c r="AR197" s="253"/>
      <c r="AS197" s="253"/>
      <c r="AT197" s="253"/>
      <c r="AU197" s="253"/>
      <c r="AV197" s="253"/>
      <c r="AW197" s="253"/>
      <c r="AX197" s="769"/>
      <c r="AY197" s="964"/>
      <c r="AZ197" s="964"/>
      <c r="BA197" s="964"/>
      <c r="BB197" s="964"/>
      <c r="BC197" s="964"/>
      <c r="BD197" s="964"/>
      <c r="BE197" s="964"/>
      <c r="BF197" s="964"/>
      <c r="BG197" s="964"/>
      <c r="BH197" s="964"/>
    </row>
    <row r="198" spans="1:60" ht="11.25" customHeight="1">
      <c r="A198" s="2112"/>
      <c r="B198" s="4180"/>
      <c r="C198" s="4181"/>
      <c r="D198" s="462"/>
      <c r="E198" s="462"/>
      <c r="F198" s="462"/>
      <c r="G198" s="4182"/>
      <c r="H198" s="8445"/>
      <c r="I198" s="8446"/>
      <c r="J198" s="8446"/>
      <c r="K198" s="8445"/>
      <c r="L198" s="8446"/>
      <c r="M198" s="8446"/>
      <c r="N198" s="8446"/>
      <c r="O198" s="9042"/>
      <c r="P198" s="9055"/>
      <c r="Q198" s="9055"/>
      <c r="R198" s="9055"/>
      <c r="S198" s="9056"/>
      <c r="T198" s="8445"/>
      <c r="U198" s="8446"/>
      <c r="V198" s="8446"/>
      <c r="W198" s="8447"/>
      <c r="X198" s="8445"/>
      <c r="Y198" s="8446"/>
      <c r="Z198" s="8446"/>
      <c r="AA198" s="8445"/>
      <c r="AB198" s="8446"/>
      <c r="AC198" s="8446"/>
      <c r="AD198" s="8446"/>
      <c r="AE198" s="9054"/>
      <c r="AF198" s="9055"/>
      <c r="AG198" s="9055"/>
      <c r="AH198" s="9056"/>
      <c r="AI198" s="8445"/>
      <c r="AJ198" s="8446"/>
      <c r="AK198" s="8446"/>
      <c r="AL198" s="8447"/>
      <c r="AM198" s="9042"/>
      <c r="AN198" s="9043"/>
      <c r="AO198" s="9043"/>
      <c r="AP198" s="1277"/>
      <c r="AQ198" s="253"/>
      <c r="AR198" s="253"/>
      <c r="AS198" s="253"/>
      <c r="AT198" s="253"/>
      <c r="AU198" s="253"/>
      <c r="AV198" s="253"/>
      <c r="AW198" s="253"/>
      <c r="AX198" s="769"/>
      <c r="AY198" s="964"/>
      <c r="AZ198" s="964"/>
      <c r="BA198" s="964"/>
      <c r="BB198" s="964"/>
      <c r="BC198" s="964"/>
      <c r="BD198" s="964"/>
      <c r="BE198" s="964"/>
      <c r="BF198" s="964"/>
      <c r="BG198" s="964"/>
      <c r="BH198" s="964"/>
    </row>
    <row r="199" spans="1:60" ht="15" customHeight="1">
      <c r="A199" s="4183">
        <f>SUM(X199:AL199)</f>
        <v>0</v>
      </c>
      <c r="B199" s="4184" t="s">
        <v>510</v>
      </c>
      <c r="C199" s="9170"/>
      <c r="D199" s="9171"/>
      <c r="E199" s="9171"/>
      <c r="F199" s="9171"/>
      <c r="G199" s="9172"/>
      <c r="H199" s="8982"/>
      <c r="I199" s="8950"/>
      <c r="J199" s="8983"/>
      <c r="K199" s="8950"/>
      <c r="L199" s="8951"/>
      <c r="M199" s="8951"/>
      <c r="N199" s="8951"/>
      <c r="O199" s="8982"/>
      <c r="P199" s="8950"/>
      <c r="Q199" s="8950"/>
      <c r="R199" s="8950"/>
      <c r="S199" s="8983"/>
      <c r="T199" s="8982"/>
      <c r="U199" s="8950"/>
      <c r="V199" s="8950"/>
      <c r="W199" s="8983"/>
      <c r="X199" s="8982"/>
      <c r="Y199" s="8951"/>
      <c r="Z199" s="9060"/>
      <c r="AA199" s="8950"/>
      <c r="AB199" s="8950"/>
      <c r="AC199" s="8950"/>
      <c r="AD199" s="8983"/>
      <c r="AE199" s="8982"/>
      <c r="AF199" s="8950"/>
      <c r="AG199" s="8950"/>
      <c r="AH199" s="8983"/>
      <c r="AI199" s="8982"/>
      <c r="AJ199" s="8950"/>
      <c r="AK199" s="8950"/>
      <c r="AL199" s="8983"/>
      <c r="AM199" s="9038">
        <f>ROUND(SUM(X199:AL199),0)</f>
        <v>0</v>
      </c>
      <c r="AN199" s="9038"/>
      <c r="AO199" s="9038"/>
      <c r="AP199" s="1277"/>
      <c r="AQ199" s="253"/>
      <c r="AR199" s="253"/>
      <c r="AS199" s="253"/>
      <c r="AT199" s="253"/>
      <c r="AU199" s="253"/>
      <c r="AV199" s="253"/>
      <c r="AW199" s="253"/>
      <c r="AX199" s="769"/>
      <c r="AY199" s="964"/>
      <c r="AZ199" s="964"/>
      <c r="BA199" s="964"/>
      <c r="BB199" s="964"/>
      <c r="BC199" s="964"/>
      <c r="BD199" s="964"/>
      <c r="BE199" s="964"/>
      <c r="BF199" s="964"/>
      <c r="BG199" s="964"/>
      <c r="BH199" s="964"/>
    </row>
    <row r="200" spans="1:60" ht="15.75">
      <c r="A200" s="4183">
        <f>SUM(X200:AL200)</f>
        <v>0</v>
      </c>
      <c r="B200" s="4184" t="s">
        <v>516</v>
      </c>
      <c r="C200" s="9170"/>
      <c r="D200" s="9171"/>
      <c r="E200" s="9171"/>
      <c r="F200" s="9171"/>
      <c r="G200" s="9172"/>
      <c r="H200" s="8982"/>
      <c r="I200" s="8950"/>
      <c r="J200" s="8983"/>
      <c r="K200" s="8950"/>
      <c r="L200" s="8951"/>
      <c r="M200" s="8951"/>
      <c r="N200" s="8951"/>
      <c r="O200" s="8982"/>
      <c r="P200" s="8950"/>
      <c r="Q200" s="8950"/>
      <c r="R200" s="8950"/>
      <c r="S200" s="8983"/>
      <c r="T200" s="8982"/>
      <c r="U200" s="8950"/>
      <c r="V200" s="8950"/>
      <c r="W200" s="8983"/>
      <c r="X200" s="8982"/>
      <c r="Y200" s="8951"/>
      <c r="Z200" s="9060"/>
      <c r="AA200" s="8950"/>
      <c r="AB200" s="8950"/>
      <c r="AC200" s="8950"/>
      <c r="AD200" s="8983"/>
      <c r="AE200" s="8982"/>
      <c r="AF200" s="8950"/>
      <c r="AG200" s="8950"/>
      <c r="AH200" s="8983"/>
      <c r="AI200" s="8982"/>
      <c r="AJ200" s="8950"/>
      <c r="AK200" s="8950"/>
      <c r="AL200" s="8983"/>
      <c r="AM200" s="9038">
        <f>ROUND(SUM(X200:AL200),0)</f>
        <v>0</v>
      </c>
      <c r="AN200" s="9038"/>
      <c r="AO200" s="9038"/>
      <c r="AP200" s="1277"/>
      <c r="AQ200" s="253"/>
      <c r="AR200" s="253"/>
      <c r="AS200" s="253"/>
      <c r="AT200" s="253"/>
      <c r="AU200" s="253"/>
      <c r="AV200" s="253"/>
      <c r="AW200" s="253"/>
      <c r="AX200" s="769"/>
      <c r="AY200" s="964"/>
      <c r="AZ200" s="964"/>
      <c r="BA200" s="964"/>
      <c r="BB200" s="964"/>
      <c r="BC200" s="964"/>
      <c r="BD200" s="964"/>
      <c r="BE200" s="964"/>
      <c r="BF200" s="964"/>
      <c r="BG200" s="964"/>
      <c r="BH200" s="964"/>
    </row>
    <row r="201" spans="1:60" ht="15" customHeight="1">
      <c r="A201" s="4183">
        <f>SUM(X201:AL201)</f>
        <v>0</v>
      </c>
      <c r="B201" s="4184" t="s">
        <v>518</v>
      </c>
      <c r="C201" s="9170"/>
      <c r="D201" s="9171"/>
      <c r="E201" s="9171"/>
      <c r="F201" s="9171"/>
      <c r="G201" s="9172"/>
      <c r="H201" s="8982"/>
      <c r="I201" s="8950"/>
      <c r="J201" s="8983"/>
      <c r="K201" s="8950"/>
      <c r="L201" s="8951"/>
      <c r="M201" s="8951"/>
      <c r="N201" s="8951"/>
      <c r="O201" s="8982"/>
      <c r="P201" s="8950"/>
      <c r="Q201" s="8950"/>
      <c r="R201" s="8950"/>
      <c r="S201" s="8983"/>
      <c r="T201" s="8982"/>
      <c r="U201" s="8950"/>
      <c r="V201" s="8950"/>
      <c r="W201" s="8983"/>
      <c r="X201" s="8982"/>
      <c r="Y201" s="8951"/>
      <c r="Z201" s="9060"/>
      <c r="AA201" s="8950"/>
      <c r="AB201" s="8950"/>
      <c r="AC201" s="8950"/>
      <c r="AD201" s="8983"/>
      <c r="AE201" s="8982"/>
      <c r="AF201" s="8950"/>
      <c r="AG201" s="8950"/>
      <c r="AH201" s="8983"/>
      <c r="AI201" s="8982"/>
      <c r="AJ201" s="8950"/>
      <c r="AK201" s="8950"/>
      <c r="AL201" s="8983"/>
      <c r="AM201" s="9038">
        <f>ROUND(SUM(X201:AL201),0)</f>
        <v>0</v>
      </c>
      <c r="AN201" s="9038"/>
      <c r="AO201" s="9038"/>
      <c r="AP201" s="1277"/>
      <c r="AQ201" s="1277"/>
      <c r="AR201" s="1277"/>
      <c r="AS201" s="1277"/>
      <c r="AT201" s="1277"/>
      <c r="AU201" s="1277"/>
      <c r="AV201" s="253"/>
      <c r="AW201" s="253"/>
      <c r="AX201" s="769"/>
      <c r="AY201" s="964"/>
      <c r="AZ201" s="964"/>
      <c r="BA201" s="964"/>
      <c r="BB201" s="964"/>
      <c r="BC201" s="964"/>
      <c r="BD201" s="964"/>
      <c r="BE201" s="964"/>
      <c r="BF201" s="964"/>
      <c r="BG201" s="964"/>
      <c r="BH201" s="964"/>
    </row>
    <row r="202" spans="1:60" ht="15" customHeight="1">
      <c r="A202" s="4185" t="b">
        <f>SUM(A199:A201)&gt;0</f>
        <v>0</v>
      </c>
      <c r="B202" s="9063">
        <v>8</v>
      </c>
      <c r="C202" s="9063"/>
      <c r="D202" s="4186" t="s">
        <v>2917</v>
      </c>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773"/>
      <c r="AE202" s="773"/>
      <c r="AF202" s="773"/>
      <c r="AG202" s="773"/>
      <c r="AH202" s="773"/>
      <c r="AI202" s="773"/>
      <c r="AJ202" s="4187" t="s">
        <v>877</v>
      </c>
      <c r="AK202" s="9057">
        <v>8</v>
      </c>
      <c r="AL202" s="9058"/>
      <c r="AM202" s="9184">
        <f>IF(AQ202&lt;&gt;"",ROUND(AQ202,0),ROUND(SUM(AM199:AO201),0))</f>
        <v>0</v>
      </c>
      <c r="AN202" s="9185"/>
      <c r="AO202" s="9185"/>
      <c r="AP202" s="1277"/>
      <c r="AQ202" s="9211"/>
      <c r="AR202" s="9212"/>
      <c r="AS202" s="9212"/>
      <c r="AT202" s="9212"/>
      <c r="AU202" s="1277"/>
      <c r="AV202" s="253"/>
      <c r="AW202" s="253"/>
      <c r="AX202" s="769"/>
      <c r="AY202" s="964"/>
      <c r="AZ202" s="964"/>
      <c r="BA202" s="964"/>
      <c r="BB202" s="964"/>
      <c r="BC202" s="964"/>
      <c r="BD202" s="964"/>
      <c r="BE202" s="964"/>
      <c r="BF202" s="964"/>
      <c r="BG202" s="964"/>
      <c r="BH202" s="964"/>
    </row>
    <row r="203" spans="1:60" ht="15" customHeight="1">
      <c r="A203" s="2112"/>
      <c r="B203" s="1218" t="s">
        <v>2857</v>
      </c>
      <c r="C203" s="2373"/>
      <c r="D203" s="253"/>
      <c r="E203" s="253"/>
      <c r="F203" s="253"/>
      <c r="G203" s="253"/>
      <c r="H203" s="253"/>
      <c r="I203" s="253"/>
      <c r="J203" s="253"/>
      <c r="K203" s="253"/>
      <c r="L203" s="253"/>
      <c r="M203" s="253"/>
      <c r="N203" s="253"/>
      <c r="O203" s="253"/>
      <c r="P203" s="253"/>
      <c r="Q203" s="253"/>
      <c r="R203" s="253"/>
      <c r="S203" s="253"/>
      <c r="T203" s="253"/>
      <c r="U203" s="253"/>
      <c r="V203" s="253"/>
      <c r="W203" s="253"/>
      <c r="X203" s="344" t="s">
        <v>2858</v>
      </c>
      <c r="Y203" s="253"/>
      <c r="Z203" s="253"/>
      <c r="AA203" s="253"/>
      <c r="AB203" s="253"/>
      <c r="AC203" s="253"/>
      <c r="AD203" s="253"/>
      <c r="AE203" s="253"/>
      <c r="AF203" s="253"/>
      <c r="AG203" s="253"/>
      <c r="AH203" s="253"/>
      <c r="AI203" s="253"/>
      <c r="AJ203" s="253"/>
      <c r="AK203" s="1061" t="s">
        <v>2859</v>
      </c>
      <c r="AL203" s="253"/>
      <c r="AM203" s="416" t="str">
        <f>"("&amp;TaxYear&amp;")"</f>
        <v>(2025)</v>
      </c>
      <c r="AN203" s="1061"/>
      <c r="AO203" s="689" t="s">
        <v>6389</v>
      </c>
      <c r="AP203" s="1277"/>
      <c r="AQ203" s="1277"/>
      <c r="AR203" s="1277"/>
      <c r="AS203" s="1277"/>
      <c r="AT203" s="1277"/>
      <c r="AU203" s="1277"/>
      <c r="AV203" s="253"/>
      <c r="AW203" s="253"/>
      <c r="AX203" s="769"/>
      <c r="AY203" s="964"/>
      <c r="AZ203" s="964"/>
      <c r="BA203" s="964"/>
      <c r="BB203" s="964"/>
      <c r="BC203" s="964"/>
      <c r="BD203" s="964"/>
      <c r="BE203" s="964"/>
      <c r="BF203" s="964"/>
      <c r="BG203" s="964"/>
      <c r="BH203" s="964"/>
    </row>
    <row r="204" spans="1:60" s="1405" customFormat="1" ht="16.5" customHeight="1" thickBot="1">
      <c r="A204" s="2112"/>
      <c r="B204" s="504" t="str">
        <f>"Form 1116 ("&amp;TaxYear&amp;")"</f>
        <v>Form 1116 (2025)</v>
      </c>
      <c r="C204" s="253"/>
      <c r="D204" s="253"/>
      <c r="E204" s="253"/>
      <c r="F204" s="253"/>
      <c r="G204" s="253"/>
      <c r="H204" s="253"/>
      <c r="I204" s="253"/>
      <c r="J204" s="253"/>
      <c r="K204" s="253"/>
      <c r="L204" s="253"/>
      <c r="M204" s="253"/>
      <c r="N204" s="253"/>
      <c r="O204" s="253"/>
      <c r="P204" s="253"/>
      <c r="Q204" s="253"/>
      <c r="R204" s="253"/>
      <c r="S204" s="253"/>
      <c r="T204" s="253"/>
      <c r="U204" s="253"/>
      <c r="V204" s="253"/>
      <c r="W204" s="253"/>
      <c r="X204" s="253"/>
      <c r="Y204" s="253"/>
      <c r="Z204" s="253"/>
      <c r="AA204" s="253"/>
      <c r="AB204" s="253"/>
      <c r="AC204" s="253"/>
      <c r="AD204" s="253"/>
      <c r="AE204" s="253"/>
      <c r="AF204" s="253"/>
      <c r="AG204" s="253"/>
      <c r="AH204" s="253"/>
      <c r="AI204" s="253"/>
      <c r="AJ204" s="253"/>
      <c r="AK204" s="253"/>
      <c r="AL204" s="253"/>
      <c r="AM204" s="253"/>
      <c r="AN204" s="253"/>
      <c r="AO204" s="1061" t="s">
        <v>2860</v>
      </c>
      <c r="AP204" s="1277"/>
      <c r="AQ204" s="253"/>
      <c r="AR204" s="253"/>
      <c r="AS204" s="253"/>
      <c r="AT204" s="253"/>
      <c r="AU204" s="253"/>
      <c r="AV204" s="253"/>
      <c r="AW204" s="253"/>
      <c r="AX204" s="769"/>
      <c r="AY204" s="964"/>
      <c r="AZ204" s="964"/>
      <c r="BA204" s="964"/>
      <c r="BB204" s="964"/>
      <c r="BC204" s="964"/>
      <c r="BD204" s="964"/>
      <c r="BE204" s="964"/>
      <c r="BF204" s="964"/>
      <c r="BG204" s="964"/>
      <c r="BH204" s="964"/>
    </row>
    <row r="205" spans="1:60" ht="15.75" customHeight="1" thickTop="1">
      <c r="A205" s="4157"/>
      <c r="B205" s="9186" t="s">
        <v>1938</v>
      </c>
      <c r="C205" s="9186"/>
      <c r="D205" s="9187"/>
      <c r="E205" s="4211"/>
      <c r="F205" s="4212" t="s">
        <v>2861</v>
      </c>
      <c r="G205" s="4211"/>
      <c r="H205" s="4211"/>
      <c r="I205" s="4211"/>
      <c r="J205" s="4211"/>
      <c r="K205" s="4211"/>
      <c r="L205" s="4211"/>
      <c r="M205" s="4211"/>
      <c r="N205" s="4211"/>
      <c r="O205" s="4211"/>
      <c r="P205" s="4211"/>
      <c r="Q205" s="4211"/>
      <c r="R205" s="4211"/>
      <c r="S205" s="4211"/>
      <c r="T205" s="4211"/>
      <c r="U205" s="4211"/>
      <c r="V205" s="4211"/>
      <c r="W205" s="4211"/>
      <c r="X205" s="4211"/>
      <c r="Y205" s="4211"/>
      <c r="Z205" s="4211"/>
      <c r="AA205" s="4211"/>
      <c r="AB205" s="4211"/>
      <c r="AC205" s="4211"/>
      <c r="AD205" s="4211"/>
      <c r="AE205" s="4211"/>
      <c r="AF205" s="4211"/>
      <c r="AG205" s="4211"/>
      <c r="AH205" s="4211"/>
      <c r="AI205" s="4211"/>
      <c r="AJ205" s="4211"/>
      <c r="AK205" s="4211"/>
      <c r="AL205" s="4211"/>
      <c r="AM205" s="4211"/>
      <c r="AN205" s="4211"/>
      <c r="AO205" s="4211"/>
      <c r="AP205" s="1277"/>
      <c r="AQ205" s="1323"/>
      <c r="AR205" s="1323"/>
      <c r="AS205" s="1323"/>
      <c r="AT205" s="1323"/>
      <c r="AU205" s="1323"/>
      <c r="AV205" s="1323"/>
      <c r="AW205" s="1323"/>
      <c r="AX205" s="769"/>
      <c r="AY205" s="964"/>
      <c r="AZ205" s="964"/>
      <c r="BA205" s="964"/>
      <c r="BB205" s="964"/>
      <c r="BC205" s="964"/>
      <c r="BD205" s="964"/>
      <c r="BE205" s="964"/>
      <c r="BF205" s="964"/>
      <c r="BG205" s="964"/>
      <c r="BH205" s="964"/>
    </row>
    <row r="206" spans="1:60" ht="15">
      <c r="A206" s="2112"/>
      <c r="B206" s="9188">
        <v>9</v>
      </c>
      <c r="C206" s="9188"/>
      <c r="D206" s="253" t="s">
        <v>2862</v>
      </c>
      <c r="E206" s="253"/>
      <c r="F206" s="511"/>
      <c r="G206" s="253"/>
      <c r="H206" s="253"/>
      <c r="I206" s="253"/>
      <c r="J206" s="253"/>
      <c r="K206" s="253"/>
      <c r="L206" s="253"/>
      <c r="M206" s="253"/>
      <c r="N206" s="253"/>
      <c r="O206" s="253"/>
      <c r="P206" s="253"/>
      <c r="Q206" s="253"/>
      <c r="R206" s="253"/>
      <c r="S206" s="253"/>
      <c r="T206" s="253"/>
      <c r="U206" s="253"/>
      <c r="V206" s="253"/>
      <c r="W206" s="253"/>
      <c r="X206" s="253"/>
      <c r="Y206" s="253"/>
      <c r="Z206" s="9128"/>
      <c r="AA206" s="8629"/>
      <c r="AB206" s="405"/>
      <c r="AC206" s="406"/>
      <c r="AD206" s="406"/>
      <c r="AE206" s="406"/>
      <c r="AF206" s="406"/>
      <c r="AG206" s="406"/>
      <c r="AH206" s="406"/>
      <c r="AI206" s="407"/>
      <c r="AJ206" s="8976"/>
      <c r="AK206" s="7976"/>
      <c r="AL206" s="405"/>
      <c r="AM206" s="406"/>
      <c r="AN206" s="406"/>
      <c r="AO206" s="406"/>
      <c r="AP206" s="1277"/>
      <c r="AQ206" s="253"/>
      <c r="AR206" s="253"/>
      <c r="AS206" s="253"/>
      <c r="AT206" s="253"/>
      <c r="AU206" s="253"/>
      <c r="AV206" s="253"/>
      <c r="AW206" s="253"/>
      <c r="AX206" s="769"/>
      <c r="AY206" s="964"/>
      <c r="AZ206" s="964"/>
      <c r="BA206" s="964"/>
      <c r="BB206" s="964"/>
      <c r="BC206" s="964"/>
      <c r="BD206" s="964"/>
      <c r="BE206" s="964"/>
      <c r="BF206" s="964"/>
      <c r="BG206" s="964"/>
      <c r="BH206" s="964"/>
    </row>
    <row r="207" spans="1:60" ht="15.75" customHeight="1">
      <c r="A207" s="2112"/>
      <c r="B207" s="253"/>
      <c r="C207" s="253"/>
      <c r="D207" s="253" t="s">
        <v>2863</v>
      </c>
      <c r="E207" s="253"/>
      <c r="F207" s="511"/>
      <c r="G207" s="253"/>
      <c r="H207" s="253"/>
      <c r="I207" s="253"/>
      <c r="J207" s="253"/>
      <c r="K207" s="253"/>
      <c r="L207" s="253"/>
      <c r="M207" s="253"/>
      <c r="N207" s="253"/>
      <c r="O207" s="253"/>
      <c r="P207" s="253"/>
      <c r="Q207" s="253"/>
      <c r="R207" s="253"/>
      <c r="S207" s="253"/>
      <c r="T207" s="253"/>
      <c r="U207" s="253"/>
      <c r="V207" s="253"/>
      <c r="W207" s="253"/>
      <c r="X207" s="253"/>
      <c r="Y207" s="253"/>
      <c r="Z207" s="8994">
        <v>9</v>
      </c>
      <c r="AA207" s="9030"/>
      <c r="AB207" s="9035">
        <f>AM202</f>
        <v>0</v>
      </c>
      <c r="AC207" s="9036"/>
      <c r="AD207" s="9036"/>
      <c r="AE207" s="9036"/>
      <c r="AF207" s="9036"/>
      <c r="AG207" s="9036"/>
      <c r="AH207" s="9036"/>
      <c r="AI207" s="9037"/>
      <c r="AJ207" s="8976"/>
      <c r="AK207" s="7976"/>
      <c r="AL207" s="408"/>
      <c r="AM207" s="253"/>
      <c r="AN207" s="253"/>
      <c r="AO207" s="253"/>
      <c r="AP207" s="1277"/>
      <c r="AQ207" s="253"/>
      <c r="AR207" s="253"/>
      <c r="AS207" s="253"/>
      <c r="AT207" s="253"/>
      <c r="AU207" s="253"/>
      <c r="AV207" s="253"/>
      <c r="AW207" s="253"/>
      <c r="AX207" s="769"/>
      <c r="AY207" s="964"/>
      <c r="AZ207" s="964"/>
      <c r="BA207" s="964"/>
      <c r="BB207" s="964"/>
      <c r="BC207" s="964"/>
      <c r="BD207" s="964"/>
      <c r="BE207" s="964"/>
      <c r="BF207" s="964"/>
      <c r="BG207" s="964"/>
      <c r="BH207" s="964"/>
    </row>
    <row r="208" spans="1:60" ht="13.5" customHeight="1">
      <c r="A208" s="2112"/>
      <c r="B208" s="9029">
        <v>10</v>
      </c>
      <c r="C208" s="9029"/>
      <c r="D208" s="344" t="s">
        <v>5190</v>
      </c>
      <c r="E208" s="253"/>
      <c r="F208" s="511"/>
      <c r="G208" s="253"/>
      <c r="H208" s="253"/>
      <c r="I208" s="253"/>
      <c r="J208" s="253"/>
      <c r="K208" s="253"/>
      <c r="L208" s="253"/>
      <c r="M208" s="253"/>
      <c r="N208" s="253"/>
      <c r="O208" s="253"/>
      <c r="P208" s="253"/>
      <c r="Q208" s="253"/>
      <c r="R208" s="253"/>
      <c r="S208" s="253"/>
      <c r="T208" s="253"/>
      <c r="U208" s="253"/>
      <c r="V208" s="253"/>
      <c r="W208" s="253"/>
      <c r="X208" s="253"/>
      <c r="Y208" s="253"/>
      <c r="Z208" s="9128"/>
      <c r="AA208" s="8629"/>
      <c r="AB208" s="405"/>
      <c r="AC208" s="406"/>
      <c r="AD208" s="406"/>
      <c r="AE208" s="406"/>
      <c r="AF208" s="406"/>
      <c r="AG208" s="406"/>
      <c r="AH208" s="406"/>
      <c r="AI208" s="407"/>
      <c r="AJ208" s="8976"/>
      <c r="AK208" s="7976"/>
      <c r="AL208" s="408"/>
      <c r="AM208" s="253"/>
      <c r="AN208" s="253"/>
      <c r="AO208" s="253"/>
      <c r="AP208" s="1277"/>
      <c r="AQ208" s="1323"/>
      <c r="AR208" s="1323"/>
      <c r="AS208" s="1323"/>
      <c r="AT208" s="1323"/>
      <c r="AU208" s="1323"/>
      <c r="AV208" s="253"/>
      <c r="AW208" s="253"/>
      <c r="AX208" s="769"/>
      <c r="AY208" s="964"/>
      <c r="AZ208" s="964"/>
      <c r="BA208" s="964"/>
      <c r="BB208" s="964"/>
      <c r="BC208" s="964"/>
      <c r="BD208" s="964"/>
      <c r="BE208" s="964"/>
      <c r="BF208" s="964"/>
      <c r="BG208" s="964"/>
      <c r="BH208" s="964"/>
    </row>
    <row r="209" spans="1:60" ht="13.5" customHeight="1">
      <c r="A209" s="2112"/>
      <c r="B209" s="9029"/>
      <c r="C209" s="9029"/>
      <c r="D209" s="344" t="s">
        <v>5191</v>
      </c>
      <c r="E209" s="253"/>
      <c r="F209" s="511"/>
      <c r="G209" s="253"/>
      <c r="H209" s="253"/>
      <c r="I209" s="253"/>
      <c r="J209" s="253"/>
      <c r="K209" s="253"/>
      <c r="L209" s="253"/>
      <c r="M209" s="253"/>
      <c r="N209" s="253"/>
      <c r="O209" s="253"/>
      <c r="P209" s="253"/>
      <c r="Q209" s="253"/>
      <c r="R209" s="253"/>
      <c r="S209" s="253"/>
      <c r="T209" s="253"/>
      <c r="U209" s="253"/>
      <c r="V209" s="253"/>
      <c r="W209" s="253"/>
      <c r="X209" s="253"/>
      <c r="Y209" s="1401"/>
      <c r="Z209" s="8984"/>
      <c r="AA209" s="8985"/>
      <c r="AB209" s="408"/>
      <c r="AC209" s="253"/>
      <c r="AD209" s="253"/>
      <c r="AE209" s="253"/>
      <c r="AF209" s="253"/>
      <c r="AG209" s="253"/>
      <c r="AH209" s="253"/>
      <c r="AI209" s="409"/>
      <c r="AJ209" s="8976"/>
      <c r="AK209" s="7976"/>
      <c r="AL209" s="408"/>
      <c r="AM209" s="253"/>
      <c r="AN209" s="253"/>
      <c r="AO209" s="253"/>
      <c r="AP209" s="1277"/>
      <c r="AQ209" s="253"/>
      <c r="AR209" s="253"/>
      <c r="AS209" s="253"/>
      <c r="AT209" s="253"/>
      <c r="AU209" s="253"/>
      <c r="AV209" s="253"/>
      <c r="AW209" s="253"/>
      <c r="AX209" s="769"/>
      <c r="AY209" s="964"/>
      <c r="AZ209" s="964"/>
      <c r="BA209" s="964"/>
      <c r="BB209" s="964"/>
      <c r="BC209" s="964"/>
      <c r="BD209" s="964"/>
      <c r="BE209" s="964"/>
      <c r="BF209" s="964"/>
      <c r="BG209" s="964"/>
      <c r="BH209" s="964"/>
    </row>
    <row r="210" spans="1:60" ht="15" customHeight="1">
      <c r="A210" s="2112"/>
      <c r="B210" s="1291"/>
      <c r="C210" s="1291"/>
      <c r="D210" s="344" t="s">
        <v>5192</v>
      </c>
      <c r="E210" s="253"/>
      <c r="F210" s="511"/>
      <c r="G210" s="253"/>
      <c r="H210" s="253"/>
      <c r="I210" s="253"/>
      <c r="J210" s="253"/>
      <c r="K210" s="253"/>
      <c r="L210" s="253"/>
      <c r="M210" s="253"/>
      <c r="N210" s="253"/>
      <c r="O210" s="253"/>
      <c r="P210" s="253"/>
      <c r="Q210" s="253"/>
      <c r="R210" s="253"/>
      <c r="S210" s="253"/>
      <c r="T210" s="253"/>
      <c r="U210" s="253"/>
      <c r="V210" s="253"/>
      <c r="W210" s="253"/>
      <c r="X210" s="253"/>
      <c r="Y210" s="1401"/>
      <c r="Z210" s="1207"/>
      <c r="AA210" s="4190"/>
      <c r="AB210" s="408"/>
      <c r="AC210" s="253"/>
      <c r="AD210" s="253"/>
      <c r="AE210" s="253"/>
      <c r="AF210" s="253"/>
      <c r="AG210" s="253"/>
      <c r="AH210" s="253"/>
      <c r="AI210" s="409"/>
      <c r="AJ210" s="8976"/>
      <c r="AK210" s="7976"/>
      <c r="AL210" s="408"/>
      <c r="AM210" s="253"/>
      <c r="AN210" s="253"/>
      <c r="AO210" s="253"/>
      <c r="AP210" s="1277"/>
      <c r="AQ210" s="253"/>
      <c r="AR210" s="253"/>
      <c r="AS210" s="253"/>
      <c r="AT210" s="253"/>
      <c r="AU210" s="253"/>
      <c r="AV210" s="253"/>
      <c r="AW210" s="253"/>
      <c r="AX210" s="769"/>
      <c r="AY210" s="964"/>
      <c r="AZ210" s="964"/>
      <c r="BA210" s="964"/>
      <c r="BB210" s="964"/>
      <c r="BC210" s="964"/>
      <c r="BD210" s="964"/>
      <c r="BE210" s="964"/>
      <c r="BF210" s="964"/>
      <c r="BG210" s="964"/>
      <c r="BH210" s="964"/>
    </row>
    <row r="211" spans="1:60" ht="13.5" customHeight="1">
      <c r="A211" s="2112"/>
      <c r="B211" s="9029"/>
      <c r="C211" s="9029"/>
      <c r="D211" s="344" t="s">
        <v>5193</v>
      </c>
      <c r="E211" s="253"/>
      <c r="F211" s="511"/>
      <c r="G211" s="253"/>
      <c r="H211" s="253"/>
      <c r="I211" s="253"/>
      <c r="J211" s="253"/>
      <c r="K211" s="253"/>
      <c r="L211" s="253"/>
      <c r="M211" s="253"/>
      <c r="N211" s="253"/>
      <c r="O211" s="253"/>
      <c r="P211" s="253"/>
      <c r="Q211" s="253"/>
      <c r="R211" s="253"/>
      <c r="S211" s="253"/>
      <c r="T211" s="253"/>
      <c r="U211" s="253"/>
      <c r="V211" s="253"/>
      <c r="W211" s="253"/>
      <c r="X211" s="276"/>
      <c r="Y211" s="253"/>
      <c r="Z211" s="8994">
        <v>10</v>
      </c>
      <c r="AA211" s="9030"/>
      <c r="AB211" s="8972"/>
      <c r="AC211" s="8973"/>
      <c r="AD211" s="8973"/>
      <c r="AE211" s="8973"/>
      <c r="AF211" s="8973"/>
      <c r="AG211" s="8973"/>
      <c r="AH211" s="8973"/>
      <c r="AI211" s="8974"/>
      <c r="AJ211" s="8976"/>
      <c r="AK211" s="7976"/>
      <c r="AL211" s="8995">
        <f>ROUND(AB211,0)</f>
        <v>0</v>
      </c>
      <c r="AM211" s="8824"/>
      <c r="AN211" s="8824"/>
      <c r="AO211" s="8824"/>
      <c r="AP211" s="1277"/>
      <c r="AQ211" s="253"/>
      <c r="AR211" s="253"/>
      <c r="AS211" s="253"/>
      <c r="AT211" s="253"/>
      <c r="AU211" s="253"/>
      <c r="AV211" s="253"/>
      <c r="AW211" s="253"/>
      <c r="AX211" s="769"/>
      <c r="AY211" s="964"/>
      <c r="AZ211" s="964"/>
      <c r="BA211" s="964"/>
      <c r="BB211" s="964"/>
      <c r="BC211" s="964"/>
      <c r="BD211" s="964"/>
      <c r="BE211" s="964"/>
      <c r="BF211" s="964"/>
      <c r="BG211" s="964"/>
      <c r="BH211" s="964"/>
    </row>
    <row r="212" spans="1:60" ht="13.5" customHeight="1">
      <c r="A212" s="2112"/>
      <c r="B212" s="9029"/>
      <c r="C212" s="9029"/>
      <c r="D212" s="344" t="s">
        <v>5194</v>
      </c>
      <c r="E212" s="253"/>
      <c r="F212" s="511"/>
      <c r="G212" s="253"/>
      <c r="H212" s="253"/>
      <c r="I212" s="253"/>
      <c r="J212" s="253"/>
      <c r="K212" s="253"/>
      <c r="L212" s="253"/>
      <c r="M212" s="253"/>
      <c r="N212" s="253"/>
      <c r="O212" s="253"/>
      <c r="P212" s="253"/>
      <c r="Q212" s="253"/>
      <c r="R212" s="253"/>
      <c r="S212" s="253"/>
      <c r="T212" s="253"/>
      <c r="U212" s="253"/>
      <c r="V212" s="253"/>
      <c r="W212" s="253"/>
      <c r="X212" s="253"/>
      <c r="Y212" s="253"/>
      <c r="Z212" s="8984"/>
      <c r="AA212" s="8985"/>
      <c r="AB212" s="408"/>
      <c r="AC212" s="253"/>
      <c r="AD212" s="253"/>
      <c r="AE212" s="253"/>
      <c r="AF212" s="253"/>
      <c r="AG212" s="253"/>
      <c r="AH212" s="253"/>
      <c r="AI212" s="409"/>
      <c r="AJ212" s="8976"/>
      <c r="AK212" s="7976"/>
      <c r="AL212" s="408"/>
      <c r="AM212" s="253"/>
      <c r="AN212" s="253"/>
      <c r="AO212" s="253"/>
      <c r="AP212" s="1277"/>
      <c r="AQ212" s="253"/>
      <c r="AR212" s="253"/>
      <c r="AS212" s="253"/>
      <c r="AT212" s="253"/>
      <c r="AU212" s="253"/>
      <c r="AV212" s="253"/>
      <c r="AW212" s="253"/>
      <c r="AX212" s="769"/>
      <c r="AY212" s="964"/>
      <c r="AZ212" s="964"/>
      <c r="BA212" s="964"/>
      <c r="BB212" s="964"/>
      <c r="BC212" s="964"/>
      <c r="BD212" s="964"/>
      <c r="BE212" s="964"/>
      <c r="BF212" s="964"/>
      <c r="BG212" s="964"/>
      <c r="BH212" s="964"/>
    </row>
    <row r="213" spans="1:60" ht="16.5" customHeight="1">
      <c r="A213" s="2112"/>
      <c r="B213" s="1291"/>
      <c r="C213" s="1291"/>
      <c r="D213" s="344" t="s">
        <v>2864</v>
      </c>
      <c r="E213" s="253"/>
      <c r="F213" s="511"/>
      <c r="G213" s="253"/>
      <c r="H213" s="253"/>
      <c r="I213" s="253"/>
      <c r="J213" s="253"/>
      <c r="K213" s="253"/>
      <c r="L213" s="253"/>
      <c r="M213" s="253"/>
      <c r="N213" s="253"/>
      <c r="O213" s="253"/>
      <c r="P213" s="253"/>
      <c r="Q213" s="253"/>
      <c r="R213" s="253"/>
      <c r="S213" s="253"/>
      <c r="T213" s="253"/>
      <c r="U213" s="253"/>
      <c r="V213" s="253"/>
      <c r="W213" s="253"/>
      <c r="X213" s="253"/>
      <c r="Y213" s="253"/>
      <c r="Z213" s="1207"/>
      <c r="AA213" s="4190"/>
      <c r="AB213" s="408"/>
      <c r="AC213" s="253"/>
      <c r="AD213" s="253"/>
      <c r="AE213" s="253"/>
      <c r="AF213" s="253"/>
      <c r="AG213" s="253"/>
      <c r="AH213" s="253"/>
      <c r="AI213" s="409"/>
      <c r="AJ213" s="8976"/>
      <c r="AK213" s="7976"/>
      <c r="AL213" s="408"/>
      <c r="AM213" s="253"/>
      <c r="AN213" s="253"/>
      <c r="AO213" s="253"/>
      <c r="AP213" s="1277"/>
      <c r="AQ213" s="253"/>
      <c r="AR213" s="253"/>
      <c r="AS213" s="253"/>
      <c r="AT213" s="253"/>
      <c r="AU213" s="253"/>
      <c r="AV213" s="253"/>
      <c r="AW213" s="253"/>
      <c r="AX213" s="769"/>
      <c r="AY213" s="964"/>
      <c r="AZ213" s="964"/>
      <c r="BA213" s="964"/>
      <c r="BB213" s="964"/>
      <c r="BC213" s="964"/>
      <c r="BD213" s="964"/>
      <c r="BE213" s="964"/>
      <c r="BF213" s="964"/>
      <c r="BG213" s="964"/>
      <c r="BH213" s="964"/>
    </row>
    <row r="214" spans="1:60" ht="13.5" customHeight="1">
      <c r="A214" s="2112"/>
      <c r="B214" s="9178">
        <v>11</v>
      </c>
      <c r="C214" s="9178"/>
      <c r="D214" s="253" t="s">
        <v>2865</v>
      </c>
      <c r="E214" s="253"/>
      <c r="F214" s="511"/>
      <c r="G214" s="253"/>
      <c r="H214" s="253"/>
      <c r="I214" s="253"/>
      <c r="J214" s="253"/>
      <c r="K214" s="253"/>
      <c r="L214" s="253"/>
      <c r="M214" s="253"/>
      <c r="N214" s="253"/>
      <c r="O214" s="253"/>
      <c r="P214" s="253"/>
      <c r="Q214" s="253"/>
      <c r="R214" s="253"/>
      <c r="S214" s="253"/>
      <c r="T214" s="253"/>
      <c r="U214" s="253"/>
      <c r="V214" s="253"/>
      <c r="W214" s="253"/>
      <c r="X214" s="253"/>
      <c r="Y214" s="1401" t="s">
        <v>792</v>
      </c>
      <c r="Z214" s="8994">
        <v>11</v>
      </c>
      <c r="AA214" s="9030"/>
      <c r="AB214" s="9035">
        <f>SUM(AB207,AL211)</f>
        <v>0</v>
      </c>
      <c r="AC214" s="9036"/>
      <c r="AD214" s="9036"/>
      <c r="AE214" s="9036"/>
      <c r="AF214" s="9036"/>
      <c r="AG214" s="9036"/>
      <c r="AH214" s="9036"/>
      <c r="AI214" s="9037"/>
      <c r="AJ214" s="8976"/>
      <c r="AK214" s="7976"/>
      <c r="AL214" s="9044" t="str">
        <f>IF(AB215&gt;0,"Line 12 cannot be","")</f>
        <v/>
      </c>
      <c r="AM214" s="9045"/>
      <c r="AN214" s="9045"/>
      <c r="AO214" s="9045"/>
      <c r="AP214" s="1277"/>
      <c r="AQ214" s="253"/>
      <c r="AR214" s="253"/>
      <c r="AS214" s="253"/>
      <c r="AT214" s="253"/>
      <c r="AU214" s="253"/>
      <c r="AV214" s="253"/>
      <c r="AW214" s="253"/>
      <c r="AX214" s="769"/>
      <c r="AY214" s="964"/>
      <c r="AZ214" s="964"/>
      <c r="BA214" s="964"/>
      <c r="BB214" s="964"/>
      <c r="BC214" s="964"/>
      <c r="BD214" s="964"/>
      <c r="BE214" s="964"/>
      <c r="BF214" s="964"/>
      <c r="BG214" s="964"/>
      <c r="BH214" s="964"/>
    </row>
    <row r="215" spans="1:60" ht="13.5" customHeight="1">
      <c r="A215" s="2112"/>
      <c r="B215" s="9178">
        <v>12</v>
      </c>
      <c r="C215" s="9178"/>
      <c r="D215" s="344" t="s">
        <v>2866</v>
      </c>
      <c r="E215" s="253"/>
      <c r="F215" s="511"/>
      <c r="G215" s="253"/>
      <c r="H215" s="253"/>
      <c r="I215" s="253"/>
      <c r="J215" s="253"/>
      <c r="K215" s="253"/>
      <c r="L215" s="253"/>
      <c r="M215" s="253"/>
      <c r="N215" s="253"/>
      <c r="O215" s="253"/>
      <c r="P215" s="253"/>
      <c r="Q215" s="253"/>
      <c r="R215" s="253"/>
      <c r="S215" s="253"/>
      <c r="T215" s="253"/>
      <c r="U215" s="253"/>
      <c r="V215" s="253"/>
      <c r="W215" s="253"/>
      <c r="X215" s="253"/>
      <c r="Y215" s="1401" t="s">
        <v>874</v>
      </c>
      <c r="Z215" s="8994">
        <v>12</v>
      </c>
      <c r="AA215" s="9030"/>
      <c r="AB215" s="8972"/>
      <c r="AC215" s="8973"/>
      <c r="AD215" s="8973"/>
      <c r="AE215" s="8973"/>
      <c r="AF215" s="8973"/>
      <c r="AG215" s="8973"/>
      <c r="AH215" s="8973"/>
      <c r="AI215" s="8974"/>
      <c r="AJ215" s="8976"/>
      <c r="AK215" s="7976"/>
      <c r="AL215" s="9044" t="str">
        <f>IF(AB215&gt;0,"a positive number.","")</f>
        <v/>
      </c>
      <c r="AM215" s="9045"/>
      <c r="AN215" s="9045"/>
      <c r="AO215" s="9045"/>
      <c r="AP215" s="1277"/>
      <c r="AQ215" s="253"/>
      <c r="AR215" s="253"/>
      <c r="AS215" s="253"/>
      <c r="AT215" s="253"/>
      <c r="AU215" s="253"/>
      <c r="AV215" s="253"/>
      <c r="AW215" s="253"/>
      <c r="AX215" s="769"/>
      <c r="AY215" s="964"/>
      <c r="AZ215" s="964"/>
      <c r="BA215" s="964"/>
      <c r="BB215" s="964"/>
      <c r="BC215" s="964"/>
      <c r="BD215" s="964"/>
      <c r="BE215" s="964"/>
      <c r="BF215" s="964"/>
      <c r="BG215" s="964"/>
      <c r="BH215" s="964"/>
    </row>
    <row r="216" spans="1:60" ht="13.5" customHeight="1">
      <c r="A216" s="2112"/>
      <c r="B216" s="9178">
        <v>13</v>
      </c>
      <c r="C216" s="9178"/>
      <c r="D216" s="344" t="s">
        <v>2867</v>
      </c>
      <c r="E216" s="253"/>
      <c r="F216" s="511"/>
      <c r="G216" s="253"/>
      <c r="H216" s="253"/>
      <c r="I216" s="253"/>
      <c r="J216" s="253"/>
      <c r="K216" s="253"/>
      <c r="L216" s="253"/>
      <c r="M216" s="253"/>
      <c r="N216" s="253"/>
      <c r="O216" s="253"/>
      <c r="P216" s="253"/>
      <c r="Q216" s="253"/>
      <c r="R216" s="253"/>
      <c r="S216" s="253"/>
      <c r="T216" s="253"/>
      <c r="U216" s="253"/>
      <c r="V216" s="253"/>
      <c r="W216" s="253"/>
      <c r="X216" s="253"/>
      <c r="Y216" s="1401" t="s">
        <v>1838</v>
      </c>
      <c r="Z216" s="8994">
        <v>13</v>
      </c>
      <c r="AA216" s="9030"/>
      <c r="AB216" s="8972"/>
      <c r="AC216" s="8973"/>
      <c r="AD216" s="8973"/>
      <c r="AE216" s="8973"/>
      <c r="AF216" s="8973"/>
      <c r="AG216" s="8973"/>
      <c r="AH216" s="8973"/>
      <c r="AI216" s="8974"/>
      <c r="AJ216" s="8976"/>
      <c r="AK216" s="7976"/>
      <c r="AL216" s="408"/>
      <c r="AM216" s="253"/>
      <c r="AN216" s="253"/>
      <c r="AO216" s="253"/>
      <c r="AP216" s="1277"/>
      <c r="AQ216" s="253"/>
      <c r="AR216" s="253"/>
      <c r="AS216" s="253"/>
      <c r="AT216" s="253"/>
      <c r="AU216" s="253"/>
      <c r="AV216" s="253"/>
      <c r="AW216" s="253"/>
      <c r="AX216" s="769"/>
      <c r="AY216" s="964"/>
      <c r="AZ216" s="964"/>
      <c r="BA216" s="964"/>
      <c r="BB216" s="964"/>
      <c r="BC216" s="964"/>
      <c r="BD216" s="964"/>
      <c r="BE216" s="964"/>
      <c r="BF216" s="964"/>
      <c r="BG216" s="964"/>
      <c r="BH216" s="964"/>
    </row>
    <row r="217" spans="1:60" ht="13.5" customHeight="1">
      <c r="A217" s="2112"/>
      <c r="B217" s="9178">
        <v>14</v>
      </c>
      <c r="C217" s="9178"/>
      <c r="D217" s="344" t="s">
        <v>2868</v>
      </c>
      <c r="E217" s="253"/>
      <c r="F217" s="511"/>
      <c r="G217" s="253"/>
      <c r="H217" s="253"/>
      <c r="I217" s="253"/>
      <c r="J217" s="253"/>
      <c r="K217" s="253"/>
      <c r="L217" s="253"/>
      <c r="M217" s="253"/>
      <c r="N217" s="253"/>
      <c r="O217" s="253"/>
      <c r="P217" s="253"/>
      <c r="Q217" s="253"/>
      <c r="R217" s="253"/>
      <c r="S217" s="253"/>
      <c r="T217" s="253"/>
      <c r="U217" s="253"/>
      <c r="V217" s="253"/>
      <c r="W217" s="253"/>
      <c r="X217" s="253"/>
      <c r="Y217" s="253"/>
      <c r="Z217" s="253"/>
      <c r="AA217" s="253"/>
      <c r="AB217" s="253"/>
      <c r="AC217" s="253"/>
      <c r="AD217" s="253"/>
      <c r="AE217" s="253"/>
      <c r="AF217" s="253"/>
      <c r="AG217" s="253"/>
      <c r="AH217" s="253"/>
      <c r="AI217" s="1401" t="s">
        <v>1838</v>
      </c>
      <c r="AJ217" s="8994">
        <v>14</v>
      </c>
      <c r="AK217" s="9030"/>
      <c r="AL217" s="8969">
        <f>SUM(AB214,AB215,AB216)</f>
        <v>0</v>
      </c>
      <c r="AM217" s="7827"/>
      <c r="AN217" s="7827"/>
      <c r="AO217" s="7827"/>
      <c r="AP217" s="1277"/>
      <c r="AQ217" s="253"/>
      <c r="AR217" s="253"/>
      <c r="AS217" s="253"/>
      <c r="AT217" s="253"/>
      <c r="AU217" s="253"/>
      <c r="AV217" s="253"/>
      <c r="AW217" s="253"/>
      <c r="AX217" s="769"/>
      <c r="AY217" s="964"/>
      <c r="AZ217" s="964"/>
      <c r="BA217" s="964"/>
      <c r="BB217" s="964"/>
      <c r="BC217" s="964"/>
      <c r="BD217" s="964"/>
      <c r="BE217" s="964"/>
      <c r="BF217" s="964"/>
      <c r="BG217" s="964"/>
      <c r="BH217" s="964"/>
    </row>
    <row r="218" spans="1:60" ht="13.5" customHeight="1">
      <c r="A218" s="2112"/>
      <c r="B218" s="9178">
        <v>15</v>
      </c>
      <c r="C218" s="9178"/>
      <c r="D218" s="253" t="s">
        <v>2870</v>
      </c>
      <c r="E218" s="253"/>
      <c r="F218" s="511"/>
      <c r="G218" s="253"/>
      <c r="H218" s="253"/>
      <c r="I218" s="253"/>
      <c r="J218" s="253"/>
      <c r="K218" s="253"/>
      <c r="L218" s="253"/>
      <c r="M218" s="253"/>
      <c r="N218" s="253"/>
      <c r="O218" s="253"/>
      <c r="P218" s="253"/>
      <c r="Q218" s="253"/>
      <c r="R218" s="253"/>
      <c r="S218" s="253"/>
      <c r="T218" s="253"/>
      <c r="U218" s="253"/>
      <c r="V218" s="253"/>
      <c r="W218" s="253"/>
      <c r="X218" s="253"/>
      <c r="Y218" s="253"/>
      <c r="Z218" s="8984"/>
      <c r="AA218" s="8985"/>
      <c r="AB218" s="408"/>
      <c r="AC218" s="253"/>
      <c r="AD218" s="253"/>
      <c r="AE218" s="253"/>
      <c r="AF218" s="253"/>
      <c r="AG218" s="253"/>
      <c r="AH218" s="253"/>
      <c r="AI218" s="409"/>
      <c r="AJ218" s="8976"/>
      <c r="AK218" s="7976"/>
      <c r="AL218" s="408"/>
      <c r="AM218" s="253"/>
      <c r="AN218" s="253"/>
      <c r="AO218" s="253"/>
      <c r="AP218" s="1277"/>
      <c r="AQ218" s="253"/>
      <c r="AR218" s="253"/>
      <c r="AS218" s="253"/>
      <c r="AT218" s="253"/>
      <c r="AU218" s="253"/>
      <c r="AV218" s="253"/>
      <c r="AW218" s="253"/>
      <c r="AX218" s="769"/>
      <c r="AY218" s="964"/>
      <c r="AZ218" s="964"/>
      <c r="BA218" s="964"/>
      <c r="BB218" s="964"/>
      <c r="BC218" s="964"/>
      <c r="BD218" s="964"/>
      <c r="BE218" s="964"/>
      <c r="BF218" s="964"/>
      <c r="BG218" s="964"/>
      <c r="BH218" s="964"/>
    </row>
    <row r="219" spans="1:60" ht="13.5" customHeight="1">
      <c r="A219" s="2112"/>
      <c r="B219" s="9178"/>
      <c r="C219" s="9178"/>
      <c r="D219" s="253" t="s">
        <v>2872</v>
      </c>
      <c r="E219" s="253"/>
      <c r="F219" s="511"/>
      <c r="G219" s="253"/>
      <c r="H219" s="253"/>
      <c r="I219" s="253"/>
      <c r="J219" s="253"/>
      <c r="K219" s="253"/>
      <c r="L219" s="253"/>
      <c r="M219" s="253"/>
      <c r="N219" s="253"/>
      <c r="O219" s="253"/>
      <c r="P219" s="253"/>
      <c r="Q219" s="253"/>
      <c r="R219" s="253"/>
      <c r="S219" s="253"/>
      <c r="T219" s="253"/>
      <c r="U219" s="253"/>
      <c r="V219" s="253"/>
      <c r="W219" s="253"/>
      <c r="X219" s="253"/>
      <c r="Y219" s="253"/>
      <c r="Z219" s="8984"/>
      <c r="AA219" s="8985"/>
      <c r="AB219" s="408"/>
      <c r="AC219" s="253"/>
      <c r="AD219" s="253"/>
      <c r="AE219" s="253"/>
      <c r="AF219" s="253"/>
      <c r="AG219" s="253"/>
      <c r="AH219" s="253"/>
      <c r="AI219" s="409"/>
      <c r="AJ219" s="8976"/>
      <c r="AK219" s="7976"/>
      <c r="AL219" s="408"/>
      <c r="AM219" s="253"/>
      <c r="AN219" s="253"/>
      <c r="AO219" s="253"/>
      <c r="AP219" s="1277"/>
      <c r="AQ219" s="253"/>
      <c r="AR219" s="253"/>
      <c r="AS219" s="253"/>
      <c r="AT219" s="253"/>
      <c r="AU219" s="253"/>
      <c r="AV219" s="253"/>
      <c r="AW219" s="253"/>
      <c r="AX219" s="769"/>
      <c r="AY219" s="964"/>
      <c r="AZ219" s="964"/>
      <c r="BA219" s="964"/>
      <c r="BB219" s="964"/>
      <c r="BC219" s="964"/>
      <c r="BD219" s="964"/>
      <c r="BE219" s="964"/>
      <c r="BF219" s="964"/>
      <c r="BG219" s="964"/>
      <c r="BH219" s="964"/>
    </row>
    <row r="220" spans="1:60" ht="18" customHeight="1">
      <c r="A220" s="2112"/>
      <c r="B220" s="4178"/>
      <c r="C220" s="4178"/>
      <c r="D220" s="571" t="s">
        <v>2874</v>
      </c>
      <c r="E220" s="253"/>
      <c r="F220" s="253"/>
      <c r="G220" s="253"/>
      <c r="H220" s="253"/>
      <c r="I220" s="253"/>
      <c r="J220" s="253"/>
      <c r="K220" s="253"/>
      <c r="L220" s="253"/>
      <c r="M220" s="253"/>
      <c r="N220" s="253"/>
      <c r="O220" s="253"/>
      <c r="P220" s="253"/>
      <c r="Q220" s="253"/>
      <c r="R220" s="253"/>
      <c r="S220" s="253"/>
      <c r="T220" s="253"/>
      <c r="U220" s="253"/>
      <c r="V220" s="253"/>
      <c r="W220" s="253"/>
      <c r="X220" s="253"/>
      <c r="Y220" s="1401" t="s">
        <v>784</v>
      </c>
      <c r="Z220" s="8994">
        <v>15</v>
      </c>
      <c r="AA220" s="8464"/>
      <c r="AB220" s="9035" t="str">
        <f>AL186</f>
        <v/>
      </c>
      <c r="AC220" s="9036"/>
      <c r="AD220" s="9036"/>
      <c r="AE220" s="9036"/>
      <c r="AF220" s="9036"/>
      <c r="AG220" s="9036"/>
      <c r="AH220" s="9036"/>
      <c r="AI220" s="9037"/>
      <c r="AJ220" s="8976"/>
      <c r="AK220" s="7976"/>
      <c r="AL220" s="408"/>
      <c r="AM220" s="253"/>
      <c r="AN220" s="253"/>
      <c r="AO220" s="253"/>
      <c r="AP220" s="1277"/>
      <c r="AQ220" s="253"/>
      <c r="AR220" s="253"/>
      <c r="AS220" s="253"/>
      <c r="AT220" s="253"/>
      <c r="AU220" s="253"/>
      <c r="AV220" s="253"/>
      <c r="AW220" s="253"/>
      <c r="AX220" s="769"/>
      <c r="AY220" s="964"/>
      <c r="AZ220" s="964"/>
      <c r="BA220" s="964"/>
      <c r="BB220" s="964"/>
      <c r="BC220" s="964"/>
      <c r="BD220" s="964"/>
      <c r="BE220" s="964"/>
      <c r="BF220" s="964"/>
      <c r="BG220" s="964"/>
      <c r="BH220" s="964"/>
    </row>
    <row r="221" spans="1:60" ht="13.5" customHeight="1" thickBot="1">
      <c r="A221" s="2112"/>
      <c r="B221" s="9178">
        <v>16</v>
      </c>
      <c r="C221" s="9178"/>
      <c r="D221" s="759" t="s">
        <v>2875</v>
      </c>
      <c r="E221" s="733"/>
      <c r="F221" s="2855"/>
      <c r="G221" s="253"/>
      <c r="H221" s="253"/>
      <c r="I221" s="253"/>
      <c r="J221" s="253"/>
      <c r="K221" s="253"/>
      <c r="L221" s="253"/>
      <c r="M221" s="253"/>
      <c r="N221" s="253"/>
      <c r="O221" s="253"/>
      <c r="P221" s="3377"/>
      <c r="Q221" s="733"/>
      <c r="R221" s="2855"/>
      <c r="S221" s="344"/>
      <c r="T221" s="253"/>
      <c r="U221" s="253"/>
      <c r="V221" s="253"/>
      <c r="W221" s="253"/>
      <c r="X221" s="253"/>
      <c r="Y221" s="1401" t="s">
        <v>816</v>
      </c>
      <c r="Z221" s="8552">
        <v>16</v>
      </c>
      <c r="AA221" s="8469"/>
      <c r="AB221" s="8972"/>
      <c r="AC221" s="8973"/>
      <c r="AD221" s="8973"/>
      <c r="AE221" s="8973"/>
      <c r="AF221" s="8973"/>
      <c r="AG221" s="8973"/>
      <c r="AH221" s="8973"/>
      <c r="AI221" s="8974"/>
      <c r="AJ221" s="8976"/>
      <c r="AK221" s="7976"/>
      <c r="AL221" s="408"/>
      <c r="AM221" s="253"/>
      <c r="AN221" s="253"/>
      <c r="AO221" s="253"/>
      <c r="AP221" s="1277"/>
      <c r="AQ221" s="253"/>
      <c r="AR221" s="253"/>
      <c r="AS221" s="253"/>
      <c r="AT221" s="253"/>
      <c r="AU221" s="253"/>
      <c r="AV221" s="253"/>
      <c r="AW221" s="253"/>
      <c r="AX221" s="769"/>
      <c r="AY221" s="964"/>
      <c r="AZ221" s="964"/>
      <c r="BA221" s="964"/>
      <c r="BB221" s="964"/>
      <c r="BC221" s="964"/>
      <c r="BD221" s="964"/>
      <c r="BE221" s="964"/>
      <c r="BF221" s="964"/>
      <c r="BG221" s="964"/>
      <c r="BH221" s="964"/>
    </row>
    <row r="222" spans="1:60" ht="13.5" customHeight="1">
      <c r="A222" s="2112"/>
      <c r="B222" s="9178">
        <v>17</v>
      </c>
      <c r="C222" s="9178"/>
      <c r="D222" s="344" t="s">
        <v>6394</v>
      </c>
      <c r="E222" s="253"/>
      <c r="F222" s="511"/>
      <c r="G222" s="253"/>
      <c r="H222" s="253"/>
      <c r="I222" s="253"/>
      <c r="J222" s="253"/>
      <c r="K222" s="253"/>
      <c r="L222" s="253"/>
      <c r="M222" s="253"/>
      <c r="N222" s="253"/>
      <c r="O222" s="253"/>
      <c r="P222" s="253"/>
      <c r="Q222" s="253"/>
      <c r="R222" s="253"/>
      <c r="S222" s="253"/>
      <c r="T222" s="253"/>
      <c r="U222" s="253"/>
      <c r="V222" s="253"/>
      <c r="W222" s="253"/>
      <c r="X222" s="253"/>
      <c r="Y222" s="253"/>
      <c r="Z222" s="8984"/>
      <c r="AA222" s="8985"/>
      <c r="AB222" s="408"/>
      <c r="AC222" s="253"/>
      <c r="AD222" s="253"/>
      <c r="AE222" s="253"/>
      <c r="AF222" s="253"/>
      <c r="AG222" s="253"/>
      <c r="AH222" s="253"/>
      <c r="AI222" s="409"/>
      <c r="AJ222" s="8976"/>
      <c r="AK222" s="7976"/>
      <c r="AL222" s="408"/>
      <c r="AM222" s="253"/>
      <c r="AN222" s="253"/>
      <c r="AO222" s="253"/>
      <c r="AP222" s="1277"/>
      <c r="AQ222" s="253"/>
      <c r="AR222" s="253"/>
      <c r="AS222" s="253"/>
      <c r="AT222" s="253"/>
      <c r="AU222" s="253"/>
      <c r="AV222" s="253"/>
      <c r="AW222" s="253"/>
      <c r="AX222" s="1384"/>
      <c r="AY222" s="1385"/>
      <c r="AZ222" s="1385"/>
      <c r="BA222" s="1385"/>
      <c r="BB222" s="1385"/>
      <c r="BC222" s="1385"/>
      <c r="BD222" s="1385"/>
      <c r="BE222" s="1385"/>
      <c r="BF222" s="1385"/>
      <c r="BG222" s="1385"/>
      <c r="BH222" s="1386"/>
    </row>
    <row r="223" spans="1:60" ht="13.5" customHeight="1">
      <c r="A223" s="2112"/>
      <c r="B223" s="9178"/>
      <c r="C223" s="9178"/>
      <c r="D223" s="344" t="s">
        <v>6395</v>
      </c>
      <c r="E223" s="253"/>
      <c r="F223" s="511"/>
      <c r="G223" s="253"/>
      <c r="H223" s="253"/>
      <c r="I223" s="253"/>
      <c r="J223" s="253"/>
      <c r="K223" s="253"/>
      <c r="L223" s="253"/>
      <c r="M223" s="253"/>
      <c r="N223" s="253"/>
      <c r="O223" s="253"/>
      <c r="P223" s="253"/>
      <c r="Q223" s="253"/>
      <c r="R223" s="253"/>
      <c r="S223" s="253"/>
      <c r="T223" s="253"/>
      <c r="U223" s="253"/>
      <c r="V223" s="253"/>
      <c r="W223" s="253"/>
      <c r="X223" s="253"/>
      <c r="Y223" s="253"/>
      <c r="Z223" s="8984"/>
      <c r="AA223" s="8985"/>
      <c r="AB223" s="408"/>
      <c r="AC223" s="253"/>
      <c r="AD223" s="253"/>
      <c r="AE223" s="253"/>
      <c r="AF223" s="253"/>
      <c r="AG223" s="253"/>
      <c r="AH223" s="253"/>
      <c r="AI223" s="409"/>
      <c r="AJ223" s="8976"/>
      <c r="AK223" s="7976"/>
      <c r="AL223" s="408"/>
      <c r="AM223" s="253"/>
      <c r="AN223" s="253"/>
      <c r="AO223" s="253"/>
      <c r="AP223" s="1277"/>
      <c r="AQ223" s="253"/>
      <c r="AR223" s="253"/>
      <c r="AS223" s="253"/>
      <c r="AT223" s="253"/>
      <c r="AU223" s="253"/>
      <c r="AV223" s="253"/>
      <c r="AW223" s="253"/>
      <c r="AX223" s="1387" t="s">
        <v>2869</v>
      </c>
      <c r="AY223" s="1388"/>
      <c r="AZ223" s="1027"/>
      <c r="BA223" s="1027"/>
      <c r="BB223" s="1027"/>
      <c r="BC223" s="1027"/>
      <c r="BD223" s="1027"/>
      <c r="BE223" s="1027"/>
      <c r="BF223" s="1027"/>
      <c r="BG223" s="1027"/>
      <c r="BH223" s="1389"/>
    </row>
    <row r="224" spans="1:60" ht="12.75" customHeight="1">
      <c r="A224" s="2112"/>
      <c r="B224" s="4178"/>
      <c r="C224" s="4178"/>
      <c r="D224" s="979" t="s">
        <v>6396</v>
      </c>
      <c r="E224" s="253"/>
      <c r="F224" s="253"/>
      <c r="G224" s="253"/>
      <c r="H224" s="253"/>
      <c r="I224" s="253"/>
      <c r="J224" s="253"/>
      <c r="K224" s="253"/>
      <c r="L224" s="253"/>
      <c r="M224" s="253"/>
      <c r="N224" s="253"/>
      <c r="O224" s="253"/>
      <c r="P224" s="253"/>
      <c r="Q224" s="253"/>
      <c r="R224" s="253"/>
      <c r="S224" s="253"/>
      <c r="T224" s="253"/>
      <c r="U224" s="253"/>
      <c r="V224" s="253"/>
      <c r="W224" s="253"/>
      <c r="X224" s="253"/>
      <c r="Y224" s="1401" t="s">
        <v>874</v>
      </c>
      <c r="Z224" s="8994">
        <v>17</v>
      </c>
      <c r="AA224" s="8464"/>
      <c r="AB224" s="9035">
        <f>SUM(AB220,AB221)</f>
        <v>0</v>
      </c>
      <c r="AC224" s="9036"/>
      <c r="AD224" s="9036"/>
      <c r="AE224" s="9036"/>
      <c r="AF224" s="9036"/>
      <c r="AG224" s="9036"/>
      <c r="AH224" s="9036"/>
      <c r="AI224" s="9037"/>
      <c r="AJ224" s="8976"/>
      <c r="AK224" s="7976"/>
      <c r="AL224" s="9203"/>
      <c r="AM224" s="8991"/>
      <c r="AN224" s="8991"/>
      <c r="AO224" s="8991"/>
      <c r="AP224" s="1277"/>
      <c r="AQ224" s="8990" t="str">
        <f>IF(AND(AL217&gt;0,AB225),"Skip lines 18 through 24.","")</f>
        <v/>
      </c>
      <c r="AR224" s="8990"/>
      <c r="AS224" s="8990"/>
      <c r="AT224" s="8990"/>
      <c r="AU224" s="8990"/>
      <c r="AV224" s="253"/>
      <c r="AW224" s="253"/>
      <c r="AX224" s="1390" t="b">
        <f>AND(CGTW_Line5&gt;0,CGTW_Line5&lt;&gt;"")</f>
        <v>0</v>
      </c>
      <c r="AY224" s="1388" t="s">
        <v>2871</v>
      </c>
      <c r="AZ224" s="1027"/>
      <c r="BA224" s="1027"/>
      <c r="BB224" s="1027"/>
      <c r="BC224" s="1027"/>
      <c r="BD224" s="1027"/>
      <c r="BE224" s="1027"/>
      <c r="BF224" s="1027"/>
      <c r="BG224" s="1027"/>
      <c r="BH224" s="1389"/>
    </row>
    <row r="225" spans="1:60" ht="14.25" customHeight="1">
      <c r="A225" s="2112"/>
      <c r="B225" s="9178">
        <v>18</v>
      </c>
      <c r="C225" s="9178"/>
      <c r="D225" s="344" t="s">
        <v>6390</v>
      </c>
      <c r="E225" s="253"/>
      <c r="F225" s="511"/>
      <c r="G225" s="253"/>
      <c r="H225" s="253"/>
      <c r="I225" s="253"/>
      <c r="J225" s="253"/>
      <c r="K225" s="253"/>
      <c r="L225" s="253"/>
      <c r="M225" s="253"/>
      <c r="N225" s="253"/>
      <c r="O225" s="253"/>
      <c r="P225" s="253"/>
      <c r="Q225" s="253"/>
      <c r="R225" s="253"/>
      <c r="S225" s="253"/>
      <c r="T225" s="253"/>
      <c r="U225" s="253"/>
      <c r="V225" s="253"/>
      <c r="W225" s="253"/>
      <c r="X225" s="253"/>
      <c r="Y225" s="253"/>
      <c r="Z225" s="8984"/>
      <c r="AA225" s="8985"/>
      <c r="AB225" s="9113" t="b">
        <f>AND(AB224&lt;=0,AQ228="")</f>
        <v>1</v>
      </c>
      <c r="AC225" s="8729"/>
      <c r="AD225" s="8729"/>
      <c r="AE225" s="8729"/>
      <c r="AF225" s="8729"/>
      <c r="AG225" s="8729"/>
      <c r="AH225" s="8729"/>
      <c r="AI225" s="9114"/>
      <c r="AJ225" s="8976"/>
      <c r="AK225" s="7976"/>
      <c r="AL225" s="9219"/>
      <c r="AM225" s="8987"/>
      <c r="AN225" s="8987"/>
      <c r="AO225" s="8987"/>
      <c r="AP225" s="1277"/>
      <c r="AQ225" s="4213"/>
      <c r="AR225" s="4213"/>
      <c r="AS225" s="4213"/>
      <c r="AT225" s="4213"/>
      <c r="AU225" s="253"/>
      <c r="AV225" s="253"/>
      <c r="AW225" s="379"/>
      <c r="AX225" s="1390" t="b">
        <f>AND(CGTW_Line23&lt;&gt;"",CGTW_Line24&lt;&gt;"",CGTW_Line23&lt;CGTW_Line24)</f>
        <v>0</v>
      </c>
      <c r="AY225" s="1388" t="s">
        <v>2873</v>
      </c>
      <c r="AZ225" s="1027"/>
      <c r="BA225" s="1027"/>
      <c r="BB225" s="1027"/>
      <c r="BC225" s="1027"/>
      <c r="BD225" s="1027"/>
      <c r="BE225" s="1027"/>
      <c r="BF225" s="1027"/>
      <c r="BG225" s="1027"/>
      <c r="BH225" s="1389"/>
    </row>
    <row r="226" spans="1:60" ht="14.25" customHeight="1">
      <c r="A226" s="2112"/>
      <c r="B226" s="6476"/>
      <c r="C226" s="6476"/>
      <c r="D226" s="344" t="s">
        <v>6391</v>
      </c>
      <c r="E226" s="253"/>
      <c r="F226" s="511"/>
      <c r="G226" s="253"/>
      <c r="H226" s="253"/>
      <c r="I226" s="253"/>
      <c r="J226" s="253"/>
      <c r="K226" s="253"/>
      <c r="L226" s="253"/>
      <c r="M226" s="253"/>
      <c r="N226" s="253"/>
      <c r="O226" s="253"/>
      <c r="P226" s="253"/>
      <c r="Q226" s="253"/>
      <c r="R226" s="253"/>
      <c r="S226" s="253"/>
      <c r="T226" s="253"/>
      <c r="U226" s="253"/>
      <c r="V226" s="253"/>
      <c r="W226" s="253"/>
      <c r="X226" s="253"/>
      <c r="Y226" s="253"/>
      <c r="Z226" s="1207"/>
      <c r="AA226" s="4190"/>
      <c r="AB226" s="8943">
        <f>IF(TotalDeductions="",0,TotalDeductions)</f>
        <v>0</v>
      </c>
      <c r="AC226" s="7633"/>
      <c r="AD226" s="7633"/>
      <c r="AE226" s="7633"/>
      <c r="AF226" s="7633"/>
      <c r="AG226" s="7633"/>
      <c r="AH226" s="7633"/>
      <c r="AI226" s="8944"/>
      <c r="AJ226" s="8976"/>
      <c r="AK226" s="7976"/>
      <c r="AL226" s="6474"/>
      <c r="AM226" s="6475"/>
      <c r="AN226" s="6475"/>
      <c r="AO226" s="6475"/>
      <c r="AP226" s="1277"/>
      <c r="AQ226" s="4213"/>
      <c r="AR226" s="4213"/>
      <c r="AS226" s="4213"/>
      <c r="AT226" s="4213"/>
      <c r="AU226" s="253"/>
      <c r="AV226" s="253"/>
      <c r="AW226" s="253"/>
      <c r="AX226" s="1391" t="b">
        <f>AND(AX224,AX225)</f>
        <v>0</v>
      </c>
      <c r="AY226" s="1388"/>
      <c r="AZ226" s="1027"/>
      <c r="BA226" s="1027"/>
      <c r="BB226" s="1027"/>
      <c r="BC226" s="1027"/>
      <c r="BD226" s="1027"/>
      <c r="BE226" s="1027"/>
      <c r="BF226" s="1027"/>
      <c r="BG226" s="1027"/>
      <c r="BH226" s="1389"/>
    </row>
    <row r="227" spans="1:60" ht="12.75" customHeight="1">
      <c r="A227" s="2112"/>
      <c r="B227" s="9178"/>
      <c r="C227" s="9178"/>
      <c r="D227" s="344" t="s">
        <v>6393</v>
      </c>
      <c r="E227" s="253"/>
      <c r="F227" s="511"/>
      <c r="G227" s="253"/>
      <c r="H227" s="253"/>
      <c r="I227" s="253"/>
      <c r="J227" s="253"/>
      <c r="K227" s="253"/>
      <c r="L227" s="253"/>
      <c r="M227" s="253"/>
      <c r="N227" s="253"/>
      <c r="O227" s="253"/>
      <c r="P227" s="253"/>
      <c r="Q227" s="253"/>
      <c r="R227" s="253"/>
      <c r="S227" s="253"/>
      <c r="T227" s="253"/>
      <c r="U227" s="253"/>
      <c r="V227" s="253"/>
      <c r="W227" s="253"/>
      <c r="X227" s="253"/>
      <c r="Y227" s="253"/>
      <c r="Z227" s="8984"/>
      <c r="AA227" s="8985"/>
      <c r="AB227" s="8943">
        <f>IF(DeductionForSeniors="",0,DeductionForSeniors)</f>
        <v>0</v>
      </c>
      <c r="AC227" s="7633"/>
      <c r="AD227" s="7633"/>
      <c r="AE227" s="7633"/>
      <c r="AF227" s="7633"/>
      <c r="AG227" s="7633"/>
      <c r="AH227" s="7633"/>
      <c r="AI227" s="8944"/>
      <c r="AJ227" s="8976"/>
      <c r="AK227" s="7976"/>
      <c r="AL227" s="408"/>
      <c r="AM227" s="253"/>
      <c r="AN227" s="253"/>
      <c r="AO227" s="253"/>
      <c r="AP227" s="1277"/>
      <c r="AQ227" s="1277"/>
      <c r="AR227" s="1277"/>
      <c r="AS227" s="1277"/>
      <c r="AT227" s="1277"/>
      <c r="AU227" s="1277"/>
      <c r="AV227" s="253"/>
      <c r="AW227" s="253"/>
      <c r="AX227" s="1392" t="s">
        <v>2876</v>
      </c>
      <c r="AY227" s="1388"/>
      <c r="AZ227" s="1027"/>
      <c r="BA227" s="1027"/>
      <c r="BB227" s="1027"/>
      <c r="BC227" s="1027"/>
      <c r="BD227" s="1027"/>
      <c r="BE227" s="1027"/>
      <c r="BF227" s="1027"/>
      <c r="BG227" s="1027"/>
      <c r="BH227" s="1389"/>
    </row>
    <row r="228" spans="1:60" ht="12" customHeight="1" thickBot="1">
      <c r="A228" s="4158"/>
      <c r="B228" s="4214"/>
      <c r="C228" s="4214"/>
      <c r="D228" s="344" t="s">
        <v>6392</v>
      </c>
      <c r="E228" s="571"/>
      <c r="F228" s="571"/>
      <c r="G228" s="571"/>
      <c r="H228" s="571"/>
      <c r="I228" s="571"/>
      <c r="J228" s="571"/>
      <c r="K228" s="571"/>
      <c r="L228" s="571"/>
      <c r="M228" s="571"/>
      <c r="N228" s="571"/>
      <c r="O228" s="571"/>
      <c r="P228" s="571"/>
      <c r="Q228" s="571"/>
      <c r="R228" s="571"/>
      <c r="S228" s="571"/>
      <c r="T228" s="571"/>
      <c r="U228" s="571"/>
      <c r="V228" s="571"/>
      <c r="W228" s="571"/>
      <c r="X228" s="571"/>
      <c r="Y228" s="4160" t="s">
        <v>784</v>
      </c>
      <c r="Z228" s="9225">
        <v>18</v>
      </c>
      <c r="AA228" s="9226"/>
      <c r="AB228" s="9035" t="str">
        <f>IF(AQ228&lt;&gt;"",ROUND(AQ228,0),IF(AB225,"",IF(AX222,BG245,SUM(Adj_Gross_Inc_Pg2,-AB226,AB227))))</f>
        <v/>
      </c>
      <c r="AC228" s="9036"/>
      <c r="AD228" s="9036"/>
      <c r="AE228" s="9036"/>
      <c r="AF228" s="9036"/>
      <c r="AG228" s="9036"/>
      <c r="AH228" s="9036"/>
      <c r="AI228" s="9037"/>
      <c r="AJ228" s="9179"/>
      <c r="AK228" s="9180"/>
      <c r="AL228" s="4215"/>
      <c r="AM228" s="571"/>
      <c r="AN228" s="571"/>
      <c r="AO228" s="571"/>
      <c r="AP228" s="2888"/>
      <c r="AQ228" s="9213"/>
      <c r="AR228" s="9214"/>
      <c r="AS228" s="9214"/>
      <c r="AT228" s="9214"/>
      <c r="AU228" s="2888"/>
      <c r="AV228" s="571"/>
      <c r="AW228" s="571"/>
      <c r="AX228" s="6492" t="s">
        <v>2877</v>
      </c>
      <c r="AY228" s="1388"/>
      <c r="AZ228" s="1027"/>
      <c r="BA228" s="1027"/>
      <c r="BB228" s="1027"/>
      <c r="BC228" s="1027"/>
      <c r="BD228" s="1027"/>
      <c r="BE228" s="1027"/>
      <c r="BF228" s="1027"/>
      <c r="BG228" s="1027"/>
      <c r="BH228" s="1389"/>
    </row>
    <row r="229" spans="1:60" ht="14.25" customHeight="1">
      <c r="A229" s="2112"/>
      <c r="B229" s="4178"/>
      <c r="C229" s="4178"/>
      <c r="D229" s="979" t="s">
        <v>2880</v>
      </c>
      <c r="E229" s="733"/>
      <c r="F229" s="2855"/>
      <c r="G229" s="253"/>
      <c r="H229" s="253"/>
      <c r="I229" s="253"/>
      <c r="J229" s="253"/>
      <c r="K229" s="253"/>
      <c r="L229" s="253"/>
      <c r="M229" s="253"/>
      <c r="N229" s="253"/>
      <c r="O229" s="253"/>
      <c r="P229" s="3377"/>
      <c r="Q229" s="733"/>
      <c r="R229" s="2855"/>
      <c r="S229" s="344"/>
      <c r="T229" s="253"/>
      <c r="U229" s="253"/>
      <c r="V229" s="253"/>
      <c r="W229" s="253"/>
      <c r="X229" s="253"/>
      <c r="Y229" s="253"/>
      <c r="Z229" s="253"/>
      <c r="AA229" s="253"/>
      <c r="AB229" s="253"/>
      <c r="AC229" s="253"/>
      <c r="AD229" s="3377"/>
      <c r="AE229" s="733"/>
      <c r="AF229" s="2855"/>
      <c r="AG229" s="253"/>
      <c r="AH229" s="253"/>
      <c r="AI229" s="253"/>
      <c r="AJ229" s="9179"/>
      <c r="AK229" s="9180"/>
      <c r="AL229" s="253"/>
      <c r="AM229" s="253"/>
      <c r="AN229" s="253"/>
      <c r="AO229" s="253"/>
      <c r="AP229" s="1277"/>
      <c r="AQ229" s="1277"/>
      <c r="AR229" s="1277"/>
      <c r="AS229" s="1277"/>
      <c r="AT229" s="1277"/>
      <c r="AU229" s="1277"/>
      <c r="AV229" s="253"/>
      <c r="AW229" s="253"/>
      <c r="AX229" s="8953" t="s">
        <v>2878</v>
      </c>
      <c r="AY229" s="8954"/>
      <c r="AZ229" s="8954"/>
      <c r="BA229" s="8954"/>
      <c r="BB229" s="8954"/>
      <c r="BC229" s="8954"/>
      <c r="BD229" s="8954"/>
      <c r="BE229" s="8954"/>
      <c r="BF229" s="8957" t="s">
        <v>926</v>
      </c>
      <c r="BG229" s="8957"/>
      <c r="BH229" s="4191"/>
    </row>
    <row r="230" spans="1:60" s="138" customFormat="1" ht="13.5" customHeight="1">
      <c r="A230" s="2112"/>
      <c r="B230" s="253"/>
      <c r="C230" s="343"/>
      <c r="D230" s="571" t="s">
        <v>2882</v>
      </c>
      <c r="E230" s="253"/>
      <c r="F230" s="253"/>
      <c r="G230" s="253"/>
      <c r="H230" s="253"/>
      <c r="I230" s="253"/>
      <c r="J230" s="253"/>
      <c r="K230" s="253"/>
      <c r="L230" s="253"/>
      <c r="M230" s="253"/>
      <c r="N230" s="253"/>
      <c r="O230" s="253"/>
      <c r="P230" s="253"/>
      <c r="Q230" s="253"/>
      <c r="R230" s="253"/>
      <c r="S230" s="253"/>
      <c r="T230" s="794"/>
      <c r="U230" s="253"/>
      <c r="V230" s="253"/>
      <c r="W230" s="253"/>
      <c r="X230" s="253"/>
      <c r="Y230" s="253"/>
      <c r="Z230" s="253"/>
      <c r="AA230" s="253"/>
      <c r="AB230" s="253"/>
      <c r="AC230" s="253"/>
      <c r="AD230" s="253"/>
      <c r="AE230" s="253"/>
      <c r="AF230" s="253"/>
      <c r="AG230" s="253"/>
      <c r="AH230" s="253"/>
      <c r="AI230" s="253"/>
      <c r="AJ230" s="9179"/>
      <c r="AK230" s="9180"/>
      <c r="AL230" s="253"/>
      <c r="AM230" s="253"/>
      <c r="AN230" s="253"/>
      <c r="AO230" s="253"/>
      <c r="AP230" s="1277"/>
      <c r="AQ230" s="1277"/>
      <c r="AR230" s="1277"/>
      <c r="AS230" s="1277"/>
      <c r="AT230" s="1277"/>
      <c r="AU230" s="1277"/>
      <c r="AV230" s="253"/>
      <c r="AW230" s="253"/>
      <c r="AX230" s="8955"/>
      <c r="AY230" s="8956"/>
      <c r="AZ230" s="8956"/>
      <c r="BA230" s="8956"/>
      <c r="BB230" s="8956"/>
      <c r="BC230" s="8956"/>
      <c r="BD230" s="8956"/>
      <c r="BE230" s="8956"/>
      <c r="BF230" s="8958"/>
      <c r="BG230" s="8958"/>
      <c r="BH230" s="4192"/>
    </row>
    <row r="231" spans="1:60" ht="13.5" customHeight="1">
      <c r="A231" s="2112"/>
      <c r="B231" s="9178">
        <v>19</v>
      </c>
      <c r="C231" s="9178"/>
      <c r="D231" s="344" t="s">
        <v>2883</v>
      </c>
      <c r="E231" s="253"/>
      <c r="F231" s="511"/>
      <c r="G231" s="253"/>
      <c r="H231" s="253"/>
      <c r="I231" s="253"/>
      <c r="J231" s="253"/>
      <c r="K231" s="253"/>
      <c r="L231" s="253"/>
      <c r="M231" s="253"/>
      <c r="N231" s="253"/>
      <c r="O231" s="253"/>
      <c r="P231" s="253"/>
      <c r="Q231" s="253"/>
      <c r="R231" s="253"/>
      <c r="S231" s="253"/>
      <c r="T231" s="253"/>
      <c r="U231" s="253"/>
      <c r="V231" s="253"/>
      <c r="W231" s="253"/>
      <c r="X231" s="253"/>
      <c r="Y231" s="253"/>
      <c r="Z231" s="253"/>
      <c r="AA231" s="253"/>
      <c r="AB231" s="253"/>
      <c r="AC231" s="253"/>
      <c r="AD231" s="253"/>
      <c r="AE231" s="253"/>
      <c r="AF231" s="253"/>
      <c r="AG231" s="253"/>
      <c r="AH231" s="253"/>
      <c r="AI231" s="1401" t="s">
        <v>894</v>
      </c>
      <c r="AJ231" s="8994">
        <v>19</v>
      </c>
      <c r="AK231" s="9030"/>
      <c r="AL231" s="8992" t="str">
        <f>IF(AQ231&lt;&gt;"",ROUND(AQ231,4),IF(AB225,"",IF(OR(AB228="",AB228=0),"                    ---",IF(AB224&gt;AB228,1,ROUND(AB224/AB228,4)))))</f>
        <v/>
      </c>
      <c r="AM231" s="8993"/>
      <c r="AN231" s="8993"/>
      <c r="AO231" s="8993"/>
      <c r="AP231" s="1277"/>
      <c r="AQ231" s="9195"/>
      <c r="AR231" s="9196"/>
      <c r="AS231" s="9196"/>
      <c r="AT231" s="9196"/>
      <c r="AU231" s="1277"/>
      <c r="AV231" s="253"/>
      <c r="AW231" s="253"/>
      <c r="AX231" s="4193"/>
      <c r="AY231" s="851"/>
      <c r="AZ231" s="851"/>
      <c r="BA231" s="851"/>
      <c r="BB231" s="851"/>
      <c r="BC231" s="851"/>
      <c r="BD231" s="851"/>
      <c r="BE231" s="851"/>
      <c r="BF231" s="851"/>
      <c r="BG231" s="851"/>
      <c r="BH231" s="4194"/>
    </row>
    <row r="232" spans="1:60" ht="13.5" customHeight="1">
      <c r="A232" s="2112"/>
      <c r="B232" s="9029">
        <v>20</v>
      </c>
      <c r="C232" s="9029"/>
      <c r="D232" s="344" t="s">
        <v>2884</v>
      </c>
      <c r="E232" s="253"/>
      <c r="F232" s="511"/>
      <c r="G232" s="253"/>
      <c r="H232" s="253"/>
      <c r="I232" s="253"/>
      <c r="J232" s="253"/>
      <c r="K232" s="253"/>
      <c r="L232" s="253"/>
      <c r="M232" s="253"/>
      <c r="N232" s="253"/>
      <c r="O232" s="253"/>
      <c r="P232" s="253"/>
      <c r="Q232" s="253"/>
      <c r="R232" s="253"/>
      <c r="S232" s="253"/>
      <c r="T232" s="253"/>
      <c r="U232" s="253"/>
      <c r="V232" s="253"/>
      <c r="W232" s="253"/>
      <c r="X232" s="253"/>
      <c r="Y232" s="253"/>
      <c r="Z232" s="253"/>
      <c r="AA232" s="253"/>
      <c r="AB232" s="253"/>
      <c r="AC232" s="253"/>
      <c r="AD232" s="253"/>
      <c r="AE232" s="253"/>
      <c r="AF232" s="253"/>
      <c r="AG232" s="253"/>
      <c r="AH232" s="253"/>
      <c r="AI232" s="253"/>
      <c r="AJ232" s="9118"/>
      <c r="AK232" s="9119"/>
      <c r="AL232" s="408"/>
      <c r="AM232" s="253"/>
      <c r="AN232" s="253"/>
      <c r="AO232" s="253"/>
      <c r="AP232" s="1277"/>
      <c r="AQ232" s="1277"/>
      <c r="AR232" s="1277"/>
      <c r="AS232" s="1277"/>
      <c r="AT232" s="1277"/>
      <c r="AU232" s="1277"/>
      <c r="AV232" s="253"/>
      <c r="AW232" s="253"/>
      <c r="AX232" s="6501" t="s">
        <v>5578</v>
      </c>
      <c r="AY232" s="1193" t="s">
        <v>2879</v>
      </c>
      <c r="AZ232" s="851"/>
      <c r="BA232" s="851"/>
      <c r="BB232" s="851"/>
      <c r="BC232" s="851"/>
      <c r="BD232" s="851"/>
      <c r="BE232" s="851"/>
      <c r="BF232" s="851"/>
      <c r="BG232" s="851"/>
      <c r="BH232" s="4194"/>
    </row>
    <row r="233" spans="1:60">
      <c r="A233" s="2112"/>
      <c r="B233" s="1321"/>
      <c r="C233" s="1321"/>
      <c r="D233" s="344" t="s">
        <v>5517</v>
      </c>
      <c r="E233" s="253"/>
      <c r="F233" s="253"/>
      <c r="G233" s="253"/>
      <c r="H233" s="253"/>
      <c r="I233" s="253"/>
      <c r="J233" s="253"/>
      <c r="K233" s="253"/>
      <c r="L233" s="253"/>
      <c r="M233" s="253"/>
      <c r="N233" s="253"/>
      <c r="O233" s="253"/>
      <c r="P233" s="253"/>
      <c r="Q233" s="253"/>
      <c r="R233" s="253"/>
      <c r="S233" s="253"/>
      <c r="T233" s="253"/>
      <c r="U233" s="253"/>
      <c r="V233" s="253"/>
      <c r="W233" s="253"/>
      <c r="X233" s="253"/>
      <c r="Y233" s="253"/>
      <c r="Z233" s="253"/>
      <c r="AA233" s="253"/>
      <c r="AB233" s="253"/>
      <c r="AC233" s="253"/>
      <c r="AD233" s="253"/>
      <c r="AE233" s="253"/>
      <c r="AF233" s="253"/>
      <c r="AG233" s="253"/>
      <c r="AH233" s="253"/>
      <c r="AI233" s="1401" t="s">
        <v>802</v>
      </c>
      <c r="AJ233" s="8994">
        <v>20</v>
      </c>
      <c r="AK233" s="9030"/>
      <c r="AL233" s="8969" t="str">
        <f>IF(AQ233&lt;&gt;"",ROUND(AQ233,0),IF(AB225,"",IF(AO144&lt;&gt;1,"",SUM(Tax_SubTotal,PTC_ExcessAdv))))</f>
        <v/>
      </c>
      <c r="AM233" s="7827"/>
      <c r="AN233" s="7827"/>
      <c r="AO233" s="7827"/>
      <c r="AP233" s="1277"/>
      <c r="AQ233" s="8967"/>
      <c r="AR233" s="8968"/>
      <c r="AS233" s="8968"/>
      <c r="AT233" s="8968"/>
      <c r="AU233" s="1277"/>
      <c r="AV233" s="253"/>
      <c r="AW233" s="253"/>
      <c r="AX233" s="4193"/>
      <c r="AY233" s="851"/>
      <c r="AZ233" s="851"/>
      <c r="BA233" s="851"/>
      <c r="BB233" s="851"/>
      <c r="BC233" s="851"/>
      <c r="BD233" s="851"/>
      <c r="BE233" s="851"/>
      <c r="BF233" s="851"/>
      <c r="BG233" s="851"/>
      <c r="BH233" s="4194"/>
    </row>
    <row r="234" spans="1:60" ht="15.75" customHeight="1">
      <c r="A234" s="2112"/>
      <c r="B234" s="9029"/>
      <c r="C234" s="9029"/>
      <c r="D234" s="344" t="s">
        <v>2888</v>
      </c>
      <c r="E234" s="253"/>
      <c r="F234" s="511"/>
      <c r="G234" s="253"/>
      <c r="H234" s="253"/>
      <c r="I234" s="253"/>
      <c r="J234" s="253"/>
      <c r="K234" s="253"/>
      <c r="L234" s="253"/>
      <c r="M234" s="253"/>
      <c r="N234" s="253"/>
      <c r="O234" s="253"/>
      <c r="P234" s="253"/>
      <c r="Q234" s="253"/>
      <c r="R234" s="253"/>
      <c r="S234" s="253"/>
      <c r="T234" s="253"/>
      <c r="U234" s="253"/>
      <c r="V234" s="253"/>
      <c r="W234" s="253"/>
      <c r="X234" s="253"/>
      <c r="Y234" s="253"/>
      <c r="Z234" s="253"/>
      <c r="AA234" s="253"/>
      <c r="AB234" s="253"/>
      <c r="AC234" s="253"/>
      <c r="AD234" s="253"/>
      <c r="AE234" s="253"/>
      <c r="AF234" s="253"/>
      <c r="AG234" s="253"/>
      <c r="AH234" s="253"/>
      <c r="AI234" s="253"/>
      <c r="AJ234" s="408"/>
      <c r="AK234" s="409"/>
      <c r="AL234" s="253"/>
      <c r="AM234" s="253"/>
      <c r="AN234" s="253"/>
      <c r="AO234" s="253"/>
      <c r="AP234" s="1277"/>
      <c r="AQ234" s="1277"/>
      <c r="AR234" s="1277"/>
      <c r="AS234" s="1277"/>
      <c r="AT234" s="1277"/>
      <c r="AU234" s="1277"/>
      <c r="AV234" s="253"/>
      <c r="AW234" s="253"/>
      <c r="AX234" s="4195" t="s">
        <v>157</v>
      </c>
      <c r="AY234" s="1193" t="s">
        <v>6402</v>
      </c>
      <c r="AZ234" s="851"/>
      <c r="BA234" s="851"/>
      <c r="BB234" s="851"/>
      <c r="BC234" s="851"/>
      <c r="BD234" s="851"/>
      <c r="BE234" s="851"/>
      <c r="BF234" s="851"/>
      <c r="BG234" s="990">
        <f>IF(TotalDeductions="",0,TotalDeductions)</f>
        <v>0</v>
      </c>
      <c r="BH234" s="4194"/>
    </row>
    <row r="235" spans="1:60" ht="13.5" customHeight="1">
      <c r="A235" s="2112"/>
      <c r="B235" s="344"/>
      <c r="C235" s="344"/>
      <c r="D235" s="571" t="s">
        <v>2889</v>
      </c>
      <c r="E235" s="253"/>
      <c r="F235" s="253"/>
      <c r="G235" s="253"/>
      <c r="H235" s="253"/>
      <c r="I235" s="253"/>
      <c r="J235" s="253"/>
      <c r="K235" s="253"/>
      <c r="L235" s="253"/>
      <c r="M235" s="253"/>
      <c r="N235" s="253"/>
      <c r="O235" s="253"/>
      <c r="P235" s="253"/>
      <c r="Q235" s="253"/>
      <c r="R235" s="253"/>
      <c r="S235" s="253"/>
      <c r="T235" s="794"/>
      <c r="U235" s="253"/>
      <c r="V235" s="253"/>
      <c r="W235" s="253"/>
      <c r="X235" s="253"/>
      <c r="Y235" s="253"/>
      <c r="Z235" s="253"/>
      <c r="AA235" s="253"/>
      <c r="AB235" s="253"/>
      <c r="AC235" s="253"/>
      <c r="AD235" s="253"/>
      <c r="AE235" s="253"/>
      <c r="AF235" s="253"/>
      <c r="AG235" s="253"/>
      <c r="AH235" s="253"/>
      <c r="AI235" s="253"/>
      <c r="AJ235" s="408"/>
      <c r="AK235" s="409"/>
      <c r="AL235" s="253"/>
      <c r="AM235" s="253"/>
      <c r="AN235" s="253"/>
      <c r="AO235" s="253"/>
      <c r="AP235" s="1277"/>
      <c r="AQ235" s="1277"/>
      <c r="AR235" s="1277"/>
      <c r="AS235" s="1277"/>
      <c r="AT235" s="1277"/>
      <c r="AU235" s="1277"/>
      <c r="AV235" s="253"/>
      <c r="AW235" s="253"/>
      <c r="AX235" s="4195"/>
      <c r="AY235" s="1193" t="s">
        <v>6403</v>
      </c>
      <c r="AZ235" s="851"/>
      <c r="BA235" s="851"/>
      <c r="BB235" s="851"/>
      <c r="BC235" s="851"/>
      <c r="BD235" s="851"/>
      <c r="BE235" s="851"/>
      <c r="BF235" s="851"/>
      <c r="BG235" s="990">
        <f>IF(DeductionForSeniors="",0,DeductionForSeniors)</f>
        <v>0</v>
      </c>
      <c r="BH235" s="4194"/>
    </row>
    <row r="236" spans="1:60" ht="13.5" customHeight="1">
      <c r="A236" s="2112"/>
      <c r="B236" s="9178">
        <v>21</v>
      </c>
      <c r="C236" s="9178"/>
      <c r="D236" s="253" t="s">
        <v>2890</v>
      </c>
      <c r="E236" s="253"/>
      <c r="F236" s="253"/>
      <c r="G236" s="253"/>
      <c r="H236" s="253"/>
      <c r="I236" s="253"/>
      <c r="J236" s="253"/>
      <c r="K236" s="253"/>
      <c r="L236" s="253"/>
      <c r="M236" s="253"/>
      <c r="N236" s="253"/>
      <c r="O236" s="253"/>
      <c r="P236" s="253"/>
      <c r="Q236" s="253"/>
      <c r="R236" s="253"/>
      <c r="S236" s="253"/>
      <c r="T236" s="794"/>
      <c r="U236" s="253"/>
      <c r="V236" s="253"/>
      <c r="W236" s="253"/>
      <c r="X236" s="253"/>
      <c r="Y236" s="253"/>
      <c r="Z236" s="253"/>
      <c r="AA236" s="253"/>
      <c r="AB236" s="253"/>
      <c r="AC236" s="253"/>
      <c r="AD236" s="253"/>
      <c r="AE236" s="253"/>
      <c r="AF236" s="253"/>
      <c r="AG236" s="253"/>
      <c r="AH236" s="253"/>
      <c r="AI236" s="1401" t="s">
        <v>792</v>
      </c>
      <c r="AJ236" s="8994">
        <v>21</v>
      </c>
      <c r="AK236" s="9030"/>
      <c r="AL236" s="8969" t="str">
        <f>IF(AB225,"",IF(ISERROR(AL231*AL234),"                    ---",ROUND(AL231*AL233,0)))</f>
        <v/>
      </c>
      <c r="AM236" s="7827"/>
      <c r="AN236" s="7827"/>
      <c r="AO236" s="7827"/>
      <c r="AP236" s="1277"/>
      <c r="AQ236" s="1277"/>
      <c r="AR236" s="1277"/>
      <c r="AS236" s="1277"/>
      <c r="AT236" s="1277"/>
      <c r="AU236" s="1277"/>
      <c r="AV236" s="253"/>
      <c r="AW236" s="253"/>
      <c r="AX236" s="4193"/>
      <c r="AY236" s="1193" t="s">
        <v>2881</v>
      </c>
      <c r="AZ236" s="851"/>
      <c r="BA236" s="851"/>
      <c r="BB236" s="851"/>
      <c r="BC236" s="851"/>
      <c r="BD236" s="851"/>
      <c r="BE236" s="1027"/>
      <c r="BF236" s="1028" t="s">
        <v>157</v>
      </c>
      <c r="BG236" s="1030" t="str">
        <f>IF(NOT(AX226),"",SUM(Adj_Gross_Inc_Pg2,-BG234,BG235))</f>
        <v/>
      </c>
      <c r="BH236" s="4194"/>
    </row>
    <row r="237" spans="1:60" ht="13.5" customHeight="1">
      <c r="A237" s="2112"/>
      <c r="B237" s="9029">
        <v>22</v>
      </c>
      <c r="C237" s="9029"/>
      <c r="D237" s="344" t="s">
        <v>2892</v>
      </c>
      <c r="E237" s="253"/>
      <c r="F237" s="253"/>
      <c r="G237" s="253"/>
      <c r="H237" s="253"/>
      <c r="I237" s="253"/>
      <c r="J237" s="253"/>
      <c r="K237" s="253"/>
      <c r="L237" s="253"/>
      <c r="M237" s="253"/>
      <c r="N237" s="253"/>
      <c r="O237" s="253"/>
      <c r="P237" s="253"/>
      <c r="Q237" s="253"/>
      <c r="R237" s="253"/>
      <c r="S237" s="253"/>
      <c r="T237" s="794"/>
      <c r="U237" s="253"/>
      <c r="V237" s="253"/>
      <c r="W237" s="253"/>
      <c r="X237" s="253"/>
      <c r="Y237" s="253"/>
      <c r="Z237" s="253"/>
      <c r="AA237" s="253"/>
      <c r="AB237" s="253"/>
      <c r="AC237" s="253"/>
      <c r="AD237" s="253"/>
      <c r="AE237" s="253"/>
      <c r="AF237" s="253"/>
      <c r="AG237" s="253"/>
      <c r="AH237" s="253"/>
      <c r="AI237" s="1401" t="s">
        <v>872</v>
      </c>
      <c r="AJ237" s="8994">
        <v>22</v>
      </c>
      <c r="AK237" s="9183"/>
      <c r="AL237" s="9135"/>
      <c r="AM237" s="7826"/>
      <c r="AN237" s="7826"/>
      <c r="AO237" s="7826"/>
      <c r="AP237" s="1277"/>
      <c r="AQ237" s="9198">
        <f>IF(AL237&lt;&gt;"",ROUND(AL237,0),0)</f>
        <v>0</v>
      </c>
      <c r="AR237" s="9198"/>
      <c r="AS237" s="9198"/>
      <c r="AT237" s="9198"/>
      <c r="AU237" s="1277"/>
      <c r="AV237" s="253"/>
      <c r="AW237" s="253"/>
      <c r="AX237" s="4195" t="s">
        <v>161</v>
      </c>
      <c r="AY237" s="1193" t="str">
        <f>"Enter your worldwide "&amp;TEXT(BF237,"0%")&amp;" gains (see instructions)"</f>
        <v>Enter your worldwide 28% gains (see instructions)</v>
      </c>
      <c r="AZ237" s="851"/>
      <c r="BA237" s="851"/>
      <c r="BB237" s="851"/>
      <c r="BC237" s="851"/>
      <c r="BD237" s="4196" t="s">
        <v>161</v>
      </c>
      <c r="BE237" s="443"/>
      <c r="BF237" s="4197">
        <v>0.28000000000000003</v>
      </c>
      <c r="BG237" s="851"/>
      <c r="BH237" s="4194"/>
    </row>
    <row r="238" spans="1:60" ht="15.75" customHeight="1">
      <c r="A238" s="2112"/>
      <c r="B238" s="9029">
        <v>23</v>
      </c>
      <c r="C238" s="9029"/>
      <c r="D238" s="344" t="s">
        <v>1516</v>
      </c>
      <c r="E238" s="253"/>
      <c r="F238" s="253"/>
      <c r="G238" s="253"/>
      <c r="H238" s="253"/>
      <c r="I238" s="253"/>
      <c r="J238" s="253"/>
      <c r="K238" s="253"/>
      <c r="L238" s="253"/>
      <c r="M238" s="253"/>
      <c r="N238" s="253"/>
      <c r="O238" s="253"/>
      <c r="P238" s="253"/>
      <c r="Q238" s="253"/>
      <c r="R238" s="253"/>
      <c r="S238" s="253"/>
      <c r="T238" s="794"/>
      <c r="U238" s="253"/>
      <c r="V238" s="253"/>
      <c r="W238" s="253"/>
      <c r="X238" s="253"/>
      <c r="Y238" s="253"/>
      <c r="Z238" s="253"/>
      <c r="AA238" s="253"/>
      <c r="AB238" s="253"/>
      <c r="AC238" s="253"/>
      <c r="AD238" s="253"/>
      <c r="AE238" s="253"/>
      <c r="AF238" s="253"/>
      <c r="AG238" s="253"/>
      <c r="AH238" s="253"/>
      <c r="AI238" s="1401" t="s">
        <v>787</v>
      </c>
      <c r="AJ238" s="8994">
        <v>23</v>
      </c>
      <c r="AK238" s="9183"/>
      <c r="AL238" s="8969" t="str">
        <f>IF(AB225,"",SUM(AL236,AQ237))</f>
        <v/>
      </c>
      <c r="AM238" s="7827"/>
      <c r="AN238" s="7827"/>
      <c r="AO238" s="7827"/>
      <c r="AP238" s="1277"/>
      <c r="AQ238" s="1277"/>
      <c r="AR238" s="1277"/>
      <c r="AS238" s="1277"/>
      <c r="AT238" s="1277"/>
      <c r="AU238" s="1277"/>
      <c r="AV238" s="253"/>
      <c r="AW238" s="253"/>
      <c r="AX238" s="4195" t="s">
        <v>167</v>
      </c>
      <c r="AY238" s="1193" t="str">
        <f>"Multiply line 2 by "&amp;TEXT(BF238,"0.0000")</f>
        <v>Multiply line 2 by 0.2432</v>
      </c>
      <c r="AZ238" s="851"/>
      <c r="BA238" s="851"/>
      <c r="BB238" s="851"/>
      <c r="BC238" s="851"/>
      <c r="BD238" s="4196" t="s">
        <v>167</v>
      </c>
      <c r="BE238" s="2499" t="str">
        <f>IF(BE237&lt;&gt;"",ROUND(BE237*BF238,0),"")</f>
        <v/>
      </c>
      <c r="BF238" s="4198">
        <v>0.2432</v>
      </c>
      <c r="BG238" s="851"/>
      <c r="BH238" s="4194"/>
    </row>
    <row r="239" spans="1:60" ht="13.5" thickBot="1">
      <c r="A239" s="2112"/>
      <c r="B239" s="9120">
        <v>24</v>
      </c>
      <c r="C239" s="9120"/>
      <c r="D239" s="981" t="s">
        <v>6397</v>
      </c>
      <c r="E239" s="380"/>
      <c r="F239" s="380"/>
      <c r="G239" s="380"/>
      <c r="H239" s="380"/>
      <c r="I239" s="380"/>
      <c r="J239" s="380"/>
      <c r="K239" s="380"/>
      <c r="L239" s="380"/>
      <c r="M239" s="380"/>
      <c r="N239" s="380"/>
      <c r="O239" s="380"/>
      <c r="P239" s="380"/>
      <c r="Q239" s="380"/>
      <c r="R239" s="380"/>
      <c r="S239" s="380"/>
      <c r="T239" s="4206"/>
      <c r="U239" s="380"/>
      <c r="V239" s="380"/>
      <c r="W239" s="380"/>
      <c r="X239" s="380"/>
      <c r="Y239" s="380"/>
      <c r="Z239" s="380"/>
      <c r="AA239" s="380"/>
      <c r="AB239" s="380"/>
      <c r="AC239" s="380"/>
      <c r="AD239" s="380"/>
      <c r="AE239" s="380"/>
      <c r="AF239" s="380"/>
      <c r="AG239" s="380"/>
      <c r="AH239" s="380"/>
      <c r="AI239" s="4488"/>
      <c r="AJ239" s="9121">
        <v>24</v>
      </c>
      <c r="AK239" s="9224"/>
      <c r="AL239" s="8965" t="str">
        <f>IF(AQ239&lt;&gt;"",ROUND(AQ239,0),IF(AB225,"",IF(ISERROR(AL217*AL236),"                    ---",MIN(AL217,AL236))))</f>
        <v/>
      </c>
      <c r="AM239" s="8966"/>
      <c r="AN239" s="8966"/>
      <c r="AO239" s="8966"/>
      <c r="AP239" s="1277"/>
      <c r="AQ239" s="8967"/>
      <c r="AR239" s="8967"/>
      <c r="AS239" s="8967"/>
      <c r="AT239" s="8967"/>
      <c r="AU239" s="1277"/>
      <c r="AV239" s="253"/>
      <c r="AW239" s="253"/>
      <c r="AX239" s="4195" t="s">
        <v>171</v>
      </c>
      <c r="AY239" s="1193" t="str">
        <f>"Enter your worldwide "&amp;TEXT(BF239,"0%")&amp;" gains (see instructions)"</f>
        <v>Enter your worldwide 25% gains (see instructions)</v>
      </c>
      <c r="AZ239" s="851"/>
      <c r="BA239" s="851"/>
      <c r="BB239" s="851"/>
      <c r="BC239" s="851"/>
      <c r="BD239" s="4196" t="s">
        <v>171</v>
      </c>
      <c r="BE239" s="443"/>
      <c r="BF239" s="4197">
        <v>0.25</v>
      </c>
      <c r="BG239" s="851"/>
      <c r="BH239" s="4194"/>
    </row>
    <row r="240" spans="1:60" ht="14.25" customHeight="1">
      <c r="A240" s="4157"/>
      <c r="B240" s="9189" t="s">
        <v>2102</v>
      </c>
      <c r="C240" s="9189"/>
      <c r="D240" s="9190"/>
      <c r="E240" s="1323"/>
      <c r="F240" s="342" t="s">
        <v>6398</v>
      </c>
      <c r="G240" s="1323"/>
      <c r="H240" s="1323"/>
      <c r="I240" s="1323"/>
      <c r="J240" s="1323"/>
      <c r="K240" s="1323"/>
      <c r="L240" s="1323"/>
      <c r="M240" s="1323"/>
      <c r="N240" s="1323"/>
      <c r="O240" s="1323"/>
      <c r="P240" s="1323"/>
      <c r="Q240" s="1323"/>
      <c r="R240" s="1323"/>
      <c r="S240" s="1323"/>
      <c r="T240" s="1323"/>
      <c r="U240" s="1323"/>
      <c r="V240" s="1323"/>
      <c r="W240" s="1323"/>
      <c r="X240" s="1323"/>
      <c r="Y240" s="1323"/>
      <c r="Z240" s="1323"/>
      <c r="AA240" s="1323"/>
      <c r="AB240" s="1323"/>
      <c r="AC240" s="1323"/>
      <c r="AD240" s="1323"/>
      <c r="AE240" s="1323"/>
      <c r="AF240" s="1323"/>
      <c r="AG240" s="1323"/>
      <c r="AH240" s="1323"/>
      <c r="AI240" s="1323"/>
      <c r="AJ240" s="1323"/>
      <c r="AK240" s="1323"/>
      <c r="AL240" s="6498"/>
      <c r="AM240" s="6499"/>
      <c r="AN240" s="6499"/>
      <c r="AO240" s="6499"/>
      <c r="AP240" s="1277"/>
      <c r="AQ240" s="1277"/>
      <c r="AR240" s="1277"/>
      <c r="AS240" s="1277"/>
      <c r="AT240" s="1277"/>
      <c r="AU240" s="1277"/>
      <c r="AV240" s="1323"/>
      <c r="AW240" s="1323"/>
      <c r="AX240" s="4195" t="s">
        <v>184</v>
      </c>
      <c r="AY240" s="1193" t="str">
        <f>"Multiply line 4 by "&amp;TEXT(BF240,"0.0000")</f>
        <v>Multiply line 4 by 0.3243</v>
      </c>
      <c r="AZ240" s="851"/>
      <c r="BA240" s="851"/>
      <c r="BB240" s="851"/>
      <c r="BC240" s="851"/>
      <c r="BD240" s="4196" t="s">
        <v>184</v>
      </c>
      <c r="BE240" s="2499" t="str">
        <f>IF(BE239&lt;&gt;"",ROUND(BE239*BF240,0),"")</f>
        <v/>
      </c>
      <c r="BF240" s="4198">
        <v>0.32429999999999998</v>
      </c>
      <c r="BG240" s="851"/>
      <c r="BH240" s="4194"/>
    </row>
    <row r="241" spans="1:60" ht="14.25" customHeight="1">
      <c r="A241" s="4157"/>
      <c r="B241" s="3879"/>
      <c r="C241" s="3879"/>
      <c r="D241" s="3879"/>
      <c r="E241" s="3879"/>
      <c r="F241" s="2002" t="s">
        <v>6399</v>
      </c>
      <c r="G241" s="1998"/>
      <c r="H241" s="1998"/>
      <c r="I241" s="1998"/>
      <c r="J241" s="1998"/>
      <c r="K241" s="1998"/>
      <c r="L241" s="1998"/>
      <c r="M241" s="1998"/>
      <c r="N241" s="1998"/>
      <c r="O241" s="1998"/>
      <c r="P241" s="1998"/>
      <c r="Q241" s="1998"/>
      <c r="R241" s="1998"/>
      <c r="S241" s="1998"/>
      <c r="T241" s="1998"/>
      <c r="U241" s="1998"/>
      <c r="V241" s="1998"/>
      <c r="W241" s="1998"/>
      <c r="X241" s="1998"/>
      <c r="Y241" s="1998"/>
      <c r="Z241" s="1998"/>
      <c r="AA241" s="1998"/>
      <c r="AB241" s="1998"/>
      <c r="AC241" s="1998"/>
      <c r="AD241" s="1998"/>
      <c r="AE241" s="1998"/>
      <c r="AF241" s="1998"/>
      <c r="AG241" s="1998"/>
      <c r="AH241" s="1998"/>
      <c r="AI241" s="1998"/>
      <c r="AJ241" s="1998"/>
      <c r="AK241" s="1998"/>
      <c r="AL241" s="8945">
        <f>SUM($AO$22,$AO$144,$AO$265)</f>
        <v>0</v>
      </c>
      <c r="AM241" s="8945"/>
      <c r="AN241" s="8945"/>
      <c r="AO241" s="6500" t="b">
        <f>AND(AL241&gt;0,AL239=MAX($AL$118,$AL$239,$AL$362),AL239&lt;&gt;$AL$118)</f>
        <v>0</v>
      </c>
      <c r="AP241" s="1277"/>
      <c r="AQ241" s="1277"/>
      <c r="AR241" s="1277"/>
      <c r="AS241" s="1277"/>
      <c r="AT241" s="1277"/>
      <c r="AU241" s="1277"/>
      <c r="AV241" s="253"/>
      <c r="AW241" s="253"/>
      <c r="AX241" s="4195" t="s">
        <v>188</v>
      </c>
      <c r="AY241" s="1193" t="str">
        <f>"Enter your worldwide "&amp;TEXT(BF241,"0%")&amp;" gains (see instructions)"</f>
        <v>Enter your worldwide 20% gains (see instructions)</v>
      </c>
      <c r="AZ241" s="851"/>
      <c r="BA241" s="851"/>
      <c r="BB241" s="851"/>
      <c r="BC241" s="851"/>
      <c r="BD241" s="4196" t="s">
        <v>188</v>
      </c>
      <c r="BE241" s="443"/>
      <c r="BF241" s="4197">
        <v>0.2</v>
      </c>
      <c r="BG241" s="851"/>
      <c r="BH241" s="4194"/>
    </row>
    <row r="242" spans="1:60" ht="14.25" customHeight="1">
      <c r="A242" s="2112"/>
      <c r="B242" s="9029">
        <v>25</v>
      </c>
      <c r="C242" s="9029"/>
      <c r="D242" s="344" t="s">
        <v>2894</v>
      </c>
      <c r="E242" s="253"/>
      <c r="F242" s="511"/>
      <c r="G242" s="253"/>
      <c r="H242" s="253"/>
      <c r="I242" s="253"/>
      <c r="J242" s="253"/>
      <c r="K242" s="253"/>
      <c r="L242" s="253"/>
      <c r="M242" s="253"/>
      <c r="N242" s="253"/>
      <c r="O242" s="253"/>
      <c r="P242" s="253"/>
      <c r="Q242" s="253"/>
      <c r="R242" s="253"/>
      <c r="S242" s="253"/>
      <c r="T242" s="253"/>
      <c r="U242" s="253"/>
      <c r="V242" s="253"/>
      <c r="W242" s="253"/>
      <c r="X242" s="580"/>
      <c r="Y242" s="1401" t="s">
        <v>911</v>
      </c>
      <c r="Z242" s="8994">
        <v>25</v>
      </c>
      <c r="AA242" s="9030"/>
      <c r="AB242" s="8972" t="str">
        <f>IF(AO241,$AR$27,"")</f>
        <v/>
      </c>
      <c r="AC242" s="8973"/>
      <c r="AD242" s="8973"/>
      <c r="AE242" s="8973"/>
      <c r="AF242" s="8973"/>
      <c r="AG242" s="8973"/>
      <c r="AH242" s="8973"/>
      <c r="AI242" s="8974"/>
      <c r="AJ242" s="8976"/>
      <c r="AK242" s="7976"/>
      <c r="AL242" s="408"/>
      <c r="AM242" s="253"/>
      <c r="AN242" s="253"/>
      <c r="AO242" s="253"/>
      <c r="AP242" s="1277"/>
      <c r="AQ242" s="512" t="s">
        <v>588</v>
      </c>
      <c r="AR242" s="8970">
        <f>IF(C145&lt;&gt;"",AL239,0)</f>
        <v>0</v>
      </c>
      <c r="AS242" s="8970"/>
      <c r="AT242" s="8970"/>
      <c r="AU242" s="8970"/>
      <c r="AV242" s="253"/>
      <c r="AW242" s="253"/>
      <c r="AX242" s="4195" t="s">
        <v>198</v>
      </c>
      <c r="AY242" s="1193" t="str">
        <f>"Multiply line 6 by "&amp;TEXT(BF242,"0.0000")</f>
        <v>Multiply line 6 by 0.4595</v>
      </c>
      <c r="AZ242" s="851"/>
      <c r="BA242" s="851"/>
      <c r="BB242" s="851"/>
      <c r="BC242" s="851"/>
      <c r="BD242" s="4196" t="s">
        <v>198</v>
      </c>
      <c r="BE242" s="2499" t="str">
        <f>IF(BE241&lt;&gt;"",ROUND(BE241*BF242,0),"")</f>
        <v/>
      </c>
      <c r="BF242" s="4198">
        <v>0.45950000000000002</v>
      </c>
      <c r="BG242" s="851"/>
      <c r="BH242" s="4194"/>
    </row>
    <row r="243" spans="1:60" ht="14.25" customHeight="1">
      <c r="A243" s="2112"/>
      <c r="B243" s="9029">
        <v>26</v>
      </c>
      <c r="C243" s="9029"/>
      <c r="D243" s="344" t="s">
        <v>2895</v>
      </c>
      <c r="E243" s="253"/>
      <c r="F243" s="511"/>
      <c r="G243" s="253"/>
      <c r="H243" s="253"/>
      <c r="I243" s="253"/>
      <c r="J243" s="253"/>
      <c r="K243" s="253"/>
      <c r="L243" s="253"/>
      <c r="M243" s="253"/>
      <c r="N243" s="253"/>
      <c r="O243" s="253"/>
      <c r="P243" s="253"/>
      <c r="Q243" s="253"/>
      <c r="R243" s="253"/>
      <c r="S243" s="253"/>
      <c r="T243" s="253"/>
      <c r="U243" s="253"/>
      <c r="V243" s="253"/>
      <c r="W243" s="253"/>
      <c r="X243" s="580"/>
      <c r="Y243" s="1401" t="s">
        <v>874</v>
      </c>
      <c r="Z243" s="8994">
        <v>26</v>
      </c>
      <c r="AA243" s="9030"/>
      <c r="AB243" s="8972" t="str">
        <f>IF(AO241,$AR$28,"")</f>
        <v/>
      </c>
      <c r="AC243" s="8973"/>
      <c r="AD243" s="8973"/>
      <c r="AE243" s="8973"/>
      <c r="AF243" s="8973"/>
      <c r="AG243" s="8973"/>
      <c r="AH243" s="8973"/>
      <c r="AI243" s="8974"/>
      <c r="AJ243" s="8976"/>
      <c r="AK243" s="7976"/>
      <c r="AL243" s="408"/>
      <c r="AM243" s="253"/>
      <c r="AN243" s="253"/>
      <c r="AO243" s="253"/>
      <c r="AP243" s="1277"/>
      <c r="AQ243" s="512" t="s">
        <v>592</v>
      </c>
      <c r="AR243" s="8970">
        <f>IF(C147&lt;&gt;"",AL239,0)</f>
        <v>0</v>
      </c>
      <c r="AS243" s="8970"/>
      <c r="AT243" s="8970"/>
      <c r="AU243" s="8970"/>
      <c r="AV243" s="253"/>
      <c r="AW243" s="253"/>
      <c r="AX243" s="4195" t="s">
        <v>200</v>
      </c>
      <c r="AY243" s="1193" t="str">
        <f>"Enter your worldwide "&amp;TEXT(BF243,"0%")&amp;" gains (see instructions)"</f>
        <v>Enter your worldwide 15% gains (see instructions)</v>
      </c>
      <c r="AZ243" s="851"/>
      <c r="BA243" s="851"/>
      <c r="BB243" s="851"/>
      <c r="BC243" s="851"/>
      <c r="BD243" s="4196" t="s">
        <v>200</v>
      </c>
      <c r="BE243" s="443"/>
      <c r="BF243" s="4197">
        <v>0.15</v>
      </c>
      <c r="BG243" s="851"/>
      <c r="BH243" s="4194"/>
    </row>
    <row r="244" spans="1:60" ht="14.25" customHeight="1">
      <c r="A244" s="2112"/>
      <c r="B244" s="9029">
        <v>27</v>
      </c>
      <c r="C244" s="9029"/>
      <c r="D244" s="344" t="s">
        <v>2896</v>
      </c>
      <c r="E244" s="253"/>
      <c r="F244" s="511"/>
      <c r="G244" s="253"/>
      <c r="H244" s="253"/>
      <c r="I244" s="253"/>
      <c r="J244" s="253"/>
      <c r="K244" s="253"/>
      <c r="L244" s="253"/>
      <c r="M244" s="253"/>
      <c r="N244" s="253"/>
      <c r="O244" s="253"/>
      <c r="P244" s="253"/>
      <c r="Q244" s="253"/>
      <c r="R244" s="253"/>
      <c r="S244" s="253"/>
      <c r="T244" s="253"/>
      <c r="U244" s="253"/>
      <c r="V244" s="253"/>
      <c r="W244" s="253"/>
      <c r="X244" s="580"/>
      <c r="Y244" s="1401" t="s">
        <v>824</v>
      </c>
      <c r="Z244" s="8994">
        <v>27</v>
      </c>
      <c r="AA244" s="9030"/>
      <c r="AB244" s="8972" t="str">
        <f>IF(AO241,$AR$29,"")</f>
        <v/>
      </c>
      <c r="AC244" s="8973"/>
      <c r="AD244" s="8973"/>
      <c r="AE244" s="8973"/>
      <c r="AF244" s="8973"/>
      <c r="AG244" s="8973"/>
      <c r="AH244" s="8973"/>
      <c r="AI244" s="8974"/>
      <c r="AJ244" s="8976"/>
      <c r="AK244" s="7976"/>
      <c r="AL244" s="408"/>
      <c r="AM244" s="253"/>
      <c r="AN244" s="253"/>
      <c r="AO244" s="253"/>
      <c r="AP244" s="1277"/>
      <c r="AQ244" s="512" t="s">
        <v>595</v>
      </c>
      <c r="AR244" s="8970">
        <f>IF(K145&lt;&gt;"",AL239,0)</f>
        <v>0</v>
      </c>
      <c r="AS244" s="8970"/>
      <c r="AT244" s="8970"/>
      <c r="AU244" s="8970"/>
      <c r="AV244" s="253"/>
      <c r="AW244" s="253"/>
      <c r="AX244" s="4195"/>
      <c r="AY244" s="1193"/>
      <c r="AZ244" s="851"/>
      <c r="BA244" s="851"/>
      <c r="BB244" s="851"/>
      <c r="BC244" s="851"/>
      <c r="BD244" s="851"/>
      <c r="BE244" s="990"/>
      <c r="BF244" s="4196"/>
      <c r="BG244" s="4196"/>
      <c r="BH244" s="4194"/>
    </row>
    <row r="245" spans="1:60" ht="14.25" customHeight="1">
      <c r="A245" s="2112"/>
      <c r="B245" s="9029">
        <v>28</v>
      </c>
      <c r="C245" s="9029"/>
      <c r="D245" s="344" t="s">
        <v>2899</v>
      </c>
      <c r="E245" s="253"/>
      <c r="F245" s="511"/>
      <c r="G245" s="253"/>
      <c r="H245" s="253"/>
      <c r="I245" s="253"/>
      <c r="J245" s="253"/>
      <c r="K245" s="253"/>
      <c r="L245" s="253"/>
      <c r="M245" s="253"/>
      <c r="N245" s="253"/>
      <c r="O245" s="253"/>
      <c r="P245" s="253"/>
      <c r="Q245" s="253"/>
      <c r="R245" s="253"/>
      <c r="S245" s="253"/>
      <c r="T245" s="253"/>
      <c r="U245" s="253"/>
      <c r="V245" s="253"/>
      <c r="W245" s="253"/>
      <c r="X245" s="580"/>
      <c r="Y245" s="1401" t="s">
        <v>824</v>
      </c>
      <c r="Z245" s="8994">
        <v>28</v>
      </c>
      <c r="AA245" s="9030"/>
      <c r="AB245" s="8972" t="str">
        <f>IF(AO241,$AR$30,"")</f>
        <v/>
      </c>
      <c r="AC245" s="8973"/>
      <c r="AD245" s="8973"/>
      <c r="AE245" s="8973"/>
      <c r="AF245" s="8973"/>
      <c r="AG245" s="8973"/>
      <c r="AH245" s="8973"/>
      <c r="AI245" s="8974"/>
      <c r="AJ245" s="8976"/>
      <c r="AK245" s="7976"/>
      <c r="AL245" s="408"/>
      <c r="AM245" s="253"/>
      <c r="AN245" s="253"/>
      <c r="AO245" s="253"/>
      <c r="AP245" s="1277"/>
      <c r="AQ245" s="512" t="s">
        <v>599</v>
      </c>
      <c r="AR245" s="8970">
        <f>IF(K147&lt;&gt;"",AL239,0)</f>
        <v>0</v>
      </c>
      <c r="AS245" s="8970"/>
      <c r="AT245" s="8970"/>
      <c r="AU245" s="8970"/>
      <c r="AV245" s="253"/>
      <c r="AW245" s="253"/>
      <c r="AX245" s="4195" t="s">
        <v>205</v>
      </c>
      <c r="AY245" s="1193" t="str">
        <f>"Multiply line 8 by "&amp;TEXT(BF245,"0.0000")</f>
        <v>Multiply line 8 by 0.5946</v>
      </c>
      <c r="AZ245" s="851"/>
      <c r="BA245" s="851"/>
      <c r="BB245" s="851"/>
      <c r="BC245" s="851"/>
      <c r="BD245" s="4196" t="s">
        <v>205</v>
      </c>
      <c r="BE245" s="2499" t="str">
        <f>IF(BE243&lt;&gt;"",ROUND(BE243*BF245,0),"")</f>
        <v/>
      </c>
      <c r="BF245" s="4198">
        <v>0.59460000000000002</v>
      </c>
      <c r="BG245" s="851"/>
      <c r="BH245" s="4194"/>
    </row>
    <row r="246" spans="1:60" ht="14.25" customHeight="1">
      <c r="A246" s="2112"/>
      <c r="B246" s="9029">
        <v>29</v>
      </c>
      <c r="C246" s="9029"/>
      <c r="D246" s="344" t="s">
        <v>2902</v>
      </c>
      <c r="E246" s="253"/>
      <c r="F246" s="511"/>
      <c r="G246" s="253"/>
      <c r="H246" s="253"/>
      <c r="I246" s="253"/>
      <c r="J246" s="253"/>
      <c r="K246" s="253"/>
      <c r="L246" s="253"/>
      <c r="M246" s="253"/>
      <c r="N246" s="253"/>
      <c r="O246" s="253"/>
      <c r="P246" s="253"/>
      <c r="Q246" s="253"/>
      <c r="R246" s="253"/>
      <c r="S246" s="253"/>
      <c r="T246" s="253"/>
      <c r="U246" s="253"/>
      <c r="V246" s="253"/>
      <c r="W246" s="253"/>
      <c r="X246" s="580"/>
      <c r="Y246" s="1401" t="s">
        <v>874</v>
      </c>
      <c r="Z246" s="8994">
        <v>29</v>
      </c>
      <c r="AA246" s="9030"/>
      <c r="AB246" s="8972" t="str">
        <f>IF(AO241,$AR$31,"")</f>
        <v/>
      </c>
      <c r="AC246" s="8973"/>
      <c r="AD246" s="8973"/>
      <c r="AE246" s="8973"/>
      <c r="AF246" s="8973"/>
      <c r="AG246" s="8973"/>
      <c r="AH246" s="8973"/>
      <c r="AI246" s="8974"/>
      <c r="AJ246" s="8976"/>
      <c r="AK246" s="7976"/>
      <c r="AL246" s="408"/>
      <c r="AM246" s="253"/>
      <c r="AN246" s="253"/>
      <c r="AO246" s="253"/>
      <c r="AP246" s="1277"/>
      <c r="AQ246" s="512" t="s">
        <v>603</v>
      </c>
      <c r="AR246" s="8970">
        <f>IF(W145&lt;&gt;"",AL239,0)</f>
        <v>0</v>
      </c>
      <c r="AS246" s="8970"/>
      <c r="AT246" s="8970"/>
      <c r="AU246" s="8970"/>
      <c r="AV246" s="253"/>
      <c r="AW246" s="253"/>
      <c r="AX246" s="4195" t="s">
        <v>210</v>
      </c>
      <c r="AY246" s="1193" t="str">
        <f>"Enter your worldwide "&amp;TEXT(BF246,"0%")&amp;" gains and qualified dividends"</f>
        <v>Enter your worldwide 0% gains and qualified dividends</v>
      </c>
      <c r="AZ246" s="851"/>
      <c r="BA246" s="851"/>
      <c r="BB246" s="851"/>
      <c r="BC246" s="851"/>
      <c r="BD246" s="4196"/>
      <c r="BE246" s="1029"/>
      <c r="BF246" s="4197">
        <v>0</v>
      </c>
      <c r="BG246" s="851"/>
      <c r="BH246" s="4194"/>
    </row>
    <row r="247" spans="1:60" ht="14.25" customHeight="1">
      <c r="A247" s="2112"/>
      <c r="B247" s="9029">
        <v>30</v>
      </c>
      <c r="C247" s="9029"/>
      <c r="D247" s="344" t="s">
        <v>2903</v>
      </c>
      <c r="E247" s="253"/>
      <c r="F247" s="511"/>
      <c r="G247" s="253"/>
      <c r="H247" s="253"/>
      <c r="I247" s="253"/>
      <c r="J247" s="253"/>
      <c r="K247" s="253"/>
      <c r="L247" s="253"/>
      <c r="M247" s="253"/>
      <c r="N247" s="253"/>
      <c r="O247" s="253"/>
      <c r="P247" s="253"/>
      <c r="Q247" s="253"/>
      <c r="R247" s="253"/>
      <c r="S247" s="253"/>
      <c r="T247" s="253"/>
      <c r="U247" s="253"/>
      <c r="V247" s="253"/>
      <c r="W247" s="253"/>
      <c r="X247" s="580"/>
      <c r="Y247" s="1401" t="s">
        <v>808</v>
      </c>
      <c r="Z247" s="8994">
        <v>30</v>
      </c>
      <c r="AA247" s="9030"/>
      <c r="AB247" s="8972" t="str">
        <f>IF(AO241,$AR$32,"")</f>
        <v/>
      </c>
      <c r="AC247" s="8973"/>
      <c r="AD247" s="8973"/>
      <c r="AE247" s="8973"/>
      <c r="AF247" s="8973"/>
      <c r="AG247" s="8973"/>
      <c r="AH247" s="8973"/>
      <c r="AI247" s="8974"/>
      <c r="AJ247" s="8976"/>
      <c r="AK247" s="7976"/>
      <c r="AL247" s="408"/>
      <c r="AM247" s="253"/>
      <c r="AN247" s="253"/>
      <c r="AO247" s="253"/>
      <c r="AP247" s="1277"/>
      <c r="AQ247" s="512" t="s">
        <v>606</v>
      </c>
      <c r="AR247" s="8970">
        <f>IF(W147&lt;&gt;"",AL239,0)</f>
        <v>0</v>
      </c>
      <c r="AS247" s="8970"/>
      <c r="AT247" s="8970"/>
      <c r="AU247" s="8970"/>
      <c r="AV247" s="253"/>
      <c r="AW247" s="253"/>
      <c r="AX247" s="4193"/>
      <c r="AY247" s="1193" t="s">
        <v>2018</v>
      </c>
      <c r="AZ247" s="851"/>
      <c r="BA247" s="851"/>
      <c r="BB247" s="851"/>
      <c r="BC247" s="851"/>
      <c r="BD247" s="4196" t="s">
        <v>210</v>
      </c>
      <c r="BE247" s="443"/>
      <c r="BF247" s="851"/>
      <c r="BG247" s="990">
        <f>ROUND(BE247,0)</f>
        <v>0</v>
      </c>
      <c r="BH247" s="4194"/>
    </row>
    <row r="248" spans="1:60" ht="14.25" customHeight="1" thickBot="1">
      <c r="A248" s="2112"/>
      <c r="B248" s="9029">
        <v>31</v>
      </c>
      <c r="C248" s="9029"/>
      <c r="D248" s="344" t="s">
        <v>2905</v>
      </c>
      <c r="E248" s="253"/>
      <c r="F248" s="511"/>
      <c r="G248" s="253"/>
      <c r="H248" s="253"/>
      <c r="I248" s="253"/>
      <c r="J248" s="253"/>
      <c r="K248" s="253"/>
      <c r="L248" s="253"/>
      <c r="M248" s="253"/>
      <c r="N248" s="253"/>
      <c r="O248" s="253"/>
      <c r="P248" s="253"/>
      <c r="Q248" s="253"/>
      <c r="R248" s="253"/>
      <c r="S248" s="253"/>
      <c r="T248" s="253"/>
      <c r="U248" s="253"/>
      <c r="V248" s="253"/>
      <c r="W248" s="253"/>
      <c r="X248" s="580"/>
      <c r="Y248" s="1401" t="s">
        <v>874</v>
      </c>
      <c r="Z248" s="9138">
        <v>31</v>
      </c>
      <c r="AA248" s="9139"/>
      <c r="AB248" s="9140" t="str">
        <f>IF(AO241,$AR$33,"")</f>
        <v/>
      </c>
      <c r="AC248" s="9141"/>
      <c r="AD248" s="9141"/>
      <c r="AE248" s="9141"/>
      <c r="AF248" s="9141"/>
      <c r="AG248" s="9141"/>
      <c r="AH248" s="9141"/>
      <c r="AI248" s="9142"/>
      <c r="AJ248" s="8976"/>
      <c r="AK248" s="7976"/>
      <c r="AL248" s="408"/>
      <c r="AM248" s="253"/>
      <c r="AN248" s="253"/>
      <c r="AO248" s="253"/>
      <c r="AP248" s="1277"/>
      <c r="AQ248" s="4204" t="s">
        <v>610</v>
      </c>
      <c r="AR248" s="8971">
        <f>IF(AI145&lt;&gt;"",AL239,0)</f>
        <v>0</v>
      </c>
      <c r="AS248" s="8971"/>
      <c r="AT248" s="8971"/>
      <c r="AU248" s="8971"/>
      <c r="AV248" s="253"/>
      <c r="AW248" s="253"/>
      <c r="AX248" s="4195" t="s">
        <v>212</v>
      </c>
      <c r="AY248" s="1193" t="s">
        <v>2891</v>
      </c>
      <c r="AZ248" s="851"/>
      <c r="BA248" s="851"/>
      <c r="BB248" s="851"/>
      <c r="BC248" s="851"/>
      <c r="BD248" s="851"/>
      <c r="BE248" s="990" t="b">
        <f>OR(BE237&lt;&gt;"",BE239&lt;&gt;"",BE242&lt;&gt;"",BE245&lt;&gt;"",BE247&lt;&gt;"")</f>
        <v>0</v>
      </c>
      <c r="BF248" s="4196" t="s">
        <v>212</v>
      </c>
      <c r="BG248" s="2499" t="str">
        <f>IF(BE248,SUM(BE238,BE240,BE242,BE245,BG247),IF(AB225,"",0))</f>
        <v/>
      </c>
      <c r="BH248" s="4194"/>
    </row>
    <row r="249" spans="1:60" ht="14.25" customHeight="1">
      <c r="A249" s="2112"/>
      <c r="B249" s="9029">
        <v>32</v>
      </c>
      <c r="C249" s="9029"/>
      <c r="D249" s="344" t="s">
        <v>2907</v>
      </c>
      <c r="E249" s="253"/>
      <c r="F249" s="511"/>
      <c r="G249" s="253"/>
      <c r="H249" s="253"/>
      <c r="I249" s="253"/>
      <c r="J249" s="253"/>
      <c r="K249" s="253"/>
      <c r="L249" s="253"/>
      <c r="M249" s="253"/>
      <c r="N249" s="253"/>
      <c r="O249" s="253"/>
      <c r="P249" s="253"/>
      <c r="Q249" s="253"/>
      <c r="R249" s="253"/>
      <c r="S249" s="253"/>
      <c r="T249" s="253"/>
      <c r="U249" s="253"/>
      <c r="V249" s="253"/>
      <c r="W249" s="253"/>
      <c r="X249" s="253"/>
      <c r="Y249" s="253"/>
      <c r="Z249" s="817"/>
      <c r="AA249" s="817"/>
      <c r="AB249" s="253"/>
      <c r="AC249" s="253"/>
      <c r="AD249" s="253"/>
      <c r="AE249" s="253"/>
      <c r="AF249" s="253"/>
      <c r="AG249" s="253"/>
      <c r="AH249" s="253"/>
      <c r="AI249" s="1401" t="s">
        <v>871</v>
      </c>
      <c r="AJ249" s="8994">
        <v>32</v>
      </c>
      <c r="AK249" s="9030"/>
      <c r="AL249" s="8969" t="str">
        <f>IF(AQ249&lt;&gt;"",ROUND(AQ249,0),IF(NOT(AO241),"",SUM(AB242:AI248)))</f>
        <v/>
      </c>
      <c r="AM249" s="7827"/>
      <c r="AN249" s="7827"/>
      <c r="AO249" s="7827"/>
      <c r="AP249" s="1277"/>
      <c r="AQ249" s="8967"/>
      <c r="AR249" s="8968"/>
      <c r="AS249" s="8968"/>
      <c r="AT249" s="8968"/>
      <c r="AU249" s="1277"/>
      <c r="AV249" s="253"/>
      <c r="AW249" s="253"/>
      <c r="AX249" s="4195" t="s">
        <v>1366</v>
      </c>
      <c r="AY249" s="1193" t="s">
        <v>2893</v>
      </c>
      <c r="AZ249" s="851"/>
      <c r="BA249" s="851"/>
      <c r="BB249" s="851"/>
      <c r="BC249" s="851"/>
      <c r="BD249" s="851"/>
      <c r="BE249" s="851"/>
      <c r="BF249" s="4196" t="s">
        <v>1366</v>
      </c>
      <c r="BG249" s="2499" t="str">
        <f>IF(BG248="","",MAX(0,SUM(BG236,-BG248)))</f>
        <v/>
      </c>
      <c r="BH249" s="4194"/>
    </row>
    <row r="250" spans="1:60" ht="15" customHeight="1" thickBot="1">
      <c r="A250" s="2112"/>
      <c r="B250" s="9029">
        <v>33</v>
      </c>
      <c r="C250" s="9029"/>
      <c r="D250" s="344" t="s">
        <v>2909</v>
      </c>
      <c r="E250" s="253"/>
      <c r="F250" s="511"/>
      <c r="G250" s="253"/>
      <c r="H250" s="253"/>
      <c r="I250" s="253"/>
      <c r="J250" s="253"/>
      <c r="K250" s="253"/>
      <c r="L250" s="253"/>
      <c r="M250" s="253"/>
      <c r="N250" s="253"/>
      <c r="O250" s="253"/>
      <c r="P250" s="253"/>
      <c r="Q250" s="253"/>
      <c r="R250" s="253"/>
      <c r="S250" s="253"/>
      <c r="T250" s="253"/>
      <c r="U250" s="253"/>
      <c r="V250" s="253"/>
      <c r="W250" s="253"/>
      <c r="X250" s="253"/>
      <c r="Y250" s="253"/>
      <c r="Z250" s="817"/>
      <c r="AA250" s="817"/>
      <c r="AB250" s="253"/>
      <c r="AC250" s="253"/>
      <c r="AD250" s="253"/>
      <c r="AE250" s="253"/>
      <c r="AF250" s="253"/>
      <c r="AG250" s="253"/>
      <c r="AH250" s="253"/>
      <c r="AI250" s="1401" t="s">
        <v>802</v>
      </c>
      <c r="AJ250" s="8994">
        <v>33</v>
      </c>
      <c r="AK250" s="9030"/>
      <c r="AL250" s="8969" t="str">
        <f>IF(NOT(AO241),"",IF(NOT(AO241),"",IF(ISERROR(MIN(AL234,AL249)),"",MIN(AL234,AL249))))</f>
        <v/>
      </c>
      <c r="AM250" s="7827"/>
      <c r="AN250" s="7827"/>
      <c r="AO250" s="7827"/>
      <c r="AP250" s="1277"/>
      <c r="AQ250" s="1277"/>
      <c r="AR250" s="1277"/>
      <c r="AS250" s="1277"/>
      <c r="AT250" s="1277"/>
      <c r="AU250" s="1277"/>
      <c r="AV250" s="253"/>
      <c r="AW250" s="253"/>
      <c r="AX250" s="4216"/>
      <c r="AY250" s="6502" t="s">
        <v>6404</v>
      </c>
      <c r="AZ250" s="4217"/>
      <c r="BA250" s="4217"/>
      <c r="BB250" s="4217"/>
      <c r="BC250" s="4217"/>
      <c r="BD250" s="4217"/>
      <c r="BE250" s="4217"/>
      <c r="BF250" s="4217"/>
      <c r="BG250" s="4217"/>
      <c r="BH250" s="4218"/>
    </row>
    <row r="251" spans="1:60" ht="15" thickBot="1">
      <c r="A251" s="2112"/>
      <c r="B251" s="9029">
        <v>34</v>
      </c>
      <c r="C251" s="9029"/>
      <c r="D251" s="344" t="s">
        <v>2910</v>
      </c>
      <c r="E251" s="253"/>
      <c r="F251" s="511"/>
      <c r="G251" s="253"/>
      <c r="H251" s="253"/>
      <c r="I251" s="253"/>
      <c r="J251" s="253"/>
      <c r="K251" s="253"/>
      <c r="L251" s="253"/>
      <c r="M251" s="253"/>
      <c r="N251" s="253"/>
      <c r="O251" s="253"/>
      <c r="P251" s="253"/>
      <c r="Q251" s="253"/>
      <c r="R251" s="253"/>
      <c r="S251" s="253"/>
      <c r="T251" s="253"/>
      <c r="U251" s="253"/>
      <c r="V251" s="253"/>
      <c r="W251" s="253"/>
      <c r="X251" s="253"/>
      <c r="Y251" s="253"/>
      <c r="Z251" s="817"/>
      <c r="AA251" s="817"/>
      <c r="AB251" s="253"/>
      <c r="AC251" s="253"/>
      <c r="AD251" s="253"/>
      <c r="AE251" s="253"/>
      <c r="AF251" s="253"/>
      <c r="AG251" s="253"/>
      <c r="AH251" s="253"/>
      <c r="AI251" s="1401" t="s">
        <v>808</v>
      </c>
      <c r="AJ251" s="9138">
        <v>34</v>
      </c>
      <c r="AK251" s="9139"/>
      <c r="AL251" s="9181"/>
      <c r="AM251" s="9182"/>
      <c r="AN251" s="9182"/>
      <c r="AO251" s="9182"/>
      <c r="AP251" s="1277"/>
      <c r="AQ251" s="253"/>
      <c r="AR251" s="253"/>
      <c r="AS251" s="253"/>
      <c r="AT251" s="253"/>
      <c r="AU251" s="253"/>
      <c r="AV251" s="253"/>
      <c r="AW251" s="253"/>
      <c r="AX251" s="769"/>
      <c r="AY251" s="964"/>
      <c r="AZ251" s="964"/>
      <c r="BA251" s="964"/>
      <c r="BB251" s="964"/>
      <c r="BC251" s="964"/>
      <c r="BD251" s="964"/>
      <c r="BE251" s="964"/>
      <c r="BF251" s="964"/>
      <c r="BG251" s="964"/>
      <c r="BH251" s="964"/>
    </row>
    <row r="252" spans="1:60" ht="12.75" customHeight="1">
      <c r="A252" s="2112"/>
      <c r="B252" s="9029">
        <v>35</v>
      </c>
      <c r="C252" s="9029"/>
      <c r="D252" s="344" t="s">
        <v>2911</v>
      </c>
      <c r="E252" s="253"/>
      <c r="F252" s="253"/>
      <c r="G252" s="253"/>
      <c r="H252" s="253"/>
      <c r="I252" s="253"/>
      <c r="J252" s="253"/>
      <c r="K252" s="253"/>
      <c r="L252" s="253"/>
      <c r="M252" s="253"/>
      <c r="N252" s="253"/>
      <c r="O252" s="253"/>
      <c r="P252" s="253"/>
      <c r="Q252" s="253"/>
      <c r="R252" s="253"/>
      <c r="S252" s="253"/>
      <c r="T252" s="794"/>
      <c r="U252" s="253"/>
      <c r="V252" s="253"/>
      <c r="W252" s="253"/>
      <c r="X252" s="253"/>
      <c r="Y252" s="253"/>
      <c r="Z252" s="253"/>
      <c r="AA252" s="253"/>
      <c r="AB252" s="253"/>
      <c r="AC252" s="253"/>
      <c r="AD252" s="253"/>
      <c r="AE252" s="253"/>
      <c r="AF252" s="253"/>
      <c r="AG252" s="253"/>
      <c r="AH252" s="253"/>
      <c r="AI252" s="253"/>
      <c r="AJ252" s="9118"/>
      <c r="AK252" s="9119"/>
      <c r="AL252" s="408"/>
      <c r="AM252" s="253"/>
      <c r="AN252" s="253"/>
      <c r="AO252" s="253"/>
      <c r="AP252" s="1277"/>
      <c r="AQ252" s="1277"/>
      <c r="AR252" s="1277"/>
      <c r="AS252" s="1277"/>
      <c r="AT252" s="1277"/>
      <c r="AU252" s="1277"/>
      <c r="AV252" s="253"/>
      <c r="AW252" s="253"/>
      <c r="AX252" s="769"/>
      <c r="AY252" s="964"/>
      <c r="AZ252" s="964"/>
      <c r="BA252" s="964"/>
      <c r="BB252" s="964"/>
      <c r="BC252" s="964"/>
      <c r="BD252" s="964"/>
      <c r="BE252" s="964"/>
      <c r="BF252" s="964"/>
      <c r="BG252" s="964"/>
      <c r="BH252" s="964"/>
    </row>
    <row r="253" spans="1:60" ht="13.5" customHeight="1" thickBot="1">
      <c r="A253" s="2112"/>
      <c r="B253" s="4200"/>
      <c r="C253" s="4200"/>
      <c r="D253" s="498" t="s">
        <v>2912</v>
      </c>
      <c r="E253" s="380"/>
      <c r="F253" s="380"/>
      <c r="G253" s="380"/>
      <c r="H253" s="380"/>
      <c r="I253" s="380"/>
      <c r="J253" s="380"/>
      <c r="K253" s="380"/>
      <c r="L253" s="380"/>
      <c r="M253" s="380"/>
      <c r="N253" s="380"/>
      <c r="O253" s="380"/>
      <c r="P253" s="380"/>
      <c r="Q253" s="380"/>
      <c r="R253" s="380"/>
      <c r="S253" s="380"/>
      <c r="T253" s="4206"/>
      <c r="U253" s="380"/>
      <c r="V253" s="380"/>
      <c r="W253" s="380"/>
      <c r="X253" s="380"/>
      <c r="Y253" s="380"/>
      <c r="Z253" s="380"/>
      <c r="AA253" s="380"/>
      <c r="AB253" s="380"/>
      <c r="AC253" s="380"/>
      <c r="AD253" s="380"/>
      <c r="AE253" s="380"/>
      <c r="AF253" s="380"/>
      <c r="AG253" s="380"/>
      <c r="AH253" s="380"/>
      <c r="AI253" s="1658" t="s">
        <v>784</v>
      </c>
      <c r="AJ253" s="9121">
        <v>35</v>
      </c>
      <c r="AK253" s="9122"/>
      <c r="AL253" s="8965" t="str">
        <f>IF(AQ253&lt;&gt;"",ROUND(AQ253,0),IF(AND(AL241=1,AO144=1),AL239,IF(NOT(AO241),"",IF(ISERROR(SUM(AL250,-AL251)),"",SUM(AL250,-AL251)))))</f>
        <v/>
      </c>
      <c r="AM253" s="8966"/>
      <c r="AN253" s="8966"/>
      <c r="AO253" s="8966"/>
      <c r="AP253" s="1277"/>
      <c r="AQ253" s="8967"/>
      <c r="AR253" s="8968"/>
      <c r="AS253" s="8968"/>
      <c r="AT253" s="8968"/>
      <c r="AU253" s="1277"/>
      <c r="AV253" s="253"/>
      <c r="AW253" s="253"/>
      <c r="AX253" s="769"/>
      <c r="AY253" s="969" t="s">
        <v>2897</v>
      </c>
      <c r="AZ253" s="964"/>
      <c r="BA253" s="964"/>
      <c r="BB253" s="971" t="str">
        <f>IF(ISERROR(SUM(AL236,-ForeignTaxCredit_2))," ---",MAX(SUM(AL236,-ForeignTaxCredit_2),0))</f>
        <v xml:space="preserve"> ---</v>
      </c>
      <c r="BC253" s="973" t="s">
        <v>2898</v>
      </c>
      <c r="BD253" s="964"/>
      <c r="BE253" s="964"/>
      <c r="BF253" s="964"/>
      <c r="BG253" s="964"/>
      <c r="BH253" s="964"/>
    </row>
    <row r="254" spans="1:60" ht="21" customHeight="1">
      <c r="A254" s="2112"/>
      <c r="B254" s="1218"/>
      <c r="C254" s="2373"/>
      <c r="D254" s="253"/>
      <c r="E254" s="253"/>
      <c r="F254" s="253"/>
      <c r="G254" s="253"/>
      <c r="H254" s="253"/>
      <c r="I254" s="253"/>
      <c r="J254" s="253"/>
      <c r="K254" s="253"/>
      <c r="L254" s="253"/>
      <c r="M254" s="253"/>
      <c r="N254" s="253"/>
      <c r="O254" s="253"/>
      <c r="P254" s="253"/>
      <c r="Q254" s="253"/>
      <c r="R254" s="253"/>
      <c r="S254" s="253"/>
      <c r="T254" s="253"/>
      <c r="U254" s="253"/>
      <c r="V254" s="253"/>
      <c r="W254" s="253"/>
      <c r="X254" s="253"/>
      <c r="Y254" s="253"/>
      <c r="Z254" s="253"/>
      <c r="AA254" s="253"/>
      <c r="AB254" s="253"/>
      <c r="AC254" s="253"/>
      <c r="AD254" s="253"/>
      <c r="AE254" s="253"/>
      <c r="AF254" s="253"/>
      <c r="AG254" s="253"/>
      <c r="AH254" s="253"/>
      <c r="AI254" s="253"/>
      <c r="AJ254" s="253"/>
      <c r="AK254" s="1061"/>
      <c r="AL254" s="253"/>
      <c r="AM254" s="253"/>
      <c r="AN254" s="1061" t="s">
        <v>2913</v>
      </c>
      <c r="AO254" s="416" t="str">
        <f>"("&amp;TaxYear&amp;")"</f>
        <v>(2025)</v>
      </c>
      <c r="AP254" s="1277"/>
      <c r="AQ254" s="1277"/>
      <c r="AR254" s="1277"/>
      <c r="AS254" s="1277"/>
      <c r="AT254" s="1277"/>
      <c r="AU254" s="1277"/>
      <c r="AV254" s="253"/>
      <c r="AW254" s="253"/>
      <c r="AX254" s="769"/>
      <c r="AY254" s="969" t="s">
        <v>2900</v>
      </c>
      <c r="AZ254" s="964"/>
      <c r="BA254" s="964"/>
      <c r="BB254" s="972" t="str">
        <f>IF(ISERROR(SUM(AL217,-ForeignTaxCredit_2))," ---",MAX(SUM(AL217,-ForeignTaxCredit_2),0))</f>
        <v xml:space="preserve"> ---</v>
      </c>
      <c r="BC254" s="973" t="s">
        <v>2901</v>
      </c>
      <c r="BD254" s="964"/>
      <c r="BE254" s="964"/>
      <c r="BF254" s="964"/>
      <c r="BG254" s="964"/>
      <c r="BH254" s="964"/>
    </row>
    <row r="255" spans="1:60">
      <c r="A255" s="2112"/>
      <c r="B255" s="9126" t="s">
        <v>2918</v>
      </c>
      <c r="C255" s="7976"/>
      <c r="D255" s="7976"/>
      <c r="E255" s="7976"/>
      <c r="F255" s="7976"/>
      <c r="G255" s="7976"/>
      <c r="H255" s="9192" t="s">
        <v>2784</v>
      </c>
      <c r="I255" s="9193"/>
      <c r="J255" s="9193"/>
      <c r="K255" s="9193"/>
      <c r="L255" s="9193"/>
      <c r="M255" s="9193"/>
      <c r="N255" s="9193"/>
      <c r="O255" s="9193"/>
      <c r="P255" s="9193"/>
      <c r="Q255" s="9193"/>
      <c r="R255" s="9193"/>
      <c r="S255" s="9193"/>
      <c r="T255" s="9193"/>
      <c r="U255" s="9193"/>
      <c r="V255" s="9193"/>
      <c r="W255" s="9193"/>
      <c r="X255" s="9193"/>
      <c r="Y255" s="9193"/>
      <c r="Z255" s="9193"/>
      <c r="AA255" s="9193"/>
      <c r="AB255" s="9193"/>
      <c r="AC255" s="9193"/>
      <c r="AD255" s="9193"/>
      <c r="AE255" s="9193"/>
      <c r="AF255" s="9193"/>
      <c r="AG255" s="9193"/>
      <c r="AH255" s="9194"/>
      <c r="AI255" s="8578" t="s">
        <v>2785</v>
      </c>
      <c r="AJ255" s="8458"/>
      <c r="AK255" s="8458"/>
      <c r="AL255" s="8458"/>
      <c r="AM255" s="8458"/>
      <c r="AN255" s="8458"/>
      <c r="AO255" s="8458"/>
      <c r="AP255" s="1277"/>
      <c r="AQ255" s="253"/>
      <c r="AR255" s="253"/>
      <c r="AS255" s="253"/>
      <c r="AT255" s="253"/>
      <c r="AU255" s="253"/>
      <c r="AV255" s="253"/>
      <c r="AW255" s="253"/>
      <c r="AX255" s="769"/>
      <c r="AY255" s="964"/>
      <c r="AZ255" s="964"/>
      <c r="BA255" s="964"/>
      <c r="BB255" s="964"/>
      <c r="BC255" s="964"/>
      <c r="BD255" s="964"/>
      <c r="BE255" s="964"/>
      <c r="BF255" s="964"/>
      <c r="BG255" s="964"/>
      <c r="BH255" s="964"/>
    </row>
    <row r="256" spans="1:60" ht="11.25" customHeight="1">
      <c r="A256" s="4135"/>
      <c r="B256" s="7976"/>
      <c r="C256" s="7976"/>
      <c r="D256" s="7976"/>
      <c r="E256" s="7976"/>
      <c r="F256" s="7976"/>
      <c r="G256" s="7976"/>
      <c r="H256" s="9192"/>
      <c r="I256" s="9193"/>
      <c r="J256" s="9193"/>
      <c r="K256" s="9193"/>
      <c r="L256" s="9193"/>
      <c r="M256" s="9193"/>
      <c r="N256" s="9193"/>
      <c r="O256" s="9193"/>
      <c r="P256" s="9193"/>
      <c r="Q256" s="9193"/>
      <c r="R256" s="9193"/>
      <c r="S256" s="9193"/>
      <c r="T256" s="9193"/>
      <c r="U256" s="9193"/>
      <c r="V256" s="9193"/>
      <c r="W256" s="9193"/>
      <c r="X256" s="9193"/>
      <c r="Y256" s="9193"/>
      <c r="Z256" s="9193"/>
      <c r="AA256" s="9193"/>
      <c r="AB256" s="9193"/>
      <c r="AC256" s="9193"/>
      <c r="AD256" s="9193"/>
      <c r="AE256" s="9193"/>
      <c r="AF256" s="9193"/>
      <c r="AG256" s="9193"/>
      <c r="AH256" s="9194"/>
      <c r="AI256" s="8946">
        <f>TaxYear</f>
        <v>2025</v>
      </c>
      <c r="AJ256" s="8947"/>
      <c r="AK256" s="8947"/>
      <c r="AL256" s="8947"/>
      <c r="AM256" s="8947"/>
      <c r="AN256" s="8947"/>
      <c r="AO256" s="8947"/>
      <c r="AP256" s="1277"/>
      <c r="AQ256" s="253"/>
      <c r="AR256" s="253"/>
      <c r="AS256" s="253"/>
      <c r="AT256" s="253"/>
      <c r="AU256" s="253"/>
      <c r="AV256" s="253"/>
      <c r="AW256" s="253"/>
      <c r="AX256" s="769"/>
      <c r="AY256" s="969" t="s">
        <v>2904</v>
      </c>
      <c r="AZ256" s="964"/>
      <c r="BA256" s="964"/>
      <c r="BB256" s="964"/>
      <c r="BC256" s="964"/>
      <c r="BD256" s="964"/>
      <c r="BE256" s="964"/>
      <c r="BF256" s="964"/>
      <c r="BG256" s="964"/>
      <c r="BH256" s="964"/>
    </row>
    <row r="257" spans="1:60">
      <c r="A257" s="2112"/>
      <c r="B257" s="2677"/>
      <c r="C257" s="253"/>
      <c r="D257" s="253"/>
      <c r="E257" s="253"/>
      <c r="F257" s="253"/>
      <c r="G257" s="253"/>
      <c r="H257" s="9136" t="s">
        <v>2786</v>
      </c>
      <c r="I257" s="7522"/>
      <c r="J257" s="7522"/>
      <c r="K257" s="7522"/>
      <c r="L257" s="7522"/>
      <c r="M257" s="7522"/>
      <c r="N257" s="7522"/>
      <c r="O257" s="7522"/>
      <c r="P257" s="7522"/>
      <c r="Q257" s="7522"/>
      <c r="R257" s="7522"/>
      <c r="S257" s="7522"/>
      <c r="T257" s="7522"/>
      <c r="U257" s="7522"/>
      <c r="V257" s="7522"/>
      <c r="W257" s="7522"/>
      <c r="X257" s="7522"/>
      <c r="Y257" s="7522"/>
      <c r="Z257" s="7522"/>
      <c r="AA257" s="7522"/>
      <c r="AB257" s="7522"/>
      <c r="AC257" s="7522"/>
      <c r="AD257" s="7522"/>
      <c r="AE257" s="7522"/>
      <c r="AF257" s="7522"/>
      <c r="AG257" s="7522"/>
      <c r="AH257" s="9137"/>
      <c r="AI257" s="8948"/>
      <c r="AJ257" s="8949"/>
      <c r="AK257" s="8949"/>
      <c r="AL257" s="8949"/>
      <c r="AM257" s="8949"/>
      <c r="AN257" s="8949"/>
      <c r="AO257" s="8949"/>
      <c r="AP257" s="1277"/>
      <c r="AQ257" s="253"/>
      <c r="AR257" s="253"/>
      <c r="AS257" s="253"/>
      <c r="AT257" s="253"/>
      <c r="AU257" s="253"/>
      <c r="AV257" s="253"/>
      <c r="AW257" s="253"/>
      <c r="AX257" s="769"/>
      <c r="AY257" s="969" t="s">
        <v>2906</v>
      </c>
      <c r="AZ257" s="964"/>
      <c r="BA257" s="964"/>
      <c r="BB257" s="964"/>
      <c r="BC257" s="964"/>
      <c r="BD257" s="964"/>
      <c r="BE257" s="964"/>
      <c r="BF257" s="964"/>
      <c r="BG257" s="964"/>
      <c r="BH257" s="964"/>
    </row>
    <row r="258" spans="1:60">
      <c r="A258" s="2112"/>
      <c r="B258" s="7613" t="s">
        <v>2318</v>
      </c>
      <c r="C258" s="7925"/>
      <c r="D258" s="7925"/>
      <c r="E258" s="7925"/>
      <c r="F258" s="7925"/>
      <c r="G258" s="8579"/>
      <c r="H258" s="9101" t="s">
        <v>2787</v>
      </c>
      <c r="I258" s="9102"/>
      <c r="J258" s="9102"/>
      <c r="K258" s="9102"/>
      <c r="L258" s="9102"/>
      <c r="M258" s="9102"/>
      <c r="N258" s="9102"/>
      <c r="O258" s="9102"/>
      <c r="P258" s="9102"/>
      <c r="Q258" s="9102"/>
      <c r="R258" s="9102"/>
      <c r="S258" s="9102"/>
      <c r="T258" s="9102"/>
      <c r="U258" s="9102"/>
      <c r="V258" s="9102"/>
      <c r="W258" s="9102"/>
      <c r="X258" s="9102"/>
      <c r="Y258" s="9102"/>
      <c r="Z258" s="9102"/>
      <c r="AA258" s="9102"/>
      <c r="AB258" s="9102"/>
      <c r="AC258" s="9102"/>
      <c r="AD258" s="9102"/>
      <c r="AE258" s="9102"/>
      <c r="AF258" s="9102"/>
      <c r="AG258" s="9102"/>
      <c r="AH258" s="9103"/>
      <c r="AI258" s="9215" t="s">
        <v>2919</v>
      </c>
      <c r="AJ258" s="9216"/>
      <c r="AK258" s="9216"/>
      <c r="AL258" s="9216"/>
      <c r="AM258" s="9216"/>
      <c r="AN258" s="9216"/>
      <c r="AO258" s="9111">
        <v>19</v>
      </c>
      <c r="AP258" s="1277"/>
      <c r="AQ258" s="253"/>
      <c r="AR258" s="253"/>
      <c r="AS258" s="253"/>
      <c r="AT258" s="253"/>
      <c r="AU258" s="253"/>
      <c r="AV258" s="253"/>
      <c r="AW258" s="253"/>
      <c r="AX258" s="769"/>
      <c r="AY258" s="970" t="s">
        <v>2908</v>
      </c>
      <c r="AZ258" s="964"/>
      <c r="BA258" s="964"/>
      <c r="BB258" s="964"/>
      <c r="BC258" s="964"/>
      <c r="BD258" s="964"/>
      <c r="BE258" s="964"/>
      <c r="BF258" s="964"/>
      <c r="BG258" s="964"/>
      <c r="BH258" s="964"/>
    </row>
    <row r="259" spans="1:60" ht="12.75" customHeight="1" thickBot="1">
      <c r="A259" s="2112"/>
      <c r="B259" s="7926"/>
      <c r="C259" s="7926"/>
      <c r="D259" s="7926"/>
      <c r="E259" s="7926"/>
      <c r="F259" s="7926"/>
      <c r="G259" s="8580"/>
      <c r="H259" s="9104" t="s">
        <v>2788</v>
      </c>
      <c r="I259" s="9105"/>
      <c r="J259" s="9105"/>
      <c r="K259" s="9105"/>
      <c r="L259" s="9105"/>
      <c r="M259" s="9105"/>
      <c r="N259" s="9105"/>
      <c r="O259" s="9105"/>
      <c r="P259" s="9105"/>
      <c r="Q259" s="9105"/>
      <c r="R259" s="9105"/>
      <c r="S259" s="9105"/>
      <c r="T259" s="9105"/>
      <c r="U259" s="9105"/>
      <c r="V259" s="9105"/>
      <c r="W259" s="9105"/>
      <c r="X259" s="9105"/>
      <c r="Y259" s="9105"/>
      <c r="Z259" s="9105"/>
      <c r="AA259" s="9105"/>
      <c r="AB259" s="9105"/>
      <c r="AC259" s="9105"/>
      <c r="AD259" s="9105"/>
      <c r="AE259" s="9105"/>
      <c r="AF259" s="9105"/>
      <c r="AG259" s="9105"/>
      <c r="AH259" s="9106"/>
      <c r="AI259" s="9217"/>
      <c r="AJ259" s="9218"/>
      <c r="AK259" s="9218"/>
      <c r="AL259" s="9218"/>
      <c r="AM259" s="9218"/>
      <c r="AN259" s="9218"/>
      <c r="AO259" s="9112"/>
      <c r="AP259" s="1277"/>
      <c r="AQ259" s="253"/>
      <c r="AR259" s="253"/>
      <c r="AS259" s="253"/>
      <c r="AT259" s="253"/>
      <c r="AU259" s="253"/>
      <c r="AV259" s="253"/>
      <c r="AW259" s="253"/>
      <c r="AX259" s="769"/>
      <c r="AY259" s="970"/>
      <c r="AZ259" s="964"/>
      <c r="BA259" s="964"/>
      <c r="BB259" s="964"/>
      <c r="BC259" s="964"/>
      <c r="BD259" s="964"/>
      <c r="BE259" s="964"/>
      <c r="BF259" s="964"/>
      <c r="BG259" s="964"/>
      <c r="BH259" s="964"/>
    </row>
    <row r="260" spans="1:60" ht="12.75" customHeight="1">
      <c r="A260" s="2112"/>
      <c r="B260" s="339" t="s">
        <v>2789</v>
      </c>
      <c r="C260" s="377"/>
      <c r="D260" s="377"/>
      <c r="E260" s="377"/>
      <c r="F260" s="377"/>
      <c r="G260" s="377"/>
      <c r="H260" s="377"/>
      <c r="I260" s="377"/>
      <c r="J260" s="377"/>
      <c r="K260" s="377"/>
      <c r="L260" s="377"/>
      <c r="M260" s="377"/>
      <c r="N260" s="377"/>
      <c r="O260" s="377"/>
      <c r="P260" s="377"/>
      <c r="Q260" s="377"/>
      <c r="R260" s="377"/>
      <c r="S260" s="377"/>
      <c r="T260" s="377"/>
      <c r="U260" s="377"/>
      <c r="V260" s="377"/>
      <c r="W260" s="377"/>
      <c r="X260" s="377"/>
      <c r="Y260" s="377"/>
      <c r="Z260" s="377"/>
      <c r="AA260" s="8997" t="s">
        <v>2790</v>
      </c>
      <c r="AB260" s="8998"/>
      <c r="AC260" s="8998"/>
      <c r="AD260" s="8998"/>
      <c r="AE260" s="8998"/>
      <c r="AF260" s="8998"/>
      <c r="AG260" s="8998"/>
      <c r="AH260" s="8998"/>
      <c r="AI260" s="8998"/>
      <c r="AJ260" s="8998"/>
      <c r="AK260" s="8998"/>
      <c r="AL260" s="8998"/>
      <c r="AM260" s="8998"/>
      <c r="AN260" s="8998"/>
      <c r="AO260" s="8998"/>
      <c r="AP260" s="1277"/>
      <c r="AQ260" s="253"/>
      <c r="AR260" s="253"/>
      <c r="AS260" s="253"/>
      <c r="AT260" s="253"/>
      <c r="AU260" s="253"/>
      <c r="AV260" s="253"/>
      <c r="AW260" s="253"/>
      <c r="AX260" s="768"/>
      <c r="AY260" s="964"/>
      <c r="AZ260" s="964"/>
      <c r="BA260" s="964"/>
      <c r="BB260" s="964"/>
      <c r="BC260" s="964"/>
      <c r="BD260" s="964"/>
      <c r="BE260" s="964"/>
      <c r="BF260" s="964"/>
      <c r="BG260" s="964"/>
      <c r="BH260" s="964"/>
    </row>
    <row r="261" spans="1:60" ht="15">
      <c r="A261" s="2112"/>
      <c r="B261" s="8996" t="str">
        <f>Names</f>
        <v/>
      </c>
      <c r="C261" s="7976"/>
      <c r="D261" s="7976"/>
      <c r="E261" s="7976"/>
      <c r="F261" s="7976"/>
      <c r="G261" s="7976"/>
      <c r="H261" s="7976"/>
      <c r="I261" s="7976"/>
      <c r="J261" s="7976"/>
      <c r="K261" s="7976"/>
      <c r="L261" s="7976"/>
      <c r="M261" s="7976"/>
      <c r="N261" s="7976"/>
      <c r="O261" s="7976"/>
      <c r="P261" s="7976"/>
      <c r="Q261" s="7976"/>
      <c r="R261" s="7976"/>
      <c r="S261" s="7976"/>
      <c r="T261" s="7976"/>
      <c r="U261" s="7976"/>
      <c r="V261" s="7976"/>
      <c r="W261" s="7976"/>
      <c r="X261" s="7976"/>
      <c r="Y261" s="7976"/>
      <c r="Z261" s="7976"/>
      <c r="AA261" s="8999">
        <f>IF(NoSSN,"",SS_Yours)</f>
        <v>1010001</v>
      </c>
      <c r="AB261" s="9000"/>
      <c r="AC261" s="9000"/>
      <c r="AD261" s="9000"/>
      <c r="AE261" s="9000"/>
      <c r="AF261" s="9000"/>
      <c r="AG261" s="9000"/>
      <c r="AH261" s="9000"/>
      <c r="AI261" s="9000"/>
      <c r="AJ261" s="9000"/>
      <c r="AK261" s="9000"/>
      <c r="AL261" s="9000"/>
      <c r="AM261" s="9000"/>
      <c r="AN261" s="9000"/>
      <c r="AO261" s="9000"/>
      <c r="AP261" s="1277"/>
      <c r="AQ261" s="253"/>
      <c r="AR261" s="253"/>
      <c r="AS261" s="253"/>
      <c r="AT261" s="253"/>
      <c r="AU261" s="253"/>
      <c r="AV261" s="253"/>
      <c r="AW261" s="253"/>
      <c r="AX261" s="768" t="s">
        <v>223</v>
      </c>
      <c r="AY261" s="964"/>
      <c r="AZ261" s="964"/>
      <c r="BA261" s="964"/>
      <c r="BB261" s="964"/>
      <c r="BC261" s="964"/>
      <c r="BD261" s="964"/>
      <c r="BE261" s="964"/>
      <c r="BF261" s="964"/>
      <c r="BG261" s="964"/>
      <c r="BH261" s="964"/>
    </row>
    <row r="262" spans="1:60" ht="12.75" customHeight="1">
      <c r="A262" s="2112"/>
      <c r="B262" s="8296"/>
      <c r="C262" s="8296"/>
      <c r="D262" s="8296"/>
      <c r="E262" s="8296"/>
      <c r="F262" s="8296"/>
      <c r="G262" s="8296"/>
      <c r="H262" s="8296"/>
      <c r="I262" s="8296"/>
      <c r="J262" s="8296"/>
      <c r="K262" s="8296"/>
      <c r="L262" s="8296"/>
      <c r="M262" s="8296"/>
      <c r="N262" s="8296"/>
      <c r="O262" s="8296"/>
      <c r="P262" s="8296"/>
      <c r="Q262" s="8296"/>
      <c r="R262" s="8296"/>
      <c r="S262" s="8296"/>
      <c r="T262" s="8296"/>
      <c r="U262" s="8296"/>
      <c r="V262" s="8296"/>
      <c r="W262" s="8296"/>
      <c r="X262" s="8296"/>
      <c r="Y262" s="8296"/>
      <c r="Z262" s="8296"/>
      <c r="AA262" s="9001"/>
      <c r="AB262" s="9002"/>
      <c r="AC262" s="9002"/>
      <c r="AD262" s="9002"/>
      <c r="AE262" s="9002"/>
      <c r="AF262" s="9002"/>
      <c r="AG262" s="9002"/>
      <c r="AH262" s="9002"/>
      <c r="AI262" s="9002"/>
      <c r="AJ262" s="9002"/>
      <c r="AK262" s="9002"/>
      <c r="AL262" s="9002"/>
      <c r="AM262" s="9002"/>
      <c r="AN262" s="9002"/>
      <c r="AO262" s="9002"/>
      <c r="AP262" s="1277"/>
      <c r="AQ262" s="253"/>
      <c r="AR262" s="253"/>
      <c r="AS262" s="253"/>
      <c r="AT262" s="253"/>
      <c r="AU262" s="253"/>
      <c r="AV262" s="253"/>
      <c r="AW262" s="253"/>
      <c r="AX262" s="769"/>
      <c r="AY262" s="964"/>
      <c r="AZ262" s="964"/>
      <c r="BA262" s="964"/>
      <c r="BB262" s="964"/>
      <c r="BC262" s="964"/>
      <c r="BD262" s="964"/>
      <c r="BE262" s="964"/>
      <c r="BF262" s="964"/>
      <c r="BG262" s="964"/>
      <c r="BH262" s="964"/>
    </row>
    <row r="263" spans="1:60" ht="13.5" customHeight="1">
      <c r="A263" s="2112"/>
      <c r="B263" s="2263" t="s">
        <v>2791</v>
      </c>
      <c r="C263" s="406"/>
      <c r="D263" s="406"/>
      <c r="E263" s="406"/>
      <c r="F263" s="406"/>
      <c r="G263" s="406"/>
      <c r="H263" s="406"/>
      <c r="I263" s="406"/>
      <c r="J263" s="406"/>
      <c r="K263" s="406"/>
      <c r="L263" s="406"/>
      <c r="M263" s="406"/>
      <c r="N263" s="406"/>
      <c r="O263" s="406"/>
      <c r="P263" s="406"/>
      <c r="Q263" s="406"/>
      <c r="R263" s="406"/>
      <c r="S263" s="406"/>
      <c r="T263" s="406"/>
      <c r="U263" s="406"/>
      <c r="V263" s="406"/>
      <c r="W263" s="406"/>
      <c r="X263" s="406"/>
      <c r="Y263" s="406"/>
      <c r="Z263" s="406"/>
      <c r="AA263" s="406"/>
      <c r="AB263" s="406"/>
      <c r="AC263" s="406"/>
      <c r="AD263" s="406"/>
      <c r="AE263" s="406"/>
      <c r="AF263" s="406"/>
      <c r="AG263" s="406"/>
      <c r="AH263" s="406"/>
      <c r="AI263" s="4133" t="s">
        <v>2792</v>
      </c>
      <c r="AJ263" s="406"/>
      <c r="AK263" s="406"/>
      <c r="AL263" s="406"/>
      <c r="AM263" s="406"/>
      <c r="AN263" s="406"/>
      <c r="AO263" s="406"/>
      <c r="AP263" s="1277"/>
      <c r="AQ263" s="253"/>
      <c r="AR263" s="253"/>
      <c r="AS263" s="253"/>
      <c r="AT263" s="253"/>
      <c r="AU263" s="253"/>
      <c r="AV263" s="253"/>
      <c r="AW263" s="253"/>
      <c r="AX263" s="968" t="s">
        <v>227</v>
      </c>
      <c r="AY263" s="964"/>
      <c r="AZ263" s="964"/>
      <c r="BA263" s="964"/>
      <c r="BB263" s="964"/>
      <c r="BC263" s="964"/>
      <c r="BD263" s="964"/>
      <c r="BE263" s="964"/>
      <c r="BF263" s="964"/>
      <c r="BG263" s="964"/>
      <c r="BH263" s="964"/>
    </row>
    <row r="264" spans="1:60" ht="13.5" customHeight="1">
      <c r="A264" s="4135" t="b">
        <f>AO265=0</f>
        <v>1</v>
      </c>
      <c r="B264" s="504" t="s">
        <v>2793</v>
      </c>
      <c r="C264" s="253"/>
      <c r="D264" s="253"/>
      <c r="E264" s="253" t="s">
        <v>2794</v>
      </c>
      <c r="F264" s="1323"/>
      <c r="G264" s="253"/>
      <c r="H264" s="253"/>
      <c r="I264" s="253"/>
      <c r="J264" s="253"/>
      <c r="K264" s="253"/>
      <c r="L264" s="253"/>
      <c r="M264" s="253"/>
      <c r="N264" s="253"/>
      <c r="O264" s="253"/>
      <c r="P264" s="253"/>
      <c r="Q264" s="253"/>
      <c r="R264" s="253"/>
      <c r="S264" s="253"/>
      <c r="T264" s="253"/>
      <c r="U264" s="253"/>
      <c r="V264" s="253"/>
      <c r="W264" s="253"/>
      <c r="X264" s="253"/>
      <c r="Y264" s="253"/>
      <c r="Z264" s="253"/>
      <c r="AA264" s="253"/>
      <c r="AB264" s="253"/>
      <c r="AC264" s="253"/>
      <c r="AD264" s="253"/>
      <c r="AE264" s="253"/>
      <c r="AF264" s="253"/>
      <c r="AG264" s="253"/>
      <c r="AH264" s="253"/>
      <c r="AI264" s="253"/>
      <c r="AJ264" s="253"/>
      <c r="AK264" s="253"/>
      <c r="AL264" s="253"/>
      <c r="AM264" s="253"/>
      <c r="AN264" s="253"/>
      <c r="AO264" s="253"/>
      <c r="AP264" s="1277"/>
      <c r="AQ264" s="512"/>
      <c r="AR264" s="735"/>
      <c r="AS264" s="517"/>
      <c r="AT264" s="517"/>
      <c r="AU264" s="517"/>
      <c r="AV264" s="253"/>
      <c r="AW264" s="253"/>
      <c r="AX264" s="769"/>
      <c r="AY264" s="964"/>
      <c r="AZ264" s="964"/>
      <c r="BA264" s="964"/>
      <c r="BB264" s="964"/>
      <c r="BC264" s="964"/>
      <c r="BD264" s="964"/>
      <c r="BE264" s="964"/>
      <c r="BF264" s="964"/>
      <c r="BG264" s="964"/>
      <c r="BH264" s="964"/>
    </row>
    <row r="265" spans="1:60" ht="6.75" customHeight="1">
      <c r="A265" s="2112"/>
      <c r="B265" s="253"/>
      <c r="C265" s="3235">
        <f>IF(C266&lt;&gt;"",1,0)</f>
        <v>0</v>
      </c>
      <c r="D265" s="512"/>
      <c r="E265" s="512"/>
      <c r="F265" s="4148"/>
      <c r="G265" s="512"/>
      <c r="H265" s="512"/>
      <c r="I265" s="512"/>
      <c r="J265" s="512"/>
      <c r="K265" s="3235">
        <f>IF(K266&lt;&gt;"",1,0)</f>
        <v>0</v>
      </c>
      <c r="L265" s="512"/>
      <c r="M265" s="512"/>
      <c r="N265" s="3235"/>
      <c r="O265" s="512"/>
      <c r="P265" s="512"/>
      <c r="Q265" s="512"/>
      <c r="R265" s="512"/>
      <c r="S265" s="512"/>
      <c r="T265" s="512"/>
      <c r="U265" s="512"/>
      <c r="V265" s="512"/>
      <c r="W265" s="3235">
        <f>IF(W266&lt;&gt;"",1,0)</f>
        <v>0</v>
      </c>
      <c r="X265" s="512"/>
      <c r="Y265" s="512"/>
      <c r="Z265" s="512"/>
      <c r="AA265" s="512"/>
      <c r="AB265" s="3235"/>
      <c r="AC265" s="253"/>
      <c r="AD265" s="253"/>
      <c r="AE265" s="253"/>
      <c r="AF265" s="253"/>
      <c r="AG265" s="253"/>
      <c r="AH265" s="253"/>
      <c r="AI265" s="3235">
        <f>IF(AI266&lt;&gt;"",1,0)</f>
        <v>0</v>
      </c>
      <c r="AJ265" s="253"/>
      <c r="AK265" s="253"/>
      <c r="AL265" s="253"/>
      <c r="AM265" s="253"/>
      <c r="AN265" s="253"/>
      <c r="AO265" s="1318">
        <f>SUM(C265,K265,W265,AI265,C267,K267,W267)</f>
        <v>0</v>
      </c>
      <c r="AP265" s="1277"/>
      <c r="AQ265" s="512"/>
      <c r="AR265" s="512"/>
      <c r="AS265" s="512"/>
      <c r="AT265" s="512"/>
      <c r="AU265" s="512"/>
      <c r="AV265" s="253"/>
      <c r="AW265" s="253"/>
      <c r="AX265" s="769"/>
      <c r="AY265" s="964"/>
      <c r="AZ265" s="964"/>
      <c r="BA265" s="964"/>
      <c r="BB265" s="964"/>
      <c r="BC265" s="964"/>
      <c r="BD265" s="964"/>
      <c r="BE265" s="964"/>
      <c r="BF265" s="964"/>
      <c r="BG265" s="964"/>
      <c r="BH265" s="964"/>
    </row>
    <row r="266" spans="1:60" ht="11.25" customHeight="1">
      <c r="A266" s="4135" t="b">
        <f>AND(K266&lt;&gt;"",AO265=1,A323)</f>
        <v>0</v>
      </c>
      <c r="B266" s="3377" t="s">
        <v>588</v>
      </c>
      <c r="C266" s="325"/>
      <c r="D266" s="2853" t="s">
        <v>2795</v>
      </c>
      <c r="E266" s="253"/>
      <c r="F266" s="253"/>
      <c r="G266" s="253"/>
      <c r="H266" s="253"/>
      <c r="I266" s="253"/>
      <c r="J266" s="3377" t="s">
        <v>595</v>
      </c>
      <c r="K266" s="325"/>
      <c r="L266" s="2853" t="s">
        <v>2796</v>
      </c>
      <c r="M266" s="2853"/>
      <c r="N266" s="344"/>
      <c r="O266" s="2853"/>
      <c r="P266" s="344"/>
      <c r="Q266" s="253"/>
      <c r="R266" s="253"/>
      <c r="S266" s="253"/>
      <c r="T266" s="253"/>
      <c r="U266" s="253"/>
      <c r="V266" s="3377" t="s">
        <v>603</v>
      </c>
      <c r="W266" s="325"/>
      <c r="X266" s="2853" t="s">
        <v>2797</v>
      </c>
      <c r="Y266" s="253"/>
      <c r="Z266" s="253"/>
      <c r="AA266" s="3377"/>
      <c r="AB266" s="253"/>
      <c r="AC266" s="2853"/>
      <c r="AD266" s="3377"/>
      <c r="AE266" s="253"/>
      <c r="AF266" s="3377"/>
      <c r="AG266" s="253"/>
      <c r="AH266" s="3377" t="s">
        <v>610</v>
      </c>
      <c r="AI266" s="325"/>
      <c r="AJ266" s="2853" t="s">
        <v>2798</v>
      </c>
      <c r="AK266" s="253"/>
      <c r="AL266" s="253"/>
      <c r="AM266" s="253"/>
      <c r="AN266" s="253"/>
      <c r="AO266" s="1039"/>
      <c r="AP266" s="1277"/>
      <c r="AQ266" s="512"/>
      <c r="AR266" s="735"/>
      <c r="AS266" s="517"/>
      <c r="AT266" s="517"/>
      <c r="AU266" s="517"/>
      <c r="AV266" s="253"/>
      <c r="AW266" s="253"/>
      <c r="AX266" s="769"/>
      <c r="AY266" s="964"/>
      <c r="AZ266" s="964"/>
      <c r="BA266" s="964"/>
      <c r="BB266" s="964"/>
      <c r="BC266" s="964"/>
      <c r="BD266" s="964"/>
      <c r="BE266" s="964"/>
      <c r="BF266" s="964"/>
      <c r="BG266" s="964"/>
      <c r="BH266" s="964"/>
    </row>
    <row r="267" spans="1:60" ht="6.75" customHeight="1">
      <c r="A267" s="2112"/>
      <c r="B267" s="4151"/>
      <c r="C267" s="3235">
        <f>IF(C268&lt;&gt;"",1,0)</f>
        <v>0</v>
      </c>
      <c r="D267" s="4152"/>
      <c r="E267" s="512"/>
      <c r="F267" s="512"/>
      <c r="G267" s="512"/>
      <c r="H267" s="512"/>
      <c r="I267" s="512"/>
      <c r="J267" s="512"/>
      <c r="K267" s="3235">
        <f>IF(K268&lt;&gt;"",1,0)</f>
        <v>0</v>
      </c>
      <c r="L267" s="512"/>
      <c r="M267" s="512"/>
      <c r="N267" s="3235"/>
      <c r="O267" s="253"/>
      <c r="P267" s="253"/>
      <c r="Q267" s="253"/>
      <c r="R267" s="253"/>
      <c r="S267" s="253"/>
      <c r="T267" s="253"/>
      <c r="U267" s="253"/>
      <c r="V267" s="253"/>
      <c r="W267" s="3235">
        <f>IF(W268&lt;&gt;"",1,0)</f>
        <v>0</v>
      </c>
      <c r="X267" s="253"/>
      <c r="Y267" s="253"/>
      <c r="Z267" s="253"/>
      <c r="AA267" s="253"/>
      <c r="AB267" s="253"/>
      <c r="AC267" s="253"/>
      <c r="AD267" s="253"/>
      <c r="AE267" s="253"/>
      <c r="AF267" s="253"/>
      <c r="AG267" s="253"/>
      <c r="AH267" s="253"/>
      <c r="AI267" s="253"/>
      <c r="AJ267" s="253"/>
      <c r="AK267" s="253"/>
      <c r="AL267" s="253"/>
      <c r="AM267" s="253"/>
      <c r="AN267" s="253"/>
      <c r="AO267" s="253"/>
      <c r="AP267" s="1277"/>
      <c r="AQ267" s="512"/>
      <c r="AR267" s="512"/>
      <c r="AS267" s="512"/>
      <c r="AT267" s="512"/>
      <c r="AU267" s="512"/>
      <c r="AV267" s="253"/>
      <c r="AW267" s="253"/>
      <c r="AX267" s="769"/>
      <c r="AY267" s="964"/>
      <c r="AZ267" s="964"/>
      <c r="BA267" s="964"/>
      <c r="BB267" s="964"/>
      <c r="BC267" s="964"/>
      <c r="BD267" s="964"/>
      <c r="BE267" s="964"/>
      <c r="BF267" s="964"/>
      <c r="BG267" s="964"/>
      <c r="BH267" s="964"/>
    </row>
    <row r="268" spans="1:60" ht="11.25" customHeight="1">
      <c r="A268" s="2112"/>
      <c r="B268" s="3377" t="s">
        <v>592</v>
      </c>
      <c r="C268" s="325"/>
      <c r="D268" s="2853" t="s">
        <v>2799</v>
      </c>
      <c r="E268" s="253"/>
      <c r="F268" s="253"/>
      <c r="G268" s="253"/>
      <c r="H268" s="253"/>
      <c r="I268" s="253"/>
      <c r="J268" s="3377" t="s">
        <v>599</v>
      </c>
      <c r="K268" s="325"/>
      <c r="L268" s="2853" t="s">
        <v>2800</v>
      </c>
      <c r="M268" s="2853"/>
      <c r="N268" s="344"/>
      <c r="O268" s="2853"/>
      <c r="P268" s="344"/>
      <c r="Q268" s="253"/>
      <c r="R268" s="253"/>
      <c r="S268" s="253"/>
      <c r="T268" s="253"/>
      <c r="U268" s="253"/>
      <c r="V268" s="3377" t="s">
        <v>606</v>
      </c>
      <c r="W268" s="325"/>
      <c r="X268" s="2853" t="s">
        <v>2801</v>
      </c>
      <c r="Y268" s="253"/>
      <c r="Z268" s="253"/>
      <c r="AA268" s="253"/>
      <c r="AB268" s="253"/>
      <c r="AC268" s="253"/>
      <c r="AD268" s="253"/>
      <c r="AE268" s="253"/>
      <c r="AF268" s="253"/>
      <c r="AG268" s="253"/>
      <c r="AH268" s="253"/>
      <c r="AI268" s="253"/>
      <c r="AJ268" s="253"/>
      <c r="AK268" s="253"/>
      <c r="AL268" s="253"/>
      <c r="AM268" s="253"/>
      <c r="AN268" s="253"/>
      <c r="AO268" s="512" t="b">
        <f>IF(AO265&lt;&gt;1,TRUE,FALSE)</f>
        <v>1</v>
      </c>
      <c r="AP268" s="1277"/>
      <c r="AQ268" s="512"/>
      <c r="AR268" s="735"/>
      <c r="AS268" s="517"/>
      <c r="AT268" s="517"/>
      <c r="AU268" s="517"/>
      <c r="AV268" s="253"/>
      <c r="AW268" s="253"/>
      <c r="AX268" s="769"/>
      <c r="AY268" s="964"/>
      <c r="AZ268" s="964"/>
      <c r="BA268" s="964"/>
      <c r="BB268" s="964"/>
      <c r="BC268" s="964"/>
      <c r="BD268" s="964"/>
      <c r="BE268" s="964"/>
      <c r="BF268" s="964"/>
      <c r="BG268" s="964"/>
      <c r="BH268" s="964"/>
    </row>
    <row r="269" spans="1:60" s="1405" customFormat="1" ht="6.75" customHeight="1">
      <c r="A269" s="2112"/>
      <c r="B269" s="4151"/>
      <c r="C269" s="4151"/>
      <c r="D269" s="511"/>
      <c r="E269" s="253"/>
      <c r="F269" s="253"/>
      <c r="G269" s="253"/>
      <c r="H269" s="253"/>
      <c r="I269" s="253"/>
      <c r="J269" s="253"/>
      <c r="K269" s="253"/>
      <c r="L269" s="253"/>
      <c r="M269" s="253"/>
      <c r="N269" s="253"/>
      <c r="O269" s="253"/>
      <c r="P269" s="253"/>
      <c r="Q269" s="253"/>
      <c r="R269" s="253"/>
      <c r="S269" s="253"/>
      <c r="T269" s="253"/>
      <c r="U269" s="253"/>
      <c r="V269" s="253"/>
      <c r="W269" s="253"/>
      <c r="X269" s="253"/>
      <c r="Y269" s="253"/>
      <c r="Z269" s="253"/>
      <c r="AA269" s="253"/>
      <c r="AB269" s="253"/>
      <c r="AC269" s="253"/>
      <c r="AD269" s="253"/>
      <c r="AE269" s="253"/>
      <c r="AF269" s="253"/>
      <c r="AG269" s="253"/>
      <c r="AH269" s="253"/>
      <c r="AI269" s="253"/>
      <c r="AJ269" s="253"/>
      <c r="AK269" s="253"/>
      <c r="AL269" s="253"/>
      <c r="AM269" s="253"/>
      <c r="AN269" s="253"/>
      <c r="AO269" s="253"/>
      <c r="AP269" s="1277"/>
      <c r="AQ269" s="512"/>
      <c r="AR269" s="512"/>
      <c r="AS269" s="512"/>
      <c r="AT269" s="512"/>
      <c r="AU269" s="512"/>
      <c r="AV269" s="253"/>
      <c r="AW269" s="253"/>
      <c r="AX269" s="769"/>
      <c r="AY269" s="964"/>
      <c r="AZ269" s="964"/>
      <c r="BA269" s="964"/>
      <c r="BB269" s="964"/>
      <c r="BC269" s="964"/>
      <c r="BD269" s="964"/>
      <c r="BE269" s="964"/>
      <c r="BF269" s="964"/>
      <c r="BG269" s="964"/>
      <c r="BH269" s="964"/>
    </row>
    <row r="270" spans="1:60" ht="14.25" customHeight="1">
      <c r="A270" s="2112"/>
      <c r="B270" s="4153" t="s">
        <v>615</v>
      </c>
      <c r="C270" s="4154" t="s">
        <v>2802</v>
      </c>
      <c r="D270" s="773"/>
      <c r="E270" s="773"/>
      <c r="F270" s="773"/>
      <c r="G270" s="773"/>
      <c r="H270" s="773"/>
      <c r="I270" s="773"/>
      <c r="J270" s="773"/>
      <c r="K270" s="773"/>
      <c r="L270" s="9150"/>
      <c r="M270" s="9150"/>
      <c r="N270" s="9150"/>
      <c r="O270" s="9150"/>
      <c r="P270" s="9150"/>
      <c r="Q270" s="9150"/>
      <c r="R270" s="9150"/>
      <c r="S270" s="9150"/>
      <c r="T270" s="9150"/>
      <c r="U270" s="9150"/>
      <c r="V270" s="9150"/>
      <c r="W270" s="9150"/>
      <c r="X270" s="9150"/>
      <c r="Y270" s="9150"/>
      <c r="Z270" s="9150"/>
      <c r="AA270" s="9150"/>
      <c r="AB270" s="9150"/>
      <c r="AC270" s="9150"/>
      <c r="AD270" s="9150"/>
      <c r="AE270" s="9150"/>
      <c r="AF270" s="9150"/>
      <c r="AG270" s="9150"/>
      <c r="AH270" s="9150"/>
      <c r="AI270" s="9150"/>
      <c r="AJ270" s="9150"/>
      <c r="AK270" s="9150"/>
      <c r="AL270" s="9150"/>
      <c r="AM270" s="9150"/>
      <c r="AN270" s="9150"/>
      <c r="AO270" s="9150"/>
      <c r="AP270" s="1277"/>
      <c r="AQ270" s="253"/>
      <c r="AR270" s="253"/>
      <c r="AS270" s="253"/>
      <c r="AT270" s="253"/>
      <c r="AU270" s="253"/>
      <c r="AV270" s="253"/>
      <c r="AW270" s="253"/>
      <c r="AX270" s="769"/>
      <c r="AY270" s="964"/>
      <c r="AZ270" s="964"/>
      <c r="BA270" s="964"/>
      <c r="BB270" s="964"/>
      <c r="BC270" s="964"/>
      <c r="BD270" s="964"/>
      <c r="BE270" s="964"/>
      <c r="BF270" s="964"/>
      <c r="BG270" s="964"/>
      <c r="BH270" s="964"/>
    </row>
    <row r="271" spans="1:60" ht="15">
      <c r="A271" s="2112"/>
      <c r="B271" s="9073" t="s">
        <v>1933</v>
      </c>
      <c r="C271" s="9073"/>
      <c r="D271" s="344" t="s">
        <v>2803</v>
      </c>
      <c r="E271" s="253"/>
      <c r="F271" s="253"/>
      <c r="G271" s="253"/>
      <c r="H271" s="253"/>
      <c r="I271" s="253"/>
      <c r="J271" s="253"/>
      <c r="K271" s="253"/>
      <c r="L271" s="253"/>
      <c r="M271" s="253"/>
      <c r="N271" s="253"/>
      <c r="O271" s="253"/>
      <c r="P271" s="253"/>
      <c r="Q271" s="253"/>
      <c r="R271" s="253"/>
      <c r="S271" s="253"/>
      <c r="T271" s="253"/>
      <c r="U271" s="253"/>
      <c r="V271" s="253"/>
      <c r="W271" s="253"/>
      <c r="X271" s="253"/>
      <c r="Y271" s="253"/>
      <c r="Z271" s="253"/>
      <c r="AA271" s="253"/>
      <c r="AB271" s="253"/>
      <c r="AC271" s="253"/>
      <c r="AD271" s="253"/>
      <c r="AE271" s="253"/>
      <c r="AF271" s="253"/>
      <c r="AG271" s="253"/>
      <c r="AH271" s="253"/>
      <c r="AI271" s="253"/>
      <c r="AJ271" s="253"/>
      <c r="AK271" s="253"/>
      <c r="AL271" s="253"/>
      <c r="AM271" s="253"/>
      <c r="AN271" s="253"/>
      <c r="AO271" s="253"/>
      <c r="AP271" s="1277"/>
      <c r="AQ271" s="253"/>
      <c r="AR271" s="253"/>
      <c r="AS271" s="253"/>
      <c r="AT271" s="253"/>
      <c r="AU271" s="253"/>
      <c r="AV271" s="253"/>
      <c r="AW271" s="253"/>
      <c r="AX271" s="769"/>
      <c r="AY271" s="964"/>
      <c r="AZ271" s="964"/>
      <c r="BA271" s="964"/>
      <c r="BB271" s="964"/>
      <c r="BC271" s="964"/>
      <c r="BD271" s="964"/>
      <c r="BE271" s="964"/>
      <c r="BF271" s="964"/>
      <c r="BG271" s="964"/>
      <c r="BH271" s="964"/>
    </row>
    <row r="272" spans="1:60" s="138" customFormat="1" ht="14.25">
      <c r="A272" s="2112"/>
      <c r="B272" s="3801" t="s">
        <v>2804</v>
      </c>
      <c r="C272" s="4156"/>
      <c r="D272" s="1996"/>
      <c r="E272" s="413"/>
      <c r="F272" s="413"/>
      <c r="G272" s="413"/>
      <c r="H272" s="413"/>
      <c r="I272" s="413"/>
      <c r="J272" s="413"/>
      <c r="K272" s="413"/>
      <c r="L272" s="413"/>
      <c r="M272" s="413"/>
      <c r="N272" s="413"/>
      <c r="O272" s="413"/>
      <c r="P272" s="413"/>
      <c r="Q272" s="413"/>
      <c r="R272" s="413"/>
      <c r="S272" s="413"/>
      <c r="T272" s="413"/>
      <c r="U272" s="413"/>
      <c r="V272" s="413"/>
      <c r="W272" s="413"/>
      <c r="X272" s="413"/>
      <c r="Y272" s="413"/>
      <c r="Z272" s="413"/>
      <c r="AA272" s="413"/>
      <c r="AB272" s="413"/>
      <c r="AC272" s="413"/>
      <c r="AD272" s="413"/>
      <c r="AE272" s="413"/>
      <c r="AF272" s="413"/>
      <c r="AG272" s="413"/>
      <c r="AH272" s="413"/>
      <c r="AI272" s="413"/>
      <c r="AJ272" s="413"/>
      <c r="AK272" s="413"/>
      <c r="AL272" s="413"/>
      <c r="AM272" s="413"/>
      <c r="AN272" s="413"/>
      <c r="AO272" s="413"/>
      <c r="AP272" s="1277"/>
      <c r="AQ272" s="253"/>
      <c r="AR272" s="253"/>
      <c r="AS272" s="253"/>
      <c r="AT272" s="253"/>
      <c r="AU272" s="253"/>
      <c r="AV272" s="253"/>
      <c r="AW272" s="253"/>
      <c r="AX272" s="769"/>
      <c r="AY272" s="964"/>
      <c r="AZ272" s="964"/>
      <c r="BA272" s="964"/>
      <c r="BB272" s="964"/>
      <c r="BC272" s="964"/>
      <c r="BD272" s="964"/>
      <c r="BE272" s="964"/>
      <c r="BF272" s="964"/>
      <c r="BG272" s="964"/>
      <c r="BH272" s="964"/>
    </row>
    <row r="273" spans="1:60" ht="15.75">
      <c r="A273" s="4157"/>
      <c r="B273" s="9151" t="s">
        <v>780</v>
      </c>
      <c r="C273" s="9151"/>
      <c r="D273" s="9191"/>
      <c r="E273" s="9096" t="s">
        <v>2805</v>
      </c>
      <c r="F273" s="9097"/>
      <c r="G273" s="9097"/>
      <c r="H273" s="9097"/>
      <c r="I273" s="9097"/>
      <c r="J273" s="9097"/>
      <c r="K273" s="9097"/>
      <c r="L273" s="9097"/>
      <c r="M273" s="9097"/>
      <c r="N273" s="9097"/>
      <c r="O273" s="9097"/>
      <c r="P273" s="9097"/>
      <c r="Q273" s="9097"/>
      <c r="R273" s="9097"/>
      <c r="S273" s="9097"/>
      <c r="T273" s="9097"/>
      <c r="U273" s="9097"/>
      <c r="V273" s="9097"/>
      <c r="W273" s="9097"/>
      <c r="X273" s="9097"/>
      <c r="Y273" s="9097"/>
      <c r="Z273" s="9097"/>
      <c r="AA273" s="9097"/>
      <c r="AB273" s="9097"/>
      <c r="AC273" s="9097"/>
      <c r="AD273" s="9097"/>
      <c r="AE273" s="9097"/>
      <c r="AF273" s="9097"/>
      <c r="AG273" s="9097"/>
      <c r="AH273" s="9097"/>
      <c r="AI273" s="9097"/>
      <c r="AJ273" s="9097"/>
      <c r="AK273" s="9097"/>
      <c r="AL273" s="9097"/>
      <c r="AM273" s="9097"/>
      <c r="AN273" s="9097"/>
      <c r="AO273" s="9097"/>
      <c r="AP273" s="1277"/>
      <c r="AQ273" s="1323"/>
      <c r="AR273" s="1323"/>
      <c r="AS273" s="1323"/>
      <c r="AT273" s="1323"/>
      <c r="AU273" s="1323"/>
      <c r="AV273" s="1323"/>
      <c r="AW273" s="1323"/>
      <c r="AX273" s="769"/>
      <c r="AY273" s="964"/>
      <c r="AZ273" s="964"/>
      <c r="BA273" s="964"/>
      <c r="BB273" s="964"/>
      <c r="BC273" s="964"/>
      <c r="BD273" s="964"/>
      <c r="BE273" s="964"/>
      <c r="BF273" s="964"/>
      <c r="BG273" s="964"/>
      <c r="BH273" s="964"/>
    </row>
    <row r="274" spans="1:60" ht="12" customHeight="1">
      <c r="A274" s="2112"/>
      <c r="B274" s="9028"/>
      <c r="C274" s="9028"/>
      <c r="D274" s="511"/>
      <c r="E274" s="253"/>
      <c r="F274" s="253"/>
      <c r="G274" s="253"/>
      <c r="H274" s="253"/>
      <c r="I274" s="253"/>
      <c r="J274" s="253"/>
      <c r="K274" s="253"/>
      <c r="L274" s="253"/>
      <c r="M274" s="253"/>
      <c r="N274" s="253"/>
      <c r="O274" s="253"/>
      <c r="P274" s="9008" t="s">
        <v>2806</v>
      </c>
      <c r="Q274" s="9009"/>
      <c r="R274" s="9009"/>
      <c r="S274" s="9009"/>
      <c r="T274" s="9009"/>
      <c r="U274" s="9009"/>
      <c r="V274" s="9009"/>
      <c r="W274" s="9009"/>
      <c r="X274" s="9009"/>
      <c r="Y274" s="9009"/>
      <c r="Z274" s="9009"/>
      <c r="AA274" s="9009"/>
      <c r="AB274" s="9009"/>
      <c r="AC274" s="9009"/>
      <c r="AD274" s="9009"/>
      <c r="AE274" s="9009"/>
      <c r="AF274" s="9009"/>
      <c r="AG274" s="9009"/>
      <c r="AH274" s="9009"/>
      <c r="AI274" s="9010"/>
      <c r="AJ274" s="7681" t="s">
        <v>2807</v>
      </c>
      <c r="AK274" s="8454"/>
      <c r="AL274" s="8454"/>
      <c r="AM274" s="8454"/>
      <c r="AN274" s="8454"/>
      <c r="AO274" s="8454"/>
      <c r="AP274" s="1277"/>
      <c r="AQ274" s="253"/>
      <c r="AR274" s="253"/>
      <c r="AS274" s="253"/>
      <c r="AT274" s="253"/>
      <c r="AU274" s="253"/>
      <c r="AV274" s="253"/>
      <c r="AW274" s="253"/>
      <c r="AX274" s="769"/>
      <c r="AY274" s="964"/>
      <c r="AZ274" s="964"/>
      <c r="BA274" s="964"/>
      <c r="BB274" s="964"/>
      <c r="BC274" s="964"/>
      <c r="BD274" s="964"/>
      <c r="BE274" s="964"/>
      <c r="BF274" s="964"/>
      <c r="BG274" s="964"/>
      <c r="BH274" s="964"/>
    </row>
    <row r="275" spans="1:60" ht="12" customHeight="1">
      <c r="A275" s="2112"/>
      <c r="B275" s="9061" t="str">
        <f>B32</f>
        <v>i</v>
      </c>
      <c r="C275" s="9061"/>
      <c r="D275" s="807" t="s">
        <v>2808</v>
      </c>
      <c r="E275" s="253"/>
      <c r="F275" s="253"/>
      <c r="G275" s="253"/>
      <c r="H275" s="253"/>
      <c r="I275" s="253"/>
      <c r="J275" s="253"/>
      <c r="K275" s="253"/>
      <c r="L275" s="253"/>
      <c r="M275" s="253"/>
      <c r="N275" s="253"/>
      <c r="O275" s="253"/>
      <c r="P275" s="9057" t="s">
        <v>510</v>
      </c>
      <c r="Q275" s="9094"/>
      <c r="R275" s="9094"/>
      <c r="S275" s="9094"/>
      <c r="T275" s="9094"/>
      <c r="U275" s="9094"/>
      <c r="V275" s="9095"/>
      <c r="W275" s="9057" t="s">
        <v>516</v>
      </c>
      <c r="X275" s="9094"/>
      <c r="Y275" s="9094"/>
      <c r="Z275" s="9094"/>
      <c r="AA275" s="9094"/>
      <c r="AB275" s="9094"/>
      <c r="AC275" s="9095"/>
      <c r="AD275" s="9057" t="s">
        <v>518</v>
      </c>
      <c r="AE275" s="9094"/>
      <c r="AF275" s="9094"/>
      <c r="AG275" s="9094"/>
      <c r="AH275" s="9094"/>
      <c r="AI275" s="9095"/>
      <c r="AJ275" s="8457"/>
      <c r="AK275" s="8458"/>
      <c r="AL275" s="8458"/>
      <c r="AM275" s="8458"/>
      <c r="AN275" s="8458"/>
      <c r="AO275" s="8458"/>
      <c r="AP275" s="1277"/>
      <c r="AQ275" s="253"/>
      <c r="AR275" s="253"/>
      <c r="AS275" s="253"/>
      <c r="AT275" s="253"/>
      <c r="AU275" s="253"/>
      <c r="AV275" s="253"/>
      <c r="AW275" s="253"/>
      <c r="AX275" s="769"/>
      <c r="AY275" s="964"/>
      <c r="AZ275" s="964"/>
      <c r="BA275" s="964"/>
      <c r="BB275" s="964"/>
      <c r="BC275" s="964"/>
      <c r="BD275" s="964"/>
      <c r="BE275" s="964"/>
      <c r="BF275" s="964"/>
      <c r="BG275" s="964"/>
      <c r="BH275" s="964"/>
    </row>
    <row r="276" spans="1:60" ht="12" customHeight="1">
      <c r="A276" s="4158"/>
      <c r="B276" s="9153"/>
      <c r="C276" s="9153"/>
      <c r="D276" s="4159" t="s">
        <v>2809</v>
      </c>
      <c r="E276" s="571"/>
      <c r="F276" s="571"/>
      <c r="G276" s="571"/>
      <c r="H276" s="571"/>
      <c r="I276" s="571"/>
      <c r="J276" s="571"/>
      <c r="K276" s="571"/>
      <c r="L276" s="571"/>
      <c r="M276" s="571"/>
      <c r="N276" s="571"/>
      <c r="O276" s="4160" t="s">
        <v>894</v>
      </c>
      <c r="P276" s="9022"/>
      <c r="Q276" s="9023"/>
      <c r="R276" s="9023"/>
      <c r="S276" s="9023"/>
      <c r="T276" s="9023"/>
      <c r="U276" s="9023"/>
      <c r="V276" s="9024"/>
      <c r="W276" s="9022"/>
      <c r="X276" s="9023"/>
      <c r="Y276" s="9023"/>
      <c r="Z276" s="9023"/>
      <c r="AA276" s="9023"/>
      <c r="AB276" s="9023"/>
      <c r="AC276" s="9024"/>
      <c r="AD276" s="9022"/>
      <c r="AE276" s="9023"/>
      <c r="AF276" s="9023"/>
      <c r="AG276" s="9023"/>
      <c r="AH276" s="9023"/>
      <c r="AI276" s="9024"/>
      <c r="AJ276" s="9005"/>
      <c r="AK276" s="9006"/>
      <c r="AL276" s="4161"/>
      <c r="AM276" s="571"/>
      <c r="AN276" s="571"/>
      <c r="AO276" s="571"/>
      <c r="AP276" s="2888"/>
      <c r="AQ276" s="571"/>
      <c r="AR276" s="571"/>
      <c r="AS276" s="571"/>
      <c r="AT276" s="571"/>
      <c r="AU276" s="571"/>
      <c r="AV276" s="571"/>
      <c r="AW276" s="571"/>
      <c r="AX276" s="769"/>
      <c r="AY276" s="964"/>
      <c r="AZ276" s="964"/>
      <c r="BA276" s="964"/>
      <c r="BB276" s="964"/>
      <c r="BC276" s="964"/>
      <c r="BD276" s="964"/>
      <c r="BE276" s="964"/>
      <c r="BF276" s="964"/>
      <c r="BG276" s="964"/>
      <c r="BH276" s="964"/>
    </row>
    <row r="277" spans="1:60">
      <c r="A277" s="2112"/>
      <c r="B277" s="8975" t="s">
        <v>333</v>
      </c>
      <c r="C277" s="8975"/>
      <c r="D277" s="504" t="s">
        <v>2810</v>
      </c>
      <c r="E277" s="253"/>
      <c r="F277" s="253"/>
      <c r="G277" s="253"/>
      <c r="H277" s="253"/>
      <c r="I277" s="253"/>
      <c r="J277" s="253"/>
      <c r="K277" s="253"/>
      <c r="L277" s="253"/>
      <c r="M277" s="253"/>
      <c r="N277" s="253"/>
      <c r="O277" s="253"/>
      <c r="P277" s="2094"/>
      <c r="Q277" s="723"/>
      <c r="R277" s="723"/>
      <c r="S277" s="723"/>
      <c r="T277" s="723"/>
      <c r="U277" s="723"/>
      <c r="V277" s="2095"/>
      <c r="W277" s="2094"/>
      <c r="X277" s="723"/>
      <c r="Y277" s="723"/>
      <c r="Z277" s="723"/>
      <c r="AA277" s="723"/>
      <c r="AB277" s="723"/>
      <c r="AC277" s="2095"/>
      <c r="AD277" s="2094"/>
      <c r="AE277" s="723"/>
      <c r="AF277" s="723"/>
      <c r="AG277" s="723"/>
      <c r="AH277" s="723"/>
      <c r="AI277" s="2095"/>
      <c r="AJ277" s="8976"/>
      <c r="AK277" s="7976"/>
      <c r="AL277" s="408"/>
      <c r="AM277" s="253"/>
      <c r="AN277" s="253"/>
      <c r="AO277" s="253"/>
      <c r="AP277" s="1277"/>
      <c r="AQ277" s="253"/>
      <c r="AR277" s="253"/>
      <c r="AS277" s="253"/>
      <c r="AT277" s="253"/>
      <c r="AU277" s="253"/>
      <c r="AV277" s="253"/>
      <c r="AW277" s="253"/>
      <c r="AX277" s="769"/>
      <c r="AY277" s="964"/>
      <c r="AZ277" s="964"/>
      <c r="BA277" s="964"/>
      <c r="BB277" s="964"/>
      <c r="BC277" s="964"/>
      <c r="BD277" s="964"/>
      <c r="BE277" s="964"/>
      <c r="BF277" s="964"/>
      <c r="BG277" s="964"/>
      <c r="BH277" s="964"/>
    </row>
    <row r="278" spans="1:60" ht="12" customHeight="1">
      <c r="A278" s="2112"/>
      <c r="B278" s="4210"/>
      <c r="C278" s="4210"/>
      <c r="D278" s="344" t="s">
        <v>2811</v>
      </c>
      <c r="E278" s="253"/>
      <c r="F278" s="253"/>
      <c r="G278" s="253"/>
      <c r="H278" s="253"/>
      <c r="I278" s="253"/>
      <c r="J278" s="253"/>
      <c r="K278" s="253"/>
      <c r="L278" s="253"/>
      <c r="M278" s="253"/>
      <c r="N278" s="253"/>
      <c r="O278" s="253"/>
      <c r="P278" s="2073"/>
      <c r="Q278" s="723"/>
      <c r="R278" s="723"/>
      <c r="S278" s="723"/>
      <c r="T278" s="723"/>
      <c r="U278" s="723"/>
      <c r="V278" s="2074"/>
      <c r="W278" s="2073"/>
      <c r="X278" s="723"/>
      <c r="Y278" s="723"/>
      <c r="Z278" s="723"/>
      <c r="AA278" s="723"/>
      <c r="AB278" s="723"/>
      <c r="AC278" s="2074"/>
      <c r="AD278" s="2073"/>
      <c r="AE278" s="723"/>
      <c r="AF278" s="723"/>
      <c r="AG278" s="723"/>
      <c r="AH278" s="723"/>
      <c r="AI278" s="2074"/>
      <c r="AJ278" s="8976"/>
      <c r="AK278" s="7976"/>
      <c r="AL278" s="408"/>
      <c r="AM278" s="253"/>
      <c r="AN278" s="253"/>
      <c r="AO278" s="253"/>
      <c r="AP278" s="1277"/>
      <c r="AQ278" s="253"/>
      <c r="AR278" s="253"/>
      <c r="AS278" s="253"/>
      <c r="AT278" s="253"/>
      <c r="AU278" s="253"/>
      <c r="AV278" s="253"/>
      <c r="AW278" s="253"/>
      <c r="AX278" s="967"/>
      <c r="AY278" s="965"/>
      <c r="AZ278" s="965"/>
      <c r="BA278" s="965"/>
      <c r="BB278" s="965"/>
      <c r="BC278" s="965"/>
      <c r="BD278" s="965"/>
      <c r="BE278" s="965"/>
      <c r="BF278" s="965"/>
      <c r="BG278" s="965"/>
      <c r="BH278" s="965"/>
    </row>
    <row r="279" spans="1:60" ht="12" customHeight="1">
      <c r="A279" s="2112"/>
      <c r="B279" s="4210"/>
      <c r="C279" s="4210"/>
      <c r="D279" s="979" t="s">
        <v>2812</v>
      </c>
      <c r="E279" s="253"/>
      <c r="F279" s="253"/>
      <c r="G279" s="253"/>
      <c r="H279" s="9014"/>
      <c r="I279" s="9015"/>
      <c r="J279" s="9015"/>
      <c r="K279" s="9015"/>
      <c r="L279" s="9015"/>
      <c r="M279" s="9015"/>
      <c r="N279" s="9015"/>
      <c r="O279" s="253"/>
      <c r="P279" s="2073"/>
      <c r="Q279" s="723"/>
      <c r="R279" s="723"/>
      <c r="S279" s="723"/>
      <c r="T279" s="723"/>
      <c r="U279" s="723"/>
      <c r="V279" s="2074"/>
      <c r="W279" s="2073"/>
      <c r="X279" s="723"/>
      <c r="Y279" s="723"/>
      <c r="Z279" s="723"/>
      <c r="AA279" s="723"/>
      <c r="AB279" s="723"/>
      <c r="AC279" s="2074"/>
      <c r="AD279" s="2073"/>
      <c r="AE279" s="723"/>
      <c r="AF279" s="723"/>
      <c r="AG279" s="723"/>
      <c r="AH279" s="723"/>
      <c r="AI279" s="2074"/>
      <c r="AJ279" s="8976"/>
      <c r="AK279" s="7976"/>
      <c r="AL279" s="408"/>
      <c r="AM279" s="253"/>
      <c r="AN279" s="253"/>
      <c r="AO279" s="253"/>
      <c r="AP279" s="1277"/>
      <c r="AQ279" s="253"/>
      <c r="AR279" s="253"/>
      <c r="AS279" s="253"/>
      <c r="AT279" s="253"/>
      <c r="AU279" s="253"/>
      <c r="AV279" s="253"/>
      <c r="AW279" s="253"/>
      <c r="AX279" s="769"/>
      <c r="AY279" s="964"/>
      <c r="AZ279" s="964"/>
      <c r="BA279" s="964"/>
      <c r="BB279" s="964"/>
      <c r="BC279" s="964"/>
      <c r="BD279" s="964"/>
      <c r="BE279" s="964"/>
      <c r="BF279" s="964"/>
      <c r="BG279" s="964"/>
      <c r="BH279" s="964"/>
    </row>
    <row r="280" spans="1:60" ht="12" customHeight="1">
      <c r="A280" s="2112"/>
      <c r="B280" s="4210"/>
      <c r="C280" s="4210"/>
      <c r="D280" s="9154"/>
      <c r="E280" s="9155"/>
      <c r="F280" s="9155"/>
      <c r="G280" s="9155"/>
      <c r="H280" s="9155"/>
      <c r="I280" s="9155"/>
      <c r="J280" s="9155"/>
      <c r="K280" s="9155"/>
      <c r="L280" s="9155"/>
      <c r="M280" s="9155"/>
      <c r="N280" s="9155"/>
      <c r="O280" s="253"/>
      <c r="P280" s="2073"/>
      <c r="Q280" s="723"/>
      <c r="R280" s="723"/>
      <c r="S280" s="723"/>
      <c r="T280" s="723"/>
      <c r="U280" s="723"/>
      <c r="V280" s="2074"/>
      <c r="W280" s="2073"/>
      <c r="X280" s="723"/>
      <c r="Y280" s="723"/>
      <c r="Z280" s="723"/>
      <c r="AA280" s="723"/>
      <c r="AB280" s="723"/>
      <c r="AC280" s="2074"/>
      <c r="AD280" s="2073"/>
      <c r="AE280" s="723"/>
      <c r="AF280" s="723"/>
      <c r="AG280" s="723"/>
      <c r="AH280" s="723"/>
      <c r="AI280" s="2074"/>
      <c r="AJ280" s="8976"/>
      <c r="AK280" s="7976"/>
      <c r="AL280" s="408"/>
      <c r="AM280" s="253"/>
      <c r="AN280" s="253"/>
      <c r="AO280" s="253"/>
      <c r="AP280" s="1277"/>
      <c r="AQ280" s="253"/>
      <c r="AR280" s="253"/>
      <c r="AS280" s="253"/>
      <c r="AT280" s="253"/>
      <c r="AU280" s="253"/>
      <c r="AV280" s="253"/>
      <c r="AW280" s="253"/>
      <c r="AX280" s="769"/>
      <c r="AY280" s="964"/>
      <c r="AZ280" s="964"/>
      <c r="BA280" s="964"/>
      <c r="BB280" s="964"/>
      <c r="BC280" s="964"/>
      <c r="BD280" s="964"/>
      <c r="BE280" s="964"/>
      <c r="BF280" s="964"/>
      <c r="BG280" s="964"/>
      <c r="BH280" s="964"/>
    </row>
    <row r="281" spans="1:60" ht="12" customHeight="1">
      <c r="A281" s="2112"/>
      <c r="B281" s="4210"/>
      <c r="C281" s="4210"/>
      <c r="D281" s="9025"/>
      <c r="E281" s="9026"/>
      <c r="F281" s="9026"/>
      <c r="G281" s="9026"/>
      <c r="H281" s="9026"/>
      <c r="I281" s="9026"/>
      <c r="J281" s="9026"/>
      <c r="K281" s="9026"/>
      <c r="L281" s="9026"/>
      <c r="M281" s="9026"/>
      <c r="N281" s="9026"/>
      <c r="O281" s="253"/>
      <c r="P281" s="9011"/>
      <c r="Q281" s="9012"/>
      <c r="R281" s="9012"/>
      <c r="S281" s="9012"/>
      <c r="T281" s="9012"/>
      <c r="U281" s="9012"/>
      <c r="V281" s="9013"/>
      <c r="W281" s="9011"/>
      <c r="X281" s="9012"/>
      <c r="Y281" s="9012"/>
      <c r="Z281" s="9012"/>
      <c r="AA281" s="9012"/>
      <c r="AB281" s="9012"/>
      <c r="AC281" s="9013"/>
      <c r="AD281" s="9011"/>
      <c r="AE281" s="9012"/>
      <c r="AF281" s="9012"/>
      <c r="AG281" s="9012"/>
      <c r="AH281" s="9012"/>
      <c r="AI281" s="9013"/>
      <c r="AJ281" s="8981" t="s">
        <v>333</v>
      </c>
      <c r="AK281" s="8297"/>
      <c r="AL281" s="9003">
        <f>IF(AND(SUM(P281,W281,AD281)&gt;0,AO265=0),"Check one box.",ROUND(SUM(P281,W281,AD281),0))</f>
        <v>0</v>
      </c>
      <c r="AM281" s="9004"/>
      <c r="AN281" s="9004"/>
      <c r="AO281" s="9004"/>
      <c r="AP281" s="1277"/>
      <c r="AQ281" s="253"/>
      <c r="AR281" s="253"/>
      <c r="AS281" s="253"/>
      <c r="AT281" s="253"/>
      <c r="AU281" s="253"/>
      <c r="AV281" s="253"/>
      <c r="AW281" s="253"/>
      <c r="AX281" s="769"/>
      <c r="AY281" s="964"/>
      <c r="AZ281" s="964"/>
      <c r="BA281" s="964"/>
      <c r="BB281" s="964"/>
      <c r="BC281" s="964"/>
      <c r="BD281" s="964"/>
      <c r="BE281" s="964"/>
      <c r="BF281" s="964"/>
      <c r="BG281" s="964"/>
      <c r="BH281" s="964"/>
    </row>
    <row r="282" spans="1:60" ht="12" customHeight="1">
      <c r="A282" s="2112"/>
      <c r="B282" s="8975" t="s">
        <v>592</v>
      </c>
      <c r="C282" s="8975"/>
      <c r="D282" s="1680" t="s">
        <v>2813</v>
      </c>
      <c r="E282" s="253"/>
      <c r="F282" s="253"/>
      <c r="G282" s="253"/>
      <c r="H282" s="253"/>
      <c r="I282" s="253"/>
      <c r="J282" s="253"/>
      <c r="K282" s="253"/>
      <c r="L282" s="253"/>
      <c r="M282" s="253"/>
      <c r="N282" s="253"/>
      <c r="O282" s="253"/>
      <c r="P282" s="4167"/>
      <c r="Q282" s="4168"/>
      <c r="R282" s="4168"/>
      <c r="S282" s="4168"/>
      <c r="T282" s="4168"/>
      <c r="U282" s="4168"/>
      <c r="V282" s="4169"/>
      <c r="W282" s="4167"/>
      <c r="X282" s="4168"/>
      <c r="Y282" s="4168"/>
      <c r="Z282" s="4168"/>
      <c r="AA282" s="4168"/>
      <c r="AB282" s="4168"/>
      <c r="AC282" s="4169"/>
      <c r="AD282" s="4167"/>
      <c r="AE282" s="4168"/>
      <c r="AF282" s="4168"/>
      <c r="AG282" s="4168"/>
      <c r="AH282" s="4168"/>
      <c r="AI282" s="4169"/>
      <c r="AJ282" s="9027"/>
      <c r="AK282" s="7577"/>
      <c r="AL282" s="405"/>
      <c r="AM282" s="253"/>
      <c r="AN282" s="253"/>
      <c r="AO282" s="253"/>
      <c r="AP282" s="1277"/>
      <c r="AQ282" s="253"/>
      <c r="AR282" s="253"/>
      <c r="AS282" s="253"/>
      <c r="AT282" s="253"/>
      <c r="AU282" s="253"/>
      <c r="AV282" s="253"/>
      <c r="AW282" s="253"/>
      <c r="AX282" s="769"/>
      <c r="AY282" s="964"/>
      <c r="AZ282" s="964"/>
      <c r="BA282" s="964"/>
      <c r="BB282" s="964"/>
      <c r="BC282" s="964"/>
      <c r="BD282" s="964"/>
      <c r="BE282" s="964"/>
      <c r="BF282" s="964"/>
      <c r="BG282" s="964"/>
      <c r="BH282" s="964"/>
    </row>
    <row r="283" spans="1:60">
      <c r="A283" s="2112"/>
      <c r="B283" s="4210"/>
      <c r="C283" s="4210"/>
      <c r="D283" s="1680" t="s">
        <v>5469</v>
      </c>
      <c r="E283" s="253"/>
      <c r="F283" s="253"/>
      <c r="G283" s="253"/>
      <c r="H283" s="253"/>
      <c r="I283" s="253"/>
      <c r="J283" s="253"/>
      <c r="K283" s="253"/>
      <c r="L283" s="253"/>
      <c r="M283" s="253"/>
      <c r="N283" s="253"/>
      <c r="O283" s="253"/>
      <c r="P283" s="4167"/>
      <c r="Q283" s="4168"/>
      <c r="R283" s="4168"/>
      <c r="S283" s="4168"/>
      <c r="T283" s="4168"/>
      <c r="U283" s="4168"/>
      <c r="V283" s="4169"/>
      <c r="W283" s="4167"/>
      <c r="X283" s="4168"/>
      <c r="Y283" s="4168"/>
      <c r="Z283" s="4168"/>
      <c r="AA283" s="4168"/>
      <c r="AB283" s="4168"/>
      <c r="AC283" s="4169"/>
      <c r="AD283" s="4167"/>
      <c r="AE283" s="4168"/>
      <c r="AF283" s="4168"/>
      <c r="AG283" s="4168"/>
      <c r="AH283" s="4168"/>
      <c r="AI283" s="4169"/>
      <c r="AJ283" s="8976"/>
      <c r="AK283" s="7976"/>
      <c r="AL283" s="408"/>
      <c r="AM283" s="253"/>
      <c r="AN283" s="253"/>
      <c r="AO283" s="253"/>
      <c r="AP283" s="1277"/>
      <c r="AQ283" s="253"/>
      <c r="AR283" s="253"/>
      <c r="AS283" s="253"/>
      <c r="AT283" s="253"/>
      <c r="AU283" s="253"/>
      <c r="AV283" s="253"/>
      <c r="AW283" s="253"/>
      <c r="AX283" s="769"/>
      <c r="AY283" s="964"/>
      <c r="AZ283" s="964"/>
      <c r="BA283" s="964"/>
      <c r="BB283" s="964"/>
      <c r="BC283" s="964"/>
      <c r="BD283" s="964"/>
      <c r="BE283" s="964"/>
      <c r="BF283" s="964"/>
      <c r="BG283" s="964"/>
      <c r="BH283" s="964"/>
    </row>
    <row r="284" spans="1:60" ht="13.5" customHeight="1">
      <c r="A284" s="2112"/>
      <c r="B284" s="4210"/>
      <c r="C284" s="4210"/>
      <c r="D284" s="1680" t="s">
        <v>5470</v>
      </c>
      <c r="E284" s="253"/>
      <c r="F284" s="253"/>
      <c r="G284" s="253"/>
      <c r="H284" s="253"/>
      <c r="I284" s="253"/>
      <c r="J284" s="253"/>
      <c r="K284" s="253"/>
      <c r="L284" s="253"/>
      <c r="M284" s="253"/>
      <c r="N284" s="253"/>
      <c r="O284" s="253"/>
      <c r="P284" s="4167"/>
      <c r="Q284" s="4168"/>
      <c r="R284" s="4168"/>
      <c r="S284" s="4168"/>
      <c r="T284" s="4168"/>
      <c r="U284" s="4168"/>
      <c r="V284" s="4169"/>
      <c r="W284" s="4167"/>
      <c r="X284" s="4168"/>
      <c r="Y284" s="4168"/>
      <c r="Z284" s="4168"/>
      <c r="AA284" s="4168"/>
      <c r="AB284" s="4168"/>
      <c r="AC284" s="4169"/>
      <c r="AD284" s="4167"/>
      <c r="AE284" s="4168"/>
      <c r="AF284" s="4168"/>
      <c r="AG284" s="4168"/>
      <c r="AH284" s="4168"/>
      <c r="AI284" s="4169"/>
      <c r="AJ284" s="8976"/>
      <c r="AK284" s="7976"/>
      <c r="AL284" s="408"/>
      <c r="AM284" s="253"/>
      <c r="AN284" s="253"/>
      <c r="AO284" s="253"/>
      <c r="AP284" s="1277"/>
      <c r="AQ284" s="253"/>
      <c r="AR284" s="253"/>
      <c r="AS284" s="253"/>
      <c r="AT284" s="253"/>
      <c r="AU284" s="253"/>
      <c r="AV284" s="253"/>
      <c r="AW284" s="253"/>
      <c r="AX284" s="769"/>
      <c r="AY284" s="964"/>
      <c r="AZ284" s="964"/>
      <c r="BA284" s="964"/>
      <c r="BB284" s="964"/>
      <c r="BC284" s="964"/>
      <c r="BD284" s="964"/>
      <c r="BE284" s="964"/>
      <c r="BF284" s="964"/>
      <c r="BG284" s="964"/>
      <c r="BH284" s="964"/>
    </row>
    <row r="285" spans="1:60" ht="13.5" customHeight="1">
      <c r="A285" s="2112"/>
      <c r="B285" s="4210"/>
      <c r="C285" s="4210"/>
      <c r="D285" s="1680" t="s">
        <v>5471</v>
      </c>
      <c r="E285" s="253"/>
      <c r="F285" s="253"/>
      <c r="G285" s="253"/>
      <c r="H285" s="253"/>
      <c r="I285" s="253"/>
      <c r="J285" s="253"/>
      <c r="K285" s="253"/>
      <c r="L285" s="253"/>
      <c r="M285" s="253"/>
      <c r="N285" s="253"/>
      <c r="O285" s="253"/>
      <c r="P285" s="4167"/>
      <c r="Q285" s="4168"/>
      <c r="R285" s="4168"/>
      <c r="S285" s="4168"/>
      <c r="T285" s="4168"/>
      <c r="U285" s="4168"/>
      <c r="V285" s="4169"/>
      <c r="W285" s="4167"/>
      <c r="X285" s="4168"/>
      <c r="Y285" s="4168"/>
      <c r="Z285" s="4168"/>
      <c r="AA285" s="4168"/>
      <c r="AB285" s="4168"/>
      <c r="AC285" s="4169"/>
      <c r="AD285" s="4167"/>
      <c r="AE285" s="4168"/>
      <c r="AF285" s="4168"/>
      <c r="AG285" s="4168"/>
      <c r="AH285" s="4168"/>
      <c r="AI285" s="4169"/>
      <c r="AJ285" s="8976"/>
      <c r="AK285" s="7976"/>
      <c r="AL285" s="408"/>
      <c r="AM285" s="253"/>
      <c r="AN285" s="253"/>
      <c r="AO285" s="253"/>
      <c r="AP285" s="1277"/>
      <c r="AQ285" s="253"/>
      <c r="AR285" s="253"/>
      <c r="AS285" s="253"/>
      <c r="AT285" s="253"/>
      <c r="AU285" s="253"/>
      <c r="AV285" s="253"/>
      <c r="AW285" s="253"/>
      <c r="AX285" s="769"/>
      <c r="AY285" s="964"/>
      <c r="AZ285" s="964"/>
      <c r="BA285" s="964"/>
      <c r="BB285" s="964"/>
      <c r="BC285" s="964"/>
      <c r="BD285" s="964"/>
      <c r="BE285" s="964"/>
      <c r="BF285" s="964"/>
      <c r="BG285" s="964"/>
      <c r="BH285" s="964"/>
    </row>
    <row r="286" spans="1:60" ht="13.5" customHeight="1">
      <c r="A286" s="2112"/>
      <c r="B286" s="4210"/>
      <c r="C286" s="4210"/>
      <c r="D286" s="1680" t="s">
        <v>726</v>
      </c>
      <c r="E286" s="253"/>
      <c r="F286" s="253"/>
      <c r="G286" s="253"/>
      <c r="H286" s="253"/>
      <c r="I286" s="253"/>
      <c r="J286" s="253"/>
      <c r="K286" s="253"/>
      <c r="L286" s="253"/>
      <c r="M286" s="1401" t="s">
        <v>784</v>
      </c>
      <c r="N286" s="276"/>
      <c r="O286" s="253"/>
      <c r="P286" s="4167"/>
      <c r="Q286" s="4168"/>
      <c r="R286" s="4168"/>
      <c r="S286" s="4168"/>
      <c r="T286" s="4168"/>
      <c r="U286" s="4168"/>
      <c r="V286" s="4169"/>
      <c r="W286" s="4167"/>
      <c r="X286" s="4168"/>
      <c r="Y286" s="4168"/>
      <c r="Z286" s="4168"/>
      <c r="AA286" s="4168"/>
      <c r="AB286" s="4168"/>
      <c r="AC286" s="4169"/>
      <c r="AD286" s="4167"/>
      <c r="AE286" s="4168"/>
      <c r="AF286" s="4168"/>
      <c r="AG286" s="4168"/>
      <c r="AH286" s="4168"/>
      <c r="AI286" s="4169"/>
      <c r="AJ286" s="8976"/>
      <c r="AK286" s="7976"/>
      <c r="AL286" s="408"/>
      <c r="AM286" s="253"/>
      <c r="AN286" s="253"/>
      <c r="AO286" s="253"/>
      <c r="AP286" s="1277"/>
      <c r="AQ286" s="253"/>
      <c r="AR286" s="253"/>
      <c r="AS286" s="253"/>
      <c r="AT286" s="253"/>
      <c r="AU286" s="253"/>
      <c r="AV286" s="253"/>
      <c r="AW286" s="253"/>
      <c r="AX286" s="769"/>
      <c r="AY286" s="964"/>
      <c r="AZ286" s="964"/>
      <c r="BA286" s="964"/>
      <c r="BB286" s="964"/>
      <c r="BC286" s="964"/>
      <c r="BD286" s="964"/>
      <c r="BE286" s="964"/>
      <c r="BF286" s="964"/>
      <c r="BG286" s="964"/>
      <c r="BH286" s="964"/>
    </row>
    <row r="287" spans="1:60" ht="13.5" customHeight="1">
      <c r="A287" s="2112"/>
      <c r="B287" s="4156"/>
      <c r="C287" s="4156"/>
      <c r="D287" s="4162"/>
      <c r="E287" s="413"/>
      <c r="F287" s="413"/>
      <c r="G287" s="413"/>
      <c r="H287" s="413"/>
      <c r="I287" s="413"/>
      <c r="J287" s="413"/>
      <c r="K287" s="413"/>
      <c r="L287" s="413"/>
      <c r="M287" s="413"/>
      <c r="N287" s="413"/>
      <c r="O287" s="413"/>
      <c r="P287" s="4207"/>
      <c r="Q287" s="4208"/>
      <c r="R287" s="4208"/>
      <c r="S287" s="4208"/>
      <c r="T287" s="4208"/>
      <c r="U287" s="4208"/>
      <c r="V287" s="4209"/>
      <c r="W287" s="4207"/>
      <c r="X287" s="4208"/>
      <c r="Y287" s="4208"/>
      <c r="Z287" s="4208"/>
      <c r="AA287" s="4208"/>
      <c r="AB287" s="4208"/>
      <c r="AC287" s="4209"/>
      <c r="AD287" s="4207"/>
      <c r="AE287" s="4208"/>
      <c r="AF287" s="4208"/>
      <c r="AG287" s="4208"/>
      <c r="AH287" s="4208"/>
      <c r="AI287" s="4209"/>
      <c r="AJ287" s="8976"/>
      <c r="AK287" s="7976"/>
      <c r="AL287" s="408"/>
      <c r="AM287" s="253"/>
      <c r="AN287" s="253"/>
      <c r="AO287" s="253"/>
      <c r="AP287" s="1277"/>
      <c r="AQ287" s="253"/>
      <c r="AR287" s="253"/>
      <c r="AS287" s="253"/>
      <c r="AT287" s="253"/>
      <c r="AU287" s="253"/>
      <c r="AV287" s="253"/>
      <c r="AW287" s="253"/>
      <c r="AX287" s="769"/>
      <c r="AY287" s="964"/>
      <c r="AZ287" s="964"/>
      <c r="BA287" s="964"/>
      <c r="BB287" s="964"/>
      <c r="BC287" s="964"/>
      <c r="BD287" s="964"/>
      <c r="BE287" s="964"/>
      <c r="BF287" s="964"/>
      <c r="BG287" s="964"/>
      <c r="BH287" s="964"/>
    </row>
    <row r="288" spans="1:60" ht="13.5" customHeight="1">
      <c r="A288" s="2112"/>
      <c r="B288" s="504" t="s">
        <v>2814</v>
      </c>
      <c r="C288" s="2373"/>
      <c r="D288" s="511"/>
      <c r="E288" s="253"/>
      <c r="F288" s="253"/>
      <c r="G288" s="253"/>
      <c r="H288" s="253"/>
      <c r="I288" s="253"/>
      <c r="J288" s="253"/>
      <c r="K288" s="253"/>
      <c r="L288" s="253"/>
      <c r="M288" s="253"/>
      <c r="N288" s="253"/>
      <c r="O288" s="253"/>
      <c r="P288" s="4167"/>
      <c r="Q288" s="4168"/>
      <c r="R288" s="4168"/>
      <c r="S288" s="4168"/>
      <c r="T288" s="4168"/>
      <c r="U288" s="4168"/>
      <c r="V288" s="4169"/>
      <c r="W288" s="4167"/>
      <c r="X288" s="4168"/>
      <c r="Y288" s="4168"/>
      <c r="Z288" s="4168"/>
      <c r="AA288" s="4168"/>
      <c r="AB288" s="4168"/>
      <c r="AC288" s="4169"/>
      <c r="AD288" s="4167"/>
      <c r="AE288" s="4168"/>
      <c r="AF288" s="4168"/>
      <c r="AG288" s="4168"/>
      <c r="AH288" s="4168"/>
      <c r="AI288" s="4169"/>
      <c r="AJ288" s="8976"/>
      <c r="AK288" s="7976"/>
      <c r="AL288" s="408"/>
      <c r="AM288" s="253"/>
      <c r="AN288" s="253"/>
      <c r="AO288" s="253"/>
      <c r="AP288" s="1277"/>
      <c r="AQ288" s="253"/>
      <c r="AR288" s="253"/>
      <c r="AS288" s="253"/>
      <c r="AT288" s="253"/>
      <c r="AU288" s="253"/>
      <c r="AV288" s="253"/>
      <c r="AW288" s="253"/>
      <c r="AX288" s="769"/>
      <c r="AY288" s="964"/>
      <c r="AZ288" s="964"/>
      <c r="BA288" s="964"/>
      <c r="BB288" s="964"/>
      <c r="BC288" s="964"/>
      <c r="BD288" s="964"/>
      <c r="BE288" s="964"/>
      <c r="BF288" s="964"/>
      <c r="BG288" s="964"/>
      <c r="BH288" s="964"/>
    </row>
    <row r="289" spans="1:60" ht="13.5" customHeight="1">
      <c r="A289" s="2112"/>
      <c r="B289" s="9061">
        <v>2</v>
      </c>
      <c r="C289" s="9061"/>
      <c r="D289" s="504" t="s">
        <v>2815</v>
      </c>
      <c r="E289" s="253"/>
      <c r="F289" s="253"/>
      <c r="G289" s="253"/>
      <c r="H289" s="253"/>
      <c r="I289" s="253"/>
      <c r="J289" s="253"/>
      <c r="K289" s="253"/>
      <c r="L289" s="253"/>
      <c r="M289" s="253"/>
      <c r="N289" s="253"/>
      <c r="O289" s="253"/>
      <c r="P289" s="566"/>
      <c r="Q289" s="344"/>
      <c r="R289" s="344"/>
      <c r="S289" s="344"/>
      <c r="T289" s="344"/>
      <c r="U289" s="344"/>
      <c r="V289" s="567"/>
      <c r="W289" s="344"/>
      <c r="X289" s="344"/>
      <c r="Y289" s="344"/>
      <c r="Z289" s="344"/>
      <c r="AA289" s="344"/>
      <c r="AB289" s="344"/>
      <c r="AC289" s="567"/>
      <c r="AD289" s="344"/>
      <c r="AE289" s="344"/>
      <c r="AF289" s="344"/>
      <c r="AG289" s="344"/>
      <c r="AH289" s="344"/>
      <c r="AI289" s="567"/>
      <c r="AJ289" s="8976"/>
      <c r="AK289" s="7976"/>
      <c r="AL289" s="408"/>
      <c r="AM289" s="253"/>
      <c r="AN289" s="253"/>
      <c r="AO289" s="253"/>
      <c r="AP289" s="1277"/>
      <c r="AQ289" s="253"/>
      <c r="AR289" s="253"/>
      <c r="AS289" s="253"/>
      <c r="AT289" s="253"/>
      <c r="AU289" s="253"/>
      <c r="AV289" s="253"/>
      <c r="AW289" s="253"/>
      <c r="AX289" s="769"/>
      <c r="AY289" s="964"/>
      <c r="AZ289" s="964"/>
      <c r="BA289" s="964"/>
      <c r="BB289" s="964"/>
      <c r="BC289" s="964"/>
      <c r="BD289" s="964"/>
      <c r="BE289" s="964"/>
      <c r="BF289" s="964"/>
      <c r="BG289" s="964"/>
      <c r="BH289" s="964"/>
    </row>
    <row r="290" spans="1:60" ht="13.5" customHeight="1">
      <c r="A290" s="2112"/>
      <c r="B290" s="9061"/>
      <c r="C290" s="9061"/>
      <c r="D290" s="344" t="s">
        <v>2816</v>
      </c>
      <c r="E290" s="253"/>
      <c r="F290" s="253"/>
      <c r="G290" s="253"/>
      <c r="H290" s="253"/>
      <c r="I290" s="253"/>
      <c r="J290" s="253"/>
      <c r="K290" s="253"/>
      <c r="L290" s="253"/>
      <c r="M290" s="253"/>
      <c r="N290" s="253"/>
      <c r="O290" s="1401" t="s">
        <v>842</v>
      </c>
      <c r="P290" s="9011"/>
      <c r="Q290" s="9012"/>
      <c r="R290" s="9012"/>
      <c r="S290" s="9012"/>
      <c r="T290" s="9012"/>
      <c r="U290" s="9012"/>
      <c r="V290" s="9013"/>
      <c r="W290" s="9011"/>
      <c r="X290" s="9012"/>
      <c r="Y290" s="9012"/>
      <c r="Z290" s="9012"/>
      <c r="AA290" s="9012"/>
      <c r="AB290" s="9012"/>
      <c r="AC290" s="9013"/>
      <c r="AD290" s="9011"/>
      <c r="AE290" s="9012"/>
      <c r="AF290" s="9012"/>
      <c r="AG290" s="9012"/>
      <c r="AH290" s="9012"/>
      <c r="AI290" s="9013"/>
      <c r="AJ290" s="8976"/>
      <c r="AK290" s="7976"/>
      <c r="AL290" s="408"/>
      <c r="AM290" s="253"/>
      <c r="AN290" s="253"/>
      <c r="AO290" s="253"/>
      <c r="AP290" s="1277"/>
      <c r="AQ290" s="253"/>
      <c r="AR290" s="253"/>
      <c r="AS290" s="253"/>
      <c r="AT290" s="253"/>
      <c r="AU290" s="253"/>
      <c r="AV290" s="253"/>
      <c r="AW290" s="253"/>
      <c r="AX290" s="769"/>
      <c r="AY290" s="964"/>
      <c r="AZ290" s="964"/>
      <c r="BA290" s="964"/>
      <c r="BB290" s="964"/>
      <c r="BC290" s="964"/>
      <c r="BD290" s="964"/>
      <c r="BE290" s="964"/>
      <c r="BF290" s="964"/>
      <c r="BG290" s="964"/>
      <c r="BH290" s="964"/>
    </row>
    <row r="291" spans="1:60">
      <c r="A291" s="2112"/>
      <c r="B291" s="9061">
        <v>3</v>
      </c>
      <c r="C291" s="9061"/>
      <c r="D291" s="504" t="s">
        <v>2817</v>
      </c>
      <c r="E291" s="253"/>
      <c r="F291" s="253"/>
      <c r="G291" s="253"/>
      <c r="H291" s="253"/>
      <c r="I291" s="253"/>
      <c r="J291" s="253"/>
      <c r="K291" s="253"/>
      <c r="L291" s="253"/>
      <c r="M291" s="253"/>
      <c r="N291" s="253"/>
      <c r="O291" s="253"/>
      <c r="P291" s="4167"/>
      <c r="Q291" s="4168"/>
      <c r="R291" s="4168"/>
      <c r="S291" s="4168"/>
      <c r="T291" s="4168"/>
      <c r="U291" s="4168"/>
      <c r="V291" s="4169"/>
      <c r="W291" s="4167"/>
      <c r="X291" s="4168"/>
      <c r="Y291" s="4168"/>
      <c r="Z291" s="4168"/>
      <c r="AA291" s="4168"/>
      <c r="AB291" s="4168"/>
      <c r="AC291" s="4169"/>
      <c r="AD291" s="4167"/>
      <c r="AE291" s="4168"/>
      <c r="AF291" s="4168"/>
      <c r="AG291" s="4168"/>
      <c r="AH291" s="4168"/>
      <c r="AI291" s="4169"/>
      <c r="AJ291" s="8976"/>
      <c r="AK291" s="7976"/>
      <c r="AL291" s="408"/>
      <c r="AM291" s="253"/>
      <c r="AN291" s="253"/>
      <c r="AO291" s="253"/>
      <c r="AP291" s="1277"/>
      <c r="AQ291" s="253"/>
      <c r="AR291" s="253"/>
      <c r="AS291" s="253"/>
      <c r="AT291" s="253"/>
      <c r="AU291" s="253"/>
      <c r="AV291" s="253"/>
      <c r="AW291" s="253"/>
      <c r="AX291" s="769"/>
      <c r="AY291" s="964"/>
      <c r="AZ291" s="964"/>
      <c r="BA291" s="964"/>
      <c r="BB291" s="964"/>
      <c r="BC291" s="964"/>
      <c r="BD291" s="964"/>
      <c r="BE291" s="964"/>
      <c r="BF291" s="964"/>
      <c r="BG291" s="964"/>
      <c r="BH291" s="964"/>
    </row>
    <row r="292" spans="1:60" ht="13.5" customHeight="1">
      <c r="A292" s="2112"/>
      <c r="B292" s="8975"/>
      <c r="C292" s="8975"/>
      <c r="D292" s="807" t="s">
        <v>2818</v>
      </c>
      <c r="E292" s="253"/>
      <c r="F292" s="253"/>
      <c r="G292" s="253"/>
      <c r="H292" s="253"/>
      <c r="I292" s="253"/>
      <c r="J292" s="253"/>
      <c r="K292" s="253"/>
      <c r="L292" s="253"/>
      <c r="M292" s="253"/>
      <c r="N292" s="253"/>
      <c r="O292" s="253"/>
      <c r="P292" s="4167"/>
      <c r="Q292" s="4168"/>
      <c r="R292" s="4168"/>
      <c r="S292" s="4168"/>
      <c r="T292" s="4168"/>
      <c r="U292" s="4168"/>
      <c r="V292" s="4169"/>
      <c r="W292" s="4167"/>
      <c r="X292" s="4168"/>
      <c r="Y292" s="4168"/>
      <c r="Z292" s="4168"/>
      <c r="AA292" s="4168"/>
      <c r="AB292" s="4168"/>
      <c r="AC292" s="4169"/>
      <c r="AD292" s="4167"/>
      <c r="AE292" s="4168"/>
      <c r="AF292" s="4168"/>
      <c r="AG292" s="4168"/>
      <c r="AH292" s="4168"/>
      <c r="AI292" s="4169"/>
      <c r="AJ292" s="8976"/>
      <c r="AK292" s="7976"/>
      <c r="AL292" s="408"/>
      <c r="AM292" s="253"/>
      <c r="AN292" s="253"/>
      <c r="AO292" s="253"/>
      <c r="AP292" s="1277"/>
      <c r="AQ292" s="253"/>
      <c r="AR292" s="253"/>
      <c r="AS292" s="253"/>
      <c r="AT292" s="253"/>
      <c r="AU292" s="253"/>
      <c r="AV292" s="253"/>
      <c r="AW292" s="253"/>
      <c r="AX292" s="769"/>
      <c r="AY292" s="964"/>
      <c r="AZ292" s="964"/>
      <c r="BA292" s="964"/>
      <c r="BB292" s="964"/>
      <c r="BC292" s="964"/>
      <c r="BD292" s="964"/>
      <c r="BE292" s="964"/>
      <c r="BF292" s="964"/>
      <c r="BG292" s="964"/>
      <c r="BH292" s="964"/>
    </row>
    <row r="293" spans="1:60" ht="13.5" customHeight="1">
      <c r="A293" s="2112"/>
      <c r="B293" s="8975" t="s">
        <v>588</v>
      </c>
      <c r="C293" s="8975"/>
      <c r="D293" s="504" t="s">
        <v>2819</v>
      </c>
      <c r="E293" s="253"/>
      <c r="F293" s="253"/>
      <c r="G293" s="253"/>
      <c r="H293" s="253"/>
      <c r="I293" s="253"/>
      <c r="J293" s="253"/>
      <c r="K293" s="253"/>
      <c r="L293" s="253"/>
      <c r="M293" s="253"/>
      <c r="N293" s="253"/>
      <c r="O293" s="253"/>
      <c r="P293" s="566"/>
      <c r="Q293" s="344"/>
      <c r="R293" s="344"/>
      <c r="S293" s="344"/>
      <c r="T293" s="344"/>
      <c r="U293" s="344"/>
      <c r="V293" s="567"/>
      <c r="W293" s="344"/>
      <c r="X293" s="344"/>
      <c r="Y293" s="344"/>
      <c r="Z293" s="344"/>
      <c r="AA293" s="344"/>
      <c r="AB293" s="344"/>
      <c r="AC293" s="567"/>
      <c r="AD293" s="344"/>
      <c r="AE293" s="344"/>
      <c r="AF293" s="344"/>
      <c r="AG293" s="344"/>
      <c r="AH293" s="344"/>
      <c r="AI293" s="567"/>
      <c r="AJ293" s="8976"/>
      <c r="AK293" s="7976"/>
      <c r="AL293" s="408"/>
      <c r="AM293" s="253"/>
      <c r="AN293" s="253"/>
      <c r="AO293" s="253"/>
      <c r="AP293" s="1277"/>
      <c r="AQ293" s="253"/>
      <c r="AR293" s="253"/>
      <c r="AS293" s="253"/>
      <c r="AT293" s="253"/>
      <c r="AU293" s="253"/>
      <c r="AV293" s="253"/>
      <c r="AW293" s="253"/>
      <c r="AX293" s="769"/>
      <c r="AY293" s="964"/>
      <c r="AZ293" s="964"/>
      <c r="BA293" s="964"/>
      <c r="BB293" s="964"/>
      <c r="BC293" s="964"/>
      <c r="BD293" s="964"/>
      <c r="BE293" s="964"/>
      <c r="BF293" s="964"/>
      <c r="BG293" s="964"/>
      <c r="BH293" s="964"/>
    </row>
    <row r="294" spans="1:60" ht="13.5" customHeight="1">
      <c r="A294" s="2112"/>
      <c r="B294" s="4166"/>
      <c r="C294" s="4166"/>
      <c r="D294" s="504" t="s">
        <v>2018</v>
      </c>
      <c r="E294" s="253"/>
      <c r="F294" s="253"/>
      <c r="G294" s="253"/>
      <c r="H294" s="253"/>
      <c r="I294" s="253"/>
      <c r="J294" s="253"/>
      <c r="K294" s="253"/>
      <c r="L294" s="253"/>
      <c r="M294" s="253"/>
      <c r="N294" s="253"/>
      <c r="O294" s="1401" t="s">
        <v>824</v>
      </c>
      <c r="P294" s="9011"/>
      <c r="Q294" s="9012"/>
      <c r="R294" s="9012"/>
      <c r="S294" s="9012"/>
      <c r="T294" s="9012"/>
      <c r="U294" s="9012"/>
      <c r="V294" s="9013"/>
      <c r="W294" s="9011"/>
      <c r="X294" s="9012"/>
      <c r="Y294" s="9012"/>
      <c r="Z294" s="9012"/>
      <c r="AA294" s="9012"/>
      <c r="AB294" s="9012"/>
      <c r="AC294" s="9013"/>
      <c r="AD294" s="9011"/>
      <c r="AE294" s="9012"/>
      <c r="AF294" s="9012"/>
      <c r="AG294" s="9012"/>
      <c r="AH294" s="9012"/>
      <c r="AI294" s="9013"/>
      <c r="AJ294" s="8976"/>
      <c r="AK294" s="7976"/>
      <c r="AL294" s="408"/>
      <c r="AM294" s="253"/>
      <c r="AN294" s="253"/>
      <c r="AO294" s="253"/>
      <c r="AP294" s="1277"/>
      <c r="AQ294" s="253"/>
      <c r="AR294" s="253"/>
      <c r="AS294" s="253"/>
      <c r="AT294" s="253"/>
      <c r="AU294" s="253"/>
      <c r="AV294" s="253"/>
      <c r="AW294" s="253"/>
      <c r="AX294" s="769"/>
      <c r="AY294" s="964"/>
      <c r="AZ294" s="964"/>
      <c r="BA294" s="964"/>
      <c r="BB294" s="964"/>
      <c r="BC294" s="964"/>
      <c r="BD294" s="964"/>
      <c r="BE294" s="964"/>
      <c r="BF294" s="964"/>
      <c r="BG294" s="964"/>
      <c r="BH294" s="964"/>
    </row>
    <row r="295" spans="1:60" ht="13.5" customHeight="1">
      <c r="A295" s="2112"/>
      <c r="B295" s="8975" t="s">
        <v>592</v>
      </c>
      <c r="C295" s="8975"/>
      <c r="D295" s="504" t="s">
        <v>2820</v>
      </c>
      <c r="E295" s="253"/>
      <c r="F295" s="253"/>
      <c r="G295" s="253"/>
      <c r="H295" s="253"/>
      <c r="I295" s="253"/>
      <c r="J295" s="253"/>
      <c r="K295" s="253"/>
      <c r="L295" s="253"/>
      <c r="M295" s="253"/>
      <c r="N295" s="253"/>
      <c r="O295" s="1401" t="s">
        <v>905</v>
      </c>
      <c r="P295" s="9011"/>
      <c r="Q295" s="9012"/>
      <c r="R295" s="9012"/>
      <c r="S295" s="9012"/>
      <c r="T295" s="9012"/>
      <c r="U295" s="9012"/>
      <c r="V295" s="9013"/>
      <c r="W295" s="9011"/>
      <c r="X295" s="9012"/>
      <c r="Y295" s="9012"/>
      <c r="Z295" s="9012"/>
      <c r="AA295" s="9012"/>
      <c r="AB295" s="9012"/>
      <c r="AC295" s="9013"/>
      <c r="AD295" s="9011"/>
      <c r="AE295" s="9012"/>
      <c r="AF295" s="9012"/>
      <c r="AG295" s="9012"/>
      <c r="AH295" s="9012"/>
      <c r="AI295" s="9013"/>
      <c r="AJ295" s="8976"/>
      <c r="AK295" s="7976"/>
      <c r="AL295" s="408"/>
      <c r="AM295" s="253"/>
      <c r="AN295" s="253"/>
      <c r="AO295" s="253"/>
      <c r="AP295" s="1277"/>
      <c r="AQ295" s="253"/>
      <c r="AR295" s="253"/>
      <c r="AS295" s="253"/>
      <c r="AT295" s="253"/>
      <c r="AU295" s="253"/>
      <c r="AV295" s="253"/>
      <c r="AW295" s="253"/>
      <c r="AX295" s="769"/>
      <c r="AY295" s="964"/>
      <c r="AZ295" s="964"/>
      <c r="BA295" s="964"/>
      <c r="BB295" s="964"/>
      <c r="BC295" s="964"/>
      <c r="BD295" s="964"/>
      <c r="BE295" s="964"/>
      <c r="BF295" s="964"/>
      <c r="BG295" s="964"/>
      <c r="BH295" s="964"/>
    </row>
    <row r="296" spans="1:60" ht="13.5" customHeight="1">
      <c r="A296" s="2112"/>
      <c r="B296" s="8975" t="s">
        <v>595</v>
      </c>
      <c r="C296" s="8975"/>
      <c r="D296" s="504" t="s">
        <v>2821</v>
      </c>
      <c r="E296" s="253"/>
      <c r="F296" s="253"/>
      <c r="G296" s="253"/>
      <c r="H296" s="253"/>
      <c r="I296" s="253"/>
      <c r="J296" s="253"/>
      <c r="K296" s="253"/>
      <c r="L296" s="253"/>
      <c r="M296" s="253"/>
      <c r="N296" s="253"/>
      <c r="O296" s="1401" t="s">
        <v>784</v>
      </c>
      <c r="P296" s="9016">
        <f>SUM(P294:P295)</f>
        <v>0</v>
      </c>
      <c r="Q296" s="9017"/>
      <c r="R296" s="9017"/>
      <c r="S296" s="9017"/>
      <c r="T296" s="9017"/>
      <c r="U296" s="9017"/>
      <c r="V296" s="9018"/>
      <c r="W296" s="9016">
        <f>SUM(W294:W295)</f>
        <v>0</v>
      </c>
      <c r="X296" s="9017"/>
      <c r="Y296" s="9017"/>
      <c r="Z296" s="9017"/>
      <c r="AA296" s="9017"/>
      <c r="AB296" s="9017"/>
      <c r="AC296" s="9018"/>
      <c r="AD296" s="9016">
        <f>SUM(AD294:AD295)</f>
        <v>0</v>
      </c>
      <c r="AE296" s="9017"/>
      <c r="AF296" s="9017"/>
      <c r="AG296" s="9017"/>
      <c r="AH296" s="9017"/>
      <c r="AI296" s="9018"/>
      <c r="AJ296" s="8976"/>
      <c r="AK296" s="7976"/>
      <c r="AL296" s="408"/>
      <c r="AM296" s="253"/>
      <c r="AN296" s="253"/>
      <c r="AO296" s="253"/>
      <c r="AP296" s="1277"/>
      <c r="AQ296" s="253"/>
      <c r="AR296" s="253"/>
      <c r="AS296" s="253"/>
      <c r="AT296" s="253"/>
      <c r="AU296" s="253"/>
      <c r="AV296" s="253"/>
      <c r="AW296" s="253"/>
      <c r="AX296" s="769"/>
      <c r="AY296" s="964"/>
      <c r="AZ296" s="964"/>
      <c r="BA296" s="964"/>
      <c r="BB296" s="964"/>
      <c r="BC296" s="964"/>
      <c r="BD296" s="964"/>
      <c r="BE296" s="964"/>
      <c r="BF296" s="964"/>
      <c r="BG296" s="964"/>
      <c r="BH296" s="964"/>
    </row>
    <row r="297" spans="1:60" ht="13.5" customHeight="1">
      <c r="A297" s="2112"/>
      <c r="B297" s="8975" t="s">
        <v>599</v>
      </c>
      <c r="C297" s="8975"/>
      <c r="D297" s="504" t="s">
        <v>2822</v>
      </c>
      <c r="E297" s="253"/>
      <c r="F297" s="253"/>
      <c r="G297" s="253"/>
      <c r="H297" s="253"/>
      <c r="I297" s="253"/>
      <c r="J297" s="253"/>
      <c r="K297" s="253"/>
      <c r="L297" s="253"/>
      <c r="M297" s="253"/>
      <c r="N297" s="253"/>
      <c r="O297" s="1401" t="s">
        <v>2823</v>
      </c>
      <c r="P297" s="9011"/>
      <c r="Q297" s="9012"/>
      <c r="R297" s="9012"/>
      <c r="S297" s="9012"/>
      <c r="T297" s="9012"/>
      <c r="U297" s="9012"/>
      <c r="V297" s="9013"/>
      <c r="W297" s="9011"/>
      <c r="X297" s="9012"/>
      <c r="Y297" s="9012"/>
      <c r="Z297" s="9012"/>
      <c r="AA297" s="9012"/>
      <c r="AB297" s="9012"/>
      <c r="AC297" s="9013"/>
      <c r="AD297" s="9011"/>
      <c r="AE297" s="9012"/>
      <c r="AF297" s="9012"/>
      <c r="AG297" s="9012"/>
      <c r="AH297" s="9012"/>
      <c r="AI297" s="9013"/>
      <c r="AJ297" s="8976"/>
      <c r="AK297" s="7976"/>
      <c r="AL297" s="408"/>
      <c r="AM297" s="253"/>
      <c r="AN297" s="253"/>
      <c r="AO297" s="253"/>
      <c r="AP297" s="1277"/>
      <c r="AQ297" s="253"/>
      <c r="AR297" s="253"/>
      <c r="AS297" s="253"/>
      <c r="AT297" s="253"/>
      <c r="AU297" s="253"/>
      <c r="AV297" s="253"/>
      <c r="AW297" s="253"/>
      <c r="AX297" s="769"/>
      <c r="AY297" s="964"/>
      <c r="AZ297" s="964"/>
      <c r="BA297" s="964"/>
      <c r="BB297" s="964"/>
      <c r="BC297" s="964"/>
      <c r="BD297" s="964"/>
      <c r="BE297" s="964"/>
      <c r="BF297" s="964"/>
      <c r="BG297" s="964"/>
      <c r="BH297" s="964"/>
    </row>
    <row r="298" spans="1:60" ht="13.5" customHeight="1">
      <c r="A298" s="2112"/>
      <c r="B298" s="8975" t="s">
        <v>603</v>
      </c>
      <c r="C298" s="8975"/>
      <c r="D298" s="504" t="s">
        <v>2824</v>
      </c>
      <c r="E298" s="253"/>
      <c r="F298" s="253"/>
      <c r="G298" s="253"/>
      <c r="H298" s="253"/>
      <c r="I298" s="253"/>
      <c r="J298" s="253"/>
      <c r="K298" s="253"/>
      <c r="L298" s="253"/>
      <c r="M298" s="253"/>
      <c r="N298" s="253"/>
      <c r="O298" s="1401" t="s">
        <v>2823</v>
      </c>
      <c r="P298" s="9011"/>
      <c r="Q298" s="9012"/>
      <c r="R298" s="9012"/>
      <c r="S298" s="9012"/>
      <c r="T298" s="9012"/>
      <c r="U298" s="9012"/>
      <c r="V298" s="9013"/>
      <c r="W298" s="9011"/>
      <c r="X298" s="9012"/>
      <c r="Y298" s="9012"/>
      <c r="Z298" s="9012"/>
      <c r="AA298" s="9012"/>
      <c r="AB298" s="9012"/>
      <c r="AC298" s="9013"/>
      <c r="AD298" s="9011"/>
      <c r="AE298" s="9012"/>
      <c r="AF298" s="9012"/>
      <c r="AG298" s="9012"/>
      <c r="AH298" s="9012"/>
      <c r="AI298" s="9013"/>
      <c r="AJ298" s="8976"/>
      <c r="AK298" s="7976"/>
      <c r="AL298" s="408"/>
      <c r="AM298" s="253"/>
      <c r="AN298" s="253"/>
      <c r="AO298" s="253"/>
      <c r="AP298" s="1277"/>
      <c r="AQ298" s="253"/>
      <c r="AR298" s="253"/>
      <c r="AS298" s="253"/>
      <c r="AT298" s="253"/>
      <c r="AU298" s="253"/>
      <c r="AV298" s="253"/>
      <c r="AW298" s="253"/>
      <c r="AX298" s="769"/>
      <c r="AY298" s="964"/>
      <c r="AZ298" s="964"/>
      <c r="BA298" s="964"/>
      <c r="BB298" s="964"/>
      <c r="BC298" s="964"/>
      <c r="BD298" s="964"/>
      <c r="BE298" s="964"/>
      <c r="BF298" s="964"/>
      <c r="BG298" s="964"/>
      <c r="BH298" s="964"/>
    </row>
    <row r="299" spans="1:60" ht="13.5" customHeight="1">
      <c r="A299" s="2112"/>
      <c r="B299" s="8975" t="s">
        <v>606</v>
      </c>
      <c r="C299" s="8975"/>
      <c r="D299" s="504" t="s">
        <v>2825</v>
      </c>
      <c r="E299" s="253"/>
      <c r="F299" s="253"/>
      <c r="G299" s="253"/>
      <c r="H299" s="253"/>
      <c r="I299" s="253"/>
      <c r="J299" s="253"/>
      <c r="K299" s="253"/>
      <c r="L299" s="253"/>
      <c r="M299" s="253"/>
      <c r="N299" s="253"/>
      <c r="O299" s="1401" t="s">
        <v>832</v>
      </c>
      <c r="P299" s="9159" t="str">
        <f>IF(P298=0,"",ROUND(P297/P298,4))</f>
        <v/>
      </c>
      <c r="Q299" s="9160"/>
      <c r="R299" s="9160"/>
      <c r="S299" s="9160"/>
      <c r="T299" s="9160"/>
      <c r="U299" s="9160"/>
      <c r="V299" s="9161"/>
      <c r="W299" s="9159" t="str">
        <f>IF(W298=0,"",ROUND(W297/W298,4))</f>
        <v/>
      </c>
      <c r="X299" s="9160"/>
      <c r="Y299" s="9160"/>
      <c r="Z299" s="9160"/>
      <c r="AA299" s="9160"/>
      <c r="AB299" s="9160"/>
      <c r="AC299" s="9161"/>
      <c r="AD299" s="9162" t="str">
        <f>IF(AD298=0,"",ROUND(AD297/AD298,4))</f>
        <v/>
      </c>
      <c r="AE299" s="9163"/>
      <c r="AF299" s="9163"/>
      <c r="AG299" s="9163"/>
      <c r="AH299" s="9163"/>
      <c r="AI299" s="9164"/>
      <c r="AJ299" s="8976"/>
      <c r="AK299" s="7976"/>
      <c r="AL299" s="408"/>
      <c r="AM299" s="253"/>
      <c r="AN299" s="253"/>
      <c r="AO299" s="253"/>
      <c r="AP299" s="1277"/>
      <c r="AQ299" s="253"/>
      <c r="AR299" s="253"/>
      <c r="AS299" s="253"/>
      <c r="AT299" s="253"/>
      <c r="AU299" s="253"/>
      <c r="AV299" s="253"/>
      <c r="AW299" s="253"/>
      <c r="AX299" s="769"/>
      <c r="AY299" s="964"/>
      <c r="AZ299" s="964"/>
      <c r="BA299" s="964"/>
      <c r="BB299" s="964"/>
      <c r="BC299" s="964"/>
      <c r="BD299" s="964"/>
      <c r="BE299" s="964"/>
      <c r="BF299" s="964"/>
      <c r="BG299" s="964"/>
      <c r="BH299" s="964"/>
    </row>
    <row r="300" spans="1:60" ht="13.5" customHeight="1">
      <c r="A300" s="2112"/>
      <c r="B300" s="8975" t="s">
        <v>610</v>
      </c>
      <c r="C300" s="8975"/>
      <c r="D300" s="504" t="s">
        <v>2826</v>
      </c>
      <c r="E300" s="253"/>
      <c r="F300" s="253"/>
      <c r="G300" s="253"/>
      <c r="H300" s="253"/>
      <c r="I300" s="253"/>
      <c r="J300" s="253"/>
      <c r="K300" s="253"/>
      <c r="L300" s="253"/>
      <c r="M300" s="253"/>
      <c r="N300" s="253"/>
      <c r="O300" s="1401" t="s">
        <v>877</v>
      </c>
      <c r="P300" s="9165" t="str">
        <f>IF(OR(P296="",P299=""),"",P296*P299)</f>
        <v/>
      </c>
      <c r="Q300" s="9166"/>
      <c r="R300" s="9166"/>
      <c r="S300" s="9166"/>
      <c r="T300" s="9166"/>
      <c r="U300" s="9166"/>
      <c r="V300" s="9167"/>
      <c r="W300" s="9165" t="str">
        <f>IF(OR(W296="",W299=""),"",W296*W299)</f>
        <v/>
      </c>
      <c r="X300" s="9166"/>
      <c r="Y300" s="9166"/>
      <c r="Z300" s="9166"/>
      <c r="AA300" s="9166"/>
      <c r="AB300" s="9166"/>
      <c r="AC300" s="9167"/>
      <c r="AD300" s="9165" t="str">
        <f>IF(OR(AD296="",AD299=""),"",AD296*AD299)</f>
        <v/>
      </c>
      <c r="AE300" s="9166"/>
      <c r="AF300" s="9166"/>
      <c r="AG300" s="9166"/>
      <c r="AH300" s="9166"/>
      <c r="AI300" s="9167"/>
      <c r="AJ300" s="8976"/>
      <c r="AK300" s="7976"/>
      <c r="AL300" s="408"/>
      <c r="AM300" s="253"/>
      <c r="AN300" s="253"/>
      <c r="AO300" s="253"/>
      <c r="AP300" s="1277"/>
      <c r="AQ300" s="253"/>
      <c r="AR300" s="253"/>
      <c r="AS300" s="253"/>
      <c r="AT300" s="253"/>
      <c r="AU300" s="253"/>
      <c r="AV300" s="253"/>
      <c r="AW300" s="253"/>
      <c r="AX300" s="769"/>
      <c r="AY300" s="964"/>
      <c r="AZ300" s="964"/>
      <c r="BA300" s="964"/>
      <c r="BB300" s="964"/>
      <c r="BC300" s="964"/>
      <c r="BD300" s="964"/>
      <c r="BE300" s="964"/>
      <c r="BF300" s="964"/>
      <c r="BG300" s="964"/>
      <c r="BH300" s="964"/>
    </row>
    <row r="301" spans="1:60" ht="13.5" customHeight="1">
      <c r="A301" s="2112"/>
      <c r="B301" s="9061">
        <v>4</v>
      </c>
      <c r="C301" s="9061"/>
      <c r="D301" s="504" t="s">
        <v>2827</v>
      </c>
      <c r="E301" s="253"/>
      <c r="F301" s="253"/>
      <c r="G301" s="253"/>
      <c r="H301" s="253"/>
      <c r="I301" s="253"/>
      <c r="J301" s="253"/>
      <c r="K301" s="253"/>
      <c r="L301" s="253"/>
      <c r="M301" s="253"/>
      <c r="N301" s="253"/>
      <c r="O301" s="253"/>
      <c r="P301" s="4167"/>
      <c r="Q301" s="4168"/>
      <c r="R301" s="4168"/>
      <c r="S301" s="4168"/>
      <c r="T301" s="4168"/>
      <c r="U301" s="4168"/>
      <c r="V301" s="4169"/>
      <c r="W301" s="4167"/>
      <c r="X301" s="4168"/>
      <c r="Y301" s="4168"/>
      <c r="Z301" s="4168"/>
      <c r="AA301" s="4168"/>
      <c r="AB301" s="4168"/>
      <c r="AC301" s="4169"/>
      <c r="AD301" s="4167"/>
      <c r="AE301" s="4168"/>
      <c r="AF301" s="4168"/>
      <c r="AG301" s="4168"/>
      <c r="AH301" s="4168"/>
      <c r="AI301" s="4169"/>
      <c r="AJ301" s="8976"/>
      <c r="AK301" s="7976"/>
      <c r="AL301" s="408"/>
      <c r="AM301" s="253"/>
      <c r="AN301" s="253"/>
      <c r="AO301" s="253"/>
      <c r="AP301" s="1277"/>
      <c r="AQ301" s="253"/>
      <c r="AR301" s="253"/>
      <c r="AS301" s="253"/>
      <c r="AT301" s="253"/>
      <c r="AU301" s="253"/>
      <c r="AV301" s="253"/>
      <c r="AW301" s="253"/>
      <c r="AX301" s="769"/>
      <c r="AY301" s="964"/>
      <c r="AZ301" s="964"/>
      <c r="BA301" s="964"/>
      <c r="BB301" s="964"/>
      <c r="BC301" s="964"/>
      <c r="BD301" s="964"/>
      <c r="BE301" s="964"/>
      <c r="BF301" s="964"/>
      <c r="BG301" s="964"/>
      <c r="BH301" s="964"/>
    </row>
    <row r="302" spans="1:60" ht="13.5" customHeight="1">
      <c r="A302" s="2112"/>
      <c r="B302" s="8975" t="s">
        <v>588</v>
      </c>
      <c r="C302" s="8975"/>
      <c r="D302" s="344" t="s">
        <v>2828</v>
      </c>
      <c r="E302" s="253"/>
      <c r="F302" s="253"/>
      <c r="G302" s="253"/>
      <c r="H302" s="253"/>
      <c r="I302" s="253"/>
      <c r="J302" s="253"/>
      <c r="K302" s="253"/>
      <c r="L302" s="253"/>
      <c r="M302" s="253"/>
      <c r="N302" s="253"/>
      <c r="O302" s="253"/>
      <c r="P302" s="566"/>
      <c r="Q302" s="344"/>
      <c r="R302" s="344"/>
      <c r="S302" s="344"/>
      <c r="T302" s="344"/>
      <c r="U302" s="344"/>
      <c r="V302" s="567"/>
      <c r="W302" s="344"/>
      <c r="X302" s="344"/>
      <c r="Y302" s="344"/>
      <c r="Z302" s="344"/>
      <c r="AA302" s="344"/>
      <c r="AB302" s="344"/>
      <c r="AC302" s="567"/>
      <c r="AD302" s="344"/>
      <c r="AE302" s="344"/>
      <c r="AF302" s="344"/>
      <c r="AG302" s="344"/>
      <c r="AH302" s="344"/>
      <c r="AI302" s="567"/>
      <c r="AJ302" s="8976"/>
      <c r="AK302" s="7976"/>
      <c r="AL302" s="408"/>
      <c r="AM302" s="253"/>
      <c r="AN302" s="253"/>
      <c r="AO302" s="253"/>
      <c r="AP302" s="1277"/>
      <c r="AQ302" s="253"/>
      <c r="AR302" s="253"/>
      <c r="AS302" s="253"/>
      <c r="AT302" s="253"/>
      <c r="AU302" s="253"/>
      <c r="AV302" s="253"/>
      <c r="AW302" s="253"/>
      <c r="AX302" s="769"/>
      <c r="AY302" s="964"/>
      <c r="AZ302" s="964"/>
      <c r="BA302" s="964"/>
      <c r="BB302" s="964"/>
      <c r="BC302" s="964"/>
      <c r="BD302" s="964"/>
      <c r="BE302" s="964"/>
      <c r="BF302" s="964"/>
      <c r="BG302" s="964"/>
      <c r="BH302" s="964"/>
    </row>
    <row r="303" spans="1:60" ht="16.5" customHeight="1">
      <c r="A303" s="2112"/>
      <c r="B303" s="4166"/>
      <c r="C303" s="4166"/>
      <c r="D303" s="344" t="s">
        <v>2829</v>
      </c>
      <c r="E303" s="253"/>
      <c r="F303" s="253"/>
      <c r="G303" s="253"/>
      <c r="H303" s="253"/>
      <c r="I303" s="253"/>
      <c r="J303" s="253"/>
      <c r="K303" s="253"/>
      <c r="L303" s="253"/>
      <c r="M303" s="253"/>
      <c r="N303" s="253"/>
      <c r="O303" s="1401" t="s">
        <v>828</v>
      </c>
      <c r="P303" s="9011"/>
      <c r="Q303" s="9012"/>
      <c r="R303" s="9012"/>
      <c r="S303" s="9012"/>
      <c r="T303" s="9012"/>
      <c r="U303" s="9012"/>
      <c r="V303" s="9013"/>
      <c r="W303" s="9011"/>
      <c r="X303" s="9012"/>
      <c r="Y303" s="9012"/>
      <c r="Z303" s="9012"/>
      <c r="AA303" s="9012"/>
      <c r="AB303" s="9012"/>
      <c r="AC303" s="9013"/>
      <c r="AD303" s="9011"/>
      <c r="AE303" s="9012"/>
      <c r="AF303" s="9012"/>
      <c r="AG303" s="9012"/>
      <c r="AH303" s="9012"/>
      <c r="AI303" s="9013"/>
      <c r="AJ303" s="8976"/>
      <c r="AK303" s="7976"/>
      <c r="AL303" s="408"/>
      <c r="AM303" s="253"/>
      <c r="AN303" s="253"/>
      <c r="AO303" s="253"/>
      <c r="AP303" s="1277"/>
      <c r="AQ303" s="253"/>
      <c r="AR303" s="253"/>
      <c r="AS303" s="253"/>
      <c r="AT303" s="253"/>
      <c r="AU303" s="253"/>
      <c r="AV303" s="253"/>
      <c r="AW303" s="253"/>
      <c r="AX303" s="769"/>
      <c r="AY303" s="964"/>
      <c r="AZ303" s="964"/>
      <c r="BA303" s="964"/>
      <c r="BB303" s="964"/>
      <c r="BC303" s="964"/>
      <c r="BD303" s="964"/>
      <c r="BE303" s="964"/>
      <c r="BF303" s="964"/>
      <c r="BG303" s="964"/>
      <c r="BH303" s="964"/>
    </row>
    <row r="304" spans="1:60" s="1405" customFormat="1" ht="17.25" customHeight="1">
      <c r="A304" s="2112"/>
      <c r="B304" s="8975" t="s">
        <v>592</v>
      </c>
      <c r="C304" s="8975"/>
      <c r="D304" s="344" t="s">
        <v>2830</v>
      </c>
      <c r="E304" s="253"/>
      <c r="F304" s="253"/>
      <c r="G304" s="253"/>
      <c r="H304" s="253"/>
      <c r="I304" s="253"/>
      <c r="J304" s="253"/>
      <c r="K304" s="253"/>
      <c r="L304" s="253"/>
      <c r="M304" s="253"/>
      <c r="N304" s="253"/>
      <c r="O304" s="1401" t="s">
        <v>877</v>
      </c>
      <c r="P304" s="9011"/>
      <c r="Q304" s="9012"/>
      <c r="R304" s="9012"/>
      <c r="S304" s="9012"/>
      <c r="T304" s="9012"/>
      <c r="U304" s="9012"/>
      <c r="V304" s="9013"/>
      <c r="W304" s="9011"/>
      <c r="X304" s="9012"/>
      <c r="Y304" s="9012"/>
      <c r="Z304" s="9012"/>
      <c r="AA304" s="9012"/>
      <c r="AB304" s="9012"/>
      <c r="AC304" s="9013"/>
      <c r="AD304" s="9011"/>
      <c r="AE304" s="9012"/>
      <c r="AF304" s="9012"/>
      <c r="AG304" s="9012"/>
      <c r="AH304" s="9012"/>
      <c r="AI304" s="9013"/>
      <c r="AJ304" s="8976"/>
      <c r="AK304" s="7976"/>
      <c r="AL304" s="408"/>
      <c r="AM304" s="253"/>
      <c r="AN304" s="253"/>
      <c r="AO304" s="253"/>
      <c r="AP304" s="1277"/>
      <c r="AQ304" s="253"/>
      <c r="AR304" s="253"/>
      <c r="AS304" s="253"/>
      <c r="AT304" s="253"/>
      <c r="AU304" s="253"/>
      <c r="AV304" s="253"/>
      <c r="AW304" s="253"/>
      <c r="AX304" s="769"/>
      <c r="AY304" s="964"/>
      <c r="AZ304" s="964"/>
      <c r="BA304" s="964"/>
      <c r="BB304" s="964"/>
      <c r="BC304" s="964"/>
      <c r="BD304" s="964"/>
      <c r="BE304" s="964"/>
      <c r="BF304" s="964"/>
      <c r="BG304" s="964"/>
      <c r="BH304" s="964"/>
    </row>
    <row r="305" spans="1:60" s="1405" customFormat="1" ht="12" customHeight="1">
      <c r="A305" s="2112"/>
      <c r="B305" s="9061">
        <v>5</v>
      </c>
      <c r="C305" s="9061"/>
      <c r="D305" s="344" t="s">
        <v>2831</v>
      </c>
      <c r="E305" s="253"/>
      <c r="F305" s="253"/>
      <c r="G305" s="253"/>
      <c r="H305" s="253"/>
      <c r="I305" s="253"/>
      <c r="J305" s="253"/>
      <c r="K305" s="253"/>
      <c r="L305" s="253"/>
      <c r="M305" s="253"/>
      <c r="N305" s="253"/>
      <c r="O305" s="1401" t="s">
        <v>808</v>
      </c>
      <c r="P305" s="9011"/>
      <c r="Q305" s="9012"/>
      <c r="R305" s="9012"/>
      <c r="S305" s="9012"/>
      <c r="T305" s="9012"/>
      <c r="U305" s="9012"/>
      <c r="V305" s="9013"/>
      <c r="W305" s="9011"/>
      <c r="X305" s="9012"/>
      <c r="Y305" s="9012"/>
      <c r="Z305" s="9012"/>
      <c r="AA305" s="9012"/>
      <c r="AB305" s="9012"/>
      <c r="AC305" s="9013"/>
      <c r="AD305" s="9011"/>
      <c r="AE305" s="9012"/>
      <c r="AF305" s="9012"/>
      <c r="AG305" s="9012"/>
      <c r="AH305" s="9012"/>
      <c r="AI305" s="9013"/>
      <c r="AJ305" s="8976"/>
      <c r="AK305" s="7976"/>
      <c r="AL305" s="408"/>
      <c r="AM305" s="253"/>
      <c r="AN305" s="253"/>
      <c r="AO305" s="253"/>
      <c r="AP305" s="1277"/>
      <c r="AQ305" s="1277"/>
      <c r="AR305" s="1277"/>
      <c r="AS305" s="1277"/>
      <c r="AT305" s="1277"/>
      <c r="AU305" s="1277"/>
      <c r="AV305" s="253"/>
      <c r="AW305" s="253"/>
      <c r="AX305" s="769"/>
      <c r="AY305" s="964"/>
      <c r="AZ305" s="964"/>
      <c r="BA305" s="964"/>
      <c r="BB305" s="964"/>
      <c r="BC305" s="964"/>
      <c r="BD305" s="964"/>
      <c r="BE305" s="964"/>
      <c r="BF305" s="964"/>
      <c r="BG305" s="964"/>
      <c r="BH305" s="964"/>
    </row>
    <row r="306" spans="1:60" s="1405" customFormat="1" ht="12" customHeight="1">
      <c r="A306" s="2112"/>
      <c r="B306" s="9061">
        <v>6</v>
      </c>
      <c r="C306" s="9061"/>
      <c r="D306" s="344" t="s">
        <v>2832</v>
      </c>
      <c r="E306" s="253"/>
      <c r="F306" s="253"/>
      <c r="G306" s="253"/>
      <c r="H306" s="253"/>
      <c r="I306" s="253"/>
      <c r="J306" s="253"/>
      <c r="K306" s="253"/>
      <c r="L306" s="253"/>
      <c r="M306" s="253"/>
      <c r="N306" s="253"/>
      <c r="O306" s="1401" t="s">
        <v>808</v>
      </c>
      <c r="P306" s="9165">
        <f>SUM(P290,P300,P303,P304,P305)</f>
        <v>0</v>
      </c>
      <c r="Q306" s="9166"/>
      <c r="R306" s="9166"/>
      <c r="S306" s="9166"/>
      <c r="T306" s="9166"/>
      <c r="U306" s="9166"/>
      <c r="V306" s="9167"/>
      <c r="W306" s="9165">
        <f>SUM(W290,W300,W303,W304,W305)</f>
        <v>0</v>
      </c>
      <c r="X306" s="9166"/>
      <c r="Y306" s="9166"/>
      <c r="Z306" s="9166"/>
      <c r="AA306" s="9166"/>
      <c r="AB306" s="9166"/>
      <c r="AC306" s="9167"/>
      <c r="AD306" s="9165">
        <f>SUM(AD290,AD300,AD303,AD304,AD305)</f>
        <v>0</v>
      </c>
      <c r="AE306" s="9166"/>
      <c r="AF306" s="9166"/>
      <c r="AG306" s="9166"/>
      <c r="AH306" s="9166"/>
      <c r="AI306" s="9167"/>
      <c r="AJ306" s="8981">
        <v>6</v>
      </c>
      <c r="AK306" s="8297"/>
      <c r="AL306" s="9003" t="str">
        <f>IF(AQ306&lt;&gt;"",ROUND(AQ306,0),IF(AO265=0,"",ROUND(SUM(P306,W306,AD306),0)))</f>
        <v/>
      </c>
      <c r="AM306" s="9004"/>
      <c r="AN306" s="9004"/>
      <c r="AO306" s="9004"/>
      <c r="AP306" s="1277"/>
      <c r="AQ306" s="8967"/>
      <c r="AR306" s="8968"/>
      <c r="AS306" s="8968"/>
      <c r="AT306" s="8968"/>
      <c r="AU306" s="1277"/>
      <c r="AV306" s="253"/>
      <c r="AW306" s="253"/>
      <c r="AX306" s="769"/>
      <c r="AY306" s="964"/>
      <c r="AZ306" s="964"/>
      <c r="BA306" s="964"/>
      <c r="BB306" s="964"/>
      <c r="BC306" s="964"/>
      <c r="BD306" s="964"/>
      <c r="BE306" s="964"/>
      <c r="BF306" s="964"/>
      <c r="BG306" s="964"/>
      <c r="BH306" s="964"/>
    </row>
    <row r="307" spans="1:60" s="1405" customFormat="1" ht="12" customHeight="1">
      <c r="A307" s="2112"/>
      <c r="B307" s="9208">
        <v>7</v>
      </c>
      <c r="C307" s="9208"/>
      <c r="D307" s="4219" t="s">
        <v>2833</v>
      </c>
      <c r="E307" s="773"/>
      <c r="F307" s="773"/>
      <c r="G307" s="773"/>
      <c r="H307" s="773"/>
      <c r="I307" s="773"/>
      <c r="J307" s="773"/>
      <c r="K307" s="773"/>
      <c r="L307" s="773"/>
      <c r="M307" s="773"/>
      <c r="N307" s="773"/>
      <c r="O307" s="773"/>
      <c r="P307" s="773"/>
      <c r="Q307" s="773"/>
      <c r="R307" s="773"/>
      <c r="S307" s="773"/>
      <c r="T307" s="773"/>
      <c r="U307" s="773"/>
      <c r="V307" s="773"/>
      <c r="W307" s="773"/>
      <c r="X307" s="773"/>
      <c r="Y307" s="773"/>
      <c r="Z307" s="773"/>
      <c r="AA307" s="773"/>
      <c r="AB307" s="773"/>
      <c r="AC307" s="773"/>
      <c r="AD307" s="773"/>
      <c r="AE307" s="773"/>
      <c r="AF307" s="773"/>
      <c r="AG307" s="773"/>
      <c r="AH307" s="773"/>
      <c r="AI307" s="1401" t="s">
        <v>816</v>
      </c>
      <c r="AJ307" s="9057">
        <v>7</v>
      </c>
      <c r="AK307" s="9058"/>
      <c r="AL307" s="9003" t="str">
        <f>IF(AQ307&lt;&gt;"",ROUND(AQ307,0),IF(AO265=0,"",ROUND(SUM(AL281,-AL306),0)))</f>
        <v/>
      </c>
      <c r="AM307" s="9004"/>
      <c r="AN307" s="9004"/>
      <c r="AO307" s="9004"/>
      <c r="AP307" s="1277"/>
      <c r="AQ307" s="8967"/>
      <c r="AR307" s="8968"/>
      <c r="AS307" s="8968"/>
      <c r="AT307" s="8968"/>
      <c r="AU307" s="1277"/>
      <c r="AV307" s="253"/>
      <c r="AW307" s="253"/>
      <c r="AX307" s="769"/>
      <c r="AY307" s="964"/>
      <c r="AZ307" s="964"/>
      <c r="BA307" s="964"/>
      <c r="BB307" s="964"/>
      <c r="BC307" s="964"/>
      <c r="BD307" s="964"/>
      <c r="BE307" s="964"/>
      <c r="BF307" s="964"/>
      <c r="BG307" s="964"/>
      <c r="BH307" s="964"/>
    </row>
    <row r="308" spans="1:60" s="1405" customFormat="1" ht="18">
      <c r="A308" s="4157"/>
      <c r="B308" s="9151" t="s">
        <v>868</v>
      </c>
      <c r="C308" s="9151"/>
      <c r="D308" s="9191"/>
      <c r="E308" s="9206" t="s">
        <v>2920</v>
      </c>
      <c r="F308" s="9207"/>
      <c r="G308" s="9207"/>
      <c r="H308" s="9207"/>
      <c r="I308" s="9207"/>
      <c r="J308" s="9207"/>
      <c r="K308" s="9207"/>
      <c r="L308" s="9207"/>
      <c r="M308" s="9207"/>
      <c r="N308" s="9207"/>
      <c r="O308" s="9207"/>
      <c r="P308" s="9207"/>
      <c r="Q308" s="9207"/>
      <c r="R308" s="9207"/>
      <c r="S308" s="9207"/>
      <c r="T308" s="9207"/>
      <c r="U308" s="9207"/>
      <c r="V308" s="9207"/>
      <c r="W308" s="9207"/>
      <c r="X308" s="9207"/>
      <c r="Y308" s="9207"/>
      <c r="Z308" s="9207"/>
      <c r="AA308" s="9207"/>
      <c r="AB308" s="9207"/>
      <c r="AC308" s="9207"/>
      <c r="AD308" s="9207"/>
      <c r="AE308" s="9207"/>
      <c r="AF308" s="9207"/>
      <c r="AG308" s="9207"/>
      <c r="AH308" s="9207"/>
      <c r="AI308" s="9207"/>
      <c r="AJ308" s="9207"/>
      <c r="AK308" s="9207"/>
      <c r="AL308" s="9207"/>
      <c r="AM308" s="9207"/>
      <c r="AN308" s="9207"/>
      <c r="AO308" s="9207"/>
      <c r="AP308" s="1277"/>
      <c r="AQ308" s="1277"/>
      <c r="AR308" s="1277"/>
      <c r="AS308" s="1277"/>
      <c r="AT308" s="1277"/>
      <c r="AU308" s="1277"/>
      <c r="AV308" s="1323"/>
      <c r="AW308" s="1323"/>
      <c r="AX308" s="769"/>
      <c r="AY308" s="964"/>
      <c r="AZ308" s="964"/>
      <c r="BA308" s="964"/>
      <c r="BB308" s="964"/>
      <c r="BC308" s="964"/>
      <c r="BD308" s="964"/>
      <c r="BE308" s="964"/>
      <c r="BF308" s="964"/>
      <c r="BG308" s="964"/>
      <c r="BH308" s="964"/>
    </row>
    <row r="309" spans="1:60" ht="15">
      <c r="A309" s="4157"/>
      <c r="B309" s="9074" t="s">
        <v>2835</v>
      </c>
      <c r="C309" s="9062" t="s">
        <v>2836</v>
      </c>
      <c r="D309" s="8440"/>
      <c r="E309" s="8440"/>
      <c r="F309" s="8440"/>
      <c r="G309" s="8441"/>
      <c r="H309" s="9080" t="s">
        <v>2837</v>
      </c>
      <c r="I309" s="9081"/>
      <c r="J309" s="9081"/>
      <c r="K309" s="9081"/>
      <c r="L309" s="9081"/>
      <c r="M309" s="9081"/>
      <c r="N309" s="9081"/>
      <c r="O309" s="9081"/>
      <c r="P309" s="9081"/>
      <c r="Q309" s="9081"/>
      <c r="R309" s="9081"/>
      <c r="S309" s="9081"/>
      <c r="T309" s="9081"/>
      <c r="U309" s="9081"/>
      <c r="V309" s="9081"/>
      <c r="W309" s="9081"/>
      <c r="X309" s="9081"/>
      <c r="Y309" s="9081"/>
      <c r="Z309" s="9081"/>
      <c r="AA309" s="9081"/>
      <c r="AB309" s="9081"/>
      <c r="AC309" s="9081"/>
      <c r="AD309" s="9081"/>
      <c r="AE309" s="9081"/>
      <c r="AF309" s="9081"/>
      <c r="AG309" s="9081"/>
      <c r="AH309" s="9081"/>
      <c r="AI309" s="9081"/>
      <c r="AJ309" s="9081"/>
      <c r="AK309" s="9081"/>
      <c r="AL309" s="9081"/>
      <c r="AM309" s="9081"/>
      <c r="AN309" s="9081"/>
      <c r="AO309" s="9081"/>
      <c r="AP309" s="1277"/>
      <c r="AQ309" s="1323"/>
      <c r="AR309" s="1323"/>
      <c r="AS309" s="1323"/>
      <c r="AT309" s="1323"/>
      <c r="AU309" s="1323"/>
      <c r="AV309" s="1323"/>
      <c r="AW309" s="1323"/>
      <c r="AX309" s="769"/>
      <c r="AY309" s="964"/>
      <c r="AZ309" s="964"/>
      <c r="BA309" s="964"/>
      <c r="BB309" s="964"/>
      <c r="BC309" s="964"/>
      <c r="BD309" s="964"/>
      <c r="BE309" s="964"/>
      <c r="BF309" s="964"/>
      <c r="BG309" s="964"/>
      <c r="BH309" s="964"/>
    </row>
    <row r="310" spans="1:60" ht="13.5" customHeight="1">
      <c r="A310" s="4157"/>
      <c r="B310" s="9075"/>
      <c r="C310" s="8455"/>
      <c r="D310" s="8456"/>
      <c r="E310" s="8456"/>
      <c r="F310" s="8456"/>
      <c r="G310" s="8342"/>
      <c r="H310" s="9082"/>
      <c r="I310" s="9083"/>
      <c r="J310" s="9083"/>
      <c r="K310" s="9083"/>
      <c r="L310" s="9083"/>
      <c r="M310" s="9083"/>
      <c r="N310" s="9083"/>
      <c r="O310" s="9083"/>
      <c r="P310" s="9083"/>
      <c r="Q310" s="9083"/>
      <c r="R310" s="9083"/>
      <c r="S310" s="9083"/>
      <c r="T310" s="9083"/>
      <c r="U310" s="9083"/>
      <c r="V310" s="9083"/>
      <c r="W310" s="9083"/>
      <c r="X310" s="9083"/>
      <c r="Y310" s="9083"/>
      <c r="Z310" s="9083"/>
      <c r="AA310" s="9083"/>
      <c r="AB310" s="9083"/>
      <c r="AC310" s="9083"/>
      <c r="AD310" s="9083"/>
      <c r="AE310" s="9083"/>
      <c r="AF310" s="9083"/>
      <c r="AG310" s="9083"/>
      <c r="AH310" s="9083"/>
      <c r="AI310" s="9083"/>
      <c r="AJ310" s="9083"/>
      <c r="AK310" s="9083"/>
      <c r="AL310" s="9083"/>
      <c r="AM310" s="9083"/>
      <c r="AN310" s="9083"/>
      <c r="AO310" s="9083"/>
      <c r="AP310" s="1277"/>
      <c r="AQ310" s="1323"/>
      <c r="AR310" s="1323"/>
      <c r="AS310" s="1323"/>
      <c r="AT310" s="1323"/>
      <c r="AU310" s="1323"/>
      <c r="AV310" s="1323"/>
      <c r="AW310" s="1323"/>
      <c r="AX310" s="769"/>
      <c r="AY310" s="964"/>
      <c r="AZ310" s="964"/>
      <c r="BA310" s="964"/>
      <c r="BB310" s="964"/>
      <c r="BC310" s="964"/>
      <c r="BD310" s="964"/>
      <c r="BE310" s="964"/>
      <c r="BF310" s="964"/>
      <c r="BG310" s="964"/>
      <c r="BH310" s="964"/>
    </row>
    <row r="311" spans="1:60" ht="15">
      <c r="A311" s="4157"/>
      <c r="B311" s="9075"/>
      <c r="C311" s="8455"/>
      <c r="D311" s="8456"/>
      <c r="E311" s="8456"/>
      <c r="F311" s="8456"/>
      <c r="G311" s="8342"/>
      <c r="H311" s="9084"/>
      <c r="I311" s="9085"/>
      <c r="J311" s="9085"/>
      <c r="K311" s="9085"/>
      <c r="L311" s="9085"/>
      <c r="M311" s="9085"/>
      <c r="N311" s="9085"/>
      <c r="O311" s="9085"/>
      <c r="P311" s="9085"/>
      <c r="Q311" s="9085"/>
      <c r="R311" s="9085"/>
      <c r="S311" s="9085"/>
      <c r="T311" s="9085"/>
      <c r="U311" s="9085"/>
      <c r="V311" s="9085"/>
      <c r="W311" s="9085"/>
      <c r="X311" s="9085"/>
      <c r="Y311" s="9085"/>
      <c r="Z311" s="9085"/>
      <c r="AA311" s="9085"/>
      <c r="AB311" s="9085"/>
      <c r="AC311" s="9085"/>
      <c r="AD311" s="9085"/>
      <c r="AE311" s="9085"/>
      <c r="AF311" s="9085"/>
      <c r="AG311" s="9085"/>
      <c r="AH311" s="9085"/>
      <c r="AI311" s="9085"/>
      <c r="AJ311" s="9085"/>
      <c r="AK311" s="9085"/>
      <c r="AL311" s="9085"/>
      <c r="AM311" s="9085"/>
      <c r="AN311" s="9085"/>
      <c r="AO311" s="9085"/>
      <c r="AP311" s="1277"/>
      <c r="AQ311" s="1323"/>
      <c r="AR311" s="1323"/>
      <c r="AS311" s="1323"/>
      <c r="AT311" s="1323"/>
      <c r="AU311" s="1323"/>
      <c r="AV311" s="1323"/>
      <c r="AW311" s="1323"/>
      <c r="AX311" s="769"/>
      <c r="AY311" s="964"/>
      <c r="AZ311" s="964"/>
      <c r="BA311" s="964"/>
      <c r="BB311" s="964"/>
      <c r="BC311" s="964"/>
      <c r="BD311" s="964"/>
      <c r="BE311" s="964"/>
      <c r="BF311" s="964"/>
      <c r="BG311" s="964"/>
      <c r="BH311" s="964"/>
    </row>
    <row r="312" spans="1:60" ht="15.75">
      <c r="A312" s="4157"/>
      <c r="B312" s="9075"/>
      <c r="C312" s="4170">
        <f>IF(E312&lt;&gt;"",1,0)</f>
        <v>0</v>
      </c>
      <c r="D312" s="817" t="s">
        <v>2838</v>
      </c>
      <c r="E312" s="278"/>
      <c r="F312" s="2855" t="s">
        <v>2839</v>
      </c>
      <c r="G312" s="4171"/>
      <c r="H312" s="8417" t="s">
        <v>2840</v>
      </c>
      <c r="I312" s="8418"/>
      <c r="J312" s="8418"/>
      <c r="K312" s="8418"/>
      <c r="L312" s="8418"/>
      <c r="M312" s="8418"/>
      <c r="N312" s="8418"/>
      <c r="O312" s="8418"/>
      <c r="P312" s="8418"/>
      <c r="Q312" s="8418"/>
      <c r="R312" s="8418"/>
      <c r="S312" s="8418"/>
      <c r="T312" s="8418"/>
      <c r="U312" s="8418"/>
      <c r="V312" s="8418"/>
      <c r="W312" s="8507"/>
      <c r="X312" s="8417" t="s">
        <v>2841</v>
      </c>
      <c r="Y312" s="8391"/>
      <c r="Z312" s="8391"/>
      <c r="AA312" s="8391"/>
      <c r="AB312" s="8391"/>
      <c r="AC312" s="8391"/>
      <c r="AD312" s="8391"/>
      <c r="AE312" s="8391"/>
      <c r="AF312" s="8391"/>
      <c r="AG312" s="8391"/>
      <c r="AH312" s="8391"/>
      <c r="AI312" s="8391"/>
      <c r="AJ312" s="8391"/>
      <c r="AK312" s="8391"/>
      <c r="AL312" s="8391"/>
      <c r="AM312" s="8391"/>
      <c r="AN312" s="8391"/>
      <c r="AO312" s="8391"/>
      <c r="AP312" s="1277"/>
      <c r="AQ312" s="1323"/>
      <c r="AR312" s="1323"/>
      <c r="AS312" s="1323"/>
      <c r="AT312" s="1323"/>
      <c r="AU312" s="1323"/>
      <c r="AV312" s="1323"/>
      <c r="AW312" s="1323"/>
      <c r="AX312" s="769"/>
      <c r="AY312" s="964"/>
      <c r="AZ312" s="964"/>
      <c r="BA312" s="964"/>
      <c r="BB312" s="964"/>
      <c r="BC312" s="964"/>
      <c r="BD312" s="964"/>
      <c r="BE312" s="964"/>
      <c r="BF312" s="964"/>
      <c r="BG312" s="964"/>
      <c r="BH312" s="964"/>
    </row>
    <row r="313" spans="1:60" ht="13.5" customHeight="1">
      <c r="A313" s="2112"/>
      <c r="B313" s="9075"/>
      <c r="C313" s="4174"/>
      <c r="D313" s="344"/>
      <c r="E313" s="253"/>
      <c r="F313" s="253"/>
      <c r="G313" s="409"/>
      <c r="H313" s="8421"/>
      <c r="I313" s="8422"/>
      <c r="J313" s="8422"/>
      <c r="K313" s="8422"/>
      <c r="L313" s="8422"/>
      <c r="M313" s="8422"/>
      <c r="N313" s="8422"/>
      <c r="O313" s="8422"/>
      <c r="P313" s="8422"/>
      <c r="Q313" s="8422"/>
      <c r="R313" s="8422"/>
      <c r="S313" s="8422"/>
      <c r="T313" s="8422"/>
      <c r="U313" s="8422"/>
      <c r="V313" s="8422"/>
      <c r="W313" s="8509"/>
      <c r="X313" s="9086"/>
      <c r="Y313" s="9087"/>
      <c r="Z313" s="9087"/>
      <c r="AA313" s="9087"/>
      <c r="AB313" s="9087"/>
      <c r="AC313" s="9087"/>
      <c r="AD313" s="9087"/>
      <c r="AE313" s="9087"/>
      <c r="AF313" s="9087"/>
      <c r="AG313" s="9087"/>
      <c r="AH313" s="9087"/>
      <c r="AI313" s="9087"/>
      <c r="AJ313" s="9087"/>
      <c r="AK313" s="9087"/>
      <c r="AL313" s="9087"/>
      <c r="AM313" s="9087"/>
      <c r="AN313" s="9087"/>
      <c r="AO313" s="9087"/>
      <c r="AP313" s="1277"/>
      <c r="AQ313" s="253"/>
      <c r="AR313" s="253"/>
      <c r="AS313" s="253"/>
      <c r="AT313" s="253"/>
      <c r="AU313" s="253"/>
      <c r="AV313" s="253"/>
      <c r="AW313" s="253"/>
      <c r="AX313" s="769"/>
      <c r="AY313" s="964"/>
      <c r="AZ313" s="964"/>
      <c r="BA313" s="964"/>
      <c r="BB313" s="964"/>
      <c r="BC313" s="964"/>
      <c r="BD313" s="964"/>
      <c r="BE313" s="964"/>
      <c r="BF313" s="964"/>
      <c r="BG313" s="964"/>
      <c r="BH313" s="964"/>
    </row>
    <row r="314" spans="1:60" ht="13.5" customHeight="1">
      <c r="A314" s="2112"/>
      <c r="B314" s="9075"/>
      <c r="C314" s="4170">
        <f>IF(E314&lt;&gt;"",1,0)</f>
        <v>0</v>
      </c>
      <c r="D314" s="733" t="s">
        <v>2842</v>
      </c>
      <c r="E314" s="278"/>
      <c r="F314" s="2855" t="s">
        <v>2843</v>
      </c>
      <c r="G314" s="4175"/>
      <c r="H314" s="8439" t="s">
        <v>2844</v>
      </c>
      <c r="I314" s="8440"/>
      <c r="J314" s="8440"/>
      <c r="K314" s="8440"/>
      <c r="L314" s="8440"/>
      <c r="M314" s="8440"/>
      <c r="N314" s="8440"/>
      <c r="O314" s="8440"/>
      <c r="P314" s="8440"/>
      <c r="Q314" s="8440"/>
      <c r="R314" s="8440"/>
      <c r="S314" s="8441"/>
      <c r="T314" s="8439" t="s">
        <v>2845</v>
      </c>
      <c r="U314" s="8440"/>
      <c r="V314" s="8440"/>
      <c r="W314" s="8441"/>
      <c r="X314" s="8439" t="s">
        <v>2844</v>
      </c>
      <c r="Y314" s="8440"/>
      <c r="Z314" s="8440"/>
      <c r="AA314" s="8440"/>
      <c r="AB314" s="8440"/>
      <c r="AC314" s="8440"/>
      <c r="AD314" s="8440"/>
      <c r="AE314" s="8440"/>
      <c r="AF314" s="8440"/>
      <c r="AG314" s="8440"/>
      <c r="AH314" s="8441"/>
      <c r="AI314" s="8439" t="s">
        <v>2846</v>
      </c>
      <c r="AJ314" s="8440"/>
      <c r="AK314" s="8440"/>
      <c r="AL314" s="8441"/>
      <c r="AM314" s="8439" t="s">
        <v>2847</v>
      </c>
      <c r="AN314" s="9039"/>
      <c r="AO314" s="9039"/>
      <c r="AP314" s="1277"/>
      <c r="AQ314" s="253"/>
      <c r="AR314" s="253"/>
      <c r="AS314" s="253"/>
      <c r="AT314" s="253"/>
      <c r="AU314" s="253"/>
      <c r="AV314" s="253"/>
      <c r="AW314" s="253"/>
      <c r="AX314" s="769"/>
      <c r="AY314" s="964"/>
      <c r="AZ314" s="964"/>
      <c r="BA314" s="964"/>
      <c r="BB314" s="964"/>
      <c r="BC314" s="964"/>
      <c r="BD314" s="964"/>
      <c r="BE314" s="964"/>
      <c r="BF314" s="964"/>
      <c r="BG314" s="964"/>
      <c r="BH314" s="964"/>
    </row>
    <row r="315" spans="1:60" ht="6.75" customHeight="1">
      <c r="A315" s="2112"/>
      <c r="B315" s="9076"/>
      <c r="C315" s="4176"/>
      <c r="D315" s="2271"/>
      <c r="E315" s="2271"/>
      <c r="F315" s="2271"/>
      <c r="G315" s="4177"/>
      <c r="H315" s="8445"/>
      <c r="I315" s="8446"/>
      <c r="J315" s="8446"/>
      <c r="K315" s="8446"/>
      <c r="L315" s="8446"/>
      <c r="M315" s="8446"/>
      <c r="N315" s="8446"/>
      <c r="O315" s="8446"/>
      <c r="P315" s="8446"/>
      <c r="Q315" s="8446"/>
      <c r="R315" s="8446"/>
      <c r="S315" s="8447"/>
      <c r="T315" s="8442"/>
      <c r="U315" s="8443"/>
      <c r="V315" s="8443"/>
      <c r="W315" s="8444"/>
      <c r="X315" s="8445"/>
      <c r="Y315" s="8446"/>
      <c r="Z315" s="8446"/>
      <c r="AA315" s="8446"/>
      <c r="AB315" s="8446"/>
      <c r="AC315" s="8446"/>
      <c r="AD315" s="8446"/>
      <c r="AE315" s="8446"/>
      <c r="AF315" s="8446"/>
      <c r="AG315" s="8446"/>
      <c r="AH315" s="8447"/>
      <c r="AI315" s="8442"/>
      <c r="AJ315" s="8443"/>
      <c r="AK315" s="8443"/>
      <c r="AL315" s="8444"/>
      <c r="AM315" s="9040"/>
      <c r="AN315" s="9041"/>
      <c r="AO315" s="9041"/>
      <c r="AP315" s="1277"/>
      <c r="AQ315" s="253"/>
      <c r="AR315" s="253"/>
      <c r="AS315" s="253"/>
      <c r="AT315" s="253"/>
      <c r="AU315" s="253"/>
      <c r="AV315" s="253"/>
      <c r="AW315" s="253"/>
      <c r="AX315" s="769"/>
      <c r="AY315" s="964"/>
      <c r="AZ315" s="964"/>
      <c r="BA315" s="964"/>
      <c r="BB315" s="964"/>
      <c r="BC315" s="964"/>
      <c r="BD315" s="964"/>
      <c r="BE315" s="964"/>
      <c r="BF315" s="964"/>
      <c r="BG315" s="964"/>
      <c r="BH315" s="964"/>
    </row>
    <row r="316" spans="1:60" ht="11.25" customHeight="1">
      <c r="A316" s="2112"/>
      <c r="B316" s="4178"/>
      <c r="C316" s="9067" t="str">
        <f>C195</f>
        <v>(l) Date paid</v>
      </c>
      <c r="D316" s="9068"/>
      <c r="E316" s="9068"/>
      <c r="F316" s="9068"/>
      <c r="G316" s="9069"/>
      <c r="H316" s="8439" t="s">
        <v>2849</v>
      </c>
      <c r="I316" s="8440"/>
      <c r="J316" s="8440"/>
      <c r="K316" s="8439" t="s">
        <v>2850</v>
      </c>
      <c r="L316" s="8440"/>
      <c r="M316" s="8440"/>
      <c r="N316" s="8440"/>
      <c r="O316" s="8439" t="s">
        <v>2851</v>
      </c>
      <c r="P316" s="8440"/>
      <c r="Q316" s="8440"/>
      <c r="R316" s="8440"/>
      <c r="S316" s="9050"/>
      <c r="T316" s="8442"/>
      <c r="U316" s="8443"/>
      <c r="V316" s="8443"/>
      <c r="W316" s="8444"/>
      <c r="X316" s="8439" t="s">
        <v>2852</v>
      </c>
      <c r="Y316" s="8440"/>
      <c r="Z316" s="8440"/>
      <c r="AA316" s="8439" t="s">
        <v>2853</v>
      </c>
      <c r="AB316" s="8440"/>
      <c r="AC316" s="8440"/>
      <c r="AD316" s="8440"/>
      <c r="AE316" s="8439" t="s">
        <v>2854</v>
      </c>
      <c r="AF316" s="9049"/>
      <c r="AG316" s="9049"/>
      <c r="AH316" s="9050"/>
      <c r="AI316" s="8442"/>
      <c r="AJ316" s="8443"/>
      <c r="AK316" s="8443"/>
      <c r="AL316" s="8444"/>
      <c r="AM316" s="9040"/>
      <c r="AN316" s="9041"/>
      <c r="AO316" s="9041"/>
      <c r="AP316" s="1277"/>
      <c r="AQ316" s="253"/>
      <c r="AR316" s="253"/>
      <c r="AS316" s="253"/>
      <c r="AT316" s="253"/>
      <c r="AU316" s="253"/>
      <c r="AV316" s="253"/>
      <c r="AW316" s="253"/>
      <c r="AX316" s="769"/>
      <c r="AY316" s="964"/>
      <c r="AZ316" s="964"/>
      <c r="BA316" s="964"/>
      <c r="BB316" s="964"/>
      <c r="BC316" s="964"/>
      <c r="BD316" s="964"/>
      <c r="BE316" s="964"/>
      <c r="BF316" s="964"/>
      <c r="BG316" s="964"/>
      <c r="BH316" s="964"/>
    </row>
    <row r="317" spans="1:60" ht="6.75" customHeight="1">
      <c r="A317" s="2112"/>
      <c r="B317" s="4178"/>
      <c r="C317" s="9070"/>
      <c r="D317" s="9071"/>
      <c r="E317" s="9071"/>
      <c r="F317" s="9071"/>
      <c r="G317" s="9072"/>
      <c r="H317" s="8442"/>
      <c r="I317" s="8443"/>
      <c r="J317" s="8443"/>
      <c r="K317" s="8442"/>
      <c r="L317" s="8443"/>
      <c r="M317" s="8443"/>
      <c r="N317" s="8443"/>
      <c r="O317" s="8442"/>
      <c r="P317" s="8443"/>
      <c r="Q317" s="8443"/>
      <c r="R317" s="8443"/>
      <c r="S317" s="9053"/>
      <c r="T317" s="8442"/>
      <c r="U317" s="8443"/>
      <c r="V317" s="8443"/>
      <c r="W317" s="8444"/>
      <c r="X317" s="8442"/>
      <c r="Y317" s="8443"/>
      <c r="Z317" s="8443"/>
      <c r="AA317" s="8442"/>
      <c r="AB317" s="8443"/>
      <c r="AC317" s="8443"/>
      <c r="AD317" s="8443"/>
      <c r="AE317" s="9051"/>
      <c r="AF317" s="9052"/>
      <c r="AG317" s="9052"/>
      <c r="AH317" s="9053"/>
      <c r="AI317" s="8442"/>
      <c r="AJ317" s="8443"/>
      <c r="AK317" s="8443"/>
      <c r="AL317" s="8444"/>
      <c r="AM317" s="9040"/>
      <c r="AN317" s="9041"/>
      <c r="AO317" s="9041"/>
      <c r="AP317" s="1277"/>
      <c r="AQ317" s="253"/>
      <c r="AR317" s="253"/>
      <c r="AS317" s="253"/>
      <c r="AT317" s="253"/>
      <c r="AU317" s="253"/>
      <c r="AV317" s="253"/>
      <c r="AW317" s="253"/>
      <c r="AX317" s="769"/>
      <c r="AY317" s="964"/>
      <c r="AZ317" s="964"/>
      <c r="BA317" s="964"/>
      <c r="BB317" s="964"/>
      <c r="BC317" s="964"/>
      <c r="BD317" s="964"/>
      <c r="BE317" s="964"/>
      <c r="BF317" s="964"/>
      <c r="BG317" s="964"/>
      <c r="BH317" s="964"/>
    </row>
    <row r="318" spans="1:60" ht="12" customHeight="1">
      <c r="A318" s="2112"/>
      <c r="B318" s="4178"/>
      <c r="C318" s="9064" t="s">
        <v>2855</v>
      </c>
      <c r="D318" s="9065"/>
      <c r="E318" s="9065"/>
      <c r="F318" s="9065"/>
      <c r="G318" s="9066"/>
      <c r="H318" s="8442"/>
      <c r="I318" s="8443"/>
      <c r="J318" s="8443"/>
      <c r="K318" s="8442"/>
      <c r="L318" s="8443"/>
      <c r="M318" s="8443"/>
      <c r="N318" s="8443"/>
      <c r="O318" s="8442"/>
      <c r="P318" s="8443"/>
      <c r="Q318" s="8443"/>
      <c r="R318" s="8443"/>
      <c r="S318" s="9053"/>
      <c r="T318" s="8442"/>
      <c r="U318" s="8443"/>
      <c r="V318" s="8443"/>
      <c r="W318" s="8444"/>
      <c r="X318" s="8442"/>
      <c r="Y318" s="8443"/>
      <c r="Z318" s="8443"/>
      <c r="AA318" s="8442"/>
      <c r="AB318" s="8443"/>
      <c r="AC318" s="8443"/>
      <c r="AD318" s="8443"/>
      <c r="AE318" s="9051"/>
      <c r="AF318" s="9052"/>
      <c r="AG318" s="9052"/>
      <c r="AH318" s="9053"/>
      <c r="AI318" s="8442"/>
      <c r="AJ318" s="8443"/>
      <c r="AK318" s="8443"/>
      <c r="AL318" s="8444"/>
      <c r="AM318" s="9040"/>
      <c r="AN318" s="9041"/>
      <c r="AO318" s="9041"/>
      <c r="AP318" s="1277"/>
      <c r="AQ318" s="253"/>
      <c r="AR318" s="253"/>
      <c r="AS318" s="253"/>
      <c r="AT318" s="253"/>
      <c r="AU318" s="253"/>
      <c r="AV318" s="253"/>
      <c r="AW318" s="253"/>
      <c r="AX318" s="769"/>
      <c r="AY318" s="964"/>
      <c r="AZ318" s="964"/>
      <c r="BA318" s="964"/>
      <c r="BB318" s="964"/>
      <c r="BC318" s="964"/>
      <c r="BD318" s="964"/>
      <c r="BE318" s="964"/>
      <c r="BF318" s="964"/>
      <c r="BG318" s="964"/>
      <c r="BH318" s="964"/>
    </row>
    <row r="319" spans="1:60" ht="6.75" customHeight="1">
      <c r="A319" s="2112"/>
      <c r="B319" s="4180"/>
      <c r="C319" s="4181"/>
      <c r="D319" s="462"/>
      <c r="E319" s="462"/>
      <c r="F319" s="462"/>
      <c r="G319" s="4182"/>
      <c r="H319" s="8445"/>
      <c r="I319" s="8446"/>
      <c r="J319" s="8446"/>
      <c r="K319" s="8445"/>
      <c r="L319" s="8446"/>
      <c r="M319" s="8446"/>
      <c r="N319" s="8446"/>
      <c r="O319" s="9042"/>
      <c r="P319" s="9055"/>
      <c r="Q319" s="9055"/>
      <c r="R319" s="9055"/>
      <c r="S319" s="9056"/>
      <c r="T319" s="8445"/>
      <c r="U319" s="8446"/>
      <c r="V319" s="8446"/>
      <c r="W319" s="8447"/>
      <c r="X319" s="8445"/>
      <c r="Y319" s="8446"/>
      <c r="Z319" s="8446"/>
      <c r="AA319" s="8445"/>
      <c r="AB319" s="8446"/>
      <c r="AC319" s="8446"/>
      <c r="AD319" s="8446"/>
      <c r="AE319" s="9054"/>
      <c r="AF319" s="9055"/>
      <c r="AG319" s="9055"/>
      <c r="AH319" s="9056"/>
      <c r="AI319" s="8445"/>
      <c r="AJ319" s="8446"/>
      <c r="AK319" s="8446"/>
      <c r="AL319" s="8447"/>
      <c r="AM319" s="9042"/>
      <c r="AN319" s="9043"/>
      <c r="AO319" s="9043"/>
      <c r="AP319" s="1277"/>
      <c r="AQ319" s="253"/>
      <c r="AR319" s="253"/>
      <c r="AS319" s="253"/>
      <c r="AT319" s="253"/>
      <c r="AU319" s="253"/>
      <c r="AV319" s="253"/>
      <c r="AW319" s="253"/>
      <c r="AX319" s="769"/>
      <c r="AY319" s="964"/>
      <c r="AZ319" s="964"/>
      <c r="BA319" s="964"/>
      <c r="BB319" s="964"/>
      <c r="BC319" s="964"/>
      <c r="BD319" s="964"/>
      <c r="BE319" s="964"/>
      <c r="BF319" s="964"/>
      <c r="BG319" s="964"/>
      <c r="BH319" s="964"/>
    </row>
    <row r="320" spans="1:60" ht="15.75">
      <c r="A320" s="4183">
        <f>SUM(X320:AL320)</f>
        <v>0</v>
      </c>
      <c r="B320" s="4184" t="s">
        <v>510</v>
      </c>
      <c r="C320" s="9170"/>
      <c r="D320" s="9171"/>
      <c r="E320" s="9171"/>
      <c r="F320" s="9171"/>
      <c r="G320" s="9172"/>
      <c r="H320" s="8982"/>
      <c r="I320" s="8950"/>
      <c r="J320" s="8983"/>
      <c r="K320" s="8950"/>
      <c r="L320" s="8951"/>
      <c r="M320" s="8951"/>
      <c r="N320" s="8951"/>
      <c r="O320" s="8982"/>
      <c r="P320" s="8950"/>
      <c r="Q320" s="8950"/>
      <c r="R320" s="8950"/>
      <c r="S320" s="8983"/>
      <c r="T320" s="8982"/>
      <c r="U320" s="8950"/>
      <c r="V320" s="8950"/>
      <c r="W320" s="8983"/>
      <c r="X320" s="8982"/>
      <c r="Y320" s="8951"/>
      <c r="Z320" s="9060"/>
      <c r="AA320" s="8950"/>
      <c r="AB320" s="8950"/>
      <c r="AC320" s="8950"/>
      <c r="AD320" s="8983"/>
      <c r="AE320" s="8982"/>
      <c r="AF320" s="8950"/>
      <c r="AG320" s="8950"/>
      <c r="AH320" s="8983"/>
      <c r="AI320" s="8982"/>
      <c r="AJ320" s="8950"/>
      <c r="AK320" s="8950"/>
      <c r="AL320" s="8983"/>
      <c r="AM320" s="9038">
        <f>ROUND(SUM(X320:AL320),0)</f>
        <v>0</v>
      </c>
      <c r="AN320" s="9038"/>
      <c r="AO320" s="9038"/>
      <c r="AP320" s="1277"/>
      <c r="AQ320" s="253"/>
      <c r="AR320" s="253"/>
      <c r="AS320" s="253"/>
      <c r="AT320" s="253"/>
      <c r="AU320" s="253"/>
      <c r="AV320" s="253"/>
      <c r="AW320" s="253"/>
      <c r="AX320" s="769"/>
      <c r="AY320" s="964"/>
      <c r="AZ320" s="964"/>
      <c r="BA320" s="964"/>
      <c r="BB320" s="964"/>
      <c r="BC320" s="964"/>
      <c r="BD320" s="964"/>
      <c r="BE320" s="964"/>
      <c r="BF320" s="964"/>
      <c r="BG320" s="964"/>
      <c r="BH320" s="964"/>
    </row>
    <row r="321" spans="1:60" ht="15.75">
      <c r="A321" s="4183">
        <f>SUM(X321:AL321)</f>
        <v>0</v>
      </c>
      <c r="B321" s="4184" t="s">
        <v>516</v>
      </c>
      <c r="C321" s="9170"/>
      <c r="D321" s="9171"/>
      <c r="E321" s="9171"/>
      <c r="F321" s="9171"/>
      <c r="G321" s="9172"/>
      <c r="H321" s="8982"/>
      <c r="I321" s="8950"/>
      <c r="J321" s="8983"/>
      <c r="K321" s="8950"/>
      <c r="L321" s="8951"/>
      <c r="M321" s="8951"/>
      <c r="N321" s="8951"/>
      <c r="O321" s="8982"/>
      <c r="P321" s="8950"/>
      <c r="Q321" s="8950"/>
      <c r="R321" s="8950"/>
      <c r="S321" s="8983"/>
      <c r="T321" s="8982"/>
      <c r="U321" s="8950"/>
      <c r="V321" s="8950"/>
      <c r="W321" s="8983"/>
      <c r="X321" s="8982"/>
      <c r="Y321" s="8951"/>
      <c r="Z321" s="9060"/>
      <c r="AA321" s="8950"/>
      <c r="AB321" s="8950"/>
      <c r="AC321" s="8950"/>
      <c r="AD321" s="8983"/>
      <c r="AE321" s="8982"/>
      <c r="AF321" s="8950"/>
      <c r="AG321" s="8950"/>
      <c r="AH321" s="8983"/>
      <c r="AI321" s="8982"/>
      <c r="AJ321" s="8950"/>
      <c r="AK321" s="8950"/>
      <c r="AL321" s="8983"/>
      <c r="AM321" s="9038">
        <f>ROUND(SUM(X321:AL321),0)</f>
        <v>0</v>
      </c>
      <c r="AN321" s="9038"/>
      <c r="AO321" s="9038"/>
      <c r="AP321" s="1277"/>
      <c r="AQ321" s="253"/>
      <c r="AR321" s="253"/>
      <c r="AS321" s="253"/>
      <c r="AT321" s="253"/>
      <c r="AU321" s="253"/>
      <c r="AV321" s="253"/>
      <c r="AW321" s="253"/>
      <c r="AX321" s="769"/>
      <c r="AY321" s="964"/>
      <c r="AZ321" s="964"/>
      <c r="BA321" s="964"/>
      <c r="BB321" s="964"/>
      <c r="BC321" s="964"/>
      <c r="BD321" s="964"/>
      <c r="BE321" s="964"/>
      <c r="BF321" s="964"/>
      <c r="BG321" s="964"/>
      <c r="BH321" s="964"/>
    </row>
    <row r="322" spans="1:60" ht="18" customHeight="1">
      <c r="A322" s="4183">
        <f>SUM(X322:AL322)</f>
        <v>0</v>
      </c>
      <c r="B322" s="4184" t="s">
        <v>518</v>
      </c>
      <c r="C322" s="9170"/>
      <c r="D322" s="9171"/>
      <c r="E322" s="9171"/>
      <c r="F322" s="9171"/>
      <c r="G322" s="9172"/>
      <c r="H322" s="8982"/>
      <c r="I322" s="8950"/>
      <c r="J322" s="8983"/>
      <c r="K322" s="8950"/>
      <c r="L322" s="8951"/>
      <c r="M322" s="8951"/>
      <c r="N322" s="8951"/>
      <c r="O322" s="8982"/>
      <c r="P322" s="8950"/>
      <c r="Q322" s="8950"/>
      <c r="R322" s="8950"/>
      <c r="S322" s="8983"/>
      <c r="T322" s="8982"/>
      <c r="U322" s="8950"/>
      <c r="V322" s="8950"/>
      <c r="W322" s="8983"/>
      <c r="X322" s="8982"/>
      <c r="Y322" s="8951"/>
      <c r="Z322" s="9060"/>
      <c r="AA322" s="8950"/>
      <c r="AB322" s="8950"/>
      <c r="AC322" s="8950"/>
      <c r="AD322" s="8983"/>
      <c r="AE322" s="8982"/>
      <c r="AF322" s="8950"/>
      <c r="AG322" s="8950"/>
      <c r="AH322" s="8983"/>
      <c r="AI322" s="8982"/>
      <c r="AJ322" s="8950"/>
      <c r="AK322" s="8950"/>
      <c r="AL322" s="8983"/>
      <c r="AM322" s="9038">
        <f>ROUND(SUM(X322:AL322),0)</f>
        <v>0</v>
      </c>
      <c r="AN322" s="9038"/>
      <c r="AO322" s="9038"/>
      <c r="AP322" s="1277"/>
      <c r="AQ322" s="1277"/>
      <c r="AR322" s="1277"/>
      <c r="AS322" s="1277"/>
      <c r="AT322" s="1277"/>
      <c r="AU322" s="1277"/>
      <c r="AV322" s="253"/>
      <c r="AW322" s="253"/>
      <c r="AX322" s="769"/>
      <c r="AY322" s="964"/>
      <c r="AZ322" s="964"/>
      <c r="BA322" s="964"/>
      <c r="BB322" s="964"/>
      <c r="BC322" s="964"/>
      <c r="BD322" s="964"/>
      <c r="BE322" s="964"/>
      <c r="BF322" s="964"/>
      <c r="BG322" s="964"/>
      <c r="BH322" s="964"/>
    </row>
    <row r="323" spans="1:60" s="1405" customFormat="1" ht="16.5" customHeight="1">
      <c r="A323" s="4185" t="b">
        <f>SUM(A320:A322)&gt;0</f>
        <v>0</v>
      </c>
      <c r="B323" s="9063">
        <v>8</v>
      </c>
      <c r="C323" s="9063"/>
      <c r="D323" s="4186" t="s">
        <v>2856</v>
      </c>
      <c r="E323" s="773"/>
      <c r="F323" s="773"/>
      <c r="G323" s="773"/>
      <c r="H323" s="773"/>
      <c r="I323" s="773"/>
      <c r="J323" s="773"/>
      <c r="K323" s="773"/>
      <c r="L323" s="773"/>
      <c r="M323" s="773"/>
      <c r="N323" s="773"/>
      <c r="O323" s="773"/>
      <c r="P323" s="773"/>
      <c r="Q323" s="773"/>
      <c r="R323" s="773"/>
      <c r="S323" s="773"/>
      <c r="T323" s="773"/>
      <c r="U323" s="773"/>
      <c r="V323" s="773"/>
      <c r="W323" s="773"/>
      <c r="X323" s="773"/>
      <c r="Y323" s="773"/>
      <c r="Z323" s="773"/>
      <c r="AA323" s="773"/>
      <c r="AB323" s="773"/>
      <c r="AC323" s="773"/>
      <c r="AD323" s="773"/>
      <c r="AE323" s="773"/>
      <c r="AF323" s="773"/>
      <c r="AG323" s="773"/>
      <c r="AH323" s="773"/>
      <c r="AI323" s="773"/>
      <c r="AJ323" s="4187" t="s">
        <v>877</v>
      </c>
      <c r="AK323" s="9057">
        <v>8</v>
      </c>
      <c r="AL323" s="9058"/>
      <c r="AM323" s="9184">
        <f>IF(AQ323&lt;&gt;"",ROUND(AQ323,0),ROUND(SUM(AM320:AO322),0))</f>
        <v>0</v>
      </c>
      <c r="AN323" s="9185"/>
      <c r="AO323" s="9185"/>
      <c r="AP323" s="1277"/>
      <c r="AQ323" s="9211"/>
      <c r="AR323" s="9212"/>
      <c r="AS323" s="9212"/>
      <c r="AT323" s="9212"/>
      <c r="AU323" s="1277"/>
      <c r="AV323" s="253"/>
      <c r="AW323" s="253"/>
      <c r="AX323" s="769"/>
      <c r="AY323" s="964"/>
      <c r="AZ323" s="964"/>
      <c r="BA323" s="964"/>
      <c r="BB323" s="964"/>
      <c r="BC323" s="964"/>
      <c r="BD323" s="964"/>
      <c r="BE323" s="964"/>
      <c r="BF323" s="964"/>
      <c r="BG323" s="964"/>
      <c r="BH323" s="964"/>
    </row>
    <row r="324" spans="1:60" ht="15.75" customHeight="1">
      <c r="A324" s="2112"/>
      <c r="B324" s="1218" t="s">
        <v>2857</v>
      </c>
      <c r="C324" s="2373"/>
      <c r="D324" s="253"/>
      <c r="E324" s="253"/>
      <c r="F324" s="253"/>
      <c r="G324" s="253"/>
      <c r="H324" s="253"/>
      <c r="I324" s="253"/>
      <c r="J324" s="253"/>
      <c r="K324" s="253"/>
      <c r="L324" s="253"/>
      <c r="M324" s="253"/>
      <c r="N324" s="253"/>
      <c r="O324" s="253"/>
      <c r="P324" s="253"/>
      <c r="Q324" s="253"/>
      <c r="R324" s="253"/>
      <c r="S324" s="253"/>
      <c r="T324" s="253"/>
      <c r="U324" s="253"/>
      <c r="V324" s="253"/>
      <c r="W324" s="253"/>
      <c r="X324" s="344" t="s">
        <v>2858</v>
      </c>
      <c r="Y324" s="253"/>
      <c r="Z324" s="253"/>
      <c r="AA324" s="253"/>
      <c r="AB324" s="253"/>
      <c r="AC324" s="253"/>
      <c r="AD324" s="253"/>
      <c r="AE324" s="253"/>
      <c r="AF324" s="253"/>
      <c r="AG324" s="253"/>
      <c r="AH324" s="253"/>
      <c r="AI324" s="253"/>
      <c r="AJ324" s="253"/>
      <c r="AK324" s="1061" t="s">
        <v>2859</v>
      </c>
      <c r="AL324" s="253"/>
      <c r="AM324" s="416" t="str">
        <f>"("&amp;TaxYear&amp;")"</f>
        <v>(2025)</v>
      </c>
      <c r="AN324" s="1061"/>
      <c r="AO324" s="689" t="s">
        <v>6389</v>
      </c>
      <c r="AP324" s="1277"/>
      <c r="AQ324" s="1277"/>
      <c r="AR324" s="1277"/>
      <c r="AS324" s="1277"/>
      <c r="AT324" s="1277"/>
      <c r="AU324" s="1277"/>
      <c r="AV324" s="253"/>
      <c r="AW324" s="253"/>
      <c r="AX324" s="769"/>
      <c r="AY324" s="964"/>
      <c r="AZ324" s="964"/>
      <c r="BA324" s="964"/>
      <c r="BB324" s="964"/>
      <c r="BC324" s="964"/>
      <c r="BD324" s="964"/>
      <c r="BE324" s="964"/>
      <c r="BF324" s="964"/>
      <c r="BG324" s="964"/>
      <c r="BH324" s="964"/>
    </row>
    <row r="325" spans="1:60" ht="14.25" customHeight="1" thickBot="1">
      <c r="A325" s="2112"/>
      <c r="B325" s="344" t="str">
        <f>"Form 1116 ("&amp;TaxYear&amp;")"</f>
        <v>Form 1116 (2025)</v>
      </c>
      <c r="C325" s="253"/>
      <c r="D325" s="253"/>
      <c r="E325" s="253"/>
      <c r="F325" s="253"/>
      <c r="G325" s="253"/>
      <c r="H325" s="253"/>
      <c r="I325" s="253"/>
      <c r="J325" s="253"/>
      <c r="K325" s="253"/>
      <c r="L325" s="253"/>
      <c r="M325" s="253"/>
      <c r="N325" s="253"/>
      <c r="O325" s="253"/>
      <c r="P325" s="253"/>
      <c r="Q325" s="253"/>
      <c r="R325" s="253"/>
      <c r="S325" s="253"/>
      <c r="T325" s="253"/>
      <c r="U325" s="253"/>
      <c r="V325" s="253"/>
      <c r="W325" s="253"/>
      <c r="X325" s="253"/>
      <c r="Y325" s="253"/>
      <c r="Z325" s="253"/>
      <c r="AA325" s="253"/>
      <c r="AB325" s="253"/>
      <c r="AC325" s="253"/>
      <c r="AD325" s="253"/>
      <c r="AE325" s="253"/>
      <c r="AF325" s="253"/>
      <c r="AG325" s="253"/>
      <c r="AH325" s="253"/>
      <c r="AI325" s="253"/>
      <c r="AJ325" s="253"/>
      <c r="AK325" s="253"/>
      <c r="AL325" s="253"/>
      <c r="AM325" s="253"/>
      <c r="AN325" s="253"/>
      <c r="AO325" s="1061" t="s">
        <v>867</v>
      </c>
      <c r="AP325" s="1277"/>
      <c r="AQ325" s="253"/>
      <c r="AR325" s="253"/>
      <c r="AS325" s="253"/>
      <c r="AT325" s="253"/>
      <c r="AU325" s="253"/>
      <c r="AV325" s="253"/>
      <c r="AW325" s="253"/>
      <c r="AX325" s="769"/>
      <c r="AY325" s="964"/>
      <c r="AZ325" s="964"/>
      <c r="BA325" s="964"/>
      <c r="BB325" s="964"/>
      <c r="BC325" s="964"/>
      <c r="BD325" s="964"/>
      <c r="BE325" s="964"/>
      <c r="BF325" s="964"/>
      <c r="BG325" s="964"/>
      <c r="BH325" s="964"/>
    </row>
    <row r="326" spans="1:60" ht="16.5" thickTop="1">
      <c r="A326" s="4157"/>
      <c r="B326" s="9186" t="s">
        <v>1938</v>
      </c>
      <c r="C326" s="9186"/>
      <c r="D326" s="9187"/>
      <c r="E326" s="4211"/>
      <c r="F326" s="4212" t="s">
        <v>2861</v>
      </c>
      <c r="G326" s="4211"/>
      <c r="H326" s="4211"/>
      <c r="I326" s="4211"/>
      <c r="J326" s="4211"/>
      <c r="K326" s="4211"/>
      <c r="L326" s="4211"/>
      <c r="M326" s="4211"/>
      <c r="N326" s="4211"/>
      <c r="O326" s="4211"/>
      <c r="P326" s="4211"/>
      <c r="Q326" s="4211"/>
      <c r="R326" s="4211"/>
      <c r="S326" s="4211"/>
      <c r="T326" s="4211"/>
      <c r="U326" s="4211"/>
      <c r="V326" s="4211"/>
      <c r="W326" s="4211"/>
      <c r="X326" s="4211"/>
      <c r="Y326" s="4211"/>
      <c r="Z326" s="4211"/>
      <c r="AA326" s="4211"/>
      <c r="AB326" s="4211"/>
      <c r="AC326" s="4211"/>
      <c r="AD326" s="4211"/>
      <c r="AE326" s="4211"/>
      <c r="AF326" s="4211"/>
      <c r="AG326" s="4211"/>
      <c r="AH326" s="4211"/>
      <c r="AI326" s="4211"/>
      <c r="AJ326" s="4211"/>
      <c r="AK326" s="4211"/>
      <c r="AL326" s="4211"/>
      <c r="AM326" s="4211"/>
      <c r="AN326" s="4211"/>
      <c r="AO326" s="4211"/>
      <c r="AP326" s="1277"/>
      <c r="AQ326" s="1323"/>
      <c r="AR326" s="1323"/>
      <c r="AS326" s="1323"/>
      <c r="AT326" s="1323"/>
      <c r="AU326" s="1323"/>
      <c r="AV326" s="1323"/>
      <c r="AW326" s="1323"/>
      <c r="AX326" s="769"/>
      <c r="AY326" s="964"/>
      <c r="AZ326" s="964"/>
      <c r="BA326" s="964"/>
      <c r="BB326" s="964"/>
      <c r="BC326" s="964"/>
      <c r="BD326" s="964"/>
      <c r="BE326" s="964"/>
      <c r="BF326" s="964"/>
      <c r="BG326" s="964"/>
      <c r="BH326" s="964"/>
    </row>
    <row r="327" spans="1:60" ht="13.5" customHeight="1">
      <c r="A327" s="2112"/>
      <c r="B327" s="9188">
        <v>9</v>
      </c>
      <c r="C327" s="9188"/>
      <c r="D327" s="253" t="s">
        <v>2862</v>
      </c>
      <c r="E327" s="253"/>
      <c r="F327" s="511"/>
      <c r="G327" s="253"/>
      <c r="H327" s="253"/>
      <c r="I327" s="253"/>
      <c r="J327" s="253"/>
      <c r="K327" s="253"/>
      <c r="L327" s="253"/>
      <c r="M327" s="253"/>
      <c r="N327" s="253"/>
      <c r="O327" s="253"/>
      <c r="P327" s="253"/>
      <c r="Q327" s="253"/>
      <c r="R327" s="253"/>
      <c r="S327" s="253"/>
      <c r="T327" s="253"/>
      <c r="U327" s="253"/>
      <c r="V327" s="253"/>
      <c r="W327" s="253"/>
      <c r="X327" s="253"/>
      <c r="Y327" s="253"/>
      <c r="Z327" s="9128"/>
      <c r="AA327" s="8629"/>
      <c r="AB327" s="405"/>
      <c r="AC327" s="406"/>
      <c r="AD327" s="406"/>
      <c r="AE327" s="406"/>
      <c r="AF327" s="406"/>
      <c r="AG327" s="406"/>
      <c r="AH327" s="406"/>
      <c r="AI327" s="407"/>
      <c r="AJ327" s="8976"/>
      <c r="AK327" s="7976"/>
      <c r="AL327" s="405"/>
      <c r="AM327" s="406"/>
      <c r="AN327" s="406"/>
      <c r="AO327" s="406"/>
      <c r="AP327" s="1277"/>
      <c r="AQ327" s="253"/>
      <c r="AR327" s="253"/>
      <c r="AS327" s="253"/>
      <c r="AT327" s="253"/>
      <c r="AU327" s="253"/>
      <c r="AV327" s="253"/>
      <c r="AW327" s="253"/>
      <c r="AX327" s="769"/>
      <c r="AY327" s="964"/>
      <c r="AZ327" s="964"/>
      <c r="BA327" s="964"/>
      <c r="BB327" s="964"/>
      <c r="BC327" s="964"/>
      <c r="BD327" s="964"/>
      <c r="BE327" s="964"/>
      <c r="BF327" s="964"/>
      <c r="BG327" s="964"/>
      <c r="BH327" s="964"/>
    </row>
    <row r="328" spans="1:60" ht="13.5" customHeight="1">
      <c r="A328" s="2112"/>
      <c r="B328" s="253"/>
      <c r="C328" s="253"/>
      <c r="D328" s="253" t="s">
        <v>2863</v>
      </c>
      <c r="E328" s="253"/>
      <c r="F328" s="511"/>
      <c r="G328" s="253"/>
      <c r="H328" s="253"/>
      <c r="I328" s="253"/>
      <c r="J328" s="253"/>
      <c r="K328" s="253"/>
      <c r="L328" s="253"/>
      <c r="M328" s="253"/>
      <c r="N328" s="253"/>
      <c r="O328" s="253"/>
      <c r="P328" s="253"/>
      <c r="Q328" s="253"/>
      <c r="R328" s="253"/>
      <c r="S328" s="253"/>
      <c r="T328" s="253"/>
      <c r="U328" s="253"/>
      <c r="V328" s="253"/>
      <c r="W328" s="253"/>
      <c r="X328" s="253"/>
      <c r="Y328" s="1401" t="s">
        <v>1838</v>
      </c>
      <c r="Z328" s="8994">
        <v>9</v>
      </c>
      <c r="AA328" s="9030"/>
      <c r="AB328" s="9035">
        <f>AM323</f>
        <v>0</v>
      </c>
      <c r="AC328" s="9036"/>
      <c r="AD328" s="9036"/>
      <c r="AE328" s="9036"/>
      <c r="AF328" s="9036"/>
      <c r="AG328" s="9036"/>
      <c r="AH328" s="9036"/>
      <c r="AI328" s="9037"/>
      <c r="AJ328" s="8976"/>
      <c r="AK328" s="7976"/>
      <c r="AL328" s="408"/>
      <c r="AM328" s="253"/>
      <c r="AN328" s="253"/>
      <c r="AO328" s="253"/>
      <c r="AP328" s="1277"/>
      <c r="AQ328" s="253"/>
      <c r="AR328" s="253"/>
      <c r="AS328" s="253"/>
      <c r="AT328" s="253"/>
      <c r="AU328" s="253"/>
      <c r="AV328" s="253"/>
      <c r="AW328" s="253"/>
      <c r="AX328" s="769"/>
      <c r="AY328" s="964"/>
      <c r="AZ328" s="964"/>
      <c r="BA328" s="964"/>
      <c r="BB328" s="964"/>
      <c r="BC328" s="964"/>
      <c r="BD328" s="964"/>
      <c r="BE328" s="964"/>
      <c r="BF328" s="964"/>
      <c r="BG328" s="964"/>
      <c r="BH328" s="964"/>
    </row>
    <row r="329" spans="1:60" ht="13.5" customHeight="1">
      <c r="A329" s="2112"/>
      <c r="B329" s="9029">
        <v>10</v>
      </c>
      <c r="C329" s="9029"/>
      <c r="D329" s="344" t="s">
        <v>5190</v>
      </c>
      <c r="E329" s="253"/>
      <c r="F329" s="511"/>
      <c r="G329" s="253"/>
      <c r="H329" s="253"/>
      <c r="I329" s="253"/>
      <c r="J329" s="253"/>
      <c r="K329" s="253"/>
      <c r="L329" s="253"/>
      <c r="M329" s="253"/>
      <c r="N329" s="253"/>
      <c r="O329" s="253"/>
      <c r="P329" s="253"/>
      <c r="Q329" s="253"/>
      <c r="R329" s="253"/>
      <c r="S329" s="253"/>
      <c r="T329" s="253"/>
      <c r="U329" s="253"/>
      <c r="V329" s="253"/>
      <c r="W329" s="253"/>
      <c r="X329" s="253"/>
      <c r="Y329" s="253"/>
      <c r="Z329" s="9128"/>
      <c r="AA329" s="8629"/>
      <c r="AB329" s="405"/>
      <c r="AC329" s="406"/>
      <c r="AD329" s="406"/>
      <c r="AE329" s="406"/>
      <c r="AF329" s="406"/>
      <c r="AG329" s="406"/>
      <c r="AH329" s="406"/>
      <c r="AI329" s="407"/>
      <c r="AJ329" s="8976"/>
      <c r="AK329" s="7976"/>
      <c r="AL329" s="408"/>
      <c r="AM329" s="253"/>
      <c r="AN329" s="253"/>
      <c r="AO329" s="253"/>
      <c r="AP329" s="1277"/>
      <c r="AQ329" s="1323"/>
      <c r="AR329" s="1323"/>
      <c r="AS329" s="1323"/>
      <c r="AT329" s="1323"/>
      <c r="AU329" s="1323"/>
      <c r="AV329" s="253"/>
      <c r="AW329" s="253"/>
      <c r="AX329" s="769"/>
      <c r="AY329" s="964"/>
      <c r="AZ329" s="964"/>
      <c r="BA329" s="964"/>
      <c r="BB329" s="964"/>
      <c r="BC329" s="964"/>
      <c r="BD329" s="964"/>
      <c r="BE329" s="964"/>
      <c r="BF329" s="964"/>
      <c r="BG329" s="964"/>
      <c r="BH329" s="964"/>
    </row>
    <row r="330" spans="1:60" ht="15">
      <c r="A330" s="2112"/>
      <c r="B330" s="1291"/>
      <c r="C330" s="1291"/>
      <c r="D330" s="344" t="s">
        <v>5191</v>
      </c>
      <c r="E330" s="253"/>
      <c r="F330" s="511"/>
      <c r="G330" s="253"/>
      <c r="H330" s="253"/>
      <c r="I330" s="253"/>
      <c r="J330" s="253"/>
      <c r="K330" s="253"/>
      <c r="L330" s="253"/>
      <c r="M330" s="253"/>
      <c r="N330" s="253"/>
      <c r="O330" s="253"/>
      <c r="P330" s="253"/>
      <c r="Q330" s="253"/>
      <c r="R330" s="253"/>
      <c r="S330" s="253"/>
      <c r="T330" s="253"/>
      <c r="U330" s="253"/>
      <c r="V330" s="253"/>
      <c r="W330" s="253"/>
      <c r="X330" s="253"/>
      <c r="Y330" s="253"/>
      <c r="Z330" s="1207"/>
      <c r="AA330" s="4190"/>
      <c r="AB330" s="408"/>
      <c r="AC330" s="253"/>
      <c r="AD330" s="253"/>
      <c r="AE330" s="253"/>
      <c r="AF330" s="253"/>
      <c r="AG330" s="253"/>
      <c r="AH330" s="253"/>
      <c r="AI330" s="409"/>
      <c r="AJ330" s="8976"/>
      <c r="AK330" s="7976"/>
      <c r="AL330" s="408"/>
      <c r="AM330" s="253"/>
      <c r="AN330" s="253"/>
      <c r="AO330" s="253"/>
      <c r="AP330" s="1277"/>
      <c r="AQ330" s="1323"/>
      <c r="AR330" s="1323"/>
      <c r="AS330" s="1323"/>
      <c r="AT330" s="1323"/>
      <c r="AU330" s="1323"/>
      <c r="AV330" s="253"/>
      <c r="AW330" s="253"/>
      <c r="AX330" s="769"/>
      <c r="AY330" s="964"/>
      <c r="AZ330" s="964"/>
      <c r="BA330" s="964"/>
      <c r="BB330" s="964"/>
      <c r="BC330" s="964"/>
      <c r="BD330" s="964"/>
      <c r="BE330" s="964"/>
      <c r="BF330" s="964"/>
      <c r="BG330" s="964"/>
      <c r="BH330" s="964"/>
    </row>
    <row r="331" spans="1:60" ht="13.5" customHeight="1">
      <c r="A331" s="2112"/>
      <c r="B331" s="1291"/>
      <c r="C331" s="1291"/>
      <c r="D331" s="344" t="s">
        <v>5192</v>
      </c>
      <c r="E331" s="253"/>
      <c r="F331" s="511"/>
      <c r="G331" s="253"/>
      <c r="H331" s="253"/>
      <c r="I331" s="253"/>
      <c r="J331" s="253"/>
      <c r="K331" s="253"/>
      <c r="L331" s="253"/>
      <c r="M331" s="253"/>
      <c r="N331" s="253"/>
      <c r="O331" s="253"/>
      <c r="P331" s="253"/>
      <c r="Q331" s="253"/>
      <c r="R331" s="253"/>
      <c r="S331" s="253"/>
      <c r="T331" s="253"/>
      <c r="U331" s="253"/>
      <c r="V331" s="253"/>
      <c r="W331" s="253"/>
      <c r="X331" s="253"/>
      <c r="Y331" s="253"/>
      <c r="Z331" s="1207"/>
      <c r="AA331" s="4190"/>
      <c r="AB331" s="408"/>
      <c r="AC331" s="253"/>
      <c r="AD331" s="253"/>
      <c r="AE331" s="253"/>
      <c r="AF331" s="253"/>
      <c r="AG331" s="253"/>
      <c r="AH331" s="253"/>
      <c r="AI331" s="409"/>
      <c r="AJ331" s="8976"/>
      <c r="AK331" s="7976"/>
      <c r="AL331" s="408"/>
      <c r="AM331" s="253"/>
      <c r="AN331" s="253"/>
      <c r="AO331" s="253"/>
      <c r="AP331" s="1277"/>
      <c r="AQ331" s="1323"/>
      <c r="AR331" s="1323"/>
      <c r="AS331" s="1323"/>
      <c r="AT331" s="1323"/>
      <c r="AU331" s="1323"/>
      <c r="AV331" s="253"/>
      <c r="AW331" s="253"/>
      <c r="AX331" s="769"/>
      <c r="AY331" s="964"/>
      <c r="AZ331" s="964"/>
      <c r="BA331" s="964"/>
      <c r="BB331" s="964"/>
      <c r="BC331" s="964"/>
      <c r="BD331" s="964"/>
      <c r="BE331" s="964"/>
      <c r="BF331" s="964"/>
      <c r="BG331" s="964"/>
      <c r="BH331" s="964"/>
    </row>
    <row r="332" spans="1:60" ht="13.5" customHeight="1" thickBot="1">
      <c r="A332" s="2112"/>
      <c r="B332" s="9029"/>
      <c r="C332" s="9029"/>
      <c r="D332" s="344" t="s">
        <v>5193</v>
      </c>
      <c r="E332" s="253"/>
      <c r="F332" s="511"/>
      <c r="G332" s="253"/>
      <c r="H332" s="253"/>
      <c r="I332" s="253"/>
      <c r="J332" s="253"/>
      <c r="K332" s="253"/>
      <c r="L332" s="253"/>
      <c r="M332" s="253"/>
      <c r="N332" s="253"/>
      <c r="O332" s="253"/>
      <c r="P332" s="253"/>
      <c r="Q332" s="253"/>
      <c r="R332" s="253"/>
      <c r="S332" s="253"/>
      <c r="T332" s="253"/>
      <c r="U332" s="253"/>
      <c r="V332" s="253"/>
      <c r="W332" s="276"/>
      <c r="X332" s="253"/>
      <c r="Y332" s="1401"/>
      <c r="Z332" s="8984">
        <v>10</v>
      </c>
      <c r="AA332" s="8985"/>
      <c r="AB332" s="9200"/>
      <c r="AC332" s="9201"/>
      <c r="AD332" s="9201"/>
      <c r="AE332" s="9201"/>
      <c r="AF332" s="9201"/>
      <c r="AG332" s="9201"/>
      <c r="AH332" s="9201"/>
      <c r="AI332" s="9202"/>
      <c r="AJ332" s="8976"/>
      <c r="AK332" s="7976"/>
      <c r="AL332" s="8995">
        <f>ROUND(AB332,0)</f>
        <v>0</v>
      </c>
      <c r="AM332" s="8824"/>
      <c r="AN332" s="8824"/>
      <c r="AO332" s="8824"/>
      <c r="AP332" s="1277"/>
      <c r="AQ332" s="253"/>
      <c r="AR332" s="253"/>
      <c r="AS332" s="253"/>
      <c r="AT332" s="253"/>
      <c r="AU332" s="253"/>
      <c r="AV332" s="253"/>
      <c r="AW332" s="253"/>
      <c r="AX332" s="769"/>
      <c r="AY332" s="964"/>
      <c r="AZ332" s="964"/>
      <c r="BA332" s="964"/>
      <c r="BB332" s="964"/>
      <c r="BC332" s="964"/>
      <c r="BD332" s="964"/>
      <c r="BE332" s="964"/>
      <c r="BF332" s="964"/>
      <c r="BG332" s="964"/>
      <c r="BH332" s="964"/>
    </row>
    <row r="333" spans="1:60" ht="15" customHeight="1">
      <c r="A333" s="2112"/>
      <c r="B333" s="9029"/>
      <c r="C333" s="9029"/>
      <c r="D333" s="344" t="s">
        <v>5194</v>
      </c>
      <c r="E333" s="253"/>
      <c r="F333" s="511"/>
      <c r="G333" s="253"/>
      <c r="H333" s="253"/>
      <c r="I333" s="253"/>
      <c r="J333" s="253"/>
      <c r="K333" s="253"/>
      <c r="L333" s="253"/>
      <c r="M333" s="253"/>
      <c r="N333" s="253"/>
      <c r="O333" s="253"/>
      <c r="P333" s="253"/>
      <c r="Q333" s="253"/>
      <c r="R333" s="253"/>
      <c r="S333" s="253"/>
      <c r="T333" s="253"/>
      <c r="U333" s="253"/>
      <c r="V333" s="253"/>
      <c r="W333" s="253"/>
      <c r="X333" s="253"/>
      <c r="Y333" s="253"/>
      <c r="Z333" s="9209"/>
      <c r="AA333" s="9210"/>
      <c r="AB333" s="3816"/>
      <c r="AC333" s="377"/>
      <c r="AD333" s="377"/>
      <c r="AE333" s="377"/>
      <c r="AF333" s="377"/>
      <c r="AG333" s="377"/>
      <c r="AH333" s="377"/>
      <c r="AI333" s="4220"/>
      <c r="AJ333" s="8976"/>
      <c r="AK333" s="7976"/>
      <c r="AL333" s="408"/>
      <c r="AM333" s="253"/>
      <c r="AN333" s="253"/>
      <c r="AO333" s="253"/>
      <c r="AP333" s="1277"/>
      <c r="AQ333" s="253"/>
      <c r="AR333" s="253"/>
      <c r="AS333" s="253"/>
      <c r="AT333" s="253"/>
      <c r="AU333" s="253"/>
      <c r="AV333" s="253"/>
      <c r="AW333" s="253"/>
      <c r="AX333" s="769"/>
      <c r="AY333" s="964"/>
      <c r="AZ333" s="964"/>
      <c r="BA333" s="964"/>
      <c r="BB333" s="964"/>
      <c r="BC333" s="964"/>
      <c r="BD333" s="964"/>
      <c r="BE333" s="964"/>
      <c r="BF333" s="964"/>
      <c r="BG333" s="964"/>
      <c r="BH333" s="964"/>
    </row>
    <row r="334" spans="1:60" ht="15" customHeight="1">
      <c r="A334" s="2112"/>
      <c r="B334" s="9029"/>
      <c r="C334" s="9029"/>
      <c r="D334" s="344" t="s">
        <v>2864</v>
      </c>
      <c r="E334" s="253"/>
      <c r="F334" s="511"/>
      <c r="G334" s="253"/>
      <c r="H334" s="253"/>
      <c r="I334" s="253"/>
      <c r="J334" s="253"/>
      <c r="K334" s="253"/>
      <c r="L334" s="253"/>
      <c r="M334" s="253"/>
      <c r="N334" s="253"/>
      <c r="O334" s="253"/>
      <c r="P334" s="253"/>
      <c r="Q334" s="253"/>
      <c r="R334" s="253"/>
      <c r="S334" s="253"/>
      <c r="T334" s="253"/>
      <c r="U334" s="253"/>
      <c r="V334" s="253"/>
      <c r="W334" s="253"/>
      <c r="X334" s="253"/>
      <c r="Y334" s="253"/>
      <c r="Z334" s="8984"/>
      <c r="AA334" s="8985"/>
      <c r="AB334" s="408"/>
      <c r="AC334" s="253"/>
      <c r="AD334" s="253"/>
      <c r="AE334" s="253"/>
      <c r="AF334" s="253"/>
      <c r="AG334" s="253"/>
      <c r="AH334" s="253"/>
      <c r="AI334" s="409"/>
      <c r="AJ334" s="8976"/>
      <c r="AK334" s="7976"/>
      <c r="AL334" s="408"/>
      <c r="AM334" s="253"/>
      <c r="AN334" s="253"/>
      <c r="AO334" s="253"/>
      <c r="AP334" s="1277"/>
      <c r="AQ334" s="253"/>
      <c r="AR334" s="253"/>
      <c r="AS334" s="253"/>
      <c r="AT334" s="253"/>
      <c r="AU334" s="253"/>
      <c r="AV334" s="253"/>
      <c r="AW334" s="253"/>
      <c r="AX334" s="769"/>
      <c r="AY334" s="964"/>
      <c r="AZ334" s="964"/>
      <c r="BA334" s="964"/>
      <c r="BB334" s="964"/>
      <c r="BC334" s="964"/>
      <c r="BD334" s="964"/>
      <c r="BE334" s="964"/>
      <c r="BF334" s="964"/>
      <c r="BG334" s="964"/>
      <c r="BH334" s="964"/>
    </row>
    <row r="335" spans="1:60" ht="15" customHeight="1">
      <c r="A335" s="2112"/>
      <c r="B335" s="9178">
        <v>11</v>
      </c>
      <c r="C335" s="9178"/>
      <c r="D335" s="253" t="s">
        <v>2865</v>
      </c>
      <c r="E335" s="253"/>
      <c r="F335" s="511"/>
      <c r="G335" s="253"/>
      <c r="H335" s="253"/>
      <c r="I335" s="253"/>
      <c r="J335" s="253"/>
      <c r="K335" s="253"/>
      <c r="L335" s="253"/>
      <c r="M335" s="253"/>
      <c r="N335" s="253"/>
      <c r="O335" s="253"/>
      <c r="P335" s="253"/>
      <c r="Q335" s="253"/>
      <c r="R335" s="253"/>
      <c r="S335" s="253"/>
      <c r="T335" s="253"/>
      <c r="U335" s="253"/>
      <c r="V335" s="253"/>
      <c r="W335" s="253"/>
      <c r="X335" s="253"/>
      <c r="Y335" s="1401" t="s">
        <v>802</v>
      </c>
      <c r="Z335" s="8994">
        <v>11</v>
      </c>
      <c r="AA335" s="9030"/>
      <c r="AB335" s="9035">
        <f>SUM(AB328,AL332)</f>
        <v>0</v>
      </c>
      <c r="AC335" s="9036"/>
      <c r="AD335" s="9036"/>
      <c r="AE335" s="9036"/>
      <c r="AF335" s="9036"/>
      <c r="AG335" s="9036"/>
      <c r="AH335" s="9036"/>
      <c r="AI335" s="9037"/>
      <c r="AJ335" s="8976"/>
      <c r="AK335" s="7976"/>
      <c r="AL335" s="9044" t="str">
        <f>IF(AB336&gt;0,"Line 12 cannot be","")</f>
        <v/>
      </c>
      <c r="AM335" s="9045"/>
      <c r="AN335" s="9045"/>
      <c r="AO335" s="9045"/>
      <c r="AP335" s="1277"/>
      <c r="AQ335" s="253"/>
      <c r="AR335" s="253"/>
      <c r="AS335" s="253"/>
      <c r="AT335" s="253"/>
      <c r="AU335" s="253"/>
      <c r="AV335" s="253"/>
      <c r="AW335" s="253"/>
      <c r="AX335" s="769"/>
      <c r="AY335" s="964"/>
      <c r="AZ335" s="964"/>
      <c r="BA335" s="964"/>
      <c r="BB335" s="964"/>
      <c r="BC335" s="964"/>
      <c r="BD335" s="964"/>
      <c r="BE335" s="964"/>
      <c r="BF335" s="964"/>
      <c r="BG335" s="964"/>
      <c r="BH335" s="964"/>
    </row>
    <row r="336" spans="1:60" ht="16.5" customHeight="1">
      <c r="A336" s="2112"/>
      <c r="B336" s="9178">
        <v>12</v>
      </c>
      <c r="C336" s="9178"/>
      <c r="D336" s="344" t="s">
        <v>2866</v>
      </c>
      <c r="E336" s="253"/>
      <c r="F336" s="511"/>
      <c r="G336" s="253"/>
      <c r="H336" s="253"/>
      <c r="I336" s="253"/>
      <c r="J336" s="253"/>
      <c r="K336" s="253"/>
      <c r="L336" s="253"/>
      <c r="M336" s="253"/>
      <c r="N336" s="253"/>
      <c r="O336" s="253"/>
      <c r="P336" s="253"/>
      <c r="Q336" s="253"/>
      <c r="R336" s="253"/>
      <c r="S336" s="253"/>
      <c r="T336" s="253"/>
      <c r="U336" s="253"/>
      <c r="V336" s="253"/>
      <c r="W336" s="253"/>
      <c r="X336" s="253"/>
      <c r="Y336" s="1401" t="s">
        <v>874</v>
      </c>
      <c r="Z336" s="8994">
        <v>12</v>
      </c>
      <c r="AA336" s="9030"/>
      <c r="AB336" s="8972"/>
      <c r="AC336" s="8973"/>
      <c r="AD336" s="8973"/>
      <c r="AE336" s="8973"/>
      <c r="AF336" s="8973"/>
      <c r="AG336" s="8973"/>
      <c r="AH336" s="8973"/>
      <c r="AI336" s="8974"/>
      <c r="AJ336" s="8976"/>
      <c r="AK336" s="7976"/>
      <c r="AL336" s="9044" t="str">
        <f>IF(AB336&gt;0,"a positive number.","")</f>
        <v/>
      </c>
      <c r="AM336" s="9045"/>
      <c r="AN336" s="9045"/>
      <c r="AO336" s="9045"/>
      <c r="AP336" s="1277"/>
      <c r="AQ336" s="253"/>
      <c r="AR336" s="253"/>
      <c r="AS336" s="253"/>
      <c r="AT336" s="253"/>
      <c r="AU336" s="253"/>
      <c r="AV336" s="253"/>
      <c r="AW336" s="253"/>
      <c r="AX336" s="769"/>
      <c r="AY336" s="964"/>
      <c r="AZ336" s="964"/>
      <c r="BA336" s="964"/>
      <c r="BB336" s="964"/>
      <c r="BC336" s="964"/>
      <c r="BD336" s="964"/>
      <c r="BE336" s="964"/>
      <c r="BF336" s="964"/>
      <c r="BG336" s="964"/>
      <c r="BH336" s="964"/>
    </row>
    <row r="337" spans="1:60" ht="16.5" customHeight="1">
      <c r="A337" s="2112"/>
      <c r="B337" s="9178">
        <v>13</v>
      </c>
      <c r="C337" s="9178"/>
      <c r="D337" s="344" t="s">
        <v>2867</v>
      </c>
      <c r="E337" s="253"/>
      <c r="F337" s="511"/>
      <c r="G337" s="253"/>
      <c r="H337" s="253"/>
      <c r="I337" s="253"/>
      <c r="J337" s="253"/>
      <c r="K337" s="253"/>
      <c r="L337" s="253"/>
      <c r="M337" s="253"/>
      <c r="N337" s="253"/>
      <c r="O337" s="253"/>
      <c r="P337" s="253"/>
      <c r="Q337" s="253"/>
      <c r="R337" s="253"/>
      <c r="S337" s="253"/>
      <c r="T337" s="253"/>
      <c r="U337" s="253"/>
      <c r="V337" s="253"/>
      <c r="W337" s="253"/>
      <c r="X337" s="253"/>
      <c r="Y337" s="1401" t="s">
        <v>1838</v>
      </c>
      <c r="Z337" s="8994">
        <v>13</v>
      </c>
      <c r="AA337" s="9030"/>
      <c r="AB337" s="8972"/>
      <c r="AC337" s="8973"/>
      <c r="AD337" s="8973"/>
      <c r="AE337" s="8973"/>
      <c r="AF337" s="8973"/>
      <c r="AG337" s="8973"/>
      <c r="AH337" s="8973"/>
      <c r="AI337" s="8974"/>
      <c r="AJ337" s="8976"/>
      <c r="AK337" s="7976"/>
      <c r="AL337" s="408"/>
      <c r="AM337" s="253"/>
      <c r="AN337" s="253"/>
      <c r="AO337" s="253"/>
      <c r="AP337" s="1277"/>
      <c r="AQ337" s="253"/>
      <c r="AR337" s="253"/>
      <c r="AS337" s="253"/>
      <c r="AT337" s="253"/>
      <c r="AU337" s="253"/>
      <c r="AV337" s="253"/>
      <c r="AW337" s="253"/>
      <c r="AX337" s="769"/>
      <c r="AY337" s="964"/>
      <c r="AZ337" s="964"/>
      <c r="BA337" s="964"/>
      <c r="BB337" s="964"/>
      <c r="BC337" s="964"/>
      <c r="BD337" s="964"/>
      <c r="BE337" s="964"/>
      <c r="BF337" s="964"/>
      <c r="BG337" s="964"/>
      <c r="BH337" s="964"/>
    </row>
    <row r="338" spans="1:60" ht="13.5" customHeight="1">
      <c r="A338" s="2112"/>
      <c r="B338" s="9178">
        <v>14</v>
      </c>
      <c r="C338" s="9178"/>
      <c r="D338" s="344" t="s">
        <v>2868</v>
      </c>
      <c r="E338" s="253"/>
      <c r="F338" s="511"/>
      <c r="G338" s="253"/>
      <c r="H338" s="253"/>
      <c r="I338" s="253"/>
      <c r="J338" s="253"/>
      <c r="K338" s="253"/>
      <c r="L338" s="253"/>
      <c r="M338" s="253"/>
      <c r="N338" s="253"/>
      <c r="O338" s="253"/>
      <c r="P338" s="253"/>
      <c r="Q338" s="253"/>
      <c r="R338" s="253"/>
      <c r="S338" s="253"/>
      <c r="T338" s="253"/>
      <c r="U338" s="253"/>
      <c r="V338" s="253"/>
      <c r="W338" s="253"/>
      <c r="X338" s="253"/>
      <c r="Y338" s="253"/>
      <c r="Z338" s="253"/>
      <c r="AA338" s="253"/>
      <c r="AB338" s="253"/>
      <c r="AC338" s="253"/>
      <c r="AD338" s="253"/>
      <c r="AE338" s="253"/>
      <c r="AF338" s="253"/>
      <c r="AG338" s="253"/>
      <c r="AH338" s="253"/>
      <c r="AI338" s="1401" t="s">
        <v>905</v>
      </c>
      <c r="AJ338" s="8994">
        <v>14</v>
      </c>
      <c r="AK338" s="9030"/>
      <c r="AL338" s="8969">
        <f>SUM(AB335,AB336,AB337)</f>
        <v>0</v>
      </c>
      <c r="AM338" s="7827"/>
      <c r="AN338" s="7827"/>
      <c r="AO338" s="7827"/>
      <c r="AP338" s="1277"/>
      <c r="AQ338" s="253"/>
      <c r="AR338" s="253"/>
      <c r="AS338" s="253"/>
      <c r="AT338" s="253"/>
      <c r="AU338" s="253"/>
      <c r="AV338" s="253"/>
      <c r="AW338" s="253"/>
      <c r="AX338" s="769"/>
      <c r="AY338" s="964"/>
      <c r="AZ338" s="964"/>
      <c r="BA338" s="964"/>
      <c r="BB338" s="964"/>
      <c r="BC338" s="964"/>
      <c r="BD338" s="964"/>
      <c r="BE338" s="964"/>
      <c r="BF338" s="964"/>
      <c r="BG338" s="964"/>
      <c r="BH338" s="964"/>
    </row>
    <row r="339" spans="1:60" ht="13.5" customHeight="1">
      <c r="A339" s="2112"/>
      <c r="B339" s="9178">
        <v>15</v>
      </c>
      <c r="C339" s="9178"/>
      <c r="D339" s="253" t="s">
        <v>2870</v>
      </c>
      <c r="E339" s="253"/>
      <c r="F339" s="511"/>
      <c r="G339" s="253"/>
      <c r="H339" s="253"/>
      <c r="I339" s="253"/>
      <c r="J339" s="253"/>
      <c r="K339" s="253"/>
      <c r="L339" s="253"/>
      <c r="M339" s="253"/>
      <c r="N339" s="253"/>
      <c r="O339" s="253"/>
      <c r="P339" s="253"/>
      <c r="Q339" s="253"/>
      <c r="R339" s="253"/>
      <c r="S339" s="253"/>
      <c r="T339" s="253"/>
      <c r="U339" s="253"/>
      <c r="V339" s="253"/>
      <c r="W339" s="253"/>
      <c r="X339" s="253"/>
      <c r="Y339" s="253"/>
      <c r="Z339" s="8984"/>
      <c r="AA339" s="8985"/>
      <c r="AB339" s="408"/>
      <c r="AC339" s="253"/>
      <c r="AD339" s="253"/>
      <c r="AE339" s="253"/>
      <c r="AF339" s="253"/>
      <c r="AG339" s="253"/>
      <c r="AH339" s="253"/>
      <c r="AI339" s="409"/>
      <c r="AJ339" s="8976"/>
      <c r="AK339" s="7976"/>
      <c r="AL339" s="408"/>
      <c r="AM339" s="253"/>
      <c r="AN339" s="253"/>
      <c r="AO339" s="253"/>
      <c r="AP339" s="1277"/>
      <c r="AQ339" s="253"/>
      <c r="AR339" s="253"/>
      <c r="AS339" s="253"/>
      <c r="AT339" s="253"/>
      <c r="AU339" s="253"/>
      <c r="AV339" s="253"/>
      <c r="AW339" s="253"/>
      <c r="AX339" s="769"/>
      <c r="AY339" s="964"/>
      <c r="AZ339" s="964"/>
      <c r="BA339" s="964"/>
      <c r="BB339" s="964"/>
      <c r="BC339" s="964"/>
      <c r="BD339" s="964"/>
      <c r="BE339" s="964"/>
      <c r="BF339" s="964"/>
      <c r="BG339" s="964"/>
      <c r="BH339" s="964"/>
    </row>
    <row r="340" spans="1:60" ht="13.5" customHeight="1">
      <c r="A340" s="2112"/>
      <c r="B340" s="9178"/>
      <c r="C340" s="9178"/>
      <c r="D340" s="253" t="s">
        <v>2872</v>
      </c>
      <c r="E340" s="253"/>
      <c r="F340" s="511"/>
      <c r="G340" s="253"/>
      <c r="H340" s="253"/>
      <c r="I340" s="253"/>
      <c r="J340" s="253"/>
      <c r="K340" s="253"/>
      <c r="L340" s="253"/>
      <c r="M340" s="253"/>
      <c r="N340" s="253"/>
      <c r="O340" s="253"/>
      <c r="P340" s="253"/>
      <c r="Q340" s="253"/>
      <c r="R340" s="253"/>
      <c r="S340" s="253"/>
      <c r="T340" s="253"/>
      <c r="U340" s="253"/>
      <c r="V340" s="253"/>
      <c r="W340" s="253"/>
      <c r="X340" s="253"/>
      <c r="Y340" s="253"/>
      <c r="Z340" s="8984"/>
      <c r="AA340" s="8985"/>
      <c r="AB340" s="408"/>
      <c r="AC340" s="253"/>
      <c r="AD340" s="253"/>
      <c r="AE340" s="253"/>
      <c r="AF340" s="253"/>
      <c r="AG340" s="253"/>
      <c r="AH340" s="253"/>
      <c r="AI340" s="409"/>
      <c r="AJ340" s="8976"/>
      <c r="AK340" s="7976"/>
      <c r="AL340" s="408"/>
      <c r="AM340" s="253"/>
      <c r="AN340" s="253"/>
      <c r="AO340" s="253"/>
      <c r="AP340" s="1277"/>
      <c r="AQ340" s="253"/>
      <c r="AR340" s="253"/>
      <c r="AS340" s="253"/>
      <c r="AT340" s="253"/>
      <c r="AU340" s="253"/>
      <c r="AV340" s="253"/>
      <c r="AW340" s="253"/>
      <c r="AX340" s="769"/>
      <c r="AY340" s="964"/>
      <c r="AZ340" s="964"/>
      <c r="BA340" s="964"/>
      <c r="BB340" s="964"/>
      <c r="BC340" s="964"/>
      <c r="BD340" s="964"/>
      <c r="BE340" s="964"/>
      <c r="BF340" s="964"/>
      <c r="BG340" s="964"/>
      <c r="BH340" s="964"/>
    </row>
    <row r="341" spans="1:60" ht="13.5" customHeight="1">
      <c r="A341" s="2112"/>
      <c r="B341" s="4178"/>
      <c r="C341" s="4178"/>
      <c r="D341" s="571" t="s">
        <v>2874</v>
      </c>
      <c r="E341" s="253"/>
      <c r="F341" s="253"/>
      <c r="G341" s="253"/>
      <c r="H341" s="253"/>
      <c r="I341" s="253"/>
      <c r="J341" s="253"/>
      <c r="K341" s="253"/>
      <c r="L341" s="253"/>
      <c r="M341" s="253"/>
      <c r="N341" s="253"/>
      <c r="O341" s="253"/>
      <c r="P341" s="253"/>
      <c r="Q341" s="253"/>
      <c r="R341" s="253"/>
      <c r="S341" s="253"/>
      <c r="T341" s="253"/>
      <c r="U341" s="253"/>
      <c r="V341" s="253"/>
      <c r="W341" s="253"/>
      <c r="X341" s="253"/>
      <c r="Y341" s="1401" t="s">
        <v>784</v>
      </c>
      <c r="Z341" s="8994">
        <v>15</v>
      </c>
      <c r="AA341" s="8464"/>
      <c r="AB341" s="9035" t="str">
        <f>AL307</f>
        <v/>
      </c>
      <c r="AC341" s="9036"/>
      <c r="AD341" s="9036"/>
      <c r="AE341" s="9036"/>
      <c r="AF341" s="9036"/>
      <c r="AG341" s="9036"/>
      <c r="AH341" s="9036"/>
      <c r="AI341" s="9037"/>
      <c r="AJ341" s="8976"/>
      <c r="AK341" s="7976"/>
      <c r="AL341" s="408"/>
      <c r="AM341" s="253"/>
      <c r="AN341" s="253"/>
      <c r="AO341" s="253"/>
      <c r="AP341" s="1277"/>
      <c r="AQ341" s="253"/>
      <c r="AR341" s="253"/>
      <c r="AS341" s="253"/>
      <c r="AT341" s="253"/>
      <c r="AU341" s="253"/>
      <c r="AV341" s="253"/>
      <c r="AW341" s="253"/>
      <c r="AX341" s="769"/>
      <c r="AY341" s="964"/>
      <c r="AZ341" s="964"/>
      <c r="BA341" s="964"/>
      <c r="BB341" s="964"/>
      <c r="BC341" s="964"/>
      <c r="BD341" s="964"/>
      <c r="BE341" s="964"/>
      <c r="BF341" s="964"/>
      <c r="BG341" s="964"/>
      <c r="BH341" s="964"/>
    </row>
    <row r="342" spans="1:60" ht="13.5" customHeight="1">
      <c r="A342" s="2112"/>
      <c r="B342" s="9178">
        <v>16</v>
      </c>
      <c r="C342" s="9178"/>
      <c r="D342" s="759" t="s">
        <v>2875</v>
      </c>
      <c r="E342" s="733"/>
      <c r="F342" s="2855"/>
      <c r="G342" s="253"/>
      <c r="H342" s="253"/>
      <c r="I342" s="253"/>
      <c r="J342" s="253"/>
      <c r="K342" s="253"/>
      <c r="L342" s="253"/>
      <c r="M342" s="253"/>
      <c r="N342" s="253"/>
      <c r="O342" s="253"/>
      <c r="P342" s="3377"/>
      <c r="Q342" s="733"/>
      <c r="R342" s="2855"/>
      <c r="S342" s="344"/>
      <c r="T342" s="253"/>
      <c r="U342" s="253"/>
      <c r="V342" s="253"/>
      <c r="W342" s="253"/>
      <c r="X342" s="253"/>
      <c r="Y342" s="1401" t="s">
        <v>816</v>
      </c>
      <c r="Z342" s="8552">
        <v>16</v>
      </c>
      <c r="AA342" s="8469"/>
      <c r="AB342" s="8972"/>
      <c r="AC342" s="8973"/>
      <c r="AD342" s="8973"/>
      <c r="AE342" s="8973"/>
      <c r="AF342" s="8973"/>
      <c r="AG342" s="8973"/>
      <c r="AH342" s="8973"/>
      <c r="AI342" s="8974"/>
      <c r="AJ342" s="8976"/>
      <c r="AK342" s="7976"/>
      <c r="AL342" s="408"/>
      <c r="AM342" s="253"/>
      <c r="AN342" s="253"/>
      <c r="AO342" s="253"/>
      <c r="AP342" s="1277"/>
      <c r="AQ342" s="253"/>
      <c r="AR342" s="253"/>
      <c r="AS342" s="253"/>
      <c r="AT342" s="253"/>
      <c r="AU342" s="253"/>
      <c r="AV342" s="253"/>
      <c r="AW342" s="253"/>
      <c r="AX342" s="769"/>
      <c r="AY342" s="964"/>
      <c r="AZ342" s="964"/>
      <c r="BA342" s="964"/>
      <c r="BB342" s="964"/>
      <c r="BC342" s="964"/>
      <c r="BD342" s="964"/>
      <c r="BE342" s="964"/>
      <c r="BF342" s="964"/>
      <c r="BG342" s="964"/>
      <c r="BH342" s="964"/>
    </row>
    <row r="343" spans="1:60" ht="18" customHeight="1">
      <c r="A343" s="2112"/>
      <c r="B343" s="9178">
        <v>17</v>
      </c>
      <c r="C343" s="9178"/>
      <c r="D343" s="344" t="s">
        <v>6394</v>
      </c>
      <c r="E343" s="253"/>
      <c r="F343" s="511"/>
      <c r="G343" s="253"/>
      <c r="H343" s="253"/>
      <c r="I343" s="253"/>
      <c r="J343" s="253"/>
      <c r="K343" s="253"/>
      <c r="L343" s="253"/>
      <c r="M343" s="253"/>
      <c r="N343" s="253"/>
      <c r="O343" s="253"/>
      <c r="P343" s="253"/>
      <c r="Q343" s="253"/>
      <c r="R343" s="253"/>
      <c r="S343" s="253"/>
      <c r="T343" s="253"/>
      <c r="U343" s="253"/>
      <c r="V343" s="253"/>
      <c r="W343" s="253"/>
      <c r="X343" s="253"/>
      <c r="Y343" s="253"/>
      <c r="Z343" s="8984"/>
      <c r="AA343" s="8985"/>
      <c r="AB343" s="408"/>
      <c r="AC343" s="253"/>
      <c r="AD343" s="253"/>
      <c r="AE343" s="253"/>
      <c r="AF343" s="253"/>
      <c r="AG343" s="253"/>
      <c r="AH343" s="253"/>
      <c r="AI343" s="409"/>
      <c r="AJ343" s="8976"/>
      <c r="AK343" s="7976"/>
      <c r="AL343" s="408"/>
      <c r="AM343" s="253"/>
      <c r="AN343" s="253"/>
      <c r="AO343" s="253"/>
      <c r="AP343" s="1277"/>
      <c r="AQ343" s="253"/>
      <c r="AR343" s="253"/>
      <c r="AS343" s="253"/>
      <c r="AT343" s="253"/>
      <c r="AU343" s="253"/>
      <c r="AV343" s="253"/>
      <c r="AW343" s="253"/>
      <c r="AX343" s="769"/>
      <c r="AY343" s="964"/>
      <c r="AZ343" s="964"/>
      <c r="BA343" s="964"/>
      <c r="BB343" s="964"/>
      <c r="BC343" s="964"/>
      <c r="BD343" s="964"/>
      <c r="BE343" s="964"/>
      <c r="BF343" s="964"/>
      <c r="BG343" s="964"/>
      <c r="BH343" s="964"/>
    </row>
    <row r="344" spans="1:60" ht="13.5" customHeight="1">
      <c r="A344" s="2112"/>
      <c r="B344" s="9178"/>
      <c r="C344" s="9178"/>
      <c r="D344" s="344" t="s">
        <v>6395</v>
      </c>
      <c r="E344" s="253"/>
      <c r="F344" s="511"/>
      <c r="G344" s="253"/>
      <c r="H344" s="253"/>
      <c r="I344" s="253"/>
      <c r="J344" s="253"/>
      <c r="K344" s="253"/>
      <c r="L344" s="253"/>
      <c r="M344" s="253"/>
      <c r="N344" s="253"/>
      <c r="O344" s="253"/>
      <c r="P344" s="253"/>
      <c r="Q344" s="253"/>
      <c r="R344" s="253"/>
      <c r="S344" s="253"/>
      <c r="T344" s="253"/>
      <c r="U344" s="253"/>
      <c r="V344" s="253"/>
      <c r="W344" s="253"/>
      <c r="X344" s="253"/>
      <c r="Y344" s="253"/>
      <c r="Z344" s="8984"/>
      <c r="AA344" s="8985"/>
      <c r="AB344" s="408"/>
      <c r="AC344" s="253"/>
      <c r="AD344" s="253"/>
      <c r="AE344" s="253"/>
      <c r="AF344" s="253"/>
      <c r="AG344" s="253"/>
      <c r="AH344" s="253"/>
      <c r="AI344" s="409"/>
      <c r="AJ344" s="8976"/>
      <c r="AK344" s="7976"/>
      <c r="AL344" s="408"/>
      <c r="AM344" s="253"/>
      <c r="AN344" s="253"/>
      <c r="AO344" s="253"/>
      <c r="AP344" s="1277"/>
      <c r="AQ344" s="253"/>
      <c r="AR344" s="253"/>
      <c r="AS344" s="253"/>
      <c r="AT344" s="253"/>
      <c r="AU344" s="253"/>
      <c r="AV344" s="253"/>
      <c r="AW344" s="253"/>
      <c r="AX344" s="769"/>
      <c r="AY344" s="964"/>
      <c r="AZ344" s="964"/>
      <c r="BA344" s="964"/>
      <c r="BB344" s="964"/>
      <c r="BC344" s="964"/>
      <c r="BD344" s="964"/>
      <c r="BE344" s="964"/>
      <c r="BF344" s="964"/>
      <c r="BG344" s="964"/>
      <c r="BH344" s="964"/>
    </row>
    <row r="345" spans="1:60" ht="18.75" customHeight="1">
      <c r="A345" s="2112"/>
      <c r="B345" s="4178"/>
      <c r="C345" s="4178"/>
      <c r="D345" s="979" t="s">
        <v>6396</v>
      </c>
      <c r="E345" s="253"/>
      <c r="F345" s="253"/>
      <c r="G345" s="253"/>
      <c r="H345" s="253"/>
      <c r="I345" s="253"/>
      <c r="J345" s="253"/>
      <c r="K345" s="253"/>
      <c r="L345" s="253"/>
      <c r="M345" s="253"/>
      <c r="N345" s="253"/>
      <c r="O345" s="253"/>
      <c r="P345" s="253"/>
      <c r="Q345" s="253"/>
      <c r="R345" s="253"/>
      <c r="S345" s="253"/>
      <c r="T345" s="253"/>
      <c r="U345" s="253"/>
      <c r="V345" s="253"/>
      <c r="W345" s="253"/>
      <c r="X345" s="253"/>
      <c r="Y345" s="1401" t="s">
        <v>874</v>
      </c>
      <c r="Z345" s="8994">
        <v>17</v>
      </c>
      <c r="AA345" s="8464"/>
      <c r="AB345" s="9035">
        <f>SUM(AB341,AB342)</f>
        <v>0</v>
      </c>
      <c r="AC345" s="9036"/>
      <c r="AD345" s="9036"/>
      <c r="AE345" s="9036"/>
      <c r="AF345" s="9036"/>
      <c r="AG345" s="9036"/>
      <c r="AH345" s="9036"/>
      <c r="AI345" s="9037"/>
      <c r="AJ345" s="8976"/>
      <c r="AK345" s="7976"/>
      <c r="AL345" s="9203"/>
      <c r="AM345" s="8991"/>
      <c r="AN345" s="8991"/>
      <c r="AO345" s="8991"/>
      <c r="AP345" s="1277"/>
      <c r="AQ345" s="9204" t="str">
        <f>IF(AND(AL338&gt;0,AB346),"Skip lines 18 through 24.","")</f>
        <v/>
      </c>
      <c r="AR345" s="9205"/>
      <c r="AS345" s="9205"/>
      <c r="AT345" s="9205"/>
      <c r="AU345" s="7844"/>
      <c r="AV345" s="7844"/>
      <c r="AW345" s="7844"/>
      <c r="AX345" s="769"/>
      <c r="AY345" s="970"/>
      <c r="AZ345" s="964"/>
      <c r="BA345" s="964"/>
      <c r="BB345" s="964"/>
      <c r="BC345" s="964"/>
      <c r="BD345" s="964"/>
      <c r="BE345" s="964"/>
      <c r="BF345" s="964"/>
      <c r="BG345" s="964"/>
      <c r="BH345" s="964"/>
    </row>
    <row r="346" spans="1:60" ht="12.75" customHeight="1" thickBot="1">
      <c r="A346" s="2112"/>
      <c r="B346" s="9178">
        <v>18</v>
      </c>
      <c r="C346" s="9178"/>
      <c r="D346" s="344" t="s">
        <v>6390</v>
      </c>
      <c r="E346" s="253"/>
      <c r="F346" s="511"/>
      <c r="G346" s="253"/>
      <c r="H346" s="253"/>
      <c r="I346" s="253"/>
      <c r="J346" s="253"/>
      <c r="K346" s="253"/>
      <c r="L346" s="253"/>
      <c r="M346" s="253"/>
      <c r="N346" s="253"/>
      <c r="O346" s="253"/>
      <c r="P346" s="253"/>
      <c r="Q346" s="253"/>
      <c r="R346" s="253"/>
      <c r="S346" s="253"/>
      <c r="T346" s="253"/>
      <c r="U346" s="253"/>
      <c r="V346" s="253"/>
      <c r="W346" s="253"/>
      <c r="X346" s="253"/>
      <c r="Y346" s="253"/>
      <c r="Z346" s="8984"/>
      <c r="AA346" s="8985"/>
      <c r="AB346" s="9113" t="b">
        <f>AND(AB345&lt;=0,AQ349="")</f>
        <v>1</v>
      </c>
      <c r="AC346" s="8729"/>
      <c r="AD346" s="8729"/>
      <c r="AE346" s="8729"/>
      <c r="AF346" s="8729"/>
      <c r="AG346" s="8729"/>
      <c r="AH346" s="8729"/>
      <c r="AI346" s="9114"/>
      <c r="AJ346" s="8976"/>
      <c r="AK346" s="7976"/>
      <c r="AL346" s="9219"/>
      <c r="AM346" s="8987"/>
      <c r="AN346" s="8987"/>
      <c r="AO346" s="8987"/>
      <c r="AP346" s="1277"/>
      <c r="AQ346" s="8986"/>
      <c r="AR346" s="8987"/>
      <c r="AS346" s="8987"/>
      <c r="AT346" s="8987"/>
      <c r="AU346" s="7601"/>
      <c r="AV346" s="7601"/>
      <c r="AW346" s="7601"/>
      <c r="AX346" s="769"/>
      <c r="AY346" s="964"/>
      <c r="AZ346" s="964"/>
      <c r="BA346" s="964"/>
      <c r="BB346" s="964"/>
      <c r="BC346" s="964"/>
      <c r="BD346" s="964"/>
      <c r="BE346" s="964"/>
      <c r="BF346" s="964"/>
      <c r="BG346" s="964"/>
      <c r="BH346" s="964"/>
    </row>
    <row r="347" spans="1:60" ht="12.75" customHeight="1">
      <c r="A347" s="2112"/>
      <c r="B347" s="6476"/>
      <c r="C347" s="6476"/>
      <c r="D347" s="516" t="s">
        <v>6391</v>
      </c>
      <c r="E347" s="253"/>
      <c r="F347" s="511"/>
      <c r="G347" s="253"/>
      <c r="H347" s="253"/>
      <c r="I347" s="253"/>
      <c r="J347" s="253"/>
      <c r="K347" s="253"/>
      <c r="L347" s="253"/>
      <c r="M347" s="253"/>
      <c r="N347" s="253"/>
      <c r="O347" s="253"/>
      <c r="P347" s="253"/>
      <c r="Q347" s="253"/>
      <c r="R347" s="253"/>
      <c r="S347" s="253"/>
      <c r="T347" s="253"/>
      <c r="U347" s="253"/>
      <c r="V347" s="253"/>
      <c r="W347" s="253"/>
      <c r="X347" s="253"/>
      <c r="Y347" s="253"/>
      <c r="Z347" s="1207"/>
      <c r="AA347" s="4190"/>
      <c r="AB347" s="8943">
        <f>IF(TotalDeductions="",0,TotalDeductions)</f>
        <v>0</v>
      </c>
      <c r="AC347" s="7633"/>
      <c r="AD347" s="7633"/>
      <c r="AE347" s="7633"/>
      <c r="AF347" s="7633"/>
      <c r="AG347" s="7633"/>
      <c r="AH347" s="7633"/>
      <c r="AI347" s="8944"/>
      <c r="AJ347" s="8976"/>
      <c r="AK347" s="7976"/>
      <c r="AL347" s="6474"/>
      <c r="AM347" s="6475"/>
      <c r="AN347" s="6475"/>
      <c r="AO347" s="6475"/>
      <c r="AP347" s="1277"/>
      <c r="AQ347" s="6475"/>
      <c r="AR347" s="6475"/>
      <c r="AS347" s="6475"/>
      <c r="AT347" s="6475"/>
      <c r="AU347" s="253"/>
      <c r="AV347" s="253"/>
      <c r="AW347" s="253"/>
      <c r="AX347" s="1384"/>
      <c r="AY347" s="1385"/>
      <c r="AZ347" s="1385"/>
      <c r="BA347" s="1385"/>
      <c r="BB347" s="1385"/>
      <c r="BC347" s="1385"/>
      <c r="BD347" s="1385"/>
      <c r="BE347" s="1385"/>
      <c r="BF347" s="1385"/>
      <c r="BG347" s="1385"/>
      <c r="BH347" s="1386"/>
    </row>
    <row r="348" spans="1:60" ht="16.5" customHeight="1">
      <c r="A348" s="2112"/>
      <c r="B348" s="9178"/>
      <c r="C348" s="9178"/>
      <c r="D348" s="344" t="s">
        <v>6393</v>
      </c>
      <c r="E348" s="253"/>
      <c r="F348" s="511"/>
      <c r="G348" s="253"/>
      <c r="H348" s="253"/>
      <c r="I348" s="253"/>
      <c r="J348" s="253"/>
      <c r="K348" s="253"/>
      <c r="L348" s="253"/>
      <c r="M348" s="253"/>
      <c r="N348" s="253"/>
      <c r="O348" s="253"/>
      <c r="P348" s="253"/>
      <c r="Q348" s="253"/>
      <c r="R348" s="253"/>
      <c r="S348" s="253"/>
      <c r="T348" s="253"/>
      <c r="U348" s="253"/>
      <c r="V348" s="253"/>
      <c r="W348" s="253"/>
      <c r="X348" s="253"/>
      <c r="Y348" s="253"/>
      <c r="Z348" s="8984"/>
      <c r="AA348" s="8985"/>
      <c r="AB348" s="8943">
        <f>IF(DeductionForSeniors="",0,DeductionForSeniors)</f>
        <v>0</v>
      </c>
      <c r="AC348" s="7633"/>
      <c r="AD348" s="7633"/>
      <c r="AE348" s="7633"/>
      <c r="AF348" s="7633"/>
      <c r="AG348" s="7633"/>
      <c r="AH348" s="7633"/>
      <c r="AI348" s="8944"/>
      <c r="AJ348" s="8976"/>
      <c r="AK348" s="7976"/>
      <c r="AL348" s="408"/>
      <c r="AM348" s="253"/>
      <c r="AN348" s="253"/>
      <c r="AO348" s="253"/>
      <c r="AP348" s="1277"/>
      <c r="AQ348" s="1277"/>
      <c r="AR348" s="1277"/>
      <c r="AS348" s="1277"/>
      <c r="AT348" s="1277"/>
      <c r="AU348" s="1277"/>
      <c r="AV348" s="253"/>
      <c r="AW348" s="253"/>
      <c r="AX348" s="1387" t="s">
        <v>2869</v>
      </c>
      <c r="AY348" s="1388"/>
      <c r="AZ348" s="1027"/>
      <c r="BA348" s="1027"/>
      <c r="BB348" s="1027"/>
      <c r="BC348" s="1027"/>
      <c r="BD348" s="1027"/>
      <c r="BE348" s="1027"/>
      <c r="BF348" s="1027"/>
      <c r="BG348" s="1027"/>
      <c r="BH348" s="1389"/>
    </row>
    <row r="349" spans="1:60" ht="18" customHeight="1">
      <c r="A349" s="2112"/>
      <c r="B349" s="4178"/>
      <c r="C349" s="4178"/>
      <c r="D349" s="979" t="s">
        <v>6392</v>
      </c>
      <c r="E349" s="253"/>
      <c r="F349" s="253"/>
      <c r="G349" s="253"/>
      <c r="H349" s="253"/>
      <c r="I349" s="253"/>
      <c r="J349" s="253"/>
      <c r="K349" s="253"/>
      <c r="L349" s="253"/>
      <c r="M349" s="253"/>
      <c r="N349" s="253"/>
      <c r="O349" s="253"/>
      <c r="P349" s="253"/>
      <c r="Q349" s="253"/>
      <c r="R349" s="253"/>
      <c r="S349" s="253"/>
      <c r="T349" s="253"/>
      <c r="U349" s="253"/>
      <c r="V349" s="253"/>
      <c r="W349" s="253"/>
      <c r="X349" s="253"/>
      <c r="Y349" s="1401" t="s">
        <v>824</v>
      </c>
      <c r="Z349" s="8994">
        <v>18</v>
      </c>
      <c r="AA349" s="8464"/>
      <c r="AB349" s="9035" t="str">
        <f>IF(AQ349&lt;&gt;"",ROUND(AQ349,0),IF(AB346,"",IF(AX343,BG366,SUM(Adj_Gross_Inc_Pg2,-AB347,AB348))))</f>
        <v/>
      </c>
      <c r="AC349" s="9036"/>
      <c r="AD349" s="9036"/>
      <c r="AE349" s="9036"/>
      <c r="AF349" s="9036"/>
      <c r="AG349" s="9036"/>
      <c r="AH349" s="9036"/>
      <c r="AI349" s="9037"/>
      <c r="AJ349" s="8976"/>
      <c r="AK349" s="9199"/>
      <c r="AL349" s="408"/>
      <c r="AM349" s="253"/>
      <c r="AN349" s="253"/>
      <c r="AO349" s="253"/>
      <c r="AP349" s="1277"/>
      <c r="AQ349" s="8967"/>
      <c r="AR349" s="8968"/>
      <c r="AS349" s="8968"/>
      <c r="AT349" s="8968"/>
      <c r="AU349" s="1277"/>
      <c r="AV349" s="253"/>
      <c r="AW349" s="253"/>
      <c r="AX349" s="1390" t="b">
        <f>AND(CGTW_Line5&gt;0,CGTW_Line5&lt;&gt;"")</f>
        <v>0</v>
      </c>
      <c r="AY349" s="1388" t="s">
        <v>2871</v>
      </c>
      <c r="AZ349" s="1027"/>
      <c r="BA349" s="1027"/>
      <c r="BB349" s="1027"/>
      <c r="BC349" s="1027"/>
      <c r="BD349" s="1027"/>
      <c r="BE349" s="1027"/>
      <c r="BF349" s="1027"/>
      <c r="BG349" s="1027"/>
      <c r="BH349" s="1389"/>
    </row>
    <row r="350" spans="1:60" ht="13.5" customHeight="1">
      <c r="A350" s="2112"/>
      <c r="B350" s="4178"/>
      <c r="C350" s="4178"/>
      <c r="D350" s="979" t="s">
        <v>2880</v>
      </c>
      <c r="E350" s="733"/>
      <c r="F350" s="2855"/>
      <c r="G350" s="253"/>
      <c r="H350" s="253"/>
      <c r="I350" s="253"/>
      <c r="J350" s="253"/>
      <c r="K350" s="253"/>
      <c r="L350" s="253"/>
      <c r="M350" s="253"/>
      <c r="N350" s="253"/>
      <c r="O350" s="253"/>
      <c r="P350" s="3377"/>
      <c r="Q350" s="733"/>
      <c r="R350" s="2855"/>
      <c r="S350" s="344"/>
      <c r="T350" s="253"/>
      <c r="U350" s="253"/>
      <c r="V350" s="253"/>
      <c r="W350" s="253"/>
      <c r="X350" s="253"/>
      <c r="Y350" s="253"/>
      <c r="Z350" s="253"/>
      <c r="AA350" s="253"/>
      <c r="AB350" s="253"/>
      <c r="AC350" s="253"/>
      <c r="AD350" s="3377"/>
      <c r="AE350" s="733"/>
      <c r="AF350" s="2855"/>
      <c r="AG350" s="253"/>
      <c r="AH350" s="253"/>
      <c r="AI350" s="253"/>
      <c r="AJ350" s="8976"/>
      <c r="AK350" s="9199"/>
      <c r="AL350" s="253"/>
      <c r="AM350" s="253"/>
      <c r="AN350" s="253"/>
      <c r="AO350" s="253"/>
      <c r="AP350" s="1277"/>
      <c r="AQ350" s="1277"/>
      <c r="AR350" s="1277"/>
      <c r="AS350" s="1277"/>
      <c r="AT350" s="1277"/>
      <c r="AU350" s="1277"/>
      <c r="AV350" s="253"/>
      <c r="AW350" s="253"/>
      <c r="AX350" s="1390" t="b">
        <f>AND(CGTW_Line23&lt;&gt;"",CGTW_Line24&lt;&gt;"",CGTW_Line23&lt;CGTW_Line24)</f>
        <v>0</v>
      </c>
      <c r="AY350" s="1388" t="s">
        <v>2873</v>
      </c>
      <c r="AZ350" s="1027"/>
      <c r="BA350" s="1027"/>
      <c r="BB350" s="1027"/>
      <c r="BC350" s="1027"/>
      <c r="BD350" s="1027"/>
      <c r="BE350" s="1027"/>
      <c r="BF350" s="1027"/>
      <c r="BG350" s="1027"/>
      <c r="BH350" s="1389"/>
    </row>
    <row r="351" spans="1:60" ht="19.5" customHeight="1">
      <c r="A351" s="2112"/>
      <c r="B351" s="253"/>
      <c r="C351" s="343"/>
      <c r="D351" s="571" t="s">
        <v>2882</v>
      </c>
      <c r="E351" s="253"/>
      <c r="F351" s="253"/>
      <c r="G351" s="253"/>
      <c r="H351" s="253"/>
      <c r="I351" s="253"/>
      <c r="J351" s="253"/>
      <c r="K351" s="253"/>
      <c r="L351" s="253"/>
      <c r="M351" s="253"/>
      <c r="N351" s="253"/>
      <c r="O351" s="253"/>
      <c r="P351" s="253"/>
      <c r="Q351" s="253"/>
      <c r="R351" s="253"/>
      <c r="S351" s="253"/>
      <c r="T351" s="794"/>
      <c r="U351" s="253"/>
      <c r="V351" s="253"/>
      <c r="W351" s="253"/>
      <c r="X351" s="253"/>
      <c r="Y351" s="253"/>
      <c r="Z351" s="253"/>
      <c r="AA351" s="253"/>
      <c r="AB351" s="253"/>
      <c r="AC351" s="253"/>
      <c r="AD351" s="253"/>
      <c r="AE351" s="253"/>
      <c r="AF351" s="253"/>
      <c r="AG351" s="253"/>
      <c r="AH351" s="253"/>
      <c r="AI351" s="253"/>
      <c r="AJ351" s="8976"/>
      <c r="AK351" s="9199"/>
      <c r="AL351" s="253"/>
      <c r="AM351" s="253"/>
      <c r="AN351" s="253"/>
      <c r="AO351" s="253"/>
      <c r="AP351" s="1277"/>
      <c r="AQ351" s="1277"/>
      <c r="AR351" s="1277"/>
      <c r="AS351" s="1277"/>
      <c r="AT351" s="1277"/>
      <c r="AU351" s="1277"/>
      <c r="AV351" s="253"/>
      <c r="AW351" s="253"/>
      <c r="AX351" s="1391" t="b">
        <f>AND(AX349,AX350)</f>
        <v>0</v>
      </c>
      <c r="AY351" s="1388"/>
      <c r="AZ351" s="1027"/>
      <c r="BA351" s="1027"/>
      <c r="BB351" s="1027"/>
      <c r="BC351" s="1027"/>
      <c r="BD351" s="1027"/>
      <c r="BE351" s="1027"/>
      <c r="BF351" s="1027"/>
      <c r="BG351" s="1027"/>
      <c r="BH351" s="1389"/>
    </row>
    <row r="352" spans="1:60" ht="13.5" customHeight="1">
      <c r="A352" s="2112"/>
      <c r="B352" s="9178">
        <v>19</v>
      </c>
      <c r="C352" s="9178"/>
      <c r="D352" s="344" t="s">
        <v>2883</v>
      </c>
      <c r="E352" s="253"/>
      <c r="F352" s="511"/>
      <c r="G352" s="253"/>
      <c r="H352" s="253"/>
      <c r="I352" s="253"/>
      <c r="J352" s="253"/>
      <c r="K352" s="253"/>
      <c r="L352" s="253"/>
      <c r="M352" s="253"/>
      <c r="N352" s="253"/>
      <c r="O352" s="253"/>
      <c r="P352" s="253"/>
      <c r="Q352" s="253"/>
      <c r="R352" s="253"/>
      <c r="S352" s="253"/>
      <c r="T352" s="253"/>
      <c r="U352" s="253"/>
      <c r="V352" s="253"/>
      <c r="W352" s="253"/>
      <c r="X352" s="253"/>
      <c r="Y352" s="253"/>
      <c r="Z352" s="253"/>
      <c r="AA352" s="253"/>
      <c r="AB352" s="253"/>
      <c r="AC352" s="253"/>
      <c r="AD352" s="253"/>
      <c r="AE352" s="253"/>
      <c r="AF352" s="253"/>
      <c r="AG352" s="253"/>
      <c r="AH352" s="253"/>
      <c r="AI352" s="1401" t="s">
        <v>894</v>
      </c>
      <c r="AJ352" s="8994">
        <v>19</v>
      </c>
      <c r="AK352" s="9030"/>
      <c r="AL352" s="8992" t="str">
        <f>IF(AQ352&lt;&gt;"",ROUND(AQ352,4),IF(AB346,"",IF(OR(AB349="",AB349=0),"                    ---",IF(AB345&gt;AB349,1,ROUND(AB345/AB349,4)))))</f>
        <v/>
      </c>
      <c r="AM352" s="8993"/>
      <c r="AN352" s="8993"/>
      <c r="AO352" s="8993"/>
      <c r="AP352" s="1277"/>
      <c r="AQ352" s="9195"/>
      <c r="AR352" s="9196"/>
      <c r="AS352" s="9196"/>
      <c r="AT352" s="9196"/>
      <c r="AU352" s="1277"/>
      <c r="AV352" s="253"/>
      <c r="AW352" s="253"/>
      <c r="AX352" s="1392" t="s">
        <v>2876</v>
      </c>
      <c r="AY352" s="1388"/>
      <c r="AZ352" s="1027"/>
      <c r="BA352" s="1027"/>
      <c r="BB352" s="1027"/>
      <c r="BC352" s="1027"/>
      <c r="BD352" s="1027"/>
      <c r="BE352" s="1027"/>
      <c r="BF352" s="1027"/>
      <c r="BG352" s="1027"/>
      <c r="BH352" s="1389"/>
    </row>
    <row r="353" spans="1:60" ht="13.5" customHeight="1" thickBot="1">
      <c r="A353" s="2112"/>
      <c r="B353" s="9029">
        <v>20</v>
      </c>
      <c r="C353" s="9029"/>
      <c r="D353" s="344" t="s">
        <v>2884</v>
      </c>
      <c r="E353" s="253"/>
      <c r="F353" s="511"/>
      <c r="G353" s="253"/>
      <c r="H353" s="253"/>
      <c r="I353" s="253"/>
      <c r="J353" s="253"/>
      <c r="K353" s="253"/>
      <c r="L353" s="253"/>
      <c r="M353" s="253"/>
      <c r="N353" s="253"/>
      <c r="O353" s="253"/>
      <c r="P353" s="253"/>
      <c r="Q353" s="253"/>
      <c r="R353" s="253"/>
      <c r="S353" s="253"/>
      <c r="T353" s="253"/>
      <c r="U353" s="253"/>
      <c r="V353" s="253"/>
      <c r="W353" s="253"/>
      <c r="X353" s="253"/>
      <c r="Y353" s="253"/>
      <c r="Z353" s="253"/>
      <c r="AA353" s="253"/>
      <c r="AB353" s="253"/>
      <c r="AC353" s="253"/>
      <c r="AD353" s="253"/>
      <c r="AE353" s="253"/>
      <c r="AF353" s="253"/>
      <c r="AG353" s="253"/>
      <c r="AH353" s="253"/>
      <c r="AI353" s="253"/>
      <c r="AJ353" s="9118"/>
      <c r="AK353" s="9119"/>
      <c r="AL353" s="408"/>
      <c r="AM353" s="253"/>
      <c r="AN353" s="253"/>
      <c r="AO353" s="253"/>
      <c r="AP353" s="1277"/>
      <c r="AQ353" s="1277"/>
      <c r="AR353" s="1277"/>
      <c r="AS353" s="1277"/>
      <c r="AT353" s="1277"/>
      <c r="AU353" s="1277"/>
      <c r="AV353" s="253"/>
      <c r="AW353" s="253"/>
      <c r="AX353" s="1393" t="s">
        <v>2877</v>
      </c>
      <c r="AY353" s="1394"/>
      <c r="AZ353" s="1395"/>
      <c r="BA353" s="1395"/>
      <c r="BB353" s="1395"/>
      <c r="BC353" s="1395"/>
      <c r="BD353" s="1395"/>
      <c r="BE353" s="1395"/>
      <c r="BF353" s="1395"/>
      <c r="BG353" s="1395"/>
      <c r="BH353" s="1396"/>
    </row>
    <row r="354" spans="1:60" ht="13.5" customHeight="1">
      <c r="A354" s="2112"/>
      <c r="B354" s="9029"/>
      <c r="C354" s="9029"/>
      <c r="D354" s="344" t="s">
        <v>2885</v>
      </c>
      <c r="E354" s="253"/>
      <c r="F354" s="511"/>
      <c r="G354" s="253"/>
      <c r="H354" s="253"/>
      <c r="I354" s="253"/>
      <c r="J354" s="253"/>
      <c r="K354" s="253"/>
      <c r="L354" s="253"/>
      <c r="M354" s="253"/>
      <c r="N354" s="253"/>
      <c r="O354" s="253"/>
      <c r="P354" s="253"/>
      <c r="Q354" s="253"/>
      <c r="R354" s="253"/>
      <c r="S354" s="253"/>
      <c r="T354" s="253"/>
      <c r="U354" s="253"/>
      <c r="V354" s="253"/>
      <c r="W354" s="253"/>
      <c r="X354" s="253"/>
      <c r="Y354" s="253"/>
      <c r="Z354" s="253"/>
      <c r="AA354" s="253"/>
      <c r="AB354" s="253"/>
      <c r="AC354" s="253"/>
      <c r="AD354" s="253"/>
      <c r="AE354" s="253"/>
      <c r="AF354" s="253"/>
      <c r="AG354" s="253"/>
      <c r="AH354" s="253"/>
      <c r="AI354" s="253"/>
      <c r="AJ354" s="9118"/>
      <c r="AK354" s="9119"/>
      <c r="AL354" s="408"/>
      <c r="AM354" s="253"/>
      <c r="AN354" s="253"/>
      <c r="AO354" s="253"/>
      <c r="AP354" s="1277"/>
      <c r="AQ354" s="1277"/>
      <c r="AR354" s="1277"/>
      <c r="AS354" s="1277"/>
      <c r="AT354" s="1277"/>
      <c r="AU354" s="1277"/>
      <c r="AV354" s="253"/>
      <c r="AW354" s="253"/>
      <c r="AX354" s="8953" t="s">
        <v>2878</v>
      </c>
      <c r="AY354" s="8954"/>
      <c r="AZ354" s="8954"/>
      <c r="BA354" s="8954"/>
      <c r="BB354" s="8954"/>
      <c r="BC354" s="8954"/>
      <c r="BD354" s="8954"/>
      <c r="BE354" s="8954"/>
      <c r="BF354" s="8959" t="s">
        <v>926</v>
      </c>
      <c r="BG354" s="8959"/>
      <c r="BH354" s="4191"/>
    </row>
    <row r="355" spans="1:60" ht="13.5" customHeight="1">
      <c r="A355" s="2112"/>
      <c r="B355" s="1291"/>
      <c r="C355" s="1291"/>
      <c r="D355" s="979" t="s">
        <v>2886</v>
      </c>
      <c r="E355" s="253"/>
      <c r="F355" s="511"/>
      <c r="G355" s="253"/>
      <c r="H355" s="253"/>
      <c r="I355" s="253"/>
      <c r="J355" s="253"/>
      <c r="K355" s="253"/>
      <c r="L355" s="253"/>
      <c r="M355" s="253"/>
      <c r="N355" s="253"/>
      <c r="O355" s="253"/>
      <c r="P355" s="253"/>
      <c r="Q355" s="253"/>
      <c r="R355" s="253"/>
      <c r="S355" s="253"/>
      <c r="T355" s="253"/>
      <c r="U355" s="253"/>
      <c r="V355" s="253"/>
      <c r="W355" s="253"/>
      <c r="X355" s="253"/>
      <c r="Y355" s="253"/>
      <c r="Z355" s="253"/>
      <c r="AA355" s="253"/>
      <c r="AB355" s="253"/>
      <c r="AC355" s="253"/>
      <c r="AD355" s="253"/>
      <c r="AE355" s="253"/>
      <c r="AF355" s="253"/>
      <c r="AG355" s="253"/>
      <c r="AH355" s="253"/>
      <c r="AI355" s="253"/>
      <c r="AJ355" s="4199"/>
      <c r="AK355" s="799"/>
      <c r="AL355" s="408"/>
      <c r="AM355" s="253"/>
      <c r="AN355" s="253"/>
      <c r="AO355" s="253"/>
      <c r="AP355" s="1277"/>
      <c r="AQ355" s="1277"/>
      <c r="AR355" s="1277"/>
      <c r="AS355" s="1277"/>
      <c r="AT355" s="1277"/>
      <c r="AU355" s="1277"/>
      <c r="AV355" s="253"/>
      <c r="AW355" s="253"/>
      <c r="AX355" s="8955"/>
      <c r="AY355" s="8956"/>
      <c r="AZ355" s="8956"/>
      <c r="BA355" s="8956"/>
      <c r="BB355" s="8956"/>
      <c r="BC355" s="8956"/>
      <c r="BD355" s="8956"/>
      <c r="BE355" s="8956"/>
      <c r="BF355" s="8960"/>
      <c r="BG355" s="8960"/>
      <c r="BH355" s="4192"/>
    </row>
    <row r="356" spans="1:60" ht="13.5" customHeight="1">
      <c r="A356" s="2112"/>
      <c r="B356" s="1321"/>
      <c r="C356" s="1321"/>
      <c r="D356" s="979" t="s">
        <v>2887</v>
      </c>
      <c r="E356" s="253"/>
      <c r="F356" s="253"/>
      <c r="G356" s="253"/>
      <c r="H356" s="253"/>
      <c r="I356" s="253"/>
      <c r="J356" s="253"/>
      <c r="K356" s="253"/>
      <c r="L356" s="253"/>
      <c r="M356" s="253"/>
      <c r="N356" s="253"/>
      <c r="O356" s="253"/>
      <c r="P356" s="253"/>
      <c r="Q356" s="253"/>
      <c r="R356" s="253"/>
      <c r="S356" s="253"/>
      <c r="T356" s="253"/>
      <c r="U356" s="253"/>
      <c r="V356" s="253"/>
      <c r="W356" s="253"/>
      <c r="X356" s="253"/>
      <c r="Y356" s="253"/>
      <c r="Z356" s="253"/>
      <c r="AA356" s="253"/>
      <c r="AB356" s="253"/>
      <c r="AC356" s="253"/>
      <c r="AD356" s="253"/>
      <c r="AE356" s="253"/>
      <c r="AF356" s="253"/>
      <c r="AG356" s="253"/>
      <c r="AH356" s="253"/>
      <c r="AI356" s="1401" t="s">
        <v>802</v>
      </c>
      <c r="AJ356" s="8994">
        <v>20</v>
      </c>
      <c r="AK356" s="9030"/>
      <c r="AL356" s="8969" t="str">
        <f>IF(AQ356&lt;&gt;"",ROUND(AQ356,0),IF(AB346,"",IF(AO265&lt;&gt;1,"",SUM(Tax_SubTotal,PTC_ExcessAdv))))</f>
        <v/>
      </c>
      <c r="AM356" s="7827"/>
      <c r="AN356" s="7827"/>
      <c r="AO356" s="7827"/>
      <c r="AP356" s="1277"/>
      <c r="AQ356" s="8967"/>
      <c r="AR356" s="8968"/>
      <c r="AS356" s="8968"/>
      <c r="AT356" s="8968"/>
      <c r="AU356" s="1277"/>
      <c r="AV356" s="253"/>
      <c r="AW356" s="253"/>
      <c r="AX356" s="4193"/>
      <c r="AY356" s="851"/>
      <c r="AZ356" s="851"/>
      <c r="BA356" s="851"/>
      <c r="BB356" s="851"/>
      <c r="BC356" s="851"/>
      <c r="BD356" s="851"/>
      <c r="BE356" s="851"/>
      <c r="BF356" s="851"/>
      <c r="BG356" s="851"/>
      <c r="BH356" s="4194"/>
    </row>
    <row r="357" spans="1:60" s="141" customFormat="1" ht="14.25">
      <c r="A357" s="2114"/>
      <c r="B357" s="9197"/>
      <c r="C357" s="9197"/>
      <c r="D357" s="516" t="s">
        <v>2888</v>
      </c>
      <c r="E357" s="411"/>
      <c r="F357" s="1672"/>
      <c r="G357" s="411"/>
      <c r="H357" s="411"/>
      <c r="I357" s="411"/>
      <c r="J357" s="411"/>
      <c r="K357" s="411"/>
      <c r="L357" s="411"/>
      <c r="M357" s="411"/>
      <c r="N357" s="411"/>
      <c r="O357" s="411"/>
      <c r="P357" s="411"/>
      <c r="Q357" s="411"/>
      <c r="R357" s="411"/>
      <c r="S357" s="411"/>
      <c r="T357" s="411"/>
      <c r="U357" s="411"/>
      <c r="V357" s="411"/>
      <c r="W357" s="411"/>
      <c r="X357" s="411"/>
      <c r="Y357" s="411"/>
      <c r="Z357" s="411"/>
      <c r="AA357" s="411"/>
      <c r="AB357" s="411"/>
      <c r="AC357" s="411"/>
      <c r="AD357" s="411"/>
      <c r="AE357" s="411"/>
      <c r="AF357" s="411"/>
      <c r="AG357" s="411"/>
      <c r="AH357" s="411"/>
      <c r="AI357" s="411"/>
      <c r="AJ357" s="410"/>
      <c r="AK357" s="1450"/>
      <c r="AL357" s="411"/>
      <c r="AM357" s="411"/>
      <c r="AN357" s="411"/>
      <c r="AO357" s="411"/>
      <c r="AP357" s="2113"/>
      <c r="AQ357" s="2113"/>
      <c r="AR357" s="2113"/>
      <c r="AS357" s="2113"/>
      <c r="AT357" s="2113"/>
      <c r="AU357" s="2113"/>
      <c r="AV357" s="411"/>
      <c r="AW357" s="411"/>
      <c r="AX357" s="6501" t="s">
        <v>5578</v>
      </c>
      <c r="AY357" s="1193" t="s">
        <v>2879</v>
      </c>
      <c r="AZ357" s="851"/>
      <c r="BA357" s="851"/>
      <c r="BB357" s="851"/>
      <c r="BC357" s="851"/>
      <c r="BD357" s="851"/>
      <c r="BE357" s="851"/>
      <c r="BF357" s="851"/>
      <c r="BG357" s="851"/>
      <c r="BH357" s="4194"/>
    </row>
    <row r="358" spans="1:60" ht="13.5" customHeight="1">
      <c r="A358" s="2112"/>
      <c r="B358" s="344"/>
      <c r="C358" s="344"/>
      <c r="D358" s="571" t="s">
        <v>2889</v>
      </c>
      <c r="E358" s="253"/>
      <c r="F358" s="253"/>
      <c r="G358" s="253"/>
      <c r="H358" s="253"/>
      <c r="I358" s="253"/>
      <c r="J358" s="253"/>
      <c r="K358" s="253"/>
      <c r="L358" s="253"/>
      <c r="M358" s="253"/>
      <c r="N358" s="253"/>
      <c r="O358" s="253"/>
      <c r="P358" s="253"/>
      <c r="Q358" s="253"/>
      <c r="R358" s="253"/>
      <c r="S358" s="253"/>
      <c r="T358" s="794"/>
      <c r="U358" s="253"/>
      <c r="V358" s="253"/>
      <c r="W358" s="253"/>
      <c r="X358" s="253"/>
      <c r="Y358" s="253"/>
      <c r="Z358" s="253"/>
      <c r="AA358" s="253"/>
      <c r="AB358" s="253"/>
      <c r="AC358" s="253"/>
      <c r="AD358" s="253"/>
      <c r="AE358" s="253"/>
      <c r="AF358" s="253"/>
      <c r="AG358" s="253"/>
      <c r="AH358" s="253"/>
      <c r="AI358" s="253"/>
      <c r="AJ358" s="408"/>
      <c r="AK358" s="409"/>
      <c r="AL358" s="253"/>
      <c r="AM358" s="253"/>
      <c r="AN358" s="253"/>
      <c r="AO358" s="253"/>
      <c r="AP358" s="1277"/>
      <c r="AQ358" s="1277"/>
      <c r="AR358" s="1277"/>
      <c r="AS358" s="1277"/>
      <c r="AT358" s="1277"/>
      <c r="AU358" s="1277"/>
      <c r="AV358" s="253"/>
      <c r="AW358" s="253"/>
      <c r="AX358" s="4193"/>
      <c r="AY358" s="851"/>
      <c r="AZ358" s="851"/>
      <c r="BA358" s="851"/>
      <c r="BB358" s="851"/>
      <c r="BC358" s="851"/>
      <c r="BD358" s="851"/>
      <c r="BE358" s="851"/>
      <c r="BF358" s="851"/>
      <c r="BG358" s="851"/>
      <c r="BH358" s="4194"/>
    </row>
    <row r="359" spans="1:60" ht="13.5" customHeight="1">
      <c r="A359" s="2112"/>
      <c r="B359" s="9178">
        <v>21</v>
      </c>
      <c r="C359" s="9178"/>
      <c r="D359" s="253" t="s">
        <v>2890</v>
      </c>
      <c r="E359" s="253"/>
      <c r="F359" s="253"/>
      <c r="G359" s="253"/>
      <c r="H359" s="253"/>
      <c r="I359" s="253"/>
      <c r="J359" s="253"/>
      <c r="K359" s="253"/>
      <c r="L359" s="253"/>
      <c r="M359" s="253"/>
      <c r="N359" s="253"/>
      <c r="O359" s="253"/>
      <c r="P359" s="253"/>
      <c r="Q359" s="253"/>
      <c r="R359" s="253"/>
      <c r="S359" s="253"/>
      <c r="T359" s="794"/>
      <c r="U359" s="253"/>
      <c r="V359" s="253"/>
      <c r="W359" s="253"/>
      <c r="X359" s="253"/>
      <c r="Y359" s="253"/>
      <c r="Z359" s="253"/>
      <c r="AA359" s="253"/>
      <c r="AB359" s="253"/>
      <c r="AC359" s="253"/>
      <c r="AD359" s="253"/>
      <c r="AE359" s="253"/>
      <c r="AF359" s="253"/>
      <c r="AG359" s="253"/>
      <c r="AH359" s="253"/>
      <c r="AI359" s="1401" t="s">
        <v>792</v>
      </c>
      <c r="AJ359" s="8994">
        <v>21</v>
      </c>
      <c r="AK359" s="9030"/>
      <c r="AL359" s="8969" t="str">
        <f>IF(AB346,"",IF(ISERROR(AL352*AL356),"                    ---",ROUND(AL352*AL356,0)))</f>
        <v/>
      </c>
      <c r="AM359" s="7827"/>
      <c r="AN359" s="7827"/>
      <c r="AO359" s="7827"/>
      <c r="AP359" s="1277"/>
      <c r="AQ359" s="1277"/>
      <c r="AR359" s="1277"/>
      <c r="AS359" s="1277"/>
      <c r="AT359" s="1277"/>
      <c r="AU359" s="1277"/>
      <c r="AV359" s="253"/>
      <c r="AW359" s="253"/>
      <c r="AX359" s="4195" t="s">
        <v>157</v>
      </c>
      <c r="AY359" s="1193" t="s">
        <v>6402</v>
      </c>
      <c r="AZ359" s="851"/>
      <c r="BA359" s="851"/>
      <c r="BB359" s="851"/>
      <c r="BC359" s="851"/>
      <c r="BD359" s="851"/>
      <c r="BE359" s="851"/>
      <c r="BF359" s="851"/>
      <c r="BG359" s="990">
        <f>IF(TotalDeductions="",0,TotalDeductions)</f>
        <v>0</v>
      </c>
      <c r="BH359" s="4194"/>
    </row>
    <row r="360" spans="1:60" ht="13.5" customHeight="1">
      <c r="A360" s="2112"/>
      <c r="B360" s="9029">
        <v>22</v>
      </c>
      <c r="C360" s="9029"/>
      <c r="D360" s="344" t="s">
        <v>2892</v>
      </c>
      <c r="E360" s="253"/>
      <c r="F360" s="253"/>
      <c r="G360" s="253"/>
      <c r="H360" s="253"/>
      <c r="I360" s="253"/>
      <c r="J360" s="253"/>
      <c r="K360" s="253"/>
      <c r="L360" s="253"/>
      <c r="M360" s="253"/>
      <c r="N360" s="253"/>
      <c r="O360" s="253"/>
      <c r="P360" s="253"/>
      <c r="Q360" s="253"/>
      <c r="R360" s="253"/>
      <c r="S360" s="253"/>
      <c r="T360" s="794"/>
      <c r="U360" s="253"/>
      <c r="V360" s="253"/>
      <c r="W360" s="253"/>
      <c r="X360" s="253"/>
      <c r="Y360" s="253"/>
      <c r="Z360" s="253"/>
      <c r="AA360" s="253"/>
      <c r="AB360" s="253"/>
      <c r="AC360" s="253"/>
      <c r="AD360" s="253"/>
      <c r="AE360" s="253"/>
      <c r="AF360" s="253"/>
      <c r="AG360" s="253"/>
      <c r="AH360" s="253"/>
      <c r="AI360" s="1401" t="s">
        <v>872</v>
      </c>
      <c r="AJ360" s="8994">
        <v>22</v>
      </c>
      <c r="AK360" s="9183"/>
      <c r="AL360" s="9135"/>
      <c r="AM360" s="7826"/>
      <c r="AN360" s="7826"/>
      <c r="AO360" s="7826"/>
      <c r="AP360" s="1277"/>
      <c r="AQ360" s="9198">
        <f>IF(AL360&lt;&gt;"",ROUND(AL360,0),0)</f>
        <v>0</v>
      </c>
      <c r="AR360" s="9198"/>
      <c r="AS360" s="9198"/>
      <c r="AT360" s="9198"/>
      <c r="AU360" s="1277"/>
      <c r="AV360" s="253"/>
      <c r="AW360" s="253"/>
      <c r="AX360" s="4195"/>
      <c r="AY360" s="1193" t="s">
        <v>6403</v>
      </c>
      <c r="AZ360" s="851"/>
      <c r="BA360" s="851"/>
      <c r="BB360" s="851"/>
      <c r="BC360" s="851"/>
      <c r="BD360" s="851"/>
      <c r="BE360" s="851"/>
      <c r="BF360" s="851"/>
      <c r="BG360" s="990">
        <f>IF(DeductionForSeniors="",0,DeductionForSeniors)</f>
        <v>0</v>
      </c>
      <c r="BH360" s="4194"/>
    </row>
    <row r="361" spans="1:60" ht="15.75" customHeight="1">
      <c r="A361" s="2112"/>
      <c r="B361" s="9029">
        <v>23</v>
      </c>
      <c r="C361" s="9029"/>
      <c r="D361" s="344" t="s">
        <v>1516</v>
      </c>
      <c r="E361" s="253"/>
      <c r="F361" s="253"/>
      <c r="G361" s="253"/>
      <c r="H361" s="253"/>
      <c r="I361" s="253"/>
      <c r="J361" s="253"/>
      <c r="K361" s="253"/>
      <c r="L361" s="253"/>
      <c r="M361" s="253"/>
      <c r="N361" s="253"/>
      <c r="O361" s="253"/>
      <c r="P361" s="253"/>
      <c r="Q361" s="253"/>
      <c r="R361" s="253"/>
      <c r="S361" s="253"/>
      <c r="T361" s="794"/>
      <c r="U361" s="253"/>
      <c r="V361" s="253"/>
      <c r="W361" s="253"/>
      <c r="X361" s="253"/>
      <c r="Y361" s="253"/>
      <c r="Z361" s="253"/>
      <c r="AA361" s="253"/>
      <c r="AB361" s="253"/>
      <c r="AC361" s="253"/>
      <c r="AD361" s="253"/>
      <c r="AE361" s="253"/>
      <c r="AF361" s="253"/>
      <c r="AG361" s="253"/>
      <c r="AH361" s="253"/>
      <c r="AI361" s="1401" t="s">
        <v>2657</v>
      </c>
      <c r="AJ361" s="8994">
        <v>23</v>
      </c>
      <c r="AK361" s="9183"/>
      <c r="AL361" s="8969" t="str">
        <f>IF(AB346,"",SUM(AL359,AQ360))</f>
        <v/>
      </c>
      <c r="AM361" s="7827"/>
      <c r="AN361" s="7827"/>
      <c r="AO361" s="7827"/>
      <c r="AP361" s="1277"/>
      <c r="AQ361" s="1277"/>
      <c r="AR361" s="1277"/>
      <c r="AS361" s="1277"/>
      <c r="AT361" s="1277"/>
      <c r="AU361" s="1277"/>
      <c r="AV361" s="253"/>
      <c r="AW361" s="253"/>
      <c r="AX361" s="4193"/>
      <c r="AY361" s="1193" t="s">
        <v>2881</v>
      </c>
      <c r="AZ361" s="851"/>
      <c r="BA361" s="851"/>
      <c r="BB361" s="851"/>
      <c r="BC361" s="851"/>
      <c r="BD361" s="851"/>
      <c r="BE361" s="1027"/>
      <c r="BF361" s="1028" t="s">
        <v>157</v>
      </c>
      <c r="BG361" s="1030" t="str">
        <f>IF(NOT(AX351),"",SUM(Adj_Gross_Inc_Pg2,-BG359,BG360))</f>
        <v/>
      </c>
      <c r="BH361" s="4194"/>
    </row>
    <row r="362" spans="1:60" ht="14.25" customHeight="1" thickBot="1">
      <c r="A362" s="2112"/>
      <c r="B362" s="9120">
        <v>24</v>
      </c>
      <c r="C362" s="9120"/>
      <c r="D362" s="981" t="s">
        <v>6397</v>
      </c>
      <c r="E362" s="380"/>
      <c r="F362" s="380"/>
      <c r="G362" s="380"/>
      <c r="H362" s="380"/>
      <c r="I362" s="380"/>
      <c r="J362" s="380"/>
      <c r="K362" s="380"/>
      <c r="L362" s="380"/>
      <c r="M362" s="380"/>
      <c r="N362" s="380"/>
      <c r="O362" s="380"/>
      <c r="P362" s="380"/>
      <c r="Q362" s="380"/>
      <c r="R362" s="380"/>
      <c r="S362" s="380"/>
      <c r="T362" s="4206"/>
      <c r="U362" s="380"/>
      <c r="V362" s="380"/>
      <c r="W362" s="380"/>
      <c r="X362" s="380"/>
      <c r="Y362" s="380"/>
      <c r="Z362" s="380"/>
      <c r="AA362" s="380"/>
      <c r="AB362" s="380"/>
      <c r="AC362" s="380"/>
      <c r="AD362" s="380"/>
      <c r="AE362" s="380"/>
      <c r="AF362" s="380"/>
      <c r="AG362" s="380"/>
      <c r="AH362" s="380"/>
      <c r="AI362" s="4488"/>
      <c r="AJ362" s="9121">
        <v>24</v>
      </c>
      <c r="AK362" s="9122"/>
      <c r="AL362" s="8965" t="str">
        <f>IF(AQ362&lt;&gt;"",ROUND(AQ362,0),IF(AB346,"",IF(ISERROR(AL338*AL359),"                    ---",MIN(AL338,AL359))))</f>
        <v/>
      </c>
      <c r="AM362" s="8966"/>
      <c r="AN362" s="8966"/>
      <c r="AO362" s="8966"/>
      <c r="AP362" s="1277"/>
      <c r="AQ362" s="8967"/>
      <c r="AR362" s="8968"/>
      <c r="AS362" s="8968"/>
      <c r="AT362" s="8968"/>
      <c r="AU362" s="1277"/>
      <c r="AV362" s="253"/>
      <c r="AW362" s="253"/>
      <c r="AX362" s="4195" t="s">
        <v>161</v>
      </c>
      <c r="AY362" s="1193" t="str">
        <f>"Enter your worldwide "&amp;TEXT(BF362,"0%")&amp;" gains (see instructions)"</f>
        <v>Enter your worldwide 28% gains (see instructions)</v>
      </c>
      <c r="AZ362" s="851"/>
      <c r="BA362" s="851"/>
      <c r="BB362" s="851"/>
      <c r="BC362" s="851"/>
      <c r="BD362" s="4196" t="s">
        <v>161</v>
      </c>
      <c r="BE362" s="443"/>
      <c r="BF362" s="4197">
        <v>0.28000000000000003</v>
      </c>
      <c r="BG362" s="851"/>
      <c r="BH362" s="4194"/>
    </row>
    <row r="363" spans="1:60" ht="14.25" customHeight="1">
      <c r="A363" s="4157"/>
      <c r="B363" s="9189" t="s">
        <v>2102</v>
      </c>
      <c r="C363" s="9189"/>
      <c r="D363" s="9190"/>
      <c r="E363" s="1323"/>
      <c r="F363" s="342" t="s">
        <v>6398</v>
      </c>
      <c r="G363" s="1323"/>
      <c r="H363" s="1323"/>
      <c r="I363" s="1323"/>
      <c r="J363" s="1323"/>
      <c r="K363" s="1323"/>
      <c r="L363" s="1323"/>
      <c r="M363" s="1323"/>
      <c r="N363" s="1323"/>
      <c r="O363" s="1323"/>
      <c r="P363" s="1323"/>
      <c r="Q363" s="1323"/>
      <c r="R363" s="1323"/>
      <c r="S363" s="1323"/>
      <c r="T363" s="1323"/>
      <c r="U363" s="1323"/>
      <c r="V363" s="1323"/>
      <c r="W363" s="1323"/>
      <c r="X363" s="1323"/>
      <c r="Y363" s="1323"/>
      <c r="Z363" s="1323"/>
      <c r="AA363" s="1323"/>
      <c r="AB363" s="1323"/>
      <c r="AC363" s="1323"/>
      <c r="AD363" s="1323"/>
      <c r="AE363" s="1323"/>
      <c r="AF363" s="1323"/>
      <c r="AG363" s="1323"/>
      <c r="AH363" s="1323"/>
      <c r="AI363" s="1323"/>
      <c r="AJ363" s="1323"/>
      <c r="AK363" s="1323"/>
      <c r="AL363" s="6496"/>
      <c r="AM363" s="6497"/>
      <c r="AN363" s="6497"/>
      <c r="AO363" s="6497"/>
      <c r="AP363" s="1277"/>
      <c r="AQ363" s="1277"/>
      <c r="AR363" s="1277"/>
      <c r="AS363" s="1277"/>
      <c r="AT363" s="1277"/>
      <c r="AU363" s="1277"/>
      <c r="AV363" s="1323"/>
      <c r="AW363" s="1323"/>
      <c r="AX363" s="4195" t="s">
        <v>167</v>
      </c>
      <c r="AY363" s="1193" t="str">
        <f>"Multiply line 2 by "&amp;TEXT(BF363,"0.0000")</f>
        <v>Multiply line 2 by 0.2432</v>
      </c>
      <c r="AZ363" s="851"/>
      <c r="BA363" s="851"/>
      <c r="BB363" s="851"/>
      <c r="BC363" s="851"/>
      <c r="BD363" s="4196" t="s">
        <v>167</v>
      </c>
      <c r="BE363" s="2499" t="str">
        <f>IF(BE362&lt;&gt;"",ROUND(BE362*BF363,0),"")</f>
        <v/>
      </c>
      <c r="BF363" s="4198">
        <v>0.2432</v>
      </c>
      <c r="BG363" s="851"/>
      <c r="BH363" s="4194"/>
    </row>
    <row r="364" spans="1:60" ht="14.25" customHeight="1">
      <c r="A364" s="4157"/>
      <c r="B364" s="3879"/>
      <c r="C364" s="3879"/>
      <c r="D364" s="3879"/>
      <c r="E364" s="3879"/>
      <c r="F364" s="2002" t="s">
        <v>6399</v>
      </c>
      <c r="G364" s="1998"/>
      <c r="H364" s="1998"/>
      <c r="I364" s="1998"/>
      <c r="J364" s="1998"/>
      <c r="K364" s="1998"/>
      <c r="L364" s="1998"/>
      <c r="M364" s="1998"/>
      <c r="N364" s="1998"/>
      <c r="O364" s="1998"/>
      <c r="P364" s="1998"/>
      <c r="Q364" s="1998"/>
      <c r="R364" s="1998"/>
      <c r="S364" s="1998"/>
      <c r="T364" s="1998"/>
      <c r="U364" s="1998"/>
      <c r="V364" s="1998"/>
      <c r="W364" s="1998"/>
      <c r="X364" s="1998"/>
      <c r="Y364" s="1998"/>
      <c r="Z364" s="1998"/>
      <c r="AA364" s="1998"/>
      <c r="AB364" s="1998"/>
      <c r="AC364" s="1998"/>
      <c r="AD364" s="1998"/>
      <c r="AE364" s="1998"/>
      <c r="AF364" s="1998"/>
      <c r="AG364" s="1998"/>
      <c r="AH364" s="1998"/>
      <c r="AI364" s="1998"/>
      <c r="AJ364" s="1998"/>
      <c r="AK364" s="1998"/>
      <c r="AL364" s="8945">
        <f>SUM($AO$22,$AO$144,$AO$265)</f>
        <v>0</v>
      </c>
      <c r="AM364" s="8945"/>
      <c r="AN364" s="8945"/>
      <c r="AO364" s="6500" t="b">
        <f>AND(AL364&gt;0,AL362=MAX($AL$118,$AL$239,$AL$362),$AL$362&lt;&gt;$AL$118,$AL$362&lt;&gt;$AL$239)</f>
        <v>0</v>
      </c>
      <c r="AP364" s="1277"/>
      <c r="AQ364" s="1277"/>
      <c r="AR364" s="1277"/>
      <c r="AS364" s="1277"/>
      <c r="AT364" s="1277"/>
      <c r="AU364" s="1277"/>
      <c r="AV364" s="253"/>
      <c r="AW364" s="253"/>
      <c r="AX364" s="4195" t="s">
        <v>171</v>
      </c>
      <c r="AY364" s="1193" t="str">
        <f>"Enter your worldwide "&amp;TEXT(BF364,"0%")&amp;" gains (see instructions)"</f>
        <v>Enter your worldwide 25% gains (see instructions)</v>
      </c>
      <c r="AZ364" s="851"/>
      <c r="BA364" s="851"/>
      <c r="BB364" s="851"/>
      <c r="BC364" s="851"/>
      <c r="BD364" s="4196" t="s">
        <v>171</v>
      </c>
      <c r="BE364" s="443"/>
      <c r="BF364" s="4197">
        <v>0.25</v>
      </c>
      <c r="BG364" s="851"/>
      <c r="BH364" s="4194"/>
    </row>
    <row r="365" spans="1:60" ht="14.25" customHeight="1">
      <c r="A365" s="2112"/>
      <c r="B365" s="9029">
        <v>25</v>
      </c>
      <c r="C365" s="9029"/>
      <c r="D365" s="344" t="s">
        <v>2894</v>
      </c>
      <c r="E365" s="253"/>
      <c r="F365" s="511"/>
      <c r="G365" s="253"/>
      <c r="H365" s="253"/>
      <c r="I365" s="253"/>
      <c r="J365" s="253"/>
      <c r="K365" s="253"/>
      <c r="L365" s="253"/>
      <c r="M365" s="253"/>
      <c r="N365" s="253"/>
      <c r="O365" s="253"/>
      <c r="P365" s="253"/>
      <c r="Q365" s="253"/>
      <c r="R365" s="253"/>
      <c r="S365" s="253"/>
      <c r="T365" s="253"/>
      <c r="U365" s="253"/>
      <c r="V365" s="253"/>
      <c r="W365" s="253"/>
      <c r="X365" s="580"/>
      <c r="Y365" s="1401" t="s">
        <v>911</v>
      </c>
      <c r="Z365" s="8994">
        <v>25</v>
      </c>
      <c r="AA365" s="9030"/>
      <c r="AB365" s="8972" t="str">
        <f>IF(AO364,$AR$27,"")</f>
        <v/>
      </c>
      <c r="AC365" s="8973"/>
      <c r="AD365" s="8973"/>
      <c r="AE365" s="8973"/>
      <c r="AF365" s="8973"/>
      <c r="AG365" s="8973"/>
      <c r="AH365" s="8973"/>
      <c r="AI365" s="8974"/>
      <c r="AJ365" s="8976"/>
      <c r="AK365" s="7976"/>
      <c r="AL365" s="408"/>
      <c r="AM365" s="253"/>
      <c r="AN365" s="253"/>
      <c r="AO365" s="253"/>
      <c r="AP365" s="1277"/>
      <c r="AQ365" s="512" t="s">
        <v>588</v>
      </c>
      <c r="AR365" s="8970">
        <f>IF(C266&lt;&gt;"",AL362,0)</f>
        <v>0</v>
      </c>
      <c r="AS365" s="8970"/>
      <c r="AT365" s="8970"/>
      <c r="AU365" s="8970"/>
      <c r="AV365" s="253"/>
      <c r="AW365" s="253"/>
      <c r="AX365" s="4195" t="s">
        <v>184</v>
      </c>
      <c r="AY365" s="1193" t="str">
        <f>"Multiply line 4 by "&amp;TEXT(BF365,"0.0000")</f>
        <v>Multiply line 4 by 0.3243</v>
      </c>
      <c r="AZ365" s="851"/>
      <c r="BA365" s="851"/>
      <c r="BB365" s="851"/>
      <c r="BC365" s="851"/>
      <c r="BD365" s="4196" t="s">
        <v>184</v>
      </c>
      <c r="BE365" s="2499" t="str">
        <f>IF(BE364&lt;&gt;"",ROUND(BE364*BF365,0),"")</f>
        <v/>
      </c>
      <c r="BF365" s="4198">
        <v>0.32429999999999998</v>
      </c>
      <c r="BG365" s="851"/>
      <c r="BH365" s="4194"/>
    </row>
    <row r="366" spans="1:60" ht="14.25" customHeight="1">
      <c r="A366" s="2112"/>
      <c r="B366" s="9029">
        <v>26</v>
      </c>
      <c r="C366" s="9029"/>
      <c r="D366" s="344" t="s">
        <v>2895</v>
      </c>
      <c r="E366" s="253"/>
      <c r="F366" s="511"/>
      <c r="G366" s="253"/>
      <c r="H366" s="253"/>
      <c r="I366" s="253"/>
      <c r="J366" s="253"/>
      <c r="K366" s="253"/>
      <c r="L366" s="253"/>
      <c r="M366" s="253"/>
      <c r="N366" s="253"/>
      <c r="O366" s="253"/>
      <c r="P366" s="253"/>
      <c r="Q366" s="253"/>
      <c r="R366" s="253"/>
      <c r="S366" s="253"/>
      <c r="T366" s="253"/>
      <c r="U366" s="253"/>
      <c r="V366" s="253"/>
      <c r="W366" s="253"/>
      <c r="X366" s="580"/>
      <c r="Y366" s="1401" t="s">
        <v>874</v>
      </c>
      <c r="Z366" s="8994">
        <v>26</v>
      </c>
      <c r="AA366" s="9030"/>
      <c r="AB366" s="8972" t="str">
        <f>IF(AO364,$AR$28,"")</f>
        <v/>
      </c>
      <c r="AC366" s="8973"/>
      <c r="AD366" s="8973"/>
      <c r="AE366" s="8973"/>
      <c r="AF366" s="8973"/>
      <c r="AG366" s="8973"/>
      <c r="AH366" s="8973"/>
      <c r="AI366" s="8974"/>
      <c r="AJ366" s="8976"/>
      <c r="AK366" s="7976"/>
      <c r="AL366" s="408"/>
      <c r="AM366" s="253"/>
      <c r="AN366" s="253"/>
      <c r="AO366" s="253"/>
      <c r="AP366" s="1277"/>
      <c r="AQ366" s="512" t="s">
        <v>592</v>
      </c>
      <c r="AR366" s="8970">
        <f>IF(C268&lt;&gt;"",AL362,0)</f>
        <v>0</v>
      </c>
      <c r="AS366" s="8970"/>
      <c r="AT366" s="8970"/>
      <c r="AU366" s="8970"/>
      <c r="AV366" s="253"/>
      <c r="AW366" s="253"/>
      <c r="AX366" s="4195" t="s">
        <v>188</v>
      </c>
      <c r="AY366" s="1193" t="str">
        <f>"Enter your worldwide "&amp;TEXT(BF366,"0%")&amp;" gains (see instructions)"</f>
        <v>Enter your worldwide 20% gains (see instructions)</v>
      </c>
      <c r="AZ366" s="851"/>
      <c r="BA366" s="851"/>
      <c r="BB366" s="851"/>
      <c r="BC366" s="851"/>
      <c r="BD366" s="4196" t="s">
        <v>188</v>
      </c>
      <c r="BE366" s="443"/>
      <c r="BF366" s="4197">
        <v>0.2</v>
      </c>
      <c r="BG366" s="851"/>
      <c r="BH366" s="4194"/>
    </row>
    <row r="367" spans="1:60" ht="14.25" customHeight="1">
      <c r="A367" s="2112"/>
      <c r="B367" s="9029">
        <v>27</v>
      </c>
      <c r="C367" s="9029"/>
      <c r="D367" s="344" t="s">
        <v>2896</v>
      </c>
      <c r="E367" s="253"/>
      <c r="F367" s="511"/>
      <c r="G367" s="253"/>
      <c r="H367" s="253"/>
      <c r="I367" s="253"/>
      <c r="J367" s="253"/>
      <c r="K367" s="253"/>
      <c r="L367" s="253"/>
      <c r="M367" s="253"/>
      <c r="N367" s="253"/>
      <c r="O367" s="253"/>
      <c r="P367" s="253"/>
      <c r="Q367" s="253"/>
      <c r="R367" s="253"/>
      <c r="S367" s="253"/>
      <c r="T367" s="253"/>
      <c r="U367" s="253"/>
      <c r="V367" s="253"/>
      <c r="W367" s="253"/>
      <c r="X367" s="580"/>
      <c r="Y367" s="1401" t="s">
        <v>824</v>
      </c>
      <c r="Z367" s="8994">
        <v>27</v>
      </c>
      <c r="AA367" s="9030"/>
      <c r="AB367" s="8972" t="str">
        <f>IF(AO364,$AR$29,"")</f>
        <v/>
      </c>
      <c r="AC367" s="8973"/>
      <c r="AD367" s="8973"/>
      <c r="AE367" s="8973"/>
      <c r="AF367" s="8973"/>
      <c r="AG367" s="8973"/>
      <c r="AH367" s="8973"/>
      <c r="AI367" s="8974"/>
      <c r="AJ367" s="8976"/>
      <c r="AK367" s="7976"/>
      <c r="AL367" s="408"/>
      <c r="AM367" s="253"/>
      <c r="AN367" s="253"/>
      <c r="AO367" s="253"/>
      <c r="AP367" s="1277"/>
      <c r="AQ367" s="512" t="s">
        <v>595</v>
      </c>
      <c r="AR367" s="8970">
        <f>IF(K266&lt;&gt;"",AL362,0)</f>
        <v>0</v>
      </c>
      <c r="AS367" s="8970"/>
      <c r="AT367" s="8970"/>
      <c r="AU367" s="8970"/>
      <c r="AV367" s="253"/>
      <c r="AW367" s="253"/>
      <c r="AX367" s="4195" t="s">
        <v>198</v>
      </c>
      <c r="AY367" s="1193" t="str">
        <f>"Multiply line 6 by "&amp;TEXT(BF367,"0.0000")</f>
        <v>Multiply line 6 by 0.4595</v>
      </c>
      <c r="AZ367" s="851"/>
      <c r="BA367" s="851"/>
      <c r="BB367" s="851"/>
      <c r="BC367" s="851"/>
      <c r="BD367" s="4196" t="s">
        <v>198</v>
      </c>
      <c r="BE367" s="2499" t="str">
        <f>IF(BE366&lt;&gt;"",ROUND(BE366*BF367,0),"")</f>
        <v/>
      </c>
      <c r="BF367" s="4198">
        <v>0.45950000000000002</v>
      </c>
      <c r="BG367" s="851"/>
      <c r="BH367" s="4194"/>
    </row>
    <row r="368" spans="1:60" ht="14.25" customHeight="1">
      <c r="A368" s="2112"/>
      <c r="B368" s="9029">
        <v>28</v>
      </c>
      <c r="C368" s="9029"/>
      <c r="D368" s="344" t="s">
        <v>2899</v>
      </c>
      <c r="E368" s="253"/>
      <c r="F368" s="511"/>
      <c r="G368" s="253"/>
      <c r="H368" s="253"/>
      <c r="I368" s="253"/>
      <c r="J368" s="253"/>
      <c r="K368" s="253"/>
      <c r="L368" s="253"/>
      <c r="M368" s="253"/>
      <c r="N368" s="253"/>
      <c r="O368" s="253"/>
      <c r="P368" s="253"/>
      <c r="Q368" s="253"/>
      <c r="R368" s="253"/>
      <c r="S368" s="253"/>
      <c r="T368" s="253"/>
      <c r="U368" s="253"/>
      <c r="V368" s="253"/>
      <c r="W368" s="253"/>
      <c r="X368" s="580"/>
      <c r="Y368" s="1401" t="s">
        <v>824</v>
      </c>
      <c r="Z368" s="8994">
        <v>28</v>
      </c>
      <c r="AA368" s="9030"/>
      <c r="AB368" s="8972" t="str">
        <f>IF(AO364,$AR$30,"")</f>
        <v/>
      </c>
      <c r="AC368" s="8973"/>
      <c r="AD368" s="8973"/>
      <c r="AE368" s="8973"/>
      <c r="AF368" s="8973"/>
      <c r="AG368" s="8973"/>
      <c r="AH368" s="8973"/>
      <c r="AI368" s="8974"/>
      <c r="AJ368" s="8976"/>
      <c r="AK368" s="7976"/>
      <c r="AL368" s="408"/>
      <c r="AM368" s="253"/>
      <c r="AN368" s="253"/>
      <c r="AO368" s="253"/>
      <c r="AP368" s="1277"/>
      <c r="AQ368" s="512" t="s">
        <v>599</v>
      </c>
      <c r="AR368" s="8970">
        <f>IF(K268&lt;&gt;"",AL362,0)</f>
        <v>0</v>
      </c>
      <c r="AS368" s="8970"/>
      <c r="AT368" s="8970"/>
      <c r="AU368" s="8970"/>
      <c r="AV368" s="253"/>
      <c r="AW368" s="253"/>
      <c r="AX368" s="4195"/>
      <c r="AY368" s="1193"/>
      <c r="AZ368" s="851"/>
      <c r="BA368" s="851"/>
      <c r="BB368" s="851"/>
      <c r="BC368" s="851"/>
      <c r="BD368" s="851"/>
      <c r="BE368" s="990"/>
      <c r="BF368" s="4196"/>
      <c r="BG368" s="4196"/>
      <c r="BH368" s="4194"/>
    </row>
    <row r="369" spans="1:60" ht="18" customHeight="1">
      <c r="A369" s="2112"/>
      <c r="B369" s="9029">
        <v>29</v>
      </c>
      <c r="C369" s="9029"/>
      <c r="D369" s="344" t="s">
        <v>2902</v>
      </c>
      <c r="E369" s="253"/>
      <c r="F369" s="511"/>
      <c r="G369" s="253"/>
      <c r="H369" s="253"/>
      <c r="I369" s="253"/>
      <c r="J369" s="253"/>
      <c r="K369" s="253"/>
      <c r="L369" s="253"/>
      <c r="M369" s="253"/>
      <c r="N369" s="253"/>
      <c r="O369" s="253"/>
      <c r="P369" s="253"/>
      <c r="Q369" s="253"/>
      <c r="R369" s="253"/>
      <c r="S369" s="253"/>
      <c r="T369" s="253"/>
      <c r="U369" s="253"/>
      <c r="V369" s="253"/>
      <c r="W369" s="253"/>
      <c r="X369" s="580"/>
      <c r="Y369" s="1401" t="s">
        <v>874</v>
      </c>
      <c r="Z369" s="8994">
        <v>29</v>
      </c>
      <c r="AA369" s="9030"/>
      <c r="AB369" s="8972" t="str">
        <f>IF(AO364,$AR$31,"")</f>
        <v/>
      </c>
      <c r="AC369" s="8973"/>
      <c r="AD369" s="8973"/>
      <c r="AE369" s="8973"/>
      <c r="AF369" s="8973"/>
      <c r="AG369" s="8973"/>
      <c r="AH369" s="8973"/>
      <c r="AI369" s="8974"/>
      <c r="AJ369" s="8976"/>
      <c r="AK369" s="7976"/>
      <c r="AL369" s="408"/>
      <c r="AM369" s="253"/>
      <c r="AN369" s="253"/>
      <c r="AO369" s="253"/>
      <c r="AP369" s="1277"/>
      <c r="AQ369" s="512" t="s">
        <v>603</v>
      </c>
      <c r="AR369" s="8970">
        <f>IF(W266&lt;&gt;"",AL362,0)</f>
        <v>0</v>
      </c>
      <c r="AS369" s="8970"/>
      <c r="AT369" s="8970"/>
      <c r="AU369" s="8970"/>
      <c r="AV369" s="253"/>
      <c r="AW369" s="253"/>
      <c r="AX369" s="4195" t="s">
        <v>200</v>
      </c>
      <c r="AY369" s="1193" t="str">
        <f>"Enter your worldwide "&amp;TEXT(BF369,"0%")&amp;" gains (see instructions)"</f>
        <v>Enter your worldwide 15% gains (see instructions)</v>
      </c>
      <c r="AZ369" s="851"/>
      <c r="BA369" s="851"/>
      <c r="BB369" s="851"/>
      <c r="BC369" s="851"/>
      <c r="BD369" s="4196" t="s">
        <v>200</v>
      </c>
      <c r="BE369" s="443"/>
      <c r="BF369" s="4197">
        <v>0.15</v>
      </c>
      <c r="BG369" s="851"/>
      <c r="BH369" s="4194"/>
    </row>
    <row r="370" spans="1:60" ht="14.25">
      <c r="A370" s="2112"/>
      <c r="B370" s="9029">
        <v>30</v>
      </c>
      <c r="C370" s="9029"/>
      <c r="D370" s="344" t="s">
        <v>2903</v>
      </c>
      <c r="E370" s="253"/>
      <c r="F370" s="511"/>
      <c r="G370" s="253"/>
      <c r="H370" s="253"/>
      <c r="I370" s="253"/>
      <c r="J370" s="253"/>
      <c r="K370" s="253"/>
      <c r="L370" s="253"/>
      <c r="M370" s="253"/>
      <c r="N370" s="253"/>
      <c r="O370" s="253"/>
      <c r="P370" s="253"/>
      <c r="Q370" s="253"/>
      <c r="R370" s="253"/>
      <c r="S370" s="253"/>
      <c r="T370" s="253"/>
      <c r="U370" s="253"/>
      <c r="V370" s="253"/>
      <c r="W370" s="253"/>
      <c r="X370" s="580"/>
      <c r="Y370" s="1401" t="s">
        <v>808</v>
      </c>
      <c r="Z370" s="8994">
        <v>30</v>
      </c>
      <c r="AA370" s="9030"/>
      <c r="AB370" s="8972" t="str">
        <f>IF(AO364,$AR$32,"")</f>
        <v/>
      </c>
      <c r="AC370" s="8973"/>
      <c r="AD370" s="8973"/>
      <c r="AE370" s="8973"/>
      <c r="AF370" s="8973"/>
      <c r="AG370" s="8973"/>
      <c r="AH370" s="8973"/>
      <c r="AI370" s="8974"/>
      <c r="AJ370" s="8976"/>
      <c r="AK370" s="7976"/>
      <c r="AL370" s="408"/>
      <c r="AM370" s="253"/>
      <c r="AN370" s="253"/>
      <c r="AO370" s="253"/>
      <c r="AP370" s="1277"/>
      <c r="AQ370" s="512" t="s">
        <v>606</v>
      </c>
      <c r="AR370" s="8970">
        <f>IF(W268&lt;&gt;"",AL362,0)</f>
        <v>0</v>
      </c>
      <c r="AS370" s="8970"/>
      <c r="AT370" s="8970"/>
      <c r="AU370" s="8970"/>
      <c r="AV370" s="253"/>
      <c r="AW370" s="253"/>
      <c r="AX370" s="4195" t="s">
        <v>205</v>
      </c>
      <c r="AY370" s="1193" t="str">
        <f>"Multiply line 8 by "&amp;TEXT(BF370,"0.0000")</f>
        <v>Multiply line 8 by 0.5946</v>
      </c>
      <c r="AZ370" s="851"/>
      <c r="BA370" s="851"/>
      <c r="BB370" s="851"/>
      <c r="BC370" s="851"/>
      <c r="BD370" s="4196" t="s">
        <v>205</v>
      </c>
      <c r="BE370" s="2499" t="str">
        <f>IF(BE369&lt;&gt;"",ROUND(BE369*BF370,0),"")</f>
        <v/>
      </c>
      <c r="BF370" s="4198">
        <v>0.59460000000000002</v>
      </c>
      <c r="BG370" s="851"/>
      <c r="BH370" s="4194"/>
    </row>
    <row r="371" spans="1:60" ht="15" thickBot="1">
      <c r="A371" s="2112"/>
      <c r="B371" s="9029">
        <v>31</v>
      </c>
      <c r="C371" s="9029"/>
      <c r="D371" s="344" t="s">
        <v>2905</v>
      </c>
      <c r="E371" s="253"/>
      <c r="F371" s="511"/>
      <c r="G371" s="253"/>
      <c r="H371" s="253"/>
      <c r="I371" s="253"/>
      <c r="J371" s="253"/>
      <c r="K371" s="253"/>
      <c r="L371" s="253"/>
      <c r="M371" s="253"/>
      <c r="N371" s="253"/>
      <c r="O371" s="253"/>
      <c r="P371" s="253"/>
      <c r="Q371" s="253"/>
      <c r="R371" s="253"/>
      <c r="S371" s="253"/>
      <c r="T371" s="253"/>
      <c r="U371" s="253"/>
      <c r="V371" s="253"/>
      <c r="W371" s="253"/>
      <c r="X371" s="580"/>
      <c r="Y371" s="1401" t="s">
        <v>874</v>
      </c>
      <c r="Z371" s="9138">
        <v>31</v>
      </c>
      <c r="AA371" s="9139"/>
      <c r="AB371" s="9140" t="str">
        <f>IF(AO364,$AR$33,"")</f>
        <v/>
      </c>
      <c r="AC371" s="9141"/>
      <c r="AD371" s="9141"/>
      <c r="AE371" s="9141"/>
      <c r="AF371" s="9141"/>
      <c r="AG371" s="9141"/>
      <c r="AH371" s="9141"/>
      <c r="AI371" s="9142"/>
      <c r="AJ371" s="8976"/>
      <c r="AK371" s="7976"/>
      <c r="AL371" s="408"/>
      <c r="AM371" s="253"/>
      <c r="AN371" s="253"/>
      <c r="AO371" s="253"/>
      <c r="AP371" s="1277"/>
      <c r="AQ371" s="4204" t="s">
        <v>610</v>
      </c>
      <c r="AR371" s="8971">
        <f>IF(AI266&lt;&gt;"",AL362,0)</f>
        <v>0</v>
      </c>
      <c r="AS371" s="8971"/>
      <c r="AT371" s="8971"/>
      <c r="AU371" s="8971"/>
      <c r="AV371" s="253"/>
      <c r="AW371" s="253"/>
      <c r="AX371" s="4195" t="s">
        <v>210</v>
      </c>
      <c r="AY371" s="1193" t="str">
        <f>"Enter your worldwide "&amp;TEXT(BF371,"0%")&amp;" gains and qualified dividends"</f>
        <v>Enter your worldwide 0% gains and qualified dividends</v>
      </c>
      <c r="AZ371" s="851"/>
      <c r="BA371" s="851"/>
      <c r="BB371" s="851"/>
      <c r="BC371" s="851"/>
      <c r="BD371" s="4196"/>
      <c r="BE371" s="1029"/>
      <c r="BF371" s="4197">
        <v>0</v>
      </c>
      <c r="BG371" s="851"/>
      <c r="BH371" s="4194"/>
    </row>
    <row r="372" spans="1:60" ht="14.25">
      <c r="A372" s="2112"/>
      <c r="B372" s="9029">
        <v>32</v>
      </c>
      <c r="C372" s="9029"/>
      <c r="D372" s="344" t="s">
        <v>2907</v>
      </c>
      <c r="E372" s="253"/>
      <c r="F372" s="511"/>
      <c r="G372" s="253"/>
      <c r="H372" s="253"/>
      <c r="I372" s="253"/>
      <c r="J372" s="253"/>
      <c r="K372" s="253"/>
      <c r="L372" s="253"/>
      <c r="M372" s="253"/>
      <c r="N372" s="253"/>
      <c r="O372" s="253"/>
      <c r="P372" s="253"/>
      <c r="Q372" s="253"/>
      <c r="R372" s="253"/>
      <c r="S372" s="253"/>
      <c r="T372" s="253"/>
      <c r="U372" s="253"/>
      <c r="V372" s="253"/>
      <c r="W372" s="253"/>
      <c r="X372" s="253"/>
      <c r="Y372" s="253"/>
      <c r="Z372" s="1289"/>
      <c r="AA372" s="1289"/>
      <c r="AB372" s="406"/>
      <c r="AC372" s="406"/>
      <c r="AD372" s="406"/>
      <c r="AE372" s="406"/>
      <c r="AF372" s="406"/>
      <c r="AG372" s="406"/>
      <c r="AH372" s="406"/>
      <c r="AI372" s="1401" t="s">
        <v>871</v>
      </c>
      <c r="AJ372" s="8994">
        <v>32</v>
      </c>
      <c r="AK372" s="9030"/>
      <c r="AL372" s="8969" t="str">
        <f>IF(AQ372&lt;&gt;"",ROUND(AQ372,0),IF(NOT(AO364),"",SUM(AB365:AI371)))</f>
        <v/>
      </c>
      <c r="AM372" s="7827"/>
      <c r="AN372" s="7827"/>
      <c r="AO372" s="7827"/>
      <c r="AP372" s="1277"/>
      <c r="AQ372" s="8967"/>
      <c r="AR372" s="8968"/>
      <c r="AS372" s="8968"/>
      <c r="AT372" s="8968"/>
      <c r="AU372" s="1277"/>
      <c r="AV372" s="253"/>
      <c r="AW372" s="253"/>
      <c r="AX372" s="4193"/>
      <c r="AY372" s="1193" t="s">
        <v>2018</v>
      </c>
      <c r="AZ372" s="851"/>
      <c r="BA372" s="851"/>
      <c r="BB372" s="851"/>
      <c r="BC372" s="851"/>
      <c r="BD372" s="4196" t="s">
        <v>210</v>
      </c>
      <c r="BE372" s="443"/>
      <c r="BF372" s="851"/>
      <c r="BG372" s="990">
        <f>ROUND(BE372,0)</f>
        <v>0</v>
      </c>
      <c r="BH372" s="4194"/>
    </row>
    <row r="373" spans="1:60" ht="14.25">
      <c r="A373" s="2112"/>
      <c r="B373" s="9029">
        <v>33</v>
      </c>
      <c r="C373" s="9029"/>
      <c r="D373" s="344" t="s">
        <v>2909</v>
      </c>
      <c r="E373" s="253"/>
      <c r="F373" s="511"/>
      <c r="G373" s="253"/>
      <c r="H373" s="253"/>
      <c r="I373" s="253"/>
      <c r="J373" s="253"/>
      <c r="K373" s="253"/>
      <c r="L373" s="253"/>
      <c r="M373" s="253"/>
      <c r="N373" s="253"/>
      <c r="O373" s="253"/>
      <c r="P373" s="253"/>
      <c r="Q373" s="253"/>
      <c r="R373" s="253"/>
      <c r="S373" s="253"/>
      <c r="T373" s="253"/>
      <c r="U373" s="253"/>
      <c r="V373" s="253"/>
      <c r="W373" s="253"/>
      <c r="X373" s="253"/>
      <c r="Y373" s="253"/>
      <c r="Z373" s="817"/>
      <c r="AA373" s="817"/>
      <c r="AB373" s="253"/>
      <c r="AC373" s="253"/>
      <c r="AD373" s="253"/>
      <c r="AE373" s="253"/>
      <c r="AF373" s="253"/>
      <c r="AG373" s="253"/>
      <c r="AH373" s="253"/>
      <c r="AI373" s="1401" t="s">
        <v>1859</v>
      </c>
      <c r="AJ373" s="8994">
        <v>33</v>
      </c>
      <c r="AK373" s="9030"/>
      <c r="AL373" s="8969" t="str">
        <f>IF(NOT(AO364),"",IF(NOT(AO364),"",IF(ISERROR(MIN(AL356,AL372)),"",MIN(AL356,AL372))))</f>
        <v/>
      </c>
      <c r="AM373" s="7827"/>
      <c r="AN373" s="7827"/>
      <c r="AO373" s="7827"/>
      <c r="AP373" s="1277"/>
      <c r="AQ373" s="1277"/>
      <c r="AR373" s="1277"/>
      <c r="AS373" s="1277"/>
      <c r="AT373" s="1277"/>
      <c r="AU373" s="1277"/>
      <c r="AV373" s="253"/>
      <c r="AW373" s="253"/>
      <c r="AX373" s="4195" t="s">
        <v>212</v>
      </c>
      <c r="AY373" s="1193" t="s">
        <v>2891</v>
      </c>
      <c r="AZ373" s="851"/>
      <c r="BA373" s="851"/>
      <c r="BB373" s="851"/>
      <c r="BC373" s="851"/>
      <c r="BD373" s="851"/>
      <c r="BE373" s="990" t="b">
        <f>OR(BE362&lt;&gt;"",BE364&lt;&gt;"",BE367&lt;&gt;"",BE370&lt;&gt;"",BE372&lt;&gt;"")</f>
        <v>0</v>
      </c>
      <c r="BF373" s="4196" t="s">
        <v>212</v>
      </c>
      <c r="BG373" s="2499" t="str">
        <f>IF(BE373,SUM(BE363,BE365,BE367,BE370,BG372),IF(AB346,"",0))</f>
        <v/>
      </c>
      <c r="BH373" s="4194"/>
    </row>
    <row r="374" spans="1:60" ht="15" thickBot="1">
      <c r="A374" s="2112"/>
      <c r="B374" s="9029">
        <v>34</v>
      </c>
      <c r="C374" s="9029"/>
      <c r="D374" s="344" t="s">
        <v>2910</v>
      </c>
      <c r="E374" s="253"/>
      <c r="F374" s="511"/>
      <c r="G374" s="253"/>
      <c r="H374" s="253"/>
      <c r="I374" s="253"/>
      <c r="J374" s="253"/>
      <c r="K374" s="253"/>
      <c r="L374" s="253"/>
      <c r="M374" s="253"/>
      <c r="N374" s="253"/>
      <c r="O374" s="253"/>
      <c r="P374" s="253"/>
      <c r="Q374" s="253"/>
      <c r="R374" s="253"/>
      <c r="S374" s="253"/>
      <c r="T374" s="253"/>
      <c r="U374" s="253"/>
      <c r="V374" s="253"/>
      <c r="W374" s="253"/>
      <c r="X374" s="253"/>
      <c r="Y374" s="253"/>
      <c r="Z374" s="817"/>
      <c r="AA374" s="817"/>
      <c r="AB374" s="253"/>
      <c r="AC374" s="253"/>
      <c r="AD374" s="253"/>
      <c r="AE374" s="253"/>
      <c r="AF374" s="253"/>
      <c r="AG374" s="253"/>
      <c r="AH374" s="253"/>
      <c r="AI374" s="1401" t="s">
        <v>808</v>
      </c>
      <c r="AJ374" s="9138">
        <v>34</v>
      </c>
      <c r="AK374" s="9139"/>
      <c r="AL374" s="9181"/>
      <c r="AM374" s="9182"/>
      <c r="AN374" s="9182"/>
      <c r="AO374" s="9182"/>
      <c r="AP374" s="1277"/>
      <c r="AQ374" s="253"/>
      <c r="AR374" s="253"/>
      <c r="AS374" s="253"/>
      <c r="AT374" s="253"/>
      <c r="AU374" s="253"/>
      <c r="AV374" s="253"/>
      <c r="AW374" s="253"/>
      <c r="AX374" s="4195" t="s">
        <v>1366</v>
      </c>
      <c r="AY374" s="1193" t="s">
        <v>2893</v>
      </c>
      <c r="AZ374" s="851"/>
      <c r="BA374" s="851"/>
      <c r="BB374" s="851"/>
      <c r="BC374" s="851"/>
      <c r="BD374" s="851"/>
      <c r="BE374" s="851"/>
      <c r="BF374" s="4196" t="s">
        <v>1366</v>
      </c>
      <c r="BG374" s="2499" t="str">
        <f>IF(BG373="","",MAX(0,SUM(BG361,-BG373)))</f>
        <v/>
      </c>
      <c r="BH374" s="4194"/>
    </row>
    <row r="375" spans="1:60" ht="13.5" thickBot="1">
      <c r="A375" s="2112"/>
      <c r="B375" s="9029">
        <v>35</v>
      </c>
      <c r="C375" s="9029"/>
      <c r="D375" s="344" t="s">
        <v>2911</v>
      </c>
      <c r="E375" s="253"/>
      <c r="F375" s="253"/>
      <c r="G375" s="253"/>
      <c r="H375" s="253"/>
      <c r="I375" s="253"/>
      <c r="J375" s="253"/>
      <c r="K375" s="253"/>
      <c r="L375" s="253"/>
      <c r="M375" s="253"/>
      <c r="N375" s="253"/>
      <c r="O375" s="253"/>
      <c r="P375" s="253"/>
      <c r="Q375" s="253"/>
      <c r="R375" s="253"/>
      <c r="S375" s="253"/>
      <c r="T375" s="794"/>
      <c r="U375" s="253"/>
      <c r="V375" s="253"/>
      <c r="W375" s="253"/>
      <c r="X375" s="253"/>
      <c r="Y375" s="253"/>
      <c r="Z375" s="253"/>
      <c r="AA375" s="253"/>
      <c r="AB375" s="253"/>
      <c r="AC375" s="253"/>
      <c r="AD375" s="253"/>
      <c r="AE375" s="253"/>
      <c r="AF375" s="253"/>
      <c r="AG375" s="253"/>
      <c r="AH375" s="253"/>
      <c r="AI375" s="253"/>
      <c r="AJ375" s="9118"/>
      <c r="AK375" s="9119"/>
      <c r="AL375" s="408"/>
      <c r="AM375" s="253"/>
      <c r="AN375" s="253"/>
      <c r="AO375" s="253"/>
      <c r="AP375" s="1277"/>
      <c r="AQ375" s="1277"/>
      <c r="AR375" s="1277"/>
      <c r="AS375" s="1277"/>
      <c r="AT375" s="1277"/>
      <c r="AU375" s="1277"/>
      <c r="AV375" s="253"/>
      <c r="AW375" s="253"/>
      <c r="AX375" s="4201"/>
      <c r="AY375" s="6502" t="s">
        <v>6404</v>
      </c>
      <c r="AZ375" s="1194"/>
      <c r="BA375" s="1194"/>
      <c r="BB375" s="1194"/>
      <c r="BC375" s="1194"/>
      <c r="BD375" s="1194"/>
      <c r="BE375" s="1194"/>
      <c r="BF375" s="1194"/>
      <c r="BG375" s="1194"/>
      <c r="BH375" s="4202"/>
    </row>
    <row r="376" spans="1:60" ht="15.75" thickBot="1">
      <c r="A376" s="2112"/>
      <c r="B376" s="4200"/>
      <c r="C376" s="4200"/>
      <c r="D376" s="498" t="s">
        <v>2912</v>
      </c>
      <c r="E376" s="380"/>
      <c r="F376" s="380"/>
      <c r="G376" s="380"/>
      <c r="H376" s="380"/>
      <c r="I376" s="380"/>
      <c r="J376" s="380"/>
      <c r="K376" s="380"/>
      <c r="L376" s="380"/>
      <c r="M376" s="380"/>
      <c r="N376" s="380"/>
      <c r="O376" s="380"/>
      <c r="P376" s="380"/>
      <c r="Q376" s="380"/>
      <c r="R376" s="380"/>
      <c r="S376" s="380"/>
      <c r="T376" s="4206"/>
      <c r="U376" s="380"/>
      <c r="V376" s="380"/>
      <c r="W376" s="380"/>
      <c r="X376" s="380"/>
      <c r="Y376" s="380"/>
      <c r="Z376" s="380"/>
      <c r="AA376" s="380"/>
      <c r="AB376" s="380"/>
      <c r="AC376" s="380"/>
      <c r="AD376" s="380"/>
      <c r="AE376" s="380"/>
      <c r="AF376" s="380"/>
      <c r="AG376" s="380"/>
      <c r="AH376" s="380"/>
      <c r="AI376" s="1658" t="s">
        <v>784</v>
      </c>
      <c r="AJ376" s="9121">
        <v>35</v>
      </c>
      <c r="AK376" s="9122"/>
      <c r="AL376" s="8965" t="str">
        <f>IF(AQ376&lt;&gt;"",ROUND(AQ376,0),IF(AND(AL364=1,AO266=1),AL362,IF(NOT(AO364),"",IF(ISERROR(SUM(AL373,-AL374)),"",SUM(AL373,-AL374)))))</f>
        <v/>
      </c>
      <c r="AM376" s="8966"/>
      <c r="AN376" s="8966"/>
      <c r="AO376" s="8966"/>
      <c r="AP376" s="1277"/>
      <c r="AQ376" s="8967"/>
      <c r="AR376" s="8968"/>
      <c r="AS376" s="8968"/>
      <c r="AT376" s="8968"/>
      <c r="AU376" s="1277"/>
      <c r="AV376" s="253"/>
      <c r="AW376" s="253"/>
      <c r="AX376" s="769"/>
      <c r="AY376" s="964"/>
      <c r="AZ376" s="964"/>
      <c r="BA376" s="964"/>
      <c r="BB376" s="964"/>
      <c r="BC376" s="964"/>
      <c r="BD376" s="964"/>
      <c r="BE376" s="964"/>
      <c r="BF376" s="964"/>
      <c r="BG376" s="964"/>
      <c r="BH376" s="964"/>
    </row>
    <row r="377" spans="1:60" ht="18">
      <c r="A377" s="2112"/>
      <c r="B377" s="1218"/>
      <c r="C377" s="2373"/>
      <c r="D377" s="253"/>
      <c r="E377" s="253"/>
      <c r="F377" s="253"/>
      <c r="G377" s="253"/>
      <c r="H377" s="253"/>
      <c r="I377" s="253"/>
      <c r="J377" s="253"/>
      <c r="K377" s="253"/>
      <c r="L377" s="253"/>
      <c r="M377" s="253"/>
      <c r="N377" s="253"/>
      <c r="O377" s="253"/>
      <c r="P377" s="253"/>
      <c r="Q377" s="253"/>
      <c r="R377" s="253"/>
      <c r="S377" s="253"/>
      <c r="T377" s="253"/>
      <c r="U377" s="253"/>
      <c r="V377" s="253"/>
      <c r="W377" s="253"/>
      <c r="X377" s="253"/>
      <c r="Y377" s="253"/>
      <c r="Z377" s="253"/>
      <c r="AA377" s="253"/>
      <c r="AB377" s="253"/>
      <c r="AC377" s="253"/>
      <c r="AD377" s="253"/>
      <c r="AE377" s="253"/>
      <c r="AF377" s="253"/>
      <c r="AG377" s="253"/>
      <c r="AH377" s="253"/>
      <c r="AI377" s="253"/>
      <c r="AJ377" s="253"/>
      <c r="AK377" s="1061"/>
      <c r="AL377" s="253"/>
      <c r="AM377" s="253"/>
      <c r="AN377" s="1061" t="s">
        <v>2913</v>
      </c>
      <c r="AO377" s="416" t="str">
        <f>"("&amp;TaxYear&amp;")"</f>
        <v>(2025)</v>
      </c>
      <c r="AP377" s="1277"/>
      <c r="AQ377" s="1277"/>
      <c r="AR377" s="1277"/>
      <c r="AS377" s="1277"/>
      <c r="AT377" s="1277"/>
      <c r="AU377" s="1277"/>
      <c r="AV377" s="253"/>
      <c r="AW377" s="253"/>
      <c r="AX377" s="769"/>
      <c r="AY377" s="964"/>
      <c r="AZ377" s="964"/>
      <c r="BA377" s="964"/>
      <c r="BB377" s="964"/>
      <c r="BC377" s="964"/>
      <c r="BD377" s="964"/>
      <c r="BE377" s="964"/>
      <c r="BF377" s="964"/>
      <c r="BG377" s="964"/>
      <c r="BH377" s="964"/>
    </row>
    <row r="378" spans="1:60">
      <c r="A378" s="2112"/>
      <c r="B378" s="1277"/>
      <c r="C378" s="1277"/>
      <c r="D378" s="1277"/>
      <c r="E378" s="1277"/>
      <c r="F378" s="1277"/>
      <c r="G378" s="1277"/>
      <c r="H378" s="1277"/>
      <c r="I378" s="1277"/>
      <c r="J378" s="1277"/>
      <c r="K378" s="1277"/>
      <c r="L378" s="1277"/>
      <c r="M378" s="1277"/>
      <c r="N378" s="1277"/>
      <c r="O378" s="1277"/>
      <c r="P378" s="1277"/>
      <c r="Q378" s="1277"/>
      <c r="R378" s="1277"/>
      <c r="S378" s="1277"/>
      <c r="T378" s="1277"/>
      <c r="U378" s="1277"/>
      <c r="V378" s="1277"/>
      <c r="W378" s="1277"/>
      <c r="X378" s="1277"/>
      <c r="Y378" s="1277"/>
      <c r="Z378" s="1277"/>
      <c r="AA378" s="1277"/>
      <c r="AB378" s="1277"/>
      <c r="AC378" s="1277"/>
      <c r="AD378" s="1277"/>
      <c r="AE378" s="1277"/>
      <c r="AF378" s="1277"/>
      <c r="AG378" s="1277"/>
      <c r="AH378" s="1277"/>
      <c r="AI378" s="1277"/>
      <c r="AJ378" s="1277"/>
      <c r="AK378" s="1277"/>
      <c r="AL378" s="1277"/>
      <c r="AM378" s="1277"/>
      <c r="AN378" s="1277"/>
      <c r="AO378" s="1277"/>
      <c r="AP378" s="1277"/>
      <c r="AQ378" s="253"/>
      <c r="AR378" s="253"/>
      <c r="AS378" s="253"/>
      <c r="AT378" s="253"/>
      <c r="AU378" s="253"/>
      <c r="AV378" s="253"/>
      <c r="AW378" s="253"/>
      <c r="AX378" s="769"/>
      <c r="AY378" s="969" t="s">
        <v>2897</v>
      </c>
      <c r="AZ378" s="964"/>
      <c r="BA378" s="964"/>
      <c r="BB378" s="971" t="str">
        <f>IF(ISERROR(SUM(AL359,-ForeignTaxCredit_3))," ---",MAX(SUM(AL359,-ForeignTaxCredit_3),0))</f>
        <v xml:space="preserve"> ---</v>
      </c>
      <c r="BC378" s="973" t="s">
        <v>2898</v>
      </c>
      <c r="BD378" s="964"/>
      <c r="BE378" s="964"/>
      <c r="BF378" s="964"/>
      <c r="BG378" s="964"/>
      <c r="BH378" s="964"/>
    </row>
    <row r="379" spans="1:60">
      <c r="AX379" s="769"/>
      <c r="AY379" s="969" t="s">
        <v>2900</v>
      </c>
      <c r="AZ379" s="964"/>
      <c r="BA379" s="964"/>
      <c r="BB379" s="972" t="str">
        <f>IF(ISERROR(SUM(AL338,-ForeignTaxCredit_3))," ---",MAX(SUM(AL338,-ForeignTaxCredit_3),0))</f>
        <v xml:space="preserve"> ---</v>
      </c>
      <c r="BC379" s="973" t="s">
        <v>2901</v>
      </c>
      <c r="BD379" s="964"/>
      <c r="BE379" s="964"/>
      <c r="BF379" s="964"/>
      <c r="BG379" s="964"/>
      <c r="BH379" s="964"/>
    </row>
    <row r="380" spans="1:60">
      <c r="AX380" s="769"/>
      <c r="AY380" s="969"/>
      <c r="AZ380" s="964"/>
      <c r="BA380" s="964"/>
      <c r="BB380" s="964"/>
      <c r="BC380" s="964"/>
      <c r="BD380" s="964"/>
      <c r="BE380" s="964"/>
      <c r="BF380" s="964"/>
      <c r="BG380" s="964"/>
      <c r="BH380" s="964"/>
    </row>
    <row r="381" spans="1:60">
      <c r="AX381" s="769"/>
      <c r="AY381" s="969" t="s">
        <v>2904</v>
      </c>
      <c r="AZ381" s="964"/>
      <c r="BA381" s="964"/>
      <c r="BB381" s="964"/>
      <c r="BC381" s="964"/>
      <c r="BD381" s="964"/>
      <c r="BE381" s="964"/>
      <c r="BF381" s="964"/>
      <c r="BG381" s="964"/>
      <c r="BH381" s="964"/>
    </row>
    <row r="382" spans="1:60">
      <c r="AX382" s="769"/>
      <c r="AY382" s="969" t="s">
        <v>2906</v>
      </c>
      <c r="AZ382" s="964"/>
      <c r="BA382" s="964"/>
      <c r="BB382" s="964"/>
      <c r="BC382" s="964"/>
      <c r="BD382" s="964"/>
      <c r="BE382" s="964"/>
      <c r="BF382" s="964"/>
      <c r="BG382" s="964"/>
      <c r="BH382" s="964"/>
    </row>
    <row r="383" spans="1:60">
      <c r="AX383" s="769"/>
      <c r="AY383" s="970" t="s">
        <v>2908</v>
      </c>
      <c r="AZ383" s="964"/>
      <c r="BA383" s="964"/>
      <c r="BB383" s="964"/>
      <c r="BC383" s="964"/>
      <c r="BD383" s="964"/>
      <c r="BE383" s="964"/>
      <c r="BF383" s="964"/>
      <c r="BG383" s="964"/>
      <c r="BH383" s="964"/>
    </row>
    <row r="384" spans="1:60">
      <c r="AX384" s="769"/>
      <c r="AY384" s="970"/>
      <c r="AZ384" s="964"/>
      <c r="BA384" s="964"/>
      <c r="BB384" s="964"/>
      <c r="BC384" s="964"/>
      <c r="BD384" s="964"/>
      <c r="BE384" s="964"/>
      <c r="BF384" s="964"/>
      <c r="BG384" s="964"/>
      <c r="BH384" s="964"/>
    </row>
    <row r="385" spans="50:60">
      <c r="AX385" s="769"/>
      <c r="AY385" s="969"/>
      <c r="AZ385" s="964"/>
      <c r="BA385" s="964"/>
      <c r="BB385" s="964"/>
      <c r="BC385" s="964"/>
      <c r="BD385" s="964"/>
      <c r="BE385" s="964"/>
      <c r="BF385" s="964"/>
      <c r="BG385" s="964"/>
      <c r="BH385" s="964"/>
    </row>
    <row r="386" spans="50:60">
      <c r="AX386" s="769"/>
      <c r="AY386" s="969"/>
      <c r="AZ386" s="964"/>
      <c r="BA386" s="964"/>
      <c r="BB386" s="964"/>
      <c r="BC386" s="964"/>
      <c r="BD386" s="964"/>
      <c r="BE386" s="964"/>
      <c r="BF386" s="964"/>
      <c r="BG386" s="964"/>
      <c r="BH386" s="964"/>
    </row>
    <row r="387" spans="50:60">
      <c r="AX387" s="769"/>
      <c r="AY387" s="969"/>
      <c r="AZ387" s="964"/>
      <c r="BA387" s="964"/>
      <c r="BB387" s="964"/>
      <c r="BC387" s="964"/>
      <c r="BD387" s="964"/>
      <c r="BE387" s="964"/>
      <c r="BF387" s="964"/>
      <c r="BG387" s="964"/>
      <c r="BH387" s="964"/>
    </row>
    <row r="388" spans="50:60">
      <c r="AX388" s="769"/>
      <c r="AY388" s="969"/>
      <c r="AZ388" s="964"/>
      <c r="BA388" s="964"/>
      <c r="BB388" s="964"/>
      <c r="BC388" s="964"/>
      <c r="BD388" s="964"/>
      <c r="BE388" s="964"/>
      <c r="BF388" s="964"/>
      <c r="BG388" s="964"/>
      <c r="BH388" s="964"/>
    </row>
    <row r="389" spans="50:60">
      <c r="AX389" s="769"/>
      <c r="AY389" s="969"/>
      <c r="AZ389" s="964"/>
      <c r="BA389" s="964"/>
      <c r="BB389" s="964"/>
      <c r="BC389" s="964"/>
      <c r="BD389" s="964"/>
      <c r="BE389" s="964"/>
      <c r="BF389" s="964"/>
      <c r="BG389" s="964"/>
      <c r="BH389" s="964"/>
    </row>
    <row r="390" spans="50:60">
      <c r="AX390" s="769"/>
      <c r="AY390" s="969"/>
      <c r="AZ390" s="964"/>
      <c r="BA390" s="964"/>
      <c r="BB390" s="964"/>
      <c r="BC390" s="964"/>
      <c r="BD390" s="964"/>
      <c r="BE390" s="964"/>
      <c r="BF390" s="964"/>
      <c r="BG390" s="964"/>
      <c r="BH390" s="964"/>
    </row>
  </sheetData>
  <sheetProtection algorithmName="SHA-512" hashValue="pKi7scy9xJpLZF8F49fv/6ml+3M5TCtBvlTfXNNs5pRV3rCmob/PpFqOW+0r+AFoNTa+GmyTeuZ9mZF1gPgjZg==" saltValue="/K/j1hsir1UUgjds5b55ng==" spinCount="100000" sheet="1" formatCells="0" formatColumns="0" formatRows="0"/>
  <mergeCells count="1027">
    <mergeCell ref="AQ237:AT237"/>
    <mergeCell ref="AQ116:AT116"/>
    <mergeCell ref="B6:C6"/>
    <mergeCell ref="B8:C8"/>
    <mergeCell ref="B10:C10"/>
    <mergeCell ref="AQ224:AU224"/>
    <mergeCell ref="AR21:AU21"/>
    <mergeCell ref="AR31:AU31"/>
    <mergeCell ref="AR123:AU123"/>
    <mergeCell ref="AR121:AU121"/>
    <mergeCell ref="AR122:AU122"/>
    <mergeCell ref="AQ118:AT118"/>
    <mergeCell ref="AQ80:AT80"/>
    <mergeCell ref="AQ104:AW104"/>
    <mergeCell ref="AQ110:AT110"/>
    <mergeCell ref="B223:C223"/>
    <mergeCell ref="B208:C208"/>
    <mergeCell ref="AJ208:AK208"/>
    <mergeCell ref="L27:AO27"/>
    <mergeCell ref="B219:C219"/>
    <mergeCell ref="B216:C216"/>
    <mergeCell ref="AJ217:AK217"/>
    <mergeCell ref="Z221:AA221"/>
    <mergeCell ref="AB221:AI221"/>
    <mergeCell ref="AJ221:AK221"/>
    <mergeCell ref="Z224:AA224"/>
    <mergeCell ref="AB224:AI224"/>
    <mergeCell ref="AJ222:AK222"/>
    <mergeCell ref="B209:C209"/>
    <mergeCell ref="Z209:AA209"/>
    <mergeCell ref="AR27:AU27"/>
    <mergeCell ref="AR28:AU28"/>
    <mergeCell ref="AR29:AU29"/>
    <mergeCell ref="AR30:AU30"/>
    <mergeCell ref="AQ103:AU103"/>
    <mergeCell ref="AQ233:AT233"/>
    <mergeCell ref="Z242:AA242"/>
    <mergeCell ref="AB242:AI242"/>
    <mergeCell ref="AJ242:AK242"/>
    <mergeCell ref="AR242:AU242"/>
    <mergeCell ref="AB225:AI225"/>
    <mergeCell ref="AL225:AO225"/>
    <mergeCell ref="AR32:AU32"/>
    <mergeCell ref="AR33:AU33"/>
    <mergeCell ref="AI199:AL199"/>
    <mergeCell ref="AM199:AO199"/>
    <mergeCell ref="AL185:AO185"/>
    <mergeCell ref="AQ185:AT185"/>
    <mergeCell ref="AM201:AO201"/>
    <mergeCell ref="AB220:AI220"/>
    <mergeCell ref="AJ220:AK220"/>
    <mergeCell ref="Z216:AA216"/>
    <mergeCell ref="AQ231:AT231"/>
    <mergeCell ref="AJ238:AK238"/>
    <mergeCell ref="AL238:AO238"/>
    <mergeCell ref="AJ239:AK239"/>
    <mergeCell ref="Z228:AA228"/>
    <mergeCell ref="AB228:AI228"/>
    <mergeCell ref="AL224:AO224"/>
    <mergeCell ref="Z208:AA208"/>
    <mergeCell ref="Z219:AA219"/>
    <mergeCell ref="AJ219:AK219"/>
    <mergeCell ref="Z220:AA220"/>
    <mergeCell ref="AJ225:AK225"/>
    <mergeCell ref="AG10:AN10"/>
    <mergeCell ref="B248:C248"/>
    <mergeCell ref="Z248:AA248"/>
    <mergeCell ref="AB248:AI248"/>
    <mergeCell ref="AJ227:AK227"/>
    <mergeCell ref="D37:N37"/>
    <mergeCell ref="B217:C217"/>
    <mergeCell ref="B221:C221"/>
    <mergeCell ref="B222:C222"/>
    <mergeCell ref="B214:C214"/>
    <mergeCell ref="B215:C215"/>
    <mergeCell ref="AJ215:AK215"/>
    <mergeCell ref="AB216:AI216"/>
    <mergeCell ref="Z222:AA222"/>
    <mergeCell ref="AJ164:AK164"/>
    <mergeCell ref="AJ165:AK165"/>
    <mergeCell ref="AJ166:AK166"/>
    <mergeCell ref="Z225:AA225"/>
    <mergeCell ref="AL215:AO215"/>
    <mergeCell ref="Z223:AA223"/>
    <mergeCell ref="AJ223:AK223"/>
    <mergeCell ref="AL217:AO217"/>
    <mergeCell ref="AJ248:AK248"/>
    <mergeCell ref="AL214:AO214"/>
    <mergeCell ref="AJ224:AK224"/>
    <mergeCell ref="M12:Z13"/>
    <mergeCell ref="AM200:AO200"/>
    <mergeCell ref="AE195:AH198"/>
    <mergeCell ref="AL237:AO237"/>
    <mergeCell ref="AJ226:AK226"/>
    <mergeCell ref="B225:C225"/>
    <mergeCell ref="AL231:AO231"/>
    <mergeCell ref="AR247:AU247"/>
    <mergeCell ref="AR248:AU248"/>
    <mergeCell ref="B258:G259"/>
    <mergeCell ref="H258:AH258"/>
    <mergeCell ref="B289:C289"/>
    <mergeCell ref="AR246:AU246"/>
    <mergeCell ref="B250:C250"/>
    <mergeCell ref="B251:C251"/>
    <mergeCell ref="AL362:AO362"/>
    <mergeCell ref="AJ290:AK290"/>
    <mergeCell ref="AJ280:AK280"/>
    <mergeCell ref="W281:AC281"/>
    <mergeCell ref="O320:S320"/>
    <mergeCell ref="T320:W320"/>
    <mergeCell ref="X320:Z320"/>
    <mergeCell ref="AJ350:AK350"/>
    <mergeCell ref="B276:C276"/>
    <mergeCell ref="P276:V276"/>
    <mergeCell ref="W276:AC276"/>
    <mergeCell ref="AD276:AI276"/>
    <mergeCell ref="Z348:AA348"/>
    <mergeCell ref="AJ348:AK348"/>
    <mergeCell ref="Z342:AA342"/>
    <mergeCell ref="AB342:AI342"/>
    <mergeCell ref="C322:G322"/>
    <mergeCell ref="B291:C291"/>
    <mergeCell ref="W305:AC305"/>
    <mergeCell ref="AD305:AI305"/>
    <mergeCell ref="AJ305:AK305"/>
    <mergeCell ref="B306:C306"/>
    <mergeCell ref="B299:C299"/>
    <mergeCell ref="P303:V303"/>
    <mergeCell ref="W303:AC303"/>
    <mergeCell ref="AD303:AI303"/>
    <mergeCell ref="AJ303:AK303"/>
    <mergeCell ref="P299:V299"/>
    <mergeCell ref="W299:AC299"/>
    <mergeCell ref="B295:C295"/>
    <mergeCell ref="P295:V295"/>
    <mergeCell ref="W295:AC295"/>
    <mergeCell ref="AD295:AI295"/>
    <mergeCell ref="AJ295:AK295"/>
    <mergeCell ref="B296:C296"/>
    <mergeCell ref="P296:V296"/>
    <mergeCell ref="W296:AC296"/>
    <mergeCell ref="AD296:AI296"/>
    <mergeCell ref="AJ296:AK296"/>
    <mergeCell ref="AD299:AI299"/>
    <mergeCell ref="AJ299:AK299"/>
    <mergeCell ref="B300:C300"/>
    <mergeCell ref="P300:V300"/>
    <mergeCell ref="W300:AC300"/>
    <mergeCell ref="AD300:AI300"/>
    <mergeCell ref="AJ300:AK300"/>
    <mergeCell ref="B297:C297"/>
    <mergeCell ref="P297:V297"/>
    <mergeCell ref="W297:AC297"/>
    <mergeCell ref="AD297:AI297"/>
    <mergeCell ref="AJ297:AK297"/>
    <mergeCell ref="AJ301:AK301"/>
    <mergeCell ref="B302:C302"/>
    <mergeCell ref="W298:AC298"/>
    <mergeCell ref="AD298:AI298"/>
    <mergeCell ref="AJ298:AK298"/>
    <mergeCell ref="AB346:AI346"/>
    <mergeCell ref="AL346:AO346"/>
    <mergeCell ref="AQ346:AW346"/>
    <mergeCell ref="AL338:AO338"/>
    <mergeCell ref="AM322:AO322"/>
    <mergeCell ref="AI320:AL320"/>
    <mergeCell ref="AM320:AO320"/>
    <mergeCell ref="AM321:AO321"/>
    <mergeCell ref="AE316:AH319"/>
    <mergeCell ref="AE320:AH320"/>
    <mergeCell ref="AL336:AO336"/>
    <mergeCell ref="X322:Z322"/>
    <mergeCell ref="AA260:AO260"/>
    <mergeCell ref="AI256:AO257"/>
    <mergeCell ref="H259:AH259"/>
    <mergeCell ref="AL281:AO281"/>
    <mergeCell ref="AJ276:AK276"/>
    <mergeCell ref="AJ277:AK277"/>
    <mergeCell ref="AJ278:AK278"/>
    <mergeCell ref="AJ279:AK279"/>
    <mergeCell ref="B261:Z262"/>
    <mergeCell ref="B275:C275"/>
    <mergeCell ref="P275:V275"/>
    <mergeCell ref="B255:G256"/>
    <mergeCell ref="Z346:AA346"/>
    <mergeCell ref="AJ346:AK346"/>
    <mergeCell ref="AJ284:AK284"/>
    <mergeCell ref="AJ285:AK285"/>
    <mergeCell ref="AJ286:AK286"/>
    <mergeCell ref="B290:C290"/>
    <mergeCell ref="P306:V306"/>
    <mergeCell ref="B304:C304"/>
    <mergeCell ref="D280:N280"/>
    <mergeCell ref="D281:N281"/>
    <mergeCell ref="P281:V281"/>
    <mergeCell ref="AL335:AO335"/>
    <mergeCell ref="AR244:AU244"/>
    <mergeCell ref="AJ287:AK287"/>
    <mergeCell ref="AD281:AI281"/>
    <mergeCell ref="AQ253:AT253"/>
    <mergeCell ref="AI255:AO255"/>
    <mergeCell ref="AJ289:AK289"/>
    <mergeCell ref="W290:AC290"/>
    <mergeCell ref="AA322:AD322"/>
    <mergeCell ref="AE322:AH322"/>
    <mergeCell ref="AQ307:AT307"/>
    <mergeCell ref="T314:W319"/>
    <mergeCell ref="AM323:AO323"/>
    <mergeCell ref="P290:V290"/>
    <mergeCell ref="AJ281:AK281"/>
    <mergeCell ref="O322:S322"/>
    <mergeCell ref="T322:W322"/>
    <mergeCell ref="AD275:AI275"/>
    <mergeCell ref="W275:AC275"/>
    <mergeCell ref="Z246:AA246"/>
    <mergeCell ref="AB246:AI246"/>
    <mergeCell ref="AJ246:AK246"/>
    <mergeCell ref="AI258:AN259"/>
    <mergeCell ref="B326:D326"/>
    <mergeCell ref="B327:C327"/>
    <mergeCell ref="Z327:AA327"/>
    <mergeCell ref="W306:AC306"/>
    <mergeCell ref="B298:C298"/>
    <mergeCell ref="P298:V298"/>
    <mergeCell ref="AJ376:AK376"/>
    <mergeCell ref="AL376:AO376"/>
    <mergeCell ref="AQ376:AT376"/>
    <mergeCell ref="AR124:AU124"/>
    <mergeCell ref="AQ362:AT362"/>
    <mergeCell ref="AQ239:AT239"/>
    <mergeCell ref="AQ202:AT202"/>
    <mergeCell ref="AQ323:AT323"/>
    <mergeCell ref="AL372:AO372"/>
    <mergeCell ref="AJ356:AK356"/>
    <mergeCell ref="AL356:AO356"/>
    <mergeCell ref="AQ356:AT356"/>
    <mergeCell ref="AJ282:AK282"/>
    <mergeCell ref="AL249:AO249"/>
    <mergeCell ref="AQ228:AT228"/>
    <mergeCell ref="AJ302:AK302"/>
    <mergeCell ref="AJ252:AK252"/>
    <mergeCell ref="AJ249:AK249"/>
    <mergeCell ref="AJ243:AK243"/>
    <mergeCell ref="AR243:AU243"/>
    <mergeCell ref="AJ232:AK232"/>
    <mergeCell ref="AQ249:AT249"/>
    <mergeCell ref="AJ231:AK231"/>
    <mergeCell ref="AR245:AU245"/>
    <mergeCell ref="AJ236:AK236"/>
    <mergeCell ref="AL236:AO236"/>
    <mergeCell ref="AJ283:AK283"/>
    <mergeCell ref="AL239:AO239"/>
    <mergeCell ref="AJ288:AK288"/>
    <mergeCell ref="AL306:AO306"/>
    <mergeCell ref="AO258:AO259"/>
    <mergeCell ref="AJ347:AK347"/>
    <mergeCell ref="AQ306:AT306"/>
    <mergeCell ref="AJ291:AK291"/>
    <mergeCell ref="B374:C374"/>
    <mergeCell ref="AJ374:AK374"/>
    <mergeCell ref="AL374:AO374"/>
    <mergeCell ref="B375:C375"/>
    <mergeCell ref="AJ375:AK375"/>
    <mergeCell ref="AD290:AI290"/>
    <mergeCell ref="B372:C372"/>
    <mergeCell ref="AJ372:AK372"/>
    <mergeCell ref="B363:D363"/>
    <mergeCell ref="B365:C365"/>
    <mergeCell ref="Z365:AA365"/>
    <mergeCell ref="AB365:AI365"/>
    <mergeCell ref="AJ365:AK365"/>
    <mergeCell ref="B368:C368"/>
    <mergeCell ref="Z368:AA368"/>
    <mergeCell ref="AB368:AI368"/>
    <mergeCell ref="AJ368:AK368"/>
    <mergeCell ref="B371:C371"/>
    <mergeCell ref="Z371:AA371"/>
    <mergeCell ref="AB371:AI371"/>
    <mergeCell ref="AJ371:AK371"/>
    <mergeCell ref="B367:C367"/>
    <mergeCell ref="B366:C366"/>
    <mergeCell ref="Z366:AA366"/>
    <mergeCell ref="AB366:AI366"/>
    <mergeCell ref="AJ366:AK366"/>
    <mergeCell ref="B373:C373"/>
    <mergeCell ref="AJ373:AK373"/>
    <mergeCell ref="AL373:AO373"/>
    <mergeCell ref="B301:C301"/>
    <mergeCell ref="AJ335:AK335"/>
    <mergeCell ref="B336:C336"/>
    <mergeCell ref="Z336:AA336"/>
    <mergeCell ref="AB336:AI336"/>
    <mergeCell ref="AJ336:AK336"/>
    <mergeCell ref="B329:C329"/>
    <mergeCell ref="Z329:AA329"/>
    <mergeCell ref="B342:C342"/>
    <mergeCell ref="B343:C343"/>
    <mergeCell ref="Z343:AA343"/>
    <mergeCell ref="AJ343:AK343"/>
    <mergeCell ref="B344:C344"/>
    <mergeCell ref="Z344:AA344"/>
    <mergeCell ref="AJ344:AK344"/>
    <mergeCell ref="B339:C339"/>
    <mergeCell ref="Z339:AA339"/>
    <mergeCell ref="AJ339:AK339"/>
    <mergeCell ref="B340:C340"/>
    <mergeCell ref="AJ337:AK337"/>
    <mergeCell ref="B338:C338"/>
    <mergeCell ref="AJ338:AK338"/>
    <mergeCell ref="AJ342:AK342"/>
    <mergeCell ref="B335:C335"/>
    <mergeCell ref="Z335:AA335"/>
    <mergeCell ref="AB335:AI335"/>
    <mergeCell ref="AJ333:AK333"/>
    <mergeCell ref="AD306:AI306"/>
    <mergeCell ref="AJ306:AK306"/>
    <mergeCell ref="B346:C346"/>
    <mergeCell ref="B348:C348"/>
    <mergeCell ref="H314:S315"/>
    <mergeCell ref="B352:C352"/>
    <mergeCell ref="B353:C353"/>
    <mergeCell ref="B332:C332"/>
    <mergeCell ref="B334:C334"/>
    <mergeCell ref="B333:C333"/>
    <mergeCell ref="Z333:AA333"/>
    <mergeCell ref="AJ331:AK331"/>
    <mergeCell ref="B323:C323"/>
    <mergeCell ref="AK323:AL323"/>
    <mergeCell ref="C321:G321"/>
    <mergeCell ref="H321:J321"/>
    <mergeCell ref="Z345:AA345"/>
    <mergeCell ref="AB345:AI345"/>
    <mergeCell ref="AJ345:AK345"/>
    <mergeCell ref="AI321:AL321"/>
    <mergeCell ref="Z340:AA340"/>
    <mergeCell ref="AJ340:AK340"/>
    <mergeCell ref="Z341:AA341"/>
    <mergeCell ref="AB341:AI341"/>
    <mergeCell ref="AJ341:AK341"/>
    <mergeCell ref="B337:C337"/>
    <mergeCell ref="Z337:AA337"/>
    <mergeCell ref="AB337:AI337"/>
    <mergeCell ref="K321:N321"/>
    <mergeCell ref="O321:S321"/>
    <mergeCell ref="T321:W321"/>
    <mergeCell ref="B309:B315"/>
    <mergeCell ref="AJ327:AK327"/>
    <mergeCell ref="Z328:AA328"/>
    <mergeCell ref="AL332:AO332"/>
    <mergeCell ref="AJ330:AK330"/>
    <mergeCell ref="B305:C305"/>
    <mergeCell ref="H309:AO311"/>
    <mergeCell ref="H312:W313"/>
    <mergeCell ref="X312:AO313"/>
    <mergeCell ref="AI322:AL322"/>
    <mergeCell ref="AJ307:AK307"/>
    <mergeCell ref="AL307:AO307"/>
    <mergeCell ref="P305:V305"/>
    <mergeCell ref="B308:D308"/>
    <mergeCell ref="E308:AO308"/>
    <mergeCell ref="C309:G311"/>
    <mergeCell ref="X314:AH315"/>
    <mergeCell ref="AI314:AL319"/>
    <mergeCell ref="AM314:AO319"/>
    <mergeCell ref="C316:G317"/>
    <mergeCell ref="H316:J319"/>
    <mergeCell ref="C318:G318"/>
    <mergeCell ref="O319:S319"/>
    <mergeCell ref="B307:C307"/>
    <mergeCell ref="AA320:AD320"/>
    <mergeCell ref="C320:G320"/>
    <mergeCell ref="H320:J320"/>
    <mergeCell ref="K320:N320"/>
    <mergeCell ref="H322:J322"/>
    <mergeCell ref="K322:N322"/>
    <mergeCell ref="X321:Z321"/>
    <mergeCell ref="AA321:AD321"/>
    <mergeCell ref="AE321:AH321"/>
    <mergeCell ref="AQ372:AT372"/>
    <mergeCell ref="AQ349:AT349"/>
    <mergeCell ref="Z349:AA349"/>
    <mergeCell ref="AB349:AI349"/>
    <mergeCell ref="AJ349:AK349"/>
    <mergeCell ref="P304:V304"/>
    <mergeCell ref="W304:AC304"/>
    <mergeCell ref="AD304:AI304"/>
    <mergeCell ref="AJ304:AK304"/>
    <mergeCell ref="K316:N319"/>
    <mergeCell ref="O316:S318"/>
    <mergeCell ref="X316:Z319"/>
    <mergeCell ref="AA316:AD319"/>
    <mergeCell ref="AJ360:AK360"/>
    <mergeCell ref="AJ352:AK352"/>
    <mergeCell ref="AL352:AO352"/>
    <mergeCell ref="AJ353:AK353"/>
    <mergeCell ref="Z367:AA367"/>
    <mergeCell ref="AB367:AI367"/>
    <mergeCell ref="AJ367:AK367"/>
    <mergeCell ref="AJ329:AK329"/>
    <mergeCell ref="Z332:AA332"/>
    <mergeCell ref="AB332:AI332"/>
    <mergeCell ref="AJ332:AK332"/>
    <mergeCell ref="Z334:AA334"/>
    <mergeCell ref="AJ334:AK334"/>
    <mergeCell ref="AL359:AO359"/>
    <mergeCell ref="AL345:AO345"/>
    <mergeCell ref="AJ351:AK351"/>
    <mergeCell ref="AQ345:AW345"/>
    <mergeCell ref="AB328:AI328"/>
    <mergeCell ref="AJ328:AK328"/>
    <mergeCell ref="B370:C370"/>
    <mergeCell ref="Z370:AA370"/>
    <mergeCell ref="AB370:AI370"/>
    <mergeCell ref="AJ370:AK370"/>
    <mergeCell ref="AQ352:AT352"/>
    <mergeCell ref="AR370:AU370"/>
    <mergeCell ref="AJ361:AK361"/>
    <mergeCell ref="AL361:AO361"/>
    <mergeCell ref="AR371:AU371"/>
    <mergeCell ref="B359:C359"/>
    <mergeCell ref="AJ359:AK359"/>
    <mergeCell ref="B362:C362"/>
    <mergeCell ref="AJ362:AK362"/>
    <mergeCell ref="AR366:AU366"/>
    <mergeCell ref="AR367:AU367"/>
    <mergeCell ref="B360:C360"/>
    <mergeCell ref="B357:C357"/>
    <mergeCell ref="AR365:AU365"/>
    <mergeCell ref="AL360:AO360"/>
    <mergeCell ref="B361:C361"/>
    <mergeCell ref="AR368:AU368"/>
    <mergeCell ref="B369:C369"/>
    <mergeCell ref="Z369:AA369"/>
    <mergeCell ref="AB369:AI369"/>
    <mergeCell ref="AJ369:AK369"/>
    <mergeCell ref="AR369:AU369"/>
    <mergeCell ref="B354:C354"/>
    <mergeCell ref="AJ354:AK354"/>
    <mergeCell ref="AQ360:AT360"/>
    <mergeCell ref="B292:C292"/>
    <mergeCell ref="AJ292:AK292"/>
    <mergeCell ref="B293:C293"/>
    <mergeCell ref="AJ293:AK293"/>
    <mergeCell ref="P294:V294"/>
    <mergeCell ref="W294:AC294"/>
    <mergeCell ref="AD294:AI294"/>
    <mergeCell ref="AJ294:AK294"/>
    <mergeCell ref="B245:C245"/>
    <mergeCell ref="Z245:AA245"/>
    <mergeCell ref="AB245:AI245"/>
    <mergeCell ref="B273:D273"/>
    <mergeCell ref="B274:C274"/>
    <mergeCell ref="AJ229:AK229"/>
    <mergeCell ref="AJ230:AK230"/>
    <mergeCell ref="B244:C244"/>
    <mergeCell ref="AJ233:AK233"/>
    <mergeCell ref="H255:AH256"/>
    <mergeCell ref="AA261:AO262"/>
    <mergeCell ref="L270:AO270"/>
    <mergeCell ref="P274:AI274"/>
    <mergeCell ref="AJ274:AO275"/>
    <mergeCell ref="AB243:AI243"/>
    <mergeCell ref="Z244:AA244"/>
    <mergeCell ref="AB244:AI244"/>
    <mergeCell ref="B282:C282"/>
    <mergeCell ref="B277:C277"/>
    <mergeCell ref="H279:N279"/>
    <mergeCell ref="AJ244:AK244"/>
    <mergeCell ref="Z247:AA247"/>
    <mergeCell ref="AB247:AI247"/>
    <mergeCell ref="AJ250:AK250"/>
    <mergeCell ref="B232:C232"/>
    <mergeCell ref="B243:C243"/>
    <mergeCell ref="AJ253:AK253"/>
    <mergeCell ref="E273:AO273"/>
    <mergeCell ref="Z243:AA243"/>
    <mergeCell ref="B271:C271"/>
    <mergeCell ref="B231:C231"/>
    <mergeCell ref="B240:D240"/>
    <mergeCell ref="B236:C236"/>
    <mergeCell ref="AJ245:AK245"/>
    <mergeCell ref="AL233:AO233"/>
    <mergeCell ref="B247:C247"/>
    <mergeCell ref="AJ247:AK247"/>
    <mergeCell ref="B252:C252"/>
    <mergeCell ref="B249:C249"/>
    <mergeCell ref="B237:C237"/>
    <mergeCell ref="B242:C242"/>
    <mergeCell ref="B238:C238"/>
    <mergeCell ref="B239:C239"/>
    <mergeCell ref="H257:AH257"/>
    <mergeCell ref="B246:C246"/>
    <mergeCell ref="B227:C227"/>
    <mergeCell ref="AJ228:AK228"/>
    <mergeCell ref="B234:C234"/>
    <mergeCell ref="Z227:AA227"/>
    <mergeCell ref="AL250:AO250"/>
    <mergeCell ref="AJ251:AK251"/>
    <mergeCell ref="AL251:AO251"/>
    <mergeCell ref="AJ237:AK237"/>
    <mergeCell ref="AL253:AO253"/>
    <mergeCell ref="AJ209:AK209"/>
    <mergeCell ref="B212:C212"/>
    <mergeCell ref="Z212:AA212"/>
    <mergeCell ref="AJ212:AK212"/>
    <mergeCell ref="AJ211:AK211"/>
    <mergeCell ref="AJ213:AK213"/>
    <mergeCell ref="B218:C218"/>
    <mergeCell ref="B202:C202"/>
    <mergeCell ref="AK202:AL202"/>
    <mergeCell ref="AM202:AO202"/>
    <mergeCell ref="B205:D205"/>
    <mergeCell ref="B206:C206"/>
    <mergeCell ref="Z206:AA206"/>
    <mergeCell ref="AJ206:AK206"/>
    <mergeCell ref="Z207:AA207"/>
    <mergeCell ref="AB207:AI207"/>
    <mergeCell ref="AJ207:AK207"/>
    <mergeCell ref="B211:C211"/>
    <mergeCell ref="Z211:AA211"/>
    <mergeCell ref="AB211:AI211"/>
    <mergeCell ref="AL211:AO211"/>
    <mergeCell ref="AJ210:AK210"/>
    <mergeCell ref="Z214:AA214"/>
    <mergeCell ref="AJ214:AK214"/>
    <mergeCell ref="Z215:AA215"/>
    <mergeCell ref="AB215:AI215"/>
    <mergeCell ref="AJ216:AK216"/>
    <mergeCell ref="Z218:AA218"/>
    <mergeCell ref="AJ218:AK218"/>
    <mergeCell ref="C201:G201"/>
    <mergeCell ref="H201:J201"/>
    <mergeCell ref="K201:N201"/>
    <mergeCell ref="O201:S201"/>
    <mergeCell ref="T201:W201"/>
    <mergeCell ref="X201:Z201"/>
    <mergeCell ref="AA201:AD201"/>
    <mergeCell ref="AE201:AH201"/>
    <mergeCell ref="AI201:AL201"/>
    <mergeCell ref="C200:G200"/>
    <mergeCell ref="H200:J200"/>
    <mergeCell ref="K200:N200"/>
    <mergeCell ref="O200:S200"/>
    <mergeCell ref="T200:W200"/>
    <mergeCell ref="X200:Z200"/>
    <mergeCell ref="AA200:AD200"/>
    <mergeCell ref="AE200:AH200"/>
    <mergeCell ref="AI200:AL200"/>
    <mergeCell ref="AB214:AI214"/>
    <mergeCell ref="C197:G197"/>
    <mergeCell ref="O198:S198"/>
    <mergeCell ref="C199:G199"/>
    <mergeCell ref="H199:J199"/>
    <mergeCell ref="K199:N199"/>
    <mergeCell ref="O199:S199"/>
    <mergeCell ref="T199:W199"/>
    <mergeCell ref="X199:Z199"/>
    <mergeCell ref="AA199:AD199"/>
    <mergeCell ref="AE199:AH199"/>
    <mergeCell ref="B186:C186"/>
    <mergeCell ref="AJ186:AK186"/>
    <mergeCell ref="AL186:AO186"/>
    <mergeCell ref="AQ186:AT186"/>
    <mergeCell ref="B187:D187"/>
    <mergeCell ref="E187:AO187"/>
    <mergeCell ref="B188:B194"/>
    <mergeCell ref="C188:G190"/>
    <mergeCell ref="H188:AO190"/>
    <mergeCell ref="H191:W192"/>
    <mergeCell ref="X191:AO192"/>
    <mergeCell ref="H193:S194"/>
    <mergeCell ref="T193:W198"/>
    <mergeCell ref="X193:AH194"/>
    <mergeCell ref="AI193:AL198"/>
    <mergeCell ref="AM193:AO198"/>
    <mergeCell ref="C195:G196"/>
    <mergeCell ref="H195:J198"/>
    <mergeCell ref="K195:N198"/>
    <mergeCell ref="O195:S197"/>
    <mergeCell ref="X195:Z198"/>
    <mergeCell ref="AA195:AD198"/>
    <mergeCell ref="B184:C184"/>
    <mergeCell ref="P184:V184"/>
    <mergeCell ref="W184:AC184"/>
    <mergeCell ref="AD184:AI184"/>
    <mergeCell ref="AJ184:AK184"/>
    <mergeCell ref="B185:C185"/>
    <mergeCell ref="P185:V185"/>
    <mergeCell ref="W185:AC185"/>
    <mergeCell ref="AD185:AI185"/>
    <mergeCell ref="AJ185:AK185"/>
    <mergeCell ref="B180:C180"/>
    <mergeCell ref="AJ180:AK180"/>
    <mergeCell ref="B181:C181"/>
    <mergeCell ref="AJ181:AK181"/>
    <mergeCell ref="P182:V182"/>
    <mergeCell ref="W182:AC182"/>
    <mergeCell ref="AD182:AI182"/>
    <mergeCell ref="AJ182:AK182"/>
    <mergeCell ref="B183:C183"/>
    <mergeCell ref="P183:V183"/>
    <mergeCell ref="W183:AC183"/>
    <mergeCell ref="AD183:AI183"/>
    <mergeCell ref="AJ183:AK183"/>
    <mergeCell ref="B178:C178"/>
    <mergeCell ref="P178:V178"/>
    <mergeCell ref="W178:AC178"/>
    <mergeCell ref="AD178:AI178"/>
    <mergeCell ref="AJ178:AK178"/>
    <mergeCell ref="B179:C179"/>
    <mergeCell ref="P179:V179"/>
    <mergeCell ref="W179:AC179"/>
    <mergeCell ref="AD179:AI179"/>
    <mergeCell ref="AJ179:AK179"/>
    <mergeCell ref="B176:C176"/>
    <mergeCell ref="P176:V176"/>
    <mergeCell ref="W176:AC176"/>
    <mergeCell ref="AD176:AI176"/>
    <mergeCell ref="AJ176:AK176"/>
    <mergeCell ref="B177:C177"/>
    <mergeCell ref="P177:V177"/>
    <mergeCell ref="W177:AC177"/>
    <mergeCell ref="AD177:AI177"/>
    <mergeCell ref="AJ177:AK177"/>
    <mergeCell ref="B174:C174"/>
    <mergeCell ref="P174:V174"/>
    <mergeCell ref="W174:AC174"/>
    <mergeCell ref="AD174:AI174"/>
    <mergeCell ref="AJ174:AK174"/>
    <mergeCell ref="B175:C175"/>
    <mergeCell ref="P175:V175"/>
    <mergeCell ref="W175:AC175"/>
    <mergeCell ref="AD175:AI175"/>
    <mergeCell ref="AJ175:AK175"/>
    <mergeCell ref="AJ170:AK170"/>
    <mergeCell ref="B171:C171"/>
    <mergeCell ref="AJ171:AK171"/>
    <mergeCell ref="B172:C172"/>
    <mergeCell ref="AJ172:AK172"/>
    <mergeCell ref="P173:V173"/>
    <mergeCell ref="W173:AC173"/>
    <mergeCell ref="AD173:AI173"/>
    <mergeCell ref="AJ173:AK173"/>
    <mergeCell ref="B170:C170"/>
    <mergeCell ref="B168:C168"/>
    <mergeCell ref="AJ168:AK168"/>
    <mergeCell ref="B169:C169"/>
    <mergeCell ref="P169:V169"/>
    <mergeCell ref="W169:AC169"/>
    <mergeCell ref="AD169:AI169"/>
    <mergeCell ref="AJ169:AK169"/>
    <mergeCell ref="D159:N159"/>
    <mergeCell ref="AJ159:AK159"/>
    <mergeCell ref="D160:N160"/>
    <mergeCell ref="P160:V160"/>
    <mergeCell ref="W160:AC160"/>
    <mergeCell ref="AD160:AI160"/>
    <mergeCell ref="AJ160:AK160"/>
    <mergeCell ref="AL160:AO160"/>
    <mergeCell ref="B161:C161"/>
    <mergeCell ref="AJ161:AK161"/>
    <mergeCell ref="AJ162:AK162"/>
    <mergeCell ref="AJ163:AK163"/>
    <mergeCell ref="AJ167:AK167"/>
    <mergeCell ref="B156:C156"/>
    <mergeCell ref="AJ156:AK156"/>
    <mergeCell ref="AJ157:AK157"/>
    <mergeCell ref="H158:N158"/>
    <mergeCell ref="AJ158:AK158"/>
    <mergeCell ref="AA139:AO139"/>
    <mergeCell ref="B140:Z141"/>
    <mergeCell ref="AA140:AO141"/>
    <mergeCell ref="L149:AO149"/>
    <mergeCell ref="B150:C150"/>
    <mergeCell ref="B152:D152"/>
    <mergeCell ref="E152:AO152"/>
    <mergeCell ref="B153:C153"/>
    <mergeCell ref="P153:AI153"/>
    <mergeCell ref="AJ153:AO154"/>
    <mergeCell ref="B154:C154"/>
    <mergeCell ref="P154:V154"/>
    <mergeCell ref="W154:AC154"/>
    <mergeCell ref="AD154:AI154"/>
    <mergeCell ref="B155:C155"/>
    <mergeCell ref="P155:V155"/>
    <mergeCell ref="W155:AC155"/>
    <mergeCell ref="AD155:AI155"/>
    <mergeCell ref="AJ155:AK155"/>
    <mergeCell ref="B134:G135"/>
    <mergeCell ref="AI134:AO134"/>
    <mergeCell ref="AI135:AO136"/>
    <mergeCell ref="H136:AH136"/>
    <mergeCell ref="Z125:AA125"/>
    <mergeCell ref="AB125:AI125"/>
    <mergeCell ref="AJ125:AK125"/>
    <mergeCell ref="B126:C126"/>
    <mergeCell ref="Z126:AA126"/>
    <mergeCell ref="AB126:AI126"/>
    <mergeCell ref="AJ126:AK126"/>
    <mergeCell ref="B127:C127"/>
    <mergeCell ref="Z127:AA127"/>
    <mergeCell ref="AB127:AI127"/>
    <mergeCell ref="AJ127:AK127"/>
    <mergeCell ref="B137:G138"/>
    <mergeCell ref="H137:AH137"/>
    <mergeCell ref="AI137:AM138"/>
    <mergeCell ref="AN137:AO138"/>
    <mergeCell ref="H138:AH138"/>
    <mergeCell ref="B128:C128"/>
    <mergeCell ref="AJ128:AK128"/>
    <mergeCell ref="B129:C129"/>
    <mergeCell ref="AJ129:AK129"/>
    <mergeCell ref="B130:C130"/>
    <mergeCell ref="AJ130:AK130"/>
    <mergeCell ref="B131:C131"/>
    <mergeCell ref="AJ131:AK131"/>
    <mergeCell ref="M134:Z135"/>
    <mergeCell ref="B122:C122"/>
    <mergeCell ref="Z122:AA122"/>
    <mergeCell ref="AJ122:AK122"/>
    <mergeCell ref="AL129:AO129"/>
    <mergeCell ref="AL130:AO130"/>
    <mergeCell ref="AJ132:AK132"/>
    <mergeCell ref="B123:C123"/>
    <mergeCell ref="Z123:AA123"/>
    <mergeCell ref="AJ123:AK123"/>
    <mergeCell ref="B124:C124"/>
    <mergeCell ref="Z124:AA124"/>
    <mergeCell ref="AJ124:AK124"/>
    <mergeCell ref="B125:C125"/>
    <mergeCell ref="B115:C115"/>
    <mergeCell ref="AJ115:AK115"/>
    <mergeCell ref="B119:D119"/>
    <mergeCell ref="B121:C121"/>
    <mergeCell ref="Z121:AA121"/>
    <mergeCell ref="AJ121:AK121"/>
    <mergeCell ref="B116:C116"/>
    <mergeCell ref="B117:C117"/>
    <mergeCell ref="AJ116:AK116"/>
    <mergeCell ref="AL116:AO116"/>
    <mergeCell ref="AJ117:AK117"/>
    <mergeCell ref="AL117:AO117"/>
    <mergeCell ref="AB122:AI122"/>
    <mergeCell ref="AL118:AO118"/>
    <mergeCell ref="AL115:AO115"/>
    <mergeCell ref="AB124:AI124"/>
    <mergeCell ref="AL128:AO128"/>
    <mergeCell ref="B113:C113"/>
    <mergeCell ref="B111:C111"/>
    <mergeCell ref="AJ111:AK111"/>
    <mergeCell ref="AJ112:AK112"/>
    <mergeCell ref="AB121:AI121"/>
    <mergeCell ref="B104:C104"/>
    <mergeCell ref="Z104:AA104"/>
    <mergeCell ref="Z107:AA107"/>
    <mergeCell ref="B118:C118"/>
    <mergeCell ref="AJ118:AK118"/>
    <mergeCell ref="B110:C110"/>
    <mergeCell ref="AB107:AI107"/>
    <mergeCell ref="AJ110:AK110"/>
    <mergeCell ref="AB106:AI106"/>
    <mergeCell ref="AB105:AI105"/>
    <mergeCell ref="B15:G16"/>
    <mergeCell ref="B12:G13"/>
    <mergeCell ref="AI12:AO12"/>
    <mergeCell ref="B84:D84"/>
    <mergeCell ref="B85:C85"/>
    <mergeCell ref="Z85:AA85"/>
    <mergeCell ref="Z86:AA86"/>
    <mergeCell ref="B87:C87"/>
    <mergeCell ref="Z87:AA87"/>
    <mergeCell ref="B47:C47"/>
    <mergeCell ref="B39:C39"/>
    <mergeCell ref="B46:C46"/>
    <mergeCell ref="B32:C32"/>
    <mergeCell ref="B33:C33"/>
    <mergeCell ref="AJ31:AO32"/>
    <mergeCell ref="AD32:AI32"/>
    <mergeCell ref="W32:AC32"/>
    <mergeCell ref="P32:V32"/>
    <mergeCell ref="E30:AO30"/>
    <mergeCell ref="AJ47:AK47"/>
    <mergeCell ref="AJ48:AK48"/>
    <mergeCell ref="P33:V33"/>
    <mergeCell ref="W33:AC33"/>
    <mergeCell ref="P47:V47"/>
    <mergeCell ref="W47:AC47"/>
    <mergeCell ref="H14:AH14"/>
    <mergeCell ref="H15:AH15"/>
    <mergeCell ref="H16:AH16"/>
    <mergeCell ref="AI15:AM16"/>
    <mergeCell ref="AN15:AO16"/>
    <mergeCell ref="B61:C61"/>
    <mergeCell ref="P61:V61"/>
    <mergeCell ref="Z100:AA100"/>
    <mergeCell ref="AB104:AI104"/>
    <mergeCell ref="Z103:AA103"/>
    <mergeCell ref="B102:C102"/>
    <mergeCell ref="Z102:AA102"/>
    <mergeCell ref="B98:C98"/>
    <mergeCell ref="B100:C100"/>
    <mergeCell ref="B101:C101"/>
    <mergeCell ref="AE77:AH77"/>
    <mergeCell ref="X73:Z76"/>
    <mergeCell ref="Z91:AA91"/>
    <mergeCell ref="AB93:AI93"/>
    <mergeCell ref="AJ87:AK87"/>
    <mergeCell ref="Z98:AA98"/>
    <mergeCell ref="AJ96:AK96"/>
    <mergeCell ref="AB99:AI99"/>
    <mergeCell ref="AB100:AI100"/>
    <mergeCell ref="AB103:AI103"/>
    <mergeCell ref="B94:C94"/>
    <mergeCell ref="Z94:AA94"/>
    <mergeCell ref="C75:G75"/>
    <mergeCell ref="O73:S75"/>
    <mergeCell ref="X77:Z77"/>
    <mergeCell ref="H78:J78"/>
    <mergeCell ref="K78:N78"/>
    <mergeCell ref="B91:C91"/>
    <mergeCell ref="AB90:AI90"/>
    <mergeCell ref="Z90:AA90"/>
    <mergeCell ref="Z93:AA93"/>
    <mergeCell ref="C73:G74"/>
    <mergeCell ref="B28:C28"/>
    <mergeCell ref="AJ58:AK58"/>
    <mergeCell ref="B30:D30"/>
    <mergeCell ref="H79:J79"/>
    <mergeCell ref="T79:W79"/>
    <mergeCell ref="B66:B72"/>
    <mergeCell ref="P63:V63"/>
    <mergeCell ref="W63:AC63"/>
    <mergeCell ref="AD63:AI63"/>
    <mergeCell ref="H66:AO68"/>
    <mergeCell ref="X69:AO70"/>
    <mergeCell ref="P56:V56"/>
    <mergeCell ref="W56:AC56"/>
    <mergeCell ref="AD56:AI56"/>
    <mergeCell ref="B55:C55"/>
    <mergeCell ref="P55:V55"/>
    <mergeCell ref="W55:AC55"/>
    <mergeCell ref="B54:C54"/>
    <mergeCell ref="W61:AC61"/>
    <mergeCell ref="AD52:AI52"/>
    <mergeCell ref="B58:C58"/>
    <mergeCell ref="B59:C59"/>
    <mergeCell ref="P57:V57"/>
    <mergeCell ref="W57:AC57"/>
    <mergeCell ref="AJ92:AK92"/>
    <mergeCell ref="B97:C97"/>
    <mergeCell ref="Z97:AA97"/>
    <mergeCell ref="B88:C88"/>
    <mergeCell ref="B93:C93"/>
    <mergeCell ref="Z88:AA88"/>
    <mergeCell ref="B90:C90"/>
    <mergeCell ref="AD60:AI60"/>
    <mergeCell ref="AD57:AI57"/>
    <mergeCell ref="AD61:AI61"/>
    <mergeCell ref="C66:G68"/>
    <mergeCell ref="B52:C52"/>
    <mergeCell ref="P54:V54"/>
    <mergeCell ref="W54:AC54"/>
    <mergeCell ref="AD55:AI55"/>
    <mergeCell ref="B56:C56"/>
    <mergeCell ref="B63:C63"/>
    <mergeCell ref="B62:C62"/>
    <mergeCell ref="P62:V62"/>
    <mergeCell ref="W62:AC62"/>
    <mergeCell ref="B53:C53"/>
    <mergeCell ref="H69:W70"/>
    <mergeCell ref="P60:V60"/>
    <mergeCell ref="W60:AC60"/>
    <mergeCell ref="T71:W76"/>
    <mergeCell ref="B80:C80"/>
    <mergeCell ref="C79:G79"/>
    <mergeCell ref="C78:G78"/>
    <mergeCell ref="H77:J77"/>
    <mergeCell ref="AA73:AD76"/>
    <mergeCell ref="AE73:AH76"/>
    <mergeCell ref="X71:AH72"/>
    <mergeCell ref="AK80:AL80"/>
    <mergeCell ref="AI79:AL79"/>
    <mergeCell ref="K77:N77"/>
    <mergeCell ref="O77:S77"/>
    <mergeCell ref="AL93:AO93"/>
    <mergeCell ref="O76:S76"/>
    <mergeCell ref="H73:J76"/>
    <mergeCell ref="AB94:AI94"/>
    <mergeCell ref="C77:G77"/>
    <mergeCell ref="T77:W77"/>
    <mergeCell ref="H71:S72"/>
    <mergeCell ref="O78:S78"/>
    <mergeCell ref="T78:W78"/>
    <mergeCell ref="X78:Z78"/>
    <mergeCell ref="AA78:AD78"/>
    <mergeCell ref="X79:Z79"/>
    <mergeCell ref="O79:S79"/>
    <mergeCell ref="AE78:AH78"/>
    <mergeCell ref="AA77:AD77"/>
    <mergeCell ref="D38:N38"/>
    <mergeCell ref="AJ39:AK39"/>
    <mergeCell ref="B49:C49"/>
    <mergeCell ref="P51:V51"/>
    <mergeCell ref="W51:AC51"/>
    <mergeCell ref="B31:C31"/>
    <mergeCell ref="B95:C95"/>
    <mergeCell ref="Z95:AA95"/>
    <mergeCell ref="B96:C96"/>
    <mergeCell ref="AJ55:AK55"/>
    <mergeCell ref="AJ56:AK56"/>
    <mergeCell ref="B65:D65"/>
    <mergeCell ref="E65:AO65"/>
    <mergeCell ref="AD62:AI62"/>
    <mergeCell ref="AB86:AI86"/>
    <mergeCell ref="AA79:AD79"/>
    <mergeCell ref="AM79:AO79"/>
    <mergeCell ref="AJ54:AK54"/>
    <mergeCell ref="AJ59:AK59"/>
    <mergeCell ref="AJ57:AK57"/>
    <mergeCell ref="AI71:AL76"/>
    <mergeCell ref="AM71:AO76"/>
    <mergeCell ref="AM78:AO78"/>
    <mergeCell ref="AJ40:AK40"/>
    <mergeCell ref="AM77:AO77"/>
    <mergeCell ref="AJ42:AK42"/>
    <mergeCell ref="AD54:AI54"/>
    <mergeCell ref="B57:C57"/>
    <mergeCell ref="AL94:AO94"/>
    <mergeCell ref="AJ88:AK88"/>
    <mergeCell ref="AJ90:AK90"/>
    <mergeCell ref="AJ93:AK93"/>
    <mergeCell ref="B18:Z19"/>
    <mergeCell ref="AA17:AO17"/>
    <mergeCell ref="AA18:AO19"/>
    <mergeCell ref="AL38:AO38"/>
    <mergeCell ref="AJ38:AK38"/>
    <mergeCell ref="AJ37:AK37"/>
    <mergeCell ref="AJ36:AK36"/>
    <mergeCell ref="AJ35:AK35"/>
    <mergeCell ref="AJ34:AK34"/>
    <mergeCell ref="AJ33:AK33"/>
    <mergeCell ref="B34:C34"/>
    <mergeCell ref="P31:AI31"/>
    <mergeCell ref="P38:V38"/>
    <mergeCell ref="W38:AC38"/>
    <mergeCell ref="AD38:AI38"/>
    <mergeCell ref="H36:N36"/>
    <mergeCell ref="P53:V53"/>
    <mergeCell ref="W53:AC53"/>
    <mergeCell ref="B50:C50"/>
    <mergeCell ref="P52:V52"/>
    <mergeCell ref="W52:AC52"/>
    <mergeCell ref="AJ41:AK41"/>
    <mergeCell ref="AD51:AI51"/>
    <mergeCell ref="AD53:AI53"/>
    <mergeCell ref="AJ49:AK49"/>
    <mergeCell ref="AD33:AI33"/>
    <mergeCell ref="AJ53:AK53"/>
    <mergeCell ref="AJ43:AK43"/>
    <mergeCell ref="AD47:AI47"/>
    <mergeCell ref="AJ44:AK44"/>
    <mergeCell ref="AJ46:AK46"/>
    <mergeCell ref="AJ45:AK45"/>
    <mergeCell ref="B48:C48"/>
    <mergeCell ref="AJ50:AK50"/>
    <mergeCell ref="AJ51:AK51"/>
    <mergeCell ref="AJ52:AK52"/>
    <mergeCell ref="AJ60:AK60"/>
    <mergeCell ref="AJ61:AK61"/>
    <mergeCell ref="AJ62:AK62"/>
    <mergeCell ref="AL63:AO63"/>
    <mergeCell ref="AL64:AO64"/>
    <mergeCell ref="AJ64:AK64"/>
    <mergeCell ref="AJ63:AK63"/>
    <mergeCell ref="AQ128:AT128"/>
    <mergeCell ref="AB95:AI95"/>
    <mergeCell ref="AE79:AH79"/>
    <mergeCell ref="Z101:AA101"/>
    <mergeCell ref="AJ95:AK95"/>
    <mergeCell ref="AJ85:AK85"/>
    <mergeCell ref="AJ86:AK86"/>
    <mergeCell ref="AI77:AL77"/>
    <mergeCell ref="AL104:AO104"/>
    <mergeCell ref="AI78:AL78"/>
    <mergeCell ref="AM80:AO80"/>
    <mergeCell ref="AL103:AO103"/>
    <mergeCell ref="AJ94:AK94"/>
    <mergeCell ref="AL110:AO110"/>
    <mergeCell ref="AL112:AO112"/>
    <mergeCell ref="AJ91:AK91"/>
    <mergeCell ref="AQ112:AT112"/>
    <mergeCell ref="Z99:AA99"/>
    <mergeCell ref="AL90:AO90"/>
    <mergeCell ref="AJ89:AK89"/>
    <mergeCell ref="K73:N76"/>
    <mergeCell ref="AB226:AI226"/>
    <mergeCell ref="AB227:AI227"/>
    <mergeCell ref="AB347:AI347"/>
    <mergeCell ref="AB348:AI348"/>
    <mergeCell ref="AL120:AN120"/>
    <mergeCell ref="AL241:AN241"/>
    <mergeCell ref="AL364:AN364"/>
    <mergeCell ref="AI13:AO14"/>
    <mergeCell ref="K79:N79"/>
    <mergeCell ref="B64:C64"/>
    <mergeCell ref="AX101:BE102"/>
    <mergeCell ref="BF101:BG102"/>
    <mergeCell ref="AX229:BE230"/>
    <mergeCell ref="BF229:BG230"/>
    <mergeCell ref="AX354:BE355"/>
    <mergeCell ref="BF354:BG355"/>
    <mergeCell ref="AQ71:AW71"/>
    <mergeCell ref="AQ69:AQ70"/>
    <mergeCell ref="AQ15:AW15"/>
    <mergeCell ref="AQ13:AW14"/>
    <mergeCell ref="AQ16:AW16"/>
    <mergeCell ref="AQ17:AW17"/>
    <mergeCell ref="AL132:AO132"/>
    <mergeCell ref="AQ132:AT132"/>
    <mergeCell ref="AQ63:AT63"/>
    <mergeCell ref="AQ64:AT64"/>
    <mergeCell ref="AL96:AO96"/>
    <mergeCell ref="AQ107:AT107"/>
    <mergeCell ref="AR125:AU125"/>
    <mergeCell ref="AR126:AU126"/>
    <mergeCell ref="AR127:AU127"/>
    <mergeCell ref="AB123:AI123"/>
  </mergeCells>
  <conditionalFormatting sqref="B4">
    <cfRule type="expression" dxfId="2240" priority="127">
      <formula>$A$4</formula>
    </cfRule>
  </conditionalFormatting>
  <conditionalFormatting sqref="B18 AA18 BE110:BE117 BE237:BE243 BE362:BE367">
    <cfRule type="expression" dxfId="2239" priority="636">
      <formula>NoColor</formula>
    </cfRule>
  </conditionalFormatting>
  <conditionalFormatting sqref="B20">
    <cfRule type="expression" dxfId="2238" priority="426">
      <formula>$AO$25</formula>
    </cfRule>
  </conditionalFormatting>
  <conditionalFormatting sqref="B21">
    <cfRule type="expression" dxfId="2237" priority="175">
      <formula>$AO$22&gt;1</formula>
    </cfRule>
  </conditionalFormatting>
  <conditionalFormatting sqref="B140 AA140">
    <cfRule type="expression" dxfId="2236" priority="494">
      <formula>NoColor</formula>
    </cfRule>
  </conditionalFormatting>
  <conditionalFormatting sqref="B142">
    <cfRule type="expression" dxfId="2235" priority="171">
      <formula>$AO$147</formula>
    </cfRule>
  </conditionalFormatting>
  <conditionalFormatting sqref="B143">
    <cfRule type="expression" dxfId="2234" priority="162">
      <formula>$AO$22&gt;1</formula>
    </cfRule>
  </conditionalFormatting>
  <conditionalFormatting sqref="B261 AA261">
    <cfRule type="expression" dxfId="2233" priority="417">
      <formula>NoColor</formula>
    </cfRule>
  </conditionalFormatting>
  <conditionalFormatting sqref="B263">
    <cfRule type="expression" dxfId="2232" priority="161">
      <formula>$AO$268</formula>
    </cfRule>
  </conditionalFormatting>
  <conditionalFormatting sqref="B264">
    <cfRule type="expression" dxfId="2231" priority="152">
      <formula>$AO$22&gt;1</formula>
    </cfRule>
  </conditionalFormatting>
  <conditionalFormatting sqref="B6:C6">
    <cfRule type="expression" dxfId="2230" priority="124">
      <formula>NoColor</formula>
    </cfRule>
  </conditionalFormatting>
  <conditionalFormatting sqref="B8:C8">
    <cfRule type="expression" dxfId="2229" priority="123">
      <formula>NoColor</formula>
    </cfRule>
  </conditionalFormatting>
  <conditionalFormatting sqref="B10:C10">
    <cfRule type="expression" dxfId="2228" priority="122">
      <formula>NoColor</formula>
    </cfRule>
  </conditionalFormatting>
  <conditionalFormatting sqref="C23">
    <cfRule type="expression" dxfId="2227" priority="274">
      <formula>NoColor</formula>
    </cfRule>
  </conditionalFormatting>
  <conditionalFormatting sqref="C25">
    <cfRule type="expression" dxfId="2226" priority="271">
      <formula>NoColor</formula>
    </cfRule>
  </conditionalFormatting>
  <conditionalFormatting sqref="C145">
    <cfRule type="expression" dxfId="2225" priority="170">
      <formula>NoColor</formula>
    </cfRule>
  </conditionalFormatting>
  <conditionalFormatting sqref="C147">
    <cfRule type="expression" dxfId="2224" priority="169">
      <formula>NoColor</formula>
    </cfRule>
  </conditionalFormatting>
  <conditionalFormatting sqref="C266">
    <cfRule type="expression" dxfId="2223" priority="160">
      <formula>NoColor</formula>
    </cfRule>
  </conditionalFormatting>
  <conditionalFormatting sqref="C268">
    <cfRule type="expression" dxfId="2222" priority="159">
      <formula>NoColor</formula>
    </cfRule>
  </conditionalFormatting>
  <conditionalFormatting sqref="C66:G68">
    <cfRule type="expression" dxfId="2221" priority="545">
      <formula>NOT($B$74)</formula>
    </cfRule>
  </conditionalFormatting>
  <conditionalFormatting sqref="C188:G190">
    <cfRule type="expression" dxfId="2220" priority="260">
      <formula>IF(SUM(C191,C193)&lt;&gt;1,1,0)</formula>
    </cfRule>
  </conditionalFormatting>
  <conditionalFormatting sqref="C309:G311">
    <cfRule type="expression" dxfId="2219" priority="244">
      <formula>IF(SUM(C312,C314)&lt;&gt;1,1,0)</formula>
    </cfRule>
  </conditionalFormatting>
  <conditionalFormatting sqref="C77:H79 K77:K79 O77:O79">
    <cfRule type="expression" dxfId="2218" priority="546">
      <formula>NoColor</formula>
    </cfRule>
  </conditionalFormatting>
  <conditionalFormatting sqref="C199:H201 K199:K201 O199:O201">
    <cfRule type="expression" dxfId="2217" priority="98">
      <formula>NoColor</formula>
    </cfRule>
  </conditionalFormatting>
  <conditionalFormatting sqref="C320:H322 K320:K322 O320:O322">
    <cfRule type="expression" dxfId="2216" priority="89">
      <formula>NoColor</formula>
    </cfRule>
  </conditionalFormatting>
  <conditionalFormatting sqref="D37:N38">
    <cfRule type="expression" dxfId="2215" priority="286">
      <formula>NoColor</formula>
    </cfRule>
  </conditionalFormatting>
  <conditionalFormatting sqref="D159:N160">
    <cfRule type="expression" dxfId="2214" priority="288">
      <formula>NoColor</formula>
    </cfRule>
  </conditionalFormatting>
  <conditionalFormatting sqref="D280:N281">
    <cfRule type="expression" dxfId="2213" priority="290">
      <formula>NoColor</formula>
    </cfRule>
  </conditionalFormatting>
  <conditionalFormatting sqref="E69">
    <cfRule type="expression" dxfId="2212" priority="525">
      <formula>NoColor</formula>
    </cfRule>
  </conditionalFormatting>
  <conditionalFormatting sqref="E71">
    <cfRule type="expression" dxfId="2211" priority="524">
      <formula>NoColor</formula>
    </cfRule>
  </conditionalFormatting>
  <conditionalFormatting sqref="E100">
    <cfRule type="expression" dxfId="2210" priority="607">
      <formula>NoColor</formula>
    </cfRule>
  </conditionalFormatting>
  <conditionalFormatting sqref="E108">
    <cfRule type="expression" dxfId="2209" priority="605">
      <formula>NoColor</formula>
    </cfRule>
  </conditionalFormatting>
  <conditionalFormatting sqref="E191">
    <cfRule type="expression" dxfId="2208" priority="259">
      <formula>NoColor</formula>
    </cfRule>
  </conditionalFormatting>
  <conditionalFormatting sqref="E193">
    <cfRule type="expression" dxfId="2207" priority="258">
      <formula>NoColor</formula>
    </cfRule>
  </conditionalFormatting>
  <conditionalFormatting sqref="E221">
    <cfRule type="expression" dxfId="2206" priority="493">
      <formula>NoColor</formula>
    </cfRule>
  </conditionalFormatting>
  <conditionalFormatting sqref="E229">
    <cfRule type="expression" dxfId="2205" priority="227">
      <formula>NoColor</formula>
    </cfRule>
  </conditionalFormatting>
  <conditionalFormatting sqref="E312">
    <cfRule type="expression" dxfId="2204" priority="243">
      <formula>NoColor</formula>
    </cfRule>
  </conditionalFormatting>
  <conditionalFormatting sqref="E314">
    <cfRule type="expression" dxfId="2203" priority="242">
      <formula>NoColor</formula>
    </cfRule>
  </conditionalFormatting>
  <conditionalFormatting sqref="E342">
    <cfRule type="expression" dxfId="2202" priority="416">
      <formula>NoColor</formula>
    </cfRule>
  </conditionalFormatting>
  <conditionalFormatting sqref="E350">
    <cfRule type="expression" dxfId="2201" priority="216">
      <formula>NoColor</formula>
    </cfRule>
  </conditionalFormatting>
  <conditionalFormatting sqref="H36:N36">
    <cfRule type="expression" dxfId="2200" priority="287">
      <formula>NoColor</formula>
    </cfRule>
  </conditionalFormatting>
  <conditionalFormatting sqref="H158:N158">
    <cfRule type="expression" dxfId="2199" priority="289">
      <formula>NoColor</formula>
    </cfRule>
  </conditionalFormatting>
  <conditionalFormatting sqref="H279:N279">
    <cfRule type="expression" dxfId="2198" priority="291">
      <formula>NoColor</formula>
    </cfRule>
  </conditionalFormatting>
  <conditionalFormatting sqref="K23">
    <cfRule type="expression" dxfId="2197" priority="177">
      <formula>NoColor</formula>
    </cfRule>
  </conditionalFormatting>
  <conditionalFormatting sqref="K25">
    <cfRule type="expression" dxfId="2196" priority="178">
      <formula>NoColor</formula>
    </cfRule>
  </conditionalFormatting>
  <conditionalFormatting sqref="K145">
    <cfRule type="expression" dxfId="2195" priority="164">
      <formula>NoColor</formula>
    </cfRule>
  </conditionalFormatting>
  <conditionalFormatting sqref="K147">
    <cfRule type="expression" dxfId="2194" priority="165">
      <formula>NoColor</formula>
    </cfRule>
  </conditionalFormatting>
  <conditionalFormatting sqref="K266">
    <cfRule type="expression" dxfId="2193" priority="154">
      <formula>NoColor</formula>
    </cfRule>
  </conditionalFormatting>
  <conditionalFormatting sqref="K268">
    <cfRule type="expression" dxfId="2192" priority="155">
      <formula>NoColor</formula>
    </cfRule>
  </conditionalFormatting>
  <conditionalFormatting sqref="L27:AO27">
    <cfRule type="expression" dxfId="2191" priority="544">
      <formula>NoColor</formula>
    </cfRule>
  </conditionalFormatting>
  <conditionalFormatting sqref="L149:AO149">
    <cfRule type="expression" dxfId="2190" priority="476">
      <formula>NoColor</formula>
    </cfRule>
  </conditionalFormatting>
  <conditionalFormatting sqref="L270:AO270">
    <cfRule type="expression" dxfId="2189" priority="404">
      <formula>NoColor</formula>
    </cfRule>
  </conditionalFormatting>
  <conditionalFormatting sqref="N43">
    <cfRule type="expression" dxfId="2188" priority="527">
      <formula>NoColor</formula>
    </cfRule>
  </conditionalFormatting>
  <conditionalFormatting sqref="N165">
    <cfRule type="expression" dxfId="2187" priority="285">
      <formula>NoColor</formula>
    </cfRule>
  </conditionalFormatting>
  <conditionalFormatting sqref="N286">
    <cfRule type="expression" dxfId="2186" priority="284">
      <formula>NoColor</formula>
    </cfRule>
  </conditionalFormatting>
  <conditionalFormatting sqref="P33:AI33">
    <cfRule type="expression" dxfId="2185" priority="543">
      <formula>NoColor</formula>
    </cfRule>
  </conditionalFormatting>
  <conditionalFormatting sqref="P38:AI38">
    <cfRule type="expression" dxfId="2184" priority="540">
      <formula>NoColor</formula>
    </cfRule>
  </conditionalFormatting>
  <conditionalFormatting sqref="P47:AI47">
    <cfRule type="expression" dxfId="2183" priority="539">
      <formula>NoColor</formula>
    </cfRule>
  </conditionalFormatting>
  <conditionalFormatting sqref="P51:AI57">
    <cfRule type="expression" dxfId="2182" priority="532">
      <formula>NoColor</formula>
    </cfRule>
  </conditionalFormatting>
  <conditionalFormatting sqref="P60:AI63">
    <cfRule type="expression" dxfId="2181" priority="531">
      <formula>NoColor</formula>
    </cfRule>
  </conditionalFormatting>
  <conditionalFormatting sqref="P155:AI155">
    <cfRule type="expression" dxfId="2180" priority="312">
      <formula>NoColor</formula>
    </cfRule>
  </conditionalFormatting>
  <conditionalFormatting sqref="P160:AI160">
    <cfRule type="expression" dxfId="2179" priority="204">
      <formula>NoColor</formula>
    </cfRule>
  </conditionalFormatting>
  <conditionalFormatting sqref="P169:AI169">
    <cfRule type="expression" dxfId="2178" priority="471">
      <formula>NoColor</formula>
    </cfRule>
  </conditionalFormatting>
  <conditionalFormatting sqref="P173:AI179">
    <cfRule type="expression" dxfId="2177" priority="129">
      <formula>NoColor</formula>
    </cfRule>
  </conditionalFormatting>
  <conditionalFormatting sqref="P182:AI185">
    <cfRule type="expression" dxfId="2176" priority="463">
      <formula>NoColor</formula>
    </cfRule>
  </conditionalFormatting>
  <conditionalFormatting sqref="P276:AI276">
    <cfRule type="expression" dxfId="2175" priority="311">
      <formula>NoColor</formula>
    </cfRule>
  </conditionalFormatting>
  <conditionalFormatting sqref="P281:AI281">
    <cfRule type="expression" dxfId="2174" priority="202">
      <formula>NoColor</formula>
    </cfRule>
  </conditionalFormatting>
  <conditionalFormatting sqref="P290:AI290">
    <cfRule type="expression" dxfId="2173" priority="399">
      <formula>NoColor</formula>
    </cfRule>
  </conditionalFormatting>
  <conditionalFormatting sqref="P294:AI300">
    <cfRule type="expression" dxfId="2172" priority="128">
      <formula>NoColor</formula>
    </cfRule>
  </conditionalFormatting>
  <conditionalFormatting sqref="P303:AI306">
    <cfRule type="expression" dxfId="2171" priority="391">
      <formula>NoColor</formula>
    </cfRule>
  </conditionalFormatting>
  <conditionalFormatting sqref="Q100">
    <cfRule type="expression" dxfId="2170" priority="604">
      <formula>NoColor</formula>
    </cfRule>
  </conditionalFormatting>
  <conditionalFormatting sqref="Q108">
    <cfRule type="expression" dxfId="2169" priority="602">
      <formula>NoColor</formula>
    </cfRule>
  </conditionalFormatting>
  <conditionalFormatting sqref="Q221">
    <cfRule type="expression" dxfId="2168" priority="491">
      <formula>NoColor</formula>
    </cfRule>
  </conditionalFormatting>
  <conditionalFormatting sqref="Q229">
    <cfRule type="expression" dxfId="2167" priority="226">
      <formula>NoColor</formula>
    </cfRule>
  </conditionalFormatting>
  <conditionalFormatting sqref="Q342">
    <cfRule type="expression" dxfId="2166" priority="414">
      <formula>NoColor</formula>
    </cfRule>
  </conditionalFormatting>
  <conditionalFormatting sqref="Q350">
    <cfRule type="expression" dxfId="2165" priority="215">
      <formula>NoColor</formula>
    </cfRule>
  </conditionalFormatting>
  <conditionalFormatting sqref="T77:X79">
    <cfRule type="expression" dxfId="2164" priority="521">
      <formula>NoColor</formula>
    </cfRule>
  </conditionalFormatting>
  <conditionalFormatting sqref="T199:X201">
    <cfRule type="expression" dxfId="2163" priority="95">
      <formula>NoColor</formula>
    </cfRule>
  </conditionalFormatting>
  <conditionalFormatting sqref="T320:X322">
    <cfRule type="expression" dxfId="2162" priority="86">
      <formula>NoColor</formula>
    </cfRule>
  </conditionalFormatting>
  <conditionalFormatting sqref="W23">
    <cfRule type="expression" dxfId="2161" priority="182">
      <formula>NoColor</formula>
    </cfRule>
  </conditionalFormatting>
  <conditionalFormatting sqref="W25">
    <cfRule type="expression" dxfId="2160" priority="183">
      <formula>NoColor</formula>
    </cfRule>
  </conditionalFormatting>
  <conditionalFormatting sqref="W145">
    <cfRule type="expression" dxfId="2159" priority="167">
      <formula>NoColor</formula>
    </cfRule>
  </conditionalFormatting>
  <conditionalFormatting sqref="W147">
    <cfRule type="expression" dxfId="2158" priority="168">
      <formula>NoColor</formula>
    </cfRule>
  </conditionalFormatting>
  <conditionalFormatting sqref="W266">
    <cfRule type="expression" dxfId="2157" priority="157">
      <formula>NoColor</formula>
    </cfRule>
  </conditionalFormatting>
  <conditionalFormatting sqref="W268">
    <cfRule type="expression" dxfId="2156" priority="158">
      <formula>NoColor</formula>
    </cfRule>
  </conditionalFormatting>
  <conditionalFormatting sqref="W332">
    <cfRule type="expression" dxfId="2155" priority="9">
      <formula>NoColor</formula>
    </cfRule>
  </conditionalFormatting>
  <conditionalFormatting sqref="X90">
    <cfRule type="expression" dxfId="2154" priority="12">
      <formula>NoColor</formula>
    </cfRule>
  </conditionalFormatting>
  <conditionalFormatting sqref="X211">
    <cfRule type="expression" dxfId="2153" priority="10">
      <formula>NoColor</formula>
    </cfRule>
  </conditionalFormatting>
  <conditionalFormatting sqref="AA77:AA79 AE77:AE79 AI77:AI79">
    <cfRule type="expression" dxfId="2152" priority="547">
      <formula>NoColor</formula>
    </cfRule>
  </conditionalFormatting>
  <conditionalFormatting sqref="AA199:AA201 AE199:AE201 AI199:AI201">
    <cfRule type="expression" dxfId="2151" priority="99">
      <formula>NoColor</formula>
    </cfRule>
  </conditionalFormatting>
  <conditionalFormatting sqref="AA320:AA322 AE320:AE322 AI320:AI322">
    <cfRule type="expression" dxfId="2150" priority="90">
      <formula>NoColor</formula>
    </cfRule>
  </conditionalFormatting>
  <conditionalFormatting sqref="AB86:AI86">
    <cfRule type="expression" dxfId="2149" priority="519">
      <formula>NoColor</formula>
    </cfRule>
  </conditionalFormatting>
  <conditionalFormatting sqref="AB90:AI90">
    <cfRule type="expression" dxfId="2148" priority="13">
      <formula>NoColor</formula>
    </cfRule>
  </conditionalFormatting>
  <conditionalFormatting sqref="AB93:AI95">
    <cfRule type="expression" dxfId="2147" priority="7">
      <formula>NoColor</formula>
    </cfRule>
  </conditionalFormatting>
  <conditionalFormatting sqref="AB99:AI100">
    <cfRule type="expression" dxfId="2146" priority="513">
      <formula>NoColor</formula>
    </cfRule>
  </conditionalFormatting>
  <conditionalFormatting sqref="AB103:AI103">
    <cfRule type="expression" dxfId="2145" priority="512">
      <formula>NoColor</formula>
    </cfRule>
  </conditionalFormatting>
  <conditionalFormatting sqref="AB107:AI107">
    <cfRule type="expression" dxfId="2144" priority="511">
      <formula>NoColor</formula>
    </cfRule>
  </conditionalFormatting>
  <conditionalFormatting sqref="AB121:AI127">
    <cfRule type="expression" dxfId="2143" priority="39">
      <formula>NoColor</formula>
    </cfRule>
  </conditionalFormatting>
  <conditionalFormatting sqref="AB207:AI207">
    <cfRule type="expression" dxfId="2142" priority="230">
      <formula>NoColor</formula>
    </cfRule>
  </conditionalFormatting>
  <conditionalFormatting sqref="AB211:AI211">
    <cfRule type="expression" dxfId="2141" priority="11">
      <formula>NoColor</formula>
    </cfRule>
  </conditionalFormatting>
  <conditionalFormatting sqref="AB214:AI216">
    <cfRule type="expression" dxfId="2140" priority="446">
      <formula>NoColor</formula>
    </cfRule>
  </conditionalFormatting>
  <conditionalFormatting sqref="AB220:AI221">
    <cfRule type="expression" dxfId="2139" priority="445">
      <formula>NoColor</formula>
    </cfRule>
  </conditionalFormatting>
  <conditionalFormatting sqref="AB224:AI224">
    <cfRule type="expression" dxfId="2138" priority="224">
      <formula>NoColor</formula>
    </cfRule>
  </conditionalFormatting>
  <conditionalFormatting sqref="AB228:AI228">
    <cfRule type="expression" dxfId="2137" priority="6">
      <formula>NoColor</formula>
    </cfRule>
  </conditionalFormatting>
  <conditionalFormatting sqref="AB242:AI248">
    <cfRule type="expression" dxfId="2136" priority="40">
      <formula>NoColor</formula>
    </cfRule>
  </conditionalFormatting>
  <conditionalFormatting sqref="AB328:AI328">
    <cfRule type="expression" dxfId="2135" priority="229">
      <formula>NoColor</formula>
    </cfRule>
  </conditionalFormatting>
  <conditionalFormatting sqref="AB332:AI332">
    <cfRule type="expression" dxfId="2134" priority="16">
      <formula>NoColor</formula>
    </cfRule>
  </conditionalFormatting>
  <conditionalFormatting sqref="AB335:AI337">
    <cfRule type="expression" dxfId="2133" priority="8">
      <formula>NoColor</formula>
    </cfRule>
  </conditionalFormatting>
  <conditionalFormatting sqref="AB341:AI342">
    <cfRule type="expression" dxfId="2132" priority="373">
      <formula>NoColor</formula>
    </cfRule>
  </conditionalFormatting>
  <conditionalFormatting sqref="AB345:AI345">
    <cfRule type="expression" dxfId="2131" priority="213">
      <formula>NoColor</formula>
    </cfRule>
  </conditionalFormatting>
  <conditionalFormatting sqref="AB349:AI349">
    <cfRule type="expression" dxfId="2130" priority="5">
      <formula>NoColor</formula>
    </cfRule>
  </conditionalFormatting>
  <conditionalFormatting sqref="AB365:AI371">
    <cfRule type="expression" dxfId="2129" priority="132">
      <formula>NoColor</formula>
    </cfRule>
  </conditionalFormatting>
  <conditionalFormatting sqref="AE108">
    <cfRule type="expression" dxfId="2128" priority="599">
      <formula>NoColor</formula>
    </cfRule>
  </conditionalFormatting>
  <conditionalFormatting sqref="AE229">
    <cfRule type="expression" dxfId="2127" priority="225">
      <formula>NoColor</formula>
    </cfRule>
  </conditionalFormatting>
  <conditionalFormatting sqref="AE350">
    <cfRule type="expression" dxfId="2126" priority="214">
      <formula>NoColor</formula>
    </cfRule>
  </conditionalFormatting>
  <conditionalFormatting sqref="AH20">
    <cfRule type="expression" dxfId="2125" priority="176">
      <formula>$AO$22&gt;1</formula>
    </cfRule>
  </conditionalFormatting>
  <conditionalFormatting sqref="AH142">
    <cfRule type="expression" dxfId="2124" priority="163">
      <formula>$AO$22&gt;1</formula>
    </cfRule>
  </conditionalFormatting>
  <conditionalFormatting sqref="AH263">
    <cfRule type="expression" dxfId="2123" priority="153">
      <formula>$AO$22&gt;1</formula>
    </cfRule>
  </conditionalFormatting>
  <conditionalFormatting sqref="AI20">
    <cfRule type="expression" dxfId="2122" priority="134">
      <formula>AO22&gt;1</formula>
    </cfRule>
  </conditionalFormatting>
  <conditionalFormatting sqref="AI23">
    <cfRule type="expression" dxfId="2121" priority="179">
      <formula>NoColor</formula>
    </cfRule>
  </conditionalFormatting>
  <conditionalFormatting sqref="AI142">
    <cfRule type="expression" dxfId="2120" priority="131">
      <formula>AO144&gt;1</formula>
    </cfRule>
  </conditionalFormatting>
  <conditionalFormatting sqref="AI145">
    <cfRule type="expression" dxfId="2119" priority="166">
      <formula>NoColor</formula>
    </cfRule>
  </conditionalFormatting>
  <conditionalFormatting sqref="AI263">
    <cfRule type="expression" dxfId="2118" priority="130">
      <formula>AO265&gt;1</formula>
    </cfRule>
  </conditionalFormatting>
  <conditionalFormatting sqref="AI266">
    <cfRule type="expression" dxfId="2117" priority="156">
      <formula>NoColor</formula>
    </cfRule>
  </conditionalFormatting>
  <conditionalFormatting sqref="AL38:AO38 AL160:AO160 AL281:AO281">
    <cfRule type="expression" dxfId="2116" priority="197">
      <formula>NoColor</formula>
    </cfRule>
    <cfRule type="expression" dxfId="2115" priority="196">
      <formula>IF(AND(SUM(P38,W38,AD38)&gt;0,AO22=0),1,0)</formula>
    </cfRule>
  </conditionalFormatting>
  <conditionalFormatting sqref="AL63:AO64">
    <cfRule type="expression" dxfId="2114" priority="528">
      <formula>NoColor</formula>
    </cfRule>
  </conditionalFormatting>
  <conditionalFormatting sqref="AL96:AO96">
    <cfRule type="expression" dxfId="2113" priority="510">
      <formula>NoColor</formula>
    </cfRule>
  </conditionalFormatting>
  <conditionalFormatting sqref="AL110:AO110">
    <cfRule type="expression" dxfId="2112" priority="509">
      <formula>NoColor</formula>
    </cfRule>
  </conditionalFormatting>
  <conditionalFormatting sqref="AL112:AO112">
    <cfRule type="expression" dxfId="2111" priority="313">
      <formula>NoColor</formula>
    </cfRule>
  </conditionalFormatting>
  <conditionalFormatting sqref="AL115:AO118">
    <cfRule type="expression" dxfId="2110" priority="47">
      <formula>NoColor</formula>
    </cfRule>
  </conditionalFormatting>
  <conditionalFormatting sqref="AL128:AO130">
    <cfRule type="expression" dxfId="2109" priority="498">
      <formula>NoColor</formula>
    </cfRule>
  </conditionalFormatting>
  <conditionalFormatting sqref="AL132:AO132">
    <cfRule type="expression" dxfId="2108" priority="503">
      <formula>NoColor</formula>
    </cfRule>
  </conditionalFormatting>
  <conditionalFormatting sqref="AL185:AO186">
    <cfRule type="expression" dxfId="2107" priority="188">
      <formula>NoColor</formula>
    </cfRule>
  </conditionalFormatting>
  <conditionalFormatting sqref="AL217:AO217">
    <cfRule type="expression" dxfId="2106" priority="442">
      <formula>NoColor</formula>
    </cfRule>
  </conditionalFormatting>
  <conditionalFormatting sqref="AL231:AO231">
    <cfRule type="expression" dxfId="2105" priority="222">
      <formula>NoColor</formula>
    </cfRule>
  </conditionalFormatting>
  <conditionalFormatting sqref="AL233:AO233">
    <cfRule type="expression" dxfId="2104" priority="21">
      <formula>NoColor</formula>
    </cfRule>
  </conditionalFormatting>
  <conditionalFormatting sqref="AL236:AO239">
    <cfRule type="expression" dxfId="2103" priority="44">
      <formula>NoColor</formula>
    </cfRule>
  </conditionalFormatting>
  <conditionalFormatting sqref="AL249:AO251">
    <cfRule type="expression" dxfId="2102" priority="430">
      <formula>NoColor</formula>
    </cfRule>
  </conditionalFormatting>
  <conditionalFormatting sqref="AL253:AO253">
    <cfRule type="expression" dxfId="2101" priority="299">
      <formula>NoColor</formula>
    </cfRule>
  </conditionalFormatting>
  <conditionalFormatting sqref="AL306:AO307">
    <cfRule type="expression" dxfId="2100" priority="186">
      <formula>NoColor</formula>
    </cfRule>
  </conditionalFormatting>
  <conditionalFormatting sqref="AL338:AO338">
    <cfRule type="expression" dxfId="2099" priority="370">
      <formula>NoColor</formula>
    </cfRule>
  </conditionalFormatting>
  <conditionalFormatting sqref="AL352:AO352">
    <cfRule type="expression" dxfId="2098" priority="211">
      <formula>NoColor</formula>
    </cfRule>
  </conditionalFormatting>
  <conditionalFormatting sqref="AL356:AO356">
    <cfRule type="expression" dxfId="2097" priority="18">
      <formula>NoColor</formula>
    </cfRule>
  </conditionalFormatting>
  <conditionalFormatting sqref="AL359:AO362">
    <cfRule type="expression" dxfId="2096" priority="42">
      <formula>NoColor</formula>
    </cfRule>
  </conditionalFormatting>
  <conditionalFormatting sqref="AL372:AO374">
    <cfRule type="expression" dxfId="2095" priority="358">
      <formula>NoColor</formula>
    </cfRule>
  </conditionalFormatting>
  <conditionalFormatting sqref="AL376:AO376">
    <cfRule type="expression" dxfId="2094" priority="298">
      <formula>NoColor</formula>
    </cfRule>
  </conditionalFormatting>
  <conditionalFormatting sqref="AM77:AM79">
    <cfRule type="expression" dxfId="2093" priority="267">
      <formula>NoColor</formula>
    </cfRule>
  </conditionalFormatting>
  <conditionalFormatting sqref="AM199:AM201">
    <cfRule type="expression" dxfId="2092" priority="82">
      <formula>NoColor</formula>
    </cfRule>
  </conditionalFormatting>
  <conditionalFormatting sqref="AM320:AM322">
    <cfRule type="expression" dxfId="2091" priority="79">
      <formula>NoColor</formula>
    </cfRule>
  </conditionalFormatting>
  <conditionalFormatting sqref="AM80:AO80">
    <cfRule type="expression" dxfId="2090" priority="191">
      <formula>NoColor</formula>
    </cfRule>
  </conditionalFormatting>
  <conditionalFormatting sqref="AM202:AO202">
    <cfRule type="expression" dxfId="2089" priority="254">
      <formula>NoColor</formula>
    </cfRule>
  </conditionalFormatting>
  <conditionalFormatting sqref="AM323:AO323">
    <cfRule type="expression" dxfId="2088" priority="190">
      <formula>NoColor</formula>
    </cfRule>
  </conditionalFormatting>
  <conditionalFormatting sqref="AO10">
    <cfRule type="expression" dxfId="2087" priority="126">
      <formula>AND(AO10&lt;&gt;0,AO10&lt;&gt;"")</formula>
    </cfRule>
    <cfRule type="expression" dxfId="2086" priority="125">
      <formula>AND(AO10&lt;&gt;0,AO10&lt;&gt;"",NoColor)</formula>
    </cfRule>
  </conditionalFormatting>
  <conditionalFormatting sqref="AO20">
    <cfRule type="expression" dxfId="2085" priority="135">
      <formula>$AO$22&gt;1</formula>
    </cfRule>
  </conditionalFormatting>
  <conditionalFormatting sqref="AQ63:AT64">
    <cfRule type="expression" dxfId="2084" priority="526">
      <formula>NoColor</formula>
    </cfRule>
  </conditionalFormatting>
  <conditionalFormatting sqref="AQ80:AT80">
    <cfRule type="expression" dxfId="2083" priority="269">
      <formula>NoColor</formula>
    </cfRule>
  </conditionalFormatting>
  <conditionalFormatting sqref="AQ107:AT107">
    <cfRule type="expression" dxfId="2082" priority="497">
      <formula>NoColor</formula>
    </cfRule>
  </conditionalFormatting>
  <conditionalFormatting sqref="AQ110:AT110">
    <cfRule type="expression" dxfId="2081" priority="228">
      <formula>NoColor</formula>
    </cfRule>
  </conditionalFormatting>
  <conditionalFormatting sqref="AQ112:AT112">
    <cfRule type="expression" dxfId="2080" priority="496">
      <formula>NoColor</formula>
    </cfRule>
  </conditionalFormatting>
  <conditionalFormatting sqref="AQ118:AT118">
    <cfRule type="expression" dxfId="2079" priority="321">
      <formula>NoColor</formula>
    </cfRule>
  </conditionalFormatting>
  <conditionalFormatting sqref="AQ128:AT128">
    <cfRule type="expression" dxfId="2078" priority="38">
      <formula>NoColor</formula>
    </cfRule>
  </conditionalFormatting>
  <conditionalFormatting sqref="AQ132:AT132">
    <cfRule type="expression" dxfId="2077" priority="495">
      <formula>NoColor</formula>
    </cfRule>
  </conditionalFormatting>
  <conditionalFormatting sqref="AQ185:AT186">
    <cfRule type="expression" dxfId="2076" priority="458">
      <formula>NoColor</formula>
    </cfRule>
  </conditionalFormatting>
  <conditionalFormatting sqref="AQ202:AT202">
    <cfRule type="expression" dxfId="2075" priority="253">
      <formula>NoColor</formula>
    </cfRule>
  </conditionalFormatting>
  <conditionalFormatting sqref="AQ228:AT228">
    <cfRule type="expression" dxfId="2074" priority="220">
      <formula>NoColor</formula>
    </cfRule>
  </conditionalFormatting>
  <conditionalFormatting sqref="AQ231:AT231">
    <cfRule type="expression" dxfId="2073" priority="217">
      <formula>NoColor</formula>
    </cfRule>
  </conditionalFormatting>
  <conditionalFormatting sqref="AQ233:AT233">
    <cfRule type="expression" dxfId="2072" priority="22">
      <formula>NoColor</formula>
    </cfRule>
  </conditionalFormatting>
  <conditionalFormatting sqref="AQ239:AT239">
    <cfRule type="expression" dxfId="2071" priority="317">
      <formula>NoColor</formula>
    </cfRule>
  </conditionalFormatting>
  <conditionalFormatting sqref="AQ249:AT249">
    <cfRule type="expression" dxfId="2070" priority="37">
      <formula>NoColor</formula>
    </cfRule>
  </conditionalFormatting>
  <conditionalFormatting sqref="AQ253:AT253">
    <cfRule type="expression" dxfId="2069" priority="427">
      <formula>NoColor</formula>
    </cfRule>
  </conditionalFormatting>
  <conditionalFormatting sqref="AQ306:AT307">
    <cfRule type="expression" dxfId="2068" priority="386">
      <formula>NoColor</formula>
    </cfRule>
  </conditionalFormatting>
  <conditionalFormatting sqref="AQ323:AT323">
    <cfRule type="expression" dxfId="2067" priority="237">
      <formula>NoColor</formula>
    </cfRule>
  </conditionalFormatting>
  <conditionalFormatting sqref="AQ349:AT349">
    <cfRule type="expression" dxfId="2066" priority="209">
      <formula>NoColor</formula>
    </cfRule>
  </conditionalFormatting>
  <conditionalFormatting sqref="AQ352:AT352">
    <cfRule type="expression" dxfId="2065" priority="206">
      <formula>NoColor</formula>
    </cfRule>
  </conditionalFormatting>
  <conditionalFormatting sqref="AQ356:AT356">
    <cfRule type="expression" dxfId="2064" priority="19">
      <formula>NoColor</formula>
    </cfRule>
  </conditionalFormatting>
  <conditionalFormatting sqref="AQ362:AT362">
    <cfRule type="expression" dxfId="2063" priority="318">
      <formula>NoColor</formula>
    </cfRule>
  </conditionalFormatting>
  <conditionalFormatting sqref="AQ372:AT372">
    <cfRule type="expression" dxfId="2062" priority="36">
      <formula>NoColor</formula>
    </cfRule>
  </conditionalFormatting>
  <conditionalFormatting sqref="AQ376:AT376">
    <cfRule type="expression" dxfId="2061" priority="355">
      <formula>NoColor</formula>
    </cfRule>
  </conditionalFormatting>
  <conditionalFormatting sqref="AQ13:AW17">
    <cfRule type="expression" dxfId="2060" priority="85">
      <formula>$AQ$12</formula>
    </cfRule>
  </conditionalFormatting>
  <conditionalFormatting sqref="AX96:AX97 AX349:AX350">
    <cfRule type="expression" dxfId="2059" priority="32">
      <formula>NOT(AX96)</formula>
    </cfRule>
    <cfRule type="expression" dxfId="2058" priority="33">
      <formula>AX96</formula>
    </cfRule>
  </conditionalFormatting>
  <conditionalFormatting sqref="AX224:AX225">
    <cfRule type="expression" dxfId="2057" priority="31">
      <formula>AX224</formula>
    </cfRule>
    <cfRule type="expression" dxfId="2056" priority="30">
      <formula>NOT(AX224)</formula>
    </cfRule>
  </conditionalFormatting>
  <conditionalFormatting sqref="BE119">
    <cfRule type="expression" dxfId="2055" priority="34">
      <formula>NoColor</formula>
    </cfRule>
  </conditionalFormatting>
  <conditionalFormatting sqref="BE245">
    <cfRule type="expression" dxfId="2054" priority="23">
      <formula>NoColor</formula>
    </cfRule>
  </conditionalFormatting>
  <conditionalFormatting sqref="BE247">
    <cfRule type="expression" dxfId="2053" priority="35">
      <formula>NoColor</formula>
    </cfRule>
  </conditionalFormatting>
  <conditionalFormatting sqref="BE369:BE370">
    <cfRule type="expression" dxfId="2052" priority="20">
      <formula>NoColor</formula>
    </cfRule>
  </conditionalFormatting>
  <conditionalFormatting sqref="BE372">
    <cfRule type="expression" dxfId="2051" priority="50">
      <formula>NoColor</formula>
    </cfRule>
  </conditionalFormatting>
  <conditionalFormatting sqref="BG109">
    <cfRule type="expression" dxfId="2050" priority="2">
      <formula>NoColor</formula>
    </cfRule>
  </conditionalFormatting>
  <conditionalFormatting sqref="BG120 BG122">
    <cfRule type="expression" dxfId="2049" priority="65">
      <formula>NoColor</formula>
    </cfRule>
  </conditionalFormatting>
  <conditionalFormatting sqref="BG236">
    <cfRule type="expression" dxfId="2048" priority="1">
      <formula>NoColor</formula>
    </cfRule>
  </conditionalFormatting>
  <conditionalFormatting sqref="BG248:BG249">
    <cfRule type="expression" dxfId="2047" priority="15">
      <formula>NoColor</formula>
    </cfRule>
  </conditionalFormatting>
  <conditionalFormatting sqref="BG361">
    <cfRule type="expression" dxfId="2046" priority="3">
      <formula>NoColor</formula>
    </cfRule>
  </conditionalFormatting>
  <conditionalFormatting sqref="BG373:BG374">
    <cfRule type="expression" dxfId="2045" priority="14">
      <formula>NoColor</formula>
    </cfRule>
  </conditionalFormatting>
  <pageMargins left="0.5" right="0.5" top="0.28999999999999998" bottom="0.28999999999999998" header="0.36" footer="0.21"/>
  <pageSetup scale="83" fitToHeight="0" orientation="portrait" r:id="rId1"/>
  <rowBreaks count="5" manualBreakCount="5">
    <brk id="81" max="16383" man="1"/>
    <brk id="133" min="1" max="40" man="1"/>
    <brk id="203" min="1" max="40" man="1"/>
    <brk id="254" min="1" max="40" man="1"/>
    <brk id="324" min="1" max="40" man="1"/>
  </rowBreaks>
  <colBreaks count="2" manualBreakCount="2">
    <brk id="2" min="11" max="375" man="1"/>
    <brk id="7" min="11" max="375" man="1"/>
  </colBreak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CJ391"/>
  <sheetViews>
    <sheetView zoomScaleNormal="100" zoomScaleSheetLayoutView="100" workbookViewId="0">
      <pane ySplit="4" topLeftCell="A5" activePane="bottomLeft" state="frozen"/>
      <selection activeCell="E24" sqref="E24"/>
      <selection pane="bottomLeft"/>
    </sheetView>
  </sheetViews>
  <sheetFormatPr defaultRowHeight="12.75"/>
  <cols>
    <col min="1" max="2" width="2.140625" customWidth="1"/>
    <col min="3" max="3" width="4.140625" customWidth="1"/>
    <col min="4" max="4" width="3.140625" customWidth="1"/>
    <col min="5" max="5" width="10.5703125" customWidth="1"/>
    <col min="6" max="6" width="5.28515625" customWidth="1"/>
    <col min="7" max="7" width="8" customWidth="1"/>
    <col min="8" max="8" width="3" customWidth="1"/>
    <col min="9" max="9" width="7.5703125" customWidth="1"/>
    <col min="10" max="10" width="4.140625" customWidth="1"/>
    <col min="11" max="11" width="5.42578125" customWidth="1"/>
    <col min="12" max="12" width="1.28515625" customWidth="1"/>
    <col min="13" max="13" width="3.5703125" customWidth="1"/>
    <col min="14" max="14" width="5.28515625" customWidth="1"/>
    <col min="15" max="15" width="3.85546875" customWidth="1"/>
    <col min="16" max="16" width="4" customWidth="1"/>
    <col min="17" max="17" width="10.7109375" customWidth="1"/>
    <col min="18" max="18" width="3.28515625" customWidth="1"/>
    <col min="19" max="19" width="10.7109375" customWidth="1"/>
    <col min="20" max="20" width="3.28515625" customWidth="1"/>
    <col min="21" max="21" width="10.7109375" customWidth="1"/>
    <col min="22" max="22" width="3.28515625" customWidth="1"/>
    <col min="23" max="23" width="10.7109375" customWidth="1"/>
    <col min="24" max="24" width="5" customWidth="1"/>
    <col min="25" max="25" width="2.85546875" style="3" customWidth="1"/>
    <col min="26" max="26" width="13.85546875" customWidth="1"/>
    <col min="27" max="27" width="4.7109375" customWidth="1"/>
    <col min="28" max="28" width="3.5703125" customWidth="1"/>
    <col min="29" max="29" width="4.7109375" customWidth="1"/>
    <col min="30" max="30" width="2" customWidth="1"/>
    <col min="31" max="31" width="11.85546875" customWidth="1"/>
    <col min="32" max="32" width="5.5703125" customWidth="1"/>
    <col min="33" max="33" width="4.140625" customWidth="1"/>
    <col min="34" max="34" width="4.7109375" customWidth="1"/>
    <col min="35" max="35" width="21" customWidth="1"/>
    <col min="36" max="36" width="2.7109375" customWidth="1"/>
    <col min="37" max="37" width="10.7109375" customWidth="1"/>
    <col min="38" max="38" width="1.7109375" customWidth="1"/>
    <col min="39" max="39" width="10.7109375" customWidth="1"/>
    <col min="40" max="40" width="1.7109375" customWidth="1"/>
    <col min="41" max="41" width="10.7109375" customWidth="1"/>
    <col min="42" max="42" width="1.7109375" customWidth="1"/>
    <col min="43" max="43" width="10.7109375" customWidth="1"/>
    <col min="44" max="44" width="1.7109375" customWidth="1"/>
    <col min="45" max="45" width="3.42578125" customWidth="1"/>
    <col min="46" max="46" width="2.7109375" customWidth="1"/>
    <col min="47" max="47" width="5.85546875" customWidth="1"/>
    <col min="48" max="58" width="10.7109375" style="658" customWidth="1"/>
    <col min="59" max="71" width="9" customWidth="1"/>
    <col min="72" max="83" width="9.140625" customWidth="1"/>
  </cols>
  <sheetData>
    <row r="1" spans="1:58" ht="12.75" customHeight="1">
      <c r="A1" s="253"/>
      <c r="B1" s="253"/>
      <c r="C1" s="253"/>
      <c r="D1" s="253"/>
      <c r="E1" s="253"/>
      <c r="F1" s="253"/>
      <c r="G1" s="253"/>
      <c r="H1" s="253"/>
      <c r="I1" s="253"/>
      <c r="J1" s="253"/>
      <c r="K1" s="253"/>
      <c r="L1" s="253"/>
      <c r="M1" s="253"/>
      <c r="N1" s="253"/>
      <c r="O1" s="253"/>
      <c r="P1" s="253"/>
      <c r="Q1" s="253"/>
      <c r="R1" s="253"/>
      <c r="S1" s="253"/>
      <c r="T1" s="253"/>
      <c r="U1" s="253"/>
      <c r="V1" s="253"/>
      <c r="W1" s="253"/>
      <c r="X1" s="253"/>
      <c r="Y1" s="343"/>
      <c r="Z1" s="253"/>
      <c r="AA1" s="253"/>
      <c r="AB1" s="253"/>
      <c r="AC1" s="253"/>
      <c r="AD1" s="253"/>
      <c r="AE1" s="253"/>
      <c r="AF1" s="253"/>
      <c r="AG1" s="253"/>
      <c r="AH1" s="253"/>
      <c r="AI1" s="253"/>
      <c r="AJ1" s="253"/>
      <c r="AK1" s="253"/>
      <c r="AL1" s="253"/>
      <c r="AM1" s="253"/>
      <c r="AN1" s="253"/>
      <c r="AO1" s="253"/>
      <c r="AP1" s="253"/>
      <c r="AQ1" s="253"/>
      <c r="AR1" s="253"/>
      <c r="AS1" s="253"/>
      <c r="AT1" s="253"/>
      <c r="AU1" s="344"/>
      <c r="AV1" s="657" t="s">
        <v>223</v>
      </c>
    </row>
    <row r="2" spans="1:58" ht="16.5" customHeight="1">
      <c r="A2" s="253"/>
      <c r="B2" s="253"/>
      <c r="C2" s="5412" t="str">
        <f>IF(AND(U39="",U40=""),"Please complete Lines 2 and 3.",IF($V$43,"Line 4 is less than "&amp;TEXT(W43,"$0,000")&amp;", don't file Form 2210.",IF($U$48,"Line 7 is less than "&amp;TEXT(W43,"$0,000")&amp;", don't file Form 2210.",IF(NOT(AC38),"Complete information in Columns AB &amp; AC for "&amp;TaxYear-1&amp;".",IF(AND(NOT($W$48),NOT($B$66)),"Line 9 is not more than Line 6 and Box E does not apply. You don't owe a penalty. Don't file Form 2210.",IF(AND(NOT($W$48),$B$66,NOT(B60),NOT(B62),NOT(B64)),"Box E applies. You must file page 1 of Form 2210, but you aren't required to figure your penalty.",IF(B60,"Box B applies.  You must figure your penalty and waiver amount and file Form 2210.",IF(B58,"Box A applies.  File only page 1 of Form 2210, but you aren't required to figure your penalty.",IF(B62,"Box C applies.  You must figure the penalty using Schedule AI (not included here) and file Form 2210.",IF(B64,"Box D applies. You must figure your penalty and file Form 2210.",IF(B66,"Box E applies. You must file page 1 of Form 2210, but you aren't required to figure your penalty.",IF(NOT(B67),"You may owe a penalty but don't file Form 2210 unless one or more boxes in Part II apply.",":"))))))))))))</f>
        <v>Line 4 is less than $1,000, don't file Form 2210.</v>
      </c>
      <c r="D2" s="253"/>
      <c r="E2" s="253"/>
      <c r="F2" s="253"/>
      <c r="G2" s="253"/>
      <c r="H2" s="253"/>
      <c r="I2" s="253"/>
      <c r="J2" s="253"/>
      <c r="K2" s="253"/>
      <c r="L2" s="253"/>
      <c r="M2" s="253"/>
      <c r="N2" s="253"/>
      <c r="O2" s="253"/>
      <c r="P2" s="253"/>
      <c r="Q2" s="253"/>
      <c r="R2" s="253"/>
      <c r="S2" s="253"/>
      <c r="T2" s="253"/>
      <c r="U2" s="5413"/>
      <c r="V2" s="253"/>
      <c r="W2" s="253"/>
      <c r="X2" s="253"/>
      <c r="Y2" s="343"/>
      <c r="Z2" s="253"/>
      <c r="AA2" s="253"/>
      <c r="AB2" s="253"/>
      <c r="AC2" s="253"/>
      <c r="AD2" s="253"/>
      <c r="AE2" s="253"/>
      <c r="AF2" s="253"/>
      <c r="AG2" s="253"/>
      <c r="AH2" s="253"/>
      <c r="AI2" s="253"/>
      <c r="AJ2" s="253"/>
      <c r="AK2" s="253"/>
      <c r="AL2" s="253"/>
      <c r="AM2" s="253"/>
      <c r="AN2" s="253"/>
      <c r="AO2" s="253"/>
      <c r="AP2" s="253"/>
      <c r="AQ2" s="253"/>
      <c r="AR2" s="253"/>
      <c r="AS2" s="253"/>
      <c r="AT2" s="253"/>
      <c r="AU2" s="344"/>
    </row>
    <row r="3" spans="1:58" ht="7.5" customHeight="1">
      <c r="A3" s="253"/>
      <c r="B3" s="580"/>
      <c r="C3" s="5414"/>
      <c r="D3" s="253"/>
      <c r="E3" s="253"/>
      <c r="F3" s="253"/>
      <c r="G3" s="253"/>
      <c r="H3" s="253"/>
      <c r="I3" s="2740"/>
      <c r="J3" s="253"/>
      <c r="K3" s="253"/>
      <c r="L3" s="253"/>
      <c r="M3" s="253"/>
      <c r="N3" s="253"/>
      <c r="O3" s="253"/>
      <c r="P3" s="253"/>
      <c r="Q3" s="253"/>
      <c r="R3" s="253"/>
      <c r="S3" s="253"/>
      <c r="T3" s="253"/>
      <c r="U3" s="253"/>
      <c r="V3" s="253"/>
      <c r="W3" s="253"/>
      <c r="X3" s="253"/>
      <c r="Y3" s="343"/>
      <c r="Z3" s="253"/>
      <c r="AA3" s="253"/>
      <c r="AB3" s="253"/>
      <c r="AC3" s="253"/>
      <c r="AD3" s="253"/>
      <c r="AE3" s="253"/>
      <c r="AF3" s="253"/>
      <c r="AG3" s="253"/>
      <c r="AH3" s="253"/>
      <c r="AI3" s="253"/>
      <c r="AJ3" s="253"/>
      <c r="AK3" s="253"/>
      <c r="AL3" s="253"/>
      <c r="AM3" s="253"/>
      <c r="AN3" s="253"/>
      <c r="AO3" s="253"/>
      <c r="AP3" s="253"/>
      <c r="AQ3" s="253"/>
      <c r="AR3" s="253"/>
      <c r="AS3" s="253"/>
      <c r="AT3" s="253"/>
      <c r="AU3" s="344"/>
    </row>
    <row r="4" spans="1:58" ht="9.75" customHeight="1">
      <c r="A4" s="253"/>
      <c r="B4" s="253"/>
      <c r="C4" s="253"/>
      <c r="D4" s="253"/>
      <c r="E4" s="253"/>
      <c r="F4" s="253"/>
      <c r="G4" s="253"/>
      <c r="H4" s="253"/>
      <c r="I4" s="253"/>
      <c r="J4" s="253"/>
      <c r="K4" s="253"/>
      <c r="L4" s="253"/>
      <c r="M4" s="253"/>
      <c r="N4" s="253"/>
      <c r="O4" s="253"/>
      <c r="P4" s="253"/>
      <c r="Q4" s="253"/>
      <c r="R4" s="253"/>
      <c r="S4" s="253"/>
      <c r="T4" s="253"/>
      <c r="U4" s="253"/>
      <c r="V4" s="253"/>
      <c r="W4" s="253"/>
      <c r="X4" s="253"/>
      <c r="Y4" s="343"/>
      <c r="Z4" s="253"/>
      <c r="AA4" s="253"/>
      <c r="AB4" s="253"/>
      <c r="AC4" s="253"/>
      <c r="AD4" s="253"/>
      <c r="AE4" s="253"/>
      <c r="AF4" s="253"/>
      <c r="AG4" s="253"/>
      <c r="AH4" s="253"/>
      <c r="AI4" s="253"/>
      <c r="AJ4" s="253"/>
      <c r="AK4" s="253"/>
      <c r="AL4" s="253"/>
      <c r="AM4" s="253"/>
      <c r="AN4" s="253"/>
      <c r="AO4" s="253"/>
      <c r="AP4" s="253"/>
      <c r="AQ4" s="253"/>
      <c r="AR4" s="253"/>
      <c r="AS4" s="253"/>
      <c r="AT4" s="253"/>
      <c r="AU4" s="344"/>
    </row>
    <row r="5" spans="1:58" ht="9" customHeight="1" thickBot="1">
      <c r="A5" s="139"/>
      <c r="B5" s="139"/>
      <c r="C5" s="139"/>
      <c r="D5" s="139"/>
      <c r="E5" s="139"/>
      <c r="F5" s="139"/>
      <c r="G5" s="139"/>
      <c r="H5" s="139"/>
      <c r="I5" s="139"/>
      <c r="J5" s="139"/>
      <c r="K5" s="139"/>
      <c r="L5" s="139"/>
      <c r="M5" s="139"/>
      <c r="N5" s="139"/>
      <c r="O5" s="139"/>
      <c r="P5" s="139"/>
      <c r="Q5" s="139"/>
      <c r="R5" s="139"/>
      <c r="S5" s="139"/>
      <c r="T5" s="139"/>
      <c r="U5" s="139"/>
      <c r="V5" s="139"/>
      <c r="W5" s="139"/>
      <c r="X5" s="139"/>
      <c r="Y5" s="343"/>
      <c r="Z5" s="5415"/>
      <c r="AA5" s="5415"/>
      <c r="AB5" s="5415"/>
      <c r="AC5" s="5415"/>
      <c r="AD5" s="5415"/>
      <c r="AE5" s="5415"/>
      <c r="AF5" s="5415"/>
      <c r="AG5" s="5415"/>
      <c r="AH5" s="5415"/>
      <c r="AI5" s="5415"/>
      <c r="AJ5" s="5415"/>
      <c r="AK5" s="5415"/>
      <c r="AL5" s="5415"/>
      <c r="AM5" s="5415"/>
      <c r="AN5" s="5415"/>
      <c r="AO5" s="5415"/>
      <c r="AP5" s="5415"/>
      <c r="AQ5" s="5415"/>
      <c r="AR5" s="5415"/>
      <c r="AS5" s="5415"/>
      <c r="AT5" s="5415"/>
      <c r="AU5" s="344"/>
    </row>
    <row r="6" spans="1:58" ht="21.75" customHeight="1" thickBot="1">
      <c r="A6" s="139"/>
      <c r="B6" s="9405"/>
      <c r="C6" s="9405"/>
      <c r="D6" s="9405"/>
      <c r="E6" s="9406">
        <v>2210</v>
      </c>
      <c r="F6" s="9407"/>
      <c r="G6" s="9373" t="s">
        <v>2921</v>
      </c>
      <c r="H6" s="9374"/>
      <c r="I6" s="9374"/>
      <c r="J6" s="9374"/>
      <c r="K6" s="9374"/>
      <c r="L6" s="9374"/>
      <c r="M6" s="9374"/>
      <c r="N6" s="9374"/>
      <c r="O6" s="9374"/>
      <c r="P6" s="9374"/>
      <c r="Q6" s="9374"/>
      <c r="R6" s="9374"/>
      <c r="S6" s="9375"/>
      <c r="T6" s="9432" t="s">
        <v>543</v>
      </c>
      <c r="U6" s="7273"/>
      <c r="V6" s="7273"/>
      <c r="W6" s="7273"/>
      <c r="X6" s="139"/>
      <c r="Y6" s="343"/>
      <c r="Z6" s="5416"/>
      <c r="AA6" s="338"/>
      <c r="AB6" s="9369">
        <f>TaxYear-1</f>
        <v>2024</v>
      </c>
      <c r="AC6" s="9369"/>
      <c r="AD6" s="9369"/>
      <c r="AE6" s="9369"/>
      <c r="AF6" s="378"/>
      <c r="AG6" s="5415"/>
      <c r="AH6" s="5415"/>
      <c r="AI6" s="5415"/>
      <c r="AJ6" s="5415"/>
      <c r="AK6" s="5415"/>
      <c r="AL6" s="5415"/>
      <c r="AM6" s="5415"/>
      <c r="AN6" s="5415"/>
      <c r="AO6" s="5415"/>
      <c r="AP6" s="5415"/>
      <c r="AQ6" s="5415"/>
      <c r="AR6" s="5415"/>
      <c r="AS6" s="5415"/>
      <c r="AT6" s="5415"/>
      <c r="AU6" s="344"/>
    </row>
    <row r="7" spans="1:58" ht="27.75" customHeight="1" thickBot="1">
      <c r="A7" s="139"/>
      <c r="B7" s="3414"/>
      <c r="C7" s="9409" t="s">
        <v>46</v>
      </c>
      <c r="D7" s="9410"/>
      <c r="E7" s="9408"/>
      <c r="F7" s="9407"/>
      <c r="G7" s="9373"/>
      <c r="H7" s="9374"/>
      <c r="I7" s="9374"/>
      <c r="J7" s="9374"/>
      <c r="K7" s="9374"/>
      <c r="L7" s="9374"/>
      <c r="M7" s="9374"/>
      <c r="N7" s="9374"/>
      <c r="O7" s="9374"/>
      <c r="P7" s="9374"/>
      <c r="Q7" s="9374"/>
      <c r="R7" s="9374"/>
      <c r="S7" s="9375"/>
      <c r="T7" s="8861">
        <f>TaxYear</f>
        <v>2025</v>
      </c>
      <c r="U7" s="7850"/>
      <c r="V7" s="7850"/>
      <c r="W7" s="7850"/>
      <c r="X7" s="139"/>
      <c r="Y7" s="343"/>
      <c r="Z7" s="5417" t="str">
        <f>IF($AC$8="","Enter taxes","")</f>
        <v>Enter taxes</v>
      </c>
      <c r="AA7" s="341"/>
      <c r="AB7" s="253"/>
      <c r="AC7" s="9029" t="str">
        <f>" Taxes Paid"</f>
        <v xml:space="preserve"> Taxes Paid</v>
      </c>
      <c r="AD7" s="9174"/>
      <c r="AE7" s="9174"/>
      <c r="AF7" s="379"/>
      <c r="AG7" s="5415"/>
      <c r="AH7" s="9314" t="s">
        <v>2922</v>
      </c>
      <c r="AI7" s="9315"/>
      <c r="AJ7" s="9315"/>
      <c r="AK7" s="9315"/>
      <c r="AL7" s="9315"/>
      <c r="AM7" s="9315"/>
      <c r="AN7" s="9315"/>
      <c r="AO7" s="9315"/>
      <c r="AP7" s="9316"/>
      <c r="AQ7" s="5415"/>
      <c r="AR7" s="5415"/>
      <c r="AS7" s="5415"/>
      <c r="AT7" s="5415"/>
      <c r="AU7" s="344"/>
    </row>
    <row r="8" spans="1:58" ht="13.5" customHeight="1">
      <c r="A8" s="139"/>
      <c r="B8" s="2497"/>
      <c r="C8" s="2497" t="s">
        <v>503</v>
      </c>
      <c r="D8" s="2497"/>
      <c r="E8" s="2497"/>
      <c r="F8" s="90"/>
      <c r="G8" s="9376" t="s">
        <v>2924</v>
      </c>
      <c r="H8" s="9377"/>
      <c r="I8" s="9377"/>
      <c r="J8" s="9377"/>
      <c r="K8" s="9377"/>
      <c r="L8" s="9377"/>
      <c r="M8" s="9377"/>
      <c r="N8" s="9377"/>
      <c r="O8" s="9377"/>
      <c r="P8" s="9377"/>
      <c r="Q8" s="9377"/>
      <c r="R8" s="9377"/>
      <c r="S8" s="9377"/>
      <c r="T8" s="9442" t="s">
        <v>1055</v>
      </c>
      <c r="U8" s="7976"/>
      <c r="V8" s="7976"/>
      <c r="W8" s="7976"/>
      <c r="X8" s="139"/>
      <c r="Y8" s="343"/>
      <c r="Z8" s="5418" t="str">
        <f>IF($AC$8="","paid for Tax","")</f>
        <v>paid for Tax</v>
      </c>
      <c r="AA8" s="341"/>
      <c r="AB8" s="734" t="s">
        <v>2923</v>
      </c>
      <c r="AC8" s="9388"/>
      <c r="AD8" s="9389"/>
      <c r="AE8" s="9390"/>
      <c r="AF8" s="379"/>
      <c r="AG8" s="5415"/>
      <c r="AH8" s="9317" t="s">
        <v>5135</v>
      </c>
      <c r="AI8" s="9318"/>
      <c r="AJ8" s="9318"/>
      <c r="AK8" s="9318" t="s">
        <v>5136</v>
      </c>
      <c r="AL8" s="9318"/>
      <c r="AM8" s="9318"/>
      <c r="AN8" s="9318"/>
      <c r="AO8" s="9318"/>
      <c r="AP8" s="9321"/>
      <c r="AQ8" s="5415"/>
      <c r="AR8" s="5415"/>
      <c r="AS8" s="5415"/>
      <c r="AT8" s="5415"/>
      <c r="AU8" s="344"/>
    </row>
    <row r="9" spans="1:58" ht="12.75" customHeight="1" thickBot="1">
      <c r="A9" s="139"/>
      <c r="B9" s="5419"/>
      <c r="C9" s="8901" t="str">
        <f>"Internal Revenue Service"</f>
        <v>Internal Revenue Service</v>
      </c>
      <c r="D9" s="9445"/>
      <c r="E9" s="9445"/>
      <c r="F9" s="9446"/>
      <c r="G9" s="9413" t="s">
        <v>5133</v>
      </c>
      <c r="H9" s="9414"/>
      <c r="I9" s="9414"/>
      <c r="J9" s="9414"/>
      <c r="K9" s="9414"/>
      <c r="L9" s="9414"/>
      <c r="M9" s="9414"/>
      <c r="N9" s="9414"/>
      <c r="O9" s="9414"/>
      <c r="P9" s="9414"/>
      <c r="Q9" s="9414"/>
      <c r="R9" s="9414"/>
      <c r="S9" s="9415"/>
      <c r="T9" s="9443" t="s">
        <v>2925</v>
      </c>
      <c r="U9" s="9444"/>
      <c r="V9" s="9444"/>
      <c r="W9" s="9444"/>
      <c r="X9" s="139"/>
      <c r="Y9" s="343"/>
      <c r="Z9" s="5420" t="str">
        <f>IF($AC$8="","Year "&amp;TaxYear-1&amp;" &gt;&gt;&gt;","")</f>
        <v>Year 2024 &gt;&gt;&gt;</v>
      </c>
      <c r="AA9" s="341"/>
      <c r="AB9" s="253"/>
      <c r="AC9" s="9391"/>
      <c r="AD9" s="9392"/>
      <c r="AE9" s="9393"/>
      <c r="AF9" s="379"/>
      <c r="AG9" s="5415"/>
      <c r="AH9" s="9319"/>
      <c r="AI9" s="9320"/>
      <c r="AJ9" s="9320"/>
      <c r="AK9" s="9320"/>
      <c r="AL9" s="9320"/>
      <c r="AM9" s="9320"/>
      <c r="AN9" s="9320"/>
      <c r="AO9" s="9320"/>
      <c r="AP9" s="9322"/>
      <c r="AQ9" s="5415"/>
      <c r="AR9" s="5415"/>
      <c r="AS9" s="5415"/>
      <c r="AT9" s="5415"/>
      <c r="AU9" s="344"/>
    </row>
    <row r="10" spans="1:58" ht="12" customHeight="1">
      <c r="A10" s="139"/>
      <c r="B10" s="247" t="s">
        <v>2926</v>
      </c>
      <c r="C10" s="247"/>
      <c r="D10" s="247"/>
      <c r="E10" s="247"/>
      <c r="F10" s="88"/>
      <c r="G10" s="88"/>
      <c r="H10" s="88"/>
      <c r="I10" s="88"/>
      <c r="J10" s="88"/>
      <c r="K10" s="88"/>
      <c r="L10" s="2645"/>
      <c r="M10" s="2645"/>
      <c r="N10" s="2645"/>
      <c r="O10" s="2645"/>
      <c r="P10" s="2645"/>
      <c r="Q10" s="2645"/>
      <c r="R10" s="2645"/>
      <c r="S10" s="9364" t="s">
        <v>2927</v>
      </c>
      <c r="T10" s="9365"/>
      <c r="U10" s="9365"/>
      <c r="V10" s="9365"/>
      <c r="W10" s="9365"/>
      <c r="X10" s="139"/>
      <c r="Y10" s="343"/>
      <c r="Z10" s="5415"/>
      <c r="AA10" s="341"/>
      <c r="AB10" s="9362"/>
      <c r="AC10" s="9363"/>
      <c r="AD10" s="9363"/>
      <c r="AE10" s="9363"/>
      <c r="AF10" s="379"/>
      <c r="AG10" s="5415"/>
      <c r="AH10" s="9319"/>
      <c r="AI10" s="9320"/>
      <c r="AJ10" s="9320"/>
      <c r="AK10" s="9320"/>
      <c r="AL10" s="9320"/>
      <c r="AM10" s="9320"/>
      <c r="AN10" s="9320"/>
      <c r="AO10" s="9320"/>
      <c r="AP10" s="9322"/>
      <c r="AQ10" s="5415"/>
      <c r="AR10" s="5415"/>
      <c r="AS10" s="5415"/>
      <c r="AT10" s="5415"/>
      <c r="AU10" s="344"/>
    </row>
    <row r="11" spans="1:58" ht="18" customHeight="1">
      <c r="A11" s="139"/>
      <c r="B11" s="9462" t="str">
        <f>Names</f>
        <v/>
      </c>
      <c r="C11" s="9463"/>
      <c r="D11" s="9463"/>
      <c r="E11" s="9463"/>
      <c r="F11" s="9463"/>
      <c r="G11" s="9463"/>
      <c r="H11" s="9463"/>
      <c r="I11" s="9463"/>
      <c r="J11" s="9463"/>
      <c r="K11" s="9463"/>
      <c r="L11" s="9463"/>
      <c r="M11" s="9463"/>
      <c r="N11" s="9463"/>
      <c r="O11" s="9463"/>
      <c r="P11" s="9463"/>
      <c r="Q11" s="9463"/>
      <c r="R11" s="9464"/>
      <c r="S11" s="9341">
        <f>IF(NoSSN,"",SS_Yours)</f>
        <v>1010001</v>
      </c>
      <c r="T11" s="9342"/>
      <c r="U11" s="9342"/>
      <c r="V11" s="9342"/>
      <c r="W11" s="9342"/>
      <c r="X11" s="139"/>
      <c r="Y11" s="343"/>
      <c r="Z11" s="5415"/>
      <c r="AA11" s="341"/>
      <c r="AB11" s="9362">
        <f>TaxYear-1</f>
        <v>2024</v>
      </c>
      <c r="AC11" s="9363"/>
      <c r="AD11" s="9363"/>
      <c r="AE11" s="9363"/>
      <c r="AF11" s="379"/>
      <c r="AG11" s="5415"/>
      <c r="AH11" s="9319"/>
      <c r="AI11" s="9320"/>
      <c r="AJ11" s="9320"/>
      <c r="AK11" s="9320"/>
      <c r="AL11" s="9320"/>
      <c r="AM11" s="9320"/>
      <c r="AN11" s="9320"/>
      <c r="AO11" s="9320"/>
      <c r="AP11" s="9322"/>
      <c r="AQ11" s="5415"/>
      <c r="AR11" s="5415"/>
      <c r="AS11" s="5415"/>
      <c r="AT11" s="5415"/>
      <c r="AU11" s="344"/>
    </row>
    <row r="12" spans="1:58" ht="19.5" customHeight="1">
      <c r="A12" s="139"/>
      <c r="B12" s="9343" t="s">
        <v>2928</v>
      </c>
      <c r="C12" s="9343"/>
      <c r="D12" s="9343"/>
      <c r="E12" s="9343"/>
      <c r="F12" s="9343"/>
      <c r="G12" s="9343"/>
      <c r="H12" s="9343"/>
      <c r="I12" s="9343"/>
      <c r="J12" s="9343"/>
      <c r="K12" s="9343"/>
      <c r="L12" s="9343"/>
      <c r="M12" s="9343"/>
      <c r="N12" s="9343"/>
      <c r="O12" s="9343"/>
      <c r="P12" s="9343"/>
      <c r="Q12" s="9343"/>
      <c r="R12" s="9343"/>
      <c r="S12" s="9343"/>
      <c r="T12" s="9343"/>
      <c r="U12" s="9343"/>
      <c r="V12" s="9343"/>
      <c r="W12" s="9343"/>
      <c r="X12" s="139"/>
      <c r="Y12" s="343"/>
      <c r="Z12" s="9394" t="str">
        <f>IF($AC$14="","Enter "&amp;TaxYear-1&amp;" Refundable Tax Credits &gt;&gt;&gt;","")</f>
        <v>Enter 2024 Refundable Tax Credits &gt;&gt;&gt;</v>
      </c>
      <c r="AA12" s="341"/>
      <c r="AB12" s="9178" t="s">
        <v>2929</v>
      </c>
      <c r="AC12" s="7608"/>
      <c r="AD12" s="7608"/>
      <c r="AE12" s="7608"/>
      <c r="AF12" s="379"/>
      <c r="AG12" s="5415"/>
      <c r="AH12" s="9319"/>
      <c r="AI12" s="9320"/>
      <c r="AJ12" s="9320"/>
      <c r="AK12" s="9320"/>
      <c r="AL12" s="9320"/>
      <c r="AM12" s="9320"/>
      <c r="AN12" s="9320"/>
      <c r="AO12" s="9320"/>
      <c r="AP12" s="9322"/>
      <c r="AQ12" s="5415"/>
      <c r="AR12" s="5415"/>
      <c r="AS12" s="5415"/>
      <c r="AT12" s="5415"/>
      <c r="AU12" s="344"/>
    </row>
    <row r="13" spans="1:58" s="138" customFormat="1" ht="10.5" customHeight="1" thickBot="1">
      <c r="A13" s="151"/>
      <c r="B13" s="2502"/>
      <c r="C13" s="5421"/>
      <c r="D13" s="5421"/>
      <c r="E13" s="5421"/>
      <c r="F13" s="5422"/>
      <c r="G13" s="5422"/>
      <c r="H13" s="5422"/>
      <c r="I13" s="5422"/>
      <c r="J13" s="5422"/>
      <c r="K13" s="5422"/>
      <c r="L13" s="5422"/>
      <c r="M13" s="5422"/>
      <c r="N13" s="5422"/>
      <c r="O13" s="5422"/>
      <c r="P13" s="5422"/>
      <c r="Q13" s="5422"/>
      <c r="R13" s="5422"/>
      <c r="S13" s="5422"/>
      <c r="T13" s="5422"/>
      <c r="U13" s="5422"/>
      <c r="V13" s="5422"/>
      <c r="W13" s="5422"/>
      <c r="X13" s="151"/>
      <c r="Y13" s="1967"/>
      <c r="Z13" s="9394"/>
      <c r="AA13" s="5423"/>
      <c r="AB13" s="7608"/>
      <c r="AC13" s="7608"/>
      <c r="AD13" s="7608"/>
      <c r="AE13" s="7608"/>
      <c r="AF13" s="5424"/>
      <c r="AG13" s="5415"/>
      <c r="AH13" s="9319"/>
      <c r="AI13" s="9320"/>
      <c r="AJ13" s="9320"/>
      <c r="AK13" s="9320"/>
      <c r="AL13" s="9320"/>
      <c r="AM13" s="9320"/>
      <c r="AN13" s="9320"/>
      <c r="AO13" s="9320"/>
      <c r="AP13" s="9322"/>
      <c r="AQ13" s="5415"/>
      <c r="AR13" s="5415"/>
      <c r="AS13" s="5415"/>
      <c r="AT13" s="5415"/>
      <c r="AU13" s="979"/>
      <c r="AV13" s="658"/>
      <c r="AW13" s="658"/>
      <c r="AX13" s="658"/>
      <c r="AY13" s="658"/>
      <c r="AZ13" s="658"/>
      <c r="BA13" s="658"/>
      <c r="BB13" s="658"/>
      <c r="BC13" s="658"/>
      <c r="BD13" s="658"/>
      <c r="BE13" s="658"/>
      <c r="BF13" s="658"/>
    </row>
    <row r="14" spans="1:58" ht="12" customHeight="1">
      <c r="A14" s="139"/>
      <c r="B14" s="3218"/>
      <c r="C14" s="9352" t="str">
        <f>"Complete lines 1 through 7 below. Is line 4 or line 7 less than "&amp;TEXT($W$43,"$0,000")&amp;"?"</f>
        <v>Complete lines 1 through 7 below. Is line 4 or line 7 less than $1,000?</v>
      </c>
      <c r="D14" s="9353"/>
      <c r="E14" s="9353"/>
      <c r="F14" s="9353"/>
      <c r="G14" s="9353"/>
      <c r="H14" s="9353"/>
      <c r="I14" s="9353"/>
      <c r="J14" s="9353"/>
      <c r="K14" s="9354"/>
      <c r="L14" s="9395" t="s">
        <v>568</v>
      </c>
      <c r="M14" s="7589"/>
      <c r="N14" s="8493"/>
      <c r="O14" s="9344" t="s">
        <v>2930</v>
      </c>
      <c r="P14" s="9345"/>
      <c r="Q14" s="9345"/>
      <c r="R14" s="9345"/>
      <c r="S14" s="9345"/>
      <c r="T14" s="9345"/>
      <c r="U14" s="9345"/>
      <c r="V14" s="9346"/>
      <c r="W14" s="5425"/>
      <c r="X14" s="144"/>
      <c r="Y14" s="505"/>
      <c r="Z14" s="9394"/>
      <c r="AA14" s="9460" t="s">
        <v>2931</v>
      </c>
      <c r="AB14" s="7601"/>
      <c r="AC14" s="9378"/>
      <c r="AD14" s="9379"/>
      <c r="AE14" s="9380"/>
      <c r="AF14" s="379"/>
      <c r="AG14" s="5415"/>
      <c r="AH14" s="9319"/>
      <c r="AI14" s="9320"/>
      <c r="AJ14" s="9320"/>
      <c r="AK14" s="9320"/>
      <c r="AL14" s="9320"/>
      <c r="AM14" s="9320"/>
      <c r="AN14" s="9320"/>
      <c r="AO14" s="9320"/>
      <c r="AP14" s="9322"/>
      <c r="AQ14" s="5415"/>
      <c r="AR14" s="5415"/>
      <c r="AS14" s="5415"/>
      <c r="AT14" s="5415"/>
      <c r="AU14" s="344"/>
    </row>
    <row r="15" spans="1:58" ht="18" customHeight="1" thickBot="1">
      <c r="A15" s="139"/>
      <c r="B15" s="502"/>
      <c r="C15" s="9355"/>
      <c r="D15" s="9356"/>
      <c r="E15" s="9356"/>
      <c r="F15" s="9356"/>
      <c r="G15" s="9356"/>
      <c r="H15" s="9356"/>
      <c r="I15" s="9356"/>
      <c r="J15" s="9356"/>
      <c r="K15" s="9357"/>
      <c r="L15" s="182"/>
      <c r="M15" s="182"/>
      <c r="N15" s="182"/>
      <c r="O15" s="9347"/>
      <c r="P15" s="9348"/>
      <c r="Q15" s="9348"/>
      <c r="R15" s="9348"/>
      <c r="S15" s="9348"/>
      <c r="T15" s="9348"/>
      <c r="U15" s="9348"/>
      <c r="V15" s="9349"/>
      <c r="W15" s="182"/>
      <c r="X15" s="144"/>
      <c r="Y15" s="505"/>
      <c r="Z15" s="9394"/>
      <c r="AA15" s="341"/>
      <c r="AB15" s="253"/>
      <c r="AC15" s="9381"/>
      <c r="AD15" s="9382"/>
      <c r="AE15" s="9383"/>
      <c r="AF15" s="379"/>
      <c r="AG15" s="5415"/>
      <c r="AH15" s="9319"/>
      <c r="AI15" s="9320"/>
      <c r="AJ15" s="9320"/>
      <c r="AK15" s="9320"/>
      <c r="AL15" s="9320"/>
      <c r="AM15" s="9320"/>
      <c r="AN15" s="9320"/>
      <c r="AO15" s="9320"/>
      <c r="AP15" s="9322"/>
      <c r="AQ15" s="5415"/>
      <c r="AR15" s="5415"/>
      <c r="AS15" s="5415"/>
      <c r="AT15" s="5415"/>
      <c r="AU15" s="344"/>
    </row>
    <row r="16" spans="1:58" ht="6.75" customHeight="1">
      <c r="A16" s="139"/>
      <c r="B16" s="88"/>
      <c r="C16" s="88"/>
      <c r="D16" s="88"/>
      <c r="E16" s="88"/>
      <c r="F16" s="9430" t="s">
        <v>569</v>
      </c>
      <c r="G16" s="88"/>
      <c r="H16" s="88"/>
      <c r="I16" s="88"/>
      <c r="J16" s="88"/>
      <c r="K16" s="88"/>
      <c r="L16" s="88"/>
      <c r="M16" s="88"/>
      <c r="N16" s="88"/>
      <c r="O16" s="88"/>
      <c r="P16" s="88"/>
      <c r="Q16" s="88"/>
      <c r="R16" s="88"/>
      <c r="S16" s="88"/>
      <c r="T16" s="88"/>
      <c r="U16" s="88"/>
      <c r="V16" s="88"/>
      <c r="W16" s="88"/>
      <c r="X16" s="139"/>
      <c r="Y16" s="343"/>
      <c r="Z16" s="5415"/>
      <c r="AA16" s="341"/>
      <c r="AB16" s="253"/>
      <c r="AC16" s="253"/>
      <c r="AD16" s="253"/>
      <c r="AE16" s="253"/>
      <c r="AF16" s="379"/>
      <c r="AG16" s="5415"/>
      <c r="AH16" s="9319"/>
      <c r="AI16" s="9320"/>
      <c r="AJ16" s="9320"/>
      <c r="AK16" s="9320"/>
      <c r="AL16" s="9320"/>
      <c r="AM16" s="9320"/>
      <c r="AN16" s="9320"/>
      <c r="AO16" s="9320"/>
      <c r="AP16" s="9322"/>
      <c r="AQ16" s="5415"/>
      <c r="AR16" s="5415"/>
      <c r="AS16" s="5415"/>
      <c r="AT16" s="5415"/>
      <c r="AU16" s="344"/>
    </row>
    <row r="17" spans="1:47">
      <c r="A17" s="139"/>
      <c r="B17" s="88"/>
      <c r="C17" s="88"/>
      <c r="D17" s="88"/>
      <c r="E17" s="88"/>
      <c r="F17" s="9431"/>
      <c r="G17" s="88"/>
      <c r="H17" s="88"/>
      <c r="I17" s="88"/>
      <c r="J17" s="88"/>
      <c r="K17" s="88"/>
      <c r="L17" s="88"/>
      <c r="M17" s="88"/>
      <c r="N17" s="88"/>
      <c r="O17" s="88"/>
      <c r="P17" s="88"/>
      <c r="Q17" s="88"/>
      <c r="R17" s="88"/>
      <c r="S17" s="88"/>
      <c r="T17" s="88"/>
      <c r="U17" s="88"/>
      <c r="V17" s="88"/>
      <c r="W17" s="88"/>
      <c r="X17" s="139"/>
      <c r="Y17" s="982"/>
      <c r="Z17" s="5426" t="str">
        <f>IF(OR(AND($U$42&lt;$W$43,NOT(NoColor)),AND($U$48,NOT(NoColor))),"Remove highlite.","")</f>
        <v>Remove highlite.</v>
      </c>
      <c r="AA17" s="9384">
        <v>150000</v>
      </c>
      <c r="AB17" s="9385"/>
      <c r="AC17" s="735"/>
      <c r="AD17" s="735"/>
      <c r="AE17" s="5427">
        <v>75000</v>
      </c>
      <c r="AF17" s="379"/>
      <c r="AG17" s="5415"/>
      <c r="AH17" s="9319"/>
      <c r="AI17" s="9320"/>
      <c r="AJ17" s="9320"/>
      <c r="AK17" s="9320"/>
      <c r="AL17" s="9320"/>
      <c r="AM17" s="9320"/>
      <c r="AN17" s="9320"/>
      <c r="AO17" s="9320"/>
      <c r="AP17" s="9322"/>
      <c r="AQ17" s="5415"/>
      <c r="AR17" s="5415"/>
      <c r="AS17" s="5415"/>
      <c r="AT17" s="5415"/>
      <c r="AU17" s="344"/>
    </row>
    <row r="18" spans="1:47" ht="6" customHeight="1">
      <c r="A18" s="139"/>
      <c r="B18" s="2431"/>
      <c r="C18" s="9433" t="s">
        <v>2932</v>
      </c>
      <c r="D18" s="9434"/>
      <c r="E18" s="9434"/>
      <c r="F18" s="9434"/>
      <c r="G18" s="9434"/>
      <c r="H18" s="9434"/>
      <c r="I18" s="9434"/>
      <c r="J18" s="9434"/>
      <c r="K18" s="9435"/>
      <c r="L18" s="88"/>
      <c r="M18" s="88"/>
      <c r="N18" s="88"/>
      <c r="O18" s="9352" t="s">
        <v>2933</v>
      </c>
      <c r="P18" s="9481"/>
      <c r="Q18" s="9481"/>
      <c r="R18" s="9481"/>
      <c r="S18" s="9481"/>
      <c r="T18" s="9481"/>
      <c r="U18" s="9481"/>
      <c r="V18" s="9482"/>
      <c r="W18" s="88"/>
      <c r="X18" s="139"/>
      <c r="Y18" s="343"/>
      <c r="Z18" s="5415"/>
      <c r="AA18" s="5428"/>
      <c r="AB18" s="512"/>
      <c r="AC18" s="735"/>
      <c r="AD18" s="735"/>
      <c r="AE18" s="253"/>
      <c r="AF18" s="379"/>
      <c r="AG18" s="5415"/>
      <c r="AH18" s="9319"/>
      <c r="AI18" s="9320"/>
      <c r="AJ18" s="9320"/>
      <c r="AK18" s="9320"/>
      <c r="AL18" s="9320"/>
      <c r="AM18" s="9320"/>
      <c r="AN18" s="9320"/>
      <c r="AO18" s="9320"/>
      <c r="AP18" s="9322"/>
      <c r="AQ18" s="5415"/>
      <c r="AR18" s="5415"/>
      <c r="AS18" s="5415"/>
      <c r="AT18" s="5415"/>
      <c r="AU18" s="344"/>
    </row>
    <row r="19" spans="1:47" ht="15.75" customHeight="1">
      <c r="A19" s="139"/>
      <c r="B19" s="5429"/>
      <c r="C19" s="9436"/>
      <c r="D19" s="9437"/>
      <c r="E19" s="9437"/>
      <c r="F19" s="9437"/>
      <c r="G19" s="9437"/>
      <c r="H19" s="9437"/>
      <c r="I19" s="9437"/>
      <c r="J19" s="9437"/>
      <c r="K19" s="9438"/>
      <c r="L19" s="9395" t="s">
        <v>568</v>
      </c>
      <c r="M19" s="7589"/>
      <c r="N19" s="8493"/>
      <c r="O19" s="9483"/>
      <c r="P19" s="9484"/>
      <c r="Q19" s="9484"/>
      <c r="R19" s="9484"/>
      <c r="S19" s="9484"/>
      <c r="T19" s="9484"/>
      <c r="U19" s="9484"/>
      <c r="V19" s="9485"/>
      <c r="W19" s="88"/>
      <c r="X19" s="139"/>
      <c r="Y19" s="343"/>
      <c r="Z19" s="5415"/>
      <c r="AA19" s="9386">
        <f>IF(File_Marr_Sep&lt;&gt;"",AE17,AA17)</f>
        <v>150000</v>
      </c>
      <c r="AB19" s="9387"/>
      <c r="AC19" s="9370">
        <f>TaxYear-1</f>
        <v>2024</v>
      </c>
      <c r="AD19" s="8617"/>
      <c r="AE19" s="8617"/>
      <c r="AF19" s="379"/>
      <c r="AG19" s="5415"/>
      <c r="AH19" s="9319"/>
      <c r="AI19" s="9320"/>
      <c r="AJ19" s="9320"/>
      <c r="AK19" s="9320"/>
      <c r="AL19" s="9320"/>
      <c r="AM19" s="9320"/>
      <c r="AN19" s="9320"/>
      <c r="AO19" s="9320"/>
      <c r="AP19" s="9322"/>
      <c r="AQ19" s="5415"/>
      <c r="AR19" s="5415"/>
      <c r="AS19" s="5415"/>
      <c r="AT19" s="5415"/>
      <c r="AU19" s="344"/>
    </row>
    <row r="20" spans="1:47" ht="12" customHeight="1">
      <c r="A20" s="139"/>
      <c r="B20" s="5429"/>
      <c r="C20" s="9436"/>
      <c r="D20" s="9437"/>
      <c r="E20" s="9437"/>
      <c r="F20" s="9437"/>
      <c r="G20" s="9437"/>
      <c r="H20" s="9437"/>
      <c r="I20" s="9437"/>
      <c r="J20" s="9437"/>
      <c r="K20" s="9438"/>
      <c r="L20" s="88"/>
      <c r="M20" s="88"/>
      <c r="N20" s="88"/>
      <c r="O20" s="9483"/>
      <c r="P20" s="9484"/>
      <c r="Q20" s="9484"/>
      <c r="R20" s="9484"/>
      <c r="S20" s="9484"/>
      <c r="T20" s="9484"/>
      <c r="U20" s="9484"/>
      <c r="V20" s="9485"/>
      <c r="W20" s="88"/>
      <c r="X20" s="139"/>
      <c r="Y20" s="343"/>
      <c r="Z20" s="9394" t="str">
        <f>IF($AC$23="","Enter Adjusted Gross Income for "&amp;TaxYear-1&amp;" &gt;&gt;&gt;","")</f>
        <v>Enter Adjusted Gross Income for 2024 &gt;&gt;&gt;</v>
      </c>
      <c r="AA20" s="341"/>
      <c r="AB20" s="733"/>
      <c r="AC20" s="9371" t="s">
        <v>11</v>
      </c>
      <c r="AD20" s="9371"/>
      <c r="AE20" s="9371"/>
      <c r="AF20" s="379"/>
      <c r="AG20" s="5415"/>
      <c r="AH20" s="9323" t="s">
        <v>2934</v>
      </c>
      <c r="AI20" s="7595"/>
      <c r="AJ20" s="7595"/>
      <c r="AK20" s="7595"/>
      <c r="AL20" s="7595"/>
      <c r="AM20" s="7595"/>
      <c r="AN20" s="7595"/>
      <c r="AO20" s="7595"/>
      <c r="AP20" s="9324"/>
      <c r="AQ20" s="5415"/>
      <c r="AR20" s="5415"/>
      <c r="AS20" s="5415"/>
      <c r="AT20" s="5415"/>
      <c r="AU20" s="344"/>
    </row>
    <row r="21" spans="1:47">
      <c r="A21" s="139"/>
      <c r="B21" s="5429"/>
      <c r="C21" s="9439"/>
      <c r="D21" s="9440"/>
      <c r="E21" s="9440"/>
      <c r="F21" s="9440"/>
      <c r="G21" s="9440"/>
      <c r="H21" s="9440"/>
      <c r="I21" s="9440"/>
      <c r="J21" s="9440"/>
      <c r="K21" s="9441"/>
      <c r="L21" s="88"/>
      <c r="M21" s="88"/>
      <c r="N21" s="88"/>
      <c r="O21" s="9486"/>
      <c r="P21" s="9487"/>
      <c r="Q21" s="9487"/>
      <c r="R21" s="9487"/>
      <c r="S21" s="9487"/>
      <c r="T21" s="9487"/>
      <c r="U21" s="9487"/>
      <c r="V21" s="9488"/>
      <c r="W21" s="88"/>
      <c r="X21" s="139"/>
      <c r="Y21" s="343"/>
      <c r="Z21" s="9394"/>
      <c r="AA21" s="341"/>
      <c r="AB21" s="733"/>
      <c r="AC21" s="9371"/>
      <c r="AD21" s="9371"/>
      <c r="AE21" s="9371"/>
      <c r="AF21" s="379"/>
      <c r="AG21" s="5415"/>
      <c r="AH21" s="9323"/>
      <c r="AI21" s="7595"/>
      <c r="AJ21" s="7595"/>
      <c r="AK21" s="7595"/>
      <c r="AL21" s="7595"/>
      <c r="AM21" s="7595"/>
      <c r="AN21" s="7595"/>
      <c r="AO21" s="7595"/>
      <c r="AP21" s="9324"/>
      <c r="AQ21" s="5415"/>
      <c r="AR21" s="5415"/>
      <c r="AS21" s="5415"/>
      <c r="AT21" s="5415"/>
      <c r="AU21" s="344"/>
    </row>
    <row r="22" spans="1:47" ht="13.5" thickBot="1">
      <c r="A22" s="139"/>
      <c r="B22" s="88"/>
      <c r="C22" s="88"/>
      <c r="D22" s="88"/>
      <c r="E22" s="88"/>
      <c r="F22" s="9430" t="s">
        <v>569</v>
      </c>
      <c r="G22" s="88"/>
      <c r="H22" s="88"/>
      <c r="I22" s="88"/>
      <c r="J22" s="88"/>
      <c r="K22" s="88"/>
      <c r="L22" s="88"/>
      <c r="M22" s="88"/>
      <c r="N22" s="88"/>
      <c r="O22" s="88"/>
      <c r="P22" s="88"/>
      <c r="Q22" s="88"/>
      <c r="R22" s="88"/>
      <c r="S22" s="88"/>
      <c r="T22" s="88"/>
      <c r="U22" s="88"/>
      <c r="V22" s="88"/>
      <c r="W22" s="88"/>
      <c r="X22" s="139"/>
      <c r="Y22" s="343"/>
      <c r="Z22" s="9394"/>
      <c r="AA22" s="5430"/>
      <c r="AB22" s="383"/>
      <c r="AC22" s="9372"/>
      <c r="AD22" s="9372"/>
      <c r="AE22" s="9372"/>
      <c r="AF22" s="5431"/>
      <c r="AG22" s="5415"/>
      <c r="AH22" s="9323"/>
      <c r="AI22" s="7595"/>
      <c r="AJ22" s="7595"/>
      <c r="AK22" s="7595"/>
      <c r="AL22" s="7595"/>
      <c r="AM22" s="7595"/>
      <c r="AN22" s="7595"/>
      <c r="AO22" s="7595"/>
      <c r="AP22" s="9324"/>
      <c r="AQ22" s="5415"/>
      <c r="AR22" s="5415"/>
      <c r="AS22" s="5415"/>
      <c r="AT22" s="5415"/>
      <c r="AU22" s="344"/>
    </row>
    <row r="23" spans="1:47" ht="16.5" thickBot="1">
      <c r="A23" s="139"/>
      <c r="B23" s="88"/>
      <c r="C23" s="88"/>
      <c r="D23" s="88"/>
      <c r="E23" s="5432">
        <v>108.28</v>
      </c>
      <c r="F23" s="9431"/>
      <c r="G23" s="88"/>
      <c r="H23" s="88"/>
      <c r="I23" s="88"/>
      <c r="J23" s="88"/>
      <c r="K23" s="88"/>
      <c r="L23" s="88"/>
      <c r="M23" s="88"/>
      <c r="N23" s="88"/>
      <c r="O23" s="88"/>
      <c r="P23" s="88"/>
      <c r="Q23" s="88"/>
      <c r="R23" s="88"/>
      <c r="S23" s="88"/>
      <c r="T23" s="5433"/>
      <c r="U23" s="88"/>
      <c r="V23" s="88"/>
      <c r="W23" s="88"/>
      <c r="X23" s="139"/>
      <c r="Y23" s="343"/>
      <c r="Z23" s="9394"/>
      <c r="AA23" s="5434" t="b">
        <f>IF(Y35&lt;&gt;1,FALSE,IF(AC23&gt;AA19,TRUE,FALSE))</f>
        <v>0</v>
      </c>
      <c r="AB23" s="512" t="b">
        <f>IF(Y35&lt;&gt;1,FALSE,AND((OR(AND(AB31&lt;&gt;"",File_Marr_Joint=""),AND(AB31="",File_Marr_Joint&lt;&gt;""))),NOT(AND(AB31&lt;&gt;"",File_Marr_Joint&lt;&gt;""))))</f>
        <v>0</v>
      </c>
      <c r="AC23" s="9338"/>
      <c r="AD23" s="9339"/>
      <c r="AE23" s="9340"/>
      <c r="AF23" s="379"/>
      <c r="AG23" s="5415"/>
      <c r="AH23" s="9323"/>
      <c r="AI23" s="7595"/>
      <c r="AJ23" s="7595"/>
      <c r="AK23" s="7595"/>
      <c r="AL23" s="7595"/>
      <c r="AM23" s="7595"/>
      <c r="AN23" s="7595"/>
      <c r="AO23" s="7595"/>
      <c r="AP23" s="9324"/>
      <c r="AQ23" s="5415"/>
      <c r="AR23" s="5415"/>
      <c r="AS23" s="5415"/>
      <c r="AT23" s="5415"/>
      <c r="AU23" s="344"/>
    </row>
    <row r="24" spans="1:47" ht="6" customHeight="1">
      <c r="A24" s="139"/>
      <c r="B24" s="2431"/>
      <c r="C24" s="9468" t="s">
        <v>2935</v>
      </c>
      <c r="D24" s="9469"/>
      <c r="E24" s="9469"/>
      <c r="F24" s="9469"/>
      <c r="G24" s="9469"/>
      <c r="H24" s="9469"/>
      <c r="I24" s="9469"/>
      <c r="J24" s="9469"/>
      <c r="K24" s="9470"/>
      <c r="L24" s="9477" t="s">
        <v>568</v>
      </c>
      <c r="M24" s="9478"/>
      <c r="N24" s="9479"/>
      <c r="O24" s="9352" t="s">
        <v>2936</v>
      </c>
      <c r="P24" s="9481"/>
      <c r="Q24" s="9481"/>
      <c r="R24" s="9481"/>
      <c r="S24" s="9481"/>
      <c r="T24" s="9481"/>
      <c r="U24" s="9481"/>
      <c r="V24" s="9482"/>
      <c r="W24" s="88"/>
      <c r="X24" s="139"/>
      <c r="Y24" s="343"/>
      <c r="Z24" s="5415"/>
      <c r="AA24" s="5428"/>
      <c r="AB24" s="253"/>
      <c r="AC24" s="517"/>
      <c r="AD24" s="517"/>
      <c r="AE24" s="253"/>
      <c r="AF24" s="379"/>
      <c r="AG24" s="5415"/>
      <c r="AH24" s="9323"/>
      <c r="AI24" s="7595"/>
      <c r="AJ24" s="7595"/>
      <c r="AK24" s="7595"/>
      <c r="AL24" s="7595"/>
      <c r="AM24" s="7595"/>
      <c r="AN24" s="7595"/>
      <c r="AO24" s="7595"/>
      <c r="AP24" s="9324"/>
      <c r="AQ24" s="5415"/>
      <c r="AR24" s="5415"/>
      <c r="AS24" s="5415"/>
      <c r="AT24" s="5415"/>
      <c r="AU24" s="344"/>
    </row>
    <row r="25" spans="1:47" ht="14.25" customHeight="1">
      <c r="A25" s="139"/>
      <c r="B25" s="5429"/>
      <c r="C25" s="9471"/>
      <c r="D25" s="9472"/>
      <c r="E25" s="9472"/>
      <c r="F25" s="9472"/>
      <c r="G25" s="9472"/>
      <c r="H25" s="9472"/>
      <c r="I25" s="9472"/>
      <c r="J25" s="9472"/>
      <c r="K25" s="9473"/>
      <c r="L25" s="9480"/>
      <c r="M25" s="9478"/>
      <c r="N25" s="9479"/>
      <c r="O25" s="9483"/>
      <c r="P25" s="9484"/>
      <c r="Q25" s="9484"/>
      <c r="R25" s="9484"/>
      <c r="S25" s="9484"/>
      <c r="T25" s="9484"/>
      <c r="U25" s="9484"/>
      <c r="V25" s="9485"/>
      <c r="W25" s="5425"/>
      <c r="X25" s="139"/>
      <c r="Y25" s="343"/>
      <c r="Z25" s="5415"/>
      <c r="AA25" s="5428">
        <v>1.1000000000000001</v>
      </c>
      <c r="AB25" s="8346">
        <f>TaxYear-1</f>
        <v>2024</v>
      </c>
      <c r="AC25" s="8346"/>
      <c r="AD25" s="8346"/>
      <c r="AE25" s="8346"/>
      <c r="AF25" s="379"/>
      <c r="AG25" s="5415"/>
      <c r="AH25" s="9323"/>
      <c r="AI25" s="7595"/>
      <c r="AJ25" s="7595"/>
      <c r="AK25" s="7595"/>
      <c r="AL25" s="7595"/>
      <c r="AM25" s="7595"/>
      <c r="AN25" s="7595"/>
      <c r="AO25" s="7595"/>
      <c r="AP25" s="9324"/>
      <c r="AQ25" s="5415"/>
      <c r="AR25" s="5415"/>
      <c r="AS25" s="5415"/>
      <c r="AT25" s="5415"/>
      <c r="AU25" s="344"/>
    </row>
    <row r="26" spans="1:47" ht="6.75" customHeight="1">
      <c r="A26" s="139"/>
      <c r="B26" s="5429"/>
      <c r="C26" s="9474"/>
      <c r="D26" s="9475"/>
      <c r="E26" s="9475"/>
      <c r="F26" s="9475"/>
      <c r="G26" s="9475"/>
      <c r="H26" s="9475"/>
      <c r="I26" s="9475"/>
      <c r="J26" s="9475"/>
      <c r="K26" s="9476"/>
      <c r="L26" s="88"/>
      <c r="M26" s="88"/>
      <c r="N26" s="88"/>
      <c r="O26" s="9486"/>
      <c r="P26" s="9487"/>
      <c r="Q26" s="9487"/>
      <c r="R26" s="9487"/>
      <c r="S26" s="9487"/>
      <c r="T26" s="9487"/>
      <c r="U26" s="9487"/>
      <c r="V26" s="9488"/>
      <c r="W26" s="88"/>
      <c r="X26" s="139"/>
      <c r="Y26" s="343"/>
      <c r="Z26" s="5415"/>
      <c r="AA26" s="341"/>
      <c r="AB26" s="8346"/>
      <c r="AC26" s="8346"/>
      <c r="AD26" s="8346"/>
      <c r="AE26" s="8346"/>
      <c r="AF26" s="379"/>
      <c r="AG26" s="5415"/>
      <c r="AH26" s="9323"/>
      <c r="AI26" s="7595"/>
      <c r="AJ26" s="7595"/>
      <c r="AK26" s="7595"/>
      <c r="AL26" s="7595"/>
      <c r="AM26" s="7595"/>
      <c r="AN26" s="7595"/>
      <c r="AO26" s="7595"/>
      <c r="AP26" s="9324"/>
      <c r="AQ26" s="5415"/>
      <c r="AR26" s="5415"/>
      <c r="AS26" s="5415"/>
      <c r="AT26" s="5415"/>
      <c r="AU26" s="344"/>
    </row>
    <row r="27" spans="1:47" ht="6.75" customHeight="1">
      <c r="A27" s="139"/>
      <c r="B27" s="88"/>
      <c r="C27" s="88"/>
      <c r="D27" s="88"/>
      <c r="E27" s="88"/>
      <c r="F27" s="9430" t="s">
        <v>569</v>
      </c>
      <c r="G27" s="88"/>
      <c r="H27" s="88"/>
      <c r="I27" s="88"/>
      <c r="J27" s="88"/>
      <c r="K27" s="88"/>
      <c r="L27" s="88"/>
      <c r="M27" s="88"/>
      <c r="N27" s="88"/>
      <c r="O27" s="88"/>
      <c r="P27" s="7218" t="s">
        <v>569</v>
      </c>
      <c r="Q27" s="9492" t="s">
        <v>2937</v>
      </c>
      <c r="R27" s="9493"/>
      <c r="S27" s="88"/>
      <c r="T27" s="88"/>
      <c r="U27" s="88"/>
      <c r="V27" s="88"/>
      <c r="W27" s="88"/>
      <c r="X27" s="139"/>
      <c r="Y27" s="343"/>
      <c r="Z27" s="5415"/>
      <c r="AA27" s="5435"/>
      <c r="AB27" s="8346"/>
      <c r="AC27" s="8346"/>
      <c r="AD27" s="8346"/>
      <c r="AE27" s="8346"/>
      <c r="AF27" s="379"/>
      <c r="AG27" s="5415"/>
      <c r="AH27" s="9323"/>
      <c r="AI27" s="7595"/>
      <c r="AJ27" s="7595"/>
      <c r="AK27" s="7595"/>
      <c r="AL27" s="7595"/>
      <c r="AM27" s="7595"/>
      <c r="AN27" s="7595"/>
      <c r="AO27" s="7595"/>
      <c r="AP27" s="9324"/>
      <c r="AQ27" s="5415"/>
      <c r="AR27" s="5415"/>
      <c r="AS27" s="5415"/>
      <c r="AT27" s="5415"/>
      <c r="AU27" s="344"/>
    </row>
    <row r="28" spans="1:47" ht="16.5" customHeight="1">
      <c r="A28" s="139"/>
      <c r="B28" s="88"/>
      <c r="C28" s="88"/>
      <c r="D28" s="88"/>
      <c r="E28" s="88"/>
      <c r="F28" s="9461"/>
      <c r="G28" s="88"/>
      <c r="H28" s="88"/>
      <c r="I28" s="88"/>
      <c r="J28" s="88"/>
      <c r="K28" s="88"/>
      <c r="L28" s="88"/>
      <c r="M28" s="88"/>
      <c r="N28" s="88"/>
      <c r="O28" s="88"/>
      <c r="P28" s="8060"/>
      <c r="Q28" s="9494"/>
      <c r="R28" s="9494"/>
      <c r="S28" s="9489" t="s">
        <v>2938</v>
      </c>
      <c r="T28" s="9490"/>
      <c r="U28" s="9490"/>
      <c r="V28" s="9491"/>
      <c r="W28" s="88"/>
      <c r="X28" s="139"/>
      <c r="Y28" s="343"/>
      <c r="Z28" s="5415"/>
      <c r="AA28" s="341"/>
      <c r="AB28" s="7879" t="s">
        <v>545</v>
      </c>
      <c r="AC28" s="7879"/>
      <c r="AD28" s="7879"/>
      <c r="AE28" s="7879"/>
      <c r="AF28" s="379"/>
      <c r="AG28" s="5415"/>
      <c r="AH28" s="9323"/>
      <c r="AI28" s="7595"/>
      <c r="AJ28" s="7595"/>
      <c r="AK28" s="7595"/>
      <c r="AL28" s="7595"/>
      <c r="AM28" s="7595"/>
      <c r="AN28" s="7595"/>
      <c r="AO28" s="7595"/>
      <c r="AP28" s="9324"/>
      <c r="AQ28" s="5415"/>
      <c r="AR28" s="5415"/>
      <c r="AS28" s="5415"/>
      <c r="AT28" s="5415"/>
      <c r="AU28" s="344"/>
    </row>
    <row r="29" spans="1:47" ht="6.75" customHeight="1" thickBot="1">
      <c r="A29" s="139"/>
      <c r="B29" s="88"/>
      <c r="C29" s="88"/>
      <c r="D29" s="88"/>
      <c r="E29" s="88"/>
      <c r="F29" s="9431"/>
      <c r="G29" s="88"/>
      <c r="H29" s="88"/>
      <c r="I29" s="88"/>
      <c r="J29" s="88"/>
      <c r="K29" s="88"/>
      <c r="L29" s="88"/>
      <c r="M29" s="88"/>
      <c r="N29" s="88"/>
      <c r="O29" s="2557"/>
      <c r="P29" s="88"/>
      <c r="Q29" s="88"/>
      <c r="R29" s="88"/>
      <c r="S29" s="88"/>
      <c r="T29" s="88"/>
      <c r="U29" s="88"/>
      <c r="V29" s="88"/>
      <c r="W29" s="88"/>
      <c r="X29" s="139"/>
      <c r="Y29" s="343"/>
      <c r="Z29" s="5415"/>
      <c r="AA29" s="341"/>
      <c r="AB29" s="817"/>
      <c r="AC29" s="817"/>
      <c r="AD29" s="817"/>
      <c r="AE29" s="817"/>
      <c r="AF29" s="379"/>
      <c r="AG29" s="5415"/>
      <c r="AH29" s="9325"/>
      <c r="AI29" s="7596"/>
      <c r="AJ29" s="7596"/>
      <c r="AK29" s="7596"/>
      <c r="AL29" s="7596"/>
      <c r="AM29" s="7596"/>
      <c r="AN29" s="7596"/>
      <c r="AO29" s="7596"/>
      <c r="AP29" s="9326"/>
      <c r="AQ29" s="5415"/>
      <c r="AR29" s="5415"/>
      <c r="AS29" s="5415"/>
      <c r="AT29" s="5415"/>
      <c r="AU29" s="344"/>
    </row>
    <row r="30" spans="1:47" ht="21.75" customHeight="1" thickBot="1">
      <c r="A30" s="139"/>
      <c r="B30" s="2431"/>
      <c r="C30" s="9451" t="s">
        <v>2939</v>
      </c>
      <c r="D30" s="9452"/>
      <c r="E30" s="9452"/>
      <c r="F30" s="9452"/>
      <c r="G30" s="9452"/>
      <c r="H30" s="9452"/>
      <c r="I30" s="9452"/>
      <c r="J30" s="9452"/>
      <c r="K30" s="9453"/>
      <c r="L30" s="88"/>
      <c r="M30" s="88"/>
      <c r="N30" s="9416" t="s">
        <v>2940</v>
      </c>
      <c r="O30" s="9417"/>
      <c r="P30" s="9417"/>
      <c r="Q30" s="9417"/>
      <c r="R30" s="9417"/>
      <c r="S30" s="9417"/>
      <c r="T30" s="9417"/>
      <c r="U30" s="9417"/>
      <c r="V30" s="9418"/>
      <c r="W30" s="88"/>
      <c r="X30" s="139"/>
      <c r="Y30" s="1318">
        <f>IF(AB30&lt;&gt;"",1,0)</f>
        <v>0</v>
      </c>
      <c r="Z30" s="9450" t="str">
        <f>IF(Y35=0,"Indicate filing status for tax year "&amp;TaxYear-1&amp;" &gt;&gt;&gt;","")</f>
        <v>Indicate filing status for tax year 2024 &gt;&gt;&gt;</v>
      </c>
      <c r="AA30" s="341"/>
      <c r="AB30" s="277"/>
      <c r="AC30" s="344" t="s">
        <v>13</v>
      </c>
      <c r="AD30" s="344"/>
      <c r="AE30" s="253"/>
      <c r="AF30" s="379"/>
      <c r="AG30" s="5415"/>
      <c r="AH30" s="5415"/>
      <c r="AI30" s="5415"/>
      <c r="AJ30" s="5415"/>
      <c r="AK30" s="5415"/>
      <c r="AL30" s="5415"/>
      <c r="AM30" s="5415"/>
      <c r="AN30" s="5415"/>
      <c r="AO30" s="5415"/>
      <c r="AP30" s="5415"/>
      <c r="AQ30" s="5415"/>
      <c r="AR30" s="5415"/>
      <c r="AS30" s="5415"/>
      <c r="AT30" s="5415"/>
      <c r="AU30" s="344"/>
    </row>
    <row r="31" spans="1:47" ht="21.75" customHeight="1" thickBot="1">
      <c r="A31" s="139"/>
      <c r="B31" s="5429"/>
      <c r="C31" s="9454"/>
      <c r="D31" s="9455"/>
      <c r="E31" s="9455"/>
      <c r="F31" s="9455"/>
      <c r="G31" s="9455"/>
      <c r="H31" s="9455"/>
      <c r="I31" s="9455"/>
      <c r="J31" s="9455"/>
      <c r="K31" s="9456"/>
      <c r="L31" s="88"/>
      <c r="M31" s="88"/>
      <c r="N31" s="9419"/>
      <c r="O31" s="9420"/>
      <c r="P31" s="9420"/>
      <c r="Q31" s="9420"/>
      <c r="R31" s="9420"/>
      <c r="S31" s="9420"/>
      <c r="T31" s="9420"/>
      <c r="U31" s="9420"/>
      <c r="V31" s="9421"/>
      <c r="W31" s="88"/>
      <c r="X31" s="139"/>
      <c r="Y31" s="1318">
        <f>IF(AB31&lt;&gt;"",1,0)</f>
        <v>0</v>
      </c>
      <c r="Z31" s="9450"/>
      <c r="AA31" s="341"/>
      <c r="AB31" s="277"/>
      <c r="AC31" s="344" t="s">
        <v>2941</v>
      </c>
      <c r="AD31" s="344"/>
      <c r="AE31" s="253"/>
      <c r="AF31" s="379"/>
      <c r="AG31" s="5415"/>
      <c r="AH31" s="9366" t="s">
        <v>2942</v>
      </c>
      <c r="AI31" s="9447"/>
      <c r="AJ31" s="9447"/>
      <c r="AK31" s="9447"/>
      <c r="AL31" s="9447"/>
      <c r="AM31" s="9447"/>
      <c r="AN31" s="9447"/>
      <c r="AO31" s="9448"/>
      <c r="AP31" s="9449"/>
      <c r="AQ31" s="5415"/>
      <c r="AR31" s="5415"/>
      <c r="AS31" s="5415"/>
      <c r="AT31" s="5415"/>
      <c r="AU31" s="344"/>
    </row>
    <row r="32" spans="1:47" ht="24.75" customHeight="1" thickBot="1">
      <c r="A32" s="139"/>
      <c r="B32" s="5429"/>
      <c r="C32" s="9454"/>
      <c r="D32" s="9455"/>
      <c r="E32" s="9455"/>
      <c r="F32" s="9455"/>
      <c r="G32" s="9455"/>
      <c r="H32" s="9455"/>
      <c r="I32" s="9455"/>
      <c r="J32" s="9455"/>
      <c r="K32" s="9456"/>
      <c r="L32" s="88"/>
      <c r="M32" s="88"/>
      <c r="N32" s="9419"/>
      <c r="O32" s="9420"/>
      <c r="P32" s="9420"/>
      <c r="Q32" s="9420"/>
      <c r="R32" s="9420"/>
      <c r="S32" s="9420"/>
      <c r="T32" s="9420"/>
      <c r="U32" s="9420"/>
      <c r="V32" s="9421"/>
      <c r="W32" s="88"/>
      <c r="X32" s="139"/>
      <c r="Y32" s="1318">
        <f>IF(AB32&lt;&gt;"",1,0)</f>
        <v>0</v>
      </c>
      <c r="Z32" s="5436"/>
      <c r="AA32" s="341"/>
      <c r="AB32" s="277"/>
      <c r="AC32" s="344" t="s">
        <v>2943</v>
      </c>
      <c r="AD32" s="344"/>
      <c r="AE32" s="253"/>
      <c r="AF32" s="379"/>
      <c r="AG32" s="5415"/>
      <c r="AH32" s="9465" t="str">
        <f>"Subtract the total of the following refundable credits, if any, that you claimed on your "&amp;TaxYear-1&amp;" tax return:"</f>
        <v>Subtract the total of the following refundable credits, if any, that you claimed on your 2024 tax return:</v>
      </c>
      <c r="AI32" s="9466"/>
      <c r="AJ32" s="9466"/>
      <c r="AK32" s="9466"/>
      <c r="AL32" s="9466"/>
      <c r="AM32" s="9466"/>
      <c r="AN32" s="9466"/>
      <c r="AO32" s="9466"/>
      <c r="AP32" s="9467"/>
      <c r="AQ32" s="5415"/>
      <c r="AR32" s="5415"/>
      <c r="AS32" s="5415"/>
      <c r="AT32" s="5415"/>
      <c r="AU32" s="344"/>
    </row>
    <row r="33" spans="1:47" ht="16.5" customHeight="1" thickBot="1">
      <c r="A33" s="139"/>
      <c r="B33" s="5429"/>
      <c r="C33" s="9457"/>
      <c r="D33" s="9458"/>
      <c r="E33" s="9458"/>
      <c r="F33" s="9458"/>
      <c r="G33" s="9458"/>
      <c r="H33" s="9458"/>
      <c r="I33" s="9458"/>
      <c r="J33" s="9458"/>
      <c r="K33" s="9459"/>
      <c r="L33" s="88"/>
      <c r="M33" s="88"/>
      <c r="N33" s="9422"/>
      <c r="O33" s="9423"/>
      <c r="P33" s="9423"/>
      <c r="Q33" s="9423"/>
      <c r="R33" s="9423"/>
      <c r="S33" s="9423"/>
      <c r="T33" s="9423"/>
      <c r="U33" s="9423"/>
      <c r="V33" s="9424"/>
      <c r="W33" s="88"/>
      <c r="X33" s="139"/>
      <c r="Y33" s="1318">
        <f>IF(AB33&lt;&gt;"",1,0)</f>
        <v>0</v>
      </c>
      <c r="Z33" s="5436"/>
      <c r="AA33" s="341"/>
      <c r="AB33" s="277"/>
      <c r="AC33" s="344" t="s">
        <v>2944</v>
      </c>
      <c r="AD33" s="344"/>
      <c r="AE33" s="253"/>
      <c r="AF33" s="379"/>
      <c r="AG33" s="5415"/>
      <c r="AH33" s="5437" t="s">
        <v>615</v>
      </c>
      <c r="AI33" s="253" t="s">
        <v>2945</v>
      </c>
      <c r="AJ33" s="799"/>
      <c r="AK33" s="799"/>
      <c r="AL33" s="799"/>
      <c r="AM33" s="799"/>
      <c r="AN33" s="799"/>
      <c r="AO33" s="799"/>
      <c r="AP33" s="809"/>
      <c r="AQ33" s="5415"/>
      <c r="AR33" s="5415"/>
      <c r="AS33" s="5415"/>
      <c r="AT33" s="5415"/>
      <c r="AU33" s="344"/>
    </row>
    <row r="34" spans="1:47" ht="13.5" customHeight="1" thickBot="1">
      <c r="A34" s="139"/>
      <c r="B34" s="88"/>
      <c r="C34" s="88"/>
      <c r="D34" s="88"/>
      <c r="E34" s="88"/>
      <c r="F34" s="88"/>
      <c r="G34" s="88"/>
      <c r="H34" s="88"/>
      <c r="I34" s="4603"/>
      <c r="J34" s="4603"/>
      <c r="K34" s="4603"/>
      <c r="L34" s="84"/>
      <c r="M34" s="2701"/>
      <c r="N34" s="84"/>
      <c r="O34" s="88"/>
      <c r="P34" s="88"/>
      <c r="Q34" s="88"/>
      <c r="R34" s="88"/>
      <c r="S34" s="88"/>
      <c r="T34" s="88"/>
      <c r="U34" s="88"/>
      <c r="V34" s="88"/>
      <c r="W34" s="88"/>
      <c r="X34" s="139"/>
      <c r="Y34" s="1318">
        <f>IF(AB34&lt;&gt;"",1,0)</f>
        <v>0</v>
      </c>
      <c r="Z34" s="5438" t="s">
        <v>709</v>
      </c>
      <c r="AA34" s="341"/>
      <c r="AB34" s="277"/>
      <c r="AC34" s="344" t="s">
        <v>2946</v>
      </c>
      <c r="AD34" s="344"/>
      <c r="AE34" s="253"/>
      <c r="AF34" s="379"/>
      <c r="AG34" s="5415"/>
      <c r="AH34" s="5437" t="s">
        <v>615</v>
      </c>
      <c r="AI34" s="253" t="s">
        <v>2947</v>
      </c>
      <c r="AJ34" s="253"/>
      <c r="AK34" s="253"/>
      <c r="AL34" s="253"/>
      <c r="AM34" s="253"/>
      <c r="AN34" s="253"/>
      <c r="AO34" s="253"/>
      <c r="AP34" s="379"/>
      <c r="AQ34" s="5415"/>
      <c r="AR34" s="5415"/>
      <c r="AS34" s="5415"/>
      <c r="AT34" s="5415"/>
      <c r="AU34" s="344"/>
    </row>
    <row r="35" spans="1:47" ht="16.5" customHeight="1">
      <c r="A35" s="139"/>
      <c r="B35" s="5439" t="s">
        <v>2948</v>
      </c>
      <c r="C35" s="5440"/>
      <c r="D35" s="5440"/>
      <c r="E35" s="5441" t="s">
        <v>2949</v>
      </c>
      <c r="F35" s="5442"/>
      <c r="G35" s="5442"/>
      <c r="H35" s="5442"/>
      <c r="I35" s="5442"/>
      <c r="J35" s="5442"/>
      <c r="K35" s="5442"/>
      <c r="L35" s="5442"/>
      <c r="M35" s="5442"/>
      <c r="N35" s="5442"/>
      <c r="O35" s="5442"/>
      <c r="P35" s="5442"/>
      <c r="Q35" s="5442"/>
      <c r="R35" s="5442"/>
      <c r="S35" s="5442"/>
      <c r="T35" s="5442"/>
      <c r="U35" s="5442"/>
      <c r="V35" s="5442"/>
      <c r="W35" s="5442"/>
      <c r="X35" s="144"/>
      <c r="Y35" s="3787">
        <f>SUM(Y30:Y34)</f>
        <v>0</v>
      </c>
      <c r="Z35" s="5415"/>
      <c r="AA35" s="341"/>
      <c r="AB35" s="253"/>
      <c r="AC35" s="253"/>
      <c r="AD35" s="253"/>
      <c r="AE35" s="253"/>
      <c r="AF35" s="379"/>
      <c r="AG35" s="5415"/>
      <c r="AH35" s="5437" t="s">
        <v>615</v>
      </c>
      <c r="AI35" s="504" t="s">
        <v>2950</v>
      </c>
      <c r="AJ35" s="253"/>
      <c r="AK35" s="253"/>
      <c r="AL35" s="253"/>
      <c r="AM35" s="253"/>
      <c r="AN35" s="253"/>
      <c r="AO35" s="253"/>
      <c r="AP35" s="379"/>
      <c r="AQ35" s="5415"/>
      <c r="AR35" s="5415"/>
      <c r="AS35" s="5415"/>
      <c r="AT35" s="5415"/>
      <c r="AU35" s="344"/>
    </row>
    <row r="36" spans="1:47" ht="13.5" customHeight="1" thickBot="1">
      <c r="A36" s="139"/>
      <c r="B36" s="182"/>
      <c r="C36" s="228">
        <v>1</v>
      </c>
      <c r="D36" s="182" t="str">
        <f>"Enter your "&amp;TaxYear&amp;" tax after credits from Form 1040, 1040-SR, or 1040-NR, line 22. (See the"</f>
        <v>Enter your 2025 tax after credits from Form 1040, 1040-SR, or 1040-NR, line 22. (See the</v>
      </c>
      <c r="E36" s="182"/>
      <c r="F36" s="182"/>
      <c r="G36" s="182"/>
      <c r="H36" s="182"/>
      <c r="I36" s="182"/>
      <c r="J36" s="182"/>
      <c r="K36" s="182"/>
      <c r="L36" s="182"/>
      <c r="M36" s="182"/>
      <c r="N36" s="182"/>
      <c r="O36" s="182"/>
      <c r="P36" s="182"/>
      <c r="Q36" s="182"/>
      <c r="R36" s="182"/>
      <c r="S36" s="182"/>
      <c r="T36" s="5443"/>
      <c r="U36" s="9361"/>
      <c r="V36" s="7840"/>
      <c r="W36" s="7840"/>
      <c r="X36" s="144"/>
      <c r="Y36" s="505"/>
      <c r="Z36" s="5444" t="s">
        <v>2361</v>
      </c>
      <c r="AA36" s="341"/>
      <c r="AB36" s="253"/>
      <c r="AC36" s="253"/>
      <c r="AD36" s="253"/>
      <c r="AE36" s="253"/>
      <c r="AF36" s="379"/>
      <c r="AG36" s="5415"/>
      <c r="AH36" s="5437" t="s">
        <v>615</v>
      </c>
      <c r="AI36" s="344" t="s">
        <v>2952</v>
      </c>
      <c r="AJ36" s="253"/>
      <c r="AK36" s="253"/>
      <c r="AL36" s="253"/>
      <c r="AM36" s="253"/>
      <c r="AN36" s="253"/>
      <c r="AO36" s="253"/>
      <c r="AP36" s="379"/>
      <c r="AQ36" s="5415"/>
      <c r="AR36" s="5415"/>
      <c r="AS36" s="5415"/>
      <c r="AT36" s="5415"/>
      <c r="AU36" s="344"/>
    </row>
    <row r="37" spans="1:47" ht="13.5" customHeight="1" thickBot="1">
      <c r="A37" s="139"/>
      <c r="B37" s="182"/>
      <c r="C37" s="228"/>
      <c r="D37" s="2617" t="s">
        <v>2951</v>
      </c>
      <c r="E37" s="182"/>
      <c r="F37" s="182"/>
      <c r="G37" s="182"/>
      <c r="H37" s="182"/>
      <c r="I37" s="182"/>
      <c r="J37" s="182"/>
      <c r="K37" s="182"/>
      <c r="L37" s="182"/>
      <c r="M37" s="182"/>
      <c r="N37" s="182"/>
      <c r="O37" s="182"/>
      <c r="P37" s="182"/>
      <c r="Q37" s="182"/>
      <c r="R37" s="182"/>
      <c r="S37" s="5445" t="s">
        <v>677</v>
      </c>
      <c r="T37" s="5446" t="s">
        <v>228</v>
      </c>
      <c r="U37" s="8838">
        <f>IF(Z37&lt;&gt;"",ROUND(Z37,0),'1040'!AL102)</f>
        <v>0</v>
      </c>
      <c r="V37" s="9360"/>
      <c r="W37" s="9360"/>
      <c r="X37" s="144"/>
      <c r="Y37" s="505"/>
      <c r="Z37" s="992"/>
      <c r="AA37" s="341"/>
      <c r="AB37" s="253"/>
      <c r="AC37" s="253"/>
      <c r="AD37" s="253"/>
      <c r="AE37" s="253"/>
      <c r="AF37" s="379"/>
      <c r="AG37" s="5415"/>
      <c r="AH37" s="5437" t="s">
        <v>615</v>
      </c>
      <c r="AI37" s="344" t="s">
        <v>2954</v>
      </c>
      <c r="AJ37" s="253"/>
      <c r="AK37" s="253"/>
      <c r="AL37" s="253"/>
      <c r="AM37" s="253"/>
      <c r="AN37" s="253"/>
      <c r="AO37" s="253"/>
      <c r="AP37" s="379"/>
      <c r="AQ37" s="5415"/>
      <c r="AR37" s="5415"/>
      <c r="AS37" s="5415"/>
      <c r="AT37" s="5415"/>
      <c r="AU37" s="344"/>
    </row>
    <row r="38" spans="1:47" ht="13.5" customHeight="1" thickBot="1">
      <c r="A38" s="139"/>
      <c r="B38" s="88"/>
      <c r="C38" s="228">
        <v>2</v>
      </c>
      <c r="D38" s="1560" t="s">
        <v>2953</v>
      </c>
      <c r="E38" s="88"/>
      <c r="F38" s="88"/>
      <c r="G38" s="88"/>
      <c r="H38" s="88"/>
      <c r="I38" s="88"/>
      <c r="J38" s="88"/>
      <c r="K38" s="88"/>
      <c r="L38" s="88"/>
      <c r="M38" s="88"/>
      <c r="N38" s="88"/>
      <c r="O38" s="88"/>
      <c r="P38" s="88"/>
      <c r="Q38" s="88"/>
      <c r="R38" s="88"/>
      <c r="S38" s="88"/>
      <c r="T38" s="2409"/>
      <c r="U38" s="9429">
        <f>SUM(SelfEmploymentTax,'Sch. 2'!AD43,'Sch. 2'!AD44,'Sch. 2'!AD46,'Sch. 2'!AD47,'Sch. 2'!AD50,'Sch. 2'!AD51,'Sch. 2'!AD52,'Sch. 2'!Z59,'Sch. 2'!Z62,'Sch. 2'!Z64,'Sch. 2'!Z65,'Sch. 2'!Z67,'Sch. 2'!Z69,'Sch. 2'!Z71,'Sch. 2'!Z73,'Sch. 2'!Z74,'Sch. 2'!Z76,'Sch. 2'!Z86,'Sch. 2'!AD88)</f>
        <v>0</v>
      </c>
      <c r="V38" s="8729"/>
      <c r="W38" s="8729"/>
      <c r="X38" s="139"/>
      <c r="Y38" s="343"/>
      <c r="Z38" s="5415"/>
      <c r="AA38" s="347"/>
      <c r="AB38" s="380"/>
      <c r="AC38" s="9358" t="b">
        <f>AND(AC8&lt;&gt;"",AC14&lt;&gt;"",AC23&lt;&gt;"",Y35=1)</f>
        <v>0</v>
      </c>
      <c r="AD38" s="9359"/>
      <c r="AE38" s="9359"/>
      <c r="AF38" s="381"/>
      <c r="AG38" s="5415"/>
      <c r="AH38" s="5437" t="s">
        <v>615</v>
      </c>
      <c r="AI38" s="344" t="s">
        <v>5137</v>
      </c>
      <c r="AJ38" s="253"/>
      <c r="AK38" s="253"/>
      <c r="AL38" s="253"/>
      <c r="AM38" s="253"/>
      <c r="AN38" s="253"/>
      <c r="AO38" s="253"/>
      <c r="AP38" s="379"/>
      <c r="AQ38" s="5415"/>
      <c r="AR38" s="5415"/>
      <c r="AS38" s="5415"/>
      <c r="AT38" s="5415"/>
      <c r="AU38" s="344"/>
    </row>
    <row r="39" spans="1:47" ht="13.5" customHeight="1" thickBot="1">
      <c r="A39" s="139"/>
      <c r="B39" s="182"/>
      <c r="C39" s="2975"/>
      <c r="D39" s="1560" t="s">
        <v>2955</v>
      </c>
      <c r="E39" s="182"/>
      <c r="F39" s="182"/>
      <c r="G39" s="182"/>
      <c r="H39" s="182"/>
      <c r="I39" s="182"/>
      <c r="J39" s="182"/>
      <c r="K39" s="182"/>
      <c r="L39" s="182"/>
      <c r="M39" s="182"/>
      <c r="N39" s="182"/>
      <c r="O39" s="182"/>
      <c r="P39" s="182"/>
      <c r="Q39" s="182"/>
      <c r="R39" s="182"/>
      <c r="S39" s="5445" t="s">
        <v>647</v>
      </c>
      <c r="T39" s="5447">
        <v>2</v>
      </c>
      <c r="U39" s="8838">
        <f>IF(Z39&lt;&gt;"",ROUND(Z39,0),U38)</f>
        <v>0</v>
      </c>
      <c r="V39" s="8839"/>
      <c r="W39" s="8839"/>
      <c r="X39" s="144"/>
      <c r="Y39" s="505"/>
      <c r="Z39" s="811"/>
      <c r="AA39" s="5415"/>
      <c r="AB39" s="5415"/>
      <c r="AC39" s="5415"/>
      <c r="AD39" s="5415"/>
      <c r="AE39" s="5415"/>
      <c r="AF39" s="5415"/>
      <c r="AG39" s="5415"/>
      <c r="AH39" s="5437"/>
      <c r="AI39" s="344" t="s">
        <v>5138</v>
      </c>
      <c r="AJ39" s="253"/>
      <c r="AK39" s="253"/>
      <c r="AL39" s="253"/>
      <c r="AM39" s="253"/>
      <c r="AN39" s="253"/>
      <c r="AO39" s="253"/>
      <c r="AP39" s="379"/>
      <c r="AQ39" s="5415"/>
      <c r="AR39" s="5415"/>
      <c r="AS39" s="5415"/>
      <c r="AT39" s="5415"/>
      <c r="AU39" s="344"/>
    </row>
    <row r="40" spans="1:47" ht="13.5" customHeight="1" thickBot="1">
      <c r="A40" s="139"/>
      <c r="B40" s="88"/>
      <c r="C40" s="2975">
        <v>3</v>
      </c>
      <c r="D40" s="1560" t="s">
        <v>2956</v>
      </c>
      <c r="E40" s="88"/>
      <c r="F40" s="88"/>
      <c r="G40" s="88"/>
      <c r="H40" s="88"/>
      <c r="I40" s="88"/>
      <c r="J40" s="88"/>
      <c r="K40" s="88"/>
      <c r="L40" s="88"/>
      <c r="M40" s="88"/>
      <c r="N40" s="88"/>
      <c r="O40" s="88"/>
      <c r="P40" s="88"/>
      <c r="Q40" s="88"/>
      <c r="R40" s="88"/>
      <c r="S40" s="5445" t="str">
        <f>IF(U40&gt;0,"Line 3 should be negative.",".   .   .   .   .   .   .   .   .   .   . ")</f>
        <v xml:space="preserve">.   .   .   .   .   .   .   .   .   .   . </v>
      </c>
      <c r="T40" s="5447">
        <v>3</v>
      </c>
      <c r="U40" s="8838">
        <f>IF(Z40&lt;&gt;"",ROUND(Z40,0),-SUM(EarnedIncomeCredit,AdditionalCTC,Form8863,FedFuelTaxCredit,PTCNet))</f>
        <v>0</v>
      </c>
      <c r="V40" s="8839"/>
      <c r="W40" s="8839"/>
      <c r="X40" s="139"/>
      <c r="Y40" s="343"/>
      <c r="Z40" s="811"/>
      <c r="AA40" s="5415"/>
      <c r="AB40" s="253"/>
      <c r="AC40" s="253"/>
      <c r="AD40" s="253"/>
      <c r="AE40" s="253"/>
      <c r="AF40" s="253"/>
      <c r="AG40" s="5415"/>
      <c r="AH40" s="5437" t="s">
        <v>615</v>
      </c>
      <c r="AI40" s="344" t="s">
        <v>5139</v>
      </c>
      <c r="AJ40" s="253"/>
      <c r="AK40" s="253"/>
      <c r="AL40" s="253"/>
      <c r="AM40" s="253"/>
      <c r="AN40" s="253"/>
      <c r="AO40" s="253"/>
      <c r="AP40" s="379"/>
      <c r="AQ40" s="5415"/>
      <c r="AR40" s="5415"/>
      <c r="AS40" s="5415"/>
      <c r="AT40" s="5415"/>
      <c r="AU40" s="344"/>
    </row>
    <row r="41" spans="1:47" ht="13.5" customHeight="1" thickBot="1">
      <c r="A41" s="139"/>
      <c r="B41" s="88"/>
      <c r="C41" s="228">
        <v>4</v>
      </c>
      <c r="D41" s="1560" t="s">
        <v>2957</v>
      </c>
      <c r="E41" s="88"/>
      <c r="F41" s="88"/>
      <c r="G41" s="88"/>
      <c r="H41" s="88"/>
      <c r="I41" s="88"/>
      <c r="J41" s="88"/>
      <c r="K41" s="88"/>
      <c r="L41" s="88"/>
      <c r="M41" s="88"/>
      <c r="N41" s="2643" t="str">
        <f>"If less than "&amp;TEXT($W$43,"$0,000")&amp;","</f>
        <v>If less than $1,000,</v>
      </c>
      <c r="O41" s="1560" t="s">
        <v>2958</v>
      </c>
      <c r="P41" s="88"/>
      <c r="Q41" s="88"/>
      <c r="R41" s="88"/>
      <c r="S41" s="88"/>
      <c r="T41" s="5448"/>
      <c r="U41" s="9425" t="b">
        <f>AND($U$42&lt;$W$43)</f>
        <v>1</v>
      </c>
      <c r="V41" s="9426"/>
      <c r="W41" s="9426"/>
      <c r="X41" s="139"/>
      <c r="Y41" s="343"/>
      <c r="Z41" s="5415"/>
      <c r="AA41" s="5415"/>
      <c r="AB41" s="253"/>
      <c r="AC41" s="253"/>
      <c r="AD41" s="253"/>
      <c r="AE41" s="512" t="b">
        <f>AND(U47&lt;&gt;"",U47&lt;&gt;0)</f>
        <v>0</v>
      </c>
      <c r="AF41" s="253"/>
      <c r="AG41" s="5415"/>
      <c r="AH41" s="5449"/>
      <c r="AI41" s="498" t="s">
        <v>5140</v>
      </c>
      <c r="AJ41" s="380"/>
      <c r="AK41" s="380"/>
      <c r="AL41" s="380"/>
      <c r="AM41" s="380"/>
      <c r="AN41" s="380"/>
      <c r="AO41" s="380"/>
      <c r="AP41" s="381"/>
      <c r="AQ41" s="5415"/>
      <c r="AR41" s="5415"/>
      <c r="AS41" s="5415"/>
      <c r="AT41" s="5415"/>
      <c r="AU41" s="344"/>
    </row>
    <row r="42" spans="1:47" ht="13.5" customHeight="1" thickBot="1">
      <c r="A42" s="139"/>
      <c r="B42" s="88"/>
      <c r="C42" s="228"/>
      <c r="D42" s="1560" t="s">
        <v>2959</v>
      </c>
      <c r="E42" s="88"/>
      <c r="F42" s="88"/>
      <c r="G42" s="88"/>
      <c r="H42" s="88"/>
      <c r="I42" s="88"/>
      <c r="J42" s="88"/>
      <c r="K42" s="88"/>
      <c r="L42" s="88"/>
      <c r="M42" s="88"/>
      <c r="N42" s="88"/>
      <c r="O42" s="88"/>
      <c r="P42" s="88"/>
      <c r="Q42" s="88"/>
      <c r="R42" s="88"/>
      <c r="S42" s="5445" t="s">
        <v>668</v>
      </c>
      <c r="T42" s="5450">
        <v>4</v>
      </c>
      <c r="U42" s="9350">
        <f>SUM(U37,U39,U40)</f>
        <v>0</v>
      </c>
      <c r="V42" s="9351"/>
      <c r="W42" s="9351"/>
      <c r="X42" s="139"/>
      <c r="Y42" s="343"/>
      <c r="Z42" s="5415"/>
      <c r="AA42" s="5415"/>
      <c r="AB42" s="253"/>
      <c r="AC42" s="9518" t="str">
        <f>IF(AND($AE$41,$AC$38),U47,"")</f>
        <v/>
      </c>
      <c r="AD42" s="9519"/>
      <c r="AE42" s="9520"/>
      <c r="AF42" s="253"/>
      <c r="AG42" s="5415"/>
      <c r="AH42" s="5415"/>
      <c r="AI42" s="5415"/>
      <c r="AJ42" s="5415"/>
      <c r="AK42" s="5415"/>
      <c r="AL42" s="5415"/>
      <c r="AM42" s="5415"/>
      <c r="AN42" s="5415"/>
      <c r="AO42" s="5415"/>
      <c r="AP42" s="5415"/>
      <c r="AQ42" s="5415"/>
      <c r="AR42" s="5415"/>
      <c r="AS42" s="5415"/>
      <c r="AT42" s="5415"/>
      <c r="AU42" s="344"/>
    </row>
    <row r="43" spans="1:47" ht="15.75" thickBot="1">
      <c r="A43" s="139"/>
      <c r="B43" s="88"/>
      <c r="C43" s="228">
        <v>5</v>
      </c>
      <c r="D43" s="88" t="str">
        <f>"Multiply line 4 by "&amp;TEXT(U43,"0%")&amp;" ("&amp;TEXT(U43,"0.00")&amp;")"</f>
        <v>Multiply line 4 by 90% (0.90)</v>
      </c>
      <c r="E43" s="88"/>
      <c r="F43" s="88"/>
      <c r="G43" s="88"/>
      <c r="H43" s="88"/>
      <c r="I43" s="88"/>
      <c r="J43" s="88"/>
      <c r="K43" s="88"/>
      <c r="L43" s="88"/>
      <c r="M43" s="88"/>
      <c r="N43" s="88"/>
      <c r="O43" s="5445"/>
      <c r="P43" s="228"/>
      <c r="Q43" s="5445" t="s">
        <v>793</v>
      </c>
      <c r="R43" s="5451">
        <v>5</v>
      </c>
      <c r="S43" s="2499" t="str">
        <f>IF($V$43,"",ROUND(U42*U43,0))</f>
        <v/>
      </c>
      <c r="T43" s="5452"/>
      <c r="U43" s="5453">
        <v>0.9</v>
      </c>
      <c r="V43" s="3961" t="b">
        <f>IF($U$42&lt;$W$43,TRUE,FALSE)</f>
        <v>1</v>
      </c>
      <c r="W43" s="441">
        <v>1000</v>
      </c>
      <c r="X43" s="139"/>
      <c r="Y43" s="343"/>
      <c r="Z43" s="5415"/>
      <c r="AA43" s="5415"/>
      <c r="AB43" s="253"/>
      <c r="AC43" s="7682" t="s">
        <v>2949</v>
      </c>
      <c r="AD43" s="7682"/>
      <c r="AE43" s="7682"/>
      <c r="AF43" s="253"/>
      <c r="AG43" s="5415"/>
      <c r="AH43" s="9366" t="s">
        <v>2966</v>
      </c>
      <c r="AI43" s="9367"/>
      <c r="AJ43" s="9367"/>
      <c r="AK43" s="9367"/>
      <c r="AL43" s="9367"/>
      <c r="AM43" s="9367"/>
      <c r="AN43" s="9367"/>
      <c r="AO43" s="9367"/>
      <c r="AP43" s="9368"/>
      <c r="AQ43" s="5415"/>
      <c r="AR43" s="5415"/>
      <c r="AS43" s="5415"/>
      <c r="AT43" s="5415"/>
      <c r="AU43" s="344"/>
    </row>
    <row r="44" spans="1:47" ht="15" customHeight="1" thickBot="1">
      <c r="A44" s="139"/>
      <c r="B44" s="182"/>
      <c r="C44" s="228">
        <v>6</v>
      </c>
      <c r="D44" s="1560" t="s">
        <v>2960</v>
      </c>
      <c r="E44" s="182"/>
      <c r="F44" s="182"/>
      <c r="G44" s="182"/>
      <c r="H44" s="182"/>
      <c r="I44" s="182"/>
      <c r="J44" s="182"/>
      <c r="K44" s="182"/>
      <c r="L44" s="182"/>
      <c r="M44" s="182"/>
      <c r="N44" s="182"/>
      <c r="O44" s="182"/>
      <c r="P44" s="182"/>
      <c r="Q44" s="182"/>
      <c r="R44" s="182"/>
      <c r="S44" s="5445" t="s">
        <v>2009</v>
      </c>
      <c r="T44" s="5450">
        <v>6</v>
      </c>
      <c r="U44" s="8838" t="str">
        <f>IF(Z44&lt;&gt;"",ROUND(Z44,0),IF($V$43,"",SUM(Fed_Inc_Tax_WH_Line_25d,ExcessSSTax)))</f>
        <v/>
      </c>
      <c r="V44" s="8839"/>
      <c r="W44" s="8839"/>
      <c r="X44" s="144"/>
      <c r="Y44" s="505"/>
      <c r="Z44" s="811"/>
      <c r="AA44" s="5415"/>
      <c r="AB44" s="253"/>
      <c r="AC44" s="7685"/>
      <c r="AD44" s="7685"/>
      <c r="AE44" s="7685"/>
      <c r="AF44" s="253"/>
      <c r="AG44" s="5415"/>
      <c r="AH44" s="9335" t="str">
        <f>"To figure your "&amp;TaxYear-1&amp;" tax, first add the amounts listed in (1) (see below),
then subtract from that total amount the refundable credits listed
in (2) (see below) that are shown on your "&amp;TaxYear-1&amp;" tax return."</f>
        <v>To figure your 2024 tax, first add the amounts listed in (1) (see below),
then subtract from that total amount the refundable credits listed
in (2) (see below) that are shown on your 2024 tax return.</v>
      </c>
      <c r="AI44" s="8370"/>
      <c r="AJ44" s="8370"/>
      <c r="AK44" s="8370"/>
      <c r="AL44" s="8370"/>
      <c r="AM44" s="8370"/>
      <c r="AN44" s="8370"/>
      <c r="AO44" s="7976"/>
      <c r="AP44" s="9336"/>
      <c r="AQ44" s="5415"/>
      <c r="AR44" s="5415"/>
      <c r="AS44" s="5415"/>
      <c r="AT44" s="5415"/>
      <c r="AU44" s="344"/>
    </row>
    <row r="45" spans="1:47" ht="13.5" customHeight="1" thickBot="1">
      <c r="A45" s="139"/>
      <c r="B45" s="88"/>
      <c r="C45" s="228">
        <v>7</v>
      </c>
      <c r="D45" s="2617" t="s">
        <v>2962</v>
      </c>
      <c r="E45" s="5425"/>
      <c r="F45" s="182"/>
      <c r="G45" s="182"/>
      <c r="H45" s="2617"/>
      <c r="I45" s="2617"/>
      <c r="J45" s="5454" t="str">
        <f>"If less than "&amp;TEXT($W$43,"$0,000")&amp;","</f>
        <v>If less than $1,000,</v>
      </c>
      <c r="K45" s="5455" t="s">
        <v>2963</v>
      </c>
      <c r="L45" s="182"/>
      <c r="M45" s="182"/>
      <c r="N45" s="182"/>
      <c r="O45" s="182"/>
      <c r="P45" s="2617"/>
      <c r="Q45" s="182"/>
      <c r="R45" s="182"/>
      <c r="S45" s="5454"/>
      <c r="T45" s="5450">
        <v>7</v>
      </c>
      <c r="U45" s="8836" t="str">
        <f>IF(Z45&lt;&gt;"",ROUND(Z45,0),IF($V$43,"",SUM(U42,-U44)))</f>
        <v/>
      </c>
      <c r="V45" s="8837"/>
      <c r="W45" s="8837"/>
      <c r="X45" s="139"/>
      <c r="Y45" s="343"/>
      <c r="Z45" s="811"/>
      <c r="AA45" s="5415"/>
      <c r="AB45" s="253"/>
      <c r="AC45" s="253"/>
      <c r="AD45" s="253"/>
      <c r="AE45" s="253"/>
      <c r="AF45" s="253"/>
      <c r="AG45" s="5415"/>
      <c r="AH45" s="9337"/>
      <c r="AI45" s="8313"/>
      <c r="AJ45" s="8313"/>
      <c r="AK45" s="8313"/>
      <c r="AL45" s="8313"/>
      <c r="AM45" s="8313"/>
      <c r="AN45" s="8313"/>
      <c r="AO45" s="8296"/>
      <c r="AP45" s="8760"/>
      <c r="AQ45" s="5415"/>
      <c r="AR45" s="5415"/>
      <c r="AS45" s="5415"/>
      <c r="AT45" s="5415"/>
      <c r="AU45" s="344"/>
    </row>
    <row r="46" spans="1:47" ht="13.5" customHeight="1" thickBot="1">
      <c r="A46" s="139"/>
      <c r="B46" s="88"/>
      <c r="C46" s="228">
        <v>8</v>
      </c>
      <c r="D46" s="88" t="s">
        <v>2964</v>
      </c>
      <c r="E46" s="226"/>
      <c r="F46" s="88"/>
      <c r="G46" s="88"/>
      <c r="H46" s="88"/>
      <c r="I46" s="88"/>
      <c r="J46" s="88"/>
      <c r="K46" s="88"/>
      <c r="L46" s="88"/>
      <c r="M46" s="88"/>
      <c r="N46" s="88"/>
      <c r="O46" s="88"/>
      <c r="P46" s="88"/>
      <c r="Q46" s="88"/>
      <c r="R46" s="88"/>
      <c r="S46" s="5445" t="s">
        <v>2965</v>
      </c>
      <c r="T46" s="5450">
        <v>8</v>
      </c>
      <c r="U46" s="8838" t="str">
        <f>IF(Z46&lt;&gt;"",ROUND(Z46,0),IF(OR($V$43,$U$48,NOT($AC$38)),"",IF(AA23,AA25*SUM(AC8,-AC14),SUM(AC8,-AC14))))</f>
        <v/>
      </c>
      <c r="V46" s="8839"/>
      <c r="W46" s="8839"/>
      <c r="X46" s="139"/>
      <c r="Y46" s="343"/>
      <c r="Z46" s="811"/>
      <c r="AA46" s="5415"/>
      <c r="AB46" s="253"/>
      <c r="AC46" s="9518" t="str">
        <f>IF(AND($AC$38,$AE$41),U44,"")</f>
        <v/>
      </c>
      <c r="AD46" s="9519"/>
      <c r="AE46" s="9520"/>
      <c r="AF46" s="253"/>
      <c r="AG46" s="5415"/>
      <c r="AH46" s="9327" t="str">
        <f>"(1) Add the amounts listed in the '1040' chart in the instructions based on which tax return you filed for "&amp;TaxYear-1&amp;"."</f>
        <v>(1) Add the amounts listed in the '1040' chart in the instructions based on which tax return you filed for 2024.</v>
      </c>
      <c r="AI46" s="9328"/>
      <c r="AJ46" s="9328"/>
      <c r="AK46" s="9328"/>
      <c r="AL46" s="9328"/>
      <c r="AM46" s="9328"/>
      <c r="AN46" s="9328"/>
      <c r="AO46" s="9329"/>
      <c r="AP46" s="9330"/>
      <c r="AQ46" s="5415"/>
      <c r="AR46" s="5415"/>
      <c r="AS46" s="5415"/>
      <c r="AT46" s="5415"/>
      <c r="AU46" s="344"/>
    </row>
    <row r="47" spans="1:47" ht="13.5" customHeight="1" thickBot="1">
      <c r="A47" s="139"/>
      <c r="B47" s="88"/>
      <c r="C47" s="228">
        <v>9</v>
      </c>
      <c r="D47" s="1560" t="s">
        <v>2967</v>
      </c>
      <c r="E47" s="226"/>
      <c r="F47" s="88"/>
      <c r="G47" s="88"/>
      <c r="H47" s="88"/>
      <c r="I47" s="88"/>
      <c r="J47" s="88"/>
      <c r="K47" s="88"/>
      <c r="L47" s="88"/>
      <c r="M47" s="88"/>
      <c r="N47" s="88"/>
      <c r="O47" s="88"/>
      <c r="P47" s="88"/>
      <c r="Q47" s="88"/>
      <c r="R47" s="88"/>
      <c r="S47" s="5445" t="s">
        <v>2509</v>
      </c>
      <c r="T47" s="5450">
        <v>9</v>
      </c>
      <c r="U47" s="9427" t="str">
        <f>IF(Z47&lt;&gt;"",ROUND(Z47,0),IF(OR($V$43,$U$48),"",MIN(S43,U46)))</f>
        <v/>
      </c>
      <c r="V47" s="9428"/>
      <c r="W47" s="9428"/>
      <c r="X47" s="139"/>
      <c r="Y47" s="343"/>
      <c r="Z47" s="811"/>
      <c r="AA47" s="5415"/>
      <c r="AB47" s="253"/>
      <c r="AC47" s="9524" t="s">
        <v>5158</v>
      </c>
      <c r="AD47" s="9524"/>
      <c r="AE47" s="9524"/>
      <c r="AF47" s="253"/>
      <c r="AG47" s="5415"/>
      <c r="AH47" s="9331"/>
      <c r="AI47" s="9332"/>
      <c r="AJ47" s="9332"/>
      <c r="AK47" s="9332"/>
      <c r="AL47" s="9332"/>
      <c r="AM47" s="9332"/>
      <c r="AN47" s="9332"/>
      <c r="AO47" s="9333"/>
      <c r="AP47" s="9334"/>
      <c r="AQ47" s="5415"/>
      <c r="AR47" s="5415"/>
      <c r="AS47" s="5415"/>
      <c r="AT47" s="5415"/>
      <c r="AU47" s="344"/>
    </row>
    <row r="48" spans="1:47" ht="15" customHeight="1">
      <c r="A48" s="139"/>
      <c r="B48" s="88"/>
      <c r="C48" s="228"/>
      <c r="D48" s="2449" t="s">
        <v>2968</v>
      </c>
      <c r="E48" s="226"/>
      <c r="F48" s="88"/>
      <c r="G48" s="88"/>
      <c r="H48" s="88"/>
      <c r="I48" s="88"/>
      <c r="J48" s="88"/>
      <c r="K48" s="88"/>
      <c r="L48" s="88"/>
      <c r="M48" s="88"/>
      <c r="N48" s="88"/>
      <c r="O48" s="88"/>
      <c r="P48" s="88"/>
      <c r="Q48" s="88"/>
      <c r="R48" s="88"/>
      <c r="S48" s="5445"/>
      <c r="T48" s="5445"/>
      <c r="U48" s="3961" t="b">
        <f>$U$45&lt;$W$43</f>
        <v>0</v>
      </c>
      <c r="V48" s="5456"/>
      <c r="W48" s="3961" t="b">
        <f>AND(U47&lt;&gt;"",U47&gt;0,U47&gt;U44)</f>
        <v>0</v>
      </c>
      <c r="X48" s="139"/>
      <c r="Y48" s="343"/>
      <c r="Z48" s="5415"/>
      <c r="AA48" s="5415"/>
      <c r="AB48" s="253"/>
      <c r="AC48" s="9525"/>
      <c r="AD48" s="9525"/>
      <c r="AE48" s="9525"/>
      <c r="AF48" s="253"/>
      <c r="AG48" s="5415"/>
      <c r="AH48" s="9327" t="s">
        <v>5141</v>
      </c>
      <c r="AI48" s="9328"/>
      <c r="AJ48" s="9328"/>
      <c r="AK48" s="9328"/>
      <c r="AL48" s="9328"/>
      <c r="AM48" s="9328"/>
      <c r="AN48" s="9328"/>
      <c r="AO48" s="9329"/>
      <c r="AP48" s="9330"/>
      <c r="AQ48" s="5415"/>
      <c r="AR48" s="5415"/>
      <c r="AS48" s="5415"/>
      <c r="AT48" s="5415"/>
      <c r="AU48" s="344"/>
    </row>
    <row r="49" spans="1:47" ht="13.5" customHeight="1">
      <c r="A49" s="139"/>
      <c r="B49" s="88"/>
      <c r="C49" s="228"/>
      <c r="D49" s="1846" t="str">
        <f>IF(NOT(AC38),"",IF(OR($V$43,$U$48),"",IF($W$48,"","X")))</f>
        <v/>
      </c>
      <c r="E49" s="1560" t="s">
        <v>2969</v>
      </c>
      <c r="F49" s="88"/>
      <c r="G49" s="88"/>
      <c r="H49" s="88"/>
      <c r="I49" s="1560"/>
      <c r="J49" s="88"/>
      <c r="K49" s="88"/>
      <c r="L49" s="88"/>
      <c r="M49" s="88"/>
      <c r="N49" s="2052" t="s">
        <v>2970</v>
      </c>
      <c r="O49" s="1560" t="s">
        <v>2971</v>
      </c>
      <c r="P49" s="88"/>
      <c r="Q49" s="88"/>
      <c r="R49" s="88"/>
      <c r="S49" s="2441"/>
      <c r="T49" s="2441"/>
      <c r="U49" s="2441"/>
      <c r="V49" s="2441"/>
      <c r="W49" s="229"/>
      <c r="X49" s="139"/>
      <c r="Y49" s="343"/>
      <c r="Z49" s="5417"/>
      <c r="AA49" s="5415"/>
      <c r="AB49" s="253"/>
      <c r="AC49" s="253"/>
      <c r="AD49" s="253"/>
      <c r="AE49" s="253"/>
      <c r="AF49" s="253"/>
      <c r="AG49" s="5415"/>
      <c r="AH49" s="9331"/>
      <c r="AI49" s="9332"/>
      <c r="AJ49" s="9332"/>
      <c r="AK49" s="9332"/>
      <c r="AL49" s="9332"/>
      <c r="AM49" s="9332"/>
      <c r="AN49" s="9332"/>
      <c r="AO49" s="9333"/>
      <c r="AP49" s="9334"/>
      <c r="AQ49" s="5415"/>
      <c r="AR49" s="5415"/>
      <c r="AS49" s="5415"/>
      <c r="AT49" s="5415"/>
      <c r="AU49" s="344"/>
    </row>
    <row r="50" spans="1:47" ht="12.75" customHeight="1">
      <c r="A50" s="139"/>
      <c r="B50" s="88"/>
      <c r="C50" s="1560"/>
      <c r="D50" s="1560"/>
      <c r="E50" s="1560"/>
      <c r="F50" s="88"/>
      <c r="G50" s="88"/>
      <c r="H50" s="88"/>
      <c r="I50" s="88"/>
      <c r="J50" s="88"/>
      <c r="K50" s="88"/>
      <c r="L50" s="88"/>
      <c r="M50" s="88"/>
      <c r="N50" s="88"/>
      <c r="O50" s="88"/>
      <c r="P50" s="88"/>
      <c r="Q50" s="88"/>
      <c r="R50" s="88"/>
      <c r="S50" s="2441"/>
      <c r="T50" s="2441"/>
      <c r="U50" s="2441"/>
      <c r="V50" s="2441"/>
      <c r="W50" s="2441"/>
      <c r="X50" s="139"/>
      <c r="Y50" s="343"/>
      <c r="Z50" s="5417"/>
      <c r="AA50" s="5415"/>
      <c r="AB50" s="253"/>
      <c r="AC50" s="9526" t="str">
        <f>IF(AND($AC$38,AC46=""),AC42,IF($AC$38,SUM(AC42,-AC46),""))</f>
        <v/>
      </c>
      <c r="AD50" s="9527"/>
      <c r="AE50" s="9528"/>
      <c r="AF50" s="253"/>
      <c r="AG50" s="5415"/>
      <c r="AH50" s="5457" t="s">
        <v>5142</v>
      </c>
      <c r="AI50" s="1196"/>
      <c r="AJ50" s="1196"/>
      <c r="AK50" s="1196"/>
      <c r="AL50" s="1196"/>
      <c r="AM50" s="1196"/>
      <c r="AN50" s="1196"/>
      <c r="AO50" s="1196"/>
      <c r="AP50" s="5458"/>
      <c r="AQ50" s="5415"/>
      <c r="AR50" s="5415"/>
      <c r="AS50" s="5415"/>
      <c r="AT50" s="5415"/>
      <c r="AU50" s="344"/>
    </row>
    <row r="51" spans="1:47" ht="13.5" customHeight="1">
      <c r="A51" s="139"/>
      <c r="B51" s="229"/>
      <c r="C51" s="5360"/>
      <c r="D51" s="1846" t="str">
        <f>IF(NOT(AC38),"",IF(OR($V$43,$U$48),"",IF($W$48,"X","")))</f>
        <v/>
      </c>
      <c r="E51" s="1560" t="s">
        <v>2972</v>
      </c>
      <c r="F51" s="88"/>
      <c r="G51" s="88"/>
      <c r="H51" s="88"/>
      <c r="I51" s="88"/>
      <c r="J51" s="88"/>
      <c r="K51" s="88"/>
      <c r="L51" s="88"/>
      <c r="M51" s="247"/>
      <c r="N51" s="88"/>
      <c r="O51" s="88"/>
      <c r="P51" s="88"/>
      <c r="Q51" s="88"/>
      <c r="R51" s="226"/>
      <c r="S51" s="2441"/>
      <c r="T51" s="228"/>
      <c r="U51" s="5459"/>
      <c r="V51" s="229"/>
      <c r="W51" s="3961" t="b">
        <f>$W$48</f>
        <v>0</v>
      </c>
      <c r="X51" s="139"/>
      <c r="Y51" s="343"/>
      <c r="Z51" s="5417"/>
      <c r="AA51" s="5415"/>
      <c r="AB51" s="253"/>
      <c r="AC51" s="9524" t="s">
        <v>3048</v>
      </c>
      <c r="AD51" s="9524"/>
      <c r="AE51" s="9524"/>
      <c r="AF51" s="253"/>
      <c r="AG51" s="5415"/>
      <c r="AH51" s="5457" t="str">
        <f>"claimed on your "&amp;TaxYear-1&amp;" tax return."</f>
        <v>claimed on your 2024 tax return.</v>
      </c>
      <c r="AI51" s="1196"/>
      <c r="AJ51" s="1196"/>
      <c r="AK51" s="1196"/>
      <c r="AL51" s="1196"/>
      <c r="AM51" s="1196"/>
      <c r="AN51" s="1196"/>
      <c r="AO51" s="1196"/>
      <c r="AP51" s="5458"/>
      <c r="AQ51" s="5415"/>
      <c r="AR51" s="5415"/>
      <c r="AS51" s="5415"/>
      <c r="AT51" s="5415"/>
      <c r="AU51" s="344"/>
    </row>
    <row r="52" spans="1:47" ht="13.5" customHeight="1">
      <c r="A52" s="139"/>
      <c r="B52" s="9411" t="str">
        <f>IF(W52,"®","")</f>
        <v/>
      </c>
      <c r="C52" s="9412"/>
      <c r="D52" s="5460" t="s">
        <v>615</v>
      </c>
      <c r="E52" s="1560" t="s">
        <v>2973</v>
      </c>
      <c r="F52" s="88"/>
      <c r="G52" s="88"/>
      <c r="H52" s="88"/>
      <c r="I52" s="88"/>
      <c r="J52" s="88"/>
      <c r="K52" s="88"/>
      <c r="L52" s="88"/>
      <c r="M52" s="88"/>
      <c r="N52" s="88"/>
      <c r="O52" s="88"/>
      <c r="P52" s="88"/>
      <c r="Q52" s="88"/>
      <c r="R52" s="88"/>
      <c r="S52" s="88"/>
      <c r="T52" s="88"/>
      <c r="U52" s="229"/>
      <c r="V52" s="229"/>
      <c r="W52" s="3961" t="b">
        <f>AND(W48,OR(D60&lt;&gt;"",D62&lt;&gt;"",D64&lt;&gt;""))</f>
        <v>0</v>
      </c>
      <c r="X52" s="139"/>
      <c r="Y52" s="343"/>
      <c r="Z52" s="5417"/>
      <c r="AA52" s="5415"/>
      <c r="AB52" s="253"/>
      <c r="AC52" s="9525"/>
      <c r="AD52" s="9525"/>
      <c r="AE52" s="9525"/>
      <c r="AF52" s="253"/>
      <c r="AG52" s="5415"/>
      <c r="AH52" s="5437" t="s">
        <v>615</v>
      </c>
      <c r="AI52" s="799" t="s">
        <v>2945</v>
      </c>
      <c r="AJ52" s="799"/>
      <c r="AK52" s="799"/>
      <c r="AL52" s="799"/>
      <c r="AM52" s="799"/>
      <c r="AN52" s="799"/>
      <c r="AO52" s="799"/>
      <c r="AP52" s="5458"/>
      <c r="AQ52" s="5415"/>
      <c r="AR52" s="5415"/>
      <c r="AS52" s="5415"/>
      <c r="AT52" s="5415"/>
      <c r="AU52" s="344"/>
    </row>
    <row r="53" spans="1:47" ht="13.5" customHeight="1">
      <c r="A53" s="139"/>
      <c r="B53" s="9411" t="str">
        <f>IF(W55,"®","")</f>
        <v/>
      </c>
      <c r="C53" s="9412"/>
      <c r="D53" s="5460" t="s">
        <v>615</v>
      </c>
      <c r="E53" s="1560" t="s">
        <v>2974</v>
      </c>
      <c r="F53" s="88"/>
      <c r="G53" s="88"/>
      <c r="H53" s="88"/>
      <c r="I53" s="88"/>
      <c r="J53" s="88"/>
      <c r="K53" s="88"/>
      <c r="L53" s="88"/>
      <c r="M53" s="88"/>
      <c r="N53" s="88"/>
      <c r="O53" s="88"/>
      <c r="P53" s="88"/>
      <c r="Q53" s="88"/>
      <c r="R53" s="5461"/>
      <c r="S53" s="5462"/>
      <c r="T53" s="5448"/>
      <c r="U53" s="5463"/>
      <c r="V53" s="2701"/>
      <c r="W53" s="228"/>
      <c r="X53" s="139"/>
      <c r="Y53" s="343"/>
      <c r="Z53" s="5417"/>
      <c r="AA53" s="5415"/>
      <c r="AB53" s="253"/>
      <c r="AC53" s="253"/>
      <c r="AD53" s="253"/>
      <c r="AE53" s="253"/>
      <c r="AF53" s="253"/>
      <c r="AG53" s="5415"/>
      <c r="AH53" s="5437" t="s">
        <v>615</v>
      </c>
      <c r="AI53" s="362" t="s">
        <v>2947</v>
      </c>
      <c r="AJ53" s="799"/>
      <c r="AK53" s="799"/>
      <c r="AL53" s="799"/>
      <c r="AM53" s="799"/>
      <c r="AN53" s="799"/>
      <c r="AO53" s="799"/>
      <c r="AP53" s="5458"/>
      <c r="AQ53" s="5415"/>
      <c r="AR53" s="5415"/>
      <c r="AS53" s="5415"/>
      <c r="AT53" s="5415"/>
      <c r="AU53" s="344"/>
    </row>
    <row r="54" spans="1:47" ht="13.5" customHeight="1">
      <c r="A54" s="139"/>
      <c r="B54" s="88"/>
      <c r="C54" s="228"/>
      <c r="D54" s="1560"/>
      <c r="E54" s="1560" t="s">
        <v>2975</v>
      </c>
      <c r="F54" s="88"/>
      <c r="G54" s="88"/>
      <c r="H54" s="88"/>
      <c r="I54" s="88"/>
      <c r="J54" s="88"/>
      <c r="K54" s="88"/>
      <c r="L54" s="88"/>
      <c r="M54" s="88"/>
      <c r="N54" s="88"/>
      <c r="O54" s="88"/>
      <c r="P54" s="88"/>
      <c r="Q54" s="88"/>
      <c r="R54" s="88"/>
      <c r="S54" s="88"/>
      <c r="T54" s="88"/>
      <c r="U54" s="88"/>
      <c r="V54" s="88"/>
      <c r="W54" s="228"/>
      <c r="X54" s="139"/>
      <c r="Y54" s="343"/>
      <c r="Z54" s="5417"/>
      <c r="AA54" s="5415"/>
      <c r="AB54" s="253"/>
      <c r="AC54" s="9521" t="str">
        <f>IF(AND($AE$41,$AC$38),TaxDay,"")</f>
        <v/>
      </c>
      <c r="AD54" s="9522"/>
      <c r="AE54" s="9523"/>
      <c r="AF54" s="253"/>
      <c r="AG54" s="5415"/>
      <c r="AH54" s="5437" t="s">
        <v>615</v>
      </c>
      <c r="AI54" s="344" t="s">
        <v>2950</v>
      </c>
      <c r="AN54" s="799"/>
      <c r="AO54" s="799"/>
      <c r="AP54" s="5458"/>
      <c r="AQ54" s="5415"/>
      <c r="AR54" s="5415"/>
      <c r="AS54" s="5415"/>
      <c r="AT54" s="5415"/>
      <c r="AU54" s="344"/>
    </row>
    <row r="55" spans="1:47" ht="15" thickBot="1">
      <c r="A55" s="139"/>
      <c r="B55" s="88"/>
      <c r="C55" s="228"/>
      <c r="D55" s="228"/>
      <c r="E55" s="1560" t="s">
        <v>2977</v>
      </c>
      <c r="F55" s="88"/>
      <c r="G55" s="88"/>
      <c r="H55" s="88"/>
      <c r="I55" s="88"/>
      <c r="J55" s="226"/>
      <c r="K55" s="88"/>
      <c r="L55" s="88"/>
      <c r="M55" s="88"/>
      <c r="N55" s="88"/>
      <c r="O55" s="88"/>
      <c r="P55" s="88"/>
      <c r="Q55" s="88"/>
      <c r="R55" s="88"/>
      <c r="S55" s="3374"/>
      <c r="T55" s="88"/>
      <c r="U55" s="2441"/>
      <c r="V55" s="2441"/>
      <c r="W55" s="3961" t="b">
        <f>IF(AND(W48,OR(D58&lt;&gt;"",D66&lt;&gt;""),D60="",D62="",D64=""),TRUE,FALSE)</f>
        <v>0</v>
      </c>
      <c r="X55" s="139"/>
      <c r="Y55" s="343"/>
      <c r="Z55" s="5417"/>
      <c r="AA55" s="5415"/>
      <c r="AB55" s="253"/>
      <c r="AC55" s="7682" t="s">
        <v>5153</v>
      </c>
      <c r="AD55" s="7682"/>
      <c r="AE55" s="7682"/>
      <c r="AF55" s="253"/>
      <c r="AG55" s="5415"/>
      <c r="AH55" s="5437" t="s">
        <v>615</v>
      </c>
      <c r="AI55" s="344" t="s">
        <v>5143</v>
      </c>
      <c r="AJ55" s="253"/>
      <c r="AK55" s="253"/>
      <c r="AL55" s="253"/>
      <c r="AM55" s="253"/>
      <c r="AN55" s="799"/>
      <c r="AO55" s="799"/>
      <c r="AP55" s="5458"/>
      <c r="AQ55" s="5415"/>
      <c r="AR55" s="5415"/>
      <c r="AS55" s="5415"/>
      <c r="AT55" s="5415"/>
      <c r="AU55" s="344"/>
    </row>
    <row r="56" spans="1:47" ht="13.5" customHeight="1">
      <c r="A56" s="139"/>
      <c r="B56" s="5439" t="s">
        <v>2978</v>
      </c>
      <c r="C56" s="5440"/>
      <c r="D56" s="5440"/>
      <c r="E56" s="5464" t="s">
        <v>2979</v>
      </c>
      <c r="F56" s="5442"/>
      <c r="G56" s="5442"/>
      <c r="H56" s="5442"/>
      <c r="I56" s="5442"/>
      <c r="J56" s="5442"/>
      <c r="K56" s="5442"/>
      <c r="L56" s="5465" t="s">
        <v>2980</v>
      </c>
      <c r="M56" s="5442"/>
      <c r="N56" s="5442"/>
      <c r="O56" s="5442"/>
      <c r="P56" s="5442"/>
      <c r="Q56" s="5442"/>
      <c r="R56" s="5442"/>
      <c r="S56" s="5442"/>
      <c r="T56" s="5442"/>
      <c r="U56" s="5442"/>
      <c r="V56" s="5442"/>
      <c r="W56" s="5442"/>
      <c r="X56" s="144"/>
      <c r="Y56" s="505"/>
      <c r="Z56" s="5417"/>
      <c r="AA56" s="5415"/>
      <c r="AB56" s="253"/>
      <c r="AC56" s="7685"/>
      <c r="AD56" s="7685"/>
      <c r="AE56" s="7685"/>
      <c r="AF56" s="253"/>
      <c r="AG56" s="5415"/>
      <c r="AH56" s="5437" t="s">
        <v>615</v>
      </c>
      <c r="AI56" s="344" t="s">
        <v>5144</v>
      </c>
      <c r="AJ56" s="253"/>
      <c r="AK56" s="253"/>
      <c r="AL56" s="253"/>
      <c r="AM56" s="253"/>
      <c r="AN56" s="799"/>
      <c r="AO56" s="799"/>
      <c r="AP56" s="5458"/>
      <c r="AQ56" s="5415"/>
      <c r="AR56" s="5415"/>
      <c r="AS56" s="5415"/>
      <c r="AT56" s="5415"/>
      <c r="AU56" s="344"/>
    </row>
    <row r="57" spans="1:47" ht="13.5" customHeight="1">
      <c r="A57" s="139"/>
      <c r="B57" s="88"/>
      <c r="C57" s="228"/>
      <c r="D57" s="1560"/>
      <c r="E57" s="4695"/>
      <c r="F57" s="182"/>
      <c r="G57" s="182"/>
      <c r="H57" s="182"/>
      <c r="I57" s="182"/>
      <c r="J57" s="182"/>
      <c r="K57" s="182"/>
      <c r="L57" s="182"/>
      <c r="M57" s="182"/>
      <c r="N57" s="182"/>
      <c r="O57" s="182"/>
      <c r="P57" s="182"/>
      <c r="Q57" s="182"/>
      <c r="R57" s="182"/>
      <c r="S57" s="182"/>
      <c r="T57" s="182"/>
      <c r="U57" s="182"/>
      <c r="V57" s="182"/>
      <c r="W57" s="182"/>
      <c r="X57" s="144"/>
      <c r="Y57" s="505"/>
      <c r="Z57" s="5415"/>
      <c r="AA57" s="5415"/>
      <c r="AB57" s="253"/>
      <c r="AC57" s="253"/>
      <c r="AD57" s="253"/>
      <c r="AE57" s="253"/>
      <c r="AF57" s="253"/>
      <c r="AG57" s="5415"/>
      <c r="AH57" s="5437" t="s">
        <v>615</v>
      </c>
      <c r="AI57" s="344" t="s">
        <v>5145</v>
      </c>
      <c r="AJ57" s="253"/>
      <c r="AK57" s="253"/>
      <c r="AL57" s="253"/>
      <c r="AM57" s="253"/>
      <c r="AN57" s="799"/>
      <c r="AO57" s="799"/>
      <c r="AP57" s="5458"/>
      <c r="AQ57" s="5415"/>
      <c r="AR57" s="5415"/>
      <c r="AS57" s="5415"/>
      <c r="AT57" s="5415"/>
      <c r="AU57" s="344"/>
    </row>
    <row r="58" spans="1:47" ht="13.5" customHeight="1">
      <c r="A58" s="139"/>
      <c r="B58" s="441" t="b">
        <f>(D58&lt;&gt;"")</f>
        <v>0</v>
      </c>
      <c r="C58" s="228" t="s">
        <v>510</v>
      </c>
      <c r="D58" s="276"/>
      <c r="E58" s="4695" t="s">
        <v>2981</v>
      </c>
      <c r="F58" s="182"/>
      <c r="G58" s="182"/>
      <c r="H58" s="182"/>
      <c r="I58" s="182"/>
      <c r="J58" s="182"/>
      <c r="K58" s="182"/>
      <c r="L58" s="182"/>
      <c r="M58" s="182"/>
      <c r="N58" s="182"/>
      <c r="O58" s="182"/>
      <c r="P58" s="182"/>
      <c r="Q58" s="182"/>
      <c r="R58" s="182"/>
      <c r="S58" s="182"/>
      <c r="T58" s="182"/>
      <c r="U58" s="182"/>
      <c r="V58" s="182"/>
      <c r="W58" s="182"/>
      <c r="X58" s="144"/>
      <c r="Y58" s="505"/>
      <c r="Z58" s="5415"/>
      <c r="AA58" s="5415"/>
      <c r="AB58" s="253"/>
      <c r="AC58" s="253"/>
      <c r="AD58" s="253"/>
      <c r="AE58" s="253"/>
      <c r="AF58" s="253"/>
      <c r="AG58" s="5415"/>
      <c r="AH58" s="5437" t="s">
        <v>615</v>
      </c>
      <c r="AI58" s="344" t="s">
        <v>5146</v>
      </c>
      <c r="AJ58" s="253"/>
      <c r="AK58" s="253"/>
      <c r="AL58" s="253"/>
      <c r="AM58" s="253"/>
      <c r="AN58" s="799"/>
      <c r="AO58" s="799"/>
      <c r="AP58" s="5458"/>
      <c r="AQ58" s="5415"/>
      <c r="AR58" s="5415"/>
      <c r="AS58" s="5415"/>
      <c r="AT58" s="5415"/>
      <c r="AU58" s="344"/>
    </row>
    <row r="59" spans="1:47" ht="13.5" customHeight="1">
      <c r="A59" s="139"/>
      <c r="B59" s="9499"/>
      <c r="C59" s="9500"/>
      <c r="D59" s="9500"/>
      <c r="E59" s="4695" t="s">
        <v>2982</v>
      </c>
      <c r="F59" s="182"/>
      <c r="G59" s="182"/>
      <c r="H59" s="182"/>
      <c r="I59" s="182"/>
      <c r="J59" s="182"/>
      <c r="K59" s="182"/>
      <c r="L59" s="182"/>
      <c r="M59" s="182"/>
      <c r="N59" s="182"/>
      <c r="O59" s="182"/>
      <c r="P59" s="182"/>
      <c r="Q59" s="182"/>
      <c r="R59" s="182"/>
      <c r="S59" s="182"/>
      <c r="T59" s="182"/>
      <c r="U59" s="182"/>
      <c r="V59" s="182"/>
      <c r="W59" s="182"/>
      <c r="X59" s="144"/>
      <c r="Y59" s="505"/>
      <c r="Z59" s="5466"/>
      <c r="AA59" s="5415"/>
      <c r="AB59" s="253"/>
      <c r="AC59" s="253"/>
      <c r="AD59" s="253"/>
      <c r="AE59" s="253"/>
      <c r="AF59" s="253"/>
      <c r="AG59" s="5415"/>
      <c r="AH59" s="5437"/>
      <c r="AI59" s="344" t="s">
        <v>5147</v>
      </c>
      <c r="AJ59" s="253"/>
      <c r="AK59" s="253"/>
      <c r="AL59" s="253"/>
      <c r="AM59" s="253"/>
      <c r="AN59" s="799"/>
      <c r="AO59" s="799"/>
      <c r="AP59" s="5458"/>
      <c r="AQ59" s="5415"/>
      <c r="AR59" s="5415"/>
      <c r="AS59" s="5415"/>
      <c r="AT59" s="5415"/>
      <c r="AU59" s="344"/>
    </row>
    <row r="60" spans="1:47" ht="13.5" customHeight="1">
      <c r="A60" s="139"/>
      <c r="B60" s="441" t="b">
        <f>(D60&lt;&gt;"")</f>
        <v>0</v>
      </c>
      <c r="C60" s="228" t="s">
        <v>516</v>
      </c>
      <c r="D60" s="276"/>
      <c r="E60" s="4695" t="s">
        <v>2983</v>
      </c>
      <c r="F60" s="182"/>
      <c r="G60" s="182"/>
      <c r="H60" s="182"/>
      <c r="I60" s="182"/>
      <c r="J60" s="182"/>
      <c r="K60" s="182"/>
      <c r="L60" s="182"/>
      <c r="M60" s="182"/>
      <c r="N60" s="182"/>
      <c r="O60" s="182"/>
      <c r="P60" s="182"/>
      <c r="Q60" s="182"/>
      <c r="R60" s="182"/>
      <c r="S60" s="182"/>
      <c r="T60" s="182"/>
      <c r="U60" s="182"/>
      <c r="V60" s="182"/>
      <c r="W60" s="182"/>
      <c r="X60" s="144"/>
      <c r="Y60" s="505"/>
      <c r="Z60" s="5466"/>
      <c r="AA60" s="5415"/>
      <c r="AB60" s="253"/>
      <c r="AC60" s="253"/>
      <c r="AD60" s="344" t="s">
        <v>2976</v>
      </c>
      <c r="AE60" s="253"/>
      <c r="AF60" s="253"/>
      <c r="AG60" s="5415"/>
      <c r="AH60" s="5437" t="s">
        <v>615</v>
      </c>
      <c r="AI60" s="344" t="s">
        <v>5148</v>
      </c>
      <c r="AJ60" s="253"/>
      <c r="AK60" s="253"/>
      <c r="AL60" s="253"/>
      <c r="AM60" s="253"/>
      <c r="AN60" s="799"/>
      <c r="AO60" s="799"/>
      <c r="AP60" s="5458"/>
      <c r="AQ60" s="5415"/>
      <c r="AR60" s="5415"/>
      <c r="AS60" s="5415"/>
      <c r="AT60" s="5415"/>
      <c r="AU60" s="344"/>
    </row>
    <row r="61" spans="1:47" ht="13.5" customHeight="1">
      <c r="A61" s="139"/>
      <c r="B61" s="441"/>
      <c r="C61" s="228"/>
      <c r="D61" s="1560"/>
      <c r="E61" s="5467" t="s">
        <v>2984</v>
      </c>
      <c r="F61" s="182"/>
      <c r="G61" s="182"/>
      <c r="H61" s="182"/>
      <c r="I61" s="182"/>
      <c r="J61" s="182"/>
      <c r="K61" s="182"/>
      <c r="L61" s="182"/>
      <c r="M61" s="182"/>
      <c r="N61" s="182"/>
      <c r="O61" s="182"/>
      <c r="P61" s="182"/>
      <c r="Q61" s="182"/>
      <c r="R61" s="182"/>
      <c r="S61" s="182"/>
      <c r="T61" s="182"/>
      <c r="U61" s="182"/>
      <c r="V61" s="182"/>
      <c r="W61" s="182"/>
      <c r="X61" s="144"/>
      <c r="Y61" s="505"/>
      <c r="Z61" s="5466"/>
      <c r="AA61" s="5415"/>
      <c r="AB61" s="253"/>
      <c r="AC61" s="253"/>
      <c r="AD61" s="253"/>
      <c r="AE61" s="253"/>
      <c r="AF61" s="253"/>
      <c r="AG61" s="5415"/>
      <c r="AH61" s="5437" t="s">
        <v>615</v>
      </c>
      <c r="AI61" s="344" t="s">
        <v>2961</v>
      </c>
      <c r="AJ61" s="253"/>
      <c r="AK61" s="253"/>
      <c r="AL61" s="253"/>
      <c r="AM61" s="253"/>
      <c r="AN61" s="799"/>
      <c r="AO61" s="799"/>
      <c r="AP61" s="5458"/>
      <c r="AQ61" s="5415"/>
      <c r="AR61" s="5415"/>
      <c r="AS61" s="5415"/>
      <c r="AT61" s="5415"/>
      <c r="AU61" s="344"/>
    </row>
    <row r="62" spans="1:47" ht="13.5" customHeight="1" thickBot="1">
      <c r="A62" s="139"/>
      <c r="B62" s="441" t="b">
        <f>(D62&lt;&gt;"")</f>
        <v>0</v>
      </c>
      <c r="C62" s="228" t="s">
        <v>518</v>
      </c>
      <c r="D62" s="276"/>
      <c r="E62" s="4695" t="s">
        <v>2985</v>
      </c>
      <c r="F62" s="182"/>
      <c r="G62" s="182"/>
      <c r="H62" s="182"/>
      <c r="I62" s="182"/>
      <c r="J62" s="182"/>
      <c r="K62" s="182"/>
      <c r="L62" s="182"/>
      <c r="M62" s="182"/>
      <c r="N62" s="182"/>
      <c r="O62" s="182"/>
      <c r="P62" s="182"/>
      <c r="Q62" s="182"/>
      <c r="R62" s="182"/>
      <c r="S62" s="182"/>
      <c r="T62" s="182"/>
      <c r="U62" s="182"/>
      <c r="V62" s="182"/>
      <c r="W62" s="182"/>
      <c r="X62" s="144"/>
      <c r="Y62" s="505"/>
      <c r="Z62" s="5466"/>
      <c r="AA62" s="5415"/>
      <c r="AB62" s="253"/>
      <c r="AC62" s="253"/>
      <c r="AD62" s="253"/>
      <c r="AE62" s="253"/>
      <c r="AF62" s="253"/>
      <c r="AG62" s="5415"/>
      <c r="AH62" s="5468"/>
      <c r="AI62" s="5469"/>
      <c r="AJ62" s="5469"/>
      <c r="AK62" s="5469"/>
      <c r="AL62" s="5469"/>
      <c r="AM62" s="5469"/>
      <c r="AN62" s="5469"/>
      <c r="AO62" s="5469"/>
      <c r="AP62" s="5470"/>
      <c r="AQ62" s="5415"/>
      <c r="AR62" s="5415"/>
      <c r="AS62" s="5415"/>
      <c r="AT62" s="5415"/>
      <c r="AU62" s="344"/>
    </row>
    <row r="63" spans="1:47" ht="13.5" customHeight="1">
      <c r="A63" s="139"/>
      <c r="B63" s="441"/>
      <c r="C63" s="228"/>
      <c r="D63" s="1560"/>
      <c r="E63" s="4695" t="s">
        <v>2986</v>
      </c>
      <c r="F63" s="182"/>
      <c r="G63" s="182"/>
      <c r="H63" s="182"/>
      <c r="I63" s="182"/>
      <c r="J63" s="182"/>
      <c r="K63" s="182"/>
      <c r="L63" s="182"/>
      <c r="M63" s="182"/>
      <c r="N63" s="182"/>
      <c r="O63" s="182"/>
      <c r="P63" s="182"/>
      <c r="Q63" s="182"/>
      <c r="R63" s="182"/>
      <c r="S63" s="182"/>
      <c r="T63" s="182"/>
      <c r="U63" s="182"/>
      <c r="V63" s="182"/>
      <c r="W63" s="182"/>
      <c r="X63" s="144"/>
      <c r="Y63" s="505"/>
      <c r="Z63" s="5466"/>
      <c r="AA63" s="5415"/>
      <c r="AB63" s="253"/>
      <c r="AC63" s="253"/>
      <c r="AD63" s="253"/>
      <c r="AE63" s="253"/>
      <c r="AF63" s="253"/>
      <c r="AG63" s="5415"/>
      <c r="AH63" s="5415"/>
      <c r="AI63" s="5415"/>
      <c r="AJ63" s="5415"/>
      <c r="AK63" s="5415"/>
      <c r="AL63" s="5415"/>
      <c r="AM63" s="5415"/>
      <c r="AN63" s="5415"/>
      <c r="AO63" s="5415"/>
      <c r="AP63" s="5415"/>
      <c r="AQ63" s="5415"/>
      <c r="AR63" s="5415"/>
      <c r="AS63" s="5415"/>
      <c r="AT63" s="5415"/>
      <c r="AU63" s="344"/>
    </row>
    <row r="64" spans="1:47" ht="13.5" customHeight="1">
      <c r="A64" s="139"/>
      <c r="B64" s="441" t="b">
        <f>(D64&lt;&gt;"")</f>
        <v>0</v>
      </c>
      <c r="C64" s="228" t="s">
        <v>521</v>
      </c>
      <c r="D64" s="276"/>
      <c r="E64" s="4695" t="s">
        <v>2987</v>
      </c>
      <c r="F64" s="182"/>
      <c r="G64" s="182"/>
      <c r="H64" s="182"/>
      <c r="I64" s="182"/>
      <c r="J64" s="182"/>
      <c r="K64" s="182"/>
      <c r="L64" s="182"/>
      <c r="M64" s="182"/>
      <c r="N64" s="182"/>
      <c r="O64" s="182"/>
      <c r="P64" s="182"/>
      <c r="Q64" s="182"/>
      <c r="R64" s="182"/>
      <c r="S64" s="182"/>
      <c r="T64" s="182"/>
      <c r="U64" s="182"/>
      <c r="V64" s="182"/>
      <c r="W64" s="182"/>
      <c r="X64" s="144"/>
      <c r="Y64" s="505"/>
      <c r="Z64" s="5466"/>
      <c r="AA64" s="5415"/>
      <c r="AB64" s="253"/>
      <c r="AC64" s="253"/>
      <c r="AD64" s="253"/>
      <c r="AE64" s="253"/>
      <c r="AF64" s="253"/>
      <c r="AG64" s="5415"/>
      <c r="AH64" s="5415"/>
      <c r="AI64" s="5415"/>
      <c r="AJ64" s="5415"/>
      <c r="AK64" s="5415"/>
      <c r="AL64" s="5415"/>
      <c r="AM64" s="5415"/>
      <c r="AN64" s="5415"/>
      <c r="AO64" s="5415"/>
      <c r="AP64" s="5415"/>
      <c r="AQ64" s="5415"/>
      <c r="AR64" s="5415"/>
      <c r="AS64" s="5415"/>
      <c r="AT64" s="5415"/>
      <c r="AU64" s="344"/>
    </row>
    <row r="65" spans="1:58" ht="13.5" customHeight="1">
      <c r="A65" s="139"/>
      <c r="B65" s="441"/>
      <c r="C65" s="228"/>
      <c r="D65" s="1560"/>
      <c r="E65" s="1560" t="s">
        <v>2988</v>
      </c>
      <c r="F65" s="88"/>
      <c r="G65" s="88"/>
      <c r="H65" s="88"/>
      <c r="I65" s="88"/>
      <c r="J65" s="88"/>
      <c r="K65" s="88"/>
      <c r="L65" s="88"/>
      <c r="M65" s="88"/>
      <c r="N65" s="88"/>
      <c r="O65" s="88"/>
      <c r="P65" s="88"/>
      <c r="Q65" s="88"/>
      <c r="R65" s="88"/>
      <c r="S65" s="88"/>
      <c r="T65" s="88"/>
      <c r="U65" s="88"/>
      <c r="V65" s="88"/>
      <c r="W65" s="88"/>
      <c r="X65" s="139"/>
      <c r="Y65" s="343"/>
      <c r="Z65" s="5466"/>
      <c r="AA65" s="5415"/>
      <c r="AB65" s="253"/>
      <c r="AC65" s="253"/>
      <c r="AD65" s="253"/>
      <c r="AE65" s="253"/>
      <c r="AF65" s="253"/>
      <c r="AG65" s="5415"/>
      <c r="AH65" s="5415"/>
      <c r="AI65" s="5415"/>
      <c r="AJ65" s="5415"/>
      <c r="AK65" s="5415"/>
      <c r="AL65" s="5415"/>
      <c r="AM65" s="5415"/>
      <c r="AN65" s="5415"/>
      <c r="AO65" s="5415"/>
      <c r="AP65" s="5415"/>
      <c r="AQ65" s="5415"/>
      <c r="AR65" s="5415"/>
      <c r="AS65" s="5415"/>
      <c r="AT65" s="5415"/>
      <c r="AU65" s="344"/>
    </row>
    <row r="66" spans="1:58" ht="13.5" customHeight="1">
      <c r="A66" s="139"/>
      <c r="B66" s="441" t="b">
        <f>(D66&lt;&gt;"")</f>
        <v>0</v>
      </c>
      <c r="C66" s="228" t="s">
        <v>524</v>
      </c>
      <c r="D66" s="276"/>
      <c r="E66" s="4695" t="str">
        <f>"You filed or are filing a joint return for either "&amp;TaxYear-1&amp;" or "&amp;TaxYear&amp;",  but not for both years, and line 8 above is smaller than line 5"</f>
        <v>You filed or are filing a joint return for either 2024 or 2025,  but not for both years, and line 8 above is smaller than line 5</v>
      </c>
      <c r="F66" s="182"/>
      <c r="G66" s="182"/>
      <c r="H66" s="182"/>
      <c r="I66" s="182"/>
      <c r="J66" s="182"/>
      <c r="K66" s="182"/>
      <c r="L66" s="182"/>
      <c r="M66" s="182"/>
      <c r="N66" s="182"/>
      <c r="O66" s="182"/>
      <c r="P66" s="182"/>
      <c r="Q66" s="182"/>
      <c r="R66" s="5455"/>
      <c r="S66" s="2617"/>
      <c r="T66" s="182"/>
      <c r="U66" s="182"/>
      <c r="V66" s="182"/>
      <c r="W66" s="5454"/>
      <c r="X66" s="144"/>
      <c r="Y66" s="505"/>
      <c r="Z66" s="5415"/>
      <c r="AA66" s="5415"/>
      <c r="AB66" s="253"/>
      <c r="AC66" s="253"/>
      <c r="AD66" s="253"/>
      <c r="AE66" s="253"/>
      <c r="AF66" s="253"/>
      <c r="AG66" s="5415"/>
      <c r="AH66" s="5415"/>
      <c r="AI66" s="5415"/>
      <c r="AJ66" s="5415"/>
      <c r="AK66" s="5415"/>
      <c r="AL66" s="5415"/>
      <c r="AM66" s="5415"/>
      <c r="AN66" s="5415"/>
      <c r="AO66" s="5415"/>
      <c r="AP66" s="5415"/>
      <c r="AQ66" s="5415"/>
      <c r="AR66" s="5415"/>
      <c r="AS66" s="5415"/>
      <c r="AT66" s="5415"/>
      <c r="AU66" s="344"/>
    </row>
    <row r="67" spans="1:58" ht="13.5" customHeight="1" thickBot="1">
      <c r="A67" s="139"/>
      <c r="B67" s="9403" t="b">
        <f>OR(B58,B60,B62,B64,B66)</f>
        <v>0</v>
      </c>
      <c r="C67" s="9404"/>
      <c r="D67" s="9404"/>
      <c r="E67" s="4695" t="s">
        <v>2989</v>
      </c>
      <c r="F67" s="182"/>
      <c r="G67" s="182"/>
      <c r="H67" s="182"/>
      <c r="I67" s="182"/>
      <c r="J67" s="182"/>
      <c r="K67" s="182"/>
      <c r="L67" s="182"/>
      <c r="M67" s="182"/>
      <c r="N67" s="182"/>
      <c r="O67" s="182"/>
      <c r="P67" s="182"/>
      <c r="Q67" s="182"/>
      <c r="R67" s="182"/>
      <c r="S67" s="182"/>
      <c r="T67" s="182"/>
      <c r="U67" s="182"/>
      <c r="V67" s="182"/>
      <c r="W67" s="5471" t="b">
        <f>NOT(B67)</f>
        <v>1</v>
      </c>
      <c r="X67" s="144"/>
      <c r="Y67" s="505"/>
      <c r="Z67" s="5415"/>
      <c r="AA67" s="5415"/>
      <c r="AB67" s="253"/>
      <c r="AC67" s="253"/>
      <c r="AD67" s="253"/>
      <c r="AE67" s="253"/>
      <c r="AF67" s="253"/>
      <c r="AG67" s="5415"/>
      <c r="AH67" s="5415"/>
      <c r="AI67" s="5415"/>
      <c r="AJ67" s="5415"/>
      <c r="AK67" s="5415"/>
      <c r="AL67" s="5415"/>
      <c r="AM67" s="5415"/>
      <c r="AN67" s="5415"/>
      <c r="AO67" s="5415"/>
      <c r="AP67" s="5415"/>
      <c r="AQ67" s="5415"/>
      <c r="AR67" s="5415"/>
      <c r="AS67" s="5415"/>
      <c r="AT67" s="5415"/>
      <c r="AU67" s="344"/>
    </row>
    <row r="68" spans="1:58" s="207" customFormat="1" ht="17.25" customHeight="1">
      <c r="A68" s="5472"/>
      <c r="B68" s="5473"/>
      <c r="C68" s="5474" t="s">
        <v>2990</v>
      </c>
      <c r="D68" s="5475"/>
      <c r="E68" s="5473"/>
      <c r="F68" s="5473"/>
      <c r="G68" s="5473"/>
      <c r="H68" s="5473"/>
      <c r="I68" s="5473"/>
      <c r="J68" s="5473"/>
      <c r="K68" s="5473"/>
      <c r="L68" s="5473"/>
      <c r="M68" s="5473"/>
      <c r="N68" s="5473"/>
      <c r="O68" s="5473"/>
      <c r="P68" s="5473"/>
      <c r="Q68" s="5476" t="s">
        <v>2991</v>
      </c>
      <c r="R68" s="5477"/>
      <c r="S68" s="5478" t="b">
        <f>IF(AND(D66&lt;&gt;"",Q43&gt;=U46),TRUE,FALSE)</f>
        <v>0</v>
      </c>
      <c r="T68" s="5473"/>
      <c r="U68" s="5479"/>
      <c r="V68" s="5479" t="s">
        <v>2992</v>
      </c>
      <c r="W68" s="5476" t="str">
        <f>"("&amp;TaxYear&amp;")"</f>
        <v>(2025)</v>
      </c>
      <c r="X68" s="5472"/>
      <c r="Y68" s="343"/>
      <c r="Z68" s="5415"/>
      <c r="AA68" s="5415"/>
      <c r="AB68" s="253"/>
      <c r="AC68" s="253"/>
      <c r="AD68" s="253"/>
      <c r="AE68" s="253"/>
      <c r="AF68" s="253"/>
      <c r="AG68" s="5415"/>
      <c r="AH68" s="5415"/>
      <c r="AI68" s="5415"/>
      <c r="AJ68" s="5415"/>
      <c r="AK68" s="5415"/>
      <c r="AL68" s="5415"/>
      <c r="AM68" s="5415"/>
      <c r="AN68" s="5415"/>
      <c r="AO68" s="5415"/>
      <c r="AP68" s="5415"/>
      <c r="AQ68" s="5415"/>
      <c r="AR68" s="5415"/>
      <c r="AS68" s="5415"/>
      <c r="AT68" s="5415"/>
      <c r="AU68" s="344"/>
      <c r="AV68" s="658"/>
      <c r="AW68" s="658"/>
      <c r="AX68" s="658"/>
      <c r="AY68" s="658"/>
      <c r="AZ68" s="658"/>
      <c r="BA68" s="658"/>
      <c r="BB68" s="658"/>
      <c r="BC68" s="658"/>
      <c r="BD68" s="658"/>
      <c r="BE68" s="658"/>
      <c r="BF68" s="658"/>
    </row>
    <row r="69" spans="1:58" ht="20.25" customHeight="1" thickBot="1">
      <c r="A69" s="139"/>
      <c r="B69" s="2584"/>
      <c r="C69" s="2543" t="str">
        <f>"Form 2210 ("&amp;TaxYear&amp;")"</f>
        <v>Form 2210 (2025)</v>
      </c>
      <c r="D69" s="1901"/>
      <c r="E69" s="91"/>
      <c r="F69" s="91"/>
      <c r="G69" s="91"/>
      <c r="H69" s="91"/>
      <c r="I69" s="91"/>
      <c r="J69" s="91"/>
      <c r="K69" s="91"/>
      <c r="L69" s="91"/>
      <c r="M69" s="91"/>
      <c r="N69" s="91"/>
      <c r="O69" s="91"/>
      <c r="P69" s="91"/>
      <c r="Q69" s="5480"/>
      <c r="R69" s="5481"/>
      <c r="S69" s="91"/>
      <c r="T69" s="91"/>
      <c r="U69" s="91"/>
      <c r="V69" s="5482"/>
      <c r="W69" s="5483" t="s">
        <v>2993</v>
      </c>
      <c r="X69" s="139"/>
      <c r="Y69" s="343"/>
      <c r="Z69" s="5415"/>
      <c r="AA69" s="5415"/>
      <c r="AB69" s="253"/>
      <c r="AC69" s="253"/>
      <c r="AD69" s="253"/>
      <c r="AE69" s="253"/>
      <c r="AF69" s="253"/>
      <c r="AG69" s="5415"/>
      <c r="AH69" s="5415"/>
      <c r="AI69" s="5415"/>
      <c r="AJ69" s="5415"/>
      <c r="AK69" s="5415"/>
      <c r="AL69" s="5415"/>
      <c r="AM69" s="5415"/>
      <c r="AN69" s="5415"/>
      <c r="AO69" s="5415"/>
      <c r="AP69" s="5415"/>
      <c r="AQ69" s="5415"/>
      <c r="AR69" s="5415"/>
      <c r="AS69" s="5415"/>
      <c r="AT69" s="5415"/>
      <c r="AU69" s="344"/>
    </row>
    <row r="70" spans="1:58" ht="16.5" customHeight="1">
      <c r="A70" s="139"/>
      <c r="B70" s="5439" t="s">
        <v>2995</v>
      </c>
      <c r="C70" s="5440"/>
      <c r="D70" s="5440"/>
      <c r="E70" s="5484" t="s">
        <v>2996</v>
      </c>
      <c r="F70" s="5442"/>
      <c r="G70" s="5442"/>
      <c r="H70" s="5485"/>
      <c r="I70" s="5485" t="s">
        <v>2997</v>
      </c>
      <c r="J70" s="5442"/>
      <c r="K70" s="5442"/>
      <c r="L70" s="5442"/>
      <c r="M70" s="5442"/>
      <c r="N70" s="5442"/>
      <c r="O70" s="5442"/>
      <c r="P70" s="5442"/>
      <c r="Q70" s="5442"/>
      <c r="R70" s="5442"/>
      <c r="S70" s="5442"/>
      <c r="T70" s="5442"/>
      <c r="U70" s="5442"/>
      <c r="V70" s="5442"/>
      <c r="W70" s="5442"/>
      <c r="X70" s="144"/>
      <c r="Y70" s="505"/>
      <c r="Z70" s="5415"/>
      <c r="AA70" s="5415"/>
      <c r="AB70" s="253"/>
      <c r="AC70" s="253"/>
      <c r="AD70" s="253"/>
      <c r="AE70" s="253"/>
      <c r="AF70" s="253"/>
      <c r="AG70" s="5415"/>
      <c r="AH70" s="5415"/>
      <c r="AI70" s="5415"/>
      <c r="AJ70" s="5415"/>
      <c r="AK70" s="5415"/>
      <c r="AL70" s="5415"/>
      <c r="AM70" s="5415"/>
      <c r="AN70" s="5415"/>
      <c r="AO70" s="5415"/>
      <c r="AP70" s="5415"/>
      <c r="AQ70" s="5415"/>
      <c r="AR70" s="5415"/>
      <c r="AS70" s="5415"/>
      <c r="AT70" s="5415"/>
      <c r="AU70" s="344"/>
    </row>
    <row r="71" spans="1:58" ht="15.75" customHeight="1">
      <c r="A71" s="139"/>
      <c r="B71" s="7162" t="s">
        <v>2999</v>
      </c>
      <c r="C71" s="9396"/>
      <c r="D71" s="9396"/>
      <c r="E71" s="9396"/>
      <c r="F71" s="9396"/>
      <c r="G71" s="9396"/>
      <c r="H71" s="9396"/>
      <c r="I71" s="9396"/>
      <c r="J71" s="9396"/>
      <c r="K71" s="9396"/>
      <c r="L71" s="9396"/>
      <c r="M71" s="9396"/>
      <c r="N71" s="9397"/>
      <c r="O71" s="5486"/>
      <c r="P71" s="9495" t="s">
        <v>3000</v>
      </c>
      <c r="Q71" s="9496"/>
      <c r="R71" s="9496"/>
      <c r="S71" s="9496"/>
      <c r="T71" s="9496"/>
      <c r="U71" s="9496"/>
      <c r="V71" s="9496"/>
      <c r="W71" s="9496"/>
      <c r="X71" s="139"/>
      <c r="Y71" s="343"/>
      <c r="Z71" s="5415"/>
      <c r="AA71" s="5415"/>
      <c r="AB71" s="253"/>
      <c r="AC71" s="253"/>
      <c r="AD71" s="253"/>
      <c r="AE71" s="253"/>
      <c r="AF71" s="253"/>
      <c r="AG71" s="5415"/>
      <c r="AH71" s="5415"/>
      <c r="AI71" s="5415"/>
      <c r="AJ71" s="5415"/>
      <c r="AK71" s="5415"/>
      <c r="AL71" s="5415"/>
      <c r="AM71" s="5415"/>
      <c r="AN71" s="5415"/>
      <c r="AO71" s="5415"/>
      <c r="AP71" s="5415"/>
      <c r="AQ71" s="5415"/>
      <c r="AR71" s="5415"/>
      <c r="AS71" s="5415"/>
      <c r="AT71" s="5415"/>
      <c r="AU71" s="344"/>
    </row>
    <row r="72" spans="1:58" ht="17.100000000000001" customHeight="1">
      <c r="A72" s="139"/>
      <c r="B72" s="9398"/>
      <c r="C72" s="9398"/>
      <c r="D72" s="9398"/>
      <c r="E72" s="9398"/>
      <c r="F72" s="9398"/>
      <c r="G72" s="9398"/>
      <c r="H72" s="9398"/>
      <c r="I72" s="9398"/>
      <c r="J72" s="9398"/>
      <c r="K72" s="9398"/>
      <c r="L72" s="9398"/>
      <c r="M72" s="9398"/>
      <c r="N72" s="9399"/>
      <c r="O72" s="5452"/>
      <c r="P72" s="9265" t="s">
        <v>2198</v>
      </c>
      <c r="Q72" s="9280"/>
      <c r="R72" s="9265" t="s">
        <v>2199</v>
      </c>
      <c r="S72" s="9280"/>
      <c r="T72" s="9265" t="s">
        <v>3001</v>
      </c>
      <c r="U72" s="9313"/>
      <c r="V72" s="9265" t="s">
        <v>2148</v>
      </c>
      <c r="W72" s="9266"/>
      <c r="X72" s="139"/>
      <c r="Y72" s="343"/>
      <c r="Z72" s="5415"/>
      <c r="AA72" s="5415"/>
      <c r="AB72" s="253"/>
      <c r="AC72" s="253"/>
      <c r="AD72" s="253"/>
      <c r="AE72" s="253"/>
      <c r="AF72" s="253"/>
      <c r="AG72" s="5415"/>
      <c r="AH72" s="5415"/>
      <c r="AI72" s="5415"/>
      <c r="AJ72" s="5415"/>
      <c r="AK72" s="5415"/>
      <c r="AL72" s="5415"/>
      <c r="AM72" s="5415"/>
      <c r="AN72" s="5415"/>
      <c r="AO72" s="5415"/>
      <c r="AP72" s="5415"/>
      <c r="AQ72" s="5415"/>
      <c r="AR72" s="5415"/>
      <c r="AS72" s="5415"/>
      <c r="AT72" s="5415"/>
      <c r="AU72" s="344"/>
    </row>
    <row r="73" spans="1:58" ht="17.100000000000001" customHeight="1">
      <c r="A73" s="139"/>
      <c r="B73" s="9400"/>
      <c r="C73" s="9400"/>
      <c r="D73" s="9400"/>
      <c r="E73" s="9400"/>
      <c r="F73" s="9400"/>
      <c r="G73" s="9400"/>
      <c r="H73" s="9400"/>
      <c r="I73" s="9400"/>
      <c r="J73" s="9400"/>
      <c r="K73" s="9400"/>
      <c r="L73" s="9400"/>
      <c r="M73" s="9400"/>
      <c r="N73" s="9401"/>
      <c r="O73" s="5487"/>
      <c r="P73" s="9302">
        <f>DATEVALUE("15-Apr-"&amp;TaxYear)</f>
        <v>45762</v>
      </c>
      <c r="Q73" s="9303"/>
      <c r="R73" s="9302">
        <f>DATEVALUE("15-Jun-"&amp;TaxYear)</f>
        <v>45823</v>
      </c>
      <c r="S73" s="9303"/>
      <c r="T73" s="9302">
        <f>DATEVALUE("15-Sep-"&amp;TaxYear)</f>
        <v>45915</v>
      </c>
      <c r="U73" s="9303"/>
      <c r="V73" s="9302">
        <f>DATEVALUE("15-Jan-"&amp;TaxYear+1)</f>
        <v>46037</v>
      </c>
      <c r="W73" s="9306"/>
      <c r="X73" s="139"/>
      <c r="Y73" s="343"/>
      <c r="Z73" s="5415"/>
      <c r="AA73" s="5415"/>
      <c r="AB73" s="253"/>
      <c r="AC73" s="253"/>
      <c r="AD73" s="253"/>
      <c r="AE73" s="253"/>
      <c r="AF73" s="253"/>
      <c r="AG73" s="5415"/>
      <c r="AH73" s="5415"/>
      <c r="AI73" s="5415"/>
      <c r="AJ73" s="5415"/>
      <c r="AK73" s="5415"/>
      <c r="AL73" s="5415"/>
      <c r="AM73" s="5415"/>
      <c r="AN73" s="5415"/>
      <c r="AO73" s="5415"/>
      <c r="AP73" s="5415"/>
      <c r="AQ73" s="5415"/>
      <c r="AR73" s="5415"/>
      <c r="AS73" s="5415"/>
      <c r="AT73" s="5415"/>
      <c r="AU73" s="344"/>
    </row>
    <row r="74" spans="1:58" ht="14.25" customHeight="1">
      <c r="A74" s="139"/>
      <c r="B74" s="88"/>
      <c r="C74" s="228">
        <v>10</v>
      </c>
      <c r="D74" s="1323" t="s">
        <v>3002</v>
      </c>
      <c r="E74" s="253"/>
      <c r="F74" s="253"/>
      <c r="G74" s="253"/>
      <c r="H74" s="253"/>
      <c r="I74" s="253"/>
      <c r="J74" s="253"/>
      <c r="K74" s="253"/>
      <c r="L74" s="253"/>
      <c r="M74" s="253"/>
      <c r="N74" s="253"/>
      <c r="O74" s="5488"/>
      <c r="P74" s="9307"/>
      <c r="Q74" s="9402"/>
      <c r="R74" s="9307"/>
      <c r="S74" s="9402"/>
      <c r="T74" s="9307"/>
      <c r="U74" s="9402"/>
      <c r="V74" s="9307"/>
      <c r="W74" s="9308"/>
      <c r="X74" s="139"/>
      <c r="Y74" s="343"/>
      <c r="Z74" s="5415"/>
      <c r="AA74" s="5415"/>
      <c r="AB74" s="253"/>
      <c r="AC74" s="253"/>
      <c r="AD74" s="253"/>
      <c r="AE74" s="253"/>
      <c r="AF74" s="253"/>
      <c r="AG74" s="5415"/>
      <c r="AH74" s="5415"/>
      <c r="AI74" s="5415"/>
      <c r="AJ74" s="5415"/>
      <c r="AK74" s="1291" t="s">
        <v>2361</v>
      </c>
      <c r="AL74" s="5415"/>
      <c r="AM74" s="5415"/>
      <c r="AN74" s="5415"/>
      <c r="AO74" s="5415"/>
      <c r="AP74" s="5415"/>
      <c r="AQ74" s="5415"/>
      <c r="AR74" s="5415"/>
      <c r="AS74" s="5415"/>
      <c r="AT74" s="5415"/>
      <c r="AU74" s="344"/>
    </row>
    <row r="75" spans="1:58" ht="12.75" customHeight="1">
      <c r="A75" s="139"/>
      <c r="B75" s="88"/>
      <c r="C75" s="228"/>
      <c r="D75" s="1323" t="s">
        <v>3003</v>
      </c>
      <c r="E75" s="253"/>
      <c r="F75" s="253"/>
      <c r="G75" s="253"/>
      <c r="H75" s="253"/>
      <c r="I75" s="253"/>
      <c r="J75" s="253"/>
      <c r="K75" s="253"/>
      <c r="L75" s="253"/>
      <c r="M75" s="253"/>
      <c r="N75" s="253"/>
      <c r="O75" s="5448"/>
      <c r="P75" s="5489"/>
      <c r="Q75" s="5490"/>
      <c r="R75" s="5489"/>
      <c r="S75" s="5490"/>
      <c r="T75" s="5489"/>
      <c r="U75" s="5490"/>
      <c r="V75" s="5489"/>
      <c r="W75" s="5491"/>
      <c r="X75" s="139"/>
      <c r="Y75" s="343"/>
      <c r="Z75" s="5415"/>
      <c r="AA75" s="5415"/>
      <c r="AB75" s="253"/>
      <c r="AC75" s="253"/>
      <c r="AD75" s="253"/>
      <c r="AE75" s="253"/>
      <c r="AF75" s="253"/>
      <c r="AG75" s="5415"/>
      <c r="AH75" s="5415"/>
      <c r="AI75" s="5415"/>
      <c r="AJ75" s="5415"/>
      <c r="AK75" s="5492" t="str">
        <f>P$72</f>
        <v>(a)</v>
      </c>
      <c r="AL75" s="5415"/>
      <c r="AM75" s="5492" t="str">
        <f>R$72</f>
        <v>(b)</v>
      </c>
      <c r="AN75" s="5415"/>
      <c r="AO75" s="5492" t="str">
        <f>T$72</f>
        <v xml:space="preserve">(c) </v>
      </c>
      <c r="AP75" s="5415"/>
      <c r="AQ75" s="5492" t="str">
        <f>V$72</f>
        <v>(d)</v>
      </c>
      <c r="AR75" s="5415"/>
      <c r="AS75" s="5415"/>
      <c r="AT75" s="5415"/>
      <c r="AU75" s="344"/>
    </row>
    <row r="76" spans="1:58" ht="16.5" customHeight="1" thickBot="1">
      <c r="A76" s="139"/>
      <c r="B76" s="88"/>
      <c r="C76" s="228"/>
      <c r="D76" s="1323" t="str">
        <f>"Otherwise, enter "&amp;TEXT(Q76,"0%")&amp;" ("&amp;TEXT(Q76,"0.00")&amp;") of line 9, Form 2210, in"</f>
        <v>Otherwise, enter 25% (0.25) of line 9, Form 2210, in</v>
      </c>
      <c r="E76" s="253"/>
      <c r="F76" s="253"/>
      <c r="G76" s="253"/>
      <c r="H76" s="253"/>
      <c r="I76" s="253"/>
      <c r="J76" s="253"/>
      <c r="K76" s="253"/>
      <c r="L76" s="253"/>
      <c r="M76" s="253"/>
      <c r="N76" s="253"/>
      <c r="O76" s="5448"/>
      <c r="P76" s="5489"/>
      <c r="Q76" s="5493">
        <v>0.25</v>
      </c>
      <c r="R76" s="5489"/>
      <c r="S76" s="5490"/>
      <c r="T76" s="5489"/>
      <c r="U76" s="5490"/>
      <c r="V76" s="9300"/>
      <c r="W76" s="9301"/>
      <c r="X76" s="139"/>
      <c r="Y76" s="343"/>
      <c r="Z76" s="5494" t="s">
        <v>2994</v>
      </c>
      <c r="AA76" s="5415"/>
      <c r="AB76" s="253"/>
      <c r="AC76" s="253"/>
      <c r="AD76" s="253"/>
      <c r="AE76" s="253"/>
      <c r="AF76" s="253"/>
      <c r="AG76" s="5415"/>
      <c r="AH76" s="5415"/>
      <c r="AI76" s="5415"/>
      <c r="AJ76" s="5415"/>
      <c r="AK76" s="5495" t="str">
        <f>"4/15/"&amp;TaxYear-2000</f>
        <v>4/15/25</v>
      </c>
      <c r="AL76" s="5415"/>
      <c r="AM76" s="5495" t="str">
        <f>"6/15/"&amp;TaxYear-2000</f>
        <v>6/15/25</v>
      </c>
      <c r="AN76" s="5415"/>
      <c r="AO76" s="5496" t="str">
        <f>"9/15/"&amp;TaxYear-2000</f>
        <v>9/15/25</v>
      </c>
      <c r="AP76" s="5415"/>
      <c r="AQ76" s="5495" t="str">
        <f>"1/15/"&amp;TaxYear+1-2000</f>
        <v>1/15/26</v>
      </c>
      <c r="AR76" s="5415"/>
      <c r="AS76" s="5415"/>
      <c r="AT76" s="5415"/>
      <c r="AU76" s="344"/>
    </row>
    <row r="77" spans="1:58" ht="14.25" customHeight="1" thickBot="1">
      <c r="A77" s="139"/>
      <c r="B77" s="88"/>
      <c r="C77" s="88"/>
      <c r="D77" s="1323" t="s">
        <v>3004</v>
      </c>
      <c r="E77" s="253"/>
      <c r="F77" s="253"/>
      <c r="G77" s="253"/>
      <c r="H77" s="253"/>
      <c r="I77" s="253"/>
      <c r="J77" s="253"/>
      <c r="K77" s="253"/>
      <c r="L77" s="253"/>
      <c r="M77" s="253"/>
      <c r="N77" s="1321"/>
      <c r="O77" s="5497">
        <v>10</v>
      </c>
      <c r="P77" s="9294" t="str">
        <f>IF(AK77&lt;&gt;"",ROUND(AK77,0),IF(OR($U$47=0,$U$47="",NOT($W$48)),"",ROUND($Q$76*$U$47,0)))</f>
        <v/>
      </c>
      <c r="Q77" s="9297"/>
      <c r="R77" s="9294" t="str">
        <f>IF(AM77&lt;&gt;"",ROUND(AM77,0),IF(OR($U$47=0,$U$47="",NOT($W$48)),"",ROUND($Q$76*$U$47,0)))</f>
        <v/>
      </c>
      <c r="S77" s="9297"/>
      <c r="T77" s="9294" t="str">
        <f>IF(AO77&lt;&gt;"",ROUND(AO77,0),IF(OR($U$47=0,$U$47="",NOT($W$48)),"",ROUND($Q$76*$U$47,0)))</f>
        <v/>
      </c>
      <c r="U77" s="9297"/>
      <c r="V77" s="9294" t="str">
        <f>IF(AQ77&lt;&gt;"",ROUND(AQ77,0),IF(OR($U$47=0,$U$47="",NOT($W$48)),"",ROUND($Q$76*$U$47,0)))</f>
        <v/>
      </c>
      <c r="W77" s="9003"/>
      <c r="X77" s="139"/>
      <c r="Y77" s="343"/>
      <c r="Z77" s="3987" t="s">
        <v>3005</v>
      </c>
      <c r="AA77" s="5415"/>
      <c r="AB77" s="253"/>
      <c r="AC77" s="253"/>
      <c r="AD77" s="253"/>
      <c r="AE77" s="253"/>
      <c r="AF77" s="253"/>
      <c r="AG77" s="5415"/>
      <c r="AH77" s="5415"/>
      <c r="AI77" s="5415"/>
      <c r="AJ77" s="5498" t="s">
        <v>246</v>
      </c>
      <c r="AK77" s="518"/>
      <c r="AL77" s="5415"/>
      <c r="AM77" s="518"/>
      <c r="AN77" s="5415"/>
      <c r="AO77" s="518"/>
      <c r="AP77" s="5415"/>
      <c r="AQ77" s="518"/>
      <c r="AR77" s="5415"/>
      <c r="AS77" s="5415"/>
      <c r="AT77" s="5415"/>
      <c r="AU77" s="344"/>
    </row>
    <row r="78" spans="1:58" ht="15">
      <c r="A78" s="139"/>
      <c r="B78" s="88"/>
      <c r="C78" s="228">
        <v>11</v>
      </c>
      <c r="D78" s="1323" t="s">
        <v>3006</v>
      </c>
      <c r="E78" s="253"/>
      <c r="F78" s="253"/>
      <c r="G78" s="253"/>
      <c r="H78" s="253"/>
      <c r="I78" s="253"/>
      <c r="J78" s="253"/>
      <c r="K78" s="253"/>
      <c r="L78" s="9501" t="b">
        <f>AND($W$48,AK83="",AM83="",AO83="",AQ83="",S179="")</f>
        <v>0</v>
      </c>
      <c r="M78" s="9501"/>
      <c r="N78" s="9502"/>
      <c r="O78" s="5488"/>
      <c r="P78" s="9231" t="s">
        <v>1849</v>
      </c>
      <c r="Q78" s="9232"/>
      <c r="R78" s="9231" t="s">
        <v>1849</v>
      </c>
      <c r="S78" s="9232"/>
      <c r="T78" s="9231" t="s">
        <v>1849</v>
      </c>
      <c r="U78" s="9232"/>
      <c r="V78" s="9231" t="s">
        <v>1849</v>
      </c>
      <c r="W78" s="9233"/>
      <c r="X78" s="139"/>
      <c r="Y78" s="1793"/>
      <c r="Z78" s="5499" t="s">
        <v>5164</v>
      </c>
      <c r="AA78" s="5415"/>
      <c r="AB78" s="253"/>
      <c r="AC78" s="253"/>
      <c r="AD78" s="253"/>
      <c r="AE78" s="253"/>
      <c r="AF78" s="253"/>
      <c r="AG78" s="5415"/>
      <c r="AH78" s="5415"/>
      <c r="AI78" s="5415"/>
      <c r="AJ78" s="5415"/>
      <c r="AK78" s="5415"/>
      <c r="AL78" s="5415"/>
      <c r="AM78" s="5415"/>
      <c r="AN78" s="5415"/>
      <c r="AO78" s="5415"/>
      <c r="AP78" s="5415"/>
      <c r="AQ78" s="5415"/>
      <c r="AR78" s="5415"/>
      <c r="AS78" s="5415"/>
      <c r="AT78" s="5415"/>
      <c r="AU78" s="344"/>
    </row>
    <row r="79" spans="1:58" ht="17.45" customHeight="1">
      <c r="A79" s="139"/>
      <c r="B79" s="88"/>
      <c r="C79" s="228"/>
      <c r="D79" s="1323" t="s">
        <v>3007</v>
      </c>
      <c r="E79" s="253"/>
      <c r="F79" s="253"/>
      <c r="G79" s="253"/>
      <c r="H79" s="253"/>
      <c r="I79" s="253"/>
      <c r="J79" s="253"/>
      <c r="K79" s="253"/>
      <c r="L79" s="253"/>
      <c r="M79" s="253"/>
      <c r="N79" s="253"/>
      <c r="O79" s="5448"/>
      <c r="P79" s="9240">
        <f>ROUND(SUM(Fed_Inc_Tax_WH_Line_25d,ExcessSSTax)/4,0)</f>
        <v>0</v>
      </c>
      <c r="Q79" s="9241"/>
      <c r="R79" s="9240">
        <f>ROUND(SUM(Fed_Inc_Tax_WH_Line_25d,ExcessSSTax)/4,0)</f>
        <v>0</v>
      </c>
      <c r="S79" s="9241"/>
      <c r="T79" s="9240">
        <f>ROUND(SUM(Fed_Inc_Tax_WH_Line_25d,ExcessSSTax)/4,0)</f>
        <v>0</v>
      </c>
      <c r="U79" s="9241"/>
      <c r="V79" s="9240">
        <f>ROUND(SUM(Fed_Inc_Tax_WH_Line_25d,ExcessSSTax)/4,0)</f>
        <v>0</v>
      </c>
      <c r="W79" s="9242"/>
      <c r="X79" s="139"/>
      <c r="Y79" s="343"/>
      <c r="Z79" s="5415"/>
      <c r="AA79" s="5415"/>
      <c r="AB79" s="253"/>
      <c r="AC79" s="253"/>
      <c r="AD79" s="253"/>
      <c r="AE79" s="253"/>
      <c r="AF79" s="253"/>
      <c r="AG79" s="5415"/>
      <c r="AH79" s="5415"/>
      <c r="AI79" s="5415"/>
      <c r="AJ79" s="5415"/>
      <c r="AK79" s="5415"/>
      <c r="AL79" s="5415"/>
      <c r="AM79" s="5415"/>
      <c r="AN79" s="5415"/>
      <c r="AO79" s="5415"/>
      <c r="AP79" s="5415"/>
      <c r="AQ79" s="5415"/>
      <c r="AR79" s="5415"/>
      <c r="AS79" s="5415"/>
      <c r="AT79" s="5415"/>
      <c r="AU79" s="344"/>
    </row>
    <row r="80" spans="1:58" ht="17.45" customHeight="1">
      <c r="A80" s="139"/>
      <c r="B80" s="88"/>
      <c r="C80" s="228"/>
      <c r="D80" s="1323" t="s">
        <v>3008</v>
      </c>
      <c r="E80" s="253"/>
      <c r="F80" s="253"/>
      <c r="G80" s="253"/>
      <c r="H80" s="253"/>
      <c r="I80" s="253"/>
      <c r="J80" s="253"/>
      <c r="K80" s="253"/>
      <c r="L80" s="993"/>
      <c r="M80" s="993"/>
      <c r="N80" s="5500"/>
      <c r="O80" s="5448"/>
      <c r="P80" s="9497" t="b">
        <f>AND(SUM(P83,R83,T83,V83)&gt;0,P83&gt;=P77,R83&gt;=R77,T83&gt;=T77,V83&gt;=V77)</f>
        <v>0</v>
      </c>
      <c r="Q80" s="9498"/>
      <c r="R80" s="5501"/>
      <c r="S80" s="1786"/>
      <c r="T80" s="1784"/>
      <c r="U80" s="1786"/>
      <c r="V80" s="1785"/>
      <c r="W80" s="1784"/>
      <c r="X80" s="139"/>
      <c r="Y80" s="343"/>
      <c r="Z80" s="5494" t="s">
        <v>2994</v>
      </c>
      <c r="AA80" s="5415"/>
      <c r="AB80" s="9124">
        <f>IF(ExcessSSTax="",0,ExcessSSTax)</f>
        <v>0</v>
      </c>
      <c r="AC80" s="9124"/>
      <c r="AD80" s="9124"/>
      <c r="AE80" s="9124"/>
      <c r="AF80" s="9124"/>
      <c r="AG80" s="5415"/>
      <c r="AH80" s="5415"/>
      <c r="AI80" s="5415"/>
      <c r="AJ80" s="5415"/>
      <c r="AK80" s="1291" t="s">
        <v>2361</v>
      </c>
      <c r="AL80" s="5415"/>
      <c r="AM80" s="5415"/>
      <c r="AN80" s="5415"/>
      <c r="AO80" s="5415"/>
      <c r="AP80" s="5415"/>
      <c r="AQ80" s="5415"/>
      <c r="AR80" s="5415"/>
      <c r="AS80" s="5415"/>
      <c r="AT80" s="5415"/>
      <c r="AU80" s="344"/>
    </row>
    <row r="81" spans="1:47" ht="15" customHeight="1">
      <c r="A81" s="151"/>
      <c r="B81" s="5422"/>
      <c r="C81" s="5422"/>
      <c r="D81" s="2311" t="s">
        <v>3009</v>
      </c>
      <c r="E81" s="411"/>
      <c r="F81" s="411"/>
      <c r="G81" s="411"/>
      <c r="H81" s="411"/>
      <c r="I81" s="516"/>
      <c r="J81" s="411"/>
      <c r="K81" s="411"/>
      <c r="L81" s="505"/>
      <c r="M81" s="505"/>
      <c r="N81" s="5502"/>
      <c r="O81" s="5503"/>
      <c r="P81" s="9234" t="s">
        <v>5163</v>
      </c>
      <c r="Q81" s="9235"/>
      <c r="R81" s="9234" t="s">
        <v>5163</v>
      </c>
      <c r="S81" s="9235"/>
      <c r="T81" s="9234" t="s">
        <v>5163</v>
      </c>
      <c r="U81" s="9235"/>
      <c r="V81" s="9234" t="s">
        <v>5163</v>
      </c>
      <c r="W81" s="9238"/>
      <c r="X81" s="151"/>
      <c r="Y81" s="1967"/>
      <c r="Z81" s="3987" t="s">
        <v>2998</v>
      </c>
      <c r="AA81" s="5415"/>
      <c r="AB81" s="9517" t="b">
        <f>OR(P77&lt;&gt;"",R77&lt;&gt;"",T77&lt;&gt;"",V77&lt;&gt;"")</f>
        <v>0</v>
      </c>
      <c r="AC81" s="9517"/>
      <c r="AD81" s="9517"/>
      <c r="AE81" s="9517"/>
      <c r="AF81" s="9517"/>
      <c r="AG81" s="5415"/>
      <c r="AH81" s="5415"/>
      <c r="AI81" s="5415"/>
      <c r="AJ81" s="5415"/>
      <c r="AK81" s="5492" t="str">
        <f>P$72</f>
        <v>(a)</v>
      </c>
      <c r="AL81" s="5415"/>
      <c r="AM81" s="5492" t="str">
        <f>R$72</f>
        <v>(b)</v>
      </c>
      <c r="AN81" s="5415"/>
      <c r="AO81" s="5492" t="str">
        <f>T$72</f>
        <v xml:space="preserve">(c) </v>
      </c>
      <c r="AP81" s="5415"/>
      <c r="AQ81" s="5492" t="str">
        <f>V$72</f>
        <v>(d)</v>
      </c>
      <c r="AR81" s="5415"/>
      <c r="AS81" s="5415"/>
      <c r="AT81" s="5415"/>
      <c r="AU81" s="344"/>
    </row>
    <row r="82" spans="1:47" ht="16.5" thickBot="1">
      <c r="A82" s="139"/>
      <c r="B82" s="88"/>
      <c r="C82" s="228"/>
      <c r="D82" s="2311" t="s">
        <v>3010</v>
      </c>
      <c r="E82" s="411"/>
      <c r="F82" s="411"/>
      <c r="G82" s="1059"/>
      <c r="H82" s="1059"/>
      <c r="I82" s="411"/>
      <c r="J82" s="411"/>
      <c r="K82" s="514"/>
      <c r="L82" s="4791"/>
      <c r="M82" s="2039" t="s">
        <v>3011</v>
      </c>
      <c r="N82" s="4791"/>
      <c r="O82" s="5448"/>
      <c r="P82" s="9236">
        <f>LOOKUP(LOOKUP(P$73,$Q$178:$Q$233,$N$178:$N$233),$N178:$N233,$U$178:$U$233)</f>
        <v>0</v>
      </c>
      <c r="Q82" s="9237"/>
      <c r="R82" s="9236">
        <f>SUM(LOOKUP(LOOKUP(R$73,$Q$178:$Q$233,$N$178:$N$233),$N178:$N233,$U$178:$U$233),-P82)</f>
        <v>0</v>
      </c>
      <c r="S82" s="9237"/>
      <c r="T82" s="9236">
        <f>SUM(LOOKUP(LOOKUP(T$73,$Q$178:$Q$233,$N$178:$N$233),$N178:$N233,$U$178:$U$233),-P82,-R82)</f>
        <v>0</v>
      </c>
      <c r="U82" s="9237"/>
      <c r="V82" s="9236">
        <f>SUM(LOOKUP(LOOKUP(V$73,$Q$178:$Q$233,$N$178:$N$233),$N178:$N233,$U$178:$U$233),-P82,-R82,-T82)</f>
        <v>0</v>
      </c>
      <c r="W82" s="9239"/>
      <c r="X82" s="139"/>
      <c r="Y82" s="343"/>
      <c r="Z82" s="3987" t="s">
        <v>3005</v>
      </c>
      <c r="AA82" s="5415"/>
      <c r="AB82" s="7314" t="str">
        <f>IF(AND($AB$81,Fed_Inc_Tax_WH_Line_25d/4&gt;999),"Form 1040, Line 25d / 4 = "&amp;TEXT(ROUND(Fed_Inc_Tax_WH_Line_25d/4,0),"$0,000"),IF($AB$81,"Form 1040, Line 25d / 4 = "&amp;TEXT(ROUND(Fed_Inc_Tax_WH_Line_25d/4,0),"$0"),""))</f>
        <v/>
      </c>
      <c r="AC82" s="7314"/>
      <c r="AD82" s="7314"/>
      <c r="AE82" s="7314"/>
      <c r="AF82" s="7314"/>
      <c r="AG82" s="5415"/>
      <c r="AH82" s="5415"/>
      <c r="AI82" s="5415"/>
      <c r="AJ82" s="5415"/>
      <c r="AK82" s="5495" t="str">
        <f>"4/15/"&amp;TaxYear-2000</f>
        <v>4/15/25</v>
      </c>
      <c r="AL82" s="5415"/>
      <c r="AM82" s="5495" t="str">
        <f>"6/15/"&amp;TaxYear-2000</f>
        <v>6/15/25</v>
      </c>
      <c r="AN82" s="5415"/>
      <c r="AO82" s="5496" t="str">
        <f>"9/15/"&amp;TaxYear-2000</f>
        <v>9/15/25</v>
      </c>
      <c r="AP82" s="5415"/>
      <c r="AQ82" s="5495" t="str">
        <f>"1/15/"&amp;TaxYear+1-2000</f>
        <v>1/15/26</v>
      </c>
      <c r="AR82" s="5415"/>
      <c r="AS82" s="5415"/>
      <c r="AT82" s="5415"/>
      <c r="AU82" s="344"/>
    </row>
    <row r="83" spans="1:47" ht="16.5" thickBot="1">
      <c r="A83" s="139"/>
      <c r="B83" s="88"/>
      <c r="C83" s="228"/>
      <c r="D83" s="514" t="s">
        <v>3012</v>
      </c>
      <c r="E83" s="253"/>
      <c r="F83" s="253"/>
      <c r="G83" s="253"/>
      <c r="H83" s="253"/>
      <c r="I83" s="253"/>
      <c r="J83" s="253"/>
      <c r="K83" s="253"/>
      <c r="L83" s="253"/>
      <c r="M83" s="253"/>
      <c r="N83" s="1321" t="s">
        <v>636</v>
      </c>
      <c r="O83" s="5504">
        <v>11</v>
      </c>
      <c r="P83" s="9304" t="str">
        <f>IF(AK83&lt;&gt;"",ROUND(AK83,0),IF(P77="","",IF(Q179&gt;P73,P79,SUM(P79,P82))))</f>
        <v/>
      </c>
      <c r="Q83" s="9309"/>
      <c r="R83" s="9304" t="str">
        <f>IF(AM83&lt;&gt;"",ROUND(AM83,0),IF(R77="","",IF(S179&gt;R73,R79,SUM(R79,R82))))</f>
        <v/>
      </c>
      <c r="S83" s="9309"/>
      <c r="T83" s="9304" t="str">
        <f>IF(AO83&lt;&gt;"",ROUND(AO83,0),IF(T77="","",IF(U179&gt;T73,T79,SUM(T79,T82))))</f>
        <v/>
      </c>
      <c r="U83" s="9309"/>
      <c r="V83" s="9304" t="str">
        <f>IF(AQ83&lt;&gt;"",ROUND(AQ83,0),IF(V77="","",IF(W179&gt;V73,V79,SUM(V79,V82))))</f>
        <v/>
      </c>
      <c r="W83" s="9305"/>
      <c r="X83" s="139"/>
      <c r="Y83" s="343"/>
      <c r="Z83" s="5415"/>
      <c r="AA83" s="5415"/>
      <c r="AB83" s="7314" t="str">
        <f>IF(AND($AB$81,AB80/4&gt;999),"Sch. 3, Line 11 / 4 = "&amp;TEXT(ROUND(AB80/4,0),"$0,000"),IF($AB$81,"Sch. 3, Line 11 / 4 = "&amp;TEXT(ROUND(AB80/4,0),"$0"),""))</f>
        <v/>
      </c>
      <c r="AC83" s="7314"/>
      <c r="AD83" s="7314"/>
      <c r="AE83" s="7314"/>
      <c r="AF83" s="7314"/>
      <c r="AG83" s="5415"/>
      <c r="AH83" s="5415"/>
      <c r="AI83" s="5415"/>
      <c r="AJ83" s="5498">
        <v>11</v>
      </c>
      <c r="AK83" s="518"/>
      <c r="AL83" s="5415"/>
      <c r="AM83" s="518"/>
      <c r="AN83" s="5415"/>
      <c r="AO83" s="518"/>
      <c r="AP83" s="5415"/>
      <c r="AQ83" s="518"/>
      <c r="AR83" s="5415"/>
      <c r="AS83" s="5415"/>
      <c r="AT83" s="5415"/>
      <c r="AU83" s="344"/>
    </row>
    <row r="84" spans="1:47" ht="15.75" customHeight="1">
      <c r="A84" s="139"/>
      <c r="B84" s="8870"/>
      <c r="C84" s="8870"/>
      <c r="D84" s="5505"/>
      <c r="E84" s="406"/>
      <c r="F84" s="406"/>
      <c r="G84" s="406"/>
      <c r="H84" s="406"/>
      <c r="I84" s="406"/>
      <c r="J84" s="406"/>
      <c r="K84" s="406"/>
      <c r="L84" s="406"/>
      <c r="M84" s="406"/>
      <c r="N84" s="406"/>
      <c r="O84" s="5211"/>
      <c r="P84" s="5211"/>
      <c r="Q84" s="5211"/>
      <c r="R84" s="5211"/>
      <c r="S84" s="1630"/>
      <c r="T84" s="1630"/>
      <c r="U84" s="1630"/>
      <c r="V84" s="1630"/>
      <c r="W84" s="1630"/>
      <c r="X84" s="139"/>
      <c r="Y84" s="343"/>
      <c r="Z84" s="5415"/>
      <c r="AA84" s="5415"/>
      <c r="AB84" s="9515" t="str">
        <f>IF($AB$81,IF(SUM(Fed_Inc_Tax_WH_Line_25d,ExcessSSTax)/4&gt;999,"Total = "&amp;TEXT(ROUND(SUM(Fed_Inc_Tax_WH_Line_25d,ExcessSSTax)/4,0),"$0,000")&amp;" per quarter.","Total = "&amp;TEXT(ROUND(SUM(Fed_Inc_Tax_WH_Line_25d,ExcessSSTax),0)/4,"$0")&amp;" per quarter."),"")</f>
        <v/>
      </c>
      <c r="AC84" s="9516"/>
      <c r="AD84" s="9516"/>
      <c r="AE84" s="9516"/>
      <c r="AF84" s="9516"/>
      <c r="AG84" s="5415"/>
      <c r="AH84" s="5415"/>
      <c r="AI84" s="5415"/>
      <c r="AJ84" s="5415"/>
      <c r="AK84" s="5415"/>
      <c r="AL84" s="5415"/>
      <c r="AM84" s="5415"/>
      <c r="AN84" s="5415"/>
      <c r="AO84" s="5415"/>
      <c r="AP84" s="5415"/>
      <c r="AQ84" s="5415"/>
      <c r="AR84" s="5415"/>
      <c r="AS84" s="5415"/>
      <c r="AT84" s="5415"/>
      <c r="AU84" s="344"/>
    </row>
    <row r="85" spans="1:47" ht="12.75" customHeight="1">
      <c r="A85" s="139"/>
      <c r="B85" s="2988"/>
      <c r="C85" s="4971" t="str">
        <f>IF($L$78,"If applicable, enter taxes paid amounts into table at Row "&amp;ROW(A181)&amp;" OR use override cells in columns AK through AQ.","Complete lines 12 through 18 of one column before going to line 12 of the next column.")</f>
        <v>Complete lines 12 through 18 of one column before going to line 12 of the next column.</v>
      </c>
      <c r="D85" s="4971"/>
      <c r="E85" s="253"/>
      <c r="F85" s="253"/>
      <c r="G85" s="253"/>
      <c r="H85" s="253"/>
      <c r="I85" s="253"/>
      <c r="J85" s="253"/>
      <c r="K85" s="253"/>
      <c r="L85" s="253"/>
      <c r="M85" s="253"/>
      <c r="N85" s="253"/>
      <c r="O85" s="5215"/>
      <c r="P85" s="5215"/>
      <c r="Q85" s="5215"/>
      <c r="R85" s="5215"/>
      <c r="S85" s="1631"/>
      <c r="T85" s="1631"/>
      <c r="U85" s="1631"/>
      <c r="V85" s="1631"/>
      <c r="W85" s="1631"/>
      <c r="X85" s="139"/>
      <c r="Y85" s="343"/>
      <c r="Z85" s="5415"/>
      <c r="AA85" s="5415"/>
      <c r="AB85" s="253"/>
      <c r="AC85" s="253"/>
      <c r="AD85" s="253"/>
      <c r="AE85" s="253"/>
      <c r="AF85" s="253"/>
      <c r="AG85" s="5415"/>
      <c r="AH85" s="5415"/>
      <c r="AI85" s="5415"/>
      <c r="AJ85" s="5415"/>
      <c r="AK85" s="5415"/>
      <c r="AL85" s="5415"/>
      <c r="AM85" s="5415"/>
      <c r="AN85" s="5415"/>
      <c r="AO85" s="5415"/>
      <c r="AP85" s="5415"/>
      <c r="AQ85" s="5415"/>
      <c r="AR85" s="5415"/>
      <c r="AS85" s="5415"/>
      <c r="AT85" s="5415"/>
      <c r="AU85" s="344"/>
    </row>
    <row r="86" spans="1:47" ht="12" customHeight="1">
      <c r="A86" s="139"/>
      <c r="B86" s="88"/>
      <c r="C86" s="228"/>
      <c r="D86" s="5506"/>
      <c r="E86" s="5506"/>
      <c r="F86" s="5506"/>
      <c r="G86" s="5506"/>
      <c r="H86" s="5506"/>
      <c r="I86" s="5506"/>
      <c r="J86" s="5506"/>
      <c r="K86" s="5506"/>
      <c r="L86" s="5506"/>
      <c r="M86" s="5506"/>
      <c r="N86" s="5506"/>
      <c r="O86" s="5507"/>
      <c r="P86" s="5213"/>
      <c r="Q86" s="5213"/>
      <c r="R86" s="5213"/>
      <c r="S86" s="1632"/>
      <c r="T86" s="1632"/>
      <c r="U86" s="1632"/>
      <c r="V86" s="1632"/>
      <c r="W86" s="1632"/>
      <c r="X86" s="139"/>
      <c r="Y86" s="343"/>
      <c r="Z86" s="5415"/>
      <c r="AA86" s="5415"/>
      <c r="AB86" s="253"/>
      <c r="AC86" s="253"/>
      <c r="AD86" s="253"/>
      <c r="AE86" s="253"/>
      <c r="AF86" s="253"/>
      <c r="AG86" s="5415"/>
      <c r="AH86" s="5415"/>
      <c r="AI86" s="5415"/>
      <c r="AJ86" s="5415"/>
      <c r="AK86" s="5415"/>
      <c r="AL86" s="5415"/>
      <c r="AM86" s="5415"/>
      <c r="AN86" s="5415"/>
      <c r="AO86" s="5415"/>
      <c r="AP86" s="5415"/>
      <c r="AQ86" s="5415"/>
      <c r="AR86" s="5415"/>
      <c r="AS86" s="5415"/>
      <c r="AT86" s="5415"/>
      <c r="AU86" s="344"/>
    </row>
    <row r="87" spans="1:47" ht="14.25">
      <c r="A87" s="139"/>
      <c r="B87" s="88"/>
      <c r="C87" s="228">
        <v>12</v>
      </c>
      <c r="D87" s="511" t="s">
        <v>3013</v>
      </c>
      <c r="E87" s="253"/>
      <c r="F87" s="253"/>
      <c r="G87" s="253"/>
      <c r="H87" s="253"/>
      <c r="I87" s="253"/>
      <c r="J87" s="253"/>
      <c r="K87" s="253"/>
      <c r="L87" s="253"/>
      <c r="M87" s="253"/>
      <c r="N87" s="253"/>
      <c r="O87" s="5448"/>
      <c r="P87" s="5508"/>
      <c r="Q87" s="5509"/>
      <c r="R87" s="2429"/>
      <c r="S87" s="1627"/>
      <c r="T87" s="1628"/>
      <c r="U87" s="1627"/>
      <c r="V87" s="1629"/>
      <c r="W87" s="1628"/>
      <c r="X87" s="139"/>
      <c r="Y87" s="343"/>
      <c r="Z87" s="5415"/>
      <c r="AA87" s="5415"/>
      <c r="AB87" s="253"/>
      <c r="AC87" s="253"/>
      <c r="AD87" s="253"/>
      <c r="AE87" s="253"/>
      <c r="AF87" s="253"/>
      <c r="AG87" s="5415"/>
      <c r="AH87" s="5415"/>
      <c r="AI87" s="5415"/>
      <c r="AJ87" s="5415"/>
      <c r="AK87" s="5415"/>
      <c r="AL87" s="5415"/>
      <c r="AM87" s="5415"/>
      <c r="AN87" s="5415"/>
      <c r="AO87" s="5415"/>
      <c r="AP87" s="5415"/>
      <c r="AQ87" s="5415"/>
      <c r="AR87" s="5415"/>
      <c r="AS87" s="5415"/>
      <c r="AT87" s="5415"/>
      <c r="AU87" s="344"/>
    </row>
    <row r="88" spans="1:47" ht="16.5" customHeight="1">
      <c r="A88" s="139"/>
      <c r="B88" s="88"/>
      <c r="C88" s="228"/>
      <c r="D88" s="511" t="s">
        <v>3014</v>
      </c>
      <c r="E88" s="253"/>
      <c r="F88" s="253"/>
      <c r="G88" s="253"/>
      <c r="H88" s="253"/>
      <c r="I88" s="253"/>
      <c r="J88" s="253"/>
      <c r="K88" s="253"/>
      <c r="L88" s="253"/>
      <c r="M88" s="253"/>
      <c r="N88" s="1321" t="s">
        <v>2186</v>
      </c>
      <c r="O88" s="5497">
        <v>12</v>
      </c>
      <c r="P88" s="5510"/>
      <c r="Q88" s="5511"/>
      <c r="R88" s="9294" t="str">
        <f>P101</f>
        <v/>
      </c>
      <c r="S88" s="9297"/>
      <c r="T88" s="9294" t="str">
        <f>R101</f>
        <v/>
      </c>
      <c r="U88" s="9297"/>
      <c r="V88" s="9294" t="str">
        <f>T101</f>
        <v/>
      </c>
      <c r="W88" s="9003"/>
      <c r="X88" s="139"/>
      <c r="Y88" s="343"/>
      <c r="Z88" s="5415"/>
      <c r="AA88" s="5415"/>
      <c r="AB88" s="253"/>
      <c r="AC88" s="253"/>
      <c r="AD88" s="253"/>
      <c r="AE88" s="253"/>
      <c r="AF88" s="253"/>
      <c r="AG88" s="5415"/>
      <c r="AH88" s="5415"/>
      <c r="AI88" s="5415"/>
      <c r="AJ88" s="5415"/>
      <c r="AK88" s="5415"/>
      <c r="AL88" s="5415"/>
      <c r="AM88" s="5415"/>
      <c r="AN88" s="5415"/>
      <c r="AO88" s="5415"/>
      <c r="AP88" s="5415"/>
      <c r="AQ88" s="5415"/>
      <c r="AR88" s="5415"/>
      <c r="AS88" s="5415"/>
      <c r="AT88" s="5415"/>
      <c r="AU88" s="344"/>
    </row>
    <row r="89" spans="1:47" ht="14.25">
      <c r="A89" s="139"/>
      <c r="B89" s="88"/>
      <c r="C89" s="228">
        <v>13</v>
      </c>
      <c r="D89" s="511" t="s">
        <v>3015</v>
      </c>
      <c r="E89" s="253"/>
      <c r="F89" s="253"/>
      <c r="G89" s="253"/>
      <c r="H89" s="253"/>
      <c r="I89" s="253"/>
      <c r="J89" s="253"/>
      <c r="K89" s="253"/>
      <c r="L89" s="253"/>
      <c r="M89" s="253"/>
      <c r="N89" s="1321" t="s">
        <v>594</v>
      </c>
      <c r="O89" s="5497">
        <v>13</v>
      </c>
      <c r="P89" s="5512"/>
      <c r="Q89" s="5513"/>
      <c r="R89" s="9310" t="str">
        <f>IF(AND(NOT($P$80),R83&lt;&gt;""),SUM(R83,R88),"")</f>
        <v/>
      </c>
      <c r="S89" s="9311"/>
      <c r="T89" s="9310" t="str">
        <f>IF(AND(NOT($P$80),T83&lt;&gt;""),SUM(T83,T88),"")</f>
        <v/>
      </c>
      <c r="U89" s="9311"/>
      <c r="V89" s="9310" t="str">
        <f>IF(AND(NOT($P$80),V83&lt;&gt;""),SUM(V83,V88),"")</f>
        <v/>
      </c>
      <c r="W89" s="9312"/>
      <c r="X89" s="139"/>
      <c r="Y89" s="343"/>
      <c r="Z89" s="5415"/>
      <c r="AA89" s="5415"/>
      <c r="AB89" s="253"/>
      <c r="AC89" s="253"/>
      <c r="AD89" s="253"/>
      <c r="AE89" s="253"/>
      <c r="AF89" s="253"/>
      <c r="AG89" s="5415"/>
      <c r="AH89" s="5415"/>
      <c r="AI89" s="5415"/>
      <c r="AJ89" s="5415"/>
      <c r="AK89" s="5415"/>
      <c r="AL89" s="5415"/>
      <c r="AM89" s="5415"/>
      <c r="AN89" s="5415"/>
      <c r="AO89" s="5415"/>
      <c r="AP89" s="5415"/>
      <c r="AQ89" s="5415"/>
      <c r="AR89" s="5415"/>
      <c r="AS89" s="5415"/>
      <c r="AT89" s="5415"/>
      <c r="AU89" s="344"/>
    </row>
    <row r="90" spans="1:47" ht="13.5" customHeight="1">
      <c r="A90" s="139"/>
      <c r="B90" s="88"/>
      <c r="C90" s="228">
        <v>14</v>
      </c>
      <c r="D90" s="511" t="s">
        <v>3016</v>
      </c>
      <c r="E90" s="253"/>
      <c r="F90" s="253"/>
      <c r="G90" s="253"/>
      <c r="H90" s="253"/>
      <c r="I90" s="253"/>
      <c r="J90" s="253"/>
      <c r="K90" s="253"/>
      <c r="L90" s="253"/>
      <c r="M90" s="253"/>
      <c r="N90" s="253"/>
      <c r="O90" s="5448"/>
      <c r="P90" s="5508"/>
      <c r="Q90" s="5509"/>
      <c r="R90" s="2429"/>
      <c r="S90" s="1627"/>
      <c r="T90" s="1628"/>
      <c r="U90" s="1627"/>
      <c r="V90" s="1629"/>
      <c r="W90" s="1628"/>
      <c r="X90" s="139"/>
      <c r="Y90" s="343"/>
      <c r="Z90" s="5415"/>
      <c r="AA90" s="5415"/>
      <c r="AB90" s="253"/>
      <c r="AC90" s="253"/>
      <c r="AD90" s="253"/>
      <c r="AE90" s="253"/>
      <c r="AF90" s="253"/>
      <c r="AG90" s="5415"/>
      <c r="AH90" s="5415"/>
      <c r="AI90" s="5415"/>
      <c r="AJ90" s="5415"/>
      <c r="AK90" s="5415"/>
      <c r="AL90" s="5415"/>
      <c r="AM90" s="5415"/>
      <c r="AN90" s="5415"/>
      <c r="AO90" s="5415"/>
      <c r="AP90" s="5415"/>
      <c r="AQ90" s="5415"/>
      <c r="AR90" s="5415"/>
      <c r="AS90" s="5415"/>
      <c r="AT90" s="5415"/>
      <c r="AU90" s="344"/>
    </row>
    <row r="91" spans="1:47" ht="12" customHeight="1">
      <c r="A91" s="139"/>
      <c r="B91" s="88"/>
      <c r="C91" s="228"/>
      <c r="D91" s="511" t="s">
        <v>3014</v>
      </c>
      <c r="E91" s="253"/>
      <c r="F91" s="253"/>
      <c r="G91" s="253"/>
      <c r="H91" s="253"/>
      <c r="I91" s="253"/>
      <c r="J91" s="253"/>
      <c r="K91" s="253"/>
      <c r="L91" s="253"/>
      <c r="M91" s="253"/>
      <c r="N91" s="1321" t="s">
        <v>2186</v>
      </c>
      <c r="O91" s="5497">
        <v>14</v>
      </c>
      <c r="P91" s="5510"/>
      <c r="Q91" s="5511"/>
      <c r="R91" s="9294" t="str">
        <f>IF(AND(NOT($P$80),R83&lt;&gt;""),SUM(P95,P98),"")</f>
        <v/>
      </c>
      <c r="S91" s="9297"/>
      <c r="T91" s="9294" t="str">
        <f>IF(AND(NOT($P$80),T83&lt;&gt;""),SUM(R95,R98),"")</f>
        <v/>
      </c>
      <c r="U91" s="9297"/>
      <c r="V91" s="9294" t="str">
        <f>IF(AND(NOT($P$80),V83&lt;&gt;""),SUM(T95,T98),"")</f>
        <v/>
      </c>
      <c r="W91" s="9003"/>
      <c r="X91" s="139"/>
      <c r="Y91" s="343"/>
      <c r="Z91" s="5415"/>
      <c r="AA91" s="5415"/>
      <c r="AB91" s="253"/>
      <c r="AC91" s="253"/>
      <c r="AD91" s="253"/>
      <c r="AE91" s="253"/>
      <c r="AF91" s="253"/>
      <c r="AG91" s="5415"/>
      <c r="AH91" s="5415"/>
      <c r="AI91" s="5415"/>
      <c r="AJ91" s="5415"/>
      <c r="AK91" s="5415"/>
      <c r="AL91" s="5415"/>
      <c r="AM91" s="5415"/>
      <c r="AN91" s="5415"/>
      <c r="AO91" s="5415"/>
      <c r="AP91" s="5415"/>
      <c r="AQ91" s="5415"/>
      <c r="AR91" s="5415"/>
      <c r="AS91" s="5415"/>
      <c r="AT91" s="5415"/>
      <c r="AU91" s="344"/>
    </row>
    <row r="92" spans="1:47" ht="13.5" customHeight="1">
      <c r="A92" s="139"/>
      <c r="B92" s="88"/>
      <c r="C92" s="228">
        <v>15</v>
      </c>
      <c r="D92" s="1323" t="s">
        <v>3017</v>
      </c>
      <c r="E92" s="253"/>
      <c r="F92" s="253"/>
      <c r="G92" s="253"/>
      <c r="H92" s="253"/>
      <c r="I92" s="253"/>
      <c r="J92" s="253"/>
      <c r="K92" s="253"/>
      <c r="L92" s="253"/>
      <c r="M92" s="253"/>
      <c r="N92" s="253"/>
      <c r="O92" s="5488"/>
      <c r="P92" s="2429"/>
      <c r="Q92" s="2431"/>
      <c r="R92" s="2429"/>
      <c r="S92" s="1627"/>
      <c r="T92" s="1628"/>
      <c r="U92" s="1627"/>
      <c r="V92" s="1629"/>
      <c r="W92" s="1628"/>
      <c r="X92" s="139"/>
      <c r="Y92" s="343"/>
      <c r="Z92" s="5415"/>
      <c r="AA92" s="5415"/>
      <c r="AB92" s="253"/>
      <c r="AC92" s="253"/>
      <c r="AD92" s="253"/>
      <c r="AE92" s="253"/>
      <c r="AF92" s="253"/>
      <c r="AG92" s="5415"/>
      <c r="AH92" s="5415"/>
      <c r="AI92" s="5415"/>
      <c r="AJ92" s="5415"/>
      <c r="AK92" s="5415"/>
      <c r="AL92" s="5415"/>
      <c r="AM92" s="5415"/>
      <c r="AN92" s="5415"/>
      <c r="AO92" s="5415"/>
      <c r="AP92" s="5415"/>
      <c r="AQ92" s="5415"/>
      <c r="AR92" s="5415"/>
      <c r="AS92" s="5415"/>
      <c r="AT92" s="5415"/>
      <c r="AU92" s="344"/>
    </row>
    <row r="93" spans="1:47" ht="14.25" customHeight="1">
      <c r="A93" s="139"/>
      <c r="B93" s="88"/>
      <c r="C93" s="228"/>
      <c r="D93" s="1323" t="s">
        <v>3018</v>
      </c>
      <c r="E93" s="253"/>
      <c r="F93" s="253"/>
      <c r="G93" s="253"/>
      <c r="H93" s="253"/>
      <c r="I93" s="253"/>
      <c r="J93" s="253"/>
      <c r="K93" s="253"/>
      <c r="L93" s="253"/>
      <c r="M93" s="253"/>
      <c r="N93" s="1321" t="s">
        <v>2390</v>
      </c>
      <c r="O93" s="5497">
        <v>15</v>
      </c>
      <c r="P93" s="9294" t="str">
        <f>IF(AND(NOT($P$80),P83&lt;&gt;""),P83,"")</f>
        <v/>
      </c>
      <c r="Q93" s="9297"/>
      <c r="R93" s="9294" t="str">
        <f>IF(AND(NOT($P$80),R83&lt;&gt;"",R91&lt;&gt;""),IF(SUM(R89,-R91)&lt;=0,0,SUM(R89,-R91)),"")</f>
        <v/>
      </c>
      <c r="S93" s="9297"/>
      <c r="T93" s="9294" t="str">
        <f>IF(AND(NOT($P$80),T83&lt;&gt;"",T91&lt;&gt;""),IF(SUM(T89,-T91)&lt;=0,0,SUM(T89,-T91)),"")</f>
        <v/>
      </c>
      <c r="U93" s="9297"/>
      <c r="V93" s="9294" t="str">
        <f>IF(AND(NOT($P$80),V83&lt;&gt;"",V91&lt;&gt;""),IF(SUM(V89,-V91)&lt;=0,0,SUM(V89,-V91)),"")</f>
        <v/>
      </c>
      <c r="W93" s="9003"/>
      <c r="X93" s="139"/>
      <c r="Y93" s="343"/>
      <c r="Z93" s="5415"/>
      <c r="AA93" s="5415"/>
      <c r="AB93" s="253"/>
      <c r="AC93" s="253"/>
      <c r="AD93" s="253"/>
      <c r="AE93" s="253"/>
      <c r="AF93" s="253"/>
      <c r="AG93" s="5415"/>
      <c r="AH93" s="5415"/>
      <c r="AI93" s="5415"/>
      <c r="AJ93" s="5415"/>
      <c r="AK93" s="5415"/>
      <c r="AL93" s="5415"/>
      <c r="AM93" s="5415"/>
      <c r="AN93" s="5415"/>
      <c r="AO93" s="5415"/>
      <c r="AP93" s="5415"/>
      <c r="AQ93" s="5415"/>
      <c r="AR93" s="5415"/>
      <c r="AS93" s="5415"/>
      <c r="AT93" s="5415"/>
      <c r="AU93" s="344"/>
    </row>
    <row r="94" spans="1:47" ht="14.25" customHeight="1">
      <c r="A94" s="139"/>
      <c r="B94" s="88"/>
      <c r="C94" s="228">
        <v>16</v>
      </c>
      <c r="D94" s="1323" t="s">
        <v>3019</v>
      </c>
      <c r="E94" s="253"/>
      <c r="F94" s="253"/>
      <c r="G94" s="253"/>
      <c r="H94" s="253"/>
      <c r="I94" s="253"/>
      <c r="J94" s="253"/>
      <c r="K94" s="253"/>
      <c r="L94" s="253"/>
      <c r="M94" s="253"/>
      <c r="N94" s="253"/>
      <c r="O94" s="5488"/>
      <c r="P94" s="5514"/>
      <c r="Q94" s="5515"/>
      <c r="R94" s="2429"/>
      <c r="S94" s="1627"/>
      <c r="T94" s="1628"/>
      <c r="U94" s="1627"/>
      <c r="V94" s="5514"/>
      <c r="W94" s="5516"/>
      <c r="X94" s="139"/>
      <c r="Y94" s="343"/>
      <c r="Z94" s="5415"/>
      <c r="AA94" s="5415"/>
      <c r="AB94" s="253"/>
      <c r="AC94" s="253"/>
      <c r="AD94" s="253"/>
      <c r="AE94" s="253"/>
      <c r="AF94" s="253"/>
      <c r="AG94" s="5415"/>
      <c r="AH94" s="5415"/>
      <c r="AI94" s="5415"/>
      <c r="AJ94" s="5415"/>
      <c r="AK94" s="5415"/>
      <c r="AL94" s="5415"/>
      <c r="AM94" s="5415"/>
      <c r="AN94" s="5415"/>
      <c r="AO94" s="5415"/>
      <c r="AP94" s="5415"/>
      <c r="AQ94" s="5415"/>
      <c r="AR94" s="5415"/>
      <c r="AS94" s="5415"/>
      <c r="AT94" s="5415"/>
      <c r="AU94" s="329"/>
    </row>
    <row r="95" spans="1:47" ht="15" customHeight="1">
      <c r="A95" s="139"/>
      <c r="B95" s="88"/>
      <c r="C95" s="228"/>
      <c r="D95" s="1323" t="s">
        <v>3020</v>
      </c>
      <c r="E95" s="253"/>
      <c r="F95" s="253"/>
      <c r="G95" s="253"/>
      <c r="H95" s="253"/>
      <c r="I95" s="253"/>
      <c r="J95" s="253"/>
      <c r="K95" s="253"/>
      <c r="L95" s="253"/>
      <c r="M95" s="253"/>
      <c r="N95" s="1321" t="s">
        <v>608</v>
      </c>
      <c r="O95" s="5497">
        <v>16</v>
      </c>
      <c r="P95" s="5510"/>
      <c r="Q95" s="5511"/>
      <c r="R95" s="9294" t="str">
        <f>IF(AND(NOT($P$80),R83&lt;&gt;""),IF(R93=0,SUM(R91,-R89),0),"")</f>
        <v/>
      </c>
      <c r="S95" s="9297"/>
      <c r="T95" s="9294" t="str">
        <f>IF(AND(NOT($P$80),T83&lt;&gt;""),IF(T93=0,SUM(T91,-T89),0),"")</f>
        <v/>
      </c>
      <c r="U95" s="9297"/>
      <c r="V95" s="5510"/>
      <c r="W95" s="5517"/>
      <c r="X95" s="139"/>
      <c r="Y95" s="343"/>
      <c r="Z95" s="5415"/>
      <c r="AA95" s="5415"/>
      <c r="AB95" s="253"/>
      <c r="AC95" s="253"/>
      <c r="AD95" s="253"/>
      <c r="AE95" s="253"/>
      <c r="AF95" s="253"/>
      <c r="AG95" s="5415"/>
      <c r="AH95" s="5415"/>
      <c r="AI95" s="5415"/>
      <c r="AJ95" s="5415"/>
      <c r="AK95" s="5415"/>
      <c r="AL95" s="5415"/>
      <c r="AM95" s="5415"/>
      <c r="AN95" s="5415"/>
      <c r="AO95" s="5415"/>
      <c r="AP95" s="5415"/>
      <c r="AQ95" s="5415"/>
      <c r="AR95" s="5415"/>
      <c r="AS95" s="5415"/>
      <c r="AT95" s="5415"/>
      <c r="AU95" s="329"/>
    </row>
    <row r="96" spans="1:47" ht="15.75" customHeight="1">
      <c r="A96" s="139"/>
      <c r="B96" s="88"/>
      <c r="C96" s="228">
        <v>17</v>
      </c>
      <c r="D96" s="2311" t="s">
        <v>3021</v>
      </c>
      <c r="E96" s="253"/>
      <c r="F96" s="253"/>
      <c r="G96" s="253"/>
      <c r="H96" s="253"/>
      <c r="I96" s="253"/>
      <c r="J96" s="253"/>
      <c r="K96" s="253"/>
      <c r="L96" s="253"/>
      <c r="M96" s="253"/>
      <c r="N96" s="253"/>
      <c r="O96" s="5448"/>
      <c r="P96" s="2429"/>
      <c r="Q96" s="2431"/>
      <c r="R96" s="2429"/>
      <c r="S96" s="1627"/>
      <c r="T96" s="1628"/>
      <c r="U96" s="1627"/>
      <c r="V96" s="1629"/>
      <c r="W96" s="1628"/>
      <c r="X96" s="139"/>
      <c r="Y96" s="343"/>
      <c r="Z96" s="5415"/>
      <c r="AA96" s="5415"/>
      <c r="AB96" s="253"/>
      <c r="AC96" s="253"/>
      <c r="AD96" s="253"/>
      <c r="AE96" s="253"/>
      <c r="AF96" s="253"/>
      <c r="AG96" s="5415"/>
      <c r="AH96" s="5415"/>
      <c r="AI96" s="5415"/>
      <c r="AJ96" s="5415"/>
      <c r="AK96" s="5415"/>
      <c r="AL96" s="5415"/>
      <c r="AM96" s="5415"/>
      <c r="AN96" s="5415"/>
      <c r="AO96" s="5415"/>
      <c r="AP96" s="5415"/>
      <c r="AQ96" s="5415"/>
      <c r="AR96" s="5415"/>
      <c r="AS96" s="5415"/>
      <c r="AT96" s="5415"/>
      <c r="AU96" s="329"/>
    </row>
    <row r="97" spans="1:58" ht="15.75" customHeight="1" thickBot="1">
      <c r="A97" s="139"/>
      <c r="B97" s="88"/>
      <c r="C97" s="2715"/>
      <c r="D97" s="1323" t="s">
        <v>5541</v>
      </c>
      <c r="E97" s="253"/>
      <c r="F97" s="253"/>
      <c r="G97" s="253"/>
      <c r="H97" s="253"/>
      <c r="I97" s="253"/>
      <c r="J97" s="253"/>
      <c r="K97" s="349"/>
      <c r="L97" s="253"/>
      <c r="M97" s="253"/>
      <c r="N97" s="253"/>
      <c r="O97" s="5448"/>
      <c r="P97" s="2429"/>
      <c r="Q97" s="2431"/>
      <c r="R97" s="2429"/>
      <c r="S97" s="1627"/>
      <c r="T97" s="1628"/>
      <c r="U97" s="1627"/>
      <c r="V97" s="1629"/>
      <c r="W97" s="1628"/>
      <c r="X97" s="139"/>
      <c r="Y97" s="343"/>
      <c r="Z97" s="5415"/>
      <c r="AA97" s="5415"/>
      <c r="AB97" s="253"/>
      <c r="AC97" s="253"/>
      <c r="AD97" s="253"/>
      <c r="AE97" s="253"/>
      <c r="AF97" s="253"/>
      <c r="AG97" s="5415"/>
      <c r="AH97" s="5415"/>
      <c r="AI97" s="5415"/>
      <c r="AJ97" s="5415"/>
      <c r="AK97" s="1291" t="s">
        <v>2361</v>
      </c>
      <c r="AL97" s="5415"/>
      <c r="AM97" s="5415"/>
      <c r="AN97" s="5415"/>
      <c r="AO97" s="5415"/>
      <c r="AP97" s="5415"/>
      <c r="AQ97" s="5415"/>
      <c r="AR97" s="5415"/>
      <c r="AS97" s="5415"/>
      <c r="AT97" s="5415"/>
      <c r="AU97" s="329"/>
    </row>
    <row r="98" spans="1:58" ht="15.75" customHeight="1" thickBot="1">
      <c r="A98" s="139"/>
      <c r="B98" s="88"/>
      <c r="C98" s="88"/>
      <c r="D98" s="1323" t="s">
        <v>3022</v>
      </c>
      <c r="E98" s="253"/>
      <c r="F98" s="253"/>
      <c r="G98" s="253"/>
      <c r="H98" s="253"/>
      <c r="I98" s="253"/>
      <c r="J98" s="253"/>
      <c r="K98" s="253"/>
      <c r="L98" s="253"/>
      <c r="M98" s="253"/>
      <c r="N98" s="1321" t="s">
        <v>3023</v>
      </c>
      <c r="O98" s="5497">
        <v>17</v>
      </c>
      <c r="P98" s="9294" t="str">
        <f>IF(AK98&lt;&gt;"",ROUND(AK98,0),IF(AND(NOT($P$80),P83&lt;&gt;""),IF(P77&gt;=P93,SUM(P77,-P93),0),""))</f>
        <v/>
      </c>
      <c r="Q98" s="9297"/>
      <c r="R98" s="9294" t="str">
        <f>IF(AM98&lt;&gt;"",ROUND(AM98,0),IF(AND(NOT($P$80),R83&lt;&gt;""),IF(R77&gt;=R93,SUM(R77,-R93),0),""))</f>
        <v/>
      </c>
      <c r="S98" s="9297"/>
      <c r="T98" s="9294" t="str">
        <f>IF(AO98&lt;&gt;"",ROUND(AO98,0),IF(AND(NOT($P$80),T83&lt;&gt;""),IF(T77&gt;=T93,SUM(T77,-T93),0),""))</f>
        <v/>
      </c>
      <c r="U98" s="9297"/>
      <c r="V98" s="9294" t="str">
        <f>IF(AQ98&lt;&gt;"",ROUND(AQ98,0),IF(AND(NOT($P$80),V83&lt;&gt;""),IF(V77&gt;=V93,SUM(V77,-V93),0),""))</f>
        <v/>
      </c>
      <c r="W98" s="9003"/>
      <c r="X98" s="139"/>
      <c r="Y98" s="343"/>
      <c r="Z98" s="5494" t="s">
        <v>2994</v>
      </c>
      <c r="AA98" s="5415"/>
      <c r="AB98" s="253"/>
      <c r="AC98" s="253"/>
      <c r="AD98" s="253"/>
      <c r="AE98" s="253"/>
      <c r="AF98" s="253"/>
      <c r="AG98" s="5415"/>
      <c r="AH98" s="5415"/>
      <c r="AI98" s="5415"/>
      <c r="AJ98" s="5498">
        <v>17</v>
      </c>
      <c r="AK98" s="518"/>
      <c r="AL98" s="5415"/>
      <c r="AM98" s="518"/>
      <c r="AN98" s="5415"/>
      <c r="AO98" s="518"/>
      <c r="AP98" s="5415"/>
      <c r="AQ98" s="518"/>
      <c r="AR98" s="5415"/>
      <c r="AS98" s="5415"/>
      <c r="AT98" s="5415"/>
      <c r="AU98" s="329"/>
    </row>
    <row r="99" spans="1:58" ht="15.75">
      <c r="A99" s="139"/>
      <c r="B99" s="88"/>
      <c r="C99" s="228">
        <v>18</v>
      </c>
      <c r="D99" s="1323" t="s">
        <v>3024</v>
      </c>
      <c r="E99" s="253"/>
      <c r="F99" s="253"/>
      <c r="G99" s="253"/>
      <c r="H99" s="253"/>
      <c r="I99" s="253"/>
      <c r="J99" s="253"/>
      <c r="K99" s="253"/>
      <c r="L99" s="253"/>
      <c r="M99" s="253"/>
      <c r="N99" s="253"/>
      <c r="O99" s="5448"/>
      <c r="P99" s="2429"/>
      <c r="Q99" s="2431"/>
      <c r="R99" s="2429"/>
      <c r="S99" s="1627"/>
      <c r="T99" s="1628"/>
      <c r="U99" s="1627"/>
      <c r="V99" s="1629"/>
      <c r="W99" s="1628"/>
      <c r="X99" s="139"/>
      <c r="Y99" s="343"/>
      <c r="Z99" s="5415"/>
      <c r="AA99" s="5415"/>
      <c r="AB99" s="253"/>
      <c r="AC99" s="253"/>
      <c r="AD99" s="253"/>
      <c r="AE99" s="253"/>
      <c r="AF99" s="253"/>
      <c r="AG99" s="5415"/>
      <c r="AH99" s="5415"/>
      <c r="AI99" s="5415"/>
      <c r="AJ99" s="5415"/>
      <c r="AK99" s="5415"/>
      <c r="AL99" s="5415"/>
      <c r="AM99" s="5415"/>
      <c r="AN99" s="5415"/>
      <c r="AO99" s="5415"/>
      <c r="AP99" s="5415"/>
      <c r="AQ99" s="5415"/>
      <c r="AR99" s="5415"/>
      <c r="AS99" s="5415"/>
      <c r="AT99" s="5415"/>
      <c r="AU99" s="329"/>
    </row>
    <row r="100" spans="1:58" ht="12.75" customHeight="1" thickBot="1">
      <c r="A100" s="139"/>
      <c r="B100" s="88"/>
      <c r="C100" s="2715"/>
      <c r="D100" s="2311" t="s">
        <v>3025</v>
      </c>
      <c r="E100" s="253"/>
      <c r="F100" s="253"/>
      <c r="G100" s="253"/>
      <c r="H100" s="253"/>
      <c r="I100" s="253"/>
      <c r="J100" s="253"/>
      <c r="K100" s="349"/>
      <c r="L100" s="253"/>
      <c r="M100" s="253"/>
      <c r="N100" s="253"/>
      <c r="O100" s="5448"/>
      <c r="P100" s="2429"/>
      <c r="Q100" s="2431"/>
      <c r="R100" s="2429"/>
      <c r="S100" s="1627"/>
      <c r="T100" s="1628"/>
      <c r="U100" s="1627"/>
      <c r="V100" s="1629"/>
      <c r="W100" s="1628"/>
      <c r="X100" s="139"/>
      <c r="Y100" s="343"/>
      <c r="Z100" s="5415"/>
      <c r="AA100" s="5415"/>
      <c r="AB100" s="253"/>
      <c r="AC100" s="253"/>
      <c r="AD100" s="253"/>
      <c r="AE100" s="253"/>
      <c r="AF100" s="253"/>
      <c r="AG100" s="5415"/>
      <c r="AH100" s="5415"/>
      <c r="AI100" s="5415"/>
      <c r="AJ100" s="5415"/>
      <c r="AK100" s="1291" t="s">
        <v>2361</v>
      </c>
      <c r="AL100" s="5415"/>
      <c r="AM100" s="5415"/>
      <c r="AN100" s="5415"/>
      <c r="AO100" s="5415"/>
      <c r="AP100" s="5415"/>
      <c r="AQ100" s="5415"/>
      <c r="AR100" s="5415"/>
      <c r="AS100" s="5415"/>
      <c r="AT100" s="5415"/>
      <c r="AU100" s="329"/>
    </row>
    <row r="101" spans="1:58" ht="15" customHeight="1" thickBot="1">
      <c r="A101" s="139"/>
      <c r="B101" s="88"/>
      <c r="C101" s="88"/>
      <c r="D101" s="1323" t="s">
        <v>3026</v>
      </c>
      <c r="E101" s="253"/>
      <c r="F101" s="253"/>
      <c r="G101" s="253"/>
      <c r="H101" s="253"/>
      <c r="I101" s="253"/>
      <c r="J101" s="253"/>
      <c r="K101" s="253"/>
      <c r="L101" s="253"/>
      <c r="M101" s="253"/>
      <c r="N101" s="1321" t="s">
        <v>590</v>
      </c>
      <c r="O101" s="5504">
        <v>18</v>
      </c>
      <c r="P101" s="9298" t="str">
        <f>IF(AK101&lt;&gt;"",ROUND(AK101,0),IF(AND(NOT($P$80),P83&lt;&gt;""),IF(P93&gt;P77,SUM(P93,-P77),0),""))</f>
        <v/>
      </c>
      <c r="Q101" s="9299"/>
      <c r="R101" s="9298" t="str">
        <f>IF(AM101&lt;&gt;"",ROUND(AM101,0),IF(AND(NOT($P$80),R83&lt;&gt;""),IF(R93&gt;R77,SUM(R93,-R77),0),""))</f>
        <v/>
      </c>
      <c r="S101" s="9299"/>
      <c r="T101" s="9298" t="str">
        <f>IF(AO101&lt;&gt;"",ROUND(AO101,0),IF(AND(NOT($P$80),T83&lt;&gt;""),IF(T93&gt;T77,SUM(T93,-T77),0),""))</f>
        <v/>
      </c>
      <c r="U101" s="9299"/>
      <c r="V101" s="9294" t="str">
        <f>IF(AQ101&lt;&gt;"",ROUND(AQ101,0),IF(AND(NOT($P$80),V83&lt;&gt;""),IF(V93&gt;V77,SUM(V93,-V77),0),""))</f>
        <v/>
      </c>
      <c r="W101" s="9003"/>
      <c r="X101" s="139"/>
      <c r="Y101" s="343"/>
      <c r="Z101" s="5494" t="s">
        <v>2994</v>
      </c>
      <c r="AA101" s="5415"/>
      <c r="AB101" s="253"/>
      <c r="AC101" s="253"/>
      <c r="AD101" s="253"/>
      <c r="AE101" s="253"/>
      <c r="AF101" s="253"/>
      <c r="AG101" s="5415"/>
      <c r="AH101" s="5415"/>
      <c r="AI101" s="5415"/>
      <c r="AJ101" s="5498">
        <v>18</v>
      </c>
      <c r="AK101" s="518"/>
      <c r="AL101" s="5415"/>
      <c r="AM101" s="518"/>
      <c r="AN101" s="5415"/>
      <c r="AO101" s="518"/>
      <c r="AP101" s="5415"/>
      <c r="AQ101" s="518"/>
      <c r="AR101" s="5415"/>
      <c r="AS101" s="5415"/>
      <c r="AT101" s="5415"/>
      <c r="AU101" s="329"/>
    </row>
    <row r="102" spans="1:58" ht="15" customHeight="1">
      <c r="A102" s="139"/>
      <c r="B102" s="1839"/>
      <c r="C102" s="5518"/>
      <c r="D102" s="5519"/>
      <c r="E102" s="1839"/>
      <c r="F102" s="1839"/>
      <c r="G102" s="1839"/>
      <c r="H102" s="1839"/>
      <c r="I102" s="1839"/>
      <c r="J102" s="1839"/>
      <c r="K102" s="1839"/>
      <c r="L102" s="1839"/>
      <c r="M102" s="1839"/>
      <c r="N102" s="1839"/>
      <c r="O102" s="1839"/>
      <c r="P102" s="1839"/>
      <c r="Q102" s="1839"/>
      <c r="R102" s="1839"/>
      <c r="S102" s="1839"/>
      <c r="T102" s="1839"/>
      <c r="U102" s="1839"/>
      <c r="V102" s="1839"/>
      <c r="W102" s="1839"/>
      <c r="X102" s="139"/>
      <c r="Y102" s="343"/>
      <c r="Z102" s="5415"/>
      <c r="AA102" s="5415"/>
      <c r="AB102" s="253"/>
      <c r="AC102" s="253"/>
      <c r="AD102" s="253"/>
      <c r="AE102" s="253"/>
      <c r="AF102" s="253"/>
      <c r="AG102" s="5415"/>
      <c r="AH102" s="5415"/>
      <c r="AI102" s="5415"/>
      <c r="AJ102" s="5415"/>
      <c r="AK102" s="5415"/>
      <c r="AL102" s="5415"/>
      <c r="AM102" s="5415"/>
      <c r="AN102" s="5415"/>
      <c r="AO102" s="5415"/>
      <c r="AP102" s="5415"/>
      <c r="AQ102" s="5415"/>
      <c r="AR102" s="5415"/>
      <c r="AS102" s="5415"/>
      <c r="AT102" s="5415"/>
      <c r="AU102" s="329"/>
    </row>
    <row r="103" spans="1:58" ht="13.5" customHeight="1">
      <c r="A103" s="139"/>
      <c r="B103" s="3406" t="s">
        <v>3027</v>
      </c>
      <c r="C103" s="3406"/>
      <c r="D103" s="2617"/>
      <c r="E103" s="88"/>
      <c r="F103" s="88"/>
      <c r="G103" s="88"/>
      <c r="H103" s="88"/>
      <c r="I103" s="88"/>
      <c r="J103" s="88"/>
      <c r="K103" s="88"/>
      <c r="L103" s="88"/>
      <c r="M103" s="88"/>
      <c r="N103" s="88"/>
      <c r="O103" s="88"/>
      <c r="P103" s="88"/>
      <c r="Q103" s="88"/>
      <c r="R103" s="88"/>
      <c r="S103" s="88"/>
      <c r="T103" s="88"/>
      <c r="U103" s="88"/>
      <c r="V103" s="88"/>
      <c r="W103" s="88"/>
      <c r="X103" s="139"/>
      <c r="Y103" s="343"/>
      <c r="Z103" s="5415"/>
      <c r="AA103" s="5415"/>
      <c r="AB103" s="253"/>
      <c r="AC103" s="253"/>
      <c r="AD103" s="253"/>
      <c r="AE103" s="253"/>
      <c r="AF103" s="253"/>
      <c r="AG103" s="5415"/>
      <c r="AH103" s="5415"/>
      <c r="AI103" s="5415"/>
      <c r="AJ103" s="5415"/>
      <c r="AK103" s="5415"/>
      <c r="AL103" s="5415"/>
      <c r="AM103" s="5415"/>
      <c r="AN103" s="5415"/>
      <c r="AO103" s="5415"/>
      <c r="AP103" s="5415"/>
      <c r="AQ103" s="5415"/>
      <c r="AR103" s="5415"/>
      <c r="AS103" s="5415"/>
      <c r="AT103" s="5415"/>
      <c r="AU103" s="329"/>
    </row>
    <row r="104" spans="1:58" ht="13.5" customHeight="1">
      <c r="A104" s="139"/>
      <c r="B104" s="2432"/>
      <c r="C104" s="2438"/>
      <c r="D104" s="2432"/>
      <c r="E104" s="2432"/>
      <c r="F104" s="2432"/>
      <c r="G104" s="2432"/>
      <c r="H104" s="2432"/>
      <c r="I104" s="2432"/>
      <c r="J104" s="2432"/>
      <c r="K104" s="2432"/>
      <c r="L104" s="2432"/>
      <c r="M104" s="2432"/>
      <c r="N104" s="2432"/>
      <c r="O104" s="2432"/>
      <c r="P104" s="2432"/>
      <c r="Q104" s="2432"/>
      <c r="R104" s="2432"/>
      <c r="S104" s="2432"/>
      <c r="T104" s="2432"/>
      <c r="U104" s="2432"/>
      <c r="V104" s="2432"/>
      <c r="W104" s="2432"/>
      <c r="X104" s="139"/>
      <c r="Y104" s="343"/>
      <c r="Z104" s="5415"/>
      <c r="AA104" s="5415"/>
      <c r="AB104" s="253"/>
      <c r="AC104" s="253"/>
      <c r="AD104" s="253"/>
      <c r="AE104" s="253"/>
      <c r="AF104" s="253"/>
      <c r="AG104" s="5415"/>
      <c r="AH104" s="5415"/>
      <c r="AI104" s="5415"/>
      <c r="AJ104" s="5415"/>
      <c r="AK104" s="5415"/>
      <c r="AL104" s="5415"/>
      <c r="AM104" s="5415"/>
      <c r="AN104" s="5415"/>
      <c r="AO104" s="5415"/>
      <c r="AP104" s="5415"/>
      <c r="AQ104" s="5415"/>
      <c r="AR104" s="5415"/>
      <c r="AS104" s="5415"/>
      <c r="AT104" s="5415"/>
      <c r="AU104" s="329"/>
    </row>
    <row r="105" spans="1:58" ht="17.25" customHeight="1">
      <c r="A105" s="139"/>
      <c r="B105" s="88"/>
      <c r="C105" s="5520">
        <v>19</v>
      </c>
      <c r="D105" s="3440" t="s">
        <v>5510</v>
      </c>
      <c r="E105" s="88"/>
      <c r="F105" s="88"/>
      <c r="G105" s="88"/>
      <c r="H105" s="88"/>
      <c r="I105" s="88"/>
      <c r="J105" s="88"/>
      <c r="K105" s="88"/>
      <c r="L105" s="88"/>
      <c r="M105" s="88"/>
      <c r="N105" s="88"/>
      <c r="O105" s="88"/>
      <c r="P105" s="88"/>
      <c r="Q105" s="88"/>
      <c r="R105" s="88"/>
      <c r="S105" s="88"/>
      <c r="T105" s="5488"/>
      <c r="U105" s="88"/>
      <c r="V105" s="88"/>
      <c r="W105" s="88"/>
      <c r="X105" s="139"/>
      <c r="Y105" s="343"/>
      <c r="Z105" s="5415"/>
      <c r="AA105" s="5415"/>
      <c r="AB105" s="253"/>
      <c r="AC105" s="253"/>
      <c r="AD105" s="253"/>
      <c r="AE105" s="253"/>
      <c r="AF105" s="253"/>
      <c r="AG105" s="5415"/>
      <c r="AH105" s="5415"/>
      <c r="AI105" s="5415"/>
      <c r="AJ105" s="5415"/>
      <c r="AK105" s="5415"/>
      <c r="AL105" s="5415"/>
      <c r="AM105" s="5415"/>
      <c r="AN105" s="5415"/>
      <c r="AO105" s="5415"/>
      <c r="AP105" s="5415"/>
      <c r="AQ105" s="5415"/>
      <c r="AR105" s="5415"/>
      <c r="AS105" s="5415"/>
      <c r="AT105" s="5415"/>
      <c r="AU105" s="329"/>
    </row>
    <row r="106" spans="1:58" ht="12.75" customHeight="1" thickBot="1">
      <c r="A106" s="139"/>
      <c r="B106" s="88"/>
      <c r="C106" s="228"/>
      <c r="D106" s="3440" t="s">
        <v>3028</v>
      </c>
      <c r="E106" s="88"/>
      <c r="F106" s="88"/>
      <c r="G106" s="88"/>
      <c r="H106" s="88"/>
      <c r="I106" s="88"/>
      <c r="J106" s="88"/>
      <c r="K106" s="88"/>
      <c r="L106" s="88"/>
      <c r="M106" s="88"/>
      <c r="N106" s="88"/>
      <c r="O106" s="88"/>
      <c r="P106" s="88"/>
      <c r="Q106" s="88"/>
      <c r="R106" s="88"/>
      <c r="S106" s="88"/>
      <c r="T106" s="5448"/>
      <c r="U106" s="88"/>
      <c r="V106" s="88"/>
      <c r="W106" s="88"/>
      <c r="X106" s="139"/>
      <c r="Y106" s="343"/>
      <c r="Z106" s="5415"/>
      <c r="AA106" s="5415"/>
      <c r="AB106" s="253"/>
      <c r="AC106" s="253"/>
      <c r="AD106" s="253"/>
      <c r="AE106" s="253"/>
      <c r="AF106" s="253"/>
      <c r="AG106" s="5415"/>
      <c r="AH106" s="5415"/>
      <c r="AI106" s="5415"/>
      <c r="AJ106" s="5415"/>
      <c r="AK106" s="5415"/>
      <c r="AL106" s="5415"/>
      <c r="AM106" s="5415"/>
      <c r="AN106" s="5415"/>
      <c r="AO106" s="5415"/>
      <c r="AP106" s="5415"/>
      <c r="AQ106" s="5415"/>
      <c r="AR106" s="5415"/>
      <c r="AS106" s="5415"/>
      <c r="AT106" s="5415"/>
      <c r="AU106" s="329"/>
    </row>
    <row r="107" spans="1:58" ht="12.75" customHeight="1" thickBot="1">
      <c r="A107" s="139"/>
      <c r="B107" s="88"/>
      <c r="C107" s="228"/>
      <c r="D107" s="3440" t="s">
        <v>5149</v>
      </c>
      <c r="E107" s="88"/>
      <c r="F107" s="88"/>
      <c r="G107" s="88"/>
      <c r="H107" s="3440" t="s">
        <v>5150</v>
      </c>
      <c r="I107" s="88"/>
      <c r="J107" s="88"/>
      <c r="K107" s="88"/>
      <c r="L107" s="88"/>
      <c r="M107" s="88"/>
      <c r="N107" s="88"/>
      <c r="O107" s="88"/>
      <c r="P107" s="88"/>
      <c r="Q107" s="88"/>
      <c r="R107" s="88"/>
      <c r="S107" s="5445"/>
      <c r="T107" s="5521">
        <v>19</v>
      </c>
      <c r="U107" s="9295">
        <f>IF(Z107&lt;&gt;"",ROUND(Z107,0),IF(AND(NOT($P$80),V83&lt;&gt;""),V165,0))</f>
        <v>0</v>
      </c>
      <c r="V107" s="9296"/>
      <c r="W107" s="9296"/>
      <c r="X107" s="139"/>
      <c r="Y107" s="343"/>
      <c r="Z107" s="114"/>
      <c r="AA107" s="5415"/>
      <c r="AB107" s="253"/>
      <c r="AC107" s="253"/>
      <c r="AD107" s="253"/>
      <c r="AE107" s="253"/>
      <c r="AF107" s="253"/>
      <c r="AG107" s="5415"/>
      <c r="AH107" s="5415"/>
      <c r="AI107" s="5415"/>
      <c r="AJ107" s="5415"/>
      <c r="AK107" s="5415"/>
      <c r="AL107" s="5415"/>
      <c r="AM107" s="5415"/>
      <c r="AN107" s="5415"/>
      <c r="AO107" s="5415"/>
      <c r="AP107" s="5415"/>
      <c r="AQ107" s="5415"/>
      <c r="AR107" s="5415"/>
      <c r="AS107" s="5415"/>
      <c r="AT107" s="5415"/>
      <c r="AU107" s="329"/>
    </row>
    <row r="108" spans="1:58" ht="12.75" customHeight="1">
      <c r="A108" s="5472"/>
      <c r="B108" s="5473"/>
      <c r="C108" s="5474"/>
      <c r="D108" s="5475"/>
      <c r="E108" s="5473"/>
      <c r="F108" s="5473"/>
      <c r="G108" s="5522"/>
      <c r="H108" s="5473"/>
      <c r="I108" s="5473"/>
      <c r="J108" s="5473"/>
      <c r="K108" s="5473"/>
      <c r="L108" s="5473"/>
      <c r="M108" s="5473"/>
      <c r="N108" s="5473"/>
      <c r="O108" s="5473"/>
      <c r="P108" s="5473"/>
      <c r="Q108" s="5476"/>
      <c r="R108" s="5477"/>
      <c r="S108" s="5473"/>
      <c r="T108" s="5473"/>
      <c r="U108" s="5479"/>
      <c r="V108" s="5479" t="s">
        <v>2992</v>
      </c>
      <c r="W108" s="5523" t="str">
        <f>"("&amp;TaxYear&amp;")"</f>
        <v>(2025)</v>
      </c>
      <c r="X108" s="5472"/>
      <c r="Y108" s="343"/>
      <c r="Z108" s="5415"/>
      <c r="AA108" s="5415"/>
      <c r="AB108" s="512">
        <f>IF(AE108,17,15)</f>
        <v>15</v>
      </c>
      <c r="AC108" s="512"/>
      <c r="AD108" s="512"/>
      <c r="AE108" s="5524" t="b">
        <f>AND($AB$109=2,'1040'!BQ11)</f>
        <v>0</v>
      </c>
      <c r="AF108" s="253"/>
      <c r="AG108" s="5415"/>
      <c r="AH108" s="5415"/>
      <c r="AI108" s="5415"/>
      <c r="AJ108" s="5415"/>
      <c r="AK108" s="5415"/>
      <c r="AL108" s="5415"/>
      <c r="AM108" s="5415"/>
      <c r="AN108" s="5415"/>
      <c r="AO108" s="5415"/>
      <c r="AP108" s="5415"/>
      <c r="AQ108" s="5415"/>
      <c r="AR108" s="5415"/>
      <c r="AS108" s="5415"/>
      <c r="AT108" s="5415"/>
      <c r="AU108" s="329"/>
    </row>
    <row r="109" spans="1:58" ht="12.75" customHeight="1">
      <c r="A109" s="139"/>
      <c r="B109" s="5525" t="s">
        <v>3034</v>
      </c>
      <c r="C109" s="510"/>
      <c r="D109" s="510"/>
      <c r="E109" s="510"/>
      <c r="F109" s="510"/>
      <c r="G109" s="510"/>
      <c r="H109" s="510"/>
      <c r="I109" s="510"/>
      <c r="J109" s="510"/>
      <c r="K109" s="510"/>
      <c r="L109" s="510"/>
      <c r="M109" s="510"/>
      <c r="N109" s="510"/>
      <c r="O109" s="510"/>
      <c r="P109" s="510"/>
      <c r="Q109" s="510"/>
      <c r="R109" s="510"/>
      <c r="S109" s="510"/>
      <c r="T109" s="510"/>
      <c r="U109" s="510"/>
      <c r="V109" s="510"/>
      <c r="W109" s="510"/>
      <c r="X109" s="139"/>
      <c r="Y109" s="1828"/>
      <c r="Z109" s="5415"/>
      <c r="AA109" s="5415"/>
      <c r="AB109" s="1243">
        <f>WEEKDAY($AC$109)</f>
        <v>4</v>
      </c>
      <c r="AC109" s="5526" t="str">
        <f>"15-Apr-"&amp;TaxYear+1</f>
        <v>15-Apr-2026</v>
      </c>
      <c r="AD109" s="512"/>
      <c r="AE109" s="1198"/>
      <c r="AF109" s="253"/>
      <c r="AG109" s="5415"/>
      <c r="AH109" s="5415"/>
      <c r="AI109" s="5415"/>
      <c r="AJ109" s="5415"/>
      <c r="AK109" s="5415"/>
      <c r="AL109" s="5415"/>
      <c r="AM109" s="5415"/>
      <c r="AN109" s="5415"/>
      <c r="AO109" s="5415"/>
      <c r="AP109" s="5415"/>
      <c r="AQ109" s="5415"/>
      <c r="AR109" s="5415"/>
      <c r="AS109" s="5415"/>
      <c r="AT109" s="5415"/>
      <c r="AU109" s="329"/>
    </row>
    <row r="110" spans="1:58" ht="15.75">
      <c r="A110" s="139"/>
      <c r="B110" s="975" t="s">
        <v>3035</v>
      </c>
      <c r="C110" s="411"/>
      <c r="D110" s="411"/>
      <c r="E110" s="411"/>
      <c r="F110" s="411"/>
      <c r="G110" s="411"/>
      <c r="H110" s="411"/>
      <c r="I110" s="411"/>
      <c r="J110" s="411"/>
      <c r="K110" s="411"/>
      <c r="L110" s="411"/>
      <c r="M110" s="411"/>
      <c r="N110" s="411"/>
      <c r="O110" s="411"/>
      <c r="P110" s="411"/>
      <c r="Q110" s="411"/>
      <c r="R110" s="411"/>
      <c r="S110" s="411"/>
      <c r="T110" s="411"/>
      <c r="U110" s="5527" t="s">
        <v>926</v>
      </c>
      <c r="V110" s="411"/>
      <c r="W110" s="411"/>
      <c r="X110" s="139"/>
      <c r="Y110" s="343"/>
      <c r="Z110" s="5415"/>
      <c r="AA110" s="5415"/>
      <c r="AB110" s="253"/>
      <c r="AC110" s="253"/>
      <c r="AD110" s="253"/>
      <c r="AE110" s="253"/>
      <c r="AF110" s="253"/>
      <c r="AG110" s="5415"/>
      <c r="AH110" s="5415"/>
      <c r="AI110" s="5415"/>
      <c r="AJ110" s="5415"/>
      <c r="AK110" s="5415"/>
      <c r="AL110" s="5415"/>
      <c r="AM110" s="5415"/>
      <c r="AN110" s="5415"/>
      <c r="AO110" s="5415"/>
      <c r="AP110" s="5415"/>
      <c r="AQ110" s="5415"/>
      <c r="AR110" s="5415"/>
      <c r="AS110" s="5415"/>
      <c r="AT110" s="5415"/>
      <c r="AU110" s="329"/>
    </row>
    <row r="111" spans="1:58" s="207" customFormat="1" ht="17.25" customHeight="1">
      <c r="A111" s="139"/>
      <c r="B111" s="5528" t="s">
        <v>3036</v>
      </c>
      <c r="C111" s="411"/>
      <c r="D111" s="411"/>
      <c r="E111" s="411"/>
      <c r="F111" s="411"/>
      <c r="G111" s="411"/>
      <c r="H111" s="411"/>
      <c r="I111" s="411"/>
      <c r="J111" s="411"/>
      <c r="K111" s="411"/>
      <c r="L111" s="411"/>
      <c r="M111" s="411"/>
      <c r="N111" s="411"/>
      <c r="O111" s="411"/>
      <c r="P111" s="411"/>
      <c r="Q111" s="411"/>
      <c r="R111" s="411"/>
      <c r="S111" s="411"/>
      <c r="T111" s="411"/>
      <c r="U111" s="5527"/>
      <c r="V111" s="411"/>
      <c r="W111" s="411"/>
      <c r="X111" s="139"/>
      <c r="Y111" s="343"/>
      <c r="Z111" s="5415"/>
      <c r="AA111" s="5415"/>
      <c r="AB111" s="253"/>
      <c r="AC111" s="253"/>
      <c r="AD111" s="253"/>
      <c r="AE111" s="253"/>
      <c r="AF111" s="253"/>
      <c r="AG111" s="5415"/>
      <c r="AH111" s="5415"/>
      <c r="AI111" s="5415"/>
      <c r="AJ111" s="5415"/>
      <c r="AK111" s="5415"/>
      <c r="AL111" s="5415"/>
      <c r="AM111" s="5415"/>
      <c r="AN111" s="5415"/>
      <c r="AO111" s="5415"/>
      <c r="AP111" s="5415"/>
      <c r="AQ111" s="5415"/>
      <c r="AR111" s="5415"/>
      <c r="AS111" s="5415"/>
      <c r="AT111" s="5415"/>
      <c r="AU111" s="329"/>
      <c r="AV111" s="658"/>
      <c r="AW111" s="658"/>
      <c r="AX111" s="658"/>
      <c r="AY111" s="658"/>
      <c r="AZ111" s="658"/>
      <c r="BA111" s="658"/>
      <c r="BB111" s="658"/>
      <c r="BC111" s="658"/>
      <c r="BD111" s="658"/>
      <c r="BE111" s="658"/>
      <c r="BF111" s="658"/>
    </row>
    <row r="112" spans="1:58" ht="20.25" customHeight="1">
      <c r="A112" s="139"/>
      <c r="B112" s="5528" t="s">
        <v>3037</v>
      </c>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139"/>
      <c r="Y112" s="343"/>
      <c r="Z112" s="5415"/>
      <c r="AA112" s="5415"/>
      <c r="AB112" s="253"/>
      <c r="AC112" s="253"/>
      <c r="AD112" s="253"/>
      <c r="AE112" s="253"/>
      <c r="AF112" s="253"/>
      <c r="AG112" s="5415"/>
      <c r="AH112" s="5415"/>
      <c r="AI112" s="5415"/>
      <c r="AJ112" s="5415"/>
      <c r="AK112" s="5415"/>
      <c r="AL112" s="5415"/>
      <c r="AM112" s="5415"/>
      <c r="AN112" s="5415"/>
      <c r="AO112" s="5415"/>
      <c r="AP112" s="5415"/>
      <c r="AQ112" s="5415"/>
      <c r="AR112" s="5415"/>
      <c r="AS112" s="5415"/>
      <c r="AT112" s="5415"/>
      <c r="AU112" s="329"/>
    </row>
    <row r="113" spans="1:58" ht="16.5" customHeight="1">
      <c r="A113" s="139"/>
      <c r="B113" s="5528" t="s">
        <v>3038</v>
      </c>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139"/>
      <c r="Y113" s="343"/>
      <c r="Z113" s="5415"/>
      <c r="AA113" s="5415"/>
      <c r="AB113" s="253"/>
      <c r="AC113" s="253"/>
      <c r="AD113" s="253"/>
      <c r="AE113" s="253"/>
      <c r="AF113" s="253"/>
      <c r="AG113" s="5415"/>
      <c r="AH113" s="5415"/>
      <c r="AI113" s="5415"/>
      <c r="AJ113" s="5415"/>
      <c r="AK113" s="5415"/>
      <c r="AL113" s="5415"/>
      <c r="AM113" s="5415"/>
      <c r="AN113" s="5415"/>
      <c r="AO113" s="5415"/>
      <c r="AP113" s="5415"/>
      <c r="AQ113" s="5415"/>
      <c r="AR113" s="5415"/>
      <c r="AS113" s="5415"/>
      <c r="AT113" s="5415"/>
      <c r="AU113" s="329"/>
    </row>
    <row r="114" spans="1:58" ht="13.5" customHeight="1">
      <c r="A114" s="139"/>
      <c r="B114" s="9274" t="str">
        <f>IF(Q179="","Enter payment information below.  (Starting on row "&amp;ROW(Q179)&amp;".)","")</f>
        <v>Enter payment information below.  (Starting on row 179.)</v>
      </c>
      <c r="C114" s="9275"/>
      <c r="D114" s="9275"/>
      <c r="E114" s="9275"/>
      <c r="F114" s="9275"/>
      <c r="G114" s="9275"/>
      <c r="H114" s="9275"/>
      <c r="I114" s="9275"/>
      <c r="J114" s="9275"/>
      <c r="K114" s="9275"/>
      <c r="L114" s="9275"/>
      <c r="M114" s="9275"/>
      <c r="N114" s="9276"/>
      <c r="O114" s="2890"/>
      <c r="P114" s="9282" t="s">
        <v>3000</v>
      </c>
      <c r="Q114" s="9283"/>
      <c r="R114" s="9283"/>
      <c r="S114" s="9283"/>
      <c r="T114" s="9283"/>
      <c r="U114" s="9283"/>
      <c r="V114" s="9283"/>
      <c r="W114" s="9283"/>
      <c r="X114" s="139"/>
      <c r="Y114" s="343"/>
      <c r="Z114" s="5415"/>
      <c r="AA114" s="5415"/>
      <c r="AB114" s="253"/>
      <c r="AC114" s="253"/>
      <c r="AD114" s="253"/>
      <c r="AE114" s="253"/>
      <c r="AF114" s="253"/>
      <c r="AG114" s="5415"/>
      <c r="AH114" s="5415"/>
      <c r="AI114" s="5415"/>
      <c r="AJ114" s="5415"/>
      <c r="AK114" s="5415"/>
      <c r="AL114" s="5415"/>
      <c r="AM114" s="5415"/>
      <c r="AN114" s="5415"/>
      <c r="AO114" s="5415"/>
      <c r="AP114" s="5415"/>
      <c r="AQ114" s="5415"/>
      <c r="AR114" s="5415"/>
      <c r="AS114" s="5415"/>
      <c r="AT114" s="5415"/>
      <c r="AU114" s="329"/>
    </row>
    <row r="115" spans="1:58" ht="15" customHeight="1">
      <c r="A115" s="139"/>
      <c r="B115" s="9277"/>
      <c r="C115" s="9278"/>
      <c r="D115" s="9278"/>
      <c r="E115" s="9278"/>
      <c r="F115" s="9278"/>
      <c r="G115" s="9278"/>
      <c r="H115" s="9278"/>
      <c r="I115" s="9278"/>
      <c r="J115" s="9278"/>
      <c r="K115" s="9278"/>
      <c r="L115" s="9278"/>
      <c r="M115" s="9278"/>
      <c r="N115" s="9279"/>
      <c r="O115" s="726"/>
      <c r="P115" s="9265" t="s">
        <v>2198</v>
      </c>
      <c r="Q115" s="9280"/>
      <c r="R115" s="9265" t="s">
        <v>2199</v>
      </c>
      <c r="S115" s="9280"/>
      <c r="T115" s="9265" t="s">
        <v>3001</v>
      </c>
      <c r="U115" s="9313"/>
      <c r="V115" s="9265" t="s">
        <v>2148</v>
      </c>
      <c r="W115" s="9266"/>
      <c r="X115" s="139"/>
      <c r="Y115" s="343"/>
      <c r="Z115" s="5415"/>
      <c r="AA115" s="5415"/>
      <c r="AB115" s="253"/>
      <c r="AC115" s="253"/>
      <c r="AD115" s="253"/>
      <c r="AE115" s="253"/>
      <c r="AF115" s="253"/>
      <c r="AG115" s="5415"/>
      <c r="AH115" s="5415"/>
      <c r="AI115" s="5415"/>
      <c r="AJ115" s="5415"/>
      <c r="AK115" s="5415"/>
      <c r="AL115" s="5415"/>
      <c r="AM115" s="5415"/>
      <c r="AN115" s="5415"/>
      <c r="AO115" s="5415"/>
      <c r="AP115" s="5415"/>
      <c r="AQ115" s="5415"/>
      <c r="AR115" s="5415"/>
      <c r="AS115" s="5415"/>
      <c r="AT115" s="5415"/>
      <c r="AU115" s="329"/>
    </row>
    <row r="116" spans="1:58" ht="15" customHeight="1" thickBot="1">
      <c r="A116" s="139"/>
      <c r="B116" s="9277"/>
      <c r="C116" s="9278"/>
      <c r="D116" s="9278"/>
      <c r="E116" s="9278"/>
      <c r="F116" s="9278"/>
      <c r="G116" s="9278"/>
      <c r="H116" s="9278"/>
      <c r="I116" s="9278"/>
      <c r="J116" s="9278"/>
      <c r="K116" s="9278"/>
      <c r="L116" s="9278"/>
      <c r="M116" s="9278"/>
      <c r="N116" s="9279"/>
      <c r="O116" s="4782"/>
      <c r="P116" s="9251">
        <f>P73</f>
        <v>45762</v>
      </c>
      <c r="Q116" s="9259"/>
      <c r="R116" s="9251">
        <f>R73</f>
        <v>45823</v>
      </c>
      <c r="S116" s="9260"/>
      <c r="T116" s="9251">
        <f>T73</f>
        <v>45915</v>
      </c>
      <c r="U116" s="9259"/>
      <c r="V116" s="9251">
        <f>V73</f>
        <v>46037</v>
      </c>
      <c r="W116" s="9252"/>
      <c r="X116" s="139"/>
      <c r="Y116" s="343"/>
      <c r="Z116" s="5415"/>
      <c r="AA116" s="5415"/>
      <c r="AB116" s="253"/>
      <c r="AC116" s="253"/>
      <c r="AD116" s="253"/>
      <c r="AE116" s="253"/>
      <c r="AF116" s="253"/>
      <c r="AG116" s="5415"/>
      <c r="AH116" s="5415"/>
      <c r="AI116" s="5415"/>
      <c r="AJ116" s="5415"/>
      <c r="AK116" s="1291" t="s">
        <v>2361</v>
      </c>
      <c r="AL116" s="5415"/>
      <c r="AM116" s="5415"/>
      <c r="AN116" s="5415"/>
      <c r="AO116" s="5415"/>
      <c r="AP116" s="5415"/>
      <c r="AQ116" s="5415"/>
      <c r="AR116" s="5415"/>
      <c r="AS116" s="5415"/>
      <c r="AT116" s="5415"/>
      <c r="AU116" s="329"/>
    </row>
    <row r="117" spans="1:58" ht="13.5" customHeight="1" thickBot="1">
      <c r="A117" s="139"/>
      <c r="B117" s="5366"/>
      <c r="C117" s="5529" t="s">
        <v>3039</v>
      </c>
      <c r="D117" s="507" t="s">
        <v>3040</v>
      </c>
      <c r="E117" s="5367"/>
      <c r="F117" s="5367"/>
      <c r="G117" s="5367"/>
      <c r="H117" s="5367"/>
      <c r="I117" s="5367"/>
      <c r="J117" s="5367"/>
      <c r="K117" s="5367"/>
      <c r="L117" s="5367"/>
      <c r="M117" s="5367"/>
      <c r="N117" s="974" t="s">
        <v>875</v>
      </c>
      <c r="O117" s="2926" t="s">
        <v>333</v>
      </c>
      <c r="P117" s="9262" t="str">
        <f>IF(AK117&lt;&gt;"",ROUND(AK117,0),IF(OR($P$80,P98="",P98=0),"",P98))</f>
        <v/>
      </c>
      <c r="Q117" s="9263"/>
      <c r="R117" s="9262" t="str">
        <f>IF(AM117&lt;&gt;"",ROUND(AM117,0),IF(OR($P$80,R98="",R98=0),"",R98))</f>
        <v/>
      </c>
      <c r="S117" s="9263"/>
      <c r="T117" s="9262" t="str">
        <f>IF(AO117&lt;&gt;"",ROUND(AO117,0),IF(OR($P$80,T98="",T98=0),"",T98))</f>
        <v/>
      </c>
      <c r="U117" s="9263"/>
      <c r="V117" s="9262" t="str">
        <f>IF(AQ117&lt;&gt;"",ROUND(AQ117,0),IF(OR($P$80,V98="",V98=0),"",V98))</f>
        <v/>
      </c>
      <c r="W117" s="9263"/>
      <c r="X117" s="139"/>
      <c r="Y117" s="343"/>
      <c r="Z117" s="5494" t="s">
        <v>2994</v>
      </c>
      <c r="AA117" s="5415"/>
      <c r="AB117" s="253"/>
      <c r="AC117" s="253"/>
      <c r="AD117" s="253"/>
      <c r="AE117" s="253"/>
      <c r="AF117" s="253"/>
      <c r="AG117" s="5415"/>
      <c r="AH117" s="5415"/>
      <c r="AI117" s="5415"/>
      <c r="AJ117" s="5498" t="s">
        <v>5157</v>
      </c>
      <c r="AK117" s="518"/>
      <c r="AL117" s="5415"/>
      <c r="AM117" s="518"/>
      <c r="AN117" s="5415"/>
      <c r="AO117" s="518"/>
      <c r="AP117" s="5415"/>
      <c r="AQ117" s="518"/>
      <c r="AR117" s="5415"/>
      <c r="AS117" s="5415"/>
      <c r="AT117" s="5415"/>
      <c r="AU117" s="329"/>
    </row>
    <row r="118" spans="1:58" ht="13.5" customHeight="1">
      <c r="A118" s="139"/>
      <c r="B118" s="5530"/>
      <c r="C118" s="5363"/>
      <c r="D118" s="9289" t="s">
        <v>3041</v>
      </c>
      <c r="E118" s="9290"/>
      <c r="F118" s="9290"/>
      <c r="G118" s="9290"/>
      <c r="H118" s="9290"/>
      <c r="I118" s="9290"/>
      <c r="J118" s="9290"/>
      <c r="K118" s="9290"/>
      <c r="L118" s="9290"/>
      <c r="M118" s="9290"/>
      <c r="N118" s="9291"/>
      <c r="O118" s="5531"/>
      <c r="P118" s="9261" t="str">
        <f>P117</f>
        <v/>
      </c>
      <c r="Q118" s="9261"/>
      <c r="R118" s="9261">
        <f>SUM(P117,R117)</f>
        <v>0</v>
      </c>
      <c r="S118" s="9261"/>
      <c r="T118" s="9261">
        <f>SUM(P117,R117,T117)</f>
        <v>0</v>
      </c>
      <c r="U118" s="9261"/>
      <c r="V118" s="9261">
        <f>SUM(P117,R117,T117,V117)</f>
        <v>0</v>
      </c>
      <c r="W118" s="9261"/>
      <c r="X118" s="139"/>
      <c r="Y118" s="343"/>
      <c r="Z118" s="5415"/>
      <c r="AA118" s="5415"/>
      <c r="AB118" s="253"/>
      <c r="AC118" s="253"/>
      <c r="AD118" s="253"/>
      <c r="AE118" s="253"/>
      <c r="AF118" s="253"/>
      <c r="AG118" s="5415"/>
      <c r="AH118" s="5415"/>
      <c r="AI118" s="5415"/>
      <c r="AJ118" s="5415"/>
      <c r="AK118" s="5415"/>
      <c r="AL118" s="5415"/>
      <c r="AM118" s="5415"/>
      <c r="AN118" s="5415"/>
      <c r="AO118" s="5415"/>
      <c r="AP118" s="5415"/>
      <c r="AQ118" s="5415"/>
      <c r="AR118" s="5415"/>
      <c r="AS118" s="5415"/>
      <c r="AT118" s="5415"/>
      <c r="AU118" s="329"/>
    </row>
    <row r="119" spans="1:58" ht="13.5" customHeight="1">
      <c r="A119" s="139"/>
      <c r="B119" s="5532"/>
      <c r="C119" s="5533" t="s">
        <v>335</v>
      </c>
      <c r="D119" s="9272"/>
      <c r="E119" s="9272"/>
      <c r="F119" s="9272"/>
      <c r="G119" s="9272"/>
      <c r="H119" s="9272"/>
      <c r="I119" s="9272"/>
      <c r="J119" s="9272"/>
      <c r="K119" s="9272"/>
      <c r="L119" s="9272"/>
      <c r="M119" s="9272"/>
      <c r="N119" s="9273"/>
      <c r="O119" s="5534"/>
      <c r="P119" s="9261">
        <f>IF(LOOKUP(P118,$U$178:$U$234,$U$178:$U$234)=P118,LOOKUP(P118,$U$178:$U$234,$N$178:$N$234),LOOKUP(P118,$U$178:$U$234,$N$178:$N$234)+1)</f>
        <v>233</v>
      </c>
      <c r="Q119" s="9261"/>
      <c r="R119" s="9261">
        <f>IF(LOOKUP(R118,$U$178:$U$234,$U$178:$U$234)=R118,LOOKUP(R118,$U$178:$U$234,$N$178:$N$234),LOOKUP(R118,$U$178:$U$234,$N$178:$N$234)+1)</f>
        <v>178</v>
      </c>
      <c r="S119" s="9261"/>
      <c r="T119" s="9261">
        <f>IF(LOOKUP(T118,$U$178:$U$234,$U$178:$U$234)=T118,LOOKUP(T118,$U$178:$U$234,$N$178:$N$234),LOOKUP(T118,$U$178:$U$234,$N$178:$N$234)+1)</f>
        <v>178</v>
      </c>
      <c r="U119" s="9261"/>
      <c r="V119" s="9261">
        <f>IF(LOOKUP(V118,$U$178:$U$234,$U$178:$U$234)=V118,LOOKUP(V118,$U$178:$U$234,$N$178:$N$234),LOOKUP(V118,$U$178:$U$234,$N$178:$N$234)+1)</f>
        <v>178</v>
      </c>
      <c r="W119" s="9261"/>
      <c r="X119" s="139"/>
      <c r="Y119" s="343"/>
      <c r="Z119" s="5415"/>
      <c r="AA119" s="5415"/>
      <c r="AB119" s="253"/>
      <c r="AC119" s="253"/>
      <c r="AD119" s="253"/>
      <c r="AE119" s="253"/>
      <c r="AF119" s="253"/>
      <c r="AG119" s="5415"/>
      <c r="AH119" s="5415"/>
      <c r="AI119" s="5415"/>
      <c r="AJ119" s="5415"/>
      <c r="AK119" s="5415"/>
      <c r="AL119" s="5415"/>
      <c r="AM119" s="5415"/>
      <c r="AN119" s="5415"/>
      <c r="AO119" s="5415"/>
      <c r="AP119" s="5415"/>
      <c r="AQ119" s="5415"/>
      <c r="AR119" s="5415"/>
      <c r="AS119" s="5415"/>
      <c r="AT119" s="5415"/>
      <c r="AU119" s="329"/>
    </row>
    <row r="120" spans="1:58" ht="13.5" customHeight="1">
      <c r="A120" s="139"/>
      <c r="B120" s="5532"/>
      <c r="C120" s="1972"/>
      <c r="D120" s="9272"/>
      <c r="E120" s="9272"/>
      <c r="F120" s="9272"/>
      <c r="G120" s="9272"/>
      <c r="H120" s="9272"/>
      <c r="I120" s="9272"/>
      <c r="J120" s="9272"/>
      <c r="K120" s="9272"/>
      <c r="L120" s="9272"/>
      <c r="M120" s="9272"/>
      <c r="N120" s="9273"/>
      <c r="O120" s="5534"/>
      <c r="P120" s="9284">
        <f>IF(ISERROR(LOOKUP(P119,$N$178:$N$234,$Q$178:$Q$234)),DATEVALUE("15-Apr-"&amp;TaxYear),LOOKUP(P119,$N$178:$N$234,$Q$178:$Q$234))</f>
        <v>0</v>
      </c>
      <c r="Q120" s="9264"/>
      <c r="R120" s="9264">
        <f>IF(ISERROR(LOOKUP(R119,$N$178:$N$234,$Q$178:$Q$234)),DATEVALUE("15-Apr-"&amp;TaxYear),LOOKUP(R119,$N$178:$N$234,$Q$178:$Q$234))</f>
        <v>45658</v>
      </c>
      <c r="S120" s="9264"/>
      <c r="T120" s="9264">
        <f>IF(ISERROR(LOOKUP(T119,$N$178:$N$234,$Q$178:$Q$234)),DATEVALUE("15-Apr-"&amp;TaxYear),LOOKUP(T119,$N$178:$N$234,$Q$178:$Q$234))</f>
        <v>45658</v>
      </c>
      <c r="U120" s="9264"/>
      <c r="V120" s="9264">
        <f>IF(ISERROR(LOOKUP(V119,$N$178:$N$234,$Q$178:$Q$234)),DATEVALUE("15-Apr-"&amp;TaxYear),LOOKUP(V119,$N$178:$N$234,$Q$178:$Q$234))</f>
        <v>45658</v>
      </c>
      <c r="W120" s="9264"/>
      <c r="X120" s="139"/>
      <c r="Y120" s="343"/>
      <c r="Z120" s="5415"/>
      <c r="AA120" s="5415"/>
      <c r="AB120" s="253"/>
      <c r="AC120" s="253"/>
      <c r="AD120" s="253"/>
      <c r="AE120" s="253"/>
      <c r="AF120" s="253"/>
      <c r="AG120" s="5415"/>
      <c r="AH120" s="5415"/>
      <c r="AI120" s="5415"/>
      <c r="AJ120" s="5415"/>
      <c r="AK120" s="5415"/>
      <c r="AL120" s="5415"/>
      <c r="AM120" s="5415"/>
      <c r="AN120" s="5415"/>
      <c r="AO120" s="5415"/>
      <c r="AP120" s="5415"/>
      <c r="AQ120" s="5415"/>
      <c r="AR120" s="5415"/>
      <c r="AS120" s="5415"/>
      <c r="AT120" s="5415"/>
      <c r="AU120" s="329"/>
    </row>
    <row r="121" spans="1:58" ht="13.5" customHeight="1" thickBot="1">
      <c r="A121" s="139"/>
      <c r="B121" s="5532"/>
      <c r="C121" s="1972"/>
      <c r="D121" s="9272"/>
      <c r="E121" s="9272"/>
      <c r="F121" s="9272"/>
      <c r="G121" s="9272"/>
      <c r="H121" s="9272"/>
      <c r="I121" s="9272"/>
      <c r="J121" s="9272"/>
      <c r="K121" s="9272"/>
      <c r="L121" s="9272"/>
      <c r="M121" s="9272"/>
      <c r="N121" s="9273"/>
      <c r="O121" s="5534"/>
      <c r="P121" s="9281" t="e">
        <f>MIN(P117,LOOKUP(P122,$Q$178:$Q$234,$U$178:$U$234))</f>
        <v>#N/A</v>
      </c>
      <c r="Q121" s="9267"/>
      <c r="R121" s="9267" t="e">
        <f>MIN(R117,LOOKUP(R122,$Q$178:$Q$234,$U$178:$U$234))</f>
        <v>#N/A</v>
      </c>
      <c r="S121" s="9267"/>
      <c r="T121" s="9267" t="e">
        <f>MIN(T117,LOOKUP(T122,$Q$178:$Q$234,$U$178:$U$234))</f>
        <v>#N/A</v>
      </c>
      <c r="U121" s="9267"/>
      <c r="V121" s="9267" t="e">
        <f>MIN(V117,LOOKUP(V122,$Q$178:$Q$234,$U$178:$U$234))</f>
        <v>#N/A</v>
      </c>
      <c r="W121" s="9267"/>
      <c r="X121" s="139"/>
      <c r="Y121" s="343"/>
      <c r="Z121" s="5415"/>
      <c r="AA121" s="5415"/>
      <c r="AB121" s="9512" t="s">
        <v>5154</v>
      </c>
      <c r="AC121" s="9512"/>
      <c r="AD121" s="9512"/>
      <c r="AE121" s="9512"/>
      <c r="AF121" s="9512"/>
      <c r="AG121" s="5415"/>
      <c r="AH121" s="5415"/>
      <c r="AI121" s="5415"/>
      <c r="AJ121" s="5415"/>
      <c r="AK121" s="1291" t="s">
        <v>2361</v>
      </c>
      <c r="AL121" s="5415"/>
      <c r="AM121" s="5415"/>
      <c r="AN121" s="5415"/>
      <c r="AO121" s="5415"/>
      <c r="AP121" s="5415"/>
      <c r="AQ121" s="5415"/>
      <c r="AR121" s="5415"/>
      <c r="AS121" s="5415"/>
      <c r="AT121" s="5415"/>
      <c r="AU121" s="329"/>
    </row>
    <row r="122" spans="1:58" ht="13.5" customHeight="1" thickBot="1">
      <c r="A122" s="139"/>
      <c r="B122" s="5532"/>
      <c r="C122" s="1972"/>
      <c r="D122" s="9272"/>
      <c r="E122" s="9272"/>
      <c r="F122" s="9272"/>
      <c r="G122" s="9272"/>
      <c r="H122" s="9272"/>
      <c r="I122" s="9272"/>
      <c r="J122" s="9272"/>
      <c r="K122" s="9272"/>
      <c r="L122" s="9272"/>
      <c r="M122" s="9272"/>
      <c r="N122" s="9273"/>
      <c r="O122" s="5534"/>
      <c r="P122" s="9245" t="str">
        <f>IF(AK122&lt;&gt;"",AK122,IF(P117="","",MAX(Q128,Q138,Q148,Q158)))</f>
        <v/>
      </c>
      <c r="Q122" s="9245"/>
      <c r="R122" s="9245" t="str">
        <f>IF(AM122&lt;&gt;"",AM122,IF(R117="","",MAX(S128,S138,S148,S158)))</f>
        <v/>
      </c>
      <c r="S122" s="9245"/>
      <c r="T122" s="9245" t="str">
        <f>IF(AO122&lt;&gt;"",AO122,IF(T117="","",MAX(U138,U148,U158)))</f>
        <v/>
      </c>
      <c r="U122" s="9245"/>
      <c r="V122" s="9245" t="str">
        <f>IF(AQ122&lt;&gt;"",AQ122,IF(OR(W158=0,W158="",V117=""),"",W158))</f>
        <v/>
      </c>
      <c r="W122" s="9245"/>
      <c r="X122" s="139"/>
      <c r="Y122" s="343"/>
      <c r="Z122" s="5415"/>
      <c r="AA122" s="5415"/>
      <c r="AB122" s="9512" t="s">
        <v>5155</v>
      </c>
      <c r="AC122" s="9512"/>
      <c r="AD122" s="9512"/>
      <c r="AE122" s="9512"/>
      <c r="AF122" s="9512"/>
      <c r="AG122" s="5415"/>
      <c r="AH122" s="5415"/>
      <c r="AI122" s="5415"/>
      <c r="AJ122" s="5498"/>
      <c r="AK122" s="1788"/>
      <c r="AL122" s="5415"/>
      <c r="AM122" s="1788"/>
      <c r="AN122" s="5415"/>
      <c r="AO122" s="1788"/>
      <c r="AP122" s="5415"/>
      <c r="AQ122" s="1788"/>
      <c r="AR122" s="5415"/>
      <c r="AS122" s="5415"/>
      <c r="AT122" s="5415"/>
      <c r="AU122" s="329"/>
    </row>
    <row r="123" spans="1:58" ht="13.5" customHeight="1" thickBot="1">
      <c r="A123" s="139"/>
      <c r="B123" s="5535"/>
      <c r="C123" s="5536"/>
      <c r="D123" s="9292"/>
      <c r="E123" s="9292"/>
      <c r="F123" s="9292"/>
      <c r="G123" s="9292"/>
      <c r="H123" s="9292"/>
      <c r="I123" s="9292"/>
      <c r="J123" s="9292"/>
      <c r="K123" s="9292"/>
      <c r="L123" s="9292"/>
      <c r="M123" s="9292"/>
      <c r="N123" s="9293"/>
      <c r="O123" s="5537" t="s">
        <v>3042</v>
      </c>
      <c r="P123" s="9246" t="str">
        <f>IF(AK123&lt;&gt;"",ROUND(AK123,0),IF(OR($P$80,ISERROR(MIN(P117,LOOKUP(P122,$Q$178:$Q$234,$U$178:$U$234)))),"",MIN(P117,LOOKUP(P122,$Q$178:$Q$234,$U$178:$U$234))))</f>
        <v/>
      </c>
      <c r="Q123" s="9246"/>
      <c r="R123" s="9246" t="str">
        <f>IF(AM123&lt;&gt;"",ROUND(AM123,0),IF(OR($P$80,ISERROR(MIN(R117,LOOKUP(R122,$Q$178:$Q$234,$U$178:$U$234)))),"",MIN(R117,LOOKUP(R122,$Q$178:$Q$234,$U$178:$U$234))))</f>
        <v/>
      </c>
      <c r="S123" s="9246"/>
      <c r="T123" s="9246" t="str">
        <f>IF(AO123&lt;&gt;"",ROUND(AO123,0),IF(OR($P$80,ISERROR(MIN(T117,LOOKUP(T122,$Q$178:$Q$234,$U$178:$U$234)))),"",MIN(T117,LOOKUP(T122,$Q$178:$Q$234,$U$178:$U$234))))</f>
        <v/>
      </c>
      <c r="U123" s="9246"/>
      <c r="V123" s="9246" t="str">
        <f>IF(AQ123&lt;&gt;"",ROUND(AQ123,0),IF(OR($P$80,ISERROR(MIN(V117,LOOKUP(V122,$Q$178:$Q$234,$U$178:$U$234)))),"",MIN(V117,LOOKUP(V122,$Q$178:$Q$234,$U$178:$U$234))))</f>
        <v/>
      </c>
      <c r="W123" s="9247"/>
      <c r="X123" s="139"/>
      <c r="Y123" s="343"/>
      <c r="Z123" s="5415"/>
      <c r="AA123" s="5415"/>
      <c r="AB123" s="9513" t="str">
        <f>"'DATE' associated with row number."</f>
        <v>'DATE' associated with row number.</v>
      </c>
      <c r="AC123" s="9512"/>
      <c r="AD123" s="9512"/>
      <c r="AE123" s="9512"/>
      <c r="AF123" s="9512"/>
      <c r="AG123" s="5415"/>
      <c r="AH123" s="5415"/>
      <c r="AI123" s="5415"/>
      <c r="AJ123" s="5498" t="s">
        <v>3042</v>
      </c>
      <c r="AK123" s="518"/>
      <c r="AL123" s="5415"/>
      <c r="AM123" s="518"/>
      <c r="AN123" s="5415"/>
      <c r="AO123" s="518"/>
      <c r="AP123" s="5415"/>
      <c r="AQ123" s="518"/>
      <c r="AR123" s="5415"/>
      <c r="AS123" s="5415"/>
      <c r="AT123" s="5415"/>
      <c r="AU123" s="329"/>
    </row>
    <row r="124" spans="1:58" s="138" customFormat="1" ht="13.5" customHeight="1">
      <c r="A124" s="144"/>
      <c r="B124" s="5532"/>
      <c r="C124" s="1524" t="s">
        <v>3043</v>
      </c>
      <c r="D124" s="1524"/>
      <c r="E124" s="1972"/>
      <c r="F124" s="1524" t="str">
        <f>TEXT(K125,"MMMM D, YYYY")&amp;"—"&amp;TEXT(K126,"MMMM D, YYYY")</f>
        <v>April 16, 2025—June 30, 2025</v>
      </c>
      <c r="G124" s="1972"/>
      <c r="H124" s="1972"/>
      <c r="I124" s="1972"/>
      <c r="J124" s="1972"/>
      <c r="K124" s="1972"/>
      <c r="L124" s="1972"/>
      <c r="M124" s="1972"/>
      <c r="N124" s="5538"/>
      <c r="O124" s="5539"/>
      <c r="P124" s="9256"/>
      <c r="Q124" s="9257"/>
      <c r="R124" s="9256"/>
      <c r="S124" s="9257"/>
      <c r="T124" s="5540"/>
      <c r="U124" s="5541"/>
      <c r="V124" s="5542"/>
      <c r="W124" s="5543"/>
      <c r="X124" s="144"/>
      <c r="Y124" s="343"/>
      <c r="Z124" s="5415"/>
      <c r="AA124" s="5415"/>
      <c r="AB124" s="9512" t="s">
        <v>5156</v>
      </c>
      <c r="AC124" s="9512"/>
      <c r="AD124" s="9512"/>
      <c r="AE124" s="9512"/>
      <c r="AF124" s="9512"/>
      <c r="AG124" s="5415"/>
      <c r="AH124" s="5415"/>
      <c r="AI124" s="5415"/>
      <c r="AJ124" s="5415"/>
      <c r="AK124" s="5415"/>
      <c r="AL124" s="5415"/>
      <c r="AM124" s="5415"/>
      <c r="AN124" s="5415"/>
      <c r="AO124" s="5415"/>
      <c r="AP124" s="5415"/>
      <c r="AQ124" s="5415"/>
      <c r="AR124" s="5415"/>
      <c r="AS124" s="5415"/>
      <c r="AT124" s="5415"/>
      <c r="AU124" s="329"/>
      <c r="AV124" s="658"/>
      <c r="AW124" s="658"/>
      <c r="AX124" s="658"/>
      <c r="AY124" s="658"/>
      <c r="AZ124" s="658"/>
      <c r="BA124" s="658"/>
      <c r="BB124" s="658"/>
      <c r="BC124" s="658"/>
      <c r="BD124" s="658"/>
      <c r="BE124" s="658"/>
      <c r="BF124" s="658"/>
    </row>
    <row r="125" spans="1:58" ht="13.5" customHeight="1">
      <c r="A125" s="139"/>
      <c r="B125" s="5532"/>
      <c r="C125" s="5364">
        <v>2</v>
      </c>
      <c r="D125" s="2126" t="s">
        <v>3044</v>
      </c>
      <c r="E125" s="1972"/>
      <c r="F125" s="1972"/>
      <c r="G125" s="1972"/>
      <c r="H125" s="1972"/>
      <c r="I125" s="1972"/>
      <c r="J125" s="1972"/>
      <c r="K125" s="9268">
        <f>DATEVALUE("16-Apr-"&amp;TaxYear)</f>
        <v>45763</v>
      </c>
      <c r="L125" s="9269"/>
      <c r="M125" s="9269"/>
      <c r="N125" s="9270"/>
      <c r="O125" s="5544" t="s">
        <v>230</v>
      </c>
      <c r="P125" s="9251">
        <f>P73</f>
        <v>45762</v>
      </c>
      <c r="Q125" s="9259"/>
      <c r="R125" s="9251">
        <f>R73</f>
        <v>45823</v>
      </c>
      <c r="S125" s="9260"/>
      <c r="T125" s="5543"/>
      <c r="U125" s="5545"/>
      <c r="V125" s="5546"/>
      <c r="W125" s="5547"/>
      <c r="X125" s="139"/>
      <c r="Y125" s="343"/>
      <c r="Z125" s="5415"/>
      <c r="AA125" s="5415"/>
      <c r="AB125" s="5415"/>
      <c r="AC125" s="5415"/>
      <c r="AD125" s="5415"/>
      <c r="AE125" s="5415"/>
      <c r="AF125" s="5415"/>
      <c r="AG125" s="5415"/>
      <c r="AH125" s="5415"/>
      <c r="AI125" s="5415"/>
      <c r="AJ125" s="5415"/>
      <c r="AK125" s="5415"/>
      <c r="AL125" s="5415"/>
      <c r="AM125" s="5415"/>
      <c r="AN125" s="5415"/>
      <c r="AO125" s="5415"/>
      <c r="AP125" s="5415"/>
      <c r="AQ125" s="5415"/>
      <c r="AR125" s="5415"/>
      <c r="AS125" s="5415"/>
      <c r="AT125" s="5415"/>
      <c r="AU125" s="329"/>
    </row>
    <row r="126" spans="1:58" ht="13.5" customHeight="1">
      <c r="A126" s="139"/>
      <c r="B126" s="5532"/>
      <c r="C126" s="516"/>
      <c r="D126" s="516"/>
      <c r="E126" s="516"/>
      <c r="F126" s="516"/>
      <c r="G126" s="516"/>
      <c r="H126" s="516"/>
      <c r="I126" s="516"/>
      <c r="J126" s="516"/>
      <c r="K126" s="9268">
        <f>DATEVALUE("30-Jun-"&amp;TaxYear)</f>
        <v>45838</v>
      </c>
      <c r="L126" s="9269"/>
      <c r="M126" s="9269"/>
      <c r="N126" s="9270"/>
      <c r="O126" s="5534"/>
      <c r="P126" s="9250" t="s">
        <v>3045</v>
      </c>
      <c r="Q126" s="8288"/>
      <c r="R126" s="9250" t="s">
        <v>3045</v>
      </c>
      <c r="S126" s="8288"/>
      <c r="T126" s="5547"/>
      <c r="U126" s="5548"/>
      <c r="V126" s="5546"/>
      <c r="W126" s="5547"/>
      <c r="X126" s="139"/>
      <c r="Y126" s="343"/>
      <c r="Z126" s="5415"/>
      <c r="AA126" s="5415"/>
      <c r="AB126" s="5415"/>
      <c r="AC126" s="5415"/>
      <c r="AD126" s="5415"/>
      <c r="AE126" s="5415"/>
      <c r="AF126" s="5415"/>
      <c r="AG126" s="5415"/>
      <c r="AH126" s="5415"/>
      <c r="AI126" s="5415"/>
      <c r="AJ126" s="5415"/>
      <c r="AK126" s="5415"/>
      <c r="AL126" s="5415"/>
      <c r="AM126" s="5415"/>
      <c r="AN126" s="5415"/>
      <c r="AO126" s="5415"/>
      <c r="AP126" s="5415"/>
      <c r="AQ126" s="5415"/>
      <c r="AR126" s="5415"/>
      <c r="AS126" s="5415"/>
      <c r="AT126" s="5415"/>
      <c r="AU126" s="329"/>
    </row>
    <row r="127" spans="1:58" ht="15">
      <c r="A127" s="139"/>
      <c r="B127" s="5532"/>
      <c r="C127" s="1972"/>
      <c r="D127" s="1972"/>
      <c r="E127" s="1972"/>
      <c r="F127" s="1972"/>
      <c r="G127" s="1972"/>
      <c r="H127" s="1972"/>
      <c r="I127" s="1972"/>
      <c r="J127" s="1972"/>
      <c r="K127" s="1972"/>
      <c r="L127" s="1972"/>
      <c r="M127" s="1972"/>
      <c r="N127" s="5538"/>
      <c r="O127" s="5534"/>
      <c r="P127" s="5549"/>
      <c r="Q127" s="5550"/>
      <c r="R127" s="5549"/>
      <c r="S127" s="5550"/>
      <c r="T127" s="5547"/>
      <c r="U127" s="5548"/>
      <c r="V127" s="5546"/>
      <c r="W127" s="5547"/>
      <c r="X127" s="139"/>
      <c r="Y127" s="343"/>
      <c r="Z127" s="5415"/>
      <c r="AA127" s="5415"/>
      <c r="AB127" s="5415"/>
      <c r="AC127" s="5415"/>
      <c r="AD127" s="5415"/>
      <c r="AE127" s="5415"/>
      <c r="AF127" s="5415"/>
      <c r="AG127" s="5415"/>
      <c r="AH127" s="5415"/>
      <c r="AI127" s="5415"/>
      <c r="AJ127" s="5415"/>
      <c r="AK127" s="5415"/>
      <c r="AL127" s="5415"/>
      <c r="AM127" s="5415"/>
      <c r="AN127" s="5415"/>
      <c r="AO127" s="5415"/>
      <c r="AP127" s="5415"/>
      <c r="AQ127" s="5415"/>
      <c r="AR127" s="5415"/>
      <c r="AS127" s="5415"/>
      <c r="AT127" s="5415"/>
      <c r="AU127" s="329"/>
    </row>
    <row r="128" spans="1:58" ht="13.5" customHeight="1">
      <c r="A128" s="139"/>
      <c r="B128" s="5532"/>
      <c r="C128" s="5364">
        <v>3</v>
      </c>
      <c r="D128" s="1171" t="s">
        <v>3046</v>
      </c>
      <c r="E128" s="1972"/>
      <c r="F128" s="1972"/>
      <c r="G128" s="1972"/>
      <c r="H128" s="1972"/>
      <c r="I128" s="1972"/>
      <c r="J128" s="1972"/>
      <c r="K128" s="1972"/>
      <c r="L128" s="1972"/>
      <c r="M128" s="1972"/>
      <c r="N128" s="5538"/>
      <c r="O128" s="5534"/>
      <c r="P128" s="5551"/>
      <c r="Q128" s="5552">
        <f>IF(P$120&gt;$K126,$K126,P$120)</f>
        <v>0</v>
      </c>
      <c r="R128" s="5553"/>
      <c r="S128" s="5552">
        <f>IF(R$120&gt;$K126,$K126,R$120)</f>
        <v>45658</v>
      </c>
      <c r="T128" s="5547"/>
      <c r="U128" s="5548"/>
      <c r="V128" s="5546"/>
      <c r="W128" s="5547"/>
      <c r="X128" s="139"/>
      <c r="Y128" s="343"/>
      <c r="Z128" s="5415"/>
      <c r="AA128" s="5415"/>
      <c r="AB128" s="5415"/>
      <c r="AC128" s="5415"/>
      <c r="AD128" s="5415"/>
      <c r="AE128" s="5415"/>
      <c r="AF128" s="5415"/>
      <c r="AG128" s="5415"/>
      <c r="AH128" s="5415"/>
      <c r="AI128" s="5415"/>
      <c r="AJ128" s="5415"/>
      <c r="AK128" s="5415"/>
      <c r="AL128" s="5415"/>
      <c r="AM128" s="5415"/>
      <c r="AN128" s="5415"/>
      <c r="AO128" s="5415"/>
      <c r="AP128" s="5415"/>
      <c r="AQ128" s="5415"/>
      <c r="AR128" s="5415"/>
      <c r="AS128" s="5415"/>
      <c r="AT128" s="5415"/>
      <c r="AU128" s="329"/>
    </row>
    <row r="129" spans="1:70" ht="10.5" customHeight="1">
      <c r="A129" s="139"/>
      <c r="B129" s="5532"/>
      <c r="C129" s="1972"/>
      <c r="D129" s="1171" t="s">
        <v>3047</v>
      </c>
      <c r="E129" s="1972"/>
      <c r="F129" s="1972"/>
      <c r="G129" s="1171" t="str">
        <f>TEXT(K126,"M/D/YY")&amp;", whichever is earlier"</f>
        <v>6/30/25, whichever is earlier</v>
      </c>
      <c r="H129" s="1972"/>
      <c r="I129" s="1972"/>
      <c r="J129" s="1972"/>
      <c r="K129" s="1972"/>
      <c r="L129" s="1972"/>
      <c r="M129" s="1972"/>
      <c r="N129" s="5445" t="s">
        <v>627</v>
      </c>
      <c r="O129" s="5554">
        <v>3</v>
      </c>
      <c r="P129" s="9253" t="str">
        <f>IF(OR(P123=""),"",IF(Q128-P125&lt;0,0,SUM(Q128,-P125)))</f>
        <v/>
      </c>
      <c r="Q129" s="9258"/>
      <c r="R129" s="9253" t="str">
        <f>IF(OR(R123=""),"",IF(S128-R125&lt;0,0,SUM(S128,-R125)))</f>
        <v/>
      </c>
      <c r="S129" s="9258"/>
      <c r="T129" s="5547"/>
      <c r="U129" s="5548"/>
      <c r="V129" s="5546"/>
      <c r="W129" s="5547"/>
      <c r="X129" s="139"/>
      <c r="Y129" s="343"/>
      <c r="Z129" s="5415"/>
      <c r="AA129" s="5415"/>
      <c r="AB129" s="5415"/>
      <c r="AC129" s="5415"/>
      <c r="AD129" s="5415"/>
      <c r="AE129" s="5415"/>
      <c r="AF129" s="5415"/>
      <c r="AG129" s="5415"/>
      <c r="AH129" s="5415"/>
      <c r="AI129" s="5415"/>
      <c r="AJ129" s="5415"/>
      <c r="AK129" s="5415"/>
      <c r="AL129" s="5415"/>
      <c r="AM129" s="5415"/>
      <c r="AN129" s="5415"/>
      <c r="AO129" s="5415"/>
      <c r="AP129" s="5415"/>
      <c r="AQ129" s="5415"/>
      <c r="AR129" s="5415"/>
      <c r="AS129" s="5415"/>
      <c r="AT129" s="5415"/>
      <c r="AU129" s="329"/>
    </row>
    <row r="130" spans="1:70" ht="13.5" customHeight="1">
      <c r="A130" s="139"/>
      <c r="B130" s="5532"/>
      <c r="C130" s="1972"/>
      <c r="D130" s="1972"/>
      <c r="E130" s="1972"/>
      <c r="F130" s="1972"/>
      <c r="G130" s="1972"/>
      <c r="H130" s="1972"/>
      <c r="I130" s="1972"/>
      <c r="J130" s="1972"/>
      <c r="K130" s="1972"/>
      <c r="L130" s="1972"/>
      <c r="M130" s="1972"/>
      <c r="N130" s="5538"/>
      <c r="O130" s="5534"/>
      <c r="P130" s="5555"/>
      <c r="Q130" s="5556"/>
      <c r="R130" s="5555"/>
      <c r="S130" s="5556"/>
      <c r="T130" s="5547"/>
      <c r="U130" s="5548"/>
      <c r="V130" s="5546"/>
      <c r="W130" s="5547"/>
      <c r="X130" s="139"/>
      <c r="Y130" s="343"/>
      <c r="Z130" s="5415"/>
      <c r="AA130" s="5415"/>
      <c r="AB130" s="5415"/>
      <c r="AC130" s="5415"/>
      <c r="AD130" s="5415"/>
      <c r="AE130" s="5415"/>
      <c r="AF130" s="5415"/>
      <c r="AG130" s="5415"/>
      <c r="AH130" s="5415"/>
      <c r="AI130" s="5415"/>
      <c r="AJ130" s="5415"/>
      <c r="AK130" s="5415"/>
      <c r="AL130" s="5415"/>
      <c r="AM130" s="5415"/>
      <c r="AN130" s="5415"/>
      <c r="AO130" s="5415"/>
      <c r="AP130" s="5415"/>
      <c r="AQ130" s="5415"/>
      <c r="AR130" s="5415"/>
      <c r="AS130" s="5415"/>
      <c r="AT130" s="5415"/>
      <c r="AU130" s="329"/>
    </row>
    <row r="131" spans="1:70" ht="13.5" customHeight="1">
      <c r="A131" s="139"/>
      <c r="B131" s="5532"/>
      <c r="C131" s="5364">
        <v>4</v>
      </c>
      <c r="D131" s="1972"/>
      <c r="E131" s="1990" t="s">
        <v>3048</v>
      </c>
      <c r="F131" s="1972"/>
      <c r="G131" s="1972"/>
      <c r="H131" s="1171" t="s">
        <v>3049</v>
      </c>
      <c r="I131" s="5364"/>
      <c r="J131" s="1972"/>
      <c r="K131" s="1972"/>
      <c r="L131" s="1972"/>
      <c r="M131" s="1972"/>
      <c r="N131" s="5538"/>
      <c r="O131" s="5534"/>
      <c r="P131" s="5557"/>
      <c r="Q131" s="5556"/>
      <c r="R131" s="5557"/>
      <c r="S131" s="5556"/>
      <c r="T131" s="5547"/>
      <c r="U131" s="5548"/>
      <c r="V131" s="5546"/>
      <c r="W131" s="5547"/>
      <c r="X131" s="139"/>
      <c r="Y131" s="343"/>
      <c r="Z131" s="5415"/>
      <c r="AA131" s="5415"/>
      <c r="AB131" s="5415"/>
      <c r="AC131" s="5415"/>
      <c r="AD131" s="5415"/>
      <c r="AE131" s="5415"/>
      <c r="AF131" s="5415"/>
      <c r="AG131" s="5415"/>
      <c r="AH131" s="5415"/>
      <c r="AI131" s="5415"/>
      <c r="AJ131" s="5415"/>
      <c r="AK131" s="5415"/>
      <c r="AL131" s="5415"/>
      <c r="AM131" s="5415"/>
      <c r="AN131" s="5415"/>
      <c r="AO131" s="5415"/>
      <c r="AP131" s="5415"/>
      <c r="AQ131" s="5415"/>
      <c r="AR131" s="5415"/>
      <c r="AS131" s="5415"/>
      <c r="AT131" s="5415"/>
      <c r="AU131" s="329"/>
    </row>
    <row r="132" spans="1:70" ht="13.5" customHeight="1">
      <c r="A132" s="139"/>
      <c r="B132" s="5532"/>
      <c r="C132" s="5364"/>
      <c r="D132" s="2126"/>
      <c r="E132" s="1990" t="s">
        <v>3050</v>
      </c>
      <c r="F132" s="1972"/>
      <c r="G132" s="2024" t="s">
        <v>1962</v>
      </c>
      <c r="H132" s="5536"/>
      <c r="I132" s="1999" t="s">
        <v>3051</v>
      </c>
      <c r="J132" s="5536"/>
      <c r="K132" s="850" t="s">
        <v>1962</v>
      </c>
      <c r="L132" s="9271">
        <v>7.0000000000000007E-2</v>
      </c>
      <c r="M132" s="9272"/>
      <c r="N132" s="9273"/>
      <c r="O132" s="5534"/>
      <c r="P132" s="5555"/>
      <c r="Q132" s="5556"/>
      <c r="R132" s="5555"/>
      <c r="S132" s="5556"/>
      <c r="T132" s="5547"/>
      <c r="U132" s="5548"/>
      <c r="V132" s="5546"/>
      <c r="W132" s="5547"/>
      <c r="X132" s="139"/>
      <c r="Y132" s="343"/>
      <c r="Z132" s="5415"/>
      <c r="AA132" s="5415"/>
      <c r="AB132" s="5415"/>
      <c r="AC132" s="5415"/>
      <c r="AD132" s="5415"/>
      <c r="AE132" s="5415"/>
      <c r="AF132" s="5415"/>
      <c r="AG132" s="5415"/>
      <c r="AH132" s="5415"/>
      <c r="AI132" s="5415"/>
      <c r="AJ132" s="5415"/>
      <c r="AK132" s="5415"/>
      <c r="AL132" s="5415"/>
      <c r="AM132" s="5415"/>
      <c r="AN132" s="5415"/>
      <c r="AO132" s="5415"/>
      <c r="AP132" s="5415"/>
      <c r="AQ132" s="5415"/>
      <c r="AR132" s="5415"/>
      <c r="AS132" s="5415"/>
      <c r="AT132" s="5415"/>
      <c r="AU132" s="329"/>
    </row>
    <row r="133" spans="1:70" ht="13.5" customHeight="1">
      <c r="A133" s="139"/>
      <c r="B133" s="5535"/>
      <c r="C133" s="5536"/>
      <c r="D133" s="507"/>
      <c r="E133" s="5536"/>
      <c r="F133" s="5536"/>
      <c r="G133" s="5536"/>
      <c r="H133" s="5536"/>
      <c r="I133" s="5558">
        <f>DaysInTaxYear</f>
        <v>365</v>
      </c>
      <c r="J133" s="5536"/>
      <c r="K133" s="5536"/>
      <c r="L133" s="5536"/>
      <c r="M133" s="5536"/>
      <c r="N133" s="5559"/>
      <c r="O133" s="5554">
        <v>4</v>
      </c>
      <c r="P133" s="9248" t="str">
        <f>IF(OR(P123=""),"",ROUND(P$117*P129/$I133*$L132,2))</f>
        <v/>
      </c>
      <c r="Q133" s="9249"/>
      <c r="R133" s="9248" t="str">
        <f>IF(OR(R123=""),"",ROUND(R$117*R129/$I133*$L132,2))</f>
        <v/>
      </c>
      <c r="S133" s="9249"/>
      <c r="T133" s="5560"/>
      <c r="U133" s="5561"/>
      <c r="V133" s="5546"/>
      <c r="W133" s="5547"/>
      <c r="X133" s="139"/>
      <c r="Y133" s="343"/>
      <c r="Z133" s="5415"/>
      <c r="AA133" s="5415"/>
      <c r="AB133" s="5415"/>
      <c r="AC133" s="5415"/>
      <c r="AD133" s="5415"/>
      <c r="AE133" s="5415"/>
      <c r="AF133" s="5415"/>
      <c r="AG133" s="5415"/>
      <c r="AH133" s="5415"/>
      <c r="AI133" s="5415"/>
      <c r="AJ133" s="5415"/>
      <c r="AK133" s="5415"/>
      <c r="AL133" s="5415"/>
      <c r="AM133" s="5415"/>
      <c r="AN133" s="5415"/>
      <c r="AO133" s="5415"/>
      <c r="AP133" s="5415"/>
      <c r="AQ133" s="5415"/>
      <c r="AR133" s="5415"/>
      <c r="AS133" s="5415"/>
      <c r="AT133" s="5415"/>
      <c r="AU133" s="329"/>
    </row>
    <row r="134" spans="1:70" ht="13.5" customHeight="1">
      <c r="A134" s="144"/>
      <c r="B134" s="5532"/>
      <c r="C134" s="1524" t="s">
        <v>3052</v>
      </c>
      <c r="D134" s="1524"/>
      <c r="E134" s="1972"/>
      <c r="F134" s="1524" t="str">
        <f>TEXT(K135,"MMMM D, YYYY")&amp;"—"&amp;TEXT(K136,"MMMM D, YYYY")</f>
        <v>July 1, 2025—September 30, 2025</v>
      </c>
      <c r="G134" s="1972"/>
      <c r="H134" s="1972"/>
      <c r="I134" s="1972"/>
      <c r="J134" s="1972"/>
      <c r="K134" s="1972"/>
      <c r="L134" s="1972"/>
      <c r="M134" s="1972"/>
      <c r="N134" s="5538"/>
      <c r="O134" s="5539"/>
      <c r="P134" s="9256"/>
      <c r="Q134" s="9257"/>
      <c r="R134" s="9256"/>
      <c r="S134" s="9257"/>
      <c r="T134" s="5540"/>
      <c r="U134" s="5541"/>
      <c r="V134" s="5546"/>
      <c r="W134" s="5547"/>
      <c r="X134" s="144"/>
      <c r="Y134" s="343"/>
      <c r="Z134" s="5415"/>
      <c r="AA134" s="5415"/>
      <c r="AB134" s="5415"/>
      <c r="AC134" s="5415"/>
      <c r="AD134" s="5415"/>
      <c r="AE134" s="5415"/>
      <c r="AF134" s="5415"/>
      <c r="AG134" s="5415"/>
      <c r="AH134" s="5415"/>
      <c r="AI134" s="5415"/>
      <c r="AJ134" s="5415"/>
      <c r="AK134" s="5415"/>
      <c r="AL134" s="5415"/>
      <c r="AM134" s="5415"/>
      <c r="AN134" s="5415"/>
      <c r="AO134" s="5415"/>
      <c r="AP134" s="5415"/>
      <c r="AQ134" s="5415"/>
      <c r="AR134" s="5415"/>
      <c r="AS134" s="5415"/>
      <c r="AT134" s="5415"/>
      <c r="AU134" s="329"/>
    </row>
    <row r="135" spans="1:70" ht="13.5" customHeight="1">
      <c r="A135" s="139"/>
      <c r="B135" s="5532"/>
      <c r="C135" s="5364">
        <v>5</v>
      </c>
      <c r="D135" s="2126" t="s">
        <v>3044</v>
      </c>
      <c r="E135" s="1972"/>
      <c r="F135" s="1972"/>
      <c r="G135" s="1972"/>
      <c r="H135" s="1972"/>
      <c r="I135" s="1972"/>
      <c r="J135" s="1972"/>
      <c r="K135" s="9268">
        <f>DATEVALUE("1-Jul-"&amp;TaxYear)</f>
        <v>45839</v>
      </c>
      <c r="L135" s="9269"/>
      <c r="M135" s="9269"/>
      <c r="N135" s="9270"/>
      <c r="O135" s="5544">
        <v>5</v>
      </c>
      <c r="P135" s="9251">
        <f>$K126</f>
        <v>45838</v>
      </c>
      <c r="Q135" s="9259"/>
      <c r="R135" s="9251">
        <f>$K126</f>
        <v>45838</v>
      </c>
      <c r="S135" s="9260"/>
      <c r="T135" s="9251">
        <f>T116</f>
        <v>45915</v>
      </c>
      <c r="U135" s="9259"/>
      <c r="V135" s="5546"/>
      <c r="W135" s="5547"/>
      <c r="X135" s="139"/>
      <c r="Y135" s="343"/>
      <c r="Z135" s="5415"/>
      <c r="AA135" s="5415"/>
      <c r="AB135" s="5415"/>
      <c r="AC135" s="5415"/>
      <c r="AD135" s="5415"/>
      <c r="AE135" s="5415"/>
      <c r="AF135" s="5415"/>
      <c r="AG135" s="5415"/>
      <c r="AH135" s="5415"/>
      <c r="AI135" s="5415"/>
      <c r="AJ135" s="5415"/>
      <c r="AK135" s="5415"/>
      <c r="AL135" s="5415"/>
      <c r="AM135" s="5415"/>
      <c r="AN135" s="5415"/>
      <c r="AO135" s="5415"/>
      <c r="AP135" s="5415"/>
      <c r="AQ135" s="5415"/>
      <c r="AR135" s="5415"/>
      <c r="AS135" s="5415"/>
      <c r="AT135" s="5415"/>
      <c r="AU135" s="329"/>
    </row>
    <row r="136" spans="1:70" ht="13.5" customHeight="1">
      <c r="A136" s="139"/>
      <c r="B136" s="5532"/>
      <c r="C136" s="1972"/>
      <c r="D136" s="1972"/>
      <c r="E136" s="1972"/>
      <c r="F136" s="1972"/>
      <c r="G136" s="1972"/>
      <c r="H136" s="1972"/>
      <c r="I136" s="1972"/>
      <c r="J136" s="1972"/>
      <c r="K136" s="9268">
        <f>DATEVALUE("30-Sep-"&amp;TaxYear)</f>
        <v>45930</v>
      </c>
      <c r="L136" s="9269"/>
      <c r="M136" s="9269"/>
      <c r="N136" s="9270"/>
      <c r="O136" s="5534"/>
      <c r="P136" s="9250" t="s">
        <v>3045</v>
      </c>
      <c r="Q136" s="8288"/>
      <c r="R136" s="9250" t="s">
        <v>3045</v>
      </c>
      <c r="S136" s="8288"/>
      <c r="T136" s="9250" t="s">
        <v>3045</v>
      </c>
      <c r="U136" s="8288"/>
      <c r="V136" s="5546"/>
      <c r="W136" s="5547"/>
      <c r="X136" s="139"/>
      <c r="Y136" s="343"/>
      <c r="Z136" s="5415"/>
      <c r="AA136" s="5415"/>
      <c r="AB136" s="5415"/>
      <c r="AC136" s="5415"/>
      <c r="AD136" s="5415"/>
      <c r="AE136" s="5415"/>
      <c r="AF136" s="5415"/>
      <c r="AG136" s="5415"/>
      <c r="AH136" s="5415"/>
      <c r="AI136" s="5415"/>
      <c r="AJ136" s="5415"/>
      <c r="AK136" s="5415"/>
      <c r="AL136" s="5415"/>
      <c r="AM136" s="5415"/>
      <c r="AN136" s="5415"/>
      <c r="AO136" s="5415"/>
      <c r="AP136" s="5415"/>
      <c r="AQ136" s="5415"/>
      <c r="AR136" s="5415"/>
      <c r="AS136" s="5415"/>
      <c r="AT136" s="5415"/>
      <c r="AU136" s="329"/>
      <c r="BR136" s="207"/>
    </row>
    <row r="137" spans="1:70" ht="13.5" customHeight="1">
      <c r="A137" s="139"/>
      <c r="B137" s="5532"/>
      <c r="C137" s="1972"/>
      <c r="D137" s="1972"/>
      <c r="E137" s="1972"/>
      <c r="F137" s="1972"/>
      <c r="G137" s="1972"/>
      <c r="H137" s="1972"/>
      <c r="I137" s="1972"/>
      <c r="J137" s="1972"/>
      <c r="K137" s="1972"/>
      <c r="L137" s="1972"/>
      <c r="M137" s="1972"/>
      <c r="N137" s="5538"/>
      <c r="O137" s="5534"/>
      <c r="P137" s="5549"/>
      <c r="Q137" s="5550"/>
      <c r="R137" s="5549"/>
      <c r="S137" s="5550"/>
      <c r="T137" s="5549"/>
      <c r="U137" s="5550"/>
      <c r="V137" s="5546"/>
      <c r="W137" s="5547"/>
      <c r="X137" s="139"/>
      <c r="Y137" s="343"/>
      <c r="Z137" s="5415"/>
      <c r="AA137" s="5415"/>
      <c r="AB137" s="5415"/>
      <c r="AC137" s="5415"/>
      <c r="AD137" s="5415"/>
      <c r="AE137" s="5415"/>
      <c r="AF137" s="5415"/>
      <c r="AG137" s="5415"/>
      <c r="AH137" s="5415"/>
      <c r="AI137" s="5415"/>
      <c r="AJ137" s="5415"/>
      <c r="AK137" s="5415"/>
      <c r="AL137" s="5415"/>
      <c r="AM137" s="5415"/>
      <c r="AN137" s="5415"/>
      <c r="AO137" s="5415"/>
      <c r="AP137" s="5415"/>
      <c r="AQ137" s="5415"/>
      <c r="AR137" s="5415"/>
      <c r="AS137" s="5415"/>
      <c r="AT137" s="5415"/>
      <c r="AU137" s="329"/>
      <c r="BR137" s="207"/>
    </row>
    <row r="138" spans="1:70" ht="13.5" customHeight="1">
      <c r="A138" s="139"/>
      <c r="B138" s="5532"/>
      <c r="C138" s="5364">
        <v>6</v>
      </c>
      <c r="D138" s="1171" t="s">
        <v>3053</v>
      </c>
      <c r="E138" s="1972"/>
      <c r="F138" s="1972"/>
      <c r="G138" s="1972"/>
      <c r="H138" s="1972"/>
      <c r="I138" s="1972"/>
      <c r="J138" s="1972"/>
      <c r="K138" s="1972"/>
      <c r="L138" s="1972"/>
      <c r="M138" s="1972"/>
      <c r="N138" s="5538"/>
      <c r="O138" s="5534"/>
      <c r="P138" s="5551"/>
      <c r="Q138" s="5552">
        <f>IF(P$120&gt;$K136,$K136,P$120)</f>
        <v>0</v>
      </c>
      <c r="R138" s="5553"/>
      <c r="S138" s="5552">
        <f>IF(R$120&gt;$K136,$K136,R$120)</f>
        <v>45658</v>
      </c>
      <c r="T138" s="5553"/>
      <c r="U138" s="5552">
        <f>IF(T$120&gt;$K136,$K136,T$120)</f>
        <v>45658</v>
      </c>
      <c r="V138" s="5546"/>
      <c r="W138" s="5547"/>
      <c r="X138" s="139"/>
      <c r="Y138" s="343"/>
      <c r="Z138" s="5415"/>
      <c r="AA138" s="5415"/>
      <c r="AB138" s="5415"/>
      <c r="AC138" s="5415"/>
      <c r="AD138" s="5415"/>
      <c r="AE138" s="5415"/>
      <c r="AF138" s="5415"/>
      <c r="AG138" s="5415"/>
      <c r="AH138" s="5415"/>
      <c r="AI138" s="5415"/>
      <c r="AJ138" s="5415"/>
      <c r="AK138" s="5415"/>
      <c r="AL138" s="5415"/>
      <c r="AM138" s="5415"/>
      <c r="AN138" s="5415"/>
      <c r="AO138" s="5415"/>
      <c r="AP138" s="5415"/>
      <c r="AQ138" s="5415"/>
      <c r="AR138" s="5415"/>
      <c r="AS138" s="5415"/>
      <c r="AT138" s="5415"/>
      <c r="AU138" s="329"/>
      <c r="BR138" s="207"/>
    </row>
    <row r="139" spans="1:70" ht="13.5" customHeight="1">
      <c r="A139" s="139"/>
      <c r="B139" s="5532"/>
      <c r="C139" s="1972"/>
      <c r="D139" s="1171" t="s">
        <v>3047</v>
      </c>
      <c r="E139" s="1972"/>
      <c r="F139" s="1972"/>
      <c r="G139" s="1171" t="str">
        <f>"9/30/"&amp;TaxYear-2000&amp;", whichever is earlier"</f>
        <v>9/30/25, whichever is earlier</v>
      </c>
      <c r="H139" s="1972"/>
      <c r="I139" s="1972"/>
      <c r="J139" s="1972"/>
      <c r="K139" s="1972"/>
      <c r="L139" s="1972"/>
      <c r="M139" s="1972"/>
      <c r="N139" s="5445" t="s">
        <v>627</v>
      </c>
      <c r="O139" s="5554">
        <v>6</v>
      </c>
      <c r="P139" s="9253" t="str">
        <f>IF(OR(P123=""),"",IF(Q138-P135&lt;0,0,SUM(Q138,-P135)))</f>
        <v/>
      </c>
      <c r="Q139" s="9258"/>
      <c r="R139" s="9253" t="str">
        <f>IF(OR(R123=""),"",IF(S138-R135&lt;0,0,SUM(S138,-R135)))</f>
        <v/>
      </c>
      <c r="S139" s="9258"/>
      <c r="T139" s="9253" t="str">
        <f>IF(OR(T123=""),"",IF(U138-T135&lt;0,0,SUM(U138,-T135)))</f>
        <v/>
      </c>
      <c r="U139" s="9258"/>
      <c r="V139" s="5546"/>
      <c r="W139" s="5547"/>
      <c r="X139" s="139"/>
      <c r="Y139" s="343"/>
      <c r="Z139" s="5415"/>
      <c r="AA139" s="5415"/>
      <c r="AB139" s="5415"/>
      <c r="AC139" s="5415"/>
      <c r="AD139" s="5415"/>
      <c r="AE139" s="5415"/>
      <c r="AF139" s="5415"/>
      <c r="AG139" s="5415"/>
      <c r="AH139" s="5415"/>
      <c r="AI139" s="5415"/>
      <c r="AJ139" s="5415"/>
      <c r="AK139" s="5415"/>
      <c r="AL139" s="5415"/>
      <c r="AM139" s="5415"/>
      <c r="AN139" s="5415"/>
      <c r="AO139" s="5415"/>
      <c r="AP139" s="5415"/>
      <c r="AQ139" s="5415"/>
      <c r="AR139" s="5415"/>
      <c r="AS139" s="5415"/>
      <c r="AT139" s="5415"/>
      <c r="AU139" s="329"/>
      <c r="BR139" s="207"/>
    </row>
    <row r="140" spans="1:70" ht="13.5" customHeight="1">
      <c r="A140" s="139"/>
      <c r="B140" s="5532"/>
      <c r="C140" s="1972"/>
      <c r="D140" s="1972"/>
      <c r="E140" s="1972"/>
      <c r="F140" s="1972"/>
      <c r="G140" s="1972"/>
      <c r="H140" s="1972"/>
      <c r="I140" s="1972"/>
      <c r="J140" s="1972"/>
      <c r="K140" s="1972"/>
      <c r="L140" s="1972"/>
      <c r="M140" s="1972"/>
      <c r="N140" s="5538"/>
      <c r="O140" s="5534"/>
      <c r="P140" s="5562"/>
      <c r="Q140" s="5563"/>
      <c r="R140" s="5562"/>
      <c r="S140" s="5563"/>
      <c r="T140" s="5562"/>
      <c r="U140" s="5563"/>
      <c r="V140" s="5546"/>
      <c r="W140" s="5547"/>
      <c r="X140" s="139"/>
      <c r="Y140" s="343"/>
      <c r="Z140" s="5415"/>
      <c r="AA140" s="5415"/>
      <c r="AB140" s="5415"/>
      <c r="AC140" s="5415"/>
      <c r="AD140" s="5415"/>
      <c r="AE140" s="5415"/>
      <c r="AF140" s="5415"/>
      <c r="AG140" s="5415"/>
      <c r="AH140" s="5415"/>
      <c r="AI140" s="5415"/>
      <c r="AJ140" s="5415"/>
      <c r="AK140" s="5415"/>
      <c r="AL140" s="5415"/>
      <c r="AM140" s="5415"/>
      <c r="AN140" s="5415"/>
      <c r="AO140" s="5415"/>
      <c r="AP140" s="5415"/>
      <c r="AQ140" s="5415"/>
      <c r="AR140" s="5415"/>
      <c r="AS140" s="5415"/>
      <c r="AT140" s="5415"/>
      <c r="AU140" s="329"/>
      <c r="BR140" s="207"/>
    </row>
    <row r="141" spans="1:70" ht="13.5" customHeight="1">
      <c r="A141" s="139"/>
      <c r="B141" s="5532"/>
      <c r="C141" s="5364">
        <v>7</v>
      </c>
      <c r="D141" s="1972"/>
      <c r="E141" s="1990" t="s">
        <v>3048</v>
      </c>
      <c r="F141" s="1972"/>
      <c r="G141" s="1972"/>
      <c r="H141" s="1171" t="s">
        <v>3049</v>
      </c>
      <c r="I141" s="5364"/>
      <c r="J141" s="1972"/>
      <c r="K141" s="1972"/>
      <c r="L141" s="1972"/>
      <c r="M141" s="1972"/>
      <c r="N141" s="5538"/>
      <c r="O141" s="5534"/>
      <c r="P141" s="5564"/>
      <c r="Q141" s="5563"/>
      <c r="R141" s="5564"/>
      <c r="S141" s="5563"/>
      <c r="T141" s="5562"/>
      <c r="U141" s="5563"/>
      <c r="V141" s="5546"/>
      <c r="W141" s="5547"/>
      <c r="X141" s="139"/>
      <c r="Y141" s="343"/>
      <c r="Z141" s="5415"/>
      <c r="AA141" s="5415"/>
      <c r="AB141" s="5415"/>
      <c r="AC141" s="5415"/>
      <c r="AD141" s="5415"/>
      <c r="AE141" s="5415"/>
      <c r="AF141" s="5415"/>
      <c r="AG141" s="5415"/>
      <c r="AH141" s="5415"/>
      <c r="AI141" s="5415"/>
      <c r="AJ141" s="5415"/>
      <c r="AK141" s="5415"/>
      <c r="AL141" s="5415"/>
      <c r="AM141" s="5415"/>
      <c r="AN141" s="5415"/>
      <c r="AO141" s="5415"/>
      <c r="AP141" s="5415"/>
      <c r="AQ141" s="5415"/>
      <c r="AR141" s="5415"/>
      <c r="AS141" s="5415"/>
      <c r="AT141" s="5415"/>
      <c r="AU141" s="329"/>
      <c r="BR141" s="207"/>
    </row>
    <row r="142" spans="1:70" ht="13.5" customHeight="1">
      <c r="A142" s="139"/>
      <c r="B142" s="5532"/>
      <c r="C142" s="5364"/>
      <c r="D142" s="2126"/>
      <c r="E142" s="1990" t="s">
        <v>3050</v>
      </c>
      <c r="F142" s="1972"/>
      <c r="G142" s="2024" t="s">
        <v>1962</v>
      </c>
      <c r="H142" s="5536"/>
      <c r="I142" s="1999" t="s">
        <v>3054</v>
      </c>
      <c r="J142" s="5536"/>
      <c r="K142" s="850" t="s">
        <v>1962</v>
      </c>
      <c r="L142" s="9271">
        <v>7.0000000000000007E-2</v>
      </c>
      <c r="M142" s="9272"/>
      <c r="N142" s="9273"/>
      <c r="O142" s="5534"/>
      <c r="P142" s="5562"/>
      <c r="Q142" s="5563"/>
      <c r="R142" s="5562"/>
      <c r="S142" s="5563"/>
      <c r="T142" s="5562"/>
      <c r="U142" s="5563"/>
      <c r="V142" s="5546"/>
      <c r="W142" s="5547"/>
      <c r="X142" s="139"/>
      <c r="Y142" s="343"/>
      <c r="Z142" s="5415"/>
      <c r="AA142" s="5415"/>
      <c r="AB142" s="5415"/>
      <c r="AC142" s="5415"/>
      <c r="AD142" s="5415"/>
      <c r="AE142" s="5415"/>
      <c r="AF142" s="5415"/>
      <c r="AG142" s="5415"/>
      <c r="AH142" s="5415"/>
      <c r="AI142" s="5415"/>
      <c r="AJ142" s="5415"/>
      <c r="AK142" s="5415"/>
      <c r="AL142" s="5415"/>
      <c r="AM142" s="5415"/>
      <c r="AN142" s="5415"/>
      <c r="AO142" s="5415"/>
      <c r="AP142" s="5415"/>
      <c r="AQ142" s="5415"/>
      <c r="AR142" s="5415"/>
      <c r="AS142" s="5415"/>
      <c r="AT142" s="5415"/>
      <c r="AU142" s="329"/>
      <c r="BR142" s="207"/>
    </row>
    <row r="143" spans="1:70" ht="13.5" customHeight="1">
      <c r="A143" s="139"/>
      <c r="B143" s="5535"/>
      <c r="C143" s="5536"/>
      <c r="D143" s="507"/>
      <c r="E143" s="5536"/>
      <c r="F143" s="5536"/>
      <c r="G143" s="5536"/>
      <c r="H143" s="5536"/>
      <c r="I143" s="5558">
        <f>DaysInTaxYear</f>
        <v>365</v>
      </c>
      <c r="J143" s="5536"/>
      <c r="K143" s="5536"/>
      <c r="L143" s="5536"/>
      <c r="M143" s="5536"/>
      <c r="N143" s="5559"/>
      <c r="O143" s="5554">
        <v>7</v>
      </c>
      <c r="P143" s="9248" t="str">
        <f>IF(OR(P123=""),"",ROUND(P$117*P139/I143*L142,2))</f>
        <v/>
      </c>
      <c r="Q143" s="9249"/>
      <c r="R143" s="9248" t="str">
        <f>IF(OR(R123=""),"",ROUND(R$117*R139/$I143*$L142,2))</f>
        <v/>
      </c>
      <c r="S143" s="9249"/>
      <c r="T143" s="9248" t="str">
        <f>IF(OR(T123=""),"",ROUND(T$117*T139/$I143*$L142,2))</f>
        <v/>
      </c>
      <c r="U143" s="9249"/>
      <c r="V143" s="5546"/>
      <c r="W143" s="5547"/>
      <c r="X143" s="139"/>
      <c r="Y143" s="343"/>
      <c r="Z143" s="5415"/>
      <c r="AA143" s="5415"/>
      <c r="AB143" s="5415"/>
      <c r="AC143" s="5415"/>
      <c r="AD143" s="5415"/>
      <c r="AE143" s="5415"/>
      <c r="AF143" s="5415"/>
      <c r="AG143" s="5415"/>
      <c r="AH143" s="5415"/>
      <c r="AI143" s="5415"/>
      <c r="AJ143" s="5415"/>
      <c r="AK143" s="5415"/>
      <c r="AL143" s="5415"/>
      <c r="AM143" s="5415"/>
      <c r="AN143" s="5415"/>
      <c r="AO143" s="5415"/>
      <c r="AP143" s="5415"/>
      <c r="AQ143" s="5415"/>
      <c r="AR143" s="5415"/>
      <c r="AS143" s="5415"/>
      <c r="AT143" s="5415"/>
      <c r="AU143" s="329"/>
      <c r="BR143" s="207"/>
    </row>
    <row r="144" spans="1:70" ht="13.5" customHeight="1">
      <c r="A144" s="144"/>
      <c r="B144" s="5532"/>
      <c r="C144" s="1524" t="s">
        <v>3055</v>
      </c>
      <c r="D144" s="1524"/>
      <c r="E144" s="1972"/>
      <c r="F144" s="1524" t="str">
        <f>TEXT(K145,"MMMM D, YYYY")&amp;"—"&amp;TEXT(K146,"MMMM D, YYYY")</f>
        <v>October 1, 2025—December 31, 2025</v>
      </c>
      <c r="G144" s="1972"/>
      <c r="H144" s="1972"/>
      <c r="I144" s="1972"/>
      <c r="J144" s="1972"/>
      <c r="K144" s="1972"/>
      <c r="L144" s="1972"/>
      <c r="M144" s="1972"/>
      <c r="N144" s="5538"/>
      <c r="O144" s="5539"/>
      <c r="P144" s="9256"/>
      <c r="Q144" s="9257"/>
      <c r="R144" s="9256"/>
      <c r="S144" s="9257"/>
      <c r="T144" s="5540"/>
      <c r="U144" s="5541"/>
      <c r="V144" s="5546"/>
      <c r="W144" s="5547"/>
      <c r="X144" s="144"/>
      <c r="Y144" s="343"/>
      <c r="Z144" s="5415"/>
      <c r="AA144" s="5415"/>
      <c r="AB144" s="5415"/>
      <c r="AC144" s="5415"/>
      <c r="AD144" s="5415"/>
      <c r="AE144" s="5415"/>
      <c r="AF144" s="5415"/>
      <c r="AG144" s="5415"/>
      <c r="AH144" s="5415"/>
      <c r="AI144" s="5415"/>
      <c r="AJ144" s="5415"/>
      <c r="AK144" s="5415"/>
      <c r="AL144" s="5415"/>
      <c r="AM144" s="5415"/>
      <c r="AN144" s="5415"/>
      <c r="AO144" s="5415"/>
      <c r="AP144" s="5415"/>
      <c r="AQ144" s="5415"/>
      <c r="AR144" s="5415"/>
      <c r="AS144" s="5415"/>
      <c r="AT144" s="5415"/>
      <c r="AU144" s="329"/>
      <c r="BR144" s="207"/>
    </row>
    <row r="145" spans="1:87" ht="15">
      <c r="A145" s="139"/>
      <c r="B145" s="5532"/>
      <c r="C145" s="5364">
        <v>8</v>
      </c>
      <c r="D145" s="2126" t="s">
        <v>3044</v>
      </c>
      <c r="E145" s="1972"/>
      <c r="F145" s="1972"/>
      <c r="G145" s="1972"/>
      <c r="H145" s="1972"/>
      <c r="I145" s="1972"/>
      <c r="J145" s="1972"/>
      <c r="K145" s="9268">
        <f>DATEVALUE("1-Oct-"&amp;TaxYear)</f>
        <v>45931</v>
      </c>
      <c r="L145" s="9269"/>
      <c r="M145" s="9269"/>
      <c r="N145" s="9270"/>
      <c r="O145" s="5544">
        <v>8</v>
      </c>
      <c r="P145" s="9251">
        <f>$K136</f>
        <v>45930</v>
      </c>
      <c r="Q145" s="9259"/>
      <c r="R145" s="9251">
        <f>$K136</f>
        <v>45930</v>
      </c>
      <c r="S145" s="9260"/>
      <c r="T145" s="9251">
        <f>$K136</f>
        <v>45930</v>
      </c>
      <c r="U145" s="9259"/>
      <c r="V145" s="5546"/>
      <c r="W145" s="5547"/>
      <c r="X145" s="139"/>
      <c r="Y145" s="343"/>
      <c r="Z145" s="5415"/>
      <c r="AA145" s="5415"/>
      <c r="AB145" s="5415"/>
      <c r="AC145" s="5415"/>
      <c r="AD145" s="5415"/>
      <c r="AE145" s="5415"/>
      <c r="AF145" s="5415"/>
      <c r="AG145" s="5415"/>
      <c r="AH145" s="5415"/>
      <c r="AI145" s="5415"/>
      <c r="AJ145" s="5415"/>
      <c r="AK145" s="5415"/>
      <c r="AL145" s="5415"/>
      <c r="AM145" s="5415"/>
      <c r="AN145" s="5415"/>
      <c r="AO145" s="5415"/>
      <c r="AP145" s="5415"/>
      <c r="AQ145" s="5415"/>
      <c r="AR145" s="5415"/>
      <c r="AS145" s="5415"/>
      <c r="AT145" s="5415"/>
      <c r="AU145" s="329"/>
      <c r="BR145" s="207"/>
    </row>
    <row r="146" spans="1:87" ht="14.25" customHeight="1">
      <c r="A146" s="139"/>
      <c r="B146" s="5532"/>
      <c r="C146" s="1972"/>
      <c r="D146" s="1972"/>
      <c r="E146" s="1972"/>
      <c r="F146" s="1972"/>
      <c r="G146" s="1972"/>
      <c r="H146" s="1972"/>
      <c r="I146" s="1972"/>
      <c r="J146" s="1972"/>
      <c r="K146" s="9268">
        <f>DATEVALUE("31-Dec-"&amp;TaxYear)</f>
        <v>46022</v>
      </c>
      <c r="L146" s="9269"/>
      <c r="M146" s="9269"/>
      <c r="N146" s="9270"/>
      <c r="O146" s="5534"/>
      <c r="P146" s="9250" t="s">
        <v>3045</v>
      </c>
      <c r="Q146" s="8288"/>
      <c r="R146" s="9250" t="s">
        <v>3045</v>
      </c>
      <c r="S146" s="8288"/>
      <c r="T146" s="9250" t="s">
        <v>3045</v>
      </c>
      <c r="U146" s="8288"/>
      <c r="V146" s="5546"/>
      <c r="W146" s="5547"/>
      <c r="X146" s="139"/>
      <c r="Y146" s="343"/>
      <c r="Z146" s="5415"/>
      <c r="AA146" s="5415"/>
      <c r="AB146" s="5415"/>
      <c r="AC146" s="5415"/>
      <c r="AD146" s="5415"/>
      <c r="AE146" s="5415"/>
      <c r="AF146" s="5415"/>
      <c r="AG146" s="5415"/>
      <c r="AH146" s="5415"/>
      <c r="AI146" s="5415"/>
      <c r="AJ146" s="5415"/>
      <c r="AK146" s="5415"/>
      <c r="AL146" s="5415"/>
      <c r="AM146" s="5415"/>
      <c r="AN146" s="5415"/>
      <c r="AO146" s="5415"/>
      <c r="AP146" s="5415"/>
      <c r="AQ146" s="5415"/>
      <c r="AR146" s="5415"/>
      <c r="AS146" s="5415"/>
      <c r="AT146" s="5415"/>
      <c r="AU146" s="329"/>
      <c r="BG146" s="207"/>
      <c r="BR146" s="207"/>
      <c r="CF146" s="207"/>
      <c r="CG146" s="207"/>
      <c r="CH146" s="207"/>
      <c r="CI146" s="207"/>
    </row>
    <row r="147" spans="1:87" ht="14.25" customHeight="1">
      <c r="A147" s="139"/>
      <c r="B147" s="5532"/>
      <c r="C147" s="1972"/>
      <c r="D147" s="1972"/>
      <c r="E147" s="1972"/>
      <c r="F147" s="1972"/>
      <c r="G147" s="1972"/>
      <c r="H147" s="1972"/>
      <c r="I147" s="1972"/>
      <c r="J147" s="1972"/>
      <c r="K147" s="1972"/>
      <c r="L147" s="1972"/>
      <c r="M147" s="1972"/>
      <c r="N147" s="5538"/>
      <c r="O147" s="5534"/>
      <c r="P147" s="5557"/>
      <c r="Q147" s="5550"/>
      <c r="R147" s="5549"/>
      <c r="S147" s="5550"/>
      <c r="T147" s="5549"/>
      <c r="U147" s="5550"/>
      <c r="V147" s="5546"/>
      <c r="W147" s="5547"/>
      <c r="X147" s="139"/>
      <c r="Y147" s="343"/>
      <c r="Z147" s="5415"/>
      <c r="AA147" s="5415"/>
      <c r="AB147" s="5415"/>
      <c r="AC147" s="5415"/>
      <c r="AD147" s="5415"/>
      <c r="AE147" s="5415"/>
      <c r="AF147" s="5415"/>
      <c r="AG147" s="5415"/>
      <c r="AH147" s="5415"/>
      <c r="AI147" s="5415"/>
      <c r="AJ147" s="5415"/>
      <c r="AK147" s="5415"/>
      <c r="AL147" s="5415"/>
      <c r="AM147" s="5415"/>
      <c r="AN147" s="5415"/>
      <c r="AO147" s="5415"/>
      <c r="AP147" s="5415"/>
      <c r="AQ147" s="5415"/>
      <c r="AR147" s="5415"/>
      <c r="AS147" s="5415"/>
      <c r="AT147" s="5415"/>
      <c r="AU147" s="329"/>
      <c r="BR147" s="207"/>
    </row>
    <row r="148" spans="1:87" ht="14.25" customHeight="1">
      <c r="A148" s="139"/>
      <c r="B148" s="5532"/>
      <c r="C148" s="5364">
        <v>9</v>
      </c>
      <c r="D148" s="1171" t="s">
        <v>3056</v>
      </c>
      <c r="E148" s="1972"/>
      <c r="F148" s="1972"/>
      <c r="G148" s="1972"/>
      <c r="H148" s="1972"/>
      <c r="I148" s="1972"/>
      <c r="J148" s="1972"/>
      <c r="K148" s="1972"/>
      <c r="L148" s="1972"/>
      <c r="M148" s="1972"/>
      <c r="N148" s="5538"/>
      <c r="O148" s="5534"/>
      <c r="P148" s="5555"/>
      <c r="Q148" s="5552">
        <f>IF(P$120&gt;$K146,$K146,P$120)</f>
        <v>0</v>
      </c>
      <c r="R148" s="5553"/>
      <c r="S148" s="5552">
        <f>IF(R$120&gt;$K146,$K146,R$120)</f>
        <v>45658</v>
      </c>
      <c r="T148" s="5553"/>
      <c r="U148" s="5552">
        <f>IF(T$120&gt;$K146,$K146,T$120)</f>
        <v>45658</v>
      </c>
      <c r="V148" s="5546"/>
      <c r="W148" s="5547"/>
      <c r="X148" s="139"/>
      <c r="Y148" s="343"/>
      <c r="Z148" s="5415"/>
      <c r="AA148" s="5415"/>
      <c r="AB148" s="5415"/>
      <c r="AC148" s="5415"/>
      <c r="AD148" s="5415"/>
      <c r="AE148" s="5415"/>
      <c r="AF148" s="5415"/>
      <c r="AG148" s="5415"/>
      <c r="AH148" s="5415"/>
      <c r="AI148" s="5415"/>
      <c r="AJ148" s="5415"/>
      <c r="AK148" s="5415"/>
      <c r="AL148" s="5415"/>
      <c r="AM148" s="5415"/>
      <c r="AN148" s="5415"/>
      <c r="AO148" s="5415"/>
      <c r="AP148" s="5415"/>
      <c r="AQ148" s="5415"/>
      <c r="AR148" s="5415"/>
      <c r="AS148" s="5415"/>
      <c r="AT148" s="5415"/>
      <c r="AU148" s="329"/>
      <c r="BR148" s="207"/>
    </row>
    <row r="149" spans="1:87" ht="14.25" customHeight="1">
      <c r="A149" s="139"/>
      <c r="B149" s="5532"/>
      <c r="C149" s="1972"/>
      <c r="D149" s="1171" t="s">
        <v>3047</v>
      </c>
      <c r="E149" s="1972"/>
      <c r="F149" s="1972"/>
      <c r="G149" s="1171" t="str">
        <f>"12/31/"&amp;TaxYear-2000&amp;", whichever is earlier"</f>
        <v>12/31/25, whichever is earlier</v>
      </c>
      <c r="H149" s="1972"/>
      <c r="I149" s="1972"/>
      <c r="J149" s="1972"/>
      <c r="K149" s="1972"/>
      <c r="L149" s="1972"/>
      <c r="M149" s="1972"/>
      <c r="N149" s="5445" t="s">
        <v>627</v>
      </c>
      <c r="O149" s="5554">
        <v>9</v>
      </c>
      <c r="P149" s="9253" t="str">
        <f>IF(OR(P123=""),"",IF(Q148-P145&lt;0,0,SUM(Q148,-P145)))</f>
        <v/>
      </c>
      <c r="Q149" s="9258"/>
      <c r="R149" s="9253" t="str">
        <f>IF(OR(R123=""),"",IF(S148-R145&lt;0,0,SUM(S148,-R145)))</f>
        <v/>
      </c>
      <c r="S149" s="9258"/>
      <c r="T149" s="9253" t="str">
        <f>IF(OR(T123=""),"",IF(U148-T145&lt;0,0,SUM(U148,-T145)))</f>
        <v/>
      </c>
      <c r="U149" s="9258"/>
      <c r="V149" s="5546"/>
      <c r="W149" s="5547"/>
      <c r="X149" s="139"/>
      <c r="Y149" s="343"/>
      <c r="Z149" s="5415"/>
      <c r="AA149" s="5415"/>
      <c r="AB149" s="5415"/>
      <c r="AC149" s="5415"/>
      <c r="AD149" s="5415"/>
      <c r="AE149" s="5415"/>
      <c r="AF149" s="5415"/>
      <c r="AG149" s="5415"/>
      <c r="AH149" s="5415"/>
      <c r="AI149" s="5415"/>
      <c r="AJ149" s="5415"/>
      <c r="AK149" s="5415"/>
      <c r="AL149" s="5415"/>
      <c r="AM149" s="5415"/>
      <c r="AN149" s="5415"/>
      <c r="AO149" s="5415"/>
      <c r="AP149" s="5415"/>
      <c r="AQ149" s="5415"/>
      <c r="AR149" s="5415"/>
      <c r="AS149" s="5415"/>
      <c r="AT149" s="5415"/>
      <c r="AU149" s="329"/>
      <c r="BR149" s="207"/>
    </row>
    <row r="150" spans="1:87" ht="14.25" customHeight="1">
      <c r="A150" s="139"/>
      <c r="B150" s="5532"/>
      <c r="C150" s="1972"/>
      <c r="D150" s="1972"/>
      <c r="E150" s="1972"/>
      <c r="F150" s="1972"/>
      <c r="G150" s="1972"/>
      <c r="H150" s="1972"/>
      <c r="I150" s="1972"/>
      <c r="J150" s="1972"/>
      <c r="K150" s="1972"/>
      <c r="L150" s="1972"/>
      <c r="M150" s="1972"/>
      <c r="N150" s="5538"/>
      <c r="O150" s="5534"/>
      <c r="P150" s="5555"/>
      <c r="Q150" s="5556"/>
      <c r="R150" s="5555"/>
      <c r="S150" s="5556"/>
      <c r="T150" s="5555"/>
      <c r="U150" s="5556"/>
      <c r="V150" s="5546"/>
      <c r="W150" s="5547"/>
      <c r="X150" s="139"/>
      <c r="Y150" s="343"/>
      <c r="Z150" s="5415"/>
      <c r="AA150" s="5415"/>
      <c r="AB150" s="5415"/>
      <c r="AC150" s="5415"/>
      <c r="AD150" s="5415"/>
      <c r="AE150" s="5415"/>
      <c r="AF150" s="5415"/>
      <c r="AG150" s="5415"/>
      <c r="AH150" s="5415"/>
      <c r="AI150" s="5415"/>
      <c r="AJ150" s="5415"/>
      <c r="AK150" s="5415"/>
      <c r="AL150" s="5415"/>
      <c r="AM150" s="5415"/>
      <c r="AN150" s="5415"/>
      <c r="AO150" s="5415"/>
      <c r="AP150" s="5415"/>
      <c r="AQ150" s="5415"/>
      <c r="AR150" s="5415"/>
      <c r="AS150" s="5415"/>
      <c r="AT150" s="5415"/>
      <c r="AU150" s="329"/>
      <c r="BR150" s="207"/>
    </row>
    <row r="151" spans="1:87" s="207" customFormat="1" ht="17.25" customHeight="1">
      <c r="A151" s="139"/>
      <c r="B151" s="5532"/>
      <c r="C151" s="5364">
        <v>10</v>
      </c>
      <c r="D151" s="1972"/>
      <c r="E151" s="1990" t="s">
        <v>3048</v>
      </c>
      <c r="F151" s="1972"/>
      <c r="G151" s="1972"/>
      <c r="H151" s="1171" t="s">
        <v>3049</v>
      </c>
      <c r="I151" s="5364"/>
      <c r="J151" s="1972"/>
      <c r="K151" s="1972"/>
      <c r="L151" s="1972"/>
      <c r="M151" s="1972"/>
      <c r="N151" s="5538"/>
      <c r="O151" s="5534"/>
      <c r="P151" s="5557"/>
      <c r="Q151" s="5556"/>
      <c r="R151" s="5557"/>
      <c r="S151" s="5556"/>
      <c r="T151" s="5555"/>
      <c r="U151" s="5556"/>
      <c r="V151" s="5546"/>
      <c r="W151" s="5547"/>
      <c r="X151" s="139"/>
      <c r="Y151" s="343"/>
      <c r="Z151" s="5415"/>
      <c r="AA151" s="5415"/>
      <c r="AB151" s="5415"/>
      <c r="AC151" s="5415"/>
      <c r="AD151" s="5415"/>
      <c r="AE151" s="5415"/>
      <c r="AF151" s="5415"/>
      <c r="AG151" s="5415"/>
      <c r="AH151" s="5415"/>
      <c r="AI151" s="5415"/>
      <c r="AJ151" s="5415"/>
      <c r="AK151" s="5415"/>
      <c r="AL151" s="5415"/>
      <c r="AM151" s="5415"/>
      <c r="AN151" s="5415"/>
      <c r="AO151" s="5415"/>
      <c r="AP151" s="5415"/>
      <c r="AQ151" s="5415"/>
      <c r="AR151" s="5415"/>
      <c r="AS151" s="5415"/>
      <c r="AT151" s="5415"/>
      <c r="AU151" s="329"/>
      <c r="AV151" s="658"/>
      <c r="AW151" s="658"/>
      <c r="AX151" s="658"/>
      <c r="AY151" s="658"/>
      <c r="AZ151" s="658"/>
      <c r="BA151" s="658"/>
      <c r="BB151" s="658"/>
      <c r="BC151" s="658"/>
      <c r="BD151" s="658"/>
      <c r="BE151" s="658"/>
      <c r="BF151" s="658"/>
      <c r="BG151"/>
      <c r="BH151"/>
      <c r="BI151"/>
      <c r="BJ151"/>
      <c r="BK151"/>
      <c r="BL151"/>
      <c r="BM151"/>
      <c r="BN151"/>
      <c r="BO151"/>
      <c r="BP151"/>
      <c r="BQ151"/>
      <c r="BS151"/>
      <c r="BT151"/>
      <c r="BU151"/>
      <c r="BV151"/>
      <c r="BW151"/>
      <c r="BX151"/>
      <c r="BY151"/>
      <c r="BZ151"/>
      <c r="CA151"/>
      <c r="CB151"/>
      <c r="CC151"/>
      <c r="CD151"/>
      <c r="CE151"/>
      <c r="CF151"/>
      <c r="CG151"/>
      <c r="CH151"/>
      <c r="CI151"/>
    </row>
    <row r="152" spans="1:87" ht="20.25" customHeight="1">
      <c r="A152" s="139"/>
      <c r="B152" s="5532"/>
      <c r="C152" s="5364"/>
      <c r="D152" s="2126"/>
      <c r="E152" s="1990" t="s">
        <v>3050</v>
      </c>
      <c r="F152" s="1972"/>
      <c r="G152" s="2024" t="s">
        <v>1962</v>
      </c>
      <c r="H152" s="5536"/>
      <c r="I152" s="1999" t="s">
        <v>3057</v>
      </c>
      <c r="J152" s="5536"/>
      <c r="K152" s="850" t="s">
        <v>1962</v>
      </c>
      <c r="L152" s="9271">
        <v>0.08</v>
      </c>
      <c r="M152" s="9272"/>
      <c r="N152" s="9273"/>
      <c r="O152" s="5534"/>
      <c r="P152" s="5555"/>
      <c r="Q152" s="5556"/>
      <c r="R152" s="5555"/>
      <c r="S152" s="5556"/>
      <c r="T152" s="5555"/>
      <c r="U152" s="5556"/>
      <c r="V152" s="5546"/>
      <c r="W152" s="5547"/>
      <c r="X152" s="139"/>
      <c r="Y152" s="343"/>
      <c r="Z152" s="5415"/>
      <c r="AA152" s="5415"/>
      <c r="AB152" s="5415"/>
      <c r="AC152" s="5415"/>
      <c r="AD152" s="5415"/>
      <c r="AE152" s="5415"/>
      <c r="AF152" s="5415"/>
      <c r="AU152" s="329"/>
      <c r="BR152" s="207"/>
    </row>
    <row r="153" spans="1:87" ht="15">
      <c r="A153" s="139"/>
      <c r="B153" s="5535"/>
      <c r="C153" s="5536"/>
      <c r="D153" s="507"/>
      <c r="E153" s="5536"/>
      <c r="F153" s="5536"/>
      <c r="G153" s="5536"/>
      <c r="H153" s="5536"/>
      <c r="I153" s="5558">
        <f>DaysInTaxYear</f>
        <v>365</v>
      </c>
      <c r="J153" s="5536"/>
      <c r="K153" s="5536"/>
      <c r="L153" s="5536"/>
      <c r="M153" s="5536"/>
      <c r="N153" s="5559"/>
      <c r="O153" s="2918">
        <v>10</v>
      </c>
      <c r="P153" s="9248" t="str">
        <f>IF(OR(P123=""),"",ROUND(P$117*P149/I153*L152,2))</f>
        <v/>
      </c>
      <c r="Q153" s="9249"/>
      <c r="R153" s="9248" t="str">
        <f>IF(OR(R123=""),"",ROUND(R$117*R149/$I153*$L152,2))</f>
        <v/>
      </c>
      <c r="S153" s="9249"/>
      <c r="T153" s="9248" t="str">
        <f>IF(OR(T123=""),"",ROUND(T$117*T149/$I153*$L152,2))</f>
        <v/>
      </c>
      <c r="U153" s="9249"/>
      <c r="V153" s="5546"/>
      <c r="W153" s="5547"/>
      <c r="X153" s="139"/>
      <c r="Y153" s="343"/>
      <c r="Z153" s="5415"/>
      <c r="AA153" s="5415"/>
      <c r="AB153" s="5415"/>
      <c r="AC153" s="5415"/>
      <c r="AD153" s="5415"/>
      <c r="AE153" s="5415"/>
      <c r="AF153" s="5415"/>
      <c r="AU153" s="329"/>
      <c r="BR153" s="207"/>
    </row>
    <row r="154" spans="1:87" ht="15">
      <c r="A154" s="144"/>
      <c r="B154" s="5532"/>
      <c r="C154" s="1524" t="s">
        <v>3058</v>
      </c>
      <c r="D154" s="1524"/>
      <c r="E154" s="1972"/>
      <c r="F154" s="1524" t="str">
        <f>TEXT(K155,"MMMM D, YYYY")&amp;"—"&amp;TEXT(K156,"MMMM D, YYYY")</f>
        <v>January 1, 2026—April 15, 2026</v>
      </c>
      <c r="G154" s="1972"/>
      <c r="H154" s="1972"/>
      <c r="I154" s="1972"/>
      <c r="J154" s="1972"/>
      <c r="K154" s="1972"/>
      <c r="L154" s="1972"/>
      <c r="M154" s="1972"/>
      <c r="N154" s="5538"/>
      <c r="O154" s="5539"/>
      <c r="P154" s="9256"/>
      <c r="Q154" s="9257"/>
      <c r="R154" s="9256"/>
      <c r="S154" s="9257"/>
      <c r="T154" s="5540"/>
      <c r="U154" s="5541"/>
      <c r="V154" s="5565"/>
      <c r="W154" s="5560"/>
      <c r="X154" s="144"/>
      <c r="Y154" s="343"/>
      <c r="Z154" s="5415"/>
      <c r="AA154" s="5415"/>
      <c r="AB154" s="5415"/>
      <c r="AC154" s="5415"/>
      <c r="AD154" s="5415"/>
      <c r="AE154" s="5415"/>
      <c r="AF154" s="5415"/>
      <c r="AU154" s="329"/>
      <c r="BR154" s="207"/>
    </row>
    <row r="155" spans="1:87" ht="16.5" customHeight="1">
      <c r="A155" s="139"/>
      <c r="B155" s="5532"/>
      <c r="C155" s="5364">
        <v>11</v>
      </c>
      <c r="D155" s="2126" t="s">
        <v>3044</v>
      </c>
      <c r="E155" s="1972"/>
      <c r="F155" s="1972"/>
      <c r="G155" s="1972"/>
      <c r="H155" s="1972"/>
      <c r="I155" s="1972"/>
      <c r="J155" s="1972"/>
      <c r="K155" s="9268">
        <f>DATEVALUE("1-Jan-"&amp;TaxYear+1)</f>
        <v>46023</v>
      </c>
      <c r="L155" s="9269"/>
      <c r="M155" s="9269"/>
      <c r="N155" s="9270"/>
      <c r="O155" s="4502">
        <v>11</v>
      </c>
      <c r="P155" s="9251">
        <f>$K146</f>
        <v>46022</v>
      </c>
      <c r="Q155" s="9259"/>
      <c r="R155" s="9251">
        <f>$K146</f>
        <v>46022</v>
      </c>
      <c r="S155" s="9260"/>
      <c r="T155" s="9251">
        <f>$K146</f>
        <v>46022</v>
      </c>
      <c r="U155" s="9259"/>
      <c r="V155" s="9251">
        <f>V116</f>
        <v>46037</v>
      </c>
      <c r="W155" s="9252"/>
      <c r="X155" s="139"/>
      <c r="Y155" s="343"/>
      <c r="Z155" s="5415"/>
      <c r="AA155" s="5415"/>
      <c r="BR155" s="207"/>
    </row>
    <row r="156" spans="1:87" ht="14.25" customHeight="1">
      <c r="A156" s="139"/>
      <c r="B156" s="5532"/>
      <c r="C156" s="1972"/>
      <c r="D156" s="1972"/>
      <c r="E156" s="1972"/>
      <c r="F156" s="1972"/>
      <c r="G156" s="1972"/>
      <c r="H156" s="1972"/>
      <c r="I156" s="1972"/>
      <c r="J156" s="1972"/>
      <c r="K156" s="9268">
        <f>DATEVALUE("15-Apr-"&amp;TaxYear+1)</f>
        <v>46127</v>
      </c>
      <c r="L156" s="9269"/>
      <c r="M156" s="9269"/>
      <c r="N156" s="9270"/>
      <c r="O156" s="5534"/>
      <c r="P156" s="9250" t="s">
        <v>3045</v>
      </c>
      <c r="Q156" s="8288"/>
      <c r="R156" s="9250" t="s">
        <v>3045</v>
      </c>
      <c r="S156" s="8288"/>
      <c r="T156" s="9250" t="s">
        <v>3045</v>
      </c>
      <c r="U156" s="8288"/>
      <c r="V156" s="9250" t="s">
        <v>3045</v>
      </c>
      <c r="W156" s="8287"/>
      <c r="X156" s="139"/>
      <c r="Y156" s="343"/>
      <c r="Z156" s="5415"/>
      <c r="AA156" s="5415"/>
      <c r="BR156" s="207"/>
    </row>
    <row r="157" spans="1:87" ht="15" customHeight="1">
      <c r="A157" s="139"/>
      <c r="B157" s="5532"/>
      <c r="C157" s="1972"/>
      <c r="D157" s="1972"/>
      <c r="E157" s="1972"/>
      <c r="F157" s="1972"/>
      <c r="G157" s="1972"/>
      <c r="H157" s="1972"/>
      <c r="I157" s="1972"/>
      <c r="J157" s="1972"/>
      <c r="K157" s="1972"/>
      <c r="L157" s="1972"/>
      <c r="M157" s="1972"/>
      <c r="N157" s="5538"/>
      <c r="O157" s="5534"/>
      <c r="P157" s="5557"/>
      <c r="Q157" s="5550"/>
      <c r="R157" s="5549"/>
      <c r="S157" s="5550"/>
      <c r="T157" s="5549"/>
      <c r="U157" s="5550"/>
      <c r="V157" s="5549"/>
      <c r="W157" s="5566"/>
      <c r="X157" s="139"/>
      <c r="Y157" s="505"/>
      <c r="Z157" s="5415"/>
      <c r="AA157" s="5415"/>
      <c r="BR157" s="207"/>
    </row>
    <row r="158" spans="1:87" ht="15">
      <c r="A158" s="139"/>
      <c r="B158" s="5532"/>
      <c r="C158" s="5364">
        <v>12</v>
      </c>
      <c r="D158" s="1171" t="s">
        <v>3059</v>
      </c>
      <c r="E158" s="1972"/>
      <c r="F158" s="1972"/>
      <c r="G158" s="1972"/>
      <c r="H158" s="1972"/>
      <c r="I158" s="1972"/>
      <c r="J158" s="1972"/>
      <c r="K158" s="1972"/>
      <c r="L158" s="1972"/>
      <c r="M158" s="1972"/>
      <c r="N158" s="5538"/>
      <c r="O158" s="5534"/>
      <c r="P158" s="5555"/>
      <c r="Q158" s="5552">
        <f>IF(P$120&gt;$K156,$K156,P$120)</f>
        <v>0</v>
      </c>
      <c r="R158" s="5553"/>
      <c r="S158" s="5552">
        <f>IF(R$120&gt;$K156,$K156,R$120)</f>
        <v>45658</v>
      </c>
      <c r="T158" s="5553"/>
      <c r="U158" s="5552">
        <f>IF(T$120&gt;$K156,$K156,T$120)</f>
        <v>45658</v>
      </c>
      <c r="V158" s="5553"/>
      <c r="W158" s="5567">
        <f>IF(V$120&gt;$K156,$K156,V$120)</f>
        <v>45658</v>
      </c>
      <c r="X158" s="139"/>
      <c r="Y158" s="343"/>
      <c r="Z158" s="5415"/>
      <c r="AA158" s="5415"/>
      <c r="BR158" s="207"/>
    </row>
    <row r="159" spans="1:87" ht="13.5" customHeight="1">
      <c r="A159" s="139"/>
      <c r="B159" s="5532"/>
      <c r="C159" s="1972"/>
      <c r="D159" s="1171" t="s">
        <v>3047</v>
      </c>
      <c r="E159" s="1972"/>
      <c r="F159" s="1972"/>
      <c r="G159" s="1171" t="str">
        <f>"4/15/"&amp;TaxYear+1-2000&amp;", whichever is earlier"</f>
        <v>4/15/26, whichever is earlier</v>
      </c>
      <c r="H159" s="1972"/>
      <c r="I159" s="1972"/>
      <c r="J159" s="1972"/>
      <c r="K159" s="1972"/>
      <c r="L159" s="1972"/>
      <c r="M159" s="1972"/>
      <c r="N159" s="5445" t="s">
        <v>627</v>
      </c>
      <c r="O159" s="2918">
        <v>12</v>
      </c>
      <c r="P159" s="9253" t="str">
        <f>IF(OR(P123=""),"",IF(Q158-P155&lt;0,0,SUM(Q158,-P155)))</f>
        <v/>
      </c>
      <c r="Q159" s="9258"/>
      <c r="R159" s="9253" t="str">
        <f>IF(OR(R123=""),"",IF(S158-R155&lt;0,0,SUM(S158,-R155)))</f>
        <v/>
      </c>
      <c r="S159" s="9258"/>
      <c r="T159" s="9253" t="str">
        <f>IF(OR(T123=""),"",IF(U158-T155&lt;0,0,SUM(U158,-T155)))</f>
        <v/>
      </c>
      <c r="U159" s="9258"/>
      <c r="V159" s="9253" t="str">
        <f>IF(OR(V123=""),"",IF(W158-V155&lt;0,0,SUM(W158,-V155)))</f>
        <v/>
      </c>
      <c r="W159" s="9254"/>
      <c r="X159" s="139"/>
      <c r="Y159" s="343"/>
      <c r="Z159" s="5415"/>
      <c r="AA159" s="5415"/>
      <c r="BR159" s="207"/>
    </row>
    <row r="160" spans="1:87" ht="15">
      <c r="A160" s="139"/>
      <c r="B160" s="5532"/>
      <c r="C160" s="1972"/>
      <c r="D160" s="1972"/>
      <c r="E160" s="1972"/>
      <c r="F160" s="1972"/>
      <c r="G160" s="1972"/>
      <c r="H160" s="1972"/>
      <c r="I160" s="1972"/>
      <c r="J160" s="1972"/>
      <c r="K160" s="1972"/>
      <c r="L160" s="1972"/>
      <c r="M160" s="1972"/>
      <c r="N160" s="5538"/>
      <c r="O160" s="5534"/>
      <c r="P160" s="5555"/>
      <c r="Q160" s="5556"/>
      <c r="R160" s="5555"/>
      <c r="S160" s="5556"/>
      <c r="T160" s="5555"/>
      <c r="U160" s="5556"/>
      <c r="V160" s="5555"/>
      <c r="W160" s="5568"/>
      <c r="X160" s="139"/>
      <c r="Y160" s="343"/>
      <c r="Z160" s="5415"/>
      <c r="AA160" s="5415"/>
      <c r="BR160" s="207"/>
    </row>
    <row r="161" spans="1:84" ht="15">
      <c r="A161" s="139"/>
      <c r="B161" s="5532"/>
      <c r="C161" s="5364">
        <v>13</v>
      </c>
      <c r="D161" s="1972"/>
      <c r="E161" s="1990" t="s">
        <v>3048</v>
      </c>
      <c r="F161" s="1972"/>
      <c r="G161" s="1972"/>
      <c r="H161" s="1171" t="s">
        <v>3049</v>
      </c>
      <c r="I161" s="5364"/>
      <c r="J161" s="1972"/>
      <c r="K161" s="1972"/>
      <c r="L161" s="1972"/>
      <c r="M161" s="1972"/>
      <c r="N161" s="5538"/>
      <c r="O161" s="5534"/>
      <c r="P161" s="5557"/>
      <c r="Q161" s="5556"/>
      <c r="R161" s="5557"/>
      <c r="S161" s="5556"/>
      <c r="T161" s="5555"/>
      <c r="U161" s="5556"/>
      <c r="V161" s="5555"/>
      <c r="W161" s="5568"/>
      <c r="X161" s="139"/>
      <c r="Y161" s="343"/>
      <c r="Z161" s="5415"/>
      <c r="AA161" s="5415"/>
      <c r="BR161" s="207"/>
    </row>
    <row r="162" spans="1:84" ht="15">
      <c r="A162" s="139"/>
      <c r="B162" s="5532"/>
      <c r="C162" s="5364"/>
      <c r="D162" s="2126"/>
      <c r="E162" s="1990" t="s">
        <v>3050</v>
      </c>
      <c r="F162" s="1972"/>
      <c r="G162" s="2024" t="s">
        <v>1962</v>
      </c>
      <c r="H162" s="5536"/>
      <c r="I162" s="1999" t="s">
        <v>3060</v>
      </c>
      <c r="J162" s="5536"/>
      <c r="K162" s="850" t="s">
        <v>1962</v>
      </c>
      <c r="L162" s="9271">
        <v>0.08</v>
      </c>
      <c r="M162" s="9272"/>
      <c r="N162" s="9273"/>
      <c r="O162" s="5534"/>
      <c r="P162" s="5555"/>
      <c r="Q162" s="5556"/>
      <c r="R162" s="5555"/>
      <c r="S162" s="5556"/>
      <c r="T162" s="5555"/>
      <c r="U162" s="5556"/>
      <c r="V162" s="5555"/>
      <c r="W162" s="5568"/>
      <c r="X162" s="139"/>
      <c r="Y162" s="343"/>
      <c r="Z162" s="5415"/>
      <c r="AA162" s="5415"/>
      <c r="BR162" s="207"/>
    </row>
    <row r="163" spans="1:84" ht="14.25" customHeight="1">
      <c r="A163" s="139"/>
      <c r="B163" s="5532"/>
      <c r="C163" s="1972"/>
      <c r="D163" s="2126"/>
      <c r="E163" s="1972"/>
      <c r="F163" s="1972"/>
      <c r="G163" s="1972"/>
      <c r="H163" s="1972"/>
      <c r="I163" s="5569">
        <f>DaysInTaxYear</f>
        <v>365</v>
      </c>
      <c r="J163" s="1972"/>
      <c r="K163" s="1972"/>
      <c r="L163" s="1972"/>
      <c r="M163" s="1972"/>
      <c r="N163" s="5445"/>
      <c r="O163" s="2922">
        <v>13</v>
      </c>
      <c r="P163" s="9248" t="str">
        <f>IF(OR(P123=""),"",ROUND(P$117*P159/I163*L162,2))</f>
        <v/>
      </c>
      <c r="Q163" s="9249"/>
      <c r="R163" s="9248" t="str">
        <f>IF(OR(R123=""),"",ROUND(R$117*R159/$I163*$L162,2))</f>
        <v/>
      </c>
      <c r="S163" s="9249"/>
      <c r="T163" s="9248" t="str">
        <f>IF(OR(T123=""),"",ROUND(T$117*T159/$I163*$L162,2))</f>
        <v/>
      </c>
      <c r="U163" s="9249"/>
      <c r="V163" s="9248" t="str">
        <f>IF(OR(V123=""),"",ROUND(V$117*V159/$I163*$L162,2))</f>
        <v/>
      </c>
      <c r="W163" s="9255"/>
      <c r="X163" s="139"/>
      <c r="Y163" s="343"/>
      <c r="Z163" s="5415"/>
      <c r="AA163" s="5415"/>
      <c r="BR163" s="207"/>
    </row>
    <row r="164" spans="1:84" ht="14.25" customHeight="1">
      <c r="A164" s="139"/>
      <c r="B164" s="405"/>
      <c r="C164" s="5570">
        <v>14</v>
      </c>
      <c r="D164" s="565" t="s">
        <v>3061</v>
      </c>
      <c r="E164" s="406"/>
      <c r="F164" s="406"/>
      <c r="G164" s="406"/>
      <c r="H164" s="406"/>
      <c r="I164" s="406"/>
      <c r="J164" s="406"/>
      <c r="K164" s="406"/>
      <c r="L164" s="406"/>
      <c r="M164" s="406"/>
      <c r="N164" s="406"/>
      <c r="O164" s="406"/>
      <c r="P164" s="406"/>
      <c r="Q164" s="406"/>
      <c r="R164" s="406"/>
      <c r="S164" s="406"/>
      <c r="T164" s="406"/>
      <c r="U164" s="406"/>
      <c r="V164" s="405"/>
      <c r="W164" s="406"/>
      <c r="X164" s="139"/>
      <c r="Y164" s="343"/>
      <c r="Z164" s="5415"/>
      <c r="AA164" s="5415"/>
      <c r="BR164" s="207"/>
    </row>
    <row r="165" spans="1:84" ht="14.25" customHeight="1">
      <c r="A165" s="139"/>
      <c r="B165" s="408"/>
      <c r="C165" s="253"/>
      <c r="D165" s="344" t="s">
        <v>3062</v>
      </c>
      <c r="E165" s="253"/>
      <c r="F165" s="253"/>
      <c r="G165" s="253"/>
      <c r="H165" s="253"/>
      <c r="I165" s="253"/>
      <c r="J165" s="253"/>
      <c r="K165" s="253"/>
      <c r="L165" s="253"/>
      <c r="M165" s="253"/>
      <c r="N165" s="253"/>
      <c r="O165" s="253"/>
      <c r="P165" s="253"/>
      <c r="Q165" s="253"/>
      <c r="R165" s="253"/>
      <c r="S165" s="253"/>
      <c r="T165" s="253"/>
      <c r="U165" s="5445" t="s">
        <v>2099</v>
      </c>
      <c r="V165" s="9243" t="str">
        <f>IF(OR($U$47=0,$U$47="",$P$80),"",ROUND(SUM(P133,R133,P143,R143,T143,P153,R153,T153,P163,R163,T163,V163),2))</f>
        <v/>
      </c>
      <c r="W165" s="9244"/>
      <c r="X165" s="139"/>
      <c r="Y165" s="343"/>
      <c r="Z165" s="5415"/>
      <c r="AA165" s="5415"/>
      <c r="BR165" s="207"/>
    </row>
    <row r="166" spans="1:84" ht="14.25" customHeight="1">
      <c r="A166" s="139"/>
      <c r="B166" s="412"/>
      <c r="C166" s="413"/>
      <c r="D166" s="413"/>
      <c r="E166" s="413"/>
      <c r="F166" s="413"/>
      <c r="G166" s="413"/>
      <c r="H166" s="413"/>
      <c r="I166" s="413"/>
      <c r="J166" s="413"/>
      <c r="K166" s="413"/>
      <c r="L166" s="413"/>
      <c r="M166" s="413"/>
      <c r="N166" s="413"/>
      <c r="O166" s="413"/>
      <c r="P166" s="413"/>
      <c r="Q166" s="413"/>
      <c r="R166" s="413"/>
      <c r="S166" s="413"/>
      <c r="T166" s="413"/>
      <c r="U166" s="413"/>
      <c r="V166" s="412"/>
      <c r="W166" s="413"/>
      <c r="X166" s="139"/>
      <c r="Y166" s="343"/>
      <c r="Z166" s="5415"/>
      <c r="AA166" s="5415"/>
      <c r="BR166" s="207"/>
    </row>
    <row r="167" spans="1:84" ht="14.25" customHeight="1">
      <c r="A167" s="139"/>
      <c r="B167" s="406"/>
      <c r="C167" s="406"/>
      <c r="D167" s="406"/>
      <c r="E167" s="406"/>
      <c r="F167" s="406"/>
      <c r="G167" s="406"/>
      <c r="H167" s="406"/>
      <c r="I167" s="406"/>
      <c r="J167" s="406"/>
      <c r="K167" s="406"/>
      <c r="L167" s="406"/>
      <c r="M167" s="406"/>
      <c r="N167" s="406"/>
      <c r="O167" s="406"/>
      <c r="P167" s="406"/>
      <c r="Q167" s="406"/>
      <c r="R167" s="406"/>
      <c r="S167" s="406"/>
      <c r="T167" s="406"/>
      <c r="U167" s="406"/>
      <c r="V167" s="406"/>
      <c r="W167" s="406"/>
      <c r="X167" s="139"/>
      <c r="Y167" s="343"/>
      <c r="Z167" s="5415"/>
      <c r="AA167" s="5415"/>
      <c r="BR167" s="207"/>
    </row>
    <row r="168" spans="1:84" ht="14.25" customHeight="1">
      <c r="A168" s="139"/>
      <c r="B168" s="1212" t="str">
        <f>"Instructions for Form 2210 ("&amp;TaxYear&amp;")"</f>
        <v>Instructions for Form 2210 (2025)</v>
      </c>
      <c r="C168" s="253"/>
      <c r="D168" s="253"/>
      <c r="E168" s="253"/>
      <c r="F168" s="253"/>
      <c r="G168" s="253"/>
      <c r="H168" s="253"/>
      <c r="I168" s="253"/>
      <c r="J168" s="253"/>
      <c r="K168" s="253"/>
      <c r="L168" s="253"/>
      <c r="M168" s="253"/>
      <c r="N168" s="253"/>
      <c r="O168" s="5378" t="s">
        <v>3063</v>
      </c>
      <c r="P168" s="253"/>
      <c r="Q168" s="253"/>
      <c r="R168" s="253"/>
      <c r="S168" s="253"/>
      <c r="T168" s="253"/>
      <c r="U168" s="253"/>
      <c r="V168" s="253"/>
      <c r="W168" s="5571"/>
      <c r="X168" s="139"/>
      <c r="Y168" s="343"/>
      <c r="Z168" s="5415"/>
      <c r="AA168" s="5415"/>
      <c r="BR168" s="207"/>
    </row>
    <row r="169" spans="1:84" ht="14.25" customHeight="1">
      <c r="A169" s="139"/>
      <c r="B169" s="253"/>
      <c r="C169" s="253"/>
      <c r="D169" s="253"/>
      <c r="E169" s="253"/>
      <c r="F169" s="253"/>
      <c r="G169" s="253"/>
      <c r="H169" s="253"/>
      <c r="I169" s="253"/>
      <c r="J169" s="253"/>
      <c r="K169" s="253"/>
      <c r="L169" s="253"/>
      <c r="M169" s="253"/>
      <c r="N169" s="253"/>
      <c r="O169" s="253"/>
      <c r="P169" s="253"/>
      <c r="Q169" s="253"/>
      <c r="R169" s="253"/>
      <c r="S169" s="253"/>
      <c r="T169" s="253"/>
      <c r="U169" s="253"/>
      <c r="V169" s="253"/>
      <c r="W169" s="253"/>
      <c r="X169" s="139"/>
      <c r="Y169" s="343"/>
      <c r="Z169" s="5415"/>
      <c r="AA169" s="5415"/>
      <c r="BR169" s="207"/>
    </row>
    <row r="170" spans="1:84" ht="14.25" customHeight="1" thickBot="1">
      <c r="A170" s="139"/>
      <c r="B170" s="139"/>
      <c r="C170" s="139"/>
      <c r="D170" s="139"/>
      <c r="E170" s="139"/>
      <c r="F170" s="139"/>
      <c r="G170" s="139"/>
      <c r="H170" s="139"/>
      <c r="I170" s="139"/>
      <c r="J170" s="139"/>
      <c r="K170" s="139"/>
      <c r="L170" s="139"/>
      <c r="M170" s="139"/>
      <c r="N170" s="139"/>
      <c r="O170" s="139"/>
      <c r="P170" s="139"/>
      <c r="Q170" s="139"/>
      <c r="R170" s="139"/>
      <c r="S170" s="139"/>
      <c r="T170" s="139"/>
      <c r="U170" s="139"/>
      <c r="V170" s="139"/>
      <c r="W170" s="139"/>
      <c r="X170" s="139"/>
      <c r="Y170" s="343"/>
      <c r="Z170" s="5415"/>
      <c r="AA170" s="5415"/>
      <c r="BR170" s="207"/>
    </row>
    <row r="171" spans="1:84" ht="14.25" customHeight="1" thickTop="1" thickBot="1">
      <c r="A171" s="253"/>
      <c r="B171" s="253"/>
      <c r="C171" s="253"/>
      <c r="D171" s="253"/>
      <c r="E171" s="253"/>
      <c r="F171" s="253"/>
      <c r="G171" s="253"/>
      <c r="H171" s="253"/>
      <c r="I171" s="253"/>
      <c r="J171" s="253"/>
      <c r="K171" s="253"/>
      <c r="L171" s="253"/>
      <c r="M171" s="253"/>
      <c r="N171" s="253"/>
      <c r="O171" s="512"/>
      <c r="P171" s="5572"/>
      <c r="Q171" s="5573"/>
      <c r="R171" s="5573"/>
      <c r="S171" s="5573"/>
      <c r="T171" s="5573"/>
      <c r="U171" s="5573"/>
      <c r="V171" s="5573"/>
      <c r="W171" s="5573"/>
      <c r="X171" s="5574"/>
      <c r="Y171" s="343"/>
      <c r="BR171" s="207"/>
    </row>
    <row r="172" spans="1:84" ht="14.25" customHeight="1">
      <c r="A172" s="253"/>
      <c r="B172" s="253"/>
      <c r="C172" s="253"/>
      <c r="D172" s="253"/>
      <c r="E172" s="9504" t="s">
        <v>5134</v>
      </c>
      <c r="F172" s="9505"/>
      <c r="G172" s="9505"/>
      <c r="H172" s="9505"/>
      <c r="I172" s="9505"/>
      <c r="J172" s="9505"/>
      <c r="K172" s="9506"/>
      <c r="L172" s="253"/>
      <c r="M172" s="253"/>
      <c r="N172" s="253"/>
      <c r="O172" s="512"/>
      <c r="P172" s="5575"/>
      <c r="Q172" s="9514" t="str">
        <f>IF($Z$235,"Entries MUST be made in order by date.","Enter taxes paid and withheld here."&amp;CHAR(10)&amp;"- Entries must be in increasing order by date -")</f>
        <v>Enter taxes paid and withheld here.
- Entries must be in increasing order by date -</v>
      </c>
      <c r="R172" s="9514"/>
      <c r="S172" s="9514"/>
      <c r="T172" s="9514"/>
      <c r="U172" s="9514"/>
      <c r="V172" s="9514"/>
      <c r="W172" s="9514"/>
      <c r="X172" s="5576"/>
      <c r="Y172" s="343"/>
      <c r="BR172" s="207"/>
    </row>
    <row r="173" spans="1:84" ht="14.25" customHeight="1">
      <c r="A173" s="253"/>
      <c r="B173" s="253"/>
      <c r="C173" s="253"/>
      <c r="D173" s="253"/>
      <c r="E173" s="9507"/>
      <c r="F173" s="8394"/>
      <c r="G173" s="8394"/>
      <c r="H173" s="8394"/>
      <c r="I173" s="8394"/>
      <c r="J173" s="8394"/>
      <c r="K173" s="9508"/>
      <c r="L173" s="253"/>
      <c r="M173" s="253"/>
      <c r="N173" s="253"/>
      <c r="O173" s="512"/>
      <c r="P173" s="5575"/>
      <c r="Q173" s="9514"/>
      <c r="R173" s="9514"/>
      <c r="S173" s="9514"/>
      <c r="T173" s="9514"/>
      <c r="U173" s="9514"/>
      <c r="V173" s="9514"/>
      <c r="W173" s="9514"/>
      <c r="X173" s="5576"/>
      <c r="Y173" s="343"/>
      <c r="BR173" s="207"/>
      <c r="CF173" s="506"/>
    </row>
    <row r="174" spans="1:84" ht="14.25" customHeight="1">
      <c r="A174" s="253"/>
      <c r="B174" s="253"/>
      <c r="C174" s="253"/>
      <c r="D174" s="253"/>
      <c r="E174" s="9507"/>
      <c r="F174" s="8394"/>
      <c r="G174" s="8394"/>
      <c r="H174" s="8394"/>
      <c r="I174" s="8394"/>
      <c r="J174" s="8394"/>
      <c r="K174" s="9508"/>
      <c r="L174" s="253"/>
      <c r="M174" s="253"/>
      <c r="N174" s="253"/>
      <c r="O174" s="512"/>
      <c r="P174" s="5575"/>
      <c r="Q174" s="9514"/>
      <c r="R174" s="9514"/>
      <c r="S174" s="9514"/>
      <c r="T174" s="9514"/>
      <c r="U174" s="9514"/>
      <c r="V174" s="9514"/>
      <c r="W174" s="9514"/>
      <c r="X174" s="5576"/>
      <c r="Y174" s="343"/>
      <c r="BR174" s="207"/>
      <c r="CF174" s="506"/>
    </row>
    <row r="175" spans="1:84" ht="14.25" customHeight="1">
      <c r="A175" s="253"/>
      <c r="B175" s="253"/>
      <c r="C175" s="253"/>
      <c r="D175" s="253"/>
      <c r="E175" s="9507"/>
      <c r="F175" s="8394"/>
      <c r="G175" s="8394"/>
      <c r="H175" s="8394"/>
      <c r="I175" s="8394"/>
      <c r="J175" s="8394"/>
      <c r="K175" s="9508"/>
      <c r="L175" s="253"/>
      <c r="M175" s="253"/>
      <c r="N175" s="253"/>
      <c r="O175" s="512"/>
      <c r="P175" s="5575"/>
      <c r="Q175" s="5415"/>
      <c r="R175" s="5415"/>
      <c r="S175" s="5415"/>
      <c r="T175" s="5415"/>
      <c r="U175" s="5415"/>
      <c r="V175" s="5415"/>
      <c r="W175" s="5415"/>
      <c r="X175" s="5576"/>
      <c r="Y175" s="343"/>
      <c r="BR175" s="207"/>
    </row>
    <row r="176" spans="1:84" ht="14.25" customHeight="1">
      <c r="A176" s="253"/>
      <c r="B176" s="253"/>
      <c r="C176" s="253"/>
      <c r="D176" s="253"/>
      <c r="E176" s="9507"/>
      <c r="F176" s="8394"/>
      <c r="G176" s="8394"/>
      <c r="H176" s="8394"/>
      <c r="I176" s="8394"/>
      <c r="J176" s="8394"/>
      <c r="K176" s="9508"/>
      <c r="L176" s="253"/>
      <c r="M176" s="253"/>
      <c r="N176" s="253"/>
      <c r="O176" s="512"/>
      <c r="P176" s="5575"/>
      <c r="Q176" s="5415"/>
      <c r="R176" s="5415"/>
      <c r="S176" s="185" t="s">
        <v>3066</v>
      </c>
      <c r="T176" s="5415"/>
      <c r="U176" s="5415"/>
      <c r="V176" s="5415"/>
      <c r="W176" s="185" t="s">
        <v>3067</v>
      </c>
      <c r="X176" s="5576"/>
      <c r="Y176" s="343"/>
      <c r="BG176" s="506"/>
      <c r="BR176" s="207"/>
    </row>
    <row r="177" spans="1:87" ht="14.25" customHeight="1">
      <c r="A177" s="253"/>
      <c r="B177" s="253"/>
      <c r="C177" s="253"/>
      <c r="D177" s="253"/>
      <c r="E177" s="9507"/>
      <c r="F177" s="8394"/>
      <c r="G177" s="8394"/>
      <c r="H177" s="8394"/>
      <c r="I177" s="8394"/>
      <c r="J177" s="8394"/>
      <c r="K177" s="9508"/>
      <c r="L177" s="253"/>
      <c r="M177" s="253"/>
      <c r="N177" s="253"/>
      <c r="O177" s="724"/>
      <c r="P177" s="5575"/>
      <c r="Q177" s="185" t="s">
        <v>3068</v>
      </c>
      <c r="R177" s="5415"/>
      <c r="S177" s="185" t="s">
        <v>3069</v>
      </c>
      <c r="T177" s="5415"/>
      <c r="U177" s="185" t="s">
        <v>3070</v>
      </c>
      <c r="V177" s="5415"/>
      <c r="W177" s="185" t="s">
        <v>3071</v>
      </c>
      <c r="X177" s="5576"/>
      <c r="Y177" s="343"/>
      <c r="BG177" s="506"/>
      <c r="BR177" s="207"/>
    </row>
    <row r="178" spans="1:87" ht="14.25" customHeight="1" thickBot="1">
      <c r="A178" s="253"/>
      <c r="B178" s="253"/>
      <c r="C178" s="253"/>
      <c r="D178" s="253"/>
      <c r="E178" s="9509"/>
      <c r="F178" s="9510"/>
      <c r="G178" s="9510"/>
      <c r="H178" s="9510"/>
      <c r="I178" s="9510"/>
      <c r="J178" s="9510"/>
      <c r="K178" s="9511"/>
      <c r="L178" s="253"/>
      <c r="M178" s="253"/>
      <c r="N178" s="8824">
        <f>ROW(Q178)</f>
        <v>178</v>
      </c>
      <c r="O178" s="9503"/>
      <c r="P178" s="5575"/>
      <c r="Q178" s="5577">
        <f>DATEVALUE("1/1/"&amp;TaxYear)</f>
        <v>45658</v>
      </c>
      <c r="R178" s="5415"/>
      <c r="S178" s="5578">
        <v>0</v>
      </c>
      <c r="T178" s="5415"/>
      <c r="U178" s="5579">
        <f>IF(S178&lt;&gt;"",S178,"")</f>
        <v>0</v>
      </c>
      <c r="V178" s="5415"/>
      <c r="W178" s="5580"/>
      <c r="X178" s="5576"/>
      <c r="Y178" s="343"/>
      <c r="BR178" s="207"/>
    </row>
    <row r="179" spans="1:87" ht="14.25" customHeight="1">
      <c r="A179" s="253"/>
      <c r="B179" s="253"/>
      <c r="C179" s="253"/>
      <c r="D179" s="253"/>
      <c r="E179" s="5581"/>
      <c r="F179" s="253"/>
      <c r="G179" s="253"/>
      <c r="H179" s="253"/>
      <c r="I179" s="253"/>
      <c r="J179" s="253"/>
      <c r="K179" s="253"/>
      <c r="L179" s="253"/>
      <c r="M179" s="253"/>
      <c r="N179" s="8824">
        <f>ROW(U179)</f>
        <v>179</v>
      </c>
      <c r="O179" s="9503"/>
      <c r="P179" s="5575"/>
      <c r="Q179" s="522"/>
      <c r="R179" s="5415"/>
      <c r="S179" s="519"/>
      <c r="T179" s="1787"/>
      <c r="U179" s="5582" t="str">
        <f>IF(S179&lt;&gt;"",S179,"")</f>
        <v/>
      </c>
      <c r="V179" s="5415"/>
      <c r="W179" s="5583" t="str">
        <f>IF(S179="","",IF(AND(Q179&lt;$P$116,Q180&gt;=$P$116),SUM($P$77,-U179),IF(AND(Q179&lt;$R$116,Q180&gt;=$R$116),SUM($P$77,$R$77,-U179),IF(AND(Q179&lt;$T$116,Q180&gt;=$T$116),SUM($P$77,$R$77,$T$77,-U179),IF(AND(Q179&lt;$V$116,Q180&gt;=$V$116),SUM($P$77,$R$77,$T$77,$V$77,-U179),0)))))</f>
        <v/>
      </c>
      <c r="X179" s="5576"/>
      <c r="Y179" s="343"/>
      <c r="Z179" s="5584" t="str">
        <f>TEXT(AC54,"mm-dd-yy")</f>
        <v/>
      </c>
      <c r="BR179" s="207"/>
    </row>
    <row r="180" spans="1:87" ht="14.25" customHeight="1">
      <c r="A180" s="253"/>
      <c r="B180" s="253"/>
      <c r="C180" s="253"/>
      <c r="D180" s="253"/>
      <c r="E180" s="5581"/>
      <c r="F180" s="253"/>
      <c r="G180" s="253"/>
      <c r="H180" s="253"/>
      <c r="I180" s="253"/>
      <c r="J180" s="253"/>
      <c r="K180" s="253"/>
      <c r="L180" s="253"/>
      <c r="M180" s="253"/>
      <c r="N180" s="8824">
        <f t="shared" ref="N180:N234" si="0">ROW(U180)</f>
        <v>180</v>
      </c>
      <c r="O180" s="9503"/>
      <c r="P180" s="5575"/>
      <c r="Q180" s="522"/>
      <c r="R180" s="5415"/>
      <c r="S180" s="520"/>
      <c r="T180" s="1787"/>
      <c r="U180" s="5585" t="str">
        <f>IF(S180&lt;&gt;"",U179+S180,"")</f>
        <v/>
      </c>
      <c r="V180" s="5415"/>
      <c r="W180" s="5586" t="str">
        <f>IF(S180="","",IF(AND(Q180&lt;$P$116,Q181&gt;=$P$116),SUM($P$77,-U180),IF(AND(Q180&lt;$R$116,Q181&gt;=$R$116),SUM($P$77,$R$77,-U180),IF(AND(Q180&lt;$T$116,Q181&gt;=$T$116),SUM($P$77,$R$77,$T$77,-U180),IF(AND(Q180&lt;$V$116,Q181&gt;=$V$116),SUM($P$77,$R$77,$T$77,$V$77,-U180),0)))))</f>
        <v/>
      </c>
      <c r="X180" s="5576"/>
      <c r="Y180" s="1318">
        <f>IF(AND(Q180&lt;&gt;"",Q180&lt;Q179),1,0)</f>
        <v>0</v>
      </c>
      <c r="BR180" s="207"/>
    </row>
    <row r="181" spans="1:87" ht="14.25" customHeight="1" thickBot="1">
      <c r="A181" s="253"/>
      <c r="B181" s="253"/>
      <c r="C181" s="253"/>
      <c r="D181" s="253"/>
      <c r="E181" s="5581"/>
      <c r="F181" s="253"/>
      <c r="G181" s="253"/>
      <c r="H181" s="253"/>
      <c r="I181" s="253"/>
      <c r="J181" s="253"/>
      <c r="K181" s="253"/>
      <c r="L181" s="253"/>
      <c r="M181" s="253"/>
      <c r="N181" s="8824">
        <f t="shared" si="0"/>
        <v>181</v>
      </c>
      <c r="O181" s="9503"/>
      <c r="P181" s="5575"/>
      <c r="Q181" s="522"/>
      <c r="R181" s="5415"/>
      <c r="S181" s="520"/>
      <c r="T181" s="1787"/>
      <c r="U181" s="5585" t="str">
        <f t="shared" ref="U181:U233" si="1">IF(S181&lt;&gt;"",U180+S181,"")</f>
        <v/>
      </c>
      <c r="V181" s="5415"/>
      <c r="W181" s="5586" t="str">
        <f>IF(S181="","",IF(AND(Q181&lt;$P$116,Q182&gt;=$P$116),SUM($P$77,-U181),IF(AND(Q181&lt;$R$116,Q182&gt;=$R$116),SUM($P$77,$R$77,-U181),IF(AND(Q181&lt;$T$116,Q182&gt;=$T$116),SUM($P$77,$R$77,$T$77,-U181),IF(AND(Q181&lt;$V$116,Q182&gt;=$V$116),SUM($P$77,$R$77,$T$77,$V$77,-U181),0)))))</f>
        <v/>
      </c>
      <c r="X181" s="5576"/>
      <c r="Y181" s="1318">
        <f t="shared" ref="Y181:Y233" si="2">IF(AND(Q181&lt;&gt;"",Q181&lt;Q180),1,0)</f>
        <v>0</v>
      </c>
      <c r="BR181" s="141"/>
      <c r="CG181" s="207"/>
    </row>
    <row r="182" spans="1:87" ht="14.25" customHeight="1" thickTop="1" thickBot="1">
      <c r="A182" s="253"/>
      <c r="B182" s="253"/>
      <c r="C182" s="253"/>
      <c r="D182" s="253"/>
      <c r="E182" s="5581"/>
      <c r="F182" s="8883" t="s">
        <v>3064</v>
      </c>
      <c r="G182" s="8884"/>
      <c r="H182" s="8884"/>
      <c r="I182" s="8884"/>
      <c r="J182" s="9285"/>
      <c r="K182" s="9286"/>
      <c r="L182" s="253"/>
      <c r="M182" s="253"/>
      <c r="N182" s="8824">
        <f t="shared" si="0"/>
        <v>182</v>
      </c>
      <c r="O182" s="9503"/>
      <c r="P182" s="5575"/>
      <c r="Q182" s="522"/>
      <c r="R182" s="5415"/>
      <c r="S182" s="520"/>
      <c r="T182" s="1787"/>
      <c r="U182" s="5585" t="str">
        <f t="shared" si="1"/>
        <v/>
      </c>
      <c r="V182" s="5415"/>
      <c r="W182" s="5586" t="str">
        <f>IF(S182="","",IF(AND(Q182&lt;$P$116,Q183&gt;=$P$116),SUM($P$77,-U182),IF(AND(Q182&lt;$R$116,Q183&gt;=$R$116),SUM($P$77,$R$77,-U182),IF(AND(Q182&lt;$T$116,Q183&gt;=$T$116),SUM($P$77,$R$77,$T$77,-U182),IF(AND(Q182&lt;$V$116,Q183&gt;=$V$116),SUM($P$77,$R$77,$T$77,$V$77,-U182),0)))))</f>
        <v/>
      </c>
      <c r="X182" s="5576"/>
      <c r="Y182" s="1318">
        <f t="shared" si="2"/>
        <v>0</v>
      </c>
      <c r="BR182" s="506"/>
      <c r="CG182" s="141"/>
    </row>
    <row r="183" spans="1:87" ht="14.25" customHeight="1" thickTop="1" thickBot="1">
      <c r="A183" s="253"/>
      <c r="B183" s="253"/>
      <c r="C183" s="253"/>
      <c r="D183" s="253"/>
      <c r="E183" s="5581"/>
      <c r="F183" s="253"/>
      <c r="G183" s="253"/>
      <c r="H183" s="253"/>
      <c r="I183" s="253"/>
      <c r="J183" s="253"/>
      <c r="K183" s="253"/>
      <c r="L183" s="253"/>
      <c r="M183" s="253"/>
      <c r="N183" s="8824">
        <f t="shared" si="0"/>
        <v>183</v>
      </c>
      <c r="O183" s="9503"/>
      <c r="P183" s="5575"/>
      <c r="Q183" s="522"/>
      <c r="R183" s="5415"/>
      <c r="S183" s="520"/>
      <c r="T183" s="1787"/>
      <c r="U183" s="5585" t="str">
        <f t="shared" si="1"/>
        <v/>
      </c>
      <c r="V183" s="5415"/>
      <c r="W183" s="5586" t="str">
        <f>IF(S183="","",IF(AND(Q183&lt;$P$116,Q184&gt;=$P$116),SUM($P$77,-U183),IF(AND(Q183&lt;$R$116,Q184&gt;=$R$116),SUM($P$77,$R$77,-U183),IF(AND(Q183&lt;$T$116,Q184&gt;=$T$116),SUM($P$77,$R$77,$T$77,-U183),IF(AND(Q183&lt;$V$116,Q184&gt;=$V$116),SUM($P$77,$R$77,$T$77,$V$77,-U183),0)))))</f>
        <v/>
      </c>
      <c r="X183" s="5576"/>
      <c r="Y183" s="1318">
        <f t="shared" si="2"/>
        <v>0</v>
      </c>
      <c r="BR183" s="506"/>
      <c r="CG183" s="506"/>
    </row>
    <row r="184" spans="1:87" ht="14.25" customHeight="1" thickTop="1" thickBot="1">
      <c r="A184" s="253"/>
      <c r="B184" s="253"/>
      <c r="C184" s="253"/>
      <c r="D184" s="253"/>
      <c r="E184" s="5581"/>
      <c r="F184" s="8159" t="s">
        <v>3065</v>
      </c>
      <c r="G184" s="8160"/>
      <c r="H184" s="8160"/>
      <c r="I184" s="8160"/>
      <c r="J184" s="9287"/>
      <c r="K184" s="9288"/>
      <c r="L184" s="253"/>
      <c r="M184" s="253"/>
      <c r="N184" s="8824">
        <f t="shared" si="0"/>
        <v>184</v>
      </c>
      <c r="O184" s="9503"/>
      <c r="P184" s="5575"/>
      <c r="Q184" s="522"/>
      <c r="R184" s="5415"/>
      <c r="S184" s="520"/>
      <c r="T184" s="1787"/>
      <c r="U184" s="5585" t="str">
        <f t="shared" si="1"/>
        <v/>
      </c>
      <c r="V184" s="5415"/>
      <c r="W184" s="5586" t="str">
        <f t="shared" ref="W184:W215" si="3">IF(S184="","",IF(AND(Q184&lt;$P$116,Q185&gt;=$P$116),SUM($P$77,-U184),IF(AND(Q184&lt;$R$116,Q185&gt;=$R$116),SUM($P$77,$R$77,-U184),IF(AND(Q184&lt;$T$116,Q185&gt;=$T$116),SUM($P$77,$R$77,$T$77,-U184),IF(AND(Q184&lt;$V$116,Q185&gt;=$V$116),SUM($P$77,$R$77,$T$77,$V$77,-U184),0)))))</f>
        <v/>
      </c>
      <c r="X184" s="5576"/>
      <c r="Y184" s="1318">
        <f t="shared" si="2"/>
        <v>0</v>
      </c>
      <c r="BR184" s="506"/>
      <c r="CG184" s="506"/>
    </row>
    <row r="185" spans="1:87" ht="14.25" customHeight="1" thickTop="1">
      <c r="A185" s="253"/>
      <c r="B185" s="253"/>
      <c r="C185" s="253"/>
      <c r="D185" s="253"/>
      <c r="E185" s="5581"/>
      <c r="F185" s="253"/>
      <c r="G185" s="253"/>
      <c r="H185" s="253"/>
      <c r="I185" s="253"/>
      <c r="J185" s="253"/>
      <c r="K185" s="253"/>
      <c r="L185" s="253"/>
      <c r="M185" s="253"/>
      <c r="N185" s="8824">
        <f t="shared" si="0"/>
        <v>185</v>
      </c>
      <c r="O185" s="9503"/>
      <c r="P185" s="5575"/>
      <c r="Q185" s="522"/>
      <c r="R185" s="5415"/>
      <c r="S185" s="520"/>
      <c r="T185" s="1787"/>
      <c r="U185" s="5585" t="str">
        <f t="shared" si="1"/>
        <v/>
      </c>
      <c r="V185" s="5415"/>
      <c r="W185" s="5586" t="str">
        <f t="shared" si="3"/>
        <v/>
      </c>
      <c r="X185" s="5576"/>
      <c r="Y185" s="1318">
        <f t="shared" si="2"/>
        <v>0</v>
      </c>
      <c r="CG185" s="506"/>
      <c r="CH185" s="207"/>
    </row>
    <row r="186" spans="1:87" ht="14.25" customHeight="1">
      <c r="A186" s="253"/>
      <c r="B186" s="253"/>
      <c r="C186" s="253"/>
      <c r="D186" s="253"/>
      <c r="E186" s="5581"/>
      <c r="F186" s="253"/>
      <c r="G186" s="253"/>
      <c r="H186" s="253"/>
      <c r="I186" s="253"/>
      <c r="J186" s="253"/>
      <c r="K186" s="253"/>
      <c r="L186" s="253"/>
      <c r="M186" s="253"/>
      <c r="N186" s="8824">
        <f t="shared" si="0"/>
        <v>186</v>
      </c>
      <c r="O186" s="9503"/>
      <c r="P186" s="5575"/>
      <c r="Q186" s="522"/>
      <c r="R186" s="5415"/>
      <c r="S186" s="520"/>
      <c r="T186" s="1787"/>
      <c r="U186" s="5585" t="str">
        <f t="shared" si="1"/>
        <v/>
      </c>
      <c r="V186" s="5415"/>
      <c r="W186" s="5586" t="str">
        <f t="shared" si="3"/>
        <v/>
      </c>
      <c r="X186" s="5576"/>
      <c r="Y186" s="1318">
        <f t="shared" si="2"/>
        <v>0</v>
      </c>
      <c r="CF186" s="141"/>
      <c r="CH186" s="141"/>
    </row>
    <row r="187" spans="1:87" ht="12.75" customHeight="1">
      <c r="A187" s="253"/>
      <c r="B187" s="253"/>
      <c r="C187" s="253"/>
      <c r="D187" s="253"/>
      <c r="E187" s="5581"/>
      <c r="F187" s="253"/>
      <c r="G187" s="253"/>
      <c r="H187" s="253"/>
      <c r="I187" s="253"/>
      <c r="J187" s="253"/>
      <c r="K187" s="253"/>
      <c r="L187" s="253"/>
      <c r="M187" s="253"/>
      <c r="N187" s="8824">
        <f t="shared" si="0"/>
        <v>187</v>
      </c>
      <c r="O187" s="9503"/>
      <c r="P187" s="5575"/>
      <c r="Q187" s="522"/>
      <c r="R187" s="5415"/>
      <c r="S187" s="520"/>
      <c r="T187" s="1787"/>
      <c r="U187" s="5585" t="str">
        <f t="shared" si="1"/>
        <v/>
      </c>
      <c r="V187" s="5415"/>
      <c r="W187" s="5586" t="str">
        <f t="shared" si="3"/>
        <v/>
      </c>
      <c r="X187" s="5576"/>
      <c r="Y187" s="1318">
        <f t="shared" si="2"/>
        <v>0</v>
      </c>
      <c r="CH187" s="506"/>
    </row>
    <row r="188" spans="1:87" ht="12.75" customHeight="1">
      <c r="E188" s="1449"/>
      <c r="N188" s="8824">
        <f t="shared" si="0"/>
        <v>188</v>
      </c>
      <c r="O188" s="9503"/>
      <c r="P188" s="5575"/>
      <c r="Q188" s="522"/>
      <c r="R188" s="5415"/>
      <c r="S188" s="520"/>
      <c r="T188" s="1787"/>
      <c r="U188" s="5585" t="str">
        <f t="shared" si="1"/>
        <v/>
      </c>
      <c r="V188" s="5415"/>
      <c r="W188" s="5586" t="str">
        <f t="shared" si="3"/>
        <v/>
      </c>
      <c r="X188" s="5576"/>
      <c r="Y188" s="1318">
        <f t="shared" si="2"/>
        <v>0</v>
      </c>
      <c r="CH188" s="506"/>
    </row>
    <row r="189" spans="1:87" ht="17.25" customHeight="1">
      <c r="N189" s="8824">
        <f t="shared" si="0"/>
        <v>189</v>
      </c>
      <c r="O189" s="9503"/>
      <c r="P189" s="5575"/>
      <c r="Q189" s="522"/>
      <c r="R189" s="5415"/>
      <c r="S189" s="520"/>
      <c r="T189" s="1787"/>
      <c r="U189" s="5585" t="str">
        <f t="shared" si="1"/>
        <v/>
      </c>
      <c r="V189" s="5415"/>
      <c r="W189" s="5586" t="str">
        <f t="shared" si="3"/>
        <v/>
      </c>
      <c r="X189" s="5576"/>
      <c r="Y189" s="1318">
        <f t="shared" si="2"/>
        <v>0</v>
      </c>
      <c r="BG189" s="141"/>
      <c r="BH189" s="141"/>
      <c r="CB189" s="141"/>
      <c r="CC189" s="141"/>
      <c r="CD189" s="141"/>
      <c r="CE189" s="141"/>
      <c r="CH189" s="506"/>
    </row>
    <row r="190" spans="1:87" ht="16.5" customHeight="1">
      <c r="N190" s="8824">
        <f t="shared" si="0"/>
        <v>190</v>
      </c>
      <c r="O190" s="9503"/>
      <c r="P190" s="5575"/>
      <c r="Q190" s="522"/>
      <c r="R190" s="5415"/>
      <c r="S190" s="520"/>
      <c r="T190" s="1787"/>
      <c r="U190" s="5585" t="str">
        <f t="shared" si="1"/>
        <v/>
      </c>
      <c r="V190" s="5415"/>
      <c r="W190" s="5586" t="str">
        <f t="shared" si="3"/>
        <v/>
      </c>
      <c r="X190" s="5576"/>
      <c r="Y190" s="1318">
        <f t="shared" si="2"/>
        <v>0</v>
      </c>
    </row>
    <row r="191" spans="1:87" ht="13.5" customHeight="1">
      <c r="E191" s="1449"/>
      <c r="N191" s="8824">
        <f t="shared" si="0"/>
        <v>191</v>
      </c>
      <c r="O191" s="9503"/>
      <c r="P191" s="5575"/>
      <c r="Q191" s="522"/>
      <c r="R191" s="5415"/>
      <c r="S191" s="520"/>
      <c r="T191" s="1787"/>
      <c r="U191" s="5585" t="str">
        <f t="shared" si="1"/>
        <v/>
      </c>
      <c r="V191" s="5415"/>
      <c r="W191" s="5586" t="str">
        <f t="shared" si="3"/>
        <v/>
      </c>
      <c r="X191" s="5576"/>
      <c r="Y191" s="1318">
        <f t="shared" si="2"/>
        <v>0</v>
      </c>
    </row>
    <row r="192" spans="1:87" ht="13.5" customHeight="1">
      <c r="E192" s="5587"/>
      <c r="N192" s="8824">
        <f t="shared" si="0"/>
        <v>192</v>
      </c>
      <c r="O192" s="9503"/>
      <c r="P192" s="5575"/>
      <c r="Q192" s="522"/>
      <c r="R192" s="5415"/>
      <c r="S192" s="520"/>
      <c r="T192" s="1787"/>
      <c r="U192" s="5585" t="str">
        <f t="shared" si="1"/>
        <v/>
      </c>
      <c r="V192" s="5415"/>
      <c r="W192" s="5586" t="str">
        <f t="shared" si="3"/>
        <v/>
      </c>
      <c r="X192" s="5576"/>
      <c r="Y192" s="1318">
        <f t="shared" si="2"/>
        <v>0</v>
      </c>
      <c r="CI192" s="207"/>
    </row>
    <row r="193" spans="5:88" ht="12.75" customHeight="1">
      <c r="E193" s="5587"/>
      <c r="N193" s="8824">
        <f t="shared" si="0"/>
        <v>193</v>
      </c>
      <c r="O193" s="9503"/>
      <c r="P193" s="5575"/>
      <c r="Q193" s="522"/>
      <c r="R193" s="5415"/>
      <c r="S193" s="520"/>
      <c r="T193" s="1787"/>
      <c r="U193" s="5585" t="str">
        <f t="shared" si="1"/>
        <v/>
      </c>
      <c r="V193" s="5415"/>
      <c r="W193" s="5586" t="str">
        <f t="shared" si="3"/>
        <v/>
      </c>
      <c r="X193" s="5576"/>
      <c r="Y193" s="1318">
        <f t="shared" si="2"/>
        <v>0</v>
      </c>
      <c r="CI193" s="141"/>
    </row>
    <row r="194" spans="5:88" ht="12.75" customHeight="1">
      <c r="E194" s="5587"/>
      <c r="N194" s="8824">
        <f t="shared" si="0"/>
        <v>194</v>
      </c>
      <c r="O194" s="9503"/>
      <c r="P194" s="5575"/>
      <c r="Q194" s="522"/>
      <c r="R194" s="5415"/>
      <c r="S194" s="520"/>
      <c r="T194" s="1787"/>
      <c r="U194" s="5585" t="str">
        <f t="shared" si="1"/>
        <v/>
      </c>
      <c r="V194" s="5415"/>
      <c r="W194" s="5586" t="str">
        <f t="shared" si="3"/>
        <v/>
      </c>
      <c r="X194" s="5576"/>
      <c r="Y194" s="1318">
        <f t="shared" si="2"/>
        <v>0</v>
      </c>
      <c r="CI194" s="506"/>
    </row>
    <row r="195" spans="5:88" ht="13.5" customHeight="1">
      <c r="E195" s="5587"/>
      <c r="N195" s="8824">
        <f t="shared" si="0"/>
        <v>195</v>
      </c>
      <c r="O195" s="9503"/>
      <c r="P195" s="5575"/>
      <c r="Q195" s="522"/>
      <c r="R195" s="5415"/>
      <c r="S195" s="520"/>
      <c r="T195" s="1787"/>
      <c r="U195" s="5585" t="str">
        <f t="shared" si="1"/>
        <v/>
      </c>
      <c r="V195" s="5415"/>
      <c r="W195" s="5586" t="str">
        <f t="shared" si="3"/>
        <v/>
      </c>
      <c r="X195" s="5576"/>
      <c r="Y195" s="1318">
        <f t="shared" si="2"/>
        <v>0</v>
      </c>
      <c r="BR195" s="141"/>
      <c r="CI195" s="506"/>
    </row>
    <row r="196" spans="5:88" ht="13.5" customHeight="1">
      <c r="E196" s="5587"/>
      <c r="N196" s="8824">
        <f t="shared" si="0"/>
        <v>196</v>
      </c>
      <c r="O196" s="9503"/>
      <c r="P196" s="5575"/>
      <c r="Q196" s="522"/>
      <c r="R196" s="5415"/>
      <c r="S196" s="520"/>
      <c r="T196" s="1787"/>
      <c r="U196" s="5585" t="str">
        <f t="shared" si="1"/>
        <v/>
      </c>
      <c r="V196" s="5415"/>
      <c r="W196" s="5586" t="str">
        <f t="shared" si="3"/>
        <v/>
      </c>
      <c r="X196" s="5576"/>
      <c r="Y196" s="1318">
        <f t="shared" si="2"/>
        <v>0</v>
      </c>
      <c r="CF196" s="141"/>
      <c r="CG196" s="141"/>
      <c r="CI196" s="506"/>
    </row>
    <row r="197" spans="5:88">
      <c r="E197" s="5587"/>
      <c r="N197" s="8824">
        <f t="shared" si="0"/>
        <v>197</v>
      </c>
      <c r="O197" s="9503"/>
      <c r="P197" s="5575"/>
      <c r="Q197" s="522"/>
      <c r="R197" s="5415"/>
      <c r="S197" s="520"/>
      <c r="T197" s="1787"/>
      <c r="U197" s="5585" t="str">
        <f t="shared" si="1"/>
        <v/>
      </c>
      <c r="V197" s="5415"/>
      <c r="W197" s="5586" t="str">
        <f t="shared" si="3"/>
        <v/>
      </c>
      <c r="X197" s="5576"/>
      <c r="Y197" s="1318">
        <f t="shared" si="2"/>
        <v>0</v>
      </c>
    </row>
    <row r="198" spans="5:88" ht="13.5" customHeight="1">
      <c r="E198" s="5587"/>
      <c r="N198" s="8824">
        <f t="shared" si="0"/>
        <v>198</v>
      </c>
      <c r="O198" s="9503"/>
      <c r="P198" s="5575"/>
      <c r="Q198" s="522"/>
      <c r="R198" s="5415"/>
      <c r="S198" s="520"/>
      <c r="T198" s="1787"/>
      <c r="U198" s="5585" t="str">
        <f t="shared" si="1"/>
        <v/>
      </c>
      <c r="V198" s="5415"/>
      <c r="W198" s="5586" t="str">
        <f t="shared" si="3"/>
        <v/>
      </c>
      <c r="X198" s="5576"/>
      <c r="Y198" s="1318">
        <f t="shared" si="2"/>
        <v>0</v>
      </c>
    </row>
    <row r="199" spans="5:88" ht="13.5" customHeight="1">
      <c r="E199" s="5587"/>
      <c r="N199" s="8824">
        <f t="shared" si="0"/>
        <v>199</v>
      </c>
      <c r="O199" s="9503"/>
      <c r="P199" s="5575"/>
      <c r="Q199" s="522"/>
      <c r="R199" s="5415"/>
      <c r="S199" s="520"/>
      <c r="T199" s="1787"/>
      <c r="U199" s="5585" t="str">
        <f t="shared" si="1"/>
        <v/>
      </c>
      <c r="V199" s="5415"/>
      <c r="W199" s="5586" t="str">
        <f t="shared" si="3"/>
        <v/>
      </c>
      <c r="X199" s="5576"/>
      <c r="Y199" s="1318">
        <f t="shared" si="2"/>
        <v>0</v>
      </c>
      <c r="BG199" s="141"/>
      <c r="BH199" s="141"/>
      <c r="CB199" s="141"/>
      <c r="CC199" s="141"/>
      <c r="CD199" s="141"/>
      <c r="CE199" s="141"/>
    </row>
    <row r="200" spans="5:88" ht="16.5" customHeight="1">
      <c r="E200" s="5587"/>
      <c r="N200" s="8824">
        <f t="shared" si="0"/>
        <v>200</v>
      </c>
      <c r="O200" s="9503"/>
      <c r="P200" s="5575"/>
      <c r="Q200" s="522"/>
      <c r="R200" s="5415"/>
      <c r="S200" s="520"/>
      <c r="T200" s="1787"/>
      <c r="U200" s="5585" t="str">
        <f t="shared" si="1"/>
        <v/>
      </c>
      <c r="V200" s="5415"/>
      <c r="W200" s="5586" t="str">
        <f t="shared" si="3"/>
        <v/>
      </c>
      <c r="X200" s="5576"/>
      <c r="Y200" s="1318">
        <f t="shared" si="2"/>
        <v>0</v>
      </c>
      <c r="CH200" s="141"/>
    </row>
    <row r="201" spans="5:88">
      <c r="E201" s="5587"/>
      <c r="N201" s="8824">
        <f t="shared" si="0"/>
        <v>201</v>
      </c>
      <c r="O201" s="9503"/>
      <c r="P201" s="5575"/>
      <c r="Q201" s="522"/>
      <c r="R201" s="5415"/>
      <c r="S201" s="520"/>
      <c r="T201" s="1787"/>
      <c r="U201" s="5585" t="str">
        <f t="shared" si="1"/>
        <v/>
      </c>
      <c r="V201" s="5415"/>
      <c r="W201" s="5586" t="str">
        <f t="shared" si="3"/>
        <v/>
      </c>
      <c r="X201" s="5576"/>
      <c r="Y201" s="1318">
        <f t="shared" si="2"/>
        <v>0</v>
      </c>
      <c r="CJ201" s="207"/>
    </row>
    <row r="202" spans="5:88" ht="12" customHeight="1">
      <c r="E202" s="5587"/>
      <c r="N202" s="8824">
        <f t="shared" si="0"/>
        <v>202</v>
      </c>
      <c r="O202" s="9503"/>
      <c r="P202" s="5575"/>
      <c r="Q202" s="522"/>
      <c r="R202" s="5415"/>
      <c r="S202" s="520"/>
      <c r="T202" s="1787"/>
      <c r="U202" s="5585" t="str">
        <f t="shared" si="1"/>
        <v/>
      </c>
      <c r="V202" s="5415"/>
      <c r="W202" s="5586" t="str">
        <f t="shared" si="3"/>
        <v/>
      </c>
      <c r="X202" s="5576"/>
      <c r="Y202" s="1318">
        <f t="shared" si="2"/>
        <v>0</v>
      </c>
      <c r="CJ202" s="141"/>
    </row>
    <row r="203" spans="5:88" ht="12.75" customHeight="1">
      <c r="E203" s="5587"/>
      <c r="N203" s="8824">
        <f t="shared" si="0"/>
        <v>203</v>
      </c>
      <c r="O203" s="9503"/>
      <c r="P203" s="5575"/>
      <c r="Q203" s="522"/>
      <c r="R203" s="5415"/>
      <c r="S203" s="520"/>
      <c r="T203" s="1787"/>
      <c r="U203" s="5585" t="str">
        <f t="shared" si="1"/>
        <v/>
      </c>
      <c r="V203" s="5415"/>
      <c r="W203" s="5586" t="str">
        <f t="shared" si="3"/>
        <v/>
      </c>
      <c r="X203" s="5576"/>
      <c r="Y203" s="1318">
        <f t="shared" si="2"/>
        <v>0</v>
      </c>
      <c r="CJ203" s="506"/>
    </row>
    <row r="204" spans="5:88" ht="14.25">
      <c r="E204" s="5587"/>
      <c r="N204" s="8824">
        <f t="shared" si="0"/>
        <v>204</v>
      </c>
      <c r="O204" s="9503"/>
      <c r="P204" s="5575"/>
      <c r="Q204" s="522"/>
      <c r="R204" s="5415"/>
      <c r="S204" s="520"/>
      <c r="T204" s="1787"/>
      <c r="U204" s="5585" t="str">
        <f t="shared" si="1"/>
        <v/>
      </c>
      <c r="V204" s="5415"/>
      <c r="W204" s="5586" t="str">
        <f t="shared" si="3"/>
        <v/>
      </c>
      <c r="X204" s="5576"/>
      <c r="Y204" s="1318">
        <f t="shared" si="2"/>
        <v>0</v>
      </c>
      <c r="CJ204" s="506"/>
    </row>
    <row r="205" spans="5:88" ht="14.25">
      <c r="E205" s="5587"/>
      <c r="N205" s="8824">
        <f t="shared" si="0"/>
        <v>205</v>
      </c>
      <c r="O205" s="9503"/>
      <c r="P205" s="5575"/>
      <c r="Q205" s="522"/>
      <c r="R205" s="5415"/>
      <c r="S205" s="520"/>
      <c r="T205" s="1787"/>
      <c r="U205" s="5585" t="str">
        <f t="shared" si="1"/>
        <v/>
      </c>
      <c r="V205" s="5415"/>
      <c r="W205" s="5586" t="str">
        <f t="shared" si="3"/>
        <v/>
      </c>
      <c r="X205" s="5576"/>
      <c r="Y205" s="1318">
        <f t="shared" si="2"/>
        <v>0</v>
      </c>
      <c r="BR205" s="141"/>
      <c r="CJ205" s="506"/>
    </row>
    <row r="206" spans="5:88" ht="13.5" customHeight="1">
      <c r="E206" s="5587"/>
      <c r="N206" s="8824">
        <f t="shared" si="0"/>
        <v>206</v>
      </c>
      <c r="O206" s="9503"/>
      <c r="P206" s="5575"/>
      <c r="Q206" s="522"/>
      <c r="R206" s="5415"/>
      <c r="S206" s="520"/>
      <c r="T206" s="1787"/>
      <c r="U206" s="5585" t="str">
        <f t="shared" si="1"/>
        <v/>
      </c>
      <c r="V206" s="5415"/>
      <c r="W206" s="5586" t="str">
        <f t="shared" si="3"/>
        <v/>
      </c>
      <c r="X206" s="5576"/>
      <c r="Y206" s="1318">
        <f t="shared" si="2"/>
        <v>0</v>
      </c>
      <c r="CF206" s="141"/>
      <c r="CG206" s="141"/>
    </row>
    <row r="207" spans="5:88" ht="13.5" customHeight="1">
      <c r="E207" s="5587"/>
      <c r="N207" s="8824">
        <f t="shared" si="0"/>
        <v>207</v>
      </c>
      <c r="O207" s="9503"/>
      <c r="P207" s="5575"/>
      <c r="Q207" s="522"/>
      <c r="R207" s="5415"/>
      <c r="S207" s="520"/>
      <c r="T207" s="1787"/>
      <c r="U207" s="5585" t="str">
        <f t="shared" si="1"/>
        <v/>
      </c>
      <c r="V207" s="5415"/>
      <c r="W207" s="5586" t="str">
        <f t="shared" si="3"/>
        <v/>
      </c>
      <c r="X207" s="5576"/>
      <c r="Y207" s="1318">
        <f t="shared" si="2"/>
        <v>0</v>
      </c>
      <c r="CI207" s="141"/>
    </row>
    <row r="208" spans="5:88" ht="13.5" customHeight="1">
      <c r="E208" s="5587"/>
      <c r="N208" s="8824">
        <f t="shared" si="0"/>
        <v>208</v>
      </c>
      <c r="O208" s="9503"/>
      <c r="P208" s="5575"/>
      <c r="Q208" s="522"/>
      <c r="R208" s="5415"/>
      <c r="S208" s="520"/>
      <c r="T208" s="1787"/>
      <c r="U208" s="5585" t="str">
        <f t="shared" si="1"/>
        <v/>
      </c>
      <c r="V208" s="5415"/>
      <c r="W208" s="5586" t="str">
        <f t="shared" si="3"/>
        <v/>
      </c>
      <c r="X208" s="5576"/>
      <c r="Y208" s="1318">
        <f t="shared" si="2"/>
        <v>0</v>
      </c>
    </row>
    <row r="209" spans="1:88" ht="15.75" customHeight="1">
      <c r="E209" s="5587"/>
      <c r="N209" s="8824">
        <f t="shared" si="0"/>
        <v>209</v>
      </c>
      <c r="O209" s="9503"/>
      <c r="P209" s="5575"/>
      <c r="Q209" s="522"/>
      <c r="R209" s="5415"/>
      <c r="S209" s="520"/>
      <c r="T209" s="1787"/>
      <c r="U209" s="5585" t="str">
        <f t="shared" si="1"/>
        <v/>
      </c>
      <c r="V209" s="5415"/>
      <c r="W209" s="5586" t="str">
        <f t="shared" si="3"/>
        <v/>
      </c>
      <c r="X209" s="5576"/>
      <c r="Y209" s="1318">
        <f t="shared" si="2"/>
        <v>0</v>
      </c>
      <c r="BG209" s="141"/>
      <c r="BH209" s="141"/>
      <c r="BT209" s="141"/>
      <c r="BU209" s="141"/>
      <c r="BV209" s="141"/>
      <c r="BW209" s="141"/>
      <c r="BX209" s="141"/>
      <c r="BY209" s="141"/>
      <c r="BZ209" s="141"/>
      <c r="CA209" s="141"/>
      <c r="CB209" s="141"/>
      <c r="CC209" s="141"/>
      <c r="CD209" s="141"/>
      <c r="CE209" s="141"/>
    </row>
    <row r="210" spans="1:88" ht="12.75" customHeight="1">
      <c r="E210" s="5587"/>
      <c r="N210" s="8824">
        <f t="shared" si="0"/>
        <v>210</v>
      </c>
      <c r="O210" s="9503"/>
      <c r="P210" s="5575"/>
      <c r="Q210" s="522"/>
      <c r="R210" s="5415"/>
      <c r="S210" s="520"/>
      <c r="T210" s="1787"/>
      <c r="U210" s="5585" t="str">
        <f t="shared" si="1"/>
        <v/>
      </c>
      <c r="V210" s="5415"/>
      <c r="W210" s="5586" t="str">
        <f t="shared" si="3"/>
        <v/>
      </c>
      <c r="X210" s="5576"/>
      <c r="Y210" s="1318">
        <f t="shared" si="2"/>
        <v>0</v>
      </c>
      <c r="CH210" s="141"/>
    </row>
    <row r="211" spans="1:88" ht="15.75" customHeight="1">
      <c r="E211" s="5587"/>
      <c r="N211" s="8824">
        <f t="shared" si="0"/>
        <v>211</v>
      </c>
      <c r="O211" s="9503"/>
      <c r="P211" s="5575"/>
      <c r="Q211" s="522"/>
      <c r="R211" s="5415"/>
      <c r="S211" s="520"/>
      <c r="T211" s="1787"/>
      <c r="U211" s="5585" t="str">
        <f t="shared" si="1"/>
        <v/>
      </c>
      <c r="V211" s="5415"/>
      <c r="W211" s="5586" t="str">
        <f t="shared" si="3"/>
        <v/>
      </c>
      <c r="X211" s="5576"/>
      <c r="Y211" s="1318">
        <f t="shared" si="2"/>
        <v>0</v>
      </c>
    </row>
    <row r="212" spans="1:88">
      <c r="E212" s="5587"/>
      <c r="N212" s="8824">
        <f t="shared" si="0"/>
        <v>212</v>
      </c>
      <c r="O212" s="9503"/>
      <c r="P212" s="5575"/>
      <c r="Q212" s="522"/>
      <c r="R212" s="5415"/>
      <c r="S212" s="520"/>
      <c r="T212" s="1787"/>
      <c r="U212" s="5585" t="str">
        <f t="shared" si="1"/>
        <v/>
      </c>
      <c r="V212" s="5415"/>
      <c r="W212" s="5586" t="str">
        <f t="shared" si="3"/>
        <v/>
      </c>
      <c r="X212" s="5576"/>
      <c r="Y212" s="1318">
        <f t="shared" si="2"/>
        <v>0</v>
      </c>
    </row>
    <row r="213" spans="1:88" s="207" customFormat="1" ht="17.25" customHeight="1">
      <c r="A213"/>
      <c r="B213"/>
      <c r="C213"/>
      <c r="D213"/>
      <c r="E213" s="5587"/>
      <c r="F213"/>
      <c r="G213"/>
      <c r="H213"/>
      <c r="I213"/>
      <c r="J213"/>
      <c r="K213"/>
      <c r="L213"/>
      <c r="M213"/>
      <c r="N213" s="8824">
        <f t="shared" si="0"/>
        <v>213</v>
      </c>
      <c r="O213" s="9503"/>
      <c r="P213" s="5575"/>
      <c r="Q213" s="522"/>
      <c r="R213" s="5415"/>
      <c r="S213" s="520"/>
      <c r="T213" s="1787"/>
      <c r="U213" s="5585" t="str">
        <f t="shared" si="1"/>
        <v/>
      </c>
      <c r="V213" s="5415"/>
      <c r="W213" s="5586" t="str">
        <f t="shared" si="3"/>
        <v/>
      </c>
      <c r="X213" s="5576"/>
      <c r="Y213" s="1318">
        <f t="shared" si="2"/>
        <v>0</v>
      </c>
      <c r="Z213"/>
      <c r="AA213"/>
      <c r="AB213"/>
      <c r="AC213"/>
      <c r="AD213"/>
      <c r="AE213"/>
      <c r="AF213"/>
      <c r="AG213"/>
      <c r="AH213"/>
      <c r="AI213"/>
      <c r="AJ213"/>
      <c r="AK213"/>
      <c r="AL213"/>
      <c r="AM213"/>
      <c r="AN213"/>
      <c r="AO213"/>
      <c r="AP213"/>
      <c r="AQ213"/>
      <c r="AR213"/>
      <c r="AS213"/>
      <c r="AT213"/>
      <c r="AU213"/>
      <c r="AV213" s="658"/>
      <c r="AW213" s="658"/>
      <c r="AX213" s="658"/>
      <c r="AY213" s="658"/>
      <c r="AZ213" s="658"/>
      <c r="BA213" s="658"/>
      <c r="BB213" s="658"/>
      <c r="BC213" s="658"/>
      <c r="BD213" s="658"/>
      <c r="BE213" s="658"/>
      <c r="BF213" s="658"/>
      <c r="BG213"/>
      <c r="BH213"/>
      <c r="BI213"/>
      <c r="BJ213"/>
      <c r="BK213"/>
      <c r="BL213"/>
      <c r="BM213"/>
      <c r="BN213"/>
      <c r="BO213"/>
      <c r="BP213"/>
      <c r="BQ213"/>
      <c r="BR213"/>
      <c r="BS213"/>
      <c r="BT213"/>
      <c r="BU213"/>
      <c r="BV213"/>
      <c r="BW213"/>
      <c r="BX213"/>
      <c r="BY213"/>
      <c r="BZ213"/>
      <c r="CA213"/>
      <c r="CB213"/>
      <c r="CC213"/>
      <c r="CD213"/>
      <c r="CE213"/>
      <c r="CF213"/>
      <c r="CG213"/>
      <c r="CH213"/>
      <c r="CI213"/>
      <c r="CJ213"/>
    </row>
    <row r="214" spans="1:88" s="141" customFormat="1">
      <c r="A214"/>
      <c r="B214"/>
      <c r="C214"/>
      <c r="D214"/>
      <c r="E214" s="5587"/>
      <c r="F214"/>
      <c r="G214"/>
      <c r="H214"/>
      <c r="I214"/>
      <c r="J214"/>
      <c r="K214"/>
      <c r="L214"/>
      <c r="M214"/>
      <c r="N214" s="8824">
        <f t="shared" si="0"/>
        <v>214</v>
      </c>
      <c r="O214" s="9503"/>
      <c r="P214" s="5575"/>
      <c r="Q214" s="522"/>
      <c r="R214" s="5415"/>
      <c r="S214" s="520"/>
      <c r="T214" s="1787"/>
      <c r="U214" s="5585" t="str">
        <f t="shared" si="1"/>
        <v/>
      </c>
      <c r="V214" s="5415"/>
      <c r="W214" s="5586" t="str">
        <f t="shared" si="3"/>
        <v/>
      </c>
      <c r="X214" s="5576"/>
      <c r="Y214" s="1318">
        <f t="shared" si="2"/>
        <v>0</v>
      </c>
      <c r="Z214"/>
      <c r="AA214"/>
      <c r="AB214"/>
      <c r="AC214"/>
      <c r="AD214"/>
      <c r="AE214"/>
      <c r="AF214"/>
      <c r="AG214"/>
      <c r="AH214"/>
      <c r="AI214"/>
      <c r="AJ214"/>
      <c r="AK214"/>
      <c r="AL214"/>
      <c r="AM214"/>
      <c r="AN214"/>
      <c r="AO214"/>
      <c r="AP214"/>
      <c r="AQ214"/>
      <c r="AR214"/>
      <c r="AS214"/>
      <c r="AT214"/>
      <c r="AU214"/>
      <c r="AV214" s="658"/>
      <c r="AW214" s="658"/>
      <c r="AX214" s="658"/>
      <c r="AY214" s="658"/>
      <c r="AZ214" s="658"/>
      <c r="BA214" s="658"/>
      <c r="BB214" s="658"/>
      <c r="BC214" s="658"/>
      <c r="BD214" s="658"/>
      <c r="BE214" s="658"/>
      <c r="BF214" s="658"/>
      <c r="BG214"/>
      <c r="BH214"/>
      <c r="BI214"/>
      <c r="BJ214"/>
      <c r="BK214"/>
      <c r="BL214"/>
      <c r="BM214"/>
      <c r="BN214"/>
      <c r="BO214"/>
      <c r="BP214"/>
      <c r="BQ214"/>
      <c r="BR214"/>
      <c r="BS214"/>
      <c r="BT214"/>
      <c r="BU214"/>
      <c r="BV214"/>
      <c r="BW214"/>
      <c r="BX214"/>
      <c r="BY214"/>
      <c r="BZ214"/>
      <c r="CA214"/>
      <c r="CB214"/>
      <c r="CC214"/>
      <c r="CD214"/>
      <c r="CE214"/>
      <c r="CF214"/>
      <c r="CG214"/>
      <c r="CH214"/>
      <c r="CI214"/>
      <c r="CJ214"/>
    </row>
    <row r="215" spans="1:88" s="141" customFormat="1">
      <c r="A215"/>
      <c r="B215"/>
      <c r="C215"/>
      <c r="D215"/>
      <c r="E215" s="5587"/>
      <c r="F215"/>
      <c r="G215"/>
      <c r="H215"/>
      <c r="I215"/>
      <c r="J215"/>
      <c r="K215"/>
      <c r="L215"/>
      <c r="M215"/>
      <c r="N215" s="8824">
        <f t="shared" si="0"/>
        <v>215</v>
      </c>
      <c r="O215" s="9503"/>
      <c r="P215" s="5575"/>
      <c r="Q215" s="522"/>
      <c r="R215" s="5415"/>
      <c r="S215" s="520"/>
      <c r="T215" s="1787"/>
      <c r="U215" s="5585" t="str">
        <f t="shared" si="1"/>
        <v/>
      </c>
      <c r="V215" s="5415"/>
      <c r="W215" s="5586" t="str">
        <f t="shared" si="3"/>
        <v/>
      </c>
      <c r="X215" s="5576"/>
      <c r="Y215" s="1318">
        <f t="shared" si="2"/>
        <v>0</v>
      </c>
      <c r="Z215"/>
      <c r="AA215"/>
      <c r="AB215"/>
      <c r="AC215"/>
      <c r="AD215"/>
      <c r="AE215"/>
      <c r="AF215"/>
      <c r="AG215"/>
      <c r="AH215"/>
      <c r="AI215"/>
      <c r="AJ215"/>
      <c r="AK215"/>
      <c r="AL215"/>
      <c r="AM215"/>
      <c r="AN215"/>
      <c r="AO215"/>
      <c r="AP215"/>
      <c r="AQ215"/>
      <c r="AR215"/>
      <c r="AS215"/>
      <c r="AT215"/>
      <c r="AU215"/>
      <c r="AV215" s="658"/>
      <c r="AW215" s="658"/>
      <c r="AX215" s="658"/>
      <c r="AY215" s="658"/>
      <c r="AZ215" s="658"/>
      <c r="BA215" s="658"/>
      <c r="BB215" s="658"/>
      <c r="BC215" s="658"/>
      <c r="BD215" s="658"/>
      <c r="BE215" s="658"/>
      <c r="BF215" s="658"/>
      <c r="BG215"/>
      <c r="BH215"/>
      <c r="BI215"/>
      <c r="BJ215"/>
      <c r="BK215"/>
      <c r="BL215"/>
      <c r="BM215"/>
      <c r="BN215"/>
      <c r="BO215"/>
      <c r="BP215"/>
      <c r="BQ215"/>
      <c r="BT215"/>
      <c r="BU215"/>
      <c r="BV215"/>
      <c r="BW215"/>
      <c r="BX215"/>
      <c r="BY215"/>
      <c r="BZ215"/>
      <c r="CA215"/>
      <c r="CB215"/>
      <c r="CC215"/>
      <c r="CD215"/>
      <c r="CE215"/>
      <c r="CF215"/>
      <c r="CG215"/>
      <c r="CH215"/>
      <c r="CI215"/>
      <c r="CJ215"/>
    </row>
    <row r="216" spans="1:88" s="506" customFormat="1" ht="14.25">
      <c r="A216"/>
      <c r="B216"/>
      <c r="C216"/>
      <c r="D216"/>
      <c r="E216" s="5587"/>
      <c r="F216"/>
      <c r="G216"/>
      <c r="H216"/>
      <c r="I216"/>
      <c r="J216"/>
      <c r="K216"/>
      <c r="L216"/>
      <c r="M216"/>
      <c r="N216" s="8824">
        <f t="shared" si="0"/>
        <v>216</v>
      </c>
      <c r="O216" s="9503"/>
      <c r="P216" s="5575"/>
      <c r="Q216" s="522"/>
      <c r="R216" s="5415"/>
      <c r="S216" s="520"/>
      <c r="T216" s="1787"/>
      <c r="U216" s="5585" t="str">
        <f t="shared" si="1"/>
        <v/>
      </c>
      <c r="V216" s="5415"/>
      <c r="W216" s="5586" t="str">
        <f t="shared" ref="W216:W233" si="4">IF(S216="","",IF(AND(Q216&lt;$P$116,Q217&gt;=$P$116),SUM($P$77,-U216),IF(AND(Q216&lt;$R$116,Q217&gt;=$R$116),SUM($P$77,$R$77,-U216),IF(AND(Q216&lt;$T$116,Q217&gt;=$T$116),SUM($P$77,$R$77,$T$77,-U216),IF(AND(Q216&lt;$V$116,Q217&gt;=$V$116),SUM($P$77,$R$77,$T$77,$V$77,-U216),0)))))</f>
        <v/>
      </c>
      <c r="X216" s="5576"/>
      <c r="Y216" s="1318">
        <f t="shared" si="2"/>
        <v>0</v>
      </c>
      <c r="Z216"/>
      <c r="AA216"/>
      <c r="AB216"/>
      <c r="AC216"/>
      <c r="AD216"/>
      <c r="AE216"/>
      <c r="AF216"/>
      <c r="AG216"/>
      <c r="AH216"/>
      <c r="AI216"/>
      <c r="AJ216"/>
      <c r="AK216"/>
      <c r="AL216"/>
      <c r="AM216"/>
      <c r="AN216"/>
      <c r="AO216"/>
      <c r="AP216"/>
      <c r="AQ216"/>
      <c r="AR216"/>
      <c r="AS216"/>
      <c r="AT216"/>
      <c r="AU216"/>
      <c r="AV216" s="658"/>
      <c r="AW216" s="658"/>
      <c r="AX216" s="658"/>
      <c r="AY216" s="658"/>
      <c r="AZ216" s="658"/>
      <c r="BA216" s="658"/>
      <c r="BB216" s="658"/>
      <c r="BC216" s="658"/>
      <c r="BD216" s="658"/>
      <c r="BE216" s="658"/>
      <c r="BF216" s="658"/>
      <c r="BG216"/>
      <c r="BH216"/>
      <c r="BI216"/>
      <c r="BJ216"/>
      <c r="BK216"/>
      <c r="BL216"/>
      <c r="BM216"/>
      <c r="BN216"/>
      <c r="BO216"/>
      <c r="BP216"/>
      <c r="BQ216"/>
      <c r="BR216"/>
      <c r="BS216"/>
      <c r="BT216"/>
      <c r="BU216"/>
      <c r="BV216"/>
      <c r="BW216"/>
      <c r="BX216"/>
      <c r="BY216"/>
      <c r="BZ216"/>
      <c r="CA216"/>
      <c r="CB216"/>
      <c r="CC216"/>
      <c r="CD216"/>
      <c r="CE216"/>
      <c r="CF216"/>
      <c r="CG216"/>
      <c r="CH216"/>
      <c r="CI216"/>
      <c r="CJ216"/>
    </row>
    <row r="217" spans="1:88" s="506" customFormat="1" ht="15" customHeight="1">
      <c r="A217"/>
      <c r="B217"/>
      <c r="C217"/>
      <c r="D217"/>
      <c r="E217" s="5587"/>
      <c r="F217"/>
      <c r="G217"/>
      <c r="H217"/>
      <c r="I217"/>
      <c r="J217"/>
      <c r="K217"/>
      <c r="L217"/>
      <c r="M217"/>
      <c r="N217" s="8824">
        <f t="shared" si="0"/>
        <v>217</v>
      </c>
      <c r="O217" s="9503"/>
      <c r="P217" s="5575"/>
      <c r="Q217" s="522"/>
      <c r="R217" s="5415"/>
      <c r="S217" s="520"/>
      <c r="T217" s="1787"/>
      <c r="U217" s="5585" t="str">
        <f t="shared" si="1"/>
        <v/>
      </c>
      <c r="V217" s="5415"/>
      <c r="W217" s="5586" t="str">
        <f t="shared" si="4"/>
        <v/>
      </c>
      <c r="X217" s="5576"/>
      <c r="Y217" s="1318">
        <f t="shared" si="2"/>
        <v>0</v>
      </c>
      <c r="Z217"/>
      <c r="AA217"/>
      <c r="AB217"/>
      <c r="AC217"/>
      <c r="AD217"/>
      <c r="AE217"/>
      <c r="AF217"/>
      <c r="AG217"/>
      <c r="AH217"/>
      <c r="AI217"/>
      <c r="AJ217"/>
      <c r="AK217"/>
      <c r="AL217"/>
      <c r="AM217"/>
      <c r="AN217"/>
      <c r="AO217"/>
      <c r="AP217"/>
      <c r="AQ217"/>
      <c r="AR217"/>
      <c r="AS217"/>
      <c r="AT217"/>
      <c r="AU217"/>
      <c r="AV217" s="658"/>
      <c r="AW217" s="658"/>
      <c r="AX217" s="658"/>
      <c r="AY217" s="658"/>
      <c r="AZ217" s="658"/>
      <c r="BA217" s="658"/>
      <c r="BB217" s="658"/>
      <c r="BC217" s="658"/>
      <c r="BD217" s="658"/>
      <c r="BE217" s="658"/>
      <c r="BF217" s="658"/>
      <c r="BG217"/>
      <c r="BH217"/>
      <c r="BI217"/>
      <c r="BJ217"/>
      <c r="BK217"/>
      <c r="BL217"/>
      <c r="BM217"/>
      <c r="BN217"/>
      <c r="BO217"/>
      <c r="BP217"/>
      <c r="BQ217"/>
      <c r="BR217"/>
      <c r="BS217"/>
      <c r="BT217"/>
      <c r="BU217"/>
      <c r="BV217"/>
      <c r="BW217"/>
      <c r="BX217"/>
      <c r="BY217"/>
      <c r="BZ217"/>
      <c r="CA217"/>
      <c r="CB217"/>
      <c r="CC217"/>
      <c r="CD217"/>
      <c r="CE217"/>
      <c r="CF217" s="141"/>
      <c r="CG217" s="141"/>
      <c r="CH217"/>
      <c r="CI217"/>
      <c r="CJ217" s="141"/>
    </row>
    <row r="218" spans="1:88" s="506" customFormat="1" ht="14.25">
      <c r="A218"/>
      <c r="B218"/>
      <c r="C218"/>
      <c r="D218"/>
      <c r="E218" s="5587"/>
      <c r="F218"/>
      <c r="G218"/>
      <c r="H218"/>
      <c r="I218"/>
      <c r="J218"/>
      <c r="K218"/>
      <c r="L218"/>
      <c r="M218"/>
      <c r="N218" s="8824">
        <f t="shared" si="0"/>
        <v>218</v>
      </c>
      <c r="O218" s="9503"/>
      <c r="P218" s="5575"/>
      <c r="Q218" s="522"/>
      <c r="R218" s="5415"/>
      <c r="S218" s="520"/>
      <c r="T218" s="1787"/>
      <c r="U218" s="5585" t="str">
        <f t="shared" si="1"/>
        <v/>
      </c>
      <c r="V218" s="5415"/>
      <c r="W218" s="5586" t="str">
        <f t="shared" si="4"/>
        <v/>
      </c>
      <c r="X218" s="5576"/>
      <c r="Y218" s="1318">
        <f t="shared" si="2"/>
        <v>0</v>
      </c>
      <c r="Z218"/>
      <c r="AA218"/>
      <c r="AB218"/>
      <c r="AC218"/>
      <c r="AD218"/>
      <c r="AE218"/>
      <c r="AF218"/>
      <c r="AG218"/>
      <c r="AH218"/>
      <c r="AI218"/>
      <c r="AJ218"/>
      <c r="AK218"/>
      <c r="AL218"/>
      <c r="AM218"/>
      <c r="AN218"/>
      <c r="AO218"/>
      <c r="AP218"/>
      <c r="AQ218"/>
      <c r="AR218"/>
      <c r="AS218"/>
      <c r="AT218"/>
      <c r="AU218"/>
      <c r="AV218" s="658"/>
      <c r="AW218" s="658"/>
      <c r="AX218" s="658"/>
      <c r="AY218" s="658"/>
      <c r="AZ218" s="658"/>
      <c r="BA218" s="658"/>
      <c r="BB218" s="658"/>
      <c r="BC218" s="658"/>
      <c r="BD218" s="658"/>
      <c r="BE218" s="658"/>
      <c r="BF218" s="658"/>
      <c r="BG218"/>
      <c r="BH218"/>
      <c r="BI218"/>
      <c r="BJ218"/>
      <c r="BK218"/>
      <c r="BL218"/>
      <c r="BM218"/>
      <c r="BN218"/>
      <c r="BO218"/>
      <c r="BP218"/>
      <c r="BQ218"/>
      <c r="BR218"/>
      <c r="BS218"/>
      <c r="BT218"/>
      <c r="BU218"/>
      <c r="BV218"/>
      <c r="BW218"/>
      <c r="BX218"/>
      <c r="BY218"/>
      <c r="BZ218"/>
      <c r="CA218"/>
      <c r="CB218"/>
      <c r="CC218"/>
      <c r="CD218"/>
      <c r="CE218"/>
      <c r="CF218"/>
      <c r="CG218"/>
      <c r="CH218"/>
      <c r="CI218" s="141"/>
      <c r="CJ218"/>
    </row>
    <row r="219" spans="1:88" ht="13.5" customHeight="1">
      <c r="E219" s="5587"/>
      <c r="N219" s="8824">
        <f t="shared" si="0"/>
        <v>219</v>
      </c>
      <c r="O219" s="9503"/>
      <c r="P219" s="5575"/>
      <c r="Q219" s="522"/>
      <c r="R219" s="5415"/>
      <c r="S219" s="520"/>
      <c r="T219" s="1787"/>
      <c r="U219" s="5585" t="str">
        <f t="shared" si="1"/>
        <v/>
      </c>
      <c r="V219" s="5415"/>
      <c r="W219" s="5586" t="str">
        <f t="shared" si="4"/>
        <v/>
      </c>
      <c r="X219" s="5576"/>
      <c r="Y219" s="1318">
        <f t="shared" si="2"/>
        <v>0</v>
      </c>
    </row>
    <row r="220" spans="1:88" ht="13.5" customHeight="1">
      <c r="E220" s="5587"/>
      <c r="N220" s="8824">
        <f t="shared" si="0"/>
        <v>220</v>
      </c>
      <c r="O220" s="9503"/>
      <c r="P220" s="5575"/>
      <c r="Q220" s="522"/>
      <c r="R220" s="5415"/>
      <c r="S220" s="520"/>
      <c r="T220" s="1787"/>
      <c r="U220" s="5585" t="str">
        <f t="shared" si="1"/>
        <v/>
      </c>
      <c r="V220" s="5415"/>
      <c r="W220" s="5586" t="str">
        <f t="shared" si="4"/>
        <v/>
      </c>
      <c r="X220" s="5576"/>
      <c r="Y220" s="1318">
        <f t="shared" si="2"/>
        <v>0</v>
      </c>
      <c r="BG220" s="141"/>
      <c r="BH220" s="141"/>
      <c r="BT220" s="141"/>
      <c r="BU220" s="141"/>
      <c r="BV220" s="141"/>
      <c r="BW220" s="141"/>
      <c r="BX220" s="141"/>
      <c r="BY220" s="141"/>
      <c r="BZ220" s="141"/>
      <c r="CA220" s="141"/>
      <c r="CB220" s="141"/>
      <c r="CC220" s="141"/>
      <c r="CD220" s="141"/>
      <c r="CE220" s="141"/>
    </row>
    <row r="221" spans="1:88" ht="12" customHeight="1">
      <c r="E221" s="5587"/>
      <c r="N221" s="8824">
        <f t="shared" si="0"/>
        <v>221</v>
      </c>
      <c r="O221" s="9503"/>
      <c r="P221" s="5575"/>
      <c r="Q221" s="522"/>
      <c r="R221" s="5415"/>
      <c r="S221" s="520"/>
      <c r="T221" s="1787"/>
      <c r="U221" s="5585" t="str">
        <f t="shared" si="1"/>
        <v/>
      </c>
      <c r="V221" s="5415"/>
      <c r="W221" s="5586" t="str">
        <f t="shared" si="4"/>
        <v/>
      </c>
      <c r="X221" s="5576"/>
      <c r="Y221" s="1318">
        <f t="shared" si="2"/>
        <v>0</v>
      </c>
      <c r="CH221" s="141"/>
    </row>
    <row r="222" spans="1:88" ht="13.5" customHeight="1">
      <c r="E222" s="5587"/>
      <c r="N222" s="8824">
        <f t="shared" si="0"/>
        <v>222</v>
      </c>
      <c r="O222" s="9503"/>
      <c r="P222" s="5575"/>
      <c r="Q222" s="522"/>
      <c r="R222" s="5415"/>
      <c r="S222" s="520"/>
      <c r="T222" s="1787"/>
      <c r="U222" s="5585" t="str">
        <f t="shared" si="1"/>
        <v/>
      </c>
      <c r="V222" s="5415"/>
      <c r="W222" s="5586" t="str">
        <f t="shared" si="4"/>
        <v/>
      </c>
      <c r="X222" s="5576"/>
      <c r="Y222" s="1318">
        <f t="shared" si="2"/>
        <v>0</v>
      </c>
    </row>
    <row r="223" spans="1:88" ht="12.6" customHeight="1">
      <c r="E223" s="5587"/>
      <c r="N223" s="8824">
        <f t="shared" si="0"/>
        <v>223</v>
      </c>
      <c r="O223" s="9503"/>
      <c r="P223" s="5575"/>
      <c r="Q223" s="522"/>
      <c r="R223" s="5415"/>
      <c r="S223" s="520"/>
      <c r="T223" s="1787"/>
      <c r="U223" s="5585" t="str">
        <f t="shared" si="1"/>
        <v/>
      </c>
      <c r="V223" s="5415"/>
      <c r="W223" s="5586" t="str">
        <f t="shared" si="4"/>
        <v/>
      </c>
      <c r="X223" s="5576"/>
      <c r="Y223" s="1318">
        <f t="shared" si="2"/>
        <v>0</v>
      </c>
    </row>
    <row r="224" spans="1:88" ht="12.6" customHeight="1">
      <c r="E224" s="5587"/>
      <c r="N224" s="8824">
        <f t="shared" si="0"/>
        <v>224</v>
      </c>
      <c r="O224" s="9503"/>
      <c r="P224" s="5575"/>
      <c r="Q224" s="522"/>
      <c r="R224" s="5415"/>
      <c r="S224" s="520"/>
      <c r="T224" s="1787"/>
      <c r="U224" s="5585" t="str">
        <f t="shared" si="1"/>
        <v/>
      </c>
      <c r="V224" s="5415"/>
      <c r="W224" s="5586" t="str">
        <f t="shared" si="4"/>
        <v/>
      </c>
      <c r="X224" s="5576"/>
      <c r="Y224" s="1318">
        <f t="shared" si="2"/>
        <v>0</v>
      </c>
    </row>
    <row r="225" spans="1:88" ht="12.6" customHeight="1">
      <c r="E225" s="5587"/>
      <c r="N225" s="8824">
        <f t="shared" si="0"/>
        <v>225</v>
      </c>
      <c r="O225" s="9503"/>
      <c r="P225" s="5575"/>
      <c r="Q225" s="522"/>
      <c r="R225" s="5415"/>
      <c r="S225" s="520"/>
      <c r="T225" s="1787"/>
      <c r="U225" s="5585" t="str">
        <f t="shared" si="1"/>
        <v/>
      </c>
      <c r="V225" s="5415"/>
      <c r="W225" s="5586" t="str">
        <f t="shared" si="4"/>
        <v/>
      </c>
      <c r="X225" s="5576"/>
      <c r="Y225" s="1318">
        <f t="shared" si="2"/>
        <v>0</v>
      </c>
    </row>
    <row r="226" spans="1:88" ht="12.6" customHeight="1">
      <c r="E226" s="5587"/>
      <c r="N226" s="8824">
        <f t="shared" si="0"/>
        <v>226</v>
      </c>
      <c r="O226" s="9503"/>
      <c r="P226" s="5575"/>
      <c r="Q226" s="522"/>
      <c r="R226" s="5415"/>
      <c r="S226" s="520"/>
      <c r="T226" s="1787"/>
      <c r="U226" s="5585" t="str">
        <f t="shared" si="1"/>
        <v/>
      </c>
      <c r="V226" s="5415"/>
      <c r="W226" s="5586" t="str">
        <f t="shared" si="4"/>
        <v/>
      </c>
      <c r="X226" s="5576"/>
      <c r="Y226" s="1318">
        <f t="shared" si="2"/>
        <v>0</v>
      </c>
      <c r="BR226" s="141"/>
      <c r="BS226" s="141"/>
    </row>
    <row r="227" spans="1:88" ht="12.6" customHeight="1">
      <c r="E227" s="5587"/>
      <c r="N227" s="8824">
        <f t="shared" si="0"/>
        <v>227</v>
      </c>
      <c r="O227" s="9503"/>
      <c r="P227" s="5575"/>
      <c r="Q227" s="522"/>
      <c r="R227" s="5415"/>
      <c r="S227" s="520"/>
      <c r="T227" s="1787"/>
      <c r="U227" s="5585" t="str">
        <f t="shared" si="1"/>
        <v/>
      </c>
      <c r="V227" s="5415"/>
      <c r="W227" s="5586" t="str">
        <f t="shared" si="4"/>
        <v/>
      </c>
      <c r="X227" s="5576"/>
      <c r="Y227" s="1318">
        <f t="shared" si="2"/>
        <v>0</v>
      </c>
      <c r="CG227" s="141"/>
      <c r="CJ227" s="141"/>
    </row>
    <row r="228" spans="1:88" ht="12.6" customHeight="1">
      <c r="E228" s="5587"/>
      <c r="N228" s="8824">
        <f t="shared" si="0"/>
        <v>228</v>
      </c>
      <c r="O228" s="9503"/>
      <c r="P228" s="5575"/>
      <c r="Q228" s="522"/>
      <c r="R228" s="5415"/>
      <c r="S228" s="520"/>
      <c r="T228" s="1787"/>
      <c r="U228" s="5585" t="str">
        <f t="shared" si="1"/>
        <v/>
      </c>
      <c r="V228" s="5415"/>
      <c r="W228" s="5586" t="str">
        <f t="shared" si="4"/>
        <v/>
      </c>
      <c r="X228" s="5576"/>
      <c r="Y228" s="1318">
        <f t="shared" si="2"/>
        <v>0</v>
      </c>
      <c r="CI228" s="141"/>
    </row>
    <row r="229" spans="1:88" s="141" customFormat="1" ht="20.100000000000001" customHeight="1">
      <c r="A229"/>
      <c r="B229"/>
      <c r="C229"/>
      <c r="D229"/>
      <c r="E229" s="5587"/>
      <c r="F229"/>
      <c r="G229"/>
      <c r="H229"/>
      <c r="I229"/>
      <c r="J229"/>
      <c r="K229"/>
      <c r="L229"/>
      <c r="M229"/>
      <c r="N229" s="8824">
        <f t="shared" si="0"/>
        <v>229</v>
      </c>
      <c r="O229" s="9503"/>
      <c r="P229" s="5575"/>
      <c r="Q229" s="522"/>
      <c r="R229" s="5415"/>
      <c r="S229" s="520"/>
      <c r="T229" s="1787"/>
      <c r="U229" s="5585" t="str">
        <f t="shared" si="1"/>
        <v/>
      </c>
      <c r="V229" s="5415"/>
      <c r="W229" s="5586" t="str">
        <f t="shared" si="4"/>
        <v/>
      </c>
      <c r="X229" s="5576"/>
      <c r="Y229" s="1318">
        <f t="shared" si="2"/>
        <v>0</v>
      </c>
      <c r="Z229"/>
      <c r="AA229"/>
      <c r="AB229"/>
      <c r="AC229"/>
      <c r="AD229"/>
      <c r="AE229"/>
      <c r="AF229"/>
      <c r="AG229"/>
      <c r="AH229"/>
      <c r="AI229"/>
      <c r="AJ229"/>
      <c r="AK229"/>
      <c r="AL229"/>
      <c r="AM229"/>
      <c r="AN229"/>
      <c r="AO229"/>
      <c r="AP229"/>
      <c r="AQ229"/>
      <c r="AR229"/>
      <c r="AS229"/>
      <c r="AT229"/>
      <c r="AU229"/>
      <c r="AV229" s="658"/>
      <c r="AW229" s="658"/>
      <c r="AX229" s="658"/>
      <c r="AY229" s="658"/>
      <c r="AZ229" s="658"/>
      <c r="BA229" s="658"/>
      <c r="BB229" s="658"/>
      <c r="BC229" s="658"/>
      <c r="BD229" s="658"/>
      <c r="BE229" s="658"/>
      <c r="BF229" s="658"/>
      <c r="BG229"/>
      <c r="BH229"/>
      <c r="BI229"/>
      <c r="BJ229"/>
      <c r="BK229"/>
      <c r="BL229"/>
      <c r="BM229"/>
      <c r="BN229"/>
      <c r="BO229"/>
      <c r="BP229"/>
      <c r="BQ229"/>
      <c r="BR229"/>
      <c r="BS229"/>
      <c r="BT229"/>
      <c r="BU229"/>
      <c r="BV229"/>
      <c r="BW229"/>
      <c r="BX229"/>
      <c r="BY229"/>
      <c r="BZ229"/>
      <c r="CA229"/>
      <c r="CB229"/>
      <c r="CC229"/>
      <c r="CD229"/>
      <c r="CE229"/>
      <c r="CF229"/>
      <c r="CG229"/>
      <c r="CH229"/>
      <c r="CI229"/>
      <c r="CJ229"/>
    </row>
    <row r="230" spans="1:88">
      <c r="N230" s="8824">
        <f t="shared" si="0"/>
        <v>230</v>
      </c>
      <c r="O230" s="9503"/>
      <c r="P230" s="5575"/>
      <c r="Q230" s="522"/>
      <c r="R230" s="5415"/>
      <c r="S230" s="520"/>
      <c r="T230" s="1787"/>
      <c r="U230" s="5585" t="str">
        <f t="shared" si="1"/>
        <v/>
      </c>
      <c r="V230" s="5415"/>
      <c r="W230" s="5586" t="str">
        <f t="shared" si="4"/>
        <v/>
      </c>
      <c r="X230" s="5576"/>
      <c r="Y230" s="1318">
        <f t="shared" si="2"/>
        <v>0</v>
      </c>
    </row>
    <row r="231" spans="1:88" ht="12.6" customHeight="1">
      <c r="N231" s="8824">
        <f t="shared" si="0"/>
        <v>231</v>
      </c>
      <c r="O231" s="9503"/>
      <c r="P231" s="5575"/>
      <c r="Q231" s="522"/>
      <c r="R231" s="5415"/>
      <c r="S231" s="520"/>
      <c r="T231" s="1787"/>
      <c r="U231" s="5585" t="str">
        <f t="shared" si="1"/>
        <v/>
      </c>
      <c r="V231" s="5415"/>
      <c r="W231" s="5586" t="str">
        <f t="shared" si="4"/>
        <v/>
      </c>
      <c r="X231" s="5576"/>
      <c r="Y231" s="1318">
        <f t="shared" si="2"/>
        <v>0</v>
      </c>
      <c r="CH231" s="141"/>
    </row>
    <row r="232" spans="1:88" ht="12.6" customHeight="1">
      <c r="N232" s="8824">
        <f t="shared" si="0"/>
        <v>232</v>
      </c>
      <c r="O232" s="9503"/>
      <c r="P232" s="5575"/>
      <c r="Q232" s="522"/>
      <c r="R232" s="5415"/>
      <c r="S232" s="520"/>
      <c r="T232" s="1787"/>
      <c r="U232" s="5585" t="str">
        <f t="shared" si="1"/>
        <v/>
      </c>
      <c r="V232" s="5415"/>
      <c r="W232" s="5586" t="str">
        <f t="shared" si="4"/>
        <v/>
      </c>
      <c r="X232" s="5576"/>
      <c r="Y232" s="1318">
        <f t="shared" si="2"/>
        <v>0</v>
      </c>
    </row>
    <row r="233" spans="1:88" ht="12.6" customHeight="1" thickBot="1">
      <c r="N233" s="8824">
        <f t="shared" si="0"/>
        <v>233</v>
      </c>
      <c r="O233" s="9503"/>
      <c r="P233" s="5575"/>
      <c r="Q233" s="523"/>
      <c r="R233" s="5415"/>
      <c r="S233" s="521"/>
      <c r="T233" s="1787"/>
      <c r="U233" s="5588" t="str">
        <f t="shared" si="1"/>
        <v/>
      </c>
      <c r="V233" s="5415"/>
      <c r="W233" s="5589" t="str">
        <f t="shared" si="4"/>
        <v/>
      </c>
      <c r="X233" s="5576"/>
      <c r="Y233" s="1318">
        <f t="shared" si="2"/>
        <v>0</v>
      </c>
    </row>
    <row r="234" spans="1:88" ht="13.5" thickBot="1">
      <c r="N234" s="8824">
        <f t="shared" si="0"/>
        <v>234</v>
      </c>
      <c r="O234" s="9503"/>
      <c r="P234" s="5590"/>
      <c r="Q234" s="5591"/>
      <c r="R234" s="5591"/>
      <c r="S234" s="5591"/>
      <c r="T234" s="5591"/>
      <c r="U234" s="5591"/>
      <c r="V234" s="5591"/>
      <c r="W234" s="5591"/>
      <c r="X234" s="5592"/>
      <c r="Y234" s="1318">
        <f>SUM(Y180:Y233)</f>
        <v>0</v>
      </c>
    </row>
    <row r="235" spans="1:88" ht="13.5" thickTop="1">
      <c r="O235" s="512"/>
      <c r="P235" s="253"/>
      <c r="Q235" s="253"/>
      <c r="R235" s="253"/>
      <c r="S235" s="253"/>
      <c r="T235" s="253"/>
      <c r="U235" s="253"/>
      <c r="V235" s="253"/>
      <c r="W235" s="253"/>
      <c r="X235" s="253"/>
      <c r="Y235" s="3235"/>
    </row>
    <row r="236" spans="1:88" ht="12.6" customHeight="1">
      <c r="Y236" s="3235"/>
    </row>
    <row r="237" spans="1:88">
      <c r="Y237" s="3235"/>
      <c r="CJ237" s="141"/>
    </row>
    <row r="238" spans="1:88" ht="15.95" customHeight="1">
      <c r="Y238" s="3235"/>
      <c r="CI238" s="141"/>
    </row>
    <row r="239" spans="1:88" s="141" customFormat="1" ht="20.100000000000001" customHeight="1">
      <c r="A239"/>
      <c r="B239"/>
      <c r="C239"/>
      <c r="D239"/>
      <c r="E239"/>
      <c r="F239"/>
      <c r="G239"/>
      <c r="H239"/>
      <c r="I239"/>
      <c r="J239"/>
      <c r="K239"/>
      <c r="L239"/>
      <c r="M239"/>
      <c r="N239"/>
      <c r="O239"/>
      <c r="P239"/>
      <c r="Q239"/>
      <c r="R239"/>
      <c r="S239"/>
      <c r="T239"/>
      <c r="U239"/>
      <c r="V239"/>
      <c r="W239"/>
      <c r="X239"/>
      <c r="Y239" s="3235"/>
      <c r="Z239"/>
      <c r="AA239"/>
      <c r="AB239"/>
      <c r="AC239"/>
      <c r="AD239"/>
      <c r="AE239"/>
      <c r="AF239"/>
      <c r="AG239"/>
      <c r="AH239"/>
      <c r="AI239"/>
      <c r="AJ239"/>
      <c r="AK239"/>
      <c r="AL239"/>
      <c r="AM239"/>
      <c r="AN239"/>
      <c r="AO239"/>
      <c r="AP239"/>
      <c r="AQ239"/>
      <c r="AR239"/>
      <c r="AS239"/>
      <c r="AT239"/>
      <c r="AU239"/>
      <c r="AV239" s="658"/>
      <c r="AW239" s="658"/>
      <c r="AX239" s="658"/>
      <c r="AY239" s="658"/>
      <c r="AZ239" s="658"/>
      <c r="BA239" s="658"/>
      <c r="BB239" s="658"/>
      <c r="BC239" s="658"/>
      <c r="BD239" s="658"/>
      <c r="BE239" s="658"/>
      <c r="BF239" s="658"/>
      <c r="BG239"/>
      <c r="BH239"/>
      <c r="BI239"/>
      <c r="BJ239"/>
      <c r="BK239"/>
      <c r="BL239"/>
      <c r="BM239"/>
      <c r="BN239"/>
      <c r="BO239"/>
      <c r="BP239"/>
      <c r="BQ239"/>
      <c r="BR239"/>
      <c r="BS239"/>
      <c r="BT239"/>
      <c r="BU239"/>
      <c r="BV239"/>
      <c r="BW239"/>
      <c r="BX239"/>
      <c r="BY239"/>
      <c r="BZ239"/>
      <c r="CA239"/>
      <c r="CB239"/>
      <c r="CC239"/>
      <c r="CD239"/>
      <c r="CE239"/>
      <c r="CF239"/>
      <c r="CG239"/>
      <c r="CH239"/>
      <c r="CI239"/>
      <c r="CJ239"/>
    </row>
    <row r="240" spans="1:88" ht="12.6" customHeight="1">
      <c r="Y240" s="3235"/>
    </row>
    <row r="241" spans="1:88" ht="12.6" customHeight="1">
      <c r="B241" s="383"/>
      <c r="C241" s="383"/>
      <c r="D241" s="383"/>
      <c r="E241" s="383"/>
      <c r="L241" s="383"/>
      <c r="M241" s="383"/>
      <c r="N241" s="383"/>
      <c r="O241" s="383"/>
      <c r="P241" s="383"/>
      <c r="Q241" s="383"/>
      <c r="R241" s="383"/>
      <c r="S241" s="383"/>
      <c r="T241" s="383"/>
      <c r="U241" s="383"/>
      <c r="V241" s="383"/>
      <c r="Y241" s="3235"/>
    </row>
    <row r="242" spans="1:88" ht="12.6" customHeight="1">
      <c r="Y242" s="3235"/>
    </row>
    <row r="243" spans="1:88" ht="13.5" customHeight="1">
      <c r="B243" s="383"/>
      <c r="C243" s="383"/>
      <c r="D243" s="383"/>
      <c r="E243" s="383"/>
      <c r="L243" s="383"/>
      <c r="M243" s="383"/>
      <c r="N243" s="383"/>
      <c r="O243" s="383"/>
      <c r="P243" s="383"/>
      <c r="Q243" s="383"/>
      <c r="R243" s="383"/>
      <c r="S243" s="383"/>
      <c r="T243" s="383"/>
      <c r="U243" s="383"/>
      <c r="V243" s="383"/>
      <c r="Y243" s="3235"/>
    </row>
    <row r="244" spans="1:88" ht="12.6" customHeight="1">
      <c r="Y244" s="3235"/>
    </row>
    <row r="245" spans="1:88" ht="12.6" customHeight="1">
      <c r="Y245" s="3235"/>
    </row>
    <row r="246" spans="1:88" ht="12.6" customHeight="1">
      <c r="Y246" s="3235"/>
    </row>
    <row r="247" spans="1:88" ht="12.6" customHeight="1">
      <c r="Y247" s="3235"/>
      <c r="CJ247" s="141"/>
    </row>
    <row r="248" spans="1:88" ht="15.95" customHeight="1">
      <c r="Y248" s="3235"/>
    </row>
    <row r="249" spans="1:88" s="141" customFormat="1" ht="20.100000000000001" customHeight="1">
      <c r="A249"/>
      <c r="B249"/>
      <c r="C249"/>
      <c r="D249"/>
      <c r="E249"/>
      <c r="F249"/>
      <c r="G249"/>
      <c r="H249"/>
      <c r="I249"/>
      <c r="J249"/>
      <c r="K249"/>
      <c r="L249"/>
      <c r="M249"/>
      <c r="N249"/>
      <c r="O249"/>
      <c r="P249"/>
      <c r="Q249"/>
      <c r="R249"/>
      <c r="S249"/>
      <c r="T249"/>
      <c r="U249"/>
      <c r="V249"/>
      <c r="W249"/>
      <c r="X249"/>
      <c r="Y249" s="3235"/>
      <c r="Z249"/>
      <c r="AA249"/>
      <c r="AB249"/>
      <c r="AC249"/>
      <c r="AD249"/>
      <c r="AE249"/>
      <c r="AF249"/>
      <c r="AG249"/>
      <c r="AH249"/>
      <c r="AI249"/>
      <c r="AJ249"/>
      <c r="AK249"/>
      <c r="AL249"/>
      <c r="AM249"/>
      <c r="AN249"/>
      <c r="AO249"/>
      <c r="AP249"/>
      <c r="AQ249"/>
      <c r="AR249"/>
      <c r="AS249"/>
      <c r="AT249"/>
      <c r="AU249"/>
      <c r="AV249" s="658"/>
      <c r="AW249" s="658"/>
      <c r="AX249" s="658"/>
      <c r="AY249" s="658"/>
      <c r="AZ249" s="658"/>
      <c r="BA249" s="658"/>
      <c r="BB249" s="658"/>
      <c r="BC249" s="658"/>
      <c r="BD249" s="658"/>
      <c r="BE249" s="658"/>
      <c r="BF249" s="658"/>
      <c r="BG249"/>
      <c r="BH249"/>
      <c r="BI249"/>
      <c r="BJ249"/>
      <c r="BK249"/>
      <c r="BL249"/>
      <c r="BM249"/>
      <c r="BN249"/>
      <c r="BO249"/>
      <c r="BP249"/>
      <c r="BQ249"/>
      <c r="BR249"/>
      <c r="BS249"/>
      <c r="BT249"/>
      <c r="BU249"/>
      <c r="BV249"/>
      <c r="BW249"/>
      <c r="BX249"/>
      <c r="BY249"/>
      <c r="BZ249"/>
      <c r="CA249"/>
      <c r="CB249"/>
      <c r="CC249"/>
      <c r="CD249"/>
      <c r="CE249"/>
      <c r="CF249"/>
      <c r="CG249"/>
      <c r="CH249"/>
      <c r="CI249"/>
      <c r="CJ249"/>
    </row>
    <row r="250" spans="1:88">
      <c r="Y250" s="3235"/>
    </row>
    <row r="251" spans="1:88" ht="12.6" customHeight="1">
      <c r="Y251" s="3235"/>
    </row>
    <row r="252" spans="1:88" ht="12.6" customHeight="1">
      <c r="Y252" s="3235"/>
    </row>
    <row r="253" spans="1:88" ht="12.6" customHeight="1">
      <c r="Y253" s="3235"/>
    </row>
    <row r="254" spans="1:88" ht="12.6" customHeight="1">
      <c r="Y254" s="3235"/>
    </row>
    <row r="255" spans="1:88" ht="12.6" customHeight="1">
      <c r="Y255" s="3235"/>
    </row>
    <row r="256" spans="1:88" ht="12.6" customHeight="1">
      <c r="Y256" s="3235"/>
    </row>
    <row r="257" spans="1:88" ht="12.6" customHeight="1">
      <c r="Y257" s="3235"/>
    </row>
    <row r="258" spans="1:88" ht="15.95" customHeight="1">
      <c r="Y258" s="3235"/>
    </row>
    <row r="259" spans="1:88" s="141" customFormat="1" ht="20.100000000000001" customHeight="1">
      <c r="A259"/>
      <c r="B259"/>
      <c r="C259"/>
      <c r="D259"/>
      <c r="E259"/>
      <c r="F259"/>
      <c r="G259"/>
      <c r="H259"/>
      <c r="I259"/>
      <c r="J259"/>
      <c r="K259"/>
      <c r="L259"/>
      <c r="M259"/>
      <c r="N259"/>
      <c r="O259"/>
      <c r="P259"/>
      <c r="Q259"/>
      <c r="R259"/>
      <c r="S259"/>
      <c r="T259"/>
      <c r="U259"/>
      <c r="V259"/>
      <c r="W259"/>
      <c r="X259"/>
      <c r="Y259" s="3235">
        <f t="shared" ref="Y259:Y294" si="5">IF(OR(Q198="",Q198&gt;Q197),0,1)</f>
        <v>0</v>
      </c>
      <c r="Z259"/>
      <c r="AA259"/>
      <c r="AB259"/>
      <c r="AC259"/>
      <c r="AD259"/>
      <c r="AE259"/>
      <c r="AF259"/>
      <c r="AG259"/>
      <c r="AH259"/>
      <c r="AI259"/>
      <c r="AJ259"/>
      <c r="AK259"/>
      <c r="AL259"/>
      <c r="AM259"/>
      <c r="AN259"/>
      <c r="AO259"/>
      <c r="AP259"/>
      <c r="AQ259"/>
      <c r="AR259"/>
      <c r="AS259"/>
      <c r="AT259"/>
      <c r="AU259"/>
      <c r="AV259" s="658"/>
      <c r="AW259" s="658"/>
      <c r="AX259" s="658"/>
      <c r="AY259" s="658"/>
      <c r="AZ259" s="658"/>
      <c r="BA259" s="658"/>
      <c r="BB259" s="658"/>
      <c r="BC259" s="658"/>
      <c r="BD259" s="658"/>
      <c r="BE259" s="658"/>
      <c r="BF259" s="658"/>
      <c r="BG259"/>
      <c r="BH259"/>
      <c r="BI259"/>
      <c r="BJ259"/>
      <c r="BK259"/>
      <c r="BL259"/>
      <c r="BM259"/>
      <c r="BN259"/>
      <c r="BO259"/>
      <c r="BP259"/>
      <c r="BQ259"/>
      <c r="BR259"/>
      <c r="BS259"/>
      <c r="BT259"/>
      <c r="BU259"/>
      <c r="BV259"/>
      <c r="BW259"/>
      <c r="BX259"/>
      <c r="BY259"/>
      <c r="BZ259"/>
      <c r="CA259"/>
      <c r="CB259"/>
      <c r="CC259"/>
      <c r="CD259"/>
      <c r="CE259"/>
      <c r="CF259"/>
      <c r="CG259"/>
      <c r="CH259"/>
      <c r="CI259"/>
      <c r="CJ259"/>
    </row>
    <row r="260" spans="1:88">
      <c r="Y260" s="3235">
        <f t="shared" si="5"/>
        <v>0</v>
      </c>
    </row>
    <row r="261" spans="1:88" ht="12.6" customHeight="1">
      <c r="Y261" s="3235">
        <f t="shared" si="5"/>
        <v>0</v>
      </c>
    </row>
    <row r="262" spans="1:88" ht="12.6" customHeight="1">
      <c r="Y262" s="3235">
        <f t="shared" si="5"/>
        <v>0</v>
      </c>
    </row>
    <row r="263" spans="1:88" ht="12.6" customHeight="1">
      <c r="Y263" s="3235">
        <f t="shared" si="5"/>
        <v>0</v>
      </c>
    </row>
    <row r="264" spans="1:88" ht="12.6" customHeight="1">
      <c r="Y264" s="3235">
        <f t="shared" si="5"/>
        <v>0</v>
      </c>
    </row>
    <row r="265" spans="1:88" ht="12.6" customHeight="1">
      <c r="Y265" s="3235">
        <f t="shared" si="5"/>
        <v>0</v>
      </c>
    </row>
    <row r="266" spans="1:88" ht="12.6" customHeight="1">
      <c r="Y266" s="3235">
        <f t="shared" si="5"/>
        <v>0</v>
      </c>
    </row>
    <row r="267" spans="1:88" ht="12.6" customHeight="1">
      <c r="Y267" s="3235">
        <f t="shared" si="5"/>
        <v>0</v>
      </c>
    </row>
    <row r="268" spans="1:88" ht="15.95" customHeight="1">
      <c r="Y268" s="3235">
        <f t="shared" si="5"/>
        <v>0</v>
      </c>
    </row>
    <row r="269" spans="1:88">
      <c r="Y269" s="3235">
        <f t="shared" si="5"/>
        <v>0</v>
      </c>
    </row>
    <row r="270" spans="1:88">
      <c r="Y270" s="3235">
        <f t="shared" si="5"/>
        <v>0</v>
      </c>
    </row>
    <row r="271" spans="1:88">
      <c r="Y271" s="3235">
        <f t="shared" si="5"/>
        <v>0</v>
      </c>
    </row>
    <row r="272" spans="1:88">
      <c r="Y272" s="3235">
        <f t="shared" si="5"/>
        <v>0</v>
      </c>
    </row>
    <row r="273" spans="25:25">
      <c r="Y273" s="3235">
        <f t="shared" si="5"/>
        <v>0</v>
      </c>
    </row>
    <row r="274" spans="25:25">
      <c r="Y274" s="3235">
        <f t="shared" si="5"/>
        <v>0</v>
      </c>
    </row>
    <row r="275" spans="25:25">
      <c r="Y275" s="3235">
        <f t="shared" si="5"/>
        <v>0</v>
      </c>
    </row>
    <row r="276" spans="25:25">
      <c r="Y276" s="3235">
        <f t="shared" si="5"/>
        <v>0</v>
      </c>
    </row>
    <row r="277" spans="25:25">
      <c r="Y277" s="3235">
        <f t="shared" si="5"/>
        <v>0</v>
      </c>
    </row>
    <row r="278" spans="25:25">
      <c r="Y278" s="3235">
        <f t="shared" si="5"/>
        <v>0</v>
      </c>
    </row>
    <row r="279" spans="25:25">
      <c r="Y279" s="3235">
        <f t="shared" si="5"/>
        <v>0</v>
      </c>
    </row>
    <row r="280" spans="25:25">
      <c r="Y280" s="3235">
        <f t="shared" si="5"/>
        <v>0</v>
      </c>
    </row>
    <row r="281" spans="25:25">
      <c r="Y281" s="3235">
        <f t="shared" si="5"/>
        <v>0</v>
      </c>
    </row>
    <row r="282" spans="25:25" ht="12.75" customHeight="1">
      <c r="Y282" s="3235">
        <f t="shared" si="5"/>
        <v>0</v>
      </c>
    </row>
    <row r="283" spans="25:25">
      <c r="Y283" s="3235">
        <f t="shared" si="5"/>
        <v>0</v>
      </c>
    </row>
    <row r="284" spans="25:25" ht="26.25" customHeight="1">
      <c r="Y284" s="3235">
        <f t="shared" si="5"/>
        <v>0</v>
      </c>
    </row>
    <row r="285" spans="25:25">
      <c r="Y285" s="3235">
        <f t="shared" si="5"/>
        <v>0</v>
      </c>
    </row>
    <row r="286" spans="25:25">
      <c r="Y286" s="3235">
        <f t="shared" si="5"/>
        <v>0</v>
      </c>
    </row>
    <row r="287" spans="25:25">
      <c r="Y287" s="3235">
        <f t="shared" si="5"/>
        <v>0</v>
      </c>
    </row>
    <row r="288" spans="25:25">
      <c r="Y288" s="3235">
        <f t="shared" si="5"/>
        <v>0</v>
      </c>
    </row>
    <row r="289" spans="25:25">
      <c r="Y289" s="3235">
        <f t="shared" si="5"/>
        <v>0</v>
      </c>
    </row>
    <row r="290" spans="25:25">
      <c r="Y290" s="3235">
        <f t="shared" si="5"/>
        <v>0</v>
      </c>
    </row>
    <row r="291" spans="25:25">
      <c r="Y291" s="3235">
        <f t="shared" si="5"/>
        <v>0</v>
      </c>
    </row>
    <row r="292" spans="25:25">
      <c r="Y292" s="3235">
        <f t="shared" si="5"/>
        <v>0</v>
      </c>
    </row>
    <row r="293" spans="25:25">
      <c r="Y293" s="3235">
        <f t="shared" si="5"/>
        <v>0</v>
      </c>
    </row>
    <row r="294" spans="25:25">
      <c r="Y294" s="3235">
        <f t="shared" si="5"/>
        <v>0</v>
      </c>
    </row>
    <row r="295" spans="25:25">
      <c r="Y295" s="3235"/>
    </row>
    <row r="296" spans="25:25">
      <c r="Y296" s="253"/>
    </row>
    <row r="302" spans="25:25" ht="12.75" customHeight="1">
      <c r="Y302" s="5362"/>
    </row>
    <row r="304" spans="25:25">
      <c r="Y304" s="5362"/>
    </row>
    <row r="310" spans="27:27">
      <c r="AA310" s="141"/>
    </row>
    <row r="320" spans="27:27">
      <c r="AA320" s="141"/>
    </row>
    <row r="323" spans="27:27" ht="12.75" customHeight="1"/>
    <row r="327" spans="27:27" ht="12.75" customHeight="1"/>
    <row r="328" spans="27:27" ht="12.75" customHeight="1"/>
    <row r="329" spans="27:27" ht="12.75" customHeight="1"/>
    <row r="330" spans="27:27" ht="12.6" customHeight="1">
      <c r="AA330" s="141"/>
    </row>
    <row r="332" spans="27:27" ht="12.75" customHeight="1"/>
    <row r="333" spans="27:27" ht="12.75" customHeight="1"/>
    <row r="334" spans="27:27" ht="12.75" customHeight="1"/>
    <row r="335" spans="27:27" ht="12.75" customHeight="1"/>
    <row r="337" ht="12.75" customHeight="1"/>
    <row r="338" ht="12.75" customHeight="1"/>
    <row r="339" ht="12.75" customHeight="1"/>
    <row r="340" ht="13.5" customHeight="1"/>
    <row r="368" spans="33:39">
      <c r="AG368" s="141"/>
      <c r="AH368" s="141"/>
      <c r="AI368" s="141"/>
      <c r="AJ368" s="141"/>
      <c r="AM368" s="141"/>
    </row>
    <row r="369" spans="32:39">
      <c r="AK369" s="141"/>
      <c r="AL369" s="141"/>
    </row>
    <row r="371" spans="32:39">
      <c r="AF371" s="141"/>
    </row>
    <row r="378" spans="32:39">
      <c r="AG378" s="141"/>
      <c r="AH378" s="141"/>
      <c r="AI378" s="141"/>
      <c r="AJ378" s="141"/>
      <c r="AM378" s="141"/>
    </row>
    <row r="379" spans="32:39">
      <c r="AK379" s="141"/>
      <c r="AL379" s="141"/>
    </row>
    <row r="381" spans="32:39">
      <c r="AF381" s="141"/>
    </row>
    <row r="388" spans="32:39">
      <c r="AG388" s="141"/>
      <c r="AH388" s="141"/>
      <c r="AI388" s="141"/>
      <c r="AJ388" s="141"/>
      <c r="AM388" s="141"/>
    </row>
    <row r="389" spans="32:39">
      <c r="AK389" s="141"/>
      <c r="AL389" s="141"/>
    </row>
    <row r="391" spans="32:39">
      <c r="AF391" s="141"/>
    </row>
  </sheetData>
  <sheetProtection algorithmName="SHA-512" hashValue="YfT62dHbCH7KV2LRaZ25nljTrfSUweZk2v4AyXkIWg9EZHoS0i86/v9EctWQJStL+WKHljprIvTrFYKN+nbBMA==" saltValue="g+fHIKHkdsAxknPrAhQC6g==" spinCount="100000" sheet="1" objects="1" scenarios="1" formatCells="0" formatColumns="0" formatRows="0"/>
  <mergeCells count="328">
    <mergeCell ref="AB82:AF82"/>
    <mergeCell ref="AB83:AF83"/>
    <mergeCell ref="AB84:AF84"/>
    <mergeCell ref="AB81:AF81"/>
    <mergeCell ref="AB80:AF80"/>
    <mergeCell ref="AC42:AE42"/>
    <mergeCell ref="AC43:AE44"/>
    <mergeCell ref="V72:W72"/>
    <mergeCell ref="AC54:AE54"/>
    <mergeCell ref="AC46:AE46"/>
    <mergeCell ref="AC47:AE48"/>
    <mergeCell ref="AC50:AE50"/>
    <mergeCell ref="AC51:AE52"/>
    <mergeCell ref="AB122:AF122"/>
    <mergeCell ref="AB123:AF123"/>
    <mergeCell ref="AB124:AF124"/>
    <mergeCell ref="AC55:AE56"/>
    <mergeCell ref="N234:O234"/>
    <mergeCell ref="N178:O178"/>
    <mergeCell ref="Q172:W174"/>
    <mergeCell ref="N208:O208"/>
    <mergeCell ref="N209:O209"/>
    <mergeCell ref="N210:O210"/>
    <mergeCell ref="N211:O211"/>
    <mergeCell ref="N212:O212"/>
    <mergeCell ref="N213:O213"/>
    <mergeCell ref="N214:O214"/>
    <mergeCell ref="N197:O197"/>
    <mergeCell ref="N198:O198"/>
    <mergeCell ref="N199:O199"/>
    <mergeCell ref="N200:O200"/>
    <mergeCell ref="N201:O201"/>
    <mergeCell ref="N202:O202"/>
    <mergeCell ref="N203:O203"/>
    <mergeCell ref="N204:O204"/>
    <mergeCell ref="N205:O205"/>
    <mergeCell ref="R79:S79"/>
    <mergeCell ref="E172:K178"/>
    <mergeCell ref="AH48:AP49"/>
    <mergeCell ref="N233:O233"/>
    <mergeCell ref="N224:O224"/>
    <mergeCell ref="N225:O225"/>
    <mergeCell ref="N226:O226"/>
    <mergeCell ref="N227:O227"/>
    <mergeCell ref="N228:O228"/>
    <mergeCell ref="N229:O229"/>
    <mergeCell ref="N230:O230"/>
    <mergeCell ref="N231:O231"/>
    <mergeCell ref="N232:O232"/>
    <mergeCell ref="N215:O215"/>
    <mergeCell ref="N216:O216"/>
    <mergeCell ref="N217:O217"/>
    <mergeCell ref="N218:O218"/>
    <mergeCell ref="N219:O219"/>
    <mergeCell ref="N220:O220"/>
    <mergeCell ref="N221:O221"/>
    <mergeCell ref="N222:O222"/>
    <mergeCell ref="N223:O223"/>
    <mergeCell ref="N206:O206"/>
    <mergeCell ref="N207:O207"/>
    <mergeCell ref="AB121:AF121"/>
    <mergeCell ref="N188:O188"/>
    <mergeCell ref="N189:O189"/>
    <mergeCell ref="N190:O190"/>
    <mergeCell ref="N191:O191"/>
    <mergeCell ref="N192:O192"/>
    <mergeCell ref="N193:O193"/>
    <mergeCell ref="N194:O194"/>
    <mergeCell ref="N195:O195"/>
    <mergeCell ref="N196:O196"/>
    <mergeCell ref="N181:O181"/>
    <mergeCell ref="N182:O182"/>
    <mergeCell ref="N183:O183"/>
    <mergeCell ref="N184:O184"/>
    <mergeCell ref="N185:O185"/>
    <mergeCell ref="N186:O186"/>
    <mergeCell ref="N179:O179"/>
    <mergeCell ref="N180:O180"/>
    <mergeCell ref="N187:O187"/>
    <mergeCell ref="R89:S89"/>
    <mergeCell ref="C24:K26"/>
    <mergeCell ref="L24:N25"/>
    <mergeCell ref="O18:V21"/>
    <mergeCell ref="O24:V26"/>
    <mergeCell ref="S28:V28"/>
    <mergeCell ref="P27:P28"/>
    <mergeCell ref="Q27:R28"/>
    <mergeCell ref="R72:S72"/>
    <mergeCell ref="P71:W71"/>
    <mergeCell ref="P74:Q74"/>
    <mergeCell ref="P72:Q72"/>
    <mergeCell ref="T77:U77"/>
    <mergeCell ref="P80:Q80"/>
    <mergeCell ref="P77:Q77"/>
    <mergeCell ref="R77:S77"/>
    <mergeCell ref="V77:W77"/>
    <mergeCell ref="R74:S74"/>
    <mergeCell ref="B84:C84"/>
    <mergeCell ref="B53:C53"/>
    <mergeCell ref="B59:D59"/>
    <mergeCell ref="T72:U72"/>
    <mergeCell ref="L78:N78"/>
    <mergeCell ref="P79:Q79"/>
    <mergeCell ref="AH31:AP31"/>
    <mergeCell ref="Z30:Z31"/>
    <mergeCell ref="C30:K33"/>
    <mergeCell ref="AA14:AB14"/>
    <mergeCell ref="F22:F23"/>
    <mergeCell ref="F27:F29"/>
    <mergeCell ref="B11:R11"/>
    <mergeCell ref="AH32:AP32"/>
    <mergeCell ref="AB10:AE10"/>
    <mergeCell ref="B71:N73"/>
    <mergeCell ref="T74:U74"/>
    <mergeCell ref="B67:D67"/>
    <mergeCell ref="B6:D6"/>
    <mergeCell ref="E6:F7"/>
    <mergeCell ref="C7:D7"/>
    <mergeCell ref="B52:C52"/>
    <mergeCell ref="G9:S9"/>
    <mergeCell ref="N30:V33"/>
    <mergeCell ref="U46:W46"/>
    <mergeCell ref="U45:W45"/>
    <mergeCell ref="U41:W41"/>
    <mergeCell ref="U47:W47"/>
    <mergeCell ref="U38:W38"/>
    <mergeCell ref="F16:F17"/>
    <mergeCell ref="T6:W6"/>
    <mergeCell ref="T7:W7"/>
    <mergeCell ref="C18:K21"/>
    <mergeCell ref="L19:N19"/>
    <mergeCell ref="T73:U73"/>
    <mergeCell ref="T8:W8"/>
    <mergeCell ref="T9:W9"/>
    <mergeCell ref="C9:F9"/>
    <mergeCell ref="AB6:AE6"/>
    <mergeCell ref="AC19:AE19"/>
    <mergeCell ref="AC20:AE22"/>
    <mergeCell ref="G6:S7"/>
    <mergeCell ref="G8:S8"/>
    <mergeCell ref="AC14:AE15"/>
    <mergeCell ref="AB12:AE13"/>
    <mergeCell ref="AA17:AB17"/>
    <mergeCell ref="AA19:AB19"/>
    <mergeCell ref="AC8:AE9"/>
    <mergeCell ref="Z12:Z15"/>
    <mergeCell ref="Z20:Z23"/>
    <mergeCell ref="L14:N14"/>
    <mergeCell ref="AH7:AP7"/>
    <mergeCell ref="AH8:AJ19"/>
    <mergeCell ref="AK8:AP19"/>
    <mergeCell ref="AH20:AP29"/>
    <mergeCell ref="AH46:AP47"/>
    <mergeCell ref="AH44:AP45"/>
    <mergeCell ref="AC23:AE23"/>
    <mergeCell ref="U40:W40"/>
    <mergeCell ref="S11:W11"/>
    <mergeCell ref="B12:W12"/>
    <mergeCell ref="O14:V15"/>
    <mergeCell ref="U42:W42"/>
    <mergeCell ref="U44:W44"/>
    <mergeCell ref="C14:K15"/>
    <mergeCell ref="AB28:AE28"/>
    <mergeCell ref="AB25:AE27"/>
    <mergeCell ref="AC38:AE38"/>
    <mergeCell ref="U37:W37"/>
    <mergeCell ref="U39:W39"/>
    <mergeCell ref="U36:W36"/>
    <mergeCell ref="AB11:AE11"/>
    <mergeCell ref="AC7:AE7"/>
    <mergeCell ref="S10:W10"/>
    <mergeCell ref="AH43:AP43"/>
    <mergeCell ref="T98:U98"/>
    <mergeCell ref="T95:U95"/>
    <mergeCell ref="T91:U91"/>
    <mergeCell ref="R121:S121"/>
    <mergeCell ref="T117:U117"/>
    <mergeCell ref="R93:S93"/>
    <mergeCell ref="R123:S123"/>
    <mergeCell ref="P98:Q98"/>
    <mergeCell ref="R117:S117"/>
    <mergeCell ref="P101:Q101"/>
    <mergeCell ref="T123:U123"/>
    <mergeCell ref="R95:S95"/>
    <mergeCell ref="R91:S91"/>
    <mergeCell ref="P122:Q122"/>
    <mergeCell ref="R122:S122"/>
    <mergeCell ref="T118:U118"/>
    <mergeCell ref="T119:U119"/>
    <mergeCell ref="T115:U115"/>
    <mergeCell ref="V101:W101"/>
    <mergeCell ref="U107:W107"/>
    <mergeCell ref="V98:W98"/>
    <mergeCell ref="R98:S98"/>
    <mergeCell ref="R101:S101"/>
    <mergeCell ref="V76:W76"/>
    <mergeCell ref="P73:Q73"/>
    <mergeCell ref="R73:S73"/>
    <mergeCell ref="T93:U93"/>
    <mergeCell ref="V83:W83"/>
    <mergeCell ref="V73:W73"/>
    <mergeCell ref="V74:W74"/>
    <mergeCell ref="T83:U83"/>
    <mergeCell ref="V91:W91"/>
    <mergeCell ref="V88:W88"/>
    <mergeCell ref="T88:U88"/>
    <mergeCell ref="T89:U89"/>
    <mergeCell ref="V93:W93"/>
    <mergeCell ref="R88:S88"/>
    <mergeCell ref="V89:W89"/>
    <mergeCell ref="P93:Q93"/>
    <mergeCell ref="P83:Q83"/>
    <mergeCell ref="R83:S83"/>
    <mergeCell ref="T101:U101"/>
    <mergeCell ref="F182:K182"/>
    <mergeCell ref="F184:K184"/>
    <mergeCell ref="L132:N132"/>
    <mergeCell ref="P134:Q134"/>
    <mergeCell ref="R134:S134"/>
    <mergeCell ref="P124:Q124"/>
    <mergeCell ref="R124:S124"/>
    <mergeCell ref="D118:N123"/>
    <mergeCell ref="P125:Q125"/>
    <mergeCell ref="R125:S125"/>
    <mergeCell ref="R146:S146"/>
    <mergeCell ref="R156:S156"/>
    <mergeCell ref="P156:Q156"/>
    <mergeCell ref="L142:N142"/>
    <mergeCell ref="P133:Q133"/>
    <mergeCell ref="R144:S144"/>
    <mergeCell ref="P144:Q144"/>
    <mergeCell ref="K136:N136"/>
    <mergeCell ref="K146:N146"/>
    <mergeCell ref="L162:N162"/>
    <mergeCell ref="K126:N126"/>
    <mergeCell ref="P136:Q136"/>
    <mergeCell ref="K156:N156"/>
    <mergeCell ref="K155:N155"/>
    <mergeCell ref="B114:N116"/>
    <mergeCell ref="P116:Q116"/>
    <mergeCell ref="R116:S116"/>
    <mergeCell ref="P115:Q115"/>
    <mergeCell ref="R115:S115"/>
    <mergeCell ref="R143:S143"/>
    <mergeCell ref="P146:Q146"/>
    <mergeCell ref="P145:Q145"/>
    <mergeCell ref="R145:S145"/>
    <mergeCell ref="P121:Q121"/>
    <mergeCell ref="R129:S129"/>
    <mergeCell ref="P143:Q143"/>
    <mergeCell ref="P114:W114"/>
    <mergeCell ref="K125:N125"/>
    <mergeCell ref="P120:Q120"/>
    <mergeCell ref="R120:S120"/>
    <mergeCell ref="T120:U120"/>
    <mergeCell ref="P117:Q117"/>
    <mergeCell ref="P119:Q119"/>
    <mergeCell ref="R119:S119"/>
    <mergeCell ref="T122:U122"/>
    <mergeCell ref="R118:S118"/>
    <mergeCell ref="P118:Q118"/>
    <mergeCell ref="P123:Q123"/>
    <mergeCell ref="K145:N145"/>
    <mergeCell ref="P149:Q149"/>
    <mergeCell ref="R149:S149"/>
    <mergeCell ref="T149:U149"/>
    <mergeCell ref="L152:N152"/>
    <mergeCell ref="P153:Q153"/>
    <mergeCell ref="R153:S153"/>
    <mergeCell ref="T153:U153"/>
    <mergeCell ref="V121:W121"/>
    <mergeCell ref="T136:U136"/>
    <mergeCell ref="T135:U135"/>
    <mergeCell ref="T139:U139"/>
    <mergeCell ref="R126:S126"/>
    <mergeCell ref="R136:S136"/>
    <mergeCell ref="P126:Q126"/>
    <mergeCell ref="P139:Q139"/>
    <mergeCell ref="R139:S139"/>
    <mergeCell ref="K135:N135"/>
    <mergeCell ref="V116:W116"/>
    <mergeCell ref="V119:W119"/>
    <mergeCell ref="V118:W118"/>
    <mergeCell ref="V117:W117"/>
    <mergeCell ref="V120:W120"/>
    <mergeCell ref="V115:W115"/>
    <mergeCell ref="T116:U116"/>
    <mergeCell ref="T121:U121"/>
    <mergeCell ref="P159:Q159"/>
    <mergeCell ref="R159:S159"/>
    <mergeCell ref="T159:U159"/>
    <mergeCell ref="T146:U146"/>
    <mergeCell ref="P163:Q163"/>
    <mergeCell ref="P154:Q154"/>
    <mergeCell ref="R154:S154"/>
    <mergeCell ref="P129:Q129"/>
    <mergeCell ref="T145:U145"/>
    <mergeCell ref="R133:S133"/>
    <mergeCell ref="P155:Q155"/>
    <mergeCell ref="R155:S155"/>
    <mergeCell ref="T155:U155"/>
    <mergeCell ref="T156:U156"/>
    <mergeCell ref="R135:S135"/>
    <mergeCell ref="P135:Q135"/>
    <mergeCell ref="V165:W165"/>
    <mergeCell ref="V122:W122"/>
    <mergeCell ref="V123:W123"/>
    <mergeCell ref="T143:U143"/>
    <mergeCell ref="V156:W156"/>
    <mergeCell ref="V155:W155"/>
    <mergeCell ref="T163:U163"/>
    <mergeCell ref="R163:S163"/>
    <mergeCell ref="V159:W159"/>
    <mergeCell ref="V163:W163"/>
    <mergeCell ref="P78:Q78"/>
    <mergeCell ref="R78:S78"/>
    <mergeCell ref="T78:U78"/>
    <mergeCell ref="V78:W78"/>
    <mergeCell ref="P81:Q81"/>
    <mergeCell ref="P82:Q82"/>
    <mergeCell ref="R81:S81"/>
    <mergeCell ref="T81:U81"/>
    <mergeCell ref="V81:W81"/>
    <mergeCell ref="R82:S82"/>
    <mergeCell ref="T82:U82"/>
    <mergeCell ref="V82:W82"/>
    <mergeCell ref="T79:U79"/>
    <mergeCell ref="V79:W79"/>
  </mergeCells>
  <conditionalFormatting sqref="B11 T88:T89 V89:W89 T91 T93 V93:W93 T98 V98:W98">
    <cfRule type="expression" dxfId="2044" priority="556">
      <formula>IF(NoColor,1,0)</formula>
    </cfRule>
  </conditionalFormatting>
  <conditionalFormatting sqref="B34:W34">
    <cfRule type="expression" dxfId="2043" priority="563" stopIfTrue="1">
      <formula>IF(TaxYear&gt;1996,1,0)</formula>
    </cfRule>
  </conditionalFormatting>
  <conditionalFormatting sqref="C85">
    <cfRule type="expression" dxfId="2042" priority="2">
      <formula>IF($L$78,TRUE,FALSE)</formula>
    </cfRule>
    <cfRule type="expression" dxfId="2041" priority="3">
      <formula>AND($B$67,#REF!,$L$86)</formula>
    </cfRule>
  </conditionalFormatting>
  <conditionalFormatting sqref="D42">
    <cfRule type="expression" dxfId="2040" priority="377">
      <formula>AND(Y17="",$U$42&lt;$W$43,NOT(NoColor))</formula>
    </cfRule>
  </conditionalFormatting>
  <conditionalFormatting sqref="D49">
    <cfRule type="expression" dxfId="2039" priority="502">
      <formula>IF(NoColor,1,0)</formula>
    </cfRule>
  </conditionalFormatting>
  <conditionalFormatting sqref="D51">
    <cfRule type="expression" dxfId="2038" priority="168">
      <formula>IF(NoColor,1,0)</formula>
    </cfRule>
  </conditionalFormatting>
  <conditionalFormatting sqref="D58">
    <cfRule type="expression" dxfId="2037" priority="501">
      <formula>IF(NoColor,1,0)</formula>
    </cfRule>
  </conditionalFormatting>
  <conditionalFormatting sqref="D60">
    <cfRule type="expression" dxfId="2036" priority="496">
      <formula>IF(NoColor,1,0)</formula>
    </cfRule>
  </conditionalFormatting>
  <conditionalFormatting sqref="D62">
    <cfRule type="expression" dxfId="2035" priority="495">
      <formula>IF(NoColor,1,0)</formula>
    </cfRule>
  </conditionalFormatting>
  <conditionalFormatting sqref="D64">
    <cfRule type="expression" dxfId="2034" priority="494">
      <formula>IF(NoColor,1,0)</formula>
    </cfRule>
  </conditionalFormatting>
  <conditionalFormatting sqref="D66">
    <cfRule type="expression" dxfId="2033" priority="493">
      <formula>IF(NoColor,1,0)</formula>
    </cfRule>
  </conditionalFormatting>
  <conditionalFormatting sqref="D82">
    <cfRule type="expression" dxfId="2032" priority="16">
      <formula>$P$80</formula>
    </cfRule>
  </conditionalFormatting>
  <conditionalFormatting sqref="D83">
    <cfRule type="expression" dxfId="2031" priority="4">
      <formula>AND(NOT(NoColor),NOT($B$67))</formula>
    </cfRule>
  </conditionalFormatting>
  <conditionalFormatting sqref="D84:D86">
    <cfRule type="expression" dxfId="2030" priority="145">
      <formula>IF($L$78,TRUE,FALSE)</formula>
    </cfRule>
    <cfRule type="expression" dxfId="2029" priority="2016">
      <formula>AND($B$67,#REF!,$L$86)</formula>
    </cfRule>
  </conditionalFormatting>
  <conditionalFormatting sqref="H82">
    <cfRule type="expression" dxfId="2028" priority="48">
      <formula>IF(AND(NOT(NoColor),NOT($B$67),#REF!),1,0)</formula>
    </cfRule>
  </conditionalFormatting>
  <conditionalFormatting sqref="H107">
    <cfRule type="expression" dxfId="2027" priority="5">
      <formula>AND(NOT(NoColor),NOT($B$67))</formula>
    </cfRule>
  </conditionalFormatting>
  <conditionalFormatting sqref="I45">
    <cfRule type="expression" dxfId="2026" priority="1926" stopIfTrue="1">
      <formula>IF(AND($C$31&lt;&gt;"",OR($U$39="",$U$39=0),$U$46&lt;$U$45),1,0)</formula>
    </cfRule>
  </conditionalFormatting>
  <conditionalFormatting sqref="I49">
    <cfRule type="expression" dxfId="2025" priority="2013">
      <formula>IF(AND(NOT(NoColor),$V$43,$D$49&lt;&gt;"",NOT($B$67)),1,0)</formula>
    </cfRule>
  </conditionalFormatting>
  <conditionalFormatting sqref="I81">
    <cfRule type="expression" dxfId="2024" priority="2015">
      <formula>IF(AND(NOT(NoColor),$B$67,#REF!,$L$80),1,0)</formula>
    </cfRule>
  </conditionalFormatting>
  <conditionalFormatting sqref="J41">
    <cfRule type="expression" dxfId="2023" priority="378">
      <formula>IF(AND($U$42&lt;$W$43,NOT(NoColor)),1,0)</formula>
    </cfRule>
  </conditionalFormatting>
  <conditionalFormatting sqref="J45:K45">
    <cfRule type="expression" dxfId="2022" priority="130">
      <formula>AND($U$48,NOT(NoColor))</formula>
    </cfRule>
  </conditionalFormatting>
  <conditionalFormatting sqref="K82">
    <cfRule type="expression" dxfId="2021" priority="13">
      <formula>AND(NOT(NoColor),NOT($B$67))</formula>
    </cfRule>
  </conditionalFormatting>
  <conditionalFormatting sqref="L56">
    <cfRule type="expression" dxfId="2020" priority="1945">
      <formula>AND(Y17="",NOT(NoColor),$V$43,NOT($B$67))</formula>
    </cfRule>
  </conditionalFormatting>
  <conditionalFormatting sqref="L82">
    <cfRule type="expression" dxfId="2019" priority="15">
      <formula>IF(AND(NOT(NoColor),NOT($B$67),#REF!),1,0)</formula>
    </cfRule>
  </conditionalFormatting>
  <conditionalFormatting sqref="M82">
    <cfRule type="expression" dxfId="2018" priority="12">
      <formula>AND(NOT(NoColor),NOT($B$67))</formula>
    </cfRule>
  </conditionalFormatting>
  <conditionalFormatting sqref="N41">
    <cfRule type="expression" dxfId="2017" priority="132">
      <formula>AND(Y17="",$U$42&lt;$W$43,NOT(NoColor))</formula>
    </cfRule>
  </conditionalFormatting>
  <conditionalFormatting sqref="N49">
    <cfRule type="expression" dxfId="2016" priority="38">
      <formula>IF(AND(NOT(NoColor),$V$43,$D$49&lt;&gt;"",NOT($B$67)),1,0)</formula>
    </cfRule>
  </conditionalFormatting>
  <conditionalFormatting sqref="N82">
    <cfRule type="expression" dxfId="2015" priority="47">
      <formula>IF(AND(NOT(NoColor),NOT($B$67),#REF!),1,0)</formula>
    </cfRule>
  </conditionalFormatting>
  <conditionalFormatting sqref="O41">
    <cfRule type="expression" dxfId="2014" priority="133">
      <formula>AND(Y17="",$U$42&lt;$W$43,NOT(NoColor))</formula>
    </cfRule>
  </conditionalFormatting>
  <conditionalFormatting sqref="O49">
    <cfRule type="expression" dxfId="2013" priority="167">
      <formula>B66</formula>
    </cfRule>
  </conditionalFormatting>
  <conditionalFormatting sqref="O14:V15">
    <cfRule type="expression" dxfId="2012" priority="35">
      <formula>AND(Y17="",OR(AND($U$41,NOT(NoColor)),AND($U$48,NOT(NoColor))))</formula>
    </cfRule>
  </conditionalFormatting>
  <conditionalFormatting sqref="P93:R93">
    <cfRule type="expression" dxfId="2011" priority="8">
      <formula>IF(NoColor,1,0)</formula>
    </cfRule>
  </conditionalFormatting>
  <conditionalFormatting sqref="P98:R98">
    <cfRule type="expression" dxfId="2010" priority="11">
      <formula>IF(NoColor,1,0)</formula>
    </cfRule>
  </conditionalFormatting>
  <conditionalFormatting sqref="P77:W77">
    <cfRule type="expression" dxfId="2009" priority="19">
      <formula>IF(NoColor,1,0)</formula>
    </cfRule>
  </conditionalFormatting>
  <conditionalFormatting sqref="P78:W82">
    <cfRule type="expression" dxfId="2008" priority="1">
      <formula>OR(NOT($W$48),$Y$78&lt;&gt;"")</formula>
    </cfRule>
  </conditionalFormatting>
  <conditionalFormatting sqref="P83:W83">
    <cfRule type="expression" dxfId="2007" priority="162">
      <formula>IF(NoColor,1,0)</formula>
    </cfRule>
  </conditionalFormatting>
  <conditionalFormatting sqref="P101:W101">
    <cfRule type="expression" dxfId="2006" priority="17">
      <formula>IF(NoColor,1,0)</formula>
    </cfRule>
  </conditionalFormatting>
  <conditionalFormatting sqref="P117:W117">
    <cfRule type="expression" dxfId="2005" priority="6">
      <formula>IF(NoColor,1,0)</formula>
    </cfRule>
  </conditionalFormatting>
  <conditionalFormatting sqref="Q172">
    <cfRule type="expression" dxfId="2004" priority="5090">
      <formula>$Z$235</formula>
    </cfRule>
  </conditionalFormatting>
  <conditionalFormatting sqref="Q178:Q233">
    <cfRule type="expression" dxfId="2003" priority="153">
      <formula>IF(NoColor,1,0)</formula>
    </cfRule>
    <cfRule type="expression" dxfId="2002" priority="169">
      <formula>IF($X178=1,1,0)</formula>
    </cfRule>
  </conditionalFormatting>
  <conditionalFormatting sqref="R66">
    <cfRule type="expression" dxfId="2001" priority="37">
      <formula>AND($D$66&lt;&gt;"",$U$46&gt;$Q$43)</formula>
    </cfRule>
  </conditionalFormatting>
  <conditionalFormatting sqref="R88:R89">
    <cfRule type="expression" dxfId="2000" priority="10">
      <formula>IF(NoColor,1,0)</formula>
    </cfRule>
  </conditionalFormatting>
  <conditionalFormatting sqref="R91">
    <cfRule type="expression" dxfId="1999" priority="9">
      <formula>IF(NoColor,1,0)</formula>
    </cfRule>
  </conditionalFormatting>
  <conditionalFormatting sqref="R95:U95">
    <cfRule type="expression" dxfId="1998" priority="7">
      <formula>IF(NoColor,1,0)</formula>
    </cfRule>
  </conditionalFormatting>
  <conditionalFormatting sqref="S11">
    <cfRule type="expression" dxfId="1997" priority="555">
      <formula>IF(NoColor,1,0)</formula>
    </cfRule>
  </conditionalFormatting>
  <conditionalFormatting sqref="S40">
    <cfRule type="expression" dxfId="1996" priority="129">
      <formula>IF(U40&gt;1,1,0)</formula>
    </cfRule>
  </conditionalFormatting>
  <conditionalFormatting sqref="S43">
    <cfRule type="expression" dxfId="1995" priority="356">
      <formula>IF(NoColor,1,0)</formula>
    </cfRule>
  </conditionalFormatting>
  <conditionalFormatting sqref="S45">
    <cfRule type="expression" dxfId="1994" priority="379">
      <formula>IF(AND($U$48,NOT(NoColor)),1,0)</formula>
    </cfRule>
  </conditionalFormatting>
  <conditionalFormatting sqref="S178:S233">
    <cfRule type="expression" dxfId="1993" priority="152">
      <formula>IF(NoColor,1,0)</formula>
    </cfRule>
  </conditionalFormatting>
  <conditionalFormatting sqref="U37">
    <cfRule type="expression" dxfId="1992" priority="551">
      <formula>IF(NoColor,1,0)</formula>
    </cfRule>
    <cfRule type="expression" dxfId="1991" priority="568" stopIfTrue="1">
      <formula>IF($P$31&lt;&gt;"",1,0)</formula>
    </cfRule>
  </conditionalFormatting>
  <conditionalFormatting sqref="U107">
    <cfRule type="expression" dxfId="1990" priority="471">
      <formula>IF(NoColor,1,0)</formula>
    </cfRule>
    <cfRule type="expression" dxfId="1989" priority="472" stopIfTrue="1">
      <formula>IF($P$31&lt;&gt;"",1,0)</formula>
    </cfRule>
  </conditionalFormatting>
  <conditionalFormatting sqref="U178:U233">
    <cfRule type="expression" dxfId="1988" priority="151">
      <formula>IF(NoColor,1,0)</formula>
    </cfRule>
  </conditionalFormatting>
  <conditionalFormatting sqref="U39:W40">
    <cfRule type="expression" dxfId="1987" priority="128" stopIfTrue="1">
      <formula>IF($P$31&lt;&gt;"",1,0)</formula>
    </cfRule>
    <cfRule type="expression" dxfId="1986" priority="127">
      <formula>IF(NoColor,1,0)</formula>
    </cfRule>
  </conditionalFormatting>
  <conditionalFormatting sqref="U42:W42">
    <cfRule type="expression" dxfId="1985" priority="509">
      <formula>IF(NoColor,1,0)</formula>
    </cfRule>
  </conditionalFormatting>
  <conditionalFormatting sqref="U44:W44">
    <cfRule type="expression" dxfId="1984" priority="381" stopIfTrue="1">
      <formula>IF($P$31&lt;&gt;"",1,0)</formula>
    </cfRule>
  </conditionalFormatting>
  <conditionalFormatting sqref="U44:W47">
    <cfRule type="expression" dxfId="1983" priority="380">
      <formula>IF(NoColor,1,0)</formula>
    </cfRule>
  </conditionalFormatting>
  <conditionalFormatting sqref="U46:W47">
    <cfRule type="expression" dxfId="1982" priority="506" stopIfTrue="1">
      <formula>IF($P$31&lt;&gt;"",1,0)</formula>
    </cfRule>
  </conditionalFormatting>
  <conditionalFormatting sqref="V88">
    <cfRule type="expression" dxfId="1981" priority="359">
      <formula>IF(NoColor,1,0)</formula>
    </cfRule>
  </conditionalFormatting>
  <conditionalFormatting sqref="V91">
    <cfRule type="expression" dxfId="1980" priority="208">
      <formula>IF(NoColor,1,0)</formula>
    </cfRule>
  </conditionalFormatting>
  <conditionalFormatting sqref="V76:W76">
    <cfRule type="expression" dxfId="1979" priority="24">
      <formula>OR(#REF!&lt;&gt;"",$U$47="",#REF!,ShortMethod,NOT(#REF!),NOT($B$62))</formula>
    </cfRule>
  </conditionalFormatting>
  <conditionalFormatting sqref="W66">
    <cfRule type="expression" dxfId="1978" priority="187">
      <formula>AND($D$66&lt;&gt;"",$U$46&gt;$Q$43)</formula>
    </cfRule>
  </conditionalFormatting>
  <conditionalFormatting sqref="W178:W233">
    <cfRule type="expression" priority="150">
      <formula>IF(NoColor,1,0)</formula>
    </cfRule>
    <cfRule type="expression" dxfId="1977" priority="149">
      <formula>IF(NoColor,1,0)</formula>
    </cfRule>
  </conditionalFormatting>
  <conditionalFormatting sqref="Y17">
    <cfRule type="expression" dxfId="1976" priority="33">
      <formula>OR(AND($U$42&lt;$W$43,NOT(NoColor)),AND($U$48,NOT(NoColor)))</formula>
    </cfRule>
  </conditionalFormatting>
  <conditionalFormatting sqref="Y109">
    <cfRule type="expression" dxfId="1975" priority="126">
      <formula>IF(AND(NOT(ShortMethod),NOT($B$62),#REF!),TRUE,FALSE)</formula>
    </cfRule>
  </conditionalFormatting>
  <conditionalFormatting sqref="Z7:Z9">
    <cfRule type="expression" dxfId="1974" priority="140">
      <formula>IF($AC$8="",TRUE,FALSE)</formula>
    </cfRule>
  </conditionalFormatting>
  <conditionalFormatting sqref="Z12">
    <cfRule type="expression" dxfId="1973" priority="42">
      <formula>IF($AC$14="",TRUE,FALSE)</formula>
    </cfRule>
  </conditionalFormatting>
  <conditionalFormatting sqref="Z17">
    <cfRule type="expression" dxfId="1972" priority="34">
      <formula>OR(AND($U$42&lt;$W$43,NOT(NoColor)),AND($U$48,NOT(NoColor)))</formula>
    </cfRule>
  </conditionalFormatting>
  <conditionalFormatting sqref="Z20">
    <cfRule type="expression" dxfId="1971" priority="43">
      <formula>IF($AC$23="",TRUE,FALSE)</formula>
    </cfRule>
  </conditionalFormatting>
  <conditionalFormatting sqref="Z30">
    <cfRule type="expression" dxfId="1970" priority="4517">
      <formula>IF($Y$35&lt;&gt;1,1,0)</formula>
    </cfRule>
  </conditionalFormatting>
  <hyperlinks>
    <hyperlink ref="F182:I182" r:id="rId1" display="Download Form 1040 Schedule SE" xr:uid="{00000000-0004-0000-2600-000000000000}"/>
    <hyperlink ref="F184:I184" r:id="rId2" display="Download Form 1040 Schedule SE Instructions" xr:uid="{00000000-0004-0000-2600-000001000000}"/>
    <hyperlink ref="F182:K182" r:id="rId3" display="Download Form 2210" xr:uid="{00000000-0004-0000-2600-000002000000}"/>
    <hyperlink ref="F184:K184" r:id="rId4" display="Download Form 2210 Instructions" xr:uid="{00000000-0004-0000-2600-000003000000}"/>
  </hyperlinks>
  <pageMargins left="0.75" right="0.25" top="0.36" bottom="0.28999999999999998" header="0.36" footer="0.21"/>
  <pageSetup scale="78" fitToHeight="0" orientation="portrait" r:id="rId5"/>
  <rowBreaks count="2" manualBreakCount="2">
    <brk id="68" min="1" max="22" man="1"/>
    <brk id="108" min="1" max="22" man="1"/>
  </rowBreaks>
  <drawing r:id="rId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BG246"/>
  <sheetViews>
    <sheetView topLeftCell="A34" zoomScaleNormal="100" zoomScaleSheetLayoutView="120" workbookViewId="0">
      <selection activeCell="AK52" sqref="AK52"/>
    </sheetView>
  </sheetViews>
  <sheetFormatPr defaultRowHeight="12.75"/>
  <cols>
    <col min="1" max="1" width="2" customWidth="1"/>
    <col min="2" max="2" width="8.42578125" customWidth="1"/>
    <col min="3" max="3" width="3.140625" customWidth="1"/>
    <col min="4" max="4" width="4.5703125" customWidth="1"/>
    <col min="5" max="5" width="2.7109375" customWidth="1"/>
    <col min="6" max="6" width="7.140625" customWidth="1"/>
    <col min="7" max="7" width="7.5703125" customWidth="1"/>
    <col min="8" max="8" width="7.28515625" customWidth="1"/>
    <col min="9" max="9" width="4.42578125" customWidth="1"/>
    <col min="10" max="10" width="10" customWidth="1"/>
    <col min="11" max="11" width="6.42578125" customWidth="1"/>
    <col min="12" max="12" width="10.5703125" customWidth="1"/>
    <col min="13" max="13" width="3.85546875" customWidth="1"/>
    <col min="14" max="14" width="6" customWidth="1"/>
    <col min="15" max="15" width="4.5703125" customWidth="1"/>
    <col min="16" max="16" width="4" customWidth="1"/>
    <col min="17" max="17" width="3.28515625" customWidth="1"/>
    <col min="18" max="18" width="2.42578125" customWidth="1"/>
    <col min="19" max="19" width="4.28515625" customWidth="1"/>
    <col min="20" max="20" width="3.28515625" customWidth="1"/>
    <col min="21" max="21" width="4.85546875" customWidth="1"/>
    <col min="22" max="22" width="15" customWidth="1"/>
    <col min="23" max="23" width="4.140625" customWidth="1"/>
    <col min="24" max="24" width="3" customWidth="1"/>
    <col min="25" max="25" width="3.7109375" customWidth="1"/>
    <col min="26" max="26" width="3" customWidth="1"/>
    <col min="27" max="27" width="16.28515625" customWidth="1"/>
    <col min="29" max="29" width="2.42578125" customWidth="1"/>
    <col min="30" max="30" width="3.85546875" customWidth="1"/>
    <col min="31" max="31" width="17.5703125" customWidth="1"/>
    <col min="32" max="32" width="23.28515625" customWidth="1"/>
    <col min="33" max="33" width="19" customWidth="1"/>
    <col min="34" max="34" width="2.85546875" customWidth="1"/>
    <col min="35" max="35" width="10.42578125" customWidth="1"/>
    <col min="36" max="36" width="2" customWidth="1"/>
    <col min="37" max="37" width="9.85546875" customWidth="1"/>
    <col min="38" max="38" width="3.28515625" customWidth="1"/>
    <col min="39" max="39" width="16.28515625" customWidth="1"/>
    <col min="40" max="40" width="2" customWidth="1"/>
    <col min="41" max="41" width="16.28515625" customWidth="1"/>
    <col min="42" max="42" width="4.140625" customWidth="1"/>
    <col min="43" max="43" width="4" customWidth="1"/>
    <col min="44" max="52" width="10.7109375" style="658" customWidth="1"/>
    <col min="55" max="55" width="9" customWidth="1"/>
    <col min="56" max="56" width="9.85546875" style="84" customWidth="1"/>
    <col min="57" max="57" width="13.7109375" style="84" customWidth="1"/>
    <col min="58" max="58" width="11.85546875" customWidth="1"/>
    <col min="279" max="279" width="2" customWidth="1"/>
    <col min="280" max="280" width="8.28515625" customWidth="1"/>
    <col min="281" max="281" width="15.42578125" customWidth="1"/>
    <col min="282" max="282" width="8.7109375" customWidth="1"/>
    <col min="283" max="283" width="8" customWidth="1"/>
    <col min="284" max="284" width="6" customWidth="1"/>
    <col min="285" max="285" width="6.5703125" customWidth="1"/>
    <col min="286" max="286" width="9.5703125" customWidth="1"/>
    <col min="287" max="287" width="11.5703125" customWidth="1"/>
    <col min="288" max="288" width="3.5703125" customWidth="1"/>
    <col min="289" max="289" width="13.85546875" customWidth="1"/>
    <col min="290" max="290" width="5.5703125" customWidth="1"/>
    <col min="291" max="291" width="19.7109375" customWidth="1"/>
    <col min="292" max="292" width="2.140625" customWidth="1"/>
    <col min="293" max="293" width="13.5703125" customWidth="1"/>
    <col min="535" max="535" width="2" customWidth="1"/>
    <col min="536" max="536" width="8.28515625" customWidth="1"/>
    <col min="537" max="537" width="15.42578125" customWidth="1"/>
    <col min="538" max="538" width="8.7109375" customWidth="1"/>
    <col min="539" max="539" width="8" customWidth="1"/>
    <col min="540" max="540" width="6" customWidth="1"/>
    <col min="541" max="541" width="6.5703125" customWidth="1"/>
    <col min="542" max="542" width="9.5703125" customWidth="1"/>
    <col min="543" max="543" width="11.5703125" customWidth="1"/>
    <col min="544" max="544" width="3.5703125" customWidth="1"/>
    <col min="545" max="545" width="13.85546875" customWidth="1"/>
    <col min="546" max="546" width="5.5703125" customWidth="1"/>
    <col min="547" max="547" width="19.7109375" customWidth="1"/>
    <col min="548" max="548" width="2.140625" customWidth="1"/>
    <col min="549" max="549" width="13.5703125" customWidth="1"/>
    <col min="791" max="791" width="2" customWidth="1"/>
    <col min="792" max="792" width="8.28515625" customWidth="1"/>
    <col min="793" max="793" width="15.42578125" customWidth="1"/>
    <col min="794" max="794" width="8.7109375" customWidth="1"/>
    <col min="795" max="795" width="8" customWidth="1"/>
    <col min="796" max="796" width="6" customWidth="1"/>
    <col min="797" max="797" width="6.5703125" customWidth="1"/>
    <col min="798" max="798" width="9.5703125" customWidth="1"/>
    <col min="799" max="799" width="11.5703125" customWidth="1"/>
    <col min="800" max="800" width="3.5703125" customWidth="1"/>
    <col min="801" max="801" width="13.85546875" customWidth="1"/>
    <col min="802" max="802" width="5.5703125" customWidth="1"/>
    <col min="803" max="803" width="19.7109375" customWidth="1"/>
    <col min="804" max="804" width="2.140625" customWidth="1"/>
    <col min="805" max="805" width="13.5703125" customWidth="1"/>
    <col min="1047" max="1047" width="2" customWidth="1"/>
    <col min="1048" max="1048" width="8.28515625" customWidth="1"/>
    <col min="1049" max="1049" width="15.42578125" customWidth="1"/>
    <col min="1050" max="1050" width="8.7109375" customWidth="1"/>
    <col min="1051" max="1051" width="8" customWidth="1"/>
    <col min="1052" max="1052" width="6" customWidth="1"/>
    <col min="1053" max="1053" width="6.5703125" customWidth="1"/>
    <col min="1054" max="1054" width="9.5703125" customWidth="1"/>
    <col min="1055" max="1055" width="11.5703125" customWidth="1"/>
    <col min="1056" max="1056" width="3.5703125" customWidth="1"/>
    <col min="1057" max="1057" width="13.85546875" customWidth="1"/>
    <col min="1058" max="1058" width="5.5703125" customWidth="1"/>
    <col min="1059" max="1059" width="19.7109375" customWidth="1"/>
    <col min="1060" max="1060" width="2.140625" customWidth="1"/>
    <col min="1061" max="1061" width="13.5703125" customWidth="1"/>
    <col min="1303" max="1303" width="2" customWidth="1"/>
    <col min="1304" max="1304" width="8.28515625" customWidth="1"/>
    <col min="1305" max="1305" width="15.42578125" customWidth="1"/>
    <col min="1306" max="1306" width="8.7109375" customWidth="1"/>
    <col min="1307" max="1307" width="8" customWidth="1"/>
    <col min="1308" max="1308" width="6" customWidth="1"/>
    <col min="1309" max="1309" width="6.5703125" customWidth="1"/>
    <col min="1310" max="1310" width="9.5703125" customWidth="1"/>
    <col min="1311" max="1311" width="11.5703125" customWidth="1"/>
    <col min="1312" max="1312" width="3.5703125" customWidth="1"/>
    <col min="1313" max="1313" width="13.85546875" customWidth="1"/>
    <col min="1314" max="1314" width="5.5703125" customWidth="1"/>
    <col min="1315" max="1315" width="19.7109375" customWidth="1"/>
    <col min="1316" max="1316" width="2.140625" customWidth="1"/>
    <col min="1317" max="1317" width="13.5703125" customWidth="1"/>
    <col min="1559" max="1559" width="2" customWidth="1"/>
    <col min="1560" max="1560" width="8.28515625" customWidth="1"/>
    <col min="1561" max="1561" width="15.42578125" customWidth="1"/>
    <col min="1562" max="1562" width="8.7109375" customWidth="1"/>
    <col min="1563" max="1563" width="8" customWidth="1"/>
    <col min="1564" max="1564" width="6" customWidth="1"/>
    <col min="1565" max="1565" width="6.5703125" customWidth="1"/>
    <col min="1566" max="1566" width="9.5703125" customWidth="1"/>
    <col min="1567" max="1567" width="11.5703125" customWidth="1"/>
    <col min="1568" max="1568" width="3.5703125" customWidth="1"/>
    <col min="1569" max="1569" width="13.85546875" customWidth="1"/>
    <col min="1570" max="1570" width="5.5703125" customWidth="1"/>
    <col min="1571" max="1571" width="19.7109375" customWidth="1"/>
    <col min="1572" max="1572" width="2.140625" customWidth="1"/>
    <col min="1573" max="1573" width="13.5703125" customWidth="1"/>
    <col min="1815" max="1815" width="2" customWidth="1"/>
    <col min="1816" max="1816" width="8.28515625" customWidth="1"/>
    <col min="1817" max="1817" width="15.42578125" customWidth="1"/>
    <col min="1818" max="1818" width="8.7109375" customWidth="1"/>
    <col min="1819" max="1819" width="8" customWidth="1"/>
    <col min="1820" max="1820" width="6" customWidth="1"/>
    <col min="1821" max="1821" width="6.5703125" customWidth="1"/>
    <col min="1822" max="1822" width="9.5703125" customWidth="1"/>
    <col min="1823" max="1823" width="11.5703125" customWidth="1"/>
    <col min="1824" max="1824" width="3.5703125" customWidth="1"/>
    <col min="1825" max="1825" width="13.85546875" customWidth="1"/>
    <col min="1826" max="1826" width="5.5703125" customWidth="1"/>
    <col min="1827" max="1827" width="19.7109375" customWidth="1"/>
    <col min="1828" max="1828" width="2.140625" customWidth="1"/>
    <col min="1829" max="1829" width="13.5703125" customWidth="1"/>
    <col min="2071" max="2071" width="2" customWidth="1"/>
    <col min="2072" max="2072" width="8.28515625" customWidth="1"/>
    <col min="2073" max="2073" width="15.42578125" customWidth="1"/>
    <col min="2074" max="2074" width="8.7109375" customWidth="1"/>
    <col min="2075" max="2075" width="8" customWidth="1"/>
    <col min="2076" max="2076" width="6" customWidth="1"/>
    <col min="2077" max="2077" width="6.5703125" customWidth="1"/>
    <col min="2078" max="2078" width="9.5703125" customWidth="1"/>
    <col min="2079" max="2079" width="11.5703125" customWidth="1"/>
    <col min="2080" max="2080" width="3.5703125" customWidth="1"/>
    <col min="2081" max="2081" width="13.85546875" customWidth="1"/>
    <col min="2082" max="2082" width="5.5703125" customWidth="1"/>
    <col min="2083" max="2083" width="19.7109375" customWidth="1"/>
    <col min="2084" max="2084" width="2.140625" customWidth="1"/>
    <col min="2085" max="2085" width="13.5703125" customWidth="1"/>
    <col min="2327" max="2327" width="2" customWidth="1"/>
    <col min="2328" max="2328" width="8.28515625" customWidth="1"/>
    <col min="2329" max="2329" width="15.42578125" customWidth="1"/>
    <col min="2330" max="2330" width="8.7109375" customWidth="1"/>
    <col min="2331" max="2331" width="8" customWidth="1"/>
    <col min="2332" max="2332" width="6" customWidth="1"/>
    <col min="2333" max="2333" width="6.5703125" customWidth="1"/>
    <col min="2334" max="2334" width="9.5703125" customWidth="1"/>
    <col min="2335" max="2335" width="11.5703125" customWidth="1"/>
    <col min="2336" max="2336" width="3.5703125" customWidth="1"/>
    <col min="2337" max="2337" width="13.85546875" customWidth="1"/>
    <col min="2338" max="2338" width="5.5703125" customWidth="1"/>
    <col min="2339" max="2339" width="19.7109375" customWidth="1"/>
    <col min="2340" max="2340" width="2.140625" customWidth="1"/>
    <col min="2341" max="2341" width="13.5703125" customWidth="1"/>
    <col min="2583" max="2583" width="2" customWidth="1"/>
    <col min="2584" max="2584" width="8.28515625" customWidth="1"/>
    <col min="2585" max="2585" width="15.42578125" customWidth="1"/>
    <col min="2586" max="2586" width="8.7109375" customWidth="1"/>
    <col min="2587" max="2587" width="8" customWidth="1"/>
    <col min="2588" max="2588" width="6" customWidth="1"/>
    <col min="2589" max="2589" width="6.5703125" customWidth="1"/>
    <col min="2590" max="2590" width="9.5703125" customWidth="1"/>
    <col min="2591" max="2591" width="11.5703125" customWidth="1"/>
    <col min="2592" max="2592" width="3.5703125" customWidth="1"/>
    <col min="2593" max="2593" width="13.85546875" customWidth="1"/>
    <col min="2594" max="2594" width="5.5703125" customWidth="1"/>
    <col min="2595" max="2595" width="19.7109375" customWidth="1"/>
    <col min="2596" max="2596" width="2.140625" customWidth="1"/>
    <col min="2597" max="2597" width="13.5703125" customWidth="1"/>
    <col min="2839" max="2839" width="2" customWidth="1"/>
    <col min="2840" max="2840" width="8.28515625" customWidth="1"/>
    <col min="2841" max="2841" width="15.42578125" customWidth="1"/>
    <col min="2842" max="2842" width="8.7109375" customWidth="1"/>
    <col min="2843" max="2843" width="8" customWidth="1"/>
    <col min="2844" max="2844" width="6" customWidth="1"/>
    <col min="2845" max="2845" width="6.5703125" customWidth="1"/>
    <col min="2846" max="2846" width="9.5703125" customWidth="1"/>
    <col min="2847" max="2847" width="11.5703125" customWidth="1"/>
    <col min="2848" max="2848" width="3.5703125" customWidth="1"/>
    <col min="2849" max="2849" width="13.85546875" customWidth="1"/>
    <col min="2850" max="2850" width="5.5703125" customWidth="1"/>
    <col min="2851" max="2851" width="19.7109375" customWidth="1"/>
    <col min="2852" max="2852" width="2.140625" customWidth="1"/>
    <col min="2853" max="2853" width="13.5703125" customWidth="1"/>
    <col min="3095" max="3095" width="2" customWidth="1"/>
    <col min="3096" max="3096" width="8.28515625" customWidth="1"/>
    <col min="3097" max="3097" width="15.42578125" customWidth="1"/>
    <col min="3098" max="3098" width="8.7109375" customWidth="1"/>
    <col min="3099" max="3099" width="8" customWidth="1"/>
    <col min="3100" max="3100" width="6" customWidth="1"/>
    <col min="3101" max="3101" width="6.5703125" customWidth="1"/>
    <col min="3102" max="3102" width="9.5703125" customWidth="1"/>
    <col min="3103" max="3103" width="11.5703125" customWidth="1"/>
    <col min="3104" max="3104" width="3.5703125" customWidth="1"/>
    <col min="3105" max="3105" width="13.85546875" customWidth="1"/>
    <col min="3106" max="3106" width="5.5703125" customWidth="1"/>
    <col min="3107" max="3107" width="19.7109375" customWidth="1"/>
    <col min="3108" max="3108" width="2.140625" customWidth="1"/>
    <col min="3109" max="3109" width="13.5703125" customWidth="1"/>
    <col min="3351" max="3351" width="2" customWidth="1"/>
    <col min="3352" max="3352" width="8.28515625" customWidth="1"/>
    <col min="3353" max="3353" width="15.42578125" customWidth="1"/>
    <col min="3354" max="3354" width="8.7109375" customWidth="1"/>
    <col min="3355" max="3355" width="8" customWidth="1"/>
    <col min="3356" max="3356" width="6" customWidth="1"/>
    <col min="3357" max="3357" width="6.5703125" customWidth="1"/>
    <col min="3358" max="3358" width="9.5703125" customWidth="1"/>
    <col min="3359" max="3359" width="11.5703125" customWidth="1"/>
    <col min="3360" max="3360" width="3.5703125" customWidth="1"/>
    <col min="3361" max="3361" width="13.85546875" customWidth="1"/>
    <col min="3362" max="3362" width="5.5703125" customWidth="1"/>
    <col min="3363" max="3363" width="19.7109375" customWidth="1"/>
    <col min="3364" max="3364" width="2.140625" customWidth="1"/>
    <col min="3365" max="3365" width="13.5703125" customWidth="1"/>
    <col min="3607" max="3607" width="2" customWidth="1"/>
    <col min="3608" max="3608" width="8.28515625" customWidth="1"/>
    <col min="3609" max="3609" width="15.42578125" customWidth="1"/>
    <col min="3610" max="3610" width="8.7109375" customWidth="1"/>
    <col min="3611" max="3611" width="8" customWidth="1"/>
    <col min="3612" max="3612" width="6" customWidth="1"/>
    <col min="3613" max="3613" width="6.5703125" customWidth="1"/>
    <col min="3614" max="3614" width="9.5703125" customWidth="1"/>
    <col min="3615" max="3615" width="11.5703125" customWidth="1"/>
    <col min="3616" max="3616" width="3.5703125" customWidth="1"/>
    <col min="3617" max="3617" width="13.85546875" customWidth="1"/>
    <col min="3618" max="3618" width="5.5703125" customWidth="1"/>
    <col min="3619" max="3619" width="19.7109375" customWidth="1"/>
    <col min="3620" max="3620" width="2.140625" customWidth="1"/>
    <col min="3621" max="3621" width="13.5703125" customWidth="1"/>
    <col min="3863" max="3863" width="2" customWidth="1"/>
    <col min="3864" max="3864" width="8.28515625" customWidth="1"/>
    <col min="3865" max="3865" width="15.42578125" customWidth="1"/>
    <col min="3866" max="3866" width="8.7109375" customWidth="1"/>
    <col min="3867" max="3867" width="8" customWidth="1"/>
    <col min="3868" max="3868" width="6" customWidth="1"/>
    <col min="3869" max="3869" width="6.5703125" customWidth="1"/>
    <col min="3870" max="3870" width="9.5703125" customWidth="1"/>
    <col min="3871" max="3871" width="11.5703125" customWidth="1"/>
    <col min="3872" max="3872" width="3.5703125" customWidth="1"/>
    <col min="3873" max="3873" width="13.85546875" customWidth="1"/>
    <col min="3874" max="3874" width="5.5703125" customWidth="1"/>
    <col min="3875" max="3875" width="19.7109375" customWidth="1"/>
    <col min="3876" max="3876" width="2.140625" customWidth="1"/>
    <col min="3877" max="3877" width="13.5703125" customWidth="1"/>
    <col min="4119" max="4119" width="2" customWidth="1"/>
    <col min="4120" max="4120" width="8.28515625" customWidth="1"/>
    <col min="4121" max="4121" width="15.42578125" customWidth="1"/>
    <col min="4122" max="4122" width="8.7109375" customWidth="1"/>
    <col min="4123" max="4123" width="8" customWidth="1"/>
    <col min="4124" max="4124" width="6" customWidth="1"/>
    <col min="4125" max="4125" width="6.5703125" customWidth="1"/>
    <col min="4126" max="4126" width="9.5703125" customWidth="1"/>
    <col min="4127" max="4127" width="11.5703125" customWidth="1"/>
    <col min="4128" max="4128" width="3.5703125" customWidth="1"/>
    <col min="4129" max="4129" width="13.85546875" customWidth="1"/>
    <col min="4130" max="4130" width="5.5703125" customWidth="1"/>
    <col min="4131" max="4131" width="19.7109375" customWidth="1"/>
    <col min="4132" max="4132" width="2.140625" customWidth="1"/>
    <col min="4133" max="4133" width="13.5703125" customWidth="1"/>
    <col min="4375" max="4375" width="2" customWidth="1"/>
    <col min="4376" max="4376" width="8.28515625" customWidth="1"/>
    <col min="4377" max="4377" width="15.42578125" customWidth="1"/>
    <col min="4378" max="4378" width="8.7109375" customWidth="1"/>
    <col min="4379" max="4379" width="8" customWidth="1"/>
    <col min="4380" max="4380" width="6" customWidth="1"/>
    <col min="4381" max="4381" width="6.5703125" customWidth="1"/>
    <col min="4382" max="4382" width="9.5703125" customWidth="1"/>
    <col min="4383" max="4383" width="11.5703125" customWidth="1"/>
    <col min="4384" max="4384" width="3.5703125" customWidth="1"/>
    <col min="4385" max="4385" width="13.85546875" customWidth="1"/>
    <col min="4386" max="4386" width="5.5703125" customWidth="1"/>
    <col min="4387" max="4387" width="19.7109375" customWidth="1"/>
    <col min="4388" max="4388" width="2.140625" customWidth="1"/>
    <col min="4389" max="4389" width="13.5703125" customWidth="1"/>
    <col min="4631" max="4631" width="2" customWidth="1"/>
    <col min="4632" max="4632" width="8.28515625" customWidth="1"/>
    <col min="4633" max="4633" width="15.42578125" customWidth="1"/>
    <col min="4634" max="4634" width="8.7109375" customWidth="1"/>
    <col min="4635" max="4635" width="8" customWidth="1"/>
    <col min="4636" max="4636" width="6" customWidth="1"/>
    <col min="4637" max="4637" width="6.5703125" customWidth="1"/>
    <col min="4638" max="4638" width="9.5703125" customWidth="1"/>
    <col min="4639" max="4639" width="11.5703125" customWidth="1"/>
    <col min="4640" max="4640" width="3.5703125" customWidth="1"/>
    <col min="4641" max="4641" width="13.85546875" customWidth="1"/>
    <col min="4642" max="4642" width="5.5703125" customWidth="1"/>
    <col min="4643" max="4643" width="19.7109375" customWidth="1"/>
    <col min="4644" max="4644" width="2.140625" customWidth="1"/>
    <col min="4645" max="4645" width="13.5703125" customWidth="1"/>
    <col min="4887" max="4887" width="2" customWidth="1"/>
    <col min="4888" max="4888" width="8.28515625" customWidth="1"/>
    <col min="4889" max="4889" width="15.42578125" customWidth="1"/>
    <col min="4890" max="4890" width="8.7109375" customWidth="1"/>
    <col min="4891" max="4891" width="8" customWidth="1"/>
    <col min="4892" max="4892" width="6" customWidth="1"/>
    <col min="4893" max="4893" width="6.5703125" customWidth="1"/>
    <col min="4894" max="4894" width="9.5703125" customWidth="1"/>
    <col min="4895" max="4895" width="11.5703125" customWidth="1"/>
    <col min="4896" max="4896" width="3.5703125" customWidth="1"/>
    <col min="4897" max="4897" width="13.85546875" customWidth="1"/>
    <col min="4898" max="4898" width="5.5703125" customWidth="1"/>
    <col min="4899" max="4899" width="19.7109375" customWidth="1"/>
    <col min="4900" max="4900" width="2.140625" customWidth="1"/>
    <col min="4901" max="4901" width="13.5703125" customWidth="1"/>
    <col min="5143" max="5143" width="2" customWidth="1"/>
    <col min="5144" max="5144" width="8.28515625" customWidth="1"/>
    <col min="5145" max="5145" width="15.42578125" customWidth="1"/>
    <col min="5146" max="5146" width="8.7109375" customWidth="1"/>
    <col min="5147" max="5147" width="8" customWidth="1"/>
    <col min="5148" max="5148" width="6" customWidth="1"/>
    <col min="5149" max="5149" width="6.5703125" customWidth="1"/>
    <col min="5150" max="5150" width="9.5703125" customWidth="1"/>
    <col min="5151" max="5151" width="11.5703125" customWidth="1"/>
    <col min="5152" max="5152" width="3.5703125" customWidth="1"/>
    <col min="5153" max="5153" width="13.85546875" customWidth="1"/>
    <col min="5154" max="5154" width="5.5703125" customWidth="1"/>
    <col min="5155" max="5155" width="19.7109375" customWidth="1"/>
    <col min="5156" max="5156" width="2.140625" customWidth="1"/>
    <col min="5157" max="5157" width="13.5703125" customWidth="1"/>
    <col min="5399" max="5399" width="2" customWidth="1"/>
    <col min="5400" max="5400" width="8.28515625" customWidth="1"/>
    <col min="5401" max="5401" width="15.42578125" customWidth="1"/>
    <col min="5402" max="5402" width="8.7109375" customWidth="1"/>
    <col min="5403" max="5403" width="8" customWidth="1"/>
    <col min="5404" max="5404" width="6" customWidth="1"/>
    <col min="5405" max="5405" width="6.5703125" customWidth="1"/>
    <col min="5406" max="5406" width="9.5703125" customWidth="1"/>
    <col min="5407" max="5407" width="11.5703125" customWidth="1"/>
    <col min="5408" max="5408" width="3.5703125" customWidth="1"/>
    <col min="5409" max="5409" width="13.85546875" customWidth="1"/>
    <col min="5410" max="5410" width="5.5703125" customWidth="1"/>
    <col min="5411" max="5411" width="19.7109375" customWidth="1"/>
    <col min="5412" max="5412" width="2.140625" customWidth="1"/>
    <col min="5413" max="5413" width="13.5703125" customWidth="1"/>
    <col min="5655" max="5655" width="2" customWidth="1"/>
    <col min="5656" max="5656" width="8.28515625" customWidth="1"/>
    <col min="5657" max="5657" width="15.42578125" customWidth="1"/>
    <col min="5658" max="5658" width="8.7109375" customWidth="1"/>
    <col min="5659" max="5659" width="8" customWidth="1"/>
    <col min="5660" max="5660" width="6" customWidth="1"/>
    <col min="5661" max="5661" width="6.5703125" customWidth="1"/>
    <col min="5662" max="5662" width="9.5703125" customWidth="1"/>
    <col min="5663" max="5663" width="11.5703125" customWidth="1"/>
    <col min="5664" max="5664" width="3.5703125" customWidth="1"/>
    <col min="5665" max="5665" width="13.85546875" customWidth="1"/>
    <col min="5666" max="5666" width="5.5703125" customWidth="1"/>
    <col min="5667" max="5667" width="19.7109375" customWidth="1"/>
    <col min="5668" max="5668" width="2.140625" customWidth="1"/>
    <col min="5669" max="5669" width="13.5703125" customWidth="1"/>
    <col min="5911" max="5911" width="2" customWidth="1"/>
    <col min="5912" max="5912" width="8.28515625" customWidth="1"/>
    <col min="5913" max="5913" width="15.42578125" customWidth="1"/>
    <col min="5914" max="5914" width="8.7109375" customWidth="1"/>
    <col min="5915" max="5915" width="8" customWidth="1"/>
    <col min="5916" max="5916" width="6" customWidth="1"/>
    <col min="5917" max="5917" width="6.5703125" customWidth="1"/>
    <col min="5918" max="5918" width="9.5703125" customWidth="1"/>
    <col min="5919" max="5919" width="11.5703125" customWidth="1"/>
    <col min="5920" max="5920" width="3.5703125" customWidth="1"/>
    <col min="5921" max="5921" width="13.85546875" customWidth="1"/>
    <col min="5922" max="5922" width="5.5703125" customWidth="1"/>
    <col min="5923" max="5923" width="19.7109375" customWidth="1"/>
    <col min="5924" max="5924" width="2.140625" customWidth="1"/>
    <col min="5925" max="5925" width="13.5703125" customWidth="1"/>
    <col min="6167" max="6167" width="2" customWidth="1"/>
    <col min="6168" max="6168" width="8.28515625" customWidth="1"/>
    <col min="6169" max="6169" width="15.42578125" customWidth="1"/>
    <col min="6170" max="6170" width="8.7109375" customWidth="1"/>
    <col min="6171" max="6171" width="8" customWidth="1"/>
    <col min="6172" max="6172" width="6" customWidth="1"/>
    <col min="6173" max="6173" width="6.5703125" customWidth="1"/>
    <col min="6174" max="6174" width="9.5703125" customWidth="1"/>
    <col min="6175" max="6175" width="11.5703125" customWidth="1"/>
    <col min="6176" max="6176" width="3.5703125" customWidth="1"/>
    <col min="6177" max="6177" width="13.85546875" customWidth="1"/>
    <col min="6178" max="6178" width="5.5703125" customWidth="1"/>
    <col min="6179" max="6179" width="19.7109375" customWidth="1"/>
    <col min="6180" max="6180" width="2.140625" customWidth="1"/>
    <col min="6181" max="6181" width="13.5703125" customWidth="1"/>
    <col min="6423" max="6423" width="2" customWidth="1"/>
    <col min="6424" max="6424" width="8.28515625" customWidth="1"/>
    <col min="6425" max="6425" width="15.42578125" customWidth="1"/>
    <col min="6426" max="6426" width="8.7109375" customWidth="1"/>
    <col min="6427" max="6427" width="8" customWidth="1"/>
    <col min="6428" max="6428" width="6" customWidth="1"/>
    <col min="6429" max="6429" width="6.5703125" customWidth="1"/>
    <col min="6430" max="6430" width="9.5703125" customWidth="1"/>
    <col min="6431" max="6431" width="11.5703125" customWidth="1"/>
    <col min="6432" max="6432" width="3.5703125" customWidth="1"/>
    <col min="6433" max="6433" width="13.85546875" customWidth="1"/>
    <col min="6434" max="6434" width="5.5703125" customWidth="1"/>
    <col min="6435" max="6435" width="19.7109375" customWidth="1"/>
    <col min="6436" max="6436" width="2.140625" customWidth="1"/>
    <col min="6437" max="6437" width="13.5703125" customWidth="1"/>
    <col min="6679" max="6679" width="2" customWidth="1"/>
    <col min="6680" max="6680" width="8.28515625" customWidth="1"/>
    <col min="6681" max="6681" width="15.42578125" customWidth="1"/>
    <col min="6682" max="6682" width="8.7109375" customWidth="1"/>
    <col min="6683" max="6683" width="8" customWidth="1"/>
    <col min="6684" max="6684" width="6" customWidth="1"/>
    <col min="6685" max="6685" width="6.5703125" customWidth="1"/>
    <col min="6686" max="6686" width="9.5703125" customWidth="1"/>
    <col min="6687" max="6687" width="11.5703125" customWidth="1"/>
    <col min="6688" max="6688" width="3.5703125" customWidth="1"/>
    <col min="6689" max="6689" width="13.85546875" customWidth="1"/>
    <col min="6690" max="6690" width="5.5703125" customWidth="1"/>
    <col min="6691" max="6691" width="19.7109375" customWidth="1"/>
    <col min="6692" max="6692" width="2.140625" customWidth="1"/>
    <col min="6693" max="6693" width="13.5703125" customWidth="1"/>
    <col min="6935" max="6935" width="2" customWidth="1"/>
    <col min="6936" max="6936" width="8.28515625" customWidth="1"/>
    <col min="6937" max="6937" width="15.42578125" customWidth="1"/>
    <col min="6938" max="6938" width="8.7109375" customWidth="1"/>
    <col min="6939" max="6939" width="8" customWidth="1"/>
    <col min="6940" max="6940" width="6" customWidth="1"/>
    <col min="6941" max="6941" width="6.5703125" customWidth="1"/>
    <col min="6942" max="6942" width="9.5703125" customWidth="1"/>
    <col min="6943" max="6943" width="11.5703125" customWidth="1"/>
    <col min="6944" max="6944" width="3.5703125" customWidth="1"/>
    <col min="6945" max="6945" width="13.85546875" customWidth="1"/>
    <col min="6946" max="6946" width="5.5703125" customWidth="1"/>
    <col min="6947" max="6947" width="19.7109375" customWidth="1"/>
    <col min="6948" max="6948" width="2.140625" customWidth="1"/>
    <col min="6949" max="6949" width="13.5703125" customWidth="1"/>
    <col min="7191" max="7191" width="2" customWidth="1"/>
    <col min="7192" max="7192" width="8.28515625" customWidth="1"/>
    <col min="7193" max="7193" width="15.42578125" customWidth="1"/>
    <col min="7194" max="7194" width="8.7109375" customWidth="1"/>
    <col min="7195" max="7195" width="8" customWidth="1"/>
    <col min="7196" max="7196" width="6" customWidth="1"/>
    <col min="7197" max="7197" width="6.5703125" customWidth="1"/>
    <col min="7198" max="7198" width="9.5703125" customWidth="1"/>
    <col min="7199" max="7199" width="11.5703125" customWidth="1"/>
    <col min="7200" max="7200" width="3.5703125" customWidth="1"/>
    <col min="7201" max="7201" width="13.85546875" customWidth="1"/>
    <col min="7202" max="7202" width="5.5703125" customWidth="1"/>
    <col min="7203" max="7203" width="19.7109375" customWidth="1"/>
    <col min="7204" max="7204" width="2.140625" customWidth="1"/>
    <col min="7205" max="7205" width="13.5703125" customWidth="1"/>
    <col min="7447" max="7447" width="2" customWidth="1"/>
    <col min="7448" max="7448" width="8.28515625" customWidth="1"/>
    <col min="7449" max="7449" width="15.42578125" customWidth="1"/>
    <col min="7450" max="7450" width="8.7109375" customWidth="1"/>
    <col min="7451" max="7451" width="8" customWidth="1"/>
    <col min="7452" max="7452" width="6" customWidth="1"/>
    <col min="7453" max="7453" width="6.5703125" customWidth="1"/>
    <col min="7454" max="7454" width="9.5703125" customWidth="1"/>
    <col min="7455" max="7455" width="11.5703125" customWidth="1"/>
    <col min="7456" max="7456" width="3.5703125" customWidth="1"/>
    <col min="7457" max="7457" width="13.85546875" customWidth="1"/>
    <col min="7458" max="7458" width="5.5703125" customWidth="1"/>
    <col min="7459" max="7459" width="19.7109375" customWidth="1"/>
    <col min="7460" max="7460" width="2.140625" customWidth="1"/>
    <col min="7461" max="7461" width="13.5703125" customWidth="1"/>
    <col min="7703" max="7703" width="2" customWidth="1"/>
    <col min="7704" max="7704" width="8.28515625" customWidth="1"/>
    <col min="7705" max="7705" width="15.42578125" customWidth="1"/>
    <col min="7706" max="7706" width="8.7109375" customWidth="1"/>
    <col min="7707" max="7707" width="8" customWidth="1"/>
    <col min="7708" max="7708" width="6" customWidth="1"/>
    <col min="7709" max="7709" width="6.5703125" customWidth="1"/>
    <col min="7710" max="7710" width="9.5703125" customWidth="1"/>
    <col min="7711" max="7711" width="11.5703125" customWidth="1"/>
    <col min="7712" max="7712" width="3.5703125" customWidth="1"/>
    <col min="7713" max="7713" width="13.85546875" customWidth="1"/>
    <col min="7714" max="7714" width="5.5703125" customWidth="1"/>
    <col min="7715" max="7715" width="19.7109375" customWidth="1"/>
    <col min="7716" max="7716" width="2.140625" customWidth="1"/>
    <col min="7717" max="7717" width="13.5703125" customWidth="1"/>
    <col min="7959" max="7959" width="2" customWidth="1"/>
    <col min="7960" max="7960" width="8.28515625" customWidth="1"/>
    <col min="7961" max="7961" width="15.42578125" customWidth="1"/>
    <col min="7962" max="7962" width="8.7109375" customWidth="1"/>
    <col min="7963" max="7963" width="8" customWidth="1"/>
    <col min="7964" max="7964" width="6" customWidth="1"/>
    <col min="7965" max="7965" width="6.5703125" customWidth="1"/>
    <col min="7966" max="7966" width="9.5703125" customWidth="1"/>
    <col min="7967" max="7967" width="11.5703125" customWidth="1"/>
    <col min="7968" max="7968" width="3.5703125" customWidth="1"/>
    <col min="7969" max="7969" width="13.85546875" customWidth="1"/>
    <col min="7970" max="7970" width="5.5703125" customWidth="1"/>
    <col min="7971" max="7971" width="19.7109375" customWidth="1"/>
    <col min="7972" max="7972" width="2.140625" customWidth="1"/>
    <col min="7973" max="7973" width="13.5703125" customWidth="1"/>
    <col min="8215" max="8215" width="2" customWidth="1"/>
    <col min="8216" max="8216" width="8.28515625" customWidth="1"/>
    <col min="8217" max="8217" width="15.42578125" customWidth="1"/>
    <col min="8218" max="8218" width="8.7109375" customWidth="1"/>
    <col min="8219" max="8219" width="8" customWidth="1"/>
    <col min="8220" max="8220" width="6" customWidth="1"/>
    <col min="8221" max="8221" width="6.5703125" customWidth="1"/>
    <col min="8222" max="8222" width="9.5703125" customWidth="1"/>
    <col min="8223" max="8223" width="11.5703125" customWidth="1"/>
    <col min="8224" max="8224" width="3.5703125" customWidth="1"/>
    <col min="8225" max="8225" width="13.85546875" customWidth="1"/>
    <col min="8226" max="8226" width="5.5703125" customWidth="1"/>
    <col min="8227" max="8227" width="19.7109375" customWidth="1"/>
    <col min="8228" max="8228" width="2.140625" customWidth="1"/>
    <col min="8229" max="8229" width="13.5703125" customWidth="1"/>
    <col min="8471" max="8471" width="2" customWidth="1"/>
    <col min="8472" max="8472" width="8.28515625" customWidth="1"/>
    <col min="8473" max="8473" width="15.42578125" customWidth="1"/>
    <col min="8474" max="8474" width="8.7109375" customWidth="1"/>
    <col min="8475" max="8475" width="8" customWidth="1"/>
    <col min="8476" max="8476" width="6" customWidth="1"/>
    <col min="8477" max="8477" width="6.5703125" customWidth="1"/>
    <col min="8478" max="8478" width="9.5703125" customWidth="1"/>
    <col min="8479" max="8479" width="11.5703125" customWidth="1"/>
    <col min="8480" max="8480" width="3.5703125" customWidth="1"/>
    <col min="8481" max="8481" width="13.85546875" customWidth="1"/>
    <col min="8482" max="8482" width="5.5703125" customWidth="1"/>
    <col min="8483" max="8483" width="19.7109375" customWidth="1"/>
    <col min="8484" max="8484" width="2.140625" customWidth="1"/>
    <col min="8485" max="8485" width="13.5703125" customWidth="1"/>
    <col min="8727" max="8727" width="2" customWidth="1"/>
    <col min="8728" max="8728" width="8.28515625" customWidth="1"/>
    <col min="8729" max="8729" width="15.42578125" customWidth="1"/>
    <col min="8730" max="8730" width="8.7109375" customWidth="1"/>
    <col min="8731" max="8731" width="8" customWidth="1"/>
    <col min="8732" max="8732" width="6" customWidth="1"/>
    <col min="8733" max="8733" width="6.5703125" customWidth="1"/>
    <col min="8734" max="8734" width="9.5703125" customWidth="1"/>
    <col min="8735" max="8735" width="11.5703125" customWidth="1"/>
    <col min="8736" max="8736" width="3.5703125" customWidth="1"/>
    <col min="8737" max="8737" width="13.85546875" customWidth="1"/>
    <col min="8738" max="8738" width="5.5703125" customWidth="1"/>
    <col min="8739" max="8739" width="19.7109375" customWidth="1"/>
    <col min="8740" max="8740" width="2.140625" customWidth="1"/>
    <col min="8741" max="8741" width="13.5703125" customWidth="1"/>
    <col min="8983" max="8983" width="2" customWidth="1"/>
    <col min="8984" max="8984" width="8.28515625" customWidth="1"/>
    <col min="8985" max="8985" width="15.42578125" customWidth="1"/>
    <col min="8986" max="8986" width="8.7109375" customWidth="1"/>
    <col min="8987" max="8987" width="8" customWidth="1"/>
    <col min="8988" max="8988" width="6" customWidth="1"/>
    <col min="8989" max="8989" width="6.5703125" customWidth="1"/>
    <col min="8990" max="8990" width="9.5703125" customWidth="1"/>
    <col min="8991" max="8991" width="11.5703125" customWidth="1"/>
    <col min="8992" max="8992" width="3.5703125" customWidth="1"/>
    <col min="8993" max="8993" width="13.85546875" customWidth="1"/>
    <col min="8994" max="8994" width="5.5703125" customWidth="1"/>
    <col min="8995" max="8995" width="19.7109375" customWidth="1"/>
    <col min="8996" max="8996" width="2.140625" customWidth="1"/>
    <col min="8997" max="8997" width="13.5703125" customWidth="1"/>
    <col min="9239" max="9239" width="2" customWidth="1"/>
    <col min="9240" max="9240" width="8.28515625" customWidth="1"/>
    <col min="9241" max="9241" width="15.42578125" customWidth="1"/>
    <col min="9242" max="9242" width="8.7109375" customWidth="1"/>
    <col min="9243" max="9243" width="8" customWidth="1"/>
    <col min="9244" max="9244" width="6" customWidth="1"/>
    <col min="9245" max="9245" width="6.5703125" customWidth="1"/>
    <col min="9246" max="9246" width="9.5703125" customWidth="1"/>
    <col min="9247" max="9247" width="11.5703125" customWidth="1"/>
    <col min="9248" max="9248" width="3.5703125" customWidth="1"/>
    <col min="9249" max="9249" width="13.85546875" customWidth="1"/>
    <col min="9250" max="9250" width="5.5703125" customWidth="1"/>
    <col min="9251" max="9251" width="19.7109375" customWidth="1"/>
    <col min="9252" max="9252" width="2.140625" customWidth="1"/>
    <col min="9253" max="9253" width="13.5703125" customWidth="1"/>
    <col min="9495" max="9495" width="2" customWidth="1"/>
    <col min="9496" max="9496" width="8.28515625" customWidth="1"/>
    <col min="9497" max="9497" width="15.42578125" customWidth="1"/>
    <col min="9498" max="9498" width="8.7109375" customWidth="1"/>
    <col min="9499" max="9499" width="8" customWidth="1"/>
    <col min="9500" max="9500" width="6" customWidth="1"/>
    <col min="9501" max="9501" width="6.5703125" customWidth="1"/>
    <col min="9502" max="9502" width="9.5703125" customWidth="1"/>
    <col min="9503" max="9503" width="11.5703125" customWidth="1"/>
    <col min="9504" max="9504" width="3.5703125" customWidth="1"/>
    <col min="9505" max="9505" width="13.85546875" customWidth="1"/>
    <col min="9506" max="9506" width="5.5703125" customWidth="1"/>
    <col min="9507" max="9507" width="19.7109375" customWidth="1"/>
    <col min="9508" max="9508" width="2.140625" customWidth="1"/>
    <col min="9509" max="9509" width="13.5703125" customWidth="1"/>
    <col min="9751" max="9751" width="2" customWidth="1"/>
    <col min="9752" max="9752" width="8.28515625" customWidth="1"/>
    <col min="9753" max="9753" width="15.42578125" customWidth="1"/>
    <col min="9754" max="9754" width="8.7109375" customWidth="1"/>
    <col min="9755" max="9755" width="8" customWidth="1"/>
    <col min="9756" max="9756" width="6" customWidth="1"/>
    <col min="9757" max="9757" width="6.5703125" customWidth="1"/>
    <col min="9758" max="9758" width="9.5703125" customWidth="1"/>
    <col min="9759" max="9759" width="11.5703125" customWidth="1"/>
    <col min="9760" max="9760" width="3.5703125" customWidth="1"/>
    <col min="9761" max="9761" width="13.85546875" customWidth="1"/>
    <col min="9762" max="9762" width="5.5703125" customWidth="1"/>
    <col min="9763" max="9763" width="19.7109375" customWidth="1"/>
    <col min="9764" max="9764" width="2.140625" customWidth="1"/>
    <col min="9765" max="9765" width="13.5703125" customWidth="1"/>
    <col min="10007" max="10007" width="2" customWidth="1"/>
    <col min="10008" max="10008" width="8.28515625" customWidth="1"/>
    <col min="10009" max="10009" width="15.42578125" customWidth="1"/>
    <col min="10010" max="10010" width="8.7109375" customWidth="1"/>
    <col min="10011" max="10011" width="8" customWidth="1"/>
    <col min="10012" max="10012" width="6" customWidth="1"/>
    <col min="10013" max="10013" width="6.5703125" customWidth="1"/>
    <col min="10014" max="10014" width="9.5703125" customWidth="1"/>
    <col min="10015" max="10015" width="11.5703125" customWidth="1"/>
    <col min="10016" max="10016" width="3.5703125" customWidth="1"/>
    <col min="10017" max="10017" width="13.85546875" customWidth="1"/>
    <col min="10018" max="10018" width="5.5703125" customWidth="1"/>
    <col min="10019" max="10019" width="19.7109375" customWidth="1"/>
    <col min="10020" max="10020" width="2.140625" customWidth="1"/>
    <col min="10021" max="10021" width="13.5703125" customWidth="1"/>
    <col min="10263" max="10263" width="2" customWidth="1"/>
    <col min="10264" max="10264" width="8.28515625" customWidth="1"/>
    <col min="10265" max="10265" width="15.42578125" customWidth="1"/>
    <col min="10266" max="10266" width="8.7109375" customWidth="1"/>
    <col min="10267" max="10267" width="8" customWidth="1"/>
    <col min="10268" max="10268" width="6" customWidth="1"/>
    <col min="10269" max="10269" width="6.5703125" customWidth="1"/>
    <col min="10270" max="10270" width="9.5703125" customWidth="1"/>
    <col min="10271" max="10271" width="11.5703125" customWidth="1"/>
    <col min="10272" max="10272" width="3.5703125" customWidth="1"/>
    <col min="10273" max="10273" width="13.85546875" customWidth="1"/>
    <col min="10274" max="10274" width="5.5703125" customWidth="1"/>
    <col min="10275" max="10275" width="19.7109375" customWidth="1"/>
    <col min="10276" max="10276" width="2.140625" customWidth="1"/>
    <col min="10277" max="10277" width="13.5703125" customWidth="1"/>
    <col min="10519" max="10519" width="2" customWidth="1"/>
    <col min="10520" max="10520" width="8.28515625" customWidth="1"/>
    <col min="10521" max="10521" width="15.42578125" customWidth="1"/>
    <col min="10522" max="10522" width="8.7109375" customWidth="1"/>
    <col min="10523" max="10523" width="8" customWidth="1"/>
    <col min="10524" max="10524" width="6" customWidth="1"/>
    <col min="10525" max="10525" width="6.5703125" customWidth="1"/>
    <col min="10526" max="10526" width="9.5703125" customWidth="1"/>
    <col min="10527" max="10527" width="11.5703125" customWidth="1"/>
    <col min="10528" max="10528" width="3.5703125" customWidth="1"/>
    <col min="10529" max="10529" width="13.85546875" customWidth="1"/>
    <col min="10530" max="10530" width="5.5703125" customWidth="1"/>
    <col min="10531" max="10531" width="19.7109375" customWidth="1"/>
    <col min="10532" max="10532" width="2.140625" customWidth="1"/>
    <col min="10533" max="10533" width="13.5703125" customWidth="1"/>
    <col min="10775" max="10775" width="2" customWidth="1"/>
    <col min="10776" max="10776" width="8.28515625" customWidth="1"/>
    <col min="10777" max="10777" width="15.42578125" customWidth="1"/>
    <col min="10778" max="10778" width="8.7109375" customWidth="1"/>
    <col min="10779" max="10779" width="8" customWidth="1"/>
    <col min="10780" max="10780" width="6" customWidth="1"/>
    <col min="10781" max="10781" width="6.5703125" customWidth="1"/>
    <col min="10782" max="10782" width="9.5703125" customWidth="1"/>
    <col min="10783" max="10783" width="11.5703125" customWidth="1"/>
    <col min="10784" max="10784" width="3.5703125" customWidth="1"/>
    <col min="10785" max="10785" width="13.85546875" customWidth="1"/>
    <col min="10786" max="10786" width="5.5703125" customWidth="1"/>
    <col min="10787" max="10787" width="19.7109375" customWidth="1"/>
    <col min="10788" max="10788" width="2.140625" customWidth="1"/>
    <col min="10789" max="10789" width="13.5703125" customWidth="1"/>
    <col min="11031" max="11031" width="2" customWidth="1"/>
    <col min="11032" max="11032" width="8.28515625" customWidth="1"/>
    <col min="11033" max="11033" width="15.42578125" customWidth="1"/>
    <col min="11034" max="11034" width="8.7109375" customWidth="1"/>
    <col min="11035" max="11035" width="8" customWidth="1"/>
    <col min="11036" max="11036" width="6" customWidth="1"/>
    <col min="11037" max="11037" width="6.5703125" customWidth="1"/>
    <col min="11038" max="11038" width="9.5703125" customWidth="1"/>
    <col min="11039" max="11039" width="11.5703125" customWidth="1"/>
    <col min="11040" max="11040" width="3.5703125" customWidth="1"/>
    <col min="11041" max="11041" width="13.85546875" customWidth="1"/>
    <col min="11042" max="11042" width="5.5703125" customWidth="1"/>
    <col min="11043" max="11043" width="19.7109375" customWidth="1"/>
    <col min="11044" max="11044" width="2.140625" customWidth="1"/>
    <col min="11045" max="11045" width="13.5703125" customWidth="1"/>
    <col min="11287" max="11287" width="2" customWidth="1"/>
    <col min="11288" max="11288" width="8.28515625" customWidth="1"/>
    <col min="11289" max="11289" width="15.42578125" customWidth="1"/>
    <col min="11290" max="11290" width="8.7109375" customWidth="1"/>
    <col min="11291" max="11291" width="8" customWidth="1"/>
    <col min="11292" max="11292" width="6" customWidth="1"/>
    <col min="11293" max="11293" width="6.5703125" customWidth="1"/>
    <col min="11294" max="11294" width="9.5703125" customWidth="1"/>
    <col min="11295" max="11295" width="11.5703125" customWidth="1"/>
    <col min="11296" max="11296" width="3.5703125" customWidth="1"/>
    <col min="11297" max="11297" width="13.85546875" customWidth="1"/>
    <col min="11298" max="11298" width="5.5703125" customWidth="1"/>
    <col min="11299" max="11299" width="19.7109375" customWidth="1"/>
    <col min="11300" max="11300" width="2.140625" customWidth="1"/>
    <col min="11301" max="11301" width="13.5703125" customWidth="1"/>
    <col min="11543" max="11543" width="2" customWidth="1"/>
    <col min="11544" max="11544" width="8.28515625" customWidth="1"/>
    <col min="11545" max="11545" width="15.42578125" customWidth="1"/>
    <col min="11546" max="11546" width="8.7109375" customWidth="1"/>
    <col min="11547" max="11547" width="8" customWidth="1"/>
    <col min="11548" max="11548" width="6" customWidth="1"/>
    <col min="11549" max="11549" width="6.5703125" customWidth="1"/>
    <col min="11550" max="11550" width="9.5703125" customWidth="1"/>
    <col min="11551" max="11551" width="11.5703125" customWidth="1"/>
    <col min="11552" max="11552" width="3.5703125" customWidth="1"/>
    <col min="11553" max="11553" width="13.85546875" customWidth="1"/>
    <col min="11554" max="11554" width="5.5703125" customWidth="1"/>
    <col min="11555" max="11555" width="19.7109375" customWidth="1"/>
    <col min="11556" max="11556" width="2.140625" customWidth="1"/>
    <col min="11557" max="11557" width="13.5703125" customWidth="1"/>
    <col min="11799" max="11799" width="2" customWidth="1"/>
    <col min="11800" max="11800" width="8.28515625" customWidth="1"/>
    <col min="11801" max="11801" width="15.42578125" customWidth="1"/>
    <col min="11802" max="11802" width="8.7109375" customWidth="1"/>
    <col min="11803" max="11803" width="8" customWidth="1"/>
    <col min="11804" max="11804" width="6" customWidth="1"/>
    <col min="11805" max="11805" width="6.5703125" customWidth="1"/>
    <col min="11806" max="11806" width="9.5703125" customWidth="1"/>
    <col min="11807" max="11807" width="11.5703125" customWidth="1"/>
    <col min="11808" max="11808" width="3.5703125" customWidth="1"/>
    <col min="11809" max="11809" width="13.85546875" customWidth="1"/>
    <col min="11810" max="11810" width="5.5703125" customWidth="1"/>
    <col min="11811" max="11811" width="19.7109375" customWidth="1"/>
    <col min="11812" max="11812" width="2.140625" customWidth="1"/>
    <col min="11813" max="11813" width="13.5703125" customWidth="1"/>
    <col min="12055" max="12055" width="2" customWidth="1"/>
    <col min="12056" max="12056" width="8.28515625" customWidth="1"/>
    <col min="12057" max="12057" width="15.42578125" customWidth="1"/>
    <col min="12058" max="12058" width="8.7109375" customWidth="1"/>
    <col min="12059" max="12059" width="8" customWidth="1"/>
    <col min="12060" max="12060" width="6" customWidth="1"/>
    <col min="12061" max="12061" width="6.5703125" customWidth="1"/>
    <col min="12062" max="12062" width="9.5703125" customWidth="1"/>
    <col min="12063" max="12063" width="11.5703125" customWidth="1"/>
    <col min="12064" max="12064" width="3.5703125" customWidth="1"/>
    <col min="12065" max="12065" width="13.85546875" customWidth="1"/>
    <col min="12066" max="12066" width="5.5703125" customWidth="1"/>
    <col min="12067" max="12067" width="19.7109375" customWidth="1"/>
    <col min="12068" max="12068" width="2.140625" customWidth="1"/>
    <col min="12069" max="12069" width="13.5703125" customWidth="1"/>
    <col min="12311" max="12311" width="2" customWidth="1"/>
    <col min="12312" max="12312" width="8.28515625" customWidth="1"/>
    <col min="12313" max="12313" width="15.42578125" customWidth="1"/>
    <col min="12314" max="12314" width="8.7109375" customWidth="1"/>
    <col min="12315" max="12315" width="8" customWidth="1"/>
    <col min="12316" max="12316" width="6" customWidth="1"/>
    <col min="12317" max="12317" width="6.5703125" customWidth="1"/>
    <col min="12318" max="12318" width="9.5703125" customWidth="1"/>
    <col min="12319" max="12319" width="11.5703125" customWidth="1"/>
    <col min="12320" max="12320" width="3.5703125" customWidth="1"/>
    <col min="12321" max="12321" width="13.85546875" customWidth="1"/>
    <col min="12322" max="12322" width="5.5703125" customWidth="1"/>
    <col min="12323" max="12323" width="19.7109375" customWidth="1"/>
    <col min="12324" max="12324" width="2.140625" customWidth="1"/>
    <col min="12325" max="12325" width="13.5703125" customWidth="1"/>
    <col min="12567" max="12567" width="2" customWidth="1"/>
    <col min="12568" max="12568" width="8.28515625" customWidth="1"/>
    <col min="12569" max="12569" width="15.42578125" customWidth="1"/>
    <col min="12570" max="12570" width="8.7109375" customWidth="1"/>
    <col min="12571" max="12571" width="8" customWidth="1"/>
    <col min="12572" max="12572" width="6" customWidth="1"/>
    <col min="12573" max="12573" width="6.5703125" customWidth="1"/>
    <col min="12574" max="12574" width="9.5703125" customWidth="1"/>
    <col min="12575" max="12575" width="11.5703125" customWidth="1"/>
    <col min="12576" max="12576" width="3.5703125" customWidth="1"/>
    <col min="12577" max="12577" width="13.85546875" customWidth="1"/>
    <col min="12578" max="12578" width="5.5703125" customWidth="1"/>
    <col min="12579" max="12579" width="19.7109375" customWidth="1"/>
    <col min="12580" max="12580" width="2.140625" customWidth="1"/>
    <col min="12581" max="12581" width="13.5703125" customWidth="1"/>
    <col min="12823" max="12823" width="2" customWidth="1"/>
    <col min="12824" max="12824" width="8.28515625" customWidth="1"/>
    <col min="12825" max="12825" width="15.42578125" customWidth="1"/>
    <col min="12826" max="12826" width="8.7109375" customWidth="1"/>
    <col min="12827" max="12827" width="8" customWidth="1"/>
    <col min="12828" max="12828" width="6" customWidth="1"/>
    <col min="12829" max="12829" width="6.5703125" customWidth="1"/>
    <col min="12830" max="12830" width="9.5703125" customWidth="1"/>
    <col min="12831" max="12831" width="11.5703125" customWidth="1"/>
    <col min="12832" max="12832" width="3.5703125" customWidth="1"/>
    <col min="12833" max="12833" width="13.85546875" customWidth="1"/>
    <col min="12834" max="12834" width="5.5703125" customWidth="1"/>
    <col min="12835" max="12835" width="19.7109375" customWidth="1"/>
    <col min="12836" max="12836" width="2.140625" customWidth="1"/>
    <col min="12837" max="12837" width="13.5703125" customWidth="1"/>
    <col min="13079" max="13079" width="2" customWidth="1"/>
    <col min="13080" max="13080" width="8.28515625" customWidth="1"/>
    <col min="13081" max="13081" width="15.42578125" customWidth="1"/>
    <col min="13082" max="13082" width="8.7109375" customWidth="1"/>
    <col min="13083" max="13083" width="8" customWidth="1"/>
    <col min="13084" max="13084" width="6" customWidth="1"/>
    <col min="13085" max="13085" width="6.5703125" customWidth="1"/>
    <col min="13086" max="13086" width="9.5703125" customWidth="1"/>
    <col min="13087" max="13087" width="11.5703125" customWidth="1"/>
    <col min="13088" max="13088" width="3.5703125" customWidth="1"/>
    <col min="13089" max="13089" width="13.85546875" customWidth="1"/>
    <col min="13090" max="13090" width="5.5703125" customWidth="1"/>
    <col min="13091" max="13091" width="19.7109375" customWidth="1"/>
    <col min="13092" max="13092" width="2.140625" customWidth="1"/>
    <col min="13093" max="13093" width="13.5703125" customWidth="1"/>
    <col min="13335" max="13335" width="2" customWidth="1"/>
    <col min="13336" max="13336" width="8.28515625" customWidth="1"/>
    <col min="13337" max="13337" width="15.42578125" customWidth="1"/>
    <col min="13338" max="13338" width="8.7109375" customWidth="1"/>
    <col min="13339" max="13339" width="8" customWidth="1"/>
    <col min="13340" max="13340" width="6" customWidth="1"/>
    <col min="13341" max="13341" width="6.5703125" customWidth="1"/>
    <col min="13342" max="13342" width="9.5703125" customWidth="1"/>
    <col min="13343" max="13343" width="11.5703125" customWidth="1"/>
    <col min="13344" max="13344" width="3.5703125" customWidth="1"/>
    <col min="13345" max="13345" width="13.85546875" customWidth="1"/>
    <col min="13346" max="13346" width="5.5703125" customWidth="1"/>
    <col min="13347" max="13347" width="19.7109375" customWidth="1"/>
    <col min="13348" max="13348" width="2.140625" customWidth="1"/>
    <col min="13349" max="13349" width="13.5703125" customWidth="1"/>
    <col min="13591" max="13591" width="2" customWidth="1"/>
    <col min="13592" max="13592" width="8.28515625" customWidth="1"/>
    <col min="13593" max="13593" width="15.42578125" customWidth="1"/>
    <col min="13594" max="13594" width="8.7109375" customWidth="1"/>
    <col min="13595" max="13595" width="8" customWidth="1"/>
    <col min="13596" max="13596" width="6" customWidth="1"/>
    <col min="13597" max="13597" width="6.5703125" customWidth="1"/>
    <col min="13598" max="13598" width="9.5703125" customWidth="1"/>
    <col min="13599" max="13599" width="11.5703125" customWidth="1"/>
    <col min="13600" max="13600" width="3.5703125" customWidth="1"/>
    <col min="13601" max="13601" width="13.85546875" customWidth="1"/>
    <col min="13602" max="13602" width="5.5703125" customWidth="1"/>
    <col min="13603" max="13603" width="19.7109375" customWidth="1"/>
    <col min="13604" max="13604" width="2.140625" customWidth="1"/>
    <col min="13605" max="13605" width="13.5703125" customWidth="1"/>
    <col min="13847" max="13847" width="2" customWidth="1"/>
    <col min="13848" max="13848" width="8.28515625" customWidth="1"/>
    <col min="13849" max="13849" width="15.42578125" customWidth="1"/>
    <col min="13850" max="13850" width="8.7109375" customWidth="1"/>
    <col min="13851" max="13851" width="8" customWidth="1"/>
    <col min="13852" max="13852" width="6" customWidth="1"/>
    <col min="13853" max="13853" width="6.5703125" customWidth="1"/>
    <col min="13854" max="13854" width="9.5703125" customWidth="1"/>
    <col min="13855" max="13855" width="11.5703125" customWidth="1"/>
    <col min="13856" max="13856" width="3.5703125" customWidth="1"/>
    <col min="13857" max="13857" width="13.85546875" customWidth="1"/>
    <col min="13858" max="13858" width="5.5703125" customWidth="1"/>
    <col min="13859" max="13859" width="19.7109375" customWidth="1"/>
    <col min="13860" max="13860" width="2.140625" customWidth="1"/>
    <col min="13861" max="13861" width="13.5703125" customWidth="1"/>
    <col min="14103" max="14103" width="2" customWidth="1"/>
    <col min="14104" max="14104" width="8.28515625" customWidth="1"/>
    <col min="14105" max="14105" width="15.42578125" customWidth="1"/>
    <col min="14106" max="14106" width="8.7109375" customWidth="1"/>
    <col min="14107" max="14107" width="8" customWidth="1"/>
    <col min="14108" max="14108" width="6" customWidth="1"/>
    <col min="14109" max="14109" width="6.5703125" customWidth="1"/>
    <col min="14110" max="14110" width="9.5703125" customWidth="1"/>
    <col min="14111" max="14111" width="11.5703125" customWidth="1"/>
    <col min="14112" max="14112" width="3.5703125" customWidth="1"/>
    <col min="14113" max="14113" width="13.85546875" customWidth="1"/>
    <col min="14114" max="14114" width="5.5703125" customWidth="1"/>
    <col min="14115" max="14115" width="19.7109375" customWidth="1"/>
    <col min="14116" max="14116" width="2.140625" customWidth="1"/>
    <col min="14117" max="14117" width="13.5703125" customWidth="1"/>
    <col min="14359" max="14359" width="2" customWidth="1"/>
    <col min="14360" max="14360" width="8.28515625" customWidth="1"/>
    <col min="14361" max="14361" width="15.42578125" customWidth="1"/>
    <col min="14362" max="14362" width="8.7109375" customWidth="1"/>
    <col min="14363" max="14363" width="8" customWidth="1"/>
    <col min="14364" max="14364" width="6" customWidth="1"/>
    <col min="14365" max="14365" width="6.5703125" customWidth="1"/>
    <col min="14366" max="14366" width="9.5703125" customWidth="1"/>
    <col min="14367" max="14367" width="11.5703125" customWidth="1"/>
    <col min="14368" max="14368" width="3.5703125" customWidth="1"/>
    <col min="14369" max="14369" width="13.85546875" customWidth="1"/>
    <col min="14370" max="14370" width="5.5703125" customWidth="1"/>
    <col min="14371" max="14371" width="19.7109375" customWidth="1"/>
    <col min="14372" max="14372" width="2.140625" customWidth="1"/>
    <col min="14373" max="14373" width="13.5703125" customWidth="1"/>
    <col min="14615" max="14615" width="2" customWidth="1"/>
    <col min="14616" max="14616" width="8.28515625" customWidth="1"/>
    <col min="14617" max="14617" width="15.42578125" customWidth="1"/>
    <col min="14618" max="14618" width="8.7109375" customWidth="1"/>
    <col min="14619" max="14619" width="8" customWidth="1"/>
    <col min="14620" max="14620" width="6" customWidth="1"/>
    <col min="14621" max="14621" width="6.5703125" customWidth="1"/>
    <col min="14622" max="14622" width="9.5703125" customWidth="1"/>
    <col min="14623" max="14623" width="11.5703125" customWidth="1"/>
    <col min="14624" max="14624" width="3.5703125" customWidth="1"/>
    <col min="14625" max="14625" width="13.85546875" customWidth="1"/>
    <col min="14626" max="14626" width="5.5703125" customWidth="1"/>
    <col min="14627" max="14627" width="19.7109375" customWidth="1"/>
    <col min="14628" max="14628" width="2.140625" customWidth="1"/>
    <col min="14629" max="14629" width="13.5703125" customWidth="1"/>
    <col min="14871" max="14871" width="2" customWidth="1"/>
    <col min="14872" max="14872" width="8.28515625" customWidth="1"/>
    <col min="14873" max="14873" width="15.42578125" customWidth="1"/>
    <col min="14874" max="14874" width="8.7109375" customWidth="1"/>
    <col min="14875" max="14875" width="8" customWidth="1"/>
    <col min="14876" max="14876" width="6" customWidth="1"/>
    <col min="14877" max="14877" width="6.5703125" customWidth="1"/>
    <col min="14878" max="14878" width="9.5703125" customWidth="1"/>
    <col min="14879" max="14879" width="11.5703125" customWidth="1"/>
    <col min="14880" max="14880" width="3.5703125" customWidth="1"/>
    <col min="14881" max="14881" width="13.85546875" customWidth="1"/>
    <col min="14882" max="14882" width="5.5703125" customWidth="1"/>
    <col min="14883" max="14883" width="19.7109375" customWidth="1"/>
    <col min="14884" max="14884" width="2.140625" customWidth="1"/>
    <col min="14885" max="14885" width="13.5703125" customWidth="1"/>
    <col min="15127" max="15127" width="2" customWidth="1"/>
    <col min="15128" max="15128" width="8.28515625" customWidth="1"/>
    <col min="15129" max="15129" width="15.42578125" customWidth="1"/>
    <col min="15130" max="15130" width="8.7109375" customWidth="1"/>
    <col min="15131" max="15131" width="8" customWidth="1"/>
    <col min="15132" max="15132" width="6" customWidth="1"/>
    <col min="15133" max="15133" width="6.5703125" customWidth="1"/>
    <col min="15134" max="15134" width="9.5703125" customWidth="1"/>
    <col min="15135" max="15135" width="11.5703125" customWidth="1"/>
    <col min="15136" max="15136" width="3.5703125" customWidth="1"/>
    <col min="15137" max="15137" width="13.85546875" customWidth="1"/>
    <col min="15138" max="15138" width="5.5703125" customWidth="1"/>
    <col min="15139" max="15139" width="19.7109375" customWidth="1"/>
    <col min="15140" max="15140" width="2.140625" customWidth="1"/>
    <col min="15141" max="15141" width="13.5703125" customWidth="1"/>
    <col min="15383" max="15383" width="2" customWidth="1"/>
    <col min="15384" max="15384" width="8.28515625" customWidth="1"/>
    <col min="15385" max="15385" width="15.42578125" customWidth="1"/>
    <col min="15386" max="15386" width="8.7109375" customWidth="1"/>
    <col min="15387" max="15387" width="8" customWidth="1"/>
    <col min="15388" max="15388" width="6" customWidth="1"/>
    <col min="15389" max="15389" width="6.5703125" customWidth="1"/>
    <col min="15390" max="15390" width="9.5703125" customWidth="1"/>
    <col min="15391" max="15391" width="11.5703125" customWidth="1"/>
    <col min="15392" max="15392" width="3.5703125" customWidth="1"/>
    <col min="15393" max="15393" width="13.85546875" customWidth="1"/>
    <col min="15394" max="15394" width="5.5703125" customWidth="1"/>
    <col min="15395" max="15395" width="19.7109375" customWidth="1"/>
    <col min="15396" max="15396" width="2.140625" customWidth="1"/>
    <col min="15397" max="15397" width="13.5703125" customWidth="1"/>
    <col min="15639" max="15639" width="2" customWidth="1"/>
    <col min="15640" max="15640" width="8.28515625" customWidth="1"/>
    <col min="15641" max="15641" width="15.42578125" customWidth="1"/>
    <col min="15642" max="15642" width="8.7109375" customWidth="1"/>
    <col min="15643" max="15643" width="8" customWidth="1"/>
    <col min="15644" max="15644" width="6" customWidth="1"/>
    <col min="15645" max="15645" width="6.5703125" customWidth="1"/>
    <col min="15646" max="15646" width="9.5703125" customWidth="1"/>
    <col min="15647" max="15647" width="11.5703125" customWidth="1"/>
    <col min="15648" max="15648" width="3.5703125" customWidth="1"/>
    <col min="15649" max="15649" width="13.85546875" customWidth="1"/>
    <col min="15650" max="15650" width="5.5703125" customWidth="1"/>
    <col min="15651" max="15651" width="19.7109375" customWidth="1"/>
    <col min="15652" max="15652" width="2.140625" customWidth="1"/>
    <col min="15653" max="15653" width="13.5703125" customWidth="1"/>
    <col min="15895" max="15895" width="2" customWidth="1"/>
    <col min="15896" max="15896" width="8.28515625" customWidth="1"/>
    <col min="15897" max="15897" width="15.42578125" customWidth="1"/>
    <col min="15898" max="15898" width="8.7109375" customWidth="1"/>
    <col min="15899" max="15899" width="8" customWidth="1"/>
    <col min="15900" max="15900" width="6" customWidth="1"/>
    <col min="15901" max="15901" width="6.5703125" customWidth="1"/>
    <col min="15902" max="15902" width="9.5703125" customWidth="1"/>
    <col min="15903" max="15903" width="11.5703125" customWidth="1"/>
    <col min="15904" max="15904" width="3.5703125" customWidth="1"/>
    <col min="15905" max="15905" width="13.85546875" customWidth="1"/>
    <col min="15906" max="15906" width="5.5703125" customWidth="1"/>
    <col min="15907" max="15907" width="19.7109375" customWidth="1"/>
    <col min="15908" max="15908" width="2.140625" customWidth="1"/>
    <col min="15909" max="15909" width="13.5703125" customWidth="1"/>
    <col min="16151" max="16151" width="2" customWidth="1"/>
    <col min="16152" max="16152" width="8.28515625" customWidth="1"/>
    <col min="16153" max="16153" width="15.42578125" customWidth="1"/>
    <col min="16154" max="16154" width="8.7109375" customWidth="1"/>
    <col min="16155" max="16155" width="8" customWidth="1"/>
    <col min="16156" max="16156" width="6" customWidth="1"/>
    <col min="16157" max="16157" width="6.5703125" customWidth="1"/>
    <col min="16158" max="16158" width="9.5703125" customWidth="1"/>
    <col min="16159" max="16159" width="11.5703125" customWidth="1"/>
    <col min="16160" max="16160" width="3.5703125" customWidth="1"/>
    <col min="16161" max="16161" width="13.85546875" customWidth="1"/>
    <col min="16162" max="16162" width="5.5703125" customWidth="1"/>
    <col min="16163" max="16163" width="19.7109375" customWidth="1"/>
    <col min="16164" max="16164" width="2.140625" customWidth="1"/>
    <col min="16165" max="16165" width="13.5703125" customWidth="1"/>
  </cols>
  <sheetData>
    <row r="1" spans="1:52" ht="9" customHeight="1">
      <c r="A1" s="139"/>
      <c r="B1" s="139"/>
      <c r="C1" s="139"/>
      <c r="D1" s="139"/>
      <c r="E1" s="139"/>
      <c r="F1" s="139"/>
      <c r="G1" s="139"/>
      <c r="H1" s="139"/>
      <c r="I1" s="139"/>
      <c r="J1" s="139"/>
      <c r="K1" s="139"/>
      <c r="L1" s="139"/>
      <c r="M1" s="139"/>
      <c r="N1" s="139"/>
      <c r="O1" s="139"/>
      <c r="P1" s="139"/>
      <c r="Q1" s="139"/>
      <c r="R1" s="139"/>
      <c r="S1" s="139"/>
      <c r="T1" s="139"/>
      <c r="U1" s="139"/>
      <c r="V1" s="139"/>
      <c r="W1" s="139"/>
      <c r="X1" s="3540"/>
      <c r="Y1" s="3540"/>
      <c r="Z1" s="3540"/>
      <c r="AC1" s="3537"/>
      <c r="AD1" s="3537"/>
      <c r="AE1" s="3537"/>
      <c r="AF1" s="3537"/>
      <c r="AG1" s="3537"/>
      <c r="AH1" s="3537"/>
      <c r="AI1" s="3537"/>
      <c r="AJ1" s="3537"/>
      <c r="AK1" s="3537"/>
      <c r="AL1" s="329"/>
      <c r="AN1" s="329"/>
      <c r="AP1" s="329"/>
      <c r="AQ1" s="329"/>
      <c r="AR1" s="657"/>
      <c r="AS1" s="657"/>
      <c r="AT1" s="657"/>
      <c r="AU1" s="657"/>
      <c r="AV1" s="657"/>
      <c r="AW1" s="657"/>
      <c r="AX1" s="657"/>
      <c r="AY1" s="657"/>
      <c r="AZ1" s="657"/>
    </row>
    <row r="2" spans="1:52" ht="18" customHeight="1">
      <c r="A2" s="139"/>
      <c r="B2" s="139"/>
      <c r="C2" s="139"/>
      <c r="D2" s="139"/>
      <c r="E2" s="139"/>
      <c r="F2" s="139"/>
      <c r="G2" s="139"/>
      <c r="H2" s="139"/>
      <c r="I2" s="139"/>
      <c r="J2" s="139"/>
      <c r="K2" s="139"/>
      <c r="L2" s="139"/>
      <c r="M2" s="139"/>
      <c r="N2" s="139"/>
      <c r="O2" s="139"/>
      <c r="P2" s="139"/>
      <c r="Q2" s="139"/>
      <c r="R2" s="139"/>
      <c r="S2" s="139"/>
      <c r="T2" s="139"/>
      <c r="U2" s="139"/>
      <c r="V2" s="7038" t="str">
        <f>IF('Table of Contents'!A45="D","DRAFT","")</f>
        <v/>
      </c>
      <c r="W2" s="7038"/>
      <c r="X2" s="3540"/>
      <c r="Y2" s="3540"/>
      <c r="Z2" s="3540"/>
      <c r="AC2" s="3541"/>
      <c r="AD2" s="565"/>
      <c r="AE2" s="565"/>
      <c r="AF2" s="565"/>
      <c r="AG2" s="565"/>
      <c r="AH2" s="565"/>
      <c r="AI2" s="565"/>
      <c r="AJ2" s="565"/>
      <c r="AK2" s="3542"/>
      <c r="AL2" s="344"/>
      <c r="AN2" s="344"/>
      <c r="AP2" s="329"/>
      <c r="AQ2" s="329"/>
    </row>
    <row r="3" spans="1:52" ht="13.5" customHeight="1">
      <c r="A3" s="139"/>
      <c r="B3" s="813"/>
      <c r="C3" s="88"/>
      <c r="D3" s="88"/>
      <c r="E3" s="88"/>
      <c r="F3" s="90"/>
      <c r="G3" s="3543"/>
      <c r="H3" s="3544"/>
      <c r="I3" s="3544"/>
      <c r="J3" s="3544"/>
      <c r="K3" s="3544"/>
      <c r="L3" s="3544"/>
      <c r="M3" s="3544"/>
      <c r="N3" s="3544"/>
      <c r="O3" s="3544"/>
      <c r="P3" s="3544"/>
      <c r="Q3" s="3544"/>
      <c r="R3" s="3544"/>
      <c r="S3" s="3544"/>
      <c r="T3" s="3544"/>
      <c r="U3" s="3545"/>
      <c r="V3" s="9631" t="str">
        <f>IF(AND(X3="",'Table of Contents'!A45="D"),"DRAFT","OMB No. 1545-0074")</f>
        <v>OMB No. 1545-0074</v>
      </c>
      <c r="W3" s="9632"/>
      <c r="X3" s="1796"/>
      <c r="Y3" s="3540"/>
      <c r="Z3" s="3540"/>
      <c r="AC3" s="566"/>
      <c r="AD3" s="1059" t="s">
        <v>3074</v>
      </c>
      <c r="AE3" s="344"/>
      <c r="AF3" s="344"/>
      <c r="AG3" s="344"/>
      <c r="AH3" s="344"/>
      <c r="AI3" s="344"/>
      <c r="AJ3" s="344"/>
      <c r="AK3" s="567"/>
      <c r="AL3" s="344"/>
      <c r="AN3" s="344"/>
      <c r="AP3" s="329"/>
      <c r="AQ3" s="329"/>
    </row>
    <row r="4" spans="1:52" ht="17.25" customHeight="1">
      <c r="A4" s="139"/>
      <c r="B4" s="9635" t="s">
        <v>46</v>
      </c>
      <c r="C4" s="9628">
        <v>2441</v>
      </c>
      <c r="D4" s="9629"/>
      <c r="E4" s="9629"/>
      <c r="F4" s="9630"/>
      <c r="G4" s="9648" t="s">
        <v>3075</v>
      </c>
      <c r="H4" s="8031"/>
      <c r="I4" s="8031"/>
      <c r="J4" s="8031"/>
      <c r="K4" s="8031"/>
      <c r="L4" s="8031"/>
      <c r="M4" s="8031"/>
      <c r="N4" s="8031"/>
      <c r="O4" s="8031"/>
      <c r="P4" s="8031"/>
      <c r="Q4" s="8031"/>
      <c r="R4" s="8031"/>
      <c r="S4" s="8031"/>
      <c r="T4" s="8031"/>
      <c r="U4" s="9649"/>
      <c r="V4" s="9633">
        <f>TaxYear</f>
        <v>2025</v>
      </c>
      <c r="W4" s="9634"/>
      <c r="X4" s="3540"/>
      <c r="Y4" s="3540"/>
      <c r="Z4" s="3540"/>
      <c r="AC4" s="566"/>
      <c r="AD4" s="344" t="s">
        <v>3076</v>
      </c>
      <c r="AE4" s="344"/>
      <c r="AF4" s="344"/>
      <c r="AG4" s="344"/>
      <c r="AH4" s="344"/>
      <c r="AI4" s="344"/>
      <c r="AJ4" s="344"/>
      <c r="AK4" s="567"/>
      <c r="AL4" s="344"/>
      <c r="AN4" s="344"/>
      <c r="AP4" s="329"/>
      <c r="AQ4" s="329"/>
      <c r="AR4" s="657" t="s">
        <v>223</v>
      </c>
      <c r="AS4" s="657"/>
      <c r="AT4" s="657"/>
      <c r="AU4" s="657"/>
      <c r="AV4" s="657"/>
      <c r="AW4" s="657"/>
      <c r="AX4" s="657"/>
      <c r="AY4" s="657"/>
      <c r="AZ4" s="657"/>
    </row>
    <row r="5" spans="1:52" ht="12.75" customHeight="1">
      <c r="A5" s="139"/>
      <c r="B5" s="9617"/>
      <c r="C5" s="9629"/>
      <c r="D5" s="9629"/>
      <c r="E5" s="9629"/>
      <c r="F5" s="9630"/>
      <c r="G5" s="9648"/>
      <c r="H5" s="8031"/>
      <c r="I5" s="8031"/>
      <c r="J5" s="8031"/>
      <c r="K5" s="8031"/>
      <c r="L5" s="8031"/>
      <c r="M5" s="8031"/>
      <c r="N5" s="8031"/>
      <c r="O5" s="8031"/>
      <c r="P5" s="8031"/>
      <c r="Q5" s="8031"/>
      <c r="R5" s="8031"/>
      <c r="S5" s="8031"/>
      <c r="T5" s="8031"/>
      <c r="U5" s="9649"/>
      <c r="V5" s="9633"/>
      <c r="W5" s="9634"/>
      <c r="X5" s="3540"/>
      <c r="Y5" s="3540"/>
      <c r="Z5" s="3540"/>
      <c r="AC5" s="566"/>
      <c r="AD5" s="344" t="s">
        <v>3077</v>
      </c>
      <c r="AE5" s="344"/>
      <c r="AF5" s="344"/>
      <c r="AG5" s="344"/>
      <c r="AH5" s="344"/>
      <c r="AI5" s="344"/>
      <c r="AJ5" s="344"/>
      <c r="AK5" s="567"/>
      <c r="AL5" s="344"/>
      <c r="AN5" s="344"/>
      <c r="AP5" s="329"/>
      <c r="AQ5" s="329"/>
    </row>
    <row r="6" spans="1:52" ht="14.25" customHeight="1">
      <c r="A6" s="139"/>
      <c r="B6" s="2751" t="s">
        <v>3078</v>
      </c>
      <c r="C6" s="2751"/>
      <c r="D6" s="2751"/>
      <c r="E6" s="2751"/>
      <c r="F6" s="3546"/>
      <c r="G6" s="9662" t="s">
        <v>3079</v>
      </c>
      <c r="H6" s="8070"/>
      <c r="I6" s="8070"/>
      <c r="J6" s="8070"/>
      <c r="K6" s="8070"/>
      <c r="L6" s="8070"/>
      <c r="M6" s="8070"/>
      <c r="N6" s="8070"/>
      <c r="O6" s="8070"/>
      <c r="P6" s="8070"/>
      <c r="Q6" s="8070"/>
      <c r="R6" s="8070"/>
      <c r="S6" s="8070"/>
      <c r="T6" s="8070"/>
      <c r="U6" s="9663"/>
      <c r="V6" s="3547" t="s">
        <v>3080</v>
      </c>
      <c r="W6" s="9650">
        <v>21</v>
      </c>
      <c r="X6" s="3540"/>
      <c r="Y6" s="3540"/>
      <c r="Z6" s="3540"/>
      <c r="AC6" s="566"/>
      <c r="AD6" s="344" t="s">
        <v>3081</v>
      </c>
      <c r="AE6" s="344"/>
      <c r="AF6" s="344"/>
      <c r="AG6" s="344"/>
      <c r="AH6" s="344"/>
      <c r="AI6" s="344"/>
      <c r="AJ6" s="344"/>
      <c r="AK6" s="567"/>
      <c r="AL6" s="344"/>
      <c r="AN6" s="344"/>
      <c r="AP6" s="329"/>
      <c r="AQ6" s="329"/>
    </row>
    <row r="7" spans="1:52" ht="12" customHeight="1" thickBot="1">
      <c r="A7" s="139"/>
      <c r="B7" s="3548" t="s">
        <v>505</v>
      </c>
      <c r="C7" s="3549"/>
      <c r="D7" s="3549"/>
      <c r="E7" s="3549"/>
      <c r="F7" s="3550"/>
      <c r="G7" s="9645" t="s">
        <v>5379</v>
      </c>
      <c r="H7" s="9646"/>
      <c r="I7" s="9646"/>
      <c r="J7" s="9646"/>
      <c r="K7" s="9646"/>
      <c r="L7" s="9646"/>
      <c r="M7" s="9646"/>
      <c r="N7" s="9646"/>
      <c r="O7" s="9646"/>
      <c r="P7" s="9646"/>
      <c r="Q7" s="9646"/>
      <c r="R7" s="9646"/>
      <c r="S7" s="9646"/>
      <c r="T7" s="9646"/>
      <c r="U7" s="9647"/>
      <c r="V7" s="3551" t="s">
        <v>3082</v>
      </c>
      <c r="W7" s="9651"/>
      <c r="X7" s="3540"/>
      <c r="Y7" s="3540"/>
      <c r="Z7" s="3540"/>
      <c r="AA7" s="9660" t="s">
        <v>3083</v>
      </c>
      <c r="AB7" s="9661"/>
      <c r="AC7" s="566"/>
      <c r="AD7" s="349"/>
      <c r="AE7" s="344"/>
      <c r="AF7" s="344"/>
      <c r="AG7" s="344"/>
      <c r="AH7" s="344"/>
      <c r="AI7" s="344"/>
      <c r="AJ7" s="344"/>
      <c r="AK7" s="567"/>
      <c r="AL7" s="344"/>
      <c r="AN7" s="344"/>
      <c r="AP7" s="329"/>
      <c r="AQ7" s="329"/>
    </row>
    <row r="8" spans="1:52" ht="11.25" customHeight="1" thickTop="1">
      <c r="A8" s="139"/>
      <c r="B8" s="3552" t="s">
        <v>1918</v>
      </c>
      <c r="C8" s="3553"/>
      <c r="D8" s="3553"/>
      <c r="E8" s="3553"/>
      <c r="F8" s="3553"/>
      <c r="G8" s="3554"/>
      <c r="H8" s="3555"/>
      <c r="I8" s="3555"/>
      <c r="J8" s="3555"/>
      <c r="K8" s="3555"/>
      <c r="L8" s="3556"/>
      <c r="M8" s="3552"/>
      <c r="N8" s="3552"/>
      <c r="O8" s="3552"/>
      <c r="P8" s="3552"/>
      <c r="Q8" s="3552"/>
      <c r="R8" s="3552"/>
      <c r="S8" s="8356" t="s">
        <v>549</v>
      </c>
      <c r="T8" s="8357"/>
      <c r="U8" s="8357"/>
      <c r="V8" s="8357"/>
      <c r="W8" s="8357"/>
      <c r="X8" s="3557"/>
      <c r="Y8" s="3557"/>
      <c r="Z8" s="3557"/>
      <c r="AA8" s="9660" t="s">
        <v>3084</v>
      </c>
      <c r="AB8" s="9661"/>
      <c r="AC8" s="566"/>
      <c r="AD8" s="349" t="str">
        <f>"o You lived apart from your spouse during the last 6 months of "&amp;TaxYear&amp;"."</f>
        <v>o You lived apart from your spouse during the last 6 months of 2025.</v>
      </c>
      <c r="AE8" s="344"/>
      <c r="AF8" s="344"/>
      <c r="AG8" s="344"/>
      <c r="AH8" s="344"/>
      <c r="AI8" s="344"/>
      <c r="AJ8" s="344"/>
      <c r="AK8" s="567"/>
      <c r="AL8" s="344"/>
      <c r="AN8" s="344"/>
      <c r="AP8" s="329"/>
      <c r="AQ8" s="329"/>
    </row>
    <row r="9" spans="1:52" ht="16.5" customHeight="1" thickBot="1">
      <c r="A9" s="139"/>
      <c r="B9" s="3558" t="str">
        <f>Names</f>
        <v/>
      </c>
      <c r="C9" s="3559"/>
      <c r="D9" s="3559"/>
      <c r="E9" s="3559"/>
      <c r="F9" s="3559"/>
      <c r="G9" s="3559"/>
      <c r="H9" s="3559"/>
      <c r="I9" s="3559"/>
      <c r="J9" s="3559"/>
      <c r="K9" s="3559"/>
      <c r="L9" s="3559"/>
      <c r="M9" s="3559"/>
      <c r="N9" s="3559"/>
      <c r="O9" s="3559"/>
      <c r="P9" s="3559"/>
      <c r="Q9" s="3559"/>
      <c r="R9" s="3560"/>
      <c r="S9" s="9664">
        <f>IF(NoSSN,"",SS_Yours)</f>
        <v>1010001</v>
      </c>
      <c r="T9" s="9665"/>
      <c r="U9" s="9665"/>
      <c r="V9" s="9665"/>
      <c r="W9" s="9665"/>
      <c r="X9" s="3557"/>
      <c r="Y9" s="3557"/>
      <c r="Z9" s="3557"/>
      <c r="AA9" s="9660" t="s">
        <v>3085</v>
      </c>
      <c r="AB9" s="9661"/>
      <c r="AC9" s="566"/>
      <c r="AD9" s="349" t="str">
        <f>"o Your home was the qualifying person's main home for more than half of "&amp;TaxYear&amp;"."</f>
        <v>o Your home was the qualifying person's main home for more than half of 2025.</v>
      </c>
      <c r="AE9" s="344"/>
      <c r="AF9" s="344"/>
      <c r="AG9" s="344"/>
      <c r="AH9" s="344"/>
      <c r="AI9" s="344"/>
      <c r="AJ9" s="344"/>
      <c r="AK9" s="567"/>
      <c r="AL9" s="344"/>
      <c r="AN9" s="344"/>
      <c r="AP9" s="329"/>
      <c r="AQ9" s="329"/>
    </row>
    <row r="10" spans="1:52" ht="15">
      <c r="A10" s="139"/>
      <c r="B10" s="3561" t="s">
        <v>3086</v>
      </c>
      <c r="C10" s="2755"/>
      <c r="D10" s="2755"/>
      <c r="E10" s="2755"/>
      <c r="F10" s="2755"/>
      <c r="G10" s="2755"/>
      <c r="H10" s="2755"/>
      <c r="I10" s="2755"/>
      <c r="J10" s="3097"/>
      <c r="K10" s="3097"/>
      <c r="L10" s="2755"/>
      <c r="M10" s="3562"/>
      <c r="N10" s="2755"/>
      <c r="O10" s="2755"/>
      <c r="P10" s="2755"/>
      <c r="Q10" s="2755"/>
      <c r="R10" s="2755"/>
      <c r="S10" s="2755"/>
      <c r="T10" s="2755"/>
      <c r="U10" s="2755"/>
      <c r="V10" s="3563"/>
      <c r="W10" s="3563"/>
      <c r="X10" s="3540"/>
      <c r="Y10" s="3540"/>
      <c r="Z10" s="3540"/>
      <c r="AA10" s="9660" t="s">
        <v>3087</v>
      </c>
      <c r="AB10" s="9661"/>
      <c r="AC10" s="566"/>
      <c r="AD10" s="349" t="str">
        <f>"o You paid more than half of the cost of keeping up that home for "&amp;TaxYear&amp;"."</f>
        <v>o You paid more than half of the cost of keeping up that home for 2025.</v>
      </c>
      <c r="AE10" s="344"/>
      <c r="AF10" s="344"/>
      <c r="AG10" s="344"/>
      <c r="AH10" s="344"/>
      <c r="AI10" s="344"/>
      <c r="AJ10" s="344"/>
      <c r="AK10" s="567"/>
      <c r="AL10" s="344"/>
      <c r="AN10" s="344"/>
      <c r="AP10" s="329"/>
      <c r="AQ10" s="329"/>
    </row>
    <row r="11" spans="1:52" ht="16.5" customHeight="1">
      <c r="A11" s="139"/>
      <c r="B11" s="3564" t="s">
        <v>3088</v>
      </c>
      <c r="C11" s="3565"/>
      <c r="D11" s="3565"/>
      <c r="E11" s="3565"/>
      <c r="F11" s="3565"/>
      <c r="G11" s="3565"/>
      <c r="H11" s="3565"/>
      <c r="I11" s="3565"/>
      <c r="J11" s="3108"/>
      <c r="K11" s="3108"/>
      <c r="L11" s="3565"/>
      <c r="M11" s="3566"/>
      <c r="N11" s="3565"/>
      <c r="O11" s="3565"/>
      <c r="P11" s="3565"/>
      <c r="Q11" s="3565"/>
      <c r="R11" s="3565"/>
      <c r="S11" s="3565"/>
      <c r="T11" s="3565"/>
      <c r="U11" s="3565"/>
      <c r="V11" s="3567" t="str">
        <f>IF(AB19,"You are not eligible for this credit.",IF(AB18,"Check 'Yes' or 'No' box at the right.","If you meet these requirements, check this box."))</f>
        <v>If you meet these requirements, check this box.</v>
      </c>
      <c r="W11" s="3568" t="str">
        <f>IF(AND(File_Marr_Sep&lt;&gt;"",AD18&lt;&gt;""),"X","")</f>
        <v/>
      </c>
      <c r="X11" s="3540"/>
      <c r="Y11" s="3540"/>
      <c r="Z11" s="3540"/>
      <c r="AA11" s="9660" t="s">
        <v>3089</v>
      </c>
      <c r="AB11" s="9661"/>
      <c r="AC11" s="566"/>
      <c r="AD11" s="344"/>
      <c r="AE11" s="344"/>
      <c r="AF11" s="344"/>
      <c r="AG11" s="344"/>
      <c r="AH11" s="344"/>
      <c r="AI11" s="344"/>
      <c r="AJ11" s="344"/>
      <c r="AK11" s="567"/>
      <c r="AL11" s="344"/>
      <c r="AN11" s="344"/>
      <c r="AP11" s="329"/>
      <c r="AQ11" s="329"/>
    </row>
    <row r="12" spans="1:52" ht="12.75" customHeight="1">
      <c r="A12" s="139"/>
      <c r="B12" s="3569" t="s">
        <v>5028</v>
      </c>
      <c r="C12" s="3098" t="str">
        <f>"or your spouse was a student or was disabled during "&amp;TaxYear&amp;" and you're entering deemed income of $250 or $500 a month on"</f>
        <v>or your spouse was a student or was disabled during 2025 and you're entering deemed income of $250 or $500 a month on</v>
      </c>
      <c r="D12" s="2755"/>
      <c r="E12" s="2755"/>
      <c r="F12" s="2755"/>
      <c r="G12" s="2755"/>
      <c r="H12" s="2755"/>
      <c r="I12" s="2755"/>
      <c r="J12" s="3097"/>
      <c r="K12" s="3097"/>
      <c r="L12" s="2755"/>
      <c r="M12" s="3562"/>
      <c r="N12" s="2755"/>
      <c r="O12" s="2755"/>
      <c r="P12" s="2755"/>
      <c r="Q12" s="2755"/>
      <c r="R12" s="2755"/>
      <c r="S12" s="2755"/>
      <c r="T12" s="2755"/>
      <c r="U12" s="2755"/>
      <c r="V12" s="3563"/>
      <c r="W12" s="3570"/>
      <c r="X12" s="3540"/>
      <c r="Y12" s="3540"/>
      <c r="Z12" s="3540"/>
      <c r="AA12" s="9660" t="s">
        <v>3090</v>
      </c>
      <c r="AB12" s="9661"/>
      <c r="AC12" s="566"/>
      <c r="AD12" s="344" t="s">
        <v>3091</v>
      </c>
      <c r="AE12" s="344"/>
      <c r="AF12" s="344"/>
      <c r="AG12" s="344"/>
      <c r="AH12" s="344"/>
      <c r="AI12" s="344"/>
      <c r="AJ12" s="344"/>
      <c r="AK12" s="567"/>
      <c r="AL12" s="344"/>
      <c r="AN12" s="344"/>
      <c r="AP12" s="329"/>
      <c r="AQ12" s="329"/>
    </row>
    <row r="13" spans="1:52" ht="12.75" customHeight="1">
      <c r="A13" s="139"/>
      <c r="B13" s="3571" t="s">
        <v>6225</v>
      </c>
      <c r="C13" s="3565"/>
      <c r="D13" s="3565"/>
      <c r="E13" s="3565"/>
      <c r="F13" s="3565"/>
      <c r="G13" s="3565"/>
      <c r="H13" s="3565"/>
      <c r="I13" s="3565"/>
      <c r="J13" s="3108"/>
      <c r="K13" s="3108"/>
      <c r="L13" s="3565"/>
      <c r="M13" s="3566"/>
      <c r="N13" s="3565"/>
      <c r="O13" s="3565"/>
      <c r="P13" s="3565"/>
      <c r="Q13" s="3565"/>
      <c r="R13" s="3565"/>
      <c r="S13" s="3565"/>
      <c r="T13" s="3565"/>
      <c r="U13" s="3565"/>
      <c r="V13" s="3572"/>
      <c r="W13" s="572"/>
      <c r="X13" s="3540"/>
      <c r="Y13" s="3540"/>
      <c r="Z13" s="3540"/>
      <c r="AA13" s="9666" t="s">
        <v>3092</v>
      </c>
      <c r="AB13" s="9661"/>
      <c r="AC13" s="566"/>
      <c r="AD13" s="344"/>
      <c r="AE13" s="344"/>
      <c r="AF13" s="344"/>
      <c r="AG13" s="344"/>
      <c r="AH13" s="344"/>
      <c r="AI13" s="344"/>
      <c r="AJ13" s="344"/>
      <c r="AK13" s="567"/>
      <c r="AL13" s="344"/>
      <c r="AN13" s="344"/>
      <c r="AP13" s="329"/>
      <c r="AQ13" s="329"/>
    </row>
    <row r="14" spans="1:52" ht="15" customHeight="1">
      <c r="A14" s="139"/>
      <c r="B14" s="3573" t="s">
        <v>780</v>
      </c>
      <c r="C14" s="3574" t="s">
        <v>3093</v>
      </c>
      <c r="D14" s="3574"/>
      <c r="E14" s="3574"/>
      <c r="F14" s="3574"/>
      <c r="G14" s="2755"/>
      <c r="H14" s="2755"/>
      <c r="I14" s="2755"/>
      <c r="J14" s="2755"/>
      <c r="K14" s="2755"/>
      <c r="L14" s="2755"/>
      <c r="M14" s="2755"/>
      <c r="N14" s="2755"/>
      <c r="O14" s="2755"/>
      <c r="P14" s="2755"/>
      <c r="Q14" s="2755"/>
      <c r="R14" s="2755"/>
      <c r="S14" s="2755"/>
      <c r="T14" s="2755"/>
      <c r="U14" s="2755"/>
      <c r="V14" s="3575"/>
      <c r="W14" s="3575"/>
      <c r="X14" s="3540"/>
      <c r="Y14" s="3540"/>
      <c r="Z14" s="3540"/>
      <c r="AA14" s="9660" t="s">
        <v>3094</v>
      </c>
      <c r="AB14" s="9661"/>
      <c r="AC14" s="566"/>
      <c r="AD14" s="344" t="s">
        <v>3095</v>
      </c>
      <c r="AE14" s="344"/>
      <c r="AF14" s="344"/>
      <c r="AG14" s="344"/>
      <c r="AH14" s="344"/>
      <c r="AI14" s="344"/>
      <c r="AJ14" s="344"/>
      <c r="AK14" s="567"/>
      <c r="AL14" s="344"/>
      <c r="AN14" s="344"/>
      <c r="AP14" s="329"/>
      <c r="AQ14" s="329"/>
    </row>
    <row r="15" spans="1:52" ht="15">
      <c r="A15" s="139"/>
      <c r="B15" s="3565"/>
      <c r="C15" s="6379" t="s">
        <v>3096</v>
      </c>
      <c r="D15" s="3565"/>
      <c r="E15" s="3565"/>
      <c r="F15" s="3565"/>
      <c r="G15" s="3565"/>
      <c r="H15" s="3565"/>
      <c r="I15" s="3565"/>
      <c r="J15" s="3565"/>
      <c r="K15" s="3565"/>
      <c r="L15" s="3565"/>
      <c r="M15" s="3565"/>
      <c r="N15" s="3565"/>
      <c r="O15" s="3565"/>
      <c r="P15" s="3565"/>
      <c r="Q15" s="3565"/>
      <c r="R15" s="3565"/>
      <c r="S15" s="3565"/>
      <c r="T15" s="3565"/>
      <c r="U15" s="3565"/>
      <c r="V15" s="3576" t="s">
        <v>702</v>
      </c>
      <c r="W15" s="572" t="str">
        <f>IF(AD20&lt;&gt;"","X","")</f>
        <v/>
      </c>
      <c r="X15" s="3540"/>
      <c r="Y15" s="3540"/>
      <c r="Z15" s="3540"/>
      <c r="AA15" s="9660" t="s">
        <v>3097</v>
      </c>
      <c r="AB15" s="9661"/>
      <c r="AC15" s="566"/>
      <c r="AD15" s="344" t="s">
        <v>3098</v>
      </c>
      <c r="AE15" s="344"/>
      <c r="AF15" s="344"/>
      <c r="AG15" s="344"/>
      <c r="AH15" s="344"/>
      <c r="AI15" s="344"/>
      <c r="AJ15" s="344"/>
      <c r="AK15" s="567"/>
      <c r="AL15" s="344"/>
      <c r="AN15" s="344"/>
      <c r="AP15" s="329"/>
      <c r="AQ15" s="329"/>
    </row>
    <row r="16" spans="1:52" ht="27" customHeight="1">
      <c r="A16" s="139"/>
      <c r="B16" s="3016" t="s">
        <v>3099</v>
      </c>
      <c r="C16" s="2753" t="s">
        <v>3100</v>
      </c>
      <c r="D16" s="2753"/>
      <c r="E16" s="2753"/>
      <c r="F16" s="2753"/>
      <c r="G16" s="3577"/>
      <c r="H16" s="9652" t="s">
        <v>3101</v>
      </c>
      <c r="I16" s="9653"/>
      <c r="J16" s="9653"/>
      <c r="K16" s="9653"/>
      <c r="L16" s="9654"/>
      <c r="M16" s="8322" t="s">
        <v>3102</v>
      </c>
      <c r="N16" s="9571"/>
      <c r="O16" s="9572"/>
      <c r="P16" s="8257" t="str">
        <f>"(d) Was the care provider your household employee in "&amp;TaxYear&amp;"?"&amp;CHAR(10)&amp;"For example, this generally includes nannies but not daycare centers. (see instructions)"</f>
        <v>(d) Was the care provider your household employee in 2025?
For example, this generally includes nannies but not daycare centers. (see instructions)</v>
      </c>
      <c r="Q16" s="9655"/>
      <c r="R16" s="9655"/>
      <c r="S16" s="9655"/>
      <c r="T16" s="9655"/>
      <c r="U16" s="9656"/>
      <c r="V16" s="9586" t="s">
        <v>3103</v>
      </c>
      <c r="W16" s="9587"/>
      <c r="X16" s="3540"/>
      <c r="Y16" s="3540"/>
      <c r="Z16" s="3540"/>
      <c r="AA16" s="9660" t="s">
        <v>3104</v>
      </c>
      <c r="AB16" s="9661"/>
      <c r="AC16" s="566"/>
      <c r="AD16" s="979" t="s">
        <v>3105</v>
      </c>
      <c r="AE16" s="344"/>
      <c r="AF16" s="344"/>
      <c r="AG16" s="344"/>
      <c r="AH16" s="344"/>
      <c r="AI16" s="344"/>
      <c r="AJ16" s="344"/>
      <c r="AK16" s="567"/>
      <c r="AL16" s="344"/>
      <c r="AN16" s="344"/>
      <c r="AP16" s="329"/>
      <c r="AQ16" s="329"/>
    </row>
    <row r="17" spans="1:43" ht="27" customHeight="1">
      <c r="A17" s="139"/>
      <c r="B17" s="3301"/>
      <c r="C17" s="3578" t="s">
        <v>3106</v>
      </c>
      <c r="D17" s="3579"/>
      <c r="E17" s="3579"/>
      <c r="F17" s="3579"/>
      <c r="G17" s="3580"/>
      <c r="H17" s="9558" t="s">
        <v>5029</v>
      </c>
      <c r="I17" s="9559"/>
      <c r="J17" s="9559"/>
      <c r="K17" s="9559"/>
      <c r="L17" s="9560"/>
      <c r="M17" s="9552"/>
      <c r="N17" s="9553"/>
      <c r="O17" s="9554"/>
      <c r="P17" s="9657"/>
      <c r="Q17" s="9658"/>
      <c r="R17" s="9658"/>
      <c r="S17" s="9658"/>
      <c r="T17" s="9658"/>
      <c r="U17" s="9659"/>
      <c r="V17" s="3581" t="s">
        <v>3108</v>
      </c>
      <c r="W17" s="3582"/>
      <c r="X17" s="3540"/>
      <c r="Y17" s="3540"/>
      <c r="Z17" s="3540"/>
      <c r="AA17" s="9660"/>
      <c r="AB17" s="9661"/>
      <c r="AC17" s="566"/>
      <c r="AD17" s="344"/>
      <c r="AE17" s="344"/>
      <c r="AF17" s="344"/>
      <c r="AG17" s="344"/>
      <c r="AH17" s="344"/>
      <c r="AI17" s="344"/>
      <c r="AJ17" s="344"/>
      <c r="AK17" s="567"/>
      <c r="AL17" s="344"/>
      <c r="AN17" s="344"/>
      <c r="AP17" s="329"/>
      <c r="AQ17" s="329"/>
    </row>
    <row r="18" spans="1:43" ht="12" customHeight="1">
      <c r="A18" s="139"/>
      <c r="B18" s="9618"/>
      <c r="C18" s="9619"/>
      <c r="D18" s="9619"/>
      <c r="E18" s="9619"/>
      <c r="F18" s="9619"/>
      <c r="G18" s="9620"/>
      <c r="H18" s="9623"/>
      <c r="I18" s="8205"/>
      <c r="J18" s="9624"/>
      <c r="K18" s="9624"/>
      <c r="L18" s="9625"/>
      <c r="M18" s="3583"/>
      <c r="N18" s="3584"/>
      <c r="O18" s="3585"/>
      <c r="P18" s="3585"/>
      <c r="Q18" s="9569"/>
      <c r="R18" s="9561" t="s">
        <v>568</v>
      </c>
      <c r="S18" s="9562"/>
      <c r="T18" s="9603" t="str">
        <f>IF(AND(OR(B18&lt;&gt;"",V19&lt;&gt;""),Q18=""),"X","")</f>
        <v/>
      </c>
      <c r="U18" s="9605" t="s">
        <v>569</v>
      </c>
      <c r="V18" s="1444"/>
      <c r="W18" s="1445"/>
      <c r="X18" s="3540"/>
      <c r="Y18" s="3540"/>
      <c r="Z18" s="3540"/>
      <c r="AB18" s="304" t="b">
        <f>AND($AD$18="",$AD$19="",File_Marr_Sep&lt;&gt;"")</f>
        <v>0</v>
      </c>
      <c r="AC18" s="564"/>
      <c r="AD18" s="299"/>
      <c r="AE18" s="344" t="s">
        <v>3109</v>
      </c>
      <c r="AF18" s="344"/>
      <c r="AG18" s="344"/>
      <c r="AH18" s="344"/>
      <c r="AI18" s="344"/>
      <c r="AJ18" s="344"/>
      <c r="AK18" s="567"/>
      <c r="AL18" s="344"/>
      <c r="AN18" s="344"/>
      <c r="AP18" s="329"/>
      <c r="AQ18" s="329"/>
    </row>
    <row r="19" spans="1:43" ht="12" customHeight="1">
      <c r="A19" s="139"/>
      <c r="B19" s="9621"/>
      <c r="C19" s="9621"/>
      <c r="D19" s="9621"/>
      <c r="E19" s="9621"/>
      <c r="F19" s="9621"/>
      <c r="G19" s="9622"/>
      <c r="H19" s="9641"/>
      <c r="I19" s="9642"/>
      <c r="J19" s="9643"/>
      <c r="K19" s="9643"/>
      <c r="L19" s="9644"/>
      <c r="M19" s="9613"/>
      <c r="N19" s="9614"/>
      <c r="O19" s="9615"/>
      <c r="P19" s="3586"/>
      <c r="Q19" s="9570"/>
      <c r="R19" s="9563"/>
      <c r="S19" s="9564"/>
      <c r="T19" s="9604"/>
      <c r="U19" s="9606"/>
      <c r="V19" s="9607"/>
      <c r="W19" s="9608"/>
      <c r="X19" s="3540"/>
      <c r="Y19" s="3540"/>
      <c r="Z19" s="3540"/>
      <c r="AB19" s="304" t="b">
        <f>AND(File_Marr_Sep&lt;&gt;"",AD19&lt;&gt;"")</f>
        <v>0</v>
      </c>
      <c r="AC19" s="564"/>
      <c r="AD19" s="299"/>
      <c r="AE19" s="344" t="s">
        <v>3110</v>
      </c>
      <c r="AF19" s="344"/>
      <c r="AG19" s="344"/>
      <c r="AH19" s="344"/>
      <c r="AI19" s="344"/>
      <c r="AJ19" s="344"/>
      <c r="AK19" s="567"/>
      <c r="AL19" s="344"/>
      <c r="AN19" s="344"/>
      <c r="AP19" s="329"/>
      <c r="AQ19" s="329"/>
    </row>
    <row r="20" spans="1:43" ht="12" customHeight="1">
      <c r="A20" s="139"/>
      <c r="B20" s="9618"/>
      <c r="C20" s="9619"/>
      <c r="D20" s="9619"/>
      <c r="E20" s="9619"/>
      <c r="F20" s="9619"/>
      <c r="G20" s="9620"/>
      <c r="H20" s="9623"/>
      <c r="I20" s="8205"/>
      <c r="J20" s="9624"/>
      <c r="K20" s="9624"/>
      <c r="L20" s="9625"/>
      <c r="M20" s="3583"/>
      <c r="N20" s="3584"/>
      <c r="O20" s="3585"/>
      <c r="P20" s="3585"/>
      <c r="Q20" s="9569"/>
      <c r="R20" s="9561" t="s">
        <v>568</v>
      </c>
      <c r="S20" s="9562"/>
      <c r="T20" s="9603" t="str">
        <f>IF(AND(OR(B20&lt;&gt;"",V21&lt;&gt;""),Q20=""),"X","")</f>
        <v/>
      </c>
      <c r="U20" s="9605" t="s">
        <v>569</v>
      </c>
      <c r="V20" s="1444"/>
      <c r="W20" s="1445"/>
      <c r="X20" s="3540"/>
      <c r="Y20" s="3540"/>
      <c r="Z20" s="3540"/>
      <c r="AC20" s="566"/>
      <c r="AD20" s="344"/>
      <c r="AE20" s="344"/>
      <c r="AF20" s="344"/>
      <c r="AG20" s="344"/>
      <c r="AH20" s="344"/>
      <c r="AI20" s="253"/>
      <c r="AJ20" s="253"/>
      <c r="AK20" s="409"/>
      <c r="AL20" s="344"/>
      <c r="AN20" s="344"/>
      <c r="AP20" s="329"/>
      <c r="AQ20" s="329"/>
    </row>
    <row r="21" spans="1:43" ht="12" customHeight="1">
      <c r="A21" s="139"/>
      <c r="B21" s="9621"/>
      <c r="C21" s="9621"/>
      <c r="D21" s="9621"/>
      <c r="E21" s="9621"/>
      <c r="F21" s="9621"/>
      <c r="G21" s="9622"/>
      <c r="H21" s="9641"/>
      <c r="I21" s="9642"/>
      <c r="J21" s="9643"/>
      <c r="K21" s="9643"/>
      <c r="L21" s="9644"/>
      <c r="M21" s="9613"/>
      <c r="N21" s="9614"/>
      <c r="O21" s="9615"/>
      <c r="P21" s="3586"/>
      <c r="Q21" s="9570"/>
      <c r="R21" s="9563"/>
      <c r="S21" s="9564"/>
      <c r="T21" s="9604"/>
      <c r="U21" s="9606"/>
      <c r="V21" s="9607"/>
      <c r="W21" s="9608"/>
      <c r="X21" s="3540"/>
      <c r="Y21" s="3540"/>
      <c r="Z21" s="3540"/>
      <c r="AC21" s="568"/>
      <c r="AD21" s="569"/>
      <c r="AE21" s="569"/>
      <c r="AF21" s="569"/>
      <c r="AG21" s="569"/>
      <c r="AH21" s="569"/>
      <c r="AI21" s="413"/>
      <c r="AJ21" s="413"/>
      <c r="AK21" s="414"/>
      <c r="AL21" s="344"/>
      <c r="AN21" s="344"/>
      <c r="AP21" s="329"/>
      <c r="AQ21" s="329"/>
    </row>
    <row r="22" spans="1:43" ht="12" customHeight="1">
      <c r="A22" s="139"/>
      <c r="B22" s="9618"/>
      <c r="C22" s="9619"/>
      <c r="D22" s="9619"/>
      <c r="E22" s="9619"/>
      <c r="F22" s="9619"/>
      <c r="G22" s="9620"/>
      <c r="H22" s="9623"/>
      <c r="I22" s="8205"/>
      <c r="J22" s="9624"/>
      <c r="K22" s="9624"/>
      <c r="L22" s="9625"/>
      <c r="M22" s="3583"/>
      <c r="N22" s="3584"/>
      <c r="O22" s="3585"/>
      <c r="P22" s="3585"/>
      <c r="Q22" s="9569"/>
      <c r="R22" s="9561" t="s">
        <v>568</v>
      </c>
      <c r="S22" s="9562"/>
      <c r="T22" s="9603" t="str">
        <f>IF(AND(OR(B22&lt;&gt;"",V23&lt;&gt;""),Q22=""),"X","")</f>
        <v/>
      </c>
      <c r="U22" s="9605" t="s">
        <v>569</v>
      </c>
      <c r="V22" s="1444"/>
      <c r="W22" s="1445"/>
      <c r="X22" s="3540"/>
      <c r="Y22" s="3540"/>
      <c r="Z22" s="3540"/>
    </row>
    <row r="23" spans="1:43" ht="12" customHeight="1">
      <c r="A23" s="139"/>
      <c r="B23" s="9621"/>
      <c r="C23" s="9621"/>
      <c r="D23" s="9621"/>
      <c r="E23" s="9621"/>
      <c r="F23" s="9621"/>
      <c r="G23" s="9622"/>
      <c r="H23" s="9641"/>
      <c r="I23" s="9642"/>
      <c r="J23" s="9643"/>
      <c r="K23" s="9643"/>
      <c r="L23" s="9644"/>
      <c r="M23" s="9613"/>
      <c r="N23" s="9614"/>
      <c r="O23" s="9615"/>
      <c r="P23" s="3586"/>
      <c r="Q23" s="9570"/>
      <c r="R23" s="9563"/>
      <c r="S23" s="9564"/>
      <c r="T23" s="9604"/>
      <c r="U23" s="9606"/>
      <c r="V23" s="9607"/>
      <c r="W23" s="9608"/>
      <c r="X23" s="3540"/>
      <c r="Y23" s="3540"/>
      <c r="Z23" s="3540"/>
      <c r="AE23" s="3587"/>
    </row>
    <row r="24" spans="1:43" ht="6.75" customHeight="1" thickBot="1">
      <c r="A24" s="139"/>
      <c r="B24" s="2755"/>
      <c r="C24" s="2755"/>
      <c r="D24" s="2755"/>
      <c r="E24" s="2755"/>
      <c r="F24" s="2755"/>
      <c r="G24" s="2755"/>
      <c r="H24" s="2755"/>
      <c r="I24" s="2755"/>
      <c r="J24" s="2755"/>
      <c r="K24" s="2755"/>
      <c r="L24" s="2755"/>
      <c r="M24" s="2755"/>
      <c r="N24" s="2755"/>
      <c r="O24" s="2755"/>
      <c r="P24" s="2755"/>
      <c r="Q24" s="2755"/>
      <c r="R24" s="2755"/>
      <c r="S24" s="2755"/>
      <c r="T24" s="2755"/>
      <c r="U24" s="2755"/>
      <c r="V24" s="2755"/>
      <c r="W24" s="2755"/>
      <c r="X24" s="3540"/>
      <c r="Y24" s="3540"/>
      <c r="Z24" s="3540"/>
      <c r="AE24" s="9529" t="s">
        <v>6694</v>
      </c>
      <c r="AF24" s="9529"/>
    </row>
    <row r="25" spans="1:43" ht="13.5" customHeight="1" thickTop="1" thickBot="1">
      <c r="A25" s="139"/>
      <c r="B25" s="2755"/>
      <c r="C25" s="2755"/>
      <c r="D25" s="2755"/>
      <c r="E25" s="2755"/>
      <c r="F25" s="2755"/>
      <c r="G25" s="9636" t="s">
        <v>3111</v>
      </c>
      <c r="H25" s="9637"/>
      <c r="I25" s="9637"/>
      <c r="J25" s="9638"/>
      <c r="K25" s="2755"/>
      <c r="L25" s="3588" t="s">
        <v>569</v>
      </c>
      <c r="M25" s="282"/>
      <c r="N25" s="2755" t="s">
        <v>3112</v>
      </c>
      <c r="O25" s="2755"/>
      <c r="P25" s="2755"/>
      <c r="Q25" s="2755"/>
      <c r="R25" s="2755"/>
      <c r="S25" s="2755"/>
      <c r="T25" s="2755"/>
      <c r="U25" s="2755"/>
      <c r="V25" s="2755"/>
      <c r="W25" s="2755"/>
      <c r="X25" s="3540"/>
      <c r="Y25" s="3540"/>
      <c r="Z25" s="3540"/>
      <c r="AE25" s="9529"/>
      <c r="AF25" s="9529"/>
      <c r="AI25" s="4241" t="s">
        <v>772</v>
      </c>
      <c r="AJ25" s="4241"/>
      <c r="AK25" s="4241" t="s">
        <v>774</v>
      </c>
    </row>
    <row r="26" spans="1:43" ht="6.75" customHeight="1" thickBot="1">
      <c r="A26" s="139"/>
      <c r="B26" s="2755"/>
      <c r="C26" s="2755"/>
      <c r="D26" s="2755"/>
      <c r="E26" s="2755"/>
      <c r="F26" s="2755"/>
      <c r="G26" s="9639"/>
      <c r="H26" s="7601"/>
      <c r="I26" s="7601"/>
      <c r="J26" s="9640"/>
      <c r="K26" s="3589"/>
      <c r="L26" s="3590"/>
      <c r="M26" s="3591"/>
      <c r="N26" s="2755"/>
      <c r="O26" s="2755"/>
      <c r="P26" s="2755"/>
      <c r="Q26" s="2755"/>
      <c r="R26" s="2755"/>
      <c r="S26" s="2755"/>
      <c r="T26" s="2755"/>
      <c r="U26" s="2755"/>
      <c r="V26" s="2755"/>
      <c r="W26" s="2755"/>
      <c r="X26" s="3540"/>
      <c r="Y26" s="3540"/>
      <c r="Z26" s="3540"/>
      <c r="AE26" s="9530" t="s">
        <v>3113</v>
      </c>
      <c r="AF26" s="9531"/>
      <c r="AG26" s="9532"/>
      <c r="AH26" s="3816"/>
      <c r="AI26" s="377"/>
      <c r="AJ26" s="377"/>
      <c r="AK26" s="377"/>
      <c r="AL26" s="378"/>
    </row>
    <row r="27" spans="1:43" ht="12.75" customHeight="1" thickBot="1">
      <c r="A27" s="139"/>
      <c r="B27" s="2755"/>
      <c r="C27" s="2755"/>
      <c r="D27" s="2755"/>
      <c r="E27" s="2755"/>
      <c r="F27" s="2755"/>
      <c r="G27" s="9626" t="s">
        <v>3114</v>
      </c>
      <c r="H27" s="7091"/>
      <c r="I27" s="7091"/>
      <c r="J27" s="9627"/>
      <c r="K27" s="2755"/>
      <c r="L27" s="3588" t="s">
        <v>568</v>
      </c>
      <c r="M27" s="282"/>
      <c r="N27" s="3592" t="s">
        <v>3115</v>
      </c>
      <c r="O27" s="2755"/>
      <c r="P27" s="2755"/>
      <c r="Q27" s="2755"/>
      <c r="R27" s="2755"/>
      <c r="S27" s="2755"/>
      <c r="T27" s="2755"/>
      <c r="U27" s="2755"/>
      <c r="V27" s="2755"/>
      <c r="W27" s="2755"/>
      <c r="X27" s="3540"/>
      <c r="Y27" s="3540"/>
      <c r="Z27" s="3540"/>
      <c r="AE27" s="9533"/>
      <c r="AF27" s="7852"/>
      <c r="AG27" s="9534"/>
      <c r="AH27" s="408"/>
      <c r="AI27" s="6378" t="s">
        <v>566</v>
      </c>
      <c r="AJ27" s="817"/>
      <c r="AK27" s="6378" t="s">
        <v>567</v>
      </c>
      <c r="AL27" s="379"/>
    </row>
    <row r="28" spans="1:43" ht="6.75" customHeight="1" thickBot="1">
      <c r="A28" s="139"/>
      <c r="B28" s="2755"/>
      <c r="C28" s="2755"/>
      <c r="D28" s="2755"/>
      <c r="E28" s="2755"/>
      <c r="F28" s="2755"/>
      <c r="G28" s="3593"/>
      <c r="H28" s="3594"/>
      <c r="I28" s="3594"/>
      <c r="J28" s="3595"/>
      <c r="K28" s="9616" t="str">
        <f>IF(AND(M25="",M27=""),"Check one.",IF(AND(M25&lt;&gt;"",M27&lt;&gt;""),"Check only one.",""))</f>
        <v>Check one.</v>
      </c>
      <c r="L28" s="9617"/>
      <c r="M28" s="2755"/>
      <c r="N28" s="3596"/>
      <c r="O28" s="2755"/>
      <c r="P28" s="2755"/>
      <c r="Q28" s="2755"/>
      <c r="R28" s="2755"/>
      <c r="S28" s="2755"/>
      <c r="T28" s="2755"/>
      <c r="U28" s="2755"/>
      <c r="V28" s="2755"/>
      <c r="W28" s="2755"/>
      <c r="X28" s="3540"/>
      <c r="Y28" s="3540"/>
      <c r="Z28" s="3540"/>
      <c r="AE28" s="9533"/>
      <c r="AF28" s="7852"/>
      <c r="AG28" s="9534"/>
      <c r="AH28" s="408"/>
      <c r="AI28" s="253"/>
      <c r="AJ28" s="253"/>
      <c r="AK28" s="253"/>
      <c r="AL28" s="379"/>
      <c r="AM28" s="3597"/>
      <c r="AO28" s="3597"/>
    </row>
    <row r="29" spans="1:43" ht="6.75" customHeight="1" thickTop="1">
      <c r="A29" s="139"/>
      <c r="B29" s="2755"/>
      <c r="C29" s="2755"/>
      <c r="D29" s="2755"/>
      <c r="E29" s="2755"/>
      <c r="F29" s="2755"/>
      <c r="G29" s="2755"/>
      <c r="H29" s="2755"/>
      <c r="I29" s="2755"/>
      <c r="J29" s="2755"/>
      <c r="K29" s="9617"/>
      <c r="L29" s="9617"/>
      <c r="M29" s="2755"/>
      <c r="N29" s="2755"/>
      <c r="O29" s="2755"/>
      <c r="P29" s="2755"/>
      <c r="Q29" s="2755"/>
      <c r="R29" s="2755"/>
      <c r="S29" s="2755"/>
      <c r="T29" s="2755"/>
      <c r="U29" s="2755"/>
      <c r="V29" s="2755"/>
      <c r="W29" s="2755"/>
      <c r="X29" s="3540"/>
      <c r="Y29" s="3540"/>
      <c r="Z29" s="3540"/>
      <c r="AA29" s="3598"/>
      <c r="AE29" s="9530" t="s">
        <v>5383</v>
      </c>
      <c r="AF29" s="9531"/>
      <c r="AG29" s="9532"/>
      <c r="AH29" s="3816"/>
      <c r="AI29" s="377"/>
      <c r="AJ29" s="377"/>
      <c r="AK29" s="377"/>
      <c r="AL29" s="378"/>
      <c r="AM29" s="3597"/>
      <c r="AO29" s="3597"/>
    </row>
    <row r="30" spans="1:43" ht="15.75">
      <c r="A30" s="139"/>
      <c r="B30" s="3599" t="s">
        <v>5030</v>
      </c>
      <c r="C30" s="3098"/>
      <c r="D30" s="3600"/>
      <c r="E30" s="3592"/>
      <c r="F30" s="3592"/>
      <c r="G30" s="3592"/>
      <c r="H30" s="2755"/>
      <c r="I30" s="2755"/>
      <c r="J30" s="2755"/>
      <c r="K30" s="2755"/>
      <c r="L30" s="2755"/>
      <c r="M30" s="2755"/>
      <c r="N30" s="2755"/>
      <c r="O30" s="2755"/>
      <c r="P30" s="2755"/>
      <c r="Q30" s="2755"/>
      <c r="R30" s="2755"/>
      <c r="S30" s="2755"/>
      <c r="T30" s="2755"/>
      <c r="U30" s="2755"/>
      <c r="V30" s="2755"/>
      <c r="W30" s="2755"/>
      <c r="X30" s="3540"/>
      <c r="Y30" s="3540"/>
      <c r="Z30" s="3540"/>
      <c r="AA30" s="84"/>
      <c r="AE30" s="9533"/>
      <c r="AF30" s="7852"/>
      <c r="AG30" s="9534"/>
      <c r="AH30" s="408"/>
      <c r="AI30" s="3601">
        <f>W2_Wages_You</f>
        <v>0</v>
      </c>
      <c r="AJ30" s="253"/>
      <c r="AK30" s="3601">
        <f>W2_Wages_Spouse</f>
        <v>0</v>
      </c>
      <c r="AL30" s="379"/>
      <c r="AM30" s="3597"/>
      <c r="AO30" s="3597"/>
    </row>
    <row r="31" spans="1:43" ht="14.25">
      <c r="A31" s="139"/>
      <c r="B31" s="3602" t="str">
        <f>"Schedule H (Form 1040). If you incurred care expenses in "&amp;TaxYear&amp;" but didn’t pay them until "&amp;TaxYear+1&amp;", or if you prepaid in "&amp;TaxYear&amp;" for care to be"</f>
        <v>Schedule H (Form 1040). If you incurred care expenses in 2025 but didn’t pay them until 2026, or if you prepaid in 2025 for care to be</v>
      </c>
      <c r="C31" s="3592"/>
      <c r="D31" s="3592"/>
      <c r="E31" s="3592"/>
      <c r="F31" s="3592"/>
      <c r="G31" s="3592"/>
      <c r="H31" s="2755"/>
      <c r="I31" s="2755"/>
      <c r="J31" s="2755"/>
      <c r="K31" s="2755"/>
      <c r="L31" s="2755"/>
      <c r="M31" s="2755"/>
      <c r="N31" s="2755"/>
      <c r="O31" s="2755"/>
      <c r="P31" s="2755"/>
      <c r="Q31" s="2755"/>
      <c r="R31" s="2755"/>
      <c r="S31" s="2755"/>
      <c r="T31" s="2755"/>
      <c r="U31" s="2755"/>
      <c r="V31" s="2755"/>
      <c r="W31" s="2755"/>
      <c r="X31" s="3540"/>
      <c r="Y31" s="3540"/>
      <c r="Z31" s="3540"/>
      <c r="AA31" s="84"/>
      <c r="AE31" s="9535" t="s">
        <v>6227</v>
      </c>
      <c r="AF31" s="9536"/>
      <c r="AG31" s="9537"/>
      <c r="AH31" s="408"/>
      <c r="AI31" s="253"/>
      <c r="AJ31" s="253"/>
      <c r="AK31" s="253"/>
      <c r="AL31" s="379"/>
      <c r="AM31" s="3597"/>
      <c r="AO31" s="3597"/>
    </row>
    <row r="32" spans="1:43" ht="14.25">
      <c r="A32" s="139"/>
      <c r="B32" s="3603" t="str">
        <f>"provided in "&amp;TaxYear+1&amp;", don’t include these expenses in column (d) of line 2 for "&amp;TaxYear&amp;". See the instructions."</f>
        <v>provided in 2026, don’t include these expenses in column (d) of line 2 for 2025. See the instructions.</v>
      </c>
      <c r="C32" s="3109"/>
      <c r="D32" s="3109"/>
      <c r="E32" s="3109"/>
      <c r="F32" s="3109"/>
      <c r="G32" s="3109"/>
      <c r="H32" s="3565"/>
      <c r="I32" s="3565"/>
      <c r="J32" s="3565"/>
      <c r="K32" s="3565"/>
      <c r="L32" s="3565"/>
      <c r="M32" s="3565"/>
      <c r="N32" s="3565"/>
      <c r="O32" s="3565"/>
      <c r="P32" s="3565"/>
      <c r="Q32" s="3565"/>
      <c r="R32" s="3565"/>
      <c r="S32" s="3565"/>
      <c r="T32" s="3565"/>
      <c r="U32" s="3565"/>
      <c r="V32" s="3565"/>
      <c r="W32" s="2755"/>
      <c r="X32" s="3540"/>
      <c r="Y32" s="3540"/>
      <c r="Z32" s="3540"/>
      <c r="AA32" s="84"/>
      <c r="AE32" s="9535"/>
      <c r="AF32" s="9536"/>
      <c r="AG32" s="9537"/>
      <c r="AH32" s="408"/>
      <c r="AI32" s="253"/>
      <c r="AJ32" s="253"/>
      <c r="AK32" s="253"/>
      <c r="AL32" s="379"/>
      <c r="AM32" s="3597"/>
      <c r="AO32" s="3597"/>
    </row>
    <row r="33" spans="1:42" ht="17.25" customHeight="1">
      <c r="A33" s="139"/>
      <c r="B33" s="3604" t="s">
        <v>868</v>
      </c>
      <c r="C33" s="3539" t="s">
        <v>3116</v>
      </c>
      <c r="D33" s="3605"/>
      <c r="E33" s="3605"/>
      <c r="F33" s="3605"/>
      <c r="G33" s="3606"/>
      <c r="H33" s="3606"/>
      <c r="I33" s="3606"/>
      <c r="J33" s="3606"/>
      <c r="K33" s="3606"/>
      <c r="L33" s="3606"/>
      <c r="M33" s="3607" t="str">
        <f>IF(AND(File_Marr_Sep&lt;&gt;"",$AD18="",$AD$19=""),"Indicate eligibility above and right.",IF(AND(File_Marr_Sep&lt;&gt;"",$AD$19&lt;&gt;"",Y33=""),"You cannot take the credit.",""))</f>
        <v/>
      </c>
      <c r="N33" s="3606"/>
      <c r="O33" s="3606"/>
      <c r="P33" s="3606"/>
      <c r="Q33" s="3606"/>
      <c r="R33" s="3606"/>
      <c r="S33" s="3606"/>
      <c r="T33" s="3606"/>
      <c r="U33" s="3606"/>
      <c r="V33" s="3606"/>
      <c r="W33" s="3606"/>
      <c r="X33" s="3540"/>
      <c r="Y33" s="757"/>
      <c r="Z33" s="3540"/>
      <c r="AA33" s="3598" t="str">
        <f>IF(AND(File_Marr_Sep&lt;&gt;"",$AD$19&lt;&gt;""),"Hide note.","")</f>
        <v/>
      </c>
      <c r="AE33" s="9335" t="s">
        <v>3117</v>
      </c>
      <c r="AF33" s="9581"/>
      <c r="AG33" s="9582"/>
      <c r="AH33" s="3781" t="s">
        <v>799</v>
      </c>
      <c r="AI33" s="3601">
        <f>F2555_Line43_You</f>
        <v>0</v>
      </c>
      <c r="AJ33" s="350" t="s">
        <v>3118</v>
      </c>
      <c r="AK33" s="3601">
        <f>F2555_Line43_Sp</f>
        <v>0</v>
      </c>
      <c r="AL33" s="6388" t="s">
        <v>800</v>
      </c>
      <c r="AM33" s="3597"/>
      <c r="AN33" s="3608"/>
      <c r="AO33" s="3597"/>
    </row>
    <row r="34" spans="1:42" ht="15">
      <c r="A34" s="139"/>
      <c r="B34" s="3609">
        <v>2</v>
      </c>
      <c r="C34" s="3109" t="s">
        <v>3119</v>
      </c>
      <c r="D34" s="3565"/>
      <c r="E34" s="3565"/>
      <c r="F34" s="3565"/>
      <c r="G34" s="3565"/>
      <c r="H34" s="3565"/>
      <c r="I34" s="3565"/>
      <c r="J34" s="3565"/>
      <c r="K34" s="3565"/>
      <c r="L34" s="3565"/>
      <c r="M34" s="3565"/>
      <c r="N34" s="3565"/>
      <c r="O34" s="3565"/>
      <c r="P34" s="3565"/>
      <c r="Q34" s="3565"/>
      <c r="R34" s="3565"/>
      <c r="S34" s="3565"/>
      <c r="T34" s="3565"/>
      <c r="U34" s="3565"/>
      <c r="V34" s="3610"/>
      <c r="W34" s="572" t="str">
        <f>IF(AD38&lt;&gt;"","X","")</f>
        <v/>
      </c>
      <c r="X34" s="3540"/>
      <c r="Y34" s="3540"/>
      <c r="Z34" s="3540"/>
      <c r="AA34" s="3598"/>
      <c r="AE34" s="9583"/>
      <c r="AF34" s="9581"/>
      <c r="AG34" s="9582"/>
      <c r="AH34" s="408"/>
      <c r="AI34" s="253"/>
      <c r="AJ34" s="253"/>
      <c r="AK34" s="253"/>
      <c r="AL34" s="379"/>
      <c r="AM34" s="3597"/>
      <c r="AO34" s="3597"/>
    </row>
    <row r="35" spans="1:42" ht="12.75" customHeight="1">
      <c r="A35" s="139"/>
      <c r="B35" s="2755"/>
      <c r="C35" s="2755"/>
      <c r="D35" s="2755"/>
      <c r="E35" s="2755"/>
      <c r="F35" s="9573" t="s">
        <v>3120</v>
      </c>
      <c r="G35" s="9573"/>
      <c r="H35" s="9573"/>
      <c r="I35" s="2755"/>
      <c r="J35" s="2755"/>
      <c r="K35" s="8322" t="s">
        <v>5031</v>
      </c>
      <c r="L35" s="9571"/>
      <c r="M35" s="9572"/>
      <c r="N35" s="8322" t="s">
        <v>3122</v>
      </c>
      <c r="O35" s="9571"/>
      <c r="P35" s="9571"/>
      <c r="Q35" s="9571"/>
      <c r="R35" s="9571"/>
      <c r="S35" s="9572"/>
      <c r="T35" s="9575" t="s">
        <v>3123</v>
      </c>
      <c r="U35" s="9576"/>
      <c r="V35" s="9576"/>
      <c r="W35" s="9576"/>
      <c r="X35" s="3540"/>
      <c r="Y35" s="3540"/>
      <c r="Z35" s="3540"/>
      <c r="AE35" s="1073"/>
      <c r="AF35" s="344"/>
      <c r="AG35" s="567"/>
      <c r="AH35" s="408"/>
      <c r="AI35" s="253"/>
      <c r="AJ35" s="253"/>
      <c r="AK35" s="253"/>
      <c r="AL35" s="379"/>
      <c r="AM35" s="3597"/>
      <c r="AO35" s="3597"/>
    </row>
    <row r="36" spans="1:42" ht="12" customHeight="1">
      <c r="A36" s="139"/>
      <c r="B36" s="2755"/>
      <c r="C36" s="3611"/>
      <c r="D36" s="3611"/>
      <c r="E36" s="3611"/>
      <c r="F36" s="9574"/>
      <c r="G36" s="9574"/>
      <c r="H36" s="9574"/>
      <c r="I36" s="2755"/>
      <c r="J36" s="2753"/>
      <c r="K36" s="9549"/>
      <c r="L36" s="9550"/>
      <c r="M36" s="9551"/>
      <c r="N36" s="9549"/>
      <c r="O36" s="9550"/>
      <c r="P36" s="9550"/>
      <c r="Q36" s="9550"/>
      <c r="R36" s="9550"/>
      <c r="S36" s="9551"/>
      <c r="T36" s="9577" t="str">
        <f>"incurred and paid in "&amp;TaxYear&amp;" for"</f>
        <v>incurred and paid in 2025 for</v>
      </c>
      <c r="U36" s="9578"/>
      <c r="V36" s="9578"/>
      <c r="W36" s="9578"/>
      <c r="X36" s="3540"/>
      <c r="Y36" s="3540"/>
      <c r="Z36" s="3540"/>
      <c r="AE36" s="1073" t="s">
        <v>6250</v>
      </c>
      <c r="AF36" s="344"/>
      <c r="AG36" s="567"/>
      <c r="AH36" s="9538" t="s">
        <v>799</v>
      </c>
      <c r="AI36" s="9539">
        <f>SchSE_Clergy_CEI_You</f>
        <v>0</v>
      </c>
      <c r="AJ36" s="9540" t="s">
        <v>3118</v>
      </c>
      <c r="AK36" s="9539">
        <f>SchSE_Clergy_CEI_Sp</f>
        <v>0</v>
      </c>
      <c r="AL36" s="9579" t="s">
        <v>800</v>
      </c>
      <c r="AM36" s="817" t="s">
        <v>771</v>
      </c>
      <c r="AN36" s="9580"/>
      <c r="AO36" s="817" t="s">
        <v>771</v>
      </c>
    </row>
    <row r="37" spans="1:42" ht="10.5" customHeight="1" thickBot="1">
      <c r="A37" s="139"/>
      <c r="B37" s="3565"/>
      <c r="C37" s="3579" t="s">
        <v>3124</v>
      </c>
      <c r="D37" s="3579"/>
      <c r="E37" s="3579"/>
      <c r="F37" s="3579"/>
      <c r="G37" s="3565"/>
      <c r="H37" s="3613" t="s">
        <v>3125</v>
      </c>
      <c r="I37" s="3565"/>
      <c r="J37" s="3582"/>
      <c r="K37" s="9552"/>
      <c r="L37" s="9553"/>
      <c r="M37" s="9554"/>
      <c r="N37" s="9552"/>
      <c r="O37" s="9553"/>
      <c r="P37" s="9553"/>
      <c r="Q37" s="9553"/>
      <c r="R37" s="9553"/>
      <c r="S37" s="9554"/>
      <c r="T37" s="9558" t="s">
        <v>3126</v>
      </c>
      <c r="U37" s="9559"/>
      <c r="V37" s="9559"/>
      <c r="W37" s="9559"/>
      <c r="X37" s="3540"/>
      <c r="Y37" s="3540"/>
      <c r="Z37" s="3540"/>
      <c r="AE37" s="5457" t="s">
        <v>6244</v>
      </c>
      <c r="AF37" s="253"/>
      <c r="AG37" s="409"/>
      <c r="AH37" s="9538"/>
      <c r="AI37" s="9539"/>
      <c r="AJ37" s="9540"/>
      <c r="AK37" s="9539"/>
      <c r="AL37" s="9579"/>
      <c r="AM37" s="2005" t="s">
        <v>6230</v>
      </c>
      <c r="AN37" s="9580"/>
      <c r="AO37" s="2005" t="s">
        <v>6231</v>
      </c>
    </row>
    <row r="38" spans="1:42" ht="24" customHeight="1" thickBot="1">
      <c r="A38" s="139"/>
      <c r="B38" s="9732"/>
      <c r="C38" s="9732"/>
      <c r="D38" s="9732"/>
      <c r="E38" s="9732"/>
      <c r="F38" s="9732"/>
      <c r="G38" s="9733"/>
      <c r="H38" s="9734"/>
      <c r="I38" s="9734"/>
      <c r="J38" s="9735"/>
      <c r="K38" s="9747"/>
      <c r="L38" s="9748"/>
      <c r="M38" s="9749"/>
      <c r="N38" s="1446"/>
      <c r="O38" s="1446"/>
      <c r="P38" s="1448"/>
      <c r="Q38" s="1446"/>
      <c r="R38" s="1446"/>
      <c r="S38" s="1447"/>
      <c r="T38" s="9547"/>
      <c r="U38" s="9548"/>
      <c r="V38" s="9548"/>
      <c r="W38" s="9548"/>
      <c r="X38" s="3540">
        <f>IF(T38&lt;&gt;"",1,0)</f>
        <v>0</v>
      </c>
      <c r="Y38" s="3540"/>
      <c r="Z38" s="3540"/>
      <c r="AA38" s="502"/>
      <c r="AE38" s="980" t="s">
        <v>6245</v>
      </c>
      <c r="AF38" s="380"/>
      <c r="AG38" s="1658" t="s">
        <v>6246</v>
      </c>
      <c r="AH38" s="6395"/>
      <c r="AI38" s="6396">
        <f>IF(AM38&lt;&gt;"",ROUND(AM38,0),SUM(AI30,-AI33,-AI36))</f>
        <v>0</v>
      </c>
      <c r="AJ38" s="380"/>
      <c r="AK38" s="6396">
        <f>IF(AO38&lt;&gt;"",ROUND(AO38,0),SUM(AK30,-AK33,-AK36))</f>
        <v>0</v>
      </c>
      <c r="AL38" s="381"/>
      <c r="AM38" s="6387"/>
      <c r="AN38" s="3538"/>
      <c r="AO38" s="1470"/>
    </row>
    <row r="39" spans="1:42" ht="24" customHeight="1">
      <c r="A39" s="139"/>
      <c r="B39" s="9732"/>
      <c r="C39" s="9732"/>
      <c r="D39" s="9732"/>
      <c r="E39" s="9732"/>
      <c r="F39" s="9732"/>
      <c r="G39" s="9733"/>
      <c r="H39" s="9734"/>
      <c r="I39" s="9734"/>
      <c r="J39" s="9735"/>
      <c r="K39" s="9747"/>
      <c r="L39" s="9748"/>
      <c r="M39" s="9749"/>
      <c r="N39" s="1446"/>
      <c r="O39" s="1446"/>
      <c r="P39" s="1448"/>
      <c r="Q39" s="1446"/>
      <c r="R39" s="1446"/>
      <c r="S39" s="1447"/>
      <c r="T39" s="9547"/>
      <c r="U39" s="9548"/>
      <c r="V39" s="9548"/>
      <c r="W39" s="9548"/>
      <c r="X39" s="3540">
        <f>IF(T39&lt;&gt;"",1,0)</f>
        <v>0</v>
      </c>
      <c r="Y39" s="1304">
        <f>SUM(X38:X40,X156:X166)</f>
        <v>0</v>
      </c>
      <c r="Z39" s="3540"/>
      <c r="AA39" s="3615" t="s">
        <v>3127</v>
      </c>
      <c r="AE39" s="5607" t="s">
        <v>3128</v>
      </c>
      <c r="AF39" s="377"/>
      <c r="AG39" s="4220"/>
      <c r="AH39" s="3816"/>
      <c r="AI39" s="6397">
        <f>SUM(SchSE_Line3_You1,SchSE_Line3_You2)</f>
        <v>0</v>
      </c>
      <c r="AJ39" s="377"/>
      <c r="AK39" s="6397">
        <f>SUM(SchSE_Line3_Sp1,SchSE_Line3_Sp2)</f>
        <v>0</v>
      </c>
      <c r="AL39" s="378"/>
      <c r="AM39" s="3597"/>
      <c r="AO39" s="3597"/>
    </row>
    <row r="40" spans="1:42" ht="24" customHeight="1">
      <c r="A40" s="139"/>
      <c r="B40" s="9732"/>
      <c r="C40" s="9732"/>
      <c r="D40" s="9732"/>
      <c r="E40" s="9732"/>
      <c r="F40" s="9732"/>
      <c r="G40" s="9733"/>
      <c r="H40" s="9734"/>
      <c r="I40" s="9734"/>
      <c r="J40" s="9735"/>
      <c r="K40" s="9747"/>
      <c r="L40" s="9748"/>
      <c r="M40" s="9749"/>
      <c r="N40" s="1446"/>
      <c r="O40" s="1446"/>
      <c r="P40" s="1448"/>
      <c r="Q40" s="1446"/>
      <c r="R40" s="1446"/>
      <c r="S40" s="1447"/>
      <c r="T40" s="9547"/>
      <c r="U40" s="9548"/>
      <c r="V40" s="9548"/>
      <c r="W40" s="9548"/>
      <c r="X40" s="3540">
        <f>IF(T40&lt;&gt;"",1,0)</f>
        <v>0</v>
      </c>
      <c r="Y40" s="3540"/>
      <c r="Z40" s="3616" t="s">
        <v>3129</v>
      </c>
      <c r="AA40" s="3615"/>
      <c r="AE40" s="1073" t="s">
        <v>6251</v>
      </c>
      <c r="AF40" s="253"/>
      <c r="AG40" s="409"/>
      <c r="AH40" s="3781" t="s">
        <v>799</v>
      </c>
      <c r="AI40" s="3601">
        <f>SchSE_Deduction_You</f>
        <v>0</v>
      </c>
      <c r="AJ40" s="350" t="s">
        <v>3118</v>
      </c>
      <c r="AK40" s="3601">
        <f>SchSE_Deduction_Sp</f>
        <v>0</v>
      </c>
      <c r="AL40" s="6388" t="s">
        <v>800</v>
      </c>
      <c r="AM40" s="3597"/>
      <c r="AN40" s="3608"/>
      <c r="AO40" s="3597"/>
    </row>
    <row r="41" spans="1:42" ht="15.75" thickBot="1">
      <c r="A41" s="139"/>
      <c r="B41" s="3617">
        <v>3</v>
      </c>
      <c r="C41" s="3592" t="s">
        <v>5171</v>
      </c>
      <c r="D41" s="3592"/>
      <c r="E41" s="3592"/>
      <c r="F41" s="3592"/>
      <c r="G41" s="2755"/>
      <c r="H41" s="2755"/>
      <c r="I41" s="2755"/>
      <c r="J41" s="2984" t="s">
        <v>3130</v>
      </c>
      <c r="K41" s="3592" t="str">
        <f>"enter more than "&amp;TEXT(AB41,"$0,000")&amp;" for one qualifying person"</f>
        <v>enter more than $3,000 for one qualifying person</v>
      </c>
      <c r="L41" s="2755"/>
      <c r="M41" s="2755"/>
      <c r="N41" s="3065"/>
      <c r="O41" s="3065"/>
      <c r="P41" s="3065"/>
      <c r="Q41" s="3065"/>
      <c r="R41" s="3065"/>
      <c r="S41" s="3065"/>
      <c r="T41" s="3065"/>
      <c r="U41" s="3618"/>
      <c r="V41" s="9714">
        <f>ROUND(SUM(T38:W40,T156:W166),0)</f>
        <v>0</v>
      </c>
      <c r="W41" s="9715"/>
      <c r="X41" s="3540">
        <f>SUM(X38:X40,X156:X166)</f>
        <v>0</v>
      </c>
      <c r="Y41" s="3540"/>
      <c r="Z41" s="3540"/>
      <c r="AA41" s="185" t="s">
        <v>771</v>
      </c>
      <c r="AB41" s="1305">
        <v>3000</v>
      </c>
      <c r="AE41" s="6392" t="s">
        <v>6252</v>
      </c>
      <c r="AF41" s="253"/>
      <c r="AG41" s="409"/>
      <c r="AH41" s="408"/>
      <c r="AI41" s="851">
        <f>MAX(0,SUM(AI39,-AI40))</f>
        <v>0</v>
      </c>
      <c r="AJ41" s="253"/>
      <c r="AK41" s="851">
        <f>MAX(0,SUM(AK39,-AK40))</f>
        <v>0</v>
      </c>
      <c r="AL41" s="379"/>
      <c r="AM41" s="3597"/>
      <c r="AO41" s="3597"/>
    </row>
    <row r="42" spans="1:42" ht="15.75" thickBot="1">
      <c r="A42" s="139"/>
      <c r="B42" s="3619"/>
      <c r="C42" s="3571" t="str">
        <f>"or "&amp;TEXT(AB42,"$0,000")&amp;" for two or more persons.  If you completed Part III, enter the amount from line 31"</f>
        <v>or $6,000 for two or more persons.  If you completed Part III, enter the amount from line 31</v>
      </c>
      <c r="D42" s="3592"/>
      <c r="E42" s="3592"/>
      <c r="F42" s="3592"/>
      <c r="G42" s="2755"/>
      <c r="H42" s="2755"/>
      <c r="I42" s="2755"/>
      <c r="J42" s="2755"/>
      <c r="K42" s="2755"/>
      <c r="L42" s="2755"/>
      <c r="M42" s="2755"/>
      <c r="N42" s="2755"/>
      <c r="O42" s="2755"/>
      <c r="P42" s="2755"/>
      <c r="Q42" s="2768"/>
      <c r="R42" s="3065"/>
      <c r="S42" s="2755"/>
      <c r="T42" s="3620" t="s">
        <v>708</v>
      </c>
      <c r="U42" s="3621">
        <f>B41</f>
        <v>3</v>
      </c>
      <c r="V42" s="9682" t="str">
        <f>IF(AA42&lt;&gt;"",ROUND(AA42,0),IF(OR(AB19,K28&lt;&gt;""),"",IF(AND(M25&lt;&gt;"",M27=""),MIN(V41,AB43),V115)))</f>
        <v/>
      </c>
      <c r="W42" s="9683"/>
      <c r="X42" s="3540"/>
      <c r="Y42" s="3540"/>
      <c r="Z42" s="3540"/>
      <c r="AA42" s="438"/>
      <c r="AB42" s="1305">
        <v>6000</v>
      </c>
      <c r="AE42" s="6389" t="s">
        <v>6229</v>
      </c>
      <c r="AF42" s="2375"/>
      <c r="AG42" s="6382"/>
      <c r="AH42" s="6384"/>
      <c r="AI42" s="2375"/>
      <c r="AJ42" s="2375"/>
      <c r="AK42" s="2375"/>
      <c r="AL42" s="6390"/>
      <c r="AM42" s="3597"/>
      <c r="AO42" s="3597"/>
    </row>
    <row r="43" spans="1:42" ht="15.75" customHeight="1" thickBot="1">
      <c r="A43" s="139"/>
      <c r="B43" s="3617">
        <v>4</v>
      </c>
      <c r="C43" s="3592" t="s">
        <v>3131</v>
      </c>
      <c r="D43" s="3592"/>
      <c r="E43" s="3592"/>
      <c r="F43" s="3592"/>
      <c r="G43" s="2755"/>
      <c r="H43" s="2755"/>
      <c r="I43" s="2755"/>
      <c r="J43" s="2755"/>
      <c r="K43" s="2755"/>
      <c r="L43" s="2755"/>
      <c r="M43" s="2755"/>
      <c r="N43" s="2755"/>
      <c r="O43" s="2755"/>
      <c r="P43" s="2755"/>
      <c r="Q43" s="2768" t="s">
        <v>650</v>
      </c>
      <c r="R43" s="3065"/>
      <c r="S43" s="2755"/>
      <c r="T43" s="3576" t="s">
        <v>650</v>
      </c>
      <c r="U43" s="3621">
        <f>B43</f>
        <v>4</v>
      </c>
      <c r="V43" s="9682" t="str">
        <f>IF(AA43&lt;&gt;"",ROUND(AA43,0),IF(OR(AB19,AND(M25="",M27="")),"",AI77))</f>
        <v/>
      </c>
      <c r="W43" s="9683"/>
      <c r="X43" s="3540"/>
      <c r="Y43" s="3540"/>
      <c r="Z43" s="3540"/>
      <c r="AA43" s="438"/>
      <c r="AB43" s="1305">
        <f>IF(Y39&gt;1,AB42,AB41)</f>
        <v>3000</v>
      </c>
      <c r="AE43" s="1073" t="s">
        <v>6242</v>
      </c>
      <c r="AF43" s="253"/>
      <c r="AG43" s="409"/>
      <c r="AH43" s="408"/>
      <c r="AI43" s="4355">
        <f>SchSE_Lines_3_4b_You</f>
        <v>0</v>
      </c>
      <c r="AJ43" s="253"/>
      <c r="AK43" s="3601">
        <f>SchSE_Lines_3_4b_Sp</f>
        <v>0</v>
      </c>
      <c r="AL43" s="379"/>
      <c r="AM43" s="3597"/>
      <c r="AO43" s="3597"/>
    </row>
    <row r="44" spans="1:42" ht="15" customHeight="1" thickBot="1">
      <c r="A44" s="139"/>
      <c r="B44" s="3617">
        <v>5</v>
      </c>
      <c r="C44" s="3592" t="s">
        <v>3132</v>
      </c>
      <c r="D44" s="3592"/>
      <c r="E44" s="3592"/>
      <c r="F44" s="3592"/>
      <c r="G44" s="2755"/>
      <c r="H44" s="2755"/>
      <c r="I44" s="2755"/>
      <c r="J44" s="2755"/>
      <c r="K44" s="2755"/>
      <c r="L44" s="2755"/>
      <c r="M44" s="2755"/>
      <c r="N44" s="2755"/>
      <c r="O44" s="2755"/>
      <c r="P44" s="2755"/>
      <c r="Q44" s="2755"/>
      <c r="R44" s="3065"/>
      <c r="S44" s="2755"/>
      <c r="T44" s="2755"/>
      <c r="U44" s="3622"/>
      <c r="V44" s="3623"/>
      <c r="W44" s="3624"/>
      <c r="X44" s="3540"/>
      <c r="Y44" s="3540"/>
      <c r="Z44" s="3540"/>
      <c r="AA44" s="3597"/>
      <c r="AE44" s="1073" t="s">
        <v>6243</v>
      </c>
      <c r="AF44" s="253"/>
      <c r="AG44" s="409"/>
      <c r="AH44" s="3781" t="s">
        <v>799</v>
      </c>
      <c r="AI44" s="3601">
        <f>SchSE_Deduction_You</f>
        <v>0</v>
      </c>
      <c r="AJ44" s="350" t="s">
        <v>3118</v>
      </c>
      <c r="AK44" s="3601">
        <f>SchSE_Deduction_Sp</f>
        <v>0</v>
      </c>
      <c r="AL44" s="6388" t="s">
        <v>800</v>
      </c>
      <c r="AM44" s="3597"/>
      <c r="AO44" s="3597"/>
    </row>
    <row r="45" spans="1:42" ht="14.25" customHeight="1" thickBot="1">
      <c r="A45" s="139"/>
      <c r="B45" s="3619"/>
      <c r="C45" s="3571" t="s">
        <v>3133</v>
      </c>
      <c r="D45" s="3625"/>
      <c r="E45" s="3625"/>
      <c r="F45" s="3625"/>
      <c r="G45" s="2755"/>
      <c r="H45" s="2755"/>
      <c r="I45" s="2755"/>
      <c r="J45" s="2755"/>
      <c r="K45" s="2755"/>
      <c r="L45" s="2755"/>
      <c r="M45" s="2755"/>
      <c r="N45" s="2755"/>
      <c r="O45" s="2755"/>
      <c r="P45" s="2755"/>
      <c r="Q45" s="2768"/>
      <c r="R45" s="3065"/>
      <c r="S45" s="2755"/>
      <c r="T45" s="2768" t="s">
        <v>601</v>
      </c>
      <c r="U45" s="3621">
        <f>B44</f>
        <v>5</v>
      </c>
      <c r="V45" s="9682" t="str">
        <f>IF(AA45&lt;&gt;"",ROUND(AA45,0),IF(K28&lt;&gt;"","",IF(File_Marr_Joint&lt;&gt;"",AK77,"")))</f>
        <v/>
      </c>
      <c r="W45" s="9683"/>
      <c r="X45" s="3540"/>
      <c r="Y45" s="3540"/>
      <c r="Z45" s="3540"/>
      <c r="AA45" s="438"/>
      <c r="AE45" s="6392" t="s">
        <v>6252</v>
      </c>
      <c r="AF45" s="6380"/>
      <c r="AG45" s="6381"/>
      <c r="AH45" s="6385"/>
      <c r="AI45" s="6383">
        <f>MAX(0,SUM(AI43,-AI44))</f>
        <v>0</v>
      </c>
      <c r="AJ45" s="6380"/>
      <c r="AK45" s="6383">
        <f>MAX(0,SUM(AK43,-AK44))</f>
        <v>0</v>
      </c>
      <c r="AL45" s="6391"/>
      <c r="AM45" s="3597"/>
      <c r="AO45" s="3597"/>
    </row>
    <row r="46" spans="1:42" ht="14.25" customHeight="1" thickBot="1">
      <c r="A46" s="139"/>
      <c r="B46" s="3617">
        <v>6</v>
      </c>
      <c r="C46" s="3626" t="s">
        <v>3134</v>
      </c>
      <c r="D46" s="3627"/>
      <c r="E46" s="3627"/>
      <c r="F46" s="3627"/>
      <c r="G46" s="2755"/>
      <c r="H46" s="2755"/>
      <c r="I46" s="2755"/>
      <c r="J46" s="2755"/>
      <c r="K46" s="2755"/>
      <c r="L46" s="2755"/>
      <c r="M46" s="2755"/>
      <c r="N46" s="2755"/>
      <c r="O46" s="2755"/>
      <c r="P46" s="2755"/>
      <c r="Q46" s="2768"/>
      <c r="R46" s="3065"/>
      <c r="S46" s="2755"/>
      <c r="T46" s="3576" t="s">
        <v>590</v>
      </c>
      <c r="U46" s="3621">
        <f>B46</f>
        <v>6</v>
      </c>
      <c r="V46" s="9682" t="str">
        <f>IF(AA46&lt;&gt;"",ROUND(AA46,0),IF(OR(AB19,K28&lt;&gt;""),"",MAX(0,MIN(V42,V43,V45))))</f>
        <v/>
      </c>
      <c r="W46" s="9683"/>
      <c r="X46" s="3540"/>
      <c r="Y46" s="3540"/>
      <c r="Z46" s="3540"/>
      <c r="AA46" s="438"/>
      <c r="AE46" s="1073" t="s">
        <v>6228</v>
      </c>
      <c r="AF46" s="253"/>
      <c r="AG46" s="409"/>
      <c r="AH46" s="408"/>
      <c r="AI46" s="3601">
        <f>SchSE_Lines_3_4b_5a_You</f>
        <v>0</v>
      </c>
      <c r="AJ46" s="253"/>
      <c r="AK46" s="3601">
        <f>SchSE_Lines_3_4b_5a_Sp</f>
        <v>0</v>
      </c>
      <c r="AL46" s="379"/>
      <c r="AM46" s="3597"/>
      <c r="AO46" s="3597"/>
    </row>
    <row r="47" spans="1:42" ht="19.5" customHeight="1" thickBot="1">
      <c r="A47" s="139"/>
      <c r="B47" s="3617">
        <v>7</v>
      </c>
      <c r="C47" s="3592" t="s">
        <v>6226</v>
      </c>
      <c r="D47" s="2755"/>
      <c r="E47" s="2755"/>
      <c r="F47" s="2755"/>
      <c r="G47" s="2755"/>
      <c r="H47" s="2755"/>
      <c r="I47" s="2755"/>
      <c r="J47" s="2755"/>
      <c r="K47" s="2755"/>
      <c r="L47" s="2768"/>
      <c r="M47" s="3621">
        <f>B47</f>
        <v>7</v>
      </c>
      <c r="N47" s="9682" t="str">
        <f>IF(AA47&lt;&gt;"",ROUND(AA47,0),IF(OR(AB19,AND(M25="",M27="")),"",Adj_Gross_Inc))</f>
        <v/>
      </c>
      <c r="O47" s="9683"/>
      <c r="P47" s="9683"/>
      <c r="Q47" s="9683"/>
      <c r="R47" s="9683"/>
      <c r="S47" s="9683"/>
      <c r="T47" s="9700"/>
      <c r="U47" s="3628"/>
      <c r="V47" s="3629"/>
      <c r="W47" s="2756"/>
      <c r="X47" s="3540"/>
      <c r="Y47" s="3540"/>
      <c r="Z47" s="3540"/>
      <c r="AA47" s="438"/>
      <c r="AE47" s="1073" t="s">
        <v>6240</v>
      </c>
      <c r="AF47" s="253"/>
      <c r="AG47" s="409"/>
      <c r="AH47" s="3781" t="s">
        <v>799</v>
      </c>
      <c r="AI47" s="3601">
        <f>SchSE_Deduction_You</f>
        <v>0</v>
      </c>
      <c r="AJ47" s="350" t="s">
        <v>3118</v>
      </c>
      <c r="AK47" s="3601">
        <f>SchSE_Deduction_Sp</f>
        <v>0</v>
      </c>
      <c r="AL47" s="6388" t="s">
        <v>800</v>
      </c>
      <c r="AM47" s="817" t="s">
        <v>771</v>
      </c>
      <c r="AO47" s="817" t="s">
        <v>771</v>
      </c>
      <c r="AP47" s="141"/>
    </row>
    <row r="48" spans="1:42" ht="14.25" customHeight="1" thickBot="1">
      <c r="A48" s="139"/>
      <c r="B48" s="3617">
        <v>8</v>
      </c>
      <c r="C48" s="3098" t="s">
        <v>3135</v>
      </c>
      <c r="D48" s="2755"/>
      <c r="E48" s="2755"/>
      <c r="F48" s="2755"/>
      <c r="G48" s="2755"/>
      <c r="H48" s="2755"/>
      <c r="I48" s="2755"/>
      <c r="J48" s="2755"/>
      <c r="K48" s="2755"/>
      <c r="L48" s="2755"/>
      <c r="M48" s="2755"/>
      <c r="N48" s="2755"/>
      <c r="O48" s="2755"/>
      <c r="P48" s="2755"/>
      <c r="Q48" s="2755"/>
      <c r="R48" s="2755"/>
      <c r="S48" s="2755"/>
      <c r="T48" s="2755"/>
      <c r="U48" s="3628"/>
      <c r="V48" s="9716">
        <f>IF('Sch. SE'!AJ7,SUM('Sch. SE'!X21,-SE_Deduct),0)</f>
        <v>0</v>
      </c>
      <c r="W48" s="9717"/>
      <c r="X48" s="3540"/>
      <c r="Y48" s="3540"/>
      <c r="Z48" s="3540"/>
      <c r="AA48" s="3597"/>
      <c r="AB48" s="1305">
        <v>125000</v>
      </c>
      <c r="AE48" s="6392" t="s">
        <v>6241</v>
      </c>
      <c r="AF48" s="6380"/>
      <c r="AG48" s="6381"/>
      <c r="AH48" s="408"/>
      <c r="AI48" s="851">
        <f>MAX(0,SUM(AI46,-AI47))</f>
        <v>0</v>
      </c>
      <c r="AJ48" s="253"/>
      <c r="AK48" s="851">
        <f>MAX(0,SUM(AK46,-AK47))</f>
        <v>0</v>
      </c>
      <c r="AL48" s="379"/>
      <c r="AM48" s="817" t="s">
        <v>6232</v>
      </c>
      <c r="AO48" s="817" t="s">
        <v>6233</v>
      </c>
    </row>
    <row r="49" spans="1:43" ht="18" customHeight="1" thickBot="1">
      <c r="A49" s="139"/>
      <c r="B49" s="3632"/>
      <c r="C49" s="3097" t="s">
        <v>3136</v>
      </c>
      <c r="D49" s="2755"/>
      <c r="E49" s="2755"/>
      <c r="F49" s="2755"/>
      <c r="G49" s="2755"/>
      <c r="H49" s="3097" t="s">
        <v>3136</v>
      </c>
      <c r="I49" s="2755"/>
      <c r="J49" s="2755"/>
      <c r="K49" s="2755"/>
      <c r="L49" s="3097" t="s">
        <v>3136</v>
      </c>
      <c r="M49" s="2755"/>
      <c r="N49" s="2755"/>
      <c r="O49" s="2755"/>
      <c r="P49" s="2755"/>
      <c r="Q49" s="2755"/>
      <c r="R49" s="2755"/>
      <c r="S49" s="2755"/>
      <c r="T49" s="2755"/>
      <c r="U49" s="3628"/>
      <c r="V49" s="3630"/>
      <c r="W49" s="3631"/>
      <c r="X49" s="3540"/>
      <c r="Y49" s="3540"/>
      <c r="Z49" s="3540"/>
      <c r="AA49" s="3597"/>
      <c r="AB49" s="1305"/>
      <c r="AD49" s="141"/>
      <c r="AE49" s="6392"/>
      <c r="AF49" s="380"/>
      <c r="AG49" s="1658" t="s">
        <v>6247</v>
      </c>
      <c r="AH49" s="6398"/>
      <c r="AI49" s="6399">
        <f>IF(AM49&lt;&gt;"",ROUND(AM49,0),SUM(AI41,AI45,AI48))</f>
        <v>0</v>
      </c>
      <c r="AJ49" s="6400"/>
      <c r="AK49" s="6399">
        <f>IF(AO49&lt;&gt;"",ROUND(AO49,0),SUM(AK41,AK45,AK48))</f>
        <v>0</v>
      </c>
      <c r="AL49" s="6401"/>
      <c r="AM49" s="6387"/>
      <c r="AO49" s="1470"/>
    </row>
    <row r="50" spans="1:43" ht="14.25" customHeight="1">
      <c r="A50" s="139"/>
      <c r="B50" s="3632"/>
      <c r="C50" s="2755"/>
      <c r="D50" s="2755"/>
      <c r="E50" s="2755"/>
      <c r="F50" s="3097" t="s">
        <v>3137</v>
      </c>
      <c r="G50" s="9720" t="s">
        <v>3138</v>
      </c>
      <c r="H50" s="2755"/>
      <c r="I50" s="2755"/>
      <c r="J50" s="3097" t="s">
        <v>3137</v>
      </c>
      <c r="K50" s="9720" t="s">
        <v>3138</v>
      </c>
      <c r="L50" s="9722" t="s">
        <v>3139</v>
      </c>
      <c r="M50" s="2755"/>
      <c r="N50" s="3097" t="s">
        <v>3137</v>
      </c>
      <c r="O50" s="2755"/>
      <c r="P50" s="3097" t="s">
        <v>3140</v>
      </c>
      <c r="Q50" s="2755"/>
      <c r="R50" s="2755"/>
      <c r="S50" s="2755"/>
      <c r="T50" s="2755"/>
      <c r="U50" s="3628"/>
      <c r="V50" s="3630"/>
      <c r="W50" s="3631"/>
      <c r="X50" s="3540"/>
      <c r="Y50" s="3540"/>
      <c r="Z50" s="3540"/>
      <c r="AA50" s="3597"/>
      <c r="AB50" s="1305"/>
      <c r="AE50" s="5609" t="s">
        <v>3141</v>
      </c>
      <c r="AF50" s="377"/>
      <c r="AG50" s="4220"/>
      <c r="AH50" s="3816"/>
      <c r="AI50" s="5608"/>
      <c r="AJ50" s="377"/>
      <c r="AK50" s="5608"/>
      <c r="AL50" s="378"/>
      <c r="AM50" s="817" t="s">
        <v>771</v>
      </c>
      <c r="AO50" s="817" t="s">
        <v>771</v>
      </c>
    </row>
    <row r="51" spans="1:43" ht="14.25" customHeight="1" thickBot="1">
      <c r="A51" s="139"/>
      <c r="B51" s="3632"/>
      <c r="C51" s="9719" t="s">
        <v>3139</v>
      </c>
      <c r="D51" s="9719"/>
      <c r="E51" s="3565"/>
      <c r="F51" s="3108" t="s">
        <v>3142</v>
      </c>
      <c r="G51" s="9721"/>
      <c r="H51" s="9719" t="s">
        <v>3139</v>
      </c>
      <c r="I51" s="9719"/>
      <c r="J51" s="3108" t="s">
        <v>3142</v>
      </c>
      <c r="K51" s="9721"/>
      <c r="L51" s="9723"/>
      <c r="M51" s="3565"/>
      <c r="N51" s="3108" t="s">
        <v>3142</v>
      </c>
      <c r="O51" s="3565"/>
      <c r="P51" s="3108" t="s">
        <v>3143</v>
      </c>
      <c r="Q51" s="3565"/>
      <c r="R51" s="3565"/>
      <c r="S51" s="3565"/>
      <c r="T51" s="2755"/>
      <c r="U51" s="3628"/>
      <c r="V51" s="3630"/>
      <c r="W51" s="3631"/>
      <c r="X51" s="3540"/>
      <c r="Y51" s="3540"/>
      <c r="Z51" s="3540"/>
      <c r="AA51" s="3597"/>
      <c r="AB51" s="1305"/>
      <c r="AE51" s="1073" t="s">
        <v>3144</v>
      </c>
      <c r="AF51" s="253"/>
      <c r="AG51" s="409"/>
      <c r="AH51" s="408"/>
      <c r="AI51" s="253"/>
      <c r="AJ51" s="253"/>
      <c r="AK51" s="253"/>
      <c r="AL51" s="379"/>
      <c r="AM51" s="817" t="s">
        <v>6234</v>
      </c>
      <c r="AO51" s="817" t="s">
        <v>6235</v>
      </c>
    </row>
    <row r="52" spans="1:43" ht="14.25" customHeight="1" thickBot="1">
      <c r="A52" s="139"/>
      <c r="B52" s="3632"/>
      <c r="C52" s="9724">
        <v>0</v>
      </c>
      <c r="D52" s="9724"/>
      <c r="E52" s="3634" t="s">
        <v>3145</v>
      </c>
      <c r="F52" s="3635">
        <v>15000</v>
      </c>
      <c r="G52" s="3636">
        <v>0.35</v>
      </c>
      <c r="H52" s="3637">
        <v>25000</v>
      </c>
      <c r="I52" s="3638" t="s">
        <v>3145</v>
      </c>
      <c r="J52" s="3639">
        <v>27000</v>
      </c>
      <c r="K52" s="3640">
        <v>0.28999999999999998</v>
      </c>
      <c r="L52" s="3637">
        <v>37000</v>
      </c>
      <c r="M52" s="3638" t="s">
        <v>3145</v>
      </c>
      <c r="N52" s="9725">
        <v>39000</v>
      </c>
      <c r="O52" s="9725"/>
      <c r="P52" s="3641">
        <v>0.23</v>
      </c>
      <c r="Q52" s="3642"/>
      <c r="R52" s="3642"/>
      <c r="S52" s="3642"/>
      <c r="T52" s="2755"/>
      <c r="U52" s="3628"/>
      <c r="V52" s="3630"/>
      <c r="W52" s="3631"/>
      <c r="X52" s="3540"/>
      <c r="Y52" s="3540"/>
      <c r="Z52" s="3540"/>
      <c r="AA52" s="185" t="s">
        <v>771</v>
      </c>
      <c r="AB52" s="1305"/>
      <c r="AE52" s="980" t="s">
        <v>3146</v>
      </c>
      <c r="AF52" s="380"/>
      <c r="AG52" s="1658" t="s">
        <v>6248</v>
      </c>
      <c r="AH52" s="6395"/>
      <c r="AI52" s="1194">
        <f>IF(AM52&lt;&gt;"",ROUND(AM52,0),SchC_You_StatEmp_Inc)</f>
        <v>0</v>
      </c>
      <c r="AJ52" s="380"/>
      <c r="AK52" s="1194">
        <f>IF(AO52&lt;&gt;"",ROUND(AO52,0),SchC_Sp_StatEmp_Inc)</f>
        <v>0</v>
      </c>
      <c r="AL52" s="381"/>
      <c r="AM52" s="6387"/>
      <c r="AO52" s="1470"/>
    </row>
    <row r="53" spans="1:43" ht="14.25" customHeight="1" thickBot="1">
      <c r="A53" s="139"/>
      <c r="B53" s="3632"/>
      <c r="C53" s="9729">
        <v>15000</v>
      </c>
      <c r="D53" s="9729"/>
      <c r="E53" s="3634" t="s">
        <v>3145</v>
      </c>
      <c r="F53" s="3635">
        <v>17000</v>
      </c>
      <c r="G53" s="3636">
        <v>0.34</v>
      </c>
      <c r="H53" s="3643">
        <v>27000</v>
      </c>
      <c r="I53" s="3634" t="s">
        <v>3145</v>
      </c>
      <c r="J53" s="3635">
        <v>29000</v>
      </c>
      <c r="K53" s="3636">
        <v>0.28000000000000003</v>
      </c>
      <c r="L53" s="3643">
        <v>39000</v>
      </c>
      <c r="M53" s="3634" t="s">
        <v>3145</v>
      </c>
      <c r="N53" s="9708">
        <v>41000</v>
      </c>
      <c r="O53" s="9708"/>
      <c r="P53" s="3644">
        <v>0.22</v>
      </c>
      <c r="Q53" s="3644"/>
      <c r="R53" s="2755"/>
      <c r="S53" s="2755"/>
      <c r="T53" s="2755"/>
      <c r="U53" s="3621">
        <v>8</v>
      </c>
      <c r="V53" s="3645" t="s">
        <v>3147</v>
      </c>
      <c r="W53" s="3646" t="str">
        <f>IF(AA53&lt;&gt;"",MIN(G52,AA53),IF(OR(N47="",N47=0),"",IF(N47-1&gt;L52,LOOKUP(N47-1,L52:L55,P52:P55),IF(N47-1&gt;H52,LOOKUP(N47-1,H52:H57,K52:K57),LOOKUP(N47-1,C52:D57,G52:G57)))))</f>
        <v/>
      </c>
      <c r="X53" s="3540"/>
      <c r="Y53" s="3540"/>
      <c r="Z53" s="3540"/>
      <c r="AA53" s="756"/>
      <c r="AB53" s="1305"/>
      <c r="AE53" s="5607" t="s">
        <v>3148</v>
      </c>
      <c r="AF53" s="377"/>
      <c r="AG53" s="4220"/>
      <c r="AH53" s="3816"/>
      <c r="AI53" s="377"/>
      <c r="AJ53" s="377"/>
      <c r="AK53" s="377"/>
      <c r="AL53" s="378"/>
      <c r="AM53" s="3597"/>
      <c r="AO53" s="3597"/>
    </row>
    <row r="54" spans="1:43" ht="14.25" customHeight="1">
      <c r="A54" s="139"/>
      <c r="B54" s="3592"/>
      <c r="C54" s="9729">
        <v>17000</v>
      </c>
      <c r="D54" s="9729"/>
      <c r="E54" s="3634" t="s">
        <v>3145</v>
      </c>
      <c r="F54" s="3635">
        <v>19000</v>
      </c>
      <c r="G54" s="3636">
        <v>0.33</v>
      </c>
      <c r="H54" s="3643">
        <v>29000</v>
      </c>
      <c r="I54" s="3634" t="s">
        <v>3145</v>
      </c>
      <c r="J54" s="3635">
        <v>31000</v>
      </c>
      <c r="K54" s="3636">
        <v>0.27</v>
      </c>
      <c r="L54" s="3643">
        <v>41000</v>
      </c>
      <c r="M54" s="3634" t="s">
        <v>3145</v>
      </c>
      <c r="N54" s="9708">
        <v>43000</v>
      </c>
      <c r="O54" s="9708"/>
      <c r="P54" s="3644">
        <v>0.21</v>
      </c>
      <c r="Q54" s="2755"/>
      <c r="R54" s="2755"/>
      <c r="S54" s="2755"/>
      <c r="T54" s="2755"/>
      <c r="U54" s="3628"/>
      <c r="V54" s="3629"/>
      <c r="W54" s="2756"/>
      <c r="X54" s="3540"/>
      <c r="Y54" s="3540"/>
      <c r="Z54" s="3540"/>
      <c r="AA54" s="3597"/>
      <c r="AB54" s="3647">
        <v>0.5</v>
      </c>
      <c r="AE54" s="341" t="s">
        <v>3149</v>
      </c>
      <c r="AF54" s="253"/>
      <c r="AG54" s="409"/>
      <c r="AH54" s="408"/>
      <c r="AI54" s="3601">
        <f>W2_NonTaxCombatPay_You</f>
        <v>0</v>
      </c>
      <c r="AJ54" s="253"/>
      <c r="AK54" s="3601">
        <f>W2_NonTaxCombatPay_Sp</f>
        <v>0</v>
      </c>
      <c r="AL54" s="379"/>
      <c r="AM54" s="3597"/>
      <c r="AO54" s="3597"/>
    </row>
    <row r="55" spans="1:43" ht="14.25" customHeight="1">
      <c r="A55" s="139"/>
      <c r="B55" s="3592"/>
      <c r="C55" s="9729">
        <v>19000</v>
      </c>
      <c r="D55" s="9729"/>
      <c r="E55" s="3634" t="s">
        <v>3145</v>
      </c>
      <c r="F55" s="3635">
        <v>21000</v>
      </c>
      <c r="G55" s="3636">
        <v>0.32</v>
      </c>
      <c r="H55" s="3643">
        <v>31000</v>
      </c>
      <c r="I55" s="3634" t="s">
        <v>3145</v>
      </c>
      <c r="J55" s="3635">
        <v>33000</v>
      </c>
      <c r="K55" s="3636">
        <v>0.26</v>
      </c>
      <c r="L55" s="3643">
        <v>43000</v>
      </c>
      <c r="M55" s="3634" t="s">
        <v>3145</v>
      </c>
      <c r="N55" s="9718" t="s">
        <v>3150</v>
      </c>
      <c r="O55" s="9708"/>
      <c r="P55" s="3644">
        <v>0.2</v>
      </c>
      <c r="Q55" s="2755"/>
      <c r="R55" s="2755"/>
      <c r="S55" s="2755"/>
      <c r="T55" s="2755"/>
      <c r="U55" s="3628"/>
      <c r="V55" s="3629"/>
      <c r="W55" s="2756"/>
      <c r="X55" s="3540"/>
      <c r="Y55" s="3540"/>
      <c r="Z55" s="3540"/>
      <c r="AA55" s="3597"/>
      <c r="AB55" s="1305">
        <v>438000</v>
      </c>
      <c r="AC55" s="329"/>
      <c r="AE55" s="341" t="s">
        <v>3151</v>
      </c>
      <c r="AF55" s="253"/>
      <c r="AG55" s="409"/>
      <c r="AH55" s="408"/>
      <c r="AI55" s="253"/>
      <c r="AJ55" s="253"/>
      <c r="AK55" s="253"/>
      <c r="AL55" s="379"/>
      <c r="AM55" s="3597"/>
      <c r="AO55" s="3597"/>
    </row>
    <row r="56" spans="1:43" ht="14.25" customHeight="1">
      <c r="A56" s="139"/>
      <c r="B56" s="3592"/>
      <c r="C56" s="9729">
        <v>21000</v>
      </c>
      <c r="D56" s="9729"/>
      <c r="E56" s="3634" t="s">
        <v>3145</v>
      </c>
      <c r="F56" s="3635">
        <v>23000</v>
      </c>
      <c r="G56" s="3636">
        <v>0.31</v>
      </c>
      <c r="H56" s="3643">
        <v>33000</v>
      </c>
      <c r="I56" s="3634" t="s">
        <v>3145</v>
      </c>
      <c r="J56" s="3635">
        <v>35000</v>
      </c>
      <c r="K56" s="3636">
        <v>0.25</v>
      </c>
      <c r="L56" s="3643"/>
      <c r="M56" s="3634"/>
      <c r="N56" s="9708"/>
      <c r="O56" s="9708"/>
      <c r="P56" s="3644"/>
      <c r="Q56" s="2755"/>
      <c r="R56" s="2755"/>
      <c r="S56" s="2755"/>
      <c r="T56" s="2755"/>
      <c r="U56" s="3628"/>
      <c r="V56" s="3629"/>
      <c r="W56" s="2756"/>
      <c r="X56" s="3540"/>
      <c r="Y56" s="3540"/>
      <c r="Z56" s="3540"/>
      <c r="AA56" s="3597"/>
      <c r="AB56" s="3648"/>
      <c r="AC56" s="329"/>
      <c r="AE56" s="341" t="s">
        <v>3152</v>
      </c>
      <c r="AF56" s="253"/>
      <c r="AG56" s="409"/>
      <c r="AH56" s="408"/>
      <c r="AI56" s="253"/>
      <c r="AJ56" s="253"/>
      <c r="AK56" s="253"/>
      <c r="AL56" s="379"/>
      <c r="AM56" s="3597"/>
      <c r="AO56" s="3597"/>
    </row>
    <row r="57" spans="1:43" ht="14.25" customHeight="1">
      <c r="A57" s="139"/>
      <c r="B57" s="3592"/>
      <c r="C57" s="9746">
        <v>23000</v>
      </c>
      <c r="D57" s="9746"/>
      <c r="E57" s="3649" t="s">
        <v>3145</v>
      </c>
      <c r="F57" s="3650">
        <v>25000</v>
      </c>
      <c r="G57" s="3651">
        <v>0.3</v>
      </c>
      <c r="H57" s="3652">
        <v>35000</v>
      </c>
      <c r="I57" s="3649" t="s">
        <v>3145</v>
      </c>
      <c r="J57" s="3650">
        <v>37000</v>
      </c>
      <c r="K57" s="3651">
        <v>0.24</v>
      </c>
      <c r="L57" s="3652"/>
      <c r="M57" s="3649"/>
      <c r="N57" s="9701"/>
      <c r="O57" s="9701"/>
      <c r="P57" s="3653"/>
      <c r="Q57" s="3565"/>
      <c r="R57" s="3565"/>
      <c r="S57" s="3565"/>
      <c r="T57" s="2755"/>
      <c r="U57" s="3628"/>
      <c r="V57" s="3629"/>
      <c r="W57" s="2756"/>
      <c r="X57" s="3540"/>
      <c r="Y57" s="3540"/>
      <c r="Z57" s="3540"/>
      <c r="AA57" s="3597"/>
      <c r="AB57" s="3648"/>
      <c r="AC57" s="329"/>
      <c r="AE57" s="6393" t="s">
        <v>3153</v>
      </c>
      <c r="AF57" s="411"/>
      <c r="AG57" s="1450"/>
      <c r="AH57" s="408"/>
      <c r="AI57" s="253"/>
      <c r="AJ57" s="253"/>
      <c r="AK57" s="253"/>
      <c r="AL57" s="379"/>
      <c r="AM57" s="3597"/>
      <c r="AO57" s="3597"/>
    </row>
    <row r="58" spans="1:43" ht="15" customHeight="1">
      <c r="A58" s="139"/>
      <c r="B58" s="3654" t="s">
        <v>407</v>
      </c>
      <c r="C58" s="3600" t="s">
        <v>3154</v>
      </c>
      <c r="D58" s="3592"/>
      <c r="E58" s="3592"/>
      <c r="F58" s="3592"/>
      <c r="G58" s="2755"/>
      <c r="H58" s="2755"/>
      <c r="I58" s="2755"/>
      <c r="J58" s="2755"/>
      <c r="K58" s="2755"/>
      <c r="L58" s="2755"/>
      <c r="M58" s="2755"/>
      <c r="N58" s="2755"/>
      <c r="O58" s="2755"/>
      <c r="P58" s="2755"/>
      <c r="Q58" s="2755"/>
      <c r="R58" s="2755"/>
      <c r="S58" s="2755"/>
      <c r="T58" s="2075" t="s">
        <v>1876</v>
      </c>
      <c r="U58" s="3621" t="s">
        <v>407</v>
      </c>
      <c r="V58" s="9682" t="str">
        <f>IF(OR(AB19,AND(M25="",M27=""),N47=0),"",ROUND(V46*W53,0))</f>
        <v/>
      </c>
      <c r="W58" s="9683"/>
      <c r="X58" s="3540"/>
      <c r="Y58" s="3540"/>
      <c r="Z58" s="3540"/>
      <c r="AA58" s="3597"/>
      <c r="AC58" s="329"/>
      <c r="AE58" s="341" t="s">
        <v>3155</v>
      </c>
      <c r="AF58" s="253"/>
      <c r="AG58" s="409"/>
      <c r="AH58" s="408"/>
      <c r="AI58" s="253"/>
      <c r="AJ58" s="253"/>
      <c r="AK58" s="253"/>
      <c r="AL58" s="379"/>
      <c r="AM58" s="3597"/>
      <c r="AO58" s="3597"/>
    </row>
    <row r="59" spans="1:43" ht="15" customHeight="1" thickBot="1">
      <c r="A59" s="139"/>
      <c r="B59" s="3654" t="s">
        <v>3156</v>
      </c>
      <c r="C59" s="3098" t="str">
        <f>"If you paid "&amp;TaxYear-1&amp;" expenses in "&amp;TaxYear&amp;", complete Worksheet A in the instructions. Enter the amount"</f>
        <v>If you paid 2024 expenses in 2025, complete Worksheet A in the instructions. Enter the amount</v>
      </c>
      <c r="D59" s="3592"/>
      <c r="E59" s="3592"/>
      <c r="F59" s="3592"/>
      <c r="G59" s="2755"/>
      <c r="H59" s="2755"/>
      <c r="I59" s="2755"/>
      <c r="J59" s="2755"/>
      <c r="K59" s="2755"/>
      <c r="L59" s="2755"/>
      <c r="M59" s="2755"/>
      <c r="N59" s="2755"/>
      <c r="O59" s="2755"/>
      <c r="P59" s="2755"/>
      <c r="Q59" s="2755"/>
      <c r="R59" s="2755"/>
      <c r="S59" s="2755"/>
      <c r="T59" s="2755"/>
      <c r="U59" s="3655"/>
      <c r="V59" s="3656"/>
      <c r="W59" s="3657"/>
      <c r="X59" s="3540"/>
      <c r="Y59" s="3540"/>
      <c r="Z59" s="3540"/>
      <c r="AA59" s="3597"/>
      <c r="AC59" s="3658"/>
      <c r="AD59" s="808"/>
      <c r="AE59" s="341" t="s">
        <v>3157</v>
      </c>
      <c r="AF59" s="253"/>
      <c r="AG59" s="409"/>
      <c r="AH59" s="566"/>
      <c r="AI59" s="344"/>
      <c r="AJ59" s="344"/>
      <c r="AK59" s="253"/>
      <c r="AL59" s="379"/>
      <c r="AM59" s="3597"/>
      <c r="AO59" s="3597"/>
    </row>
    <row r="60" spans="1:43" ht="15" customHeight="1" thickBot="1">
      <c r="A60" s="139"/>
      <c r="B60" s="3098"/>
      <c r="C60" s="3098" t="s">
        <v>5032</v>
      </c>
      <c r="D60" s="3592"/>
      <c r="E60" s="3592"/>
      <c r="F60" s="3592"/>
      <c r="G60" s="2755"/>
      <c r="H60" s="2755"/>
      <c r="I60" s="2755"/>
      <c r="J60" s="2755"/>
      <c r="K60" s="2755"/>
      <c r="L60" s="2755"/>
      <c r="M60" s="2754"/>
      <c r="N60" s="2754"/>
      <c r="O60" s="2754"/>
      <c r="P60" s="2754"/>
      <c r="Q60" s="2754"/>
      <c r="R60" s="2755"/>
      <c r="S60" s="2754"/>
      <c r="T60" s="2075" t="s">
        <v>643</v>
      </c>
      <c r="U60" s="3621" t="s">
        <v>409</v>
      </c>
      <c r="V60" s="9682" t="str">
        <f>IF(AA60&lt;&gt;"",ROUND(AA60,0),IF(OR(AB19,AND(M25="",M27="")),"",V223))</f>
        <v/>
      </c>
      <c r="W60" s="9683"/>
      <c r="X60" s="3540"/>
      <c r="Y60" s="3540"/>
      <c r="Z60" s="3540"/>
      <c r="AA60" s="438"/>
      <c r="AC60" s="3658"/>
      <c r="AD60" s="808"/>
      <c r="AE60" s="341" t="s">
        <v>3158</v>
      </c>
      <c r="AF60" s="253"/>
      <c r="AG60" s="409"/>
      <c r="AH60" s="566"/>
      <c r="AI60" s="344"/>
      <c r="AJ60" s="344"/>
      <c r="AK60" s="253"/>
      <c r="AL60" s="379"/>
      <c r="AM60" s="3597"/>
      <c r="AO60" s="3597"/>
    </row>
    <row r="61" spans="1:43" ht="15" customHeight="1" thickBot="1">
      <c r="A61" s="139"/>
      <c r="B61" s="3654" t="s">
        <v>3159</v>
      </c>
      <c r="C61" s="3600" t="s">
        <v>3160</v>
      </c>
      <c r="D61" s="2755"/>
      <c r="E61" s="2755"/>
      <c r="F61" s="2755"/>
      <c r="G61" s="2755"/>
      <c r="H61" s="2755"/>
      <c r="I61" s="2755"/>
      <c r="J61" s="2755"/>
      <c r="K61" s="2755"/>
      <c r="L61" s="2755"/>
      <c r="M61" s="2754"/>
      <c r="N61" s="2754"/>
      <c r="O61" s="2754"/>
      <c r="P61" s="2754"/>
      <c r="Q61" s="2754"/>
      <c r="R61" s="2755"/>
      <c r="S61" s="2754"/>
      <c r="T61" s="2075" t="s">
        <v>617</v>
      </c>
      <c r="U61" s="3621" t="s">
        <v>3161</v>
      </c>
      <c r="V61" s="9682" t="str">
        <f>IF(OR(AB19,AND(M25="",M27="")),"",SUM(V58,V60))</f>
        <v/>
      </c>
      <c r="W61" s="9683"/>
      <c r="X61" s="3540"/>
      <c r="Y61" s="3540"/>
      <c r="Z61" s="3540"/>
      <c r="AA61" s="3597"/>
      <c r="AB61" s="212"/>
      <c r="AC61" s="3658"/>
      <c r="AD61" s="808"/>
      <c r="AE61" s="341" t="s">
        <v>3162</v>
      </c>
      <c r="AF61" s="253"/>
      <c r="AG61" s="409"/>
      <c r="AH61" s="408"/>
      <c r="AI61" s="253"/>
      <c r="AJ61" s="253"/>
      <c r="AK61" s="253"/>
      <c r="AL61" s="379"/>
      <c r="AM61" s="3597"/>
      <c r="AO61" s="3597"/>
    </row>
    <row r="62" spans="1:43" ht="15" customHeight="1" thickBot="1">
      <c r="A62" s="139"/>
      <c r="B62" s="3654">
        <v>10</v>
      </c>
      <c r="C62" s="3626" t="s">
        <v>3163</v>
      </c>
      <c r="D62" s="2755"/>
      <c r="E62" s="2755"/>
      <c r="F62" s="2755"/>
      <c r="G62" s="2755"/>
      <c r="H62" s="2755"/>
      <c r="I62" s="2755"/>
      <c r="J62" s="2755"/>
      <c r="K62" s="2755"/>
      <c r="L62" s="2755"/>
      <c r="M62" s="2755"/>
      <c r="N62" s="3659">
        <v>10</v>
      </c>
      <c r="O62" s="9682" t="str">
        <f>IF(AA62&lt;&gt;"",ROUND(AA62,0),IF(OR(AB19,AND(M25="",M27="")),"",V177))</f>
        <v/>
      </c>
      <c r="P62" s="9683"/>
      <c r="Q62" s="9683"/>
      <c r="R62" s="9683"/>
      <c r="S62" s="9683"/>
      <c r="T62" s="9700"/>
      <c r="U62" s="3628"/>
      <c r="V62" s="3660"/>
      <c r="W62" s="3661"/>
      <c r="X62" s="3540"/>
      <c r="Y62" s="3540"/>
      <c r="Z62" s="3540"/>
      <c r="AA62" s="438"/>
      <c r="AB62" s="212"/>
      <c r="AC62" s="3658"/>
      <c r="AD62" s="808"/>
      <c r="AE62" s="341" t="s">
        <v>3164</v>
      </c>
      <c r="AF62" s="253"/>
      <c r="AG62" s="409"/>
      <c r="AH62" s="408"/>
      <c r="AI62" s="253"/>
      <c r="AJ62" s="253"/>
      <c r="AK62" s="253"/>
      <c r="AL62" s="379"/>
      <c r="AM62" s="3597"/>
      <c r="AO62" s="3597"/>
    </row>
    <row r="63" spans="1:43" ht="16.5" thickBot="1">
      <c r="A63" s="139"/>
      <c r="B63" s="3654">
        <v>11</v>
      </c>
      <c r="C63" s="3662" t="s">
        <v>5033</v>
      </c>
      <c r="D63" s="3097"/>
      <c r="E63" s="3097"/>
      <c r="F63" s="3097"/>
      <c r="G63" s="2755"/>
      <c r="H63" s="2755"/>
      <c r="I63" s="2755"/>
      <c r="J63" s="2755"/>
      <c r="K63" s="3592"/>
      <c r="L63" s="3592"/>
      <c r="M63" s="2755"/>
      <c r="N63" s="2755"/>
      <c r="O63" s="2755"/>
      <c r="P63" s="2755"/>
      <c r="Q63" s="2755"/>
      <c r="R63" s="2755"/>
      <c r="S63" s="2755"/>
      <c r="T63" s="3663"/>
      <c r="U63" s="3664"/>
      <c r="V63" s="3665"/>
      <c r="W63" s="3666"/>
      <c r="X63" s="3540"/>
      <c r="Y63" s="3540"/>
      <c r="Z63" s="3540"/>
      <c r="AA63" s="3597"/>
      <c r="AC63" s="3658"/>
      <c r="AD63" s="808"/>
      <c r="AE63" s="6393" t="s">
        <v>3165</v>
      </c>
      <c r="AF63" s="253"/>
      <c r="AG63" s="409"/>
      <c r="AH63" s="566"/>
      <c r="AI63" s="990">
        <f>ROUND(AI61,0)</f>
        <v>0</v>
      </c>
      <c r="AJ63" s="512"/>
      <c r="AK63" s="990">
        <f>ROUND(AK61,0)</f>
        <v>0</v>
      </c>
      <c r="AL63" s="379"/>
      <c r="AM63" s="817" t="s">
        <v>771</v>
      </c>
      <c r="AO63" s="817" t="s">
        <v>771</v>
      </c>
    </row>
    <row r="64" spans="1:43" ht="16.5" thickBot="1">
      <c r="A64" s="139"/>
      <c r="B64" s="3667"/>
      <c r="C64" s="3668" t="s">
        <v>3166</v>
      </c>
      <c r="D64" s="3669"/>
      <c r="E64" s="3669"/>
      <c r="F64" s="3669"/>
      <c r="G64" s="3670"/>
      <c r="H64" s="3670"/>
      <c r="I64" s="3670"/>
      <c r="J64" s="3670"/>
      <c r="K64" s="3670"/>
      <c r="L64" s="3670"/>
      <c r="M64" s="3670"/>
      <c r="N64" s="3670"/>
      <c r="O64" s="3670"/>
      <c r="P64" s="3670"/>
      <c r="Q64" s="2075"/>
      <c r="R64" s="2755"/>
      <c r="S64" s="3670"/>
      <c r="T64" s="3671" t="s">
        <v>691</v>
      </c>
      <c r="U64" s="3672">
        <f>B63</f>
        <v>11</v>
      </c>
      <c r="V64" s="9698" t="str">
        <f>IF(AA64&lt;&gt;"",ROUND(AA64,0),IF(OR(AB19,AND(M25="",M27="")),"",IF(OR(K28&lt;&gt;"",AB19),0,MIN(F2441_Refundable,O62))))</f>
        <v/>
      </c>
      <c r="W64" s="9706"/>
      <c r="X64" s="3540"/>
      <c r="Y64" s="3540"/>
      <c r="Z64" s="3540"/>
      <c r="AA64" s="438"/>
      <c r="AC64" s="3658"/>
      <c r="AD64" s="808"/>
      <c r="AE64" s="341" t="s">
        <v>3167</v>
      </c>
      <c r="AF64" s="253"/>
      <c r="AG64" s="409"/>
      <c r="AH64" s="566"/>
      <c r="AI64" s="344"/>
      <c r="AJ64" s="344"/>
      <c r="AK64" s="253"/>
      <c r="AL64" s="6394"/>
      <c r="AM64" s="817" t="s">
        <v>6236</v>
      </c>
      <c r="AO64" s="817" t="s">
        <v>6237</v>
      </c>
      <c r="AQ64" s="141"/>
    </row>
    <row r="65" spans="1:58" ht="14.25" customHeight="1" thickBot="1">
      <c r="A65" s="139"/>
      <c r="B65" s="3673" t="s">
        <v>865</v>
      </c>
      <c r="C65" s="3674"/>
      <c r="D65" s="3674"/>
      <c r="E65" s="3674"/>
      <c r="F65" s="3674"/>
      <c r="G65" s="3674"/>
      <c r="H65" s="3674"/>
      <c r="I65" s="3674"/>
      <c r="J65" s="3674"/>
      <c r="K65" s="3674"/>
      <c r="L65" s="3674"/>
      <c r="M65" s="3674"/>
      <c r="N65" s="3675" t="s">
        <v>3168</v>
      </c>
      <c r="O65" s="3674"/>
      <c r="P65" s="3674"/>
      <c r="Q65" s="3674"/>
      <c r="R65" s="3674"/>
      <c r="S65" s="3674"/>
      <c r="T65" s="3674"/>
      <c r="U65" s="3674"/>
      <c r="V65" s="3676"/>
      <c r="W65" s="3676" t="str">
        <f>"Form 2441  ("&amp;TaxYear&amp;")"</f>
        <v>Form 2441  (2025)</v>
      </c>
      <c r="X65" s="3677"/>
      <c r="Y65" s="3677"/>
      <c r="Z65" s="3677"/>
      <c r="AA65" s="3597"/>
      <c r="AB65" s="141"/>
      <c r="AC65" s="3658"/>
      <c r="AD65" s="808"/>
      <c r="AE65" s="6402" t="s">
        <v>3169</v>
      </c>
      <c r="AF65" s="380"/>
      <c r="AG65" s="1658" t="s">
        <v>6249</v>
      </c>
      <c r="AH65" s="6403"/>
      <c r="AI65" s="1194">
        <f>IF(AM65&lt;&gt;"",ROUND(AM65,0),AI54)</f>
        <v>0</v>
      </c>
      <c r="AJ65" s="380"/>
      <c r="AK65" s="1194">
        <f>IF(AO65&lt;&gt;"",ROUND(AO65,0),AK54)</f>
        <v>0</v>
      </c>
      <c r="AL65" s="381"/>
      <c r="AM65" s="6387"/>
      <c r="AO65" s="1470"/>
    </row>
    <row r="66" spans="1:58" ht="16.5" customHeight="1" thickBot="1">
      <c r="A66" s="139"/>
      <c r="B66" s="3669" t="str">
        <f>"Form 2441 ("&amp;TaxYear&amp;")"</f>
        <v>Form 2441 (2025)</v>
      </c>
      <c r="C66" s="3670"/>
      <c r="D66" s="3670"/>
      <c r="E66" s="3670"/>
      <c r="F66" s="3670"/>
      <c r="G66" s="3670"/>
      <c r="H66" s="3670"/>
      <c r="I66" s="3670"/>
      <c r="J66" s="3670"/>
      <c r="K66" s="3670"/>
      <c r="L66" s="3670"/>
      <c r="M66" s="3670"/>
      <c r="N66" s="3670"/>
      <c r="O66" s="3670"/>
      <c r="P66" s="3670"/>
      <c r="Q66" s="3670"/>
      <c r="R66" s="3670"/>
      <c r="S66" s="3670"/>
      <c r="T66" s="3670"/>
      <c r="U66" s="3670"/>
      <c r="V66" s="3678"/>
      <c r="W66" s="3678" t="s">
        <v>867</v>
      </c>
      <c r="X66" s="3540"/>
      <c r="Y66" s="3540"/>
      <c r="Z66" s="3540"/>
      <c r="AA66" s="3597"/>
      <c r="AC66" s="3658"/>
      <c r="AD66" s="808"/>
      <c r="AE66" s="9335" t="s">
        <v>5384</v>
      </c>
      <c r="AF66" s="7034"/>
      <c r="AG66" s="9742"/>
      <c r="AH66" s="566"/>
      <c r="AI66" s="344"/>
      <c r="AJ66" s="344"/>
      <c r="AK66" s="253"/>
      <c r="AL66" s="379"/>
      <c r="AM66" s="3597"/>
      <c r="AO66" s="3597"/>
    </row>
    <row r="67" spans="1:58" ht="15.75" customHeight="1">
      <c r="A67" s="139"/>
      <c r="B67" s="3679" t="s">
        <v>1938</v>
      </c>
      <c r="C67" s="3680" t="s">
        <v>3170</v>
      </c>
      <c r="D67" s="3680"/>
      <c r="E67" s="3680"/>
      <c r="F67" s="3680"/>
      <c r="G67" s="3681"/>
      <c r="H67" s="3681"/>
      <c r="I67" s="3681"/>
      <c r="J67" s="3681"/>
      <c r="K67" s="3681"/>
      <c r="L67" s="3607"/>
      <c r="M67" s="3681"/>
      <c r="N67" s="3681"/>
      <c r="O67" s="3681"/>
      <c r="P67" s="3681"/>
      <c r="Q67" s="3681"/>
      <c r="R67" s="3681"/>
      <c r="S67" s="3681"/>
      <c r="T67" s="3681"/>
      <c r="U67" s="3681"/>
      <c r="V67" s="3681"/>
      <c r="W67" s="3682"/>
      <c r="X67" s="3677"/>
      <c r="Y67" s="3677"/>
      <c r="Z67" s="3677"/>
      <c r="AA67" s="3597"/>
      <c r="AC67" s="3658"/>
      <c r="AD67" s="808"/>
      <c r="AE67" s="9335"/>
      <c r="AF67" s="7034"/>
      <c r="AG67" s="9742"/>
      <c r="AH67" s="566"/>
      <c r="AI67" s="344"/>
      <c r="AJ67" s="344"/>
      <c r="AK67" s="253"/>
      <c r="AL67" s="379"/>
      <c r="AM67" s="3597"/>
      <c r="AO67" s="3597"/>
    </row>
    <row r="68" spans="1:58" s="141" customFormat="1" ht="16.5" customHeight="1">
      <c r="A68" s="139"/>
      <c r="B68" s="3617">
        <v>12</v>
      </c>
      <c r="C68" s="3098" t="s">
        <v>5380</v>
      </c>
      <c r="D68" s="3592"/>
      <c r="E68" s="3592"/>
      <c r="F68" s="3592"/>
      <c r="G68" s="2755"/>
      <c r="H68" s="2755"/>
      <c r="I68" s="2755"/>
      <c r="J68" s="2755"/>
      <c r="K68" s="3602" t="str">
        <f>"you received  for  "&amp;TaxYear&amp;". Amounts you received"</f>
        <v>you received  for  2025. Amounts you received</v>
      </c>
      <c r="L68" s="3098"/>
      <c r="M68" s="3683"/>
      <c r="N68" s="3602"/>
      <c r="O68" s="2755"/>
      <c r="P68" s="2755"/>
      <c r="Q68" s="2755"/>
      <c r="R68" s="2755"/>
      <c r="S68" s="2755"/>
      <c r="T68" s="2755"/>
      <c r="U68" s="3628"/>
      <c r="V68" s="3684"/>
      <c r="W68" s="2756"/>
      <c r="X68" s="3540"/>
      <c r="Y68" s="3540"/>
      <c r="Z68" s="3540"/>
      <c r="AA68" s="3597"/>
      <c r="AB68"/>
      <c r="AC68" s="3658"/>
      <c r="AD68" s="808"/>
      <c r="AE68" s="9335"/>
      <c r="AF68" s="7034"/>
      <c r="AG68" s="9742"/>
      <c r="AH68" s="566"/>
      <c r="AI68" s="344"/>
      <c r="AJ68" s="344"/>
      <c r="AK68" s="253"/>
      <c r="AL68" s="379"/>
      <c r="AM68" s="3597"/>
      <c r="AN68"/>
      <c r="AO68" s="3597"/>
      <c r="AP68"/>
      <c r="AQ68"/>
      <c r="AR68" s="658"/>
      <c r="AS68" s="658"/>
      <c r="AT68" s="658"/>
      <c r="AU68" s="658"/>
      <c r="AV68" s="658"/>
      <c r="AW68" s="658"/>
      <c r="AX68" s="658"/>
      <c r="AY68" s="658"/>
      <c r="AZ68" s="658"/>
      <c r="BB68"/>
      <c r="BC68"/>
      <c r="BD68" s="84"/>
      <c r="BE68" s="84"/>
      <c r="BF68"/>
    </row>
    <row r="69" spans="1:58" ht="15.75" customHeight="1">
      <c r="A69" s="144"/>
      <c r="B69" s="3685"/>
      <c r="C69" s="3098" t="s">
        <v>3171</v>
      </c>
      <c r="D69" s="3592"/>
      <c r="E69" s="3592"/>
      <c r="F69" s="3592"/>
      <c r="G69" s="2755"/>
      <c r="H69" s="2755"/>
      <c r="I69" s="2755"/>
      <c r="J69" s="2755"/>
      <c r="K69" s="2755"/>
      <c r="L69" s="2755"/>
      <c r="M69" s="2755"/>
      <c r="N69" s="2755"/>
      <c r="O69" s="2755"/>
      <c r="P69" s="2755"/>
      <c r="Q69" s="2755"/>
      <c r="R69" s="2755"/>
      <c r="S69" s="2755"/>
      <c r="T69" s="2755"/>
      <c r="U69" s="3628"/>
      <c r="V69" s="3629"/>
      <c r="W69" s="2756"/>
      <c r="X69" s="3540"/>
      <c r="Y69" s="3540"/>
      <c r="Z69" s="3540"/>
      <c r="AA69" s="3597"/>
      <c r="AC69" s="3658"/>
      <c r="AD69" s="808"/>
      <c r="AE69" s="9335"/>
      <c r="AF69" s="7034"/>
      <c r="AG69" s="9742"/>
      <c r="AH69" s="566"/>
      <c r="AI69" s="344"/>
      <c r="AJ69" s="344"/>
      <c r="AK69" s="253"/>
      <c r="AL69" s="379"/>
      <c r="AM69" s="3597"/>
      <c r="AO69" s="3597"/>
      <c r="BB69" s="141"/>
      <c r="BC69" s="141"/>
      <c r="BD69" s="502"/>
      <c r="BE69" s="502"/>
      <c r="BF69" s="141"/>
    </row>
    <row r="70" spans="1:58" ht="15.75">
      <c r="A70" s="139"/>
      <c r="B70" s="3685"/>
      <c r="C70" s="3686" t="s">
        <v>3172</v>
      </c>
      <c r="D70" s="3592"/>
      <c r="E70" s="3592"/>
      <c r="F70" s="3592"/>
      <c r="G70" s="2755"/>
      <c r="H70" s="2755"/>
      <c r="I70" s="2755"/>
      <c r="J70" s="2755"/>
      <c r="K70" s="2755"/>
      <c r="L70" s="2755"/>
      <c r="M70" s="2755"/>
      <c r="N70" s="2755"/>
      <c r="O70" s="2755"/>
      <c r="P70" s="2755"/>
      <c r="Q70" s="2755"/>
      <c r="R70" s="2755"/>
      <c r="S70" s="2755"/>
      <c r="T70" s="2755"/>
      <c r="U70" s="3628"/>
      <c r="V70" s="3629"/>
      <c r="W70" s="2756"/>
      <c r="X70" s="3540"/>
      <c r="Y70" s="3540"/>
      <c r="Z70" s="3540"/>
      <c r="AA70" s="3597"/>
      <c r="AC70" s="3658"/>
      <c r="AD70" s="808"/>
      <c r="AE70" s="9335"/>
      <c r="AF70" s="7034"/>
      <c r="AG70" s="9742"/>
      <c r="AH70" s="566"/>
      <c r="AI70" s="344"/>
      <c r="AJ70" s="344"/>
      <c r="AK70" s="253"/>
      <c r="AL70" s="379"/>
      <c r="AM70" s="3597"/>
      <c r="AO70" s="3597"/>
    </row>
    <row r="71" spans="1:58" ht="16.5" thickBot="1">
      <c r="A71" s="139"/>
      <c r="B71" s="3685"/>
      <c r="C71" s="3686" t="s">
        <v>5034</v>
      </c>
      <c r="D71" s="3592"/>
      <c r="E71" s="3592"/>
      <c r="F71" s="3592"/>
      <c r="G71" s="2755"/>
      <c r="H71" s="2755"/>
      <c r="I71" s="2755"/>
      <c r="J71" s="2755"/>
      <c r="K71" s="2755"/>
      <c r="L71" s="2755"/>
      <c r="M71" s="2755"/>
      <c r="N71" s="2755"/>
      <c r="O71" s="2755"/>
      <c r="P71" s="2755"/>
      <c r="Q71" s="2755"/>
      <c r="R71" s="2755"/>
      <c r="S71" s="2755"/>
      <c r="T71" s="2755"/>
      <c r="U71" s="3628"/>
      <c r="V71" s="3629"/>
      <c r="W71" s="2756"/>
      <c r="X71" s="3540"/>
      <c r="Y71" s="3540"/>
      <c r="Z71" s="3540"/>
      <c r="AA71" s="185" t="s">
        <v>771</v>
      </c>
      <c r="AC71" s="3658"/>
      <c r="AD71" s="808"/>
      <c r="AE71" s="9335"/>
      <c r="AF71" s="7034"/>
      <c r="AG71" s="9742"/>
      <c r="AH71" s="566"/>
      <c r="AI71" s="344"/>
      <c r="AJ71" s="344"/>
      <c r="AK71" s="253"/>
      <c r="AL71" s="379"/>
      <c r="AM71" s="3597"/>
      <c r="AO71" s="3597"/>
    </row>
    <row r="72" spans="1:58" ht="15" thickBot="1">
      <c r="A72" s="139"/>
      <c r="B72" s="3685"/>
      <c r="C72" s="3098" t="s">
        <v>5035</v>
      </c>
      <c r="D72" s="3592"/>
      <c r="E72" s="3592"/>
      <c r="F72" s="3592"/>
      <c r="G72" s="2755"/>
      <c r="H72" s="2755"/>
      <c r="I72" s="2755"/>
      <c r="J72" s="2755"/>
      <c r="K72" s="2755"/>
      <c r="L72" s="2755"/>
      <c r="M72" s="2755"/>
      <c r="N72" s="2768" t="s">
        <v>650</v>
      </c>
      <c r="O72" s="2755"/>
      <c r="P72" s="2755"/>
      <c r="Q72" s="2768"/>
      <c r="R72" s="2755"/>
      <c r="S72" s="2755"/>
      <c r="T72" s="2768" t="s">
        <v>650</v>
      </c>
      <c r="U72" s="2773">
        <f>B68</f>
        <v>12</v>
      </c>
      <c r="V72" s="9682" t="str">
        <f>IF(AA72&lt;&gt;"",ROUND(AA72,0),IF(OR(M25&lt;&gt;"",M27=""),"",ROUND(DependCareBenefits,0)))</f>
        <v/>
      </c>
      <c r="W72" s="9683"/>
      <c r="X72" s="3540"/>
      <c r="Y72" s="3540"/>
      <c r="Z72" s="3540"/>
      <c r="AA72" s="438"/>
      <c r="AB72" s="304">
        <f>IF(V72="",0,V72)</f>
        <v>0</v>
      </c>
      <c r="AC72" s="3658"/>
      <c r="AD72" s="3687"/>
      <c r="AE72" s="9335"/>
      <c r="AF72" s="7034"/>
      <c r="AG72" s="9742"/>
      <c r="AH72" s="566"/>
      <c r="AI72" s="344"/>
      <c r="AJ72" s="344"/>
      <c r="AK72" s="253"/>
      <c r="AL72" s="379"/>
      <c r="AM72" s="3597"/>
      <c r="AO72" s="3597"/>
    </row>
    <row r="73" spans="1:58" ht="18.75" customHeight="1">
      <c r="A73" s="139"/>
      <c r="B73" s="3617">
        <v>13</v>
      </c>
      <c r="C73" s="3098" t="str">
        <f>"Enter the amount, if any, you carried over from "&amp;TaxYear-1&amp;" used in "&amp;TaxYear&amp;" during the grace period."</f>
        <v>Enter the amount, if any, you carried over from 2024 used in 2025 during the grace period.</v>
      </c>
      <c r="D73" s="3592"/>
      <c r="E73" s="3592"/>
      <c r="F73" s="3592"/>
      <c r="G73" s="2755"/>
      <c r="H73" s="2755"/>
      <c r="I73" s="2755"/>
      <c r="J73" s="2755"/>
      <c r="K73" s="2755"/>
      <c r="L73" s="2755"/>
      <c r="M73" s="2755"/>
      <c r="N73" s="2768"/>
      <c r="O73" s="2755"/>
      <c r="P73" s="2755"/>
      <c r="Q73" s="2768"/>
      <c r="R73" s="2755"/>
      <c r="S73" s="2755"/>
      <c r="T73" s="2768"/>
      <c r="U73" s="3688"/>
      <c r="V73" s="3689"/>
      <c r="W73" s="3690"/>
      <c r="X73" s="3540"/>
      <c r="Y73" s="3540"/>
      <c r="Z73" s="3540"/>
      <c r="AA73" s="2387"/>
      <c r="AC73" s="3658"/>
      <c r="AD73" s="3687"/>
      <c r="AE73" s="9335"/>
      <c r="AF73" s="7034"/>
      <c r="AG73" s="9742"/>
      <c r="AH73" s="566"/>
      <c r="AI73" s="344"/>
      <c r="AJ73" s="344"/>
      <c r="AK73" s="253"/>
      <c r="AL73" s="379"/>
      <c r="AM73" s="3597"/>
      <c r="AO73" s="3597"/>
    </row>
    <row r="74" spans="1:58" ht="15.75" thickBot="1">
      <c r="A74" s="139"/>
      <c r="B74" s="3617"/>
      <c r="C74" s="3098" t="s">
        <v>726</v>
      </c>
      <c r="D74" s="3592"/>
      <c r="E74" s="3592"/>
      <c r="F74" s="3592"/>
      <c r="G74" s="2755"/>
      <c r="H74" s="2755"/>
      <c r="I74" s="2755"/>
      <c r="J74" s="2755"/>
      <c r="K74" s="2755"/>
      <c r="L74" s="2755"/>
      <c r="M74" s="2755"/>
      <c r="N74" s="2755"/>
      <c r="O74" s="2755"/>
      <c r="P74" s="2755"/>
      <c r="Q74" s="2768"/>
      <c r="R74" s="2755"/>
      <c r="S74" s="2755"/>
      <c r="T74" s="2768" t="s">
        <v>1882</v>
      </c>
      <c r="U74" s="3691" t="s">
        <v>251</v>
      </c>
      <c r="V74" s="9612"/>
      <c r="W74" s="7833"/>
      <c r="X74" s="3540"/>
      <c r="Y74" s="3540"/>
      <c r="Z74" s="3540"/>
      <c r="AA74" s="3597"/>
      <c r="AC74" s="3658"/>
      <c r="AD74" s="3687"/>
      <c r="AE74" s="9335"/>
      <c r="AF74" s="7034"/>
      <c r="AG74" s="9742"/>
      <c r="AH74" s="566"/>
      <c r="AI74" s="344"/>
      <c r="AJ74" s="344"/>
      <c r="AK74" s="253"/>
      <c r="AL74" s="379"/>
      <c r="AM74" s="3597"/>
      <c r="AO74" s="3597"/>
    </row>
    <row r="75" spans="1:58" ht="15.75" thickBot="1">
      <c r="A75" s="139"/>
      <c r="B75" s="3617">
        <v>14</v>
      </c>
      <c r="C75" s="3098" t="str">
        <f>"Enter the amount, if any, you forfeited or carried forward to "&amp;TaxYear+1&amp;". See instructions"</f>
        <v>Enter the amount, if any, you forfeited or carried forward to 2026. See instructions</v>
      </c>
      <c r="D75" s="2755"/>
      <c r="E75" s="2755"/>
      <c r="F75" s="2755"/>
      <c r="G75" s="2755"/>
      <c r="H75" s="2755"/>
      <c r="I75" s="2755"/>
      <c r="J75" s="2755"/>
      <c r="K75" s="2755"/>
      <c r="L75" s="2755"/>
      <c r="M75" s="2755"/>
      <c r="N75" s="2755"/>
      <c r="O75" s="2755"/>
      <c r="P75" s="2755"/>
      <c r="Q75" s="2768"/>
      <c r="R75" s="2755"/>
      <c r="S75" s="2755"/>
      <c r="T75" s="2768" t="s">
        <v>643</v>
      </c>
      <c r="U75" s="3693">
        <v>14</v>
      </c>
      <c r="V75" s="9707" t="str">
        <f>IF(OR(M25&lt;&gt;"",M27=""),"",IF(AA75&lt;0,ROUND(AA75,0),-ROUND(AA75,0)))</f>
        <v/>
      </c>
      <c r="W75" s="7827"/>
      <c r="X75" s="3540"/>
      <c r="Y75" s="3540"/>
      <c r="Z75" s="3540"/>
      <c r="AA75" s="438"/>
      <c r="AB75" s="329"/>
      <c r="AC75" s="3658"/>
      <c r="AD75" s="3658"/>
      <c r="AE75" s="9335"/>
      <c r="AF75" s="7034"/>
      <c r="AG75" s="9742"/>
      <c r="AH75" s="408"/>
      <c r="AI75" s="253"/>
      <c r="AJ75" s="253"/>
      <c r="AK75" s="253"/>
      <c r="AL75" s="379"/>
      <c r="AM75" s="817" t="s">
        <v>771</v>
      </c>
      <c r="AO75" s="817" t="s">
        <v>771</v>
      </c>
    </row>
    <row r="76" spans="1:58" ht="15.75" thickBot="1">
      <c r="A76" s="139"/>
      <c r="B76" s="3694">
        <v>15</v>
      </c>
      <c r="C76" s="3686" t="s">
        <v>3173</v>
      </c>
      <c r="D76" s="3592"/>
      <c r="E76" s="3592"/>
      <c r="F76" s="3592"/>
      <c r="G76" s="2755"/>
      <c r="H76" s="2755"/>
      <c r="I76" s="2755"/>
      <c r="J76" s="2755"/>
      <c r="K76" s="2755"/>
      <c r="L76" s="2755"/>
      <c r="M76" s="2755"/>
      <c r="N76" s="2755"/>
      <c r="O76" s="2755"/>
      <c r="P76" s="2755"/>
      <c r="Q76" s="2768"/>
      <c r="R76" s="2755"/>
      <c r="S76" s="2755"/>
      <c r="T76" s="2768" t="s">
        <v>597</v>
      </c>
      <c r="U76" s="3693">
        <f>B76</f>
        <v>15</v>
      </c>
      <c r="V76" s="9682" t="str">
        <f>IF(OR(M25&lt;&gt;"",M27=""),"",SUM(V72,ROUND(V74,0),V75))</f>
        <v/>
      </c>
      <c r="W76" s="9683"/>
      <c r="X76" s="3540"/>
      <c r="Y76" s="3540"/>
      <c r="Z76" s="3540"/>
      <c r="AA76" s="3692"/>
      <c r="AB76" s="329"/>
      <c r="AC76" s="3658"/>
      <c r="AD76" s="3658"/>
      <c r="AE76" s="9743"/>
      <c r="AF76" s="9744"/>
      <c r="AG76" s="9745"/>
      <c r="AH76" s="6395"/>
      <c r="AI76" s="380"/>
      <c r="AJ76" s="380"/>
      <c r="AK76" s="380"/>
      <c r="AL76" s="381"/>
      <c r="AM76" s="817" t="s">
        <v>6238</v>
      </c>
      <c r="AO76" s="817" t="s">
        <v>6239</v>
      </c>
    </row>
    <row r="77" spans="1:58" ht="15.75" thickBot="1">
      <c r="A77" s="139"/>
      <c r="B77" s="3617">
        <v>16</v>
      </c>
      <c r="C77" s="3098" t="s">
        <v>3175</v>
      </c>
      <c r="D77" s="2755"/>
      <c r="E77" s="2755"/>
      <c r="F77" s="2755"/>
      <c r="G77" s="2755"/>
      <c r="H77" s="2755"/>
      <c r="I77" s="2755"/>
      <c r="J77" s="2755"/>
      <c r="K77" s="2755"/>
      <c r="L77" s="3098" t="str">
        <f>"in "&amp;TaxYear&amp;" for"</f>
        <v>in 2025 for</v>
      </c>
      <c r="M77" s="2755"/>
      <c r="N77" s="2755"/>
      <c r="O77" s="2755"/>
      <c r="P77" s="2755"/>
      <c r="Q77" s="2755"/>
      <c r="R77" s="2755"/>
      <c r="S77" s="2755"/>
      <c r="T77" s="2755"/>
      <c r="U77" s="3628"/>
      <c r="V77" s="2756"/>
      <c r="W77" s="2756"/>
      <c r="X77" s="3540"/>
      <c r="Y77" s="3540"/>
      <c r="Z77" s="3540"/>
      <c r="AA77" s="3597"/>
      <c r="AB77" s="329"/>
      <c r="AC77" s="3658"/>
      <c r="AD77" s="3658"/>
      <c r="AE77" s="3687"/>
      <c r="AF77" s="3687"/>
      <c r="AG77" s="3695" t="s">
        <v>3070</v>
      </c>
      <c r="AI77" s="6386">
        <f>IF(AM77&lt;&gt;"",ROUND(AM77,0),SUM(AI38,AI49,AI52,AI65))</f>
        <v>0</v>
      </c>
      <c r="AK77" s="6386">
        <f>IF(AO77&lt;&gt;"",ROUND(AO77,0),SUM(AK38,AK49,AK52,AK65))</f>
        <v>0</v>
      </c>
      <c r="AM77" s="1470"/>
      <c r="AO77" s="1470"/>
    </row>
    <row r="78" spans="1:58" ht="16.5" customHeight="1" thickBot="1">
      <c r="A78" s="139"/>
      <c r="B78" s="3698"/>
      <c r="C78" s="3561" t="s">
        <v>3176</v>
      </c>
      <c r="D78" s="3699"/>
      <c r="E78" s="3699"/>
      <c r="F78" s="3699"/>
      <c r="G78" s="3699"/>
      <c r="H78" s="3662"/>
      <c r="I78" s="3700"/>
      <c r="J78" s="3699"/>
      <c r="K78" s="3699"/>
      <c r="L78" s="3676"/>
      <c r="M78" s="3676" t="s">
        <v>648</v>
      </c>
      <c r="N78" s="3659">
        <v>16</v>
      </c>
      <c r="O78" s="9702"/>
      <c r="P78" s="9702"/>
      <c r="Q78" s="9702"/>
      <c r="R78" s="9702"/>
      <c r="S78" s="9702"/>
      <c r="T78" s="9703"/>
      <c r="U78" s="3701"/>
      <c r="V78" s="3666" t="b">
        <f>AND($M$25="",$M$27&lt;&gt;"",$AD$18="",$AD$19="",File_Marr_Sep&lt;&gt;"")</f>
        <v>0</v>
      </c>
      <c r="W78" s="2756"/>
      <c r="X78" s="3540"/>
      <c r="Y78" s="3540"/>
      <c r="Z78" s="3540"/>
      <c r="AA78" s="185" t="s">
        <v>771</v>
      </c>
      <c r="AB78" s="329"/>
      <c r="AC78" s="3658"/>
      <c r="AD78" s="3658"/>
      <c r="AE78" s="3687"/>
      <c r="AF78" s="3687"/>
      <c r="AG78" s="3697" t="s">
        <v>3174</v>
      </c>
      <c r="AI78" s="185" t="s">
        <v>772</v>
      </c>
      <c r="AK78" s="185" t="s">
        <v>774</v>
      </c>
      <c r="AM78" s="185"/>
      <c r="AO78" s="185"/>
    </row>
    <row r="79" spans="1:58" ht="16.5" customHeight="1" thickBot="1">
      <c r="A79" s="139"/>
      <c r="B79" s="3617">
        <v>17</v>
      </c>
      <c r="C79" s="3600" t="s">
        <v>3177</v>
      </c>
      <c r="D79" s="3592"/>
      <c r="E79" s="3592"/>
      <c r="F79" s="3592"/>
      <c r="G79" s="2755"/>
      <c r="H79" s="2755"/>
      <c r="I79" s="2755"/>
      <c r="J79" s="2755"/>
      <c r="K79" s="2755"/>
      <c r="L79" s="2768"/>
      <c r="M79" s="2768" t="s">
        <v>676</v>
      </c>
      <c r="N79" s="3659">
        <v>17</v>
      </c>
      <c r="O79" s="9683" t="str">
        <f>IF(AA79&lt;&gt;"",ROUND(AA79,0),IF(OR(M25&lt;&gt;"",M27=""),"",MIN(V76,O78)))</f>
        <v/>
      </c>
      <c r="P79" s="9683"/>
      <c r="Q79" s="9683"/>
      <c r="R79" s="9683"/>
      <c r="S79" s="9683"/>
      <c r="T79" s="9700"/>
      <c r="U79" s="3628"/>
      <c r="V79" s="9686" t="s">
        <v>3178</v>
      </c>
      <c r="W79" s="9687"/>
      <c r="X79" s="3540"/>
      <c r="Y79" s="3540"/>
      <c r="Z79" s="3540"/>
      <c r="AA79" s="438"/>
      <c r="AB79" s="329"/>
      <c r="AC79" s="3658"/>
      <c r="AD79" s="3658"/>
      <c r="AE79" s="3687"/>
      <c r="AF79" s="3687"/>
      <c r="AG79" s="3687"/>
      <c r="AI79" s="185"/>
      <c r="AK79" s="185"/>
      <c r="AM79" s="185"/>
    </row>
    <row r="80" spans="1:58" ht="15.75" customHeight="1" thickBot="1">
      <c r="A80" s="139"/>
      <c r="B80" s="3617">
        <v>18</v>
      </c>
      <c r="C80" s="3600" t="s">
        <v>3179</v>
      </c>
      <c r="D80" s="2755"/>
      <c r="E80" s="2755"/>
      <c r="F80" s="2755"/>
      <c r="G80" s="2755"/>
      <c r="H80" s="2755"/>
      <c r="I80" s="2755"/>
      <c r="J80" s="2755"/>
      <c r="K80" s="2755"/>
      <c r="L80" s="2768"/>
      <c r="M80" s="2768" t="s">
        <v>631</v>
      </c>
      <c r="N80" s="3659">
        <v>18</v>
      </c>
      <c r="O80" s="9704" t="str">
        <f>IF(AA80&lt;&gt;"",ROUND(AA80,0),IF(OR(M25&lt;&gt;"",M27=""),"",SUM(AA47,'W-2s'!I3)))</f>
        <v/>
      </c>
      <c r="P80" s="9704"/>
      <c r="Q80" s="9704"/>
      <c r="R80" s="9704"/>
      <c r="S80" s="9704"/>
      <c r="T80" s="9705"/>
      <c r="U80" s="3628"/>
      <c r="V80" s="9686" t="s">
        <v>3180</v>
      </c>
      <c r="W80" s="9687"/>
      <c r="X80" s="3540"/>
      <c r="Y80" s="3540"/>
      <c r="Z80" s="3540"/>
      <c r="AA80" s="438"/>
      <c r="AB80" s="329"/>
      <c r="AC80" s="3658"/>
      <c r="AD80" s="3658"/>
      <c r="AE80" s="3687"/>
      <c r="AF80" s="3687"/>
      <c r="AG80" s="3687"/>
    </row>
    <row r="81" spans="1:59" ht="14.25" customHeight="1" thickBot="1">
      <c r="A81" s="139"/>
      <c r="B81" s="3617">
        <v>19</v>
      </c>
      <c r="C81" s="3600" t="s">
        <v>977</v>
      </c>
      <c r="D81" s="2755"/>
      <c r="E81" s="2755"/>
      <c r="F81" s="2755"/>
      <c r="G81" s="2755"/>
      <c r="H81" s="2755"/>
      <c r="I81" s="2755"/>
      <c r="J81" s="2755"/>
      <c r="K81" s="2755"/>
      <c r="L81" s="2755"/>
      <c r="M81" s="2755"/>
      <c r="N81" s="3702"/>
      <c r="O81" s="3703"/>
      <c r="P81" s="3704"/>
      <c r="Q81" s="3704"/>
      <c r="R81" s="3704"/>
      <c r="S81" s="3704"/>
      <c r="T81" s="3705"/>
      <c r="U81" s="3628"/>
      <c r="V81" s="9686" t="s">
        <v>3181</v>
      </c>
      <c r="W81" s="9687"/>
      <c r="X81" s="3540"/>
      <c r="Y81" s="3540"/>
      <c r="Z81" s="3540"/>
      <c r="AA81" s="3597"/>
      <c r="AB81" s="329"/>
      <c r="AC81" s="3658"/>
      <c r="AD81" s="3658"/>
      <c r="AE81" s="9529" t="s">
        <v>5511</v>
      </c>
      <c r="AF81" s="9529"/>
      <c r="AG81" s="3687"/>
      <c r="AM81" s="185" t="s">
        <v>771</v>
      </c>
    </row>
    <row r="82" spans="1:59" ht="16.5" customHeight="1" thickBot="1">
      <c r="A82" s="139"/>
      <c r="B82" s="3676"/>
      <c r="C82" s="3706" t="s">
        <v>615</v>
      </c>
      <c r="D82" s="3600" t="s">
        <v>5421</v>
      </c>
      <c r="E82" s="3707"/>
      <c r="F82" s="3708"/>
      <c r="G82" s="3708"/>
      <c r="H82" s="3699"/>
      <c r="I82" s="3699"/>
      <c r="J82" s="3699"/>
      <c r="K82" s="3699"/>
      <c r="L82" s="3699"/>
      <c r="M82" s="3699"/>
      <c r="N82" s="3709"/>
      <c r="O82" s="3710"/>
      <c r="P82" s="3710"/>
      <c r="Q82" s="3710"/>
      <c r="R82" s="3624"/>
      <c r="S82" s="3710"/>
      <c r="T82" s="3711"/>
      <c r="U82" s="3712"/>
      <c r="V82" s="9686" t="s">
        <v>3183</v>
      </c>
      <c r="W82" s="9687"/>
      <c r="X82" s="3677"/>
      <c r="Y82" s="3677"/>
      <c r="Z82" s="3677"/>
      <c r="AA82" s="3713"/>
      <c r="AB82" s="961"/>
      <c r="AC82" s="3658"/>
      <c r="AD82" s="3658"/>
      <c r="AE82" s="9596" t="s">
        <v>5512</v>
      </c>
      <c r="AF82" s="9597"/>
      <c r="AG82" s="9598"/>
      <c r="AI82" s="3696">
        <f>IF(AM82&lt;&gt;"",ROUND(AM82,0),SUM(AI77,-AB72))</f>
        <v>0</v>
      </c>
      <c r="AM82" s="1470"/>
    </row>
    <row r="83" spans="1:59" ht="14.25" customHeight="1">
      <c r="A83" s="139"/>
      <c r="B83" s="3685"/>
      <c r="C83" s="3600"/>
      <c r="D83" s="3600" t="s">
        <v>5422</v>
      </c>
      <c r="E83" s="2755"/>
      <c r="F83" s="2755"/>
      <c r="G83" s="2755"/>
      <c r="H83" s="2755"/>
      <c r="I83" s="2755"/>
      <c r="J83" s="2755"/>
      <c r="K83" s="2755"/>
      <c r="L83" s="2755"/>
      <c r="M83" s="2755"/>
      <c r="N83" s="3702"/>
      <c r="O83" s="3624"/>
      <c r="P83" s="3624"/>
      <c r="Q83" s="3624"/>
      <c r="R83" s="3624"/>
      <c r="S83" s="3624"/>
      <c r="T83" s="3714"/>
      <c r="U83" s="3628"/>
      <c r="V83" s="9709" t="s">
        <v>3184</v>
      </c>
      <c r="W83" s="9710"/>
      <c r="X83" s="3540"/>
      <c r="Y83" s="3540"/>
      <c r="Z83" s="3540"/>
      <c r="AA83" s="3597"/>
      <c r="AB83" s="329"/>
      <c r="AC83" s="3658"/>
      <c r="AD83" s="3658"/>
      <c r="AE83" s="9599"/>
      <c r="AF83" s="7852"/>
      <c r="AG83" s="9534"/>
      <c r="AI83" s="185" t="s">
        <v>5513</v>
      </c>
      <c r="AM83" s="185" t="s">
        <v>5513</v>
      </c>
      <c r="AN83" s="141"/>
      <c r="AQ83" s="141"/>
    </row>
    <row r="84" spans="1:59" ht="15.75" thickBot="1">
      <c r="A84" s="139"/>
      <c r="B84" s="3685"/>
      <c r="C84" s="3600" t="s">
        <v>5420</v>
      </c>
      <c r="D84" s="3600" t="s">
        <v>5423</v>
      </c>
      <c r="E84" s="2755"/>
      <c r="F84" s="2755"/>
      <c r="G84" s="2755"/>
      <c r="H84" s="2755"/>
      <c r="I84" s="2755"/>
      <c r="J84" s="2755"/>
      <c r="K84" s="2755"/>
      <c r="L84" s="2755"/>
      <c r="M84" s="2755"/>
      <c r="N84" s="3702"/>
      <c r="O84" s="9711" t="str">
        <f>IF(AND(File_Marr_Sep&lt;&gt;"",AD19&lt;&gt;""),ROUND(W2_Wages_Spouse,0),O80)</f>
        <v/>
      </c>
      <c r="P84" s="9712"/>
      <c r="Q84" s="9712"/>
      <c r="R84" s="9712"/>
      <c r="S84" s="9712"/>
      <c r="T84" s="9713"/>
      <c r="U84" s="3628"/>
      <c r="V84" s="9686" t="s">
        <v>3185</v>
      </c>
      <c r="W84" s="9687"/>
      <c r="X84" s="3540"/>
      <c r="Y84" s="3540"/>
      <c r="Z84" s="3540"/>
      <c r="AA84" s="185" t="s">
        <v>771</v>
      </c>
      <c r="AB84" s="329"/>
      <c r="AC84" s="3658"/>
      <c r="AD84" s="3658"/>
      <c r="AE84" s="9599"/>
      <c r="AF84" s="7852"/>
      <c r="AG84" s="9534"/>
      <c r="AL84" s="141"/>
    </row>
    <row r="85" spans="1:59" s="141" customFormat="1" ht="16.5" thickBot="1">
      <c r="A85" s="139"/>
      <c r="B85" s="3685"/>
      <c r="C85" s="3600" t="s">
        <v>3186</v>
      </c>
      <c r="D85" s="3600" t="s">
        <v>5424</v>
      </c>
      <c r="E85" s="2755"/>
      <c r="F85" s="2755"/>
      <c r="G85" s="2755"/>
      <c r="H85" s="2755"/>
      <c r="I85" s="2755"/>
      <c r="J85" s="2755"/>
      <c r="K85" s="3097"/>
      <c r="L85" s="2768"/>
      <c r="M85" s="2768" t="s">
        <v>717</v>
      </c>
      <c r="N85" s="3659">
        <v>19</v>
      </c>
      <c r="O85" s="9683" t="str">
        <f>IF(AA85&lt;&gt;"",ROUND(AA85,0),IF(OR(M25&lt;&gt;"",M27=""),"",IF(File_Marr_Joint&lt;&gt;"",SUM(V48,ROUND('W-2s'!I40,0)),IF(AND(File_Marr_Sep&lt;&gt;"",AD19&lt;&gt;""),O84,O80))))</f>
        <v/>
      </c>
      <c r="P85" s="9683"/>
      <c r="Q85" s="9683"/>
      <c r="R85" s="9683"/>
      <c r="S85" s="9683"/>
      <c r="T85" s="9700"/>
      <c r="U85" s="3628"/>
      <c r="V85" s="9686" t="str">
        <f>"'unmarried' for"</f>
        <v>'unmarried' for</v>
      </c>
      <c r="W85" s="9687"/>
      <c r="X85" s="3540"/>
      <c r="Y85" s="3540"/>
      <c r="Z85" s="3540"/>
      <c r="AA85" s="438"/>
      <c r="AB85" s="329"/>
      <c r="AC85" s="3658"/>
      <c r="AD85" s="3658"/>
      <c r="AE85" s="9599"/>
      <c r="AF85" s="7852"/>
      <c r="AG85" s="9534"/>
      <c r="AH85"/>
      <c r="AI85"/>
      <c r="AJ85"/>
      <c r="AK85"/>
      <c r="AL85"/>
      <c r="AM85"/>
      <c r="AN85"/>
      <c r="AO85"/>
      <c r="AP85"/>
      <c r="AQ85"/>
      <c r="AR85" s="665"/>
      <c r="AS85" s="665"/>
      <c r="AT85" s="665"/>
      <c r="AU85" s="665"/>
      <c r="AV85" s="665"/>
      <c r="AW85" s="665"/>
      <c r="AX85" s="665"/>
      <c r="AY85" s="665"/>
      <c r="AZ85" s="665"/>
      <c r="BB85"/>
      <c r="BC85"/>
      <c r="BD85" s="84"/>
      <c r="BE85" s="84"/>
      <c r="BF85"/>
    </row>
    <row r="86" spans="1:59" ht="12.75" customHeight="1">
      <c r="A86" s="144"/>
      <c r="B86" s="3685"/>
      <c r="C86" s="3706" t="s">
        <v>615</v>
      </c>
      <c r="D86" s="3600" t="s">
        <v>5425</v>
      </c>
      <c r="E86" s="3715"/>
      <c r="F86" s="3715"/>
      <c r="G86" s="2755"/>
      <c r="H86" s="2755"/>
      <c r="I86" s="2755"/>
      <c r="J86" s="2755"/>
      <c r="K86" s="2755"/>
      <c r="L86" s="2755"/>
      <c r="M86" s="3663"/>
      <c r="N86" s="3702"/>
      <c r="O86" s="3624"/>
      <c r="P86" s="3624"/>
      <c r="Q86" s="3624"/>
      <c r="R86" s="3624"/>
      <c r="S86" s="3624"/>
      <c r="T86" s="3714"/>
      <c r="U86" s="3628"/>
      <c r="V86" s="9686" t="s">
        <v>3094</v>
      </c>
      <c r="W86" s="9687"/>
      <c r="X86" s="3540"/>
      <c r="Y86" s="3540"/>
      <c r="Z86" s="3540"/>
      <c r="AA86" s="3597"/>
      <c r="AB86" s="329"/>
      <c r="AD86" s="3658"/>
      <c r="AE86" s="9599"/>
      <c r="AF86" s="7852"/>
      <c r="AG86" s="9534"/>
      <c r="BB86" s="141"/>
      <c r="BC86" s="141"/>
      <c r="BD86" s="502"/>
      <c r="BE86" s="502"/>
      <c r="BF86" s="141"/>
    </row>
    <row r="87" spans="1:59" ht="12.75" customHeight="1">
      <c r="A87" s="139"/>
      <c r="B87" s="3685"/>
      <c r="C87" s="3706" t="s">
        <v>615</v>
      </c>
      <c r="D87" s="3600" t="s">
        <v>5426</v>
      </c>
      <c r="E87" s="3715"/>
      <c r="F87" s="3715"/>
      <c r="G87" s="3097"/>
      <c r="H87" s="2755"/>
      <c r="I87" s="2755"/>
      <c r="J87" s="2755"/>
      <c r="K87" s="2755"/>
      <c r="L87" s="2755"/>
      <c r="M87" s="2755"/>
      <c r="N87" s="3702"/>
      <c r="O87" s="3716"/>
      <c r="P87" s="3716"/>
      <c r="Q87" s="3716"/>
      <c r="R87" s="3716"/>
      <c r="S87" s="3716"/>
      <c r="T87" s="3717"/>
      <c r="U87" s="3628"/>
      <c r="V87" s="9686" t="s">
        <v>3097</v>
      </c>
      <c r="W87" s="9687"/>
      <c r="X87" s="3540"/>
      <c r="Y87" s="3540"/>
      <c r="Z87" s="3540"/>
      <c r="AA87" s="3597"/>
      <c r="AD87" s="3658"/>
      <c r="AE87" s="9600"/>
      <c r="AF87" s="9601"/>
      <c r="AG87" s="9602"/>
    </row>
    <row r="88" spans="1:59" ht="15.75">
      <c r="A88" s="139"/>
      <c r="B88" s="3617">
        <v>20</v>
      </c>
      <c r="C88" s="3600" t="s">
        <v>3187</v>
      </c>
      <c r="D88" s="3592"/>
      <c r="E88" s="3592"/>
      <c r="F88" s="3592"/>
      <c r="G88" s="2755"/>
      <c r="H88" s="2755"/>
      <c r="I88" s="2755"/>
      <c r="J88" s="2755"/>
      <c r="K88" s="2755"/>
      <c r="L88" s="2768" t="s">
        <v>601</v>
      </c>
      <c r="M88" s="3718"/>
      <c r="N88" s="3659">
        <v>20</v>
      </c>
      <c r="O88" s="9683" t="str">
        <f>IF(OR(M25&lt;&gt;"",M27=""),"",MIN(O79,O80,O85))</f>
        <v/>
      </c>
      <c r="P88" s="9683"/>
      <c r="Q88" s="9683"/>
      <c r="R88" s="9683"/>
      <c r="S88" s="9683"/>
      <c r="T88" s="9700"/>
      <c r="U88" s="3628"/>
      <c r="V88" s="9686" t="s">
        <v>3104</v>
      </c>
      <c r="W88" s="9687"/>
      <c r="X88" s="3540"/>
      <c r="Y88" s="3540"/>
      <c r="Z88" s="3540"/>
      <c r="AA88" s="3597"/>
      <c r="AD88" s="3658"/>
      <c r="AE88" s="3658"/>
      <c r="AF88" s="3658"/>
      <c r="AG88" s="3658"/>
    </row>
    <row r="89" spans="1:59" ht="15.75" customHeight="1">
      <c r="A89" s="139"/>
      <c r="B89" s="3617">
        <v>21</v>
      </c>
      <c r="C89" s="3600" t="str">
        <f>"Enter "&amp;TEXT(V89,"$0,000")&amp;" ("&amp;TEXT(V90,"$0,000")&amp;" if married"</f>
        <v>Enter $5,000 ($2,500 if married</v>
      </c>
      <c r="D89" s="3592"/>
      <c r="E89" s="3592"/>
      <c r="F89" s="3592"/>
      <c r="G89" s="2755"/>
      <c r="H89" s="2755"/>
      <c r="I89" s="3600" t="s">
        <v>3188</v>
      </c>
      <c r="J89" s="2755"/>
      <c r="K89" s="2755"/>
      <c r="L89" s="2755"/>
      <c r="M89" s="3718"/>
      <c r="N89" s="3702"/>
      <c r="O89" s="2768"/>
      <c r="P89" s="2768"/>
      <c r="Q89" s="2768"/>
      <c r="R89" s="2768"/>
      <c r="S89" s="2768"/>
      <c r="T89" s="2768"/>
      <c r="U89" s="3628"/>
      <c r="V89" s="393">
        <v>5000</v>
      </c>
      <c r="W89" s="1671"/>
      <c r="X89" s="3540"/>
      <c r="Y89" s="3540"/>
      <c r="Z89" s="3540"/>
      <c r="AA89" s="3597"/>
      <c r="AE89" s="3658"/>
      <c r="AF89" s="3658"/>
      <c r="AG89" s="3658"/>
    </row>
    <row r="90" spans="1:59" ht="15">
      <c r="A90" s="139"/>
      <c r="B90" s="3632"/>
      <c r="C90" s="3600" t="s">
        <v>5036</v>
      </c>
      <c r="D90" s="3592"/>
      <c r="E90" s="3592"/>
      <c r="F90" s="3592"/>
      <c r="G90" s="2755"/>
      <c r="H90" s="2755"/>
      <c r="I90" s="2755"/>
      <c r="J90" s="2755"/>
      <c r="K90" s="2755"/>
      <c r="L90" s="2755"/>
      <c r="M90" s="3718"/>
      <c r="N90" s="3702"/>
      <c r="O90" s="2768"/>
      <c r="P90" s="2768"/>
      <c r="Q90" s="2768"/>
      <c r="R90" s="2768"/>
      <c r="S90" s="2768"/>
      <c r="T90" s="2768"/>
      <c r="U90" s="3628"/>
      <c r="V90" s="393">
        <v>2500</v>
      </c>
      <c r="W90" s="1671"/>
      <c r="X90" s="3540"/>
      <c r="Y90" s="3540"/>
      <c r="Z90" s="3540"/>
      <c r="AA90" s="3597"/>
      <c r="AE90" s="3658"/>
      <c r="AF90" s="3658"/>
      <c r="AG90" s="3658"/>
    </row>
    <row r="91" spans="1:59" ht="15.75" thickBot="1">
      <c r="A91" s="139"/>
      <c r="B91" s="3632"/>
      <c r="C91" s="3600" t="s">
        <v>5037</v>
      </c>
      <c r="D91" s="3592"/>
      <c r="E91" s="3592"/>
      <c r="F91" s="3592"/>
      <c r="G91" s="2755"/>
      <c r="H91" s="2755"/>
      <c r="I91" s="2755"/>
      <c r="J91" s="2755"/>
      <c r="K91" s="2755"/>
      <c r="L91" s="2755"/>
      <c r="M91" s="2984"/>
      <c r="N91" s="3702"/>
      <c r="O91" s="2768"/>
      <c r="P91" s="2768"/>
      <c r="Q91" s="2768"/>
      <c r="R91" s="2768"/>
      <c r="S91" s="2768"/>
      <c r="T91" s="2768"/>
      <c r="U91" s="3628"/>
      <c r="V91" s="1670"/>
      <c r="W91" s="1671"/>
      <c r="X91" s="3540"/>
      <c r="Y91" s="3540"/>
      <c r="Z91" s="3540"/>
      <c r="AA91" s="185" t="s">
        <v>771</v>
      </c>
      <c r="AE91" s="3658"/>
      <c r="AF91" s="3658"/>
      <c r="AG91" s="3658"/>
    </row>
    <row r="92" spans="1:59" ht="16.5" thickBot="1">
      <c r="A92" s="139"/>
      <c r="B92" s="3632"/>
      <c r="C92" s="3600" t="s">
        <v>5038</v>
      </c>
      <c r="D92" s="3592"/>
      <c r="E92" s="3592"/>
      <c r="F92" s="3592"/>
      <c r="G92" s="2755"/>
      <c r="H92" s="2755"/>
      <c r="I92" s="2755"/>
      <c r="J92" s="2755"/>
      <c r="K92" s="2755"/>
      <c r="L92" s="2768"/>
      <c r="M92" s="2075" t="s">
        <v>708</v>
      </c>
      <c r="N92" s="3659">
        <v>21</v>
      </c>
      <c r="O92" s="9683" t="str">
        <f>IF(AA92&lt;&gt;"",ROUND(AA92,0),IF(OR(M25&lt;&gt;"",M27=""),"",IF(AND(File_Marr_Sep&lt;&gt;"",AD19&lt;&gt;""),V90,V89)))</f>
        <v/>
      </c>
      <c r="P92" s="9683"/>
      <c r="Q92" s="9683"/>
      <c r="R92" s="9683"/>
      <c r="S92" s="9683"/>
      <c r="T92" s="9700"/>
      <c r="U92" s="3628"/>
      <c r="V92" s="1670"/>
      <c r="W92" s="1671"/>
      <c r="X92" s="3540"/>
      <c r="Y92" s="3540"/>
      <c r="Z92" s="3540"/>
      <c r="AA92" s="438"/>
      <c r="AE92" s="3658"/>
      <c r="AF92" s="3658"/>
      <c r="AG92" s="3658"/>
    </row>
    <row r="93" spans="1:59" ht="16.5" thickBot="1">
      <c r="A93" s="139"/>
      <c r="B93" s="3617">
        <v>22</v>
      </c>
      <c r="C93" s="3600" t="s">
        <v>3189</v>
      </c>
      <c r="D93" s="3592"/>
      <c r="E93" s="3592"/>
      <c r="F93" s="3592"/>
      <c r="G93" s="2755"/>
      <c r="H93" s="2755"/>
      <c r="I93" s="2755"/>
      <c r="J93" s="2755"/>
      <c r="K93" s="2755"/>
      <c r="L93" s="2755"/>
      <c r="M93" s="2755"/>
      <c r="N93" s="2755"/>
      <c r="O93" s="2755"/>
      <c r="P93" s="2755"/>
      <c r="Q93" s="2755"/>
      <c r="R93" s="2755"/>
      <c r="S93" s="2755"/>
      <c r="T93" s="2755"/>
      <c r="U93" s="3628"/>
      <c r="V93" s="2756"/>
      <c r="W93" s="2756"/>
      <c r="X93" s="3540"/>
      <c r="Y93" s="3540"/>
      <c r="Z93" s="3540"/>
      <c r="AA93" s="3719" t="str">
        <f>IF(AND($C$96&lt;&gt;"",File_Marr_Joint&lt;&gt;""),"Enter amount from","")</f>
        <v/>
      </c>
    </row>
    <row r="94" spans="1:59" ht="16.5" thickBot="1">
      <c r="A94" s="139"/>
      <c r="B94" s="3632"/>
      <c r="C94" s="3720" t="str">
        <f>IF(AND(K28="",C96=""),"X","")</f>
        <v/>
      </c>
      <c r="D94" s="3721" t="s">
        <v>3191</v>
      </c>
      <c r="E94" s="3721"/>
      <c r="F94" s="3592"/>
      <c r="G94" s="3722"/>
      <c r="H94" s="3722"/>
      <c r="I94" s="2755"/>
      <c r="J94" s="2755"/>
      <c r="K94" s="2755"/>
      <c r="L94" s="2755"/>
      <c r="M94" s="2755"/>
      <c r="N94" s="2755"/>
      <c r="O94" s="2755"/>
      <c r="P94" s="2755"/>
      <c r="Q94" s="2755"/>
      <c r="R94" s="2755"/>
      <c r="S94" s="2755"/>
      <c r="T94" s="2755"/>
      <c r="U94" s="3628"/>
      <c r="V94" s="3723"/>
      <c r="W94" s="3724"/>
      <c r="X94" s="3540"/>
      <c r="Y94" s="3540"/>
      <c r="Z94" s="3540"/>
      <c r="AA94" s="3719" t="str">
        <f>IF(AND($C$96&lt;&gt;"",File_Marr_Joint&lt;&gt;""),"sole proprietorship.","")</f>
        <v/>
      </c>
    </row>
    <row r="95" spans="1:59" ht="7.5" customHeight="1" thickBot="1">
      <c r="A95" s="139"/>
      <c r="B95" s="3632"/>
      <c r="C95" s="3592"/>
      <c r="D95" s="3592"/>
      <c r="E95" s="3592"/>
      <c r="F95" s="3592"/>
      <c r="G95" s="3722"/>
      <c r="H95" s="3722"/>
      <c r="I95" s="2755"/>
      <c r="J95" s="2755"/>
      <c r="K95" s="2755"/>
      <c r="L95" s="2755"/>
      <c r="M95" s="2755"/>
      <c r="N95" s="2755"/>
      <c r="O95" s="2755"/>
      <c r="P95" s="2755"/>
      <c r="Q95" s="2755"/>
      <c r="R95" s="2755"/>
      <c r="S95" s="2755"/>
      <c r="T95" s="2755"/>
      <c r="U95" s="3725"/>
      <c r="V95" s="3723"/>
      <c r="W95" s="3724"/>
      <c r="X95" s="3540"/>
      <c r="Y95" s="3540"/>
      <c r="Z95" s="3540"/>
      <c r="AA95" s="3719"/>
      <c r="AE95" s="9588" t="s">
        <v>3190</v>
      </c>
      <c r="AF95" s="9589"/>
      <c r="AG95" s="9589"/>
      <c r="AH95" s="9589"/>
      <c r="AI95" s="9590"/>
      <c r="AR95"/>
      <c r="AS95"/>
      <c r="BA95" s="658"/>
      <c r="BB95" s="658"/>
      <c r="BD95"/>
      <c r="BE95"/>
      <c r="BF95" s="84"/>
      <c r="BG95" s="84"/>
    </row>
    <row r="96" spans="1:59" ht="16.5" thickBot="1">
      <c r="A96" s="139"/>
      <c r="B96" s="3685"/>
      <c r="C96" s="282"/>
      <c r="D96" s="3721" t="s">
        <v>3192</v>
      </c>
      <c r="E96" s="3721"/>
      <c r="F96" s="3592"/>
      <c r="G96" s="2755"/>
      <c r="H96" s="2755"/>
      <c r="I96" s="2755"/>
      <c r="J96" s="2755"/>
      <c r="K96" s="2755"/>
      <c r="L96" s="2755"/>
      <c r="M96" s="2755"/>
      <c r="N96" s="2755"/>
      <c r="O96" s="2755"/>
      <c r="P96" s="2755"/>
      <c r="Q96" s="2755"/>
      <c r="R96" s="2755"/>
      <c r="S96" s="2755"/>
      <c r="T96" s="2075" t="s">
        <v>617</v>
      </c>
      <c r="U96" s="3621">
        <f>B93</f>
        <v>22</v>
      </c>
      <c r="V96" s="9682" t="str">
        <f>IF(OR(M25&lt;&gt;"",M27=""),"",IF(C94&lt;&gt;"",0,ROUND(AA96,0)))</f>
        <v/>
      </c>
      <c r="W96" s="8272"/>
      <c r="X96" s="3540"/>
      <c r="Y96" s="3540"/>
      <c r="Z96" s="3540"/>
      <c r="AA96" s="3726"/>
      <c r="AE96" s="9591"/>
      <c r="AF96" s="7062"/>
      <c r="AG96" s="7062"/>
      <c r="AH96" s="7062"/>
      <c r="AI96" s="9592"/>
      <c r="AR96"/>
      <c r="AS96"/>
      <c r="BA96" s="658"/>
      <c r="BB96" s="658"/>
      <c r="BD96"/>
      <c r="BE96"/>
      <c r="BF96" s="84"/>
      <c r="BG96" s="84"/>
    </row>
    <row r="97" spans="1:59" ht="15.75">
      <c r="A97" s="139"/>
      <c r="B97" s="3617">
        <v>23</v>
      </c>
      <c r="C97" s="3600" t="s">
        <v>3193</v>
      </c>
      <c r="D97" s="3592"/>
      <c r="E97" s="3592"/>
      <c r="F97" s="3592"/>
      <c r="G97" s="2755"/>
      <c r="H97" s="2755"/>
      <c r="I97" s="2755"/>
      <c r="J97" s="2755"/>
      <c r="K97" s="2755"/>
      <c r="L97" s="2768" t="s">
        <v>594</v>
      </c>
      <c r="M97" s="3718"/>
      <c r="N97" s="3659">
        <v>23</v>
      </c>
      <c r="O97" s="9683" t="str">
        <f>IF(OR(M25&lt;&gt;"",M27=""),"",SUM(V76,-V96))</f>
        <v/>
      </c>
      <c r="P97" s="9683"/>
      <c r="Q97" s="9683"/>
      <c r="R97" s="9683"/>
      <c r="S97" s="9683"/>
      <c r="T97" s="9700"/>
      <c r="U97" s="3628"/>
      <c r="V97" s="2756"/>
      <c r="W97" s="2756"/>
      <c r="X97" s="3540"/>
      <c r="Y97" s="3540"/>
      <c r="Z97" s="3540"/>
      <c r="AA97" s="3597"/>
      <c r="AE97" s="9591"/>
      <c r="AF97" s="7062"/>
      <c r="AG97" s="7062"/>
      <c r="AH97" s="7062"/>
      <c r="AI97" s="9592"/>
      <c r="AR97"/>
      <c r="AS97"/>
      <c r="BA97" s="658"/>
      <c r="BB97" s="658"/>
      <c r="BD97"/>
      <c r="BE97"/>
      <c r="BF97" s="84"/>
      <c r="BG97" s="84"/>
    </row>
    <row r="98" spans="1:59" ht="13.5" customHeight="1">
      <c r="A98" s="139"/>
      <c r="B98" s="3617">
        <v>24</v>
      </c>
      <c r="C98" s="3574" t="s">
        <v>5040</v>
      </c>
      <c r="D98" s="3097"/>
      <c r="E98" s="3097"/>
      <c r="F98" s="3097"/>
      <c r="G98" s="2755"/>
      <c r="H98" s="2755"/>
      <c r="I98" s="2755"/>
      <c r="J98" s="2755"/>
      <c r="K98" s="2755"/>
      <c r="L98" s="2755"/>
      <c r="M98" s="2755"/>
      <c r="N98" s="2755"/>
      <c r="O98" s="2755"/>
      <c r="P98" s="2755"/>
      <c r="Q98" s="2755"/>
      <c r="R98" s="2755"/>
      <c r="S98" s="2755"/>
      <c r="T98" s="2755"/>
      <c r="U98" s="3628"/>
      <c r="V98" s="3727"/>
      <c r="W98" s="3728"/>
      <c r="X98" s="3540"/>
      <c r="Y98" s="3540"/>
      <c r="Z98" s="3540"/>
      <c r="AA98" s="3597"/>
      <c r="AE98" s="9591"/>
      <c r="AF98" s="7062"/>
      <c r="AG98" s="7062"/>
      <c r="AH98" s="7062"/>
      <c r="AI98" s="9592"/>
      <c r="AR98"/>
      <c r="AS98"/>
      <c r="BA98" s="658"/>
      <c r="BB98" s="658"/>
      <c r="BD98"/>
      <c r="BE98"/>
      <c r="BF98" s="84"/>
      <c r="BG98" s="84"/>
    </row>
    <row r="99" spans="1:59" ht="13.5" customHeight="1">
      <c r="A99" s="139"/>
      <c r="B99" s="3619"/>
      <c r="C99" s="3600" t="s">
        <v>5039</v>
      </c>
      <c r="D99" s="3592"/>
      <c r="E99" s="3592"/>
      <c r="F99" s="3592"/>
      <c r="G99" s="2755"/>
      <c r="H99" s="2755"/>
      <c r="I99" s="2755"/>
      <c r="J99" s="2755"/>
      <c r="K99" s="2755"/>
      <c r="L99" s="2755"/>
      <c r="M99" s="2755"/>
      <c r="N99" s="2755"/>
      <c r="O99" s="2755"/>
      <c r="P99" s="2755"/>
      <c r="Q99" s="2755"/>
      <c r="R99" s="2755"/>
      <c r="S99" s="2755"/>
      <c r="T99" s="2768" t="s">
        <v>676</v>
      </c>
      <c r="U99" s="3621">
        <f>B98</f>
        <v>24</v>
      </c>
      <c r="V99" s="9682" t="str">
        <f>IF(OR(M25&lt;&gt;"",M27=""),"",MIN(O88,O92,V96))</f>
        <v/>
      </c>
      <c r="W99" s="8272"/>
      <c r="X99" s="3540"/>
      <c r="Y99" s="3540"/>
      <c r="Z99" s="3540"/>
      <c r="AA99" s="3597"/>
      <c r="AE99" s="9593"/>
      <c r="AF99" s="9594"/>
      <c r="AG99" s="9594"/>
      <c r="AH99" s="9594"/>
      <c r="AI99" s="9595"/>
      <c r="AR99"/>
      <c r="AS99"/>
      <c r="BA99" s="658"/>
      <c r="BB99" s="658"/>
      <c r="BD99"/>
      <c r="BE99"/>
      <c r="BF99" s="84"/>
      <c r="BG99" s="84"/>
    </row>
    <row r="100" spans="1:59" ht="16.5" thickBot="1">
      <c r="A100" s="139"/>
      <c r="B100" s="3617">
        <v>25</v>
      </c>
      <c r="C100" s="3721" t="s">
        <v>3194</v>
      </c>
      <c r="D100" s="2755"/>
      <c r="E100" s="2755"/>
      <c r="F100" s="2755"/>
      <c r="G100" s="2755"/>
      <c r="H100" s="2755"/>
      <c r="I100" s="2755"/>
      <c r="J100" s="2755"/>
      <c r="K100" s="2755"/>
      <c r="L100" s="2768"/>
      <c r="M100" s="2755"/>
      <c r="N100" s="2755"/>
      <c r="O100" s="3729"/>
      <c r="P100" s="3730"/>
      <c r="Q100" s="3730"/>
      <c r="R100" s="3730"/>
      <c r="S100" s="3730"/>
      <c r="T100" s="3731"/>
      <c r="U100" s="3732"/>
      <c r="V100" s="2756"/>
      <c r="W100" s="2756"/>
      <c r="X100" s="3540"/>
      <c r="Y100" s="3540"/>
      <c r="Z100" s="3540"/>
      <c r="AA100" s="185" t="s">
        <v>771</v>
      </c>
    </row>
    <row r="101" spans="1:59" ht="13.5" customHeight="1" thickBot="1">
      <c r="A101" s="139"/>
      <c r="B101" s="3617"/>
      <c r="C101" s="3721" t="s">
        <v>3195</v>
      </c>
      <c r="D101" s="3097"/>
      <c r="E101" s="3097"/>
      <c r="F101" s="3097"/>
      <c r="G101" s="2755"/>
      <c r="H101" s="2755"/>
      <c r="I101" s="2755"/>
      <c r="J101" s="2755"/>
      <c r="K101" s="2755"/>
      <c r="L101" s="2755"/>
      <c r="M101" s="2755"/>
      <c r="N101" s="2755"/>
      <c r="O101" s="2755"/>
      <c r="P101" s="2755"/>
      <c r="Q101" s="2755"/>
      <c r="R101" s="2755"/>
      <c r="S101" s="2755"/>
      <c r="T101" s="2755"/>
      <c r="U101" s="3621">
        <f>B100</f>
        <v>25</v>
      </c>
      <c r="V101" s="9682" t="str">
        <f>IF(AA101&lt;&gt;"",AA101,IF(OR(M25&lt;&gt;"",M27=""),"",IF(AND(C94="",C96=""),"",IF(C94&lt;&gt;"",MIN(O88,O92),IF(SUM(MIN(O88,O92),-V99)&lt;0,0,SUM(MIN(O88,O92),-V99))))))</f>
        <v/>
      </c>
      <c r="W101" s="9683"/>
      <c r="X101" s="3540"/>
      <c r="Y101" s="3540"/>
      <c r="Z101" s="3540"/>
      <c r="AA101" s="438"/>
    </row>
    <row r="102" spans="1:59" ht="15.75" thickBot="1">
      <c r="A102" s="139"/>
      <c r="B102" s="3617">
        <v>26</v>
      </c>
      <c r="C102" s="2985" t="s">
        <v>3196</v>
      </c>
      <c r="D102" s="2754"/>
      <c r="E102" s="2754"/>
      <c r="F102" s="2754"/>
      <c r="G102" s="2755"/>
      <c r="H102" s="2755"/>
      <c r="I102" s="2755"/>
      <c r="J102" s="2755"/>
      <c r="K102" s="2755"/>
      <c r="L102" s="2755"/>
      <c r="M102" s="2755"/>
      <c r="N102" s="2755"/>
      <c r="O102" s="2755"/>
      <c r="P102" s="2755"/>
      <c r="Q102" s="2755"/>
      <c r="R102" s="2755"/>
      <c r="S102" s="2755"/>
      <c r="T102" s="2755"/>
      <c r="U102" s="3628"/>
      <c r="V102" s="3624"/>
      <c r="W102" s="3624"/>
      <c r="X102" s="3540"/>
      <c r="Y102" s="3540"/>
      <c r="Z102" s="3540"/>
      <c r="AA102" s="3597"/>
    </row>
    <row r="103" spans="1:59" ht="15.75" thickBot="1">
      <c r="A103" s="139"/>
      <c r="B103" s="3733"/>
      <c r="C103" s="3564" t="s">
        <v>3197</v>
      </c>
      <c r="D103" s="3109"/>
      <c r="E103" s="3109"/>
      <c r="F103" s="3109"/>
      <c r="G103" s="3565"/>
      <c r="H103" s="3565"/>
      <c r="I103" s="3565"/>
      <c r="J103" s="3565"/>
      <c r="K103" s="3565"/>
      <c r="L103" s="3565"/>
      <c r="M103" s="3565"/>
      <c r="N103" s="3565"/>
      <c r="O103" s="3565"/>
      <c r="P103" s="3565"/>
      <c r="Q103" s="3565"/>
      <c r="R103" s="3565"/>
      <c r="S103" s="3565"/>
      <c r="T103" s="3610" t="s">
        <v>1066</v>
      </c>
      <c r="U103" s="3659">
        <f>B102</f>
        <v>26</v>
      </c>
      <c r="V103" s="9682" t="str">
        <f>IF(AA103&lt;&gt;"",ROUND(AA103,0),IF(OR(AND(File_Marr_Sep&lt;&gt;"",$AD$19&lt;&gt;""),AND(C94="",C96="")),"",IF(OR(M25&lt;&gt;"",M27=""),"",IF(SUM(O97,-V101)&lt;0,0,SUM(O97,-V101)))))</f>
        <v/>
      </c>
      <c r="W103" s="8272"/>
      <c r="X103" s="3540"/>
      <c r="Y103" s="3540"/>
      <c r="Z103" s="3540"/>
      <c r="AA103" s="438"/>
    </row>
    <row r="104" spans="1:59" ht="9" customHeight="1">
      <c r="A104" s="139"/>
      <c r="B104" s="2755"/>
      <c r="C104" s="2755"/>
      <c r="D104" s="2755"/>
      <c r="E104" s="2755"/>
      <c r="F104" s="2755"/>
      <c r="G104" s="2755"/>
      <c r="H104" s="2755"/>
      <c r="I104" s="2755"/>
      <c r="J104" s="2755"/>
      <c r="K104" s="2755"/>
      <c r="L104" s="2755"/>
      <c r="M104" s="2755"/>
      <c r="N104" s="2755"/>
      <c r="O104" s="2755"/>
      <c r="P104" s="2755"/>
      <c r="Q104" s="2755"/>
      <c r="R104" s="2755"/>
      <c r="S104" s="2755"/>
      <c r="T104" s="2755"/>
      <c r="U104" s="2755"/>
      <c r="V104" s="2756"/>
      <c r="W104" s="2756"/>
      <c r="X104" s="3540"/>
      <c r="Y104" s="3540"/>
      <c r="Z104" s="3540"/>
      <c r="AA104" s="3597"/>
    </row>
    <row r="105" spans="1:59" ht="15">
      <c r="A105" s="139"/>
      <c r="B105" s="2755" t="s">
        <v>709</v>
      </c>
      <c r="C105" s="2755"/>
      <c r="D105" s="2755"/>
      <c r="E105" s="2755"/>
      <c r="F105" s="2755"/>
      <c r="G105" s="2755"/>
      <c r="H105" s="2755"/>
      <c r="I105" s="2755"/>
      <c r="J105" s="3600"/>
      <c r="K105" s="2755"/>
      <c r="L105" s="3734" t="s">
        <v>3198</v>
      </c>
      <c r="M105" s="2755"/>
      <c r="N105" s="2755"/>
      <c r="O105" s="2755"/>
      <c r="P105" s="2755"/>
      <c r="Q105" s="2755"/>
      <c r="R105" s="2755"/>
      <c r="S105" s="2755"/>
      <c r="T105" s="2755"/>
      <c r="U105" s="2755"/>
      <c r="V105" s="2756"/>
      <c r="W105" s="2756"/>
      <c r="X105" s="3540"/>
      <c r="Y105" s="3540"/>
      <c r="Z105" s="3540"/>
      <c r="AA105" s="3597"/>
      <c r="AC105" s="141"/>
      <c r="AD105" s="141"/>
    </row>
    <row r="106" spans="1:59" ht="15">
      <c r="A106" s="139"/>
      <c r="B106" s="3592"/>
      <c r="C106" s="2755"/>
      <c r="D106" s="2755"/>
      <c r="E106" s="2755"/>
      <c r="F106" s="2755"/>
      <c r="G106" s="2755"/>
      <c r="H106" s="2755"/>
      <c r="I106" s="2755"/>
      <c r="J106" s="3600"/>
      <c r="K106" s="2755"/>
      <c r="L106" s="3734" t="s">
        <v>3199</v>
      </c>
      <c r="M106" s="2755"/>
      <c r="N106" s="2755"/>
      <c r="O106" s="2755"/>
      <c r="P106" s="2755"/>
      <c r="Q106" s="2755"/>
      <c r="R106" s="2755"/>
      <c r="S106" s="2755"/>
      <c r="T106" s="2755"/>
      <c r="U106" s="2755"/>
      <c r="V106" s="2756"/>
      <c r="W106" s="2756"/>
      <c r="X106" s="3540"/>
      <c r="Y106" s="3540"/>
      <c r="Z106" s="3540"/>
      <c r="AA106" s="8793" t="s">
        <v>771</v>
      </c>
    </row>
    <row r="107" spans="1:59" ht="6" customHeight="1" thickBot="1">
      <c r="A107" s="139"/>
      <c r="B107" s="3565"/>
      <c r="C107" s="3565"/>
      <c r="D107" s="3565"/>
      <c r="E107" s="3565"/>
      <c r="F107" s="3565"/>
      <c r="G107" s="3565"/>
      <c r="H107" s="3565"/>
      <c r="I107" s="3565"/>
      <c r="J107" s="3565"/>
      <c r="K107" s="3565"/>
      <c r="L107" s="3565"/>
      <c r="M107" s="3565"/>
      <c r="N107" s="3565"/>
      <c r="O107" s="3565"/>
      <c r="P107" s="3565"/>
      <c r="Q107" s="3565"/>
      <c r="R107" s="3565"/>
      <c r="S107" s="3565"/>
      <c r="T107" s="3565"/>
      <c r="U107" s="3565"/>
      <c r="V107" s="2756"/>
      <c r="W107" s="2756"/>
      <c r="X107" s="3540"/>
      <c r="Y107" s="3540"/>
      <c r="Z107" s="3540"/>
      <c r="AA107" s="9741"/>
    </row>
    <row r="108" spans="1:59" ht="15" thickBot="1">
      <c r="A108" s="139"/>
      <c r="B108" s="3632">
        <v>27</v>
      </c>
      <c r="C108" s="3098" t="str">
        <f>"Enter "&amp;TEXT(AB41,"$0,000")&amp;" ("&amp;TEXT(AB42,"$0,000")&amp;" if two or more qualifying persons)"</f>
        <v>Enter $3,000 ($6,000 if two or more qualifying persons)</v>
      </c>
      <c r="D108" s="2755"/>
      <c r="E108" s="2755"/>
      <c r="F108" s="2755"/>
      <c r="G108" s="2755"/>
      <c r="H108" s="2755"/>
      <c r="I108" s="2755"/>
      <c r="J108" s="2755"/>
      <c r="K108" s="2755"/>
      <c r="L108" s="2755"/>
      <c r="M108" s="2755"/>
      <c r="N108" s="2768"/>
      <c r="O108" s="2996"/>
      <c r="P108" s="2996"/>
      <c r="Q108" s="2996"/>
      <c r="R108" s="2996"/>
      <c r="S108" s="2996"/>
      <c r="T108" s="2768" t="s">
        <v>608</v>
      </c>
      <c r="U108" s="2773">
        <f>B108</f>
        <v>27</v>
      </c>
      <c r="V108" s="9684" t="str">
        <f>IF(AA108&lt;&gt;"",AA108,IF(OR(M25&lt;&gt;"",M27=""),"",IF(X41&gt;1,AB42,AB41)))</f>
        <v/>
      </c>
      <c r="W108" s="9685"/>
      <c r="X108" s="3540"/>
      <c r="Y108" s="3540"/>
      <c r="Z108" s="3540"/>
      <c r="AA108" s="438"/>
    </row>
    <row r="109" spans="1:59" ht="15.75" customHeight="1">
      <c r="A109" s="139"/>
      <c r="B109" s="3632">
        <v>28</v>
      </c>
      <c r="C109" s="3098" t="s">
        <v>3033</v>
      </c>
      <c r="D109" s="2755"/>
      <c r="E109" s="2755"/>
      <c r="F109" s="2755"/>
      <c r="G109" s="2755"/>
      <c r="H109" s="2755"/>
      <c r="I109" s="2755"/>
      <c r="J109" s="2755"/>
      <c r="K109" s="2755"/>
      <c r="L109" s="2755"/>
      <c r="M109" s="2755"/>
      <c r="N109" s="2768"/>
      <c r="O109" s="2755"/>
      <c r="P109" s="2755"/>
      <c r="Q109" s="2755"/>
      <c r="R109" s="2755"/>
      <c r="S109" s="2755"/>
      <c r="T109" s="2768" t="s">
        <v>2699</v>
      </c>
      <c r="U109" s="2773">
        <f>B109</f>
        <v>28</v>
      </c>
      <c r="V109" s="9684" t="str">
        <f>IF(OR(M25&lt;&gt;"",M27=""),"",SUM(V99,V101))</f>
        <v/>
      </c>
      <c r="W109" s="9685"/>
      <c r="X109" s="3540"/>
      <c r="Y109" s="3540"/>
      <c r="Z109" s="3540"/>
      <c r="AA109" s="3597"/>
    </row>
    <row r="110" spans="1:59" ht="15.75" thickBot="1">
      <c r="A110" s="139"/>
      <c r="B110" s="3632">
        <v>29</v>
      </c>
      <c r="C110" s="3686" t="s">
        <v>3200</v>
      </c>
      <c r="D110" s="2755"/>
      <c r="E110" s="2755"/>
      <c r="F110" s="2755"/>
      <c r="G110" s="2755"/>
      <c r="H110" s="2755"/>
      <c r="I110" s="3686" t="s">
        <v>3201</v>
      </c>
      <c r="J110" s="3686"/>
      <c r="K110" s="2755"/>
      <c r="L110" s="2755"/>
      <c r="M110" s="2755"/>
      <c r="N110" s="2755"/>
      <c r="O110" s="2755"/>
      <c r="P110" s="2755"/>
      <c r="Q110" s="2755"/>
      <c r="R110" s="2755"/>
      <c r="S110" s="2755"/>
      <c r="T110" s="2755"/>
      <c r="U110" s="3735"/>
      <c r="V110" s="3624"/>
      <c r="W110" s="3624"/>
      <c r="X110" s="3540"/>
      <c r="Y110" s="3540"/>
      <c r="Z110" s="3540"/>
      <c r="AA110" s="3597"/>
    </row>
    <row r="111" spans="1:59" ht="15.75" thickBot="1">
      <c r="A111" s="139"/>
      <c r="B111" s="3676"/>
      <c r="C111" s="3736" t="s">
        <v>5427</v>
      </c>
      <c r="D111" s="3700"/>
      <c r="E111" s="3700"/>
      <c r="F111" s="3686"/>
      <c r="G111" s="3686" t="str">
        <f>"paid "&amp;TaxYear-1&amp;" expenses in "&amp;TaxYear&amp;", see the instruction for line 9b"</f>
        <v>paid 2024 expenses in 2025, see the instruction for line 9b</v>
      </c>
      <c r="H111" s="3699"/>
      <c r="I111" s="3699"/>
      <c r="J111" s="3699"/>
      <c r="K111" s="3699"/>
      <c r="L111" s="3699"/>
      <c r="M111" s="2755"/>
      <c r="N111" s="2768"/>
      <c r="O111" s="2768"/>
      <c r="P111" s="2768"/>
      <c r="Q111" s="2768"/>
      <c r="R111" s="2768"/>
      <c r="S111" s="2768"/>
      <c r="T111" s="2768" t="s">
        <v>624</v>
      </c>
      <c r="U111" s="2773">
        <f>B110</f>
        <v>29</v>
      </c>
      <c r="V111" s="9682" t="str">
        <f>IF(AA111&lt;&gt;"",ROUND(AA111,0),IF(OR(M25&lt;&gt;"",M27=""),"",IF(SUM(V108,-V109)&gt;=0,SUM(V108,-V109),"STOP")))</f>
        <v/>
      </c>
      <c r="W111" s="8272"/>
      <c r="X111" s="3540"/>
      <c r="Y111" s="3540"/>
      <c r="Z111" s="3540"/>
      <c r="AA111" s="438"/>
    </row>
    <row r="112" spans="1:59" ht="15.75" thickBot="1">
      <c r="A112" s="139"/>
      <c r="B112" s="3632">
        <v>30</v>
      </c>
      <c r="C112" s="3686" t="s">
        <v>3202</v>
      </c>
      <c r="D112" s="3627"/>
      <c r="E112" s="3627"/>
      <c r="F112" s="3627"/>
      <c r="G112" s="2755"/>
      <c r="H112" s="2755"/>
      <c r="I112" s="2755"/>
      <c r="J112" s="2755"/>
      <c r="K112" s="2755"/>
      <c r="L112" s="2755"/>
      <c r="M112" s="2755"/>
      <c r="N112" s="2755"/>
      <c r="O112" s="3737"/>
      <c r="P112" s="3738"/>
      <c r="Q112" s="3738"/>
      <c r="R112" s="3738"/>
      <c r="S112" s="3738"/>
      <c r="T112" s="3739"/>
      <c r="U112" s="3735"/>
      <c r="V112" s="3624"/>
      <c r="W112" s="3624"/>
      <c r="X112" s="3540"/>
      <c r="Y112" s="3540"/>
      <c r="Z112" s="3540"/>
      <c r="AA112" s="3597"/>
    </row>
    <row r="113" spans="1:43" ht="15" thickBot="1">
      <c r="A113" s="139"/>
      <c r="B113" s="3632"/>
      <c r="C113" s="3098" t="s">
        <v>5041</v>
      </c>
      <c r="D113" s="3627"/>
      <c r="E113" s="3627"/>
      <c r="F113" s="3627"/>
      <c r="G113" s="2755"/>
      <c r="H113" s="2755"/>
      <c r="I113" s="2755"/>
      <c r="J113" s="2755"/>
      <c r="K113" s="2755"/>
      <c r="L113" s="2755"/>
      <c r="M113" s="2755"/>
      <c r="N113" s="2755"/>
      <c r="O113" s="2755"/>
      <c r="P113" s="2755"/>
      <c r="Q113" s="2755"/>
      <c r="R113" s="2755"/>
      <c r="S113" s="2755"/>
      <c r="T113" s="2768" t="s">
        <v>624</v>
      </c>
      <c r="U113" s="2773">
        <f>B112</f>
        <v>30</v>
      </c>
      <c r="V113" s="9682" t="str">
        <f>IF(AA113&lt;&gt;"",AA113,IF(OR(M25&lt;&gt;"",M27=""),"",V41))</f>
        <v/>
      </c>
      <c r="W113" s="8272"/>
      <c r="X113" s="3540"/>
      <c r="Y113" s="3540"/>
      <c r="Z113" s="3540"/>
      <c r="AA113" s="438"/>
    </row>
    <row r="114" spans="1:43" ht="15.75" thickBot="1">
      <c r="A114" s="139"/>
      <c r="B114" s="3632">
        <v>31</v>
      </c>
      <c r="C114" s="3098" t="s">
        <v>3203</v>
      </c>
      <c r="D114" s="2755"/>
      <c r="E114" s="2755"/>
      <c r="F114" s="2755"/>
      <c r="G114" s="2755"/>
      <c r="H114" s="2755"/>
      <c r="I114" s="2755"/>
      <c r="J114" s="2755"/>
      <c r="K114" s="2755"/>
      <c r="L114" s="2755"/>
      <c r="M114" s="2755"/>
      <c r="N114" s="2755"/>
      <c r="O114" s="3737"/>
      <c r="P114" s="3738"/>
      <c r="Q114" s="3738"/>
      <c r="R114" s="3738"/>
      <c r="S114" s="3738"/>
      <c r="T114" s="3739"/>
      <c r="U114" s="3735"/>
      <c r="V114" s="3624"/>
      <c r="W114" s="3624"/>
      <c r="X114" s="3540"/>
      <c r="Y114" s="3540"/>
      <c r="Z114" s="3540"/>
      <c r="AA114" s="3597"/>
    </row>
    <row r="115" spans="1:43" ht="17.25" customHeight="1" thickBot="1">
      <c r="A115" s="139"/>
      <c r="B115" s="3740"/>
      <c r="C115" s="3668" t="s">
        <v>3204</v>
      </c>
      <c r="D115" s="3670"/>
      <c r="E115" s="3670"/>
      <c r="F115" s="3670"/>
      <c r="G115" s="3670"/>
      <c r="H115" s="3670"/>
      <c r="I115" s="3670"/>
      <c r="J115" s="3670"/>
      <c r="K115" s="3670"/>
      <c r="L115" s="3670"/>
      <c r="M115" s="3670"/>
      <c r="N115" s="3741"/>
      <c r="O115" s="3742"/>
      <c r="P115" s="3742"/>
      <c r="Q115" s="3742"/>
      <c r="R115" s="3742"/>
      <c r="S115" s="3742"/>
      <c r="T115" s="3743" t="s">
        <v>1075</v>
      </c>
      <c r="U115" s="3742">
        <f>B114</f>
        <v>31</v>
      </c>
      <c r="V115" s="9698" t="str">
        <f>IF(AA115&lt;&gt;"",AA115,IF(OR(M25&lt;&gt;"",M27="",AD19&lt;&gt;""),"",IF(V111="STOP",0,MIN(V111,V113))))</f>
        <v/>
      </c>
      <c r="W115" s="9699"/>
      <c r="X115" s="3540"/>
      <c r="Y115" s="3540"/>
      <c r="Z115" s="3540"/>
      <c r="AA115" s="438"/>
    </row>
    <row r="116" spans="1:43" ht="15">
      <c r="A116" s="139"/>
      <c r="B116" s="3744"/>
      <c r="C116" s="3745"/>
      <c r="D116" s="3745"/>
      <c r="E116" s="3745"/>
      <c r="F116" s="3745"/>
      <c r="G116" s="3745"/>
      <c r="H116" s="3745"/>
      <c r="I116" s="3745"/>
      <c r="J116" s="3745"/>
      <c r="K116" s="3745"/>
      <c r="L116" s="3745"/>
      <c r="M116" s="3745"/>
      <c r="N116" s="3084"/>
      <c r="O116" s="3745"/>
      <c r="P116" s="3745"/>
      <c r="Q116" s="3745"/>
      <c r="R116" s="3745"/>
      <c r="S116" s="3745"/>
      <c r="T116" s="3745"/>
      <c r="U116" s="3745"/>
      <c r="V116" s="3746" t="str">
        <f>"Form 2441  ("&amp;TaxYear&amp;")"</f>
        <v>Form 2441  (2025)</v>
      </c>
      <c r="W116" s="2768"/>
      <c r="X116" s="3540"/>
      <c r="Y116" s="3540"/>
      <c r="Z116" s="3540"/>
      <c r="AA116" s="3597"/>
    </row>
    <row r="117" spans="1:43" ht="17.25" customHeight="1" thickBot="1">
      <c r="A117" s="139"/>
      <c r="B117" s="3097"/>
      <c r="C117" s="2755"/>
      <c r="D117" s="2755"/>
      <c r="E117" s="2755"/>
      <c r="F117" s="2755"/>
      <c r="G117" s="2755"/>
      <c r="H117" s="2755"/>
      <c r="I117" s="2755"/>
      <c r="J117" s="3097"/>
      <c r="K117" s="3097"/>
      <c r="L117" s="2755"/>
      <c r="M117" s="3562"/>
      <c r="N117" s="2755"/>
      <c r="O117" s="2755"/>
      <c r="P117" s="2755"/>
      <c r="Q117" s="2755"/>
      <c r="R117" s="2755"/>
      <c r="S117" s="2755"/>
      <c r="T117" s="2755"/>
      <c r="U117" s="2755"/>
      <c r="V117" s="3563"/>
      <c r="W117" s="3563"/>
      <c r="X117" s="3540"/>
      <c r="Y117" s="3540"/>
      <c r="Z117" s="3540"/>
    </row>
    <row r="118" spans="1:43" ht="21" customHeight="1">
      <c r="A118" s="139"/>
      <c r="B118" s="389"/>
      <c r="C118" s="9726">
        <v>2441</v>
      </c>
      <c r="D118" s="9727"/>
      <c r="E118" s="9727"/>
      <c r="F118" s="9727"/>
      <c r="G118" s="3747"/>
      <c r="H118" s="9692" t="s">
        <v>3205</v>
      </c>
      <c r="I118" s="9693"/>
      <c r="J118" s="9693"/>
      <c r="K118" s="9693"/>
      <c r="L118" s="9693"/>
      <c r="M118" s="9693"/>
      <c r="N118" s="9693"/>
      <c r="O118" s="9693"/>
      <c r="P118" s="9693"/>
      <c r="Q118" s="9693"/>
      <c r="R118" s="9693"/>
      <c r="S118" s="9693"/>
      <c r="T118" s="9693"/>
      <c r="U118" s="9694"/>
      <c r="V118" s="9688">
        <f>TaxYear</f>
        <v>2025</v>
      </c>
      <c r="W118" s="9689"/>
      <c r="X118" s="3540"/>
      <c r="Y118" s="3540"/>
      <c r="Z118" s="3540"/>
    </row>
    <row r="119" spans="1:43" ht="18.75" thickBot="1">
      <c r="A119" s="139"/>
      <c r="B119" s="3748" t="s">
        <v>46</v>
      </c>
      <c r="C119" s="9728"/>
      <c r="D119" s="9728"/>
      <c r="E119" s="9728"/>
      <c r="F119" s="9728"/>
      <c r="G119" s="3749"/>
      <c r="H119" s="9695" t="s">
        <v>3075</v>
      </c>
      <c r="I119" s="9696"/>
      <c r="J119" s="9696"/>
      <c r="K119" s="9696"/>
      <c r="L119" s="9696"/>
      <c r="M119" s="9696"/>
      <c r="N119" s="9696"/>
      <c r="O119" s="9696"/>
      <c r="P119" s="9696"/>
      <c r="Q119" s="9696"/>
      <c r="R119" s="9696"/>
      <c r="S119" s="9696"/>
      <c r="T119" s="9696"/>
      <c r="U119" s="9697"/>
      <c r="V119" s="9690"/>
      <c r="W119" s="9691"/>
      <c r="X119" s="3677"/>
      <c r="Y119" s="3677"/>
      <c r="Z119" s="3677"/>
      <c r="AA119" s="141"/>
    </row>
    <row r="120" spans="1:43" ht="18" customHeight="1">
      <c r="A120" s="139"/>
      <c r="B120" s="3612"/>
      <c r="C120" s="3750"/>
      <c r="D120" s="3750"/>
      <c r="E120" s="3750"/>
      <c r="F120" s="3750"/>
      <c r="G120" s="3699"/>
      <c r="H120" s="3096"/>
      <c r="I120" s="3096"/>
      <c r="J120" s="3096"/>
      <c r="K120" s="3699"/>
      <c r="L120" s="3699"/>
      <c r="M120" s="3699"/>
      <c r="N120" s="3699"/>
      <c r="O120" s="3699"/>
      <c r="P120" s="3699"/>
      <c r="Q120" s="3699"/>
      <c r="R120" s="3699"/>
      <c r="S120" s="3699"/>
      <c r="T120" s="3699"/>
      <c r="U120" s="3699"/>
      <c r="V120" s="3751"/>
      <c r="W120" s="3751"/>
      <c r="X120" s="3677"/>
      <c r="Y120" s="3677"/>
      <c r="Z120" s="3677"/>
      <c r="AA120" s="141"/>
      <c r="AB120" s="141"/>
    </row>
    <row r="121" spans="1:43" ht="14.25" customHeight="1">
      <c r="A121" s="139"/>
      <c r="B121" s="3752" t="s">
        <v>1918</v>
      </c>
      <c r="C121" s="3753"/>
      <c r="D121" s="3753"/>
      <c r="E121" s="3753"/>
      <c r="F121" s="3753"/>
      <c r="G121" s="3642"/>
      <c r="H121" s="3754"/>
      <c r="I121" s="3754"/>
      <c r="J121" s="3754"/>
      <c r="K121" s="3754"/>
      <c r="L121" s="3755"/>
      <c r="M121" s="3752"/>
      <c r="N121" s="3752"/>
      <c r="O121" s="3752"/>
      <c r="P121" s="3752"/>
      <c r="Q121" s="3752"/>
      <c r="R121" s="3752"/>
      <c r="S121" s="3752"/>
      <c r="T121" s="3752"/>
      <c r="U121" s="3756" t="s">
        <v>549</v>
      </c>
      <c r="V121" s="3757"/>
      <c r="W121" s="3757"/>
      <c r="X121" s="3557"/>
      <c r="Y121" s="3557"/>
      <c r="Z121" s="3557"/>
    </row>
    <row r="122" spans="1:43" ht="15">
      <c r="A122" s="139"/>
      <c r="B122" s="9730" t="str">
        <f>Names</f>
        <v/>
      </c>
      <c r="C122" s="9730"/>
      <c r="D122" s="9730"/>
      <c r="E122" s="9730"/>
      <c r="F122" s="9730"/>
      <c r="G122" s="9730"/>
      <c r="H122" s="9730"/>
      <c r="I122" s="9730"/>
      <c r="J122" s="9730"/>
      <c r="K122" s="9730"/>
      <c r="L122" s="9730"/>
      <c r="M122" s="9730"/>
      <c r="N122" s="9730"/>
      <c r="O122" s="9730"/>
      <c r="P122" s="9730"/>
      <c r="Q122" s="9730"/>
      <c r="R122" s="9730"/>
      <c r="S122" s="9730"/>
      <c r="T122" s="9731"/>
      <c r="U122" s="9610">
        <f>IF(NoSSN,"",SS_Yours)</f>
        <v>1010001</v>
      </c>
      <c r="V122" s="9611"/>
      <c r="W122" s="9611"/>
      <c r="X122" s="3557"/>
      <c r="Y122" s="3557"/>
      <c r="Z122" s="3557"/>
    </row>
    <row r="123" spans="1:43" ht="15" customHeight="1">
      <c r="A123" s="139"/>
      <c r="B123" s="3097"/>
      <c r="C123" s="2755"/>
      <c r="D123" s="2755"/>
      <c r="E123" s="2755"/>
      <c r="F123" s="2755"/>
      <c r="G123" s="2755"/>
      <c r="H123" s="2755"/>
      <c r="I123" s="2755"/>
      <c r="J123" s="3097"/>
      <c r="K123" s="3097"/>
      <c r="L123" s="2755"/>
      <c r="M123" s="3562"/>
      <c r="N123" s="2755"/>
      <c r="O123" s="2755"/>
      <c r="P123" s="2755"/>
      <c r="Q123" s="2755"/>
      <c r="R123" s="2755"/>
      <c r="S123" s="2755"/>
      <c r="T123" s="2755"/>
      <c r="U123" s="2755"/>
      <c r="V123" s="3563"/>
      <c r="W123" s="3563"/>
      <c r="X123" s="3540"/>
      <c r="Y123" s="3540"/>
      <c r="Z123" s="3540"/>
    </row>
    <row r="124" spans="1:43" ht="15" customHeight="1">
      <c r="A124" s="139"/>
      <c r="B124" s="3573" t="s">
        <v>780</v>
      </c>
      <c r="C124" s="3574" t="s">
        <v>3206</v>
      </c>
      <c r="D124" s="3574"/>
      <c r="E124" s="3574"/>
      <c r="F124" s="3574"/>
      <c r="G124" s="2755"/>
      <c r="H124" s="2755"/>
      <c r="I124" s="2755"/>
      <c r="J124" s="2755"/>
      <c r="K124" s="2755"/>
      <c r="L124" s="2755"/>
      <c r="M124" s="2755"/>
      <c r="N124" s="2755"/>
      <c r="O124" s="2755"/>
      <c r="P124" s="2755"/>
      <c r="Q124" s="2755"/>
      <c r="R124" s="2755"/>
      <c r="S124" s="2755"/>
      <c r="T124" s="2755"/>
      <c r="U124" s="2755"/>
      <c r="V124" s="3575"/>
      <c r="W124" s="3575"/>
      <c r="X124" s="3540"/>
      <c r="Y124" s="3540"/>
      <c r="Z124" s="3540"/>
      <c r="AA124" s="304"/>
      <c r="AB124" s="304"/>
    </row>
    <row r="125" spans="1:43">
      <c r="A125" s="139"/>
      <c r="B125" s="3565"/>
      <c r="C125" s="3109"/>
      <c r="D125" s="3565"/>
      <c r="E125" s="3565"/>
      <c r="F125" s="3565"/>
      <c r="G125" s="3565"/>
      <c r="H125" s="3565"/>
      <c r="I125" s="3565"/>
      <c r="J125" s="3565"/>
      <c r="K125" s="3565"/>
      <c r="L125" s="3565"/>
      <c r="M125" s="3565"/>
      <c r="N125" s="3565"/>
      <c r="O125" s="3565"/>
      <c r="P125" s="3565"/>
      <c r="Q125" s="3565"/>
      <c r="R125" s="3565"/>
      <c r="S125" s="3565"/>
      <c r="T125" s="3565"/>
      <c r="U125" s="3565"/>
      <c r="V125" s="3565"/>
      <c r="W125" s="3565"/>
      <c r="X125" s="3540"/>
      <c r="Y125" s="3540"/>
      <c r="Z125" s="3540"/>
      <c r="AA125" s="304"/>
      <c r="AB125" s="304"/>
      <c r="AM125" s="304"/>
      <c r="AO125" s="304"/>
    </row>
    <row r="126" spans="1:43" ht="27" customHeight="1">
      <c r="A126" s="139"/>
      <c r="B126" s="3313" t="s">
        <v>3207</v>
      </c>
      <c r="C126" s="2753" t="s">
        <v>3100</v>
      </c>
      <c r="D126" s="2753"/>
      <c r="E126" s="2753"/>
      <c r="F126" s="2753"/>
      <c r="G126" s="3577"/>
      <c r="H126" s="3664"/>
      <c r="I126" s="2755"/>
      <c r="J126" s="3071" t="s">
        <v>3101</v>
      </c>
      <c r="K126" s="2755"/>
      <c r="L126" s="2755"/>
      <c r="M126" s="9555" t="s">
        <v>3208</v>
      </c>
      <c r="N126" s="9556"/>
      <c r="O126" s="9557"/>
      <c r="P126" s="8257" t="str">
        <f>"(d) Was the care provider your household employee in "&amp;TaxYear&amp;"?"&amp;CHAR(10)&amp;"For example, this generally includes nannies but not daycare centers. (see instructions)"</f>
        <v>(d) Was the care provider your household employee in 2025?
For example, this generally includes nannies but not daycare centers. (see instructions)</v>
      </c>
      <c r="Q126" s="9655"/>
      <c r="R126" s="9655"/>
      <c r="S126" s="9655"/>
      <c r="T126" s="9655"/>
      <c r="U126" s="9656"/>
      <c r="V126" s="9586" t="s">
        <v>3103</v>
      </c>
      <c r="W126" s="9587"/>
      <c r="X126" s="3540"/>
      <c r="Y126" s="3540"/>
      <c r="Z126" s="3540"/>
      <c r="AA126" s="304"/>
      <c r="AB126" s="304"/>
      <c r="AL126" s="304"/>
      <c r="AM126" s="304"/>
      <c r="AN126" s="304"/>
      <c r="AO126" s="304"/>
      <c r="AQ126" s="304"/>
    </row>
    <row r="127" spans="1:43" ht="39" customHeight="1">
      <c r="A127" s="139"/>
      <c r="B127" s="3301"/>
      <c r="C127" s="3578" t="s">
        <v>3106</v>
      </c>
      <c r="D127" s="3579"/>
      <c r="E127" s="3579"/>
      <c r="F127" s="3579"/>
      <c r="G127" s="3580"/>
      <c r="H127" s="3581" t="s">
        <v>3107</v>
      </c>
      <c r="I127" s="3582"/>
      <c r="J127" s="3565"/>
      <c r="K127" s="3565"/>
      <c r="L127" s="3565"/>
      <c r="M127" s="9558" t="s">
        <v>3209</v>
      </c>
      <c r="N127" s="9559"/>
      <c r="O127" s="9560"/>
      <c r="P127" s="9657"/>
      <c r="Q127" s="9658"/>
      <c r="R127" s="9658"/>
      <c r="S127" s="9658"/>
      <c r="T127" s="9658"/>
      <c r="U127" s="9659"/>
      <c r="V127" s="3581" t="s">
        <v>3108</v>
      </c>
      <c r="W127" s="3582"/>
      <c r="X127" s="3540"/>
      <c r="Y127" s="3540"/>
      <c r="Z127" s="3540"/>
      <c r="AA127" s="304"/>
      <c r="AB127" s="304"/>
      <c r="AL127" s="304"/>
      <c r="AM127" s="304"/>
      <c r="AN127" s="304"/>
      <c r="AO127" s="304"/>
      <c r="AQ127" s="304"/>
    </row>
    <row r="128" spans="1:43" ht="12" customHeight="1">
      <c r="A128" s="139"/>
      <c r="B128" s="9670"/>
      <c r="C128" s="9671"/>
      <c r="D128" s="9671"/>
      <c r="E128" s="9671"/>
      <c r="F128" s="9671"/>
      <c r="G128" s="9672"/>
      <c r="H128" s="9675"/>
      <c r="I128" s="9676"/>
      <c r="J128" s="9677"/>
      <c r="K128" s="9677"/>
      <c r="L128" s="9678"/>
      <c r="M128" s="3583"/>
      <c r="N128" s="3584"/>
      <c r="O128" s="3585"/>
      <c r="P128" s="3585"/>
      <c r="Q128" s="9569"/>
      <c r="R128" s="9561" t="s">
        <v>568</v>
      </c>
      <c r="S128" s="9562"/>
      <c r="T128" s="9603" t="str">
        <f>IF(AND(OR(B128&lt;&gt;"",V129&lt;&gt;""),Q128=""),"X","")</f>
        <v/>
      </c>
      <c r="U128" s="9605" t="s">
        <v>569</v>
      </c>
      <c r="V128" s="1444"/>
      <c r="W128" s="1445"/>
      <c r="X128" s="3540"/>
      <c r="Y128" s="3540"/>
      <c r="Z128" s="3540"/>
      <c r="AL128" s="304"/>
      <c r="AM128" s="304"/>
      <c r="AN128" s="304"/>
      <c r="AO128" s="304"/>
      <c r="AQ128" s="304"/>
    </row>
    <row r="129" spans="1:43" ht="12" customHeight="1">
      <c r="A129" s="139"/>
      <c r="B129" s="9673"/>
      <c r="C129" s="9673"/>
      <c r="D129" s="9673"/>
      <c r="E129" s="9673"/>
      <c r="F129" s="9673"/>
      <c r="G129" s="9674"/>
      <c r="H129" s="9565"/>
      <c r="I129" s="9566"/>
      <c r="J129" s="9567"/>
      <c r="K129" s="9567"/>
      <c r="L129" s="9568"/>
      <c r="M129" s="1299"/>
      <c r="N129" s="1300"/>
      <c r="O129" s="1301"/>
      <c r="P129" s="3586"/>
      <c r="Q129" s="9570"/>
      <c r="R129" s="9563"/>
      <c r="S129" s="9564"/>
      <c r="T129" s="9604"/>
      <c r="U129" s="9606"/>
      <c r="V129" s="9607"/>
      <c r="W129" s="9608"/>
      <c r="X129" s="3540"/>
      <c r="Y129" s="3540"/>
      <c r="Z129" s="3540"/>
      <c r="AL129" s="304"/>
      <c r="AN129" s="304"/>
      <c r="AQ129" s="304"/>
    </row>
    <row r="130" spans="1:43" ht="12" customHeight="1">
      <c r="A130" s="139"/>
      <c r="B130" s="9670"/>
      <c r="C130" s="9671"/>
      <c r="D130" s="9671"/>
      <c r="E130" s="9671"/>
      <c r="F130" s="9671"/>
      <c r="G130" s="9672"/>
      <c r="H130" s="9675"/>
      <c r="I130" s="9676"/>
      <c r="J130" s="9677"/>
      <c r="K130" s="9677"/>
      <c r="L130" s="9678"/>
      <c r="M130" s="3583"/>
      <c r="N130" s="3584"/>
      <c r="O130" s="3585"/>
      <c r="P130" s="3585"/>
      <c r="Q130" s="9569"/>
      <c r="R130" s="9561" t="s">
        <v>568</v>
      </c>
      <c r="S130" s="9562"/>
      <c r="T130" s="9603" t="str">
        <f>IF(AND(OR(B130&lt;&gt;"",V131&lt;&gt;""),Q130=""),"X","")</f>
        <v/>
      </c>
      <c r="U130" s="9605" t="s">
        <v>569</v>
      </c>
      <c r="V130" s="1444"/>
      <c r="W130" s="1445"/>
      <c r="X130" s="3540"/>
      <c r="Y130" s="3540"/>
      <c r="Z130" s="3540"/>
    </row>
    <row r="131" spans="1:43" ht="12" customHeight="1">
      <c r="A131" s="139"/>
      <c r="B131" s="9673"/>
      <c r="C131" s="9673"/>
      <c r="D131" s="9673"/>
      <c r="E131" s="9673"/>
      <c r="F131" s="9673"/>
      <c r="G131" s="9674"/>
      <c r="H131" s="9565"/>
      <c r="I131" s="9566"/>
      <c r="J131" s="9567"/>
      <c r="K131" s="9567"/>
      <c r="L131" s="9568"/>
      <c r="M131" s="1299"/>
      <c r="N131" s="1300"/>
      <c r="O131" s="1301"/>
      <c r="P131" s="3586"/>
      <c r="Q131" s="9570"/>
      <c r="R131" s="9563"/>
      <c r="S131" s="9564"/>
      <c r="T131" s="9604"/>
      <c r="U131" s="9606"/>
      <c r="V131" s="9607"/>
      <c r="W131" s="9608"/>
      <c r="X131" s="3540"/>
      <c r="Y131" s="3540"/>
      <c r="Z131" s="3540"/>
    </row>
    <row r="132" spans="1:43" ht="12" customHeight="1">
      <c r="A132" s="139"/>
      <c r="B132" s="9670"/>
      <c r="C132" s="9671"/>
      <c r="D132" s="9671"/>
      <c r="E132" s="9671"/>
      <c r="F132" s="9671"/>
      <c r="G132" s="9672"/>
      <c r="H132" s="9675"/>
      <c r="I132" s="9676"/>
      <c r="J132" s="9677"/>
      <c r="K132" s="9677"/>
      <c r="L132" s="9678"/>
      <c r="M132" s="3583"/>
      <c r="N132" s="3584"/>
      <c r="O132" s="3585"/>
      <c r="P132" s="3585"/>
      <c r="Q132" s="9569"/>
      <c r="R132" s="9561" t="s">
        <v>568</v>
      </c>
      <c r="S132" s="9562"/>
      <c r="T132" s="9603" t="str">
        <f>IF(AND(OR(B132&lt;&gt;"",V133&lt;&gt;""),Q132=""),"X","")</f>
        <v/>
      </c>
      <c r="U132" s="9605" t="s">
        <v>569</v>
      </c>
      <c r="V132" s="1444"/>
      <c r="W132" s="1445"/>
      <c r="X132" s="3540"/>
      <c r="Y132" s="3540"/>
      <c r="Z132" s="3540"/>
    </row>
    <row r="133" spans="1:43" ht="12" customHeight="1">
      <c r="A133" s="139"/>
      <c r="B133" s="9673"/>
      <c r="C133" s="9673"/>
      <c r="D133" s="9673"/>
      <c r="E133" s="9673"/>
      <c r="F133" s="9673"/>
      <c r="G133" s="9674"/>
      <c r="H133" s="9565"/>
      <c r="I133" s="9566"/>
      <c r="J133" s="9567"/>
      <c r="K133" s="9567"/>
      <c r="L133" s="9568"/>
      <c r="M133" s="1299"/>
      <c r="N133" s="1300"/>
      <c r="O133" s="1301"/>
      <c r="P133" s="3586"/>
      <c r="Q133" s="9570"/>
      <c r="R133" s="9563"/>
      <c r="S133" s="9564"/>
      <c r="T133" s="9604"/>
      <c r="U133" s="9606"/>
      <c r="V133" s="9607"/>
      <c r="W133" s="9608"/>
      <c r="X133" s="3540"/>
      <c r="Y133" s="3540"/>
      <c r="Z133" s="3540"/>
    </row>
    <row r="134" spans="1:43" ht="12" customHeight="1">
      <c r="A134" s="139"/>
      <c r="B134" s="9670"/>
      <c r="C134" s="9671"/>
      <c r="D134" s="9671"/>
      <c r="E134" s="9671"/>
      <c r="F134" s="9671"/>
      <c r="G134" s="9672"/>
      <c r="H134" s="9675"/>
      <c r="I134" s="9676"/>
      <c r="J134" s="9677"/>
      <c r="K134" s="9677"/>
      <c r="L134" s="9678"/>
      <c r="M134" s="3583"/>
      <c r="N134" s="3584"/>
      <c r="O134" s="3585"/>
      <c r="P134" s="3585"/>
      <c r="Q134" s="9569"/>
      <c r="R134" s="9561" t="s">
        <v>568</v>
      </c>
      <c r="S134" s="9562"/>
      <c r="T134" s="9603" t="str">
        <f>IF(AND(OR(B134&lt;&gt;"",V135&lt;&gt;""),Q134=""),"X","")</f>
        <v/>
      </c>
      <c r="U134" s="9605" t="s">
        <v>569</v>
      </c>
      <c r="V134" s="1444"/>
      <c r="W134" s="1445"/>
      <c r="X134" s="3540"/>
      <c r="Y134" s="3540"/>
      <c r="Z134" s="3540"/>
    </row>
    <row r="135" spans="1:43" ht="12" customHeight="1">
      <c r="A135" s="139"/>
      <c r="B135" s="9673"/>
      <c r="C135" s="9673"/>
      <c r="D135" s="9673"/>
      <c r="E135" s="9673"/>
      <c r="F135" s="9673"/>
      <c r="G135" s="9674"/>
      <c r="H135" s="9565"/>
      <c r="I135" s="9566"/>
      <c r="J135" s="9567"/>
      <c r="K135" s="9567"/>
      <c r="L135" s="9568"/>
      <c r="M135" s="1299"/>
      <c r="N135" s="1300"/>
      <c r="O135" s="1301"/>
      <c r="P135" s="3586"/>
      <c r="Q135" s="9570"/>
      <c r="R135" s="9563"/>
      <c r="S135" s="9564"/>
      <c r="T135" s="9604"/>
      <c r="U135" s="9606"/>
      <c r="V135" s="9607"/>
      <c r="W135" s="9608"/>
      <c r="X135" s="3540"/>
      <c r="Y135" s="3540"/>
      <c r="Z135" s="3540"/>
    </row>
    <row r="136" spans="1:43" ht="12" customHeight="1">
      <c r="A136" s="139"/>
      <c r="B136" s="9670"/>
      <c r="C136" s="9671"/>
      <c r="D136" s="9671"/>
      <c r="E136" s="9671"/>
      <c r="F136" s="9671"/>
      <c r="G136" s="9672"/>
      <c r="H136" s="9675"/>
      <c r="I136" s="9676"/>
      <c r="J136" s="9677"/>
      <c r="K136" s="9677"/>
      <c r="L136" s="9678"/>
      <c r="M136" s="3583"/>
      <c r="N136" s="3584"/>
      <c r="O136" s="3585"/>
      <c r="P136" s="3585"/>
      <c r="Q136" s="9569"/>
      <c r="R136" s="9561" t="s">
        <v>568</v>
      </c>
      <c r="S136" s="9562"/>
      <c r="T136" s="9603" t="str">
        <f>IF(AND(OR(B136&lt;&gt;"",V137&lt;&gt;""),Q136=""),"X","")</f>
        <v/>
      </c>
      <c r="U136" s="9605" t="s">
        <v>569</v>
      </c>
      <c r="V136" s="1444"/>
      <c r="W136" s="1445"/>
      <c r="X136" s="3540"/>
      <c r="Y136" s="3540"/>
      <c r="Z136" s="3540"/>
    </row>
    <row r="137" spans="1:43" ht="12" customHeight="1">
      <c r="A137" s="139"/>
      <c r="B137" s="9673"/>
      <c r="C137" s="9673"/>
      <c r="D137" s="9673"/>
      <c r="E137" s="9673"/>
      <c r="F137" s="9673"/>
      <c r="G137" s="9674"/>
      <c r="H137" s="9565"/>
      <c r="I137" s="9566"/>
      <c r="J137" s="9567"/>
      <c r="K137" s="9567"/>
      <c r="L137" s="9568"/>
      <c r="M137" s="1299"/>
      <c r="N137" s="1300"/>
      <c r="O137" s="1301"/>
      <c r="P137" s="3586"/>
      <c r="Q137" s="9570"/>
      <c r="R137" s="9563"/>
      <c r="S137" s="9564"/>
      <c r="T137" s="9604"/>
      <c r="U137" s="9606"/>
      <c r="V137" s="9607"/>
      <c r="W137" s="9608"/>
      <c r="X137" s="3540"/>
      <c r="Y137" s="3540"/>
      <c r="Z137" s="3540"/>
    </row>
    <row r="138" spans="1:43" ht="12" customHeight="1">
      <c r="A138" s="139"/>
      <c r="B138" s="9670"/>
      <c r="C138" s="9671"/>
      <c r="D138" s="9671"/>
      <c r="E138" s="9671"/>
      <c r="F138" s="9671"/>
      <c r="G138" s="9672"/>
      <c r="H138" s="9675"/>
      <c r="I138" s="9676"/>
      <c r="J138" s="9677"/>
      <c r="K138" s="9677"/>
      <c r="L138" s="9678"/>
      <c r="M138" s="3583"/>
      <c r="N138" s="3584"/>
      <c r="O138" s="3585"/>
      <c r="P138" s="3585"/>
      <c r="Q138" s="9569"/>
      <c r="R138" s="9561" t="s">
        <v>568</v>
      </c>
      <c r="S138" s="9562"/>
      <c r="T138" s="9603" t="str">
        <f>IF(AND(OR(B138&lt;&gt;"",V139&lt;&gt;""),Q138=""),"X","")</f>
        <v/>
      </c>
      <c r="U138" s="9605" t="s">
        <v>569</v>
      </c>
      <c r="V138" s="1444"/>
      <c r="W138" s="1445"/>
      <c r="X138" s="3540"/>
      <c r="Y138" s="3540"/>
      <c r="Z138" s="3540"/>
    </row>
    <row r="139" spans="1:43" ht="12" customHeight="1">
      <c r="A139" s="139"/>
      <c r="B139" s="9673"/>
      <c r="C139" s="9673"/>
      <c r="D139" s="9673"/>
      <c r="E139" s="9673"/>
      <c r="F139" s="9673"/>
      <c r="G139" s="9674"/>
      <c r="H139" s="9565"/>
      <c r="I139" s="9566"/>
      <c r="J139" s="9567"/>
      <c r="K139" s="9567"/>
      <c r="L139" s="9568"/>
      <c r="M139" s="1299"/>
      <c r="N139" s="1300"/>
      <c r="O139" s="1301"/>
      <c r="P139" s="3586"/>
      <c r="Q139" s="9570"/>
      <c r="R139" s="9563"/>
      <c r="S139" s="9564"/>
      <c r="T139" s="9604"/>
      <c r="U139" s="9606"/>
      <c r="V139" s="9607"/>
      <c r="W139" s="9608"/>
      <c r="X139" s="3540"/>
      <c r="Y139" s="3540"/>
      <c r="Z139" s="3540"/>
    </row>
    <row r="140" spans="1:43" ht="12" customHeight="1">
      <c r="A140" s="139"/>
      <c r="B140" s="9670"/>
      <c r="C140" s="9671"/>
      <c r="D140" s="9671"/>
      <c r="E140" s="9671"/>
      <c r="F140" s="9671"/>
      <c r="G140" s="9672"/>
      <c r="H140" s="9675"/>
      <c r="I140" s="9676"/>
      <c r="J140" s="9677"/>
      <c r="K140" s="9677"/>
      <c r="L140" s="9678"/>
      <c r="M140" s="3583"/>
      <c r="N140" s="3584"/>
      <c r="O140" s="3585"/>
      <c r="P140" s="3585"/>
      <c r="Q140" s="9569"/>
      <c r="R140" s="9561" t="s">
        <v>568</v>
      </c>
      <c r="S140" s="9562"/>
      <c r="T140" s="9603" t="str">
        <f>IF(AND(OR(B140&lt;&gt;"",V141&lt;&gt;""),Q140=""),"X","")</f>
        <v/>
      </c>
      <c r="U140" s="9605" t="s">
        <v>569</v>
      </c>
      <c r="V140" s="1444"/>
      <c r="W140" s="1445"/>
      <c r="X140" s="3540"/>
      <c r="Y140" s="3540"/>
      <c r="Z140" s="3540"/>
    </row>
    <row r="141" spans="1:43" ht="12" customHeight="1">
      <c r="A141" s="139"/>
      <c r="B141" s="9673"/>
      <c r="C141" s="9673"/>
      <c r="D141" s="9673"/>
      <c r="E141" s="9673"/>
      <c r="F141" s="9673"/>
      <c r="G141" s="9674"/>
      <c r="H141" s="9565"/>
      <c r="I141" s="9566"/>
      <c r="J141" s="9567"/>
      <c r="K141" s="9567"/>
      <c r="L141" s="9568"/>
      <c r="M141" s="1299"/>
      <c r="N141" s="1300"/>
      <c r="O141" s="1301"/>
      <c r="P141" s="3586"/>
      <c r="Q141" s="9570"/>
      <c r="R141" s="9563"/>
      <c r="S141" s="9564"/>
      <c r="T141" s="9604"/>
      <c r="U141" s="9606"/>
      <c r="V141" s="9607"/>
      <c r="W141" s="9608"/>
      <c r="X141" s="3540"/>
      <c r="Y141" s="3540"/>
      <c r="Z141" s="3540"/>
    </row>
    <row r="142" spans="1:43" ht="12" customHeight="1">
      <c r="A142" s="139"/>
      <c r="B142" s="9670"/>
      <c r="C142" s="9671"/>
      <c r="D142" s="9671"/>
      <c r="E142" s="9671"/>
      <c r="F142" s="9671"/>
      <c r="G142" s="9672"/>
      <c r="H142" s="9675"/>
      <c r="I142" s="9676"/>
      <c r="J142" s="9677"/>
      <c r="K142" s="9677"/>
      <c r="L142" s="9678"/>
      <c r="M142" s="3583"/>
      <c r="N142" s="3584"/>
      <c r="O142" s="3585"/>
      <c r="P142" s="3585"/>
      <c r="Q142" s="9569"/>
      <c r="R142" s="9561" t="s">
        <v>568</v>
      </c>
      <c r="S142" s="9562"/>
      <c r="T142" s="9603" t="str">
        <f>IF(AND(OR(B142&lt;&gt;"",V143&lt;&gt;""),Q142=""),"X","")</f>
        <v/>
      </c>
      <c r="U142" s="9605" t="s">
        <v>569</v>
      </c>
      <c r="V142" s="1444"/>
      <c r="W142" s="1445"/>
      <c r="X142" s="3540"/>
      <c r="Y142" s="3540"/>
      <c r="Z142" s="3540"/>
    </row>
    <row r="143" spans="1:43" ht="12" customHeight="1">
      <c r="A143" s="139"/>
      <c r="B143" s="9673"/>
      <c r="C143" s="9673"/>
      <c r="D143" s="9673"/>
      <c r="E143" s="9673"/>
      <c r="F143" s="9673"/>
      <c r="G143" s="9674"/>
      <c r="H143" s="9565"/>
      <c r="I143" s="9566"/>
      <c r="J143" s="9567"/>
      <c r="K143" s="9567"/>
      <c r="L143" s="9568"/>
      <c r="M143" s="1299"/>
      <c r="N143" s="1300"/>
      <c r="O143" s="1301"/>
      <c r="P143" s="3586"/>
      <c r="Q143" s="9570"/>
      <c r="R143" s="9563"/>
      <c r="S143" s="9564"/>
      <c r="T143" s="9604"/>
      <c r="U143" s="9606"/>
      <c r="V143" s="9607"/>
      <c r="W143" s="9608"/>
      <c r="X143" s="3540"/>
      <c r="Y143" s="3540"/>
      <c r="Z143" s="3540"/>
    </row>
    <row r="144" spans="1:43" ht="12" customHeight="1">
      <c r="A144" s="139"/>
      <c r="B144" s="9670"/>
      <c r="C144" s="9671"/>
      <c r="D144" s="9671"/>
      <c r="E144" s="9671"/>
      <c r="F144" s="9671"/>
      <c r="G144" s="9672"/>
      <c r="H144" s="9675"/>
      <c r="I144" s="9676"/>
      <c r="J144" s="9677"/>
      <c r="K144" s="9677"/>
      <c r="L144" s="9678"/>
      <c r="M144" s="3583"/>
      <c r="N144" s="3584"/>
      <c r="O144" s="3585"/>
      <c r="P144" s="3585"/>
      <c r="Q144" s="9569"/>
      <c r="R144" s="9561" t="s">
        <v>568</v>
      </c>
      <c r="S144" s="9562"/>
      <c r="T144" s="9603" t="str">
        <f>IF(AND(OR(B144&lt;&gt;"",V145&lt;&gt;""),Q144=""),"X","")</f>
        <v/>
      </c>
      <c r="U144" s="9605" t="s">
        <v>569</v>
      </c>
      <c r="V144" s="1444"/>
      <c r="W144" s="1445"/>
      <c r="X144" s="3540"/>
      <c r="Y144" s="3540"/>
      <c r="Z144" s="3540"/>
    </row>
    <row r="145" spans="1:41" ht="12" customHeight="1">
      <c r="A145" s="139"/>
      <c r="B145" s="9673"/>
      <c r="C145" s="9673"/>
      <c r="D145" s="9673"/>
      <c r="E145" s="9673"/>
      <c r="F145" s="9673"/>
      <c r="G145" s="9674"/>
      <c r="H145" s="9565"/>
      <c r="I145" s="9566"/>
      <c r="J145" s="9567"/>
      <c r="K145" s="9567"/>
      <c r="L145" s="9568"/>
      <c r="M145" s="1299"/>
      <c r="N145" s="1300"/>
      <c r="O145" s="1301"/>
      <c r="P145" s="3586"/>
      <c r="Q145" s="9570"/>
      <c r="R145" s="9563"/>
      <c r="S145" s="9564"/>
      <c r="T145" s="9604"/>
      <c r="U145" s="9606"/>
      <c r="V145" s="9607"/>
      <c r="W145" s="9608"/>
      <c r="X145" s="3540"/>
      <c r="Y145" s="3540"/>
      <c r="Z145" s="3540"/>
    </row>
    <row r="146" spans="1:41" ht="12" customHeight="1">
      <c r="A146" s="139"/>
      <c r="B146" s="9670"/>
      <c r="C146" s="9671"/>
      <c r="D146" s="9671"/>
      <c r="E146" s="9671"/>
      <c r="F146" s="9671"/>
      <c r="G146" s="9672"/>
      <c r="H146" s="9675"/>
      <c r="I146" s="9676"/>
      <c r="J146" s="9677"/>
      <c r="K146" s="9677"/>
      <c r="L146" s="9678"/>
      <c r="M146" s="3583"/>
      <c r="N146" s="3584"/>
      <c r="O146" s="3585"/>
      <c r="P146" s="3585"/>
      <c r="Q146" s="9569"/>
      <c r="R146" s="9561" t="s">
        <v>568</v>
      </c>
      <c r="S146" s="9562"/>
      <c r="T146" s="9603" t="str">
        <f>IF(AND(OR(B146&lt;&gt;"",V147&lt;&gt;""),Q146=""),"X","")</f>
        <v/>
      </c>
      <c r="U146" s="9605" t="s">
        <v>569</v>
      </c>
      <c r="V146" s="1444"/>
      <c r="W146" s="1445"/>
      <c r="X146" s="3540"/>
      <c r="Y146" s="3540"/>
      <c r="Z146" s="3540"/>
    </row>
    <row r="147" spans="1:41" ht="12" customHeight="1">
      <c r="A147" s="139"/>
      <c r="B147" s="9673"/>
      <c r="C147" s="9673"/>
      <c r="D147" s="9673"/>
      <c r="E147" s="9673"/>
      <c r="F147" s="9673"/>
      <c r="G147" s="9674"/>
      <c r="H147" s="9565"/>
      <c r="I147" s="9566"/>
      <c r="J147" s="9567"/>
      <c r="K147" s="9567"/>
      <c r="L147" s="9568"/>
      <c r="M147" s="1299"/>
      <c r="N147" s="1300"/>
      <c r="O147" s="1301"/>
      <c r="P147" s="3586"/>
      <c r="Q147" s="9570"/>
      <c r="R147" s="9563"/>
      <c r="S147" s="9564"/>
      <c r="T147" s="9604"/>
      <c r="U147" s="9606"/>
      <c r="V147" s="9607"/>
      <c r="W147" s="9608"/>
      <c r="X147" s="3540"/>
      <c r="Y147" s="3540"/>
      <c r="Z147" s="3540"/>
    </row>
    <row r="148" spans="1:41" ht="15" customHeight="1">
      <c r="A148" s="139"/>
      <c r="B148" s="2755"/>
      <c r="C148" s="2755"/>
      <c r="D148" s="2755"/>
      <c r="E148" s="2755"/>
      <c r="F148" s="2755"/>
      <c r="G148" s="2755"/>
      <c r="H148" s="2755"/>
      <c r="I148" s="2755"/>
      <c r="J148" s="2755"/>
      <c r="K148" s="2755"/>
      <c r="L148" s="2755"/>
      <c r="M148" s="2755"/>
      <c r="N148" s="2755"/>
      <c r="O148" s="2755"/>
      <c r="P148" s="2755"/>
      <c r="Q148" s="2755"/>
      <c r="R148" s="2755"/>
      <c r="S148" s="2755"/>
      <c r="T148" s="2755"/>
      <c r="U148" s="2755"/>
      <c r="V148" s="2755"/>
      <c r="W148" s="2755"/>
      <c r="X148" s="3540"/>
      <c r="Y148" s="3540"/>
      <c r="Z148" s="3540"/>
    </row>
    <row r="149" spans="1:41" ht="17.25" customHeight="1">
      <c r="A149" s="139"/>
      <c r="B149" s="3604" t="s">
        <v>868</v>
      </c>
      <c r="C149" s="3762" t="s">
        <v>3210</v>
      </c>
      <c r="D149" s="3605"/>
      <c r="E149" s="3605"/>
      <c r="F149" s="3605"/>
      <c r="G149" s="3606"/>
      <c r="H149" s="3606"/>
      <c r="I149" s="3606"/>
      <c r="J149" s="3606"/>
      <c r="K149" s="3606"/>
      <c r="L149" s="3607"/>
      <c r="M149" s="3606"/>
      <c r="N149" s="3606"/>
      <c r="O149" s="3606"/>
      <c r="P149" s="3606"/>
      <c r="Q149" s="3606"/>
      <c r="R149" s="3606"/>
      <c r="S149" s="3606"/>
      <c r="T149" s="3606"/>
      <c r="U149" s="3606"/>
      <c r="V149" s="3606"/>
      <c r="W149" s="3606"/>
      <c r="X149" s="3540"/>
      <c r="Y149" s="757"/>
      <c r="Z149" s="3540"/>
      <c r="AA149" s="3598" t="str">
        <f>IF(AND(File_Marr_Sep&lt;&gt;"",$AD$19&lt;&gt;""),"Hide note.","")</f>
        <v/>
      </c>
    </row>
    <row r="150" spans="1:41">
      <c r="A150" s="139"/>
      <c r="B150" s="8070">
        <v>2</v>
      </c>
      <c r="C150" s="9680" t="s">
        <v>5382</v>
      </c>
      <c r="D150" s="9680"/>
      <c r="E150" s="9680"/>
      <c r="F150" s="9680"/>
      <c r="G150" s="9680"/>
      <c r="H150" s="9680"/>
      <c r="I150" s="9680"/>
      <c r="J150" s="9680"/>
      <c r="K150" s="9680"/>
      <c r="L150" s="9680"/>
      <c r="M150" s="2755"/>
      <c r="N150" s="2755"/>
      <c r="O150" s="2755"/>
      <c r="P150" s="2755"/>
      <c r="Q150" s="2755"/>
      <c r="R150" s="2755"/>
      <c r="S150" s="2755"/>
      <c r="T150" s="2755"/>
      <c r="U150" s="2755"/>
      <c r="V150" s="2755"/>
      <c r="W150" s="2755"/>
      <c r="X150" s="3540"/>
      <c r="Y150" s="3540"/>
      <c r="Z150" s="3540"/>
      <c r="AA150" s="3598"/>
      <c r="AM150" s="3598"/>
      <c r="AO150" s="3598"/>
    </row>
    <row r="151" spans="1:41">
      <c r="A151" s="139"/>
      <c r="B151" s="9679"/>
      <c r="C151" s="9681"/>
      <c r="D151" s="9681"/>
      <c r="E151" s="9681"/>
      <c r="F151" s="9681"/>
      <c r="G151" s="9681"/>
      <c r="H151" s="9681"/>
      <c r="I151" s="9681"/>
      <c r="J151" s="9681"/>
      <c r="K151" s="9681"/>
      <c r="L151" s="9681"/>
      <c r="M151" s="3565"/>
      <c r="N151" s="3565"/>
      <c r="O151" s="3565"/>
      <c r="P151" s="3565"/>
      <c r="Q151" s="3565"/>
      <c r="R151" s="3565"/>
      <c r="S151" s="3565"/>
      <c r="T151" s="3565"/>
      <c r="U151" s="3565"/>
      <c r="V151" s="3565"/>
      <c r="W151" s="3565"/>
      <c r="X151" s="3540"/>
      <c r="Y151" s="3540"/>
      <c r="Z151" s="3540"/>
      <c r="AA151" s="3598"/>
      <c r="AM151" s="3598"/>
      <c r="AO151" s="3598"/>
    </row>
    <row r="152" spans="1:41" ht="12.75" customHeight="1">
      <c r="A152" s="139"/>
      <c r="B152" s="2755"/>
      <c r="C152" s="2755"/>
      <c r="D152" s="2755"/>
      <c r="E152" s="2755"/>
      <c r="F152" s="2755"/>
      <c r="G152" s="3071"/>
      <c r="H152" s="2755"/>
      <c r="I152" s="2755"/>
      <c r="J152" s="2755"/>
      <c r="K152" s="2755"/>
      <c r="L152" s="2755"/>
      <c r="M152" s="9549" t="s">
        <v>3121</v>
      </c>
      <c r="N152" s="9550"/>
      <c r="O152" s="9550"/>
      <c r="P152" s="9550"/>
      <c r="Q152" s="9550"/>
      <c r="R152" s="9550"/>
      <c r="S152" s="9551"/>
      <c r="T152" s="9584"/>
      <c r="U152" s="9585"/>
      <c r="V152" s="9585"/>
      <c r="W152" s="9585"/>
      <c r="X152" s="3540"/>
      <c r="Y152" s="3540"/>
      <c r="Z152" s="3540"/>
      <c r="AM152" s="3598"/>
      <c r="AO152" s="3598"/>
    </row>
    <row r="153" spans="1:41" ht="9.75" customHeight="1">
      <c r="A153" s="139"/>
      <c r="B153" s="2755"/>
      <c r="C153" s="2755"/>
      <c r="D153" s="2755"/>
      <c r="E153" s="2755"/>
      <c r="F153" s="2755"/>
      <c r="G153" s="3071"/>
      <c r="H153" s="2755"/>
      <c r="I153" s="2755"/>
      <c r="J153" s="2755"/>
      <c r="K153" s="2755"/>
      <c r="L153" s="2755"/>
      <c r="M153" s="9549"/>
      <c r="N153" s="9550"/>
      <c r="O153" s="9550"/>
      <c r="P153" s="9550"/>
      <c r="Q153" s="9550"/>
      <c r="R153" s="9550"/>
      <c r="S153" s="9551"/>
      <c r="T153" s="9575" t="s">
        <v>5381</v>
      </c>
      <c r="U153" s="9576"/>
      <c r="V153" s="9576"/>
      <c r="W153" s="9576"/>
      <c r="X153" s="3540"/>
      <c r="Y153" s="3540"/>
      <c r="Z153" s="3540"/>
    </row>
    <row r="154" spans="1:41" ht="9.75" customHeight="1">
      <c r="A154" s="139"/>
      <c r="B154" s="2755"/>
      <c r="C154" s="3611"/>
      <c r="D154" s="3611"/>
      <c r="E154" s="3611"/>
      <c r="F154" s="3611"/>
      <c r="G154" s="3071" t="s">
        <v>3120</v>
      </c>
      <c r="H154" s="2755"/>
      <c r="I154" s="2755"/>
      <c r="J154" s="2753"/>
      <c r="K154" s="2753"/>
      <c r="L154" s="2755"/>
      <c r="M154" s="9549"/>
      <c r="N154" s="9550"/>
      <c r="O154" s="9550"/>
      <c r="P154" s="9550"/>
      <c r="Q154" s="9550"/>
      <c r="R154" s="9550"/>
      <c r="S154" s="9551"/>
      <c r="T154" s="9577" t="str">
        <f>"incurred and paid in "&amp;TaxYear&amp;" for"</f>
        <v>incurred and paid in 2025 for</v>
      </c>
      <c r="U154" s="9578"/>
      <c r="V154" s="9578"/>
      <c r="W154" s="9578"/>
      <c r="X154" s="3540"/>
      <c r="Y154" s="3540"/>
      <c r="Z154" s="3540"/>
    </row>
    <row r="155" spans="1:41" ht="10.5" customHeight="1">
      <c r="A155" s="139"/>
      <c r="B155" s="3565"/>
      <c r="C155" s="3579" t="s">
        <v>3124</v>
      </c>
      <c r="D155" s="3579"/>
      <c r="E155" s="3579"/>
      <c r="F155" s="3579"/>
      <c r="G155" s="3565"/>
      <c r="H155" s="3565"/>
      <c r="I155" s="3565"/>
      <c r="J155" s="3582" t="s">
        <v>3125</v>
      </c>
      <c r="K155" s="3582"/>
      <c r="L155" s="3565"/>
      <c r="M155" s="9552"/>
      <c r="N155" s="9553"/>
      <c r="O155" s="9553"/>
      <c r="P155" s="9553"/>
      <c r="Q155" s="9553"/>
      <c r="R155" s="9553"/>
      <c r="S155" s="9554"/>
      <c r="T155" s="9558" t="s">
        <v>3126</v>
      </c>
      <c r="U155" s="9559"/>
      <c r="V155" s="9559"/>
      <c r="W155" s="9559"/>
      <c r="X155" s="3540"/>
      <c r="Y155" s="3540"/>
      <c r="Z155" s="3540"/>
    </row>
    <row r="156" spans="1:41" ht="17.25" customHeight="1">
      <c r="A156" s="139"/>
      <c r="B156" s="9541"/>
      <c r="C156" s="9542"/>
      <c r="D156" s="9542"/>
      <c r="E156" s="9542"/>
      <c r="F156" s="9542"/>
      <c r="G156" s="9543"/>
      <c r="H156" s="9541"/>
      <c r="I156" s="9542"/>
      <c r="J156" s="9542"/>
      <c r="K156" s="9542"/>
      <c r="L156" s="9543"/>
      <c r="M156" s="9544"/>
      <c r="N156" s="9545"/>
      <c r="O156" s="9545"/>
      <c r="P156" s="9545"/>
      <c r="Q156" s="9545"/>
      <c r="R156" s="9545"/>
      <c r="S156" s="9546"/>
      <c r="T156" s="9547"/>
      <c r="U156" s="9548"/>
      <c r="V156" s="9548"/>
      <c r="W156" s="9548"/>
      <c r="X156" s="3540">
        <f>IF(T156&lt;&gt;"",1,0)</f>
        <v>0</v>
      </c>
      <c r="Y156" s="3540"/>
      <c r="Z156" s="3540"/>
      <c r="AA156" s="502"/>
    </row>
    <row r="157" spans="1:41" ht="24" customHeight="1">
      <c r="A157" s="139"/>
      <c r="B157" s="9541"/>
      <c r="C157" s="9542"/>
      <c r="D157" s="9542"/>
      <c r="E157" s="9542"/>
      <c r="F157" s="9542"/>
      <c r="G157" s="9543"/>
      <c r="H157" s="9541"/>
      <c r="I157" s="9542"/>
      <c r="J157" s="9542"/>
      <c r="K157" s="9542"/>
      <c r="L157" s="9543"/>
      <c r="M157" s="9544"/>
      <c r="N157" s="9545"/>
      <c r="O157" s="9545"/>
      <c r="P157" s="9545"/>
      <c r="Q157" s="9545"/>
      <c r="R157" s="9545"/>
      <c r="S157" s="9546"/>
      <c r="T157" s="9547"/>
      <c r="U157" s="9548"/>
      <c r="V157" s="9548"/>
      <c r="W157" s="9548"/>
      <c r="X157" s="3540">
        <f t="shared" ref="X157:X166" si="0">IF(T157&lt;&gt;"",1,0)</f>
        <v>0</v>
      </c>
      <c r="Y157" s="3540"/>
      <c r="Z157" s="3540"/>
      <c r="AA157" s="185"/>
      <c r="AM157" s="502"/>
      <c r="AO157" s="502"/>
    </row>
    <row r="158" spans="1:41" ht="24" customHeight="1">
      <c r="A158" s="139"/>
      <c r="B158" s="9541"/>
      <c r="C158" s="9542"/>
      <c r="D158" s="9542"/>
      <c r="E158" s="9542"/>
      <c r="F158" s="9542"/>
      <c r="G158" s="9543"/>
      <c r="H158" s="9541"/>
      <c r="I158" s="9542"/>
      <c r="J158" s="9542"/>
      <c r="K158" s="9542"/>
      <c r="L158" s="9543"/>
      <c r="M158" s="9544"/>
      <c r="N158" s="9545"/>
      <c r="O158" s="9545"/>
      <c r="P158" s="9545"/>
      <c r="Q158" s="9545"/>
      <c r="R158" s="9545"/>
      <c r="S158" s="9546"/>
      <c r="T158" s="9547"/>
      <c r="U158" s="9548"/>
      <c r="V158" s="9548"/>
      <c r="W158" s="9548"/>
      <c r="X158" s="3540">
        <f t="shared" si="0"/>
        <v>0</v>
      </c>
      <c r="Y158" s="3540"/>
      <c r="Z158" s="3540"/>
      <c r="AA158" s="185"/>
      <c r="AM158" s="185"/>
      <c r="AO158" s="185"/>
    </row>
    <row r="159" spans="1:41" ht="24" customHeight="1">
      <c r="A159" s="139"/>
      <c r="B159" s="9541"/>
      <c r="C159" s="9542"/>
      <c r="D159" s="9542"/>
      <c r="E159" s="9542"/>
      <c r="F159" s="9542"/>
      <c r="G159" s="9543"/>
      <c r="H159" s="9541"/>
      <c r="I159" s="9542"/>
      <c r="J159" s="9542"/>
      <c r="K159" s="9542"/>
      <c r="L159" s="9543"/>
      <c r="M159" s="9544"/>
      <c r="N159" s="9545"/>
      <c r="O159" s="9545"/>
      <c r="P159" s="9545"/>
      <c r="Q159" s="9545"/>
      <c r="R159" s="9545"/>
      <c r="S159" s="9546"/>
      <c r="T159" s="9547"/>
      <c r="U159" s="9548"/>
      <c r="V159" s="9548"/>
      <c r="W159" s="9548"/>
      <c r="X159" s="3540">
        <f t="shared" si="0"/>
        <v>0</v>
      </c>
      <c r="Y159" s="3540"/>
      <c r="Z159" s="3540"/>
      <c r="AA159" s="185"/>
      <c r="AM159" s="185"/>
      <c r="AO159" s="185"/>
    </row>
    <row r="160" spans="1:41" ht="24" customHeight="1">
      <c r="A160" s="139"/>
      <c r="B160" s="9541"/>
      <c r="C160" s="9542"/>
      <c r="D160" s="9542"/>
      <c r="E160" s="9542"/>
      <c r="F160" s="9542"/>
      <c r="G160" s="9543"/>
      <c r="H160" s="9541"/>
      <c r="I160" s="9542"/>
      <c r="J160" s="9542"/>
      <c r="K160" s="9542"/>
      <c r="L160" s="9543"/>
      <c r="M160" s="9544"/>
      <c r="N160" s="9545"/>
      <c r="O160" s="9545"/>
      <c r="P160" s="9545"/>
      <c r="Q160" s="9545"/>
      <c r="R160" s="9545"/>
      <c r="S160" s="9546"/>
      <c r="T160" s="9547"/>
      <c r="U160" s="9548"/>
      <c r="V160" s="9548"/>
      <c r="W160" s="9548"/>
      <c r="X160" s="3540">
        <f t="shared" si="0"/>
        <v>0</v>
      </c>
      <c r="Y160" s="3540"/>
      <c r="Z160" s="3540"/>
      <c r="AA160" s="185"/>
      <c r="AM160" s="185"/>
      <c r="AO160" s="185"/>
    </row>
    <row r="161" spans="1:41" ht="24" customHeight="1">
      <c r="A161" s="139"/>
      <c r="B161" s="9541"/>
      <c r="C161" s="9542"/>
      <c r="D161" s="9542"/>
      <c r="E161" s="9542"/>
      <c r="F161" s="9542"/>
      <c r="G161" s="9543"/>
      <c r="H161" s="9541"/>
      <c r="I161" s="9542"/>
      <c r="J161" s="9542"/>
      <c r="K161" s="9542"/>
      <c r="L161" s="9543"/>
      <c r="M161" s="9544"/>
      <c r="N161" s="9545"/>
      <c r="O161" s="9545"/>
      <c r="P161" s="9545"/>
      <c r="Q161" s="9545"/>
      <c r="R161" s="9545"/>
      <c r="S161" s="9546"/>
      <c r="T161" s="9547"/>
      <c r="U161" s="9548"/>
      <c r="V161" s="9548"/>
      <c r="W161" s="9548"/>
      <c r="X161" s="3540">
        <f t="shared" si="0"/>
        <v>0</v>
      </c>
      <c r="Y161" s="3540"/>
      <c r="Z161" s="3540"/>
      <c r="AA161" s="185"/>
      <c r="AM161" s="185"/>
      <c r="AO161" s="185"/>
    </row>
    <row r="162" spans="1:41" ht="24" customHeight="1">
      <c r="A162" s="139"/>
      <c r="B162" s="9541"/>
      <c r="C162" s="9542"/>
      <c r="D162" s="9542"/>
      <c r="E162" s="9542"/>
      <c r="F162" s="9542"/>
      <c r="G162" s="9543"/>
      <c r="H162" s="9541"/>
      <c r="I162" s="9542"/>
      <c r="J162" s="9542"/>
      <c r="K162" s="9542"/>
      <c r="L162" s="9543"/>
      <c r="M162" s="9544"/>
      <c r="N162" s="9545"/>
      <c r="O162" s="9545"/>
      <c r="P162" s="9545"/>
      <c r="Q162" s="9545"/>
      <c r="R162" s="9545"/>
      <c r="S162" s="9546"/>
      <c r="T162" s="9547"/>
      <c r="U162" s="9548"/>
      <c r="V162" s="9548"/>
      <c r="W162" s="9548"/>
      <c r="X162" s="3540">
        <f t="shared" si="0"/>
        <v>0</v>
      </c>
      <c r="Y162" s="3540"/>
      <c r="Z162" s="3540"/>
      <c r="AA162" s="185"/>
      <c r="AM162" s="185"/>
      <c r="AO162" s="185"/>
    </row>
    <row r="163" spans="1:41" ht="24" customHeight="1">
      <c r="A163" s="139"/>
      <c r="B163" s="9541"/>
      <c r="C163" s="9542"/>
      <c r="D163" s="9542"/>
      <c r="E163" s="9542"/>
      <c r="F163" s="9542"/>
      <c r="G163" s="9543"/>
      <c r="H163" s="9541"/>
      <c r="I163" s="9542"/>
      <c r="J163" s="9542"/>
      <c r="K163" s="9542"/>
      <c r="L163" s="9543"/>
      <c r="M163" s="9544"/>
      <c r="N163" s="9545"/>
      <c r="O163" s="9545"/>
      <c r="P163" s="9545"/>
      <c r="Q163" s="9545"/>
      <c r="R163" s="9545"/>
      <c r="S163" s="9546"/>
      <c r="T163" s="9547"/>
      <c r="U163" s="9548"/>
      <c r="V163" s="9548"/>
      <c r="W163" s="9548"/>
      <c r="X163" s="3540">
        <f t="shared" si="0"/>
        <v>0</v>
      </c>
      <c r="Y163" s="3540"/>
      <c r="Z163" s="3540"/>
      <c r="AA163" s="185"/>
      <c r="AM163" s="185"/>
      <c r="AO163" s="185"/>
    </row>
    <row r="164" spans="1:41" ht="24" customHeight="1">
      <c r="A164" s="139"/>
      <c r="B164" s="9541"/>
      <c r="C164" s="9542"/>
      <c r="D164" s="9542"/>
      <c r="E164" s="9542"/>
      <c r="F164" s="9542"/>
      <c r="G164" s="9543"/>
      <c r="H164" s="9541"/>
      <c r="I164" s="9542"/>
      <c r="J164" s="9542"/>
      <c r="K164" s="9542"/>
      <c r="L164" s="9543"/>
      <c r="M164" s="9544"/>
      <c r="N164" s="9545"/>
      <c r="O164" s="9545"/>
      <c r="P164" s="9545"/>
      <c r="Q164" s="9545"/>
      <c r="R164" s="9545"/>
      <c r="S164" s="9546"/>
      <c r="T164" s="9547"/>
      <c r="U164" s="9548"/>
      <c r="V164" s="9548"/>
      <c r="W164" s="9548"/>
      <c r="X164" s="3540">
        <f t="shared" si="0"/>
        <v>0</v>
      </c>
      <c r="Y164" s="3540"/>
      <c r="Z164" s="3540"/>
      <c r="AA164" s="185"/>
      <c r="AM164" s="185"/>
      <c r="AO164" s="185"/>
    </row>
    <row r="165" spans="1:41" ht="24" customHeight="1">
      <c r="A165" s="139"/>
      <c r="B165" s="9541"/>
      <c r="C165" s="9542"/>
      <c r="D165" s="9542"/>
      <c r="E165" s="9542"/>
      <c r="F165" s="9542"/>
      <c r="G165" s="9543"/>
      <c r="H165" s="9541"/>
      <c r="I165" s="9542"/>
      <c r="J165" s="9542"/>
      <c r="K165" s="9542"/>
      <c r="L165" s="9543"/>
      <c r="M165" s="9544"/>
      <c r="N165" s="9545"/>
      <c r="O165" s="9545"/>
      <c r="P165" s="9545"/>
      <c r="Q165" s="9545"/>
      <c r="R165" s="9545"/>
      <c r="S165" s="9546"/>
      <c r="T165" s="9547"/>
      <c r="U165" s="9548"/>
      <c r="V165" s="9548"/>
      <c r="W165" s="9548"/>
      <c r="X165" s="3540">
        <f t="shared" si="0"/>
        <v>0</v>
      </c>
      <c r="Y165" s="3540"/>
      <c r="Z165" s="3540"/>
      <c r="AA165" s="185"/>
      <c r="AM165" s="185"/>
      <c r="AO165" s="185"/>
    </row>
    <row r="166" spans="1:41" ht="24" customHeight="1">
      <c r="A166" s="139"/>
      <c r="B166" s="9541"/>
      <c r="C166" s="9542"/>
      <c r="D166" s="9542"/>
      <c r="E166" s="9542"/>
      <c r="F166" s="9542"/>
      <c r="G166" s="9543"/>
      <c r="H166" s="9541"/>
      <c r="I166" s="9542"/>
      <c r="J166" s="9542"/>
      <c r="K166" s="9542"/>
      <c r="L166" s="9543"/>
      <c r="M166" s="9544"/>
      <c r="N166" s="9545"/>
      <c r="O166" s="9545"/>
      <c r="P166" s="9545"/>
      <c r="Q166" s="9545"/>
      <c r="R166" s="9545"/>
      <c r="S166" s="9546"/>
      <c r="T166" s="9547"/>
      <c r="U166" s="9548"/>
      <c r="V166" s="9548"/>
      <c r="W166" s="9548"/>
      <c r="X166" s="3540">
        <f t="shared" si="0"/>
        <v>0</v>
      </c>
      <c r="Y166" s="3540"/>
      <c r="Z166" s="3540"/>
      <c r="AA166" s="185"/>
      <c r="AM166" s="185"/>
      <c r="AO166" s="185"/>
    </row>
    <row r="167" spans="1:41" ht="7.5" customHeight="1">
      <c r="A167" s="139"/>
      <c r="B167" s="3763"/>
      <c r="C167" s="3763"/>
      <c r="D167" s="3763"/>
      <c r="E167" s="3763"/>
      <c r="F167" s="3763"/>
      <c r="G167" s="3763"/>
      <c r="H167" s="3763"/>
      <c r="I167" s="3763"/>
      <c r="J167" s="3763"/>
      <c r="K167" s="3763"/>
      <c r="L167" s="3763"/>
      <c r="M167" s="3763"/>
      <c r="N167" s="3763"/>
      <c r="O167" s="3763"/>
      <c r="P167" s="3763"/>
      <c r="Q167" s="3763"/>
      <c r="R167" s="3763"/>
      <c r="S167" s="3763"/>
      <c r="T167" s="3763"/>
      <c r="U167" s="3763"/>
      <c r="V167" s="3763"/>
      <c r="W167" s="3763"/>
      <c r="X167" s="3540"/>
      <c r="Y167" s="3540"/>
      <c r="Z167" s="3540"/>
      <c r="AM167" s="185"/>
      <c r="AO167" s="185"/>
    </row>
    <row r="168" spans="1:41" ht="23.25" customHeight="1">
      <c r="A168" s="139"/>
      <c r="B168" s="3764"/>
      <c r="C168" s="3765" t="s">
        <v>3211</v>
      </c>
      <c r="D168" s="3764"/>
      <c r="E168" s="3764"/>
      <c r="F168" s="3764"/>
      <c r="G168" s="3764"/>
      <c r="H168" s="3764"/>
      <c r="I168" s="3764"/>
      <c r="J168" s="3764"/>
      <c r="K168" s="3764"/>
      <c r="L168" s="3764"/>
      <c r="M168" s="3764"/>
      <c r="N168" s="3764"/>
      <c r="O168" s="3764"/>
      <c r="P168" s="3764"/>
      <c r="Q168" s="3764"/>
      <c r="R168" s="3764"/>
      <c r="S168" s="3764"/>
      <c r="T168" s="3764"/>
      <c r="U168" s="3764"/>
      <c r="V168" s="3764"/>
      <c r="W168" s="3764"/>
      <c r="X168" s="3540"/>
      <c r="Y168" s="3540"/>
      <c r="Z168" s="3540"/>
    </row>
    <row r="169" spans="1:41" ht="13.5" customHeight="1">
      <c r="A169" s="139"/>
      <c r="B169" s="3764"/>
      <c r="C169" s="3766"/>
      <c r="D169" s="3764"/>
      <c r="E169" s="3764"/>
      <c r="F169" s="3764"/>
      <c r="G169" s="3764"/>
      <c r="H169" s="3764"/>
      <c r="I169" s="3764"/>
      <c r="J169" s="3764"/>
      <c r="K169" s="3764"/>
      <c r="L169" s="3764"/>
      <c r="M169" s="3764"/>
      <c r="N169" s="3764"/>
      <c r="O169" s="3764"/>
      <c r="P169" s="3764"/>
      <c r="Q169" s="3764"/>
      <c r="R169" s="3764"/>
      <c r="S169" s="3764"/>
      <c r="T169" s="3764"/>
      <c r="U169" s="3764"/>
      <c r="V169" s="3764"/>
      <c r="W169" s="3764"/>
      <c r="X169" s="3540"/>
      <c r="Y169" s="3540"/>
      <c r="Z169" s="3540"/>
    </row>
    <row r="170" spans="1:41" ht="13.5" customHeight="1">
      <c r="A170" s="139"/>
      <c r="B170" s="3764"/>
      <c r="C170" s="3767" t="s">
        <v>3212</v>
      </c>
      <c r="D170" s="3767"/>
      <c r="E170" s="3768"/>
      <c r="F170" s="3764"/>
      <c r="G170" s="3764"/>
      <c r="H170" s="3764"/>
      <c r="I170" s="3764"/>
      <c r="J170" s="3764"/>
      <c r="K170" s="3764"/>
      <c r="L170" s="3764"/>
      <c r="M170" s="3764"/>
      <c r="N170" s="3764"/>
      <c r="O170" s="3764"/>
      <c r="P170" s="3764"/>
      <c r="Q170" s="3764"/>
      <c r="R170" s="3764"/>
      <c r="S170" s="3764"/>
      <c r="T170" s="3764"/>
      <c r="U170" s="3764"/>
      <c r="V170" s="3764"/>
      <c r="W170" s="3764"/>
      <c r="X170" s="3540"/>
      <c r="Y170" s="3540"/>
      <c r="Z170" s="3540"/>
    </row>
    <row r="171" spans="1:41" ht="13.5" customHeight="1">
      <c r="A171" s="139"/>
      <c r="B171" s="3764"/>
      <c r="C171" s="3769"/>
      <c r="D171" s="3767"/>
      <c r="E171" s="3764"/>
      <c r="F171" s="3764"/>
      <c r="G171" s="3764"/>
      <c r="H171" s="3764"/>
      <c r="I171" s="3764"/>
      <c r="J171" s="3764"/>
      <c r="K171" s="3764"/>
      <c r="L171" s="3764"/>
      <c r="M171" s="3764"/>
      <c r="N171" s="3764"/>
      <c r="O171" s="3764"/>
      <c r="P171" s="3764"/>
      <c r="Q171" s="3764"/>
      <c r="R171" s="351"/>
      <c r="S171" s="3764"/>
      <c r="T171" s="3764"/>
      <c r="U171" s="3764"/>
      <c r="V171" s="3764"/>
      <c r="W171" s="3764"/>
      <c r="X171" s="3540"/>
      <c r="Y171" s="3540"/>
      <c r="Z171" s="3540"/>
    </row>
    <row r="172" spans="1:41" ht="13.5" customHeight="1">
      <c r="A172" s="139"/>
      <c r="B172" s="3764"/>
      <c r="C172" s="3769" t="s">
        <v>157</v>
      </c>
      <c r="D172" s="3764" t="s">
        <v>3213</v>
      </c>
      <c r="E172" s="3764"/>
      <c r="F172" s="3764"/>
      <c r="G172" s="3764"/>
      <c r="H172" s="3764"/>
      <c r="I172" s="3764"/>
      <c r="J172" s="3764"/>
      <c r="K172" s="3764"/>
      <c r="L172" s="3764"/>
      <c r="M172" s="3764"/>
      <c r="N172" s="3764"/>
      <c r="O172" s="3764"/>
      <c r="P172" s="3764"/>
      <c r="Q172" s="3764"/>
      <c r="R172" s="3764"/>
      <c r="S172" s="3764"/>
      <c r="T172" s="3764"/>
      <c r="U172" s="3764"/>
      <c r="V172" s="3764"/>
      <c r="W172" s="3764"/>
      <c r="X172" s="3540"/>
      <c r="Y172" s="3540"/>
      <c r="Z172" s="3540"/>
    </row>
    <row r="173" spans="1:41" ht="13.5" customHeight="1">
      <c r="A173" s="139"/>
      <c r="B173" s="3764"/>
      <c r="C173" s="3770"/>
      <c r="D173" s="3764" t="s">
        <v>3214</v>
      </c>
      <c r="E173" s="3764"/>
      <c r="F173" s="3764"/>
      <c r="G173" s="3764"/>
      <c r="H173" s="3764"/>
      <c r="I173" s="3764"/>
      <c r="J173" s="3764"/>
      <c r="K173" s="3764"/>
      <c r="L173" s="3764"/>
      <c r="M173" s="3764"/>
      <c r="N173" s="3764"/>
      <c r="O173" s="3764"/>
      <c r="P173" s="3764"/>
      <c r="Q173" s="3764"/>
      <c r="R173" s="351"/>
      <c r="S173" s="3764"/>
      <c r="T173" s="2768" t="s">
        <v>2167</v>
      </c>
      <c r="U173" s="351" t="s">
        <v>157</v>
      </c>
      <c r="V173" s="2452" t="str">
        <f>IF(K28&lt;&gt;"","",Tax)</f>
        <v/>
      </c>
      <c r="W173" s="3764"/>
      <c r="X173" s="3540"/>
      <c r="Y173" s="3540"/>
      <c r="Z173" s="3540"/>
    </row>
    <row r="174" spans="1:41">
      <c r="A174" s="139"/>
      <c r="B174" s="3764"/>
      <c r="C174" s="3769" t="s">
        <v>161</v>
      </c>
      <c r="D174" s="3764" t="s">
        <v>3215</v>
      </c>
      <c r="E174" s="3764"/>
      <c r="F174" s="3764"/>
      <c r="G174" s="3764"/>
      <c r="H174" s="3764"/>
      <c r="I174" s="3764"/>
      <c r="J174" s="3764"/>
      <c r="K174" s="3764"/>
      <c r="L174" s="3764"/>
      <c r="M174" s="3764"/>
      <c r="N174" s="3764"/>
      <c r="O174" s="3764"/>
      <c r="P174" s="3764"/>
      <c r="Q174" s="3764"/>
      <c r="R174" s="3764"/>
      <c r="S174" s="3764"/>
      <c r="T174" s="3764"/>
      <c r="U174" s="3764"/>
      <c r="V174" s="3764"/>
      <c r="W174" s="3764"/>
      <c r="X174" s="3540"/>
      <c r="Y174" s="3540"/>
      <c r="Z174" s="3540"/>
    </row>
    <row r="175" spans="1:41">
      <c r="A175" s="139"/>
      <c r="B175" s="3764"/>
      <c r="C175" s="3770"/>
      <c r="D175" s="3764" t="s">
        <v>3216</v>
      </c>
      <c r="E175" s="3764"/>
      <c r="F175" s="3764"/>
      <c r="G175" s="3764"/>
      <c r="H175" s="3764"/>
      <c r="I175" s="3764"/>
      <c r="J175" s="3764"/>
      <c r="K175" s="3764"/>
      <c r="L175" s="3764"/>
      <c r="M175" s="3764"/>
      <c r="N175" s="3764"/>
      <c r="O175" s="3764"/>
      <c r="P175" s="3764"/>
      <c r="Q175" s="3764"/>
      <c r="R175" s="351"/>
      <c r="S175" s="3764"/>
      <c r="T175" s="2768" t="s">
        <v>597</v>
      </c>
      <c r="U175" s="351" t="s">
        <v>161</v>
      </c>
      <c r="V175" s="2452" t="str">
        <f>IF(K28&lt;&gt;"","",SUM(Foreign_Tax_Credit,'Sch. 3'!W29))</f>
        <v/>
      </c>
      <c r="W175" s="3764"/>
      <c r="X175" s="3540"/>
      <c r="Y175" s="3540"/>
      <c r="Z175" s="3540"/>
    </row>
    <row r="176" spans="1:41">
      <c r="A176" s="139"/>
      <c r="B176" s="3764"/>
      <c r="C176" s="3769" t="s">
        <v>167</v>
      </c>
      <c r="D176" s="3767" t="s">
        <v>3217</v>
      </c>
      <c r="E176" s="3764"/>
      <c r="F176" s="3764"/>
      <c r="G176" s="3764"/>
      <c r="H176" s="3764"/>
      <c r="I176" s="3764"/>
      <c r="J176" s="3764"/>
      <c r="K176" s="3764"/>
      <c r="L176" s="3764"/>
      <c r="M176" s="3764"/>
      <c r="N176" s="3764"/>
      <c r="O176" s="3764"/>
      <c r="P176" s="3764"/>
      <c r="Q176" s="3764"/>
      <c r="R176" s="3764"/>
      <c r="S176" s="3764"/>
      <c r="T176" s="2768"/>
      <c r="U176" s="3764"/>
      <c r="V176" s="3764"/>
      <c r="W176" s="3764"/>
      <c r="X176" s="3540"/>
      <c r="Y176" s="3540"/>
      <c r="Z176" s="3540"/>
    </row>
    <row r="177" spans="1:41">
      <c r="A177" s="139"/>
      <c r="B177" s="3764"/>
      <c r="C177" s="3770"/>
      <c r="D177" s="3767" t="s">
        <v>3218</v>
      </c>
      <c r="E177" s="3764"/>
      <c r="F177" s="3764"/>
      <c r="G177" s="3764"/>
      <c r="H177" s="3764"/>
      <c r="I177" s="3764"/>
      <c r="J177" s="3764"/>
      <c r="K177" s="3764"/>
      <c r="L177" s="3764"/>
      <c r="M177" s="3764"/>
      <c r="N177" s="3764"/>
      <c r="O177" s="3764"/>
      <c r="P177" s="3764"/>
      <c r="Q177" s="3764"/>
      <c r="R177" s="351"/>
      <c r="S177" s="3764"/>
      <c r="T177" s="2768" t="s">
        <v>702</v>
      </c>
      <c r="U177" s="351" t="s">
        <v>167</v>
      </c>
      <c r="V177" s="2452" t="str">
        <f>IF(K28&lt;&gt;"","",SUM(V173,-V175))</f>
        <v/>
      </c>
      <c r="W177" s="3764"/>
      <c r="X177" s="3540"/>
      <c r="Y177" s="3540"/>
      <c r="Z177" s="3540"/>
    </row>
    <row r="178" spans="1:41">
      <c r="A178" s="139"/>
      <c r="B178" s="3764"/>
      <c r="C178" s="3764"/>
      <c r="D178" s="3764"/>
      <c r="E178" s="3764"/>
      <c r="F178" s="3764"/>
      <c r="G178" s="3764"/>
      <c r="H178" s="3764"/>
      <c r="I178" s="3764"/>
      <c r="J178" s="3764"/>
      <c r="K178" s="3764"/>
      <c r="L178" s="3764"/>
      <c r="M178" s="3764"/>
      <c r="N178" s="3764"/>
      <c r="O178" s="3764"/>
      <c r="P178" s="3764"/>
      <c r="Q178" s="3764"/>
      <c r="R178" s="3764"/>
      <c r="S178" s="3764"/>
      <c r="T178" s="3764"/>
      <c r="U178" s="3764"/>
      <c r="V178" s="3764"/>
      <c r="W178" s="3764"/>
      <c r="X178" s="3540"/>
      <c r="Y178" s="3540"/>
      <c r="Z178" s="3540"/>
    </row>
    <row r="179" spans="1:41" ht="7.5" customHeight="1">
      <c r="A179" s="139"/>
      <c r="B179" s="3763"/>
      <c r="C179" s="3763"/>
      <c r="D179" s="3763"/>
      <c r="E179" s="3763"/>
      <c r="F179" s="3763"/>
      <c r="G179" s="3763"/>
      <c r="H179" s="3763"/>
      <c r="I179" s="3763"/>
      <c r="J179" s="3763"/>
      <c r="K179" s="3763"/>
      <c r="L179" s="3763"/>
      <c r="M179" s="3763"/>
      <c r="N179" s="3763"/>
      <c r="O179" s="3763"/>
      <c r="P179" s="3763"/>
      <c r="Q179" s="3763"/>
      <c r="R179" s="3763"/>
      <c r="S179" s="3763"/>
      <c r="T179" s="3763"/>
      <c r="U179" s="3763"/>
      <c r="V179" s="3763"/>
      <c r="W179" s="3763"/>
      <c r="X179" s="3540"/>
      <c r="Y179" s="3540"/>
      <c r="Z179" s="3540"/>
    </row>
    <row r="180" spans="1:41" ht="16.5" customHeight="1">
      <c r="A180" s="139"/>
      <c r="B180" s="3771"/>
      <c r="C180" s="3772"/>
      <c r="D180" s="3772"/>
      <c r="E180" s="3772"/>
      <c r="F180" s="3772"/>
      <c r="G180" s="3772"/>
      <c r="H180" s="3772"/>
      <c r="I180" s="3772"/>
      <c r="J180" s="3772"/>
      <c r="K180" s="3772"/>
      <c r="L180" s="3772"/>
      <c r="M180" s="3772"/>
      <c r="N180" s="3772"/>
      <c r="O180" s="3772"/>
      <c r="P180" s="3772"/>
      <c r="Q180" s="3772"/>
      <c r="R180" s="3772"/>
      <c r="S180" s="3772"/>
      <c r="T180" s="3772"/>
      <c r="U180" s="3772"/>
      <c r="V180" s="3772"/>
      <c r="W180" s="3773"/>
      <c r="X180" s="3540"/>
      <c r="Y180" s="3540"/>
      <c r="Z180" s="3540"/>
    </row>
    <row r="181" spans="1:41" ht="16.5" customHeight="1">
      <c r="A181" s="139"/>
      <c r="B181" s="3774"/>
      <c r="C181" s="759"/>
      <c r="D181" s="1469" t="s">
        <v>3219</v>
      </c>
      <c r="E181" s="1061"/>
      <c r="F181" s="759"/>
      <c r="G181" s="3775" t="str">
        <f>"Worksheet for "&amp;TaxYear-1&amp;" Expenses Paid in "&amp;TaxYear</f>
        <v>Worksheet for 2024 Expenses Paid in 2025</v>
      </c>
      <c r="H181" s="759"/>
      <c r="I181" s="759"/>
      <c r="J181" s="759"/>
      <c r="K181" s="759"/>
      <c r="L181" s="759"/>
      <c r="M181" s="759"/>
      <c r="N181" s="759"/>
      <c r="O181" s="759"/>
      <c r="P181" s="759"/>
      <c r="Q181" s="759"/>
      <c r="R181" s="759"/>
      <c r="S181" s="759"/>
      <c r="T181" s="759"/>
      <c r="U181" s="759"/>
      <c r="V181" s="759"/>
      <c r="W181" s="3776"/>
      <c r="X181" s="3540"/>
      <c r="Y181" s="3540"/>
      <c r="Z181" s="3540"/>
    </row>
    <row r="182" spans="1:41" ht="16.5" customHeight="1">
      <c r="A182" s="139"/>
      <c r="B182" s="3777"/>
      <c r="C182" s="759"/>
      <c r="D182" s="759"/>
      <c r="E182" s="759"/>
      <c r="F182" s="759"/>
      <c r="G182" s="759"/>
      <c r="H182" s="759"/>
      <c r="I182" s="759"/>
      <c r="J182" s="759"/>
      <c r="K182" s="759"/>
      <c r="L182" s="759"/>
      <c r="M182" s="759"/>
      <c r="N182" s="759"/>
      <c r="O182" s="759"/>
      <c r="P182" s="759"/>
      <c r="Q182" s="759"/>
      <c r="R182" s="3778"/>
      <c r="S182" s="759"/>
      <c r="T182" s="759"/>
      <c r="U182" s="3778" t="s">
        <v>926</v>
      </c>
      <c r="V182" s="3779"/>
      <c r="W182" s="3776"/>
      <c r="X182" s="3540"/>
      <c r="Y182" s="3540"/>
      <c r="Z182" s="3540"/>
    </row>
    <row r="183" spans="1:41" ht="16.5" customHeight="1">
      <c r="A183" s="139"/>
      <c r="B183" s="3777"/>
      <c r="C183" s="759"/>
      <c r="D183" s="759"/>
      <c r="E183" s="759"/>
      <c r="F183" s="759"/>
      <c r="G183" s="3780" t="str">
        <f>"Use this worksheet to figure the credit you may claim for "&amp;TaxYear-1&amp;" expenses paid in "&amp;TaxYear&amp;"."</f>
        <v>Use this worksheet to figure the credit you may claim for 2024 expenses paid in 2025.</v>
      </c>
      <c r="H183" s="759"/>
      <c r="I183" s="759"/>
      <c r="J183" s="759"/>
      <c r="K183" s="759"/>
      <c r="L183" s="759"/>
      <c r="M183" s="759"/>
      <c r="N183" s="759"/>
      <c r="O183" s="759"/>
      <c r="P183" s="759"/>
      <c r="Q183" s="759"/>
      <c r="R183" s="759"/>
      <c r="S183" s="759"/>
      <c r="T183" s="759"/>
      <c r="U183" s="759"/>
      <c r="V183" s="759"/>
      <c r="W183" s="3776"/>
      <c r="X183" s="3540"/>
      <c r="Y183" s="3540"/>
      <c r="Z183" s="3540"/>
    </row>
    <row r="184" spans="1:41" ht="20.25" customHeight="1">
      <c r="A184" s="139"/>
      <c r="B184" s="3777"/>
      <c r="C184" s="759"/>
      <c r="D184" s="759"/>
      <c r="E184" s="759"/>
      <c r="F184" s="759"/>
      <c r="G184" s="759"/>
      <c r="H184" s="759"/>
      <c r="I184" s="759"/>
      <c r="J184" s="759"/>
      <c r="K184" s="759"/>
      <c r="L184" s="759"/>
      <c r="M184" s="759"/>
      <c r="N184" s="759"/>
      <c r="O184" s="759"/>
      <c r="P184" s="759"/>
      <c r="Q184" s="759"/>
      <c r="R184" s="759"/>
      <c r="S184" s="759"/>
      <c r="T184" s="759"/>
      <c r="U184" s="759"/>
      <c r="V184" s="759"/>
      <c r="W184" s="3776"/>
      <c r="X184" s="3540"/>
      <c r="Y184" s="3540"/>
      <c r="Z184" s="3540"/>
    </row>
    <row r="185" spans="1:41" ht="16.5" customHeight="1">
      <c r="A185" s="139"/>
      <c r="B185" s="3781" t="s">
        <v>157</v>
      </c>
      <c r="C185" s="759"/>
      <c r="D185" s="759" t="str">
        <f>"Enter the amount reported on your "&amp;TaxYear-1&amp;" Form 2441, line 3"</f>
        <v>Enter the amount reported on your 2024 Form 2441, line 3</v>
      </c>
      <c r="E185" s="759"/>
      <c r="F185" s="759"/>
      <c r="G185" s="759"/>
      <c r="H185" s="759"/>
      <c r="I185" s="759"/>
      <c r="J185" s="759"/>
      <c r="K185" s="759"/>
      <c r="L185" s="759"/>
      <c r="M185" s="759"/>
      <c r="N185" s="759"/>
      <c r="O185" s="759"/>
      <c r="P185" s="759"/>
      <c r="Q185" s="759"/>
      <c r="R185" s="351"/>
      <c r="S185" s="2768" t="s">
        <v>608</v>
      </c>
      <c r="T185" s="759"/>
      <c r="U185" s="351" t="s">
        <v>157</v>
      </c>
      <c r="V185" s="1302"/>
      <c r="W185" s="3776"/>
      <c r="X185" s="3540"/>
      <c r="Y185" s="3540"/>
      <c r="Z185" s="3540"/>
    </row>
    <row r="186" spans="1:41" ht="16.5" customHeight="1">
      <c r="A186" s="139"/>
      <c r="B186" s="3781" t="s">
        <v>161</v>
      </c>
      <c r="C186" s="759"/>
      <c r="D186" s="759" t="str">
        <f>"Enter your "&amp;TaxYear-1&amp;" qualified expenses paid in "&amp;TaxYear</f>
        <v>Enter your 2024 qualified expenses paid in 2025</v>
      </c>
      <c r="E186" s="759"/>
      <c r="F186" s="759"/>
      <c r="G186" s="759"/>
      <c r="H186" s="759"/>
      <c r="I186" s="759"/>
      <c r="J186" s="759"/>
      <c r="K186" s="759"/>
      <c r="L186" s="759"/>
      <c r="M186" s="759"/>
      <c r="N186" s="759"/>
      <c r="O186" s="759"/>
      <c r="P186" s="759"/>
      <c r="Q186" s="759"/>
      <c r="R186" s="351"/>
      <c r="S186" s="2768" t="s">
        <v>1876</v>
      </c>
      <c r="T186" s="759"/>
      <c r="U186" s="351" t="s">
        <v>161</v>
      </c>
      <c r="V186" s="1302"/>
      <c r="W186" s="3776"/>
      <c r="X186" s="3540"/>
      <c r="Y186" s="3540"/>
      <c r="Z186" s="3540"/>
    </row>
    <row r="187" spans="1:41" ht="16.5" customHeight="1">
      <c r="A187" s="139"/>
      <c r="B187" s="3781" t="s">
        <v>167</v>
      </c>
      <c r="C187" s="759"/>
      <c r="D187" s="759" t="s">
        <v>3220</v>
      </c>
      <c r="E187" s="759"/>
      <c r="F187" s="759"/>
      <c r="G187" s="759"/>
      <c r="H187" s="759"/>
      <c r="I187" s="759"/>
      <c r="J187" s="759"/>
      <c r="K187" s="759"/>
      <c r="L187" s="759"/>
      <c r="M187" s="759"/>
      <c r="N187" s="759"/>
      <c r="O187" s="759"/>
      <c r="P187" s="759"/>
      <c r="Q187" s="759"/>
      <c r="R187" s="351"/>
      <c r="S187" s="2768" t="s">
        <v>665</v>
      </c>
      <c r="T187" s="759"/>
      <c r="U187" s="351" t="s">
        <v>167</v>
      </c>
      <c r="V187" s="2452" t="str">
        <f>IF(V185="","",SUM(ROUND(V185,0),ROUND(V186,0)))</f>
        <v/>
      </c>
      <c r="W187" s="3776"/>
      <c r="X187" s="3540"/>
      <c r="Y187" s="3540"/>
      <c r="Z187" s="3540"/>
      <c r="AA187" s="391">
        <v>3000</v>
      </c>
    </row>
    <row r="188" spans="1:41" ht="16.5" customHeight="1">
      <c r="A188" s="139"/>
      <c r="B188" s="3781" t="s">
        <v>171</v>
      </c>
      <c r="C188" s="759"/>
      <c r="D188" s="759" t="str">
        <f>"Enter "&amp;TEXT(AA187,"$0,000")&amp;" if you had one qualifying person ("&amp;TEXT(AA187*2,"$0,000")&amp;" if you had two or more)"</f>
        <v>Enter $3,000 if you had one qualifying person ($6,000 if you had two or more)</v>
      </c>
      <c r="E188" s="759"/>
      <c r="F188" s="759"/>
      <c r="G188" s="759"/>
      <c r="H188" s="759"/>
      <c r="I188" s="759"/>
      <c r="J188" s="759"/>
      <c r="K188" s="759"/>
      <c r="L188" s="759"/>
      <c r="M188" s="759"/>
      <c r="N188" s="759"/>
      <c r="O188" s="3782"/>
      <c r="P188" s="3782"/>
      <c r="Q188" s="3782"/>
      <c r="R188" s="3782"/>
      <c r="S188" s="3783" t="s">
        <v>643</v>
      </c>
      <c r="T188" s="759"/>
      <c r="U188" s="351" t="s">
        <v>171</v>
      </c>
      <c r="V188" s="2452" t="str">
        <f>IF(Y188="","",IF(Y188&gt;=2,2*AA187,IF(Y188&gt;0,AA187,0)))</f>
        <v/>
      </c>
      <c r="W188" s="3776"/>
      <c r="X188" s="3540"/>
      <c r="Y188" s="1303"/>
      <c r="Z188" s="3540"/>
      <c r="AA188" s="3784" t="s">
        <v>3221</v>
      </c>
      <c r="AM188" s="391">
        <v>8000</v>
      </c>
      <c r="AO188" s="391">
        <v>8000</v>
      </c>
    </row>
    <row r="189" spans="1:41" ht="16.5" customHeight="1">
      <c r="A189" s="139"/>
      <c r="B189" s="3781" t="s">
        <v>184</v>
      </c>
      <c r="C189" s="759"/>
      <c r="D189" s="759" t="str">
        <f>"Enter any dependent care benefits received for "&amp;TaxYear-1&amp;" and deducted on your return and/or excluded"</f>
        <v>Enter any dependent care benefits received for 2024 and deducted on your return and/or excluded</v>
      </c>
      <c r="E189" s="759"/>
      <c r="F189" s="759"/>
      <c r="G189" s="759"/>
      <c r="H189" s="759"/>
      <c r="I189" s="759"/>
      <c r="J189" s="759"/>
      <c r="K189" s="759"/>
      <c r="L189" s="759"/>
      <c r="M189" s="759"/>
      <c r="N189" s="759"/>
      <c r="O189" s="759"/>
      <c r="P189" s="759"/>
      <c r="Q189" s="759"/>
      <c r="R189" s="759"/>
      <c r="S189" s="759"/>
      <c r="T189" s="759"/>
      <c r="U189" s="759"/>
      <c r="V189" s="759"/>
      <c r="W189" s="3776"/>
      <c r="X189" s="3540"/>
      <c r="Y189" s="3540"/>
      <c r="Z189" s="3540"/>
      <c r="AA189" s="3785" t="str">
        <f>"persons in "&amp;TaxYear-1</f>
        <v>persons in 2024</v>
      </c>
      <c r="AM189" s="3784" t="s">
        <v>3221</v>
      </c>
      <c r="AO189" s="3784" t="s">
        <v>3221</v>
      </c>
    </row>
    <row r="190" spans="1:41" ht="16.5" customHeight="1">
      <c r="A190" s="139"/>
      <c r="B190" s="3786"/>
      <c r="C190" s="759"/>
      <c r="D190" s="986" t="str">
        <f>"from your income (from your "&amp;TaxYear-1&amp;" Form 2441, lines 24 and 25)"</f>
        <v>from your income (from your 2024 Form 2441, lines 24 and 25)</v>
      </c>
      <c r="E190" s="759"/>
      <c r="F190" s="759"/>
      <c r="G190" s="759"/>
      <c r="H190" s="759"/>
      <c r="I190" s="759"/>
      <c r="J190" s="759"/>
      <c r="K190" s="759"/>
      <c r="L190" s="759"/>
      <c r="M190" s="759"/>
      <c r="N190" s="759"/>
      <c r="O190" s="759"/>
      <c r="P190" s="759"/>
      <c r="Q190" s="759"/>
      <c r="R190" s="351"/>
      <c r="S190" s="759"/>
      <c r="T190" s="759"/>
      <c r="U190" s="351" t="s">
        <v>184</v>
      </c>
      <c r="V190" s="1302"/>
      <c r="W190" s="3776"/>
      <c r="X190" s="3540"/>
      <c r="Y190" s="3540"/>
      <c r="Z190" s="3540"/>
      <c r="AM190" s="3785" t="str">
        <f>"persons in "&amp;TaxYear-1</f>
        <v>persons in 2024</v>
      </c>
      <c r="AO190" s="3785" t="str">
        <f>"persons in "&amp;TaxYear-1</f>
        <v>persons in 2024</v>
      </c>
    </row>
    <row r="191" spans="1:41" ht="16.5" customHeight="1">
      <c r="A191" s="139"/>
      <c r="B191" s="3781" t="s">
        <v>188</v>
      </c>
      <c r="C191" s="759"/>
      <c r="D191" s="759" t="s">
        <v>3222</v>
      </c>
      <c r="E191" s="759"/>
      <c r="F191" s="759"/>
      <c r="G191" s="759"/>
      <c r="H191" s="759"/>
      <c r="I191" s="759"/>
      <c r="J191" s="759"/>
      <c r="K191" s="759"/>
      <c r="L191" s="759"/>
      <c r="M191" s="759"/>
      <c r="N191" s="759"/>
      <c r="O191" s="759"/>
      <c r="P191" s="759"/>
      <c r="Q191" s="759"/>
      <c r="R191" s="351"/>
      <c r="S191" s="3783" t="s">
        <v>624</v>
      </c>
      <c r="T191" s="759"/>
      <c r="U191" s="351" t="s">
        <v>188</v>
      </c>
      <c r="V191" s="2452" t="str">
        <f>IF(V185="","",MAX(0,SUM(V188,-V190)))</f>
        <v/>
      </c>
      <c r="W191" s="3776"/>
      <c r="X191" s="3540"/>
      <c r="Y191" s="3540"/>
      <c r="Z191" s="3540"/>
    </row>
    <row r="192" spans="1:41" ht="16.5" customHeight="1">
      <c r="A192" s="139"/>
      <c r="B192" s="3781" t="s">
        <v>198</v>
      </c>
      <c r="C192" s="759"/>
      <c r="D192" s="759" t="str">
        <f>"Compare your earned income for "&amp;TaxYear-1&amp;" and your spouse's earned income for "&amp;TaxYear-1&amp;" and enter the"</f>
        <v>Compare your earned income for 2024 and your spouse's earned income for 2024 and enter the</v>
      </c>
      <c r="E192" s="759"/>
      <c r="F192" s="759"/>
      <c r="G192" s="759"/>
      <c r="H192" s="759"/>
      <c r="I192" s="759"/>
      <c r="J192" s="759"/>
      <c r="K192" s="759"/>
      <c r="L192" s="759"/>
      <c r="M192" s="759"/>
      <c r="N192" s="759"/>
      <c r="O192" s="759"/>
      <c r="P192" s="759"/>
      <c r="Q192" s="759"/>
      <c r="R192" s="759"/>
      <c r="S192" s="759"/>
      <c r="T192" s="759"/>
      <c r="U192" s="759"/>
      <c r="V192" s="759"/>
      <c r="W192" s="3776"/>
      <c r="X192" s="3540"/>
      <c r="Y192" s="3540"/>
      <c r="Z192" s="3540"/>
    </row>
    <row r="193" spans="1:41" ht="16.5" customHeight="1">
      <c r="A193" s="139"/>
      <c r="B193" s="3786"/>
      <c r="C193" s="759"/>
      <c r="D193" s="986" t="s">
        <v>3223</v>
      </c>
      <c r="E193" s="759"/>
      <c r="F193" s="759"/>
      <c r="G193" s="759"/>
      <c r="H193" s="759"/>
      <c r="I193" s="759"/>
      <c r="J193" s="759"/>
      <c r="K193" s="759"/>
      <c r="L193" s="759"/>
      <c r="M193" s="759"/>
      <c r="N193" s="759"/>
      <c r="O193" s="759"/>
      <c r="P193" s="759"/>
      <c r="Q193" s="759"/>
      <c r="R193" s="351"/>
      <c r="S193" s="3676" t="s">
        <v>1877</v>
      </c>
      <c r="T193" s="759"/>
      <c r="U193" s="351" t="s">
        <v>198</v>
      </c>
      <c r="V193" s="1302"/>
      <c r="W193" s="3776"/>
      <c r="X193" s="3540"/>
      <c r="Y193" s="3540"/>
      <c r="Z193" s="3540"/>
    </row>
    <row r="194" spans="1:41">
      <c r="A194" s="139"/>
      <c r="B194" s="3781" t="s">
        <v>200</v>
      </c>
      <c r="C194" s="759"/>
      <c r="D194" s="759" t="s">
        <v>3224</v>
      </c>
      <c r="E194" s="759"/>
      <c r="F194" s="759"/>
      <c r="G194" s="759"/>
      <c r="H194" s="759"/>
      <c r="I194" s="759"/>
      <c r="J194" s="759"/>
      <c r="K194" s="759"/>
      <c r="L194" s="759"/>
      <c r="M194" s="759"/>
      <c r="N194" s="759"/>
      <c r="O194" s="759"/>
      <c r="P194" s="759"/>
      <c r="Q194" s="759"/>
      <c r="R194" s="351"/>
      <c r="S194" s="3783" t="s">
        <v>624</v>
      </c>
      <c r="T194" s="759"/>
      <c r="U194" s="351" t="s">
        <v>200</v>
      </c>
      <c r="V194" s="2452" t="str">
        <f>IF(V185="","",MIN(V187,V191,V193))</f>
        <v/>
      </c>
      <c r="W194" s="3776"/>
      <c r="X194" s="3540"/>
      <c r="Y194" s="3540"/>
      <c r="Z194" s="3540"/>
    </row>
    <row r="195" spans="1:41">
      <c r="A195" s="139"/>
      <c r="B195" s="3781" t="s">
        <v>205</v>
      </c>
      <c r="C195" s="759"/>
      <c r="D195" s="759" t="str">
        <f>"Enter the amount on which you figured the credit for "&amp;TaxYear-1&amp;" (from your "&amp;TaxYear-1&amp;" Form 2441, line 6)"</f>
        <v>Enter the amount on which you figured the credit for 2024 (from your 2024 Form 2441, line 6)</v>
      </c>
      <c r="E195" s="759"/>
      <c r="F195" s="759"/>
      <c r="G195" s="759"/>
      <c r="H195" s="759"/>
      <c r="I195" s="759"/>
      <c r="J195" s="759"/>
      <c r="K195" s="759"/>
      <c r="L195" s="759"/>
      <c r="M195" s="759"/>
      <c r="N195" s="759"/>
      <c r="O195" s="759"/>
      <c r="P195" s="759"/>
      <c r="Q195" s="759"/>
      <c r="R195" s="351"/>
      <c r="S195" s="3783" t="s">
        <v>2390</v>
      </c>
      <c r="T195" s="759"/>
      <c r="U195" s="351" t="s">
        <v>205</v>
      </c>
      <c r="V195" s="1302"/>
      <c r="W195" s="3776"/>
      <c r="X195" s="3540"/>
      <c r="Y195" s="3540"/>
      <c r="Z195" s="3540"/>
    </row>
    <row r="196" spans="1:41">
      <c r="A196" s="139"/>
      <c r="B196" s="3781" t="s">
        <v>210</v>
      </c>
      <c r="C196" s="759"/>
      <c r="D196" s="759" t="s">
        <v>3225</v>
      </c>
      <c r="E196" s="759"/>
      <c r="F196" s="759"/>
      <c r="G196" s="759"/>
      <c r="H196" s="759"/>
      <c r="I196" s="759"/>
      <c r="J196" s="759"/>
      <c r="K196" s="759"/>
      <c r="L196" s="759"/>
      <c r="M196" s="759"/>
      <c r="N196" s="759"/>
      <c r="O196" s="759" t="s">
        <v>3226</v>
      </c>
      <c r="P196" s="759"/>
      <c r="Q196" s="759"/>
      <c r="R196" s="1061"/>
      <c r="S196" s="759"/>
      <c r="U196" s="759"/>
      <c r="V196" s="759"/>
      <c r="W196" s="3776"/>
      <c r="X196" s="3540"/>
      <c r="Y196" s="3540"/>
      <c r="Z196" s="3540"/>
    </row>
    <row r="197" spans="1:41">
      <c r="A197" s="139"/>
      <c r="B197" s="3786"/>
      <c r="C197" s="3787" t="b">
        <f>AND(V185&lt;&gt;"",V197&lt;=0)</f>
        <v>0</v>
      </c>
      <c r="D197" s="759" t="str">
        <f>"You can't increase your "&amp;TaxYear&amp;" credit by any previous year's expenses"</f>
        <v>You can't increase your 2025 credit by any previous year's expenses</v>
      </c>
      <c r="E197" s="759"/>
      <c r="F197" s="759"/>
      <c r="G197" s="759"/>
      <c r="H197" s="759"/>
      <c r="I197" s="759"/>
      <c r="J197" s="759"/>
      <c r="K197" s="759"/>
      <c r="L197" s="759"/>
      <c r="M197" s="759"/>
      <c r="N197" s="759"/>
      <c r="O197" s="759"/>
      <c r="P197" s="759"/>
      <c r="Q197" s="759"/>
      <c r="R197" s="351"/>
      <c r="S197" s="3783" t="s">
        <v>624</v>
      </c>
      <c r="T197" s="759"/>
      <c r="U197" s="351" t="s">
        <v>210</v>
      </c>
      <c r="V197" s="2452" t="str">
        <f>IF(V185="","",SUM(V194,-V195))</f>
        <v/>
      </c>
      <c r="W197" s="3776"/>
      <c r="X197" s="3540"/>
      <c r="Y197" s="3540"/>
      <c r="Z197" s="3540"/>
    </row>
    <row r="198" spans="1:41">
      <c r="A198" s="139"/>
      <c r="B198" s="3781" t="s">
        <v>212</v>
      </c>
      <c r="C198" s="759"/>
      <c r="D198" s="759" t="str">
        <f>"Enter your "&amp;TaxYear-1&amp;" adjusted gross income (from your "&amp;TaxYear-1&amp;" Form 1040, 1040-SR, or 1040-NR, line 11)"</f>
        <v>Enter your 2024 adjusted gross income (from your 2024 Form 1040, 1040-SR, or 1040-NR, line 11)</v>
      </c>
      <c r="E198" s="759"/>
      <c r="F198" s="759"/>
      <c r="G198" s="759"/>
      <c r="H198" s="759"/>
      <c r="I198" s="759"/>
      <c r="J198" s="759"/>
      <c r="K198" s="759"/>
      <c r="L198" s="759"/>
      <c r="M198" s="759"/>
      <c r="N198" s="759"/>
      <c r="O198" s="759"/>
      <c r="P198" s="759"/>
      <c r="Q198" s="759"/>
      <c r="R198" s="351"/>
      <c r="S198" s="3676" t="s">
        <v>636</v>
      </c>
      <c r="T198" s="759"/>
      <c r="U198" s="351" t="s">
        <v>212</v>
      </c>
      <c r="V198" s="1302"/>
      <c r="W198" s="3776"/>
      <c r="X198" s="3540"/>
      <c r="Y198" s="3540"/>
      <c r="Z198" s="3540"/>
    </row>
    <row r="199" spans="1:41">
      <c r="A199" s="139"/>
      <c r="B199" s="3781" t="s">
        <v>1366</v>
      </c>
      <c r="C199" s="759"/>
      <c r="D199" s="759" t="str">
        <f>"Find your "&amp;TaxYear-1&amp;" adjusted gross income in the table below and enter the corresponding decimal amount"</f>
        <v>Find your 2024 adjusted gross income in the table below and enter the corresponding decimal amount</v>
      </c>
      <c r="E199" s="759"/>
      <c r="F199" s="759"/>
      <c r="G199" s="759"/>
      <c r="H199" s="759"/>
      <c r="I199" s="759"/>
      <c r="J199" s="759"/>
      <c r="K199" s="759"/>
      <c r="L199" s="759"/>
      <c r="M199" s="759"/>
      <c r="N199" s="759"/>
      <c r="O199" s="759"/>
      <c r="P199" s="759"/>
      <c r="Q199" s="759"/>
      <c r="R199" s="759"/>
      <c r="S199" s="759"/>
      <c r="T199" s="759"/>
      <c r="U199" s="759"/>
      <c r="V199" s="759"/>
      <c r="W199" s="3776"/>
      <c r="X199" s="3540"/>
      <c r="Y199" s="3540"/>
      <c r="Z199" s="3540"/>
      <c r="AA199" s="1449"/>
    </row>
    <row r="200" spans="1:41">
      <c r="A200" s="139"/>
      <c r="B200" s="3777"/>
      <c r="C200" s="1061"/>
      <c r="D200" s="759" t="s">
        <v>584</v>
      </c>
      <c r="E200" s="759"/>
      <c r="F200" s="759"/>
      <c r="G200" s="759"/>
      <c r="H200" s="759"/>
      <c r="I200" s="759"/>
      <c r="J200" s="759"/>
      <c r="K200" s="759"/>
      <c r="L200" s="759"/>
      <c r="M200" s="759"/>
      <c r="N200" s="759"/>
      <c r="O200" s="759"/>
      <c r="P200" s="759"/>
      <c r="Q200" s="759"/>
      <c r="R200" s="351"/>
      <c r="S200" s="3676" t="s">
        <v>1877</v>
      </c>
      <c r="T200" s="759"/>
      <c r="U200" s="351" t="s">
        <v>1366</v>
      </c>
      <c r="V200" s="3788" t="str">
        <f>IF(V198="","",LOOKUP(V198-1,G206:G221,Q206:Q221))</f>
        <v/>
      </c>
      <c r="W200" s="3776"/>
      <c r="X200" s="3540"/>
      <c r="Y200" s="3540"/>
      <c r="Z200" s="3540"/>
      <c r="AA200" s="1449"/>
      <c r="AM200" s="1449"/>
      <c r="AO200" s="1449"/>
    </row>
    <row r="201" spans="1:41">
      <c r="A201" s="139"/>
      <c r="B201" s="3777"/>
      <c r="C201" s="759"/>
      <c r="D201" s="759"/>
      <c r="E201" s="759"/>
      <c r="F201" s="759"/>
      <c r="G201" s="759"/>
      <c r="H201" s="759"/>
      <c r="I201" s="759"/>
      <c r="J201" s="759"/>
      <c r="K201" s="759"/>
      <c r="L201" s="759"/>
      <c r="M201" s="759"/>
      <c r="N201" s="759"/>
      <c r="O201" s="759"/>
      <c r="P201" s="759"/>
      <c r="Q201" s="759"/>
      <c r="R201" s="759"/>
      <c r="S201" s="759"/>
      <c r="T201" s="759"/>
      <c r="U201" s="759"/>
      <c r="V201" s="759"/>
      <c r="W201" s="3776"/>
      <c r="X201" s="3540"/>
      <c r="Y201" s="3540"/>
      <c r="Z201" s="3540"/>
      <c r="AM201" s="1449"/>
      <c r="AO201" s="1449"/>
    </row>
    <row r="202" spans="1:41" ht="12.75" customHeight="1">
      <c r="A202" s="139"/>
      <c r="B202" s="3777"/>
      <c r="C202" s="3789" t="str">
        <f>"IF your "&amp;TaxYear-1&amp;" adjusted gross income was:"</f>
        <v>IF your 2024 adjusted gross income was:</v>
      </c>
      <c r="D202" s="759"/>
      <c r="E202" s="759"/>
      <c r="F202" s="759"/>
      <c r="G202" s="759"/>
      <c r="H202" s="759"/>
      <c r="I202" s="759"/>
      <c r="J202" s="759"/>
      <c r="K202" s="344"/>
      <c r="L202" s="344"/>
      <c r="M202" s="344"/>
      <c r="N202" s="344"/>
      <c r="O202" s="344"/>
      <c r="P202" s="344"/>
      <c r="Q202" s="344"/>
      <c r="R202" s="344"/>
      <c r="S202" s="344"/>
      <c r="T202" s="344"/>
      <c r="U202" s="344"/>
      <c r="V202" s="344"/>
      <c r="W202" s="567"/>
      <c r="X202" s="3540"/>
      <c r="Y202" s="3540"/>
      <c r="Z202" s="3540"/>
    </row>
    <row r="203" spans="1:41" ht="12.75" customHeight="1">
      <c r="A203" s="139"/>
      <c r="B203" s="3777"/>
      <c r="C203" s="759"/>
      <c r="D203" s="759"/>
      <c r="E203" s="759"/>
      <c r="F203" s="759"/>
      <c r="G203" s="759"/>
      <c r="H203" s="759"/>
      <c r="I203" s="759"/>
      <c r="J203" s="759"/>
      <c r="K203" s="344"/>
      <c r="L203" s="344"/>
      <c r="M203" s="344"/>
      <c r="N203" s="344"/>
      <c r="O203" s="344"/>
      <c r="P203" s="344"/>
      <c r="Q203" s="344"/>
      <c r="R203" s="344"/>
      <c r="S203" s="344"/>
      <c r="T203" s="344"/>
      <c r="U203" s="344"/>
      <c r="V203" s="344"/>
      <c r="W203" s="567"/>
      <c r="X203" s="3540"/>
      <c r="Y203" s="3540"/>
      <c r="Z203" s="3540"/>
    </row>
    <row r="204" spans="1:41" ht="12.75" customHeight="1">
      <c r="A204" s="139"/>
      <c r="B204" s="3777"/>
      <c r="C204" s="3790"/>
      <c r="D204" s="344"/>
      <c r="E204" s="3789"/>
      <c r="F204" s="3789"/>
      <c r="G204" s="3789"/>
      <c r="H204" s="3789"/>
      <c r="I204" s="344"/>
      <c r="J204" s="9029" t="s">
        <v>3227</v>
      </c>
      <c r="K204" s="9029"/>
      <c r="L204" s="3790"/>
      <c r="M204" s="344"/>
      <c r="N204" s="344"/>
      <c r="O204" s="9738" t="s">
        <v>3228</v>
      </c>
      <c r="P204" s="9738"/>
      <c r="Q204" s="9738"/>
      <c r="R204" s="9738"/>
      <c r="S204" s="9738"/>
      <c r="T204" s="344"/>
      <c r="U204" s="344"/>
      <c r="V204" s="344"/>
      <c r="W204" s="567"/>
      <c r="X204" s="3540"/>
      <c r="Y204" s="3540"/>
      <c r="Z204" s="3540"/>
    </row>
    <row r="205" spans="1:41">
      <c r="A205" s="139"/>
      <c r="B205" s="3777"/>
      <c r="C205" s="3790"/>
      <c r="D205" s="344"/>
      <c r="E205" s="3790"/>
      <c r="F205" s="3790"/>
      <c r="G205" s="1293" t="s">
        <v>5042</v>
      </c>
      <c r="H205" s="3789"/>
      <c r="I205" s="344"/>
      <c r="J205" s="9740"/>
      <c r="K205" s="9740"/>
      <c r="L205" s="3790"/>
      <c r="M205" s="344"/>
      <c r="N205" s="344"/>
      <c r="O205" s="9738"/>
      <c r="P205" s="9738"/>
      <c r="Q205" s="9738"/>
      <c r="R205" s="9738"/>
      <c r="S205" s="9738"/>
      <c r="T205" s="344"/>
      <c r="U205" s="344"/>
      <c r="V205" s="344"/>
      <c r="W205" s="567"/>
      <c r="X205" s="3540"/>
      <c r="Y205" s="3540"/>
      <c r="Z205" s="3540"/>
    </row>
    <row r="206" spans="1:41">
      <c r="A206" s="139"/>
      <c r="B206" s="3791"/>
      <c r="C206" s="3792"/>
      <c r="D206" s="759"/>
      <c r="E206" s="344"/>
      <c r="F206" s="344"/>
      <c r="G206" s="3792">
        <v>0</v>
      </c>
      <c r="H206" s="351" t="s">
        <v>369</v>
      </c>
      <c r="I206" s="344"/>
      <c r="J206" s="3793">
        <f t="shared" ref="J206:J220" si="1">G207</f>
        <v>15000</v>
      </c>
      <c r="K206" s="3794"/>
      <c r="L206" s="759"/>
      <c r="M206" s="344"/>
      <c r="N206" s="344"/>
      <c r="O206" s="344"/>
      <c r="P206" s="344"/>
      <c r="Q206" s="9739">
        <v>0.35</v>
      </c>
      <c r="R206" s="9739"/>
      <c r="S206" s="344"/>
      <c r="T206" s="344"/>
      <c r="U206" s="344"/>
      <c r="V206" s="344"/>
      <c r="W206" s="567"/>
      <c r="X206" s="3540"/>
      <c r="Y206" s="3540"/>
      <c r="Z206" s="3540"/>
    </row>
    <row r="207" spans="1:41" ht="12.75" customHeight="1">
      <c r="A207" s="139"/>
      <c r="B207" s="3795"/>
      <c r="C207" s="3796"/>
      <c r="D207" s="759"/>
      <c r="E207" s="759"/>
      <c r="F207" s="344"/>
      <c r="G207" s="3796">
        <v>15000</v>
      </c>
      <c r="H207" s="351" t="s">
        <v>369</v>
      </c>
      <c r="I207" s="344"/>
      <c r="J207" s="3793">
        <f t="shared" si="1"/>
        <v>17000</v>
      </c>
      <c r="K207" s="253"/>
      <c r="L207" s="3797"/>
      <c r="M207" s="344"/>
      <c r="N207" s="344"/>
      <c r="O207" s="344"/>
      <c r="P207" s="344"/>
      <c r="Q207" s="9739">
        <v>0.34</v>
      </c>
      <c r="R207" s="9739"/>
      <c r="S207" s="344"/>
      <c r="T207" s="344"/>
      <c r="U207" s="344"/>
      <c r="V207" s="344"/>
      <c r="W207" s="567"/>
      <c r="X207" s="3540"/>
      <c r="Y207" s="3540"/>
      <c r="Z207" s="3540"/>
    </row>
    <row r="208" spans="1:41" ht="12.75" customHeight="1">
      <c r="A208" s="139"/>
      <c r="B208" s="3795"/>
      <c r="C208" s="3796"/>
      <c r="D208" s="759"/>
      <c r="E208" s="759"/>
      <c r="F208" s="344"/>
      <c r="G208" s="3796">
        <v>17000</v>
      </c>
      <c r="H208" s="351" t="s">
        <v>369</v>
      </c>
      <c r="I208" s="344"/>
      <c r="J208" s="3793">
        <f t="shared" si="1"/>
        <v>19000</v>
      </c>
      <c r="K208" s="253"/>
      <c r="L208" s="3797"/>
      <c r="M208" s="344"/>
      <c r="N208" s="344"/>
      <c r="O208" s="344"/>
      <c r="P208" s="344"/>
      <c r="Q208" s="9739">
        <v>0.33</v>
      </c>
      <c r="R208" s="9739"/>
      <c r="S208" s="344"/>
      <c r="T208" s="344"/>
      <c r="U208" s="344"/>
      <c r="V208" s="344"/>
      <c r="W208" s="567"/>
      <c r="X208" s="3540"/>
      <c r="Y208" s="3540"/>
      <c r="Z208" s="3540"/>
    </row>
    <row r="209" spans="1:26">
      <c r="A209" s="139"/>
      <c r="B209" s="3795"/>
      <c r="C209" s="3796"/>
      <c r="D209" s="759"/>
      <c r="E209" s="759"/>
      <c r="F209" s="344"/>
      <c r="G209" s="3796">
        <v>19000</v>
      </c>
      <c r="H209" s="351" t="s">
        <v>369</v>
      </c>
      <c r="I209" s="344"/>
      <c r="J209" s="3793">
        <f t="shared" si="1"/>
        <v>21000</v>
      </c>
      <c r="K209" s="253"/>
      <c r="L209" s="3797"/>
      <c r="M209" s="344"/>
      <c r="N209" s="344"/>
      <c r="O209" s="344"/>
      <c r="P209" s="344"/>
      <c r="Q209" s="9739">
        <v>0.32</v>
      </c>
      <c r="R209" s="9739"/>
      <c r="S209" s="344"/>
      <c r="T209" s="344"/>
      <c r="U209" s="344"/>
      <c r="V209" s="344"/>
      <c r="W209" s="567"/>
      <c r="X209" s="3540"/>
      <c r="Y209" s="3540"/>
      <c r="Z209" s="3540"/>
    </row>
    <row r="210" spans="1:26">
      <c r="A210" s="139"/>
      <c r="B210" s="3795"/>
      <c r="C210" s="3796"/>
      <c r="D210" s="759"/>
      <c r="E210" s="759"/>
      <c r="F210" s="344"/>
      <c r="G210" s="3796">
        <v>21000</v>
      </c>
      <c r="H210" s="351" t="s">
        <v>369</v>
      </c>
      <c r="I210" s="344"/>
      <c r="J210" s="3793">
        <f t="shared" si="1"/>
        <v>23000</v>
      </c>
      <c r="K210" s="253"/>
      <c r="L210" s="3797"/>
      <c r="M210" s="344"/>
      <c r="N210" s="344"/>
      <c r="O210" s="344"/>
      <c r="P210" s="344"/>
      <c r="Q210" s="9739">
        <v>0.31</v>
      </c>
      <c r="R210" s="9739"/>
      <c r="S210" s="344"/>
      <c r="T210" s="344"/>
      <c r="U210" s="344"/>
      <c r="V210" s="344"/>
      <c r="W210" s="567"/>
      <c r="X210" s="3540"/>
      <c r="Y210" s="3540"/>
      <c r="Z210" s="3540"/>
    </row>
    <row r="211" spans="1:26">
      <c r="A211" s="139"/>
      <c r="B211" s="3795"/>
      <c r="C211" s="3796"/>
      <c r="D211" s="759"/>
      <c r="E211" s="759"/>
      <c r="F211" s="344"/>
      <c r="G211" s="3796">
        <v>23000</v>
      </c>
      <c r="H211" s="351" t="s">
        <v>369</v>
      </c>
      <c r="I211" s="344"/>
      <c r="J211" s="3793">
        <f t="shared" si="1"/>
        <v>25000</v>
      </c>
      <c r="K211" s="253"/>
      <c r="L211" s="3797"/>
      <c r="M211" s="344"/>
      <c r="N211" s="344"/>
      <c r="O211" s="344"/>
      <c r="P211" s="344"/>
      <c r="Q211" s="9739">
        <v>0.3</v>
      </c>
      <c r="R211" s="9739"/>
      <c r="S211" s="344"/>
      <c r="T211" s="344"/>
      <c r="U211" s="344"/>
      <c r="V211" s="344"/>
      <c r="W211" s="567"/>
      <c r="X211" s="3540"/>
      <c r="Y211" s="3540"/>
      <c r="Z211" s="3540"/>
    </row>
    <row r="212" spans="1:26" ht="12.75" customHeight="1">
      <c r="A212" s="139"/>
      <c r="B212" s="3795"/>
      <c r="C212" s="3796"/>
      <c r="D212" s="759"/>
      <c r="E212" s="759"/>
      <c r="F212" s="344"/>
      <c r="G212" s="3796">
        <v>25000</v>
      </c>
      <c r="H212" s="351" t="s">
        <v>369</v>
      </c>
      <c r="I212" s="344"/>
      <c r="J212" s="3793">
        <f t="shared" si="1"/>
        <v>27000</v>
      </c>
      <c r="K212" s="253"/>
      <c r="L212" s="3797"/>
      <c r="M212" s="344"/>
      <c r="N212" s="344"/>
      <c r="O212" s="344"/>
      <c r="P212" s="344"/>
      <c r="Q212" s="9739">
        <v>0.28999999999999998</v>
      </c>
      <c r="R212" s="9739"/>
      <c r="S212" s="344"/>
      <c r="T212" s="344"/>
      <c r="U212" s="344"/>
      <c r="V212" s="344"/>
      <c r="W212" s="567"/>
      <c r="X212" s="3540"/>
      <c r="Y212" s="3540"/>
      <c r="Z212" s="3540"/>
    </row>
    <row r="213" spans="1:26" ht="12.75" customHeight="1">
      <c r="A213" s="139"/>
      <c r="B213" s="3795"/>
      <c r="C213" s="3796"/>
      <c r="D213" s="759"/>
      <c r="E213" s="759"/>
      <c r="F213" s="344"/>
      <c r="G213" s="3796">
        <v>27000</v>
      </c>
      <c r="H213" s="351" t="s">
        <v>369</v>
      </c>
      <c r="I213" s="344"/>
      <c r="J213" s="3793">
        <f t="shared" si="1"/>
        <v>29000</v>
      </c>
      <c r="K213" s="253"/>
      <c r="L213" s="3797"/>
      <c r="M213" s="344"/>
      <c r="N213" s="344"/>
      <c r="O213" s="344"/>
      <c r="P213" s="344"/>
      <c r="Q213" s="9739">
        <v>0.28000000000000003</v>
      </c>
      <c r="R213" s="9739"/>
      <c r="S213" s="344"/>
      <c r="T213" s="344"/>
      <c r="U213" s="344"/>
      <c r="V213" s="344"/>
      <c r="W213" s="567"/>
      <c r="X213" s="3540"/>
      <c r="Y213" s="3540"/>
      <c r="Z213" s="3540"/>
    </row>
    <row r="214" spans="1:26" ht="12.75" customHeight="1">
      <c r="A214" s="139"/>
      <c r="B214" s="3795"/>
      <c r="C214" s="3796"/>
      <c r="D214" s="759"/>
      <c r="E214" s="759"/>
      <c r="F214" s="344"/>
      <c r="G214" s="3796">
        <v>29000</v>
      </c>
      <c r="H214" s="351" t="s">
        <v>369</v>
      </c>
      <c r="I214" s="344"/>
      <c r="J214" s="3793">
        <f t="shared" si="1"/>
        <v>31000</v>
      </c>
      <c r="K214" s="253"/>
      <c r="L214" s="3797"/>
      <c r="M214" s="344"/>
      <c r="N214" s="344"/>
      <c r="O214" s="344"/>
      <c r="P214" s="344"/>
      <c r="Q214" s="9739">
        <v>0.27</v>
      </c>
      <c r="R214" s="9739"/>
      <c r="S214" s="344"/>
      <c r="T214" s="344"/>
      <c r="U214" s="344"/>
      <c r="V214" s="344"/>
      <c r="W214" s="567"/>
      <c r="X214" s="3540"/>
      <c r="Y214" s="3540"/>
      <c r="Z214" s="3540"/>
    </row>
    <row r="215" spans="1:26" ht="12.75" customHeight="1">
      <c r="A215" s="139"/>
      <c r="B215" s="3795"/>
      <c r="C215" s="3796"/>
      <c r="D215" s="759"/>
      <c r="E215" s="759"/>
      <c r="F215" s="344"/>
      <c r="G215" s="3796">
        <v>31000</v>
      </c>
      <c r="H215" s="351" t="s">
        <v>369</v>
      </c>
      <c r="I215" s="344"/>
      <c r="J215" s="3793">
        <f t="shared" si="1"/>
        <v>33000</v>
      </c>
      <c r="K215" s="253"/>
      <c r="L215" s="3797"/>
      <c r="M215" s="344"/>
      <c r="N215" s="344"/>
      <c r="O215" s="344"/>
      <c r="P215" s="344"/>
      <c r="Q215" s="9739">
        <v>0.26</v>
      </c>
      <c r="R215" s="9739"/>
      <c r="S215" s="344"/>
      <c r="T215" s="344"/>
      <c r="U215" s="344"/>
      <c r="V215" s="344"/>
      <c r="W215" s="567"/>
      <c r="X215" s="3540"/>
      <c r="Y215" s="3540"/>
      <c r="Z215" s="3540"/>
    </row>
    <row r="216" spans="1:26" ht="12.75" customHeight="1">
      <c r="A216" s="139"/>
      <c r="B216" s="3795"/>
      <c r="C216" s="3796"/>
      <c r="D216" s="759"/>
      <c r="E216" s="759"/>
      <c r="F216" s="344"/>
      <c r="G216" s="3796">
        <v>33000</v>
      </c>
      <c r="H216" s="351" t="s">
        <v>369</v>
      </c>
      <c r="I216" s="344"/>
      <c r="J216" s="3793">
        <f t="shared" si="1"/>
        <v>35000</v>
      </c>
      <c r="K216" s="253"/>
      <c r="L216" s="3797"/>
      <c r="M216" s="344"/>
      <c r="N216" s="344"/>
      <c r="O216" s="344"/>
      <c r="P216" s="344"/>
      <c r="Q216" s="9739">
        <v>0.25</v>
      </c>
      <c r="R216" s="9739"/>
      <c r="S216" s="344"/>
      <c r="T216" s="344"/>
      <c r="U216" s="344"/>
      <c r="V216" s="344"/>
      <c r="W216" s="567"/>
      <c r="X216" s="3540"/>
      <c r="Y216" s="3540"/>
      <c r="Z216" s="3540"/>
    </row>
    <row r="217" spans="1:26" ht="12.75" customHeight="1">
      <c r="A217" s="139"/>
      <c r="B217" s="3795"/>
      <c r="C217" s="3796"/>
      <c r="D217" s="759"/>
      <c r="E217" s="759"/>
      <c r="F217" s="344"/>
      <c r="G217" s="3796">
        <v>35000</v>
      </c>
      <c r="H217" s="351" t="s">
        <v>369</v>
      </c>
      <c r="I217" s="344"/>
      <c r="J217" s="3793">
        <f t="shared" si="1"/>
        <v>37000</v>
      </c>
      <c r="K217" s="253"/>
      <c r="L217" s="3797"/>
      <c r="M217" s="344"/>
      <c r="N217" s="344"/>
      <c r="O217" s="344"/>
      <c r="P217" s="344"/>
      <c r="Q217" s="9739">
        <v>0.24</v>
      </c>
      <c r="R217" s="9739"/>
      <c r="S217" s="344"/>
      <c r="T217" s="344"/>
      <c r="U217" s="344"/>
      <c r="V217" s="344"/>
      <c r="W217" s="567"/>
      <c r="X217" s="3540"/>
      <c r="Y217" s="3540"/>
      <c r="Z217" s="3540"/>
    </row>
    <row r="218" spans="1:26" ht="12.75" customHeight="1">
      <c r="A218" s="139"/>
      <c r="B218" s="3795"/>
      <c r="C218" s="3796"/>
      <c r="D218" s="759"/>
      <c r="E218" s="759"/>
      <c r="F218" s="344"/>
      <c r="G218" s="3796">
        <v>37000</v>
      </c>
      <c r="H218" s="351" t="s">
        <v>369</v>
      </c>
      <c r="I218" s="344"/>
      <c r="J218" s="3793">
        <f t="shared" si="1"/>
        <v>39000</v>
      </c>
      <c r="K218" s="253"/>
      <c r="L218" s="3797"/>
      <c r="M218" s="344"/>
      <c r="N218" s="344"/>
      <c r="O218" s="344"/>
      <c r="P218" s="344"/>
      <c r="Q218" s="9739">
        <v>0.23</v>
      </c>
      <c r="R218" s="9739"/>
      <c r="S218" s="344"/>
      <c r="T218" s="344"/>
      <c r="U218" s="344"/>
      <c r="V218" s="344"/>
      <c r="W218" s="567"/>
      <c r="X218" s="3540"/>
      <c r="Y218" s="3540"/>
      <c r="Z218" s="3540"/>
    </row>
    <row r="219" spans="1:26" ht="12.75" customHeight="1">
      <c r="A219" s="139"/>
      <c r="B219" s="3795"/>
      <c r="C219" s="3796"/>
      <c r="D219" s="759"/>
      <c r="E219" s="759"/>
      <c r="F219" s="344"/>
      <c r="G219" s="3796">
        <v>39000</v>
      </c>
      <c r="H219" s="351" t="s">
        <v>369</v>
      </c>
      <c r="I219" s="344"/>
      <c r="J219" s="3793">
        <f t="shared" si="1"/>
        <v>41000</v>
      </c>
      <c r="K219" s="253"/>
      <c r="L219" s="3797"/>
      <c r="M219" s="344"/>
      <c r="N219" s="344"/>
      <c r="O219" s="344"/>
      <c r="P219" s="344"/>
      <c r="Q219" s="9739">
        <v>0.22</v>
      </c>
      <c r="R219" s="9739"/>
      <c r="S219" s="344"/>
      <c r="T219" s="344"/>
      <c r="U219" s="344"/>
      <c r="V219" s="344"/>
      <c r="W219" s="567"/>
      <c r="X219" s="3540"/>
      <c r="Y219" s="3540"/>
      <c r="Z219" s="3540"/>
    </row>
    <row r="220" spans="1:26" ht="12.75" customHeight="1">
      <c r="A220" s="139"/>
      <c r="B220" s="3795"/>
      <c r="C220" s="3796"/>
      <c r="D220" s="759"/>
      <c r="E220" s="759"/>
      <c r="F220" s="344"/>
      <c r="G220" s="3796">
        <v>41000</v>
      </c>
      <c r="H220" s="351" t="s">
        <v>369</v>
      </c>
      <c r="I220" s="344"/>
      <c r="J220" s="3793">
        <f t="shared" si="1"/>
        <v>43000</v>
      </c>
      <c r="K220" s="253"/>
      <c r="L220" s="3797"/>
      <c r="M220" s="344"/>
      <c r="N220" s="344"/>
      <c r="O220" s="344"/>
      <c r="P220" s="344"/>
      <c r="Q220" s="9739">
        <v>0.21</v>
      </c>
      <c r="R220" s="9739"/>
      <c r="S220" s="344"/>
      <c r="T220" s="344"/>
      <c r="U220" s="344"/>
      <c r="V220" s="344"/>
      <c r="W220" s="567"/>
      <c r="X220" s="3540"/>
      <c r="Y220" s="3540"/>
      <c r="Z220" s="3540"/>
    </row>
    <row r="221" spans="1:26" ht="12.75" customHeight="1">
      <c r="A221" s="139"/>
      <c r="B221" s="3795"/>
      <c r="C221" s="3796"/>
      <c r="D221" s="759"/>
      <c r="E221" s="759"/>
      <c r="F221" s="344"/>
      <c r="G221" s="3796">
        <v>43000</v>
      </c>
      <c r="H221" s="351" t="s">
        <v>369</v>
      </c>
      <c r="I221" s="344"/>
      <c r="J221" s="3793" t="s">
        <v>3150</v>
      </c>
      <c r="K221" s="253"/>
      <c r="L221" s="3797"/>
      <c r="M221" s="344"/>
      <c r="N221" s="344"/>
      <c r="O221" s="344"/>
      <c r="P221" s="344"/>
      <c r="Q221" s="9739">
        <v>0.2</v>
      </c>
      <c r="R221" s="9739"/>
      <c r="S221" s="344"/>
      <c r="T221" s="344"/>
      <c r="U221" s="344"/>
      <c r="V221" s="344"/>
      <c r="W221" s="567"/>
      <c r="X221" s="3540"/>
      <c r="Y221" s="3540"/>
      <c r="Z221" s="3540"/>
    </row>
    <row r="222" spans="1:26" ht="12.75" customHeight="1">
      <c r="A222" s="139"/>
      <c r="B222" s="3777"/>
      <c r="C222" s="9737"/>
      <c r="D222" s="9737"/>
      <c r="E222" s="9737"/>
      <c r="F222" s="1204"/>
      <c r="G222" s="3793"/>
      <c r="H222" s="9736"/>
      <c r="I222" s="9736"/>
      <c r="J222" s="759"/>
      <c r="K222" s="344"/>
      <c r="L222" s="344"/>
      <c r="M222" s="344"/>
      <c r="N222" s="344"/>
      <c r="O222" s="344"/>
      <c r="P222" s="344"/>
      <c r="Q222" s="344"/>
      <c r="R222" s="344"/>
      <c r="S222" s="344"/>
      <c r="T222" s="344"/>
      <c r="U222" s="344"/>
      <c r="V222" s="344"/>
      <c r="W222" s="567"/>
      <c r="X222" s="3540"/>
      <c r="Y222" s="3540"/>
      <c r="Z222" s="3540"/>
    </row>
    <row r="223" spans="1:26">
      <c r="A223" s="139"/>
      <c r="B223" s="3781" t="s">
        <v>1368</v>
      </c>
      <c r="C223" s="759"/>
      <c r="D223" s="759" t="s">
        <v>3229</v>
      </c>
      <c r="E223" s="759"/>
      <c r="F223" s="759"/>
      <c r="G223" s="759"/>
      <c r="H223" s="759"/>
      <c r="I223" s="759"/>
      <c r="J223" s="759"/>
      <c r="K223" s="759"/>
      <c r="L223" s="759"/>
      <c r="M223" s="759"/>
      <c r="N223" s="759"/>
      <c r="O223" s="759"/>
      <c r="P223" s="759"/>
      <c r="Q223" s="759"/>
      <c r="R223" s="351"/>
      <c r="S223" s="759"/>
      <c r="T223" s="345" t="s">
        <v>877</v>
      </c>
      <c r="U223" s="351" t="s">
        <v>1368</v>
      </c>
      <c r="V223" s="2452" t="str">
        <f>IF(OR(V185="",C197),"",ROUND(V197*V200,0))</f>
        <v/>
      </c>
      <c r="W223" s="3776"/>
      <c r="X223" s="3540"/>
      <c r="Y223" s="3540"/>
      <c r="Z223" s="3540"/>
    </row>
    <row r="224" spans="1:26">
      <c r="A224" s="139"/>
      <c r="B224" s="3781" t="s">
        <v>5043</v>
      </c>
      <c r="C224" s="759"/>
      <c r="D224" s="759" t="s">
        <v>3230</v>
      </c>
      <c r="E224" s="759"/>
      <c r="F224" s="759"/>
      <c r="G224" s="759"/>
      <c r="H224" s="759"/>
      <c r="I224" s="759"/>
      <c r="J224" s="759"/>
      <c r="K224" s="759"/>
      <c r="L224" s="759"/>
      <c r="M224" s="759"/>
      <c r="N224" s="759"/>
      <c r="O224" s="759"/>
      <c r="P224" s="759"/>
      <c r="Q224" s="759"/>
      <c r="R224" s="759"/>
      <c r="S224" s="759"/>
      <c r="T224" s="759"/>
      <c r="U224" s="759"/>
      <c r="V224" s="759"/>
      <c r="W224" s="3776"/>
      <c r="X224" s="3540"/>
      <c r="Y224" s="3540"/>
      <c r="Z224" s="3540"/>
    </row>
    <row r="225" spans="1:26" ht="5.25" customHeight="1">
      <c r="A225" s="139"/>
      <c r="B225" s="3781"/>
      <c r="C225" s="759"/>
      <c r="D225" s="759"/>
      <c r="E225" s="759"/>
      <c r="F225" s="759"/>
      <c r="G225" s="759"/>
      <c r="H225" s="759"/>
      <c r="I225" s="759"/>
      <c r="J225" s="759"/>
      <c r="K225" s="759"/>
      <c r="L225" s="759"/>
      <c r="M225" s="759"/>
      <c r="N225" s="759"/>
      <c r="O225" s="759"/>
      <c r="P225" s="759"/>
      <c r="Q225" s="759"/>
      <c r="R225" s="759"/>
      <c r="S225" s="759"/>
      <c r="T225" s="759"/>
      <c r="U225" s="759"/>
      <c r="V225" s="759"/>
      <c r="W225" s="3776"/>
      <c r="X225" s="3540"/>
      <c r="Y225" s="3540"/>
      <c r="Z225" s="3540"/>
    </row>
    <row r="226" spans="1:26">
      <c r="A226" s="139"/>
      <c r="B226" s="3798"/>
      <c r="C226" s="3789"/>
      <c r="D226" s="9609"/>
      <c r="E226" s="9609"/>
      <c r="F226" s="9609"/>
      <c r="G226" s="9609"/>
      <c r="H226" s="9609"/>
      <c r="I226" s="9609"/>
      <c r="J226" s="9609"/>
      <c r="K226" s="9609"/>
      <c r="L226" s="9609"/>
      <c r="M226" s="9609"/>
      <c r="N226" s="9609"/>
      <c r="O226" s="9609"/>
      <c r="P226" s="9609"/>
      <c r="Q226" s="9609"/>
      <c r="R226" s="9609"/>
      <c r="S226" s="9609"/>
      <c r="T226" s="9609"/>
      <c r="U226" s="9609"/>
      <c r="V226" s="9609"/>
      <c r="W226" s="3799"/>
      <c r="X226" s="3540"/>
      <c r="Y226" s="3540"/>
      <c r="Z226" s="3540"/>
    </row>
    <row r="227" spans="1:26" ht="8.25" customHeight="1">
      <c r="A227" s="139"/>
      <c r="B227" s="3777"/>
      <c r="C227" s="759"/>
      <c r="D227" s="759"/>
      <c r="E227" s="759"/>
      <c r="F227" s="759"/>
      <c r="G227" s="759"/>
      <c r="H227" s="759"/>
      <c r="I227" s="759"/>
      <c r="J227" s="759"/>
      <c r="K227" s="759"/>
      <c r="L227" s="759"/>
      <c r="M227" s="759"/>
      <c r="N227" s="759"/>
      <c r="O227" s="759"/>
      <c r="P227" s="759"/>
      <c r="Q227" s="759"/>
      <c r="R227" s="759"/>
      <c r="S227" s="759"/>
      <c r="T227" s="759"/>
      <c r="U227" s="759"/>
      <c r="V227" s="759"/>
      <c r="W227" s="3776"/>
      <c r="X227" s="3540"/>
      <c r="Y227" s="3540"/>
      <c r="Z227" s="3540"/>
    </row>
    <row r="228" spans="1:26" ht="15.75">
      <c r="A228" s="139"/>
      <c r="B228" s="3781" t="s">
        <v>5044</v>
      </c>
      <c r="C228" s="759"/>
      <c r="D228" s="759" t="s">
        <v>5045</v>
      </c>
      <c r="E228" s="759"/>
      <c r="F228" s="759"/>
      <c r="G228" s="759"/>
      <c r="H228" s="759"/>
      <c r="I228" s="759"/>
      <c r="J228" s="759"/>
      <c r="K228" s="759"/>
      <c r="L228" s="759"/>
      <c r="M228" s="2388"/>
      <c r="N228" s="3789" t="s">
        <v>1238</v>
      </c>
      <c r="O228" s="2388"/>
      <c r="P228" s="3789" t="s">
        <v>734</v>
      </c>
      <c r="Q228" s="759"/>
      <c r="R228" s="759"/>
      <c r="S228" s="759"/>
      <c r="T228" s="759"/>
      <c r="U228" s="759"/>
      <c r="V228" s="759"/>
      <c r="W228" s="3776"/>
      <c r="X228" s="3540"/>
      <c r="Y228" s="3540"/>
      <c r="Z228" s="3540"/>
    </row>
    <row r="229" spans="1:26" ht="14.25" customHeight="1">
      <c r="A229" s="139"/>
      <c r="B229" s="3781" t="s">
        <v>5046</v>
      </c>
      <c r="C229" s="759"/>
      <c r="D229" s="759" t="s">
        <v>3231</v>
      </c>
      <c r="E229" s="759"/>
      <c r="F229" s="759"/>
      <c r="G229" s="759"/>
      <c r="H229" s="759"/>
      <c r="I229" s="759"/>
      <c r="J229" s="759"/>
      <c r="K229" s="759"/>
      <c r="L229" s="759"/>
      <c r="M229" s="759"/>
      <c r="N229" s="759"/>
      <c r="O229" s="759"/>
      <c r="P229" s="759"/>
      <c r="Q229" s="759"/>
      <c r="R229" s="759"/>
      <c r="S229" s="759"/>
      <c r="T229" s="759"/>
      <c r="U229" s="759"/>
      <c r="V229" s="759"/>
      <c r="W229" s="3776"/>
      <c r="X229" s="3540"/>
      <c r="Y229" s="3540"/>
      <c r="Z229" s="3540"/>
    </row>
    <row r="230" spans="1:26" ht="7.5" customHeight="1">
      <c r="A230" s="139"/>
      <c r="B230" s="3781"/>
      <c r="C230" s="759"/>
      <c r="D230" s="759"/>
      <c r="E230" s="759"/>
      <c r="F230" s="759"/>
      <c r="G230" s="759"/>
      <c r="H230" s="759"/>
      <c r="I230" s="759"/>
      <c r="J230" s="759"/>
      <c r="K230" s="759"/>
      <c r="L230" s="759"/>
      <c r="M230" s="759"/>
      <c r="N230" s="759"/>
      <c r="O230" s="759"/>
      <c r="P230" s="759"/>
      <c r="Q230" s="759"/>
      <c r="R230" s="759"/>
      <c r="S230" s="759"/>
      <c r="T230" s="759"/>
      <c r="U230" s="759"/>
      <c r="V230" s="759"/>
      <c r="W230" s="3776"/>
      <c r="X230" s="3540"/>
      <c r="Y230" s="3540"/>
      <c r="Z230" s="3540"/>
    </row>
    <row r="231" spans="1:26" ht="12.75" customHeight="1">
      <c r="A231" s="139"/>
      <c r="B231" s="3777"/>
      <c r="C231" s="759"/>
      <c r="D231" s="9609"/>
      <c r="E231" s="9609"/>
      <c r="F231" s="9609"/>
      <c r="G231" s="9609"/>
      <c r="H231" s="9609"/>
      <c r="I231" s="9609"/>
      <c r="J231" s="9609"/>
      <c r="K231" s="9609"/>
      <c r="L231" s="9609"/>
      <c r="M231" s="9609"/>
      <c r="N231" s="9609"/>
      <c r="O231" s="9609"/>
      <c r="P231" s="9609"/>
      <c r="Q231" s="9609"/>
      <c r="R231" s="9609"/>
      <c r="S231" s="9609"/>
      <c r="T231" s="9609"/>
      <c r="U231" s="9609"/>
      <c r="V231" s="9609"/>
      <c r="W231" s="3776"/>
      <c r="X231" s="3540"/>
      <c r="Y231" s="3540"/>
      <c r="Z231" s="3540"/>
    </row>
    <row r="232" spans="1:26" ht="14.25" customHeight="1">
      <c r="A232" s="139"/>
      <c r="B232" s="3777"/>
      <c r="C232" s="759"/>
      <c r="D232" s="759"/>
      <c r="E232" s="759"/>
      <c r="F232" s="759"/>
      <c r="G232" s="759"/>
      <c r="H232" s="759"/>
      <c r="I232" s="759"/>
      <c r="J232" s="759"/>
      <c r="K232" s="759"/>
      <c r="L232" s="759"/>
      <c r="M232" s="759"/>
      <c r="N232" s="759"/>
      <c r="O232" s="759"/>
      <c r="P232" s="759"/>
      <c r="Q232" s="759"/>
      <c r="R232" s="759"/>
      <c r="S232" s="759"/>
      <c r="T232" s="759"/>
      <c r="U232" s="759"/>
      <c r="V232" s="759"/>
      <c r="W232" s="3776"/>
      <c r="X232" s="3540"/>
      <c r="Y232" s="3540"/>
      <c r="Z232" s="3540"/>
    </row>
    <row r="233" spans="1:26" ht="15.75">
      <c r="A233" s="139"/>
      <c r="B233" s="3781" t="s">
        <v>5047</v>
      </c>
      <c r="C233" s="759"/>
      <c r="D233" s="759" t="s">
        <v>5048</v>
      </c>
      <c r="E233" s="759"/>
      <c r="F233" s="759"/>
      <c r="G233" s="759"/>
      <c r="H233" s="759"/>
      <c r="I233" s="759"/>
      <c r="J233" s="759"/>
      <c r="K233" s="759"/>
      <c r="L233" s="759"/>
      <c r="M233" s="759"/>
      <c r="N233" s="759"/>
      <c r="O233" s="759"/>
      <c r="P233" s="759"/>
      <c r="Q233" s="759"/>
      <c r="R233" s="759"/>
      <c r="S233" s="759"/>
      <c r="T233" s="759"/>
      <c r="U233" s="2388"/>
      <c r="V233" s="759"/>
      <c r="W233" s="3776"/>
      <c r="X233" s="3540"/>
      <c r="Y233" s="3540"/>
      <c r="Z233" s="3540"/>
    </row>
    <row r="234" spans="1:26">
      <c r="A234" s="139"/>
      <c r="B234" s="3777"/>
      <c r="C234" s="759"/>
      <c r="D234" s="759"/>
      <c r="E234" s="759"/>
      <c r="F234" s="759"/>
      <c r="G234" s="759"/>
      <c r="H234" s="759"/>
      <c r="I234" s="759"/>
      <c r="J234" s="759"/>
      <c r="K234" s="759"/>
      <c r="L234" s="759"/>
      <c r="M234" s="759"/>
      <c r="N234" s="759"/>
      <c r="O234" s="759"/>
      <c r="P234" s="759"/>
      <c r="Q234" s="759"/>
      <c r="R234" s="759"/>
      <c r="S234" s="759"/>
      <c r="T234" s="759"/>
      <c r="U234" s="759"/>
      <c r="V234" s="759"/>
      <c r="W234" s="3776"/>
      <c r="X234" s="3540"/>
      <c r="Y234" s="3540"/>
      <c r="Z234" s="3540"/>
    </row>
    <row r="235" spans="1:26" ht="9.75" customHeight="1">
      <c r="A235" s="139"/>
      <c r="B235" s="3777"/>
      <c r="C235" s="759" t="s">
        <v>3232</v>
      </c>
      <c r="D235" s="759"/>
      <c r="E235" s="759"/>
      <c r="F235" s="759"/>
      <c r="G235" s="759"/>
      <c r="H235" s="759"/>
      <c r="I235" s="759"/>
      <c r="J235" s="759"/>
      <c r="K235" s="759"/>
      <c r="L235" s="759"/>
      <c r="M235" s="759"/>
      <c r="N235" s="759"/>
      <c r="O235" s="759"/>
      <c r="P235" s="759"/>
      <c r="Q235" s="759"/>
      <c r="R235" s="759"/>
      <c r="S235" s="759"/>
      <c r="T235" s="759"/>
      <c r="U235" s="759"/>
      <c r="V235" s="759"/>
      <c r="W235" s="3776"/>
      <c r="X235" s="3540"/>
      <c r="Y235" s="3540"/>
      <c r="Z235" s="3540"/>
    </row>
    <row r="236" spans="1:26">
      <c r="A236" s="139"/>
      <c r="B236" s="3777"/>
      <c r="C236" s="759" t="s">
        <v>3233</v>
      </c>
      <c r="D236" s="759"/>
      <c r="E236" s="759"/>
      <c r="F236" s="759"/>
      <c r="G236" s="759"/>
      <c r="H236" s="759"/>
      <c r="I236" s="759"/>
      <c r="J236" s="759"/>
      <c r="K236" s="759"/>
      <c r="L236" s="759"/>
      <c r="M236" s="759"/>
      <c r="N236" s="759"/>
      <c r="O236" s="759"/>
      <c r="P236" s="759"/>
      <c r="Q236" s="759"/>
      <c r="R236" s="759"/>
      <c r="S236" s="759"/>
      <c r="T236" s="759"/>
      <c r="U236" s="759"/>
      <c r="V236" s="759"/>
      <c r="W236" s="3776"/>
      <c r="X236" s="3540"/>
      <c r="Y236" s="3540"/>
      <c r="Z236" s="3540"/>
    </row>
    <row r="237" spans="1:26" ht="12.75" customHeight="1">
      <c r="A237" s="139"/>
      <c r="B237" s="3777"/>
      <c r="C237" s="759" t="s">
        <v>3234</v>
      </c>
      <c r="D237" s="759"/>
      <c r="E237" s="759"/>
      <c r="F237" s="759"/>
      <c r="G237" s="759"/>
      <c r="H237" s="759"/>
      <c r="I237" s="759"/>
      <c r="J237" s="759"/>
      <c r="K237" s="759"/>
      <c r="L237" s="759"/>
      <c r="M237" s="759"/>
      <c r="N237" s="759"/>
      <c r="O237" s="759"/>
      <c r="P237" s="759"/>
      <c r="Q237" s="759"/>
      <c r="R237" s="759"/>
      <c r="S237" s="759"/>
      <c r="T237" s="759"/>
      <c r="U237" s="759"/>
      <c r="V237" s="759"/>
      <c r="W237" s="3776"/>
      <c r="X237" s="3540"/>
      <c r="Y237" s="3540"/>
      <c r="Z237" s="3540"/>
    </row>
    <row r="238" spans="1:26">
      <c r="A238" s="139"/>
      <c r="B238" s="3777"/>
      <c r="C238" s="759" t="s">
        <v>3235</v>
      </c>
      <c r="D238" s="759"/>
      <c r="E238" s="759"/>
      <c r="F238" s="759"/>
      <c r="G238" s="759"/>
      <c r="H238" s="759"/>
      <c r="I238" s="759"/>
      <c r="J238" s="759"/>
      <c r="K238" s="759"/>
      <c r="L238" s="759"/>
      <c r="M238" s="759"/>
      <c r="N238" s="759"/>
      <c r="O238" s="759"/>
      <c r="P238" s="759"/>
      <c r="Q238" s="759"/>
      <c r="R238" s="759"/>
      <c r="S238" s="759"/>
      <c r="T238" s="759"/>
      <c r="U238" s="759"/>
      <c r="V238" s="759"/>
      <c r="W238" s="3776"/>
      <c r="X238" s="3540"/>
      <c r="Y238" s="3540"/>
      <c r="Z238" s="3540"/>
    </row>
    <row r="239" spans="1:26">
      <c r="A239" s="139"/>
      <c r="B239" s="3777"/>
      <c r="C239" s="759"/>
      <c r="D239" s="759"/>
      <c r="E239" s="759"/>
      <c r="F239" s="759"/>
      <c r="G239" s="759"/>
      <c r="H239" s="759"/>
      <c r="I239" s="759"/>
      <c r="J239" s="759"/>
      <c r="K239" s="759"/>
      <c r="L239" s="759"/>
      <c r="M239" s="759"/>
      <c r="N239" s="759"/>
      <c r="O239" s="759"/>
      <c r="P239" s="759"/>
      <c r="Q239" s="759"/>
      <c r="R239" s="759"/>
      <c r="S239" s="759"/>
      <c r="T239" s="759"/>
      <c r="U239" s="759"/>
      <c r="V239" s="759"/>
      <c r="W239" s="3776"/>
      <c r="X239" s="3540"/>
      <c r="Y239" s="3540"/>
      <c r="Z239" s="3540"/>
    </row>
    <row r="240" spans="1:26">
      <c r="A240" s="139"/>
      <c r="B240" s="3800"/>
      <c r="C240" s="3801"/>
      <c r="D240" s="3801"/>
      <c r="E240" s="3801"/>
      <c r="F240" s="3801"/>
      <c r="G240" s="3801"/>
      <c r="H240" s="3801"/>
      <c r="I240" s="3801"/>
      <c r="J240" s="3801"/>
      <c r="K240" s="3801"/>
      <c r="L240" s="3801"/>
      <c r="M240" s="3801"/>
      <c r="N240" s="3801"/>
      <c r="O240" s="3801"/>
      <c r="P240" s="3801"/>
      <c r="Q240" s="3801"/>
      <c r="R240" s="3801"/>
      <c r="S240" s="3801"/>
      <c r="T240" s="3801"/>
      <c r="U240" s="3801"/>
      <c r="V240" s="3801"/>
      <c r="W240" s="3802"/>
      <c r="X240" s="3540"/>
      <c r="Y240" s="3540"/>
      <c r="Z240" s="3540"/>
    </row>
    <row r="241" spans="1:26">
      <c r="A241" s="139"/>
      <c r="B241" s="139"/>
      <c r="C241" s="139"/>
      <c r="D241" s="139"/>
      <c r="E241" s="139"/>
      <c r="F241" s="139"/>
      <c r="G241" s="139"/>
      <c r="H241" s="139"/>
      <c r="I241" s="139"/>
      <c r="J241" s="139"/>
      <c r="K241" s="139"/>
      <c r="L241" s="139"/>
      <c r="M241" s="139"/>
      <c r="N241" s="139"/>
      <c r="O241" s="139"/>
      <c r="P241" s="139"/>
      <c r="Q241" s="139"/>
      <c r="R241" s="139"/>
      <c r="S241" s="139"/>
      <c r="T241" s="139"/>
      <c r="U241" s="139"/>
      <c r="V241" s="139"/>
      <c r="W241" s="139"/>
      <c r="X241" s="139"/>
      <c r="Y241" s="139"/>
      <c r="Z241" s="3540"/>
    </row>
    <row r="242" spans="1:26" ht="13.5" thickBot="1"/>
    <row r="243" spans="1:26" ht="14.25" thickTop="1" thickBot="1">
      <c r="B243" s="1614"/>
      <c r="C243" s="9667" t="s">
        <v>3236</v>
      </c>
      <c r="D243" s="9668"/>
      <c r="E243" s="9668"/>
      <c r="F243" s="9668"/>
      <c r="G243" s="9668"/>
      <c r="H243" s="9668"/>
      <c r="I243" s="9668"/>
      <c r="J243" s="9669"/>
      <c r="K243" s="1614"/>
      <c r="L243" s="1614"/>
      <c r="M243" s="1614"/>
      <c r="N243" s="1614"/>
      <c r="O243" s="1614"/>
      <c r="P243" s="1614"/>
      <c r="Q243" s="1614"/>
      <c r="R243" s="1614"/>
      <c r="S243" s="1614"/>
      <c r="T243" s="1614"/>
      <c r="U243" s="1614"/>
      <c r="V243" s="1614"/>
      <c r="W243" s="1614"/>
    </row>
    <row r="244" spans="1:26" ht="14.25" thickTop="1" thickBot="1">
      <c r="B244" s="1614"/>
      <c r="C244" s="1614"/>
      <c r="D244" s="1614"/>
      <c r="E244" s="1614"/>
      <c r="F244" s="1614"/>
      <c r="G244" s="1614"/>
      <c r="H244" s="1614"/>
      <c r="I244" s="1614"/>
      <c r="J244" s="1614"/>
      <c r="K244" s="1614"/>
      <c r="L244" s="1614"/>
      <c r="M244" s="1614"/>
      <c r="N244" s="1614"/>
      <c r="O244" s="1614"/>
      <c r="P244" s="1614"/>
      <c r="Q244" s="1614"/>
      <c r="R244" s="1614"/>
      <c r="S244" s="1614"/>
      <c r="T244" s="1614"/>
      <c r="U244" s="1614"/>
      <c r="V244" s="1614"/>
      <c r="W244" s="1614"/>
    </row>
    <row r="245" spans="1:26" ht="14.25" thickTop="1" thickBot="1">
      <c r="B245" s="1614"/>
      <c r="C245" s="9667" t="s">
        <v>3237</v>
      </c>
      <c r="D245" s="9668"/>
      <c r="E245" s="9668"/>
      <c r="F245" s="9668"/>
      <c r="G245" s="9668"/>
      <c r="H245" s="9668"/>
      <c r="I245" s="9668"/>
      <c r="J245" s="9669"/>
      <c r="K245" s="1614"/>
      <c r="L245" s="1614"/>
      <c r="M245" s="1614"/>
      <c r="N245" s="1614"/>
      <c r="O245" s="1614"/>
      <c r="P245" s="1614"/>
      <c r="Q245" s="1614"/>
      <c r="R245" s="1614"/>
      <c r="S245" s="1614"/>
      <c r="T245" s="1614"/>
      <c r="U245" s="1614"/>
      <c r="V245" s="1614"/>
      <c r="W245" s="1614"/>
    </row>
    <row r="246" spans="1:26" ht="13.5" thickTop="1"/>
  </sheetData>
  <sheetProtection algorithmName="SHA-512" hashValue="FqUU4t+za8LOjOU0oU4d/fLkVL18SLFRjEvhHKzM261Hkjgg+k9dKyOYj25SdJe+TzJu8OGdeCvftqweuAyg4A==" saltValue="j47AFtuCl6TSaslNgDTSXA==" spinCount="100000" sheet="1" formatCells="0" formatColumns="0" formatRows="0"/>
  <mergeCells count="317">
    <mergeCell ref="AA106:AA107"/>
    <mergeCell ref="Q220:R220"/>
    <mergeCell ref="V2:W2"/>
    <mergeCell ref="T153:W153"/>
    <mergeCell ref="AE66:AG76"/>
    <mergeCell ref="H144:L144"/>
    <mergeCell ref="B165:G165"/>
    <mergeCell ref="H165:L165"/>
    <mergeCell ref="M165:S165"/>
    <mergeCell ref="B128:G129"/>
    <mergeCell ref="M166:S166"/>
    <mergeCell ref="C57:D57"/>
    <mergeCell ref="R130:S131"/>
    <mergeCell ref="R132:S133"/>
    <mergeCell ref="R134:S135"/>
    <mergeCell ref="R136:S137"/>
    <mergeCell ref="R138:S139"/>
    <mergeCell ref="R140:S141"/>
    <mergeCell ref="R142:S143"/>
    <mergeCell ref="R128:S129"/>
    <mergeCell ref="G40:J40"/>
    <mergeCell ref="K38:M38"/>
    <mergeCell ref="K39:M39"/>
    <mergeCell ref="K40:M40"/>
    <mergeCell ref="B38:F38"/>
    <mergeCell ref="B39:F39"/>
    <mergeCell ref="B40:F40"/>
    <mergeCell ref="G38:J38"/>
    <mergeCell ref="G39:J39"/>
    <mergeCell ref="H222:I222"/>
    <mergeCell ref="C222:E222"/>
    <mergeCell ref="O204:S205"/>
    <mergeCell ref="Q206:R206"/>
    <mergeCell ref="Q207:R207"/>
    <mergeCell ref="Q208:R208"/>
    <mergeCell ref="Q209:R209"/>
    <mergeCell ref="Q210:R210"/>
    <mergeCell ref="Q211:R211"/>
    <mergeCell ref="Q221:R221"/>
    <mergeCell ref="J204:K205"/>
    <mergeCell ref="Q212:R212"/>
    <mergeCell ref="Q213:R213"/>
    <mergeCell ref="Q214:R214"/>
    <mergeCell ref="Q215:R215"/>
    <mergeCell ref="Q216:R216"/>
    <mergeCell ref="Q217:R217"/>
    <mergeCell ref="Q218:R218"/>
    <mergeCell ref="Q219:R219"/>
    <mergeCell ref="U134:U135"/>
    <mergeCell ref="U136:U137"/>
    <mergeCell ref="U138:U139"/>
    <mergeCell ref="H131:L131"/>
    <mergeCell ref="B134:G135"/>
    <mergeCell ref="H134:L134"/>
    <mergeCell ref="T140:T141"/>
    <mergeCell ref="C51:D51"/>
    <mergeCell ref="G50:G51"/>
    <mergeCell ref="L50:L51"/>
    <mergeCell ref="H51:I51"/>
    <mergeCell ref="K50:K51"/>
    <mergeCell ref="C52:D52"/>
    <mergeCell ref="N52:O52"/>
    <mergeCell ref="H133:L133"/>
    <mergeCell ref="C118:F119"/>
    <mergeCell ref="H128:L128"/>
    <mergeCell ref="C55:D55"/>
    <mergeCell ref="H132:L132"/>
    <mergeCell ref="C53:D53"/>
    <mergeCell ref="C54:D54"/>
    <mergeCell ref="C56:D56"/>
    <mergeCell ref="B132:G133"/>
    <mergeCell ref="B122:T122"/>
    <mergeCell ref="B163:G163"/>
    <mergeCell ref="H163:L163"/>
    <mergeCell ref="M162:S162"/>
    <mergeCell ref="B130:G131"/>
    <mergeCell ref="H130:L130"/>
    <mergeCell ref="N55:O55"/>
    <mergeCell ref="N56:O56"/>
    <mergeCell ref="H135:L135"/>
    <mergeCell ref="T142:T143"/>
    <mergeCell ref="Q130:Q131"/>
    <mergeCell ref="Q132:Q133"/>
    <mergeCell ref="Q134:Q135"/>
    <mergeCell ref="Q136:Q137"/>
    <mergeCell ref="Q138:Q139"/>
    <mergeCell ref="Q140:Q141"/>
    <mergeCell ref="Q142:Q143"/>
    <mergeCell ref="P126:U127"/>
    <mergeCell ref="O88:T88"/>
    <mergeCell ref="B162:G162"/>
    <mergeCell ref="Q146:Q147"/>
    <mergeCell ref="T160:W160"/>
    <mergeCell ref="B161:G161"/>
    <mergeCell ref="H161:L161"/>
    <mergeCell ref="M161:S161"/>
    <mergeCell ref="N47:T47"/>
    <mergeCell ref="N53:O53"/>
    <mergeCell ref="V83:W83"/>
    <mergeCell ref="V84:W84"/>
    <mergeCell ref="O84:T84"/>
    <mergeCell ref="N54:O54"/>
    <mergeCell ref="V41:W41"/>
    <mergeCell ref="V79:W79"/>
    <mergeCell ref="V80:W80"/>
    <mergeCell ref="V81:W81"/>
    <mergeCell ref="V42:W42"/>
    <mergeCell ref="V43:W43"/>
    <mergeCell ref="V45:W45"/>
    <mergeCell ref="V46:W46"/>
    <mergeCell ref="V48:W48"/>
    <mergeCell ref="V115:W115"/>
    <mergeCell ref="V111:W111"/>
    <mergeCell ref="V113:W113"/>
    <mergeCell ref="O92:T92"/>
    <mergeCell ref="O97:T97"/>
    <mergeCell ref="V60:W60"/>
    <mergeCell ref="V58:W58"/>
    <mergeCell ref="N57:O57"/>
    <mergeCell ref="O62:T62"/>
    <mergeCell ref="O78:T78"/>
    <mergeCell ref="O79:T79"/>
    <mergeCell ref="O80:T80"/>
    <mergeCell ref="O85:T85"/>
    <mergeCell ref="V82:W82"/>
    <mergeCell ref="V64:W64"/>
    <mergeCell ref="V72:W72"/>
    <mergeCell ref="V75:W75"/>
    <mergeCell ref="V76:W76"/>
    <mergeCell ref="V61:W61"/>
    <mergeCell ref="T38:W38"/>
    <mergeCell ref="V23:W23"/>
    <mergeCell ref="V129:W129"/>
    <mergeCell ref="V131:W131"/>
    <mergeCell ref="V133:W133"/>
    <mergeCell ref="U128:U129"/>
    <mergeCell ref="U130:U131"/>
    <mergeCell ref="U132:U133"/>
    <mergeCell ref="V101:W101"/>
    <mergeCell ref="V103:W103"/>
    <mergeCell ref="V108:W108"/>
    <mergeCell ref="V109:W109"/>
    <mergeCell ref="V96:W96"/>
    <mergeCell ref="V99:W99"/>
    <mergeCell ref="V85:W85"/>
    <mergeCell ref="V86:W86"/>
    <mergeCell ref="V87:W87"/>
    <mergeCell ref="V88:W88"/>
    <mergeCell ref="T40:W40"/>
    <mergeCell ref="V118:W119"/>
    <mergeCell ref="H118:U118"/>
    <mergeCell ref="H119:U119"/>
    <mergeCell ref="T128:T129"/>
    <mergeCell ref="Q128:Q129"/>
    <mergeCell ref="C243:J243"/>
    <mergeCell ref="C245:J245"/>
    <mergeCell ref="B138:G139"/>
    <mergeCell ref="H138:L138"/>
    <mergeCell ref="H139:L139"/>
    <mergeCell ref="B136:G137"/>
    <mergeCell ref="H136:L136"/>
    <mergeCell ref="B140:G141"/>
    <mergeCell ref="H140:L140"/>
    <mergeCell ref="H141:L141"/>
    <mergeCell ref="H137:L137"/>
    <mergeCell ref="H145:L145"/>
    <mergeCell ref="B146:G147"/>
    <mergeCell ref="H146:L146"/>
    <mergeCell ref="H147:L147"/>
    <mergeCell ref="H162:L162"/>
    <mergeCell ref="B142:G143"/>
    <mergeCell ref="H142:L142"/>
    <mergeCell ref="B166:G166"/>
    <mergeCell ref="H166:L166"/>
    <mergeCell ref="B150:B151"/>
    <mergeCell ref="C150:L151"/>
    <mergeCell ref="H143:L143"/>
    <mergeCell ref="B144:G145"/>
    <mergeCell ref="AA7:AB7"/>
    <mergeCell ref="G6:U6"/>
    <mergeCell ref="AA16:AB16"/>
    <mergeCell ref="AA17:AB17"/>
    <mergeCell ref="T18:T19"/>
    <mergeCell ref="T20:T21"/>
    <mergeCell ref="S9:W9"/>
    <mergeCell ref="AA8:AB8"/>
    <mergeCell ref="AA9:AB9"/>
    <mergeCell ref="AA10:AB10"/>
    <mergeCell ref="AA11:AB11"/>
    <mergeCell ref="AA12:AB12"/>
    <mergeCell ref="AA13:AB13"/>
    <mergeCell ref="AA14:AB14"/>
    <mergeCell ref="AA15:AB15"/>
    <mergeCell ref="S8:W8"/>
    <mergeCell ref="V19:W19"/>
    <mergeCell ref="V21:W21"/>
    <mergeCell ref="C4:F5"/>
    <mergeCell ref="V3:W3"/>
    <mergeCell ref="V4:W5"/>
    <mergeCell ref="B4:B5"/>
    <mergeCell ref="V16:W16"/>
    <mergeCell ref="G25:J26"/>
    <mergeCell ref="B18:G19"/>
    <mergeCell ref="H18:L18"/>
    <mergeCell ref="H19:L19"/>
    <mergeCell ref="H23:L23"/>
    <mergeCell ref="G7:U7"/>
    <mergeCell ref="G4:U5"/>
    <mergeCell ref="M16:O17"/>
    <mergeCell ref="M23:O23"/>
    <mergeCell ref="B20:G21"/>
    <mergeCell ref="H20:L20"/>
    <mergeCell ref="H21:L21"/>
    <mergeCell ref="W6:W7"/>
    <mergeCell ref="Q18:Q19"/>
    <mergeCell ref="Q20:Q21"/>
    <mergeCell ref="Q22:Q23"/>
    <mergeCell ref="H16:L16"/>
    <mergeCell ref="H17:L17"/>
    <mergeCell ref="P16:U17"/>
    <mergeCell ref="T36:W36"/>
    <mergeCell ref="T37:W37"/>
    <mergeCell ref="M19:O19"/>
    <mergeCell ref="M21:O21"/>
    <mergeCell ref="N35:S37"/>
    <mergeCell ref="T22:T23"/>
    <mergeCell ref="K28:L29"/>
    <mergeCell ref="B22:G23"/>
    <mergeCell ref="H22:L22"/>
    <mergeCell ref="G27:J27"/>
    <mergeCell ref="R18:S19"/>
    <mergeCell ref="R20:S21"/>
    <mergeCell ref="R22:S23"/>
    <mergeCell ref="U18:U19"/>
    <mergeCell ref="U20:U21"/>
    <mergeCell ref="U22:U23"/>
    <mergeCell ref="D231:V231"/>
    <mergeCell ref="D226:V226"/>
    <mergeCell ref="U122:W122"/>
    <mergeCell ref="V74:W74"/>
    <mergeCell ref="T130:T131"/>
    <mergeCell ref="T132:T133"/>
    <mergeCell ref="T134:T135"/>
    <mergeCell ref="T136:T137"/>
    <mergeCell ref="T138:T139"/>
    <mergeCell ref="M163:S163"/>
    <mergeCell ref="T163:W163"/>
    <mergeCell ref="B164:G164"/>
    <mergeCell ref="H164:L164"/>
    <mergeCell ref="M164:S164"/>
    <mergeCell ref="T164:W164"/>
    <mergeCell ref="B160:G160"/>
    <mergeCell ref="H160:L160"/>
    <mergeCell ref="V141:W141"/>
    <mergeCell ref="V143:W143"/>
    <mergeCell ref="V145:W145"/>
    <mergeCell ref="R146:S147"/>
    <mergeCell ref="U146:U147"/>
    <mergeCell ref="T144:T145"/>
    <mergeCell ref="V147:W147"/>
    <mergeCell ref="T165:W165"/>
    <mergeCell ref="T154:W154"/>
    <mergeCell ref="T155:W155"/>
    <mergeCell ref="AL36:AL37"/>
    <mergeCell ref="AN36:AN37"/>
    <mergeCell ref="AE33:AG34"/>
    <mergeCell ref="T166:W166"/>
    <mergeCell ref="AE26:AG28"/>
    <mergeCell ref="T162:W162"/>
    <mergeCell ref="T152:W152"/>
    <mergeCell ref="V126:W126"/>
    <mergeCell ref="AE95:AI99"/>
    <mergeCell ref="AE81:AF81"/>
    <mergeCell ref="AE82:AG87"/>
    <mergeCell ref="T161:W161"/>
    <mergeCell ref="T146:T147"/>
    <mergeCell ref="U142:U143"/>
    <mergeCell ref="T39:W39"/>
    <mergeCell ref="T156:W156"/>
    <mergeCell ref="U144:U145"/>
    <mergeCell ref="U140:U141"/>
    <mergeCell ref="V135:W135"/>
    <mergeCell ref="V137:W137"/>
    <mergeCell ref="V139:W139"/>
    <mergeCell ref="B158:G158"/>
    <mergeCell ref="H158:L158"/>
    <mergeCell ref="M158:S158"/>
    <mergeCell ref="T158:W158"/>
    <mergeCell ref="B159:G159"/>
    <mergeCell ref="H159:L159"/>
    <mergeCell ref="M159:S159"/>
    <mergeCell ref="T159:W159"/>
    <mergeCell ref="M160:S160"/>
    <mergeCell ref="AE24:AF25"/>
    <mergeCell ref="AE29:AG30"/>
    <mergeCell ref="AE32:AG32"/>
    <mergeCell ref="AH36:AH37"/>
    <mergeCell ref="AI36:AI37"/>
    <mergeCell ref="AJ36:AJ37"/>
    <mergeCell ref="AK36:AK37"/>
    <mergeCell ref="AE31:AG31"/>
    <mergeCell ref="B157:G157"/>
    <mergeCell ref="H157:L157"/>
    <mergeCell ref="M157:S157"/>
    <mergeCell ref="T157:W157"/>
    <mergeCell ref="M152:S155"/>
    <mergeCell ref="M126:O126"/>
    <mergeCell ref="M127:O127"/>
    <mergeCell ref="R144:S145"/>
    <mergeCell ref="H129:L129"/>
    <mergeCell ref="Q144:Q145"/>
    <mergeCell ref="B156:G156"/>
    <mergeCell ref="H156:L156"/>
    <mergeCell ref="M156:S156"/>
    <mergeCell ref="K35:M37"/>
    <mergeCell ref="F35:H36"/>
    <mergeCell ref="T35:W35"/>
  </mergeCells>
  <conditionalFormatting sqref="B10:B11">
    <cfRule type="expression" dxfId="1969" priority="447">
      <formula>OR($AB$18,$AB$19)</formula>
    </cfRule>
  </conditionalFormatting>
  <conditionalFormatting sqref="B38:B40 K38:K40 V72:V76">
    <cfRule type="expression" dxfId="1968" priority="541">
      <formula>IF(NoColor,1,0)</formula>
    </cfRule>
  </conditionalFormatting>
  <conditionalFormatting sqref="B122 U122 V185:V188">
    <cfRule type="expression" dxfId="1967" priority="378">
      <formula>NoColor</formula>
    </cfRule>
  </conditionalFormatting>
  <conditionalFormatting sqref="B20:L23">
    <cfRule type="expression" dxfId="1966" priority="372">
      <formula>IF(NoColor,1,0)</formula>
    </cfRule>
  </conditionalFormatting>
  <conditionalFormatting sqref="B19:M19">
    <cfRule type="expression" dxfId="1965" priority="543">
      <formula>IF(NoColor,1,0)</formula>
    </cfRule>
  </conditionalFormatting>
  <conditionalFormatting sqref="B156:M166">
    <cfRule type="expression" dxfId="1964" priority="212">
      <formula>IF(NoColor,1,0)</formula>
    </cfRule>
  </conditionalFormatting>
  <conditionalFormatting sqref="B18:O18">
    <cfRule type="expression" dxfId="1963" priority="368">
      <formula>IF(NoColor,1,0)</formula>
    </cfRule>
  </conditionalFormatting>
  <conditionalFormatting sqref="B128:P147">
    <cfRule type="expression" dxfId="1962" priority="117">
      <formula>IF(NoColor,1,0)</formula>
    </cfRule>
  </conditionalFormatting>
  <conditionalFormatting sqref="B9:Q9">
    <cfRule type="expression" dxfId="1961" priority="545">
      <formula>IF(NoColor,1,0)</formula>
    </cfRule>
  </conditionalFormatting>
  <conditionalFormatting sqref="C94">
    <cfRule type="expression" dxfId="1960" priority="512">
      <formula>IF(NoColor,1,0)</formula>
    </cfRule>
  </conditionalFormatting>
  <conditionalFormatting sqref="C96">
    <cfRule type="expression" dxfId="1959" priority="511">
      <formula>IF(NoColor,1,0)</formula>
    </cfRule>
  </conditionalFormatting>
  <conditionalFormatting sqref="C170:E170">
    <cfRule type="expression" dxfId="1958" priority="210">
      <formula>#REF!</formula>
    </cfRule>
  </conditionalFormatting>
  <conditionalFormatting sqref="D226:V226">
    <cfRule type="expression" dxfId="1957" priority="196">
      <formula>NoColor</formula>
    </cfRule>
  </conditionalFormatting>
  <conditionalFormatting sqref="D231:V231">
    <cfRule type="expression" dxfId="1956" priority="195">
      <formula>NoColor</formula>
    </cfRule>
  </conditionalFormatting>
  <conditionalFormatting sqref="G38:G40">
    <cfRule type="expression" dxfId="1955" priority="321">
      <formula>IF(NoColor,1,0)</formula>
    </cfRule>
  </conditionalFormatting>
  <conditionalFormatting sqref="I110">
    <cfRule type="expression" dxfId="1954" priority="407">
      <formula>AND($V$111&lt;&gt;"",$V$111&lt;=0)</formula>
    </cfRule>
  </conditionalFormatting>
  <conditionalFormatting sqref="M21">
    <cfRule type="expression" dxfId="1953" priority="13">
      <formula>IF(NoColor,1,0)</formula>
    </cfRule>
  </conditionalFormatting>
  <conditionalFormatting sqref="M23">
    <cfRule type="expression" dxfId="1952" priority="12">
      <formula>IF(NoColor,1,0)</formula>
    </cfRule>
  </conditionalFormatting>
  <conditionalFormatting sqref="M25">
    <cfRule type="expression" dxfId="1951" priority="542">
      <formula>IF(NoColor,1,0)</formula>
    </cfRule>
  </conditionalFormatting>
  <conditionalFormatting sqref="M27">
    <cfRule type="expression" dxfId="1950" priority="528">
      <formula>IF(NoColor,1,0)</formula>
    </cfRule>
  </conditionalFormatting>
  <conditionalFormatting sqref="M20:O20">
    <cfRule type="expression" dxfId="1949" priority="331">
      <formula>IF(NoColor,1,0)</formula>
    </cfRule>
  </conditionalFormatting>
  <conditionalFormatting sqref="M22:O22">
    <cfRule type="expression" dxfId="1948" priority="329">
      <formula>IF(NoColor,1,0)</formula>
    </cfRule>
  </conditionalFormatting>
  <conditionalFormatting sqref="N47">
    <cfRule type="expression" dxfId="1947" priority="532">
      <formula>IF(NoColor,1,0)</formula>
    </cfRule>
  </conditionalFormatting>
  <conditionalFormatting sqref="O196 R196:S196 U196 D197:E197">
    <cfRule type="expression" dxfId="1946" priority="315">
      <formula>$C$197</formula>
    </cfRule>
  </conditionalFormatting>
  <conditionalFormatting sqref="P18:P23">
    <cfRule type="expression" dxfId="1945" priority="180">
      <formula>IF(NoColor,1,0)</formula>
    </cfRule>
  </conditionalFormatting>
  <conditionalFormatting sqref="P38:Q40">
    <cfRule type="expression" dxfId="1944" priority="11">
      <formula>IF(NoColor,1,0)</formula>
    </cfRule>
  </conditionalFormatting>
  <conditionalFormatting sqref="Q156:Q166">
    <cfRule type="expression" dxfId="1943" priority="137">
      <formula>IF(NoColor,1,0)</formula>
    </cfRule>
  </conditionalFormatting>
  <conditionalFormatting sqref="Q18:R18">
    <cfRule type="expression" dxfId="1942" priority="181">
      <formula>IF(NoColor,1,0)</formula>
    </cfRule>
  </conditionalFormatting>
  <conditionalFormatting sqref="Q20:R20">
    <cfRule type="expression" dxfId="1941" priority="82">
      <formula>IF(NoColor,1,0)</formula>
    </cfRule>
  </conditionalFormatting>
  <conditionalFormatting sqref="Q22:R22">
    <cfRule type="expression" dxfId="1940" priority="81">
      <formula>IF(NoColor,1,0)</formula>
    </cfRule>
  </conditionalFormatting>
  <conditionalFormatting sqref="Q128:R128">
    <cfRule type="expression" dxfId="1939" priority="77">
      <formula>IF(NoColor,1,0)</formula>
    </cfRule>
  </conditionalFormatting>
  <conditionalFormatting sqref="Q130:R130">
    <cfRule type="expression" dxfId="1938" priority="76">
      <formula>IF(NoColor,1,0)</formula>
    </cfRule>
  </conditionalFormatting>
  <conditionalFormatting sqref="Q132:R132">
    <cfRule type="expression" dxfId="1937" priority="71">
      <formula>IF(NoColor,1,0)</formula>
    </cfRule>
  </conditionalFormatting>
  <conditionalFormatting sqref="Q134:R134">
    <cfRule type="expression" dxfId="1936" priority="67">
      <formula>IF(NoColor,1,0)</formula>
    </cfRule>
  </conditionalFormatting>
  <conditionalFormatting sqref="Q136:R136">
    <cfRule type="expression" dxfId="1935" priority="63">
      <formula>IF(NoColor,1,0)</formula>
    </cfRule>
  </conditionalFormatting>
  <conditionalFormatting sqref="Q138:R138">
    <cfRule type="expression" dxfId="1934" priority="59">
      <formula>IF(NoColor,1,0)</formula>
    </cfRule>
  </conditionalFormatting>
  <conditionalFormatting sqref="Q140:R140">
    <cfRule type="expression" dxfId="1933" priority="55">
      <formula>IF(NoColor,1,0)</formula>
    </cfRule>
  </conditionalFormatting>
  <conditionalFormatting sqref="Q142:R142">
    <cfRule type="expression" dxfId="1932" priority="51">
      <formula>IF(NoColor,1,0)</formula>
    </cfRule>
  </conditionalFormatting>
  <conditionalFormatting sqref="Q144:R144">
    <cfRule type="expression" dxfId="1931" priority="47">
      <formula>IF(NoColor,1,0)</formula>
    </cfRule>
  </conditionalFormatting>
  <conditionalFormatting sqref="Q146:R146">
    <cfRule type="expression" dxfId="1930" priority="43">
      <formula>IF(NoColor,1,0)</formula>
    </cfRule>
  </conditionalFormatting>
  <conditionalFormatting sqref="S9">
    <cfRule type="expression" dxfId="1929" priority="544">
      <formula>IF(NoColor,1,0)</formula>
    </cfRule>
  </conditionalFormatting>
  <conditionalFormatting sqref="T38:T40">
    <cfRule type="expression" dxfId="1928" priority="320">
      <formula>IF(NoColor,1,0)</formula>
    </cfRule>
  </conditionalFormatting>
  <conditionalFormatting sqref="T156:T166">
    <cfRule type="expression" dxfId="1927" priority="211">
      <formula>IF(NoColor,1,0)</formula>
    </cfRule>
  </conditionalFormatting>
  <conditionalFormatting sqref="T18:V18">
    <cfRule type="expression" dxfId="1926" priority="80">
      <formula>IF(NoColor,1,0)</formula>
    </cfRule>
  </conditionalFormatting>
  <conditionalFormatting sqref="T20:V20">
    <cfRule type="expression" dxfId="1925" priority="27">
      <formula>IF(NoColor,1,0)</formula>
    </cfRule>
  </conditionalFormatting>
  <conditionalFormatting sqref="T22:V22">
    <cfRule type="expression" dxfId="1924" priority="26">
      <formula>IF(NoColor,1,0)</formula>
    </cfRule>
  </conditionalFormatting>
  <conditionalFormatting sqref="T128:V128">
    <cfRule type="expression" dxfId="1923" priority="25">
      <formula>IF(NoColor,1,0)</formula>
    </cfRule>
  </conditionalFormatting>
  <conditionalFormatting sqref="T130:V130">
    <cfRule type="expression" dxfId="1922" priority="24">
      <formula>IF(NoColor,1,0)</formula>
    </cfRule>
  </conditionalFormatting>
  <conditionalFormatting sqref="T132:V132">
    <cfRule type="expression" dxfId="1921" priority="23">
      <formula>IF(NoColor,1,0)</formula>
    </cfRule>
  </conditionalFormatting>
  <conditionalFormatting sqref="T134:V134">
    <cfRule type="expression" dxfId="1920" priority="22">
      <formula>IF(NoColor,1,0)</formula>
    </cfRule>
  </conditionalFormatting>
  <conditionalFormatting sqref="T136:V136">
    <cfRule type="expression" dxfId="1919" priority="21">
      <formula>IF(NoColor,1,0)</formula>
    </cfRule>
  </conditionalFormatting>
  <conditionalFormatting sqref="T138:V138">
    <cfRule type="expression" dxfId="1918" priority="20">
      <formula>IF(NoColor,1,0)</formula>
    </cfRule>
  </conditionalFormatting>
  <conditionalFormatting sqref="T140:V140">
    <cfRule type="expression" dxfId="1917" priority="19">
      <formula>IF(NoColor,1,0)</formula>
    </cfRule>
  </conditionalFormatting>
  <conditionalFormatting sqref="T142:V142">
    <cfRule type="expression" dxfId="1916" priority="18">
      <formula>IF(NoColor,1,0)</formula>
    </cfRule>
  </conditionalFormatting>
  <conditionalFormatting sqref="T144:V144">
    <cfRule type="expression" dxfId="1915" priority="17">
      <formula>IF(NoColor,1,0)</formula>
    </cfRule>
  </conditionalFormatting>
  <conditionalFormatting sqref="T146:V146">
    <cfRule type="expression" dxfId="1914" priority="16">
      <formula>IF(NoColor,1,0)</formula>
    </cfRule>
  </conditionalFormatting>
  <conditionalFormatting sqref="V11">
    <cfRule type="expression" dxfId="1913" priority="446">
      <formula>OR($AB$18,$AB$19)</formula>
    </cfRule>
  </conditionalFormatting>
  <conditionalFormatting sqref="V42:V43">
    <cfRule type="expression" dxfId="1912" priority="457">
      <formula>IF(NoColor,1,0)</formula>
    </cfRule>
  </conditionalFormatting>
  <conditionalFormatting sqref="V45:V46">
    <cfRule type="expression" dxfId="1911" priority="455">
      <formula>IF(NoColor,1,0)</formula>
    </cfRule>
  </conditionalFormatting>
  <conditionalFormatting sqref="V58">
    <cfRule type="expression" dxfId="1910" priority="319">
      <formula>IF(NoColor,1,0)</formula>
    </cfRule>
  </conditionalFormatting>
  <conditionalFormatting sqref="V60:V61">
    <cfRule type="expression" dxfId="1909" priority="453">
      <formula>IF(NoColor,1,0)</formula>
    </cfRule>
  </conditionalFormatting>
  <conditionalFormatting sqref="V64">
    <cfRule type="expression" dxfId="1908" priority="452">
      <formula>IF(NoColor,1,0)</formula>
    </cfRule>
  </conditionalFormatting>
  <conditionalFormatting sqref="V79:V88">
    <cfRule type="expression" dxfId="1907" priority="4680">
      <formula>$V$78</formula>
    </cfRule>
  </conditionalFormatting>
  <conditionalFormatting sqref="V96">
    <cfRule type="expression" dxfId="1906" priority="510">
      <formula>IF(NoColor,1,0)</formula>
    </cfRule>
  </conditionalFormatting>
  <conditionalFormatting sqref="V99">
    <cfRule type="expression" dxfId="1905" priority="505">
      <formula>IF(NoColor,1,0)</formula>
    </cfRule>
  </conditionalFormatting>
  <conditionalFormatting sqref="V101">
    <cfRule type="expression" dxfId="1904" priority="504">
      <formula>IF(NoColor,1,0)</formula>
    </cfRule>
  </conditionalFormatting>
  <conditionalFormatting sqref="V103">
    <cfRule type="expression" dxfId="1903" priority="503">
      <formula>IF(NoColor,1,0)</formula>
    </cfRule>
  </conditionalFormatting>
  <conditionalFormatting sqref="V108:V109">
    <cfRule type="expression" dxfId="1902" priority="444">
      <formula>IF(NoColor,1,0)</formula>
    </cfRule>
  </conditionalFormatting>
  <conditionalFormatting sqref="V111">
    <cfRule type="expression" dxfId="1901" priority="443">
      <formula>IF(NoColor,1,0)</formula>
    </cfRule>
  </conditionalFormatting>
  <conditionalFormatting sqref="V113">
    <cfRule type="expression" dxfId="1900" priority="442">
      <formula>IF(NoColor,1,0)</formula>
    </cfRule>
  </conditionalFormatting>
  <conditionalFormatting sqref="V115">
    <cfRule type="expression" dxfId="1899" priority="494">
      <formula>IF(NoColor,1,0)</formula>
    </cfRule>
  </conditionalFormatting>
  <conditionalFormatting sqref="V173">
    <cfRule type="expression" dxfId="1898" priority="192">
      <formula>NoColor</formula>
    </cfRule>
  </conditionalFormatting>
  <conditionalFormatting sqref="V175">
    <cfRule type="expression" dxfId="1897" priority="191">
      <formula>NoColor</formula>
    </cfRule>
  </conditionalFormatting>
  <conditionalFormatting sqref="V177">
    <cfRule type="expression" dxfId="1896" priority="190">
      <formula>NoColor</formula>
    </cfRule>
  </conditionalFormatting>
  <conditionalFormatting sqref="V190:V191">
    <cfRule type="expression" dxfId="1895" priority="201">
      <formula>NoColor</formula>
    </cfRule>
  </conditionalFormatting>
  <conditionalFormatting sqref="V193:V195">
    <cfRule type="expression" dxfId="1894" priority="200">
      <formula>NoColor</formula>
    </cfRule>
  </conditionalFormatting>
  <conditionalFormatting sqref="V197:V198">
    <cfRule type="expression" dxfId="1893" priority="199">
      <formula>NoColor</formula>
    </cfRule>
  </conditionalFormatting>
  <conditionalFormatting sqref="V200">
    <cfRule type="expression" dxfId="1892" priority="198">
      <formula>NoColor</formula>
    </cfRule>
  </conditionalFormatting>
  <conditionalFormatting sqref="V223">
    <cfRule type="expression" dxfId="1891" priority="197">
      <formula>NoColor</formula>
    </cfRule>
  </conditionalFormatting>
  <conditionalFormatting sqref="W11">
    <cfRule type="expression" dxfId="1889" priority="449">
      <formula>NoColor</formula>
    </cfRule>
  </conditionalFormatting>
  <conditionalFormatting sqref="W13">
    <cfRule type="expression" dxfId="1888" priority="309">
      <formula>NoColor</formula>
    </cfRule>
  </conditionalFormatting>
  <conditionalFormatting sqref="W15">
    <cfRule type="expression" dxfId="1887" priority="373">
      <formula>NoColor</formula>
    </cfRule>
  </conditionalFormatting>
  <conditionalFormatting sqref="W34">
    <cfRule type="expression" dxfId="1886" priority="322">
      <formula>NoColor</formula>
    </cfRule>
  </conditionalFormatting>
  <conditionalFormatting sqref="W53">
    <cfRule type="expression" dxfId="1885" priority="15">
      <formula>NoColor</formula>
    </cfRule>
  </conditionalFormatting>
  <conditionalFormatting sqref="Y33">
    <cfRule type="expression" dxfId="1883" priority="464">
      <formula>AND(File_Marr_Sep&lt;&gt;"",$AD$19&lt;&gt;"")</formula>
    </cfRule>
  </conditionalFormatting>
  <conditionalFormatting sqref="Y149">
    <cfRule type="expression" dxfId="1882" priority="231">
      <formula>AND(File_Marr_Sep&lt;&gt;"",$AD$19&lt;&gt;"")</formula>
    </cfRule>
  </conditionalFormatting>
  <conditionalFormatting sqref="Y188">
    <cfRule type="expression" dxfId="1881" priority="194">
      <formula>NoColor</formula>
    </cfRule>
  </conditionalFormatting>
  <conditionalFormatting sqref="AA7:AA17 AM125:AM128 AN126:AN129">
    <cfRule type="expression" dxfId="1880" priority="445">
      <formula>AND($AD$18="",$AD$19="",File_Marr_Sep&lt;&gt;"")</formula>
    </cfRule>
  </conditionalFormatting>
  <conditionalFormatting sqref="AA44 AM66:AM74 AO66:AO74 AA81:AA83 AA86:AA90">
    <cfRule type="expression" dxfId="1879" priority="533">
      <formula>IF(File_Marr_Joint&lt;&gt;"",1,0)</formula>
    </cfRule>
  </conditionalFormatting>
  <conditionalFormatting sqref="AA48:AA51">
    <cfRule type="expression" dxfId="1878" priority="404">
      <formula>IF(File_Marr_Joint&lt;&gt;"",1,0)</formula>
    </cfRule>
  </conditionalFormatting>
  <conditionalFormatting sqref="AA54:AA59">
    <cfRule type="expression" dxfId="1877" priority="316">
      <formula>IF(File_Marr_Joint&lt;&gt;"",1,0)</formula>
    </cfRule>
  </conditionalFormatting>
  <conditionalFormatting sqref="AA61">
    <cfRule type="expression" dxfId="1876" priority="402">
      <formula>IF(File_Marr_Joint&lt;&gt;"",1,0)</formula>
    </cfRule>
  </conditionalFormatting>
  <conditionalFormatting sqref="AA63">
    <cfRule type="expression" dxfId="1875" priority="401">
      <formula>IF(File_Marr_Joint&lt;&gt;"",1,0)</formula>
    </cfRule>
  </conditionalFormatting>
  <conditionalFormatting sqref="AA65:AA70">
    <cfRule type="expression" dxfId="1874" priority="399">
      <formula>IF(File_Marr_Joint&lt;&gt;"",1,0)</formula>
    </cfRule>
  </conditionalFormatting>
  <conditionalFormatting sqref="AA77">
    <cfRule type="expression" dxfId="1873" priority="397">
      <formula>IF(File_Marr_Joint&lt;&gt;"",1,0)</formula>
    </cfRule>
  </conditionalFormatting>
  <conditionalFormatting sqref="AA93:AA95">
    <cfRule type="expression" dxfId="1872" priority="393">
      <formula>AND($C$96&lt;&gt;"",File_Marr_Joint&lt;&gt;"")</formula>
    </cfRule>
  </conditionalFormatting>
  <conditionalFormatting sqref="AA96">
    <cfRule type="expression" dxfId="1871" priority="394">
      <formula>AND($C$96&lt;&gt;"",File_Marr_Joint&lt;&gt;"")</formula>
    </cfRule>
  </conditionalFormatting>
  <conditionalFormatting sqref="AA97:AA99">
    <cfRule type="expression" dxfId="1870" priority="392">
      <formula>IF(File_Marr_Joint&lt;&gt;"",1,0)</formula>
    </cfRule>
  </conditionalFormatting>
  <conditionalFormatting sqref="AA102">
    <cfRule type="expression" dxfId="1869" priority="391">
      <formula>IF(File_Marr_Joint&lt;&gt;"",1,0)</formula>
    </cfRule>
  </conditionalFormatting>
  <conditionalFormatting sqref="AA104:AA105">
    <cfRule type="expression" dxfId="1868" priority="390">
      <formula>IF(File_Marr_Joint&lt;&gt;"",1,0)</formula>
    </cfRule>
  </conditionalFormatting>
  <conditionalFormatting sqref="AA109:AA110">
    <cfRule type="expression" dxfId="1867" priority="388">
      <formula>IF(File_Marr_Joint&lt;&gt;"",1,0)</formula>
    </cfRule>
  </conditionalFormatting>
  <conditionalFormatting sqref="AA112">
    <cfRule type="expression" dxfId="1866" priority="387">
      <formula>IF(File_Marr_Joint&lt;&gt;"",1,0)</formula>
    </cfRule>
  </conditionalFormatting>
  <conditionalFormatting sqref="AA114">
    <cfRule type="expression" dxfId="1865" priority="386">
      <formula>IF(File_Marr_Joint&lt;&gt;"",1,0)</formula>
    </cfRule>
  </conditionalFormatting>
  <conditionalFormatting sqref="AA116">
    <cfRule type="expression" dxfId="1864" priority="385">
      <formula>IF(File_Marr_Joint&lt;&gt;"",1,0)</formula>
    </cfRule>
  </conditionalFormatting>
  <conditionalFormatting sqref="AA124:AB127 AQ126:AQ129">
    <cfRule type="expression" dxfId="1863" priority="479">
      <formula>AND($AD$18="",$AD$19="",File_Marr_Sep&lt;&gt;"")</formula>
    </cfRule>
  </conditionalFormatting>
  <conditionalFormatting sqref="AC2:AL21">
    <cfRule type="expression" dxfId="1862" priority="7">
      <formula>IF(File_Marr_Sep="",1,0)</formula>
    </cfRule>
  </conditionalFormatting>
  <conditionalFormatting sqref="AM28:AM35 AO28:AO35">
    <cfRule type="expression" dxfId="1861" priority="4">
      <formula>IF(File_Marr_Joint&lt;&gt;"",1,0)</formula>
    </cfRule>
  </conditionalFormatting>
  <conditionalFormatting sqref="AM39:AM46 AO39:AO46 AM53:AM62 AO53:AO62">
    <cfRule type="expression" dxfId="1860" priority="5">
      <formula>IF(File_Marr_Joint&lt;&gt;"",1,0)</formula>
    </cfRule>
  </conditionalFormatting>
  <conditionalFormatting sqref="AN2:AN21">
    <cfRule type="expression" dxfId="1859" priority="3">
      <formula>IF(File_Marr_Sep="",1,0)</formula>
    </cfRule>
  </conditionalFormatting>
  <conditionalFormatting sqref="AO125:AO128 AL126:AL129">
    <cfRule type="expression" dxfId="1858" priority="8">
      <formula>AND($AD$18="",$AD$19="",File_Marr_Sep&lt;&gt;"")</formula>
    </cfRule>
  </conditionalFormatting>
  <conditionalFormatting sqref="AP2:AQ21">
    <cfRule type="expression" dxfId="1857" priority="469">
      <formula>IF(File_Marr_Sep="",1,0)</formula>
    </cfRule>
  </conditionalFormatting>
  <hyperlinks>
    <hyperlink ref="C243:J243" r:id="rId1" display="Download Form 2441" xr:uid="{00000000-0004-0000-2700-000000000000}"/>
    <hyperlink ref="C245:J245" r:id="rId2" display="Download Form 2441 Instructions" xr:uid="{00000000-0004-0000-2700-000001000000}"/>
  </hyperlinks>
  <pageMargins left="0.75" right="0.25" top="0.36" bottom="0.28999999999999998" header="0.36" footer="0.21"/>
  <pageSetup scale="21" orientation="portrait" r:id="rId3"/>
  <rowBreaks count="4" manualBreakCount="4">
    <brk id="65" min="1" max="18" man="1"/>
    <brk id="116" min="1" max="18" man="1"/>
    <brk id="166" min="1" max="18" man="1"/>
    <brk id="178" min="1" max="18" man="1"/>
  </rowBreaks>
  <drawing r:id="rId4"/>
  <extLst>
    <ext xmlns:x14="http://schemas.microsoft.com/office/spreadsheetml/2009/9/main" uri="{78C0D931-6437-407d-A8EE-F0AAD7539E65}">
      <x14:conditionalFormattings>
        <x14:conditionalFormatting xmlns:xm="http://schemas.microsoft.com/office/excel/2006/main">
          <x14:cfRule type="expression" priority="1" id="{E6587F54-0A11-42A1-80FE-C5B62F076EEB}">
            <xm:f>AND(X3="",'Table of Contents'!A45="D")</xm:f>
            <x14:dxf>
              <font>
                <b/>
                <i val="0"/>
                <color rgb="FFC00000"/>
              </font>
            </x14:dxf>
          </x14:cfRule>
          <xm:sqref>V3:W3</xm:sqref>
        </x14:conditionalFormatting>
        <x14:conditionalFormatting xmlns:xm="http://schemas.microsoft.com/office/excel/2006/main">
          <x14:cfRule type="expression" priority="2" id="{2C1ED493-00F0-4489-AB42-F9063CF2F5B4}">
            <xm:f>'Table of Contents'!A45="D"</xm:f>
            <x14:dxf>
              <fill>
                <patternFill>
                  <bgColor theme="0"/>
                </patternFill>
              </fill>
              <border>
                <right style="thin">
                  <color auto="1"/>
                </right>
                <top style="thin">
                  <color auto="1"/>
                </top>
                <bottom style="thin">
                  <color auto="1"/>
                </bottom>
                <vertical/>
                <horizontal/>
              </border>
            </x14:dxf>
          </x14:cfRule>
          <xm:sqref>X3</xm:sqref>
        </x14:conditionalFormatting>
      </x14:conditionalFormatting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BW424"/>
  <sheetViews>
    <sheetView zoomScaleNormal="100" zoomScaleSheetLayoutView="100" workbookViewId="0"/>
  </sheetViews>
  <sheetFormatPr defaultColWidth="9.140625" defaultRowHeight="12.75"/>
  <cols>
    <col min="1" max="1" width="3.7109375" customWidth="1"/>
    <col min="2" max="2" width="4" customWidth="1"/>
    <col min="3" max="3" width="5" customWidth="1"/>
    <col min="4" max="19" width="3.7109375" customWidth="1"/>
    <col min="20" max="20" width="8.140625" customWidth="1"/>
    <col min="21" max="21" width="2.85546875" customWidth="1"/>
    <col min="22" max="25" width="3.7109375" customWidth="1"/>
    <col min="26" max="26" width="4.140625" customWidth="1"/>
    <col min="27" max="27" width="3.7109375" customWidth="1"/>
    <col min="28" max="28" width="4.42578125" customWidth="1"/>
    <col min="29" max="36" width="3.7109375" customWidth="1"/>
    <col min="37" max="37" width="4.140625" customWidth="1"/>
    <col min="38" max="38" width="4.42578125" style="2014" customWidth="1"/>
    <col min="39" max="39" width="12.5703125" style="2014" customWidth="1"/>
    <col min="40" max="40" width="5.140625" style="2014" customWidth="1"/>
    <col min="41" max="41" width="12.5703125" style="2014" customWidth="1"/>
    <col min="42" max="42" width="3.5703125" style="2014" customWidth="1"/>
    <col min="43" max="51" width="10.7109375" style="658" customWidth="1"/>
    <col min="52" max="53" width="9.140625" style="2014"/>
    <col min="54" max="54" width="10" style="2014" customWidth="1"/>
    <col min="55" max="59" width="9.140625" style="2014"/>
    <col min="60" max="60" width="3.42578125" style="2014" customWidth="1"/>
    <col min="61" max="62" width="9.140625" style="2014"/>
    <col min="63" max="66" width="11.7109375" style="2014" customWidth="1"/>
    <col min="67" max="67" width="9.140625" style="2014" customWidth="1"/>
    <col min="68" max="75" width="9.140625" style="2014"/>
  </cols>
  <sheetData>
    <row r="1" spans="1:62" ht="22.5" customHeight="1">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8823" t="str">
        <f>IF('Table of Contents'!A46="D","DRAFT","")</f>
        <v/>
      </c>
      <c r="AD1" s="8823"/>
      <c r="AE1" s="8823"/>
      <c r="AF1" s="8823"/>
      <c r="AG1" s="8823"/>
      <c r="AH1" s="8823"/>
      <c r="AI1" s="8823"/>
      <c r="AJ1" s="8823"/>
      <c r="AK1" s="2013"/>
      <c r="AL1" s="344"/>
      <c r="AM1" s="344"/>
      <c r="AN1" s="344"/>
      <c r="AO1" s="344"/>
      <c r="AP1" s="344"/>
      <c r="AQ1" s="657" t="s">
        <v>223</v>
      </c>
      <c r="AR1" s="657"/>
      <c r="AS1" s="657"/>
      <c r="AT1" s="657"/>
      <c r="AU1" s="657"/>
      <c r="AV1" s="657"/>
      <c r="AW1" s="657"/>
      <c r="AX1" s="657"/>
      <c r="AY1" s="657"/>
    </row>
    <row r="2" spans="1:62" ht="18" customHeight="1">
      <c r="A2" s="2013"/>
      <c r="B2" s="253"/>
      <c r="C2" s="253"/>
      <c r="D2" s="9823" t="s">
        <v>117</v>
      </c>
      <c r="E2" s="7601"/>
      <c r="F2" s="7601"/>
      <c r="G2" s="7601"/>
      <c r="H2" s="379"/>
      <c r="I2" s="7931" t="s">
        <v>3238</v>
      </c>
      <c r="J2" s="7091"/>
      <c r="K2" s="7091"/>
      <c r="L2" s="7091"/>
      <c r="M2" s="7091"/>
      <c r="N2" s="7091"/>
      <c r="O2" s="7091"/>
      <c r="P2" s="7091"/>
      <c r="Q2" s="7091"/>
      <c r="R2" s="7091"/>
      <c r="S2" s="7091"/>
      <c r="T2" s="7091"/>
      <c r="U2" s="7091"/>
      <c r="V2" s="7091"/>
      <c r="W2" s="7091"/>
      <c r="X2" s="7091"/>
      <c r="Y2" s="7091"/>
      <c r="Z2" s="7091"/>
      <c r="AA2" s="7091"/>
      <c r="AB2" s="7977"/>
      <c r="AC2" s="7586" t="str">
        <f>IF(AND('Table of Contents'!A46="D",AK2=""),"DRAFT","OMB No. 1545-0074")</f>
        <v>OMB No. 1545-0074</v>
      </c>
      <c r="AD2" s="7587"/>
      <c r="AE2" s="7587"/>
      <c r="AF2" s="7587"/>
      <c r="AG2" s="7587"/>
      <c r="AH2" s="7587"/>
      <c r="AI2" s="7587"/>
      <c r="AJ2" s="7587"/>
      <c r="AK2" s="1796"/>
      <c r="AL2" s="344"/>
      <c r="AM2" s="344"/>
      <c r="AN2" s="344"/>
      <c r="AO2" s="344"/>
      <c r="AP2" s="344"/>
    </row>
    <row r="3" spans="1:62" ht="24" customHeight="1" thickBot="1">
      <c r="A3" s="2013"/>
      <c r="B3" s="9825" t="s">
        <v>46</v>
      </c>
      <c r="C3" s="9617"/>
      <c r="D3" s="7601"/>
      <c r="E3" s="7601"/>
      <c r="F3" s="7601"/>
      <c r="G3" s="7601"/>
      <c r="H3" s="379"/>
      <c r="I3" s="9824"/>
      <c r="J3" s="7091"/>
      <c r="K3" s="7091"/>
      <c r="L3" s="7091"/>
      <c r="M3" s="7091"/>
      <c r="N3" s="7091"/>
      <c r="O3" s="7091"/>
      <c r="P3" s="7091"/>
      <c r="Q3" s="7091"/>
      <c r="R3" s="7091"/>
      <c r="S3" s="7091"/>
      <c r="T3" s="7091"/>
      <c r="U3" s="7091"/>
      <c r="V3" s="7091"/>
      <c r="W3" s="7091"/>
      <c r="X3" s="7091"/>
      <c r="Y3" s="7091"/>
      <c r="Z3" s="7091"/>
      <c r="AA3" s="7091"/>
      <c r="AB3" s="7977"/>
      <c r="AC3" s="9826">
        <f>TaxYear</f>
        <v>2025</v>
      </c>
      <c r="AD3" s="9827"/>
      <c r="AE3" s="9827"/>
      <c r="AF3" s="9827"/>
      <c r="AG3" s="9827"/>
      <c r="AH3" s="9827"/>
      <c r="AI3" s="9827"/>
      <c r="AJ3" s="9827"/>
      <c r="AK3" s="2013"/>
      <c r="AL3" s="344" t="s">
        <v>3239</v>
      </c>
      <c r="AM3" s="344"/>
      <c r="AN3" s="344"/>
      <c r="AO3" s="344"/>
      <c r="AP3" s="344"/>
    </row>
    <row r="4" spans="1:62" ht="13.5" customHeight="1" thickBot="1">
      <c r="A4" s="2013"/>
      <c r="B4" s="253"/>
      <c r="C4" s="253"/>
      <c r="D4" s="253"/>
      <c r="E4" s="253"/>
      <c r="F4" s="253"/>
      <c r="G4" s="253"/>
      <c r="H4" s="379"/>
      <c r="I4" s="9830"/>
      <c r="J4" s="7091"/>
      <c r="K4" s="7091"/>
      <c r="L4" s="7091"/>
      <c r="M4" s="7091"/>
      <c r="N4" s="7091"/>
      <c r="O4" s="7091"/>
      <c r="P4" s="7091"/>
      <c r="Q4" s="7091"/>
      <c r="R4" s="7091"/>
      <c r="S4" s="7091"/>
      <c r="T4" s="7091"/>
      <c r="U4" s="7091"/>
      <c r="V4" s="7091"/>
      <c r="W4" s="7091"/>
      <c r="X4" s="7091"/>
      <c r="Y4" s="7091"/>
      <c r="Z4" s="7091"/>
      <c r="AA4" s="7091"/>
      <c r="AB4" s="7977"/>
      <c r="AC4" s="9828"/>
      <c r="AD4" s="9829"/>
      <c r="AE4" s="9829"/>
      <c r="AF4" s="9829"/>
      <c r="AG4" s="9829"/>
      <c r="AH4" s="9829"/>
      <c r="AI4" s="9829"/>
      <c r="AJ4" s="9829"/>
      <c r="AK4" s="2013"/>
      <c r="AL4" s="300" t="s">
        <v>1962</v>
      </c>
      <c r="AM4" s="344" t="s">
        <v>566</v>
      </c>
      <c r="AN4" s="344"/>
      <c r="AO4" s="512" t="b">
        <f>AL4&lt;&gt;""</f>
        <v>1</v>
      </c>
      <c r="AP4" s="344"/>
    </row>
    <row r="5" spans="1:62" ht="14.25" customHeight="1" thickBot="1">
      <c r="A5" s="2013"/>
      <c r="B5" s="511" t="s">
        <v>503</v>
      </c>
      <c r="C5" s="253"/>
      <c r="D5" s="253"/>
      <c r="E5" s="253"/>
      <c r="F5" s="253"/>
      <c r="G5" s="253"/>
      <c r="H5" s="379"/>
      <c r="I5" s="9830" t="s">
        <v>1817</v>
      </c>
      <c r="J5" s="7091"/>
      <c r="K5" s="7091"/>
      <c r="L5" s="7091"/>
      <c r="M5" s="7091"/>
      <c r="N5" s="7091"/>
      <c r="O5" s="7091"/>
      <c r="P5" s="7091"/>
      <c r="Q5" s="7091"/>
      <c r="R5" s="7091"/>
      <c r="S5" s="7091"/>
      <c r="T5" s="7091"/>
      <c r="U5" s="7091"/>
      <c r="V5" s="7091"/>
      <c r="W5" s="7091"/>
      <c r="X5" s="7091"/>
      <c r="Y5" s="7091"/>
      <c r="Z5" s="7091"/>
      <c r="AA5" s="7091"/>
      <c r="AB5" s="7977"/>
      <c r="AC5" s="341"/>
      <c r="AD5" s="9831" t="s">
        <v>3240</v>
      </c>
      <c r="AE5" s="9832"/>
      <c r="AF5" s="9832"/>
      <c r="AG5" s="9832"/>
      <c r="AH5" s="9833">
        <v>34</v>
      </c>
      <c r="AI5" s="9833"/>
      <c r="AJ5" s="253"/>
      <c r="AK5" s="2013"/>
      <c r="AL5" s="300"/>
      <c r="AM5" s="344" t="s">
        <v>3241</v>
      </c>
      <c r="AN5" s="344"/>
      <c r="AO5" s="512" t="b">
        <f>AL5&lt;&gt;""</f>
        <v>0</v>
      </c>
      <c r="AP5" s="344"/>
    </row>
    <row r="6" spans="1:62" ht="17.25" customHeight="1" thickBot="1">
      <c r="A6" s="2013"/>
      <c r="B6" s="2015" t="s">
        <v>505</v>
      </c>
      <c r="C6" s="380"/>
      <c r="D6" s="380"/>
      <c r="E6" s="380"/>
      <c r="F6" s="380"/>
      <c r="G6" s="380"/>
      <c r="H6" s="381"/>
      <c r="I6" s="9771" t="s">
        <v>3242</v>
      </c>
      <c r="J6" s="9772"/>
      <c r="K6" s="9772"/>
      <c r="L6" s="9772"/>
      <c r="M6" s="9772"/>
      <c r="N6" s="9772"/>
      <c r="O6" s="9772"/>
      <c r="P6" s="9772"/>
      <c r="Q6" s="9772"/>
      <c r="R6" s="9772"/>
      <c r="S6" s="9772"/>
      <c r="T6" s="9772"/>
      <c r="U6" s="9772"/>
      <c r="V6" s="9772"/>
      <c r="W6" s="9772"/>
      <c r="X6" s="9772"/>
      <c r="Y6" s="9772"/>
      <c r="Z6" s="9772"/>
      <c r="AA6" s="9772"/>
      <c r="AB6" s="9773"/>
      <c r="AC6" s="1197"/>
      <c r="AD6" s="9796" t="s">
        <v>3082</v>
      </c>
      <c r="AE6" s="9797"/>
      <c r="AF6" s="9797"/>
      <c r="AG6" s="9797"/>
      <c r="AH6" s="9834"/>
      <c r="AI6" s="9834"/>
      <c r="AJ6" s="380"/>
      <c r="AK6" s="2013"/>
      <c r="AL6" s="344"/>
      <c r="AM6" s="344"/>
      <c r="AN6" s="344"/>
      <c r="AO6" s="344"/>
      <c r="AP6" s="344"/>
    </row>
    <row r="7" spans="1:62" ht="16.5" customHeight="1" thickBot="1">
      <c r="A7" s="2013"/>
      <c r="B7" s="2016"/>
      <c r="C7" s="2016"/>
      <c r="D7" s="2016"/>
      <c r="E7" s="2016"/>
      <c r="F7" s="2016"/>
      <c r="G7" s="2016"/>
      <c r="H7" s="2016"/>
      <c r="I7" s="2016"/>
      <c r="J7" s="2016"/>
      <c r="K7" s="2016"/>
      <c r="L7" s="2016"/>
      <c r="M7" s="2016"/>
      <c r="N7" s="2016"/>
      <c r="O7" s="2016"/>
      <c r="P7" s="2016"/>
      <c r="Q7" s="2017"/>
      <c r="R7" s="2017" t="s">
        <v>3243</v>
      </c>
      <c r="S7" s="2016"/>
      <c r="T7" s="2016"/>
      <c r="U7" s="2016"/>
      <c r="V7" s="2016"/>
      <c r="W7" s="2016"/>
      <c r="X7" s="2016"/>
      <c r="Y7" s="2016"/>
      <c r="Z7" s="2016"/>
      <c r="AA7" s="2016"/>
      <c r="AB7" s="2016"/>
      <c r="AC7" s="2016"/>
      <c r="AD7" s="2016"/>
      <c r="AE7" s="2016"/>
      <c r="AF7" s="2016"/>
      <c r="AG7" s="2016"/>
      <c r="AH7" s="2016"/>
      <c r="AI7" s="2016"/>
      <c r="AJ7" s="2016"/>
      <c r="AK7" s="2013"/>
      <c r="AL7" s="344"/>
      <c r="AM7" s="344"/>
      <c r="AN7" s="344"/>
      <c r="AO7" s="344"/>
      <c r="AP7" s="344"/>
    </row>
    <row r="8" spans="1:62">
      <c r="A8" s="2013"/>
      <c r="B8" s="344" t="s">
        <v>3244</v>
      </c>
      <c r="C8" s="344"/>
      <c r="D8" s="344"/>
      <c r="E8" s="344"/>
      <c r="F8" s="344"/>
      <c r="G8" s="344"/>
      <c r="H8" s="344"/>
      <c r="I8" s="344"/>
      <c r="J8" s="344"/>
      <c r="K8" s="344"/>
      <c r="L8" s="344"/>
      <c r="M8" s="344"/>
      <c r="N8" s="344"/>
      <c r="O8" s="344"/>
      <c r="P8" s="344"/>
      <c r="Q8" s="344"/>
      <c r="R8" s="344"/>
      <c r="S8" s="344"/>
      <c r="T8" s="344"/>
      <c r="U8" s="344"/>
      <c r="V8" s="344"/>
      <c r="W8" s="344"/>
      <c r="X8" s="344"/>
      <c r="Y8" s="2018" t="s">
        <v>549</v>
      </c>
      <c r="Z8" s="253"/>
      <c r="AA8" s="253"/>
      <c r="AB8" s="253"/>
      <c r="AC8" s="408"/>
      <c r="AD8" s="2019"/>
      <c r="AE8" s="2019"/>
      <c r="AF8" s="2019"/>
      <c r="AG8" s="2019"/>
      <c r="AH8" s="2019"/>
      <c r="AI8" s="2019"/>
      <c r="AJ8" s="2019"/>
      <c r="AK8" s="2013"/>
      <c r="AL8" s="344"/>
      <c r="AM8" s="344"/>
      <c r="AN8" s="344"/>
      <c r="AO8" s="344"/>
      <c r="AP8" s="344"/>
    </row>
    <row r="9" spans="1:62" ht="13.5" customHeight="1">
      <c r="A9" s="2013"/>
      <c r="B9" s="9798" t="str">
        <f>IF(AND(AL4&lt;&gt;"",AL5&lt;&gt;""),Names,IF(AL4&lt;&gt;"",NameYours,IF(AL5&lt;&gt;"",NameSpouse,Names)))</f>
        <v xml:space="preserve"> </v>
      </c>
      <c r="C9" s="9799"/>
      <c r="D9" s="9799"/>
      <c r="E9" s="9799"/>
      <c r="F9" s="9799"/>
      <c r="G9" s="9799"/>
      <c r="H9" s="9799"/>
      <c r="I9" s="9799"/>
      <c r="J9" s="9799"/>
      <c r="K9" s="9799"/>
      <c r="L9" s="9800"/>
      <c r="M9" s="9800"/>
      <c r="N9" s="9800"/>
      <c r="O9" s="9800"/>
      <c r="P9" s="9800"/>
      <c r="Q9" s="9800"/>
      <c r="R9" s="9800"/>
      <c r="S9" s="9800"/>
      <c r="T9" s="9800"/>
      <c r="U9" s="9800"/>
      <c r="V9" s="9800"/>
      <c r="W9" s="9800"/>
      <c r="X9" s="9801"/>
      <c r="Y9" s="9803">
        <f>IF(NoSSN,"",IF(AND(AL4="",AL5&lt;&gt;""),SS_Spouse,SS_Yours))</f>
        <v>1010001</v>
      </c>
      <c r="Z9" s="7589"/>
      <c r="AA9" s="7589"/>
      <c r="AB9" s="7589"/>
      <c r="AC9" s="7589"/>
      <c r="AD9" s="7589"/>
      <c r="AE9" s="7589"/>
      <c r="AF9" s="7589"/>
      <c r="AG9" s="7589"/>
      <c r="AH9" s="7589"/>
      <c r="AI9" s="7589"/>
      <c r="AJ9" s="7589"/>
      <c r="AK9" s="2013"/>
      <c r="AL9" s="344"/>
      <c r="AM9" s="344"/>
      <c r="AN9" s="344"/>
      <c r="AO9" s="344"/>
      <c r="AP9" s="344"/>
    </row>
    <row r="10" spans="1:62" ht="5.25" customHeight="1">
      <c r="A10" s="2013"/>
      <c r="B10" s="9360"/>
      <c r="C10" s="9360"/>
      <c r="D10" s="9360"/>
      <c r="E10" s="9360"/>
      <c r="F10" s="9360"/>
      <c r="G10" s="9360"/>
      <c r="H10" s="9360"/>
      <c r="I10" s="9360"/>
      <c r="J10" s="9360"/>
      <c r="K10" s="9360"/>
      <c r="L10" s="9360"/>
      <c r="M10" s="9360"/>
      <c r="N10" s="9360"/>
      <c r="O10" s="9360"/>
      <c r="P10" s="9360"/>
      <c r="Q10" s="9360"/>
      <c r="R10" s="9360"/>
      <c r="S10" s="9360"/>
      <c r="T10" s="9360"/>
      <c r="U10" s="9360"/>
      <c r="V10" s="9360"/>
      <c r="W10" s="9360"/>
      <c r="X10" s="9802"/>
      <c r="Y10" s="7590"/>
      <c r="Z10" s="7587"/>
      <c r="AA10" s="7587"/>
      <c r="AB10" s="7587"/>
      <c r="AC10" s="7587"/>
      <c r="AD10" s="7587"/>
      <c r="AE10" s="7587"/>
      <c r="AF10" s="7587"/>
      <c r="AG10" s="7587"/>
      <c r="AH10" s="7587"/>
      <c r="AI10" s="7587"/>
      <c r="AJ10" s="7587"/>
      <c r="AK10" s="2013"/>
      <c r="AL10" s="344"/>
      <c r="AM10" s="344"/>
      <c r="AN10" s="344"/>
      <c r="AO10" s="344"/>
      <c r="AP10" s="344"/>
    </row>
    <row r="11" spans="1:62" ht="18.75" customHeight="1">
      <c r="A11" s="2013"/>
      <c r="B11" s="9755" t="s">
        <v>780</v>
      </c>
      <c r="C11" s="8489"/>
      <c r="D11" s="2020" t="s">
        <v>3245</v>
      </c>
      <c r="E11" s="2021"/>
      <c r="F11" s="2021"/>
      <c r="G11" s="2021"/>
      <c r="H11" s="2021"/>
      <c r="I11" s="2021"/>
      <c r="J11" s="2021"/>
      <c r="K11" s="2021"/>
      <c r="L11" s="2021"/>
      <c r="M11" s="2021"/>
      <c r="N11" s="2021"/>
      <c r="O11" s="2021"/>
      <c r="P11" s="2021"/>
      <c r="Q11" s="2021"/>
      <c r="R11" s="2021"/>
      <c r="S11" s="2021"/>
      <c r="T11" s="2021"/>
      <c r="U11" s="2021"/>
      <c r="V11" s="2021"/>
      <c r="W11" s="2021"/>
      <c r="X11" s="2021"/>
      <c r="Y11" s="2021"/>
      <c r="Z11" s="2021"/>
      <c r="AA11" s="2021"/>
      <c r="AB11" s="2021"/>
      <c r="AC11" s="2021"/>
      <c r="AD11" s="2021"/>
      <c r="AE11" s="2021"/>
      <c r="AF11" s="2021"/>
      <c r="AG11" s="2021"/>
      <c r="AH11" s="2021"/>
      <c r="AI11" s="2021"/>
      <c r="AJ11" s="2021"/>
      <c r="AK11" s="2013"/>
      <c r="AL11" s="344"/>
      <c r="AM11" s="344"/>
      <c r="AN11" s="344"/>
      <c r="AO11" s="344"/>
      <c r="AP11" s="344"/>
    </row>
    <row r="12" spans="1:62" ht="15" customHeight="1">
      <c r="A12" s="2013"/>
      <c r="B12" s="253"/>
      <c r="C12" s="2022" t="s">
        <v>228</v>
      </c>
      <c r="D12" s="344" t="s">
        <v>3246</v>
      </c>
      <c r="E12" s="253"/>
      <c r="F12" s="253"/>
      <c r="G12" s="253"/>
      <c r="H12" s="253"/>
      <c r="I12" s="253"/>
      <c r="J12" s="253"/>
      <c r="K12" s="253"/>
      <c r="L12" s="253"/>
      <c r="M12" s="253"/>
      <c r="N12" s="253"/>
      <c r="O12" s="253"/>
      <c r="P12" s="253"/>
      <c r="Q12" s="253"/>
      <c r="R12" s="253"/>
      <c r="S12" s="253"/>
      <c r="T12" s="253"/>
      <c r="U12" s="253"/>
      <c r="V12" s="253"/>
      <c r="W12" s="253"/>
      <c r="X12" s="253"/>
      <c r="Y12" s="2023" t="s">
        <v>230</v>
      </c>
      <c r="Z12" s="344" t="s">
        <v>743</v>
      </c>
      <c r="AA12" s="253"/>
      <c r="AB12" s="253"/>
      <c r="AC12" s="253"/>
      <c r="AD12" s="253"/>
      <c r="AE12" s="253"/>
      <c r="AF12" s="253"/>
      <c r="AG12" s="253"/>
      <c r="AH12" s="253"/>
      <c r="AI12" s="253"/>
      <c r="AJ12" s="253"/>
      <c r="AK12" s="2013"/>
      <c r="AL12" s="344"/>
      <c r="AM12" s="344"/>
      <c r="AN12" s="2024"/>
      <c r="AO12" s="2024"/>
      <c r="AP12" s="2024"/>
      <c r="AZ12" s="2025"/>
      <c r="BA12" s="2025"/>
      <c r="BB12" s="2025"/>
      <c r="BC12" s="2025"/>
      <c r="BD12" s="2025"/>
      <c r="BE12" s="2025"/>
      <c r="BF12" s="2025"/>
      <c r="BG12" s="2025"/>
      <c r="BH12" s="2025"/>
      <c r="BI12" s="2025"/>
      <c r="BJ12" s="2025"/>
    </row>
    <row r="13" spans="1:62" ht="16.5" customHeight="1">
      <c r="A13" s="2013"/>
      <c r="B13" s="9774"/>
      <c r="C13" s="9775"/>
      <c r="D13" s="9775"/>
      <c r="E13" s="9775"/>
      <c r="F13" s="9775"/>
      <c r="G13" s="9775"/>
      <c r="H13" s="9775"/>
      <c r="I13" s="9775"/>
      <c r="J13" s="9775"/>
      <c r="K13" s="9775"/>
      <c r="L13" s="9775"/>
      <c r="M13" s="9775"/>
      <c r="N13" s="9775"/>
      <c r="O13" s="9775"/>
      <c r="P13" s="9775"/>
      <c r="Q13" s="9775"/>
      <c r="R13" s="9775"/>
      <c r="S13" s="9775"/>
      <c r="T13" s="9775"/>
      <c r="U13" s="9775"/>
      <c r="V13" s="9775"/>
      <c r="W13" s="9775"/>
      <c r="X13" s="9776"/>
      <c r="Y13" s="9777"/>
      <c r="Z13" s="9778"/>
      <c r="AA13" s="9778"/>
      <c r="AB13" s="9778"/>
      <c r="AC13" s="9778"/>
      <c r="AD13" s="9778"/>
      <c r="AE13" s="9778"/>
      <c r="AF13" s="9778"/>
      <c r="AG13" s="9778"/>
      <c r="AH13" s="9778"/>
      <c r="AI13" s="9778"/>
      <c r="AJ13" s="9778"/>
      <c r="AK13" s="2013"/>
      <c r="AL13" s="344"/>
      <c r="AM13" s="344"/>
      <c r="AN13" s="2024"/>
      <c r="AO13" s="2024"/>
      <c r="AP13" s="2024"/>
      <c r="AZ13" s="2025"/>
      <c r="BA13" s="2025"/>
      <c r="BB13" s="2025"/>
      <c r="BC13" s="2025"/>
      <c r="BD13" s="2025"/>
      <c r="BE13" s="2025"/>
      <c r="BF13" s="2025"/>
      <c r="BG13" s="2025"/>
      <c r="BH13" s="2025"/>
      <c r="BI13" s="2025"/>
      <c r="BJ13" s="2025"/>
    </row>
    <row r="14" spans="1:62" ht="15" customHeight="1">
      <c r="A14" s="2013"/>
      <c r="B14" s="253"/>
      <c r="C14" s="2022" t="s">
        <v>232</v>
      </c>
      <c r="D14" s="344" t="s">
        <v>3247</v>
      </c>
      <c r="E14" s="253"/>
      <c r="F14" s="253"/>
      <c r="G14" s="253"/>
      <c r="H14" s="253"/>
      <c r="I14" s="9779"/>
      <c r="J14" s="9780"/>
      <c r="K14" s="9781"/>
      <c r="L14" s="9781"/>
      <c r="M14" s="9781"/>
      <c r="N14" s="9781"/>
      <c r="O14" s="9781"/>
      <c r="P14" s="9781"/>
      <c r="Q14" s="9781"/>
      <c r="R14" s="9781"/>
      <c r="S14" s="9781"/>
      <c r="T14" s="9781"/>
      <c r="U14" s="9781"/>
      <c r="V14" s="9781"/>
      <c r="W14" s="9781"/>
      <c r="X14" s="9781"/>
      <c r="Y14" s="9781"/>
      <c r="Z14" s="9781"/>
      <c r="AA14" s="9781"/>
      <c r="AB14" s="9781"/>
      <c r="AC14" s="9781"/>
      <c r="AD14" s="9781"/>
      <c r="AE14" s="9781"/>
      <c r="AF14" s="9782"/>
      <c r="AG14" s="9782"/>
      <c r="AH14" s="9782"/>
      <c r="AI14" s="9782"/>
      <c r="AJ14" s="9782"/>
      <c r="AK14" s="2013"/>
      <c r="AL14" s="344"/>
      <c r="AM14" s="344"/>
      <c r="AN14" s="2024"/>
      <c r="AO14" s="2024"/>
      <c r="AP14" s="2024"/>
      <c r="AZ14" s="2025"/>
      <c r="BA14" s="2025"/>
      <c r="BB14" s="2025"/>
      <c r="BC14" s="2025"/>
      <c r="BD14" s="2025"/>
      <c r="BE14" s="2025"/>
      <c r="BF14" s="2025"/>
      <c r="BG14" s="2025"/>
      <c r="BH14" s="2025"/>
      <c r="BI14" s="2025"/>
      <c r="BJ14" s="2025"/>
    </row>
    <row r="15" spans="1:62" ht="15" customHeight="1">
      <c r="A15" s="2013"/>
      <c r="B15" s="253"/>
      <c r="C15" s="2026" t="s">
        <v>3248</v>
      </c>
      <c r="D15" s="344" t="s">
        <v>3249</v>
      </c>
      <c r="E15" s="253"/>
      <c r="F15" s="253"/>
      <c r="G15" s="253"/>
      <c r="H15" s="253"/>
      <c r="I15" s="253"/>
      <c r="J15" s="253"/>
      <c r="K15" s="9783"/>
      <c r="L15" s="9784"/>
      <c r="M15" s="9784"/>
      <c r="N15" s="9784"/>
      <c r="O15" s="9784"/>
      <c r="P15" s="9784"/>
      <c r="Q15" s="9784"/>
      <c r="R15" s="9784"/>
      <c r="S15" s="9784"/>
      <c r="T15" s="9784"/>
      <c r="U15" s="9784"/>
      <c r="V15" s="9784"/>
      <c r="W15" s="9784"/>
      <c r="X15" s="9784"/>
      <c r="Y15" s="9784"/>
      <c r="Z15" s="9784"/>
      <c r="AA15" s="9784"/>
      <c r="AB15" s="9784"/>
      <c r="AC15" s="9784"/>
      <c r="AD15" s="9784"/>
      <c r="AE15" s="9784"/>
      <c r="AF15" s="9784"/>
      <c r="AG15" s="9784"/>
      <c r="AH15" s="9784"/>
      <c r="AI15" s="9784"/>
      <c r="AJ15" s="9784"/>
      <c r="AK15" s="2013"/>
      <c r="AL15" s="344"/>
      <c r="AM15" s="344"/>
      <c r="AN15" s="2024"/>
      <c r="AO15" s="2024"/>
      <c r="AP15" s="2024"/>
      <c r="AZ15" s="2025"/>
      <c r="BA15" s="2025"/>
      <c r="BB15" s="2025"/>
      <c r="BC15" s="2025"/>
      <c r="BD15" s="2025"/>
      <c r="BE15" s="2025"/>
      <c r="BF15" s="2025"/>
      <c r="BG15" s="2025"/>
      <c r="BH15" s="2025"/>
      <c r="BI15" s="2025"/>
      <c r="BJ15" s="2025"/>
    </row>
    <row r="16" spans="1:62" ht="15" customHeight="1">
      <c r="A16" s="2013"/>
      <c r="B16" s="253"/>
      <c r="C16" s="734" t="s">
        <v>2084</v>
      </c>
      <c r="D16" s="344" t="s">
        <v>3250</v>
      </c>
      <c r="E16" s="253"/>
      <c r="F16" s="253"/>
      <c r="G16" s="253"/>
      <c r="H16" s="253"/>
      <c r="I16" s="253"/>
      <c r="J16" s="253"/>
      <c r="K16" s="9783"/>
      <c r="L16" s="9784"/>
      <c r="M16" s="9784"/>
      <c r="N16" s="9784"/>
      <c r="O16" s="9784"/>
      <c r="P16" s="9784"/>
      <c r="Q16" s="9784"/>
      <c r="R16" s="9784"/>
      <c r="S16" s="9784"/>
      <c r="T16" s="9784"/>
      <c r="U16" s="9784"/>
      <c r="V16" s="9784"/>
      <c r="W16" s="9784"/>
      <c r="X16" s="9784"/>
      <c r="Y16" s="9784"/>
      <c r="Z16" s="9784"/>
      <c r="AA16" s="9784"/>
      <c r="AB16" s="9784"/>
      <c r="AC16" s="9784"/>
      <c r="AD16" s="9784"/>
      <c r="AE16" s="9784"/>
      <c r="AF16" s="9784"/>
      <c r="AG16" s="9784"/>
      <c r="AH16" s="9784"/>
      <c r="AI16" s="9784"/>
      <c r="AJ16" s="9784"/>
      <c r="AK16" s="2013"/>
      <c r="AL16" s="344"/>
      <c r="AM16" s="344"/>
      <c r="AN16" s="344"/>
      <c r="AO16" s="344"/>
      <c r="AP16" s="344"/>
    </row>
    <row r="17" spans="1:75" ht="5.25" customHeight="1" thickBot="1">
      <c r="A17" s="2013"/>
      <c r="B17" s="253"/>
      <c r="C17" s="253"/>
      <c r="D17" s="253"/>
      <c r="E17" s="253"/>
      <c r="F17" s="253"/>
      <c r="G17" s="253"/>
      <c r="H17" s="253"/>
      <c r="I17" s="253"/>
      <c r="J17" s="253"/>
      <c r="K17" s="253"/>
      <c r="L17" s="253"/>
      <c r="M17" s="253"/>
      <c r="N17" s="253"/>
      <c r="O17" s="253"/>
      <c r="P17" s="253"/>
      <c r="Q17" s="253"/>
      <c r="R17" s="253"/>
      <c r="S17" s="253"/>
      <c r="T17" s="253"/>
      <c r="U17" s="253"/>
      <c r="V17" s="253"/>
      <c r="W17" s="253"/>
      <c r="X17" s="253"/>
      <c r="Y17" s="253"/>
      <c r="Z17" s="253"/>
      <c r="AA17" s="253"/>
      <c r="AB17" s="253"/>
      <c r="AC17" s="253"/>
      <c r="AD17" s="253"/>
      <c r="AE17" s="253"/>
      <c r="AF17" s="253"/>
      <c r="AG17" s="253"/>
      <c r="AH17" s="253"/>
      <c r="AI17" s="253"/>
      <c r="AJ17" s="253"/>
      <c r="AK17" s="2013"/>
      <c r="AL17" s="344"/>
      <c r="AM17" s="344"/>
      <c r="AN17" s="344"/>
      <c r="AO17" s="344"/>
      <c r="AP17" s="344"/>
      <c r="BL17" s="2027"/>
      <c r="BM17" s="2027"/>
      <c r="BO17" s="2027"/>
      <c r="BP17" s="2027"/>
      <c r="BQ17" s="2027"/>
      <c r="BR17" s="2027"/>
      <c r="BS17" s="2027"/>
      <c r="BT17" s="2027"/>
      <c r="BU17" s="2027"/>
      <c r="BV17" s="2027"/>
    </row>
    <row r="18" spans="1:75" ht="13.5" customHeight="1" thickBot="1">
      <c r="A18" s="2013"/>
      <c r="B18" s="253"/>
      <c r="C18" s="2026" t="s">
        <v>237</v>
      </c>
      <c r="D18" s="9807" t="s">
        <v>3251</v>
      </c>
      <c r="E18" s="9800"/>
      <c r="F18" s="9800"/>
      <c r="G18" s="9800"/>
      <c r="H18" s="9800"/>
      <c r="I18" s="253"/>
      <c r="J18" s="734" t="s">
        <v>3252</v>
      </c>
      <c r="K18" s="277"/>
      <c r="L18" s="344" t="s">
        <v>3253</v>
      </c>
      <c r="M18" s="253"/>
      <c r="N18" s="253"/>
      <c r="O18" s="253"/>
      <c r="P18" s="253"/>
      <c r="Q18" s="253"/>
      <c r="R18" s="253"/>
      <c r="S18" s="253"/>
      <c r="T18" s="253"/>
      <c r="U18" s="734" t="s">
        <v>2084</v>
      </c>
      <c r="V18" s="277"/>
      <c r="W18" s="344" t="s">
        <v>3254</v>
      </c>
      <c r="X18" s="253"/>
      <c r="Y18" s="253"/>
      <c r="Z18" s="253"/>
      <c r="AA18" s="253"/>
      <c r="AB18" s="253"/>
      <c r="AC18" s="734" t="s">
        <v>2086</v>
      </c>
      <c r="AD18" s="277"/>
      <c r="AE18" s="344" t="s">
        <v>3255</v>
      </c>
      <c r="AF18" s="253"/>
      <c r="AG18" s="253"/>
      <c r="AH18" s="253"/>
      <c r="AI18" s="253"/>
      <c r="AJ18" s="253"/>
      <c r="AK18" s="2013"/>
      <c r="AL18" s="344"/>
      <c r="AM18" s="344"/>
      <c r="AN18" s="344"/>
      <c r="AO18" s="344"/>
      <c r="AP18" s="344"/>
    </row>
    <row r="19" spans="1:75" ht="6" customHeight="1" thickBot="1">
      <c r="A19" s="2013"/>
      <c r="B19" s="253"/>
      <c r="C19" s="253"/>
      <c r="D19" s="9800"/>
      <c r="E19" s="9800"/>
      <c r="F19" s="9800"/>
      <c r="G19" s="9800"/>
      <c r="H19" s="9800"/>
      <c r="I19" s="253"/>
      <c r="J19" s="253"/>
      <c r="K19" s="2016"/>
      <c r="L19" s="253"/>
      <c r="M19" s="253"/>
      <c r="N19" s="253"/>
      <c r="O19" s="253"/>
      <c r="P19" s="253"/>
      <c r="Q19" s="253"/>
      <c r="R19" s="253"/>
      <c r="S19" s="253"/>
      <c r="T19" s="253"/>
      <c r="U19" s="1325"/>
      <c r="V19" s="253"/>
      <c r="W19" s="253"/>
      <c r="X19" s="253"/>
      <c r="Y19" s="253"/>
      <c r="Z19" s="253"/>
      <c r="AA19" s="253"/>
      <c r="AB19" s="253"/>
      <c r="AC19" s="253"/>
      <c r="AD19" s="253"/>
      <c r="AE19" s="253"/>
      <c r="AF19" s="253"/>
      <c r="AG19" s="253"/>
      <c r="AH19" s="253"/>
      <c r="AI19" s="253"/>
      <c r="AJ19" s="253"/>
      <c r="AK19" s="2013"/>
      <c r="AL19" s="344"/>
      <c r="AM19" s="344"/>
      <c r="AN19" s="344"/>
      <c r="AO19" s="344"/>
      <c r="AP19" s="344"/>
    </row>
    <row r="20" spans="1:75" ht="13.5" customHeight="1" thickBot="1">
      <c r="A20" s="2013"/>
      <c r="B20" s="253"/>
      <c r="C20" s="253"/>
      <c r="D20" s="9800"/>
      <c r="E20" s="9800"/>
      <c r="F20" s="9800"/>
      <c r="G20" s="9800"/>
      <c r="H20" s="9800"/>
      <c r="I20" s="253"/>
      <c r="J20" s="734" t="s">
        <v>3256</v>
      </c>
      <c r="K20" s="277"/>
      <c r="L20" s="344" t="s">
        <v>3257</v>
      </c>
      <c r="M20" s="253"/>
      <c r="N20" s="253"/>
      <c r="O20" s="253"/>
      <c r="P20" s="253"/>
      <c r="Q20" s="253"/>
      <c r="R20" s="253"/>
      <c r="S20" s="253"/>
      <c r="T20" s="253"/>
      <c r="U20" s="734" t="s">
        <v>3258</v>
      </c>
      <c r="V20" s="277"/>
      <c r="W20" s="344" t="s">
        <v>3259</v>
      </c>
      <c r="X20" s="253"/>
      <c r="Y20" s="253"/>
      <c r="Z20" s="253"/>
      <c r="AA20" s="253"/>
      <c r="AB20" s="9805"/>
      <c r="AC20" s="9806"/>
      <c r="AD20" s="9806"/>
      <c r="AE20" s="9806"/>
      <c r="AF20" s="9806"/>
      <c r="AG20" s="9806"/>
      <c r="AH20" s="9806"/>
      <c r="AI20" s="9806"/>
      <c r="AJ20" s="9806"/>
      <c r="AK20" s="2013"/>
    </row>
    <row r="21" spans="1:75" ht="15.75" thickBot="1">
      <c r="A21" s="2013"/>
      <c r="B21" s="253"/>
      <c r="C21" s="2026" t="s">
        <v>3260</v>
      </c>
      <c r="D21" s="344" t="s">
        <v>3261</v>
      </c>
      <c r="E21" s="253"/>
      <c r="F21" s="253"/>
      <c r="G21" s="253"/>
      <c r="H21" s="253"/>
      <c r="I21" s="253"/>
      <c r="J21" s="253"/>
      <c r="K21" s="253"/>
      <c r="L21" s="253"/>
      <c r="M21" s="253"/>
      <c r="N21" s="253"/>
      <c r="O21" s="253"/>
      <c r="P21" s="253"/>
      <c r="Q21" s="253"/>
      <c r="R21" s="253"/>
      <c r="S21" s="253"/>
      <c r="T21" s="253"/>
      <c r="U21" s="253"/>
      <c r="V21" s="253"/>
      <c r="W21" s="253"/>
      <c r="X21" s="253"/>
      <c r="Y21" s="9805"/>
      <c r="Z21" s="9835"/>
      <c r="AA21" s="9806"/>
      <c r="AB21" s="9806"/>
      <c r="AC21" s="9806"/>
      <c r="AD21" s="9806"/>
      <c r="AE21" s="9806"/>
      <c r="AF21" s="9806"/>
      <c r="AG21" s="9806"/>
      <c r="AH21" s="9806"/>
      <c r="AI21" s="9806"/>
      <c r="AJ21" s="9806"/>
      <c r="AK21" s="2013"/>
      <c r="AN21" s="2028"/>
      <c r="AO21" s="2029"/>
      <c r="AZ21" s="2028"/>
      <c r="BA21" s="2029"/>
    </row>
    <row r="22" spans="1:75" ht="15.75" thickBot="1">
      <c r="A22" s="2013"/>
      <c r="B22" s="253"/>
      <c r="C22" s="734" t="s">
        <v>2084</v>
      </c>
      <c r="D22" s="344" t="s">
        <v>3262</v>
      </c>
      <c r="E22" s="253"/>
      <c r="F22" s="253"/>
      <c r="G22" s="253"/>
      <c r="H22" s="253"/>
      <c r="I22" s="253"/>
      <c r="J22" s="253"/>
      <c r="K22" s="253"/>
      <c r="L22" s="253"/>
      <c r="M22" s="253"/>
      <c r="N22" s="253"/>
      <c r="O22" s="253"/>
      <c r="P22" s="253"/>
      <c r="Q22" s="253"/>
      <c r="R22" s="253"/>
      <c r="S22" s="253"/>
      <c r="T22" s="253"/>
      <c r="U22" s="253"/>
      <c r="V22" s="253"/>
      <c r="W22" s="253"/>
      <c r="X22" s="253"/>
      <c r="Y22" s="253"/>
      <c r="Z22" s="2030"/>
      <c r="AA22" s="277"/>
      <c r="AB22" s="344" t="s">
        <v>3263</v>
      </c>
      <c r="AC22" s="344"/>
      <c r="AD22" s="253"/>
      <c r="AE22" s="253"/>
      <c r="AF22" s="253"/>
      <c r="AG22" s="253"/>
      <c r="AH22" s="253"/>
      <c r="AI22" s="253"/>
      <c r="AJ22" s="253"/>
      <c r="AK22" s="2013"/>
      <c r="AO22" s="2029"/>
      <c r="BA22" s="2029"/>
      <c r="BF22" s="2028"/>
    </row>
    <row r="23" spans="1:75" ht="13.5" customHeight="1" thickBot="1">
      <c r="A23" s="2013"/>
      <c r="B23" s="253"/>
      <c r="C23" s="734" t="s">
        <v>2086</v>
      </c>
      <c r="D23" s="253" t="s">
        <v>3264</v>
      </c>
      <c r="E23" s="253"/>
      <c r="F23" s="253"/>
      <c r="G23" s="253"/>
      <c r="H23" s="253"/>
      <c r="I23" s="253"/>
      <c r="J23" s="253"/>
      <c r="K23" s="253"/>
      <c r="L23" s="253"/>
      <c r="M23" s="253"/>
      <c r="N23" s="253"/>
      <c r="O23" s="253"/>
      <c r="P23" s="253"/>
      <c r="Q23" s="253"/>
      <c r="R23" s="253"/>
      <c r="S23" s="253"/>
      <c r="T23" s="253"/>
      <c r="U23" s="253"/>
      <c r="V23" s="253"/>
      <c r="W23" s="253"/>
      <c r="X23" s="253"/>
      <c r="Y23" s="253"/>
      <c r="Z23" s="253"/>
      <c r="AA23" s="253"/>
      <c r="AB23" s="253"/>
      <c r="AC23" s="253"/>
      <c r="AD23" s="2031" t="s">
        <v>677</v>
      </c>
      <c r="AE23" s="277"/>
      <c r="AF23" s="349" t="s">
        <v>568</v>
      </c>
      <c r="AG23" s="253"/>
      <c r="AH23" s="277"/>
      <c r="AI23" s="349" t="s">
        <v>569</v>
      </c>
      <c r="AJ23" s="253"/>
      <c r="AK23" s="2013"/>
      <c r="AO23" s="2029"/>
      <c r="BA23" s="2029"/>
      <c r="BF23" s="2028"/>
      <c r="BG23" s="433"/>
    </row>
    <row r="24" spans="1:75" ht="12.75" customHeight="1">
      <c r="A24" s="2013"/>
      <c r="B24" s="253"/>
      <c r="C24" s="734" t="s">
        <v>3256</v>
      </c>
      <c r="D24" s="344" t="s">
        <v>3265</v>
      </c>
      <c r="E24" s="253"/>
      <c r="F24" s="253"/>
      <c r="G24" s="253"/>
      <c r="H24" s="253"/>
      <c r="I24" s="253"/>
      <c r="J24" s="253"/>
      <c r="K24" s="253"/>
      <c r="L24" s="253"/>
      <c r="M24" s="253"/>
      <c r="N24" s="253"/>
      <c r="O24" s="253"/>
      <c r="P24" s="253"/>
      <c r="Q24" s="253"/>
      <c r="R24" s="253"/>
      <c r="S24" s="253"/>
      <c r="T24" s="253"/>
      <c r="U24" s="253"/>
      <c r="V24" s="253"/>
      <c r="W24" s="253"/>
      <c r="X24" s="253"/>
      <c r="Y24" s="253"/>
      <c r="Z24" s="253"/>
      <c r="AA24" s="253"/>
      <c r="AB24" s="253"/>
      <c r="AC24" s="9805"/>
      <c r="AD24" s="9836"/>
      <c r="AE24" s="9836"/>
      <c r="AF24" s="9836"/>
      <c r="AG24" s="9836"/>
      <c r="AH24" s="9836"/>
      <c r="AI24" s="9836"/>
      <c r="AJ24" s="9836"/>
      <c r="AK24" s="2013"/>
      <c r="AO24" s="2029"/>
      <c r="BA24" s="2029"/>
    </row>
    <row r="25" spans="1:75" ht="15">
      <c r="A25" s="2013"/>
      <c r="B25" s="253"/>
      <c r="C25" s="2022" t="s">
        <v>242</v>
      </c>
      <c r="D25" s="253" t="s">
        <v>3266</v>
      </c>
      <c r="E25" s="253"/>
      <c r="F25" s="253"/>
      <c r="G25" s="253"/>
      <c r="H25" s="253"/>
      <c r="I25" s="253"/>
      <c r="J25" s="253"/>
      <c r="K25" s="253"/>
      <c r="L25" s="253"/>
      <c r="M25" s="253"/>
      <c r="N25" s="253"/>
      <c r="O25" s="9805"/>
      <c r="P25" s="9806"/>
      <c r="Q25" s="9806"/>
      <c r="R25" s="9806"/>
      <c r="S25" s="9806"/>
      <c r="T25" s="9806"/>
      <c r="U25" s="9806"/>
      <c r="V25" s="9806"/>
      <c r="W25" s="9806"/>
      <c r="X25" s="9806"/>
      <c r="Y25" s="9806"/>
      <c r="Z25" s="9806"/>
      <c r="AA25" s="9806"/>
      <c r="AB25" s="9806"/>
      <c r="AC25" s="9806"/>
      <c r="AD25" s="9806"/>
      <c r="AE25" s="9806"/>
      <c r="AF25" s="9806"/>
      <c r="AG25" s="9806"/>
      <c r="AH25" s="9806"/>
      <c r="AI25" s="9806"/>
      <c r="AJ25" s="9806"/>
      <c r="AK25" s="2013"/>
      <c r="AN25" s="2028"/>
      <c r="AO25" s="2029"/>
      <c r="AZ25" s="2028"/>
      <c r="BA25" s="2029"/>
    </row>
    <row r="26" spans="1:75" ht="15" customHeight="1" thickBot="1">
      <c r="A26" s="2013"/>
      <c r="B26" s="253"/>
      <c r="C26" s="2026" t="s">
        <v>3267</v>
      </c>
      <c r="D26" s="253" t="s">
        <v>3268</v>
      </c>
      <c r="E26" s="253"/>
      <c r="F26" s="253"/>
      <c r="G26" s="253"/>
      <c r="H26" s="253"/>
      <c r="I26" s="253"/>
      <c r="J26" s="253"/>
      <c r="K26" s="253"/>
      <c r="L26" s="253"/>
      <c r="M26" s="253"/>
      <c r="N26" s="253"/>
      <c r="O26" s="253"/>
      <c r="P26" s="253"/>
      <c r="Q26" s="253"/>
      <c r="R26" s="253"/>
      <c r="S26" s="253"/>
      <c r="T26" s="253"/>
      <c r="U26" s="253"/>
      <c r="V26" s="253"/>
      <c r="W26" s="253"/>
      <c r="X26" s="253"/>
      <c r="Y26" s="253"/>
      <c r="Z26" s="253"/>
      <c r="AA26" s="253"/>
      <c r="AB26" s="253"/>
      <c r="AC26" s="253"/>
      <c r="AD26" s="253"/>
      <c r="AE26" s="253"/>
      <c r="AF26" s="253"/>
      <c r="AG26" s="253"/>
      <c r="AH26" s="253"/>
      <c r="AI26" s="253"/>
      <c r="AJ26" s="253"/>
      <c r="AK26" s="2013"/>
      <c r="AM26" s="433"/>
      <c r="AO26" s="2029"/>
      <c r="BA26" s="2029"/>
    </row>
    <row r="27" spans="1:75" ht="13.5" customHeight="1" thickBot="1">
      <c r="A27" s="2013"/>
      <c r="B27" s="253"/>
      <c r="C27" s="253"/>
      <c r="D27" s="344" t="s">
        <v>3269</v>
      </c>
      <c r="E27" s="253"/>
      <c r="F27" s="253"/>
      <c r="G27" s="253"/>
      <c r="H27" s="253"/>
      <c r="I27" s="253"/>
      <c r="J27" s="253"/>
      <c r="K27" s="253"/>
      <c r="L27" s="253"/>
      <c r="M27" s="253"/>
      <c r="N27" s="253"/>
      <c r="O27" s="253"/>
      <c r="P27" s="253"/>
      <c r="Q27" s="253"/>
      <c r="R27" s="253"/>
      <c r="S27" s="253"/>
      <c r="T27" s="253"/>
      <c r="U27" s="253"/>
      <c r="V27" s="253"/>
      <c r="W27" s="253"/>
      <c r="X27" s="253"/>
      <c r="Y27" s="253"/>
      <c r="Z27" s="253"/>
      <c r="AA27" s="253"/>
      <c r="AB27" s="253"/>
      <c r="AC27" s="253"/>
      <c r="AD27" s="2031" t="s">
        <v>617</v>
      </c>
      <c r="AE27" s="277"/>
      <c r="AF27" s="349" t="s">
        <v>568</v>
      </c>
      <c r="AG27" s="253"/>
      <c r="AH27" s="277"/>
      <c r="AI27" s="349" t="s">
        <v>569</v>
      </c>
      <c r="AJ27" s="253"/>
      <c r="AK27" s="2013"/>
      <c r="AO27" s="2029"/>
      <c r="BA27" s="2029"/>
    </row>
    <row r="28" spans="1:75" ht="14.25" customHeight="1">
      <c r="A28" s="2013"/>
      <c r="B28" s="253"/>
      <c r="C28" s="734" t="s">
        <v>2084</v>
      </c>
      <c r="D28" s="511" t="s">
        <v>3270</v>
      </c>
      <c r="E28" s="253"/>
      <c r="F28" s="253"/>
      <c r="G28" s="253"/>
      <c r="H28" s="253"/>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013"/>
      <c r="AO28" s="2029"/>
      <c r="BA28" s="2029"/>
      <c r="BE28" s="2028"/>
      <c r="BF28" s="433"/>
    </row>
    <row r="29" spans="1:75" s="579" customFormat="1" ht="13.5" customHeight="1">
      <c r="A29" s="2013"/>
      <c r="B29" s="253"/>
      <c r="C29" s="253"/>
      <c r="D29" s="511" t="s">
        <v>3271</v>
      </c>
      <c r="E29" s="253"/>
      <c r="F29" s="253"/>
      <c r="G29" s="253"/>
      <c r="H29" s="253"/>
      <c r="I29" s="253"/>
      <c r="J29" s="253"/>
      <c r="K29" s="253"/>
      <c r="L29" s="253"/>
      <c r="M29" s="253"/>
      <c r="N29" s="253"/>
      <c r="O29" s="253"/>
      <c r="P29" s="253"/>
      <c r="Q29" s="9804"/>
      <c r="R29" s="9804"/>
      <c r="S29" s="9804"/>
      <c r="T29" s="9804"/>
      <c r="U29" s="9804"/>
      <c r="V29" s="9804"/>
      <c r="W29" s="9804"/>
      <c r="X29" s="9804"/>
      <c r="Y29" s="9804"/>
      <c r="Z29" s="9804"/>
      <c r="AA29" s="9804"/>
      <c r="AB29" s="9804"/>
      <c r="AC29" s="9804"/>
      <c r="AD29" s="9804"/>
      <c r="AE29" s="9804"/>
      <c r="AF29" s="9804"/>
      <c r="AG29" s="9804"/>
      <c r="AH29" s="9804"/>
      <c r="AI29" s="9804"/>
      <c r="AJ29" s="9804"/>
      <c r="AK29" s="2013"/>
      <c r="AL29" s="2014"/>
      <c r="AM29" s="2014"/>
      <c r="AN29" s="2028"/>
      <c r="AO29" s="2029"/>
      <c r="AP29" s="2014"/>
      <c r="AQ29" s="658"/>
      <c r="AR29" s="658"/>
      <c r="AS29" s="658"/>
      <c r="AT29" s="658"/>
      <c r="AU29" s="658"/>
      <c r="AV29" s="658"/>
      <c r="AW29" s="658"/>
      <c r="AX29" s="658"/>
      <c r="AY29" s="658"/>
      <c r="AZ29" s="2028"/>
      <c r="BA29" s="2029"/>
      <c r="BB29" s="2014"/>
      <c r="BC29" s="2014"/>
      <c r="BD29" s="2014"/>
      <c r="BE29" s="2014"/>
      <c r="BF29" s="2014"/>
      <c r="BG29" s="2014"/>
      <c r="BH29" s="2014"/>
      <c r="BI29" s="2014"/>
      <c r="BJ29" s="2014"/>
      <c r="BK29" s="2014"/>
      <c r="BL29" s="2014"/>
      <c r="BM29" s="2014"/>
      <c r="BN29" s="2014"/>
      <c r="BO29" s="2014"/>
      <c r="BP29" s="2014"/>
      <c r="BQ29" s="2014"/>
      <c r="BR29" s="2014"/>
      <c r="BS29" s="2014"/>
      <c r="BT29" s="2014"/>
      <c r="BU29" s="2014"/>
      <c r="BV29" s="2014"/>
      <c r="BW29" s="2014"/>
    </row>
    <row r="30" spans="1:75" s="579" customFormat="1" ht="15">
      <c r="A30" s="2013"/>
      <c r="B30" s="253"/>
      <c r="C30" s="2022" t="s">
        <v>377</v>
      </c>
      <c r="D30" s="253" t="s">
        <v>3272</v>
      </c>
      <c r="E30" s="253"/>
      <c r="F30" s="253"/>
      <c r="G30" s="253"/>
      <c r="H30" s="253"/>
      <c r="I30" s="253"/>
      <c r="J30" s="253"/>
      <c r="K30" s="253"/>
      <c r="L30" s="253"/>
      <c r="M30" s="253"/>
      <c r="N30" s="253"/>
      <c r="O30" s="253"/>
      <c r="P30" s="253"/>
      <c r="Q30" s="253"/>
      <c r="R30" s="253"/>
      <c r="S30" s="253"/>
      <c r="T30" s="9783"/>
      <c r="U30" s="9811"/>
      <c r="V30" s="9811"/>
      <c r="W30" s="9811"/>
      <c r="X30" s="9811"/>
      <c r="Y30" s="9811"/>
      <c r="Z30" s="9811"/>
      <c r="AA30" s="9811"/>
      <c r="AB30" s="9811"/>
      <c r="AC30" s="9811"/>
      <c r="AD30" s="9811"/>
      <c r="AE30" s="9811"/>
      <c r="AF30" s="9811"/>
      <c r="AG30" s="9811"/>
      <c r="AH30" s="9811"/>
      <c r="AI30" s="9811"/>
      <c r="AJ30" s="9811"/>
      <c r="AK30" s="2013"/>
      <c r="AL30" s="2014"/>
      <c r="AM30" s="2014"/>
      <c r="AN30" s="2014"/>
      <c r="AO30" s="2029"/>
      <c r="AP30" s="2014"/>
      <c r="AQ30" s="658"/>
      <c r="AR30" s="658"/>
      <c r="AS30" s="658"/>
      <c r="AT30" s="658"/>
      <c r="AU30" s="658"/>
      <c r="AV30" s="658"/>
      <c r="AW30" s="658"/>
      <c r="AX30" s="658"/>
      <c r="AY30" s="658"/>
      <c r="AZ30" s="2014"/>
      <c r="BA30" s="2029"/>
      <c r="BB30" s="2014"/>
      <c r="BC30" s="2014"/>
      <c r="BD30" s="2014"/>
      <c r="BE30" s="2028"/>
      <c r="BF30" s="2028"/>
      <c r="BG30" s="2014"/>
      <c r="BH30" s="2014"/>
      <c r="BI30" s="2014"/>
      <c r="BJ30" s="2014"/>
      <c r="BK30" s="2014"/>
      <c r="BL30" s="2014"/>
      <c r="BM30" s="2014"/>
      <c r="BN30" s="2014"/>
      <c r="BO30" s="2014"/>
      <c r="BP30" s="2014"/>
      <c r="BQ30" s="2014"/>
      <c r="BR30" s="2014"/>
      <c r="BS30" s="2014"/>
      <c r="BT30" s="2014"/>
      <c r="BU30" s="2014"/>
      <c r="BV30" s="2014"/>
      <c r="BW30" s="2014"/>
    </row>
    <row r="31" spans="1:75" s="579" customFormat="1">
      <c r="A31" s="2013"/>
      <c r="B31" s="413"/>
      <c r="C31" s="413"/>
      <c r="D31" s="9812"/>
      <c r="E31" s="9813"/>
      <c r="F31" s="9813"/>
      <c r="G31" s="9813"/>
      <c r="H31" s="9813"/>
      <c r="I31" s="9813"/>
      <c r="J31" s="9813"/>
      <c r="K31" s="9813"/>
      <c r="L31" s="9813"/>
      <c r="M31" s="9813"/>
      <c r="N31" s="9813"/>
      <c r="O31" s="9813"/>
      <c r="P31" s="9813"/>
      <c r="Q31" s="9813"/>
      <c r="R31" s="9813"/>
      <c r="S31" s="9813"/>
      <c r="T31" s="9813"/>
      <c r="U31" s="9813"/>
      <c r="V31" s="9813"/>
      <c r="W31" s="9813"/>
      <c r="X31" s="9813"/>
      <c r="Y31" s="9813"/>
      <c r="Z31" s="9813"/>
      <c r="AA31" s="9813"/>
      <c r="AB31" s="9813"/>
      <c r="AC31" s="9813"/>
      <c r="AD31" s="9813"/>
      <c r="AE31" s="9813"/>
      <c r="AF31" s="9813"/>
      <c r="AG31" s="9813"/>
      <c r="AH31" s="9813"/>
      <c r="AI31" s="9813"/>
      <c r="AJ31" s="9813"/>
      <c r="AK31" s="2013"/>
      <c r="AL31" s="2014"/>
      <c r="AM31" s="2032"/>
      <c r="AN31" s="2014"/>
      <c r="AO31" s="2029"/>
      <c r="AP31" s="2014"/>
      <c r="AQ31" s="658"/>
      <c r="AR31" s="658"/>
      <c r="AS31" s="658"/>
      <c r="AT31" s="658"/>
      <c r="AU31" s="658"/>
      <c r="AV31" s="658"/>
      <c r="AW31" s="658"/>
      <c r="AX31" s="658"/>
      <c r="AY31" s="658"/>
      <c r="AZ31" s="2014"/>
      <c r="BA31" s="2029"/>
      <c r="BB31" s="2014"/>
      <c r="BC31" s="2014"/>
      <c r="BD31" s="2014"/>
      <c r="BE31" s="2028"/>
      <c r="BF31" s="433"/>
      <c r="BG31" s="2014"/>
      <c r="BH31" s="2014"/>
      <c r="BI31" s="2014"/>
      <c r="BJ31" s="2014"/>
      <c r="BK31" s="2014"/>
      <c r="BL31" s="2014"/>
      <c r="BM31" s="2014"/>
      <c r="BN31" s="2014"/>
      <c r="BO31" s="2014"/>
      <c r="BP31" s="2014"/>
      <c r="BQ31" s="2014"/>
      <c r="BR31" s="2014"/>
      <c r="BS31" s="2014"/>
      <c r="BT31" s="2014"/>
      <c r="BU31" s="2014"/>
      <c r="BV31" s="2014"/>
      <c r="BW31" s="2014"/>
    </row>
    <row r="32" spans="1:75" s="579" customFormat="1" ht="6" customHeight="1">
      <c r="A32" s="2013"/>
      <c r="B32" s="2033"/>
      <c r="C32" s="2033"/>
      <c r="D32" s="2033"/>
      <c r="E32" s="2033"/>
      <c r="F32" s="2033"/>
      <c r="G32" s="2033"/>
      <c r="H32" s="2033"/>
      <c r="I32" s="2033"/>
      <c r="J32" s="2033"/>
      <c r="K32" s="2033"/>
      <c r="L32" s="2033"/>
      <c r="M32" s="2033"/>
      <c r="N32" s="2033"/>
      <c r="O32" s="2033"/>
      <c r="P32" s="2033"/>
      <c r="Q32" s="2033"/>
      <c r="R32" s="2033"/>
      <c r="S32" s="2033"/>
      <c r="T32" s="2033"/>
      <c r="U32" s="2033"/>
      <c r="V32" s="2033"/>
      <c r="W32" s="2033"/>
      <c r="X32" s="2033"/>
      <c r="Y32" s="2033"/>
      <c r="Z32" s="2033"/>
      <c r="AA32" s="2033"/>
      <c r="AB32" s="2033"/>
      <c r="AC32" s="2033"/>
      <c r="AD32" s="2033"/>
      <c r="AE32" s="2033"/>
      <c r="AF32" s="2033"/>
      <c r="AG32" s="2033"/>
      <c r="AH32" s="2033"/>
      <c r="AI32" s="2033"/>
      <c r="AJ32" s="2033"/>
      <c r="AK32" s="2013"/>
      <c r="AL32" s="2014"/>
      <c r="AM32" s="2034"/>
      <c r="AN32" s="2014"/>
      <c r="AO32" s="2029"/>
      <c r="AP32" s="2014"/>
      <c r="AQ32" s="658"/>
      <c r="AR32" s="658"/>
      <c r="AS32" s="658"/>
      <c r="AT32" s="658"/>
      <c r="AU32" s="658"/>
      <c r="AV32" s="658"/>
      <c r="AW32" s="658"/>
      <c r="AX32" s="658"/>
      <c r="AY32" s="658"/>
      <c r="AZ32" s="2014"/>
      <c r="BA32" s="2029"/>
      <c r="BB32" s="2014"/>
      <c r="BC32" s="2014"/>
      <c r="BD32" s="2014"/>
      <c r="BE32" s="2014"/>
      <c r="BF32" s="2014"/>
      <c r="BG32" s="2014"/>
      <c r="BH32" s="2014"/>
      <c r="BI32" s="2014"/>
      <c r="BJ32" s="2014"/>
      <c r="BK32" s="2014"/>
      <c r="BL32" s="2014"/>
      <c r="BM32" s="2014"/>
      <c r="BN32" s="2014"/>
      <c r="BO32" s="2014"/>
      <c r="BP32" s="2014"/>
      <c r="BQ32" s="2014"/>
      <c r="BR32" s="2014"/>
      <c r="BS32" s="2014"/>
      <c r="BT32" s="2014"/>
      <c r="BU32" s="2014"/>
      <c r="BV32" s="2014"/>
      <c r="BW32" s="2014"/>
    </row>
    <row r="33" spans="1:75" s="579" customFormat="1" ht="15.75" customHeight="1">
      <c r="A33" s="2013"/>
      <c r="B33" s="8346" t="s">
        <v>3273</v>
      </c>
      <c r="C33" s="8346"/>
      <c r="D33" s="8346"/>
      <c r="E33" s="8346"/>
      <c r="F33" s="8346"/>
      <c r="G33" s="8346"/>
      <c r="H33" s="8346"/>
      <c r="I33" s="8346"/>
      <c r="J33" s="8346"/>
      <c r="K33" s="8346"/>
      <c r="L33" s="8346"/>
      <c r="M33" s="8346"/>
      <c r="N33" s="8346"/>
      <c r="O33" s="8346"/>
      <c r="P33" s="8346"/>
      <c r="Q33" s="8346"/>
      <c r="R33" s="8346"/>
      <c r="S33" s="8346"/>
      <c r="T33" s="8346"/>
      <c r="U33" s="8346"/>
      <c r="V33" s="8346"/>
      <c r="W33" s="8346"/>
      <c r="X33" s="8346"/>
      <c r="Y33" s="8346"/>
      <c r="Z33" s="8346"/>
      <c r="AA33" s="8346"/>
      <c r="AB33" s="8346"/>
      <c r="AC33" s="8346"/>
      <c r="AD33" s="8346"/>
      <c r="AE33" s="8346"/>
      <c r="AF33" s="8346"/>
      <c r="AG33" s="8346"/>
      <c r="AH33" s="8346"/>
      <c r="AI33" s="8346"/>
      <c r="AJ33" s="8346"/>
      <c r="AK33" s="2013"/>
      <c r="AL33" s="2014"/>
      <c r="AM33" s="2032"/>
      <c r="AN33" s="2028"/>
      <c r="AO33" s="2029"/>
      <c r="AP33" s="2014"/>
      <c r="AQ33" s="658"/>
      <c r="AR33" s="658"/>
      <c r="AS33" s="658"/>
      <c r="AT33" s="658"/>
      <c r="AU33" s="658"/>
      <c r="AV33" s="658"/>
      <c r="AW33" s="658"/>
      <c r="AX33" s="658"/>
      <c r="AY33" s="658"/>
      <c r="AZ33" s="2028"/>
      <c r="BA33" s="2029"/>
      <c r="BB33" s="2014"/>
      <c r="BC33" s="2014"/>
      <c r="BD33" s="2014"/>
      <c r="BE33" s="2014"/>
      <c r="BF33" s="2014"/>
      <c r="BG33" s="2014"/>
      <c r="BH33" s="2014"/>
      <c r="BI33" s="2014"/>
      <c r="BJ33" s="2014"/>
      <c r="BK33" s="2014"/>
      <c r="BL33" s="2014"/>
      <c r="BM33" s="2014"/>
      <c r="BN33" s="2014"/>
      <c r="BO33" s="2014"/>
      <c r="BP33" s="2014"/>
      <c r="BQ33" s="2014"/>
      <c r="BR33" s="2014"/>
      <c r="BS33" s="2014"/>
      <c r="BT33" s="2014"/>
      <c r="BU33" s="2014"/>
      <c r="BV33" s="2014"/>
      <c r="BW33" s="2014"/>
    </row>
    <row r="34" spans="1:75" s="579" customFormat="1" ht="15.75" customHeight="1">
      <c r="A34" s="2013"/>
      <c r="B34" s="8346" t="s">
        <v>3274</v>
      </c>
      <c r="C34" s="8346"/>
      <c r="D34" s="8346"/>
      <c r="E34" s="8346"/>
      <c r="F34" s="8346"/>
      <c r="G34" s="8346"/>
      <c r="H34" s="8346"/>
      <c r="I34" s="8346"/>
      <c r="J34" s="8346"/>
      <c r="K34" s="8346"/>
      <c r="L34" s="8346"/>
      <c r="M34" s="8346"/>
      <c r="N34" s="8346"/>
      <c r="O34" s="8346"/>
      <c r="P34" s="8346"/>
      <c r="Q34" s="8346"/>
      <c r="R34" s="8346"/>
      <c r="S34" s="8346"/>
      <c r="T34" s="8346"/>
      <c r="U34" s="8346"/>
      <c r="V34" s="8346"/>
      <c r="W34" s="8346"/>
      <c r="X34" s="8346"/>
      <c r="Y34" s="8346"/>
      <c r="Z34" s="8346"/>
      <c r="AA34" s="8346"/>
      <c r="AB34" s="8346"/>
      <c r="AC34" s="8346"/>
      <c r="AD34" s="8346"/>
      <c r="AE34" s="8346"/>
      <c r="AF34" s="8346"/>
      <c r="AG34" s="8346"/>
      <c r="AH34" s="8346"/>
      <c r="AI34" s="8346"/>
      <c r="AJ34" s="8346"/>
      <c r="AK34" s="2013"/>
      <c r="AL34" s="2014"/>
      <c r="AM34" s="2032"/>
      <c r="AN34" s="2028"/>
      <c r="AO34" s="2029"/>
      <c r="AP34" s="2014"/>
      <c r="AQ34" s="658"/>
      <c r="AR34" s="658"/>
      <c r="AS34" s="658"/>
      <c r="AT34" s="658"/>
      <c r="AU34" s="658"/>
      <c r="AV34" s="658"/>
      <c r="AW34" s="658"/>
      <c r="AX34" s="658"/>
      <c r="AY34" s="658"/>
      <c r="AZ34" s="2028"/>
      <c r="BA34" s="2029"/>
      <c r="BB34" s="2014"/>
      <c r="BC34" s="2014"/>
      <c r="BD34" s="2014"/>
      <c r="BE34" s="2014"/>
      <c r="BF34" s="2014"/>
      <c r="BG34" s="2014"/>
      <c r="BH34" s="2014"/>
      <c r="BI34" s="2014"/>
      <c r="BJ34" s="2014"/>
      <c r="BK34" s="2014"/>
      <c r="BL34" s="2014"/>
      <c r="BM34" s="2014"/>
      <c r="BN34" s="2014"/>
      <c r="BO34" s="2014"/>
      <c r="BP34" s="2014"/>
      <c r="BQ34" s="2014"/>
      <c r="BR34" s="2014"/>
      <c r="BS34" s="2014"/>
      <c r="BT34" s="2014"/>
      <c r="BU34" s="2014"/>
      <c r="BV34" s="2014"/>
      <c r="BW34" s="2014"/>
    </row>
    <row r="35" spans="1:75" s="579" customFormat="1" ht="6" customHeight="1">
      <c r="A35" s="2013"/>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Y35" s="253"/>
      <c r="Z35" s="253"/>
      <c r="AA35" s="253"/>
      <c r="AB35" s="253"/>
      <c r="AC35" s="253"/>
      <c r="AD35" s="253"/>
      <c r="AE35" s="253"/>
      <c r="AF35" s="253"/>
      <c r="AG35" s="253"/>
      <c r="AH35" s="253"/>
      <c r="AI35" s="253"/>
      <c r="AJ35" s="253"/>
      <c r="AK35" s="2013"/>
      <c r="AL35" s="2014"/>
      <c r="AM35" s="2014"/>
      <c r="AN35" s="2014"/>
      <c r="AO35" s="2035"/>
      <c r="AP35" s="2014"/>
      <c r="AQ35" s="658"/>
      <c r="AR35" s="658"/>
      <c r="AS35" s="658"/>
      <c r="AT35" s="658"/>
      <c r="AU35" s="658"/>
      <c r="AV35" s="658"/>
      <c r="AW35" s="658"/>
      <c r="AX35" s="658"/>
      <c r="AY35" s="658"/>
      <c r="AZ35" s="2014"/>
      <c r="BA35" s="2035"/>
      <c r="BB35" s="2014"/>
      <c r="BC35" s="2014"/>
      <c r="BD35" s="2014"/>
      <c r="BE35" s="2028"/>
      <c r="BF35" s="433"/>
      <c r="BG35" s="2014"/>
      <c r="BH35" s="2014"/>
      <c r="BI35" s="2014"/>
      <c r="BJ35" s="2014"/>
      <c r="BK35" s="2014"/>
      <c r="BL35" s="2014"/>
      <c r="BM35" s="2014"/>
      <c r="BN35" s="2014"/>
      <c r="BO35" s="2014"/>
      <c r="BP35" s="2014"/>
      <c r="BQ35" s="2014"/>
      <c r="BR35" s="2014"/>
      <c r="BS35" s="2014"/>
      <c r="BT35" s="2014"/>
      <c r="BU35" s="2014"/>
      <c r="BV35" s="2014"/>
      <c r="BW35" s="2014"/>
    </row>
    <row r="36" spans="1:75" ht="5.25" customHeight="1">
      <c r="A36" s="2013"/>
      <c r="B36" s="2036"/>
      <c r="C36" s="2036"/>
      <c r="D36" s="2036"/>
      <c r="E36" s="2036"/>
      <c r="F36" s="2036"/>
      <c r="G36" s="2036"/>
      <c r="H36" s="2036"/>
      <c r="I36" s="2036"/>
      <c r="J36" s="2036"/>
      <c r="K36" s="2036"/>
      <c r="L36" s="2036"/>
      <c r="M36" s="2036"/>
      <c r="N36" s="2036"/>
      <c r="O36" s="2036"/>
      <c r="P36" s="2036"/>
      <c r="Q36" s="2036"/>
      <c r="R36" s="2036"/>
      <c r="S36" s="2036"/>
      <c r="T36" s="2036"/>
      <c r="U36" s="2036"/>
      <c r="V36" s="2036"/>
      <c r="W36" s="2036"/>
      <c r="X36" s="2036"/>
      <c r="Y36" s="2036"/>
      <c r="Z36" s="2036"/>
      <c r="AA36" s="2036"/>
      <c r="AB36" s="2036"/>
      <c r="AC36" s="2036"/>
      <c r="AD36" s="2036"/>
      <c r="AE36" s="2036"/>
      <c r="AF36" s="2036"/>
      <c r="AG36" s="2036"/>
      <c r="AH36" s="2036"/>
      <c r="AI36" s="2036"/>
      <c r="AJ36" s="2036"/>
      <c r="AK36" s="2013"/>
    </row>
    <row r="37" spans="1:75" ht="15" customHeight="1">
      <c r="A37" s="2013"/>
      <c r="B37" s="9755" t="s">
        <v>868</v>
      </c>
      <c r="C37" s="8489"/>
      <c r="D37" s="2037" t="s">
        <v>3275</v>
      </c>
      <c r="E37" s="1990"/>
      <c r="F37" s="1990"/>
      <c r="G37" s="1990"/>
      <c r="H37" s="1990"/>
      <c r="I37" s="1990"/>
      <c r="J37" s="1990"/>
      <c r="K37" s="1990"/>
      <c r="L37" s="1990"/>
      <c r="M37" s="1990"/>
      <c r="N37" s="1990"/>
      <c r="O37" s="1990"/>
      <c r="P37" s="1990"/>
      <c r="Q37" s="1990"/>
      <c r="R37" s="1990"/>
      <c r="S37" s="1990"/>
      <c r="T37" s="1990"/>
      <c r="U37" s="1990"/>
      <c r="V37" s="1990"/>
      <c r="W37" s="1990"/>
      <c r="X37" s="1990"/>
      <c r="Y37" s="1990"/>
      <c r="Z37" s="1990"/>
      <c r="AA37" s="1990"/>
      <c r="AB37" s="1990"/>
      <c r="AC37" s="1990"/>
      <c r="AD37" s="1990"/>
      <c r="AE37" s="1990"/>
      <c r="AF37" s="1990"/>
      <c r="AG37" s="1990"/>
      <c r="AH37" s="1990"/>
      <c r="AI37" s="1990"/>
      <c r="AJ37" s="1990"/>
      <c r="AK37" s="2013"/>
    </row>
    <row r="38" spans="1:75" ht="15.75" customHeight="1">
      <c r="A38" s="2013"/>
      <c r="B38" s="1990"/>
      <c r="C38" s="1990"/>
      <c r="D38" s="1990"/>
      <c r="E38" s="9822" t="s">
        <v>3276</v>
      </c>
      <c r="F38" s="9822"/>
      <c r="G38" s="9822"/>
      <c r="H38" s="9822"/>
      <c r="I38" s="9822"/>
      <c r="J38" s="9822"/>
      <c r="K38" s="9822"/>
      <c r="L38" s="9822"/>
      <c r="M38" s="9822"/>
      <c r="N38" s="9822"/>
      <c r="O38" s="9822"/>
      <c r="P38" s="9822"/>
      <c r="Q38" s="9822"/>
      <c r="R38" s="9822"/>
      <c r="S38" s="9822"/>
      <c r="T38" s="9822"/>
      <c r="U38" s="9822"/>
      <c r="V38" s="9822"/>
      <c r="W38" s="9822"/>
      <c r="X38" s="9822"/>
      <c r="Y38" s="9822"/>
      <c r="Z38" s="9822"/>
      <c r="AA38" s="9822"/>
      <c r="AB38" s="9822"/>
      <c r="AC38" s="9822"/>
      <c r="AD38" s="9822"/>
      <c r="AE38" s="9822"/>
      <c r="AF38" s="9822"/>
      <c r="AG38" s="9822"/>
      <c r="AH38" s="9822"/>
      <c r="AI38" s="9822"/>
      <c r="AJ38" s="9822"/>
      <c r="AK38" s="2013"/>
    </row>
    <row r="39" spans="1:75" ht="15.75" customHeight="1">
      <c r="A39" s="2013"/>
      <c r="B39" s="1999"/>
      <c r="C39" s="1999"/>
      <c r="D39" s="1999"/>
      <c r="E39" s="2010" t="s">
        <v>3277</v>
      </c>
      <c r="F39" s="2000"/>
      <c r="G39" s="2000"/>
      <c r="H39" s="2000"/>
      <c r="I39" s="2000"/>
      <c r="J39" s="2000"/>
      <c r="K39" s="2000"/>
      <c r="L39" s="2000"/>
      <c r="M39" s="2000"/>
      <c r="N39" s="2000"/>
      <c r="O39" s="2000"/>
      <c r="P39" s="2000"/>
      <c r="Q39" s="2000"/>
      <c r="R39" s="2000"/>
      <c r="S39" s="2000"/>
      <c r="T39" s="2000"/>
      <c r="U39" s="2000"/>
      <c r="V39" s="2000"/>
      <c r="W39" s="2000"/>
      <c r="X39" s="2000"/>
      <c r="Y39" s="2000"/>
      <c r="Z39" s="2000"/>
      <c r="AA39" s="2000"/>
      <c r="AB39" s="2000"/>
      <c r="AC39" s="2000"/>
      <c r="AD39" s="2000"/>
      <c r="AE39" s="2000"/>
      <c r="AF39" s="2000"/>
      <c r="AG39" s="2000"/>
      <c r="AH39" s="2000"/>
      <c r="AI39" s="2000"/>
      <c r="AJ39" s="2000"/>
      <c r="AK39" s="2013"/>
    </row>
    <row r="40" spans="1:75" s="579" customFormat="1" ht="13.5" customHeight="1">
      <c r="A40" s="2013"/>
      <c r="B40" s="253"/>
      <c r="C40" s="2022" t="s">
        <v>246</v>
      </c>
      <c r="D40" s="344" t="s">
        <v>3278</v>
      </c>
      <c r="E40" s="253"/>
      <c r="F40" s="253"/>
      <c r="G40" s="253"/>
      <c r="H40" s="253"/>
      <c r="I40" s="253"/>
      <c r="J40" s="253"/>
      <c r="K40" s="253"/>
      <c r="L40" s="9808"/>
      <c r="M40" s="9809"/>
      <c r="N40" s="9809"/>
      <c r="O40" s="9809"/>
      <c r="P40" s="9809"/>
      <c r="Q40" s="9809"/>
      <c r="R40" s="9809"/>
      <c r="S40" s="9809"/>
      <c r="T40" s="9809"/>
      <c r="U40" s="344" t="s">
        <v>3279</v>
      </c>
      <c r="V40" s="253"/>
      <c r="W40" s="253"/>
      <c r="X40" s="253"/>
      <c r="Y40" s="9808"/>
      <c r="Z40" s="9809"/>
      <c r="AA40" s="9809"/>
      <c r="AB40" s="9809"/>
      <c r="AC40" s="9809"/>
      <c r="AD40" s="9809"/>
      <c r="AE40" s="9809"/>
      <c r="AF40" s="9809"/>
      <c r="AG40" s="9809"/>
      <c r="AH40" s="9810"/>
      <c r="AI40" s="9810"/>
      <c r="AJ40" s="9810"/>
      <c r="AK40" s="2013"/>
      <c r="AL40" s="2014"/>
      <c r="AM40" s="2014"/>
      <c r="AN40" s="2014"/>
      <c r="AO40" s="2029"/>
      <c r="AP40" s="2014"/>
      <c r="AQ40" s="658"/>
      <c r="AR40" s="658"/>
      <c r="AS40" s="658"/>
      <c r="AT40" s="658"/>
      <c r="AU40" s="658"/>
      <c r="AV40" s="658"/>
      <c r="AW40" s="658"/>
      <c r="AX40" s="658"/>
      <c r="AY40" s="658"/>
      <c r="AZ40" s="2014"/>
      <c r="BA40" s="2029"/>
      <c r="BB40" s="2014"/>
      <c r="BC40" s="2014"/>
      <c r="BD40" s="2014"/>
      <c r="BE40" s="2014"/>
      <c r="BF40" s="2014"/>
      <c r="BG40" s="2014"/>
      <c r="BH40" s="2014"/>
      <c r="BI40" s="2014"/>
      <c r="BJ40" s="2014"/>
      <c r="BK40" s="2014"/>
      <c r="BL40" s="2014"/>
      <c r="BM40" s="2014"/>
      <c r="BN40" s="2014"/>
      <c r="BO40" s="2014"/>
      <c r="BP40" s="2014"/>
      <c r="BQ40" s="2014"/>
      <c r="BR40" s="2014"/>
      <c r="BS40" s="2014"/>
      <c r="BT40" s="2014"/>
      <c r="BU40" s="2014"/>
      <c r="BV40" s="2014"/>
      <c r="BW40" s="2014"/>
    </row>
    <row r="41" spans="1:75" ht="5.25" customHeight="1" thickBot="1">
      <c r="A41" s="2013"/>
      <c r="B41" s="253"/>
      <c r="C41" s="253"/>
      <c r="D41" s="253"/>
      <c r="E41" s="253"/>
      <c r="F41" s="253"/>
      <c r="G41" s="253"/>
      <c r="H41" s="253"/>
      <c r="I41" s="253"/>
      <c r="J41" s="253"/>
      <c r="K41" s="253"/>
      <c r="L41" s="253"/>
      <c r="M41" s="253"/>
      <c r="N41" s="253"/>
      <c r="O41" s="253"/>
      <c r="P41" s="253"/>
      <c r="Q41" s="253"/>
      <c r="R41" s="253"/>
      <c r="S41" s="253"/>
      <c r="T41" s="253"/>
      <c r="U41" s="253"/>
      <c r="V41" s="253"/>
      <c r="W41" s="253"/>
      <c r="X41" s="253"/>
      <c r="Y41" s="253"/>
      <c r="Z41" s="253"/>
      <c r="AA41" s="253"/>
      <c r="AB41" s="253"/>
      <c r="AC41" s="253"/>
      <c r="AD41" s="253"/>
      <c r="AE41" s="253"/>
      <c r="AF41" s="253"/>
      <c r="AG41" s="253"/>
      <c r="AH41" s="253"/>
      <c r="AI41" s="253"/>
      <c r="AJ41" s="253"/>
      <c r="AK41" s="2013"/>
      <c r="BL41" s="2027"/>
      <c r="BM41" s="2027"/>
      <c r="BO41" s="2027"/>
      <c r="BP41" s="2027"/>
      <c r="BQ41" s="2027"/>
      <c r="BR41" s="2027"/>
      <c r="BS41" s="2027"/>
      <c r="BT41" s="2027"/>
      <c r="BU41" s="2027"/>
      <c r="BV41" s="2027"/>
    </row>
    <row r="42" spans="1:75" s="579" customFormat="1" ht="13.5" customHeight="1" thickBot="1">
      <c r="A42" s="2013"/>
      <c r="B42" s="253"/>
      <c r="C42" s="2022" t="s">
        <v>248</v>
      </c>
      <c r="D42" s="344" t="s">
        <v>3280</v>
      </c>
      <c r="E42" s="253"/>
      <c r="F42" s="253"/>
      <c r="G42" s="253"/>
      <c r="H42" s="253"/>
      <c r="I42" s="253"/>
      <c r="J42" s="253"/>
      <c r="K42" s="253"/>
      <c r="L42" s="253"/>
      <c r="M42" s="253"/>
      <c r="N42" s="2039" t="s">
        <v>588</v>
      </c>
      <c r="O42" s="277"/>
      <c r="P42" s="344" t="s">
        <v>3281</v>
      </c>
      <c r="Q42" s="253"/>
      <c r="R42" s="253"/>
      <c r="S42" s="253"/>
      <c r="T42" s="253"/>
      <c r="U42" s="2039" t="s">
        <v>592</v>
      </c>
      <c r="V42" s="277"/>
      <c r="W42" s="344" t="s">
        <v>3282</v>
      </c>
      <c r="X42" s="253"/>
      <c r="Y42" s="253"/>
      <c r="Z42" s="253"/>
      <c r="AA42" s="253"/>
      <c r="AB42" s="253"/>
      <c r="AC42" s="253"/>
      <c r="AD42" s="2039" t="s">
        <v>595</v>
      </c>
      <c r="AE42" s="277"/>
      <c r="AF42" s="344" t="s">
        <v>3283</v>
      </c>
      <c r="AG42" s="253"/>
      <c r="AH42" s="253"/>
      <c r="AI42" s="253"/>
      <c r="AJ42" s="253"/>
      <c r="AK42" s="2013"/>
      <c r="AL42" s="2014"/>
      <c r="AM42" s="2014"/>
      <c r="AN42" s="2028"/>
      <c r="AO42" s="2029"/>
      <c r="AP42" s="2014"/>
      <c r="AQ42" s="658"/>
      <c r="AR42" s="658"/>
      <c r="AS42" s="658"/>
      <c r="AT42" s="658"/>
      <c r="AU42" s="658"/>
      <c r="AV42" s="658"/>
      <c r="AW42" s="658"/>
      <c r="AX42" s="658"/>
      <c r="AY42" s="658"/>
      <c r="AZ42" s="2028"/>
      <c r="BA42" s="2029"/>
      <c r="BB42" s="2014"/>
      <c r="BC42" s="2014"/>
      <c r="BD42" s="2014"/>
      <c r="BE42" s="2014"/>
      <c r="BF42" s="2028"/>
      <c r="BG42" s="2040"/>
      <c r="BH42" s="2014"/>
      <c r="BI42" s="2014"/>
      <c r="BJ42" s="2014"/>
      <c r="BK42" s="2014"/>
      <c r="BL42" s="2014"/>
      <c r="BM42" s="2014"/>
      <c r="BN42" s="2014"/>
      <c r="BO42" s="2014"/>
      <c r="BP42" s="2014"/>
      <c r="BQ42" s="2014"/>
      <c r="BR42" s="2014"/>
      <c r="BS42" s="2014"/>
      <c r="BT42" s="2014"/>
      <c r="BU42" s="2014"/>
      <c r="BV42" s="2014"/>
      <c r="BW42" s="2014"/>
    </row>
    <row r="43" spans="1:75" s="579" customFormat="1" ht="5.25" customHeight="1" thickBot="1">
      <c r="A43" s="2013"/>
      <c r="B43" s="253"/>
      <c r="C43" s="253"/>
      <c r="D43" s="253"/>
      <c r="E43" s="253"/>
      <c r="F43" s="253"/>
      <c r="G43" s="253"/>
      <c r="H43" s="253"/>
      <c r="I43" s="253"/>
      <c r="J43" s="253"/>
      <c r="K43" s="253"/>
      <c r="L43" s="253"/>
      <c r="M43" s="253"/>
      <c r="N43" s="253"/>
      <c r="O43" s="253"/>
      <c r="P43" s="253"/>
      <c r="Q43" s="253"/>
      <c r="R43" s="253"/>
      <c r="S43" s="253"/>
      <c r="T43" s="253"/>
      <c r="U43" s="253"/>
      <c r="V43" s="253"/>
      <c r="W43" s="253"/>
      <c r="X43" s="253"/>
      <c r="Y43" s="253"/>
      <c r="Z43" s="253"/>
      <c r="AA43" s="253"/>
      <c r="AB43" s="253"/>
      <c r="AC43" s="253"/>
      <c r="AD43" s="253"/>
      <c r="AE43" s="253"/>
      <c r="AF43" s="253"/>
      <c r="AG43" s="253"/>
      <c r="AH43" s="253"/>
      <c r="AI43" s="253"/>
      <c r="AJ43" s="253"/>
      <c r="AK43" s="2013"/>
      <c r="AL43" s="2014"/>
      <c r="AM43" s="2014"/>
      <c r="AN43" s="2014"/>
      <c r="AO43" s="2029"/>
      <c r="AP43" s="2014"/>
      <c r="AQ43" s="658"/>
      <c r="AR43" s="658"/>
      <c r="AS43" s="658"/>
      <c r="AT43" s="658"/>
      <c r="AU43" s="658"/>
      <c r="AV43" s="658"/>
      <c r="AW43" s="658"/>
      <c r="AX43" s="658"/>
      <c r="AY43" s="658"/>
      <c r="AZ43" s="2014"/>
      <c r="BA43" s="2029"/>
      <c r="BB43" s="2014"/>
      <c r="BC43" s="2014"/>
      <c r="BD43" s="2014"/>
      <c r="BE43" s="2014"/>
      <c r="BF43" s="2014"/>
      <c r="BG43" s="2014"/>
      <c r="BH43" s="2014"/>
      <c r="BI43" s="2014"/>
      <c r="BJ43" s="2014"/>
      <c r="BK43" s="2014"/>
      <c r="BL43" s="2014"/>
      <c r="BM43" s="2014"/>
      <c r="BN43" s="2014"/>
      <c r="BO43" s="2014"/>
      <c r="BP43" s="2014"/>
      <c r="BQ43" s="2014"/>
      <c r="BR43" s="2014"/>
      <c r="BS43" s="2014"/>
      <c r="BT43" s="2014"/>
      <c r="BU43" s="2014"/>
      <c r="BV43" s="2014"/>
      <c r="BW43" s="2014"/>
    </row>
    <row r="44" spans="1:75" s="579" customFormat="1" ht="13.5" customHeight="1" thickBot="1">
      <c r="A44" s="2013"/>
      <c r="B44" s="253"/>
      <c r="C44" s="253"/>
      <c r="D44" s="253"/>
      <c r="E44" s="253"/>
      <c r="F44" s="253"/>
      <c r="G44" s="253"/>
      <c r="H44" s="253"/>
      <c r="I44" s="253"/>
      <c r="J44" s="253"/>
      <c r="K44" s="253"/>
      <c r="L44" s="253"/>
      <c r="M44" s="253"/>
      <c r="N44" s="2039" t="s">
        <v>599</v>
      </c>
      <c r="O44" s="277"/>
      <c r="P44" s="344" t="s">
        <v>3284</v>
      </c>
      <c r="Q44" s="253"/>
      <c r="R44" s="253"/>
      <c r="S44" s="253"/>
      <c r="T44" s="253"/>
      <c r="U44" s="253"/>
      <c r="V44" s="253"/>
      <c r="W44" s="253"/>
      <c r="X44" s="253"/>
      <c r="Y44" s="253"/>
      <c r="Z44" s="253"/>
      <c r="AA44" s="253"/>
      <c r="AB44" s="253"/>
      <c r="AC44" s="253"/>
      <c r="AD44" s="253"/>
      <c r="AE44" s="253"/>
      <c r="AF44" s="253"/>
      <c r="AG44" s="253"/>
      <c r="AH44" s="253"/>
      <c r="AI44" s="253"/>
      <c r="AJ44" s="253"/>
      <c r="AK44" s="2013"/>
      <c r="AL44" s="2014"/>
      <c r="AM44" s="2014"/>
      <c r="AN44" s="2028"/>
      <c r="AO44" s="2029"/>
      <c r="AP44" s="2014"/>
      <c r="AQ44" s="658"/>
      <c r="AR44" s="658"/>
      <c r="AS44" s="658"/>
      <c r="AT44" s="658"/>
      <c r="AU44" s="658"/>
      <c r="AV44" s="658"/>
      <c r="AW44" s="658"/>
      <c r="AX44" s="658"/>
      <c r="AY44" s="658"/>
      <c r="AZ44" s="2028"/>
      <c r="BA44" s="2029"/>
      <c r="BB44" s="2014"/>
      <c r="BC44" s="2014"/>
      <c r="BD44" s="2014"/>
      <c r="BE44" s="2014"/>
      <c r="BF44" s="2028"/>
      <c r="BG44" s="2040"/>
      <c r="BH44" s="2014"/>
      <c r="BI44" s="434"/>
      <c r="BJ44" s="434"/>
      <c r="BK44" s="2014"/>
      <c r="BL44" s="2014"/>
      <c r="BM44" s="2014"/>
      <c r="BN44" s="2014"/>
      <c r="BO44" s="2014"/>
      <c r="BP44" s="2014"/>
      <c r="BQ44" s="2014"/>
      <c r="BR44" s="2014"/>
      <c r="BS44" s="2014"/>
      <c r="BT44" s="2014"/>
      <c r="BU44" s="2014"/>
      <c r="BV44" s="2014"/>
      <c r="BW44" s="2014"/>
    </row>
    <row r="45" spans="1:75" s="579" customFormat="1" ht="15.75" thickBot="1">
      <c r="A45" s="2013"/>
      <c r="B45" s="253"/>
      <c r="C45" s="734" t="s">
        <v>3285</v>
      </c>
      <c r="D45" s="511" t="s">
        <v>3286</v>
      </c>
      <c r="E45" s="253"/>
      <c r="F45" s="253"/>
      <c r="G45" s="253"/>
      <c r="H45" s="253"/>
      <c r="I45" s="253"/>
      <c r="J45" s="253"/>
      <c r="K45" s="253"/>
      <c r="L45" s="253"/>
      <c r="M45" s="253"/>
      <c r="N45" s="253"/>
      <c r="O45" s="253"/>
      <c r="P45" s="253"/>
      <c r="Q45" s="253"/>
      <c r="R45" s="253"/>
      <c r="S45" s="253"/>
      <c r="T45" s="253"/>
      <c r="U45" s="253"/>
      <c r="V45" s="253"/>
      <c r="W45" s="253"/>
      <c r="X45" s="253"/>
      <c r="Y45" s="253"/>
      <c r="Z45" s="253"/>
      <c r="AA45" s="253"/>
      <c r="AB45" s="253"/>
      <c r="AC45" s="253"/>
      <c r="AD45" s="2031" t="s">
        <v>594</v>
      </c>
      <c r="AE45" s="277"/>
      <c r="AF45" s="349" t="s">
        <v>568</v>
      </c>
      <c r="AG45" s="253"/>
      <c r="AH45" s="277"/>
      <c r="AI45" s="349" t="s">
        <v>569</v>
      </c>
      <c r="AJ45" s="253"/>
      <c r="AK45" s="2013"/>
      <c r="AL45" s="2014"/>
      <c r="AM45" s="2014"/>
      <c r="AN45" s="2014"/>
      <c r="AO45" s="2029"/>
      <c r="AP45" s="2014"/>
      <c r="AQ45" s="658"/>
      <c r="AR45" s="658"/>
      <c r="AS45" s="658"/>
      <c r="AT45" s="658"/>
      <c r="AU45" s="658"/>
      <c r="AV45" s="658"/>
      <c r="AW45" s="658"/>
      <c r="AX45" s="658"/>
      <c r="AY45" s="658"/>
      <c r="AZ45" s="2014"/>
      <c r="BA45" s="2029"/>
      <c r="BB45" s="2014"/>
      <c r="BC45" s="2014"/>
      <c r="BD45" s="2014"/>
      <c r="BE45" s="2014"/>
      <c r="BF45" s="2014"/>
      <c r="BG45" s="2014"/>
      <c r="BH45" s="2014"/>
      <c r="BI45" s="2014"/>
      <c r="BJ45" s="2014"/>
      <c r="BK45" s="2014"/>
      <c r="BL45" s="2014"/>
      <c r="BM45" s="2014"/>
      <c r="BN45" s="2014"/>
      <c r="BO45" s="2014"/>
      <c r="BP45" s="2014"/>
      <c r="BQ45" s="2014"/>
      <c r="BR45" s="2014"/>
      <c r="BS45" s="2014"/>
      <c r="BT45" s="2014"/>
      <c r="BU45" s="2014"/>
      <c r="BV45" s="2014"/>
      <c r="BW45" s="2014"/>
    </row>
    <row r="46" spans="1:75" s="579" customFormat="1" ht="12.75" customHeight="1">
      <c r="A46" s="2013"/>
      <c r="B46" s="253"/>
      <c r="C46" s="734" t="s">
        <v>2084</v>
      </c>
      <c r="D46" s="511" t="s">
        <v>3287</v>
      </c>
      <c r="E46" s="253"/>
      <c r="F46" s="253"/>
      <c r="G46" s="253"/>
      <c r="H46" s="253"/>
      <c r="I46" s="253"/>
      <c r="J46" s="253"/>
      <c r="K46" s="253"/>
      <c r="L46" s="253"/>
      <c r="M46" s="9805"/>
      <c r="N46" s="9806"/>
      <c r="O46" s="9806"/>
      <c r="P46" s="9806"/>
      <c r="Q46" s="9806"/>
      <c r="R46" s="9806"/>
      <c r="S46" s="9806"/>
      <c r="T46" s="9806"/>
      <c r="U46" s="9806"/>
      <c r="V46" s="9806"/>
      <c r="W46" s="9806"/>
      <c r="X46" s="9806"/>
      <c r="Y46" s="9806"/>
      <c r="Z46" s="9806"/>
      <c r="AA46" s="9806"/>
      <c r="AB46" s="9806"/>
      <c r="AC46" s="9806"/>
      <c r="AD46" s="9806"/>
      <c r="AE46" s="9806"/>
      <c r="AF46" s="9806"/>
      <c r="AG46" s="9806"/>
      <c r="AH46" s="9806"/>
      <c r="AI46" s="9806"/>
      <c r="AJ46" s="9806"/>
      <c r="AK46" s="2013"/>
      <c r="AL46" s="2014"/>
      <c r="AM46" s="2014"/>
      <c r="AN46" s="2041"/>
      <c r="AO46" s="2025"/>
      <c r="AP46" s="2025"/>
      <c r="AQ46" s="658"/>
      <c r="AR46" s="658"/>
      <c r="AS46" s="658"/>
      <c r="AT46" s="658"/>
      <c r="AU46" s="658"/>
      <c r="AV46" s="658"/>
      <c r="AW46" s="658"/>
      <c r="AX46" s="658"/>
      <c r="AY46" s="658"/>
      <c r="AZ46" s="2041"/>
      <c r="BA46" s="2025"/>
      <c r="BB46" s="2025"/>
      <c r="BC46" s="2025"/>
      <c r="BD46" s="2025"/>
      <c r="BE46" s="2025"/>
      <c r="BF46" s="2025"/>
      <c r="BG46" s="2025"/>
      <c r="BH46" s="2025"/>
      <c r="BI46" s="2025"/>
      <c r="BJ46" s="2025"/>
      <c r="BK46" s="2014"/>
      <c r="BL46" s="2014"/>
      <c r="BM46" s="2014"/>
      <c r="BN46" s="2014"/>
      <c r="BO46" s="2014"/>
      <c r="BP46" s="2014"/>
      <c r="BQ46" s="2014"/>
      <c r="BR46" s="2014"/>
      <c r="BS46" s="2014"/>
      <c r="BT46" s="2014"/>
      <c r="BU46" s="2014"/>
      <c r="BV46" s="2014"/>
      <c r="BW46" s="2014"/>
    </row>
    <row r="47" spans="1:75" s="579" customFormat="1" ht="5.25" customHeight="1">
      <c r="A47" s="2013"/>
      <c r="B47" s="253"/>
      <c r="C47" s="253"/>
      <c r="D47" s="253"/>
      <c r="E47" s="253"/>
      <c r="F47" s="253"/>
      <c r="G47" s="253"/>
      <c r="H47" s="253"/>
      <c r="I47" s="253"/>
      <c r="J47" s="253"/>
      <c r="K47" s="253"/>
      <c r="L47" s="253"/>
      <c r="M47" s="253"/>
      <c r="N47" s="253"/>
      <c r="O47" s="253"/>
      <c r="P47" s="253"/>
      <c r="Q47" s="253"/>
      <c r="R47" s="253"/>
      <c r="S47" s="253"/>
      <c r="T47" s="253"/>
      <c r="U47" s="253"/>
      <c r="V47" s="253"/>
      <c r="W47" s="253"/>
      <c r="X47" s="253"/>
      <c r="Y47" s="253"/>
      <c r="Z47" s="253"/>
      <c r="AA47" s="253"/>
      <c r="AB47" s="253"/>
      <c r="AC47" s="253"/>
      <c r="AD47" s="253"/>
      <c r="AE47" s="253"/>
      <c r="AF47" s="253"/>
      <c r="AG47" s="253"/>
      <c r="AH47" s="253"/>
      <c r="AI47" s="253"/>
      <c r="AJ47" s="253"/>
      <c r="AK47" s="2013"/>
      <c r="AL47" s="2014"/>
      <c r="AM47" s="2014"/>
      <c r="AN47" s="2025"/>
      <c r="AO47" s="2025"/>
      <c r="AP47" s="2025"/>
      <c r="AQ47" s="658"/>
      <c r="AR47" s="658"/>
      <c r="AS47" s="658"/>
      <c r="AT47" s="658"/>
      <c r="AU47" s="658"/>
      <c r="AV47" s="658"/>
      <c r="AW47" s="658"/>
      <c r="AX47" s="658"/>
      <c r="AY47" s="658"/>
      <c r="AZ47" s="2025"/>
      <c r="BA47" s="2025"/>
      <c r="BB47" s="2025"/>
      <c r="BC47" s="2025"/>
      <c r="BD47" s="2025"/>
      <c r="BE47" s="2025"/>
      <c r="BF47" s="2025"/>
      <c r="BG47" s="2025"/>
      <c r="BH47" s="2025"/>
      <c r="BI47" s="2025"/>
      <c r="BJ47" s="2025"/>
      <c r="BK47" s="2014"/>
      <c r="BL47" s="2014"/>
      <c r="BM47" s="2014"/>
      <c r="BN47" s="2014"/>
      <c r="BO47" s="2014"/>
      <c r="BP47" s="2014"/>
      <c r="BQ47" s="2014"/>
      <c r="BR47" s="2014"/>
      <c r="BS47" s="2014"/>
      <c r="BT47" s="2014"/>
      <c r="BU47" s="2014"/>
      <c r="BV47" s="2014"/>
      <c r="BW47" s="2014"/>
    </row>
    <row r="48" spans="1:75" s="579" customFormat="1" ht="12.75" customHeight="1" thickBot="1">
      <c r="A48" s="2013"/>
      <c r="B48" s="253"/>
      <c r="C48" s="734" t="s">
        <v>3288</v>
      </c>
      <c r="D48" s="511" t="s">
        <v>3289</v>
      </c>
      <c r="E48" s="253"/>
      <c r="F48" s="253"/>
      <c r="G48" s="253"/>
      <c r="H48" s="253"/>
      <c r="I48" s="253"/>
      <c r="J48" s="253"/>
      <c r="K48" s="253"/>
      <c r="L48" s="253"/>
      <c r="M48" s="253"/>
      <c r="N48" s="253"/>
      <c r="O48" s="253"/>
      <c r="P48" s="253"/>
      <c r="Q48" s="253"/>
      <c r="R48" s="253"/>
      <c r="S48" s="253"/>
      <c r="T48" s="253"/>
      <c r="U48" s="253"/>
      <c r="V48" s="253"/>
      <c r="W48" s="253"/>
      <c r="X48" s="253"/>
      <c r="Y48" s="253"/>
      <c r="Z48" s="253"/>
      <c r="AA48" s="253"/>
      <c r="AB48" s="253"/>
      <c r="AC48" s="253"/>
      <c r="AD48" s="253"/>
      <c r="AE48" s="253"/>
      <c r="AF48" s="253"/>
      <c r="AG48" s="253"/>
      <c r="AH48" s="253"/>
      <c r="AI48" s="253"/>
      <c r="AJ48" s="253"/>
      <c r="AK48" s="2013"/>
      <c r="AL48" s="2014"/>
      <c r="AM48" s="2042"/>
      <c r="AN48" s="2025"/>
      <c r="AO48" s="2025"/>
      <c r="AP48" s="2025"/>
      <c r="AQ48" s="658"/>
      <c r="AR48" s="658"/>
      <c r="AS48" s="658"/>
      <c r="AT48" s="658"/>
      <c r="AU48" s="658"/>
      <c r="AV48" s="658"/>
      <c r="AW48" s="658"/>
      <c r="AX48" s="658"/>
      <c r="AY48" s="658"/>
      <c r="AZ48" s="2025"/>
      <c r="BA48" s="2025"/>
      <c r="BB48" s="2025"/>
      <c r="BC48" s="2025"/>
      <c r="BD48" s="2025"/>
      <c r="BE48" s="2025"/>
      <c r="BF48" s="2025"/>
      <c r="BG48" s="2025"/>
      <c r="BH48" s="2025"/>
      <c r="BI48" s="2025"/>
      <c r="BJ48" s="2025"/>
      <c r="BK48" s="2014"/>
      <c r="BL48" s="2014"/>
      <c r="BM48" s="2014"/>
      <c r="BN48" s="2014"/>
      <c r="BO48" s="2014"/>
      <c r="BP48" s="2014"/>
      <c r="BQ48" s="2014"/>
      <c r="BR48" s="2014"/>
      <c r="BS48" s="2014"/>
      <c r="BT48" s="2014"/>
      <c r="BU48" s="2014"/>
      <c r="BV48" s="2014"/>
      <c r="BW48" s="2014"/>
    </row>
    <row r="49" spans="1:74" ht="15" customHeight="1" thickBot="1">
      <c r="A49" s="2013"/>
      <c r="B49" s="253"/>
      <c r="C49" s="253"/>
      <c r="D49" s="511" t="s">
        <v>3290</v>
      </c>
      <c r="E49" s="253"/>
      <c r="F49" s="253"/>
      <c r="G49" s="253"/>
      <c r="H49" s="253"/>
      <c r="I49" s="253"/>
      <c r="J49" s="253"/>
      <c r="K49" s="253"/>
      <c r="L49" s="253"/>
      <c r="M49" s="253"/>
      <c r="N49" s="253"/>
      <c r="O49" s="253"/>
      <c r="P49" s="253"/>
      <c r="Q49" s="253"/>
      <c r="R49" s="253"/>
      <c r="S49" s="253"/>
      <c r="T49" s="253"/>
      <c r="U49" s="253"/>
      <c r="V49" s="253"/>
      <c r="W49" s="253"/>
      <c r="X49" s="253"/>
      <c r="Y49" s="253"/>
      <c r="Z49" s="253"/>
      <c r="AA49" s="253"/>
      <c r="AB49" s="253"/>
      <c r="AC49" s="253"/>
      <c r="AD49" s="2031" t="s">
        <v>594</v>
      </c>
      <c r="AE49" s="277"/>
      <c r="AF49" s="349" t="s">
        <v>568</v>
      </c>
      <c r="AG49" s="253"/>
      <c r="AH49" s="277"/>
      <c r="AI49" s="349" t="s">
        <v>569</v>
      </c>
      <c r="AJ49" s="253"/>
      <c r="AK49" s="2013"/>
      <c r="AM49" s="2042"/>
      <c r="AN49" s="2025"/>
      <c r="AO49" s="2025"/>
      <c r="AP49" s="2025"/>
      <c r="AZ49" s="2025"/>
      <c r="BA49" s="2025"/>
      <c r="BB49" s="2025"/>
      <c r="BC49" s="2025"/>
      <c r="BD49" s="2025"/>
      <c r="BE49" s="2025"/>
      <c r="BF49" s="2025"/>
      <c r="BG49" s="2025"/>
      <c r="BH49" s="2025"/>
      <c r="BI49" s="2025"/>
      <c r="BJ49" s="2025"/>
    </row>
    <row r="50" spans="1:74" ht="5.25" customHeight="1" thickBot="1">
      <c r="A50" s="2013"/>
      <c r="B50" s="253"/>
      <c r="C50" s="253"/>
      <c r="D50" s="253"/>
      <c r="E50" s="253"/>
      <c r="F50" s="253"/>
      <c r="G50" s="253"/>
      <c r="H50" s="253"/>
      <c r="I50" s="253"/>
      <c r="J50" s="253"/>
      <c r="K50" s="253"/>
      <c r="L50" s="253"/>
      <c r="M50" s="253"/>
      <c r="N50" s="253"/>
      <c r="O50" s="253"/>
      <c r="P50" s="253"/>
      <c r="Q50" s="253"/>
      <c r="R50" s="253"/>
      <c r="S50" s="253"/>
      <c r="T50" s="253"/>
      <c r="U50" s="253"/>
      <c r="V50" s="253"/>
      <c r="W50" s="253"/>
      <c r="X50" s="253"/>
      <c r="Y50" s="253"/>
      <c r="Z50" s="253"/>
      <c r="AA50" s="253"/>
      <c r="AB50" s="253"/>
      <c r="AC50" s="253"/>
      <c r="AD50" s="253"/>
      <c r="AE50" s="253"/>
      <c r="AF50" s="253"/>
      <c r="AG50" s="253"/>
      <c r="AH50" s="253"/>
      <c r="AI50" s="253"/>
      <c r="AJ50" s="253"/>
      <c r="AK50" s="2013"/>
      <c r="BL50" s="2027"/>
      <c r="BM50" s="2027"/>
      <c r="BO50" s="2027"/>
      <c r="BP50" s="2027"/>
      <c r="BQ50" s="2027"/>
      <c r="BR50" s="2027"/>
      <c r="BS50" s="2027"/>
      <c r="BT50" s="2027"/>
      <c r="BU50" s="2027"/>
      <c r="BV50" s="2027"/>
    </row>
    <row r="51" spans="1:74" ht="13.5" customHeight="1" thickBot="1">
      <c r="A51" s="2013"/>
      <c r="B51" s="253"/>
      <c r="C51" s="734" t="s">
        <v>2084</v>
      </c>
      <c r="D51" s="511" t="s">
        <v>3291</v>
      </c>
      <c r="E51" s="253"/>
      <c r="F51" s="253"/>
      <c r="G51" s="253"/>
      <c r="H51" s="253"/>
      <c r="I51" s="253"/>
      <c r="J51" s="253"/>
      <c r="K51" s="253"/>
      <c r="L51" s="253"/>
      <c r="M51" s="253"/>
      <c r="N51" s="253"/>
      <c r="O51" s="253"/>
      <c r="P51" s="253"/>
      <c r="Q51" s="253"/>
      <c r="R51" s="253"/>
      <c r="S51" s="253"/>
      <c r="T51" s="253"/>
      <c r="U51" s="253"/>
      <c r="V51" s="253"/>
      <c r="W51" s="253"/>
      <c r="X51" s="253"/>
      <c r="Y51" s="253"/>
      <c r="Z51" s="253"/>
      <c r="AA51" s="253"/>
      <c r="AB51" s="253"/>
      <c r="AC51" s="253"/>
      <c r="AD51" s="2031" t="s">
        <v>636</v>
      </c>
      <c r="AE51" s="277"/>
      <c r="AF51" s="349" t="s">
        <v>568</v>
      </c>
      <c r="AG51" s="253"/>
      <c r="AH51" s="277"/>
      <c r="AI51" s="349" t="s">
        <v>569</v>
      </c>
      <c r="AJ51" s="253"/>
      <c r="AK51" s="2013"/>
      <c r="AM51" s="2043"/>
      <c r="BL51" s="2027"/>
      <c r="BM51" s="2027"/>
      <c r="BO51" s="2027"/>
      <c r="BP51" s="2027"/>
      <c r="BQ51" s="2027"/>
      <c r="BR51" s="2027"/>
      <c r="BS51" s="2027"/>
      <c r="BT51" s="2027"/>
      <c r="BU51" s="2027"/>
      <c r="BV51" s="2027"/>
    </row>
    <row r="52" spans="1:74" ht="16.5" customHeight="1">
      <c r="A52" s="2013"/>
      <c r="B52" s="253"/>
      <c r="C52" s="253"/>
      <c r="D52" s="810" t="s">
        <v>3292</v>
      </c>
      <c r="E52" s="253"/>
      <c r="F52" s="253"/>
      <c r="G52" s="253"/>
      <c r="H52" s="253"/>
      <c r="I52" s="253"/>
      <c r="J52" s="253"/>
      <c r="K52" s="253"/>
      <c r="L52" s="253"/>
      <c r="M52" s="253"/>
      <c r="N52" s="253"/>
      <c r="O52" s="253"/>
      <c r="P52" s="253"/>
      <c r="Q52" s="253"/>
      <c r="R52" s="253"/>
      <c r="S52" s="253"/>
      <c r="T52" s="253"/>
      <c r="U52" s="253"/>
      <c r="V52" s="253"/>
      <c r="W52" s="253"/>
      <c r="X52" s="253"/>
      <c r="Y52" s="253"/>
      <c r="Z52" s="253"/>
      <c r="AA52" s="253"/>
      <c r="AB52" s="253"/>
      <c r="AC52" s="253"/>
      <c r="AD52" s="253"/>
      <c r="AE52" s="253"/>
      <c r="AF52" s="253"/>
      <c r="AG52" s="253"/>
      <c r="AH52" s="253"/>
      <c r="AI52" s="253"/>
      <c r="AJ52" s="253"/>
      <c r="AK52" s="2013"/>
      <c r="AM52" s="2043"/>
      <c r="BL52" s="2027"/>
      <c r="BM52" s="2027"/>
      <c r="BO52" s="2027"/>
      <c r="BP52" s="2027"/>
      <c r="BQ52" s="2027"/>
      <c r="BR52" s="2027"/>
      <c r="BS52" s="2027"/>
      <c r="BT52" s="2027"/>
      <c r="BU52" s="2027"/>
      <c r="BV52" s="2027"/>
    </row>
    <row r="53" spans="1:74" ht="16.5" customHeight="1">
      <c r="A53" s="2013"/>
      <c r="B53" s="253"/>
      <c r="C53" s="253"/>
      <c r="D53" s="2044" t="s">
        <v>3293</v>
      </c>
      <c r="E53" s="253"/>
      <c r="F53" s="253"/>
      <c r="G53" s="253"/>
      <c r="H53" s="253"/>
      <c r="I53" s="253"/>
      <c r="J53" s="253"/>
      <c r="K53" s="253"/>
      <c r="L53" s="253"/>
      <c r="M53" s="253"/>
      <c r="N53" s="253"/>
      <c r="O53" s="253"/>
      <c r="P53" s="253"/>
      <c r="Q53" s="253"/>
      <c r="R53" s="253"/>
      <c r="S53" s="253"/>
      <c r="T53" s="253"/>
      <c r="U53" s="253"/>
      <c r="V53" s="253"/>
      <c r="W53" s="253"/>
      <c r="X53" s="253"/>
      <c r="Y53" s="253"/>
      <c r="Z53" s="253"/>
      <c r="AA53" s="253"/>
      <c r="AB53" s="253"/>
      <c r="AC53" s="253"/>
      <c r="AD53" s="253"/>
      <c r="AE53" s="253"/>
      <c r="AF53" s="253"/>
      <c r="AG53" s="253"/>
      <c r="AH53" s="253"/>
      <c r="AI53" s="253"/>
      <c r="AJ53" s="253"/>
      <c r="AK53" s="2013"/>
      <c r="AM53" s="2043"/>
      <c r="AO53" s="2045"/>
      <c r="AP53" s="2042"/>
      <c r="BL53" s="2027"/>
      <c r="BM53" s="2027"/>
      <c r="BO53" s="2027"/>
      <c r="BP53" s="2027"/>
      <c r="BQ53" s="2027"/>
      <c r="BR53" s="2027"/>
      <c r="BS53" s="2027"/>
      <c r="BT53" s="2027"/>
      <c r="BU53" s="2027"/>
      <c r="BV53" s="2027"/>
    </row>
    <row r="54" spans="1:74" ht="16.5" customHeight="1">
      <c r="A54" s="2013"/>
      <c r="B54" s="253"/>
      <c r="C54" s="2022" t="s">
        <v>253</v>
      </c>
      <c r="D54" s="511" t="s">
        <v>3294</v>
      </c>
      <c r="E54" s="253"/>
      <c r="F54" s="253"/>
      <c r="G54" s="253"/>
      <c r="H54" s="253"/>
      <c r="I54" s="253"/>
      <c r="J54" s="253"/>
      <c r="K54" s="253"/>
      <c r="L54" s="253"/>
      <c r="M54" s="253"/>
      <c r="N54" s="253"/>
      <c r="O54" s="253"/>
      <c r="P54" s="253"/>
      <c r="Q54" s="253"/>
      <c r="R54" s="253"/>
      <c r="S54" s="253"/>
      <c r="T54" s="253"/>
      <c r="U54" s="253"/>
      <c r="V54" s="253"/>
      <c r="W54" s="253"/>
      <c r="X54" s="253"/>
      <c r="Y54" s="253"/>
      <c r="Z54" s="253"/>
      <c r="AA54" s="253"/>
      <c r="AB54" s="253"/>
      <c r="AC54" s="253"/>
      <c r="AD54" s="253"/>
      <c r="AE54" s="253"/>
      <c r="AF54" s="253"/>
      <c r="AG54" s="253"/>
      <c r="AH54" s="253"/>
      <c r="AI54" s="253"/>
      <c r="AJ54" s="253"/>
      <c r="AK54" s="2013"/>
      <c r="AO54" s="2045"/>
      <c r="AP54" s="2042"/>
      <c r="BL54" s="2027"/>
      <c r="BM54" s="2027"/>
      <c r="BO54" s="2027"/>
      <c r="BP54" s="2027"/>
      <c r="BQ54" s="2027"/>
      <c r="BR54" s="2027"/>
      <c r="BS54" s="2027"/>
      <c r="BT54" s="2027"/>
      <c r="BU54" s="2027"/>
      <c r="BV54" s="2027"/>
    </row>
    <row r="55" spans="1:74" ht="16.5" customHeight="1">
      <c r="A55" s="2013"/>
      <c r="B55" s="253"/>
      <c r="C55" s="253"/>
      <c r="D55" s="2046" t="s">
        <v>3295</v>
      </c>
      <c r="E55" s="253"/>
      <c r="F55" s="253"/>
      <c r="G55" s="253"/>
      <c r="H55" s="253"/>
      <c r="I55" s="253"/>
      <c r="J55" s="253"/>
      <c r="K55" s="253"/>
      <c r="L55" s="253"/>
      <c r="M55" s="253"/>
      <c r="N55" s="253"/>
      <c r="O55" s="253"/>
      <c r="P55" s="253"/>
      <c r="Q55" s="253"/>
      <c r="R55" s="253"/>
      <c r="S55" s="253"/>
      <c r="T55" s="253"/>
      <c r="U55" s="253"/>
      <c r="V55" s="253"/>
      <c r="W55" s="253"/>
      <c r="X55" s="253"/>
      <c r="Y55" s="253"/>
      <c r="Z55" s="253"/>
      <c r="AA55" s="253"/>
      <c r="AB55" s="253"/>
      <c r="AC55" s="253"/>
      <c r="AD55" s="253"/>
      <c r="AE55" s="253"/>
      <c r="AF55" s="253"/>
      <c r="AG55" s="253"/>
      <c r="AH55" s="253"/>
      <c r="AI55" s="253"/>
      <c r="AJ55" s="253"/>
      <c r="AK55" s="2013"/>
      <c r="AO55" s="2042"/>
      <c r="AP55" s="2047"/>
      <c r="BL55" s="2027"/>
      <c r="BM55" s="2027"/>
      <c r="BO55" s="2027"/>
      <c r="BP55" s="2027"/>
      <c r="BQ55" s="2027"/>
      <c r="BR55" s="2027"/>
      <c r="BS55" s="2027"/>
      <c r="BT55" s="2027"/>
      <c r="BU55" s="2027"/>
      <c r="BV55" s="2027"/>
    </row>
    <row r="56" spans="1:74" ht="35.25" customHeight="1" thickBot="1">
      <c r="A56" s="2013"/>
      <c r="B56" s="9814" t="s">
        <v>3296</v>
      </c>
      <c r="C56" s="9815"/>
      <c r="D56" s="9815"/>
      <c r="E56" s="9816"/>
      <c r="F56" s="9814" t="s">
        <v>3297</v>
      </c>
      <c r="G56" s="9815"/>
      <c r="H56" s="9815"/>
      <c r="I56" s="9816"/>
      <c r="J56" s="9814" t="s">
        <v>3298</v>
      </c>
      <c r="K56" s="9815"/>
      <c r="L56" s="9815"/>
      <c r="M56" s="9816"/>
      <c r="N56" s="9817" t="s">
        <v>3299</v>
      </c>
      <c r="O56" s="9815"/>
      <c r="P56" s="9815"/>
      <c r="Q56" s="9815"/>
      <c r="R56" s="9818"/>
      <c r="S56" s="9819" t="s">
        <v>3300</v>
      </c>
      <c r="T56" s="9820"/>
      <c r="U56" s="9820"/>
      <c r="V56" s="9821"/>
      <c r="W56" s="9814" t="s">
        <v>3297</v>
      </c>
      <c r="X56" s="9815"/>
      <c r="Y56" s="9815"/>
      <c r="Z56" s="9816"/>
      <c r="AA56" s="9814" t="s">
        <v>3298</v>
      </c>
      <c r="AB56" s="9815"/>
      <c r="AC56" s="9815"/>
      <c r="AD56" s="9816"/>
      <c r="AE56" s="9817" t="s">
        <v>3299</v>
      </c>
      <c r="AF56" s="9815"/>
      <c r="AG56" s="9815"/>
      <c r="AH56" s="9815"/>
      <c r="AI56" s="9815"/>
      <c r="AJ56" s="9815"/>
      <c r="AK56" s="2013"/>
      <c r="AM56" s="817" t="s">
        <v>771</v>
      </c>
      <c r="AO56" s="817" t="s">
        <v>771</v>
      </c>
      <c r="AP56" s="2048"/>
      <c r="BL56" s="2027"/>
      <c r="BM56" s="2027"/>
      <c r="BO56" s="2027"/>
      <c r="BP56" s="2027"/>
      <c r="BQ56" s="2027"/>
      <c r="BR56" s="2027"/>
      <c r="BS56" s="2027"/>
      <c r="BT56" s="2027"/>
      <c r="BU56" s="2027"/>
      <c r="BV56" s="2027"/>
    </row>
    <row r="57" spans="1:74" ht="14.25" customHeight="1" thickBot="1">
      <c r="A57" s="2013"/>
      <c r="B57" s="9760"/>
      <c r="C57" s="9758"/>
      <c r="D57" s="9758"/>
      <c r="E57" s="9758"/>
      <c r="F57" s="9757"/>
      <c r="G57" s="9758"/>
      <c r="H57" s="9758"/>
      <c r="I57" s="9759"/>
      <c r="J57" s="9761" t="str">
        <f>IF(AM57&lt;&gt;"",ROUND(AM57,0),IF(OR(B57="",F57=""),"",F57-B57))</f>
        <v/>
      </c>
      <c r="K57" s="9762"/>
      <c r="L57" s="9762"/>
      <c r="M57" s="9763"/>
      <c r="N57" s="9764"/>
      <c r="O57" s="9765"/>
      <c r="P57" s="9765"/>
      <c r="Q57" s="9765"/>
      <c r="R57" s="9766"/>
      <c r="S57" s="9767"/>
      <c r="T57" s="9768"/>
      <c r="U57" s="9768"/>
      <c r="V57" s="9769"/>
      <c r="W57" s="9757"/>
      <c r="X57" s="9758"/>
      <c r="Y57" s="9758"/>
      <c r="Z57" s="9759"/>
      <c r="AA57" s="9761" t="str">
        <f>IF(AO57&lt;&gt;"",ROUND(AO57,0),IF(OR(S57="",W57=""),"",W57-S57))</f>
        <v/>
      </c>
      <c r="AB57" s="9762"/>
      <c r="AC57" s="9762"/>
      <c r="AD57" s="9763"/>
      <c r="AE57" s="9764"/>
      <c r="AF57" s="9765"/>
      <c r="AG57" s="9765"/>
      <c r="AH57" s="9765"/>
      <c r="AI57" s="9765"/>
      <c r="AJ57" s="9770"/>
      <c r="AK57" s="2013"/>
      <c r="AM57" s="453"/>
      <c r="AO57" s="453"/>
      <c r="AP57" s="2048"/>
      <c r="BL57" s="2027"/>
      <c r="BM57" s="2027"/>
      <c r="BO57" s="2027"/>
      <c r="BP57" s="2027"/>
      <c r="BQ57" s="2027"/>
      <c r="BR57" s="2027"/>
      <c r="BS57" s="2027"/>
      <c r="BT57" s="2027"/>
      <c r="BU57" s="2027"/>
      <c r="BV57" s="2027"/>
    </row>
    <row r="58" spans="1:74" ht="14.25" customHeight="1" thickBot="1">
      <c r="A58" s="2013"/>
      <c r="B58" s="9760"/>
      <c r="C58" s="9758"/>
      <c r="D58" s="9758"/>
      <c r="E58" s="9758"/>
      <c r="F58" s="9757"/>
      <c r="G58" s="9758"/>
      <c r="H58" s="9758"/>
      <c r="I58" s="9759"/>
      <c r="J58" s="9761" t="str">
        <f>IF(AM58&lt;&gt;"",ROUND(AM58,0),IF(OR(B58="",F58=""),"",F58-B58))</f>
        <v/>
      </c>
      <c r="K58" s="9762"/>
      <c r="L58" s="9762"/>
      <c r="M58" s="9763"/>
      <c r="N58" s="9764"/>
      <c r="O58" s="9765"/>
      <c r="P58" s="9765"/>
      <c r="Q58" s="9765"/>
      <c r="R58" s="9766"/>
      <c r="S58" s="9767"/>
      <c r="T58" s="9768"/>
      <c r="U58" s="9768"/>
      <c r="V58" s="9769"/>
      <c r="W58" s="9757"/>
      <c r="X58" s="9758"/>
      <c r="Y58" s="9758"/>
      <c r="Z58" s="9759"/>
      <c r="AA58" s="9761" t="str">
        <f>IF(AO58&lt;&gt;"",ROUND(AO58,0),IF(OR(S58="",W58=""),"",W58-S58))</f>
        <v/>
      </c>
      <c r="AB58" s="9762"/>
      <c r="AC58" s="9762"/>
      <c r="AD58" s="9763"/>
      <c r="AE58" s="9764"/>
      <c r="AF58" s="9765"/>
      <c r="AG58" s="9765"/>
      <c r="AH58" s="9765"/>
      <c r="AI58" s="9765"/>
      <c r="AJ58" s="9770"/>
      <c r="AK58" s="2013"/>
      <c r="AM58" s="453"/>
      <c r="AO58" s="453"/>
      <c r="AP58" s="2048"/>
      <c r="BL58" s="2027"/>
      <c r="BM58" s="2027"/>
      <c r="BO58" s="2027"/>
      <c r="BP58" s="2027"/>
      <c r="BQ58" s="2027"/>
      <c r="BR58" s="2027"/>
      <c r="BS58" s="2027"/>
      <c r="BT58" s="2027"/>
      <c r="BU58" s="2027"/>
      <c r="BV58" s="2027"/>
    </row>
    <row r="59" spans="1:74" ht="14.25" customHeight="1" thickBot="1">
      <c r="A59" s="2013"/>
      <c r="B59" s="9760"/>
      <c r="C59" s="9758"/>
      <c r="D59" s="9758"/>
      <c r="E59" s="9758"/>
      <c r="F59" s="9757"/>
      <c r="G59" s="9758"/>
      <c r="H59" s="9758"/>
      <c r="I59" s="9759"/>
      <c r="J59" s="9761" t="str">
        <f>IF(AM59&lt;&gt;"",ROUND(AM59,0),IF(OR(B59="",F59=""),"",F59-B59))</f>
        <v/>
      </c>
      <c r="K59" s="9762"/>
      <c r="L59" s="9762"/>
      <c r="M59" s="9763"/>
      <c r="N59" s="9764"/>
      <c r="O59" s="9765"/>
      <c r="P59" s="9765"/>
      <c r="Q59" s="9765"/>
      <c r="R59" s="9766"/>
      <c r="S59" s="9767"/>
      <c r="T59" s="9768"/>
      <c r="U59" s="9768"/>
      <c r="V59" s="9769"/>
      <c r="W59" s="9757"/>
      <c r="X59" s="9758"/>
      <c r="Y59" s="9758"/>
      <c r="Z59" s="9759"/>
      <c r="AA59" s="9761" t="str">
        <f>IF(AO59&lt;&gt;"",ROUND(AO59,0),IF(OR(S59="",W59=""),"",W59-S59))</f>
        <v/>
      </c>
      <c r="AB59" s="9762"/>
      <c r="AC59" s="9762"/>
      <c r="AD59" s="9763"/>
      <c r="AE59" s="9764"/>
      <c r="AF59" s="9765"/>
      <c r="AG59" s="9765"/>
      <c r="AH59" s="9765"/>
      <c r="AI59" s="9765"/>
      <c r="AJ59" s="9770"/>
      <c r="AK59" s="2013"/>
      <c r="AM59" s="453"/>
      <c r="AO59" s="453"/>
      <c r="AP59" s="2048"/>
      <c r="BL59" s="2027"/>
      <c r="BM59" s="2027"/>
      <c r="BO59" s="2027"/>
      <c r="BP59" s="2027"/>
      <c r="BQ59" s="2027"/>
      <c r="BR59" s="2027"/>
      <c r="BS59" s="2027"/>
      <c r="BT59" s="2027"/>
      <c r="BU59" s="2027"/>
      <c r="BV59" s="2027"/>
    </row>
    <row r="60" spans="1:74" ht="14.25" customHeight="1" thickBot="1">
      <c r="A60" s="2013"/>
      <c r="B60" s="9760"/>
      <c r="C60" s="9758"/>
      <c r="D60" s="9758"/>
      <c r="E60" s="9758"/>
      <c r="F60" s="9757"/>
      <c r="G60" s="9758"/>
      <c r="H60" s="9758"/>
      <c r="I60" s="9759"/>
      <c r="J60" s="9761" t="str">
        <f>IF(AM60&lt;&gt;"",ROUND(AM60,0),IF(OR(B60="",F60=""),"",F60-B60))</f>
        <v/>
      </c>
      <c r="K60" s="9762"/>
      <c r="L60" s="9762"/>
      <c r="M60" s="9763"/>
      <c r="N60" s="9764"/>
      <c r="O60" s="9765"/>
      <c r="P60" s="9765"/>
      <c r="Q60" s="9765"/>
      <c r="R60" s="9766"/>
      <c r="S60" s="9767"/>
      <c r="T60" s="9768"/>
      <c r="U60" s="9768"/>
      <c r="V60" s="9769"/>
      <c r="W60" s="9757"/>
      <c r="X60" s="9758"/>
      <c r="Y60" s="9758"/>
      <c r="Z60" s="9759"/>
      <c r="AA60" s="9761" t="str">
        <f>IF(AO60&lt;&gt;"",ROUND(AO60,0),IF(OR(S60="",W60=""),"",W60-S60))</f>
        <v/>
      </c>
      <c r="AB60" s="9762"/>
      <c r="AC60" s="9762"/>
      <c r="AD60" s="9763"/>
      <c r="AE60" s="9764"/>
      <c r="AF60" s="9765"/>
      <c r="AG60" s="9765"/>
      <c r="AH60" s="9765"/>
      <c r="AI60" s="9765"/>
      <c r="AJ60" s="9770"/>
      <c r="AK60" s="2013"/>
      <c r="AM60" s="453"/>
      <c r="AO60" s="453"/>
      <c r="AP60" s="2048"/>
      <c r="BL60" s="2027"/>
      <c r="BM60" s="2027"/>
      <c r="BO60" s="2027"/>
      <c r="BP60" s="2027"/>
      <c r="BQ60" s="2027"/>
      <c r="BR60" s="2027"/>
      <c r="BS60" s="2027"/>
      <c r="BT60" s="2027"/>
      <c r="BU60" s="2027"/>
      <c r="BV60" s="2027"/>
    </row>
    <row r="61" spans="1:74" ht="14.25" customHeight="1">
      <c r="A61" s="2013"/>
      <c r="B61" s="253"/>
      <c r="C61" s="734" t="s">
        <v>3301</v>
      </c>
      <c r="D61" s="344" t="s">
        <v>3302</v>
      </c>
      <c r="E61" s="253"/>
      <c r="F61" s="253"/>
      <c r="G61" s="253"/>
      <c r="H61" s="253"/>
      <c r="I61" s="253"/>
      <c r="J61" s="253"/>
      <c r="K61" s="253"/>
      <c r="L61" s="253"/>
      <c r="M61" s="253"/>
      <c r="N61" s="253"/>
      <c r="O61" s="253"/>
      <c r="P61" s="253"/>
      <c r="Q61" s="253"/>
      <c r="R61" s="253"/>
      <c r="S61" s="253"/>
      <c r="T61" s="253"/>
      <c r="U61" s="253"/>
      <c r="V61" s="253"/>
      <c r="W61" s="253"/>
      <c r="X61" s="253"/>
      <c r="Y61" s="253"/>
      <c r="Z61" s="253"/>
      <c r="AA61" s="9752"/>
      <c r="AB61" s="9752"/>
      <c r="AC61" s="9752"/>
      <c r="AD61" s="9752"/>
      <c r="AE61" s="9752"/>
      <c r="AF61" s="9752"/>
      <c r="AG61" s="9752"/>
      <c r="AH61" s="9752"/>
      <c r="AI61" s="9752"/>
      <c r="AJ61" s="9752"/>
      <c r="AK61" s="2013"/>
      <c r="AO61" s="2042"/>
      <c r="AP61" s="2048"/>
      <c r="BL61" s="2027"/>
      <c r="BM61" s="2027"/>
      <c r="BO61" s="2027"/>
      <c r="BP61" s="2027"/>
      <c r="BQ61" s="2027"/>
      <c r="BR61" s="2027"/>
      <c r="BS61" s="2027"/>
      <c r="BT61" s="2027"/>
      <c r="BU61" s="2027"/>
      <c r="BV61" s="2027"/>
    </row>
    <row r="62" spans="1:74" ht="14.25" customHeight="1">
      <c r="A62" s="2013"/>
      <c r="B62" s="253"/>
      <c r="C62" s="253"/>
      <c r="D62" s="9805"/>
      <c r="E62" s="9806"/>
      <c r="F62" s="9806"/>
      <c r="G62" s="9806"/>
      <c r="H62" s="9806"/>
      <c r="I62" s="9806"/>
      <c r="J62" s="9806"/>
      <c r="K62" s="9806"/>
      <c r="L62" s="9806"/>
      <c r="M62" s="9806"/>
      <c r="N62" s="9806"/>
      <c r="O62" s="9806"/>
      <c r="P62" s="9806"/>
      <c r="Q62" s="9806"/>
      <c r="R62" s="9806"/>
      <c r="S62" s="9806"/>
      <c r="T62" s="9806"/>
      <c r="U62" s="9806"/>
      <c r="V62" s="9806"/>
      <c r="W62" s="9806"/>
      <c r="X62" s="9806"/>
      <c r="Y62" s="9806"/>
      <c r="Z62" s="9806"/>
      <c r="AA62" s="9806"/>
      <c r="AB62" s="9806"/>
      <c r="AC62" s="9806"/>
      <c r="AD62" s="9806"/>
      <c r="AE62" s="9806"/>
      <c r="AF62" s="9806"/>
      <c r="AG62" s="9806"/>
      <c r="AH62" s="9806"/>
      <c r="AI62" s="9806"/>
      <c r="AJ62" s="9806"/>
      <c r="AK62" s="2013"/>
      <c r="AO62" s="2042"/>
      <c r="AP62" s="2048"/>
      <c r="BL62" s="2027"/>
      <c r="BM62" s="2027"/>
      <c r="BO62" s="2027"/>
      <c r="BP62" s="2027"/>
      <c r="BQ62" s="2027"/>
      <c r="BR62" s="2027"/>
      <c r="BS62" s="2027"/>
      <c r="BT62" s="2027"/>
      <c r="BU62" s="2027"/>
      <c r="BV62" s="2027"/>
    </row>
    <row r="63" spans="1:74" ht="14.25" customHeight="1">
      <c r="A63" s="2013"/>
      <c r="B63" s="253"/>
      <c r="C63" s="734" t="s">
        <v>2084</v>
      </c>
      <c r="D63" s="511" t="s">
        <v>3303</v>
      </c>
      <c r="E63" s="253"/>
      <c r="F63" s="253"/>
      <c r="G63" s="253"/>
      <c r="H63" s="253"/>
      <c r="I63" s="253"/>
      <c r="J63" s="253"/>
      <c r="K63" s="253"/>
      <c r="L63" s="253"/>
      <c r="M63" s="253"/>
      <c r="N63" s="253"/>
      <c r="O63" s="253"/>
      <c r="P63" s="253"/>
      <c r="Q63" s="253"/>
      <c r="R63" s="253"/>
      <c r="S63" s="253"/>
      <c r="T63" s="253"/>
      <c r="U63" s="9843"/>
      <c r="V63" s="9843"/>
      <c r="W63" s="9843"/>
      <c r="X63" s="9843"/>
      <c r="Y63" s="9843"/>
      <c r="Z63" s="9843"/>
      <c r="AA63" s="9843"/>
      <c r="AB63" s="9843"/>
      <c r="AC63" s="9843"/>
      <c r="AD63" s="9843"/>
      <c r="AE63" s="9843"/>
      <c r="AF63" s="9843"/>
      <c r="AG63" s="9843"/>
      <c r="AH63" s="9843"/>
      <c r="AI63" s="9843"/>
      <c r="AJ63" s="9843"/>
      <c r="AK63" s="2013"/>
      <c r="AO63" s="2042"/>
      <c r="AP63" s="2048"/>
      <c r="BL63" s="2027"/>
      <c r="BM63" s="2027"/>
      <c r="BO63" s="2027"/>
      <c r="BP63" s="2027"/>
      <c r="BQ63" s="2027"/>
      <c r="BR63" s="2027"/>
      <c r="BS63" s="2027"/>
      <c r="BT63" s="2027"/>
      <c r="BU63" s="2027"/>
      <c r="BV63" s="2027"/>
    </row>
    <row r="64" spans="1:74" ht="5.25" customHeight="1" thickBot="1">
      <c r="A64" s="2013"/>
      <c r="B64" s="253"/>
      <c r="C64" s="253"/>
      <c r="D64" s="253"/>
      <c r="E64" s="253"/>
      <c r="F64" s="253"/>
      <c r="G64" s="253"/>
      <c r="H64" s="253"/>
      <c r="I64" s="253"/>
      <c r="J64" s="253"/>
      <c r="K64" s="253"/>
      <c r="L64" s="253"/>
      <c r="M64" s="253"/>
      <c r="N64" s="253"/>
      <c r="O64" s="253"/>
      <c r="P64" s="253"/>
      <c r="Q64" s="253"/>
      <c r="R64" s="253"/>
      <c r="S64" s="253"/>
      <c r="T64" s="253"/>
      <c r="U64" s="253"/>
      <c r="V64" s="253"/>
      <c r="W64" s="253"/>
      <c r="X64" s="253"/>
      <c r="Y64" s="253"/>
      <c r="Z64" s="253"/>
      <c r="AA64" s="253"/>
      <c r="AB64" s="253"/>
      <c r="AC64" s="253"/>
      <c r="AD64" s="253"/>
      <c r="AE64" s="253"/>
      <c r="AF64" s="253"/>
      <c r="AG64" s="253"/>
      <c r="AH64" s="253"/>
      <c r="AI64" s="253"/>
      <c r="AJ64" s="253"/>
      <c r="AK64" s="2013"/>
      <c r="BL64" s="2027"/>
      <c r="BM64" s="2027"/>
      <c r="BO64" s="2027"/>
      <c r="BP64" s="2027"/>
      <c r="BQ64" s="2027"/>
      <c r="BR64" s="2027"/>
      <c r="BS64" s="2027"/>
      <c r="BT64" s="2027"/>
      <c r="BU64" s="2027"/>
      <c r="BV64" s="2027"/>
    </row>
    <row r="65" spans="1:74" ht="13.5" customHeight="1" thickBot="1">
      <c r="A65" s="2013"/>
      <c r="B65" s="253"/>
      <c r="C65" s="734" t="s">
        <v>2086</v>
      </c>
      <c r="D65" s="511" t="s">
        <v>3304</v>
      </c>
      <c r="E65" s="253"/>
      <c r="F65" s="253"/>
      <c r="G65" s="253"/>
      <c r="H65" s="253"/>
      <c r="I65" s="253"/>
      <c r="J65" s="253"/>
      <c r="K65" s="253"/>
      <c r="L65" s="253"/>
      <c r="M65" s="253"/>
      <c r="N65" s="253"/>
      <c r="O65" s="253"/>
      <c r="P65" s="253"/>
      <c r="Q65" s="253"/>
      <c r="R65" s="253"/>
      <c r="S65" s="253"/>
      <c r="T65" s="253"/>
      <c r="U65" s="253"/>
      <c r="V65" s="253"/>
      <c r="W65" s="253"/>
      <c r="X65" s="253"/>
      <c r="Y65" s="253"/>
      <c r="Z65" s="253"/>
      <c r="AA65" s="253"/>
      <c r="AB65" s="253"/>
      <c r="AC65" s="253"/>
      <c r="AD65" s="2031" t="s">
        <v>2390</v>
      </c>
      <c r="AE65" s="277"/>
      <c r="AF65" s="344" t="s">
        <v>568</v>
      </c>
      <c r="AG65" s="253"/>
      <c r="AH65" s="277"/>
      <c r="AI65" s="344" t="s">
        <v>569</v>
      </c>
      <c r="AJ65" s="253"/>
      <c r="AK65" s="2013"/>
      <c r="AO65" s="2042"/>
      <c r="AP65" s="2048"/>
      <c r="BL65" s="2027"/>
      <c r="BM65" s="2027"/>
      <c r="BO65" s="2027"/>
      <c r="BP65" s="2027"/>
      <c r="BQ65" s="2027"/>
      <c r="BR65" s="2027"/>
      <c r="BS65" s="2027"/>
      <c r="BT65" s="2027"/>
      <c r="BU65" s="2027"/>
      <c r="BV65" s="2027"/>
    </row>
    <row r="66" spans="1:74" ht="3.75" customHeight="1" thickBot="1">
      <c r="A66" s="2013"/>
      <c r="B66" s="253"/>
      <c r="C66" s="734"/>
      <c r="D66" s="253"/>
      <c r="E66" s="253"/>
      <c r="F66" s="253"/>
      <c r="G66" s="253"/>
      <c r="H66" s="253"/>
      <c r="I66" s="253"/>
      <c r="J66" s="253"/>
      <c r="K66" s="253"/>
      <c r="L66" s="253"/>
      <c r="M66" s="253"/>
      <c r="N66" s="253"/>
      <c r="O66" s="253"/>
      <c r="P66" s="253"/>
      <c r="Q66" s="253"/>
      <c r="R66" s="253"/>
      <c r="S66" s="253"/>
      <c r="T66" s="253"/>
      <c r="U66" s="253"/>
      <c r="V66" s="253"/>
      <c r="W66" s="253"/>
      <c r="X66" s="253"/>
      <c r="Y66" s="253"/>
      <c r="Z66" s="253"/>
      <c r="AA66" s="253"/>
      <c r="AB66" s="253"/>
      <c r="AC66" s="253"/>
      <c r="AD66" s="253"/>
      <c r="AE66" s="435"/>
      <c r="AF66" s="344"/>
      <c r="AG66" s="253"/>
      <c r="AH66" s="435"/>
      <c r="AI66" s="344"/>
      <c r="AJ66" s="253"/>
      <c r="AK66" s="2013"/>
      <c r="AO66" s="2042"/>
      <c r="AP66" s="2048"/>
      <c r="BL66" s="2027"/>
      <c r="BM66" s="2027"/>
      <c r="BO66" s="2027"/>
      <c r="BP66" s="2027"/>
      <c r="BQ66" s="2027"/>
      <c r="BR66" s="2027"/>
      <c r="BS66" s="2027"/>
      <c r="BT66" s="2027"/>
      <c r="BU66" s="2027"/>
      <c r="BV66" s="2027"/>
    </row>
    <row r="67" spans="1:74" ht="13.5" customHeight="1" thickBot="1">
      <c r="A67" s="2013"/>
      <c r="B67" s="253"/>
      <c r="C67" s="734" t="s">
        <v>599</v>
      </c>
      <c r="D67" s="511" t="s">
        <v>3305</v>
      </c>
      <c r="E67" s="253"/>
      <c r="F67" s="253"/>
      <c r="G67" s="253"/>
      <c r="H67" s="253"/>
      <c r="I67" s="253"/>
      <c r="J67" s="253"/>
      <c r="K67" s="253"/>
      <c r="L67" s="253"/>
      <c r="M67" s="253"/>
      <c r="N67" s="253"/>
      <c r="O67" s="253"/>
      <c r="P67" s="253"/>
      <c r="Q67" s="253"/>
      <c r="R67" s="253"/>
      <c r="S67" s="253"/>
      <c r="T67" s="253"/>
      <c r="U67" s="253"/>
      <c r="V67" s="253"/>
      <c r="W67" s="253"/>
      <c r="X67" s="253"/>
      <c r="Y67" s="253"/>
      <c r="Z67" s="253"/>
      <c r="AA67" s="253"/>
      <c r="AB67" s="253"/>
      <c r="AC67" s="253"/>
      <c r="AD67" s="2031" t="s">
        <v>2186</v>
      </c>
      <c r="AE67" s="277"/>
      <c r="AF67" s="344" t="s">
        <v>568</v>
      </c>
      <c r="AG67" s="253"/>
      <c r="AH67" s="277"/>
      <c r="AI67" s="344" t="s">
        <v>569</v>
      </c>
      <c r="AJ67" s="253"/>
      <c r="AK67" s="2013"/>
      <c r="AO67" s="2027"/>
      <c r="AP67" s="2027"/>
      <c r="BL67" s="2027"/>
      <c r="BM67" s="2027"/>
      <c r="BO67" s="2027"/>
      <c r="BP67" s="2027"/>
      <c r="BQ67" s="2027"/>
      <c r="BR67" s="2027"/>
      <c r="BS67" s="2027"/>
      <c r="BT67" s="2027"/>
      <c r="BU67" s="2027"/>
      <c r="BV67" s="2027"/>
    </row>
    <row r="68" spans="1:74" ht="14.25" customHeight="1">
      <c r="A68" s="2013"/>
      <c r="B68" s="253"/>
      <c r="C68" s="734" t="s">
        <v>603</v>
      </c>
      <c r="D68" s="511" t="s">
        <v>3306</v>
      </c>
      <c r="E68" s="253"/>
      <c r="F68" s="253"/>
      <c r="G68" s="253"/>
      <c r="H68" s="253"/>
      <c r="I68" s="253"/>
      <c r="J68" s="253"/>
      <c r="K68" s="253"/>
      <c r="L68" s="253"/>
      <c r="M68" s="253"/>
      <c r="N68" s="253"/>
      <c r="O68" s="253"/>
      <c r="P68" s="253"/>
      <c r="Q68" s="253"/>
      <c r="R68" s="253"/>
      <c r="S68" s="253"/>
      <c r="T68" s="253"/>
      <c r="U68" s="253"/>
      <c r="V68" s="253"/>
      <c r="W68" s="253"/>
      <c r="X68" s="253"/>
      <c r="Y68" s="253"/>
      <c r="Z68" s="253"/>
      <c r="AA68" s="253"/>
      <c r="AB68" s="253"/>
      <c r="AC68" s="253"/>
      <c r="AD68" s="253"/>
      <c r="AE68" s="253"/>
      <c r="AF68" s="253"/>
      <c r="AG68" s="253"/>
      <c r="AH68" s="253"/>
      <c r="AI68" s="253"/>
      <c r="AJ68" s="253"/>
      <c r="AK68" s="2013"/>
      <c r="AO68" s="2027"/>
      <c r="AP68" s="2027"/>
      <c r="BL68" s="2027"/>
      <c r="BM68" s="2027"/>
      <c r="BO68" s="2027"/>
      <c r="BP68" s="2027"/>
      <c r="BQ68" s="2027"/>
      <c r="BR68" s="2027"/>
      <c r="BS68" s="2027"/>
      <c r="BT68" s="2027"/>
      <c r="BU68" s="2027"/>
      <c r="BV68" s="2027"/>
    </row>
    <row r="69" spans="1:74" ht="14.25" customHeight="1">
      <c r="A69" s="2013"/>
      <c r="B69" s="253"/>
      <c r="C69" s="734"/>
      <c r="D69" s="511" t="s">
        <v>3182</v>
      </c>
      <c r="E69" s="253"/>
      <c r="F69" s="253"/>
      <c r="G69" s="9845"/>
      <c r="H69" s="9846"/>
      <c r="I69" s="9846"/>
      <c r="J69" s="9846"/>
      <c r="K69" s="9846"/>
      <c r="L69" s="9846"/>
      <c r="M69" s="9846"/>
      <c r="N69" s="9846"/>
      <c r="O69" s="9846"/>
      <c r="P69" s="9846"/>
      <c r="Q69" s="9846"/>
      <c r="R69" s="9846"/>
      <c r="S69" s="9846"/>
      <c r="T69" s="9846"/>
      <c r="U69" s="9846"/>
      <c r="V69" s="9846"/>
      <c r="W69" s="9846"/>
      <c r="X69" s="9846"/>
      <c r="Y69" s="9846"/>
      <c r="Z69" s="9846"/>
      <c r="AA69" s="9846"/>
      <c r="AB69" s="9846"/>
      <c r="AC69" s="9846"/>
      <c r="AD69" s="9846"/>
      <c r="AE69" s="9846"/>
      <c r="AF69" s="9846"/>
      <c r="AG69" s="9846"/>
      <c r="AH69" s="9846"/>
      <c r="AI69" s="9846"/>
      <c r="AJ69" s="9846"/>
      <c r="AK69" s="2013"/>
      <c r="AO69" s="2049"/>
      <c r="AP69" s="2049"/>
      <c r="BL69" s="2027"/>
      <c r="BM69" s="2027"/>
      <c r="BO69" s="2027"/>
      <c r="BP69" s="2027"/>
      <c r="BQ69" s="2027"/>
      <c r="BR69" s="2027"/>
      <c r="BS69" s="2027"/>
      <c r="BT69" s="2027"/>
      <c r="BU69" s="2027"/>
      <c r="BV69" s="2027"/>
    </row>
    <row r="70" spans="1:74" ht="15">
      <c r="A70" s="2013"/>
      <c r="B70" s="253"/>
      <c r="C70" s="253"/>
      <c r="D70" s="9845"/>
      <c r="E70" s="9846"/>
      <c r="F70" s="9846"/>
      <c r="G70" s="9846"/>
      <c r="H70" s="9846"/>
      <c r="I70" s="9846"/>
      <c r="J70" s="9846"/>
      <c r="K70" s="9846"/>
      <c r="L70" s="9846"/>
      <c r="M70" s="9846"/>
      <c r="N70" s="9846"/>
      <c r="O70" s="9846"/>
      <c r="P70" s="9846"/>
      <c r="Q70" s="9846"/>
      <c r="R70" s="9846"/>
      <c r="S70" s="9846"/>
      <c r="T70" s="9846"/>
      <c r="U70" s="9846"/>
      <c r="V70" s="9846"/>
      <c r="W70" s="9846"/>
      <c r="X70" s="9846"/>
      <c r="Y70" s="9846"/>
      <c r="Z70" s="9846"/>
      <c r="AA70" s="9846"/>
      <c r="AB70" s="9846"/>
      <c r="AC70" s="9846"/>
      <c r="AD70" s="9846"/>
      <c r="AE70" s="9846"/>
      <c r="AF70" s="9846"/>
      <c r="AG70" s="9846"/>
      <c r="AH70" s="9846"/>
      <c r="AI70" s="9846"/>
      <c r="AJ70" s="9846"/>
      <c r="AK70" s="2013"/>
      <c r="AM70" s="433"/>
      <c r="AN70" s="433"/>
      <c r="AO70" s="2050"/>
      <c r="AP70" s="2051"/>
      <c r="BL70" s="2027"/>
      <c r="BM70" s="2027"/>
      <c r="BO70" s="2027"/>
      <c r="BP70" s="2027"/>
      <c r="BQ70" s="2027"/>
      <c r="BR70" s="2027"/>
      <c r="BS70" s="2027"/>
      <c r="BT70" s="2027"/>
      <c r="BU70" s="2027"/>
      <c r="BV70" s="2027"/>
    </row>
    <row r="71" spans="1:74" ht="18.75" customHeight="1">
      <c r="A71" s="2013"/>
      <c r="B71" s="226" t="s">
        <v>3307</v>
      </c>
      <c r="C71" s="1560"/>
      <c r="D71" s="1560"/>
      <c r="E71" s="1560"/>
      <c r="F71" s="1560"/>
      <c r="G71" s="1560"/>
      <c r="H71" s="1560"/>
      <c r="I71" s="1560"/>
      <c r="J71" s="1560"/>
      <c r="K71" s="1560"/>
      <c r="L71" s="1560"/>
      <c r="M71" s="1560"/>
      <c r="N71" s="1560"/>
      <c r="O71" s="1560"/>
      <c r="P71" s="1560"/>
      <c r="Q71" s="88"/>
      <c r="R71" s="88"/>
      <c r="S71" s="88"/>
      <c r="T71" s="88"/>
      <c r="U71" s="229"/>
      <c r="V71" s="88"/>
      <c r="W71" s="229" t="s">
        <v>3308</v>
      </c>
      <c r="X71" s="88"/>
      <c r="Y71" s="88"/>
      <c r="Z71" s="88"/>
      <c r="AA71" s="88"/>
      <c r="AB71" s="88"/>
      <c r="AC71" s="88"/>
      <c r="AD71" s="88"/>
      <c r="AE71" s="88"/>
      <c r="AF71" s="88"/>
      <c r="AG71" s="88"/>
      <c r="AH71" s="2052" t="s">
        <v>3309</v>
      </c>
      <c r="AI71" s="88"/>
      <c r="AJ71" s="2052" t="str">
        <f>"("&amp;TaxYear&amp;")"</f>
        <v>(2025)</v>
      </c>
      <c r="AK71" s="2013"/>
      <c r="AM71" s="433"/>
      <c r="AN71" s="433"/>
      <c r="AO71" s="2050"/>
      <c r="AP71" s="2051"/>
      <c r="BL71" s="2027"/>
      <c r="BM71" s="2027"/>
      <c r="BO71" s="2027"/>
      <c r="BP71" s="2027"/>
      <c r="BQ71" s="2027"/>
      <c r="BR71" s="2027"/>
      <c r="BS71" s="2027"/>
      <c r="BT71" s="2027"/>
      <c r="BU71" s="2027"/>
      <c r="BV71" s="2027"/>
    </row>
    <row r="72" spans="1:74" ht="18.75" thickBot="1">
      <c r="A72" s="2013"/>
      <c r="B72" s="721" t="str">
        <f>"Form 2555 ("&amp;TaxYear&amp;")"</f>
        <v>Form 2555 (2025)</v>
      </c>
      <c r="C72" s="721"/>
      <c r="D72" s="721"/>
      <c r="E72" s="721"/>
      <c r="F72" s="721"/>
      <c r="G72" s="721"/>
      <c r="H72" s="721"/>
      <c r="I72" s="721"/>
      <c r="J72" s="721"/>
      <c r="K72" s="721"/>
      <c r="L72" s="721"/>
      <c r="M72" s="721"/>
      <c r="N72" s="721"/>
      <c r="O72" s="721"/>
      <c r="P72" s="721"/>
      <c r="Q72" s="721"/>
      <c r="R72" s="721"/>
      <c r="S72" s="721"/>
      <c r="T72" s="721"/>
      <c r="U72" s="721"/>
      <c r="V72" s="721"/>
      <c r="W72" s="721"/>
      <c r="X72" s="721"/>
      <c r="Y72" s="721"/>
      <c r="Z72" s="721"/>
      <c r="AA72" s="721"/>
      <c r="AB72" s="721"/>
      <c r="AC72" s="721"/>
      <c r="AD72" s="721"/>
      <c r="AE72" s="721"/>
      <c r="AF72" s="721"/>
      <c r="AG72" s="721"/>
      <c r="AH72" s="721"/>
      <c r="AI72" s="2053" t="s">
        <v>2079</v>
      </c>
      <c r="AJ72" s="2054">
        <v>2</v>
      </c>
      <c r="AK72" s="2013"/>
      <c r="AO72" s="2050"/>
      <c r="AP72" s="2051"/>
      <c r="BL72" s="2027"/>
      <c r="BM72" s="2027"/>
      <c r="BO72" s="2027"/>
      <c r="BP72" s="2027"/>
      <c r="BQ72" s="2027"/>
      <c r="BR72" s="2027"/>
      <c r="BS72" s="2027"/>
      <c r="BT72" s="2027"/>
      <c r="BU72" s="2027"/>
      <c r="BV72" s="2027"/>
    </row>
    <row r="73" spans="1:74" ht="5.25" customHeight="1" thickTop="1">
      <c r="A73" s="2013"/>
      <c r="B73" s="2036"/>
      <c r="C73" s="2036"/>
      <c r="D73" s="2036"/>
      <c r="E73" s="2036"/>
      <c r="F73" s="2036"/>
      <c r="G73" s="2036"/>
      <c r="H73" s="2036"/>
      <c r="I73" s="2036"/>
      <c r="J73" s="2036"/>
      <c r="K73" s="2036"/>
      <c r="L73" s="2036"/>
      <c r="M73" s="2036"/>
      <c r="N73" s="2036"/>
      <c r="O73" s="2036"/>
      <c r="P73" s="2036"/>
      <c r="Q73" s="2036"/>
      <c r="R73" s="2036"/>
      <c r="S73" s="2036"/>
      <c r="T73" s="2036"/>
      <c r="U73" s="2036"/>
      <c r="V73" s="2036"/>
      <c r="W73" s="2036"/>
      <c r="X73" s="2036"/>
      <c r="Y73" s="2036"/>
      <c r="Z73" s="2036"/>
      <c r="AA73" s="2036"/>
      <c r="AB73" s="2036"/>
      <c r="AC73" s="2036"/>
      <c r="AD73" s="2036"/>
      <c r="AE73" s="2036"/>
      <c r="AF73" s="2036"/>
      <c r="AG73" s="2036"/>
      <c r="AH73" s="2036"/>
      <c r="AI73" s="2036"/>
      <c r="AJ73" s="2036"/>
      <c r="AK73" s="2013"/>
    </row>
    <row r="74" spans="1:74" ht="15" customHeight="1">
      <c r="A74" s="2013"/>
      <c r="B74" s="7934" t="s">
        <v>1938</v>
      </c>
      <c r="C74" s="9756"/>
      <c r="D74" s="2055" t="s">
        <v>3310</v>
      </c>
      <c r="E74" s="1990"/>
      <c r="F74" s="1990"/>
      <c r="G74" s="1990"/>
      <c r="H74" s="1990"/>
      <c r="I74" s="1990"/>
      <c r="J74" s="1990"/>
      <c r="K74" s="1990"/>
      <c r="L74" s="1990"/>
      <c r="M74" s="1990"/>
      <c r="N74" s="1990"/>
      <c r="O74" s="1990"/>
      <c r="P74" s="1990"/>
      <c r="Q74" s="1990"/>
      <c r="R74" s="1990"/>
      <c r="S74" s="1990"/>
      <c r="T74" s="1990"/>
      <c r="U74" s="1990"/>
      <c r="V74" s="1990"/>
      <c r="W74" s="1990"/>
      <c r="X74" s="1990"/>
      <c r="Y74" s="1990"/>
      <c r="Z74" s="1990"/>
      <c r="AA74" s="1990"/>
      <c r="AB74" s="1990"/>
      <c r="AC74" s="1990"/>
      <c r="AD74" s="1990"/>
      <c r="AE74" s="1990"/>
      <c r="AF74" s="1990"/>
      <c r="AG74" s="1990"/>
      <c r="AH74" s="1990"/>
      <c r="AI74" s="1990"/>
      <c r="AJ74" s="1990"/>
      <c r="AK74" s="2013"/>
    </row>
    <row r="75" spans="1:74" ht="18.75" customHeight="1">
      <c r="A75" s="2013"/>
      <c r="B75" s="1999"/>
      <c r="C75" s="1999"/>
      <c r="D75" s="2056" t="s">
        <v>3311</v>
      </c>
      <c r="E75" s="1999"/>
      <c r="F75" s="1999"/>
      <c r="G75" s="1999"/>
      <c r="H75" s="1999"/>
      <c r="I75" s="1999"/>
      <c r="J75" s="1999"/>
      <c r="K75" s="1999"/>
      <c r="L75" s="1999"/>
      <c r="M75" s="1999"/>
      <c r="N75" s="1999"/>
      <c r="O75" s="1999"/>
      <c r="P75" s="1999"/>
      <c r="Q75" s="1999"/>
      <c r="R75" s="1999"/>
      <c r="S75" s="1999"/>
      <c r="T75" s="1999"/>
      <c r="U75" s="1999"/>
      <c r="V75" s="1999"/>
      <c r="W75" s="1999"/>
      <c r="X75" s="1999"/>
      <c r="Y75" s="1999"/>
      <c r="Z75" s="1999"/>
      <c r="AA75" s="1999"/>
      <c r="AB75" s="1999"/>
      <c r="AC75" s="1999"/>
      <c r="AD75" s="1999"/>
      <c r="AE75" s="1999"/>
      <c r="AF75" s="1999"/>
      <c r="AG75" s="1999"/>
      <c r="AH75" s="1999"/>
      <c r="AI75" s="1999"/>
      <c r="AJ75" s="1999"/>
      <c r="AK75" s="2013"/>
    </row>
    <row r="76" spans="1:74" ht="12.75" customHeight="1">
      <c r="A76" s="2013"/>
      <c r="B76" s="9753" t="s">
        <v>260</v>
      </c>
      <c r="C76" s="9753"/>
      <c r="D76" s="511" t="s">
        <v>3312</v>
      </c>
      <c r="E76" s="253"/>
      <c r="F76" s="253"/>
      <c r="G76" s="253"/>
      <c r="H76" s="253"/>
      <c r="I76" s="253"/>
      <c r="J76" s="253"/>
      <c r="K76" s="253"/>
      <c r="L76" s="253"/>
      <c r="M76" s="253"/>
      <c r="N76" s="253"/>
      <c r="O76" s="253"/>
      <c r="P76" s="253"/>
      <c r="Q76" s="253"/>
      <c r="R76" s="253"/>
      <c r="S76" s="253"/>
      <c r="T76" s="253"/>
      <c r="U76" s="9793"/>
      <c r="V76" s="9793"/>
      <c r="W76" s="9793"/>
      <c r="X76" s="9793"/>
      <c r="Y76" s="9793"/>
      <c r="Z76" s="9793"/>
      <c r="AA76" s="253"/>
      <c r="AB76" s="416" t="s">
        <v>3313</v>
      </c>
      <c r="AC76" s="253"/>
      <c r="AD76" s="9793"/>
      <c r="AE76" s="9794"/>
      <c r="AF76" s="9794"/>
      <c r="AG76" s="9794"/>
      <c r="AH76" s="9795"/>
      <c r="AI76" s="9795"/>
      <c r="AJ76" s="9795"/>
      <c r="AK76" s="2013"/>
      <c r="AO76" s="2050"/>
      <c r="AP76" s="2051"/>
      <c r="BL76" s="2027"/>
      <c r="BM76" s="2027"/>
      <c r="BO76" s="2027"/>
      <c r="BP76" s="2027"/>
      <c r="BQ76" s="2027"/>
      <c r="BR76" s="2027"/>
      <c r="BS76" s="2027"/>
      <c r="BT76" s="2027"/>
      <c r="BU76" s="2027"/>
      <c r="BV76" s="2027"/>
    </row>
    <row r="77" spans="1:74" ht="15" customHeight="1">
      <c r="A77" s="2013"/>
      <c r="B77" s="9754" t="s">
        <v>262</v>
      </c>
      <c r="C77" s="9754"/>
      <c r="D77" s="511" t="s">
        <v>3314</v>
      </c>
      <c r="E77" s="253"/>
      <c r="F77" s="253"/>
      <c r="G77" s="253"/>
      <c r="H77" s="253"/>
      <c r="I77" s="253"/>
      <c r="J77" s="253"/>
      <c r="K77" s="253"/>
      <c r="L77" s="253"/>
      <c r="M77" s="253"/>
      <c r="N77" s="253"/>
      <c r="O77" s="253"/>
      <c r="P77" s="253"/>
      <c r="Q77" s="253"/>
      <c r="R77" s="253"/>
      <c r="S77" s="253"/>
      <c r="T77" s="9844"/>
      <c r="U77" s="9844"/>
      <c r="V77" s="9844"/>
      <c r="W77" s="9844"/>
      <c r="X77" s="9844"/>
      <c r="Y77" s="9844"/>
      <c r="Z77" s="9844"/>
      <c r="AA77" s="9844"/>
      <c r="AB77" s="9844"/>
      <c r="AC77" s="9844"/>
      <c r="AD77" s="9844"/>
      <c r="AE77" s="9844"/>
      <c r="AF77" s="9844"/>
      <c r="AG77" s="9844"/>
      <c r="AH77" s="9844"/>
      <c r="AI77" s="9844"/>
      <c r="AJ77" s="9844"/>
      <c r="AK77" s="2013"/>
      <c r="AM77" s="433"/>
      <c r="AN77" s="433"/>
      <c r="AO77" s="2050"/>
      <c r="AP77" s="2051"/>
      <c r="BL77" s="2027"/>
      <c r="BM77" s="2027"/>
      <c r="BO77" s="2027"/>
      <c r="BP77" s="2027"/>
      <c r="BQ77" s="2027"/>
      <c r="BR77" s="2027"/>
      <c r="BS77" s="2027"/>
      <c r="BT77" s="2027"/>
      <c r="BU77" s="2027"/>
      <c r="BV77" s="2027"/>
    </row>
    <row r="78" spans="1:74" ht="18" customHeight="1">
      <c r="A78" s="2013"/>
      <c r="B78" s="9754" t="s">
        <v>264</v>
      </c>
      <c r="C78" s="9754"/>
      <c r="D78" s="511" t="s">
        <v>3315</v>
      </c>
      <c r="E78" s="253"/>
      <c r="F78" s="253"/>
      <c r="G78" s="253"/>
      <c r="H78" s="253"/>
      <c r="I78" s="253"/>
      <c r="J78" s="253"/>
      <c r="K78" s="253"/>
      <c r="L78" s="253"/>
      <c r="M78" s="253"/>
      <c r="N78" s="253"/>
      <c r="O78" s="253"/>
      <c r="P78" s="253"/>
      <c r="Q78" s="253"/>
      <c r="R78" s="253"/>
      <c r="S78" s="253"/>
      <c r="T78" s="253"/>
      <c r="U78" s="253"/>
      <c r="V78" s="253"/>
      <c r="W78" s="253"/>
      <c r="X78" s="253"/>
      <c r="Y78" s="253"/>
      <c r="Z78" s="253"/>
      <c r="AA78" s="253"/>
      <c r="AB78" s="253"/>
      <c r="AC78" s="253"/>
      <c r="AD78" s="253"/>
      <c r="AE78" s="253"/>
      <c r="AF78" s="253"/>
      <c r="AG78" s="253"/>
      <c r="AH78" s="253"/>
      <c r="AI78" s="253"/>
      <c r="AJ78" s="253"/>
      <c r="AK78" s="2013"/>
      <c r="AO78" s="2050"/>
      <c r="AP78" s="2057"/>
      <c r="BL78" s="2027"/>
      <c r="BM78" s="2027"/>
      <c r="BO78" s="2027"/>
      <c r="BP78" s="2027"/>
      <c r="BQ78" s="2027"/>
      <c r="BR78" s="2027"/>
      <c r="BS78" s="2027"/>
      <c r="BT78" s="2027"/>
      <c r="BU78" s="2027"/>
      <c r="BV78" s="2027"/>
    </row>
    <row r="79" spans="1:74" ht="15.75" customHeight="1">
      <c r="A79" s="2013"/>
      <c r="B79" s="253"/>
      <c r="C79" s="253"/>
      <c r="D79" s="511" t="s">
        <v>3316</v>
      </c>
      <c r="E79" s="253"/>
      <c r="F79" s="253"/>
      <c r="G79" s="253"/>
      <c r="H79" s="253"/>
      <c r="I79" s="253"/>
      <c r="J79" s="253"/>
      <c r="K79" s="253"/>
      <c r="L79" s="253"/>
      <c r="M79" s="253"/>
      <c r="N79" s="253"/>
      <c r="O79" s="253"/>
      <c r="P79" s="253"/>
      <c r="Q79" s="253"/>
      <c r="R79" s="253"/>
      <c r="S79" s="253"/>
      <c r="T79" s="253"/>
      <c r="U79" s="253"/>
      <c r="V79" s="253"/>
      <c r="W79" s="253"/>
      <c r="X79" s="253"/>
      <c r="Y79" s="253"/>
      <c r="Z79" s="253"/>
      <c r="AA79" s="253"/>
      <c r="AB79" s="253"/>
      <c r="AC79" s="253"/>
      <c r="AD79" s="253"/>
      <c r="AE79" s="253"/>
      <c r="AF79" s="253"/>
      <c r="AG79" s="253"/>
      <c r="AH79" s="253"/>
      <c r="AI79" s="253"/>
      <c r="AJ79" s="253"/>
      <c r="AK79" s="2013"/>
      <c r="AM79" s="433"/>
      <c r="AN79" s="433"/>
      <c r="AO79" s="2058"/>
      <c r="AP79" s="2059"/>
      <c r="BL79" s="2027"/>
      <c r="BM79" s="2027"/>
      <c r="BO79" s="2027"/>
      <c r="BP79" s="2027"/>
      <c r="BQ79" s="2027"/>
      <c r="BR79" s="2027"/>
      <c r="BS79" s="2027"/>
      <c r="BT79" s="2027"/>
      <c r="BU79" s="2027"/>
      <c r="BV79" s="2027"/>
    </row>
    <row r="80" spans="1:74" ht="14.25">
      <c r="A80" s="2013"/>
      <c r="B80" s="253"/>
      <c r="C80" s="253"/>
      <c r="D80" s="511" t="s">
        <v>3317</v>
      </c>
      <c r="E80" s="253"/>
      <c r="F80" s="253"/>
      <c r="G80" s="253"/>
      <c r="H80" s="253"/>
      <c r="I80" s="253"/>
      <c r="J80" s="253"/>
      <c r="K80" s="253"/>
      <c r="L80" s="253"/>
      <c r="M80" s="253"/>
      <c r="N80" s="253"/>
      <c r="O80" s="253"/>
      <c r="P80" s="253"/>
      <c r="Q80" s="253"/>
      <c r="R80" s="253"/>
      <c r="S80" s="253"/>
      <c r="T80" s="253"/>
      <c r="U80" s="253"/>
      <c r="V80" s="253"/>
      <c r="W80" s="253"/>
      <c r="X80" s="253"/>
      <c r="Y80" s="253"/>
      <c r="Z80" s="253"/>
      <c r="AA80" s="253"/>
      <c r="AB80" s="253"/>
      <c r="AC80" s="253"/>
      <c r="AD80" s="253"/>
      <c r="AE80" s="253"/>
      <c r="AF80" s="253"/>
      <c r="AG80" s="253"/>
      <c r="AH80" s="253"/>
      <c r="AI80" s="253"/>
      <c r="AJ80" s="253"/>
      <c r="AK80" s="2013"/>
      <c r="AM80" s="433"/>
      <c r="AN80" s="433"/>
      <c r="AO80" s="2060"/>
      <c r="AP80" s="2061"/>
      <c r="BL80" s="2027"/>
      <c r="BM80" s="2027"/>
      <c r="BO80" s="2027"/>
      <c r="BP80" s="2027"/>
      <c r="BQ80" s="2027"/>
      <c r="BR80" s="2027"/>
      <c r="BS80" s="2027"/>
      <c r="BT80" s="2027"/>
      <c r="BU80" s="2027"/>
      <c r="BV80" s="2027"/>
    </row>
    <row r="81" spans="1:75" ht="15">
      <c r="A81" s="2013"/>
      <c r="B81" s="253"/>
      <c r="C81" s="253"/>
      <c r="D81" s="511" t="s">
        <v>3318</v>
      </c>
      <c r="E81" s="253"/>
      <c r="F81" s="253"/>
      <c r="G81" s="253"/>
      <c r="H81" s="253"/>
      <c r="I81" s="253"/>
      <c r="J81" s="253"/>
      <c r="K81" s="253"/>
      <c r="L81" s="253"/>
      <c r="M81" s="253"/>
      <c r="N81" s="253"/>
      <c r="O81" s="253"/>
      <c r="P81" s="253"/>
      <c r="Q81" s="253"/>
      <c r="R81" s="253"/>
      <c r="S81" s="253"/>
      <c r="T81" s="253"/>
      <c r="U81" s="253"/>
      <c r="V81" s="253"/>
      <c r="W81" s="253"/>
      <c r="X81" s="253"/>
      <c r="Y81" s="253"/>
      <c r="Z81" s="253"/>
      <c r="AA81" s="253"/>
      <c r="AB81" s="253"/>
      <c r="AC81" s="253"/>
      <c r="AD81" s="253"/>
      <c r="AE81" s="253"/>
      <c r="AF81" s="253"/>
      <c r="AG81" s="253"/>
      <c r="AH81" s="253"/>
      <c r="AI81" s="253"/>
      <c r="AJ81" s="253"/>
      <c r="AK81" s="2013"/>
      <c r="AL81" s="2042"/>
      <c r="AM81" s="2042"/>
      <c r="AN81" s="2042"/>
      <c r="AO81" s="2050"/>
      <c r="AP81" s="2027"/>
      <c r="BL81" s="2027"/>
      <c r="BM81" s="2027"/>
      <c r="BO81" s="2027"/>
      <c r="BP81" s="2027"/>
      <c r="BQ81" s="2027"/>
      <c r="BR81" s="2027"/>
      <c r="BS81" s="2027"/>
      <c r="BT81" s="2027"/>
      <c r="BU81" s="2027"/>
      <c r="BV81" s="2027"/>
    </row>
    <row r="82" spans="1:75" ht="35.25" customHeight="1" thickBot="1">
      <c r="A82" s="2013"/>
      <c r="B82" s="9819" t="s">
        <v>3319</v>
      </c>
      <c r="C82" s="9841"/>
      <c r="D82" s="9841"/>
      <c r="E82" s="9841"/>
      <c r="F82" s="9841"/>
      <c r="G82" s="9841"/>
      <c r="H82" s="9841"/>
      <c r="I82" s="9841"/>
      <c r="J82" s="9841"/>
      <c r="K82" s="9841"/>
      <c r="L82" s="9841"/>
      <c r="M82" s="9842"/>
      <c r="N82" s="9840" t="s">
        <v>3320</v>
      </c>
      <c r="O82" s="9841"/>
      <c r="P82" s="9841"/>
      <c r="Q82" s="9841"/>
      <c r="R82" s="9842"/>
      <c r="S82" s="9840" t="s">
        <v>3321</v>
      </c>
      <c r="T82" s="9841"/>
      <c r="U82" s="9841"/>
      <c r="V82" s="9841"/>
      <c r="W82" s="9842"/>
      <c r="X82" s="9840" t="s">
        <v>3322</v>
      </c>
      <c r="Y82" s="9841"/>
      <c r="Z82" s="9841"/>
      <c r="AA82" s="9842"/>
      <c r="AB82" s="9840" t="s">
        <v>3323</v>
      </c>
      <c r="AC82" s="9841"/>
      <c r="AD82" s="9841"/>
      <c r="AE82" s="9842"/>
      <c r="AF82" s="9840" t="s">
        <v>3324</v>
      </c>
      <c r="AG82" s="9841"/>
      <c r="AH82" s="9841"/>
      <c r="AI82" s="9841"/>
      <c r="AJ82" s="9841"/>
      <c r="AK82" s="2013"/>
      <c r="AM82" s="817" t="s">
        <v>771</v>
      </c>
      <c r="AO82" s="2042"/>
      <c r="AP82" s="2048"/>
      <c r="BL82" s="2027"/>
      <c r="BM82" s="2027"/>
      <c r="BO82" s="2027"/>
      <c r="BP82" s="2027"/>
      <c r="BQ82" s="2027"/>
      <c r="BR82" s="2027"/>
      <c r="BS82" s="2027"/>
      <c r="BT82" s="2027"/>
      <c r="BU82" s="2027"/>
      <c r="BV82" s="2027"/>
    </row>
    <row r="83" spans="1:75" ht="14.25" customHeight="1" thickBot="1">
      <c r="A83" s="2013"/>
      <c r="B83" s="9789"/>
      <c r="C83" s="9790"/>
      <c r="D83" s="9790"/>
      <c r="E83" s="9790"/>
      <c r="F83" s="9790"/>
      <c r="G83" s="9790"/>
      <c r="H83" s="9790"/>
      <c r="I83" s="9790"/>
      <c r="J83" s="9790"/>
      <c r="K83" s="9790"/>
      <c r="L83" s="9790"/>
      <c r="M83" s="9791"/>
      <c r="N83" s="9757"/>
      <c r="O83" s="9758"/>
      <c r="P83" s="9758"/>
      <c r="Q83" s="9758"/>
      <c r="R83" s="9792"/>
      <c r="S83" s="9757"/>
      <c r="T83" s="9758"/>
      <c r="U83" s="9758"/>
      <c r="V83" s="9758"/>
      <c r="W83" s="9792"/>
      <c r="X83" s="9761" t="str">
        <f>IF(AM83&lt;&gt;"",ROUND(AM83,0),IF(OR(N83="",S83=""),"",S83-N83-2))</f>
        <v/>
      </c>
      <c r="Y83" s="9762"/>
      <c r="Z83" s="9762"/>
      <c r="AA83" s="9763"/>
      <c r="AB83" s="9837"/>
      <c r="AC83" s="9838"/>
      <c r="AD83" s="9838"/>
      <c r="AE83" s="9839"/>
      <c r="AF83" s="9764"/>
      <c r="AG83" s="9770"/>
      <c r="AH83" s="9770"/>
      <c r="AI83" s="9770"/>
      <c r="AJ83" s="9770"/>
      <c r="AK83" s="2013"/>
      <c r="AM83" s="453"/>
      <c r="AO83" s="2042"/>
      <c r="AP83" s="2048"/>
      <c r="BL83" s="2027"/>
      <c r="BM83" s="2027"/>
      <c r="BO83" s="2027"/>
      <c r="BP83" s="2027"/>
      <c r="BQ83" s="2027"/>
      <c r="BR83" s="2027"/>
      <c r="BS83" s="2027"/>
      <c r="BT83" s="2027"/>
      <c r="BU83" s="2027"/>
      <c r="BV83" s="2027"/>
    </row>
    <row r="84" spans="1:75" ht="14.25" customHeight="1" thickBot="1">
      <c r="A84" s="2013"/>
      <c r="B84" s="9789"/>
      <c r="C84" s="9790"/>
      <c r="D84" s="9790"/>
      <c r="E84" s="9790"/>
      <c r="F84" s="9790"/>
      <c r="G84" s="9790"/>
      <c r="H84" s="9790"/>
      <c r="I84" s="9790"/>
      <c r="J84" s="9790"/>
      <c r="K84" s="9790"/>
      <c r="L84" s="9790"/>
      <c r="M84" s="9791"/>
      <c r="N84" s="9757"/>
      <c r="O84" s="9758"/>
      <c r="P84" s="9758"/>
      <c r="Q84" s="9758"/>
      <c r="R84" s="9792"/>
      <c r="S84" s="9757"/>
      <c r="T84" s="9758"/>
      <c r="U84" s="9758"/>
      <c r="V84" s="9758"/>
      <c r="W84" s="9792"/>
      <c r="X84" s="9761" t="str">
        <f>IF(AM84&lt;&gt;"",ROUND(AM84,0),IF(OR(N84="",S84=""),"",S84-N84-2))</f>
        <v/>
      </c>
      <c r="Y84" s="9762"/>
      <c r="Z84" s="9762"/>
      <c r="AA84" s="9763"/>
      <c r="AB84" s="9837"/>
      <c r="AC84" s="9838"/>
      <c r="AD84" s="9838"/>
      <c r="AE84" s="9839"/>
      <c r="AF84" s="9764"/>
      <c r="AG84" s="9770"/>
      <c r="AH84" s="9770"/>
      <c r="AI84" s="9770"/>
      <c r="AJ84" s="9770"/>
      <c r="AK84" s="2013"/>
      <c r="AM84" s="453"/>
      <c r="AO84" s="2042"/>
      <c r="AP84" s="2048"/>
      <c r="BL84" s="2027"/>
      <c r="BM84" s="2027"/>
      <c r="BO84" s="2027"/>
      <c r="BP84" s="2027"/>
      <c r="BQ84" s="2027"/>
      <c r="BR84" s="2027"/>
      <c r="BS84" s="2027"/>
      <c r="BT84" s="2027"/>
      <c r="BU84" s="2027"/>
      <c r="BV84" s="2027"/>
    </row>
    <row r="85" spans="1:75" ht="14.25" customHeight="1" thickBot="1">
      <c r="A85" s="2013"/>
      <c r="B85" s="9789"/>
      <c r="C85" s="9790"/>
      <c r="D85" s="9790"/>
      <c r="E85" s="9790"/>
      <c r="F85" s="9790"/>
      <c r="G85" s="9790"/>
      <c r="H85" s="9790"/>
      <c r="I85" s="9790"/>
      <c r="J85" s="9790"/>
      <c r="K85" s="9790"/>
      <c r="L85" s="9790"/>
      <c r="M85" s="9791"/>
      <c r="N85" s="9757"/>
      <c r="O85" s="9758"/>
      <c r="P85" s="9758"/>
      <c r="Q85" s="9758"/>
      <c r="R85" s="9792"/>
      <c r="S85" s="9757"/>
      <c r="T85" s="9758"/>
      <c r="U85" s="9758"/>
      <c r="V85" s="9758"/>
      <c r="W85" s="9792"/>
      <c r="X85" s="9761" t="str">
        <f>IF(AM85&lt;&gt;"",ROUND(AM85,0),IF(OR(N85="",S85=""),"",S85-N85-2))</f>
        <v/>
      </c>
      <c r="Y85" s="9762"/>
      <c r="Z85" s="9762"/>
      <c r="AA85" s="9763"/>
      <c r="AB85" s="9837"/>
      <c r="AC85" s="9838"/>
      <c r="AD85" s="9838"/>
      <c r="AE85" s="9839"/>
      <c r="AF85" s="9764"/>
      <c r="AG85" s="9770"/>
      <c r="AH85" s="9770"/>
      <c r="AI85" s="9770"/>
      <c r="AJ85" s="9770"/>
      <c r="AK85" s="2013"/>
      <c r="AM85" s="453"/>
      <c r="AO85" s="2042"/>
      <c r="AP85" s="2048"/>
      <c r="BL85" s="2027"/>
      <c r="BM85" s="2027"/>
      <c r="BO85" s="2027"/>
      <c r="BP85" s="2027"/>
      <c r="BQ85" s="2027"/>
      <c r="BR85" s="2027"/>
      <c r="BS85" s="2027"/>
      <c r="BT85" s="2027"/>
      <c r="BU85" s="2027"/>
      <c r="BV85" s="2027"/>
    </row>
    <row r="86" spans="1:75" ht="14.25" customHeight="1" thickBot="1">
      <c r="A86" s="2013"/>
      <c r="B86" s="9789"/>
      <c r="C86" s="9790"/>
      <c r="D86" s="9790"/>
      <c r="E86" s="9790"/>
      <c r="F86" s="9790"/>
      <c r="G86" s="9790"/>
      <c r="H86" s="9790"/>
      <c r="I86" s="9790"/>
      <c r="J86" s="9790"/>
      <c r="K86" s="9790"/>
      <c r="L86" s="9790"/>
      <c r="M86" s="9791"/>
      <c r="N86" s="9757"/>
      <c r="O86" s="9758"/>
      <c r="P86" s="9758"/>
      <c r="Q86" s="9758"/>
      <c r="R86" s="9792"/>
      <c r="S86" s="9757"/>
      <c r="T86" s="9758"/>
      <c r="U86" s="9758"/>
      <c r="V86" s="9758"/>
      <c r="W86" s="9792"/>
      <c r="X86" s="9761" t="str">
        <f>IF(AM86&lt;&gt;"",ROUND(AM86,0),IF(OR(N86="",S86=""),"",S86-N86-2))</f>
        <v/>
      </c>
      <c r="Y86" s="9762"/>
      <c r="Z86" s="9762"/>
      <c r="AA86" s="9763"/>
      <c r="AB86" s="9837"/>
      <c r="AC86" s="9838"/>
      <c r="AD86" s="9838"/>
      <c r="AE86" s="9839"/>
      <c r="AF86" s="9764"/>
      <c r="AG86" s="9770"/>
      <c r="AH86" s="9770"/>
      <c r="AI86" s="9770"/>
      <c r="AJ86" s="9770"/>
      <c r="AK86" s="2013"/>
      <c r="AM86" s="453"/>
      <c r="AO86" s="2042"/>
      <c r="AP86" s="2048"/>
      <c r="BL86" s="2027"/>
      <c r="BM86" s="2027"/>
      <c r="BO86" s="2027"/>
      <c r="BP86" s="2027"/>
      <c r="BQ86" s="2027"/>
      <c r="BR86" s="2027"/>
      <c r="BS86" s="2027"/>
      <c r="BT86" s="2027"/>
      <c r="BU86" s="2027"/>
      <c r="BV86" s="2027"/>
    </row>
    <row r="87" spans="1:75" ht="4.5" customHeight="1">
      <c r="A87" s="2013"/>
      <c r="B87" s="7871" t="s">
        <v>2102</v>
      </c>
      <c r="C87" s="7850"/>
      <c r="D87" s="2036"/>
      <c r="E87" s="2036"/>
      <c r="F87" s="2036"/>
      <c r="G87" s="2036"/>
      <c r="H87" s="2036"/>
      <c r="I87" s="2036"/>
      <c r="J87" s="2036"/>
      <c r="K87" s="2036"/>
      <c r="L87" s="2036"/>
      <c r="M87" s="2036"/>
      <c r="N87" s="2036"/>
      <c r="O87" s="2036"/>
      <c r="P87" s="2036"/>
      <c r="Q87" s="2036"/>
      <c r="R87" s="2036"/>
      <c r="S87" s="2036"/>
      <c r="T87" s="2036"/>
      <c r="U87" s="2036"/>
      <c r="V87" s="2036"/>
      <c r="W87" s="2036"/>
      <c r="X87" s="2036"/>
      <c r="Y87" s="2036"/>
      <c r="Z87" s="2036"/>
      <c r="AA87" s="2036"/>
      <c r="AB87" s="2036"/>
      <c r="AC87" s="2036"/>
      <c r="AD87" s="2036"/>
      <c r="AE87" s="2036"/>
      <c r="AF87" s="2036"/>
      <c r="AG87" s="2036"/>
      <c r="AH87" s="2036"/>
      <c r="AI87" s="2036"/>
      <c r="AJ87" s="2036"/>
      <c r="AK87" s="2013"/>
    </row>
    <row r="88" spans="1:75" ht="13.5" customHeight="1">
      <c r="A88" s="2013"/>
      <c r="B88" s="7589"/>
      <c r="C88" s="7589"/>
      <c r="D88" s="2062" t="s">
        <v>3325</v>
      </c>
      <c r="E88" s="1990"/>
      <c r="F88" s="1990"/>
      <c r="G88" s="1990"/>
      <c r="H88" s="1990"/>
      <c r="I88" s="1990"/>
      <c r="J88" s="1990"/>
      <c r="K88" s="1990"/>
      <c r="L88" s="1990"/>
      <c r="M88" s="1990"/>
      <c r="N88" s="1990"/>
      <c r="O88" s="1990"/>
      <c r="P88" s="1990"/>
      <c r="Q88" s="1990"/>
      <c r="R88" s="1990"/>
      <c r="S88" s="1990"/>
      <c r="T88" s="1990"/>
      <c r="U88" s="1990"/>
      <c r="V88" s="1990"/>
      <c r="W88" s="1990"/>
      <c r="X88" s="1990"/>
      <c r="Y88" s="1990"/>
      <c r="Z88" s="1990"/>
      <c r="AA88" s="1990"/>
      <c r="AB88" s="1990"/>
      <c r="AC88" s="1990"/>
      <c r="AD88" s="1990"/>
      <c r="AE88" s="1990"/>
      <c r="AF88" s="1990"/>
      <c r="AG88" s="1990"/>
      <c r="AH88" s="1990"/>
      <c r="AI88" s="1990"/>
      <c r="AJ88" s="1990"/>
      <c r="AK88" s="2013"/>
    </row>
    <row r="89" spans="1:75" ht="4.5" customHeight="1">
      <c r="A89" s="2013"/>
      <c r="B89" s="7587"/>
      <c r="C89" s="7587"/>
      <c r="D89" s="1999"/>
      <c r="E89" s="1999"/>
      <c r="F89" s="1999"/>
      <c r="G89" s="1999"/>
      <c r="H89" s="1999"/>
      <c r="I89" s="1999"/>
      <c r="J89" s="1999"/>
      <c r="K89" s="1999"/>
      <c r="L89" s="1999"/>
      <c r="M89" s="1999"/>
      <c r="N89" s="1999"/>
      <c r="O89" s="1999"/>
      <c r="P89" s="1999"/>
      <c r="Q89" s="1999"/>
      <c r="R89" s="1999"/>
      <c r="S89" s="1999"/>
      <c r="T89" s="1999"/>
      <c r="U89" s="1999"/>
      <c r="V89" s="1999"/>
      <c r="W89" s="1999"/>
      <c r="X89" s="1999"/>
      <c r="Y89" s="1999"/>
      <c r="Z89" s="1999"/>
      <c r="AA89" s="1999"/>
      <c r="AB89" s="1999"/>
      <c r="AC89" s="1999"/>
      <c r="AD89" s="1999"/>
      <c r="AE89" s="1999"/>
      <c r="AF89" s="1999"/>
      <c r="AG89" s="1999"/>
      <c r="AH89" s="1999"/>
      <c r="AI89" s="1999"/>
      <c r="AJ89" s="1999"/>
      <c r="AK89" s="2013"/>
    </row>
    <row r="90" spans="1:75" ht="16.5" customHeight="1">
      <c r="A90" s="2013"/>
      <c r="B90" s="2063" t="s">
        <v>3326</v>
      </c>
      <c r="C90" s="253"/>
      <c r="D90" s="253"/>
      <c r="E90" s="253"/>
      <c r="F90" s="253"/>
      <c r="G90" s="253"/>
      <c r="H90" s="253"/>
      <c r="I90" s="253"/>
      <c r="J90" s="253"/>
      <c r="K90" s="253"/>
      <c r="L90" s="253"/>
      <c r="M90" s="253"/>
      <c r="N90" s="253"/>
      <c r="O90" s="253"/>
      <c r="P90" s="253"/>
      <c r="Q90" s="253"/>
      <c r="R90" s="253"/>
      <c r="S90" s="253"/>
      <c r="T90" s="253"/>
      <c r="U90" s="253"/>
      <c r="V90" s="253"/>
      <c r="W90" s="253"/>
      <c r="X90" s="253"/>
      <c r="Y90" s="253"/>
      <c r="Z90" s="253"/>
      <c r="AA90" s="253"/>
      <c r="AB90" s="253"/>
      <c r="AC90" s="253"/>
      <c r="AD90" s="253"/>
      <c r="AE90" s="253"/>
      <c r="AF90" s="253"/>
      <c r="AG90" s="253"/>
      <c r="AH90" s="253"/>
      <c r="AI90" s="253"/>
      <c r="AJ90" s="253"/>
      <c r="AK90" s="2013"/>
      <c r="AO90" s="2064"/>
      <c r="AP90" s="2065"/>
      <c r="BL90" s="2027"/>
      <c r="BM90" s="2027"/>
      <c r="BO90" s="2027"/>
      <c r="BP90" s="2027"/>
      <c r="BQ90" s="2027"/>
      <c r="BR90" s="2027"/>
      <c r="BS90" s="2027"/>
      <c r="BT90" s="2027"/>
      <c r="BU90" s="2027"/>
      <c r="BV90" s="2027"/>
    </row>
    <row r="91" spans="1:75" ht="14.25">
      <c r="A91" s="2013"/>
      <c r="B91" s="2063" t="str">
        <f>"your "&amp;TaxYear&amp;" tax year for services you performed in a foreign country. If any of the foreign earned income received this tax year was"</f>
        <v>your 2025 tax year for services you performed in a foreign country. If any of the foreign earned income received this tax year was</v>
      </c>
      <c r="C91" s="253"/>
      <c r="D91" s="253"/>
      <c r="E91" s="253"/>
      <c r="F91" s="253"/>
      <c r="G91" s="253"/>
      <c r="H91" s="253"/>
      <c r="I91" s="253"/>
      <c r="J91" s="253"/>
      <c r="K91" s="253"/>
      <c r="L91" s="253"/>
      <c r="M91" s="253"/>
      <c r="N91" s="253"/>
      <c r="O91" s="253"/>
      <c r="P91" s="253"/>
      <c r="Q91" s="253"/>
      <c r="R91" s="253"/>
      <c r="S91" s="253"/>
      <c r="T91" s="253"/>
      <c r="U91" s="253"/>
      <c r="V91" s="253"/>
      <c r="W91" s="253"/>
      <c r="X91" s="253"/>
      <c r="Y91" s="253"/>
      <c r="Z91" s="253"/>
      <c r="AA91" s="253"/>
      <c r="AB91" s="253"/>
      <c r="AC91" s="253"/>
      <c r="AD91" s="253"/>
      <c r="AE91" s="253"/>
      <c r="AF91" s="253"/>
      <c r="AG91" s="253"/>
      <c r="AH91" s="253"/>
      <c r="AI91" s="253"/>
      <c r="AJ91" s="253"/>
      <c r="AK91" s="2013"/>
      <c r="AO91" s="2027"/>
      <c r="AP91" s="2066"/>
      <c r="BL91" s="2027"/>
      <c r="BM91" s="2027"/>
      <c r="BO91" s="2027"/>
      <c r="BP91" s="2027"/>
      <c r="BQ91" s="2027"/>
      <c r="BR91" s="2027"/>
      <c r="BS91" s="2027"/>
      <c r="BT91" s="2027"/>
      <c r="BU91" s="2027"/>
      <c r="BV91" s="2027"/>
    </row>
    <row r="92" spans="1:75" ht="15">
      <c r="A92" s="2013"/>
      <c r="B92" s="2063" t="s">
        <v>3327</v>
      </c>
      <c r="C92" s="253"/>
      <c r="D92" s="253"/>
      <c r="E92" s="253"/>
      <c r="F92" s="253"/>
      <c r="G92" s="253"/>
      <c r="H92" s="253"/>
      <c r="I92" s="253"/>
      <c r="J92" s="253"/>
      <c r="K92" s="253"/>
      <c r="L92" s="253"/>
      <c r="M92" s="253"/>
      <c r="N92" s="253"/>
      <c r="O92" s="253"/>
      <c r="P92" s="253"/>
      <c r="Q92" s="253"/>
      <c r="R92" s="253"/>
      <c r="S92" s="253"/>
      <c r="T92" s="253"/>
      <c r="U92" s="253"/>
      <c r="V92" s="253"/>
      <c r="W92" s="253"/>
      <c r="X92" s="253"/>
      <c r="Y92" s="253"/>
      <c r="Z92" s="253"/>
      <c r="AA92" s="253"/>
      <c r="AB92" s="253"/>
      <c r="AC92" s="253"/>
      <c r="AD92" s="253"/>
      <c r="AE92" s="253"/>
      <c r="AF92" s="253"/>
      <c r="AG92" s="253"/>
      <c r="AH92" s="253"/>
      <c r="AI92" s="253"/>
      <c r="AJ92" s="253"/>
      <c r="AK92" s="2013"/>
      <c r="AO92" s="2027"/>
      <c r="AP92" s="2027"/>
      <c r="BL92" s="2027"/>
      <c r="BM92" s="2027"/>
      <c r="BO92" s="2027"/>
      <c r="BP92" s="2027"/>
      <c r="BQ92" s="2027"/>
      <c r="BR92" s="2027"/>
      <c r="BS92" s="2027"/>
      <c r="BT92" s="2027"/>
      <c r="BU92" s="2027"/>
      <c r="BV92" s="2027"/>
    </row>
    <row r="93" spans="1:75" ht="12.75" customHeight="1">
      <c r="A93" s="2013"/>
      <c r="B93" s="2063" t="s">
        <v>3328</v>
      </c>
      <c r="C93" s="253"/>
      <c r="D93" s="253"/>
      <c r="E93" s="253"/>
      <c r="F93" s="253"/>
      <c r="G93" s="253"/>
      <c r="H93" s="253"/>
      <c r="I93" s="253"/>
      <c r="J93" s="253"/>
      <c r="K93" s="253"/>
      <c r="L93" s="253"/>
      <c r="M93" s="253"/>
      <c r="N93" s="253"/>
      <c r="O93" s="253"/>
      <c r="P93" s="253"/>
      <c r="Q93" s="253"/>
      <c r="R93" s="253"/>
      <c r="S93" s="253"/>
      <c r="T93" s="253"/>
      <c r="U93" s="253"/>
      <c r="V93" s="253"/>
      <c r="W93" s="253"/>
      <c r="X93" s="253"/>
      <c r="Y93" s="253"/>
      <c r="Z93" s="253"/>
      <c r="AA93" s="253"/>
      <c r="AB93" s="253"/>
      <c r="AC93" s="253"/>
      <c r="AD93" s="253"/>
      <c r="AE93" s="253"/>
      <c r="AF93" s="253"/>
      <c r="AG93" s="253"/>
      <c r="AH93" s="253"/>
      <c r="AI93" s="253"/>
      <c r="AJ93" s="253"/>
      <c r="AK93" s="2013"/>
      <c r="AO93" s="2027"/>
      <c r="AP93" s="2027"/>
      <c r="BL93" s="2027"/>
      <c r="BM93" s="2027"/>
      <c r="BO93" s="2027"/>
      <c r="BP93" s="2027"/>
      <c r="BQ93" s="2027"/>
      <c r="BR93" s="2027"/>
      <c r="BS93" s="2027"/>
      <c r="BT93" s="2027"/>
      <c r="BU93" s="2027"/>
      <c r="BV93" s="2027"/>
    </row>
    <row r="94" spans="1:75" ht="14.25">
      <c r="A94" s="2013"/>
      <c r="B94" s="2063" t="s">
        <v>3329</v>
      </c>
      <c r="C94" s="253"/>
      <c r="D94" s="253"/>
      <c r="E94" s="253"/>
      <c r="F94" s="253"/>
      <c r="G94" s="253"/>
      <c r="H94" s="253"/>
      <c r="I94" s="253"/>
      <c r="J94" s="253"/>
      <c r="K94" s="253"/>
      <c r="L94" s="253"/>
      <c r="M94" s="253"/>
      <c r="N94" s="253"/>
      <c r="O94" s="253"/>
      <c r="P94" s="253"/>
      <c r="Q94" s="253"/>
      <c r="R94" s="253"/>
      <c r="S94" s="253"/>
      <c r="T94" s="253"/>
      <c r="U94" s="253"/>
      <c r="V94" s="253"/>
      <c r="W94" s="253"/>
      <c r="X94" s="253"/>
      <c r="Y94" s="253"/>
      <c r="Z94" s="253"/>
      <c r="AA94" s="253"/>
      <c r="AB94" s="253"/>
      <c r="AC94" s="253"/>
      <c r="AD94" s="253"/>
      <c r="AE94" s="253"/>
      <c r="AF94" s="253"/>
      <c r="AG94" s="253"/>
      <c r="AH94" s="253"/>
      <c r="AI94" s="253"/>
      <c r="AJ94" s="253"/>
      <c r="AK94" s="2013"/>
      <c r="AO94" s="2027"/>
      <c r="AP94" s="2027"/>
      <c r="BL94" s="2027"/>
      <c r="BM94" s="2027"/>
      <c r="BO94" s="2027"/>
      <c r="BP94" s="2027"/>
      <c r="BQ94" s="2027"/>
      <c r="BR94" s="2027"/>
      <c r="BS94" s="2027"/>
      <c r="BT94" s="2027"/>
      <c r="BU94" s="2027"/>
      <c r="BV94" s="2027"/>
    </row>
    <row r="95" spans="1:75" ht="18" customHeight="1">
      <c r="A95" s="2013"/>
      <c r="B95" s="253"/>
      <c r="C95" s="810" t="str">
        <f>"If you are a cash basis taxpayer, report on Form 1040 or 1040-SR all income you received in "&amp;TaxYear&amp;", no matter when you"</f>
        <v>If you are a cash basis taxpayer, report on Form 1040 or 1040-SR all income you received in 2025, no matter when you</v>
      </c>
      <c r="D95" s="810"/>
      <c r="E95" s="349"/>
      <c r="F95" s="253"/>
      <c r="G95" s="253"/>
      <c r="H95" s="253"/>
      <c r="I95" s="253"/>
      <c r="J95" s="253"/>
      <c r="K95" s="253"/>
      <c r="L95" s="253"/>
      <c r="M95" s="253"/>
      <c r="N95" s="253"/>
      <c r="O95" s="253"/>
      <c r="P95" s="253"/>
      <c r="Q95" s="253"/>
      <c r="R95" s="253"/>
      <c r="S95" s="253"/>
      <c r="T95" s="253"/>
      <c r="U95" s="253"/>
      <c r="V95" s="253"/>
      <c r="W95" s="253"/>
      <c r="X95" s="253"/>
      <c r="Y95" s="253"/>
      <c r="Z95" s="253"/>
      <c r="AA95" s="253"/>
      <c r="AB95" s="253"/>
      <c r="AC95" s="253"/>
      <c r="AD95" s="253"/>
      <c r="AE95" s="253"/>
      <c r="AF95" s="253"/>
      <c r="AG95" s="253"/>
      <c r="AH95" s="253"/>
      <c r="AI95" s="253"/>
      <c r="AJ95" s="253"/>
      <c r="AK95" s="2013"/>
      <c r="AO95" s="2027"/>
      <c r="AP95" s="2027"/>
      <c r="BL95" s="2027"/>
      <c r="BM95" s="2027"/>
      <c r="BO95" s="2027"/>
      <c r="BP95" s="2027"/>
      <c r="BQ95" s="2027"/>
      <c r="BR95" s="2027"/>
      <c r="BS95" s="2027"/>
      <c r="BT95" s="2027"/>
      <c r="BU95" s="2027"/>
      <c r="BV95" s="2027"/>
    </row>
    <row r="96" spans="1:75" s="138" customFormat="1" ht="18" customHeight="1">
      <c r="A96" s="2067"/>
      <c r="B96" s="2068"/>
      <c r="C96" s="2069" t="s">
        <v>3330</v>
      </c>
      <c r="D96" s="2069"/>
      <c r="E96" s="2070"/>
      <c r="F96" s="2068"/>
      <c r="G96" s="2068"/>
      <c r="H96" s="2068"/>
      <c r="I96" s="2068"/>
      <c r="J96" s="2068"/>
      <c r="K96" s="2068"/>
      <c r="L96" s="2068"/>
      <c r="M96" s="2068"/>
      <c r="N96" s="2068"/>
      <c r="O96" s="2068"/>
      <c r="P96" s="2068"/>
      <c r="Q96" s="2068"/>
      <c r="R96" s="2068"/>
      <c r="S96" s="2068"/>
      <c r="T96" s="2068"/>
      <c r="U96" s="2068"/>
      <c r="V96" s="2068"/>
      <c r="W96" s="2068"/>
      <c r="X96" s="2068"/>
      <c r="Y96" s="2068"/>
      <c r="Z96" s="2068"/>
      <c r="AA96" s="2068"/>
      <c r="AB96" s="2068"/>
      <c r="AC96" s="2068"/>
      <c r="AD96" s="2068"/>
      <c r="AE96" s="2068"/>
      <c r="AF96" s="2068"/>
      <c r="AG96" s="2068"/>
      <c r="AH96" s="2068"/>
      <c r="AI96" s="2068"/>
      <c r="AJ96" s="2068"/>
      <c r="AK96" s="2067"/>
      <c r="AL96" s="2071"/>
      <c r="AM96" s="2071"/>
      <c r="AN96" s="2071"/>
      <c r="AO96" s="2072"/>
      <c r="AP96" s="2072"/>
      <c r="AQ96" s="658"/>
      <c r="AR96" s="658"/>
      <c r="AS96" s="658"/>
      <c r="AT96" s="658"/>
      <c r="AU96" s="658"/>
      <c r="AV96" s="658"/>
      <c r="AW96" s="658"/>
      <c r="AX96" s="658"/>
      <c r="AY96" s="658"/>
      <c r="AZ96" s="2071"/>
      <c r="BA96" s="2071"/>
      <c r="BB96" s="2071"/>
      <c r="BC96" s="2071"/>
      <c r="BD96" s="2071"/>
      <c r="BE96" s="2071"/>
      <c r="BF96" s="2071"/>
      <c r="BG96" s="2071"/>
      <c r="BH96" s="2071"/>
      <c r="BI96" s="2071"/>
      <c r="BJ96" s="2071"/>
      <c r="BK96" s="2071"/>
      <c r="BL96" s="2072"/>
      <c r="BM96" s="2072"/>
      <c r="BN96" s="2071"/>
      <c r="BO96" s="2072"/>
      <c r="BP96" s="2072"/>
      <c r="BQ96" s="2072"/>
      <c r="BR96" s="2072"/>
      <c r="BS96" s="2072"/>
      <c r="BT96" s="2072"/>
      <c r="BU96" s="2072"/>
      <c r="BV96" s="2072"/>
      <c r="BW96" s="2071"/>
    </row>
    <row r="97" spans="1:74" ht="28.5" customHeight="1">
      <c r="A97" s="2013"/>
      <c r="B97" s="9847" t="str">
        <f>TaxYear&amp;" Foreign Earned Income"</f>
        <v>2025 Foreign Earned Income</v>
      </c>
      <c r="C97" s="9848"/>
      <c r="D97" s="9848"/>
      <c r="E97" s="9848"/>
      <c r="F97" s="9848"/>
      <c r="G97" s="9848"/>
      <c r="H97" s="9848"/>
      <c r="I97" s="9848"/>
      <c r="J97" s="9848"/>
      <c r="K97" s="9848"/>
      <c r="L97" s="9848"/>
      <c r="M97" s="9848"/>
      <c r="N97" s="9848"/>
      <c r="O97" s="9848"/>
      <c r="P97" s="9848"/>
      <c r="Q97" s="9848"/>
      <c r="R97" s="9848"/>
      <c r="S97" s="9848"/>
      <c r="T97" s="9848"/>
      <c r="U97" s="9848"/>
      <c r="V97" s="9848"/>
      <c r="W97" s="9848"/>
      <c r="X97" s="9848"/>
      <c r="Y97" s="9848"/>
      <c r="Z97" s="9848"/>
      <c r="AA97" s="9849"/>
      <c r="AB97" s="9850"/>
      <c r="AC97" s="9057" t="s">
        <v>3331</v>
      </c>
      <c r="AD97" s="9841"/>
      <c r="AE97" s="9841"/>
      <c r="AF97" s="9841"/>
      <c r="AG97" s="9841"/>
      <c r="AH97" s="9841"/>
      <c r="AI97" s="9841"/>
      <c r="AJ97" s="9841"/>
      <c r="AK97" s="2013"/>
      <c r="AO97" s="2027"/>
      <c r="AP97" s="2027"/>
      <c r="BL97" s="2027"/>
      <c r="BM97" s="2027"/>
      <c r="BO97" s="2027"/>
      <c r="BP97" s="2027"/>
      <c r="BQ97" s="2027"/>
      <c r="BR97" s="2027"/>
      <c r="BS97" s="2027"/>
      <c r="BT97" s="2027"/>
      <c r="BU97" s="2027"/>
      <c r="BV97" s="2027"/>
    </row>
    <row r="98" spans="1:74" ht="16.5" customHeight="1">
      <c r="A98" s="2013"/>
      <c r="B98" s="253"/>
      <c r="C98" s="734" t="s">
        <v>3332</v>
      </c>
      <c r="D98" s="511" t="s">
        <v>3333</v>
      </c>
      <c r="E98" s="253"/>
      <c r="F98" s="253"/>
      <c r="G98" s="253"/>
      <c r="H98" s="253"/>
      <c r="I98" s="253"/>
      <c r="J98" s="253"/>
      <c r="K98" s="253"/>
      <c r="L98" s="253"/>
      <c r="M98" s="253"/>
      <c r="N98" s="253"/>
      <c r="O98" s="253"/>
      <c r="P98" s="253"/>
      <c r="Q98" s="253"/>
      <c r="R98" s="253"/>
      <c r="S98" s="253"/>
      <c r="T98" s="253"/>
      <c r="U98" s="253"/>
      <c r="V98" s="253"/>
      <c r="W98" s="253"/>
      <c r="X98" s="253"/>
      <c r="Y98" s="253"/>
      <c r="Z98" s="253"/>
      <c r="AA98" s="253"/>
      <c r="AB98" s="2031" t="s">
        <v>3334</v>
      </c>
      <c r="AC98" s="9851" t="s">
        <v>266</v>
      </c>
      <c r="AD98" s="9852"/>
      <c r="AE98" s="9853"/>
      <c r="AF98" s="9853"/>
      <c r="AG98" s="9853"/>
      <c r="AH98" s="9853"/>
      <c r="AI98" s="9853"/>
      <c r="AJ98" s="9853"/>
      <c r="AK98" s="2013"/>
      <c r="AO98" s="2027"/>
      <c r="AP98" s="2027"/>
      <c r="BL98" s="2027"/>
      <c r="BM98" s="2027"/>
      <c r="BO98" s="2027"/>
      <c r="BP98" s="2027"/>
      <c r="BQ98" s="2027"/>
      <c r="BR98" s="2027"/>
      <c r="BS98" s="2027"/>
      <c r="BT98" s="2027"/>
      <c r="BU98" s="2027"/>
      <c r="BV98" s="2027"/>
    </row>
    <row r="99" spans="1:74" ht="13.5" customHeight="1">
      <c r="A99" s="2013"/>
      <c r="B99" s="253"/>
      <c r="C99" s="734" t="s">
        <v>3335</v>
      </c>
      <c r="D99" s="511" t="s">
        <v>3336</v>
      </c>
      <c r="E99" s="253"/>
      <c r="F99" s="253"/>
      <c r="G99" s="253"/>
      <c r="H99" s="253"/>
      <c r="I99" s="253"/>
      <c r="J99" s="253"/>
      <c r="K99" s="253"/>
      <c r="L99" s="253"/>
      <c r="M99" s="253"/>
      <c r="N99" s="253"/>
      <c r="O99" s="253"/>
      <c r="P99" s="253"/>
      <c r="Q99" s="253"/>
      <c r="R99" s="253"/>
      <c r="S99" s="253"/>
      <c r="T99" s="253"/>
      <c r="U99" s="253"/>
      <c r="V99" s="253"/>
      <c r="W99" s="253"/>
      <c r="X99" s="253"/>
      <c r="Y99" s="253"/>
      <c r="Z99" s="253"/>
      <c r="AA99" s="253"/>
      <c r="AB99" s="253"/>
      <c r="AC99" s="9128"/>
      <c r="AD99" s="8667"/>
      <c r="AE99" s="9788"/>
      <c r="AF99" s="8664"/>
      <c r="AG99" s="9788"/>
      <c r="AH99" s="8664"/>
      <c r="AI99" s="9788"/>
      <c r="AJ99" s="8664"/>
      <c r="AK99" s="2013"/>
      <c r="AO99" s="2027"/>
      <c r="AP99" s="2027"/>
      <c r="BL99" s="2027"/>
      <c r="BM99" s="2027"/>
    </row>
    <row r="100" spans="1:74" ht="13.5" customHeight="1">
      <c r="A100" s="2013"/>
      <c r="B100" s="253"/>
      <c r="C100" s="734" t="s">
        <v>3252</v>
      </c>
      <c r="D100" s="511" t="s">
        <v>3337</v>
      </c>
      <c r="E100" s="253"/>
      <c r="F100" s="253"/>
      <c r="G100" s="253"/>
      <c r="H100" s="253"/>
      <c r="I100" s="253"/>
      <c r="J100" s="253"/>
      <c r="K100" s="253"/>
      <c r="L100" s="253"/>
      <c r="M100" s="253"/>
      <c r="N100" s="253"/>
      <c r="O100" s="253"/>
      <c r="P100" s="253"/>
      <c r="Q100" s="253"/>
      <c r="R100" s="253"/>
      <c r="S100" s="253"/>
      <c r="T100" s="253"/>
      <c r="U100" s="253"/>
      <c r="V100" s="253"/>
      <c r="W100" s="253"/>
      <c r="X100" s="253"/>
      <c r="Y100" s="253"/>
      <c r="Z100" s="253"/>
      <c r="AA100" s="253"/>
      <c r="AB100" s="2031" t="s">
        <v>617</v>
      </c>
      <c r="AC100" s="9751" t="s">
        <v>2005</v>
      </c>
      <c r="AD100" s="9785"/>
      <c r="AE100" s="9786"/>
      <c r="AF100" s="9786"/>
      <c r="AG100" s="9786"/>
      <c r="AH100" s="9786"/>
      <c r="AI100" s="9786"/>
      <c r="AJ100" s="9786"/>
      <c r="AK100" s="2013"/>
      <c r="AO100" s="2027"/>
      <c r="AP100" s="2027"/>
      <c r="BL100" s="2027"/>
      <c r="BM100" s="2027"/>
    </row>
    <row r="101" spans="1:74" ht="13.5" customHeight="1">
      <c r="A101" s="2013"/>
      <c r="B101" s="253"/>
      <c r="C101" s="734" t="s">
        <v>2084</v>
      </c>
      <c r="D101" s="511" t="s">
        <v>3338</v>
      </c>
      <c r="E101" s="253"/>
      <c r="F101" s="253"/>
      <c r="G101" s="253"/>
      <c r="H101" s="253"/>
      <c r="I101" s="253"/>
      <c r="J101" s="253"/>
      <c r="K101" s="253"/>
      <c r="L101" s="253"/>
      <c r="M101" s="253"/>
      <c r="N101" s="253"/>
      <c r="O101" s="253"/>
      <c r="P101" s="253"/>
      <c r="Q101" s="253"/>
      <c r="R101" s="253"/>
      <c r="S101" s="253"/>
      <c r="T101" s="253"/>
      <c r="U101" s="253"/>
      <c r="V101" s="9805"/>
      <c r="W101" s="9846"/>
      <c r="X101" s="9846"/>
      <c r="Y101" s="9846"/>
      <c r="Z101" s="9846"/>
      <c r="AA101" s="9846"/>
      <c r="AB101" s="253"/>
      <c r="AC101" s="9128"/>
      <c r="AD101" s="9787"/>
      <c r="AE101" s="9128"/>
      <c r="AF101" s="9788"/>
      <c r="AG101" s="9788"/>
      <c r="AH101" s="9788"/>
      <c r="AI101" s="9788"/>
      <c r="AJ101" s="9788"/>
      <c r="AK101" s="2013"/>
      <c r="AO101" s="2027"/>
      <c r="AP101" s="2027"/>
      <c r="BL101" s="2027"/>
      <c r="BM101" s="2027"/>
    </row>
    <row r="102" spans="1:74" ht="13.5" customHeight="1">
      <c r="A102" s="2013"/>
      <c r="B102" s="253"/>
      <c r="C102" s="734"/>
      <c r="D102" s="9805"/>
      <c r="E102" s="9846"/>
      <c r="F102" s="9846"/>
      <c r="G102" s="9846"/>
      <c r="H102" s="9846"/>
      <c r="I102" s="9846"/>
      <c r="J102" s="9846"/>
      <c r="K102" s="9846"/>
      <c r="L102" s="9846"/>
      <c r="M102" s="9846"/>
      <c r="N102" s="9846"/>
      <c r="O102" s="9846"/>
      <c r="P102" s="9846"/>
      <c r="Q102" s="9846"/>
      <c r="R102" s="9846"/>
      <c r="S102" s="9846"/>
      <c r="T102" s="9846"/>
      <c r="U102" s="9846"/>
      <c r="V102" s="9846"/>
      <c r="W102" s="9846"/>
      <c r="X102" s="9846"/>
      <c r="Y102" s="9846"/>
      <c r="Z102" s="9846"/>
      <c r="AA102" s="9846"/>
      <c r="AB102" s="253"/>
      <c r="AC102" s="9751" t="s">
        <v>2010</v>
      </c>
      <c r="AD102" s="9785"/>
      <c r="AE102" s="9786"/>
      <c r="AF102" s="9786"/>
      <c r="AG102" s="9786"/>
      <c r="AH102" s="9786"/>
      <c r="AI102" s="9786"/>
      <c r="AJ102" s="9786"/>
      <c r="AK102" s="2013"/>
      <c r="AO102" s="2027"/>
      <c r="AP102" s="2027"/>
      <c r="BL102" s="2027"/>
      <c r="BM102" s="2027"/>
    </row>
    <row r="103" spans="1:74" ht="13.5" customHeight="1">
      <c r="A103" s="2013"/>
      <c r="B103" s="253"/>
      <c r="C103" s="734" t="s">
        <v>3339</v>
      </c>
      <c r="D103" s="511" t="s">
        <v>3340</v>
      </c>
      <c r="E103" s="253"/>
      <c r="F103" s="253"/>
      <c r="G103" s="253"/>
      <c r="H103" s="253"/>
      <c r="I103" s="253"/>
      <c r="J103" s="253"/>
      <c r="K103" s="253"/>
      <c r="L103" s="253"/>
      <c r="M103" s="253"/>
      <c r="N103" s="253"/>
      <c r="O103" s="253"/>
      <c r="P103" s="253"/>
      <c r="Q103" s="253"/>
      <c r="R103" s="253"/>
      <c r="S103" s="253"/>
      <c r="T103" s="253"/>
      <c r="U103" s="253"/>
      <c r="V103" s="253"/>
      <c r="W103" s="253"/>
      <c r="X103" s="253"/>
      <c r="Y103" s="253"/>
      <c r="Z103" s="253"/>
      <c r="AA103" s="253"/>
      <c r="AB103" s="253"/>
      <c r="AC103" s="9854"/>
      <c r="AD103" s="9855"/>
      <c r="AE103" s="9788"/>
      <c r="AF103" s="8664"/>
      <c r="AG103" s="9788"/>
      <c r="AH103" s="8664"/>
      <c r="AI103" s="9788"/>
      <c r="AJ103" s="8664"/>
      <c r="AK103" s="2013"/>
      <c r="AO103" s="2027"/>
      <c r="AP103" s="2027"/>
      <c r="BL103" s="2027"/>
      <c r="BM103" s="2027"/>
    </row>
    <row r="104" spans="1:74" ht="13.5" customHeight="1">
      <c r="A104" s="2013"/>
      <c r="B104" s="253"/>
      <c r="C104" s="253"/>
      <c r="D104" s="511" t="s">
        <v>3341</v>
      </c>
      <c r="E104" s="253"/>
      <c r="F104" s="253"/>
      <c r="G104" s="253"/>
      <c r="H104" s="253"/>
      <c r="I104" s="253"/>
      <c r="J104" s="253"/>
      <c r="K104" s="253"/>
      <c r="L104" s="253"/>
      <c r="M104" s="253"/>
      <c r="N104" s="253"/>
      <c r="O104" s="253"/>
      <c r="P104" s="253"/>
      <c r="Q104" s="253"/>
      <c r="R104" s="253"/>
      <c r="S104" s="253"/>
      <c r="T104" s="253"/>
      <c r="U104" s="253"/>
      <c r="V104" s="253"/>
      <c r="W104" s="253"/>
      <c r="X104" s="253"/>
      <c r="Y104" s="253"/>
      <c r="Z104" s="253"/>
      <c r="AA104" s="253"/>
      <c r="AB104" s="253"/>
      <c r="AC104" s="9856"/>
      <c r="AD104" s="9857"/>
      <c r="AE104" s="8984"/>
      <c r="AF104" s="7879"/>
      <c r="AG104" s="7879"/>
      <c r="AH104" s="7879"/>
      <c r="AI104" s="7879"/>
      <c r="AJ104" s="7879"/>
      <c r="AK104" s="2013"/>
      <c r="AO104" s="2027"/>
      <c r="AP104" s="2027"/>
      <c r="BL104" s="2027"/>
      <c r="BM104" s="2027"/>
    </row>
    <row r="105" spans="1:74" ht="15.75" customHeight="1">
      <c r="A105" s="2013"/>
      <c r="B105" s="253"/>
      <c r="C105" s="734" t="s">
        <v>3252</v>
      </c>
      <c r="D105" s="511" t="s">
        <v>3342</v>
      </c>
      <c r="E105" s="253"/>
      <c r="F105" s="253"/>
      <c r="G105" s="253"/>
      <c r="H105" s="253"/>
      <c r="I105" s="253"/>
      <c r="J105" s="253"/>
      <c r="K105" s="253"/>
      <c r="L105" s="253"/>
      <c r="M105" s="253"/>
      <c r="N105" s="253"/>
      <c r="O105" s="253"/>
      <c r="P105" s="253"/>
      <c r="Q105" s="253"/>
      <c r="R105" s="253"/>
      <c r="S105" s="253"/>
      <c r="T105" s="253"/>
      <c r="U105" s="253"/>
      <c r="V105" s="253"/>
      <c r="W105" s="253"/>
      <c r="X105" s="253"/>
      <c r="Y105" s="253"/>
      <c r="Z105" s="253"/>
      <c r="AA105" s="253"/>
      <c r="AB105" s="2031" t="s">
        <v>3343</v>
      </c>
      <c r="AC105" s="9751" t="s">
        <v>2520</v>
      </c>
      <c r="AD105" s="9785"/>
      <c r="AE105" s="9786"/>
      <c r="AF105" s="9786"/>
      <c r="AG105" s="9786"/>
      <c r="AH105" s="9786"/>
      <c r="AI105" s="9786"/>
      <c r="AJ105" s="9786"/>
      <c r="AK105" s="2013"/>
      <c r="AO105" s="2027"/>
      <c r="AP105" s="2027"/>
      <c r="BL105" s="2027"/>
      <c r="BM105" s="2027"/>
    </row>
    <row r="106" spans="1:74" ht="13.5" customHeight="1">
      <c r="A106" s="2013"/>
      <c r="B106" s="253"/>
      <c r="C106" s="253"/>
      <c r="D106" s="253"/>
      <c r="E106" s="253"/>
      <c r="F106" s="253"/>
      <c r="G106" s="253"/>
      <c r="H106" s="253"/>
      <c r="I106" s="253"/>
      <c r="J106" s="253"/>
      <c r="K106" s="253"/>
      <c r="L106" s="253"/>
      <c r="M106" s="253"/>
      <c r="N106" s="253"/>
      <c r="O106" s="253"/>
      <c r="P106" s="253"/>
      <c r="Q106" s="253"/>
      <c r="R106" s="253"/>
      <c r="S106" s="253"/>
      <c r="T106" s="253"/>
      <c r="U106" s="253"/>
      <c r="V106" s="253"/>
      <c r="W106" s="253"/>
      <c r="X106" s="253"/>
      <c r="Y106" s="253"/>
      <c r="Z106" s="253"/>
      <c r="AA106" s="253"/>
      <c r="AB106" s="253"/>
      <c r="AC106" s="9128"/>
      <c r="AD106" s="9787"/>
      <c r="AE106" s="9128"/>
      <c r="AF106" s="9788"/>
      <c r="AG106" s="9788"/>
      <c r="AH106" s="9788"/>
      <c r="AI106" s="9788"/>
      <c r="AJ106" s="9788"/>
      <c r="AK106" s="2013"/>
      <c r="AO106" s="2027"/>
      <c r="AP106" s="2027"/>
      <c r="BL106" s="2027"/>
      <c r="BM106" s="2027"/>
    </row>
    <row r="107" spans="1:74" ht="13.5" customHeight="1">
      <c r="A107" s="2013"/>
      <c r="B107" s="253"/>
      <c r="C107" s="734" t="s">
        <v>2084</v>
      </c>
      <c r="D107" s="511" t="s">
        <v>3344</v>
      </c>
      <c r="E107" s="253"/>
      <c r="F107" s="253"/>
      <c r="G107" s="253"/>
      <c r="H107" s="253"/>
      <c r="I107" s="253"/>
      <c r="J107" s="253"/>
      <c r="K107" s="253"/>
      <c r="L107" s="253"/>
      <c r="M107" s="253"/>
      <c r="N107" s="253"/>
      <c r="O107" s="253"/>
      <c r="P107" s="253"/>
      <c r="Q107" s="253"/>
      <c r="R107" s="253"/>
      <c r="S107" s="253"/>
      <c r="T107" s="253"/>
      <c r="U107" s="253"/>
      <c r="V107" s="253"/>
      <c r="W107" s="253"/>
      <c r="X107" s="253"/>
      <c r="Y107" s="253"/>
      <c r="Z107" s="253"/>
      <c r="AA107" s="253"/>
      <c r="AB107" s="2031" t="s">
        <v>2099</v>
      </c>
      <c r="AC107" s="9751" t="s">
        <v>2522</v>
      </c>
      <c r="AD107" s="9785"/>
      <c r="AE107" s="9786"/>
      <c r="AF107" s="9786"/>
      <c r="AG107" s="9786"/>
      <c r="AH107" s="9786"/>
      <c r="AI107" s="9786"/>
      <c r="AJ107" s="9786"/>
      <c r="AK107" s="2013"/>
      <c r="AO107" s="2027"/>
      <c r="AP107" s="2027"/>
      <c r="BL107" s="2027"/>
      <c r="BM107" s="2027"/>
    </row>
    <row r="108" spans="1:74" ht="13.5" customHeight="1">
      <c r="A108" s="2013"/>
      <c r="B108" s="253"/>
      <c r="C108" s="253"/>
      <c r="D108" s="253"/>
      <c r="E108" s="253"/>
      <c r="F108" s="253"/>
      <c r="G108" s="253"/>
      <c r="H108" s="253"/>
      <c r="I108" s="253"/>
      <c r="J108" s="253"/>
      <c r="K108" s="253"/>
      <c r="L108" s="253"/>
      <c r="M108" s="253"/>
      <c r="N108" s="253"/>
      <c r="O108" s="253"/>
      <c r="P108" s="253"/>
      <c r="Q108" s="253"/>
      <c r="R108" s="253"/>
      <c r="S108" s="253"/>
      <c r="T108" s="253"/>
      <c r="U108" s="253"/>
      <c r="V108" s="253"/>
      <c r="W108" s="253"/>
      <c r="X108" s="253"/>
      <c r="Y108" s="253"/>
      <c r="Z108" s="253"/>
      <c r="AA108" s="253"/>
      <c r="AB108" s="253"/>
      <c r="AC108" s="9128"/>
      <c r="AD108" s="9787"/>
      <c r="AE108" s="9128"/>
      <c r="AF108" s="9788"/>
      <c r="AG108" s="9788"/>
      <c r="AH108" s="9788"/>
      <c r="AI108" s="9788"/>
      <c r="AJ108" s="9788"/>
      <c r="AK108" s="2013"/>
      <c r="AO108" s="2027"/>
      <c r="AP108" s="2027"/>
      <c r="BL108" s="2027"/>
      <c r="BM108" s="2027"/>
    </row>
    <row r="109" spans="1:74" ht="13.5" customHeight="1">
      <c r="A109" s="2013"/>
      <c r="B109" s="253"/>
      <c r="C109" s="734" t="s">
        <v>2086</v>
      </c>
      <c r="D109" s="511" t="s">
        <v>3345</v>
      </c>
      <c r="E109" s="253"/>
      <c r="F109" s="253"/>
      <c r="G109" s="253"/>
      <c r="H109" s="253"/>
      <c r="I109" s="253"/>
      <c r="J109" s="253"/>
      <c r="K109" s="253"/>
      <c r="L109" s="253"/>
      <c r="M109" s="253"/>
      <c r="N109" s="253"/>
      <c r="O109" s="253"/>
      <c r="P109" s="253"/>
      <c r="Q109" s="253"/>
      <c r="R109" s="253"/>
      <c r="S109" s="253"/>
      <c r="T109" s="253"/>
      <c r="U109" s="253"/>
      <c r="V109" s="253"/>
      <c r="W109" s="253"/>
      <c r="X109" s="253"/>
      <c r="Y109" s="253"/>
      <c r="Z109" s="253"/>
      <c r="AA109" s="253"/>
      <c r="AB109" s="2031" t="s">
        <v>3346</v>
      </c>
      <c r="AC109" s="9751" t="s">
        <v>3347</v>
      </c>
      <c r="AD109" s="9785"/>
      <c r="AE109" s="9786"/>
      <c r="AF109" s="9786"/>
      <c r="AG109" s="9786"/>
      <c r="AH109" s="9786"/>
      <c r="AI109" s="9786"/>
      <c r="AJ109" s="9786"/>
      <c r="AK109" s="2013"/>
      <c r="AO109" s="2027"/>
      <c r="AP109" s="2027"/>
      <c r="BL109" s="2027"/>
      <c r="BM109" s="2027"/>
    </row>
    <row r="110" spans="1:74" ht="13.5" customHeight="1">
      <c r="A110" s="2013"/>
      <c r="B110" s="253"/>
      <c r="C110" s="734" t="s">
        <v>3256</v>
      </c>
      <c r="D110" s="511" t="s">
        <v>3348</v>
      </c>
      <c r="E110" s="253"/>
      <c r="F110" s="253"/>
      <c r="G110" s="253"/>
      <c r="H110" s="253"/>
      <c r="I110" s="253"/>
      <c r="J110" s="253"/>
      <c r="K110" s="253"/>
      <c r="L110" s="253"/>
      <c r="M110" s="253"/>
      <c r="N110" s="253"/>
      <c r="O110" s="253"/>
      <c r="P110" s="253"/>
      <c r="Q110" s="9844"/>
      <c r="R110" s="9844"/>
      <c r="S110" s="9844"/>
      <c r="T110" s="9844"/>
      <c r="U110" s="9844"/>
      <c r="V110" s="9844"/>
      <c r="W110" s="9844"/>
      <c r="X110" s="9844"/>
      <c r="Y110" s="9844"/>
      <c r="Z110" s="9844"/>
      <c r="AA110" s="9844"/>
      <c r="AB110" s="253"/>
      <c r="AC110" s="9128"/>
      <c r="AD110" s="9787"/>
      <c r="AE110" s="9128"/>
      <c r="AF110" s="9788"/>
      <c r="AG110" s="9788"/>
      <c r="AH110" s="9788"/>
      <c r="AI110" s="9788"/>
      <c r="AJ110" s="9788"/>
      <c r="AK110" s="2013"/>
      <c r="AO110" s="2027"/>
      <c r="AP110" s="2027"/>
      <c r="BL110" s="2027"/>
      <c r="BM110" s="2027"/>
    </row>
    <row r="111" spans="1:74" ht="13.5" customHeight="1">
      <c r="A111" s="2013"/>
      <c r="B111" s="253"/>
      <c r="C111" s="253"/>
      <c r="D111" s="9805"/>
      <c r="E111" s="9806"/>
      <c r="F111" s="9806"/>
      <c r="G111" s="9806"/>
      <c r="H111" s="9806"/>
      <c r="I111" s="9806"/>
      <c r="J111" s="9806"/>
      <c r="K111" s="9806"/>
      <c r="L111" s="9806"/>
      <c r="M111" s="9806"/>
      <c r="N111" s="9806"/>
      <c r="O111" s="9806"/>
      <c r="P111" s="9806"/>
      <c r="Q111" s="9806"/>
      <c r="R111" s="9806"/>
      <c r="S111" s="9806"/>
      <c r="T111" s="9806"/>
      <c r="U111" s="9806"/>
      <c r="V111" s="9806"/>
      <c r="W111" s="9806"/>
      <c r="X111" s="9806"/>
      <c r="Y111" s="9806"/>
      <c r="Z111" s="9806"/>
      <c r="AA111" s="9806"/>
      <c r="AB111" s="253"/>
      <c r="AC111" s="9751" t="s">
        <v>3349</v>
      </c>
      <c r="AD111" s="9785"/>
      <c r="AE111" s="9786"/>
      <c r="AF111" s="9786"/>
      <c r="AG111" s="9786"/>
      <c r="AH111" s="9786"/>
      <c r="AI111" s="9786"/>
      <c r="AJ111" s="9786"/>
      <c r="AK111" s="2013"/>
      <c r="AO111" s="2027"/>
      <c r="AP111" s="2027"/>
      <c r="BL111" s="2027"/>
      <c r="BM111" s="2027"/>
    </row>
    <row r="112" spans="1:74" ht="13.5" customHeight="1">
      <c r="A112" s="2013"/>
      <c r="B112" s="253"/>
      <c r="C112" s="734" t="s">
        <v>3350</v>
      </c>
      <c r="D112" s="511" t="s">
        <v>3351</v>
      </c>
      <c r="E112" s="253"/>
      <c r="F112" s="253"/>
      <c r="G112" s="253"/>
      <c r="H112" s="253"/>
      <c r="I112" s="253"/>
      <c r="J112" s="253"/>
      <c r="K112" s="253"/>
      <c r="L112" s="253"/>
      <c r="M112" s="253"/>
      <c r="N112" s="253"/>
      <c r="O112" s="253"/>
      <c r="P112" s="253"/>
      <c r="Q112" s="253"/>
      <c r="R112" s="253"/>
      <c r="S112" s="253"/>
      <c r="T112" s="253"/>
      <c r="U112" s="253"/>
      <c r="V112" s="253"/>
      <c r="W112" s="253"/>
      <c r="X112" s="253"/>
      <c r="Y112" s="253"/>
      <c r="Z112" s="253"/>
      <c r="AA112" s="253"/>
      <c r="AB112" s="253"/>
      <c r="AC112" s="2073"/>
      <c r="AD112" s="2074"/>
      <c r="AE112" s="253"/>
      <c r="AF112" s="253"/>
      <c r="AG112" s="253"/>
      <c r="AH112" s="253"/>
      <c r="AI112" s="253"/>
      <c r="AJ112" s="253"/>
      <c r="AK112" s="2013"/>
      <c r="AO112" s="2027"/>
      <c r="AP112" s="2027"/>
      <c r="BL112" s="2027"/>
      <c r="BM112" s="2027"/>
    </row>
    <row r="113" spans="1:65" ht="13.5" customHeight="1">
      <c r="A113" s="2013"/>
      <c r="B113" s="253"/>
      <c r="C113" s="734" t="s">
        <v>3252</v>
      </c>
      <c r="D113" s="511" t="s">
        <v>3352</v>
      </c>
      <c r="E113" s="253"/>
      <c r="F113" s="253"/>
      <c r="G113" s="253"/>
      <c r="H113" s="253"/>
      <c r="I113" s="253"/>
      <c r="J113" s="253"/>
      <c r="K113" s="253"/>
      <c r="L113" s="253"/>
      <c r="M113" s="253"/>
      <c r="N113" s="253"/>
      <c r="O113" s="253"/>
      <c r="P113" s="253"/>
      <c r="Q113" s="253"/>
      <c r="R113" s="253"/>
      <c r="S113" s="253"/>
      <c r="T113" s="253"/>
      <c r="U113" s="9751" t="s">
        <v>3353</v>
      </c>
      <c r="V113" s="9785"/>
      <c r="W113" s="9786"/>
      <c r="X113" s="9786"/>
      <c r="Y113" s="9786"/>
      <c r="Z113" s="9786"/>
      <c r="AA113" s="9786"/>
      <c r="AB113" s="9786"/>
      <c r="AC113" s="2073"/>
      <c r="AD113" s="2074"/>
      <c r="AE113" s="253"/>
      <c r="AF113" s="253"/>
      <c r="AG113" s="253"/>
      <c r="AH113" s="253"/>
      <c r="AI113" s="253"/>
      <c r="AJ113" s="253"/>
      <c r="AK113" s="2013"/>
      <c r="AO113" s="2027"/>
      <c r="AP113" s="2027"/>
      <c r="BL113" s="2027"/>
      <c r="BM113" s="2027"/>
    </row>
    <row r="114" spans="1:65" ht="13.5" customHeight="1">
      <c r="A114" s="2013"/>
      <c r="B114" s="253"/>
      <c r="C114" s="734" t="s">
        <v>2084</v>
      </c>
      <c r="D114" s="511" t="s">
        <v>3354</v>
      </c>
      <c r="E114" s="253"/>
      <c r="F114" s="253"/>
      <c r="G114" s="253"/>
      <c r="H114" s="253"/>
      <c r="I114" s="253"/>
      <c r="J114" s="253"/>
      <c r="K114" s="253"/>
      <c r="L114" s="253"/>
      <c r="M114" s="253"/>
      <c r="N114" s="253"/>
      <c r="O114" s="253"/>
      <c r="P114" s="253"/>
      <c r="Q114" s="253"/>
      <c r="R114" s="253"/>
      <c r="S114" s="253"/>
      <c r="T114" s="2031" t="s">
        <v>612</v>
      </c>
      <c r="U114" s="9751" t="s">
        <v>3355</v>
      </c>
      <c r="V114" s="9785"/>
      <c r="W114" s="9786"/>
      <c r="X114" s="9786"/>
      <c r="Y114" s="9786"/>
      <c r="Z114" s="9786"/>
      <c r="AA114" s="9786"/>
      <c r="AB114" s="9786"/>
      <c r="AC114" s="2073"/>
      <c r="AD114" s="2074"/>
      <c r="AE114" s="253"/>
      <c r="AF114" s="253"/>
      <c r="AG114" s="253"/>
      <c r="AH114" s="253"/>
      <c r="AI114" s="253"/>
      <c r="AJ114" s="253"/>
      <c r="AK114" s="2013"/>
      <c r="BL114" s="2027"/>
      <c r="BM114" s="2027"/>
    </row>
    <row r="115" spans="1:65" ht="13.5" customHeight="1">
      <c r="A115" s="2013"/>
      <c r="B115" s="253"/>
      <c r="C115" s="734" t="s">
        <v>2086</v>
      </c>
      <c r="D115" s="511" t="s">
        <v>3356</v>
      </c>
      <c r="E115" s="253"/>
      <c r="F115" s="253"/>
      <c r="G115" s="253"/>
      <c r="H115" s="253"/>
      <c r="I115" s="253"/>
      <c r="J115" s="253"/>
      <c r="K115" s="253"/>
      <c r="L115" s="253"/>
      <c r="M115" s="253"/>
      <c r="N115" s="253"/>
      <c r="O115" s="253"/>
      <c r="P115" s="253"/>
      <c r="Q115" s="253"/>
      <c r="R115" s="253"/>
      <c r="S115" s="253"/>
      <c r="T115" s="2031" t="s">
        <v>665</v>
      </c>
      <c r="U115" s="9751" t="s">
        <v>3357</v>
      </c>
      <c r="V115" s="9785"/>
      <c r="W115" s="9786"/>
      <c r="X115" s="9786"/>
      <c r="Y115" s="9786"/>
      <c r="Z115" s="9786"/>
      <c r="AA115" s="9786"/>
      <c r="AB115" s="9786"/>
      <c r="AC115" s="2073"/>
      <c r="AD115" s="2074"/>
      <c r="AE115" s="253"/>
      <c r="AF115" s="253"/>
      <c r="AG115" s="253"/>
      <c r="AH115" s="253"/>
      <c r="AI115" s="253"/>
      <c r="AJ115" s="253"/>
      <c r="AK115" s="2013"/>
      <c r="BL115" s="2027"/>
      <c r="BM115" s="2027"/>
    </row>
    <row r="116" spans="1:65" ht="13.5" customHeight="1">
      <c r="A116" s="2013"/>
      <c r="B116" s="253"/>
      <c r="C116" s="734" t="s">
        <v>3256</v>
      </c>
      <c r="D116" s="511" t="s">
        <v>3358</v>
      </c>
      <c r="E116" s="253"/>
      <c r="F116" s="253"/>
      <c r="G116" s="253"/>
      <c r="H116" s="253"/>
      <c r="I116" s="253"/>
      <c r="J116" s="253"/>
      <c r="K116" s="253"/>
      <c r="L116" s="253"/>
      <c r="M116" s="253"/>
      <c r="N116" s="253"/>
      <c r="O116" s="253"/>
      <c r="P116" s="253"/>
      <c r="Q116" s="253"/>
      <c r="R116" s="253"/>
      <c r="S116" s="253"/>
      <c r="T116" s="2031" t="s">
        <v>647</v>
      </c>
      <c r="U116" s="9751" t="s">
        <v>3359</v>
      </c>
      <c r="V116" s="9785"/>
      <c r="W116" s="9786"/>
      <c r="X116" s="9786"/>
      <c r="Y116" s="9786"/>
      <c r="Z116" s="9786"/>
      <c r="AA116" s="9786"/>
      <c r="AB116" s="9786"/>
      <c r="AC116" s="2073"/>
      <c r="AD116" s="2074"/>
      <c r="AE116" s="253"/>
      <c r="AF116" s="253"/>
      <c r="AG116" s="253"/>
      <c r="AH116" s="253"/>
      <c r="AI116" s="253"/>
      <c r="AJ116" s="253"/>
      <c r="AK116" s="2013"/>
      <c r="BL116" s="2027"/>
      <c r="BM116" s="2027"/>
    </row>
    <row r="117" spans="1:65" ht="13.5" customHeight="1">
      <c r="A117" s="2013"/>
      <c r="B117" s="253"/>
      <c r="C117" s="734" t="s">
        <v>3258</v>
      </c>
      <c r="D117" s="511" t="s">
        <v>3360</v>
      </c>
      <c r="E117" s="253"/>
      <c r="F117" s="253"/>
      <c r="G117" s="253"/>
      <c r="H117" s="253"/>
      <c r="I117" s="253"/>
      <c r="J117" s="253"/>
      <c r="K117" s="253"/>
      <c r="L117" s="253"/>
      <c r="M117" s="253"/>
      <c r="N117" s="253"/>
      <c r="O117" s="253"/>
      <c r="P117" s="253"/>
      <c r="Q117" s="253"/>
      <c r="R117" s="253"/>
      <c r="S117" s="253"/>
      <c r="T117" s="2031" t="s">
        <v>665</v>
      </c>
      <c r="U117" s="9751" t="s">
        <v>3361</v>
      </c>
      <c r="V117" s="9785"/>
      <c r="W117" s="9786"/>
      <c r="X117" s="9786"/>
      <c r="Y117" s="9786"/>
      <c r="Z117" s="9786"/>
      <c r="AA117" s="9786"/>
      <c r="AB117" s="9786"/>
      <c r="AC117" s="2073"/>
      <c r="AD117" s="2074"/>
      <c r="AE117" s="253"/>
      <c r="AF117" s="253"/>
      <c r="AG117" s="253"/>
      <c r="AH117" s="253"/>
      <c r="AI117" s="253"/>
      <c r="AJ117" s="253"/>
      <c r="AK117" s="2013"/>
      <c r="BL117" s="2027"/>
      <c r="BM117" s="2027"/>
    </row>
    <row r="118" spans="1:65" ht="13.5" customHeight="1">
      <c r="A118" s="2013"/>
      <c r="B118" s="253"/>
      <c r="C118" s="734" t="s">
        <v>3362</v>
      </c>
      <c r="D118" s="511" t="s">
        <v>3363</v>
      </c>
      <c r="E118" s="253"/>
      <c r="F118" s="253"/>
      <c r="G118" s="253"/>
      <c r="H118" s="253"/>
      <c r="I118" s="253"/>
      <c r="J118" s="253"/>
      <c r="K118" s="253"/>
      <c r="L118" s="253"/>
      <c r="M118" s="253"/>
      <c r="N118" s="253"/>
      <c r="O118" s="253"/>
      <c r="P118" s="9892"/>
      <c r="Q118" s="9892"/>
      <c r="R118" s="9892"/>
      <c r="S118" s="9892"/>
      <c r="T118" s="253"/>
      <c r="U118" s="9851"/>
      <c r="V118" s="9860"/>
      <c r="W118" s="9128"/>
      <c r="X118" s="9788"/>
      <c r="Y118" s="9788"/>
      <c r="Z118" s="9788"/>
      <c r="AA118" s="9788"/>
      <c r="AB118" s="9787"/>
      <c r="AC118" s="2073"/>
      <c r="AD118" s="2074"/>
      <c r="AE118" s="253"/>
      <c r="AF118" s="253"/>
      <c r="AG118" s="253"/>
      <c r="AH118" s="253"/>
      <c r="AI118" s="253"/>
      <c r="AJ118" s="253"/>
      <c r="AK118" s="2013"/>
      <c r="BL118" s="2027"/>
      <c r="BM118" s="2027"/>
    </row>
    <row r="119" spans="1:65" ht="13.5" customHeight="1">
      <c r="A119" s="2013"/>
      <c r="B119" s="253"/>
      <c r="C119" s="253"/>
      <c r="D119" s="9805"/>
      <c r="E119" s="9806"/>
      <c r="F119" s="9806"/>
      <c r="G119" s="9806"/>
      <c r="H119" s="9806"/>
      <c r="I119" s="9806"/>
      <c r="J119" s="9806"/>
      <c r="K119" s="9806"/>
      <c r="L119" s="9806"/>
      <c r="M119" s="9806"/>
      <c r="N119" s="9806"/>
      <c r="O119" s="9806"/>
      <c r="P119" s="9806"/>
      <c r="Q119" s="9806"/>
      <c r="R119" s="9806"/>
      <c r="S119" s="9806"/>
      <c r="T119" s="253"/>
      <c r="U119" s="9751" t="s">
        <v>3364</v>
      </c>
      <c r="V119" s="9785"/>
      <c r="W119" s="9858"/>
      <c r="X119" s="9786"/>
      <c r="Y119" s="9786"/>
      <c r="Z119" s="9786"/>
      <c r="AA119" s="9786"/>
      <c r="AB119" s="9859"/>
      <c r="AC119" s="2073"/>
      <c r="AD119" s="2074"/>
      <c r="AE119" s="253"/>
      <c r="AF119" s="253"/>
      <c r="AG119" s="253"/>
      <c r="AH119" s="253"/>
      <c r="AI119" s="253"/>
      <c r="AJ119" s="253"/>
      <c r="AK119" s="2013"/>
      <c r="BL119" s="2027"/>
      <c r="BM119" s="2027"/>
    </row>
    <row r="120" spans="1:65" ht="13.5" customHeight="1">
      <c r="A120" s="2013"/>
      <c r="B120" s="253"/>
      <c r="C120" s="253"/>
      <c r="D120" s="253"/>
      <c r="E120" s="253"/>
      <c r="F120" s="253"/>
      <c r="G120" s="253"/>
      <c r="H120" s="253"/>
      <c r="I120" s="253"/>
      <c r="J120" s="253"/>
      <c r="K120" s="253"/>
      <c r="L120" s="253"/>
      <c r="M120" s="253"/>
      <c r="N120" s="253"/>
      <c r="O120" s="253"/>
      <c r="P120" s="253"/>
      <c r="Q120" s="253"/>
      <c r="R120" s="253"/>
      <c r="S120" s="253"/>
      <c r="T120" s="253"/>
      <c r="U120" s="253"/>
      <c r="V120" s="253"/>
      <c r="W120" s="253"/>
      <c r="X120" s="253"/>
      <c r="Y120" s="253"/>
      <c r="Z120" s="253"/>
      <c r="AA120" s="253"/>
      <c r="AB120" s="253"/>
      <c r="AC120" s="9128"/>
      <c r="AD120" s="9787"/>
      <c r="AE120" s="9128"/>
      <c r="AF120" s="9788"/>
      <c r="AG120" s="9788"/>
      <c r="AH120" s="9788"/>
      <c r="AI120" s="9788"/>
      <c r="AJ120" s="9788"/>
      <c r="AK120" s="2013"/>
      <c r="BL120" s="2027"/>
      <c r="BM120" s="2027"/>
    </row>
    <row r="121" spans="1:65" ht="15" customHeight="1">
      <c r="A121" s="2013"/>
      <c r="B121" s="253"/>
      <c r="C121" s="734" t="s">
        <v>3365</v>
      </c>
      <c r="D121" s="511" t="s">
        <v>3366</v>
      </c>
      <c r="E121" s="253"/>
      <c r="F121" s="253"/>
      <c r="G121" s="253"/>
      <c r="H121" s="253"/>
      <c r="I121" s="253"/>
      <c r="J121" s="253"/>
      <c r="K121" s="253"/>
      <c r="L121" s="253"/>
      <c r="M121" s="253"/>
      <c r="N121" s="253"/>
      <c r="O121" s="253"/>
      <c r="P121" s="253"/>
      <c r="Q121" s="253"/>
      <c r="R121" s="253"/>
      <c r="S121" s="253"/>
      <c r="T121" s="253"/>
      <c r="U121" s="253"/>
      <c r="V121" s="253"/>
      <c r="W121" s="253"/>
      <c r="X121" s="253"/>
      <c r="Y121" s="253"/>
      <c r="Z121" s="253"/>
      <c r="AA121" s="253"/>
      <c r="AB121" s="2031" t="s">
        <v>1877</v>
      </c>
      <c r="AC121" s="9751" t="s">
        <v>3367</v>
      </c>
      <c r="AD121" s="9785"/>
      <c r="AE121" s="9861">
        <f>IF(ISERROR(SUM(W113:W119)),"",SUM(W113:W119))</f>
        <v>0</v>
      </c>
      <c r="AF121" s="9861"/>
      <c r="AG121" s="9861"/>
      <c r="AH121" s="9861"/>
      <c r="AI121" s="9861"/>
      <c r="AJ121" s="9861"/>
      <c r="AK121" s="2013"/>
      <c r="BL121" s="2027"/>
      <c r="BM121" s="2027"/>
    </row>
    <row r="122" spans="1:65" ht="15" customHeight="1">
      <c r="A122" s="2013"/>
      <c r="B122" s="253"/>
      <c r="C122" s="734" t="s">
        <v>3368</v>
      </c>
      <c r="D122" s="511" t="s">
        <v>3369</v>
      </c>
      <c r="E122" s="253"/>
      <c r="F122" s="253"/>
      <c r="G122" s="253"/>
      <c r="H122" s="253"/>
      <c r="I122" s="253"/>
      <c r="J122" s="253"/>
      <c r="K122" s="253"/>
      <c r="L122" s="253"/>
      <c r="M122" s="253"/>
      <c r="N122" s="253"/>
      <c r="O122" s="253"/>
      <c r="P122" s="253"/>
      <c r="Q122" s="141"/>
      <c r="R122" s="9804"/>
      <c r="S122" s="9804"/>
      <c r="T122" s="9804"/>
      <c r="U122" s="9804"/>
      <c r="V122" s="9804"/>
      <c r="W122" s="9804"/>
      <c r="X122" s="9804"/>
      <c r="Y122" s="9804"/>
      <c r="Z122" s="9804"/>
      <c r="AA122" s="9804"/>
      <c r="AB122" s="253"/>
      <c r="AC122" s="9128"/>
      <c r="AD122" s="9787"/>
      <c r="AE122" s="9128"/>
      <c r="AF122" s="9788"/>
      <c r="AG122" s="9788"/>
      <c r="AH122" s="9788"/>
      <c r="AI122" s="9788"/>
      <c r="AJ122" s="9788"/>
      <c r="AK122" s="2013"/>
      <c r="BL122" s="2027"/>
      <c r="BM122" s="2027"/>
    </row>
    <row r="123" spans="1:65" ht="15" customHeight="1">
      <c r="A123" s="2013"/>
      <c r="B123" s="253"/>
      <c r="C123" s="253"/>
      <c r="D123" s="9805"/>
      <c r="E123" s="9846"/>
      <c r="F123" s="9846"/>
      <c r="G123" s="9846"/>
      <c r="H123" s="9846"/>
      <c r="I123" s="9846"/>
      <c r="J123" s="9846"/>
      <c r="K123" s="9846"/>
      <c r="L123" s="9846"/>
      <c r="M123" s="9846"/>
      <c r="N123" s="9846"/>
      <c r="O123" s="9846"/>
      <c r="P123" s="9846"/>
      <c r="Q123" s="9846"/>
      <c r="R123" s="9846"/>
      <c r="S123" s="9846"/>
      <c r="T123" s="9846"/>
      <c r="U123" s="9846"/>
      <c r="V123" s="9846"/>
      <c r="W123" s="9846"/>
      <c r="X123" s="9846"/>
      <c r="Y123" s="9846"/>
      <c r="Z123" s="9846"/>
      <c r="AA123" s="9846"/>
      <c r="AB123" s="253"/>
      <c r="AC123" s="9751">
        <v>23</v>
      </c>
      <c r="AD123" s="9785"/>
      <c r="AE123" s="9786"/>
      <c r="AF123" s="9786"/>
      <c r="AG123" s="9786"/>
      <c r="AH123" s="9786"/>
      <c r="AI123" s="9786"/>
      <c r="AJ123" s="9786"/>
      <c r="AK123" s="2013"/>
      <c r="BL123" s="2027"/>
      <c r="BM123" s="2027"/>
    </row>
    <row r="124" spans="1:65" ht="15" customHeight="1">
      <c r="A124" s="2013"/>
      <c r="B124" s="253"/>
      <c r="C124" s="253"/>
      <c r="D124" s="253"/>
      <c r="E124" s="253"/>
      <c r="F124" s="253"/>
      <c r="G124" s="253"/>
      <c r="H124" s="253"/>
      <c r="I124" s="253"/>
      <c r="J124" s="253"/>
      <c r="K124" s="253"/>
      <c r="L124" s="253"/>
      <c r="M124" s="253"/>
      <c r="N124" s="253"/>
      <c r="O124" s="253"/>
      <c r="P124" s="253"/>
      <c r="Q124" s="253"/>
      <c r="R124" s="253"/>
      <c r="S124" s="253"/>
      <c r="T124" s="253"/>
      <c r="U124" s="253"/>
      <c r="V124" s="253"/>
      <c r="W124" s="253"/>
      <c r="X124" s="253"/>
      <c r="Y124" s="253"/>
      <c r="Z124" s="253"/>
      <c r="AA124" s="253"/>
      <c r="AB124" s="253"/>
      <c r="AC124" s="9851"/>
      <c r="AD124" s="9860"/>
      <c r="AE124" s="9128"/>
      <c r="AF124" s="9788"/>
      <c r="AG124" s="9788"/>
      <c r="AH124" s="9788"/>
      <c r="AI124" s="9788"/>
      <c r="AJ124" s="9788"/>
      <c r="AK124" s="2013"/>
      <c r="BL124" s="2027"/>
      <c r="BM124" s="2027"/>
    </row>
    <row r="125" spans="1:65" ht="15" customHeight="1">
      <c r="A125" s="2013"/>
      <c r="B125" s="253"/>
      <c r="C125" s="734" t="s">
        <v>3370</v>
      </c>
      <c r="D125" s="511" t="s">
        <v>3371</v>
      </c>
      <c r="E125" s="253"/>
      <c r="F125" s="253"/>
      <c r="G125" s="253"/>
      <c r="H125" s="253"/>
      <c r="I125" s="253"/>
      <c r="J125" s="253"/>
      <c r="K125" s="253"/>
      <c r="L125" s="253"/>
      <c r="M125" s="253"/>
      <c r="N125" s="253"/>
      <c r="O125" s="253"/>
      <c r="P125" s="253"/>
      <c r="Q125" s="253"/>
      <c r="R125" s="253"/>
      <c r="S125" s="253"/>
      <c r="T125" s="253"/>
      <c r="U125" s="253"/>
      <c r="V125" s="253"/>
      <c r="W125" s="253"/>
      <c r="X125" s="253"/>
      <c r="Y125" s="253"/>
      <c r="Z125" s="253"/>
      <c r="AA125" s="253"/>
      <c r="AB125" s="2031" t="s">
        <v>665</v>
      </c>
      <c r="AC125" s="9751">
        <v>24</v>
      </c>
      <c r="AD125" s="9785"/>
      <c r="AE125" s="9861">
        <f>IF(ISERROR(SUM(AE98,AE100,AE102,AE105,AE107,AE109,AE111,AE121,AE123)),"",SUM(AE98,AE100,AE102,AE105,AE107,AE109,AE111,AE121,AE123))</f>
        <v>0</v>
      </c>
      <c r="AF125" s="9861"/>
      <c r="AG125" s="9861"/>
      <c r="AH125" s="9861"/>
      <c r="AI125" s="9861"/>
      <c r="AJ125" s="9861"/>
      <c r="AK125" s="2013"/>
      <c r="BL125" s="2027"/>
      <c r="BM125" s="2027"/>
    </row>
    <row r="126" spans="1:65" ht="15" customHeight="1">
      <c r="A126" s="2013"/>
      <c r="B126" s="253"/>
      <c r="C126" s="253"/>
      <c r="D126" s="253"/>
      <c r="E126" s="253"/>
      <c r="F126" s="253"/>
      <c r="G126" s="253"/>
      <c r="H126" s="253"/>
      <c r="I126" s="253"/>
      <c r="J126" s="253"/>
      <c r="K126" s="253"/>
      <c r="L126" s="253"/>
      <c r="M126" s="253"/>
      <c r="N126" s="253"/>
      <c r="O126" s="253"/>
      <c r="P126" s="253"/>
      <c r="Q126" s="253"/>
      <c r="R126" s="253"/>
      <c r="S126" s="253"/>
      <c r="T126" s="253"/>
      <c r="U126" s="253"/>
      <c r="V126" s="253"/>
      <c r="W126" s="253"/>
      <c r="X126" s="253"/>
      <c r="Y126" s="253"/>
      <c r="Z126" s="253"/>
      <c r="AA126" s="253"/>
      <c r="AB126" s="253"/>
      <c r="AC126" s="9851"/>
      <c r="AD126" s="9860"/>
      <c r="AE126" s="9128"/>
      <c r="AF126" s="9788"/>
      <c r="AG126" s="9788"/>
      <c r="AH126" s="9788"/>
      <c r="AI126" s="9788"/>
      <c r="AJ126" s="9788"/>
      <c r="AK126" s="2013"/>
      <c r="BL126" s="2027"/>
      <c r="BM126" s="2027"/>
    </row>
    <row r="127" spans="1:65" ht="15" customHeight="1">
      <c r="A127" s="2013"/>
      <c r="B127" s="253"/>
      <c r="C127" s="734" t="s">
        <v>3372</v>
      </c>
      <c r="D127" s="511" t="s">
        <v>3373</v>
      </c>
      <c r="E127" s="253"/>
      <c r="F127" s="253"/>
      <c r="G127" s="253"/>
      <c r="H127" s="253"/>
      <c r="I127" s="253"/>
      <c r="J127" s="253"/>
      <c r="K127" s="253"/>
      <c r="L127" s="253"/>
      <c r="M127" s="253"/>
      <c r="N127" s="253"/>
      <c r="O127" s="253"/>
      <c r="P127" s="253"/>
      <c r="Q127" s="253"/>
      <c r="R127" s="253"/>
      <c r="S127" s="253"/>
      <c r="T127" s="253"/>
      <c r="U127" s="253"/>
      <c r="V127" s="253"/>
      <c r="W127" s="253"/>
      <c r="X127" s="253"/>
      <c r="Y127" s="253"/>
      <c r="Z127" s="253"/>
      <c r="AA127" s="253"/>
      <c r="AB127" s="253"/>
      <c r="AC127" s="9751">
        <v>25</v>
      </c>
      <c r="AD127" s="9785"/>
      <c r="AE127" s="9786"/>
      <c r="AF127" s="9786"/>
      <c r="AG127" s="9786"/>
      <c r="AH127" s="9786"/>
      <c r="AI127" s="9786"/>
      <c r="AJ127" s="9786"/>
      <c r="AK127" s="2013"/>
      <c r="BL127" s="2027"/>
      <c r="BM127" s="2027"/>
    </row>
    <row r="128" spans="1:65" ht="15" customHeight="1" thickBot="1">
      <c r="A128" s="2013"/>
      <c r="B128" s="253"/>
      <c r="C128" s="734" t="s">
        <v>3374</v>
      </c>
      <c r="D128" s="511" t="s">
        <v>3375</v>
      </c>
      <c r="E128" s="253"/>
      <c r="F128" s="253"/>
      <c r="G128" s="253"/>
      <c r="H128" s="253"/>
      <c r="I128" s="253"/>
      <c r="J128" s="253"/>
      <c r="K128" s="253"/>
      <c r="L128" s="253"/>
      <c r="M128" s="253"/>
      <c r="N128" s="253"/>
      <c r="O128" s="253"/>
      <c r="P128" s="253"/>
      <c r="Q128" s="253"/>
      <c r="R128" s="253"/>
      <c r="S128" s="253"/>
      <c r="T128" s="253"/>
      <c r="U128" s="349"/>
      <c r="V128" s="349"/>
      <c r="W128" s="810" t="str">
        <f>"This is your "&amp;TaxYear</f>
        <v>This is your 2025</v>
      </c>
      <c r="X128" s="253"/>
      <c r="Y128" s="253"/>
      <c r="Z128" s="253"/>
      <c r="AA128" s="253"/>
      <c r="AB128" s="253"/>
      <c r="AC128" s="9851"/>
      <c r="AD128" s="9860"/>
      <c r="AE128" s="9128"/>
      <c r="AF128" s="9788"/>
      <c r="AG128" s="9788"/>
      <c r="AH128" s="9788"/>
      <c r="AI128" s="9788"/>
      <c r="AJ128" s="9788"/>
      <c r="AK128" s="2013"/>
      <c r="AM128" s="817" t="s">
        <v>771</v>
      </c>
      <c r="BL128" s="2027"/>
      <c r="BM128" s="2027"/>
    </row>
    <row r="129" spans="1:74" ht="15" customHeight="1" thickBot="1">
      <c r="A129" s="2013"/>
      <c r="B129" s="253"/>
      <c r="C129" s="734"/>
      <c r="D129" s="810" t="s">
        <v>3376</v>
      </c>
      <c r="E129" s="253"/>
      <c r="F129" s="253"/>
      <c r="G129" s="253"/>
      <c r="H129" s="253"/>
      <c r="I129" s="253"/>
      <c r="J129" s="253"/>
      <c r="K129" s="253"/>
      <c r="L129" s="253"/>
      <c r="M129" s="253"/>
      <c r="N129" s="253"/>
      <c r="O129" s="253"/>
      <c r="P129" s="253"/>
      <c r="Q129" s="253"/>
      <c r="R129" s="253"/>
      <c r="S129" s="253"/>
      <c r="T129" s="253"/>
      <c r="U129" s="253"/>
      <c r="V129" s="253"/>
      <c r="W129" s="253"/>
      <c r="X129" s="253"/>
      <c r="Y129" s="253"/>
      <c r="Z129" s="253"/>
      <c r="AA129" s="2075" t="s">
        <v>668</v>
      </c>
      <c r="AB129" s="2076"/>
      <c r="AC129" s="9868">
        <v>26</v>
      </c>
      <c r="AD129" s="9869"/>
      <c r="AE129" s="9861">
        <f>IF(AM129&lt;&gt;"",ROUND(AM129,0),ROUND(SUM(AE125,-AE127),0))</f>
        <v>0</v>
      </c>
      <c r="AF129" s="9861"/>
      <c r="AG129" s="9861"/>
      <c r="AH129" s="9861"/>
      <c r="AI129" s="9861"/>
      <c r="AJ129" s="9861"/>
      <c r="AK129" s="2013"/>
      <c r="AM129" s="449"/>
      <c r="BL129" s="2027"/>
      <c r="BM129" s="2027"/>
    </row>
    <row r="130" spans="1:74" ht="18.75" thickTop="1">
      <c r="A130" s="2013"/>
      <c r="B130" s="257"/>
      <c r="C130" s="257"/>
      <c r="D130" s="257"/>
      <c r="E130" s="257"/>
      <c r="F130" s="257"/>
      <c r="G130" s="257"/>
      <c r="H130" s="257"/>
      <c r="I130" s="257"/>
      <c r="J130" s="257"/>
      <c r="K130" s="257"/>
      <c r="L130" s="257"/>
      <c r="M130" s="257"/>
      <c r="N130" s="257"/>
      <c r="O130" s="257"/>
      <c r="P130" s="257"/>
      <c r="Q130" s="257"/>
      <c r="R130" s="257"/>
      <c r="S130" s="257"/>
      <c r="T130" s="257"/>
      <c r="U130" s="257"/>
      <c r="V130" s="257"/>
      <c r="W130" s="257"/>
      <c r="X130" s="257"/>
      <c r="Y130" s="257"/>
      <c r="Z130" s="257"/>
      <c r="AA130" s="257"/>
      <c r="AB130" s="257"/>
      <c r="AC130" s="257"/>
      <c r="AD130" s="257"/>
      <c r="AE130" s="257"/>
      <c r="AF130" s="257"/>
      <c r="AG130" s="257"/>
      <c r="AH130" s="2077" t="s">
        <v>3377</v>
      </c>
      <c r="AI130" s="2078" t="str">
        <f>" ("&amp;TaxYear&amp;")"</f>
        <v xml:space="preserve"> (2025)</v>
      </c>
      <c r="AJ130" s="2079"/>
      <c r="AK130" s="2013"/>
      <c r="AO130" s="2050"/>
      <c r="AP130" s="2051"/>
      <c r="BL130" s="2027"/>
      <c r="BM130" s="2027"/>
      <c r="BO130" s="2027"/>
      <c r="BP130" s="2027"/>
      <c r="BQ130" s="2027"/>
      <c r="BR130" s="2027"/>
      <c r="BS130" s="2027"/>
      <c r="BT130" s="2027"/>
      <c r="BU130" s="2027"/>
      <c r="BV130" s="2027"/>
    </row>
    <row r="131" spans="1:74" ht="18.75" thickBot="1">
      <c r="A131" s="2013"/>
      <c r="B131" s="2080" t="str">
        <f>"Form 2555 ("&amp;TaxYear&amp;")"</f>
        <v>Form 2555 (2025)</v>
      </c>
      <c r="C131" s="721"/>
      <c r="D131" s="721"/>
      <c r="E131" s="721"/>
      <c r="F131" s="721"/>
      <c r="G131" s="721"/>
      <c r="H131" s="721"/>
      <c r="I131" s="721"/>
      <c r="J131" s="721"/>
      <c r="K131" s="721"/>
      <c r="L131" s="721"/>
      <c r="M131" s="721"/>
      <c r="N131" s="721"/>
      <c r="O131" s="721"/>
      <c r="P131" s="721"/>
      <c r="Q131" s="721"/>
      <c r="R131" s="721"/>
      <c r="S131" s="721"/>
      <c r="T131" s="721"/>
      <c r="U131" s="721"/>
      <c r="V131" s="721"/>
      <c r="W131" s="721"/>
      <c r="X131" s="721"/>
      <c r="Y131" s="721"/>
      <c r="Z131" s="721"/>
      <c r="AA131" s="721"/>
      <c r="AB131" s="721"/>
      <c r="AC131" s="721"/>
      <c r="AD131" s="721"/>
      <c r="AE131" s="721"/>
      <c r="AF131" s="721"/>
      <c r="AG131" s="721"/>
      <c r="AH131" s="721"/>
      <c r="AI131" s="2053" t="s">
        <v>2079</v>
      </c>
      <c r="AJ131" s="2054">
        <v>3</v>
      </c>
      <c r="AK131" s="2013"/>
      <c r="AO131" s="2050"/>
      <c r="AP131" s="2051"/>
      <c r="BL131" s="2027"/>
      <c r="BM131" s="2027"/>
      <c r="BO131" s="2027"/>
      <c r="BP131" s="2027"/>
      <c r="BQ131" s="2027"/>
      <c r="BR131" s="2027"/>
      <c r="BS131" s="2027"/>
      <c r="BT131" s="2027"/>
      <c r="BU131" s="2027"/>
      <c r="BV131" s="2027"/>
    </row>
    <row r="132" spans="1:74" ht="20.25" customHeight="1" thickTop="1">
      <c r="A132" s="2013"/>
      <c r="B132" s="9755" t="s">
        <v>2117</v>
      </c>
      <c r="C132" s="8489"/>
      <c r="D132" s="2081" t="s">
        <v>3325</v>
      </c>
      <c r="E132" s="2082"/>
      <c r="F132" s="2082"/>
      <c r="G132" s="2082"/>
      <c r="H132" s="2082"/>
      <c r="I132" s="2082"/>
      <c r="J132" s="2082"/>
      <c r="K132" s="2082"/>
      <c r="L132" s="2082"/>
      <c r="M132" s="2082"/>
      <c r="N132" s="2082"/>
      <c r="O132" s="2082"/>
      <c r="P132" s="2082"/>
      <c r="Q132" s="2082"/>
      <c r="R132" s="2082"/>
      <c r="S132" s="2082"/>
      <c r="T132" s="2082"/>
      <c r="U132" s="2082"/>
      <c r="V132" s="2082"/>
      <c r="W132" s="2082"/>
      <c r="X132" s="2082"/>
      <c r="Y132" s="2082"/>
      <c r="Z132" s="2082"/>
      <c r="AA132" s="2082"/>
      <c r="AB132" s="2082"/>
      <c r="AC132" s="2082"/>
      <c r="AD132" s="2082"/>
      <c r="AE132" s="2082"/>
      <c r="AF132" s="2082"/>
      <c r="AG132" s="2082"/>
      <c r="AH132" s="2082"/>
      <c r="AI132" s="2082"/>
      <c r="AJ132" s="2082"/>
      <c r="AK132" s="2013"/>
    </row>
    <row r="133" spans="1:74" ht="15" customHeight="1">
      <c r="A133" s="2013"/>
      <c r="B133" s="253"/>
      <c r="C133" s="253"/>
      <c r="D133" s="253"/>
      <c r="E133" s="253"/>
      <c r="F133" s="253"/>
      <c r="G133" s="253"/>
      <c r="H133" s="253"/>
      <c r="I133" s="253"/>
      <c r="J133" s="253"/>
      <c r="K133" s="253"/>
      <c r="L133" s="253"/>
      <c r="M133" s="253"/>
      <c r="N133" s="253"/>
      <c r="O133" s="253"/>
      <c r="P133" s="253"/>
      <c r="Q133" s="253"/>
      <c r="R133" s="253"/>
      <c r="S133" s="253"/>
      <c r="T133" s="253"/>
      <c r="U133" s="253"/>
      <c r="V133" s="253"/>
      <c r="W133" s="253"/>
      <c r="X133" s="253"/>
      <c r="Y133" s="253"/>
      <c r="Z133" s="253"/>
      <c r="AA133" s="253"/>
      <c r="AB133" s="253"/>
      <c r="AC133" s="8984"/>
      <c r="AD133" s="9863"/>
      <c r="AE133" s="8984"/>
      <c r="AF133" s="7879"/>
      <c r="AG133" s="7879"/>
      <c r="AH133" s="7879"/>
      <c r="AI133" s="7879"/>
      <c r="AJ133" s="7879"/>
      <c r="AK133" s="2013"/>
      <c r="BL133" s="2027"/>
      <c r="BM133" s="2027"/>
    </row>
    <row r="134" spans="1:74" ht="15" customHeight="1">
      <c r="A134" s="2013"/>
      <c r="B134" s="253"/>
      <c r="C134" s="734" t="s">
        <v>3378</v>
      </c>
      <c r="D134" s="511" t="s">
        <v>3379</v>
      </c>
      <c r="E134" s="253"/>
      <c r="F134" s="253"/>
      <c r="G134" s="253"/>
      <c r="H134" s="253"/>
      <c r="I134" s="253"/>
      <c r="J134" s="253"/>
      <c r="K134" s="253"/>
      <c r="L134" s="253"/>
      <c r="M134" s="253"/>
      <c r="N134" s="253"/>
      <c r="O134" s="253"/>
      <c r="P134" s="253"/>
      <c r="Q134" s="253"/>
      <c r="R134" s="253"/>
      <c r="S134" s="253"/>
      <c r="T134" s="253"/>
      <c r="U134" s="253"/>
      <c r="V134" s="253"/>
      <c r="W134" s="253"/>
      <c r="X134" s="253"/>
      <c r="Y134" s="253"/>
      <c r="Z134" s="253"/>
      <c r="AA134" s="253"/>
      <c r="AB134" s="2031" t="s">
        <v>668</v>
      </c>
      <c r="AC134" s="9751">
        <v>27</v>
      </c>
      <c r="AD134" s="9785"/>
      <c r="AE134" s="9861">
        <f>ForeignEarnedIncome1</f>
        <v>0</v>
      </c>
      <c r="AF134" s="9861"/>
      <c r="AG134" s="9861"/>
      <c r="AH134" s="9861"/>
      <c r="AI134" s="9861"/>
      <c r="AJ134" s="9861"/>
      <c r="AK134" s="2013"/>
      <c r="AO134" s="2083">
        <f>IF(AE129="",0,AE129)</f>
        <v>0</v>
      </c>
      <c r="BL134" s="2027"/>
      <c r="BM134" s="2027"/>
    </row>
    <row r="135" spans="1:74" ht="16.5" customHeight="1" thickBot="1">
      <c r="A135" s="2013"/>
      <c r="B135" s="253"/>
      <c r="C135" s="253"/>
      <c r="D135" s="1672" t="s">
        <v>3380</v>
      </c>
      <c r="E135" s="253"/>
      <c r="F135" s="253"/>
      <c r="G135" s="253"/>
      <c r="H135" s="253"/>
      <c r="I135" s="253"/>
      <c r="J135" s="253"/>
      <c r="K135" s="253"/>
      <c r="L135" s="253"/>
      <c r="M135" s="253"/>
      <c r="N135" s="253"/>
      <c r="O135" s="253"/>
      <c r="P135" s="253"/>
      <c r="Q135" s="253"/>
      <c r="R135" s="253"/>
      <c r="S135" s="253"/>
      <c r="T135" s="253"/>
      <c r="U135" s="253"/>
      <c r="V135" s="253"/>
      <c r="W135" s="253"/>
      <c r="X135" s="253"/>
      <c r="Y135" s="253"/>
      <c r="Z135" s="253"/>
      <c r="AA135" s="253"/>
      <c r="AB135" s="253"/>
      <c r="AC135" s="253"/>
      <c r="AD135" s="253"/>
      <c r="AE135" s="253"/>
      <c r="AF135" s="253"/>
      <c r="AG135" s="253"/>
      <c r="AH135" s="253"/>
      <c r="AI135" s="253"/>
      <c r="AJ135" s="253"/>
      <c r="AK135" s="2013"/>
      <c r="BL135" s="2027"/>
      <c r="BM135" s="2027"/>
    </row>
    <row r="136" spans="1:74" ht="15" customHeight="1" thickBot="1">
      <c r="A136" s="2013"/>
      <c r="B136" s="512"/>
      <c r="C136" s="253"/>
      <c r="D136" s="277"/>
      <c r="E136" s="511" t="s">
        <v>3381</v>
      </c>
      <c r="F136" s="253"/>
      <c r="G136" s="253"/>
      <c r="H136" s="253"/>
      <c r="I136" s="253"/>
      <c r="J136" s="253"/>
      <c r="K136" s="794"/>
      <c r="L136" s="253"/>
      <c r="M136" s="253"/>
      <c r="N136" s="253"/>
      <c r="O136" s="253"/>
      <c r="P136" s="253"/>
      <c r="Q136" s="253"/>
      <c r="R136" s="253"/>
      <c r="S136" s="253"/>
      <c r="T136" s="253"/>
      <c r="U136" s="253"/>
      <c r="V136" s="253"/>
      <c r="W136" s="253"/>
      <c r="X136" s="253"/>
      <c r="Y136" s="253"/>
      <c r="Z136" s="253"/>
      <c r="AA136" s="253"/>
      <c r="AB136" s="253"/>
      <c r="AC136" s="253"/>
      <c r="AD136" s="253"/>
      <c r="AE136" s="253"/>
      <c r="AF136" s="253"/>
      <c r="AG136" s="253"/>
      <c r="AH136" s="253"/>
      <c r="AI136" s="253"/>
      <c r="AJ136" s="253"/>
      <c r="AK136" s="2013"/>
      <c r="AM136" s="2084" t="b">
        <f>(D136&lt;&gt;"")</f>
        <v>0</v>
      </c>
      <c r="BL136" s="2027"/>
      <c r="BM136" s="2027"/>
    </row>
    <row r="137" spans="1:74" ht="4.5" customHeight="1" thickBot="1">
      <c r="A137" s="2013"/>
      <c r="B137" s="253"/>
      <c r="C137" s="253"/>
      <c r="D137" s="253"/>
      <c r="E137" s="253"/>
      <c r="F137" s="253"/>
      <c r="G137" s="253"/>
      <c r="H137" s="253"/>
      <c r="I137" s="253"/>
      <c r="J137" s="253"/>
      <c r="K137" s="253"/>
      <c r="L137" s="253"/>
      <c r="M137" s="253"/>
      <c r="N137" s="253"/>
      <c r="O137" s="253"/>
      <c r="P137" s="253"/>
      <c r="Q137" s="253"/>
      <c r="R137" s="253"/>
      <c r="S137" s="253"/>
      <c r="T137" s="253"/>
      <c r="U137" s="253"/>
      <c r="V137" s="253"/>
      <c r="W137" s="253"/>
      <c r="X137" s="253"/>
      <c r="Y137" s="253"/>
      <c r="Z137" s="253"/>
      <c r="AA137" s="253"/>
      <c r="AB137" s="253"/>
      <c r="AC137" s="253"/>
      <c r="AD137" s="253"/>
      <c r="AE137" s="253"/>
      <c r="AF137" s="253"/>
      <c r="AG137" s="253"/>
      <c r="AH137" s="253"/>
      <c r="AI137" s="253"/>
      <c r="AJ137" s="253"/>
      <c r="AK137" s="2013"/>
      <c r="BL137" s="2027"/>
      <c r="BM137" s="2027"/>
    </row>
    <row r="138" spans="1:74" ht="15" customHeight="1" thickBot="1">
      <c r="A138" s="2013"/>
      <c r="B138" s="512"/>
      <c r="C138" s="253"/>
      <c r="D138" s="1987" t="str">
        <f>IF(D136="","X","")</f>
        <v>X</v>
      </c>
      <c r="E138" s="511" t="s">
        <v>3382</v>
      </c>
      <c r="F138" s="253"/>
      <c r="G138" s="253"/>
      <c r="H138" s="253"/>
      <c r="I138" s="253"/>
      <c r="J138" s="253"/>
      <c r="K138" s="253"/>
      <c r="L138" s="253"/>
      <c r="M138" s="253"/>
      <c r="N138" s="253"/>
      <c r="O138" s="253"/>
      <c r="P138" s="253"/>
      <c r="Q138" s="253"/>
      <c r="R138" s="253"/>
      <c r="S138" s="253"/>
      <c r="T138" s="253"/>
      <c r="U138" s="253"/>
      <c r="V138" s="253"/>
      <c r="W138" s="253"/>
      <c r="X138" s="253"/>
      <c r="Y138" s="253"/>
      <c r="Z138" s="253"/>
      <c r="AA138" s="253"/>
      <c r="AB138" s="253"/>
      <c r="AC138" s="253"/>
      <c r="AD138" s="253"/>
      <c r="AE138" s="253"/>
      <c r="AF138" s="253"/>
      <c r="AG138" s="253"/>
      <c r="AH138" s="253"/>
      <c r="AI138" s="253"/>
      <c r="AJ138" s="253"/>
      <c r="AK138" s="2013"/>
      <c r="AM138" s="2084" t="b">
        <f>(D138&lt;&gt;"")</f>
        <v>1</v>
      </c>
      <c r="BL138" s="2027"/>
      <c r="BM138" s="2027"/>
    </row>
    <row r="139" spans="1:74" ht="6.75" customHeight="1">
      <c r="A139" s="2013"/>
      <c r="B139" s="1999"/>
      <c r="C139" s="1999"/>
      <c r="D139" s="1999"/>
      <c r="E139" s="1999"/>
      <c r="F139" s="1999"/>
      <c r="G139" s="1999"/>
      <c r="H139" s="1999"/>
      <c r="I139" s="1999"/>
      <c r="J139" s="1999"/>
      <c r="K139" s="1999"/>
      <c r="L139" s="1999"/>
      <c r="M139" s="1999"/>
      <c r="N139" s="1999"/>
      <c r="O139" s="1999"/>
      <c r="P139" s="1999"/>
      <c r="Q139" s="1999"/>
      <c r="R139" s="1999"/>
      <c r="S139" s="1999"/>
      <c r="T139" s="1999"/>
      <c r="U139" s="1999"/>
      <c r="V139" s="1999"/>
      <c r="W139" s="1999"/>
      <c r="X139" s="1999"/>
      <c r="Y139" s="1999"/>
      <c r="Z139" s="1999"/>
      <c r="AA139" s="1999"/>
      <c r="AB139" s="1999"/>
      <c r="AC139" s="1999"/>
      <c r="AD139" s="1999"/>
      <c r="AE139" s="1999"/>
      <c r="AF139" s="1999"/>
      <c r="AG139" s="1999"/>
      <c r="AH139" s="1999"/>
      <c r="AI139" s="1999"/>
      <c r="AJ139" s="1999"/>
      <c r="AK139" s="2013"/>
    </row>
    <row r="140" spans="1:74" ht="18.75" customHeight="1">
      <c r="A140" s="2013"/>
      <c r="B140" s="9755" t="s">
        <v>3383</v>
      </c>
      <c r="C140" s="8489"/>
      <c r="D140" s="2085" t="s">
        <v>3384</v>
      </c>
      <c r="E140" s="2021"/>
      <c r="F140" s="2021"/>
      <c r="G140" s="2021"/>
      <c r="H140" s="2021"/>
      <c r="I140" s="2021"/>
      <c r="J140" s="2021"/>
      <c r="K140" s="2021"/>
      <c r="L140" s="2021"/>
      <c r="M140" s="2021"/>
      <c r="N140" s="2021"/>
      <c r="O140" s="2021"/>
      <c r="P140" s="2021"/>
      <c r="Q140" s="2021"/>
      <c r="R140" s="2021"/>
      <c r="S140" s="2021"/>
      <c r="T140" s="2021"/>
      <c r="U140" s="2021"/>
      <c r="V140" s="2021"/>
      <c r="W140" s="2021"/>
      <c r="X140" s="2021"/>
      <c r="Y140" s="2021"/>
      <c r="Z140" s="2021"/>
      <c r="AA140" s="2021"/>
      <c r="AB140" s="2021"/>
      <c r="AC140" s="2021"/>
      <c r="AD140" s="2021"/>
      <c r="AE140" s="2021"/>
      <c r="AF140" s="2021"/>
      <c r="AG140" s="2021"/>
      <c r="AH140" s="2021"/>
      <c r="AI140" s="2021"/>
      <c r="AJ140" s="2021"/>
      <c r="AK140" s="2013"/>
    </row>
    <row r="141" spans="1:74" ht="15" customHeight="1">
      <c r="A141" s="2013"/>
      <c r="B141" s="253"/>
      <c r="C141" s="253"/>
      <c r="D141" s="253"/>
      <c r="E141" s="253"/>
      <c r="F141" s="253"/>
      <c r="G141" s="253"/>
      <c r="H141" s="253"/>
      <c r="I141" s="253"/>
      <c r="J141" s="253"/>
      <c r="K141" s="253"/>
      <c r="L141" s="253"/>
      <c r="M141" s="253"/>
      <c r="N141" s="253"/>
      <c r="O141" s="253"/>
      <c r="P141" s="253"/>
      <c r="Q141" s="253"/>
      <c r="R141" s="253"/>
      <c r="S141" s="253"/>
      <c r="T141" s="253"/>
      <c r="U141" s="253"/>
      <c r="V141" s="253"/>
      <c r="W141" s="253"/>
      <c r="X141" s="253"/>
      <c r="Y141" s="253"/>
      <c r="Z141" s="253"/>
      <c r="AA141" s="253"/>
      <c r="AB141" s="253"/>
      <c r="AC141" s="8984"/>
      <c r="AD141" s="9863"/>
      <c r="AE141" s="8984"/>
      <c r="AF141" s="7879"/>
      <c r="AG141" s="7879"/>
      <c r="AH141" s="7879"/>
      <c r="AI141" s="7879"/>
      <c r="AJ141" s="7879"/>
      <c r="AK141" s="2013"/>
      <c r="BL141" s="2027"/>
      <c r="BM141" s="2027"/>
    </row>
    <row r="142" spans="1:74" ht="15" customHeight="1">
      <c r="A142" s="2013"/>
      <c r="B142" s="253"/>
      <c r="C142" s="734" t="s">
        <v>3385</v>
      </c>
      <c r="D142" s="511" t="s">
        <v>3386</v>
      </c>
      <c r="E142" s="253"/>
      <c r="F142" s="253"/>
      <c r="G142" s="253"/>
      <c r="H142" s="253"/>
      <c r="I142" s="253"/>
      <c r="J142" s="253"/>
      <c r="K142" s="253"/>
      <c r="L142" s="253"/>
      <c r="M142" s="253"/>
      <c r="N142" s="253"/>
      <c r="O142" s="253"/>
      <c r="P142" s="253"/>
      <c r="Q142" s="253"/>
      <c r="R142" s="253"/>
      <c r="S142" s="253"/>
      <c r="T142" s="253"/>
      <c r="U142" s="253"/>
      <c r="V142" s="253"/>
      <c r="W142" s="253"/>
      <c r="X142" s="253"/>
      <c r="Y142" s="253"/>
      <c r="Z142" s="253"/>
      <c r="AA142" s="253"/>
      <c r="AB142" s="2031" t="s">
        <v>597</v>
      </c>
      <c r="AC142" s="9751">
        <v>28</v>
      </c>
      <c r="AD142" s="9785"/>
      <c r="AE142" s="9786"/>
      <c r="AF142" s="9786"/>
      <c r="AG142" s="9786"/>
      <c r="AH142" s="9786"/>
      <c r="AI142" s="9786"/>
      <c r="AJ142" s="9786"/>
      <c r="AK142" s="2013"/>
      <c r="BL142" s="2027"/>
      <c r="BM142" s="2027"/>
    </row>
    <row r="143" spans="1:74" ht="15" customHeight="1">
      <c r="A143" s="2013"/>
      <c r="B143" s="253"/>
      <c r="C143" s="734" t="s">
        <v>3387</v>
      </c>
      <c r="D143" s="511" t="s">
        <v>3388</v>
      </c>
      <c r="E143" s="253"/>
      <c r="F143" s="253"/>
      <c r="G143" s="253"/>
      <c r="H143" s="253"/>
      <c r="I143" s="253"/>
      <c r="J143" s="253"/>
      <c r="K143" s="253"/>
      <c r="L143" s="253"/>
      <c r="M143" s="253"/>
      <c r="N143" s="253"/>
      <c r="O143" s="253"/>
      <c r="P143" s="253"/>
      <c r="Q143" s="253"/>
      <c r="R143" s="253"/>
      <c r="S143" s="253"/>
      <c r="T143" s="253"/>
      <c r="U143" s="9844"/>
      <c r="V143" s="9844"/>
      <c r="W143" s="9844"/>
      <c r="X143" s="9844"/>
      <c r="Y143" s="9844"/>
      <c r="Z143" s="9844"/>
      <c r="AA143" s="9844"/>
      <c r="AB143" s="253"/>
      <c r="AC143" s="9884"/>
      <c r="AD143" s="9885"/>
      <c r="AE143" s="9128"/>
      <c r="AF143" s="9788"/>
      <c r="AG143" s="9788"/>
      <c r="AH143" s="9788"/>
      <c r="AI143" s="9788"/>
      <c r="AJ143" s="9788"/>
      <c r="AK143" s="2013"/>
      <c r="BL143" s="2027"/>
      <c r="BM143" s="2027"/>
    </row>
    <row r="144" spans="1:74" ht="15" customHeight="1" thickBot="1">
      <c r="A144" s="2013"/>
      <c r="B144" s="253"/>
      <c r="C144" s="734" t="s">
        <v>2084</v>
      </c>
      <c r="D144" s="511" t="s">
        <v>3389</v>
      </c>
      <c r="E144" s="253"/>
      <c r="F144" s="253"/>
      <c r="G144" s="253"/>
      <c r="H144" s="253"/>
      <c r="I144" s="253"/>
      <c r="J144" s="253"/>
      <c r="K144" s="253"/>
      <c r="L144" s="253"/>
      <c r="M144" s="253"/>
      <c r="N144" s="253"/>
      <c r="O144" s="253"/>
      <c r="P144" s="253"/>
      <c r="Q144" s="253"/>
      <c r="R144" s="253"/>
      <c r="S144" s="253"/>
      <c r="T144" s="253"/>
      <c r="U144" s="253"/>
      <c r="V144" s="253"/>
      <c r="W144" s="253"/>
      <c r="X144" s="253"/>
      <c r="Y144" s="253"/>
      <c r="Z144" s="253"/>
      <c r="AA144" s="253"/>
      <c r="AB144" s="2031" t="s">
        <v>617</v>
      </c>
      <c r="AC144" s="9751" t="s">
        <v>3390</v>
      </c>
      <c r="AD144" s="9785"/>
      <c r="AE144" s="9786"/>
      <c r="AF144" s="9786"/>
      <c r="AG144" s="9786"/>
      <c r="AH144" s="9786"/>
      <c r="AI144" s="9786"/>
      <c r="AJ144" s="9786"/>
      <c r="AK144" s="2013"/>
      <c r="AM144" s="817" t="s">
        <v>771</v>
      </c>
      <c r="BL144" s="2027"/>
      <c r="BM144" s="2027"/>
    </row>
    <row r="145" spans="1:65" ht="15" customHeight="1" thickBot="1">
      <c r="A145" s="2013"/>
      <c r="B145" s="253"/>
      <c r="C145" s="734" t="s">
        <v>3391</v>
      </c>
      <c r="D145" s="511" t="s">
        <v>3392</v>
      </c>
      <c r="E145" s="253"/>
      <c r="F145" s="253"/>
      <c r="G145" s="253"/>
      <c r="H145" s="253"/>
      <c r="I145" s="253"/>
      <c r="J145" s="253"/>
      <c r="K145" s="253"/>
      <c r="L145" s="253"/>
      <c r="M145" s="253"/>
      <c r="N145" s="253"/>
      <c r="O145" s="253"/>
      <c r="P145" s="253"/>
      <c r="Q145" s="253"/>
      <c r="R145" s="253"/>
      <c r="S145" s="253"/>
      <c r="T145" s="253"/>
      <c r="U145" s="253"/>
      <c r="V145" s="253"/>
      <c r="W145" s="253"/>
      <c r="X145" s="253"/>
      <c r="Y145" s="253"/>
      <c r="Z145" s="253"/>
      <c r="AA145" s="253"/>
      <c r="AB145" s="2031" t="s">
        <v>677</v>
      </c>
      <c r="AC145" s="9751">
        <v>30</v>
      </c>
      <c r="AD145" s="9785"/>
      <c r="AE145" s="9861" t="str">
        <f>IF(AM145&lt;&gt;"",AM145,IF(AM138,"",IF(AE142&lt;&gt;"",MIN(AE144,AE142),0)))</f>
        <v/>
      </c>
      <c r="AF145" s="9861"/>
      <c r="AG145" s="9861"/>
      <c r="AH145" s="9861"/>
      <c r="AI145" s="9861"/>
      <c r="AJ145" s="9861"/>
      <c r="AK145" s="2013"/>
      <c r="AM145" s="449"/>
      <c r="BL145" s="2027"/>
      <c r="BM145" s="2027"/>
    </row>
    <row r="146" spans="1:65" ht="15" customHeight="1" thickBot="1">
      <c r="A146" s="2013"/>
      <c r="B146" s="253"/>
      <c r="C146" s="734" t="s">
        <v>3393</v>
      </c>
      <c r="D146" s="511" t="str">
        <f>"Number of days in your qualifying period that fall within your "&amp;TaxYear</f>
        <v>Number of days in your qualifying period that fall within your 2025</v>
      </c>
      <c r="E146" s="253"/>
      <c r="F146" s="253"/>
      <c r="G146" s="253"/>
      <c r="H146" s="253"/>
      <c r="I146" s="253"/>
      <c r="J146" s="253"/>
      <c r="K146" s="253"/>
      <c r="L146" s="253"/>
      <c r="M146" s="253"/>
      <c r="N146" s="253"/>
      <c r="O146" s="253"/>
      <c r="P146" s="253"/>
      <c r="Q146" s="253"/>
      <c r="R146" s="253"/>
      <c r="S146" s="253"/>
      <c r="T146" s="253"/>
      <c r="U146" s="8984"/>
      <c r="V146" s="9863"/>
      <c r="W146" s="1290"/>
      <c r="X146" s="416"/>
      <c r="Y146" s="416"/>
      <c r="Z146" s="416"/>
      <c r="AA146" s="7879"/>
      <c r="AB146" s="9863"/>
      <c r="AC146" s="253"/>
      <c r="AD146" s="253"/>
      <c r="AE146" s="9113">
        <f>ROUND(AE147/DaysInTaxYear,2)</f>
        <v>56.99</v>
      </c>
      <c r="AF146" s="8729"/>
      <c r="AG146" s="8729"/>
      <c r="AH146" s="8729"/>
      <c r="AI146" s="8729"/>
      <c r="AJ146" s="8729"/>
      <c r="AK146" s="2013"/>
      <c r="AO146" s="2014" t="s">
        <v>3394</v>
      </c>
      <c r="BL146" s="2027"/>
      <c r="BM146" s="2027"/>
    </row>
    <row r="147" spans="1:65" ht="15" customHeight="1" thickBot="1">
      <c r="A147" s="2013"/>
      <c r="B147" s="253"/>
      <c r="C147" s="253"/>
      <c r="D147" s="511" t="s">
        <v>4922</v>
      </c>
      <c r="E147" s="253"/>
      <c r="F147" s="253"/>
      <c r="G147" s="253"/>
      <c r="H147" s="253"/>
      <c r="I147" s="253"/>
      <c r="J147" s="253"/>
      <c r="K147" s="253"/>
      <c r="L147" s="253"/>
      <c r="M147" s="253"/>
      <c r="N147" s="253"/>
      <c r="O147" s="253"/>
      <c r="P147" s="253"/>
      <c r="Q147" s="253"/>
      <c r="R147" s="253"/>
      <c r="S147" s="253"/>
      <c r="T147" s="2031" t="s">
        <v>590</v>
      </c>
      <c r="U147" s="9751">
        <v>31</v>
      </c>
      <c r="V147" s="9785"/>
      <c r="W147" s="9865" t="str">
        <f>IF(AM147&lt;&gt;"",ROUND(AM147,0),IF(AM138,"",DaysInTaxYear))</f>
        <v/>
      </c>
      <c r="X147" s="9866"/>
      <c r="Y147" s="9866"/>
      <c r="Z147" s="9866"/>
      <c r="AA147" s="9864" t="s">
        <v>3395</v>
      </c>
      <c r="AB147" s="9183"/>
      <c r="AC147" s="253"/>
      <c r="AD147" s="253"/>
      <c r="AE147" s="9890">
        <f>ROUND(0.16*FEI_Exclusion_Limit,0)</f>
        <v>20800</v>
      </c>
      <c r="AF147" s="9891"/>
      <c r="AG147" s="9891"/>
      <c r="AH147" s="9891"/>
      <c r="AI147" s="9891"/>
      <c r="AJ147" s="9891"/>
      <c r="AK147" s="2013"/>
      <c r="AL147" s="2086"/>
      <c r="AM147" s="1316"/>
      <c r="AN147" s="2086" t="s">
        <v>3396</v>
      </c>
      <c r="AO147" s="2014" t="s">
        <v>3397</v>
      </c>
      <c r="BL147" s="2027"/>
      <c r="BM147" s="2027"/>
    </row>
    <row r="148" spans="1:65" ht="15" customHeight="1" thickBot="1">
      <c r="A148" s="2013"/>
      <c r="B148" s="253"/>
      <c r="C148" s="734" t="s">
        <v>3398</v>
      </c>
      <c r="D148" s="511" t="str">
        <f>"Multiply "&amp;TEXT(AE146,"$0.00")&amp;" by the number of days on line 31. If "&amp;TEXT(DaysInTaxYear,"0")&amp;" is entered on line 31, enter "&amp;TEXT(AE147,"$0,000")&amp;" here"</f>
        <v>Multiply $56.99 by the number of days on line 31. If 365 is entered on line 31, enter $20,800 here</v>
      </c>
      <c r="E148" s="253"/>
      <c r="F148" s="253"/>
      <c r="G148" s="253"/>
      <c r="H148" s="253"/>
      <c r="I148" s="253"/>
      <c r="J148" s="253"/>
      <c r="K148" s="253"/>
      <c r="L148" s="253"/>
      <c r="M148" s="253"/>
      <c r="N148" s="253"/>
      <c r="O148" s="253"/>
      <c r="P148" s="253"/>
      <c r="Q148" s="253"/>
      <c r="R148" s="253"/>
      <c r="S148" s="253"/>
      <c r="T148" s="253"/>
      <c r="U148" s="253"/>
      <c r="V148" s="253"/>
      <c r="W148" s="253"/>
      <c r="X148" s="253"/>
      <c r="Y148" s="253"/>
      <c r="Z148" s="253"/>
      <c r="AA148" s="253"/>
      <c r="AB148" s="253"/>
      <c r="AC148" s="9751">
        <v>32</v>
      </c>
      <c r="AD148" s="9785"/>
      <c r="AE148" s="9861" t="str">
        <f>IF(AM148&lt;&gt;"",ROUND(AM148,0),IF(OR(AM138,AE142=""),"",IF(W147=DaysInTaxYear,AE147,W147*AE146)))</f>
        <v/>
      </c>
      <c r="AF148" s="9861"/>
      <c r="AG148" s="9861"/>
      <c r="AH148" s="9861"/>
      <c r="AI148" s="9861"/>
      <c r="AJ148" s="9861"/>
      <c r="AK148" s="2013"/>
      <c r="AL148" s="2086"/>
      <c r="AM148" s="449"/>
      <c r="BL148" s="2027"/>
      <c r="BM148" s="2027"/>
    </row>
    <row r="149" spans="1:65" ht="15" customHeight="1">
      <c r="A149" s="2013"/>
      <c r="B149" s="253"/>
      <c r="C149" s="734" t="s">
        <v>3399</v>
      </c>
      <c r="D149" s="511" t="s">
        <v>3400</v>
      </c>
      <c r="E149" s="253"/>
      <c r="F149" s="253"/>
      <c r="G149" s="253"/>
      <c r="H149" s="253"/>
      <c r="I149" s="253"/>
      <c r="J149" s="253"/>
      <c r="K149" s="344"/>
      <c r="L149" s="511" t="s">
        <v>3401</v>
      </c>
      <c r="M149" s="253"/>
      <c r="N149" s="253"/>
      <c r="O149" s="253"/>
      <c r="P149" s="253"/>
      <c r="Q149" s="253"/>
      <c r="R149" s="253"/>
      <c r="S149" s="253"/>
      <c r="T149" s="253"/>
      <c r="U149" s="253"/>
      <c r="V149" s="253"/>
      <c r="W149" s="253"/>
      <c r="X149" s="253"/>
      <c r="Y149" s="253"/>
      <c r="Z149" s="253"/>
      <c r="AA149" s="253"/>
      <c r="AB149" s="253"/>
      <c r="AC149" s="9128"/>
      <c r="AD149" s="9787"/>
      <c r="AE149" s="9128"/>
      <c r="AF149" s="9788"/>
      <c r="AG149" s="9788"/>
      <c r="AH149" s="9788"/>
      <c r="AI149" s="9788"/>
      <c r="AJ149" s="9788"/>
      <c r="AK149" s="2013"/>
      <c r="BL149" s="2027"/>
      <c r="BM149" s="2027"/>
    </row>
    <row r="150" spans="1:65" ht="15" customHeight="1">
      <c r="A150" s="2013"/>
      <c r="B150" s="253"/>
      <c r="C150" s="253"/>
      <c r="D150" s="511" t="s">
        <v>3402</v>
      </c>
      <c r="E150" s="253"/>
      <c r="F150" s="253"/>
      <c r="G150" s="253"/>
      <c r="H150" s="253"/>
      <c r="I150" s="253"/>
      <c r="J150" s="253"/>
      <c r="K150" s="253"/>
      <c r="L150" s="253"/>
      <c r="M150" s="253"/>
      <c r="N150" s="253"/>
      <c r="O150" s="253"/>
      <c r="P150" s="253"/>
      <c r="Q150" s="253"/>
      <c r="R150" s="253"/>
      <c r="S150" s="253"/>
      <c r="T150" s="253"/>
      <c r="U150" s="253"/>
      <c r="V150" s="253"/>
      <c r="W150" s="253"/>
      <c r="X150" s="253"/>
      <c r="Y150" s="253"/>
      <c r="Z150" s="253"/>
      <c r="AA150" s="253"/>
      <c r="AB150" s="2031" t="s">
        <v>1882</v>
      </c>
      <c r="AC150" s="9751">
        <v>33</v>
      </c>
      <c r="AD150" s="9785"/>
      <c r="AE150" s="9862" t="str">
        <f>IF(AM138,"",IF(AE148="",AE145,SUM(AE145,-AE148)))</f>
        <v/>
      </c>
      <c r="AF150" s="9862"/>
      <c r="AG150" s="9862"/>
      <c r="AH150" s="9862"/>
      <c r="AI150" s="9862"/>
      <c r="AJ150" s="9862"/>
      <c r="AK150" s="2013"/>
      <c r="AM150" s="2084" t="b">
        <f>AE150&lt;=0</f>
        <v>0</v>
      </c>
      <c r="AO150" s="2083">
        <f>IF(AE150="",0,AE150)</f>
        <v>0</v>
      </c>
      <c r="BL150" s="2027"/>
      <c r="BM150" s="2027"/>
    </row>
    <row r="151" spans="1:65" ht="15" customHeight="1">
      <c r="A151" s="2013"/>
      <c r="B151" s="253"/>
      <c r="C151" s="734" t="s">
        <v>3403</v>
      </c>
      <c r="D151" s="511" t="s">
        <v>3404</v>
      </c>
      <c r="E151" s="253"/>
      <c r="F151" s="253"/>
      <c r="G151" s="253"/>
      <c r="H151" s="253"/>
      <c r="I151" s="253"/>
      <c r="J151" s="253"/>
      <c r="K151" s="253"/>
      <c r="L151" s="253"/>
      <c r="M151" s="253"/>
      <c r="N151" s="253"/>
      <c r="O151" s="253"/>
      <c r="P151" s="253"/>
      <c r="Q151" s="253"/>
      <c r="R151" s="253"/>
      <c r="S151" s="253"/>
      <c r="T151" s="253"/>
      <c r="U151" s="9751">
        <v>34</v>
      </c>
      <c r="V151" s="9785"/>
      <c r="W151" s="9786"/>
      <c r="X151" s="9786"/>
      <c r="Y151" s="9786"/>
      <c r="Z151" s="9786"/>
      <c r="AA151" s="9786"/>
      <c r="AB151" s="9786"/>
      <c r="AC151" s="9884"/>
      <c r="AD151" s="9885"/>
      <c r="AE151" s="9128"/>
      <c r="AF151" s="9788"/>
      <c r="AG151" s="9788"/>
      <c r="AH151" s="9788"/>
      <c r="AI151" s="9788"/>
      <c r="AJ151" s="9788"/>
      <c r="AK151" s="2013"/>
      <c r="AM151" s="2087"/>
      <c r="BL151" s="2027"/>
      <c r="BM151" s="2027"/>
    </row>
    <row r="152" spans="1:65" ht="15" customHeight="1" thickBot="1">
      <c r="A152" s="2013"/>
      <c r="B152" s="253"/>
      <c r="C152" s="734" t="s">
        <v>3405</v>
      </c>
      <c r="D152" s="511" t="s">
        <v>3406</v>
      </c>
      <c r="E152" s="253"/>
      <c r="F152" s="253"/>
      <c r="G152" s="253"/>
      <c r="H152" s="253"/>
      <c r="I152" s="253"/>
      <c r="J152" s="253"/>
      <c r="K152" s="253"/>
      <c r="L152" s="253"/>
      <c r="M152" s="253"/>
      <c r="N152" s="253"/>
      <c r="O152" s="253"/>
      <c r="P152" s="253"/>
      <c r="Q152" s="253"/>
      <c r="R152" s="253"/>
      <c r="S152" s="253"/>
      <c r="T152" s="253"/>
      <c r="U152" s="253"/>
      <c r="V152" s="253"/>
      <c r="W152" s="253"/>
      <c r="X152" s="253"/>
      <c r="Y152" s="253"/>
      <c r="Z152" s="253"/>
      <c r="AA152" s="253"/>
      <c r="AB152" s="253"/>
      <c r="AC152" s="8984"/>
      <c r="AD152" s="9863"/>
      <c r="AE152" s="8984"/>
      <c r="AF152" s="7879"/>
      <c r="AG152" s="7879"/>
      <c r="AH152" s="7879"/>
      <c r="AI152" s="7879"/>
      <c r="AJ152" s="7879"/>
      <c r="AK152" s="2013"/>
      <c r="AM152" s="817" t="s">
        <v>771</v>
      </c>
      <c r="BL152" s="2027"/>
      <c r="BM152" s="2027"/>
    </row>
    <row r="153" spans="1:65" ht="15" customHeight="1" thickBot="1">
      <c r="A153" s="2013"/>
      <c r="B153" s="253"/>
      <c r="C153" s="253"/>
      <c r="D153" s="511" t="s">
        <v>3407</v>
      </c>
      <c r="E153" s="253"/>
      <c r="F153" s="253"/>
      <c r="G153" s="253"/>
      <c r="H153" s="253"/>
      <c r="I153" s="253"/>
      <c r="J153" s="253"/>
      <c r="K153" s="253"/>
      <c r="L153" s="253"/>
      <c r="M153" s="253"/>
      <c r="N153" s="253"/>
      <c r="O153" s="253"/>
      <c r="P153" s="253"/>
      <c r="Q153" s="253"/>
      <c r="R153" s="253"/>
      <c r="S153" s="253"/>
      <c r="T153" s="253"/>
      <c r="U153" s="253"/>
      <c r="V153" s="253"/>
      <c r="W153" s="253"/>
      <c r="X153" s="253"/>
      <c r="Y153" s="253"/>
      <c r="Z153" s="253"/>
      <c r="AA153" s="253"/>
      <c r="AB153" s="2031" t="s">
        <v>1877</v>
      </c>
      <c r="AC153" s="9751">
        <v>35</v>
      </c>
      <c r="AD153" s="9785"/>
      <c r="AE153" s="2088"/>
      <c r="AF153" s="2088"/>
      <c r="AG153" s="2089" t="s">
        <v>2119</v>
      </c>
      <c r="AH153" s="9888" t="str">
        <f>IF(AM153&lt;&gt;"",ROUND(AM153,3),IF(OR(AM138,AM150),"",IF(ISERROR(W151/ForeignEarnedIncome1),"---",IF(ForeignEarnedIncome1&gt;0,ROUND(W151/ForeignEarnedIncome1,3),""))))</f>
        <v/>
      </c>
      <c r="AI153" s="9889"/>
      <c r="AJ153" s="9889"/>
      <c r="AK153" s="2013"/>
      <c r="AM153" s="439"/>
      <c r="BL153" s="2027"/>
      <c r="BM153" s="2027"/>
    </row>
    <row r="154" spans="1:65" ht="15" customHeight="1" thickBot="1">
      <c r="A154" s="2013"/>
      <c r="B154" s="253"/>
      <c r="C154" s="734" t="s">
        <v>3408</v>
      </c>
      <c r="D154" s="511" t="s">
        <v>3409</v>
      </c>
      <c r="E154" s="253"/>
      <c r="F154" s="253"/>
      <c r="G154" s="253"/>
      <c r="H154" s="253"/>
      <c r="I154" s="253"/>
      <c r="J154" s="253"/>
      <c r="K154" s="253"/>
      <c r="L154" s="253"/>
      <c r="M154" s="253"/>
      <c r="N154" s="253"/>
      <c r="O154" s="253"/>
      <c r="P154" s="253"/>
      <c r="Q154" s="253"/>
      <c r="R154" s="253"/>
      <c r="S154" s="253"/>
      <c r="T154" s="253"/>
      <c r="U154" s="253"/>
      <c r="V154" s="253"/>
      <c r="W154" s="253"/>
      <c r="X154" s="253"/>
      <c r="Y154" s="253"/>
      <c r="Z154" s="253"/>
      <c r="AA154" s="253"/>
      <c r="AB154" s="253"/>
      <c r="AC154" s="9128"/>
      <c r="AD154" s="9787"/>
      <c r="AE154" s="9128"/>
      <c r="AF154" s="9788"/>
      <c r="AG154" s="9788"/>
      <c r="AH154" s="9788"/>
      <c r="AI154" s="9788"/>
      <c r="AJ154" s="9788"/>
      <c r="AK154" s="2013"/>
      <c r="BL154" s="2027"/>
      <c r="BM154" s="2027"/>
    </row>
    <row r="155" spans="1:65" ht="15" customHeight="1" thickBot="1">
      <c r="A155" s="2013"/>
      <c r="B155" s="253"/>
      <c r="C155" s="253"/>
      <c r="D155" s="511" t="s">
        <v>3410</v>
      </c>
      <c r="E155" s="253"/>
      <c r="F155" s="253"/>
      <c r="G155" s="253"/>
      <c r="H155" s="253"/>
      <c r="I155" s="253"/>
      <c r="J155" s="253"/>
      <c r="K155" s="253"/>
      <c r="L155" s="253"/>
      <c r="M155" s="253"/>
      <c r="N155" s="253"/>
      <c r="O155" s="253"/>
      <c r="P155" s="253"/>
      <c r="Q155" s="253"/>
      <c r="R155" s="253"/>
      <c r="S155" s="253"/>
      <c r="T155" s="253"/>
      <c r="U155" s="253"/>
      <c r="V155" s="253"/>
      <c r="W155" s="253"/>
      <c r="X155" s="253"/>
      <c r="Y155" s="253"/>
      <c r="Z155" s="253"/>
      <c r="AA155" s="253"/>
      <c r="AB155" s="2031" t="s">
        <v>612</v>
      </c>
      <c r="AC155" s="9751">
        <v>36</v>
      </c>
      <c r="AD155" s="9785"/>
      <c r="AE155" s="9861" t="str">
        <f>IF(AM155&lt;&gt;"",ROUND(AM155,0),IF(OR(AM138,AM150),"",IF(ISERROR(W151/ForeignEarnedIncome1),"---",IF(W151="",0,MIN(W151,ROUND(AE150*AH153,0))))))</f>
        <v/>
      </c>
      <c r="AF155" s="9861"/>
      <c r="AG155" s="9861"/>
      <c r="AH155" s="9861"/>
      <c r="AI155" s="9861"/>
      <c r="AJ155" s="9861"/>
      <c r="AK155" s="2013"/>
      <c r="AM155" s="449"/>
      <c r="AO155" s="2083">
        <f>IF(OR(AE155="",AE155="---"),0,AE155)</f>
        <v>0</v>
      </c>
      <c r="BL155" s="2027"/>
      <c r="BM155" s="2027"/>
    </row>
    <row r="156" spans="1:65" ht="15" customHeight="1">
      <c r="A156" s="2013"/>
      <c r="B156" s="253"/>
      <c r="C156" s="253"/>
      <c r="D156" s="511" t="s">
        <v>3411</v>
      </c>
      <c r="E156" s="253"/>
      <c r="F156" s="253"/>
      <c r="G156" s="253"/>
      <c r="H156" s="253"/>
      <c r="I156" s="253"/>
      <c r="J156" s="253"/>
      <c r="K156" s="253"/>
      <c r="L156" s="253"/>
      <c r="M156" s="253"/>
      <c r="N156" s="253"/>
      <c r="O156" s="253"/>
      <c r="P156" s="253"/>
      <c r="Q156" s="253"/>
      <c r="R156" s="253"/>
      <c r="S156" s="253"/>
      <c r="T156" s="253"/>
      <c r="U156" s="253"/>
      <c r="V156" s="253"/>
      <c r="W156" s="253"/>
      <c r="X156" s="253"/>
      <c r="Y156" s="253"/>
      <c r="Z156" s="253"/>
      <c r="AA156" s="253"/>
      <c r="AB156" s="253"/>
      <c r="AC156" s="253"/>
      <c r="AD156" s="253"/>
      <c r="AE156" s="9873">
        <f>IF(OR(AE155="",AE155="---"),0,AE155)</f>
        <v>0</v>
      </c>
      <c r="AF156" s="8729"/>
      <c r="AG156" s="8729"/>
      <c r="AH156" s="8729"/>
      <c r="AI156" s="8729"/>
      <c r="AJ156" s="8729"/>
      <c r="AK156" s="2013"/>
      <c r="BL156" s="2027"/>
      <c r="BM156" s="2027"/>
    </row>
    <row r="157" spans="1:65" ht="15" customHeight="1" thickBot="1">
      <c r="A157" s="2013"/>
      <c r="B157" s="253"/>
      <c r="C157" s="253"/>
      <c r="D157" s="511" t="s">
        <v>3412</v>
      </c>
      <c r="E157" s="253"/>
      <c r="F157" s="253"/>
      <c r="G157" s="253"/>
      <c r="H157" s="253"/>
      <c r="I157" s="253"/>
      <c r="J157" s="253"/>
      <c r="K157" s="253"/>
      <c r="L157" s="253"/>
      <c r="M157" s="253"/>
      <c r="N157" s="253"/>
      <c r="O157" s="253"/>
      <c r="P157" s="253"/>
      <c r="Q157" s="253"/>
      <c r="R157" s="253"/>
      <c r="S157" s="253"/>
      <c r="T157" s="253"/>
      <c r="U157" s="253"/>
      <c r="V157" s="253"/>
      <c r="W157" s="253"/>
      <c r="X157" s="253"/>
      <c r="Y157" s="253"/>
      <c r="Z157" s="253"/>
      <c r="AA157" s="253"/>
      <c r="AB157" s="253"/>
      <c r="AC157" s="253"/>
      <c r="AD157" s="253"/>
      <c r="AE157" s="253"/>
      <c r="AF157" s="253"/>
      <c r="AG157" s="253"/>
      <c r="AH157" s="253"/>
      <c r="AI157" s="253"/>
      <c r="AJ157" s="253"/>
      <c r="AK157" s="2013"/>
      <c r="BL157" s="2027"/>
      <c r="BM157" s="2027"/>
    </row>
    <row r="158" spans="1:65" ht="18.75" customHeight="1" thickBot="1">
      <c r="A158" s="2013"/>
      <c r="B158" s="9755" t="s">
        <v>3413</v>
      </c>
      <c r="C158" s="8489"/>
      <c r="D158" s="2090" t="s">
        <v>3414</v>
      </c>
      <c r="E158" s="2091"/>
      <c r="F158" s="2091"/>
      <c r="G158" s="2091"/>
      <c r="H158" s="2091"/>
      <c r="I158" s="2091"/>
      <c r="J158" s="2091"/>
      <c r="K158" s="2091"/>
      <c r="L158" s="2091"/>
      <c r="M158" s="2091"/>
      <c r="N158" s="2091"/>
      <c r="O158" s="2091"/>
      <c r="P158" s="2091"/>
      <c r="Q158" s="2091"/>
      <c r="R158" s="2091"/>
      <c r="S158" s="2091"/>
      <c r="T158" s="2091"/>
      <c r="U158" s="2091"/>
      <c r="V158" s="2091"/>
      <c r="W158" s="2091"/>
      <c r="X158" s="2091"/>
      <c r="Y158" s="2091"/>
      <c r="Z158" s="2091"/>
      <c r="AA158" s="2091"/>
      <c r="AB158" s="2091"/>
      <c r="AC158" s="2091"/>
      <c r="AD158" s="2091"/>
      <c r="AE158" s="9871"/>
      <c r="AF158" s="9872"/>
      <c r="AG158" s="9872"/>
      <c r="AH158" s="9872"/>
      <c r="AI158" s="9872"/>
      <c r="AJ158" s="9872"/>
      <c r="AK158" s="2013"/>
      <c r="AM158" s="817" t="s">
        <v>771</v>
      </c>
    </row>
    <row r="159" spans="1:65" ht="15" customHeight="1" thickBot="1">
      <c r="A159" s="2013"/>
      <c r="B159" s="253"/>
      <c r="C159" s="734" t="s">
        <v>3415</v>
      </c>
      <c r="D159" s="511" t="str">
        <f>"Maximum foreign earned income exclusion."</f>
        <v>Maximum foreign earned income exclusion.</v>
      </c>
      <c r="E159" s="253"/>
      <c r="F159" s="253"/>
      <c r="G159" s="253"/>
      <c r="H159" s="253"/>
      <c r="I159" s="253"/>
      <c r="J159" s="253"/>
      <c r="K159" s="253"/>
      <c r="L159" s="253"/>
      <c r="M159" s="253"/>
      <c r="N159" s="253"/>
      <c r="O159" s="253"/>
      <c r="P159" s="511" t="str">
        <f>"Enter "&amp;TEXT(FEI_Exclusion_Limit,"$0,000")</f>
        <v>Enter $130,000</v>
      </c>
      <c r="Q159" s="253"/>
      <c r="R159" s="253"/>
      <c r="S159" s="253"/>
      <c r="T159" s="253"/>
      <c r="U159" s="253"/>
      <c r="V159" s="253"/>
      <c r="W159" s="253"/>
      <c r="X159" s="253"/>
      <c r="Y159" s="253"/>
      <c r="Z159" s="253"/>
      <c r="AA159" s="253"/>
      <c r="AB159" s="2031" t="s">
        <v>594</v>
      </c>
      <c r="AC159" s="9751">
        <v>37</v>
      </c>
      <c r="AD159" s="9785"/>
      <c r="AE159" s="9867">
        <f>IF(AM159&lt;&gt;"",ROUND(AM159,0),AE160)</f>
        <v>130000</v>
      </c>
      <c r="AF159" s="9867"/>
      <c r="AG159" s="9867"/>
      <c r="AH159" s="9867"/>
      <c r="AI159" s="9867"/>
      <c r="AJ159" s="9867"/>
      <c r="AK159" s="2013"/>
      <c r="AM159" s="449"/>
      <c r="BL159" s="2027"/>
      <c r="BM159" s="2027"/>
    </row>
    <row r="160" spans="1:65" ht="15" customHeight="1" thickBot="1">
      <c r="A160" s="2013"/>
      <c r="B160" s="253"/>
      <c r="C160" s="734" t="s">
        <v>3416</v>
      </c>
      <c r="D160" s="2092" t="s">
        <v>615</v>
      </c>
      <c r="E160" s="511" t="s">
        <v>3417</v>
      </c>
      <c r="F160" s="253"/>
      <c r="G160" s="253"/>
      <c r="H160" s="253"/>
      <c r="I160" s="253"/>
      <c r="J160" s="253"/>
      <c r="K160" s="253"/>
      <c r="L160" s="253"/>
      <c r="M160" s="253"/>
      <c r="N160" s="253"/>
      <c r="O160" s="253"/>
      <c r="P160" s="253"/>
      <c r="Q160" s="253"/>
      <c r="R160" s="253"/>
      <c r="S160" s="253"/>
      <c r="T160" s="253"/>
      <c r="U160" s="253"/>
      <c r="V160" s="253"/>
      <c r="W160" s="416"/>
      <c r="X160" s="416"/>
      <c r="Y160" s="416"/>
      <c r="Z160" s="416"/>
      <c r="AA160" s="253"/>
      <c r="AB160" s="2093"/>
      <c r="AC160" s="2094"/>
      <c r="AD160" s="2095"/>
      <c r="AE160" s="9874">
        <v>130000</v>
      </c>
      <c r="AF160" s="9875"/>
      <c r="AG160" s="9875"/>
      <c r="AH160" s="9875"/>
      <c r="AI160" s="9875"/>
      <c r="AJ160" s="9875"/>
      <c r="AK160" s="2013"/>
      <c r="AM160" s="817"/>
      <c r="AO160" s="2084" t="b">
        <f>AND(AE155&lt;&gt;0,AE155&lt;&gt;"")</f>
        <v>0</v>
      </c>
      <c r="BL160" s="2027"/>
      <c r="BM160" s="2027"/>
    </row>
    <row r="161" spans="1:65" ht="15" customHeight="1" thickBot="1">
      <c r="A161" s="2013"/>
      <c r="B161" s="253"/>
      <c r="C161" s="253"/>
      <c r="D161" s="2092" t="s">
        <v>615</v>
      </c>
      <c r="E161" s="511" t="s">
        <v>3418</v>
      </c>
      <c r="F161" s="253"/>
      <c r="G161" s="253"/>
      <c r="H161" s="253"/>
      <c r="I161" s="253"/>
      <c r="J161" s="253"/>
      <c r="K161" s="253"/>
      <c r="L161" s="253"/>
      <c r="M161" s="253"/>
      <c r="N161" s="253"/>
      <c r="O161" s="253"/>
      <c r="P161" s="253"/>
      <c r="Q161" s="253"/>
      <c r="R161" s="253"/>
      <c r="S161" s="253"/>
      <c r="T161" s="253"/>
      <c r="U161" s="2096"/>
      <c r="V161" s="9751">
        <v>38</v>
      </c>
      <c r="W161" s="8380"/>
      <c r="X161" s="7662">
        <f>IF(AO160,W147,IF(AM161&lt;&gt;"",AM161,DaysInTaxYear))</f>
        <v>365</v>
      </c>
      <c r="Y161" s="7662"/>
      <c r="Z161" s="7662"/>
      <c r="AA161" s="9864" t="s">
        <v>3395</v>
      </c>
      <c r="AB161" s="9864"/>
      <c r="AC161" s="2073"/>
      <c r="AD161" s="2074"/>
      <c r="AE161" s="253"/>
      <c r="AF161" s="253"/>
      <c r="AG161" s="253"/>
      <c r="AH161" s="253"/>
      <c r="AI161" s="253"/>
      <c r="AJ161" s="253"/>
      <c r="AK161" s="2013"/>
      <c r="AM161" s="1316"/>
      <c r="AN161" s="2014" t="s">
        <v>3419</v>
      </c>
      <c r="BL161" s="2027"/>
      <c r="BM161" s="2027"/>
    </row>
    <row r="162" spans="1:65" ht="15" customHeight="1">
      <c r="A162" s="2013"/>
      <c r="B162" s="253"/>
      <c r="C162" s="253"/>
      <c r="D162" s="253"/>
      <c r="E162" s="511" t="str">
        <f>"fall within your "&amp;TaxYear&amp;" tax year (see the instructions for line 31)."</f>
        <v>fall within your 2025 tax year (see the instructions for line 31).</v>
      </c>
      <c r="F162" s="253"/>
      <c r="G162" s="253"/>
      <c r="H162" s="253"/>
      <c r="I162" s="253"/>
      <c r="J162" s="253"/>
      <c r="K162" s="253"/>
      <c r="L162" s="253"/>
      <c r="M162" s="253"/>
      <c r="N162" s="253"/>
      <c r="O162" s="253"/>
      <c r="P162" s="253"/>
      <c r="Q162" s="253"/>
      <c r="R162" s="253"/>
      <c r="S162" s="253"/>
      <c r="T162" s="253"/>
      <c r="U162" s="253"/>
      <c r="V162" s="253"/>
      <c r="W162" s="253"/>
      <c r="X162" s="253"/>
      <c r="Y162" s="253"/>
      <c r="Z162" s="253"/>
      <c r="AA162" s="253"/>
      <c r="AB162" s="253"/>
      <c r="AC162" s="408"/>
      <c r="AD162" s="409"/>
      <c r="AE162" s="253"/>
      <c r="AF162" s="253"/>
      <c r="AG162" s="253"/>
      <c r="AH162" s="253"/>
      <c r="AI162" s="253"/>
      <c r="AJ162" s="253"/>
      <c r="AK162" s="2013"/>
      <c r="AL162" s="2014" t="s">
        <v>3420</v>
      </c>
      <c r="BL162" s="2027"/>
      <c r="BM162" s="2027"/>
    </row>
    <row r="163" spans="1:65" ht="15" customHeight="1" thickBot="1">
      <c r="A163" s="2013"/>
      <c r="B163" s="253"/>
      <c r="C163" s="734" t="s">
        <v>3421</v>
      </c>
      <c r="D163" s="2092" t="s">
        <v>615</v>
      </c>
      <c r="E163" s="511" t="str">
        <f>"If line 38 and number of days in your "&amp;TaxYear&amp;" tax year (usually "&amp;TEXT(DaysInTaxYear,"0")&amp;") are the same, enter “1.000.”"</f>
        <v>If line 38 and number of days in your 2025 tax year (usually 365) are the same, enter “1.000.”</v>
      </c>
      <c r="F163" s="253"/>
      <c r="G163" s="253"/>
      <c r="H163" s="253"/>
      <c r="I163" s="253"/>
      <c r="J163" s="253"/>
      <c r="K163" s="253"/>
      <c r="L163" s="253"/>
      <c r="M163" s="253"/>
      <c r="N163" s="253"/>
      <c r="O163" s="253"/>
      <c r="P163" s="253"/>
      <c r="Q163" s="253"/>
      <c r="R163" s="253"/>
      <c r="S163" s="253"/>
      <c r="T163" s="253"/>
      <c r="U163" s="253"/>
      <c r="V163" s="253"/>
      <c r="W163" s="253"/>
      <c r="X163" s="253"/>
      <c r="Y163" s="253"/>
      <c r="Z163" s="253"/>
      <c r="AA163" s="253"/>
      <c r="AB163" s="253"/>
      <c r="AC163" s="408"/>
      <c r="AD163" s="409"/>
      <c r="AE163" s="253"/>
      <c r="AF163" s="253"/>
      <c r="AG163" s="253"/>
      <c r="AH163" s="253"/>
      <c r="AI163" s="253"/>
      <c r="AJ163" s="253"/>
      <c r="AK163" s="2013"/>
      <c r="AL163" s="2014" t="str">
        <f>TaxYear&amp;" tax year."</f>
        <v>2025 tax year.</v>
      </c>
      <c r="BL163" s="2027"/>
      <c r="BM163" s="2027"/>
    </row>
    <row r="164" spans="1:65" ht="15" customHeight="1" thickBot="1">
      <c r="A164" s="2013"/>
      <c r="B164" s="253"/>
      <c r="C164" s="253"/>
      <c r="D164" s="2092" t="s">
        <v>615</v>
      </c>
      <c r="E164" s="511" t="str">
        <f>"Otherwise, divide line 38 by the number of days in your "&amp;TaxYear&amp;" tax year and enter the result as"</f>
        <v>Otherwise, divide line 38 by the number of days in your 2025 tax year and enter the result as</v>
      </c>
      <c r="F164" s="253"/>
      <c r="G164" s="253"/>
      <c r="H164" s="253"/>
      <c r="I164" s="253"/>
      <c r="J164" s="253"/>
      <c r="K164" s="253"/>
      <c r="L164" s="253"/>
      <c r="M164" s="253"/>
      <c r="N164" s="253"/>
      <c r="O164" s="253"/>
      <c r="P164" s="253"/>
      <c r="Q164" s="253"/>
      <c r="R164" s="253"/>
      <c r="S164" s="253"/>
      <c r="T164" s="253"/>
      <c r="U164" s="253"/>
      <c r="V164" s="253"/>
      <c r="W164" s="253"/>
      <c r="X164" s="253"/>
      <c r="Y164" s="253"/>
      <c r="Z164" s="253"/>
      <c r="AA164" s="253"/>
      <c r="AB164" s="253"/>
      <c r="AC164" s="9751">
        <v>39</v>
      </c>
      <c r="AD164" s="9785"/>
      <c r="AE164" s="2088"/>
      <c r="AF164" s="2088"/>
      <c r="AG164" s="2089" t="s">
        <v>2119</v>
      </c>
      <c r="AH164" s="9888">
        <f>IF(AND(AM161="",AM164=""),1,IF(ISERROR(X161/AM164),"",ROUND(X161/AM164,3)))</f>
        <v>1</v>
      </c>
      <c r="AI164" s="9889"/>
      <c r="AJ164" s="9889"/>
      <c r="AK164" s="2013"/>
      <c r="AM164" s="1316">
        <f>DaysInTaxYear</f>
        <v>365</v>
      </c>
      <c r="AN164" s="2014" t="str">
        <f>"No. of days in your "</f>
        <v xml:space="preserve">No. of days in your </v>
      </c>
      <c r="BL164" s="2027"/>
      <c r="BM164" s="2027"/>
    </row>
    <row r="165" spans="1:65" ht="15" customHeight="1">
      <c r="A165" s="2013"/>
      <c r="B165" s="253"/>
      <c r="C165" s="253"/>
      <c r="D165" s="253"/>
      <c r="E165" s="511" t="s">
        <v>3422</v>
      </c>
      <c r="F165" s="253"/>
      <c r="G165" s="253"/>
      <c r="H165" s="253"/>
      <c r="I165" s="253"/>
      <c r="J165" s="253"/>
      <c r="K165" s="253"/>
      <c r="L165" s="253"/>
      <c r="M165" s="253"/>
      <c r="N165" s="253"/>
      <c r="O165" s="253"/>
      <c r="P165" s="253"/>
      <c r="Q165" s="253"/>
      <c r="R165" s="253"/>
      <c r="S165" s="253"/>
      <c r="T165" s="253"/>
      <c r="U165" s="253"/>
      <c r="V165" s="253"/>
      <c r="W165" s="253"/>
      <c r="X165" s="253"/>
      <c r="Y165" s="253"/>
      <c r="Z165" s="253"/>
      <c r="AA165" s="253"/>
      <c r="AB165" s="253"/>
      <c r="AC165" s="9128"/>
      <c r="AD165" s="9787"/>
      <c r="AE165" s="9128"/>
      <c r="AF165" s="9788"/>
      <c r="AG165" s="9788"/>
      <c r="AH165" s="9788"/>
      <c r="AI165" s="9788"/>
      <c r="AJ165" s="9788"/>
      <c r="AK165" s="2013"/>
      <c r="AN165" s="2014" t="str">
        <f>TaxYear&amp;" tax year."</f>
        <v>2025 tax year.</v>
      </c>
      <c r="BL165" s="2027"/>
      <c r="BM165" s="2027"/>
    </row>
    <row r="166" spans="1:65" ht="15" customHeight="1">
      <c r="A166" s="2013"/>
      <c r="B166" s="253"/>
      <c r="C166" s="734" t="s">
        <v>3423</v>
      </c>
      <c r="D166" s="511" t="s">
        <v>3424</v>
      </c>
      <c r="E166" s="253"/>
      <c r="F166" s="253"/>
      <c r="G166" s="253"/>
      <c r="H166" s="253"/>
      <c r="I166" s="253"/>
      <c r="J166" s="253"/>
      <c r="K166" s="253"/>
      <c r="L166" s="253"/>
      <c r="M166" s="253"/>
      <c r="N166" s="253"/>
      <c r="O166" s="253"/>
      <c r="P166" s="253"/>
      <c r="Q166" s="253"/>
      <c r="R166" s="253"/>
      <c r="S166" s="253"/>
      <c r="T166" s="253"/>
      <c r="U166" s="253"/>
      <c r="V166" s="253"/>
      <c r="W166" s="253"/>
      <c r="X166" s="253"/>
      <c r="Y166" s="253"/>
      <c r="Z166" s="253"/>
      <c r="AA166" s="253"/>
      <c r="AB166" s="2031" t="s">
        <v>2167</v>
      </c>
      <c r="AC166" s="9751">
        <v>40</v>
      </c>
      <c r="AD166" s="9785"/>
      <c r="AE166" s="9861" t="str">
        <f>IF(OR(ForeignEarnedIncome1=0,AH164=""),"",ROUND(AE159*AH164,0))</f>
        <v/>
      </c>
      <c r="AF166" s="9861"/>
      <c r="AG166" s="9861"/>
      <c r="AH166" s="9861"/>
      <c r="AI166" s="9861"/>
      <c r="AJ166" s="9861"/>
      <c r="AK166" s="2013"/>
      <c r="BL166" s="2027"/>
      <c r="BM166" s="2027"/>
    </row>
    <row r="167" spans="1:65" ht="15" customHeight="1" thickBot="1">
      <c r="A167" s="2013"/>
      <c r="B167" s="253"/>
      <c r="C167" s="734" t="s">
        <v>3425</v>
      </c>
      <c r="D167" s="511" t="s">
        <v>3426</v>
      </c>
      <c r="E167" s="253"/>
      <c r="F167" s="253"/>
      <c r="G167" s="253"/>
      <c r="H167" s="253"/>
      <c r="I167" s="253"/>
      <c r="J167" s="253"/>
      <c r="K167" s="253"/>
      <c r="L167" s="253"/>
      <c r="M167" s="253"/>
      <c r="N167" s="253"/>
      <c r="O167" s="253"/>
      <c r="P167" s="253"/>
      <c r="Q167" s="253"/>
      <c r="R167" s="253"/>
      <c r="S167" s="253"/>
      <c r="T167" s="253"/>
      <c r="U167" s="253"/>
      <c r="V167" s="253"/>
      <c r="W167" s="253"/>
      <c r="X167" s="253"/>
      <c r="Y167" s="253"/>
      <c r="Z167" s="253"/>
      <c r="AA167" s="253"/>
      <c r="AB167" s="2031" t="s">
        <v>1877</v>
      </c>
      <c r="AC167" s="9751">
        <v>41</v>
      </c>
      <c r="AD167" s="9785"/>
      <c r="AE167" s="9861" t="str">
        <f>IF(OR(ForeignEarnedIncome1=0,AH164=""),"",SUM(ForeignEarnedIncome1,-AE156))</f>
        <v/>
      </c>
      <c r="AF167" s="9861"/>
      <c r="AG167" s="9861"/>
      <c r="AH167" s="9861"/>
      <c r="AI167" s="9861"/>
      <c r="AJ167" s="9861"/>
      <c r="AK167" s="2013"/>
      <c r="AM167" s="817" t="s">
        <v>771</v>
      </c>
      <c r="BL167" s="2027"/>
      <c r="BM167" s="2027"/>
    </row>
    <row r="168" spans="1:65" ht="15" customHeight="1" thickBot="1">
      <c r="A168" s="2013"/>
      <c r="B168" s="253"/>
      <c r="C168" s="734" t="s">
        <v>3427</v>
      </c>
      <c r="D168" s="511" t="s">
        <v>6111</v>
      </c>
      <c r="E168" s="253"/>
      <c r="F168" s="253"/>
      <c r="G168" s="253"/>
      <c r="H168" s="253"/>
      <c r="I168" s="253"/>
      <c r="J168" s="253"/>
      <c r="K168" s="253"/>
      <c r="L168" s="253"/>
      <c r="M168" s="253"/>
      <c r="N168" s="253"/>
      <c r="O168" s="253"/>
      <c r="P168" s="253"/>
      <c r="Q168" s="253"/>
      <c r="R168" s="253"/>
      <c r="S168" s="253"/>
      <c r="T168" s="253"/>
      <c r="U168" s="253"/>
      <c r="V168" s="253"/>
      <c r="W168" s="253"/>
      <c r="X168" s="253"/>
      <c r="Y168" s="253"/>
      <c r="Z168" s="253"/>
      <c r="AA168" s="253"/>
      <c r="AB168" s="2031" t="s">
        <v>641</v>
      </c>
      <c r="AC168" s="9868">
        <v>42</v>
      </c>
      <c r="AD168" s="9869"/>
      <c r="AE168" s="9870">
        <f>IF(AM168&lt;&gt;"",ROUND(AM168,0),IF(AH164="","",IF(AE167="",0,MIN(AE166,AE167))))</f>
        <v>0</v>
      </c>
      <c r="AF168" s="9870"/>
      <c r="AG168" s="9870"/>
      <c r="AH168" s="9870"/>
      <c r="AI168" s="9870"/>
      <c r="AJ168" s="9870"/>
      <c r="AK168" s="2013"/>
      <c r="AM168" s="440"/>
      <c r="BL168" s="2027"/>
      <c r="BM168" s="2027"/>
    </row>
    <row r="169" spans="1:65" ht="21.75" customHeight="1">
      <c r="A169" s="2013"/>
      <c r="B169" s="2097" t="s">
        <v>3430</v>
      </c>
      <c r="C169" s="2098"/>
      <c r="D169" s="2090" t="s">
        <v>3431</v>
      </c>
      <c r="E169" s="2091"/>
      <c r="F169" s="2091"/>
      <c r="G169" s="2091"/>
      <c r="H169" s="2091"/>
      <c r="I169" s="2091"/>
      <c r="J169" s="2091"/>
      <c r="K169" s="2091"/>
      <c r="L169" s="2091"/>
      <c r="M169" s="2091"/>
      <c r="N169" s="2091"/>
      <c r="O169" s="2091"/>
      <c r="P169" s="2091"/>
      <c r="Q169" s="2091"/>
      <c r="R169" s="2091"/>
      <c r="S169" s="2091"/>
      <c r="T169" s="2091"/>
      <c r="U169" s="2091"/>
      <c r="V169" s="2091"/>
      <c r="W169" s="2091"/>
      <c r="X169" s="2091"/>
      <c r="Y169" s="2091"/>
      <c r="Z169" s="2091"/>
      <c r="AA169" s="2091"/>
      <c r="AB169" s="2091"/>
      <c r="AC169" s="2091"/>
      <c r="AD169" s="2091"/>
      <c r="AE169" s="2091"/>
      <c r="AF169" s="2091"/>
      <c r="AG169" s="2091"/>
      <c r="AH169" s="2091"/>
      <c r="AI169" s="2091"/>
      <c r="AJ169" s="2091"/>
      <c r="AK169" s="2013"/>
    </row>
    <row r="170" spans="1:65" ht="15" customHeight="1">
      <c r="A170" s="2013"/>
      <c r="B170" s="253"/>
      <c r="C170" s="734" t="s">
        <v>3432</v>
      </c>
      <c r="D170" s="511" t="s">
        <v>3433</v>
      </c>
      <c r="E170" s="253"/>
      <c r="F170" s="253"/>
      <c r="G170" s="253"/>
      <c r="H170" s="253"/>
      <c r="I170" s="253"/>
      <c r="J170" s="253"/>
      <c r="K170" s="253"/>
      <c r="L170" s="253"/>
      <c r="M170" s="253"/>
      <c r="N170" s="253"/>
      <c r="O170" s="253"/>
      <c r="P170" s="253"/>
      <c r="Q170" s="253"/>
      <c r="R170" s="253"/>
      <c r="S170" s="253"/>
      <c r="T170" s="253"/>
      <c r="U170" s="253"/>
      <c r="V170" s="253"/>
      <c r="W170" s="253"/>
      <c r="X170" s="253"/>
      <c r="Y170" s="253"/>
      <c r="Z170" s="253"/>
      <c r="AA170" s="253"/>
      <c r="AB170" s="2031" t="s">
        <v>2699</v>
      </c>
      <c r="AC170" s="9751">
        <v>43</v>
      </c>
      <c r="AD170" s="9785"/>
      <c r="AE170" s="9861">
        <f>SUM(AO155,AE168)</f>
        <v>0</v>
      </c>
      <c r="AF170" s="9861"/>
      <c r="AG170" s="9861"/>
      <c r="AH170" s="9861"/>
      <c r="AI170" s="9861"/>
      <c r="AJ170" s="9861"/>
      <c r="AK170" s="2013"/>
      <c r="AO170" s="2083">
        <f>IF(AE170="",0,AE170)</f>
        <v>0</v>
      </c>
      <c r="BL170" s="2027"/>
      <c r="BM170" s="2027"/>
    </row>
    <row r="171" spans="1:65" ht="15" customHeight="1">
      <c r="A171" s="2013"/>
      <c r="B171" s="253"/>
      <c r="C171" s="734" t="s">
        <v>3434</v>
      </c>
      <c r="D171" s="511" t="s">
        <v>5264</v>
      </c>
      <c r="E171" s="253"/>
      <c r="F171" s="253"/>
      <c r="G171" s="253"/>
      <c r="H171" s="253"/>
      <c r="I171" s="253"/>
      <c r="J171" s="253"/>
      <c r="K171" s="253"/>
      <c r="L171" s="253"/>
      <c r="M171" s="253"/>
      <c r="N171" s="253"/>
      <c r="O171" s="253"/>
      <c r="P171" s="253"/>
      <c r="Q171" s="253"/>
      <c r="R171" s="253"/>
      <c r="S171" s="253"/>
      <c r="T171" s="253"/>
      <c r="U171" s="253"/>
      <c r="V171" s="253"/>
      <c r="W171" s="253"/>
      <c r="X171" s="253"/>
      <c r="Y171" s="253"/>
      <c r="Z171" s="253"/>
      <c r="AA171" s="253"/>
      <c r="AB171" s="253"/>
      <c r="AC171" s="9128"/>
      <c r="AD171" s="9787"/>
      <c r="AE171" s="9128"/>
      <c r="AF171" s="9788"/>
      <c r="AG171" s="9788"/>
      <c r="AH171" s="9788"/>
      <c r="AI171" s="9788"/>
      <c r="AJ171" s="9788"/>
      <c r="AK171" s="2013"/>
      <c r="AM171" s="9750" t="str">
        <f>IF(F2555_Line45_1&gt;FEI_Exclusion_Limit,"IMPORTANT NOTE: For "&amp;TaxYear&amp;", the FEI exclusion is limited to "&amp;TEXT(FEI_Exclusion_Limit,"$0,000")&amp;".","")</f>
        <v/>
      </c>
      <c r="AN171" s="9750"/>
      <c r="AO171" s="9750"/>
      <c r="BL171" s="2027"/>
      <c r="BM171" s="2027"/>
    </row>
    <row r="172" spans="1:65" ht="15" customHeight="1">
      <c r="A172" s="2013"/>
      <c r="B172" s="253"/>
      <c r="C172" s="253"/>
      <c r="D172" s="511" t="s">
        <v>5263</v>
      </c>
      <c r="E172" s="253"/>
      <c r="F172" s="253"/>
      <c r="G172" s="253"/>
      <c r="H172" s="253"/>
      <c r="I172" s="253"/>
      <c r="J172" s="253"/>
      <c r="K172" s="253"/>
      <c r="L172" s="253"/>
      <c r="M172" s="253"/>
      <c r="N172" s="253"/>
      <c r="O172" s="253"/>
      <c r="P172" s="253"/>
      <c r="Q172" s="253"/>
      <c r="R172" s="253"/>
      <c r="S172" s="253"/>
      <c r="T172" s="253"/>
      <c r="U172" s="253"/>
      <c r="V172" s="253"/>
      <c r="W172" s="253"/>
      <c r="X172" s="253"/>
      <c r="Y172" s="253"/>
      <c r="Z172" s="253"/>
      <c r="AA172" s="253"/>
      <c r="AB172" s="2031" t="s">
        <v>624</v>
      </c>
      <c r="AC172" s="9751">
        <v>44</v>
      </c>
      <c r="AD172" s="9785"/>
      <c r="AE172" s="9786"/>
      <c r="AF172" s="9786"/>
      <c r="AG172" s="9786"/>
      <c r="AH172" s="9786"/>
      <c r="AI172" s="9786"/>
      <c r="AJ172" s="9786"/>
      <c r="AK172" s="2013"/>
      <c r="AM172" s="9750"/>
      <c r="AN172" s="9750"/>
      <c r="AO172" s="9750"/>
      <c r="BL172" s="2027"/>
      <c r="BM172" s="2027"/>
    </row>
    <row r="173" spans="1:65" ht="15" customHeight="1">
      <c r="A173" s="2013"/>
      <c r="B173" s="253"/>
      <c r="C173" s="734" t="s">
        <v>3435</v>
      </c>
      <c r="D173" s="511" t="s">
        <v>3436</v>
      </c>
      <c r="E173" s="253"/>
      <c r="F173" s="253"/>
      <c r="G173" s="253"/>
      <c r="H173" s="253"/>
      <c r="I173" s="253"/>
      <c r="J173" s="253"/>
      <c r="K173" s="253"/>
      <c r="L173" s="253"/>
      <c r="M173" s="253"/>
      <c r="N173" s="253"/>
      <c r="O173" s="253"/>
      <c r="P173" s="253"/>
      <c r="Q173" s="253"/>
      <c r="R173" s="253"/>
      <c r="S173" s="253"/>
      <c r="T173" s="253"/>
      <c r="U173" s="253"/>
      <c r="V173" s="253"/>
      <c r="W173" s="253"/>
      <c r="X173" s="253"/>
      <c r="Y173" s="253"/>
      <c r="Z173" s="253"/>
      <c r="AA173" s="253"/>
      <c r="AB173" s="253"/>
      <c r="AC173" s="9128"/>
      <c r="AD173" s="9787"/>
      <c r="AE173" s="9882">
        <f>IF(AO4,$AE$170,0)</f>
        <v>0</v>
      </c>
      <c r="AF173" s="9883"/>
      <c r="AG173" s="9883"/>
      <c r="AH173" s="9883"/>
      <c r="AI173" s="9883"/>
      <c r="AJ173" s="9883"/>
      <c r="AK173" s="2013"/>
      <c r="AM173" s="9750"/>
      <c r="AN173" s="9750"/>
      <c r="AO173" s="9750"/>
      <c r="BL173" s="2027"/>
      <c r="BM173" s="2027"/>
    </row>
    <row r="174" spans="1:65" ht="15" customHeight="1" thickBot="1">
      <c r="A174" s="2013"/>
      <c r="B174" s="253"/>
      <c r="C174" s="253"/>
      <c r="D174" s="511" t="s">
        <v>5261</v>
      </c>
      <c r="E174" s="253"/>
      <c r="F174" s="253"/>
      <c r="G174" s="253"/>
      <c r="H174" s="253"/>
      <c r="I174" s="253"/>
      <c r="J174" s="253"/>
      <c r="K174" s="253"/>
      <c r="L174" s="253"/>
      <c r="M174" s="253"/>
      <c r="N174" s="253"/>
      <c r="O174" s="253"/>
      <c r="P174" s="253"/>
      <c r="Q174" s="253"/>
      <c r="R174" s="253"/>
      <c r="S174" s="253"/>
      <c r="T174" s="253"/>
      <c r="U174" s="253"/>
      <c r="V174" s="253"/>
      <c r="W174" s="253"/>
      <c r="X174" s="253"/>
      <c r="Y174" s="253"/>
      <c r="Z174" s="253"/>
      <c r="AA174" s="253"/>
      <c r="AB174" s="253"/>
      <c r="AC174" s="8984"/>
      <c r="AD174" s="9863"/>
      <c r="AE174" s="9876">
        <f>IF(AND(NOT(AO4),AO5),$AE$170,0)</f>
        <v>0</v>
      </c>
      <c r="AF174" s="9877"/>
      <c r="AG174" s="9877"/>
      <c r="AH174" s="9877"/>
      <c r="AI174" s="9877"/>
      <c r="AJ174" s="9877"/>
      <c r="AK174" s="2013"/>
      <c r="AM174" s="817" t="s">
        <v>771</v>
      </c>
      <c r="BL174" s="2027"/>
      <c r="BM174" s="2027"/>
    </row>
    <row r="175" spans="1:65" ht="15" customHeight="1" thickBot="1">
      <c r="A175" s="2013"/>
      <c r="B175" s="253"/>
      <c r="C175" s="253"/>
      <c r="D175" s="511" t="s">
        <v>5262</v>
      </c>
      <c r="E175" s="253"/>
      <c r="F175" s="253"/>
      <c r="G175" s="253"/>
      <c r="H175" s="253"/>
      <c r="I175" s="253"/>
      <c r="J175" s="253"/>
      <c r="K175" s="253"/>
      <c r="L175" s="253"/>
      <c r="M175" s="253"/>
      <c r="N175" s="253"/>
      <c r="O175" s="253"/>
      <c r="P175" s="253"/>
      <c r="Q175" s="253"/>
      <c r="R175" s="253"/>
      <c r="S175" s="253"/>
      <c r="T175" s="253"/>
      <c r="U175" s="253"/>
      <c r="V175" s="253"/>
      <c r="W175" s="253"/>
      <c r="X175" s="253"/>
      <c r="Y175" s="253"/>
      <c r="Z175" s="253"/>
      <c r="AA175" s="253"/>
      <c r="AB175" s="2031" t="s">
        <v>650</v>
      </c>
      <c r="AC175" s="9751">
        <v>45</v>
      </c>
      <c r="AD175" s="9785"/>
      <c r="AE175" s="9861">
        <f>IF(AM175&lt;&gt;"",ROUND(AM175,0),IF(AE170=0,0,SUM(AE170,-AE172)))</f>
        <v>0</v>
      </c>
      <c r="AF175" s="9861"/>
      <c r="AG175" s="9861"/>
      <c r="AH175" s="9861"/>
      <c r="AI175" s="9861"/>
      <c r="AJ175" s="9861"/>
      <c r="AK175" s="2013"/>
      <c r="AM175" s="449"/>
      <c r="AO175" s="2083" t="e" cm="1">
        <f t="array" ref="AO175">IF(F2555_Line45_1="",0,F2555_Line45)</f>
        <v>#NAME?</v>
      </c>
      <c r="BL175" s="2027"/>
      <c r="BM175" s="2027"/>
    </row>
    <row r="176" spans="1:65" ht="7.5" customHeight="1">
      <c r="A176" s="2013"/>
      <c r="B176" s="2036"/>
      <c r="C176" s="2036"/>
      <c r="D176" s="9878" t="s">
        <v>3437</v>
      </c>
      <c r="E176" s="9879"/>
      <c r="F176" s="9879"/>
      <c r="G176" s="9879"/>
      <c r="H176" s="9879"/>
      <c r="I176" s="9879"/>
      <c r="J176" s="9879"/>
      <c r="K176" s="9879"/>
      <c r="L176" s="9879"/>
      <c r="M176" s="9879"/>
      <c r="N176" s="9879"/>
      <c r="O176" s="9879"/>
      <c r="P176" s="9879"/>
      <c r="Q176" s="9879"/>
      <c r="R176" s="9879"/>
      <c r="S176" s="9879"/>
      <c r="T176" s="9879"/>
      <c r="U176" s="9879"/>
      <c r="V176" s="9879"/>
      <c r="W176" s="9879"/>
      <c r="X176" s="9879"/>
      <c r="Y176" s="9879"/>
      <c r="Z176" s="9879"/>
      <c r="AA176" s="9879"/>
      <c r="AB176" s="9879"/>
      <c r="AC176" s="9879"/>
      <c r="AD176" s="9879"/>
      <c r="AE176" s="9879"/>
      <c r="AF176" s="9879"/>
      <c r="AG176" s="9879"/>
      <c r="AH176" s="9879"/>
      <c r="AI176" s="9879"/>
      <c r="AJ176" s="9879"/>
      <c r="AK176" s="2013"/>
    </row>
    <row r="177" spans="1:74" ht="15" customHeight="1">
      <c r="A177" s="2013"/>
      <c r="B177" s="9755" t="s">
        <v>3438</v>
      </c>
      <c r="C177" s="8489"/>
      <c r="D177" s="9880"/>
      <c r="E177" s="9880"/>
      <c r="F177" s="9880"/>
      <c r="G177" s="9880"/>
      <c r="H177" s="9880"/>
      <c r="I177" s="9880"/>
      <c r="J177" s="9880"/>
      <c r="K177" s="9880"/>
      <c r="L177" s="9880"/>
      <c r="M177" s="9880"/>
      <c r="N177" s="9880"/>
      <c r="O177" s="9880"/>
      <c r="P177" s="9880"/>
      <c r="Q177" s="9880"/>
      <c r="R177" s="9880"/>
      <c r="S177" s="9880"/>
      <c r="T177" s="9880"/>
      <c r="U177" s="9880"/>
      <c r="V177" s="9880"/>
      <c r="W177" s="9880"/>
      <c r="X177" s="9880"/>
      <c r="Y177" s="9880"/>
      <c r="Z177" s="9880"/>
      <c r="AA177" s="9880"/>
      <c r="AB177" s="9880"/>
      <c r="AC177" s="9880"/>
      <c r="AD177" s="9880"/>
      <c r="AE177" s="9880"/>
      <c r="AF177" s="9880"/>
      <c r="AG177" s="9880"/>
      <c r="AH177" s="9880"/>
      <c r="AI177" s="9880"/>
      <c r="AJ177" s="9880"/>
      <c r="AK177" s="2013"/>
      <c r="AM177" s="2099" t="b">
        <f>AND(AO150&gt;AO155,ForeignEarnedIncome1&gt;AO170)</f>
        <v>0</v>
      </c>
    </row>
    <row r="178" spans="1:74" ht="7.5" customHeight="1">
      <c r="A178" s="2013"/>
      <c r="B178" s="1999"/>
      <c r="C178" s="1999"/>
      <c r="D178" s="9881"/>
      <c r="E178" s="9881"/>
      <c r="F178" s="9881"/>
      <c r="G178" s="9881"/>
      <c r="H178" s="9881"/>
      <c r="I178" s="9881"/>
      <c r="J178" s="9881"/>
      <c r="K178" s="9881"/>
      <c r="L178" s="9881"/>
      <c r="M178" s="9881"/>
      <c r="N178" s="9881"/>
      <c r="O178" s="9881"/>
      <c r="P178" s="9881"/>
      <c r="Q178" s="9881"/>
      <c r="R178" s="9881"/>
      <c r="S178" s="9881"/>
      <c r="T178" s="9881"/>
      <c r="U178" s="9881"/>
      <c r="V178" s="9881"/>
      <c r="W178" s="9881"/>
      <c r="X178" s="9881"/>
      <c r="Y178" s="9881"/>
      <c r="Z178" s="9881"/>
      <c r="AA178" s="9881"/>
      <c r="AB178" s="9881"/>
      <c r="AC178" s="9881"/>
      <c r="AD178" s="9881"/>
      <c r="AE178" s="9881"/>
      <c r="AF178" s="9881"/>
      <c r="AG178" s="9881"/>
      <c r="AH178" s="9881"/>
      <c r="AI178" s="9881"/>
      <c r="AJ178" s="9881"/>
      <c r="AK178" s="2013"/>
    </row>
    <row r="179" spans="1:74" ht="15" customHeight="1">
      <c r="A179" s="2013"/>
      <c r="B179" s="253"/>
      <c r="C179" s="734" t="s">
        <v>3439</v>
      </c>
      <c r="D179" s="511" t="s">
        <v>3440</v>
      </c>
      <c r="E179" s="253"/>
      <c r="F179" s="253"/>
      <c r="G179" s="253"/>
      <c r="H179" s="253"/>
      <c r="I179" s="253"/>
      <c r="J179" s="253"/>
      <c r="K179" s="253"/>
      <c r="L179" s="253"/>
      <c r="M179" s="253"/>
      <c r="N179" s="253"/>
      <c r="O179" s="253"/>
      <c r="P179" s="253"/>
      <c r="Q179" s="253"/>
      <c r="R179" s="253"/>
      <c r="S179" s="253"/>
      <c r="T179" s="253"/>
      <c r="U179" s="253"/>
      <c r="V179" s="253"/>
      <c r="W179" s="253"/>
      <c r="X179" s="253"/>
      <c r="Y179" s="253"/>
      <c r="Z179" s="253"/>
      <c r="AA179" s="253"/>
      <c r="AB179" s="2031" t="s">
        <v>668</v>
      </c>
      <c r="AC179" s="9751">
        <v>46</v>
      </c>
      <c r="AD179" s="9785"/>
      <c r="AE179" s="9861" t="str">
        <f>IF(OR(AM150,NOT(AM177)),"",SUM(AO150,-AO155))</f>
        <v/>
      </c>
      <c r="AF179" s="9861"/>
      <c r="AG179" s="9861"/>
      <c r="AH179" s="9861"/>
      <c r="AI179" s="9861"/>
      <c r="AJ179" s="9861"/>
      <c r="AK179" s="2013"/>
      <c r="AM179" s="2014" t="str">
        <f>IF(F2555_Line45_1&gt;FEI_Exclusion_Limit,"For "&amp;TaxYear&amp;", the maximum","")</f>
        <v/>
      </c>
      <c r="BL179" s="2027"/>
      <c r="BM179" s="2027"/>
    </row>
    <row r="180" spans="1:74" ht="15" customHeight="1">
      <c r="A180" s="2013"/>
      <c r="B180" s="253"/>
      <c r="C180" s="734" t="s">
        <v>3441</v>
      </c>
      <c r="D180" s="511" t="s">
        <v>3442</v>
      </c>
      <c r="E180" s="253"/>
      <c r="F180" s="253"/>
      <c r="G180" s="253"/>
      <c r="H180" s="253"/>
      <c r="I180" s="253"/>
      <c r="J180" s="253"/>
      <c r="K180" s="253"/>
      <c r="L180" s="253"/>
      <c r="M180" s="253"/>
      <c r="N180" s="253"/>
      <c r="O180" s="253"/>
      <c r="P180" s="253"/>
      <c r="Q180" s="253"/>
      <c r="R180" s="253"/>
      <c r="S180" s="253"/>
      <c r="T180" s="253"/>
      <c r="U180" s="253"/>
      <c r="V180" s="253"/>
      <c r="W180" s="253"/>
      <c r="X180" s="253"/>
      <c r="Y180" s="253"/>
      <c r="Z180" s="253"/>
      <c r="AA180" s="253"/>
      <c r="AB180" s="2031" t="s">
        <v>668</v>
      </c>
      <c r="AC180" s="9751">
        <v>47</v>
      </c>
      <c r="AD180" s="9785"/>
      <c r="AE180" s="9861" t="str">
        <f>IF(OR(AM150,NOT(AM177)),"",SUM(ForeignEarnedIncome1,-AE170))</f>
        <v/>
      </c>
      <c r="AF180" s="9861"/>
      <c r="AG180" s="9861"/>
      <c r="AH180" s="9861"/>
      <c r="AI180" s="9861"/>
      <c r="AJ180" s="9861"/>
      <c r="AK180" s="2013"/>
      <c r="BL180" s="2027"/>
      <c r="BM180" s="2027"/>
    </row>
    <row r="181" spans="1:74" ht="15" customHeight="1">
      <c r="A181" s="2013"/>
      <c r="B181" s="253"/>
      <c r="C181" s="734" t="s">
        <v>3443</v>
      </c>
      <c r="D181" s="511" t="s">
        <v>3444</v>
      </c>
      <c r="E181" s="253"/>
      <c r="F181" s="253"/>
      <c r="G181" s="253"/>
      <c r="H181" s="253"/>
      <c r="I181" s="253"/>
      <c r="J181" s="253"/>
      <c r="K181" s="253"/>
      <c r="L181" s="253"/>
      <c r="M181" s="253"/>
      <c r="N181" s="253"/>
      <c r="O181" s="253"/>
      <c r="P181" s="253"/>
      <c r="Q181" s="253"/>
      <c r="R181" s="253"/>
      <c r="S181" s="253"/>
      <c r="T181" s="253"/>
      <c r="U181" s="253"/>
      <c r="V181" s="253"/>
      <c r="W181" s="253"/>
      <c r="X181" s="253"/>
      <c r="Y181" s="253"/>
      <c r="Z181" s="253"/>
      <c r="AA181" s="253"/>
      <c r="AB181" s="2031" t="s">
        <v>677</v>
      </c>
      <c r="AC181" s="9751">
        <v>48</v>
      </c>
      <c r="AD181" s="9785"/>
      <c r="AE181" s="9861" t="str">
        <f>IF(OR(AM150,NOT(AM177)),"",MIN(AE179,AE180))</f>
        <v/>
      </c>
      <c r="AF181" s="9861"/>
      <c r="AG181" s="9861"/>
      <c r="AH181" s="9861"/>
      <c r="AI181" s="9861"/>
      <c r="AJ181" s="9861"/>
      <c r="AK181" s="2013"/>
      <c r="BL181" s="2027"/>
      <c r="BM181" s="2027"/>
    </row>
    <row r="182" spans="1:74" ht="15" customHeight="1">
      <c r="A182" s="2013"/>
      <c r="B182" s="253"/>
      <c r="C182" s="253"/>
      <c r="D182" s="511" t="s">
        <v>3445</v>
      </c>
      <c r="E182" s="253"/>
      <c r="F182" s="362"/>
      <c r="G182" s="253"/>
      <c r="H182" s="253"/>
      <c r="I182" s="253"/>
      <c r="J182" s="253"/>
      <c r="K182" s="253"/>
      <c r="L182" s="253"/>
      <c r="M182" s="253"/>
      <c r="N182" s="253"/>
      <c r="O182" s="253"/>
      <c r="P182" s="253"/>
      <c r="Q182" s="253"/>
      <c r="R182" s="253"/>
      <c r="S182" s="511"/>
      <c r="T182" s="2100" t="str">
        <f>"all of your "&amp;TaxYear-1&amp;" housing deduction "</f>
        <v xml:space="preserve">all of your 2024 housing deduction </v>
      </c>
      <c r="U182" s="253"/>
      <c r="V182" s="253"/>
      <c r="W182" s="253"/>
      <c r="X182" s="253"/>
      <c r="Y182" s="253"/>
      <c r="Z182" s="253"/>
      <c r="AA182" s="253"/>
      <c r="AB182" s="1469"/>
      <c r="AC182" s="9884"/>
      <c r="AD182" s="9885"/>
      <c r="AE182" s="9128"/>
      <c r="AF182" s="9788"/>
      <c r="AG182" s="9788"/>
      <c r="AH182" s="9788"/>
      <c r="AI182" s="9788"/>
      <c r="AJ182" s="9788"/>
      <c r="AK182" s="2013"/>
      <c r="BL182" s="2027"/>
      <c r="BM182" s="2027"/>
    </row>
    <row r="183" spans="1:74" ht="15" customHeight="1">
      <c r="A183" s="2013"/>
      <c r="B183" s="253"/>
      <c r="C183" s="253"/>
      <c r="D183" s="511" t="str">
        <f>"because of the "&amp;TaxYear-1&amp;" limit, use the Housing Deduction Carryover Worksheet in the instructions to"</f>
        <v>because of the 2024 limit, use the Housing Deduction Carryover Worksheet in the instructions to</v>
      </c>
      <c r="E183" s="253"/>
      <c r="F183" s="253"/>
      <c r="G183" s="253"/>
      <c r="H183" s="253"/>
      <c r="I183" s="253"/>
      <c r="J183" s="253"/>
      <c r="K183" s="253"/>
      <c r="L183" s="253"/>
      <c r="M183" s="253"/>
      <c r="N183" s="253"/>
      <c r="O183" s="253"/>
      <c r="P183" s="253"/>
      <c r="Q183" s="253"/>
      <c r="R183" s="253"/>
      <c r="S183" s="253"/>
      <c r="T183" s="253"/>
      <c r="U183" s="253"/>
      <c r="V183" s="253"/>
      <c r="W183" s="253"/>
      <c r="X183" s="253"/>
      <c r="Y183" s="253"/>
      <c r="Z183" s="253"/>
      <c r="AA183" s="253"/>
      <c r="AB183" s="253"/>
      <c r="AC183" s="9886"/>
      <c r="AD183" s="9887"/>
      <c r="AE183" s="8984"/>
      <c r="AF183" s="7879"/>
      <c r="AG183" s="7879"/>
      <c r="AH183" s="7879"/>
      <c r="AI183" s="7879"/>
      <c r="AJ183" s="7879"/>
      <c r="AK183" s="2013"/>
      <c r="BL183" s="2027"/>
      <c r="BM183" s="2027"/>
    </row>
    <row r="184" spans="1:74" ht="15" customHeight="1">
      <c r="A184" s="2013"/>
      <c r="B184" s="253"/>
      <c r="C184" s="253"/>
      <c r="D184" s="511" t="s">
        <v>3446</v>
      </c>
      <c r="E184" s="253"/>
      <c r="F184" s="253"/>
      <c r="G184" s="253"/>
      <c r="H184" s="253"/>
      <c r="I184" s="253"/>
      <c r="J184" s="253"/>
      <c r="K184" s="253"/>
      <c r="L184" s="253"/>
      <c r="M184" s="253"/>
      <c r="N184" s="253"/>
      <c r="O184" s="253"/>
      <c r="P184" s="253"/>
      <c r="Q184" s="253"/>
      <c r="R184" s="253"/>
      <c r="S184" s="253"/>
      <c r="T184" s="253"/>
      <c r="U184" s="253"/>
      <c r="V184" s="253"/>
      <c r="W184" s="253"/>
      <c r="X184" s="253"/>
      <c r="Y184" s="253"/>
      <c r="Z184" s="253"/>
      <c r="AA184" s="253"/>
      <c r="AB184" s="253"/>
      <c r="AC184" s="9886"/>
      <c r="AD184" s="9887"/>
      <c r="AE184" s="8984"/>
      <c r="AF184" s="7879"/>
      <c r="AG184" s="7879"/>
      <c r="AH184" s="7879"/>
      <c r="AI184" s="7879"/>
      <c r="AJ184" s="7879"/>
      <c r="AK184" s="2013"/>
      <c r="BL184" s="2027"/>
      <c r="BM184" s="2027"/>
    </row>
    <row r="185" spans="1:74" ht="15" customHeight="1">
      <c r="A185" s="2013"/>
      <c r="B185" s="253"/>
      <c r="C185" s="734" t="s">
        <v>3447</v>
      </c>
      <c r="D185" s="511" t="str">
        <f>"Housing deduction carryover from "&amp;TaxYear-1&amp;" (from the Housing Deduction Carryover Worksheet in"</f>
        <v>Housing deduction carryover from 2024 (from the Housing Deduction Carryover Worksheet in</v>
      </c>
      <c r="E185" s="253"/>
      <c r="F185" s="253"/>
      <c r="G185" s="253"/>
      <c r="H185" s="253"/>
      <c r="I185" s="253"/>
      <c r="J185" s="253"/>
      <c r="K185" s="253"/>
      <c r="L185" s="253"/>
      <c r="M185" s="253"/>
      <c r="N185" s="253"/>
      <c r="O185" s="253"/>
      <c r="P185" s="253"/>
      <c r="Q185" s="253"/>
      <c r="R185" s="253"/>
      <c r="S185" s="253"/>
      <c r="T185" s="253"/>
      <c r="U185" s="253"/>
      <c r="V185" s="253"/>
      <c r="W185" s="253"/>
      <c r="X185" s="253"/>
      <c r="Y185" s="253"/>
      <c r="Z185" s="253"/>
      <c r="AA185" s="253"/>
      <c r="AB185" s="253"/>
      <c r="AC185" s="9886"/>
      <c r="AD185" s="9887"/>
      <c r="AE185" s="8984"/>
      <c r="AF185" s="7879"/>
      <c r="AG185" s="7879"/>
      <c r="AH185" s="7879"/>
      <c r="AI185" s="7879"/>
      <c r="AJ185" s="7879"/>
      <c r="AK185" s="2013"/>
      <c r="BL185" s="2027"/>
      <c r="BM185" s="2027"/>
    </row>
    <row r="186" spans="1:74" ht="15" customHeight="1">
      <c r="A186" s="2013"/>
      <c r="B186" s="253"/>
      <c r="C186" s="253"/>
      <c r="D186" s="511" t="s">
        <v>3448</v>
      </c>
      <c r="E186" s="253"/>
      <c r="F186" s="253"/>
      <c r="G186" s="253"/>
      <c r="H186" s="253"/>
      <c r="I186" s="253"/>
      <c r="J186" s="253"/>
      <c r="K186" s="253"/>
      <c r="L186" s="253"/>
      <c r="M186" s="253"/>
      <c r="N186" s="253"/>
      <c r="O186" s="253"/>
      <c r="P186" s="253"/>
      <c r="Q186" s="253"/>
      <c r="R186" s="253"/>
      <c r="S186" s="253"/>
      <c r="T186" s="253"/>
      <c r="U186" s="253"/>
      <c r="V186" s="253"/>
      <c r="W186" s="253"/>
      <c r="X186" s="253"/>
      <c r="Y186" s="253"/>
      <c r="Z186" s="253"/>
      <c r="AA186" s="253"/>
      <c r="AB186" s="2031" t="s">
        <v>2699</v>
      </c>
      <c r="AC186" s="9751">
        <v>49</v>
      </c>
      <c r="AD186" s="9785"/>
      <c r="AE186" s="9786"/>
      <c r="AF186" s="9786"/>
      <c r="AG186" s="9786"/>
      <c r="AH186" s="9786"/>
      <c r="AI186" s="9786"/>
      <c r="AJ186" s="9786"/>
      <c r="AK186" s="2013"/>
      <c r="BL186" s="2027"/>
      <c r="BM186" s="2027"/>
    </row>
    <row r="187" spans="1:74" ht="15" customHeight="1">
      <c r="A187" s="2013"/>
      <c r="B187" s="253"/>
      <c r="C187" s="734" t="s">
        <v>3449</v>
      </c>
      <c r="D187" s="511" t="s">
        <v>3450</v>
      </c>
      <c r="E187" s="253"/>
      <c r="F187" s="253"/>
      <c r="G187" s="253"/>
      <c r="H187" s="253"/>
      <c r="I187" s="253"/>
      <c r="J187" s="253"/>
      <c r="K187" s="253"/>
      <c r="L187" s="253"/>
      <c r="M187" s="253"/>
      <c r="N187" s="253"/>
      <c r="O187" s="253"/>
      <c r="P187" s="253"/>
      <c r="Q187" s="253"/>
      <c r="R187" s="253"/>
      <c r="S187" s="253"/>
      <c r="T187" s="253"/>
      <c r="U187" s="253"/>
      <c r="V187" s="253"/>
      <c r="W187" s="253"/>
      <c r="X187" s="253"/>
      <c r="Y187" s="253"/>
      <c r="Z187" s="253"/>
      <c r="AA187" s="253"/>
      <c r="AB187" s="253"/>
      <c r="AC187" s="9128"/>
      <c r="AD187" s="9787"/>
      <c r="AE187" s="9128"/>
      <c r="AF187" s="9788"/>
      <c r="AG187" s="9788"/>
      <c r="AH187" s="9788"/>
      <c r="AI187" s="9788"/>
      <c r="AJ187" s="9788"/>
      <c r="AK187" s="2013"/>
      <c r="BL187" s="2027"/>
      <c r="BM187" s="2027"/>
    </row>
    <row r="188" spans="1:74" ht="15" customHeight="1" thickBot="1">
      <c r="A188" s="2013"/>
      <c r="B188" s="253"/>
      <c r="C188" s="253"/>
      <c r="D188" s="511" t="s">
        <v>3451</v>
      </c>
      <c r="E188" s="253"/>
      <c r="F188" s="253"/>
      <c r="G188" s="253"/>
      <c r="H188" s="253"/>
      <c r="I188" s="253"/>
      <c r="J188" s="253"/>
      <c r="K188" s="253"/>
      <c r="L188" s="253"/>
      <c r="M188" s="253"/>
      <c r="N188" s="253"/>
      <c r="O188" s="253"/>
      <c r="P188" s="253"/>
      <c r="Q188" s="253"/>
      <c r="R188" s="253"/>
      <c r="S188" s="253"/>
      <c r="T188" s="253"/>
      <c r="U188" s="253"/>
      <c r="V188" s="253"/>
      <c r="W188" s="253"/>
      <c r="X188" s="253"/>
      <c r="Y188" s="253"/>
      <c r="Z188" s="253"/>
      <c r="AA188" s="253"/>
      <c r="AB188" s="253"/>
      <c r="AC188" s="8984"/>
      <c r="AD188" s="9863"/>
      <c r="AE188" s="8984"/>
      <c r="AF188" s="7879"/>
      <c r="AG188" s="7879"/>
      <c r="AH188" s="7879"/>
      <c r="AI188" s="7879"/>
      <c r="AJ188" s="7879"/>
      <c r="AK188" s="2013"/>
      <c r="AM188" s="817" t="s">
        <v>771</v>
      </c>
      <c r="BL188" s="2027"/>
      <c r="BM188" s="2027"/>
    </row>
    <row r="189" spans="1:74" ht="15" customHeight="1" thickBot="1">
      <c r="A189" s="2013"/>
      <c r="B189" s="253"/>
      <c r="C189" s="253"/>
      <c r="D189" s="511" t="s">
        <v>3452</v>
      </c>
      <c r="E189" s="253"/>
      <c r="F189" s="253"/>
      <c r="G189" s="253"/>
      <c r="H189" s="253"/>
      <c r="I189" s="253"/>
      <c r="J189" s="253"/>
      <c r="K189" s="253"/>
      <c r="L189" s="253"/>
      <c r="M189" s="253"/>
      <c r="N189" s="253"/>
      <c r="O189" s="253"/>
      <c r="P189" s="253"/>
      <c r="Q189" s="253"/>
      <c r="R189" s="253"/>
      <c r="S189" s="253"/>
      <c r="T189" s="253"/>
      <c r="U189" s="253"/>
      <c r="V189" s="253"/>
      <c r="W189" s="253"/>
      <c r="X189" s="253"/>
      <c r="Y189" s="253"/>
      <c r="Z189" s="253"/>
      <c r="AA189" s="253"/>
      <c r="AB189" s="2031" t="s">
        <v>653</v>
      </c>
      <c r="AC189" s="9751">
        <v>50</v>
      </c>
      <c r="AD189" s="9785"/>
      <c r="AE189" s="9861" t="str">
        <f>IF(AM189&lt;&gt;"",ROUND(AM189,0),IF(OR(AM150,NOT(AM177)),"",SUM(AE181,AE186)))</f>
        <v/>
      </c>
      <c r="AF189" s="9861"/>
      <c r="AG189" s="9861"/>
      <c r="AH189" s="9861"/>
      <c r="AI189" s="9861"/>
      <c r="AJ189" s="9861"/>
      <c r="AK189" s="2013"/>
      <c r="AM189" s="449"/>
      <c r="AO189" s="2084">
        <f>IF(AE189="",0,AE189)</f>
        <v>0</v>
      </c>
      <c r="BL189" s="2027"/>
      <c r="BM189" s="2027"/>
    </row>
    <row r="190" spans="1:74" ht="18.75" thickTop="1">
      <c r="A190" s="2013"/>
      <c r="B190" s="257"/>
      <c r="C190" s="257"/>
      <c r="D190" s="257"/>
      <c r="E190" s="257"/>
      <c r="F190" s="257"/>
      <c r="G190" s="257"/>
      <c r="H190" s="257"/>
      <c r="I190" s="257"/>
      <c r="J190" s="257"/>
      <c r="K190" s="257"/>
      <c r="L190" s="257"/>
      <c r="M190" s="257"/>
      <c r="N190" s="257"/>
      <c r="O190" s="257"/>
      <c r="P190" s="257"/>
      <c r="Q190" s="257"/>
      <c r="R190" s="257"/>
      <c r="S190" s="257"/>
      <c r="T190" s="257"/>
      <c r="U190" s="257"/>
      <c r="V190" s="257"/>
      <c r="W190" s="257"/>
      <c r="X190" s="257"/>
      <c r="Y190" s="257"/>
      <c r="Z190" s="257"/>
      <c r="AA190" s="257"/>
      <c r="AB190" s="257"/>
      <c r="AC190" s="257"/>
      <c r="AD190" s="257"/>
      <c r="AE190" s="257"/>
      <c r="AF190" s="257"/>
      <c r="AG190" s="257"/>
      <c r="AH190" s="2101" t="s">
        <v>3453</v>
      </c>
      <c r="AI190" s="2079"/>
      <c r="AJ190" s="2102" t="str">
        <f>"("&amp;TaxYear&amp;")"</f>
        <v>(2025)</v>
      </c>
      <c r="AK190" s="2013"/>
      <c r="AM190" s="2103" t="b">
        <f>OR(AO155&gt;0,AO344&gt;0,AND(ForeignIncExclusion1&lt;&gt;"",ForeignIncExclusion1&gt;0),AND(ForeignIncExclusion2&lt;&gt;"",ForeignIncExclusion2&gt;0),AND(F2555_Line45_1&lt;&gt;"",F2555_Line45_1&gt;0),AND(F2555_Line45_2&lt;&gt;"",F2555_Line45_2&gt;0),AND(F2555_Line45_1&lt;&gt;"",F2555_Line45_1&gt;0),AND(F2555_Line45_2&lt;&gt;"",F2555_Line45_2&gt;0))</f>
        <v>0</v>
      </c>
      <c r="AO190" s="2050"/>
      <c r="AP190" s="2051"/>
      <c r="BL190" s="2027"/>
      <c r="BM190" s="2027"/>
      <c r="BO190" s="2027"/>
      <c r="BP190" s="2027"/>
      <c r="BQ190" s="2027"/>
      <c r="BR190" s="2027"/>
      <c r="BS190" s="2027"/>
      <c r="BT190" s="2027"/>
      <c r="BU190" s="2027"/>
      <c r="BV190" s="2027"/>
    </row>
    <row r="191" spans="1:74" ht="18" customHeight="1">
      <c r="A191" s="2013"/>
      <c r="B191" s="253"/>
      <c r="C191" s="253"/>
      <c r="D191" s="9823" t="s">
        <v>117</v>
      </c>
      <c r="E191" s="7601"/>
      <c r="F191" s="7601"/>
      <c r="G191" s="7601"/>
      <c r="H191" s="379"/>
      <c r="I191" s="7931" t="s">
        <v>3238</v>
      </c>
      <c r="J191" s="7091"/>
      <c r="K191" s="7091"/>
      <c r="L191" s="7091"/>
      <c r="M191" s="7091"/>
      <c r="N191" s="7091"/>
      <c r="O191" s="7091"/>
      <c r="P191" s="7091"/>
      <c r="Q191" s="7091"/>
      <c r="R191" s="7091"/>
      <c r="S191" s="7091"/>
      <c r="T191" s="7091"/>
      <c r="U191" s="7091"/>
      <c r="V191" s="7091"/>
      <c r="W191" s="7091"/>
      <c r="X191" s="7091"/>
      <c r="Y191" s="7091"/>
      <c r="Z191" s="7091"/>
      <c r="AA191" s="7091"/>
      <c r="AB191" s="7977"/>
      <c r="AC191" s="9893" t="str">
        <f>IF(AND('Table of Contents'!A46="D",AK191=""),"DRAFT","OMB No. 1545-0074")</f>
        <v>OMB No. 1545-0074</v>
      </c>
      <c r="AD191" s="9894"/>
      <c r="AE191" s="9894"/>
      <c r="AF191" s="9894"/>
      <c r="AG191" s="9894"/>
      <c r="AH191" s="9894"/>
      <c r="AI191" s="9894"/>
      <c r="AJ191" s="9894"/>
      <c r="AK191" s="1796"/>
      <c r="AL191" s="344"/>
      <c r="AM191" s="344"/>
      <c r="AN191" s="344"/>
      <c r="AO191" s="344"/>
      <c r="AP191" s="344"/>
    </row>
    <row r="192" spans="1:74" ht="24" customHeight="1" thickBot="1">
      <c r="A192" s="2013"/>
      <c r="B192" s="9825" t="s">
        <v>46</v>
      </c>
      <c r="C192" s="9617"/>
      <c r="D192" s="7601"/>
      <c r="E192" s="7601"/>
      <c r="F192" s="7601"/>
      <c r="G192" s="7601"/>
      <c r="H192" s="379"/>
      <c r="I192" s="9824"/>
      <c r="J192" s="7091"/>
      <c r="K192" s="7091"/>
      <c r="L192" s="7091"/>
      <c r="M192" s="7091"/>
      <c r="N192" s="7091"/>
      <c r="O192" s="7091"/>
      <c r="P192" s="7091"/>
      <c r="Q192" s="7091"/>
      <c r="R192" s="7091"/>
      <c r="S192" s="7091"/>
      <c r="T192" s="7091"/>
      <c r="U192" s="7091"/>
      <c r="V192" s="7091"/>
      <c r="W192" s="7091"/>
      <c r="X192" s="7091"/>
      <c r="Y192" s="7091"/>
      <c r="Z192" s="7091"/>
      <c r="AA192" s="7091"/>
      <c r="AB192" s="7977"/>
      <c r="AC192" s="9826">
        <f>TaxYear</f>
        <v>2025</v>
      </c>
      <c r="AD192" s="9827"/>
      <c r="AE192" s="9827"/>
      <c r="AF192" s="9827"/>
      <c r="AG192" s="9827"/>
      <c r="AH192" s="9827"/>
      <c r="AI192" s="9827"/>
      <c r="AJ192" s="9827"/>
      <c r="AK192" s="2013"/>
      <c r="AL192" s="344" t="s">
        <v>3239</v>
      </c>
      <c r="AM192" s="344"/>
      <c r="AN192" s="344"/>
      <c r="AO192" s="344"/>
      <c r="AP192" s="344"/>
    </row>
    <row r="193" spans="1:74" ht="13.5" customHeight="1" thickBot="1">
      <c r="A193" s="2013"/>
      <c r="B193" s="253"/>
      <c r="C193" s="253"/>
      <c r="D193" s="253"/>
      <c r="E193" s="253"/>
      <c r="F193" s="253"/>
      <c r="G193" s="253"/>
      <c r="H193" s="379"/>
      <c r="I193" s="9830"/>
      <c r="J193" s="7091"/>
      <c r="K193" s="7091"/>
      <c r="L193" s="7091"/>
      <c r="M193" s="7091"/>
      <c r="N193" s="7091"/>
      <c r="O193" s="7091"/>
      <c r="P193" s="7091"/>
      <c r="Q193" s="7091"/>
      <c r="R193" s="7091"/>
      <c r="S193" s="7091"/>
      <c r="T193" s="7091"/>
      <c r="U193" s="7091"/>
      <c r="V193" s="7091"/>
      <c r="W193" s="7091"/>
      <c r="X193" s="7091"/>
      <c r="Y193" s="7091"/>
      <c r="Z193" s="7091"/>
      <c r="AA193" s="7091"/>
      <c r="AB193" s="7977"/>
      <c r="AC193" s="9828"/>
      <c r="AD193" s="9829"/>
      <c r="AE193" s="9829"/>
      <c r="AF193" s="9829"/>
      <c r="AG193" s="9829"/>
      <c r="AH193" s="9829"/>
      <c r="AI193" s="9829"/>
      <c r="AJ193" s="9829"/>
      <c r="AK193" s="2013"/>
      <c r="AL193" s="300"/>
      <c r="AM193" s="344" t="s">
        <v>566</v>
      </c>
      <c r="AN193" s="344"/>
      <c r="AO193" s="512" t="b">
        <f>AL193&lt;&gt;""</f>
        <v>0</v>
      </c>
      <c r="AP193" s="344"/>
    </row>
    <row r="194" spans="1:74" ht="14.25" customHeight="1" thickBot="1">
      <c r="A194" s="2013"/>
      <c r="B194" s="253" t="s">
        <v>503</v>
      </c>
      <c r="C194" s="253"/>
      <c r="D194" s="253"/>
      <c r="E194" s="253"/>
      <c r="F194" s="253"/>
      <c r="G194" s="253"/>
      <c r="H194" s="379"/>
      <c r="I194" s="9830" t="s">
        <v>1817</v>
      </c>
      <c r="J194" s="7091"/>
      <c r="K194" s="7091"/>
      <c r="L194" s="7091"/>
      <c r="M194" s="7091"/>
      <c r="N194" s="7091"/>
      <c r="O194" s="7091"/>
      <c r="P194" s="7091"/>
      <c r="Q194" s="7091"/>
      <c r="R194" s="7091"/>
      <c r="S194" s="7091"/>
      <c r="T194" s="7091"/>
      <c r="U194" s="7091"/>
      <c r="V194" s="7091"/>
      <c r="W194" s="7091"/>
      <c r="X194" s="7091"/>
      <c r="Y194" s="7091"/>
      <c r="Z194" s="7091"/>
      <c r="AA194" s="7091"/>
      <c r="AB194" s="7977"/>
      <c r="AC194" s="341"/>
      <c r="AD194" s="9831" t="s">
        <v>3240</v>
      </c>
      <c r="AE194" s="9832"/>
      <c r="AF194" s="9832"/>
      <c r="AG194" s="9832"/>
      <c r="AH194" s="9833">
        <v>34</v>
      </c>
      <c r="AI194" s="9833"/>
      <c r="AJ194" s="253"/>
      <c r="AK194" s="2013"/>
      <c r="AL194" s="300" t="s">
        <v>1962</v>
      </c>
      <c r="AM194" s="344" t="s">
        <v>3241</v>
      </c>
      <c r="AN194" s="344"/>
      <c r="AO194" s="512" t="b">
        <f>AL194&lt;&gt;""</f>
        <v>1</v>
      </c>
      <c r="AP194" s="344"/>
    </row>
    <row r="195" spans="1:74" ht="13.5" customHeight="1" thickBot="1">
      <c r="A195" s="2013"/>
      <c r="B195" s="380" t="s">
        <v>505</v>
      </c>
      <c r="C195" s="380"/>
      <c r="D195" s="380"/>
      <c r="E195" s="380"/>
      <c r="F195" s="380"/>
      <c r="G195" s="380"/>
      <c r="H195" s="381"/>
      <c r="I195" s="9895" t="s">
        <v>3242</v>
      </c>
      <c r="J195" s="9896"/>
      <c r="K195" s="9896"/>
      <c r="L195" s="9896"/>
      <c r="M195" s="9896"/>
      <c r="N195" s="9896"/>
      <c r="O195" s="9896"/>
      <c r="P195" s="9896"/>
      <c r="Q195" s="9896"/>
      <c r="R195" s="9896"/>
      <c r="S195" s="9896"/>
      <c r="T195" s="9896"/>
      <c r="U195" s="9896"/>
      <c r="V195" s="9896"/>
      <c r="W195" s="9896"/>
      <c r="X195" s="9896"/>
      <c r="Y195" s="9896"/>
      <c r="Z195" s="9896"/>
      <c r="AA195" s="9896"/>
      <c r="AB195" s="9897"/>
      <c r="AC195" s="1197"/>
      <c r="AD195" s="9898" t="s">
        <v>3082</v>
      </c>
      <c r="AE195" s="9899"/>
      <c r="AF195" s="9899"/>
      <c r="AG195" s="9899"/>
      <c r="AH195" s="9834"/>
      <c r="AI195" s="9834"/>
      <c r="AJ195" s="380"/>
      <c r="AK195" s="2013"/>
      <c r="AL195" s="344"/>
      <c r="AM195" s="344"/>
      <c r="AN195" s="344"/>
      <c r="AO195" s="344"/>
      <c r="AP195" s="344"/>
    </row>
    <row r="196" spans="1:74" ht="16.5" customHeight="1" thickBot="1">
      <c r="A196" s="2013"/>
      <c r="B196" s="2016"/>
      <c r="C196" s="2016"/>
      <c r="D196" s="2016"/>
      <c r="E196" s="2016"/>
      <c r="F196" s="2016"/>
      <c r="G196" s="2016"/>
      <c r="H196" s="2016"/>
      <c r="I196" s="2016"/>
      <c r="J196" s="2016"/>
      <c r="K196" s="2016"/>
      <c r="L196" s="2016"/>
      <c r="M196" s="2016"/>
      <c r="N196" s="2016"/>
      <c r="O196" s="2016"/>
      <c r="P196" s="2016"/>
      <c r="Q196" s="2104" t="s">
        <v>3243</v>
      </c>
      <c r="R196" s="2016"/>
      <c r="S196" s="2016"/>
      <c r="T196" s="2016"/>
      <c r="U196" s="2016"/>
      <c r="V196" s="2016"/>
      <c r="W196" s="2016"/>
      <c r="X196" s="2016"/>
      <c r="Y196" s="2016"/>
      <c r="Z196" s="2016"/>
      <c r="AA196" s="2016"/>
      <c r="AB196" s="2016"/>
      <c r="AC196" s="2016"/>
      <c r="AD196" s="2016"/>
      <c r="AE196" s="2016"/>
      <c r="AF196" s="2016"/>
      <c r="AG196" s="2016"/>
      <c r="AH196" s="2016"/>
      <c r="AI196" s="2016"/>
      <c r="AJ196" s="2016"/>
      <c r="AK196" s="2013"/>
      <c r="AL196" s="344"/>
      <c r="AM196" s="344"/>
      <c r="AN196" s="344"/>
      <c r="AO196" s="344"/>
      <c r="AP196" s="344"/>
    </row>
    <row r="197" spans="1:74">
      <c r="A197" s="2013"/>
      <c r="B197" s="344" t="s">
        <v>3244</v>
      </c>
      <c r="C197" s="344"/>
      <c r="D197" s="344"/>
      <c r="E197" s="344"/>
      <c r="F197" s="344"/>
      <c r="G197" s="344"/>
      <c r="H197" s="344"/>
      <c r="I197" s="344"/>
      <c r="J197" s="344"/>
      <c r="K197" s="344"/>
      <c r="L197" s="344"/>
      <c r="M197" s="344"/>
      <c r="N197" s="344"/>
      <c r="O197" s="344"/>
      <c r="P197" s="344"/>
      <c r="Q197" s="344"/>
      <c r="R197" s="344"/>
      <c r="S197" s="344"/>
      <c r="T197" s="344"/>
      <c r="U197" s="344"/>
      <c r="V197" s="344"/>
      <c r="W197" s="344"/>
      <c r="X197" s="344"/>
      <c r="Y197" s="2018" t="s">
        <v>549</v>
      </c>
      <c r="Z197" s="253"/>
      <c r="AA197" s="253"/>
      <c r="AB197" s="253"/>
      <c r="AC197" s="408"/>
      <c r="AD197" s="2019"/>
      <c r="AE197" s="2019"/>
      <c r="AF197" s="2019"/>
      <c r="AG197" s="2019"/>
      <c r="AH197" s="2019"/>
      <c r="AI197" s="2019"/>
      <c r="AJ197" s="2019"/>
      <c r="AK197" s="2013"/>
      <c r="AL197" s="344"/>
      <c r="AM197" s="344"/>
      <c r="AN197" s="344"/>
      <c r="AO197" s="344"/>
      <c r="AP197" s="344"/>
    </row>
    <row r="198" spans="1:74" ht="13.5" customHeight="1">
      <c r="A198" s="2013"/>
      <c r="B198" s="9798" t="str">
        <f>IF(AND(AL193&lt;&gt;"",AL194&lt;&gt;""),Names,IF(AL193&lt;&gt;"",NameYours,IF(AL194&lt;&gt;"",NameSpouse,Names)))</f>
        <v xml:space="preserve"> </v>
      </c>
      <c r="C198" s="9799"/>
      <c r="D198" s="9799"/>
      <c r="E198" s="9799"/>
      <c r="F198" s="9799"/>
      <c r="G198" s="9799"/>
      <c r="H198" s="9799"/>
      <c r="I198" s="9799"/>
      <c r="J198" s="9799"/>
      <c r="K198" s="9799"/>
      <c r="L198" s="9800"/>
      <c r="M198" s="9800"/>
      <c r="N198" s="9800"/>
      <c r="O198" s="9800"/>
      <c r="P198" s="9800"/>
      <c r="Q198" s="9800"/>
      <c r="R198" s="9800"/>
      <c r="S198" s="9800"/>
      <c r="T198" s="9800"/>
      <c r="U198" s="9800"/>
      <c r="V198" s="9800"/>
      <c r="W198" s="9800"/>
      <c r="X198" s="9801"/>
      <c r="Y198" s="9803" t="str">
        <f>IF(NoSSN,"",IF(AND(AL193="",AL194&lt;&gt;""),SS_Spouse,SS_Yours))</f>
        <v>Filing status?</v>
      </c>
      <c r="Z198" s="7589"/>
      <c r="AA198" s="7589"/>
      <c r="AB198" s="7589"/>
      <c r="AC198" s="7589"/>
      <c r="AD198" s="7589"/>
      <c r="AE198" s="7589"/>
      <c r="AF198" s="7589"/>
      <c r="AG198" s="7589"/>
      <c r="AH198" s="7589"/>
      <c r="AI198" s="7589"/>
      <c r="AJ198" s="7589"/>
      <c r="AK198" s="2013"/>
      <c r="AL198" s="344"/>
      <c r="AM198" s="344"/>
      <c r="AN198" s="344"/>
      <c r="AO198" s="344"/>
      <c r="AP198" s="344"/>
    </row>
    <row r="199" spans="1:74" ht="5.25" customHeight="1">
      <c r="A199" s="2013"/>
      <c r="B199" s="9360"/>
      <c r="C199" s="9360"/>
      <c r="D199" s="9360"/>
      <c r="E199" s="9360"/>
      <c r="F199" s="9360"/>
      <c r="G199" s="9360"/>
      <c r="H199" s="9360"/>
      <c r="I199" s="9360"/>
      <c r="J199" s="9360"/>
      <c r="K199" s="9360"/>
      <c r="L199" s="9360"/>
      <c r="M199" s="9360"/>
      <c r="N199" s="9360"/>
      <c r="O199" s="9360"/>
      <c r="P199" s="9360"/>
      <c r="Q199" s="9360"/>
      <c r="R199" s="9360"/>
      <c r="S199" s="9360"/>
      <c r="T199" s="9360"/>
      <c r="U199" s="9360"/>
      <c r="V199" s="9360"/>
      <c r="W199" s="9360"/>
      <c r="X199" s="9802"/>
      <c r="Y199" s="7590"/>
      <c r="Z199" s="7587"/>
      <c r="AA199" s="7587"/>
      <c r="AB199" s="7587"/>
      <c r="AC199" s="7587"/>
      <c r="AD199" s="7587"/>
      <c r="AE199" s="7587"/>
      <c r="AF199" s="7587"/>
      <c r="AG199" s="7587"/>
      <c r="AH199" s="7587"/>
      <c r="AI199" s="7587"/>
      <c r="AJ199" s="7587"/>
      <c r="AK199" s="2013"/>
      <c r="AL199" s="344"/>
      <c r="AM199" s="344"/>
      <c r="AN199" s="344"/>
      <c r="AO199" s="344"/>
      <c r="AP199" s="344"/>
    </row>
    <row r="200" spans="1:74" ht="18.75" customHeight="1">
      <c r="A200" s="2013"/>
      <c r="B200" s="9755" t="s">
        <v>780</v>
      </c>
      <c r="C200" s="8489"/>
      <c r="D200" s="2020" t="s">
        <v>3245</v>
      </c>
      <c r="E200" s="2021"/>
      <c r="F200" s="2021"/>
      <c r="G200" s="2021"/>
      <c r="H200" s="2021"/>
      <c r="I200" s="2021"/>
      <c r="J200" s="2021"/>
      <c r="K200" s="2021"/>
      <c r="L200" s="2021"/>
      <c r="M200" s="2021"/>
      <c r="N200" s="2021"/>
      <c r="O200" s="2021"/>
      <c r="P200" s="2021"/>
      <c r="Q200" s="2021"/>
      <c r="R200" s="2021"/>
      <c r="S200" s="2021"/>
      <c r="T200" s="2021"/>
      <c r="U200" s="2021"/>
      <c r="V200" s="2021"/>
      <c r="W200" s="2021"/>
      <c r="X200" s="2021"/>
      <c r="Y200" s="2021"/>
      <c r="Z200" s="2021"/>
      <c r="AA200" s="2021"/>
      <c r="AB200" s="2021"/>
      <c r="AC200" s="2021"/>
      <c r="AD200" s="2021"/>
      <c r="AE200" s="2021"/>
      <c r="AF200" s="2021"/>
      <c r="AG200" s="2021"/>
      <c r="AH200" s="2021"/>
      <c r="AI200" s="2021"/>
      <c r="AJ200" s="2021"/>
      <c r="AK200" s="2013"/>
      <c r="AL200" s="344"/>
      <c r="AM200" s="344"/>
      <c r="AN200" s="344"/>
      <c r="AO200" s="344"/>
      <c r="AP200" s="344"/>
    </row>
    <row r="201" spans="1:74" ht="15" customHeight="1">
      <c r="A201" s="2013"/>
      <c r="B201" s="253"/>
      <c r="C201" s="2022" t="s">
        <v>228</v>
      </c>
      <c r="D201" s="344" t="s">
        <v>3246</v>
      </c>
      <c r="E201" s="253"/>
      <c r="F201" s="253"/>
      <c r="G201" s="253"/>
      <c r="H201" s="253"/>
      <c r="I201" s="253"/>
      <c r="J201" s="253"/>
      <c r="K201" s="253"/>
      <c r="L201" s="253"/>
      <c r="M201" s="253"/>
      <c r="N201" s="253"/>
      <c r="O201" s="253"/>
      <c r="P201" s="253"/>
      <c r="Q201" s="253"/>
      <c r="R201" s="253"/>
      <c r="S201" s="253"/>
      <c r="T201" s="253"/>
      <c r="U201" s="253"/>
      <c r="V201" s="253"/>
      <c r="W201" s="253"/>
      <c r="X201" s="253"/>
      <c r="Y201" s="2023" t="s">
        <v>230</v>
      </c>
      <c r="Z201" s="344" t="s">
        <v>743</v>
      </c>
      <c r="AA201" s="253"/>
      <c r="AB201" s="253"/>
      <c r="AC201" s="253"/>
      <c r="AD201" s="253"/>
      <c r="AE201" s="253"/>
      <c r="AF201" s="253"/>
      <c r="AG201" s="253"/>
      <c r="AH201" s="253"/>
      <c r="AI201" s="253"/>
      <c r="AJ201" s="253"/>
      <c r="AK201" s="2013"/>
      <c r="AL201" s="344"/>
      <c r="AM201" s="344"/>
      <c r="AN201" s="2024"/>
      <c r="AO201" s="2024"/>
      <c r="AP201" s="2024"/>
      <c r="AZ201" s="2025"/>
      <c r="BA201" s="2025"/>
      <c r="BB201" s="2025"/>
      <c r="BC201" s="2025"/>
      <c r="BD201" s="2025"/>
      <c r="BE201" s="2025"/>
      <c r="BF201" s="2025"/>
      <c r="BG201" s="2025"/>
      <c r="BH201" s="2025"/>
      <c r="BI201" s="2025"/>
      <c r="BJ201" s="2025"/>
    </row>
    <row r="202" spans="1:74" ht="16.5" customHeight="1">
      <c r="A202" s="2013"/>
      <c r="B202" s="9774"/>
      <c r="C202" s="9775"/>
      <c r="D202" s="9775"/>
      <c r="E202" s="9775"/>
      <c r="F202" s="9775"/>
      <c r="G202" s="9775"/>
      <c r="H202" s="9775"/>
      <c r="I202" s="9775"/>
      <c r="J202" s="9775"/>
      <c r="K202" s="9775"/>
      <c r="L202" s="9775"/>
      <c r="M202" s="9775"/>
      <c r="N202" s="9775"/>
      <c r="O202" s="9775"/>
      <c r="P202" s="9775"/>
      <c r="Q202" s="9775"/>
      <c r="R202" s="9775"/>
      <c r="S202" s="9775"/>
      <c r="T202" s="9775"/>
      <c r="U202" s="9775"/>
      <c r="V202" s="9775"/>
      <c r="W202" s="9775"/>
      <c r="X202" s="9776"/>
      <c r="Y202" s="9777"/>
      <c r="Z202" s="9778"/>
      <c r="AA202" s="9778"/>
      <c r="AB202" s="9778"/>
      <c r="AC202" s="9778"/>
      <c r="AD202" s="9778"/>
      <c r="AE202" s="9778"/>
      <c r="AF202" s="9778"/>
      <c r="AG202" s="9778"/>
      <c r="AH202" s="9778"/>
      <c r="AI202" s="9778"/>
      <c r="AJ202" s="9778"/>
      <c r="AK202" s="2013"/>
      <c r="AL202" s="344"/>
      <c r="AM202" s="344"/>
      <c r="AN202" s="2024"/>
      <c r="AO202" s="2024"/>
      <c r="AP202" s="2024"/>
      <c r="AZ202" s="2025"/>
      <c r="BA202" s="2025"/>
      <c r="BB202" s="2025"/>
      <c r="BC202" s="2025"/>
      <c r="BD202" s="2025"/>
      <c r="BE202" s="2025"/>
      <c r="BF202" s="2025"/>
      <c r="BG202" s="2025"/>
      <c r="BH202" s="2025"/>
      <c r="BI202" s="2025"/>
      <c r="BJ202" s="2025"/>
    </row>
    <row r="203" spans="1:74" ht="15" customHeight="1">
      <c r="A203" s="2013"/>
      <c r="B203" s="253"/>
      <c r="C203" s="2022" t="s">
        <v>232</v>
      </c>
      <c r="D203" s="511" t="s">
        <v>3247</v>
      </c>
      <c r="E203" s="511"/>
      <c r="F203" s="511"/>
      <c r="G203" s="511"/>
      <c r="H203" s="511"/>
      <c r="I203" s="9779"/>
      <c r="J203" s="9780"/>
      <c r="K203" s="9781"/>
      <c r="L203" s="9781"/>
      <c r="M203" s="9781"/>
      <c r="N203" s="9781"/>
      <c r="O203" s="9781"/>
      <c r="P203" s="9781"/>
      <c r="Q203" s="9781"/>
      <c r="R203" s="9781"/>
      <c r="S203" s="9781"/>
      <c r="T203" s="9781"/>
      <c r="U203" s="9781"/>
      <c r="V203" s="9781"/>
      <c r="W203" s="9781"/>
      <c r="X203" s="9781"/>
      <c r="Y203" s="9781"/>
      <c r="Z203" s="9781"/>
      <c r="AA203" s="9781"/>
      <c r="AB203" s="9781"/>
      <c r="AC203" s="9781"/>
      <c r="AD203" s="9781"/>
      <c r="AE203" s="9781"/>
      <c r="AF203" s="9782"/>
      <c r="AG203" s="9782"/>
      <c r="AH203" s="9782"/>
      <c r="AI203" s="9782"/>
      <c r="AJ203" s="9782"/>
      <c r="AK203" s="2013"/>
      <c r="AL203" s="344"/>
      <c r="AM203" s="344"/>
      <c r="AN203" s="2024"/>
      <c r="AO203" s="2024"/>
      <c r="AP203" s="2024"/>
      <c r="AZ203" s="2025"/>
      <c r="BA203" s="2025"/>
      <c r="BB203" s="2025"/>
      <c r="BC203" s="2025"/>
      <c r="BD203" s="2025"/>
      <c r="BE203" s="2025"/>
      <c r="BF203" s="2025"/>
      <c r="BG203" s="2025"/>
      <c r="BH203" s="2025"/>
      <c r="BI203" s="2025"/>
      <c r="BJ203" s="2025"/>
    </row>
    <row r="204" spans="1:74" ht="15" customHeight="1">
      <c r="A204" s="2013"/>
      <c r="B204" s="253"/>
      <c r="C204" s="2026" t="s">
        <v>3248</v>
      </c>
      <c r="D204" s="511" t="s">
        <v>3249</v>
      </c>
      <c r="E204" s="511"/>
      <c r="F204" s="511"/>
      <c r="G204" s="511"/>
      <c r="H204" s="511"/>
      <c r="I204" s="253"/>
      <c r="J204" s="253"/>
      <c r="K204" s="9783"/>
      <c r="L204" s="9784"/>
      <c r="M204" s="9784"/>
      <c r="N204" s="9784"/>
      <c r="O204" s="9784"/>
      <c r="P204" s="9784"/>
      <c r="Q204" s="9784"/>
      <c r="R204" s="9784"/>
      <c r="S204" s="9784"/>
      <c r="T204" s="9784"/>
      <c r="U204" s="9784"/>
      <c r="V204" s="9784"/>
      <c r="W204" s="9784"/>
      <c r="X204" s="9784"/>
      <c r="Y204" s="9784"/>
      <c r="Z204" s="9784"/>
      <c r="AA204" s="9784"/>
      <c r="AB204" s="9784"/>
      <c r="AC204" s="9784"/>
      <c r="AD204" s="9784"/>
      <c r="AE204" s="9784"/>
      <c r="AF204" s="9784"/>
      <c r="AG204" s="9784"/>
      <c r="AH204" s="9784"/>
      <c r="AI204" s="9784"/>
      <c r="AJ204" s="9784"/>
      <c r="AK204" s="2013"/>
      <c r="AL204" s="344"/>
      <c r="AM204" s="344"/>
      <c r="AN204" s="2024"/>
      <c r="AO204" s="2024"/>
      <c r="AP204" s="2024"/>
      <c r="AZ204" s="2025"/>
      <c r="BA204" s="2025"/>
      <c r="BB204" s="2025"/>
      <c r="BC204" s="2025"/>
      <c r="BD204" s="2025"/>
      <c r="BE204" s="2025"/>
      <c r="BF204" s="2025"/>
      <c r="BG204" s="2025"/>
      <c r="BH204" s="2025"/>
      <c r="BI204" s="2025"/>
      <c r="BJ204" s="2025"/>
    </row>
    <row r="205" spans="1:74" ht="15" customHeight="1">
      <c r="A205" s="2013"/>
      <c r="B205" s="253"/>
      <c r="C205" s="734" t="s">
        <v>2084</v>
      </c>
      <c r="D205" s="511" t="s">
        <v>3250</v>
      </c>
      <c r="E205" s="511"/>
      <c r="F205" s="511"/>
      <c r="G205" s="511"/>
      <c r="H205" s="511"/>
      <c r="I205" s="253"/>
      <c r="J205" s="253"/>
      <c r="K205" s="9783"/>
      <c r="L205" s="9784"/>
      <c r="M205" s="9784"/>
      <c r="N205" s="9784"/>
      <c r="O205" s="9784"/>
      <c r="P205" s="9784"/>
      <c r="Q205" s="9784"/>
      <c r="R205" s="9784"/>
      <c r="S205" s="9784"/>
      <c r="T205" s="9784"/>
      <c r="U205" s="9784"/>
      <c r="V205" s="9784"/>
      <c r="W205" s="9784"/>
      <c r="X205" s="9784"/>
      <c r="Y205" s="9784"/>
      <c r="Z205" s="9784"/>
      <c r="AA205" s="9784"/>
      <c r="AB205" s="9784"/>
      <c r="AC205" s="9784"/>
      <c r="AD205" s="9784"/>
      <c r="AE205" s="9784"/>
      <c r="AF205" s="9784"/>
      <c r="AG205" s="9784"/>
      <c r="AH205" s="9784"/>
      <c r="AI205" s="9784"/>
      <c r="AJ205" s="9784"/>
      <c r="AK205" s="2013"/>
      <c r="AL205" s="344"/>
      <c r="AM205" s="344"/>
      <c r="AN205" s="344"/>
      <c r="AO205" s="344"/>
      <c r="AP205" s="344"/>
    </row>
    <row r="206" spans="1:74" ht="5.25" customHeight="1" thickBot="1">
      <c r="A206" s="2013"/>
      <c r="B206" s="253"/>
      <c r="C206" s="253"/>
      <c r="D206" s="511"/>
      <c r="E206" s="511"/>
      <c r="F206" s="511"/>
      <c r="G206" s="511"/>
      <c r="H206" s="511"/>
      <c r="I206" s="253"/>
      <c r="J206" s="253"/>
      <c r="K206" s="253"/>
      <c r="L206" s="253"/>
      <c r="M206" s="253"/>
      <c r="N206" s="253"/>
      <c r="O206" s="253"/>
      <c r="P206" s="253"/>
      <c r="Q206" s="253"/>
      <c r="R206" s="253"/>
      <c r="S206" s="253"/>
      <c r="T206" s="253"/>
      <c r="U206" s="253"/>
      <c r="V206" s="253"/>
      <c r="W206" s="253"/>
      <c r="X206" s="253"/>
      <c r="Y206" s="253"/>
      <c r="Z206" s="253"/>
      <c r="AA206" s="253"/>
      <c r="AB206" s="253"/>
      <c r="AC206" s="253"/>
      <c r="AD206" s="253"/>
      <c r="AE206" s="253"/>
      <c r="AF206" s="253"/>
      <c r="AG206" s="253"/>
      <c r="AH206" s="253"/>
      <c r="AI206" s="253"/>
      <c r="AJ206" s="253"/>
      <c r="AK206" s="2013"/>
      <c r="AL206" s="344"/>
      <c r="AM206" s="344"/>
      <c r="AN206" s="344"/>
      <c r="AO206" s="344"/>
      <c r="AP206" s="344"/>
      <c r="BL206" s="2027"/>
      <c r="BM206" s="2027"/>
      <c r="BO206" s="2027"/>
      <c r="BP206" s="2027"/>
      <c r="BQ206" s="2027"/>
      <c r="BR206" s="2027"/>
      <c r="BS206" s="2027"/>
      <c r="BT206" s="2027"/>
      <c r="BU206" s="2027"/>
      <c r="BV206" s="2027"/>
    </row>
    <row r="207" spans="1:74" ht="13.5" customHeight="1" thickBot="1">
      <c r="A207" s="2013"/>
      <c r="B207" s="253"/>
      <c r="C207" s="2026" t="s">
        <v>237</v>
      </c>
      <c r="D207" s="9900" t="s">
        <v>3251</v>
      </c>
      <c r="E207" s="9901"/>
      <c r="F207" s="9901"/>
      <c r="G207" s="9901"/>
      <c r="H207" s="9901"/>
      <c r="I207" s="253"/>
      <c r="J207" s="734" t="s">
        <v>3252</v>
      </c>
      <c r="K207" s="277"/>
      <c r="L207" s="344" t="s">
        <v>3253</v>
      </c>
      <c r="M207" s="253"/>
      <c r="N207" s="253"/>
      <c r="O207" s="253"/>
      <c r="P207" s="253"/>
      <c r="Q207" s="253"/>
      <c r="R207" s="253"/>
      <c r="S207" s="253"/>
      <c r="T207" s="253"/>
      <c r="U207" s="734" t="s">
        <v>2084</v>
      </c>
      <c r="V207" s="277"/>
      <c r="W207" s="344" t="s">
        <v>3254</v>
      </c>
      <c r="X207" s="253"/>
      <c r="Y207" s="253"/>
      <c r="Z207" s="253"/>
      <c r="AA207" s="253"/>
      <c r="AB207" s="253"/>
      <c r="AC207" s="734" t="s">
        <v>2086</v>
      </c>
      <c r="AD207" s="277"/>
      <c r="AE207" s="344" t="s">
        <v>3255</v>
      </c>
      <c r="AF207" s="253"/>
      <c r="AG207" s="253"/>
      <c r="AH207" s="253"/>
      <c r="AI207" s="253"/>
      <c r="AJ207" s="253"/>
      <c r="AK207" s="2013"/>
      <c r="AL207" s="344"/>
      <c r="AM207" s="344"/>
      <c r="AN207" s="344"/>
      <c r="AO207" s="344"/>
      <c r="AP207" s="344"/>
    </row>
    <row r="208" spans="1:74" ht="6" customHeight="1" thickBot="1">
      <c r="A208" s="2013"/>
      <c r="B208" s="253"/>
      <c r="C208" s="253"/>
      <c r="D208" s="9901"/>
      <c r="E208" s="9901"/>
      <c r="F208" s="9901"/>
      <c r="G208" s="9901"/>
      <c r="H208" s="9901"/>
      <c r="I208" s="253"/>
      <c r="J208" s="253"/>
      <c r="K208" s="2016"/>
      <c r="L208" s="253"/>
      <c r="M208" s="253"/>
      <c r="N208" s="253"/>
      <c r="O208" s="253"/>
      <c r="P208" s="253"/>
      <c r="Q208" s="253"/>
      <c r="R208" s="253"/>
      <c r="S208" s="253"/>
      <c r="T208" s="253"/>
      <c r="U208" s="1325"/>
      <c r="V208" s="253"/>
      <c r="W208" s="253"/>
      <c r="X208" s="253"/>
      <c r="Y208" s="253"/>
      <c r="Z208" s="253"/>
      <c r="AA208" s="253"/>
      <c r="AB208" s="253"/>
      <c r="AC208" s="253"/>
      <c r="AD208" s="253"/>
      <c r="AE208" s="253"/>
      <c r="AF208" s="253"/>
      <c r="AG208" s="253"/>
      <c r="AH208" s="253"/>
      <c r="AI208" s="253"/>
      <c r="AJ208" s="253"/>
      <c r="AK208" s="2013"/>
      <c r="AL208" s="344"/>
      <c r="AM208" s="344"/>
      <c r="AN208" s="344"/>
      <c r="AO208" s="344"/>
      <c r="AP208" s="344"/>
    </row>
    <row r="209" spans="1:75" ht="13.5" customHeight="1" thickBot="1">
      <c r="A209" s="2013"/>
      <c r="B209" s="253"/>
      <c r="C209" s="253"/>
      <c r="D209" s="9901"/>
      <c r="E209" s="9901"/>
      <c r="F209" s="9901"/>
      <c r="G209" s="9901"/>
      <c r="H209" s="9901"/>
      <c r="I209" s="253"/>
      <c r="J209" s="734" t="s">
        <v>3256</v>
      </c>
      <c r="K209" s="277"/>
      <c r="L209" s="344" t="s">
        <v>3257</v>
      </c>
      <c r="M209" s="253"/>
      <c r="N209" s="253"/>
      <c r="O209" s="253"/>
      <c r="P209" s="253"/>
      <c r="Q209" s="253"/>
      <c r="R209" s="253"/>
      <c r="S209" s="253"/>
      <c r="T209" s="253"/>
      <c r="U209" s="734" t="s">
        <v>3258</v>
      </c>
      <c r="V209" s="277"/>
      <c r="W209" s="344" t="s">
        <v>3259</v>
      </c>
      <c r="X209" s="253"/>
      <c r="Y209" s="253"/>
      <c r="Z209" s="253"/>
      <c r="AA209" s="253"/>
      <c r="AB209" s="9805"/>
      <c r="AC209" s="9806"/>
      <c r="AD209" s="9806"/>
      <c r="AE209" s="9806"/>
      <c r="AF209" s="9806"/>
      <c r="AG209" s="9806"/>
      <c r="AH209" s="9806"/>
      <c r="AI209" s="9806"/>
      <c r="AJ209" s="9806"/>
      <c r="AK209" s="2013"/>
    </row>
    <row r="210" spans="1:75" ht="15.75" thickBot="1">
      <c r="A210" s="2013"/>
      <c r="B210" s="253"/>
      <c r="C210" s="2026" t="s">
        <v>3260</v>
      </c>
      <c r="D210" s="511" t="s">
        <v>3261</v>
      </c>
      <c r="E210" s="253"/>
      <c r="F210" s="253"/>
      <c r="G210" s="253"/>
      <c r="H210" s="253"/>
      <c r="I210" s="253"/>
      <c r="J210" s="253"/>
      <c r="K210" s="253"/>
      <c r="L210" s="253"/>
      <c r="M210" s="253"/>
      <c r="N210" s="253"/>
      <c r="O210" s="253"/>
      <c r="P210" s="253"/>
      <c r="Q210" s="253"/>
      <c r="R210" s="253"/>
      <c r="S210" s="253"/>
      <c r="T210" s="253"/>
      <c r="U210" s="253"/>
      <c r="V210" s="253"/>
      <c r="X210" s="253"/>
      <c r="Z210" s="6193"/>
      <c r="AA210" s="6193"/>
      <c r="AB210" s="6193"/>
      <c r="AC210" s="6193"/>
      <c r="AD210" s="6193"/>
      <c r="AE210" s="6193"/>
      <c r="AF210" s="6193"/>
      <c r="AG210" s="6193"/>
      <c r="AH210" s="6193"/>
      <c r="AI210" s="6193"/>
      <c r="AJ210" s="6193"/>
      <c r="AK210" s="2013"/>
      <c r="AN210" s="2028"/>
      <c r="AO210" s="2029"/>
      <c r="AZ210" s="2028"/>
      <c r="BA210" s="2029"/>
    </row>
    <row r="211" spans="1:75" ht="15.75" thickBot="1">
      <c r="A211" s="2013"/>
      <c r="B211" s="253"/>
      <c r="C211" s="734" t="s">
        <v>2084</v>
      </c>
      <c r="D211" s="511" t="s">
        <v>3262</v>
      </c>
      <c r="E211" s="253"/>
      <c r="F211" s="253"/>
      <c r="G211" s="253"/>
      <c r="H211" s="253"/>
      <c r="I211" s="253"/>
      <c r="J211" s="253"/>
      <c r="K211" s="253"/>
      <c r="L211" s="253"/>
      <c r="M211" s="253"/>
      <c r="N211" s="253"/>
      <c r="O211" s="253"/>
      <c r="P211" s="253"/>
      <c r="Q211" s="253"/>
      <c r="R211" s="253"/>
      <c r="S211" s="253"/>
      <c r="T211" s="253"/>
      <c r="U211" s="253"/>
      <c r="V211" s="253"/>
      <c r="W211" s="253"/>
      <c r="X211" s="253"/>
      <c r="Y211" s="253"/>
      <c r="Z211" s="2030"/>
      <c r="AA211" s="277"/>
      <c r="AB211" s="344" t="s">
        <v>3263</v>
      </c>
      <c r="AC211" s="344"/>
      <c r="AD211" s="253"/>
      <c r="AE211" s="253"/>
      <c r="AF211" s="253"/>
      <c r="AG211" s="253"/>
      <c r="AH211" s="253"/>
      <c r="AI211" s="253"/>
      <c r="AJ211" s="253"/>
      <c r="AK211" s="2013"/>
      <c r="AO211" s="2029"/>
      <c r="BA211" s="2029"/>
      <c r="BF211" s="2028"/>
    </row>
    <row r="212" spans="1:75" ht="13.5" customHeight="1" thickBot="1">
      <c r="A212" s="2013"/>
      <c r="B212" s="253"/>
      <c r="C212" s="734" t="s">
        <v>2086</v>
      </c>
      <c r="D212" s="511" t="s">
        <v>3264</v>
      </c>
      <c r="E212" s="253"/>
      <c r="F212" s="253"/>
      <c r="G212" s="253"/>
      <c r="H212" s="253"/>
      <c r="I212" s="253"/>
      <c r="J212" s="253"/>
      <c r="K212" s="253"/>
      <c r="L212" s="253"/>
      <c r="M212" s="253"/>
      <c r="N212" s="253"/>
      <c r="O212" s="253"/>
      <c r="P212" s="253"/>
      <c r="Q212" s="253"/>
      <c r="R212" s="253"/>
      <c r="S212" s="253"/>
      <c r="T212" s="253"/>
      <c r="U212" s="253"/>
      <c r="V212" s="253"/>
      <c r="W212" s="253"/>
      <c r="X212" s="253"/>
      <c r="Y212" s="253"/>
      <c r="Z212" s="253"/>
      <c r="AA212" s="253"/>
      <c r="AB212" s="253"/>
      <c r="AC212" s="253"/>
      <c r="AD212" s="2031" t="s">
        <v>677</v>
      </c>
      <c r="AE212" s="277"/>
      <c r="AF212" s="349" t="s">
        <v>568</v>
      </c>
      <c r="AG212" s="253"/>
      <c r="AH212" s="277"/>
      <c r="AI212" s="349" t="s">
        <v>569</v>
      </c>
      <c r="AJ212" s="253"/>
      <c r="AK212" s="2013"/>
      <c r="AO212" s="2029"/>
      <c r="BA212" s="2029"/>
      <c r="BF212" s="2028"/>
      <c r="BG212" s="433"/>
    </row>
    <row r="213" spans="1:75" ht="12.75" customHeight="1">
      <c r="A213" s="2013"/>
      <c r="B213" s="253"/>
      <c r="C213" s="734" t="s">
        <v>3256</v>
      </c>
      <c r="D213" s="511" t="s">
        <v>3265</v>
      </c>
      <c r="E213" s="253"/>
      <c r="F213" s="253"/>
      <c r="G213" s="253"/>
      <c r="H213" s="253"/>
      <c r="I213" s="253"/>
      <c r="J213" s="253"/>
      <c r="K213" s="253"/>
      <c r="L213" s="253"/>
      <c r="M213" s="253"/>
      <c r="N213" s="253"/>
      <c r="O213" s="253"/>
      <c r="P213" s="253"/>
      <c r="Q213" s="253"/>
      <c r="R213" s="253"/>
      <c r="S213" s="253"/>
      <c r="T213" s="253"/>
      <c r="U213" s="253"/>
      <c r="V213" s="253"/>
      <c r="W213" s="253"/>
      <c r="X213" s="253"/>
      <c r="Y213" s="253"/>
      <c r="Z213" s="253"/>
      <c r="AA213" s="253"/>
      <c r="AB213" s="253"/>
      <c r="AC213" s="9805"/>
      <c r="AD213" s="9836"/>
      <c r="AE213" s="9836"/>
      <c r="AF213" s="9836"/>
      <c r="AG213" s="9836"/>
      <c r="AH213" s="9836"/>
      <c r="AI213" s="9836"/>
      <c r="AJ213" s="9836"/>
      <c r="AK213" s="2013"/>
      <c r="AO213" s="2029"/>
      <c r="BA213" s="2029"/>
    </row>
    <row r="214" spans="1:75" ht="15">
      <c r="A214" s="2013"/>
      <c r="B214" s="253"/>
      <c r="C214" s="2022" t="s">
        <v>242</v>
      </c>
      <c r="D214" s="511" t="s">
        <v>3266</v>
      </c>
      <c r="E214" s="253"/>
      <c r="F214" s="253"/>
      <c r="G214" s="253"/>
      <c r="H214" s="253"/>
      <c r="I214" s="253"/>
      <c r="J214" s="253"/>
      <c r="K214" s="253"/>
      <c r="L214" s="253"/>
      <c r="M214" s="253"/>
      <c r="N214" s="253"/>
      <c r="O214" s="9805"/>
      <c r="P214" s="9806"/>
      <c r="Q214" s="9806"/>
      <c r="R214" s="9806"/>
      <c r="S214" s="9806"/>
      <c r="T214" s="9806"/>
      <c r="U214" s="9806"/>
      <c r="V214" s="9806"/>
      <c r="W214" s="9806"/>
      <c r="X214" s="9806"/>
      <c r="Y214" s="9806"/>
      <c r="Z214" s="9806"/>
      <c r="AA214" s="9806"/>
      <c r="AB214" s="9806"/>
      <c r="AC214" s="9806"/>
      <c r="AD214" s="9806"/>
      <c r="AE214" s="9806"/>
      <c r="AF214" s="9806"/>
      <c r="AG214" s="9806"/>
      <c r="AH214" s="9806"/>
      <c r="AI214" s="9806"/>
      <c r="AJ214" s="9806"/>
      <c r="AK214" s="2013"/>
      <c r="AN214" s="2028"/>
      <c r="AO214" s="2029"/>
      <c r="AZ214" s="2028"/>
      <c r="BA214" s="2029"/>
    </row>
    <row r="215" spans="1:75" ht="15" customHeight="1" thickBot="1">
      <c r="A215" s="2013"/>
      <c r="B215" s="253"/>
      <c r="C215" s="2026" t="s">
        <v>3267</v>
      </c>
      <c r="D215" s="511" t="s">
        <v>3268</v>
      </c>
      <c r="E215" s="253"/>
      <c r="F215" s="253"/>
      <c r="G215" s="253"/>
      <c r="H215" s="253"/>
      <c r="I215" s="253"/>
      <c r="J215" s="253"/>
      <c r="K215" s="253"/>
      <c r="L215" s="253"/>
      <c r="M215" s="253"/>
      <c r="N215" s="253"/>
      <c r="O215" s="253"/>
      <c r="P215" s="253"/>
      <c r="Q215" s="253"/>
      <c r="R215" s="253"/>
      <c r="S215" s="253"/>
      <c r="T215" s="253"/>
      <c r="U215" s="253"/>
      <c r="V215" s="253"/>
      <c r="W215" s="253"/>
      <c r="X215" s="253"/>
      <c r="Y215" s="253"/>
      <c r="Z215" s="253"/>
      <c r="AA215" s="253"/>
      <c r="AB215" s="253"/>
      <c r="AC215" s="253"/>
      <c r="AD215" s="253"/>
      <c r="AE215" s="253"/>
      <c r="AF215" s="253"/>
      <c r="AG215" s="253"/>
      <c r="AH215" s="253"/>
      <c r="AI215" s="253"/>
      <c r="AJ215" s="253"/>
      <c r="AK215" s="2013"/>
      <c r="AM215" s="433"/>
      <c r="AO215" s="2029"/>
      <c r="BA215" s="2029"/>
    </row>
    <row r="216" spans="1:75" ht="13.5" customHeight="1" thickBot="1">
      <c r="A216" s="2013"/>
      <c r="B216" s="253"/>
      <c r="C216" s="253"/>
      <c r="D216" s="511" t="s">
        <v>6112</v>
      </c>
      <c r="E216" s="253"/>
      <c r="F216" s="253"/>
      <c r="G216" s="253"/>
      <c r="H216" s="253"/>
      <c r="I216" s="253"/>
      <c r="J216" s="253"/>
      <c r="K216" s="253"/>
      <c r="L216" s="253"/>
      <c r="M216" s="253"/>
      <c r="N216" s="253"/>
      <c r="O216" s="253"/>
      <c r="P216" s="253"/>
      <c r="Q216" s="253"/>
      <c r="R216" s="253"/>
      <c r="S216" s="253"/>
      <c r="T216" s="253"/>
      <c r="U216" s="253"/>
      <c r="V216" s="253"/>
      <c r="W216" s="253"/>
      <c r="X216" s="253"/>
      <c r="Y216" s="253"/>
      <c r="Z216" s="253"/>
      <c r="AA216" s="253"/>
      <c r="AB216" s="253"/>
      <c r="AC216" s="253"/>
      <c r="AD216" s="2031" t="s">
        <v>617</v>
      </c>
      <c r="AE216" s="277"/>
      <c r="AF216" s="349" t="s">
        <v>568</v>
      </c>
      <c r="AG216" s="253"/>
      <c r="AH216" s="277"/>
      <c r="AI216" s="349" t="s">
        <v>569</v>
      </c>
      <c r="AJ216" s="253"/>
      <c r="AK216" s="2013"/>
      <c r="AO216" s="2029"/>
      <c r="BA216" s="2029"/>
    </row>
    <row r="217" spans="1:75" ht="14.25" customHeight="1">
      <c r="A217" s="2013"/>
      <c r="B217" s="253"/>
      <c r="C217" s="734" t="s">
        <v>2084</v>
      </c>
      <c r="D217" s="511" t="s">
        <v>3270</v>
      </c>
      <c r="E217" s="253"/>
      <c r="F217" s="253"/>
      <c r="G217" s="253"/>
      <c r="H217" s="253"/>
      <c r="I217" s="253"/>
      <c r="J217" s="253"/>
      <c r="K217" s="253"/>
      <c r="L217" s="253"/>
      <c r="M217" s="253"/>
      <c r="N217" s="253"/>
      <c r="O217" s="253"/>
      <c r="P217" s="253"/>
      <c r="Q217" s="253"/>
      <c r="R217" s="253"/>
      <c r="S217" s="253"/>
      <c r="T217" s="253"/>
      <c r="U217" s="253"/>
      <c r="V217" s="253"/>
      <c r="W217" s="253"/>
      <c r="X217" s="253"/>
      <c r="Y217" s="253"/>
      <c r="Z217" s="253"/>
      <c r="AA217" s="253"/>
      <c r="AB217" s="253"/>
      <c r="AC217" s="253"/>
      <c r="AD217" s="253"/>
      <c r="AE217" s="253"/>
      <c r="AF217" s="253"/>
      <c r="AG217" s="253"/>
      <c r="AH217" s="253"/>
      <c r="AI217" s="253"/>
      <c r="AJ217" s="253"/>
      <c r="AK217" s="2013"/>
      <c r="AO217" s="2029"/>
      <c r="BA217" s="2029"/>
      <c r="BE217" s="2028"/>
      <c r="BF217" s="433"/>
    </row>
    <row r="218" spans="1:75" s="579" customFormat="1" ht="13.5" customHeight="1">
      <c r="A218" s="2013"/>
      <c r="B218" s="253"/>
      <c r="C218" s="253"/>
      <c r="D218" s="511" t="s">
        <v>3271</v>
      </c>
      <c r="E218" s="253"/>
      <c r="F218" s="253"/>
      <c r="G218" s="253"/>
      <c r="H218" s="253"/>
      <c r="I218" s="253"/>
      <c r="J218" s="253"/>
      <c r="K218" s="253"/>
      <c r="L218" s="253"/>
      <c r="M218" s="253"/>
      <c r="N218" s="253"/>
      <c r="O218" s="253"/>
      <c r="P218" s="9805"/>
      <c r="Q218" s="9806"/>
      <c r="R218" s="9806"/>
      <c r="S218" s="9806"/>
      <c r="T218" s="9806"/>
      <c r="U218" s="9806"/>
      <c r="V218" s="9806"/>
      <c r="W218" s="9806"/>
      <c r="X218" s="9806"/>
      <c r="Y218" s="9806"/>
      <c r="Z218" s="9806"/>
      <c r="AA218" s="9806"/>
      <c r="AB218" s="9806"/>
      <c r="AC218" s="9806"/>
      <c r="AD218" s="9806"/>
      <c r="AE218" s="9806"/>
      <c r="AF218" s="9806"/>
      <c r="AG218" s="9806"/>
      <c r="AH218" s="9806"/>
      <c r="AI218" s="9806"/>
      <c r="AJ218" s="9806"/>
      <c r="AK218" s="2013"/>
      <c r="AL218" s="2014"/>
      <c r="AM218" s="2014"/>
      <c r="AN218" s="2028"/>
      <c r="AO218" s="2029"/>
      <c r="AP218" s="2014"/>
      <c r="AQ218" s="658"/>
      <c r="AR218" s="658"/>
      <c r="AS218" s="658"/>
      <c r="AT218" s="658"/>
      <c r="AU218" s="658"/>
      <c r="AV218" s="658"/>
      <c r="AW218" s="658"/>
      <c r="AX218" s="658"/>
      <c r="AY218" s="658"/>
      <c r="AZ218" s="2028"/>
      <c r="BA218" s="2029"/>
      <c r="BB218" s="2014"/>
      <c r="BC218" s="2014"/>
      <c r="BD218" s="2014"/>
      <c r="BE218" s="2014"/>
      <c r="BF218" s="2014"/>
      <c r="BG218" s="2014"/>
      <c r="BH218" s="2014"/>
      <c r="BI218" s="2014"/>
      <c r="BJ218" s="2014"/>
      <c r="BK218" s="2014"/>
      <c r="BL218" s="2014"/>
      <c r="BM218" s="2014"/>
      <c r="BN218" s="2014"/>
      <c r="BO218" s="2014"/>
      <c r="BP218" s="2014"/>
      <c r="BQ218" s="2014"/>
      <c r="BR218" s="2014"/>
      <c r="BS218" s="2014"/>
      <c r="BT218" s="2014"/>
      <c r="BU218" s="2014"/>
      <c r="BV218" s="2014"/>
      <c r="BW218" s="2014"/>
    </row>
    <row r="219" spans="1:75" s="579" customFormat="1" ht="15">
      <c r="A219" s="2013"/>
      <c r="B219" s="253"/>
      <c r="C219" s="2022" t="s">
        <v>377</v>
      </c>
      <c r="D219" s="511" t="s">
        <v>3272</v>
      </c>
      <c r="E219" s="253"/>
      <c r="F219" s="253"/>
      <c r="G219" s="253"/>
      <c r="H219" s="253"/>
      <c r="I219" s="253"/>
      <c r="J219" s="253"/>
      <c r="K219" s="253"/>
      <c r="L219" s="253"/>
      <c r="M219" s="253"/>
      <c r="N219" s="253"/>
      <c r="O219" s="253"/>
      <c r="P219" s="253"/>
      <c r="Q219" s="253"/>
      <c r="R219" s="253"/>
      <c r="S219" s="253"/>
      <c r="T219" s="253"/>
      <c r="U219" s="9843"/>
      <c r="V219" s="9843"/>
      <c r="W219" s="9843"/>
      <c r="X219" s="9843"/>
      <c r="Y219" s="9843"/>
      <c r="Z219" s="9843"/>
      <c r="AA219" s="9843"/>
      <c r="AB219" s="9843"/>
      <c r="AC219" s="9843"/>
      <c r="AD219" s="9843"/>
      <c r="AE219" s="9843"/>
      <c r="AF219" s="9843"/>
      <c r="AG219" s="9843"/>
      <c r="AH219" s="9843"/>
      <c r="AI219" s="9843"/>
      <c r="AJ219" s="9843"/>
      <c r="AK219" s="2013"/>
      <c r="AL219" s="2014"/>
      <c r="AM219" s="2014"/>
      <c r="AN219" s="2014"/>
      <c r="AO219" s="2029"/>
      <c r="AP219" s="2014"/>
      <c r="AQ219" s="658"/>
      <c r="AR219" s="658"/>
      <c r="AS219" s="658"/>
      <c r="AT219" s="658"/>
      <c r="AU219" s="658"/>
      <c r="AV219" s="658"/>
      <c r="AW219" s="658"/>
      <c r="AX219" s="658"/>
      <c r="AY219" s="658"/>
      <c r="AZ219" s="2014"/>
      <c r="BA219" s="2029"/>
      <c r="BB219" s="2014"/>
      <c r="BC219" s="2014"/>
      <c r="BD219" s="2014"/>
      <c r="BE219" s="2028"/>
      <c r="BF219" s="2028"/>
      <c r="BG219" s="2014"/>
      <c r="BH219" s="2014"/>
      <c r="BI219" s="2014"/>
      <c r="BJ219" s="2014"/>
      <c r="BK219" s="2014"/>
      <c r="BL219" s="2014"/>
      <c r="BM219" s="2014"/>
      <c r="BN219" s="2014"/>
      <c r="BO219" s="2014"/>
      <c r="BP219" s="2014"/>
      <c r="BQ219" s="2014"/>
      <c r="BR219" s="2014"/>
      <c r="BS219" s="2014"/>
      <c r="BT219" s="2014"/>
      <c r="BU219" s="2014"/>
      <c r="BV219" s="2014"/>
      <c r="BW219" s="2014"/>
    </row>
    <row r="220" spans="1:75" s="579" customFormat="1">
      <c r="A220" s="2013"/>
      <c r="B220" s="413"/>
      <c r="C220" s="413"/>
      <c r="D220" s="9812"/>
      <c r="E220" s="9813"/>
      <c r="F220" s="9813"/>
      <c r="G220" s="9813"/>
      <c r="H220" s="9813"/>
      <c r="I220" s="9813"/>
      <c r="J220" s="9813"/>
      <c r="K220" s="9813"/>
      <c r="L220" s="9813"/>
      <c r="M220" s="9813"/>
      <c r="N220" s="9813"/>
      <c r="O220" s="9813"/>
      <c r="P220" s="9813"/>
      <c r="Q220" s="9813"/>
      <c r="R220" s="9813"/>
      <c r="S220" s="9813"/>
      <c r="T220" s="9813"/>
      <c r="U220" s="9813"/>
      <c r="V220" s="9813"/>
      <c r="W220" s="9813"/>
      <c r="X220" s="9813"/>
      <c r="Y220" s="9813"/>
      <c r="Z220" s="9813"/>
      <c r="AA220" s="9813"/>
      <c r="AB220" s="9813"/>
      <c r="AC220" s="9813"/>
      <c r="AD220" s="9813"/>
      <c r="AE220" s="9813"/>
      <c r="AF220" s="9813"/>
      <c r="AG220" s="9813"/>
      <c r="AH220" s="9813"/>
      <c r="AI220" s="9813"/>
      <c r="AJ220" s="9813"/>
      <c r="AK220" s="2013"/>
      <c r="AL220" s="2014"/>
      <c r="AM220" s="2032"/>
      <c r="AN220" s="2014"/>
      <c r="AO220" s="2029"/>
      <c r="AP220" s="2014"/>
      <c r="AQ220" s="658"/>
      <c r="AR220" s="658"/>
      <c r="AS220" s="658"/>
      <c r="AT220" s="658"/>
      <c r="AU220" s="658"/>
      <c r="AV220" s="658"/>
      <c r="AW220" s="658"/>
      <c r="AX220" s="658"/>
      <c r="AY220" s="658"/>
      <c r="AZ220" s="2014"/>
      <c r="BA220" s="2029"/>
      <c r="BB220" s="2014"/>
      <c r="BC220" s="2014"/>
      <c r="BD220" s="2014"/>
      <c r="BE220" s="2028"/>
      <c r="BF220" s="433"/>
      <c r="BG220" s="2014"/>
      <c r="BH220" s="2014"/>
      <c r="BI220" s="2014"/>
      <c r="BJ220" s="2014"/>
      <c r="BK220" s="2014"/>
      <c r="BL220" s="2014"/>
      <c r="BM220" s="2014"/>
      <c r="BN220" s="2014"/>
      <c r="BO220" s="2014"/>
      <c r="BP220" s="2014"/>
      <c r="BQ220" s="2014"/>
      <c r="BR220" s="2014"/>
      <c r="BS220" s="2014"/>
      <c r="BT220" s="2014"/>
      <c r="BU220" s="2014"/>
      <c r="BV220" s="2014"/>
      <c r="BW220" s="2014"/>
    </row>
    <row r="221" spans="1:75" s="579" customFormat="1" ht="6" customHeight="1">
      <c r="A221" s="2013"/>
      <c r="B221" s="2033"/>
      <c r="C221" s="2033"/>
      <c r="D221" s="2033"/>
      <c r="E221" s="2033"/>
      <c r="F221" s="2033"/>
      <c r="G221" s="2033"/>
      <c r="H221" s="2033"/>
      <c r="I221" s="2033"/>
      <c r="J221" s="2033"/>
      <c r="K221" s="2033"/>
      <c r="L221" s="2033"/>
      <c r="M221" s="2033"/>
      <c r="N221" s="2033"/>
      <c r="O221" s="2033"/>
      <c r="P221" s="2033"/>
      <c r="Q221" s="2033"/>
      <c r="R221" s="2033"/>
      <c r="S221" s="2033"/>
      <c r="T221" s="2033"/>
      <c r="U221" s="2033"/>
      <c r="V221" s="2033"/>
      <c r="W221" s="2033"/>
      <c r="X221" s="2033"/>
      <c r="Y221" s="2033"/>
      <c r="Z221" s="2033"/>
      <c r="AA221" s="2033"/>
      <c r="AB221" s="2033"/>
      <c r="AC221" s="2033"/>
      <c r="AD221" s="2033"/>
      <c r="AE221" s="2033"/>
      <c r="AF221" s="2033"/>
      <c r="AG221" s="2033"/>
      <c r="AH221" s="2033"/>
      <c r="AI221" s="2033"/>
      <c r="AJ221" s="2033"/>
      <c r="AK221" s="2013"/>
      <c r="AL221" s="2014"/>
      <c r="AM221" s="2034"/>
      <c r="AN221" s="2014"/>
      <c r="AO221" s="2029"/>
      <c r="AP221" s="2014"/>
      <c r="AQ221" s="658"/>
      <c r="AR221" s="658"/>
      <c r="AS221" s="658"/>
      <c r="AT221" s="658"/>
      <c r="AU221" s="658"/>
      <c r="AV221" s="658"/>
      <c r="AW221" s="658"/>
      <c r="AX221" s="658"/>
      <c r="AY221" s="658"/>
      <c r="AZ221" s="2014"/>
      <c r="BA221" s="2029"/>
      <c r="BB221" s="2014"/>
      <c r="BC221" s="2014"/>
      <c r="BD221" s="2014"/>
      <c r="BE221" s="2014"/>
      <c r="BF221" s="2014"/>
      <c r="BG221" s="2014"/>
      <c r="BH221" s="2014"/>
      <c r="BI221" s="2014"/>
      <c r="BJ221" s="2014"/>
      <c r="BK221" s="2014"/>
      <c r="BL221" s="2014"/>
      <c r="BM221" s="2014"/>
      <c r="BN221" s="2014"/>
      <c r="BO221" s="2014"/>
      <c r="BP221" s="2014"/>
      <c r="BQ221" s="2014"/>
      <c r="BR221" s="2014"/>
      <c r="BS221" s="2014"/>
      <c r="BT221" s="2014"/>
      <c r="BU221" s="2014"/>
      <c r="BV221" s="2014"/>
      <c r="BW221" s="2014"/>
    </row>
    <row r="222" spans="1:75" s="579" customFormat="1" ht="15.75" customHeight="1">
      <c r="A222" s="2013"/>
      <c r="B222" s="8346" t="s">
        <v>3273</v>
      </c>
      <c r="C222" s="8346"/>
      <c r="D222" s="8346"/>
      <c r="E222" s="8346"/>
      <c r="F222" s="8346"/>
      <c r="G222" s="8346"/>
      <c r="H222" s="8346"/>
      <c r="I222" s="8346"/>
      <c r="J222" s="8346"/>
      <c r="K222" s="8346"/>
      <c r="L222" s="8346"/>
      <c r="M222" s="8346"/>
      <c r="N222" s="8346"/>
      <c r="O222" s="8346"/>
      <c r="P222" s="8346"/>
      <c r="Q222" s="8346"/>
      <c r="R222" s="8346"/>
      <c r="S222" s="8346"/>
      <c r="T222" s="8346"/>
      <c r="U222" s="8346"/>
      <c r="V222" s="8346"/>
      <c r="W222" s="8346"/>
      <c r="X222" s="8346"/>
      <c r="Y222" s="8346"/>
      <c r="Z222" s="8346"/>
      <c r="AA222" s="8346"/>
      <c r="AB222" s="8346"/>
      <c r="AC222" s="8346"/>
      <c r="AD222" s="8346"/>
      <c r="AE222" s="8346"/>
      <c r="AF222" s="8346"/>
      <c r="AG222" s="8346"/>
      <c r="AH222" s="8346"/>
      <c r="AI222" s="8346"/>
      <c r="AJ222" s="8346"/>
      <c r="AK222" s="2013"/>
      <c r="AL222" s="2014"/>
      <c r="AM222" s="2032"/>
      <c r="AN222" s="2028"/>
      <c r="AO222" s="2029"/>
      <c r="AP222" s="2014"/>
      <c r="AQ222" s="658"/>
      <c r="AR222" s="658"/>
      <c r="AS222" s="658"/>
      <c r="AT222" s="658"/>
      <c r="AU222" s="658"/>
      <c r="AV222" s="658"/>
      <c r="AW222" s="658"/>
      <c r="AX222" s="658"/>
      <c r="AY222" s="658"/>
      <c r="AZ222" s="2028"/>
      <c r="BA222" s="2029"/>
      <c r="BB222" s="2014"/>
      <c r="BC222" s="2014"/>
      <c r="BD222" s="2014"/>
      <c r="BE222" s="2014"/>
      <c r="BF222" s="2014"/>
      <c r="BG222" s="2014"/>
      <c r="BH222" s="2014"/>
      <c r="BI222" s="2014"/>
      <c r="BJ222" s="2014"/>
      <c r="BK222" s="2014"/>
      <c r="BL222" s="2014"/>
      <c r="BM222" s="2014"/>
      <c r="BN222" s="2014"/>
      <c r="BO222" s="2014"/>
      <c r="BP222" s="2014"/>
      <c r="BQ222" s="2014"/>
      <c r="BR222" s="2014"/>
      <c r="BS222" s="2014"/>
      <c r="BT222" s="2014"/>
      <c r="BU222" s="2014"/>
      <c r="BV222" s="2014"/>
      <c r="BW222" s="2014"/>
    </row>
    <row r="223" spans="1:75" s="579" customFormat="1" ht="15.75" customHeight="1">
      <c r="A223" s="2013"/>
      <c r="B223" s="8346" t="s">
        <v>3274</v>
      </c>
      <c r="C223" s="8346"/>
      <c r="D223" s="8346"/>
      <c r="E223" s="8346"/>
      <c r="F223" s="8346"/>
      <c r="G223" s="8346"/>
      <c r="H223" s="8346"/>
      <c r="I223" s="8346"/>
      <c r="J223" s="8346"/>
      <c r="K223" s="8346"/>
      <c r="L223" s="8346"/>
      <c r="M223" s="8346"/>
      <c r="N223" s="8346"/>
      <c r="O223" s="8346"/>
      <c r="P223" s="8346"/>
      <c r="Q223" s="8346"/>
      <c r="R223" s="8346"/>
      <c r="S223" s="8346"/>
      <c r="T223" s="8346"/>
      <c r="U223" s="8346"/>
      <c r="V223" s="8346"/>
      <c r="W223" s="8346"/>
      <c r="X223" s="8346"/>
      <c r="Y223" s="8346"/>
      <c r="Z223" s="8346"/>
      <c r="AA223" s="8346"/>
      <c r="AB223" s="8346"/>
      <c r="AC223" s="8346"/>
      <c r="AD223" s="8346"/>
      <c r="AE223" s="8346"/>
      <c r="AF223" s="8346"/>
      <c r="AG223" s="8346"/>
      <c r="AH223" s="8346"/>
      <c r="AI223" s="8346"/>
      <c r="AJ223" s="8346"/>
      <c r="AK223" s="2013"/>
      <c r="AL223" s="2014"/>
      <c r="AM223" s="2032"/>
      <c r="AN223" s="2028"/>
      <c r="AO223" s="2029"/>
      <c r="AP223" s="2014"/>
      <c r="AQ223" s="658"/>
      <c r="AR223" s="658"/>
      <c r="AS223" s="658"/>
      <c r="AT223" s="658"/>
      <c r="AU223" s="658"/>
      <c r="AV223" s="658"/>
      <c r="AW223" s="658"/>
      <c r="AX223" s="658"/>
      <c r="AY223" s="658"/>
      <c r="AZ223" s="2028"/>
      <c r="BA223" s="2029"/>
      <c r="BB223" s="2014"/>
      <c r="BC223" s="2014"/>
      <c r="BD223" s="2014"/>
      <c r="BE223" s="2014"/>
      <c r="BF223" s="2014"/>
      <c r="BG223" s="2014"/>
      <c r="BH223" s="2014"/>
      <c r="BI223" s="2014"/>
      <c r="BJ223" s="2014"/>
      <c r="BK223" s="2014"/>
      <c r="BL223" s="2014"/>
      <c r="BM223" s="2014"/>
      <c r="BN223" s="2014"/>
      <c r="BO223" s="2014"/>
      <c r="BP223" s="2014"/>
      <c r="BQ223" s="2014"/>
      <c r="BR223" s="2014"/>
      <c r="BS223" s="2014"/>
      <c r="BT223" s="2014"/>
      <c r="BU223" s="2014"/>
      <c r="BV223" s="2014"/>
      <c r="BW223" s="2014"/>
    </row>
    <row r="224" spans="1:75" s="579" customFormat="1" ht="6" customHeight="1">
      <c r="A224" s="2013"/>
      <c r="B224" s="253"/>
      <c r="C224" s="253"/>
      <c r="D224" s="253"/>
      <c r="E224" s="253"/>
      <c r="F224" s="253"/>
      <c r="G224" s="253"/>
      <c r="H224" s="253"/>
      <c r="I224" s="253"/>
      <c r="J224" s="253"/>
      <c r="K224" s="253"/>
      <c r="L224" s="253"/>
      <c r="M224" s="253"/>
      <c r="N224" s="253"/>
      <c r="O224" s="253"/>
      <c r="P224" s="253"/>
      <c r="Q224" s="253"/>
      <c r="R224" s="253"/>
      <c r="S224" s="253"/>
      <c r="T224" s="253"/>
      <c r="U224" s="253"/>
      <c r="V224" s="253"/>
      <c r="W224" s="253"/>
      <c r="X224" s="253"/>
      <c r="Y224" s="253"/>
      <c r="Z224" s="253"/>
      <c r="AA224" s="253"/>
      <c r="AB224" s="253"/>
      <c r="AC224" s="253"/>
      <c r="AD224" s="253"/>
      <c r="AE224" s="253"/>
      <c r="AF224" s="253"/>
      <c r="AG224" s="253"/>
      <c r="AH224" s="253"/>
      <c r="AI224" s="253"/>
      <c r="AJ224" s="253"/>
      <c r="AK224" s="2013"/>
      <c r="AL224" s="2014"/>
      <c r="AM224" s="2014"/>
      <c r="AN224" s="2014"/>
      <c r="AO224" s="2035"/>
      <c r="AP224" s="2014"/>
      <c r="AQ224" s="658"/>
      <c r="AR224" s="658"/>
      <c r="AS224" s="658"/>
      <c r="AT224" s="658"/>
      <c r="AU224" s="658"/>
      <c r="AV224" s="658"/>
      <c r="AW224" s="658"/>
      <c r="AX224" s="658"/>
      <c r="AY224" s="658"/>
      <c r="AZ224" s="2014"/>
      <c r="BA224" s="2035"/>
      <c r="BB224" s="2014"/>
      <c r="BC224" s="2014"/>
      <c r="BD224" s="2014"/>
      <c r="BE224" s="2028"/>
      <c r="BF224" s="433"/>
      <c r="BG224" s="2014"/>
      <c r="BH224" s="2014"/>
      <c r="BI224" s="2014"/>
      <c r="BJ224" s="2014"/>
      <c r="BK224" s="2014"/>
      <c r="BL224" s="2014"/>
      <c r="BM224" s="2014"/>
      <c r="BN224" s="2014"/>
      <c r="BO224" s="2014"/>
      <c r="BP224" s="2014"/>
      <c r="BQ224" s="2014"/>
      <c r="BR224" s="2014"/>
      <c r="BS224" s="2014"/>
      <c r="BT224" s="2014"/>
      <c r="BU224" s="2014"/>
      <c r="BV224" s="2014"/>
      <c r="BW224" s="2014"/>
    </row>
    <row r="225" spans="1:75" ht="5.25" customHeight="1">
      <c r="A225" s="2013"/>
      <c r="B225" s="2036"/>
      <c r="C225" s="2036"/>
      <c r="D225" s="2036"/>
      <c r="E225" s="2036"/>
      <c r="F225" s="2036"/>
      <c r="G225" s="2036"/>
      <c r="H225" s="2036"/>
      <c r="I225" s="2036"/>
      <c r="J225" s="2036"/>
      <c r="K225" s="2036"/>
      <c r="L225" s="2036"/>
      <c r="M225" s="2036"/>
      <c r="N225" s="2036"/>
      <c r="O225" s="2036"/>
      <c r="P225" s="2036"/>
      <c r="Q225" s="2036"/>
      <c r="R225" s="2036"/>
      <c r="S225" s="2036"/>
      <c r="T225" s="2036"/>
      <c r="U225" s="2036"/>
      <c r="V225" s="2036"/>
      <c r="W225" s="2036"/>
      <c r="X225" s="2036"/>
      <c r="Y225" s="2036"/>
      <c r="Z225" s="2036"/>
      <c r="AA225" s="2036"/>
      <c r="AB225" s="2036"/>
      <c r="AC225" s="2036"/>
      <c r="AD225" s="2036"/>
      <c r="AE225" s="2036"/>
      <c r="AF225" s="2036"/>
      <c r="AG225" s="2036"/>
      <c r="AH225" s="2036"/>
      <c r="AI225" s="2036"/>
      <c r="AJ225" s="2036"/>
      <c r="AK225" s="2013"/>
    </row>
    <row r="226" spans="1:75" ht="15" customHeight="1">
      <c r="A226" s="2013"/>
      <c r="B226" s="9755" t="s">
        <v>868</v>
      </c>
      <c r="C226" s="8489"/>
      <c r="D226" s="2037" t="s">
        <v>3275</v>
      </c>
      <c r="E226" s="1990"/>
      <c r="F226" s="1990"/>
      <c r="G226" s="1990"/>
      <c r="H226" s="1990"/>
      <c r="I226" s="1990"/>
      <c r="J226" s="1990"/>
      <c r="K226" s="1990"/>
      <c r="L226" s="1990"/>
      <c r="M226" s="1990"/>
      <c r="N226" s="1990"/>
      <c r="O226" s="1990"/>
      <c r="P226" s="1990"/>
      <c r="Q226" s="1990"/>
      <c r="R226" s="1990"/>
      <c r="S226" s="1990"/>
      <c r="T226" s="1990"/>
      <c r="U226" s="1990"/>
      <c r="V226" s="1990"/>
      <c r="W226" s="1990"/>
      <c r="X226" s="1990"/>
      <c r="Y226" s="1990"/>
      <c r="Z226" s="1990"/>
      <c r="AA226" s="1990"/>
      <c r="AB226" s="1990"/>
      <c r="AC226" s="1990"/>
      <c r="AD226" s="1990"/>
      <c r="AE226" s="1990"/>
      <c r="AF226" s="1990"/>
      <c r="AG226" s="1990"/>
      <c r="AH226" s="1990"/>
      <c r="AI226" s="1990"/>
      <c r="AJ226" s="1990"/>
      <c r="AK226" s="2013"/>
    </row>
    <row r="227" spans="1:75" ht="15.75" customHeight="1">
      <c r="A227" s="2013"/>
      <c r="B227" s="1990"/>
      <c r="C227" s="1990"/>
      <c r="D227" s="1990"/>
      <c r="E227" s="9822" t="s">
        <v>3276</v>
      </c>
      <c r="F227" s="9822"/>
      <c r="G227" s="9822"/>
      <c r="H227" s="9822"/>
      <c r="I227" s="9822"/>
      <c r="J227" s="9822"/>
      <c r="K227" s="9822"/>
      <c r="L227" s="9822"/>
      <c r="M227" s="9822"/>
      <c r="N227" s="9822"/>
      <c r="O227" s="9822"/>
      <c r="P227" s="9822"/>
      <c r="Q227" s="9822"/>
      <c r="R227" s="9822"/>
      <c r="S227" s="9822"/>
      <c r="T227" s="9822"/>
      <c r="U227" s="9822"/>
      <c r="V227" s="9822"/>
      <c r="W227" s="9822"/>
      <c r="X227" s="9822"/>
      <c r="Y227" s="9822"/>
      <c r="Z227" s="9822"/>
      <c r="AA227" s="9822"/>
      <c r="AB227" s="9822"/>
      <c r="AC227" s="9822"/>
      <c r="AD227" s="9822"/>
      <c r="AE227" s="9822"/>
      <c r="AF227" s="9822"/>
      <c r="AG227" s="9822"/>
      <c r="AH227" s="9822"/>
      <c r="AI227" s="9822"/>
      <c r="AJ227" s="9822"/>
      <c r="AK227" s="2013"/>
    </row>
    <row r="228" spans="1:75" ht="15.75" customHeight="1">
      <c r="A228" s="2013"/>
      <c r="B228" s="1999"/>
      <c r="C228" s="1999"/>
      <c r="D228" s="1999"/>
      <c r="E228" s="2010" t="s">
        <v>3277</v>
      </c>
      <c r="F228" s="2000"/>
      <c r="G228" s="2000"/>
      <c r="H228" s="2000"/>
      <c r="I228" s="2000"/>
      <c r="J228" s="2000"/>
      <c r="K228" s="2000"/>
      <c r="L228" s="2000"/>
      <c r="M228" s="2000"/>
      <c r="N228" s="2000"/>
      <c r="O228" s="2000"/>
      <c r="P228" s="2000"/>
      <c r="Q228" s="2000"/>
      <c r="R228" s="2000"/>
      <c r="S228" s="2000"/>
      <c r="T228" s="2000"/>
      <c r="U228" s="2000"/>
      <c r="V228" s="2000"/>
      <c r="W228" s="2000"/>
      <c r="X228" s="2000"/>
      <c r="Y228" s="2000"/>
      <c r="Z228" s="2000"/>
      <c r="AA228" s="2000"/>
      <c r="AB228" s="2000"/>
      <c r="AC228" s="2000"/>
      <c r="AD228" s="2000"/>
      <c r="AE228" s="2000"/>
      <c r="AF228" s="2000"/>
      <c r="AG228" s="2000"/>
      <c r="AH228" s="2000"/>
      <c r="AI228" s="2000"/>
      <c r="AJ228" s="2000"/>
      <c r="AK228" s="2013"/>
    </row>
    <row r="229" spans="1:75" s="579" customFormat="1" ht="13.5" customHeight="1">
      <c r="A229" s="2013"/>
      <c r="B229" s="253"/>
      <c r="C229" s="2022" t="s">
        <v>246</v>
      </c>
      <c r="D229" s="511" t="s">
        <v>3278</v>
      </c>
      <c r="E229" s="253"/>
      <c r="F229" s="253"/>
      <c r="G229" s="253"/>
      <c r="H229" s="253"/>
      <c r="I229" s="253"/>
      <c r="J229" s="253"/>
      <c r="K229" s="253"/>
      <c r="L229" s="253"/>
      <c r="M229" s="9902"/>
      <c r="N229" s="9902"/>
      <c r="O229" s="9902"/>
      <c r="P229" s="9902"/>
      <c r="Q229" s="9902"/>
      <c r="R229" s="9902"/>
      <c r="S229" s="9902"/>
      <c r="T229" s="9902"/>
      <c r="U229" s="344" t="s">
        <v>3279</v>
      </c>
      <c r="V229" s="253"/>
      <c r="W229" s="253"/>
      <c r="X229" s="253"/>
      <c r="Y229" s="9808"/>
      <c r="Z229" s="9809"/>
      <c r="AA229" s="9809"/>
      <c r="AB229" s="9809"/>
      <c r="AC229" s="9809"/>
      <c r="AD229" s="9809"/>
      <c r="AE229" s="9809"/>
      <c r="AF229" s="9809"/>
      <c r="AG229" s="9809"/>
      <c r="AH229" s="9810"/>
      <c r="AI229" s="9810"/>
      <c r="AJ229" s="9810"/>
      <c r="AK229" s="2013"/>
      <c r="AL229" s="2014"/>
      <c r="AM229" s="2014"/>
      <c r="AN229" s="2014"/>
      <c r="AO229" s="2029"/>
      <c r="AP229" s="2014"/>
      <c r="AQ229" s="658"/>
      <c r="AR229" s="658"/>
      <c r="AS229" s="658"/>
      <c r="AT229" s="658"/>
      <c r="AU229" s="658"/>
      <c r="AV229" s="658"/>
      <c r="AW229" s="658"/>
      <c r="AX229" s="658"/>
      <c r="AY229" s="658"/>
      <c r="AZ229" s="2014"/>
      <c r="BA229" s="2029"/>
      <c r="BB229" s="2014"/>
      <c r="BC229" s="2014"/>
      <c r="BD229" s="2014"/>
      <c r="BE229" s="2014"/>
      <c r="BF229" s="2014"/>
      <c r="BG229" s="2014"/>
      <c r="BH229" s="2014"/>
      <c r="BI229" s="2014"/>
      <c r="BJ229" s="2014"/>
      <c r="BK229" s="2014"/>
      <c r="BL229" s="2014"/>
      <c r="BM229" s="2014"/>
      <c r="BN229" s="2014"/>
      <c r="BO229" s="2014"/>
      <c r="BP229" s="2014"/>
      <c r="BQ229" s="2014"/>
      <c r="BR229" s="2014"/>
      <c r="BS229" s="2014"/>
      <c r="BT229" s="2014"/>
      <c r="BU229" s="2014"/>
      <c r="BV229" s="2014"/>
      <c r="BW229" s="2014"/>
    </row>
    <row r="230" spans="1:75" ht="5.25" customHeight="1" thickBot="1">
      <c r="A230" s="2013"/>
      <c r="B230" s="253"/>
      <c r="C230" s="253"/>
      <c r="D230" s="253"/>
      <c r="E230" s="253"/>
      <c r="F230" s="253"/>
      <c r="G230" s="253"/>
      <c r="H230" s="253"/>
      <c r="I230" s="253"/>
      <c r="J230" s="253"/>
      <c r="K230" s="253"/>
      <c r="L230" s="253"/>
      <c r="M230" s="253"/>
      <c r="N230" s="253"/>
      <c r="O230" s="253"/>
      <c r="P230" s="253"/>
      <c r="Q230" s="253"/>
      <c r="R230" s="253"/>
      <c r="S230" s="253"/>
      <c r="T230" s="253"/>
      <c r="U230" s="253"/>
      <c r="V230" s="253"/>
      <c r="W230" s="253"/>
      <c r="X230" s="253"/>
      <c r="Y230" s="253"/>
      <c r="Z230" s="253"/>
      <c r="AA230" s="253"/>
      <c r="AB230" s="253"/>
      <c r="AC230" s="253"/>
      <c r="AD230" s="253"/>
      <c r="AE230" s="253"/>
      <c r="AF230" s="253"/>
      <c r="AG230" s="253"/>
      <c r="AH230" s="253"/>
      <c r="AI230" s="253"/>
      <c r="AJ230" s="253"/>
      <c r="AK230" s="2013"/>
      <c r="BL230" s="2027"/>
      <c r="BM230" s="2027"/>
      <c r="BO230" s="2027"/>
      <c r="BP230" s="2027"/>
      <c r="BQ230" s="2027"/>
      <c r="BR230" s="2027"/>
      <c r="BS230" s="2027"/>
      <c r="BT230" s="2027"/>
      <c r="BU230" s="2027"/>
      <c r="BV230" s="2027"/>
    </row>
    <row r="231" spans="1:75" s="579" customFormat="1" ht="13.5" customHeight="1" thickBot="1">
      <c r="A231" s="2013"/>
      <c r="B231" s="253"/>
      <c r="C231" s="2022" t="s">
        <v>248</v>
      </c>
      <c r="D231" s="511" t="s">
        <v>3280</v>
      </c>
      <c r="E231" s="253"/>
      <c r="F231" s="253"/>
      <c r="G231" s="253"/>
      <c r="H231" s="253"/>
      <c r="I231" s="253"/>
      <c r="J231" s="253"/>
      <c r="K231" s="253"/>
      <c r="L231" s="253"/>
      <c r="M231" s="253"/>
      <c r="N231" s="2039" t="s">
        <v>588</v>
      </c>
      <c r="O231" s="277"/>
      <c r="P231" s="344" t="s">
        <v>3281</v>
      </c>
      <c r="Q231" s="253"/>
      <c r="R231" s="253"/>
      <c r="S231" s="253"/>
      <c r="T231" s="253"/>
      <c r="U231" s="2039" t="s">
        <v>592</v>
      </c>
      <c r="V231" s="277"/>
      <c r="W231" s="344" t="s">
        <v>3282</v>
      </c>
      <c r="X231" s="253"/>
      <c r="Y231" s="253"/>
      <c r="Z231" s="253"/>
      <c r="AA231" s="253"/>
      <c r="AB231" s="253"/>
      <c r="AC231" s="253"/>
      <c r="AD231" s="2039" t="s">
        <v>595</v>
      </c>
      <c r="AE231" s="277"/>
      <c r="AF231" s="344" t="s">
        <v>3283</v>
      </c>
      <c r="AG231" s="253"/>
      <c r="AH231" s="253"/>
      <c r="AI231" s="253"/>
      <c r="AJ231" s="253"/>
      <c r="AK231" s="2013"/>
      <c r="AL231" s="2014"/>
      <c r="AM231" s="2014"/>
      <c r="AN231" s="2028"/>
      <c r="AO231" s="2029"/>
      <c r="AP231" s="2014"/>
      <c r="AQ231" s="658"/>
      <c r="AR231" s="658"/>
      <c r="AS231" s="658"/>
      <c r="AT231" s="658"/>
      <c r="AU231" s="658"/>
      <c r="AV231" s="658"/>
      <c r="AW231" s="658"/>
      <c r="AX231" s="658"/>
      <c r="AY231" s="658"/>
      <c r="AZ231" s="2028"/>
      <c r="BA231" s="2029"/>
      <c r="BB231" s="2014"/>
      <c r="BC231" s="2014"/>
      <c r="BD231" s="2014"/>
      <c r="BE231" s="2014"/>
      <c r="BF231" s="2028"/>
      <c r="BG231" s="2040"/>
      <c r="BH231" s="2014"/>
      <c r="BI231" s="2014"/>
      <c r="BJ231" s="2014"/>
      <c r="BK231" s="2014"/>
      <c r="BL231" s="2014"/>
      <c r="BM231" s="2014"/>
      <c r="BN231" s="2014"/>
      <c r="BO231" s="2014"/>
      <c r="BP231" s="2014"/>
      <c r="BQ231" s="2014"/>
      <c r="BR231" s="2014"/>
      <c r="BS231" s="2014"/>
      <c r="BT231" s="2014"/>
      <c r="BU231" s="2014"/>
      <c r="BV231" s="2014"/>
      <c r="BW231" s="2014"/>
    </row>
    <row r="232" spans="1:75" s="579" customFormat="1" ht="5.25" customHeight="1" thickBot="1">
      <c r="A232" s="2013"/>
      <c r="B232" s="253"/>
      <c r="C232" s="253"/>
      <c r="D232" s="253"/>
      <c r="E232" s="253"/>
      <c r="F232" s="253"/>
      <c r="G232" s="253"/>
      <c r="H232" s="253"/>
      <c r="I232" s="253"/>
      <c r="J232" s="253"/>
      <c r="K232" s="253"/>
      <c r="L232" s="253"/>
      <c r="M232" s="253"/>
      <c r="N232" s="253"/>
      <c r="O232" s="253"/>
      <c r="P232" s="253"/>
      <c r="Q232" s="253"/>
      <c r="R232" s="253"/>
      <c r="S232" s="253"/>
      <c r="T232" s="253"/>
      <c r="U232" s="253"/>
      <c r="V232" s="253"/>
      <c r="W232" s="253"/>
      <c r="X232" s="253"/>
      <c r="Y232" s="253"/>
      <c r="Z232" s="253"/>
      <c r="AA232" s="253"/>
      <c r="AB232" s="253"/>
      <c r="AC232" s="253"/>
      <c r="AD232" s="253"/>
      <c r="AE232" s="253"/>
      <c r="AF232" s="253"/>
      <c r="AG232" s="253"/>
      <c r="AH232" s="253"/>
      <c r="AI232" s="253"/>
      <c r="AJ232" s="253"/>
      <c r="AK232" s="2013"/>
      <c r="AL232" s="2014"/>
      <c r="AM232" s="2014"/>
      <c r="AN232" s="2014"/>
      <c r="AO232" s="2029"/>
      <c r="AP232" s="2014"/>
      <c r="AQ232" s="658"/>
      <c r="AR232" s="658"/>
      <c r="AS232" s="658"/>
      <c r="AT232" s="658"/>
      <c r="AU232" s="658"/>
      <c r="AV232" s="658"/>
      <c r="AW232" s="658"/>
      <c r="AX232" s="658"/>
      <c r="AY232" s="658"/>
      <c r="AZ232" s="2014"/>
      <c r="BA232" s="2029"/>
      <c r="BB232" s="2014"/>
      <c r="BC232" s="2014"/>
      <c r="BD232" s="2014"/>
      <c r="BE232" s="2014"/>
      <c r="BF232" s="2014"/>
      <c r="BG232" s="2014"/>
      <c r="BH232" s="2014"/>
      <c r="BI232" s="2014"/>
      <c r="BJ232" s="2014"/>
      <c r="BK232" s="2014"/>
      <c r="BL232" s="2014"/>
      <c r="BM232" s="2014"/>
      <c r="BN232" s="2014"/>
      <c r="BO232" s="2014"/>
      <c r="BP232" s="2014"/>
      <c r="BQ232" s="2014"/>
      <c r="BR232" s="2014"/>
      <c r="BS232" s="2014"/>
      <c r="BT232" s="2014"/>
      <c r="BU232" s="2014"/>
      <c r="BV232" s="2014"/>
      <c r="BW232" s="2014"/>
    </row>
    <row r="233" spans="1:75" s="579" customFormat="1" ht="13.5" customHeight="1" thickBot="1">
      <c r="A233" s="2013"/>
      <c r="B233" s="253"/>
      <c r="C233" s="253"/>
      <c r="D233" s="253"/>
      <c r="E233" s="253"/>
      <c r="F233" s="253"/>
      <c r="G233" s="253"/>
      <c r="H233" s="253"/>
      <c r="I233" s="253"/>
      <c r="J233" s="253"/>
      <c r="K233" s="253"/>
      <c r="L233" s="253"/>
      <c r="M233" s="253"/>
      <c r="N233" s="2039" t="s">
        <v>599</v>
      </c>
      <c r="O233" s="277"/>
      <c r="P233" s="344" t="s">
        <v>3284</v>
      </c>
      <c r="Q233" s="253"/>
      <c r="R233" s="253"/>
      <c r="S233" s="253"/>
      <c r="T233" s="253"/>
      <c r="U233" s="253"/>
      <c r="V233" s="253"/>
      <c r="W233" s="253"/>
      <c r="X233" s="253"/>
      <c r="Y233" s="253"/>
      <c r="Z233" s="253"/>
      <c r="AA233" s="253"/>
      <c r="AB233" s="253"/>
      <c r="AC233" s="253"/>
      <c r="AD233" s="253"/>
      <c r="AE233" s="253"/>
      <c r="AF233" s="253"/>
      <c r="AG233" s="253"/>
      <c r="AH233" s="253"/>
      <c r="AI233" s="253"/>
      <c r="AJ233" s="253"/>
      <c r="AK233" s="2013"/>
      <c r="AL233" s="2014"/>
      <c r="AM233" s="2014"/>
      <c r="AN233" s="2028"/>
      <c r="AO233" s="2029"/>
      <c r="AP233" s="2014"/>
      <c r="AQ233" s="658"/>
      <c r="AR233" s="658"/>
      <c r="AS233" s="658"/>
      <c r="AT233" s="658"/>
      <c r="AU233" s="658"/>
      <c r="AV233" s="658"/>
      <c r="AW233" s="658"/>
      <c r="AX233" s="658"/>
      <c r="AY233" s="658"/>
      <c r="AZ233" s="2028"/>
      <c r="BA233" s="2029"/>
      <c r="BB233" s="2014"/>
      <c r="BC233" s="2014"/>
      <c r="BD233" s="2014"/>
      <c r="BE233" s="2014"/>
      <c r="BF233" s="2028"/>
      <c r="BG233" s="2040"/>
      <c r="BH233" s="2014"/>
      <c r="BI233" s="434"/>
      <c r="BJ233" s="434"/>
      <c r="BK233" s="2014"/>
      <c r="BL233" s="2014"/>
      <c r="BM233" s="2014"/>
      <c r="BN233" s="2014"/>
      <c r="BO233" s="2014"/>
      <c r="BP233" s="2014"/>
      <c r="BQ233" s="2014"/>
      <c r="BR233" s="2014"/>
      <c r="BS233" s="2014"/>
      <c r="BT233" s="2014"/>
      <c r="BU233" s="2014"/>
      <c r="BV233" s="2014"/>
      <c r="BW233" s="2014"/>
    </row>
    <row r="234" spans="1:75" s="579" customFormat="1" ht="15.75" thickBot="1">
      <c r="A234" s="2013"/>
      <c r="B234" s="253"/>
      <c r="C234" s="734" t="s">
        <v>3285</v>
      </c>
      <c r="D234" s="511" t="s">
        <v>3286</v>
      </c>
      <c r="E234" s="253"/>
      <c r="F234" s="253"/>
      <c r="G234" s="253"/>
      <c r="H234" s="253"/>
      <c r="I234" s="253"/>
      <c r="J234" s="253"/>
      <c r="K234" s="253"/>
      <c r="L234" s="253"/>
      <c r="M234" s="253"/>
      <c r="N234" s="253"/>
      <c r="O234" s="253"/>
      <c r="P234" s="253"/>
      <c r="Q234" s="253"/>
      <c r="R234" s="253"/>
      <c r="S234" s="253"/>
      <c r="T234" s="253"/>
      <c r="U234" s="253"/>
      <c r="V234" s="253"/>
      <c r="W234" s="253"/>
      <c r="X234" s="253"/>
      <c r="Y234" s="253"/>
      <c r="Z234" s="253"/>
      <c r="AA234" s="253"/>
      <c r="AB234" s="253"/>
      <c r="AC234" s="253"/>
      <c r="AD234" s="2031" t="s">
        <v>590</v>
      </c>
      <c r="AE234" s="277"/>
      <c r="AF234" s="349" t="s">
        <v>568</v>
      </c>
      <c r="AG234" s="253"/>
      <c r="AH234" s="277"/>
      <c r="AI234" s="349" t="s">
        <v>569</v>
      </c>
      <c r="AJ234" s="253"/>
      <c r="AK234" s="2013"/>
      <c r="AL234" s="2014"/>
      <c r="AM234" s="2014"/>
      <c r="AN234" s="2014"/>
      <c r="AO234" s="2029"/>
      <c r="AP234" s="2014"/>
      <c r="AQ234" s="658"/>
      <c r="AR234" s="658"/>
      <c r="AS234" s="658"/>
      <c r="AT234" s="658"/>
      <c r="AU234" s="658"/>
      <c r="AV234" s="658"/>
      <c r="AW234" s="658"/>
      <c r="AX234" s="658"/>
      <c r="AY234" s="658"/>
      <c r="AZ234" s="2014"/>
      <c r="BA234" s="2029"/>
      <c r="BB234" s="2014"/>
      <c r="BC234" s="2014"/>
      <c r="BD234" s="2014"/>
      <c r="BE234" s="2014"/>
      <c r="BF234" s="2014"/>
      <c r="BG234" s="2014"/>
      <c r="BH234" s="2014"/>
      <c r="BI234" s="2014"/>
      <c r="BJ234" s="2014"/>
      <c r="BK234" s="2014"/>
      <c r="BL234" s="2014"/>
      <c r="BM234" s="2014"/>
      <c r="BN234" s="2014"/>
      <c r="BO234" s="2014"/>
      <c r="BP234" s="2014"/>
      <c r="BQ234" s="2014"/>
      <c r="BR234" s="2014"/>
      <c r="BS234" s="2014"/>
      <c r="BT234" s="2014"/>
      <c r="BU234" s="2014"/>
      <c r="BV234" s="2014"/>
      <c r="BW234" s="2014"/>
    </row>
    <row r="235" spans="1:75" s="579" customFormat="1" ht="12.75" customHeight="1">
      <c r="A235" s="2013"/>
      <c r="B235" s="253"/>
      <c r="C235" s="734" t="s">
        <v>2084</v>
      </c>
      <c r="D235" s="511" t="s">
        <v>3287</v>
      </c>
      <c r="E235" s="253"/>
      <c r="F235" s="253"/>
      <c r="G235" s="253"/>
      <c r="H235" s="253"/>
      <c r="I235" s="253"/>
      <c r="J235" s="253"/>
      <c r="K235" s="253"/>
      <c r="L235" s="253"/>
      <c r="M235" s="9805"/>
      <c r="N235" s="9806"/>
      <c r="O235" s="9806"/>
      <c r="P235" s="9806"/>
      <c r="Q235" s="9806"/>
      <c r="R235" s="9806"/>
      <c r="S235" s="9806"/>
      <c r="T235" s="9806"/>
      <c r="U235" s="9806"/>
      <c r="V235" s="9806"/>
      <c r="W235" s="9806"/>
      <c r="X235" s="9806"/>
      <c r="Y235" s="9806"/>
      <c r="Z235" s="9806"/>
      <c r="AA235" s="9806"/>
      <c r="AB235" s="9806"/>
      <c r="AC235" s="9806"/>
      <c r="AD235" s="9806"/>
      <c r="AE235" s="9806"/>
      <c r="AF235" s="9806"/>
      <c r="AG235" s="9806"/>
      <c r="AH235" s="9806"/>
      <c r="AI235" s="9806"/>
      <c r="AJ235" s="9806"/>
      <c r="AK235" s="2013"/>
      <c r="AL235" s="2014"/>
      <c r="AM235" s="2014"/>
      <c r="AN235" s="2041"/>
      <c r="AO235" s="2025"/>
      <c r="AP235" s="2025"/>
      <c r="AQ235" s="658"/>
      <c r="AR235" s="658"/>
      <c r="AS235" s="658"/>
      <c r="AT235" s="658"/>
      <c r="AU235" s="658"/>
      <c r="AV235" s="658"/>
      <c r="AW235" s="658"/>
      <c r="AX235" s="658"/>
      <c r="AY235" s="658"/>
      <c r="AZ235" s="2041"/>
      <c r="BA235" s="2025"/>
      <c r="BB235" s="2025"/>
      <c r="BC235" s="2025"/>
      <c r="BD235" s="2025"/>
      <c r="BE235" s="2025"/>
      <c r="BF235" s="2025"/>
      <c r="BG235" s="2025"/>
      <c r="BH235" s="2025"/>
      <c r="BI235" s="2025"/>
      <c r="BJ235" s="2025"/>
      <c r="BK235" s="2014"/>
      <c r="BL235" s="2014"/>
      <c r="BM235" s="2014"/>
      <c r="BN235" s="2014"/>
      <c r="BO235" s="2014"/>
      <c r="BP235" s="2014"/>
      <c r="BQ235" s="2014"/>
      <c r="BR235" s="2014"/>
      <c r="BS235" s="2014"/>
      <c r="BT235" s="2014"/>
      <c r="BU235" s="2014"/>
      <c r="BV235" s="2014"/>
      <c r="BW235" s="2014"/>
    </row>
    <row r="236" spans="1:75" s="579" customFormat="1" ht="5.25" customHeight="1">
      <c r="A236" s="2013"/>
      <c r="B236" s="253"/>
      <c r="C236" s="253"/>
      <c r="D236" s="253"/>
      <c r="E236" s="253"/>
      <c r="F236" s="253"/>
      <c r="G236" s="253"/>
      <c r="H236" s="253"/>
      <c r="I236" s="253"/>
      <c r="J236" s="253"/>
      <c r="K236" s="253"/>
      <c r="L236" s="253"/>
      <c r="M236" s="253"/>
      <c r="N236" s="253"/>
      <c r="O236" s="253"/>
      <c r="P236" s="253"/>
      <c r="Q236" s="253"/>
      <c r="R236" s="253"/>
      <c r="S236" s="253"/>
      <c r="T236" s="253"/>
      <c r="U236" s="253"/>
      <c r="V236" s="253"/>
      <c r="W236" s="253"/>
      <c r="X236" s="253"/>
      <c r="Y236" s="253"/>
      <c r="Z236" s="253"/>
      <c r="AA236" s="253"/>
      <c r="AB236" s="253"/>
      <c r="AC236" s="253"/>
      <c r="AD236" s="253"/>
      <c r="AE236" s="253"/>
      <c r="AF236" s="253"/>
      <c r="AG236" s="253"/>
      <c r="AH236" s="253"/>
      <c r="AI236" s="253"/>
      <c r="AJ236" s="253"/>
      <c r="AK236" s="2013"/>
      <c r="AL236" s="2014"/>
      <c r="AM236" s="2014"/>
      <c r="AN236" s="2025"/>
      <c r="AO236" s="2025"/>
      <c r="AP236" s="2025"/>
      <c r="AQ236" s="658"/>
      <c r="AR236" s="658"/>
      <c r="AS236" s="658"/>
      <c r="AT236" s="658"/>
      <c r="AU236" s="658"/>
      <c r="AV236" s="658"/>
      <c r="AW236" s="658"/>
      <c r="AX236" s="658"/>
      <c r="AY236" s="658"/>
      <c r="AZ236" s="2025"/>
      <c r="BA236" s="2025"/>
      <c r="BB236" s="2025"/>
      <c r="BC236" s="2025"/>
      <c r="BD236" s="2025"/>
      <c r="BE236" s="2025"/>
      <c r="BF236" s="2025"/>
      <c r="BG236" s="2025"/>
      <c r="BH236" s="2025"/>
      <c r="BI236" s="2025"/>
      <c r="BJ236" s="2025"/>
      <c r="BK236" s="2014"/>
      <c r="BL236" s="2014"/>
      <c r="BM236" s="2014"/>
      <c r="BN236" s="2014"/>
      <c r="BO236" s="2014"/>
      <c r="BP236" s="2014"/>
      <c r="BQ236" s="2014"/>
      <c r="BR236" s="2014"/>
      <c r="BS236" s="2014"/>
      <c r="BT236" s="2014"/>
      <c r="BU236" s="2014"/>
      <c r="BV236" s="2014"/>
      <c r="BW236" s="2014"/>
    </row>
    <row r="237" spans="1:75" s="579" customFormat="1" ht="12.75" customHeight="1" thickBot="1">
      <c r="A237" s="2013"/>
      <c r="B237" s="253"/>
      <c r="C237" s="734" t="s">
        <v>3288</v>
      </c>
      <c r="D237" s="511" t="s">
        <v>3289</v>
      </c>
      <c r="E237" s="253"/>
      <c r="F237" s="253"/>
      <c r="G237" s="253"/>
      <c r="H237" s="253"/>
      <c r="I237" s="253"/>
      <c r="J237" s="253"/>
      <c r="K237" s="253"/>
      <c r="L237" s="253"/>
      <c r="M237" s="253"/>
      <c r="N237" s="253"/>
      <c r="O237" s="253"/>
      <c r="P237" s="253"/>
      <c r="Q237" s="253"/>
      <c r="R237" s="253"/>
      <c r="S237" s="253"/>
      <c r="T237" s="253"/>
      <c r="U237" s="253"/>
      <c r="V237" s="253"/>
      <c r="W237" s="253"/>
      <c r="X237" s="253"/>
      <c r="Y237" s="253"/>
      <c r="Z237" s="253"/>
      <c r="AA237" s="253"/>
      <c r="AB237" s="253"/>
      <c r="AC237" s="253"/>
      <c r="AD237" s="253"/>
      <c r="AE237" s="253"/>
      <c r="AF237" s="253"/>
      <c r="AG237" s="253"/>
      <c r="AH237" s="253"/>
      <c r="AI237" s="253"/>
      <c r="AJ237" s="253"/>
      <c r="AK237" s="2013"/>
      <c r="AL237" s="2014"/>
      <c r="AM237" s="2042"/>
      <c r="AN237" s="2025"/>
      <c r="AO237" s="2025"/>
      <c r="AP237" s="2025"/>
      <c r="AQ237" s="658"/>
      <c r="AR237" s="658"/>
      <c r="AS237" s="658"/>
      <c r="AT237" s="658"/>
      <c r="AU237" s="658"/>
      <c r="AV237" s="658"/>
      <c r="AW237" s="658"/>
      <c r="AX237" s="658"/>
      <c r="AY237" s="658"/>
      <c r="AZ237" s="2025"/>
      <c r="BA237" s="2025"/>
      <c r="BB237" s="2025"/>
      <c r="BC237" s="2025"/>
      <c r="BD237" s="2025"/>
      <c r="BE237" s="2025"/>
      <c r="BF237" s="2025"/>
      <c r="BG237" s="2025"/>
      <c r="BH237" s="2025"/>
      <c r="BI237" s="2025"/>
      <c r="BJ237" s="2025"/>
      <c r="BK237" s="2014"/>
      <c r="BL237" s="2014"/>
      <c r="BM237" s="2014"/>
      <c r="BN237" s="2014"/>
      <c r="BO237" s="2014"/>
      <c r="BP237" s="2014"/>
      <c r="BQ237" s="2014"/>
      <c r="BR237" s="2014"/>
      <c r="BS237" s="2014"/>
      <c r="BT237" s="2014"/>
      <c r="BU237" s="2014"/>
      <c r="BV237" s="2014"/>
      <c r="BW237" s="2014"/>
    </row>
    <row r="238" spans="1:75" ht="15" customHeight="1" thickBot="1">
      <c r="A238" s="2013"/>
      <c r="B238" s="253"/>
      <c r="C238" s="253"/>
      <c r="D238" s="511" t="s">
        <v>3290</v>
      </c>
      <c r="E238" s="253"/>
      <c r="F238" s="253"/>
      <c r="G238" s="253"/>
      <c r="H238" s="253"/>
      <c r="I238" s="253"/>
      <c r="J238" s="253"/>
      <c r="K238" s="253"/>
      <c r="L238" s="253"/>
      <c r="M238" s="253"/>
      <c r="N238" s="253"/>
      <c r="O238" s="253"/>
      <c r="P238" s="253"/>
      <c r="Q238" s="253"/>
      <c r="R238" s="253"/>
      <c r="S238" s="253"/>
      <c r="T238" s="253"/>
      <c r="U238" s="253"/>
      <c r="V238" s="253"/>
      <c r="W238" s="253"/>
      <c r="X238" s="253"/>
      <c r="Y238" s="253"/>
      <c r="Z238" s="253"/>
      <c r="AA238" s="253"/>
      <c r="AB238" s="253"/>
      <c r="AC238" s="253"/>
      <c r="AD238" s="2031" t="s">
        <v>597</v>
      </c>
      <c r="AE238" s="277"/>
      <c r="AF238" s="349" t="s">
        <v>568</v>
      </c>
      <c r="AG238" s="253"/>
      <c r="AH238" s="277"/>
      <c r="AI238" s="349" t="s">
        <v>569</v>
      </c>
      <c r="AJ238" s="253"/>
      <c r="AK238" s="2013"/>
      <c r="AM238" s="2042"/>
      <c r="AN238" s="2025"/>
      <c r="AO238" s="2025"/>
      <c r="AP238" s="2025"/>
      <c r="AZ238" s="2025"/>
      <c r="BA238" s="2025"/>
      <c r="BB238" s="2025"/>
      <c r="BC238" s="2025"/>
      <c r="BD238" s="2025"/>
      <c r="BE238" s="2025"/>
      <c r="BF238" s="2025"/>
      <c r="BG238" s="2025"/>
      <c r="BH238" s="2025"/>
      <c r="BI238" s="2025"/>
      <c r="BJ238" s="2025"/>
    </row>
    <row r="239" spans="1:75" ht="5.25" customHeight="1" thickBot="1">
      <c r="A239" s="2013"/>
      <c r="B239" s="253"/>
      <c r="C239" s="253"/>
      <c r="D239" s="253"/>
      <c r="E239" s="253"/>
      <c r="F239" s="253"/>
      <c r="G239" s="253"/>
      <c r="H239" s="253"/>
      <c r="I239" s="253"/>
      <c r="J239" s="253"/>
      <c r="K239" s="253"/>
      <c r="L239" s="253"/>
      <c r="M239" s="253"/>
      <c r="N239" s="253"/>
      <c r="O239" s="253"/>
      <c r="P239" s="253"/>
      <c r="Q239" s="253"/>
      <c r="R239" s="253"/>
      <c r="S239" s="253"/>
      <c r="T239" s="253"/>
      <c r="U239" s="253"/>
      <c r="V239" s="253"/>
      <c r="W239" s="253"/>
      <c r="X239" s="253"/>
      <c r="Y239" s="253"/>
      <c r="Z239" s="253"/>
      <c r="AA239" s="253"/>
      <c r="AB239" s="253"/>
      <c r="AC239" s="253"/>
      <c r="AD239" s="253"/>
      <c r="AE239" s="253"/>
      <c r="AF239" s="253"/>
      <c r="AG239" s="253"/>
      <c r="AH239" s="253"/>
      <c r="AI239" s="253"/>
      <c r="AJ239" s="253"/>
      <c r="AK239" s="2013"/>
      <c r="BL239" s="2027"/>
      <c r="BM239" s="2027"/>
      <c r="BO239" s="2027"/>
      <c r="BP239" s="2027"/>
      <c r="BQ239" s="2027"/>
      <c r="BR239" s="2027"/>
      <c r="BS239" s="2027"/>
      <c r="BT239" s="2027"/>
      <c r="BU239" s="2027"/>
      <c r="BV239" s="2027"/>
    </row>
    <row r="240" spans="1:75" ht="13.5" customHeight="1" thickBot="1">
      <c r="A240" s="2013"/>
      <c r="B240" s="253"/>
      <c r="C240" s="734" t="s">
        <v>2084</v>
      </c>
      <c r="D240" s="511" t="s">
        <v>3291</v>
      </c>
      <c r="E240" s="253"/>
      <c r="F240" s="253"/>
      <c r="G240" s="253"/>
      <c r="H240" s="253"/>
      <c r="I240" s="253"/>
      <c r="J240" s="253"/>
      <c r="K240" s="253"/>
      <c r="L240" s="253"/>
      <c r="M240" s="253"/>
      <c r="N240" s="253"/>
      <c r="O240" s="253"/>
      <c r="P240" s="253"/>
      <c r="Q240" s="253"/>
      <c r="R240" s="253"/>
      <c r="S240" s="253"/>
      <c r="T240" s="253"/>
      <c r="U240" s="253"/>
      <c r="V240" s="253"/>
      <c r="W240" s="253"/>
      <c r="X240" s="253"/>
      <c r="Y240" s="253"/>
      <c r="Z240" s="253"/>
      <c r="AA240" s="253"/>
      <c r="AB240" s="253"/>
      <c r="AC240" s="253"/>
      <c r="AD240" s="2031" t="s">
        <v>636</v>
      </c>
      <c r="AE240" s="277"/>
      <c r="AF240" s="349" t="s">
        <v>568</v>
      </c>
      <c r="AG240" s="253"/>
      <c r="AH240" s="277"/>
      <c r="AI240" s="349" t="s">
        <v>569</v>
      </c>
      <c r="AJ240" s="253"/>
      <c r="AK240" s="2013"/>
      <c r="AM240" s="2043"/>
      <c r="BL240" s="2027"/>
      <c r="BM240" s="2027"/>
      <c r="BO240" s="2027"/>
      <c r="BP240" s="2027"/>
      <c r="BQ240" s="2027"/>
      <c r="BR240" s="2027"/>
      <c r="BS240" s="2027"/>
      <c r="BT240" s="2027"/>
      <c r="BU240" s="2027"/>
      <c r="BV240" s="2027"/>
    </row>
    <row r="241" spans="1:74" ht="16.5" customHeight="1">
      <c r="A241" s="2013"/>
      <c r="B241" s="253"/>
      <c r="C241" s="253"/>
      <c r="D241" s="810" t="s">
        <v>3292</v>
      </c>
      <c r="E241" s="253"/>
      <c r="F241" s="253"/>
      <c r="G241" s="253"/>
      <c r="H241" s="253"/>
      <c r="I241" s="253"/>
      <c r="J241" s="253"/>
      <c r="K241" s="253"/>
      <c r="L241" s="253"/>
      <c r="M241" s="253"/>
      <c r="N241" s="253"/>
      <c r="O241" s="253"/>
      <c r="P241" s="253"/>
      <c r="Q241" s="253"/>
      <c r="R241" s="253"/>
      <c r="S241" s="253"/>
      <c r="T241" s="253"/>
      <c r="U241" s="253"/>
      <c r="V241" s="253"/>
      <c r="W241" s="253"/>
      <c r="X241" s="253"/>
      <c r="Y241" s="253"/>
      <c r="Z241" s="253"/>
      <c r="AA241" s="253"/>
      <c r="AB241" s="253"/>
      <c r="AC241" s="253"/>
      <c r="AD241" s="253"/>
      <c r="AE241" s="253"/>
      <c r="AF241" s="253"/>
      <c r="AG241" s="253"/>
      <c r="AH241" s="253"/>
      <c r="AI241" s="253"/>
      <c r="AJ241" s="253"/>
      <c r="AK241" s="2013"/>
      <c r="AM241" s="2043"/>
      <c r="BL241" s="2027"/>
      <c r="BM241" s="2027"/>
      <c r="BO241" s="2027"/>
      <c r="BP241" s="2027"/>
      <c r="BQ241" s="2027"/>
      <c r="BR241" s="2027"/>
      <c r="BS241" s="2027"/>
      <c r="BT241" s="2027"/>
      <c r="BU241" s="2027"/>
      <c r="BV241" s="2027"/>
    </row>
    <row r="242" spans="1:74" ht="16.5" customHeight="1">
      <c r="A242" s="2013"/>
      <c r="B242" s="253"/>
      <c r="C242" s="253"/>
      <c r="D242" s="2044" t="s">
        <v>3293</v>
      </c>
      <c r="E242" s="253"/>
      <c r="F242" s="253"/>
      <c r="G242" s="253"/>
      <c r="H242" s="253"/>
      <c r="I242" s="253"/>
      <c r="J242" s="253"/>
      <c r="K242" s="253"/>
      <c r="L242" s="253"/>
      <c r="M242" s="253"/>
      <c r="N242" s="253"/>
      <c r="O242" s="253"/>
      <c r="P242" s="253"/>
      <c r="Q242" s="253"/>
      <c r="R242" s="253"/>
      <c r="S242" s="253"/>
      <c r="T242" s="253"/>
      <c r="U242" s="253"/>
      <c r="V242" s="253"/>
      <c r="W242" s="253"/>
      <c r="X242" s="253"/>
      <c r="Y242" s="253"/>
      <c r="Z242" s="253"/>
      <c r="AA242" s="253"/>
      <c r="AB242" s="253"/>
      <c r="AC242" s="253"/>
      <c r="AD242" s="253"/>
      <c r="AE242" s="253"/>
      <c r="AF242" s="253"/>
      <c r="AG242" s="253"/>
      <c r="AH242" s="253"/>
      <c r="AI242" s="253"/>
      <c r="AJ242" s="253"/>
      <c r="AK242" s="2013"/>
      <c r="AM242" s="2043"/>
      <c r="AO242" s="2045"/>
      <c r="AP242" s="2042"/>
      <c r="BL242" s="2027"/>
      <c r="BM242" s="2027"/>
      <c r="BO242" s="2027"/>
      <c r="BP242" s="2027"/>
      <c r="BQ242" s="2027"/>
      <c r="BR242" s="2027"/>
      <c r="BS242" s="2027"/>
      <c r="BT242" s="2027"/>
      <c r="BU242" s="2027"/>
      <c r="BV242" s="2027"/>
    </row>
    <row r="243" spans="1:74" ht="16.5" customHeight="1">
      <c r="A243" s="2013"/>
      <c r="B243" s="253"/>
      <c r="C243" s="2022" t="s">
        <v>253</v>
      </c>
      <c r="D243" s="511" t="s">
        <v>3294</v>
      </c>
      <c r="E243" s="253"/>
      <c r="F243" s="253"/>
      <c r="G243" s="253"/>
      <c r="H243" s="253"/>
      <c r="I243" s="253"/>
      <c r="J243" s="253"/>
      <c r="K243" s="253"/>
      <c r="L243" s="253"/>
      <c r="M243" s="253"/>
      <c r="N243" s="253"/>
      <c r="O243" s="253"/>
      <c r="P243" s="253"/>
      <c r="Q243" s="253"/>
      <c r="R243" s="253"/>
      <c r="S243" s="253"/>
      <c r="T243" s="253"/>
      <c r="U243" s="253"/>
      <c r="V243" s="253"/>
      <c r="W243" s="253"/>
      <c r="X243" s="253"/>
      <c r="Y243" s="253"/>
      <c r="Z243" s="253"/>
      <c r="AA243" s="253"/>
      <c r="AB243" s="253"/>
      <c r="AC243" s="253"/>
      <c r="AD243" s="253"/>
      <c r="AE243" s="253"/>
      <c r="AF243" s="253"/>
      <c r="AG243" s="253"/>
      <c r="AH243" s="253"/>
      <c r="AI243" s="253"/>
      <c r="AJ243" s="253"/>
      <c r="AK243" s="2013"/>
      <c r="AO243" s="2045"/>
      <c r="AP243" s="2042"/>
      <c r="BL243" s="2027"/>
      <c r="BM243" s="2027"/>
      <c r="BO243" s="2027"/>
      <c r="BP243" s="2027"/>
      <c r="BQ243" s="2027"/>
      <c r="BR243" s="2027"/>
      <c r="BS243" s="2027"/>
      <c r="BT243" s="2027"/>
      <c r="BU243" s="2027"/>
      <c r="BV243" s="2027"/>
    </row>
    <row r="244" spans="1:74" ht="16.5" customHeight="1">
      <c r="A244" s="2013"/>
      <c r="B244" s="253"/>
      <c r="C244" s="253"/>
      <c r="D244" s="2046" t="s">
        <v>3295</v>
      </c>
      <c r="E244" s="253"/>
      <c r="F244" s="253"/>
      <c r="G244" s="253"/>
      <c r="H244" s="253"/>
      <c r="I244" s="253"/>
      <c r="J244" s="253"/>
      <c r="K244" s="253"/>
      <c r="L244" s="253"/>
      <c r="M244" s="253"/>
      <c r="N244" s="253"/>
      <c r="O244" s="253"/>
      <c r="P244" s="253"/>
      <c r="Q244" s="253"/>
      <c r="R244" s="253"/>
      <c r="S244" s="253"/>
      <c r="T244" s="253"/>
      <c r="U244" s="253"/>
      <c r="V244" s="253"/>
      <c r="W244" s="253"/>
      <c r="X244" s="253"/>
      <c r="Y244" s="253"/>
      <c r="Z244" s="253"/>
      <c r="AA244" s="253"/>
      <c r="AB244" s="253"/>
      <c r="AC244" s="253"/>
      <c r="AD244" s="253"/>
      <c r="AE244" s="253"/>
      <c r="AF244" s="253"/>
      <c r="AG244" s="253"/>
      <c r="AH244" s="253"/>
      <c r="AI244" s="253"/>
      <c r="AJ244" s="253"/>
      <c r="AK244" s="2013"/>
      <c r="AO244" s="2042"/>
      <c r="AP244" s="2047"/>
      <c r="BL244" s="2027"/>
      <c r="BM244" s="2027"/>
      <c r="BO244" s="2027"/>
      <c r="BP244" s="2027"/>
      <c r="BQ244" s="2027"/>
      <c r="BR244" s="2027"/>
      <c r="BS244" s="2027"/>
      <c r="BT244" s="2027"/>
      <c r="BU244" s="2027"/>
      <c r="BV244" s="2027"/>
    </row>
    <row r="245" spans="1:74" ht="35.25" customHeight="1" thickBot="1">
      <c r="A245" s="2013"/>
      <c r="B245" s="9814" t="s">
        <v>3296</v>
      </c>
      <c r="C245" s="9815"/>
      <c r="D245" s="9815"/>
      <c r="E245" s="9816"/>
      <c r="F245" s="9814" t="s">
        <v>3297</v>
      </c>
      <c r="G245" s="9815"/>
      <c r="H245" s="9815"/>
      <c r="I245" s="9816"/>
      <c r="J245" s="9814" t="s">
        <v>3298</v>
      </c>
      <c r="K245" s="9815"/>
      <c r="L245" s="9815"/>
      <c r="M245" s="9816"/>
      <c r="N245" s="9817" t="s">
        <v>3299</v>
      </c>
      <c r="O245" s="9815"/>
      <c r="P245" s="9815"/>
      <c r="Q245" s="9815"/>
      <c r="R245" s="9818"/>
      <c r="S245" s="9819" t="s">
        <v>3300</v>
      </c>
      <c r="T245" s="9820"/>
      <c r="U245" s="9820"/>
      <c r="V245" s="9821"/>
      <c r="W245" s="9814" t="s">
        <v>3297</v>
      </c>
      <c r="X245" s="9815"/>
      <c r="Y245" s="9815"/>
      <c r="Z245" s="9816"/>
      <c r="AA245" s="9814" t="s">
        <v>3298</v>
      </c>
      <c r="AB245" s="9815"/>
      <c r="AC245" s="9815"/>
      <c r="AD245" s="9816"/>
      <c r="AE245" s="9817" t="s">
        <v>3299</v>
      </c>
      <c r="AF245" s="9815"/>
      <c r="AG245" s="9815"/>
      <c r="AH245" s="9815"/>
      <c r="AI245" s="9815"/>
      <c r="AJ245" s="9815"/>
      <c r="AK245" s="2013"/>
      <c r="AM245" s="817" t="s">
        <v>771</v>
      </c>
      <c r="AO245" s="817" t="s">
        <v>771</v>
      </c>
      <c r="AP245" s="2048"/>
      <c r="BL245" s="2027"/>
      <c r="BM245" s="2027"/>
      <c r="BO245" s="2027"/>
      <c r="BP245" s="2027"/>
      <c r="BQ245" s="2027"/>
      <c r="BR245" s="2027"/>
      <c r="BS245" s="2027"/>
      <c r="BT245" s="2027"/>
      <c r="BU245" s="2027"/>
      <c r="BV245" s="2027"/>
    </row>
    <row r="246" spans="1:74" ht="14.25" customHeight="1" thickBot="1">
      <c r="A246" s="2013"/>
      <c r="B246" s="9760"/>
      <c r="C246" s="9758"/>
      <c r="D246" s="9758"/>
      <c r="E246" s="9758"/>
      <c r="F246" s="9757"/>
      <c r="G246" s="9758"/>
      <c r="H246" s="9758"/>
      <c r="I246" s="9759"/>
      <c r="J246" s="9761" t="str">
        <f>IF(AM246&lt;&gt;"",ROUND(AM246,0),IF(OR(B246="",F246=""),"",F246-B246))</f>
        <v/>
      </c>
      <c r="K246" s="9762"/>
      <c r="L246" s="9762"/>
      <c r="M246" s="9763"/>
      <c r="N246" s="9764"/>
      <c r="O246" s="9765"/>
      <c r="P246" s="9765"/>
      <c r="Q246" s="9765"/>
      <c r="R246" s="9766"/>
      <c r="S246" s="9767"/>
      <c r="T246" s="9768"/>
      <c r="U246" s="9768"/>
      <c r="V246" s="9769"/>
      <c r="W246" s="9757"/>
      <c r="X246" s="9758"/>
      <c r="Y246" s="9758"/>
      <c r="Z246" s="9759"/>
      <c r="AA246" s="9761" t="str">
        <f>IF(AO246&lt;&gt;"",ROUND(AO246,0),IF(OR(S246="",W246=""),"",W246-S246))</f>
        <v/>
      </c>
      <c r="AB246" s="9762"/>
      <c r="AC246" s="9762"/>
      <c r="AD246" s="9763"/>
      <c r="AE246" s="9764"/>
      <c r="AF246" s="9765"/>
      <c r="AG246" s="9765"/>
      <c r="AH246" s="9765"/>
      <c r="AI246" s="9765"/>
      <c r="AJ246" s="9770"/>
      <c r="AK246" s="2013"/>
      <c r="AM246" s="453"/>
      <c r="AO246" s="453"/>
      <c r="AP246" s="2048"/>
      <c r="BL246" s="2027"/>
      <c r="BM246" s="2027"/>
      <c r="BO246" s="2027"/>
      <c r="BP246" s="2027"/>
      <c r="BQ246" s="2027"/>
      <c r="BR246" s="2027"/>
      <c r="BS246" s="2027"/>
      <c r="BT246" s="2027"/>
      <c r="BU246" s="2027"/>
      <c r="BV246" s="2027"/>
    </row>
    <row r="247" spans="1:74" ht="14.25" customHeight="1" thickBot="1">
      <c r="A247" s="2013"/>
      <c r="B247" s="9760"/>
      <c r="C247" s="9758"/>
      <c r="D247" s="9758"/>
      <c r="E247" s="9758"/>
      <c r="F247" s="9757"/>
      <c r="G247" s="9758"/>
      <c r="H247" s="9758"/>
      <c r="I247" s="9759"/>
      <c r="J247" s="9761" t="str">
        <f>IF(AM247&lt;&gt;"",ROUND(AM247,0),IF(OR(B247="",F247=""),"",F247-B247))</f>
        <v/>
      </c>
      <c r="K247" s="9762"/>
      <c r="L247" s="9762"/>
      <c r="M247" s="9763"/>
      <c r="N247" s="9764"/>
      <c r="O247" s="9765"/>
      <c r="P247" s="9765"/>
      <c r="Q247" s="9765"/>
      <c r="R247" s="9766"/>
      <c r="S247" s="9767"/>
      <c r="T247" s="9768"/>
      <c r="U247" s="9768"/>
      <c r="V247" s="9769"/>
      <c r="W247" s="9757"/>
      <c r="X247" s="9758"/>
      <c r="Y247" s="9758"/>
      <c r="Z247" s="9759"/>
      <c r="AA247" s="9761" t="str">
        <f>IF(AO247&lt;&gt;"",ROUND(AO247,0),IF(OR(S247="",W247=""),"",W247-S247))</f>
        <v/>
      </c>
      <c r="AB247" s="9762"/>
      <c r="AC247" s="9762"/>
      <c r="AD247" s="9763"/>
      <c r="AE247" s="9764"/>
      <c r="AF247" s="9765"/>
      <c r="AG247" s="9765"/>
      <c r="AH247" s="9765"/>
      <c r="AI247" s="9765"/>
      <c r="AJ247" s="9770"/>
      <c r="AK247" s="2013"/>
      <c r="AM247" s="453"/>
      <c r="AO247" s="453"/>
      <c r="AP247" s="2048"/>
      <c r="BL247" s="2027"/>
      <c r="BM247" s="2027"/>
      <c r="BO247" s="2027"/>
      <c r="BP247" s="2027"/>
      <c r="BQ247" s="2027"/>
      <c r="BR247" s="2027"/>
      <c r="BS247" s="2027"/>
      <c r="BT247" s="2027"/>
      <c r="BU247" s="2027"/>
      <c r="BV247" s="2027"/>
    </row>
    <row r="248" spans="1:74" ht="14.25" customHeight="1" thickBot="1">
      <c r="A248" s="2013"/>
      <c r="B248" s="9760"/>
      <c r="C248" s="9758"/>
      <c r="D248" s="9758"/>
      <c r="E248" s="9758"/>
      <c r="F248" s="9757"/>
      <c r="G248" s="9758"/>
      <c r="H248" s="9758"/>
      <c r="I248" s="9759"/>
      <c r="J248" s="9761" t="str">
        <f>IF(AM248&lt;&gt;"",ROUND(AM248,0),IF(OR(B248="",F248=""),"",F248-B248))</f>
        <v/>
      </c>
      <c r="K248" s="9762"/>
      <c r="L248" s="9762"/>
      <c r="M248" s="9763"/>
      <c r="N248" s="9764"/>
      <c r="O248" s="9765"/>
      <c r="P248" s="9765"/>
      <c r="Q248" s="9765"/>
      <c r="R248" s="9766"/>
      <c r="S248" s="9767"/>
      <c r="T248" s="9768"/>
      <c r="U248" s="9768"/>
      <c r="V248" s="9769"/>
      <c r="W248" s="9757"/>
      <c r="X248" s="9758"/>
      <c r="Y248" s="9758"/>
      <c r="Z248" s="9759"/>
      <c r="AA248" s="9761" t="str">
        <f>IF(AO248&lt;&gt;"",ROUND(AO248,0),IF(OR(S248="",W248=""),"",W248-S248))</f>
        <v/>
      </c>
      <c r="AB248" s="9762"/>
      <c r="AC248" s="9762"/>
      <c r="AD248" s="9763"/>
      <c r="AE248" s="9764"/>
      <c r="AF248" s="9765"/>
      <c r="AG248" s="9765"/>
      <c r="AH248" s="9765"/>
      <c r="AI248" s="9765"/>
      <c r="AJ248" s="9770"/>
      <c r="AK248" s="2013"/>
      <c r="AM248" s="453"/>
      <c r="AO248" s="453"/>
      <c r="AP248" s="2048"/>
      <c r="BL248" s="2027"/>
      <c r="BM248" s="2027"/>
      <c r="BO248" s="2027"/>
      <c r="BP248" s="2027"/>
      <c r="BQ248" s="2027"/>
      <c r="BR248" s="2027"/>
      <c r="BS248" s="2027"/>
      <c r="BT248" s="2027"/>
      <c r="BU248" s="2027"/>
      <c r="BV248" s="2027"/>
    </row>
    <row r="249" spans="1:74" ht="14.25" customHeight="1" thickBot="1">
      <c r="A249" s="2013"/>
      <c r="B249" s="9760"/>
      <c r="C249" s="9758"/>
      <c r="D249" s="9758"/>
      <c r="E249" s="9758"/>
      <c r="F249" s="9757"/>
      <c r="G249" s="9758"/>
      <c r="H249" s="9758"/>
      <c r="I249" s="9759"/>
      <c r="J249" s="9761" t="str">
        <f>IF(AM249&lt;&gt;"",ROUND(AM249,0),IF(OR(B249="",F249=""),"",F249-B249))</f>
        <v/>
      </c>
      <c r="K249" s="9762"/>
      <c r="L249" s="9762"/>
      <c r="M249" s="9763"/>
      <c r="N249" s="9764"/>
      <c r="O249" s="9765"/>
      <c r="P249" s="9765"/>
      <c r="Q249" s="9765"/>
      <c r="R249" s="9766"/>
      <c r="S249" s="9767"/>
      <c r="T249" s="9768"/>
      <c r="U249" s="9768"/>
      <c r="V249" s="9769"/>
      <c r="W249" s="9757"/>
      <c r="X249" s="9758"/>
      <c r="Y249" s="9758"/>
      <c r="Z249" s="9759"/>
      <c r="AA249" s="9761" t="str">
        <f>IF(AO249&lt;&gt;"",ROUND(AO249,0),IF(OR(S249="",W249=""),"",W249-S249))</f>
        <v/>
      </c>
      <c r="AB249" s="9762"/>
      <c r="AC249" s="9762"/>
      <c r="AD249" s="9763"/>
      <c r="AE249" s="9764"/>
      <c r="AF249" s="9765"/>
      <c r="AG249" s="9765"/>
      <c r="AH249" s="9765"/>
      <c r="AI249" s="9765"/>
      <c r="AJ249" s="9770"/>
      <c r="AK249" s="2013"/>
      <c r="AM249" s="453"/>
      <c r="AO249" s="453"/>
      <c r="AP249" s="2048"/>
      <c r="BL249" s="2027"/>
      <c r="BM249" s="2027"/>
      <c r="BO249" s="2027"/>
      <c r="BP249" s="2027"/>
      <c r="BQ249" s="2027"/>
      <c r="BR249" s="2027"/>
      <c r="BS249" s="2027"/>
      <c r="BT249" s="2027"/>
      <c r="BU249" s="2027"/>
      <c r="BV249" s="2027"/>
    </row>
    <row r="250" spans="1:74" ht="14.25" customHeight="1">
      <c r="A250" s="2013"/>
      <c r="B250" s="253"/>
      <c r="C250" s="734" t="s">
        <v>3301</v>
      </c>
      <c r="D250" s="511" t="s">
        <v>3302</v>
      </c>
      <c r="E250" s="253"/>
      <c r="F250" s="253"/>
      <c r="G250" s="253"/>
      <c r="H250" s="253"/>
      <c r="I250" s="253"/>
      <c r="J250" s="253"/>
      <c r="K250" s="253"/>
      <c r="L250" s="253"/>
      <c r="M250" s="253"/>
      <c r="N250" s="253"/>
      <c r="O250" s="253"/>
      <c r="P250" s="253"/>
      <c r="Q250" s="253"/>
      <c r="R250" s="253"/>
      <c r="S250" s="253"/>
      <c r="T250" s="253"/>
      <c r="U250" s="253"/>
      <c r="V250" s="253"/>
      <c r="W250" s="253"/>
      <c r="X250" s="253"/>
      <c r="Y250" s="253"/>
      <c r="Z250" s="253"/>
      <c r="AA250" s="9752"/>
      <c r="AB250" s="9752"/>
      <c r="AC250" s="9752"/>
      <c r="AD250" s="9752"/>
      <c r="AE250" s="9752"/>
      <c r="AF250" s="9752"/>
      <c r="AG250" s="9752"/>
      <c r="AH250" s="9752"/>
      <c r="AI250" s="9752"/>
      <c r="AJ250" s="9752"/>
      <c r="AK250" s="2013"/>
      <c r="AO250" s="2042"/>
      <c r="AP250" s="2048"/>
      <c r="BL250" s="2027"/>
      <c r="BM250" s="2027"/>
      <c r="BO250" s="2027"/>
      <c r="BP250" s="2027"/>
      <c r="BQ250" s="2027"/>
      <c r="BR250" s="2027"/>
      <c r="BS250" s="2027"/>
      <c r="BT250" s="2027"/>
      <c r="BU250" s="2027"/>
      <c r="BV250" s="2027"/>
    </row>
    <row r="251" spans="1:74" ht="14.25" customHeight="1">
      <c r="A251" s="2013"/>
      <c r="B251" s="253"/>
      <c r="C251" s="253"/>
      <c r="D251" s="9805"/>
      <c r="E251" s="9806"/>
      <c r="F251" s="9806"/>
      <c r="G251" s="9806"/>
      <c r="H251" s="9806"/>
      <c r="I251" s="9806"/>
      <c r="J251" s="9806"/>
      <c r="K251" s="9806"/>
      <c r="L251" s="9806"/>
      <c r="M251" s="9806"/>
      <c r="N251" s="9806"/>
      <c r="O251" s="9806"/>
      <c r="P251" s="9806"/>
      <c r="Q251" s="9806"/>
      <c r="R251" s="9806"/>
      <c r="S251" s="9806"/>
      <c r="T251" s="9806"/>
      <c r="U251" s="9806"/>
      <c r="V251" s="9806"/>
      <c r="W251" s="9806"/>
      <c r="X251" s="9806"/>
      <c r="Y251" s="9806"/>
      <c r="Z251" s="9806"/>
      <c r="AA251" s="9806"/>
      <c r="AB251" s="9806"/>
      <c r="AC251" s="9806"/>
      <c r="AD251" s="9806"/>
      <c r="AE251" s="9806"/>
      <c r="AF251" s="9806"/>
      <c r="AG251" s="9806"/>
      <c r="AH251" s="9806"/>
      <c r="AI251" s="9806"/>
      <c r="AJ251" s="9806"/>
      <c r="AK251" s="2013"/>
      <c r="AO251" s="2042"/>
      <c r="AP251" s="2048"/>
      <c r="BL251" s="2027"/>
      <c r="BM251" s="2027"/>
      <c r="BO251" s="2027"/>
      <c r="BP251" s="2027"/>
      <c r="BQ251" s="2027"/>
      <c r="BR251" s="2027"/>
      <c r="BS251" s="2027"/>
      <c r="BT251" s="2027"/>
      <c r="BU251" s="2027"/>
      <c r="BV251" s="2027"/>
    </row>
    <row r="252" spans="1:74" ht="14.25" customHeight="1">
      <c r="A252" s="2013"/>
      <c r="B252" s="253"/>
      <c r="C252" s="734" t="s">
        <v>2084</v>
      </c>
      <c r="D252" s="511" t="s">
        <v>3303</v>
      </c>
      <c r="E252" s="253"/>
      <c r="F252" s="253"/>
      <c r="G252" s="253"/>
      <c r="H252" s="253"/>
      <c r="I252" s="253"/>
      <c r="J252" s="253"/>
      <c r="K252" s="253"/>
      <c r="L252" s="253"/>
      <c r="M252" s="253"/>
      <c r="N252" s="253"/>
      <c r="O252" s="253"/>
      <c r="P252" s="253"/>
      <c r="Q252" s="253"/>
      <c r="R252" s="253"/>
      <c r="S252" s="253"/>
      <c r="T252" s="253"/>
      <c r="U252" s="9843"/>
      <c r="V252" s="9843"/>
      <c r="W252" s="9843"/>
      <c r="X252" s="9843"/>
      <c r="Y252" s="9843"/>
      <c r="Z252" s="9843"/>
      <c r="AA252" s="9843"/>
      <c r="AB252" s="9843"/>
      <c r="AC252" s="9843"/>
      <c r="AD252" s="9843"/>
      <c r="AE252" s="9843"/>
      <c r="AF252" s="9843"/>
      <c r="AG252" s="9843"/>
      <c r="AH252" s="9843"/>
      <c r="AI252" s="9843"/>
      <c r="AJ252" s="9843"/>
      <c r="AK252" s="2013"/>
      <c r="AO252" s="2042"/>
      <c r="AP252" s="2048"/>
      <c r="BL252" s="2027"/>
      <c r="BM252" s="2027"/>
      <c r="BO252" s="2027"/>
      <c r="BP252" s="2027"/>
      <c r="BQ252" s="2027"/>
      <c r="BR252" s="2027"/>
      <c r="BS252" s="2027"/>
      <c r="BT252" s="2027"/>
      <c r="BU252" s="2027"/>
      <c r="BV252" s="2027"/>
    </row>
    <row r="253" spans="1:74" ht="5.25" customHeight="1" thickBot="1">
      <c r="A253" s="2013"/>
      <c r="B253" s="253"/>
      <c r="C253" s="253"/>
      <c r="D253" s="253"/>
      <c r="E253" s="253"/>
      <c r="F253" s="253"/>
      <c r="G253" s="253"/>
      <c r="H253" s="253"/>
      <c r="I253" s="253"/>
      <c r="J253" s="253"/>
      <c r="K253" s="253"/>
      <c r="L253" s="253"/>
      <c r="M253" s="253"/>
      <c r="N253" s="253"/>
      <c r="O253" s="253"/>
      <c r="P253" s="253"/>
      <c r="Q253" s="253"/>
      <c r="R253" s="253"/>
      <c r="S253" s="253"/>
      <c r="T253" s="253"/>
      <c r="U253" s="253"/>
      <c r="V253" s="253"/>
      <c r="W253" s="253"/>
      <c r="X253" s="253"/>
      <c r="Y253" s="253"/>
      <c r="Z253" s="253"/>
      <c r="AA253" s="253"/>
      <c r="AB253" s="253"/>
      <c r="AC253" s="253"/>
      <c r="AD253" s="253"/>
      <c r="AE253" s="253"/>
      <c r="AF253" s="253"/>
      <c r="AG253" s="253"/>
      <c r="AH253" s="253"/>
      <c r="AI253" s="253"/>
      <c r="AJ253" s="253"/>
      <c r="AK253" s="2013"/>
      <c r="BL253" s="2027"/>
      <c r="BM253" s="2027"/>
      <c r="BO253" s="2027"/>
      <c r="BP253" s="2027"/>
      <c r="BQ253" s="2027"/>
      <c r="BR253" s="2027"/>
      <c r="BS253" s="2027"/>
      <c r="BT253" s="2027"/>
      <c r="BU253" s="2027"/>
      <c r="BV253" s="2027"/>
    </row>
    <row r="254" spans="1:74" ht="13.5" customHeight="1" thickBot="1">
      <c r="A254" s="2013"/>
      <c r="B254" s="253"/>
      <c r="C254" s="734" t="s">
        <v>2086</v>
      </c>
      <c r="D254" s="511" t="s">
        <v>3304</v>
      </c>
      <c r="E254" s="253"/>
      <c r="F254" s="253"/>
      <c r="G254" s="253"/>
      <c r="H254" s="253"/>
      <c r="I254" s="253"/>
      <c r="J254" s="253"/>
      <c r="K254" s="253"/>
      <c r="L254" s="253"/>
      <c r="M254" s="253"/>
      <c r="N254" s="253"/>
      <c r="O254" s="253"/>
      <c r="P254" s="253"/>
      <c r="Q254" s="253"/>
      <c r="R254" s="253"/>
      <c r="S254" s="253"/>
      <c r="T254" s="253"/>
      <c r="U254" s="253"/>
      <c r="V254" s="253"/>
      <c r="W254" s="253"/>
      <c r="X254" s="253"/>
      <c r="Y254" s="253"/>
      <c r="Z254" s="253"/>
      <c r="AA254" s="253"/>
      <c r="AB254" s="253"/>
      <c r="AC254" s="253"/>
      <c r="AD254" s="2031" t="s">
        <v>2390</v>
      </c>
      <c r="AE254" s="277"/>
      <c r="AF254" s="344" t="s">
        <v>568</v>
      </c>
      <c r="AG254" s="253"/>
      <c r="AH254" s="277"/>
      <c r="AI254" s="344" t="s">
        <v>569</v>
      </c>
      <c r="AJ254" s="253"/>
      <c r="AK254" s="2013"/>
      <c r="AO254" s="2042"/>
      <c r="AP254" s="2048"/>
      <c r="BL254" s="2027"/>
      <c r="BM254" s="2027"/>
      <c r="BO254" s="2027"/>
      <c r="BP254" s="2027"/>
      <c r="BQ254" s="2027"/>
      <c r="BR254" s="2027"/>
      <c r="BS254" s="2027"/>
      <c r="BT254" s="2027"/>
      <c r="BU254" s="2027"/>
      <c r="BV254" s="2027"/>
    </row>
    <row r="255" spans="1:74" ht="3.75" customHeight="1" thickBot="1">
      <c r="A255" s="2013"/>
      <c r="B255" s="253"/>
      <c r="C255" s="734"/>
      <c r="D255" s="253"/>
      <c r="E255" s="253"/>
      <c r="F255" s="253"/>
      <c r="G255" s="253"/>
      <c r="H255" s="253"/>
      <c r="I255" s="253"/>
      <c r="J255" s="253"/>
      <c r="K255" s="253"/>
      <c r="L255" s="253"/>
      <c r="M255" s="253"/>
      <c r="N255" s="253"/>
      <c r="O255" s="253"/>
      <c r="P255" s="253"/>
      <c r="Q255" s="253"/>
      <c r="R255" s="253"/>
      <c r="S255" s="253"/>
      <c r="T255" s="253"/>
      <c r="U255" s="253"/>
      <c r="V255" s="253"/>
      <c r="W255" s="253"/>
      <c r="X255" s="253"/>
      <c r="Y255" s="253"/>
      <c r="Z255" s="253"/>
      <c r="AA255" s="253"/>
      <c r="AB255" s="253"/>
      <c r="AC255" s="253"/>
      <c r="AD255" s="253"/>
      <c r="AE255" s="435"/>
      <c r="AF255" s="344"/>
      <c r="AG255" s="253"/>
      <c r="AH255" s="435"/>
      <c r="AI255" s="344"/>
      <c r="AJ255" s="253"/>
      <c r="AK255" s="2013"/>
      <c r="AO255" s="2042"/>
      <c r="AP255" s="2048"/>
      <c r="BL255" s="2027"/>
      <c r="BM255" s="2027"/>
      <c r="BO255" s="2027"/>
      <c r="BP255" s="2027"/>
      <c r="BQ255" s="2027"/>
      <c r="BR255" s="2027"/>
      <c r="BS255" s="2027"/>
      <c r="BT255" s="2027"/>
      <c r="BU255" s="2027"/>
      <c r="BV255" s="2027"/>
    </row>
    <row r="256" spans="1:74" ht="13.5" customHeight="1" thickBot="1">
      <c r="A256" s="2013"/>
      <c r="B256" s="253"/>
      <c r="C256" s="734" t="s">
        <v>599</v>
      </c>
      <c r="D256" s="511" t="s">
        <v>3305</v>
      </c>
      <c r="E256" s="253"/>
      <c r="F256" s="253"/>
      <c r="G256" s="253"/>
      <c r="H256" s="253"/>
      <c r="I256" s="253"/>
      <c r="J256" s="253"/>
      <c r="K256" s="253"/>
      <c r="L256" s="253"/>
      <c r="M256" s="253"/>
      <c r="N256" s="253"/>
      <c r="O256" s="253"/>
      <c r="P256" s="253"/>
      <c r="Q256" s="253"/>
      <c r="R256" s="253"/>
      <c r="S256" s="253"/>
      <c r="T256" s="253"/>
      <c r="U256" s="253"/>
      <c r="V256" s="253"/>
      <c r="W256" s="253"/>
      <c r="X256" s="253"/>
      <c r="Y256" s="253"/>
      <c r="Z256" s="253"/>
      <c r="AA256" s="253"/>
      <c r="AB256" s="253"/>
      <c r="AC256" s="253"/>
      <c r="AD256" s="2031" t="s">
        <v>2186</v>
      </c>
      <c r="AE256" s="277"/>
      <c r="AF256" s="344" t="s">
        <v>568</v>
      </c>
      <c r="AG256" s="253"/>
      <c r="AH256" s="277"/>
      <c r="AI256" s="344" t="s">
        <v>569</v>
      </c>
      <c r="AJ256" s="253"/>
      <c r="AK256" s="2013"/>
      <c r="AO256" s="2027"/>
      <c r="AP256" s="2027"/>
      <c r="BL256" s="2027"/>
      <c r="BM256" s="2027"/>
      <c r="BO256" s="2027"/>
      <c r="BP256" s="2027"/>
      <c r="BQ256" s="2027"/>
      <c r="BR256" s="2027"/>
      <c r="BS256" s="2027"/>
      <c r="BT256" s="2027"/>
      <c r="BU256" s="2027"/>
      <c r="BV256" s="2027"/>
    </row>
    <row r="257" spans="1:74" ht="14.25" customHeight="1">
      <c r="A257" s="2013"/>
      <c r="B257" s="253"/>
      <c r="C257" s="734" t="s">
        <v>603</v>
      </c>
      <c r="D257" s="511" t="s">
        <v>3306</v>
      </c>
      <c r="E257" s="253"/>
      <c r="F257" s="253"/>
      <c r="G257" s="253"/>
      <c r="H257" s="253"/>
      <c r="I257" s="253"/>
      <c r="J257" s="253"/>
      <c r="K257" s="253"/>
      <c r="L257" s="253"/>
      <c r="M257" s="253"/>
      <c r="N257" s="253"/>
      <c r="O257" s="253"/>
      <c r="P257" s="253"/>
      <c r="Q257" s="253"/>
      <c r="R257" s="253"/>
      <c r="S257" s="253"/>
      <c r="T257" s="253"/>
      <c r="U257" s="253"/>
      <c r="V257" s="253"/>
      <c r="W257" s="253"/>
      <c r="X257" s="253"/>
      <c r="Y257" s="253"/>
      <c r="Z257" s="253"/>
      <c r="AA257" s="253"/>
      <c r="AB257" s="253"/>
      <c r="AC257" s="253"/>
      <c r="AD257" s="253"/>
      <c r="AE257" s="253"/>
      <c r="AF257" s="253"/>
      <c r="AG257" s="253"/>
      <c r="AH257" s="253"/>
      <c r="AI257" s="253"/>
      <c r="AJ257" s="253"/>
      <c r="AK257" s="2013"/>
      <c r="AO257" s="2027"/>
      <c r="AP257" s="2027"/>
      <c r="BL257" s="2027"/>
      <c r="BM257" s="2027"/>
      <c r="BO257" s="2027"/>
      <c r="BP257" s="2027"/>
      <c r="BQ257" s="2027"/>
      <c r="BR257" s="2027"/>
      <c r="BS257" s="2027"/>
      <c r="BT257" s="2027"/>
      <c r="BU257" s="2027"/>
      <c r="BV257" s="2027"/>
    </row>
    <row r="258" spans="1:74" ht="14.25" customHeight="1">
      <c r="A258" s="2013"/>
      <c r="B258" s="253"/>
      <c r="C258" s="734"/>
      <c r="D258" s="511" t="s">
        <v>3182</v>
      </c>
      <c r="E258" s="253"/>
      <c r="F258" s="253"/>
      <c r="G258" s="9845"/>
      <c r="H258" s="9846"/>
      <c r="I258" s="9846"/>
      <c r="J258" s="9846"/>
      <c r="K258" s="9846"/>
      <c r="L258" s="9846"/>
      <c r="M258" s="9846"/>
      <c r="N258" s="9846"/>
      <c r="O258" s="9846"/>
      <c r="P258" s="9846"/>
      <c r="Q258" s="9846"/>
      <c r="R258" s="9846"/>
      <c r="S258" s="9846"/>
      <c r="T258" s="9846"/>
      <c r="U258" s="9846"/>
      <c r="V258" s="9846"/>
      <c r="W258" s="9846"/>
      <c r="X258" s="9846"/>
      <c r="Y258" s="9846"/>
      <c r="Z258" s="9846"/>
      <c r="AA258" s="9846"/>
      <c r="AB258" s="9846"/>
      <c r="AC258" s="9846"/>
      <c r="AD258" s="9846"/>
      <c r="AE258" s="9846"/>
      <c r="AF258" s="9846"/>
      <c r="AG258" s="9846"/>
      <c r="AH258" s="9846"/>
      <c r="AI258" s="9846"/>
      <c r="AJ258" s="9846"/>
      <c r="AK258" s="2013"/>
      <c r="AO258" s="2049"/>
      <c r="AP258" s="2049"/>
      <c r="BL258" s="2027"/>
      <c r="BM258" s="2027"/>
      <c r="BO258" s="2027"/>
      <c r="BP258" s="2027"/>
      <c r="BQ258" s="2027"/>
      <c r="BR258" s="2027"/>
      <c r="BS258" s="2027"/>
      <c r="BT258" s="2027"/>
      <c r="BU258" s="2027"/>
      <c r="BV258" s="2027"/>
    </row>
    <row r="259" spans="1:74" ht="15">
      <c r="A259" s="2013"/>
      <c r="B259" s="253"/>
      <c r="C259" s="253"/>
      <c r="D259" s="9845"/>
      <c r="E259" s="9846"/>
      <c r="F259" s="9846"/>
      <c r="G259" s="9846"/>
      <c r="H259" s="9846"/>
      <c r="I259" s="9846"/>
      <c r="J259" s="9846"/>
      <c r="K259" s="9846"/>
      <c r="L259" s="9846"/>
      <c r="M259" s="9846"/>
      <c r="N259" s="9846"/>
      <c r="O259" s="9846"/>
      <c r="P259" s="9846"/>
      <c r="Q259" s="9846"/>
      <c r="R259" s="9846"/>
      <c r="S259" s="9846"/>
      <c r="T259" s="9846"/>
      <c r="U259" s="9846"/>
      <c r="V259" s="9846"/>
      <c r="W259" s="9846"/>
      <c r="X259" s="9846"/>
      <c r="Y259" s="9846"/>
      <c r="Z259" s="9846"/>
      <c r="AA259" s="9846"/>
      <c r="AB259" s="9846"/>
      <c r="AC259" s="9846"/>
      <c r="AD259" s="9846"/>
      <c r="AE259" s="9846"/>
      <c r="AF259" s="9846"/>
      <c r="AG259" s="9846"/>
      <c r="AH259" s="9846"/>
      <c r="AI259" s="9846"/>
      <c r="AJ259" s="9846"/>
      <c r="AK259" s="2013"/>
      <c r="AM259" s="433"/>
      <c r="AN259" s="433"/>
      <c r="AO259" s="2050"/>
      <c r="AP259" s="2051"/>
      <c r="BL259" s="2027"/>
      <c r="BM259" s="2027"/>
      <c r="BO259" s="2027"/>
      <c r="BP259" s="2027"/>
      <c r="BQ259" s="2027"/>
      <c r="BR259" s="2027"/>
      <c r="BS259" s="2027"/>
      <c r="BT259" s="2027"/>
      <c r="BU259" s="2027"/>
      <c r="BV259" s="2027"/>
    </row>
    <row r="260" spans="1:74" ht="18.75" customHeight="1">
      <c r="A260" s="2013"/>
      <c r="B260" s="226" t="s">
        <v>3307</v>
      </c>
      <c r="C260" s="1560"/>
      <c r="D260" s="1560"/>
      <c r="E260" s="1560"/>
      <c r="F260" s="1560"/>
      <c r="G260" s="1560"/>
      <c r="H260" s="1560"/>
      <c r="I260" s="1560"/>
      <c r="J260" s="1560"/>
      <c r="K260" s="1560"/>
      <c r="L260" s="1560"/>
      <c r="M260" s="1560"/>
      <c r="N260" s="1560"/>
      <c r="O260" s="1560"/>
      <c r="P260" s="1560"/>
      <c r="Q260" s="88"/>
      <c r="R260" s="88"/>
      <c r="S260" s="88"/>
      <c r="T260" s="88"/>
      <c r="U260" s="229"/>
      <c r="V260" s="88"/>
      <c r="W260" s="229" t="s">
        <v>3308</v>
      </c>
      <c r="X260" s="88"/>
      <c r="Y260" s="88"/>
      <c r="Z260" s="88"/>
      <c r="AA260" s="88"/>
      <c r="AB260" s="88"/>
      <c r="AC260" s="88"/>
      <c r="AD260" s="88"/>
      <c r="AE260" s="88"/>
      <c r="AF260" s="88"/>
      <c r="AG260" s="88"/>
      <c r="AH260" s="2052" t="s">
        <v>3309</v>
      </c>
      <c r="AI260" s="88"/>
      <c r="AJ260" s="2052" t="str">
        <f>"("&amp;TaxYear&amp;")"</f>
        <v>(2025)</v>
      </c>
      <c r="AK260" s="2013"/>
      <c r="AM260" s="433"/>
      <c r="AN260" s="433"/>
      <c r="AO260" s="2050"/>
      <c r="AP260" s="2051"/>
      <c r="BL260" s="2027"/>
      <c r="BM260" s="2027"/>
      <c r="BO260" s="2027"/>
      <c r="BP260" s="2027"/>
      <c r="BQ260" s="2027"/>
      <c r="BR260" s="2027"/>
      <c r="BS260" s="2027"/>
      <c r="BT260" s="2027"/>
      <c r="BU260" s="2027"/>
      <c r="BV260" s="2027"/>
    </row>
    <row r="261" spans="1:74" ht="18.75" thickBot="1">
      <c r="A261" s="2013"/>
      <c r="B261" s="721" t="str">
        <f>"Form 2555 ("&amp;TaxYear&amp;")"</f>
        <v>Form 2555 (2025)</v>
      </c>
      <c r="C261" s="721"/>
      <c r="D261" s="721"/>
      <c r="E261" s="721"/>
      <c r="F261" s="721"/>
      <c r="G261" s="721"/>
      <c r="H261" s="721"/>
      <c r="I261" s="721"/>
      <c r="J261" s="721"/>
      <c r="K261" s="721"/>
      <c r="L261" s="721"/>
      <c r="M261" s="721"/>
      <c r="N261" s="721"/>
      <c r="O261" s="721"/>
      <c r="P261" s="721"/>
      <c r="Q261" s="721"/>
      <c r="R261" s="721"/>
      <c r="S261" s="721"/>
      <c r="T261" s="721"/>
      <c r="U261" s="721"/>
      <c r="V261" s="721"/>
      <c r="W261" s="721"/>
      <c r="X261" s="721"/>
      <c r="Y261" s="721"/>
      <c r="Z261" s="721"/>
      <c r="AA261" s="721"/>
      <c r="AB261" s="721"/>
      <c r="AC261" s="721"/>
      <c r="AD261" s="721"/>
      <c r="AE261" s="721"/>
      <c r="AF261" s="721"/>
      <c r="AG261" s="721"/>
      <c r="AH261" s="721"/>
      <c r="AI261" s="2053" t="s">
        <v>2079</v>
      </c>
      <c r="AJ261" s="2054">
        <v>2</v>
      </c>
      <c r="AK261" s="2013"/>
      <c r="AO261" s="2050"/>
      <c r="AP261" s="2051"/>
      <c r="BL261" s="2027"/>
      <c r="BM261" s="2027"/>
      <c r="BO261" s="2027"/>
      <c r="BP261" s="2027"/>
      <c r="BQ261" s="2027"/>
      <c r="BR261" s="2027"/>
      <c r="BS261" s="2027"/>
      <c r="BT261" s="2027"/>
      <c r="BU261" s="2027"/>
      <c r="BV261" s="2027"/>
    </row>
    <row r="262" spans="1:74" ht="5.25" customHeight="1" thickTop="1">
      <c r="A262" s="2013"/>
      <c r="B262" s="2036"/>
      <c r="C262" s="2036"/>
      <c r="D262" s="2036"/>
      <c r="E262" s="2036"/>
      <c r="F262" s="2036"/>
      <c r="G262" s="2036"/>
      <c r="H262" s="2036"/>
      <c r="I262" s="2036"/>
      <c r="J262" s="2036"/>
      <c r="K262" s="2036"/>
      <c r="L262" s="2036"/>
      <c r="M262" s="2036"/>
      <c r="N262" s="2036"/>
      <c r="O262" s="2036"/>
      <c r="P262" s="2036"/>
      <c r="Q262" s="2036"/>
      <c r="R262" s="2036"/>
      <c r="S262" s="2036"/>
      <c r="T262" s="2036"/>
      <c r="U262" s="2036"/>
      <c r="V262" s="2036"/>
      <c r="W262" s="2036"/>
      <c r="X262" s="2036"/>
      <c r="Y262" s="2036"/>
      <c r="Z262" s="2036"/>
      <c r="AA262" s="2036"/>
      <c r="AB262" s="2036"/>
      <c r="AC262" s="2036"/>
      <c r="AD262" s="2036"/>
      <c r="AE262" s="2036"/>
      <c r="AF262" s="2036"/>
      <c r="AG262" s="2036"/>
      <c r="AH262" s="2036"/>
      <c r="AI262" s="2036"/>
      <c r="AJ262" s="2036"/>
      <c r="AK262" s="2013"/>
    </row>
    <row r="263" spans="1:74" ht="15" customHeight="1">
      <c r="A263" s="2013"/>
      <c r="B263" s="7934" t="s">
        <v>1938</v>
      </c>
      <c r="C263" s="9756"/>
      <c r="D263" s="2055" t="s">
        <v>3310</v>
      </c>
      <c r="E263" s="1990"/>
      <c r="F263" s="1990"/>
      <c r="G263" s="1990"/>
      <c r="H263" s="1990"/>
      <c r="I263" s="1990"/>
      <c r="J263" s="1990"/>
      <c r="K263" s="1990"/>
      <c r="L263" s="1990"/>
      <c r="M263" s="1990"/>
      <c r="N263" s="1990"/>
      <c r="O263" s="1990"/>
      <c r="P263" s="1990"/>
      <c r="Q263" s="1990"/>
      <c r="R263" s="1990"/>
      <c r="S263" s="1990"/>
      <c r="T263" s="1990"/>
      <c r="U263" s="1990"/>
      <c r="V263" s="1990"/>
      <c r="W263" s="1990"/>
      <c r="X263" s="1990"/>
      <c r="Y263" s="1990"/>
      <c r="Z263" s="1990"/>
      <c r="AA263" s="1990"/>
      <c r="AB263" s="1990"/>
      <c r="AC263" s="1990"/>
      <c r="AD263" s="1990"/>
      <c r="AE263" s="1990"/>
      <c r="AF263" s="1990"/>
      <c r="AG263" s="1990"/>
      <c r="AH263" s="1990"/>
      <c r="AI263" s="1990"/>
      <c r="AJ263" s="1990"/>
      <c r="AK263" s="2013"/>
    </row>
    <row r="264" spans="1:74" ht="18.75" customHeight="1">
      <c r="A264" s="2013"/>
      <c r="B264" s="1999"/>
      <c r="C264" s="1999"/>
      <c r="D264" s="2056" t="s">
        <v>3311</v>
      </c>
      <c r="E264" s="1999"/>
      <c r="F264" s="1999"/>
      <c r="G264" s="1999"/>
      <c r="H264" s="1999"/>
      <c r="I264" s="1999"/>
      <c r="J264" s="1999"/>
      <c r="K264" s="1999"/>
      <c r="L264" s="1999"/>
      <c r="M264" s="1999"/>
      <c r="N264" s="1999"/>
      <c r="O264" s="1999"/>
      <c r="P264" s="1999"/>
      <c r="Q264" s="1999"/>
      <c r="R264" s="1999"/>
      <c r="S264" s="1999"/>
      <c r="T264" s="1999"/>
      <c r="U264" s="1999"/>
      <c r="V264" s="1999"/>
      <c r="W264" s="1999"/>
      <c r="X264" s="1999"/>
      <c r="Y264" s="1999"/>
      <c r="Z264" s="1999"/>
      <c r="AA264" s="1999"/>
      <c r="AB264" s="1999"/>
      <c r="AC264" s="1999"/>
      <c r="AD264" s="1999"/>
      <c r="AE264" s="1999"/>
      <c r="AF264" s="1999"/>
      <c r="AG264" s="1999"/>
      <c r="AH264" s="1999"/>
      <c r="AI264" s="1999"/>
      <c r="AJ264" s="1999"/>
      <c r="AK264" s="2013"/>
    </row>
    <row r="265" spans="1:74" ht="12.75" customHeight="1">
      <c r="A265" s="2013"/>
      <c r="B265" s="9753" t="s">
        <v>260</v>
      </c>
      <c r="C265" s="9753"/>
      <c r="D265" s="511" t="s">
        <v>3312</v>
      </c>
      <c r="E265" s="253"/>
      <c r="F265" s="253"/>
      <c r="G265" s="253"/>
      <c r="H265" s="253"/>
      <c r="I265" s="253"/>
      <c r="J265" s="253"/>
      <c r="K265" s="253"/>
      <c r="L265" s="253"/>
      <c r="M265" s="253"/>
      <c r="N265" s="253"/>
      <c r="O265" s="253"/>
      <c r="P265" s="253"/>
      <c r="Q265" s="253"/>
      <c r="R265" s="253"/>
      <c r="S265" s="253"/>
      <c r="T265" s="253"/>
      <c r="U265" s="9793"/>
      <c r="V265" s="9793"/>
      <c r="W265" s="9793"/>
      <c r="X265" s="9793"/>
      <c r="Y265" s="9793"/>
      <c r="Z265" s="9793"/>
      <c r="AA265" s="253"/>
      <c r="AB265" s="416" t="s">
        <v>3313</v>
      </c>
      <c r="AC265" s="253"/>
      <c r="AD265" s="9793"/>
      <c r="AE265" s="9794"/>
      <c r="AF265" s="9794"/>
      <c r="AG265" s="9794"/>
      <c r="AH265" s="9795"/>
      <c r="AI265" s="9795"/>
      <c r="AJ265" s="9795"/>
      <c r="AK265" s="2013"/>
      <c r="AO265" s="2050"/>
      <c r="AP265" s="2051"/>
      <c r="BL265" s="2027"/>
      <c r="BM265" s="2027"/>
      <c r="BO265" s="2027"/>
      <c r="BP265" s="2027"/>
      <c r="BQ265" s="2027"/>
      <c r="BR265" s="2027"/>
      <c r="BS265" s="2027"/>
      <c r="BT265" s="2027"/>
      <c r="BU265" s="2027"/>
      <c r="BV265" s="2027"/>
    </row>
    <row r="266" spans="1:74" ht="15" customHeight="1">
      <c r="A266" s="2013"/>
      <c r="B266" s="9754" t="s">
        <v>262</v>
      </c>
      <c r="C266" s="9754"/>
      <c r="D266" s="511" t="s">
        <v>3314</v>
      </c>
      <c r="E266" s="253"/>
      <c r="F266" s="253"/>
      <c r="G266" s="253"/>
      <c r="H266" s="253"/>
      <c r="I266" s="253"/>
      <c r="J266" s="253"/>
      <c r="K266" s="253"/>
      <c r="L266" s="253"/>
      <c r="M266" s="253"/>
      <c r="N266" s="253"/>
      <c r="O266" s="253"/>
      <c r="P266" s="253"/>
      <c r="Q266" s="253"/>
      <c r="R266" s="253"/>
      <c r="S266" s="253"/>
      <c r="T266" s="9844"/>
      <c r="U266" s="9844"/>
      <c r="V266" s="9844"/>
      <c r="W266" s="9844"/>
      <c r="X266" s="9844"/>
      <c r="Y266" s="9844"/>
      <c r="Z266" s="9844"/>
      <c r="AA266" s="9844"/>
      <c r="AB266" s="9844"/>
      <c r="AC266" s="9844"/>
      <c r="AD266" s="9844"/>
      <c r="AE266" s="9844"/>
      <c r="AF266" s="9844"/>
      <c r="AG266" s="9844"/>
      <c r="AH266" s="9844"/>
      <c r="AI266" s="9844"/>
      <c r="AJ266" s="9844"/>
      <c r="AK266" s="2013"/>
      <c r="AM266" s="433"/>
      <c r="AN266" s="433"/>
      <c r="AO266" s="2050"/>
      <c r="AP266" s="2051"/>
      <c r="BL266" s="2027"/>
      <c r="BM266" s="2027"/>
      <c r="BO266" s="2027"/>
      <c r="BP266" s="2027"/>
      <c r="BQ266" s="2027"/>
      <c r="BR266" s="2027"/>
      <c r="BS266" s="2027"/>
      <c r="BT266" s="2027"/>
      <c r="BU266" s="2027"/>
      <c r="BV266" s="2027"/>
    </row>
    <row r="267" spans="1:74" ht="18" customHeight="1">
      <c r="A267" s="2013"/>
      <c r="B267" s="9754" t="s">
        <v>264</v>
      </c>
      <c r="C267" s="9754"/>
      <c r="D267" s="511" t="s">
        <v>3315</v>
      </c>
      <c r="E267" s="253"/>
      <c r="F267" s="253"/>
      <c r="G267" s="253"/>
      <c r="H267" s="253"/>
      <c r="I267" s="253"/>
      <c r="J267" s="253"/>
      <c r="K267" s="253"/>
      <c r="L267" s="253"/>
      <c r="M267" s="253"/>
      <c r="N267" s="253"/>
      <c r="O267" s="253"/>
      <c r="P267" s="253"/>
      <c r="Q267" s="253"/>
      <c r="R267" s="253"/>
      <c r="S267" s="253"/>
      <c r="T267" s="253"/>
      <c r="U267" s="253"/>
      <c r="V267" s="253"/>
      <c r="W267" s="253"/>
      <c r="X267" s="253"/>
      <c r="Y267" s="253"/>
      <c r="Z267" s="253"/>
      <c r="AA267" s="253"/>
      <c r="AB267" s="253"/>
      <c r="AC267" s="253"/>
      <c r="AD267" s="253"/>
      <c r="AE267" s="253"/>
      <c r="AF267" s="253"/>
      <c r="AG267" s="253"/>
      <c r="AH267" s="253"/>
      <c r="AI267" s="253"/>
      <c r="AJ267" s="253"/>
      <c r="AK267" s="2013"/>
      <c r="AO267" s="2050"/>
      <c r="AP267" s="2057"/>
      <c r="BL267" s="2027"/>
      <c r="BM267" s="2027"/>
      <c r="BO267" s="2027"/>
      <c r="BP267" s="2027"/>
      <c r="BQ267" s="2027"/>
      <c r="BR267" s="2027"/>
      <c r="BS267" s="2027"/>
      <c r="BT267" s="2027"/>
      <c r="BU267" s="2027"/>
      <c r="BV267" s="2027"/>
    </row>
    <row r="268" spans="1:74" ht="15.75" customHeight="1">
      <c r="A268" s="2013"/>
      <c r="B268" s="253"/>
      <c r="C268" s="253"/>
      <c r="D268" s="511" t="s">
        <v>3316</v>
      </c>
      <c r="E268" s="253"/>
      <c r="F268" s="253"/>
      <c r="G268" s="253"/>
      <c r="H268" s="253"/>
      <c r="I268" s="253"/>
      <c r="J268" s="253"/>
      <c r="K268" s="253"/>
      <c r="L268" s="253"/>
      <c r="M268" s="253"/>
      <c r="N268" s="253"/>
      <c r="O268" s="253"/>
      <c r="P268" s="253"/>
      <c r="Q268" s="253"/>
      <c r="R268" s="253"/>
      <c r="S268" s="253"/>
      <c r="T268" s="253"/>
      <c r="U268" s="253"/>
      <c r="V268" s="253"/>
      <c r="W268" s="253"/>
      <c r="X268" s="253"/>
      <c r="Y268" s="253"/>
      <c r="Z268" s="253"/>
      <c r="AA268" s="253"/>
      <c r="AB268" s="253"/>
      <c r="AC268" s="253"/>
      <c r="AD268" s="253"/>
      <c r="AE268" s="253"/>
      <c r="AF268" s="253"/>
      <c r="AG268" s="253"/>
      <c r="AH268" s="253"/>
      <c r="AI268" s="253"/>
      <c r="AJ268" s="253"/>
      <c r="AK268" s="2013"/>
      <c r="AM268" s="433"/>
      <c r="AN268" s="433"/>
      <c r="AO268" s="2058"/>
      <c r="AP268" s="2059"/>
      <c r="BL268" s="2027"/>
      <c r="BM268" s="2027"/>
      <c r="BO268" s="2027"/>
      <c r="BP268" s="2027"/>
      <c r="BQ268" s="2027"/>
      <c r="BR268" s="2027"/>
      <c r="BS268" s="2027"/>
      <c r="BT268" s="2027"/>
      <c r="BU268" s="2027"/>
      <c r="BV268" s="2027"/>
    </row>
    <row r="269" spans="1:74" ht="14.25">
      <c r="A269" s="2013"/>
      <c r="B269" s="253"/>
      <c r="C269" s="253"/>
      <c r="D269" s="511" t="s">
        <v>3317</v>
      </c>
      <c r="E269" s="253"/>
      <c r="F269" s="253"/>
      <c r="G269" s="253"/>
      <c r="H269" s="253"/>
      <c r="I269" s="253"/>
      <c r="J269" s="253"/>
      <c r="K269" s="253"/>
      <c r="L269" s="253"/>
      <c r="M269" s="253"/>
      <c r="N269" s="253"/>
      <c r="O269" s="253"/>
      <c r="P269" s="253"/>
      <c r="Q269" s="253"/>
      <c r="R269" s="253"/>
      <c r="S269" s="253"/>
      <c r="T269" s="253"/>
      <c r="U269" s="253"/>
      <c r="V269" s="253"/>
      <c r="W269" s="253"/>
      <c r="X269" s="253"/>
      <c r="Y269" s="253"/>
      <c r="Z269" s="253"/>
      <c r="AA269" s="253"/>
      <c r="AB269" s="253"/>
      <c r="AC269" s="253"/>
      <c r="AD269" s="253"/>
      <c r="AE269" s="253"/>
      <c r="AF269" s="253"/>
      <c r="AG269" s="253"/>
      <c r="AH269" s="253"/>
      <c r="AI269" s="253"/>
      <c r="AJ269" s="253"/>
      <c r="AK269" s="2013"/>
      <c r="AM269" s="433"/>
      <c r="AN269" s="433"/>
      <c r="AO269" s="2060"/>
      <c r="AP269" s="2061"/>
      <c r="BL269" s="2027"/>
      <c r="BM269" s="2027"/>
      <c r="BO269" s="2027"/>
      <c r="BP269" s="2027"/>
      <c r="BQ269" s="2027"/>
      <c r="BR269" s="2027"/>
      <c r="BS269" s="2027"/>
      <c r="BT269" s="2027"/>
      <c r="BU269" s="2027"/>
      <c r="BV269" s="2027"/>
    </row>
    <row r="270" spans="1:74" ht="15">
      <c r="A270" s="2013"/>
      <c r="B270" s="253"/>
      <c r="C270" s="253"/>
      <c r="D270" s="511" t="s">
        <v>3318</v>
      </c>
      <c r="E270" s="253"/>
      <c r="F270" s="253"/>
      <c r="G270" s="253"/>
      <c r="H270" s="253"/>
      <c r="I270" s="253"/>
      <c r="J270" s="253"/>
      <c r="K270" s="253"/>
      <c r="L270" s="253"/>
      <c r="M270" s="253"/>
      <c r="N270" s="253"/>
      <c r="O270" s="253"/>
      <c r="P270" s="253"/>
      <c r="Q270" s="253"/>
      <c r="R270" s="253"/>
      <c r="S270" s="253"/>
      <c r="T270" s="253"/>
      <c r="U270" s="253"/>
      <c r="V270" s="253"/>
      <c r="W270" s="253"/>
      <c r="X270" s="253"/>
      <c r="Y270" s="253"/>
      <c r="Z270" s="253"/>
      <c r="AA270" s="253"/>
      <c r="AB270" s="253"/>
      <c r="AC270" s="253"/>
      <c r="AD270" s="253"/>
      <c r="AE270" s="253"/>
      <c r="AF270" s="253"/>
      <c r="AG270" s="253"/>
      <c r="AH270" s="253"/>
      <c r="AI270" s="253"/>
      <c r="AJ270" s="253"/>
      <c r="AK270" s="2013"/>
      <c r="AL270" s="2042"/>
      <c r="AM270" s="2042"/>
      <c r="AN270" s="2042"/>
      <c r="AO270" s="2050"/>
      <c r="AP270" s="2027"/>
      <c r="BL270" s="2027"/>
      <c r="BM270" s="2027"/>
      <c r="BO270" s="2027"/>
      <c r="BP270" s="2027"/>
      <c r="BQ270" s="2027"/>
      <c r="BR270" s="2027"/>
      <c r="BS270" s="2027"/>
      <c r="BT270" s="2027"/>
      <c r="BU270" s="2027"/>
      <c r="BV270" s="2027"/>
    </row>
    <row r="271" spans="1:74" ht="35.25" customHeight="1" thickBot="1">
      <c r="A271" s="2013"/>
      <c r="B271" s="9819" t="s">
        <v>3319</v>
      </c>
      <c r="C271" s="9841"/>
      <c r="D271" s="9841"/>
      <c r="E271" s="9841"/>
      <c r="F271" s="9841"/>
      <c r="G271" s="9841"/>
      <c r="H271" s="9841"/>
      <c r="I271" s="9841"/>
      <c r="J271" s="9841"/>
      <c r="K271" s="9841"/>
      <c r="L271" s="9841"/>
      <c r="M271" s="9842"/>
      <c r="N271" s="9840" t="s">
        <v>3320</v>
      </c>
      <c r="O271" s="9841"/>
      <c r="P271" s="9841"/>
      <c r="Q271" s="9841"/>
      <c r="R271" s="9842"/>
      <c r="S271" s="9840" t="s">
        <v>3321</v>
      </c>
      <c r="T271" s="9841"/>
      <c r="U271" s="9841"/>
      <c r="V271" s="9841"/>
      <c r="W271" s="9842"/>
      <c r="X271" s="9840" t="s">
        <v>3322</v>
      </c>
      <c r="Y271" s="9841"/>
      <c r="Z271" s="9841"/>
      <c r="AA271" s="9842"/>
      <c r="AB271" s="9840" t="s">
        <v>3323</v>
      </c>
      <c r="AC271" s="9841"/>
      <c r="AD271" s="9841"/>
      <c r="AE271" s="9842"/>
      <c r="AF271" s="9840" t="s">
        <v>3324</v>
      </c>
      <c r="AG271" s="9841"/>
      <c r="AH271" s="9841"/>
      <c r="AI271" s="9841"/>
      <c r="AJ271" s="9841"/>
      <c r="AK271" s="2013"/>
      <c r="AM271" s="817" t="s">
        <v>771</v>
      </c>
      <c r="AO271" s="2042"/>
      <c r="AP271" s="2048"/>
      <c r="BL271" s="2027"/>
      <c r="BM271" s="2027"/>
      <c r="BO271" s="2027"/>
      <c r="BP271" s="2027"/>
      <c r="BQ271" s="2027"/>
      <c r="BR271" s="2027"/>
      <c r="BS271" s="2027"/>
      <c r="BT271" s="2027"/>
      <c r="BU271" s="2027"/>
      <c r="BV271" s="2027"/>
    </row>
    <row r="272" spans="1:74" ht="14.25" customHeight="1" thickBot="1">
      <c r="A272" s="2013"/>
      <c r="B272" s="9789"/>
      <c r="C272" s="9790"/>
      <c r="D272" s="9790"/>
      <c r="E272" s="9790"/>
      <c r="F272" s="9790"/>
      <c r="G272" s="9790"/>
      <c r="H272" s="9790"/>
      <c r="I272" s="9790"/>
      <c r="J272" s="9790"/>
      <c r="K272" s="9790"/>
      <c r="L272" s="9790"/>
      <c r="M272" s="9791"/>
      <c r="N272" s="9757"/>
      <c r="O272" s="9758"/>
      <c r="P272" s="9758"/>
      <c r="Q272" s="9758"/>
      <c r="R272" s="9792"/>
      <c r="S272" s="9757"/>
      <c r="T272" s="9758"/>
      <c r="U272" s="9758"/>
      <c r="V272" s="9758"/>
      <c r="W272" s="9792"/>
      <c r="X272" s="9761" t="str">
        <f>IF(AM272&lt;&gt;"",ROUND(AM272,0),IF(OR(N272="",S272=""),"",S272-N272-2))</f>
        <v/>
      </c>
      <c r="Y272" s="9762"/>
      <c r="Z272" s="9762"/>
      <c r="AA272" s="9763"/>
      <c r="AB272" s="9837"/>
      <c r="AC272" s="9838"/>
      <c r="AD272" s="9838"/>
      <c r="AE272" s="9839"/>
      <c r="AF272" s="9764"/>
      <c r="AG272" s="9770"/>
      <c r="AH272" s="9770"/>
      <c r="AI272" s="9770"/>
      <c r="AJ272" s="9770"/>
      <c r="AK272" s="2013"/>
      <c r="AM272" s="453"/>
      <c r="AO272" s="2042"/>
      <c r="AP272" s="2048"/>
      <c r="BL272" s="2027"/>
      <c r="BM272" s="2027"/>
      <c r="BO272" s="2027"/>
      <c r="BP272" s="2027"/>
      <c r="BQ272" s="2027"/>
      <c r="BR272" s="2027"/>
      <c r="BS272" s="2027"/>
      <c r="BT272" s="2027"/>
      <c r="BU272" s="2027"/>
      <c r="BV272" s="2027"/>
    </row>
    <row r="273" spans="1:75" ht="14.25" customHeight="1" thickBot="1">
      <c r="A273" s="2013"/>
      <c r="B273" s="9789"/>
      <c r="C273" s="9790"/>
      <c r="D273" s="9790"/>
      <c r="E273" s="9790"/>
      <c r="F273" s="9790"/>
      <c r="G273" s="9790"/>
      <c r="H273" s="9790"/>
      <c r="I273" s="9790"/>
      <c r="J273" s="9790"/>
      <c r="K273" s="9790"/>
      <c r="L273" s="9790"/>
      <c r="M273" s="9791"/>
      <c r="N273" s="9757"/>
      <c r="O273" s="9758"/>
      <c r="P273" s="9758"/>
      <c r="Q273" s="9758"/>
      <c r="R273" s="9792"/>
      <c r="S273" s="9757"/>
      <c r="T273" s="9758"/>
      <c r="U273" s="9758"/>
      <c r="V273" s="9758"/>
      <c r="W273" s="9792"/>
      <c r="X273" s="9761" t="str">
        <f>IF(AM273&lt;&gt;"",ROUND(AM273,0),IF(OR(N273="",S273=""),"",S273-N273-2))</f>
        <v/>
      </c>
      <c r="Y273" s="9762"/>
      <c r="Z273" s="9762"/>
      <c r="AA273" s="9763"/>
      <c r="AB273" s="9837"/>
      <c r="AC273" s="9838"/>
      <c r="AD273" s="9838"/>
      <c r="AE273" s="9839"/>
      <c r="AF273" s="9764"/>
      <c r="AG273" s="9770"/>
      <c r="AH273" s="9770"/>
      <c r="AI273" s="9770"/>
      <c r="AJ273" s="9770"/>
      <c r="AK273" s="2013"/>
      <c r="AM273" s="453"/>
      <c r="AO273" s="2042"/>
      <c r="AP273" s="2048"/>
      <c r="BL273" s="2027"/>
      <c r="BM273" s="2027"/>
      <c r="BO273" s="2027"/>
      <c r="BP273" s="2027"/>
      <c r="BQ273" s="2027"/>
      <c r="BR273" s="2027"/>
      <c r="BS273" s="2027"/>
      <c r="BT273" s="2027"/>
      <c r="BU273" s="2027"/>
      <c r="BV273" s="2027"/>
    </row>
    <row r="274" spans="1:75" ht="14.25" customHeight="1" thickBot="1">
      <c r="A274" s="2013"/>
      <c r="B274" s="9789"/>
      <c r="C274" s="9790"/>
      <c r="D274" s="9790"/>
      <c r="E274" s="9790"/>
      <c r="F274" s="9790"/>
      <c r="G274" s="9790"/>
      <c r="H274" s="9790"/>
      <c r="I274" s="9790"/>
      <c r="J274" s="9790"/>
      <c r="K274" s="9790"/>
      <c r="L274" s="9790"/>
      <c r="M274" s="9791"/>
      <c r="N274" s="9757"/>
      <c r="O274" s="9758"/>
      <c r="P274" s="9758"/>
      <c r="Q274" s="9758"/>
      <c r="R274" s="9792"/>
      <c r="S274" s="9757"/>
      <c r="T274" s="9758"/>
      <c r="U274" s="9758"/>
      <c r="V274" s="9758"/>
      <c r="W274" s="9792"/>
      <c r="X274" s="9761" t="str">
        <f>IF(AM274&lt;&gt;"",ROUND(AM274,0),IF(OR(N274="",S274=""),"",S274-N274-2))</f>
        <v/>
      </c>
      <c r="Y274" s="9762"/>
      <c r="Z274" s="9762"/>
      <c r="AA274" s="9763"/>
      <c r="AB274" s="9837"/>
      <c r="AC274" s="9838"/>
      <c r="AD274" s="9838"/>
      <c r="AE274" s="9839"/>
      <c r="AF274" s="9764"/>
      <c r="AG274" s="9770"/>
      <c r="AH274" s="9770"/>
      <c r="AI274" s="9770"/>
      <c r="AJ274" s="9770"/>
      <c r="AK274" s="2013"/>
      <c r="AM274" s="453"/>
      <c r="AO274" s="2042"/>
      <c r="AP274" s="2048"/>
      <c r="BL274" s="2027"/>
      <c r="BM274" s="2027"/>
      <c r="BO274" s="2027"/>
      <c r="BP274" s="2027"/>
      <c r="BQ274" s="2027"/>
      <c r="BR274" s="2027"/>
      <c r="BS274" s="2027"/>
      <c r="BT274" s="2027"/>
      <c r="BU274" s="2027"/>
      <c r="BV274" s="2027"/>
    </row>
    <row r="275" spans="1:75" ht="14.25" customHeight="1" thickBot="1">
      <c r="A275" s="2013"/>
      <c r="B275" s="9789"/>
      <c r="C275" s="9790"/>
      <c r="D275" s="9790"/>
      <c r="E275" s="9790"/>
      <c r="F275" s="9790"/>
      <c r="G275" s="9790"/>
      <c r="H275" s="9790"/>
      <c r="I275" s="9790"/>
      <c r="J275" s="9790"/>
      <c r="K275" s="9790"/>
      <c r="L275" s="9790"/>
      <c r="M275" s="9791"/>
      <c r="N275" s="9757"/>
      <c r="O275" s="9758"/>
      <c r="P275" s="9758"/>
      <c r="Q275" s="9758"/>
      <c r="R275" s="9792"/>
      <c r="S275" s="9757"/>
      <c r="T275" s="9758"/>
      <c r="U275" s="9758"/>
      <c r="V275" s="9758"/>
      <c r="W275" s="9792"/>
      <c r="X275" s="9761" t="str">
        <f>IF(AM275&lt;&gt;"",ROUND(AM275,0),IF(OR(N275="",S275=""),"",S275-N275-2))</f>
        <v/>
      </c>
      <c r="Y275" s="9762"/>
      <c r="Z275" s="9762"/>
      <c r="AA275" s="9763"/>
      <c r="AB275" s="9837"/>
      <c r="AC275" s="9838"/>
      <c r="AD275" s="9838"/>
      <c r="AE275" s="9839"/>
      <c r="AF275" s="9764"/>
      <c r="AG275" s="9770"/>
      <c r="AH275" s="9770"/>
      <c r="AI275" s="9770"/>
      <c r="AJ275" s="9770"/>
      <c r="AK275" s="2013"/>
      <c r="AM275" s="453"/>
      <c r="AO275" s="2042"/>
      <c r="AP275" s="2048"/>
      <c r="BL275" s="2027"/>
      <c r="BM275" s="2027"/>
      <c r="BO275" s="2027"/>
      <c r="BP275" s="2027"/>
      <c r="BQ275" s="2027"/>
      <c r="BR275" s="2027"/>
      <c r="BS275" s="2027"/>
      <c r="BT275" s="2027"/>
      <c r="BU275" s="2027"/>
      <c r="BV275" s="2027"/>
    </row>
    <row r="276" spans="1:75" ht="4.5" customHeight="1">
      <c r="A276" s="2013"/>
      <c r="B276" s="7871" t="s">
        <v>2102</v>
      </c>
      <c r="C276" s="7850"/>
      <c r="D276" s="2036"/>
      <c r="E276" s="2036"/>
      <c r="F276" s="2036"/>
      <c r="G276" s="2036"/>
      <c r="H276" s="2036"/>
      <c r="I276" s="2036"/>
      <c r="J276" s="2036"/>
      <c r="K276" s="2036"/>
      <c r="L276" s="2036"/>
      <c r="M276" s="2036"/>
      <c r="N276" s="2036"/>
      <c r="O276" s="2036"/>
      <c r="P276" s="2036"/>
      <c r="Q276" s="2036"/>
      <c r="R276" s="2036"/>
      <c r="S276" s="2036"/>
      <c r="T276" s="2036"/>
      <c r="U276" s="2036"/>
      <c r="V276" s="2036"/>
      <c r="W276" s="2036"/>
      <c r="X276" s="2036"/>
      <c r="Y276" s="2036"/>
      <c r="Z276" s="2036"/>
      <c r="AA276" s="2036"/>
      <c r="AB276" s="2036"/>
      <c r="AC276" s="2036"/>
      <c r="AD276" s="2036"/>
      <c r="AE276" s="2036"/>
      <c r="AF276" s="2036"/>
      <c r="AG276" s="2036"/>
      <c r="AH276" s="2036"/>
      <c r="AI276" s="2036"/>
      <c r="AJ276" s="2036"/>
      <c r="AK276" s="2013"/>
    </row>
    <row r="277" spans="1:75" ht="13.5" customHeight="1">
      <c r="A277" s="2013"/>
      <c r="B277" s="7589"/>
      <c r="C277" s="7589"/>
      <c r="D277" s="2062" t="s">
        <v>3325</v>
      </c>
      <c r="E277" s="1990"/>
      <c r="F277" s="1990"/>
      <c r="G277" s="1990"/>
      <c r="H277" s="1990"/>
      <c r="I277" s="1990"/>
      <c r="J277" s="1990"/>
      <c r="K277" s="1990"/>
      <c r="L277" s="1990"/>
      <c r="M277" s="1990"/>
      <c r="N277" s="1990"/>
      <c r="O277" s="1990"/>
      <c r="P277" s="1990"/>
      <c r="Q277" s="1990"/>
      <c r="R277" s="1990"/>
      <c r="S277" s="1990"/>
      <c r="T277" s="1990"/>
      <c r="U277" s="1990"/>
      <c r="V277" s="1990"/>
      <c r="W277" s="1990"/>
      <c r="X277" s="1990"/>
      <c r="Y277" s="1990"/>
      <c r="Z277" s="1990"/>
      <c r="AA277" s="1990"/>
      <c r="AB277" s="1990"/>
      <c r="AC277" s="1990"/>
      <c r="AD277" s="1990"/>
      <c r="AE277" s="1990"/>
      <c r="AF277" s="1990"/>
      <c r="AG277" s="1990"/>
      <c r="AH277" s="1990"/>
      <c r="AI277" s="1990"/>
      <c r="AJ277" s="1990"/>
      <c r="AK277" s="2013"/>
    </row>
    <row r="278" spans="1:75" ht="4.5" customHeight="1">
      <c r="A278" s="2013"/>
      <c r="B278" s="7587"/>
      <c r="C278" s="7587"/>
      <c r="D278" s="1999"/>
      <c r="E278" s="1999"/>
      <c r="F278" s="1999"/>
      <c r="G278" s="1999"/>
      <c r="H278" s="1999"/>
      <c r="I278" s="1999"/>
      <c r="J278" s="1999"/>
      <c r="K278" s="1999"/>
      <c r="L278" s="1999"/>
      <c r="M278" s="1999"/>
      <c r="N278" s="1999"/>
      <c r="O278" s="1999"/>
      <c r="P278" s="1999"/>
      <c r="Q278" s="1999"/>
      <c r="R278" s="1999"/>
      <c r="S278" s="1999"/>
      <c r="T278" s="1999"/>
      <c r="U278" s="1999"/>
      <c r="V278" s="1999"/>
      <c r="W278" s="1999"/>
      <c r="X278" s="1999"/>
      <c r="Y278" s="1999"/>
      <c r="Z278" s="1999"/>
      <c r="AA278" s="1999"/>
      <c r="AB278" s="1999"/>
      <c r="AC278" s="1999"/>
      <c r="AD278" s="1999"/>
      <c r="AE278" s="1999"/>
      <c r="AF278" s="1999"/>
      <c r="AG278" s="1999"/>
      <c r="AH278" s="1999"/>
      <c r="AI278" s="1999"/>
      <c r="AJ278" s="1999"/>
      <c r="AK278" s="2013"/>
    </row>
    <row r="279" spans="1:75" ht="16.5" customHeight="1">
      <c r="A279" s="2013"/>
      <c r="B279" s="2063" t="s">
        <v>3326</v>
      </c>
      <c r="C279" s="253"/>
      <c r="D279" s="253"/>
      <c r="E279" s="253"/>
      <c r="F279" s="253"/>
      <c r="G279" s="253"/>
      <c r="H279" s="253"/>
      <c r="I279" s="253"/>
      <c r="J279" s="253"/>
      <c r="K279" s="253"/>
      <c r="L279" s="253"/>
      <c r="M279" s="253"/>
      <c r="N279" s="253"/>
      <c r="O279" s="253"/>
      <c r="P279" s="253"/>
      <c r="Q279" s="253"/>
      <c r="R279" s="253"/>
      <c r="S279" s="253"/>
      <c r="T279" s="253"/>
      <c r="U279" s="253"/>
      <c r="V279" s="253"/>
      <c r="W279" s="253"/>
      <c r="X279" s="253"/>
      <c r="Y279" s="253"/>
      <c r="Z279" s="253"/>
      <c r="AA279" s="253"/>
      <c r="AB279" s="253"/>
      <c r="AC279" s="253"/>
      <c r="AD279" s="253"/>
      <c r="AE279" s="253"/>
      <c r="AF279" s="253"/>
      <c r="AG279" s="253"/>
      <c r="AH279" s="253"/>
      <c r="AI279" s="253"/>
      <c r="AJ279" s="253"/>
      <c r="AK279" s="2013"/>
      <c r="AO279" s="2064"/>
      <c r="AP279" s="2065"/>
      <c r="BL279" s="2027"/>
      <c r="BM279" s="2027"/>
      <c r="BO279" s="2027"/>
      <c r="BP279" s="2027"/>
      <c r="BQ279" s="2027"/>
      <c r="BR279" s="2027"/>
      <c r="BS279" s="2027"/>
      <c r="BT279" s="2027"/>
      <c r="BU279" s="2027"/>
      <c r="BV279" s="2027"/>
    </row>
    <row r="280" spans="1:75" ht="14.25">
      <c r="A280" s="2013"/>
      <c r="B280" s="2063" t="str">
        <f>"your "&amp;TaxYear&amp;" tax year for services you performed in a foreign country. If any of the foreign earned income received this tax year was"</f>
        <v>your 2025 tax year for services you performed in a foreign country. If any of the foreign earned income received this tax year was</v>
      </c>
      <c r="C280" s="253"/>
      <c r="D280" s="253"/>
      <c r="E280" s="253"/>
      <c r="F280" s="253"/>
      <c r="G280" s="253"/>
      <c r="H280" s="253"/>
      <c r="I280" s="253"/>
      <c r="J280" s="253"/>
      <c r="K280" s="253"/>
      <c r="L280" s="253"/>
      <c r="M280" s="253"/>
      <c r="N280" s="253"/>
      <c r="O280" s="253"/>
      <c r="P280" s="253"/>
      <c r="Q280" s="253"/>
      <c r="R280" s="253"/>
      <c r="S280" s="253"/>
      <c r="T280" s="253"/>
      <c r="U280" s="253"/>
      <c r="V280" s="253"/>
      <c r="W280" s="253"/>
      <c r="X280" s="253"/>
      <c r="Y280" s="253"/>
      <c r="Z280" s="253"/>
      <c r="AA280" s="253"/>
      <c r="AB280" s="253"/>
      <c r="AC280" s="253"/>
      <c r="AD280" s="253"/>
      <c r="AE280" s="253"/>
      <c r="AF280" s="253"/>
      <c r="AG280" s="253"/>
      <c r="AH280" s="253"/>
      <c r="AI280" s="253"/>
      <c r="AJ280" s="253"/>
      <c r="AK280" s="2013"/>
      <c r="AO280" s="2027"/>
      <c r="AP280" s="2066"/>
      <c r="BL280" s="2027"/>
      <c r="BM280" s="2027"/>
      <c r="BO280" s="2027"/>
      <c r="BP280" s="2027"/>
      <c r="BQ280" s="2027"/>
      <c r="BR280" s="2027"/>
      <c r="BS280" s="2027"/>
      <c r="BT280" s="2027"/>
      <c r="BU280" s="2027"/>
      <c r="BV280" s="2027"/>
    </row>
    <row r="281" spans="1:75" ht="15">
      <c r="A281" s="2013"/>
      <c r="B281" s="2063" t="s">
        <v>3327</v>
      </c>
      <c r="C281" s="253"/>
      <c r="D281" s="253"/>
      <c r="E281" s="253"/>
      <c r="F281" s="253"/>
      <c r="G281" s="253"/>
      <c r="H281" s="253"/>
      <c r="I281" s="253"/>
      <c r="J281" s="253"/>
      <c r="K281" s="253"/>
      <c r="L281" s="253"/>
      <c r="M281" s="253"/>
      <c r="N281" s="253"/>
      <c r="O281" s="253"/>
      <c r="P281" s="253"/>
      <c r="Q281" s="253"/>
      <c r="R281" s="253"/>
      <c r="S281" s="253"/>
      <c r="T281" s="253"/>
      <c r="U281" s="253"/>
      <c r="V281" s="253"/>
      <c r="W281" s="253"/>
      <c r="X281" s="253"/>
      <c r="Y281" s="253"/>
      <c r="Z281" s="253"/>
      <c r="AA281" s="253"/>
      <c r="AB281" s="253"/>
      <c r="AC281" s="253"/>
      <c r="AD281" s="253"/>
      <c r="AE281" s="253"/>
      <c r="AF281" s="253"/>
      <c r="AG281" s="253"/>
      <c r="AH281" s="253"/>
      <c r="AI281" s="253"/>
      <c r="AJ281" s="253"/>
      <c r="AK281" s="2013"/>
      <c r="AO281" s="2027"/>
      <c r="AP281" s="2027"/>
      <c r="BL281" s="2027"/>
      <c r="BM281" s="2027"/>
      <c r="BO281" s="2027"/>
      <c r="BP281" s="2027"/>
      <c r="BQ281" s="2027"/>
      <c r="BR281" s="2027"/>
      <c r="BS281" s="2027"/>
      <c r="BT281" s="2027"/>
      <c r="BU281" s="2027"/>
      <c r="BV281" s="2027"/>
    </row>
    <row r="282" spans="1:75" ht="12.75" customHeight="1">
      <c r="A282" s="2013"/>
      <c r="B282" s="2063" t="s">
        <v>3328</v>
      </c>
      <c r="C282" s="253"/>
      <c r="D282" s="253"/>
      <c r="E282" s="253"/>
      <c r="F282" s="253"/>
      <c r="G282" s="253"/>
      <c r="H282" s="253"/>
      <c r="I282" s="253"/>
      <c r="J282" s="253"/>
      <c r="K282" s="253"/>
      <c r="L282" s="253"/>
      <c r="M282" s="253"/>
      <c r="N282" s="253"/>
      <c r="O282" s="253"/>
      <c r="P282" s="253"/>
      <c r="Q282" s="253"/>
      <c r="R282" s="253"/>
      <c r="S282" s="253"/>
      <c r="T282" s="253"/>
      <c r="U282" s="253"/>
      <c r="V282" s="253"/>
      <c r="W282" s="253"/>
      <c r="X282" s="253"/>
      <c r="Y282" s="253"/>
      <c r="Z282" s="253"/>
      <c r="AA282" s="253"/>
      <c r="AB282" s="253"/>
      <c r="AC282" s="253"/>
      <c r="AD282" s="253"/>
      <c r="AE282" s="253"/>
      <c r="AF282" s="253"/>
      <c r="AG282" s="253"/>
      <c r="AH282" s="253"/>
      <c r="AI282" s="253"/>
      <c r="AJ282" s="253"/>
      <c r="AK282" s="2013"/>
      <c r="AO282" s="2027"/>
      <c r="AP282" s="2027"/>
      <c r="BL282" s="2027"/>
      <c r="BM282" s="2027"/>
      <c r="BO282" s="2027"/>
      <c r="BP282" s="2027"/>
      <c r="BQ282" s="2027"/>
      <c r="BR282" s="2027"/>
      <c r="BS282" s="2027"/>
      <c r="BT282" s="2027"/>
      <c r="BU282" s="2027"/>
      <c r="BV282" s="2027"/>
    </row>
    <row r="283" spans="1:75" ht="14.25">
      <c r="A283" s="2013"/>
      <c r="B283" s="2063" t="s">
        <v>3329</v>
      </c>
      <c r="C283" s="253"/>
      <c r="D283" s="253"/>
      <c r="E283" s="253"/>
      <c r="F283" s="253"/>
      <c r="G283" s="253"/>
      <c r="H283" s="253"/>
      <c r="I283" s="253"/>
      <c r="J283" s="253"/>
      <c r="K283" s="253"/>
      <c r="L283" s="253"/>
      <c r="M283" s="253"/>
      <c r="N283" s="253"/>
      <c r="O283" s="253"/>
      <c r="P283" s="253"/>
      <c r="Q283" s="253"/>
      <c r="R283" s="253"/>
      <c r="S283" s="253"/>
      <c r="T283" s="253"/>
      <c r="U283" s="253"/>
      <c r="V283" s="253"/>
      <c r="W283" s="253"/>
      <c r="X283" s="253"/>
      <c r="Y283" s="253"/>
      <c r="Z283" s="253"/>
      <c r="AA283" s="253"/>
      <c r="AB283" s="253"/>
      <c r="AC283" s="253"/>
      <c r="AD283" s="253"/>
      <c r="AE283" s="253"/>
      <c r="AF283" s="253"/>
      <c r="AG283" s="253"/>
      <c r="AH283" s="253"/>
      <c r="AI283" s="253"/>
      <c r="AJ283" s="253"/>
      <c r="AK283" s="2013"/>
      <c r="AO283" s="2027"/>
      <c r="AP283" s="2027"/>
      <c r="BL283" s="2027"/>
      <c r="BM283" s="2027"/>
      <c r="BO283" s="2027"/>
      <c r="BP283" s="2027"/>
      <c r="BQ283" s="2027"/>
      <c r="BR283" s="2027"/>
      <c r="BS283" s="2027"/>
      <c r="BT283" s="2027"/>
      <c r="BU283" s="2027"/>
      <c r="BV283" s="2027"/>
    </row>
    <row r="284" spans="1:75" ht="18" customHeight="1">
      <c r="A284" s="2013"/>
      <c r="B284" s="253"/>
      <c r="C284" s="810" t="str">
        <f>"If you are a cash basis taxpayer, report on Form 1040 or 1040-SR all income you received in "&amp;TaxYear&amp;", no matter when you"</f>
        <v>If you are a cash basis taxpayer, report on Form 1040 or 1040-SR all income you received in 2025, no matter when you</v>
      </c>
      <c r="D284" s="810"/>
      <c r="E284" s="349"/>
      <c r="F284" s="253"/>
      <c r="G284" s="253"/>
      <c r="H284" s="253"/>
      <c r="I284" s="253"/>
      <c r="J284" s="253"/>
      <c r="K284" s="253"/>
      <c r="L284" s="253"/>
      <c r="M284" s="253"/>
      <c r="N284" s="253"/>
      <c r="O284" s="253"/>
      <c r="P284" s="253"/>
      <c r="Q284" s="253"/>
      <c r="R284" s="253"/>
      <c r="S284" s="253"/>
      <c r="T284" s="253"/>
      <c r="U284" s="253"/>
      <c r="V284" s="253"/>
      <c r="W284" s="253"/>
      <c r="X284" s="253"/>
      <c r="Y284" s="253"/>
      <c r="Z284" s="253"/>
      <c r="AA284" s="253"/>
      <c r="AB284" s="253"/>
      <c r="AC284" s="253"/>
      <c r="AD284" s="253"/>
      <c r="AE284" s="253"/>
      <c r="AF284" s="253"/>
      <c r="AG284" s="253"/>
      <c r="AH284" s="253"/>
      <c r="AI284" s="253"/>
      <c r="AJ284" s="253"/>
      <c r="AK284" s="2013"/>
      <c r="AO284" s="2027"/>
      <c r="AP284" s="2027"/>
      <c r="BL284" s="2027"/>
      <c r="BM284" s="2027"/>
      <c r="BO284" s="2027"/>
      <c r="BP284" s="2027"/>
      <c r="BQ284" s="2027"/>
      <c r="BR284" s="2027"/>
      <c r="BS284" s="2027"/>
      <c r="BT284" s="2027"/>
      <c r="BU284" s="2027"/>
      <c r="BV284" s="2027"/>
    </row>
    <row r="285" spans="1:75" s="138" customFormat="1" ht="18" customHeight="1">
      <c r="A285" s="2067"/>
      <c r="B285" s="2068"/>
      <c r="C285" s="2069" t="s">
        <v>3330</v>
      </c>
      <c r="D285" s="2069"/>
      <c r="E285" s="2070"/>
      <c r="F285" s="2068"/>
      <c r="G285" s="2068"/>
      <c r="H285" s="2068"/>
      <c r="I285" s="2068"/>
      <c r="J285" s="2068"/>
      <c r="K285" s="2068"/>
      <c r="L285" s="2068"/>
      <c r="M285" s="2068"/>
      <c r="N285" s="2068"/>
      <c r="O285" s="2068"/>
      <c r="P285" s="2068"/>
      <c r="Q285" s="2068"/>
      <c r="R285" s="2068"/>
      <c r="S285" s="2068"/>
      <c r="T285" s="2068"/>
      <c r="U285" s="2068"/>
      <c r="V285" s="2068"/>
      <c r="W285" s="2068"/>
      <c r="X285" s="2068"/>
      <c r="Y285" s="2068"/>
      <c r="Z285" s="2068"/>
      <c r="AA285" s="2068"/>
      <c r="AB285" s="2068"/>
      <c r="AC285" s="2068"/>
      <c r="AD285" s="2068"/>
      <c r="AE285" s="2068"/>
      <c r="AF285" s="2068"/>
      <c r="AG285" s="2068"/>
      <c r="AH285" s="2068"/>
      <c r="AI285" s="2068"/>
      <c r="AJ285" s="2068"/>
      <c r="AK285" s="2067"/>
      <c r="AL285" s="2071"/>
      <c r="AM285" s="2071"/>
      <c r="AN285" s="2071"/>
      <c r="AO285" s="2072"/>
      <c r="AP285" s="2072"/>
      <c r="AQ285" s="658"/>
      <c r="AR285" s="658"/>
      <c r="AS285" s="658"/>
      <c r="AT285" s="658"/>
      <c r="AU285" s="658"/>
      <c r="AV285" s="658"/>
      <c r="AW285" s="658"/>
      <c r="AX285" s="658"/>
      <c r="AY285" s="658"/>
      <c r="AZ285" s="2071"/>
      <c r="BA285" s="2071"/>
      <c r="BB285" s="2071"/>
      <c r="BC285" s="2071"/>
      <c r="BD285" s="2071"/>
      <c r="BE285" s="2071"/>
      <c r="BF285" s="2071"/>
      <c r="BG285" s="2071"/>
      <c r="BH285" s="2071"/>
      <c r="BI285" s="2071"/>
      <c r="BJ285" s="2071"/>
      <c r="BK285" s="2071"/>
      <c r="BL285" s="2072"/>
      <c r="BM285" s="2072"/>
      <c r="BN285" s="2071"/>
      <c r="BO285" s="2072"/>
      <c r="BP285" s="2072"/>
      <c r="BQ285" s="2072"/>
      <c r="BR285" s="2072"/>
      <c r="BS285" s="2072"/>
      <c r="BT285" s="2072"/>
      <c r="BU285" s="2072"/>
      <c r="BV285" s="2072"/>
      <c r="BW285" s="2071"/>
    </row>
    <row r="286" spans="1:75" ht="28.5" customHeight="1">
      <c r="A286" s="2013"/>
      <c r="B286" s="9847" t="str">
        <f>TaxYear&amp;" Foreign Earned Income"</f>
        <v>2025 Foreign Earned Income</v>
      </c>
      <c r="C286" s="9848"/>
      <c r="D286" s="9848"/>
      <c r="E286" s="9848"/>
      <c r="F286" s="9848"/>
      <c r="G286" s="9848"/>
      <c r="H286" s="9848"/>
      <c r="I286" s="9848"/>
      <c r="J286" s="9848"/>
      <c r="K286" s="9848"/>
      <c r="L286" s="9848"/>
      <c r="M286" s="9848"/>
      <c r="N286" s="9848"/>
      <c r="O286" s="9848"/>
      <c r="P286" s="9848"/>
      <c r="Q286" s="9848"/>
      <c r="R286" s="9848"/>
      <c r="S286" s="9848"/>
      <c r="T286" s="9848"/>
      <c r="U286" s="9848"/>
      <c r="V286" s="9848"/>
      <c r="W286" s="9848"/>
      <c r="X286" s="9848"/>
      <c r="Y286" s="9848"/>
      <c r="Z286" s="9848"/>
      <c r="AA286" s="9849"/>
      <c r="AB286" s="9850"/>
      <c r="AC286" s="9057" t="s">
        <v>3331</v>
      </c>
      <c r="AD286" s="9841"/>
      <c r="AE286" s="9841"/>
      <c r="AF286" s="9841"/>
      <c r="AG286" s="9841"/>
      <c r="AH286" s="9841"/>
      <c r="AI286" s="9841"/>
      <c r="AJ286" s="9841"/>
      <c r="AK286" s="2013"/>
      <c r="AO286" s="2027"/>
      <c r="AP286" s="2027"/>
      <c r="BL286" s="2027"/>
      <c r="BM286" s="2027"/>
      <c r="BO286" s="2027"/>
      <c r="BP286" s="2027"/>
      <c r="BQ286" s="2027"/>
      <c r="BR286" s="2027"/>
      <c r="BS286" s="2027"/>
      <c r="BT286" s="2027"/>
      <c r="BU286" s="2027"/>
      <c r="BV286" s="2027"/>
    </row>
    <row r="287" spans="1:75" ht="16.5" customHeight="1">
      <c r="A287" s="2013"/>
      <c r="B287" s="253"/>
      <c r="C287" s="734" t="s">
        <v>3332</v>
      </c>
      <c r="D287" s="511" t="s">
        <v>3333</v>
      </c>
      <c r="E287" s="253"/>
      <c r="F287" s="253"/>
      <c r="G287" s="253"/>
      <c r="H287" s="253"/>
      <c r="I287" s="253"/>
      <c r="J287" s="253"/>
      <c r="K287" s="253"/>
      <c r="L287" s="253"/>
      <c r="M287" s="253"/>
      <c r="N287" s="253"/>
      <c r="O287" s="253"/>
      <c r="P287" s="253"/>
      <c r="Q287" s="253"/>
      <c r="R287" s="253"/>
      <c r="S287" s="253"/>
      <c r="T287" s="253"/>
      <c r="U287" s="253"/>
      <c r="V287" s="253"/>
      <c r="W287" s="253"/>
      <c r="X287" s="253"/>
      <c r="Y287" s="253"/>
      <c r="Z287" s="253"/>
      <c r="AA287" s="253"/>
      <c r="AB287" s="2031" t="s">
        <v>3334</v>
      </c>
      <c r="AC287" s="9851" t="s">
        <v>266</v>
      </c>
      <c r="AD287" s="9852"/>
      <c r="AE287" s="9853"/>
      <c r="AF287" s="9853"/>
      <c r="AG287" s="9853"/>
      <c r="AH287" s="9853"/>
      <c r="AI287" s="9853"/>
      <c r="AJ287" s="9853"/>
      <c r="AK287" s="2013"/>
      <c r="AO287" s="2027"/>
      <c r="AP287" s="2027"/>
      <c r="BL287" s="2027"/>
      <c r="BM287" s="2027"/>
      <c r="BO287" s="2027"/>
      <c r="BP287" s="2027"/>
      <c r="BQ287" s="2027"/>
      <c r="BR287" s="2027"/>
      <c r="BS287" s="2027"/>
      <c r="BT287" s="2027"/>
      <c r="BU287" s="2027"/>
      <c r="BV287" s="2027"/>
    </row>
    <row r="288" spans="1:75" ht="13.5" customHeight="1">
      <c r="A288" s="2013"/>
      <c r="B288" s="253"/>
      <c r="C288" s="734" t="s">
        <v>3335</v>
      </c>
      <c r="D288" s="511" t="s">
        <v>3336</v>
      </c>
      <c r="E288" s="253"/>
      <c r="F288" s="253"/>
      <c r="G288" s="253"/>
      <c r="H288" s="253"/>
      <c r="I288" s="253"/>
      <c r="J288" s="253"/>
      <c r="K288" s="253"/>
      <c r="L288" s="253"/>
      <c r="M288" s="253"/>
      <c r="N288" s="253"/>
      <c r="O288" s="253"/>
      <c r="P288" s="253"/>
      <c r="Q288" s="253"/>
      <c r="R288" s="253"/>
      <c r="S288" s="253"/>
      <c r="T288" s="253"/>
      <c r="U288" s="253"/>
      <c r="V288" s="253"/>
      <c r="W288" s="253"/>
      <c r="X288" s="253"/>
      <c r="Y288" s="253"/>
      <c r="Z288" s="253"/>
      <c r="AA288" s="253"/>
      <c r="AB288" s="253"/>
      <c r="AC288" s="9128"/>
      <c r="AD288" s="8667"/>
      <c r="AE288" s="9788"/>
      <c r="AF288" s="8664"/>
      <c r="AG288" s="9788"/>
      <c r="AH288" s="8664"/>
      <c r="AI288" s="9788"/>
      <c r="AJ288" s="8664"/>
      <c r="AK288" s="2013"/>
      <c r="AO288" s="2027"/>
      <c r="AP288" s="2027"/>
      <c r="BL288" s="2027"/>
      <c r="BM288" s="2027"/>
    </row>
    <row r="289" spans="1:65" ht="13.5" customHeight="1">
      <c r="A289" s="2013"/>
      <c r="B289" s="253"/>
      <c r="C289" s="734" t="s">
        <v>3252</v>
      </c>
      <c r="D289" s="511" t="s">
        <v>3337</v>
      </c>
      <c r="E289" s="253"/>
      <c r="F289" s="253"/>
      <c r="G289" s="253"/>
      <c r="H289" s="253"/>
      <c r="I289" s="253"/>
      <c r="J289" s="253"/>
      <c r="K289" s="253"/>
      <c r="L289" s="253"/>
      <c r="M289" s="253"/>
      <c r="N289" s="253"/>
      <c r="O289" s="253"/>
      <c r="P289" s="253"/>
      <c r="Q289" s="253"/>
      <c r="R289" s="253"/>
      <c r="S289" s="253"/>
      <c r="T289" s="253"/>
      <c r="U289" s="253"/>
      <c r="V289" s="253"/>
      <c r="W289" s="253"/>
      <c r="X289" s="253"/>
      <c r="Y289" s="253"/>
      <c r="Z289" s="253"/>
      <c r="AA289" s="253"/>
      <c r="AB289" s="2031" t="s">
        <v>617</v>
      </c>
      <c r="AC289" s="9751" t="s">
        <v>2005</v>
      </c>
      <c r="AD289" s="9785"/>
      <c r="AE289" s="9786"/>
      <c r="AF289" s="9786"/>
      <c r="AG289" s="9786"/>
      <c r="AH289" s="9786"/>
      <c r="AI289" s="9786"/>
      <c r="AJ289" s="9786"/>
      <c r="AK289" s="2013"/>
      <c r="AO289" s="2027"/>
      <c r="AP289" s="2027"/>
      <c r="BL289" s="2027"/>
      <c r="BM289" s="2027"/>
    </row>
    <row r="290" spans="1:65" ht="13.5" customHeight="1">
      <c r="A290" s="2013"/>
      <c r="B290" s="253"/>
      <c r="C290" s="734" t="s">
        <v>2084</v>
      </c>
      <c r="D290" s="511" t="s">
        <v>3338</v>
      </c>
      <c r="E290" s="253"/>
      <c r="F290" s="253"/>
      <c r="G290" s="253"/>
      <c r="H290" s="253"/>
      <c r="I290" s="253"/>
      <c r="J290" s="253"/>
      <c r="K290" s="253"/>
      <c r="L290" s="253"/>
      <c r="M290" s="253"/>
      <c r="N290" s="253"/>
      <c r="O290" s="253"/>
      <c r="P290" s="253"/>
      <c r="Q290" s="253"/>
      <c r="R290" s="253"/>
      <c r="S290" s="253"/>
      <c r="T290" s="253"/>
      <c r="U290" s="253"/>
      <c r="V290" s="9805"/>
      <c r="W290" s="9846"/>
      <c r="X290" s="9846"/>
      <c r="Y290" s="9846"/>
      <c r="Z290" s="9846"/>
      <c r="AA290" s="9846"/>
      <c r="AB290" s="253"/>
      <c r="AC290" s="9128"/>
      <c r="AD290" s="9787"/>
      <c r="AE290" s="9128"/>
      <c r="AF290" s="9788"/>
      <c r="AG290" s="9788"/>
      <c r="AH290" s="9788"/>
      <c r="AI290" s="9788"/>
      <c r="AJ290" s="9788"/>
      <c r="AK290" s="2013"/>
      <c r="AO290" s="2027"/>
      <c r="AP290" s="2027"/>
      <c r="BL290" s="2027"/>
      <c r="BM290" s="2027"/>
    </row>
    <row r="291" spans="1:65" ht="13.5" customHeight="1">
      <c r="A291" s="2013"/>
      <c r="B291" s="253"/>
      <c r="C291" s="734"/>
      <c r="D291" s="9805"/>
      <c r="E291" s="9846"/>
      <c r="F291" s="9846"/>
      <c r="G291" s="9846"/>
      <c r="H291" s="9846"/>
      <c r="I291" s="9846"/>
      <c r="J291" s="9846"/>
      <c r="K291" s="9846"/>
      <c r="L291" s="9846"/>
      <c r="M291" s="9846"/>
      <c r="N291" s="9846"/>
      <c r="O291" s="9846"/>
      <c r="P291" s="9846"/>
      <c r="Q291" s="9846"/>
      <c r="R291" s="9846"/>
      <c r="S291" s="9846"/>
      <c r="T291" s="9846"/>
      <c r="U291" s="9846"/>
      <c r="V291" s="9846"/>
      <c r="W291" s="9846"/>
      <c r="X291" s="9846"/>
      <c r="Y291" s="9846"/>
      <c r="Z291" s="9846"/>
      <c r="AA291" s="9846"/>
      <c r="AB291" s="253"/>
      <c r="AC291" s="9751" t="s">
        <v>2010</v>
      </c>
      <c r="AD291" s="9785"/>
      <c r="AE291" s="9786"/>
      <c r="AF291" s="9786"/>
      <c r="AG291" s="9786"/>
      <c r="AH291" s="9786"/>
      <c r="AI291" s="9786"/>
      <c r="AJ291" s="9786"/>
      <c r="AK291" s="2013"/>
      <c r="AO291" s="2027"/>
      <c r="AP291" s="2027"/>
      <c r="BL291" s="2027"/>
      <c r="BM291" s="2027"/>
    </row>
    <row r="292" spans="1:65" ht="13.5" customHeight="1">
      <c r="A292" s="2013"/>
      <c r="B292" s="253"/>
      <c r="C292" s="734" t="s">
        <v>3339</v>
      </c>
      <c r="D292" s="511" t="s">
        <v>3340</v>
      </c>
      <c r="E292" s="253"/>
      <c r="F292" s="253"/>
      <c r="G292" s="253"/>
      <c r="H292" s="253"/>
      <c r="I292" s="253"/>
      <c r="J292" s="253"/>
      <c r="K292" s="253"/>
      <c r="L292" s="253"/>
      <c r="M292" s="253"/>
      <c r="N292" s="253"/>
      <c r="O292" s="253"/>
      <c r="P292" s="253"/>
      <c r="Q292" s="253"/>
      <c r="R292" s="253"/>
      <c r="S292" s="253"/>
      <c r="T292" s="253"/>
      <c r="U292" s="253"/>
      <c r="V292" s="253"/>
      <c r="W292" s="253"/>
      <c r="X292" s="253"/>
      <c r="Y292" s="253"/>
      <c r="Z292" s="253"/>
      <c r="AA292" s="253"/>
      <c r="AB292" s="253"/>
      <c r="AC292" s="9854"/>
      <c r="AD292" s="9855"/>
      <c r="AE292" s="9788"/>
      <c r="AF292" s="8664"/>
      <c r="AG292" s="9788"/>
      <c r="AH292" s="8664"/>
      <c r="AI292" s="9788"/>
      <c r="AJ292" s="8664"/>
      <c r="AK292" s="2013"/>
      <c r="AO292" s="2027"/>
      <c r="AP292" s="2027"/>
      <c r="BL292" s="2027"/>
      <c r="BM292" s="2027"/>
    </row>
    <row r="293" spans="1:65" ht="13.5" customHeight="1">
      <c r="A293" s="2013"/>
      <c r="B293" s="253"/>
      <c r="C293" s="253"/>
      <c r="D293" s="511" t="s">
        <v>3341</v>
      </c>
      <c r="E293" s="253"/>
      <c r="F293" s="253"/>
      <c r="G293" s="253"/>
      <c r="H293" s="253"/>
      <c r="I293" s="253"/>
      <c r="J293" s="253"/>
      <c r="K293" s="253"/>
      <c r="L293" s="253"/>
      <c r="M293" s="253"/>
      <c r="N293" s="253"/>
      <c r="O293" s="253"/>
      <c r="P293" s="253"/>
      <c r="Q293" s="253"/>
      <c r="R293" s="253"/>
      <c r="S293" s="253"/>
      <c r="T293" s="253"/>
      <c r="U293" s="253"/>
      <c r="V293" s="253"/>
      <c r="W293" s="253"/>
      <c r="X293" s="253"/>
      <c r="Y293" s="253"/>
      <c r="Z293" s="253"/>
      <c r="AA293" s="253"/>
      <c r="AB293" s="253"/>
      <c r="AC293" s="9856"/>
      <c r="AD293" s="9857"/>
      <c r="AE293" s="8984"/>
      <c r="AF293" s="7879"/>
      <c r="AG293" s="7879"/>
      <c r="AH293" s="7879"/>
      <c r="AI293" s="7879"/>
      <c r="AJ293" s="7879"/>
      <c r="AK293" s="2013"/>
      <c r="AO293" s="2027"/>
      <c r="AP293" s="2027"/>
      <c r="BL293" s="2027"/>
      <c r="BM293" s="2027"/>
    </row>
    <row r="294" spans="1:65" ht="13.5" customHeight="1">
      <c r="A294" s="2013"/>
      <c r="B294" s="253"/>
      <c r="C294" s="734" t="s">
        <v>3252</v>
      </c>
      <c r="D294" s="511" t="s">
        <v>3342</v>
      </c>
      <c r="E294" s="253"/>
      <c r="F294" s="253"/>
      <c r="G294" s="253"/>
      <c r="H294" s="253"/>
      <c r="I294" s="253"/>
      <c r="J294" s="253"/>
      <c r="K294" s="253"/>
      <c r="L294" s="253"/>
      <c r="M294" s="253"/>
      <c r="N294" s="253"/>
      <c r="O294" s="253"/>
      <c r="P294" s="253"/>
      <c r="Q294" s="253"/>
      <c r="R294" s="253"/>
      <c r="S294" s="253"/>
      <c r="T294" s="253"/>
      <c r="U294" s="253"/>
      <c r="V294" s="253"/>
      <c r="W294" s="253"/>
      <c r="X294" s="253"/>
      <c r="Y294" s="253"/>
      <c r="Z294" s="253"/>
      <c r="AA294" s="253"/>
      <c r="AB294" s="2031" t="s">
        <v>3343</v>
      </c>
      <c r="AC294" s="9751" t="s">
        <v>2520</v>
      </c>
      <c r="AD294" s="9785"/>
      <c r="AE294" s="9786"/>
      <c r="AF294" s="9786"/>
      <c r="AG294" s="9786"/>
      <c r="AH294" s="9786"/>
      <c r="AI294" s="9786"/>
      <c r="AJ294" s="9786"/>
      <c r="AK294" s="2013"/>
      <c r="AO294" s="2027"/>
      <c r="AP294" s="2027"/>
      <c r="BL294" s="2027"/>
      <c r="BM294" s="2027"/>
    </row>
    <row r="295" spans="1:65" ht="13.5" customHeight="1">
      <c r="A295" s="2013"/>
      <c r="B295" s="253"/>
      <c r="C295" s="253"/>
      <c r="D295" s="253"/>
      <c r="E295" s="253"/>
      <c r="F295" s="253"/>
      <c r="G295" s="253"/>
      <c r="H295" s="253"/>
      <c r="I295" s="253"/>
      <c r="J295" s="253"/>
      <c r="K295" s="253"/>
      <c r="L295" s="253"/>
      <c r="M295" s="253"/>
      <c r="N295" s="253"/>
      <c r="O295" s="253"/>
      <c r="P295" s="253"/>
      <c r="Q295" s="253"/>
      <c r="R295" s="253"/>
      <c r="S295" s="253"/>
      <c r="T295" s="253"/>
      <c r="U295" s="253"/>
      <c r="V295" s="253"/>
      <c r="W295" s="253"/>
      <c r="X295" s="253"/>
      <c r="Y295" s="253"/>
      <c r="Z295" s="253"/>
      <c r="AA295" s="253"/>
      <c r="AB295" s="253"/>
      <c r="AC295" s="9128"/>
      <c r="AD295" s="9787"/>
      <c r="AE295" s="9128"/>
      <c r="AF295" s="9788"/>
      <c r="AG295" s="9788"/>
      <c r="AH295" s="9788"/>
      <c r="AI295" s="9788"/>
      <c r="AJ295" s="9788"/>
      <c r="AK295" s="2013"/>
      <c r="AO295" s="2027"/>
      <c r="AP295" s="2027"/>
      <c r="BL295" s="2027"/>
      <c r="BM295" s="2027"/>
    </row>
    <row r="296" spans="1:65" ht="13.5" customHeight="1">
      <c r="A296" s="2013"/>
      <c r="B296" s="253"/>
      <c r="C296" s="734" t="s">
        <v>2084</v>
      </c>
      <c r="D296" s="511" t="s">
        <v>3344</v>
      </c>
      <c r="E296" s="253"/>
      <c r="F296" s="253"/>
      <c r="G296" s="253"/>
      <c r="H296" s="253"/>
      <c r="I296" s="253"/>
      <c r="J296" s="253"/>
      <c r="K296" s="253"/>
      <c r="L296" s="253"/>
      <c r="M296" s="253"/>
      <c r="N296" s="253"/>
      <c r="O296" s="253"/>
      <c r="P296" s="253"/>
      <c r="Q296" s="253"/>
      <c r="R296" s="253"/>
      <c r="S296" s="253"/>
      <c r="T296" s="253"/>
      <c r="U296" s="253"/>
      <c r="V296" s="253"/>
      <c r="W296" s="253"/>
      <c r="X296" s="253"/>
      <c r="Y296" s="253"/>
      <c r="Z296" s="253"/>
      <c r="AA296" s="253"/>
      <c r="AB296" s="2031" t="s">
        <v>2099</v>
      </c>
      <c r="AC296" s="9751" t="s">
        <v>2522</v>
      </c>
      <c r="AD296" s="9785"/>
      <c r="AE296" s="9786"/>
      <c r="AF296" s="9786"/>
      <c r="AG296" s="9786"/>
      <c r="AH296" s="9786"/>
      <c r="AI296" s="9786"/>
      <c r="AJ296" s="9786"/>
      <c r="AK296" s="2013"/>
      <c r="AO296" s="2027"/>
      <c r="AP296" s="2027"/>
      <c r="BL296" s="2027"/>
      <c r="BM296" s="2027"/>
    </row>
    <row r="297" spans="1:65" ht="13.5" customHeight="1">
      <c r="A297" s="2013"/>
      <c r="B297" s="253"/>
      <c r="C297" s="253"/>
      <c r="D297" s="253"/>
      <c r="E297" s="253"/>
      <c r="F297" s="253"/>
      <c r="G297" s="253"/>
      <c r="H297" s="253"/>
      <c r="I297" s="253"/>
      <c r="J297" s="253"/>
      <c r="K297" s="253"/>
      <c r="L297" s="253"/>
      <c r="M297" s="253"/>
      <c r="N297" s="253"/>
      <c r="O297" s="253"/>
      <c r="P297" s="253"/>
      <c r="Q297" s="253"/>
      <c r="R297" s="253"/>
      <c r="S297" s="253"/>
      <c r="T297" s="253"/>
      <c r="U297" s="253"/>
      <c r="V297" s="253"/>
      <c r="W297" s="253"/>
      <c r="X297" s="253"/>
      <c r="Y297" s="253"/>
      <c r="Z297" s="253"/>
      <c r="AA297" s="253"/>
      <c r="AB297" s="253"/>
      <c r="AC297" s="9128"/>
      <c r="AD297" s="9787"/>
      <c r="AE297" s="9128"/>
      <c r="AF297" s="9788"/>
      <c r="AG297" s="9788"/>
      <c r="AH297" s="9788"/>
      <c r="AI297" s="9788"/>
      <c r="AJ297" s="9788"/>
      <c r="AK297" s="2013"/>
      <c r="AO297" s="2027"/>
      <c r="AP297" s="2027"/>
      <c r="BL297" s="2027"/>
      <c r="BM297" s="2027"/>
    </row>
    <row r="298" spans="1:65" ht="13.5" customHeight="1">
      <c r="A298" s="2013"/>
      <c r="B298" s="253"/>
      <c r="C298" s="734" t="s">
        <v>2086</v>
      </c>
      <c r="D298" s="511" t="s">
        <v>3345</v>
      </c>
      <c r="E298" s="253"/>
      <c r="F298" s="253"/>
      <c r="G298" s="253"/>
      <c r="H298" s="253"/>
      <c r="I298" s="253"/>
      <c r="J298" s="253"/>
      <c r="K298" s="253"/>
      <c r="L298" s="253"/>
      <c r="M298" s="253"/>
      <c r="N298" s="253"/>
      <c r="O298" s="253"/>
      <c r="P298" s="253"/>
      <c r="Q298" s="253"/>
      <c r="R298" s="253"/>
      <c r="S298" s="253"/>
      <c r="T298" s="253"/>
      <c r="U298" s="253"/>
      <c r="V298" s="253"/>
      <c r="W298" s="253"/>
      <c r="X298" s="253"/>
      <c r="Y298" s="253"/>
      <c r="Z298" s="253"/>
      <c r="AA298" s="253"/>
      <c r="AB298" s="2031" t="s">
        <v>3346</v>
      </c>
      <c r="AC298" s="9751" t="s">
        <v>3347</v>
      </c>
      <c r="AD298" s="9785"/>
      <c r="AE298" s="9786"/>
      <c r="AF298" s="9786"/>
      <c r="AG298" s="9786"/>
      <c r="AH298" s="9786"/>
      <c r="AI298" s="9786"/>
      <c r="AJ298" s="9786"/>
      <c r="AK298" s="2013"/>
      <c r="AO298" s="2027"/>
      <c r="AP298" s="2027"/>
      <c r="BL298" s="2027"/>
      <c r="BM298" s="2027"/>
    </row>
    <row r="299" spans="1:65" ht="13.5" customHeight="1">
      <c r="A299" s="2013"/>
      <c r="B299" s="253"/>
      <c r="C299" s="734" t="s">
        <v>3256</v>
      </c>
      <c r="D299" s="344" t="s">
        <v>3348</v>
      </c>
      <c r="E299" s="253"/>
      <c r="F299" s="253"/>
      <c r="G299" s="253"/>
      <c r="H299" s="253"/>
      <c r="I299" s="253"/>
      <c r="J299" s="253"/>
      <c r="K299" s="253"/>
      <c r="L299" s="253"/>
      <c r="M299" s="253"/>
      <c r="N299" s="253"/>
      <c r="O299" s="253"/>
      <c r="P299" s="9805"/>
      <c r="Q299" s="9846"/>
      <c r="R299" s="9846"/>
      <c r="S299" s="9846"/>
      <c r="T299" s="9846"/>
      <c r="U299" s="9846"/>
      <c r="V299" s="9846"/>
      <c r="W299" s="9846"/>
      <c r="X299" s="9846"/>
      <c r="Y299" s="9846"/>
      <c r="Z299" s="9846"/>
      <c r="AA299" s="9846"/>
      <c r="AB299" s="253"/>
      <c r="AC299" s="9128"/>
      <c r="AD299" s="9787"/>
      <c r="AE299" s="9128"/>
      <c r="AF299" s="9788"/>
      <c r="AG299" s="9788"/>
      <c r="AH299" s="9788"/>
      <c r="AI299" s="9788"/>
      <c r="AJ299" s="9788"/>
      <c r="AK299" s="2013"/>
      <c r="AO299" s="2027"/>
      <c r="AP299" s="2027"/>
      <c r="BL299" s="2027"/>
      <c r="BM299" s="2027"/>
    </row>
    <row r="300" spans="1:65" ht="13.5" customHeight="1">
      <c r="A300" s="2013"/>
      <c r="B300" s="253"/>
      <c r="C300" s="253"/>
      <c r="D300" s="9805"/>
      <c r="E300" s="9806"/>
      <c r="F300" s="9806"/>
      <c r="G300" s="9806"/>
      <c r="H300" s="9806"/>
      <c r="I300" s="9806"/>
      <c r="J300" s="9806"/>
      <c r="K300" s="9806"/>
      <c r="L300" s="9806"/>
      <c r="M300" s="9806"/>
      <c r="N300" s="9806"/>
      <c r="O300" s="9806"/>
      <c r="P300" s="9806"/>
      <c r="Q300" s="9806"/>
      <c r="R300" s="9806"/>
      <c r="S300" s="9806"/>
      <c r="T300" s="9806"/>
      <c r="U300" s="9806"/>
      <c r="V300" s="9806"/>
      <c r="W300" s="9806"/>
      <c r="X300" s="9806"/>
      <c r="Y300" s="9806"/>
      <c r="Z300" s="9806"/>
      <c r="AA300" s="9806"/>
      <c r="AB300" s="253"/>
      <c r="AC300" s="9751" t="s">
        <v>3349</v>
      </c>
      <c r="AD300" s="9785"/>
      <c r="AE300" s="9786"/>
      <c r="AF300" s="9786"/>
      <c r="AG300" s="9786"/>
      <c r="AH300" s="9786"/>
      <c r="AI300" s="9786"/>
      <c r="AJ300" s="9786"/>
      <c r="AK300" s="2013"/>
      <c r="AO300" s="2027"/>
      <c r="AP300" s="2027"/>
      <c r="BL300" s="2027"/>
      <c r="BM300" s="2027"/>
    </row>
    <row r="301" spans="1:65" ht="13.5" customHeight="1">
      <c r="A301" s="2013"/>
      <c r="B301" s="253"/>
      <c r="C301" s="734" t="s">
        <v>3350</v>
      </c>
      <c r="D301" s="511" t="s">
        <v>3351</v>
      </c>
      <c r="E301" s="253"/>
      <c r="F301" s="253"/>
      <c r="G301" s="253"/>
      <c r="H301" s="253"/>
      <c r="I301" s="253"/>
      <c r="J301" s="253"/>
      <c r="K301" s="253"/>
      <c r="L301" s="253"/>
      <c r="M301" s="253"/>
      <c r="N301" s="253"/>
      <c r="O301" s="253"/>
      <c r="P301" s="253"/>
      <c r="Q301" s="253"/>
      <c r="R301" s="253"/>
      <c r="S301" s="253"/>
      <c r="T301" s="253"/>
      <c r="U301" s="253"/>
      <c r="V301" s="253"/>
      <c r="W301" s="253"/>
      <c r="X301" s="253"/>
      <c r="Y301" s="253"/>
      <c r="Z301" s="253"/>
      <c r="AA301" s="253"/>
      <c r="AB301" s="253"/>
      <c r="AC301" s="2073"/>
      <c r="AD301" s="2074"/>
      <c r="AE301" s="253"/>
      <c r="AF301" s="253"/>
      <c r="AG301" s="253"/>
      <c r="AH301" s="253"/>
      <c r="AI301" s="253"/>
      <c r="AJ301" s="253"/>
      <c r="AK301" s="2013"/>
      <c r="AO301" s="2027"/>
      <c r="AP301" s="2027"/>
      <c r="BL301" s="2027"/>
      <c r="BM301" s="2027"/>
    </row>
    <row r="302" spans="1:65" ht="13.5" customHeight="1">
      <c r="A302" s="2013"/>
      <c r="B302" s="253"/>
      <c r="C302" s="734" t="s">
        <v>3252</v>
      </c>
      <c r="D302" s="511" t="s">
        <v>3352</v>
      </c>
      <c r="E302" s="253"/>
      <c r="F302" s="253"/>
      <c r="G302" s="253"/>
      <c r="H302" s="253"/>
      <c r="I302" s="253"/>
      <c r="J302" s="253"/>
      <c r="K302" s="253"/>
      <c r="L302" s="253"/>
      <c r="M302" s="253"/>
      <c r="N302" s="253"/>
      <c r="O302" s="253"/>
      <c r="P302" s="253"/>
      <c r="Q302" s="253"/>
      <c r="R302" s="253"/>
      <c r="S302" s="253"/>
      <c r="T302" s="253"/>
      <c r="U302" s="9751" t="s">
        <v>3353</v>
      </c>
      <c r="V302" s="9785"/>
      <c r="W302" s="9786"/>
      <c r="X302" s="9786"/>
      <c r="Y302" s="9786"/>
      <c r="Z302" s="9786"/>
      <c r="AA302" s="9786"/>
      <c r="AB302" s="9786"/>
      <c r="AC302" s="2073"/>
      <c r="AD302" s="2074"/>
      <c r="AE302" s="253"/>
      <c r="AF302" s="253"/>
      <c r="AG302" s="253"/>
      <c r="AH302" s="253"/>
      <c r="AI302" s="253"/>
      <c r="AJ302" s="253"/>
      <c r="AK302" s="2013"/>
      <c r="AO302" s="2027"/>
      <c r="AP302" s="2027"/>
      <c r="BL302" s="2027"/>
      <c r="BM302" s="2027"/>
    </row>
    <row r="303" spans="1:65" ht="13.5" customHeight="1">
      <c r="A303" s="2013"/>
      <c r="B303" s="253"/>
      <c r="C303" s="734" t="s">
        <v>2084</v>
      </c>
      <c r="D303" s="511" t="s">
        <v>3354</v>
      </c>
      <c r="E303" s="253"/>
      <c r="F303" s="253"/>
      <c r="G303" s="253"/>
      <c r="H303" s="253"/>
      <c r="I303" s="253"/>
      <c r="J303" s="253"/>
      <c r="K303" s="253"/>
      <c r="L303" s="253"/>
      <c r="M303" s="253"/>
      <c r="N303" s="253"/>
      <c r="O303" s="253"/>
      <c r="P303" s="253"/>
      <c r="Q303" s="253"/>
      <c r="R303" s="253"/>
      <c r="S303" s="253"/>
      <c r="T303" s="2031" t="s">
        <v>612</v>
      </c>
      <c r="U303" s="9751" t="s">
        <v>3355</v>
      </c>
      <c r="V303" s="9785"/>
      <c r="W303" s="9786"/>
      <c r="X303" s="9786"/>
      <c r="Y303" s="9786"/>
      <c r="Z303" s="9786"/>
      <c r="AA303" s="9786"/>
      <c r="AB303" s="9786"/>
      <c r="AC303" s="2073"/>
      <c r="AD303" s="2074"/>
      <c r="AE303" s="253"/>
      <c r="AF303" s="253"/>
      <c r="AG303" s="253"/>
      <c r="AH303" s="253"/>
      <c r="AI303" s="253"/>
      <c r="AJ303" s="253"/>
      <c r="AK303" s="2013"/>
      <c r="BL303" s="2027"/>
      <c r="BM303" s="2027"/>
    </row>
    <row r="304" spans="1:65" ht="13.5" customHeight="1">
      <c r="A304" s="2013"/>
      <c r="B304" s="253"/>
      <c r="C304" s="734" t="s">
        <v>2086</v>
      </c>
      <c r="D304" s="511" t="s">
        <v>3356</v>
      </c>
      <c r="E304" s="253"/>
      <c r="F304" s="253"/>
      <c r="G304" s="253"/>
      <c r="H304" s="253"/>
      <c r="I304" s="253"/>
      <c r="J304" s="253"/>
      <c r="K304" s="253"/>
      <c r="L304" s="253"/>
      <c r="M304" s="253"/>
      <c r="N304" s="253"/>
      <c r="O304" s="253"/>
      <c r="P304" s="253"/>
      <c r="Q304" s="253"/>
      <c r="R304" s="253"/>
      <c r="S304" s="253"/>
      <c r="T304" s="2031" t="s">
        <v>665</v>
      </c>
      <c r="U304" s="9751" t="s">
        <v>3357</v>
      </c>
      <c r="V304" s="9785"/>
      <c r="W304" s="9786"/>
      <c r="X304" s="9786"/>
      <c r="Y304" s="9786"/>
      <c r="Z304" s="9786"/>
      <c r="AA304" s="9786"/>
      <c r="AB304" s="9786"/>
      <c r="AC304" s="2073"/>
      <c r="AD304" s="2074"/>
      <c r="AE304" s="253"/>
      <c r="AF304" s="253"/>
      <c r="AG304" s="253"/>
      <c r="AH304" s="253"/>
      <c r="AI304" s="253"/>
      <c r="AJ304" s="253"/>
      <c r="AK304" s="2013"/>
      <c r="BL304" s="2027"/>
      <c r="BM304" s="2027"/>
    </row>
    <row r="305" spans="1:74" ht="13.5" customHeight="1">
      <c r="A305" s="2013"/>
      <c r="B305" s="253"/>
      <c r="C305" s="734" t="s">
        <v>3256</v>
      </c>
      <c r="D305" s="511" t="s">
        <v>3358</v>
      </c>
      <c r="E305" s="253"/>
      <c r="F305" s="253"/>
      <c r="G305" s="253"/>
      <c r="H305" s="253"/>
      <c r="I305" s="253"/>
      <c r="J305" s="253"/>
      <c r="K305" s="253"/>
      <c r="L305" s="253"/>
      <c r="M305" s="253"/>
      <c r="N305" s="253"/>
      <c r="O305" s="253"/>
      <c r="P305" s="253"/>
      <c r="Q305" s="253"/>
      <c r="R305" s="253"/>
      <c r="S305" s="253"/>
      <c r="T305" s="2031" t="s">
        <v>647</v>
      </c>
      <c r="U305" s="9751" t="s">
        <v>3359</v>
      </c>
      <c r="V305" s="9785"/>
      <c r="W305" s="9786"/>
      <c r="X305" s="9786"/>
      <c r="Y305" s="9786"/>
      <c r="Z305" s="9786"/>
      <c r="AA305" s="9786"/>
      <c r="AB305" s="9786"/>
      <c r="AC305" s="2073"/>
      <c r="AD305" s="2074"/>
      <c r="AE305" s="253"/>
      <c r="AF305" s="253"/>
      <c r="AG305" s="253"/>
      <c r="AH305" s="253"/>
      <c r="AI305" s="253"/>
      <c r="AJ305" s="253"/>
      <c r="AK305" s="2013"/>
      <c r="BL305" s="2027"/>
      <c r="BM305" s="2027"/>
    </row>
    <row r="306" spans="1:74" ht="13.5" customHeight="1">
      <c r="A306" s="2013"/>
      <c r="B306" s="253"/>
      <c r="C306" s="734" t="s">
        <v>3258</v>
      </c>
      <c r="D306" s="511" t="s">
        <v>3360</v>
      </c>
      <c r="E306" s="253"/>
      <c r="F306" s="253"/>
      <c r="G306" s="253"/>
      <c r="H306" s="253"/>
      <c r="I306" s="253"/>
      <c r="J306" s="253"/>
      <c r="K306" s="253"/>
      <c r="L306" s="253"/>
      <c r="M306" s="253"/>
      <c r="N306" s="253"/>
      <c r="O306" s="253"/>
      <c r="P306" s="253"/>
      <c r="Q306" s="253"/>
      <c r="R306" s="253"/>
      <c r="S306" s="253"/>
      <c r="T306" s="2031" t="s">
        <v>665</v>
      </c>
      <c r="U306" s="9751" t="s">
        <v>3361</v>
      </c>
      <c r="V306" s="9785"/>
      <c r="W306" s="9786"/>
      <c r="X306" s="9786"/>
      <c r="Y306" s="9786"/>
      <c r="Z306" s="9786"/>
      <c r="AA306" s="9786"/>
      <c r="AB306" s="9786"/>
      <c r="AC306" s="2073"/>
      <c r="AD306" s="2074"/>
      <c r="AE306" s="253"/>
      <c r="AF306" s="253"/>
      <c r="AG306" s="253"/>
      <c r="AH306" s="253"/>
      <c r="AI306" s="253"/>
      <c r="AJ306" s="253"/>
      <c r="AK306" s="2013"/>
      <c r="BL306" s="2027"/>
      <c r="BM306" s="2027"/>
    </row>
    <row r="307" spans="1:74" ht="13.5" customHeight="1">
      <c r="A307" s="2013"/>
      <c r="B307" s="253"/>
      <c r="C307" s="734" t="s">
        <v>3362</v>
      </c>
      <c r="D307" s="511" t="s">
        <v>3363</v>
      </c>
      <c r="E307" s="253"/>
      <c r="F307" s="253"/>
      <c r="G307" s="253"/>
      <c r="H307" s="253"/>
      <c r="I307" s="253"/>
      <c r="J307" s="253"/>
      <c r="K307" s="253"/>
      <c r="L307" s="253"/>
      <c r="M307" s="253"/>
      <c r="N307" s="253"/>
      <c r="O307" s="9805"/>
      <c r="P307" s="9806"/>
      <c r="Q307" s="9806"/>
      <c r="R307" s="9806"/>
      <c r="S307" s="9806"/>
      <c r="T307" s="253"/>
      <c r="U307" s="9851"/>
      <c r="V307" s="9860"/>
      <c r="W307" s="9128"/>
      <c r="X307" s="9788"/>
      <c r="Y307" s="9788"/>
      <c r="Z307" s="9788"/>
      <c r="AA307" s="9788"/>
      <c r="AB307" s="9787"/>
      <c r="AC307" s="2073"/>
      <c r="AD307" s="2074"/>
      <c r="AE307" s="253"/>
      <c r="AF307" s="253"/>
      <c r="AG307" s="253"/>
      <c r="AH307" s="253"/>
      <c r="AI307" s="253"/>
      <c r="AJ307" s="253"/>
      <c r="AK307" s="2013"/>
      <c r="BL307" s="2027"/>
      <c r="BM307" s="2027"/>
    </row>
    <row r="308" spans="1:74" ht="13.5" customHeight="1">
      <c r="A308" s="2013"/>
      <c r="B308" s="253"/>
      <c r="C308" s="253"/>
      <c r="D308" s="9805"/>
      <c r="E308" s="9806"/>
      <c r="F308" s="9806"/>
      <c r="G308" s="9806"/>
      <c r="H308" s="9806"/>
      <c r="I308" s="9806"/>
      <c r="J308" s="9806"/>
      <c r="K308" s="9806"/>
      <c r="L308" s="9806"/>
      <c r="M308" s="9806"/>
      <c r="N308" s="9806"/>
      <c r="O308" s="9806"/>
      <c r="P308" s="9806"/>
      <c r="Q308" s="9806"/>
      <c r="R308" s="9806"/>
      <c r="S308" s="9806"/>
      <c r="T308" s="253"/>
      <c r="U308" s="9751" t="s">
        <v>3364</v>
      </c>
      <c r="V308" s="9785"/>
      <c r="W308" s="9858"/>
      <c r="X308" s="9786"/>
      <c r="Y308" s="9786"/>
      <c r="Z308" s="9786"/>
      <c r="AA308" s="9786"/>
      <c r="AB308" s="9859"/>
      <c r="AC308" s="2073"/>
      <c r="AD308" s="2074"/>
      <c r="AE308" s="253"/>
      <c r="AF308" s="253"/>
      <c r="AG308" s="253"/>
      <c r="AH308" s="253"/>
      <c r="AI308" s="253"/>
      <c r="AJ308" s="253"/>
      <c r="AK308" s="2013"/>
      <c r="BL308" s="2027"/>
      <c r="BM308" s="2027"/>
    </row>
    <row r="309" spans="1:74" ht="13.5" customHeight="1">
      <c r="A309" s="2013"/>
      <c r="B309" s="253"/>
      <c r="C309" s="253"/>
      <c r="D309" s="253"/>
      <c r="E309" s="253"/>
      <c r="F309" s="253"/>
      <c r="G309" s="253"/>
      <c r="H309" s="253"/>
      <c r="I309" s="253"/>
      <c r="J309" s="253"/>
      <c r="K309" s="253"/>
      <c r="L309" s="253"/>
      <c r="M309" s="253"/>
      <c r="N309" s="253"/>
      <c r="O309" s="253"/>
      <c r="P309" s="253"/>
      <c r="Q309" s="253"/>
      <c r="R309" s="253"/>
      <c r="S309" s="253"/>
      <c r="T309" s="253"/>
      <c r="U309" s="253"/>
      <c r="V309" s="253"/>
      <c r="W309" s="253"/>
      <c r="X309" s="253"/>
      <c r="Y309" s="253"/>
      <c r="Z309" s="253"/>
      <c r="AA309" s="253"/>
      <c r="AB309" s="253"/>
      <c r="AC309" s="9128"/>
      <c r="AD309" s="9787"/>
      <c r="AE309" s="9128"/>
      <c r="AF309" s="9788"/>
      <c r="AG309" s="9788"/>
      <c r="AH309" s="9788"/>
      <c r="AI309" s="9788"/>
      <c r="AJ309" s="9788"/>
      <c r="AK309" s="2013"/>
      <c r="BL309" s="2027"/>
      <c r="BM309" s="2027"/>
    </row>
    <row r="310" spans="1:74" ht="15" customHeight="1">
      <c r="A310" s="2013"/>
      <c r="B310" s="253"/>
      <c r="C310" s="734" t="s">
        <v>3365</v>
      </c>
      <c r="D310" s="511" t="s">
        <v>3366</v>
      </c>
      <c r="E310" s="253"/>
      <c r="F310" s="253"/>
      <c r="G310" s="253"/>
      <c r="H310" s="253"/>
      <c r="I310" s="253"/>
      <c r="J310" s="253"/>
      <c r="K310" s="253"/>
      <c r="L310" s="253"/>
      <c r="M310" s="253"/>
      <c r="N310" s="253"/>
      <c r="O310" s="253"/>
      <c r="P310" s="253"/>
      <c r="Q310" s="253"/>
      <c r="R310" s="253"/>
      <c r="S310" s="253"/>
      <c r="T310" s="253"/>
      <c r="U310" s="253"/>
      <c r="V310" s="253"/>
      <c r="W310" s="253"/>
      <c r="X310" s="253"/>
      <c r="Y310" s="253"/>
      <c r="Z310" s="253"/>
      <c r="AA310" s="253"/>
      <c r="AB310" s="2031" t="s">
        <v>1877</v>
      </c>
      <c r="AC310" s="9751" t="s">
        <v>3367</v>
      </c>
      <c r="AD310" s="9785"/>
      <c r="AE310" s="9861">
        <f>IF(ISERROR(SUM(W302:W308)),"",SUM(W302:W308))</f>
        <v>0</v>
      </c>
      <c r="AF310" s="9861"/>
      <c r="AG310" s="9861"/>
      <c r="AH310" s="9861"/>
      <c r="AI310" s="9861"/>
      <c r="AJ310" s="9861"/>
      <c r="AK310" s="2013"/>
      <c r="BL310" s="2027"/>
      <c r="BM310" s="2027"/>
    </row>
    <row r="311" spans="1:74" ht="15" customHeight="1">
      <c r="A311" s="2013"/>
      <c r="B311" s="253"/>
      <c r="C311" s="734" t="s">
        <v>3368</v>
      </c>
      <c r="D311" s="511" t="s">
        <v>3369</v>
      </c>
      <c r="E311" s="253"/>
      <c r="F311" s="253"/>
      <c r="G311" s="253"/>
      <c r="H311" s="253"/>
      <c r="I311" s="253"/>
      <c r="J311" s="253"/>
      <c r="K311" s="253"/>
      <c r="L311" s="253"/>
      <c r="M311" s="253"/>
      <c r="N311" s="253"/>
      <c r="O311" s="253"/>
      <c r="P311" s="253"/>
      <c r="Q311" s="141"/>
      <c r="R311" s="9804"/>
      <c r="S311" s="9804"/>
      <c r="T311" s="9804"/>
      <c r="U311" s="9804"/>
      <c r="V311" s="9804"/>
      <c r="W311" s="9804"/>
      <c r="X311" s="9804"/>
      <c r="Y311" s="9804"/>
      <c r="Z311" s="9804"/>
      <c r="AA311" s="9804"/>
      <c r="AB311" s="253"/>
      <c r="AC311" s="9128"/>
      <c r="AD311" s="9787"/>
      <c r="AE311" s="9128"/>
      <c r="AF311" s="9788"/>
      <c r="AG311" s="9788"/>
      <c r="AH311" s="9788"/>
      <c r="AI311" s="9788"/>
      <c r="AJ311" s="9788"/>
      <c r="AK311" s="2013"/>
      <c r="BL311" s="2027"/>
      <c r="BM311" s="2027"/>
    </row>
    <row r="312" spans="1:74" ht="15" customHeight="1">
      <c r="A312" s="2013"/>
      <c r="B312" s="253"/>
      <c r="C312" s="253"/>
      <c r="D312" s="9805"/>
      <c r="E312" s="9846"/>
      <c r="F312" s="9846"/>
      <c r="G312" s="9846"/>
      <c r="H312" s="9846"/>
      <c r="I312" s="9846"/>
      <c r="J312" s="9846"/>
      <c r="K312" s="9846"/>
      <c r="L312" s="9846"/>
      <c r="M312" s="9846"/>
      <c r="N312" s="9846"/>
      <c r="O312" s="9846"/>
      <c r="P312" s="9846"/>
      <c r="Q312" s="9846"/>
      <c r="R312" s="9846"/>
      <c r="S312" s="9846"/>
      <c r="T312" s="9846"/>
      <c r="U312" s="9846"/>
      <c r="V312" s="9846"/>
      <c r="W312" s="9846"/>
      <c r="X312" s="9846"/>
      <c r="Y312" s="9846"/>
      <c r="Z312" s="9846"/>
      <c r="AA312" s="9846"/>
      <c r="AB312" s="253"/>
      <c r="AC312" s="9751">
        <v>23</v>
      </c>
      <c r="AD312" s="9785"/>
      <c r="AE312" s="9786"/>
      <c r="AF312" s="9786"/>
      <c r="AG312" s="9786"/>
      <c r="AH312" s="9786"/>
      <c r="AI312" s="9786"/>
      <c r="AJ312" s="9786"/>
      <c r="AK312" s="2013"/>
      <c r="BL312" s="2027"/>
      <c r="BM312" s="2027"/>
    </row>
    <row r="313" spans="1:74" ht="15" customHeight="1">
      <c r="A313" s="2013"/>
      <c r="B313" s="253"/>
      <c r="C313" s="253"/>
      <c r="D313" s="253"/>
      <c r="E313" s="253"/>
      <c r="F313" s="253"/>
      <c r="G313" s="253"/>
      <c r="H313" s="253"/>
      <c r="I313" s="253"/>
      <c r="J313" s="253"/>
      <c r="K313" s="253"/>
      <c r="L313" s="253"/>
      <c r="M313" s="253"/>
      <c r="N313" s="253"/>
      <c r="O313" s="253"/>
      <c r="P313" s="253"/>
      <c r="Q313" s="253"/>
      <c r="R313" s="253"/>
      <c r="S313" s="253"/>
      <c r="T313" s="253"/>
      <c r="U313" s="253"/>
      <c r="V313" s="253"/>
      <c r="W313" s="253"/>
      <c r="X313" s="253"/>
      <c r="Y313" s="253"/>
      <c r="Z313" s="253"/>
      <c r="AA313" s="253"/>
      <c r="AB313" s="253"/>
      <c r="AC313" s="9851"/>
      <c r="AD313" s="9860"/>
      <c r="AE313" s="9128"/>
      <c r="AF313" s="9788"/>
      <c r="AG313" s="9788"/>
      <c r="AH313" s="9788"/>
      <c r="AI313" s="9788"/>
      <c r="AJ313" s="9788"/>
      <c r="AK313" s="2013"/>
      <c r="BL313" s="2027"/>
      <c r="BM313" s="2027"/>
    </row>
    <row r="314" spans="1:74" ht="15" customHeight="1">
      <c r="A314" s="2013"/>
      <c r="B314" s="253"/>
      <c r="C314" s="734" t="s">
        <v>3370</v>
      </c>
      <c r="D314" s="511" t="s">
        <v>3371</v>
      </c>
      <c r="E314" s="253"/>
      <c r="F314" s="253"/>
      <c r="G314" s="253"/>
      <c r="H314" s="253"/>
      <c r="I314" s="253"/>
      <c r="J314" s="253"/>
      <c r="K314" s="253"/>
      <c r="L314" s="253"/>
      <c r="M314" s="253"/>
      <c r="N314" s="253"/>
      <c r="O314" s="253"/>
      <c r="P314" s="253"/>
      <c r="Q314" s="253"/>
      <c r="R314" s="253"/>
      <c r="S314" s="253"/>
      <c r="T314" s="253"/>
      <c r="U314" s="253"/>
      <c r="V314" s="253"/>
      <c r="W314" s="253"/>
      <c r="X314" s="253"/>
      <c r="Y314" s="253"/>
      <c r="Z314" s="253"/>
      <c r="AA314" s="253"/>
      <c r="AB314" s="2031" t="s">
        <v>665</v>
      </c>
      <c r="AC314" s="9751">
        <v>24</v>
      </c>
      <c r="AD314" s="9785"/>
      <c r="AE314" s="9861">
        <f>IF(ISERROR(SUM(AE287,AE289,AE291,AE294,AE296,AE298,AE300,AE310,AE312)),"",SUM(AE287,AE289,AE291,AE294,AE296,AE298,AE300,AE310,AE312))</f>
        <v>0</v>
      </c>
      <c r="AF314" s="9861"/>
      <c r="AG314" s="9861"/>
      <c r="AH314" s="9861"/>
      <c r="AI314" s="9861"/>
      <c r="AJ314" s="9861"/>
      <c r="AK314" s="2013"/>
      <c r="BL314" s="2027"/>
      <c r="BM314" s="2027"/>
    </row>
    <row r="315" spans="1:74" ht="15" customHeight="1">
      <c r="A315" s="2013"/>
      <c r="B315" s="253"/>
      <c r="C315" s="253"/>
      <c r="D315" s="253"/>
      <c r="E315" s="253"/>
      <c r="F315" s="253"/>
      <c r="G315" s="253"/>
      <c r="H315" s="253"/>
      <c r="I315" s="253"/>
      <c r="J315" s="253"/>
      <c r="K315" s="253"/>
      <c r="L315" s="253"/>
      <c r="M315" s="253"/>
      <c r="N315" s="253"/>
      <c r="O315" s="253"/>
      <c r="P315" s="253"/>
      <c r="Q315" s="253"/>
      <c r="R315" s="253"/>
      <c r="S315" s="253"/>
      <c r="T315" s="253"/>
      <c r="U315" s="253"/>
      <c r="V315" s="253"/>
      <c r="W315" s="253"/>
      <c r="X315" s="253"/>
      <c r="Y315" s="253"/>
      <c r="Z315" s="253"/>
      <c r="AA315" s="253"/>
      <c r="AB315" s="253"/>
      <c r="AC315" s="9851"/>
      <c r="AD315" s="9860"/>
      <c r="AE315" s="9128"/>
      <c r="AF315" s="9788"/>
      <c r="AG315" s="9788"/>
      <c r="AH315" s="9788"/>
      <c r="AI315" s="9788"/>
      <c r="AJ315" s="9788"/>
      <c r="AK315" s="2013"/>
      <c r="BL315" s="2027"/>
      <c r="BM315" s="2027"/>
    </row>
    <row r="316" spans="1:74" ht="15" customHeight="1">
      <c r="A316" s="2013"/>
      <c r="B316" s="253"/>
      <c r="C316" s="734" t="s">
        <v>3372</v>
      </c>
      <c r="D316" s="511" t="s">
        <v>3373</v>
      </c>
      <c r="E316" s="253"/>
      <c r="F316" s="253"/>
      <c r="G316" s="253"/>
      <c r="H316" s="253"/>
      <c r="I316" s="253"/>
      <c r="J316" s="253"/>
      <c r="K316" s="253"/>
      <c r="L316" s="253"/>
      <c r="M316" s="253"/>
      <c r="N316" s="253"/>
      <c r="O316" s="253"/>
      <c r="P316" s="253"/>
      <c r="Q316" s="253"/>
      <c r="R316" s="253"/>
      <c r="S316" s="253"/>
      <c r="T316" s="253"/>
      <c r="U316" s="253"/>
      <c r="V316" s="253"/>
      <c r="W316" s="253"/>
      <c r="X316" s="253"/>
      <c r="Y316" s="253"/>
      <c r="Z316" s="253"/>
      <c r="AA316" s="253"/>
      <c r="AB316" s="253"/>
      <c r="AC316" s="9751">
        <v>25</v>
      </c>
      <c r="AD316" s="9785"/>
      <c r="AE316" s="9786"/>
      <c r="AF316" s="9786"/>
      <c r="AG316" s="9786"/>
      <c r="AH316" s="9786"/>
      <c r="AI316" s="9786"/>
      <c r="AJ316" s="9786"/>
      <c r="AK316" s="2013"/>
      <c r="BL316" s="2027"/>
      <c r="BM316" s="2027"/>
    </row>
    <row r="317" spans="1:74" ht="15" customHeight="1" thickBot="1">
      <c r="A317" s="2013"/>
      <c r="B317" s="253"/>
      <c r="C317" s="734" t="s">
        <v>3374</v>
      </c>
      <c r="D317" s="511" t="s">
        <v>3375</v>
      </c>
      <c r="E317" s="253"/>
      <c r="F317" s="253"/>
      <c r="G317" s="253"/>
      <c r="H317" s="253"/>
      <c r="I317" s="253"/>
      <c r="J317" s="253"/>
      <c r="K317" s="253"/>
      <c r="L317" s="253"/>
      <c r="M317" s="253"/>
      <c r="N317" s="253"/>
      <c r="O317" s="253"/>
      <c r="P317" s="253"/>
      <c r="Q317" s="253"/>
      <c r="R317" s="253"/>
      <c r="S317" s="253"/>
      <c r="T317" s="253"/>
      <c r="U317" s="349"/>
      <c r="V317" s="349"/>
      <c r="W317" s="810" t="str">
        <f>"This is your "&amp;TaxYear</f>
        <v>This is your 2025</v>
      </c>
      <c r="X317" s="253"/>
      <c r="Y317" s="253"/>
      <c r="Z317" s="253"/>
      <c r="AA317" s="253"/>
      <c r="AB317" s="253"/>
      <c r="AC317" s="9851"/>
      <c r="AD317" s="9860"/>
      <c r="AE317" s="9128"/>
      <c r="AF317" s="9788"/>
      <c r="AG317" s="9788"/>
      <c r="AH317" s="9788"/>
      <c r="AI317" s="9788"/>
      <c r="AJ317" s="9788"/>
      <c r="AK317" s="2013"/>
      <c r="AM317" s="817" t="s">
        <v>771</v>
      </c>
      <c r="BL317" s="2027"/>
      <c r="BM317" s="2027"/>
    </row>
    <row r="318" spans="1:74" ht="15" customHeight="1" thickBot="1">
      <c r="A318" s="2013"/>
      <c r="B318" s="253"/>
      <c r="C318" s="734"/>
      <c r="D318" s="810" t="s">
        <v>3376</v>
      </c>
      <c r="E318" s="253"/>
      <c r="F318" s="253"/>
      <c r="G318" s="253"/>
      <c r="H318" s="253"/>
      <c r="I318" s="253"/>
      <c r="J318" s="253"/>
      <c r="K318" s="253"/>
      <c r="L318" s="253"/>
      <c r="M318" s="253"/>
      <c r="N318" s="253"/>
      <c r="O318" s="253"/>
      <c r="P318" s="253"/>
      <c r="Q318" s="253"/>
      <c r="R318" s="253"/>
      <c r="S318" s="253"/>
      <c r="T318" s="253"/>
      <c r="U318" s="253"/>
      <c r="V318" s="253"/>
      <c r="W318" s="253"/>
      <c r="X318" s="253"/>
      <c r="Y318" s="253"/>
      <c r="Z318" s="253"/>
      <c r="AA318" s="2075" t="s">
        <v>668</v>
      </c>
      <c r="AB318" s="2076"/>
      <c r="AC318" s="9868">
        <v>26</v>
      </c>
      <c r="AD318" s="9869"/>
      <c r="AE318" s="9861">
        <f>IF(AM318&lt;&gt;"",ROUND(AM318,0),ROUND(SUM(AE314,-AE316),0))</f>
        <v>0</v>
      </c>
      <c r="AF318" s="9861"/>
      <c r="AG318" s="9861"/>
      <c r="AH318" s="9861"/>
      <c r="AI318" s="9861"/>
      <c r="AJ318" s="9861"/>
      <c r="AK318" s="2013"/>
      <c r="AM318" s="449"/>
      <c r="AO318" s="2087"/>
      <c r="BL318" s="2027"/>
      <c r="BM318" s="2027"/>
    </row>
    <row r="319" spans="1:74" ht="18.75" thickTop="1">
      <c r="A319" s="2013"/>
      <c r="B319" s="257"/>
      <c r="C319" s="257"/>
      <c r="D319" s="257"/>
      <c r="E319" s="257"/>
      <c r="F319" s="257"/>
      <c r="G319" s="257"/>
      <c r="H319" s="257"/>
      <c r="I319" s="257"/>
      <c r="J319" s="257"/>
      <c r="K319" s="257"/>
      <c r="L319" s="257"/>
      <c r="M319" s="257"/>
      <c r="N319" s="257"/>
      <c r="O319" s="257"/>
      <c r="P319" s="257"/>
      <c r="Q319" s="257"/>
      <c r="R319" s="257"/>
      <c r="S319" s="257"/>
      <c r="T319" s="257"/>
      <c r="U319" s="257"/>
      <c r="V319" s="257"/>
      <c r="W319" s="257"/>
      <c r="X319" s="257"/>
      <c r="Y319" s="257"/>
      <c r="Z319" s="257"/>
      <c r="AA319" s="257"/>
      <c r="AB319" s="257"/>
      <c r="AC319" s="257"/>
      <c r="AD319" s="257"/>
      <c r="AE319" s="257"/>
      <c r="AF319" s="257"/>
      <c r="AG319" s="257"/>
      <c r="AH319" s="2077" t="s">
        <v>3377</v>
      </c>
      <c r="AI319" s="2078" t="str">
        <f>" ("&amp;TaxYear&amp;")"</f>
        <v xml:space="preserve"> (2025)</v>
      </c>
      <c r="AJ319" s="2079"/>
      <c r="AK319" s="2013"/>
      <c r="AO319" s="2050"/>
      <c r="AP319" s="2051"/>
      <c r="BL319" s="2027"/>
      <c r="BM319" s="2027"/>
      <c r="BO319" s="2027"/>
      <c r="BP319" s="2027"/>
      <c r="BQ319" s="2027"/>
      <c r="BR319" s="2027"/>
      <c r="BS319" s="2027"/>
      <c r="BT319" s="2027"/>
      <c r="BU319" s="2027"/>
      <c r="BV319" s="2027"/>
    </row>
    <row r="320" spans="1:74" ht="18.75" thickBot="1">
      <c r="A320" s="2013"/>
      <c r="B320" s="2080" t="str">
        <f>"Form 2555 ("&amp;TaxYear&amp;")"</f>
        <v>Form 2555 (2025)</v>
      </c>
      <c r="C320" s="721"/>
      <c r="D320" s="721"/>
      <c r="E320" s="721"/>
      <c r="F320" s="721"/>
      <c r="G320" s="721"/>
      <c r="H320" s="721"/>
      <c r="I320" s="721"/>
      <c r="J320" s="721"/>
      <c r="K320" s="721"/>
      <c r="L320" s="721"/>
      <c r="M320" s="721"/>
      <c r="N320" s="721"/>
      <c r="O320" s="721"/>
      <c r="P320" s="721"/>
      <c r="Q320" s="721"/>
      <c r="R320" s="721"/>
      <c r="S320" s="721"/>
      <c r="T320" s="721"/>
      <c r="U320" s="721"/>
      <c r="V320" s="721"/>
      <c r="W320" s="721"/>
      <c r="X320" s="721"/>
      <c r="Y320" s="721"/>
      <c r="Z320" s="721"/>
      <c r="AA320" s="721"/>
      <c r="AB320" s="721"/>
      <c r="AC320" s="721"/>
      <c r="AD320" s="721"/>
      <c r="AE320" s="721"/>
      <c r="AF320" s="721"/>
      <c r="AG320" s="721"/>
      <c r="AH320" s="721"/>
      <c r="AI320" s="2053" t="s">
        <v>2079</v>
      </c>
      <c r="AJ320" s="2054">
        <v>3</v>
      </c>
      <c r="AK320" s="2013"/>
      <c r="AO320" s="2050"/>
      <c r="AP320" s="2051"/>
      <c r="BL320" s="2027"/>
      <c r="BM320" s="2027"/>
      <c r="BO320" s="2027"/>
      <c r="BP320" s="2027"/>
      <c r="BQ320" s="2027"/>
      <c r="BR320" s="2027"/>
      <c r="BS320" s="2027"/>
      <c r="BT320" s="2027"/>
      <c r="BU320" s="2027"/>
      <c r="BV320" s="2027"/>
    </row>
    <row r="321" spans="1:65" ht="20.25" customHeight="1" thickTop="1">
      <c r="A321" s="2013"/>
      <c r="B321" s="9755" t="s">
        <v>2117</v>
      </c>
      <c r="C321" s="8489"/>
      <c r="D321" s="2081" t="s">
        <v>3325</v>
      </c>
      <c r="E321" s="2082"/>
      <c r="F321" s="2082"/>
      <c r="G321" s="2082"/>
      <c r="H321" s="2082"/>
      <c r="I321" s="2082"/>
      <c r="J321" s="2082"/>
      <c r="K321" s="2082"/>
      <c r="L321" s="2082"/>
      <c r="M321" s="2082"/>
      <c r="N321" s="2082"/>
      <c r="O321" s="2082"/>
      <c r="P321" s="2082"/>
      <c r="Q321" s="2082"/>
      <c r="R321" s="2082"/>
      <c r="S321" s="2082"/>
      <c r="T321" s="2082"/>
      <c r="U321" s="2082"/>
      <c r="V321" s="2082"/>
      <c r="W321" s="2082"/>
      <c r="X321" s="2082"/>
      <c r="Y321" s="2082"/>
      <c r="Z321" s="2082"/>
      <c r="AA321" s="2082"/>
      <c r="AB321" s="2082"/>
      <c r="AC321" s="2082"/>
      <c r="AD321" s="2082"/>
      <c r="AE321" s="2082"/>
      <c r="AF321" s="2082"/>
      <c r="AG321" s="2082"/>
      <c r="AH321" s="2082"/>
      <c r="AI321" s="2082"/>
      <c r="AJ321" s="2082"/>
      <c r="AK321" s="2013"/>
    </row>
    <row r="322" spans="1:65" ht="15" customHeight="1">
      <c r="A322" s="2013"/>
      <c r="B322" s="253"/>
      <c r="C322" s="253"/>
      <c r="D322" s="253"/>
      <c r="E322" s="253"/>
      <c r="F322" s="253"/>
      <c r="G322" s="253"/>
      <c r="H322" s="253"/>
      <c r="I322" s="253"/>
      <c r="J322" s="253"/>
      <c r="K322" s="253"/>
      <c r="L322" s="253"/>
      <c r="M322" s="253"/>
      <c r="N322" s="253"/>
      <c r="O322" s="253"/>
      <c r="P322" s="253"/>
      <c r="Q322" s="253"/>
      <c r="R322" s="253"/>
      <c r="S322" s="253"/>
      <c r="T322" s="253"/>
      <c r="U322" s="253"/>
      <c r="V322" s="253"/>
      <c r="W322" s="253"/>
      <c r="X322" s="253"/>
      <c r="Y322" s="253"/>
      <c r="Z322" s="253"/>
      <c r="AA322" s="253"/>
      <c r="AB322" s="253"/>
      <c r="AC322" s="8984"/>
      <c r="AD322" s="9863"/>
      <c r="AE322" s="8984"/>
      <c r="AF322" s="7879"/>
      <c r="AG322" s="7879"/>
      <c r="AH322" s="7879"/>
      <c r="AI322" s="7879"/>
      <c r="AJ322" s="7879"/>
      <c r="AK322" s="2013"/>
      <c r="BL322" s="2027"/>
      <c r="BM322" s="2027"/>
    </row>
    <row r="323" spans="1:65" ht="15" customHeight="1">
      <c r="A323" s="2013"/>
      <c r="B323" s="253"/>
      <c r="C323" s="734" t="s">
        <v>3378</v>
      </c>
      <c r="D323" s="511" t="s">
        <v>3379</v>
      </c>
      <c r="E323" s="253"/>
      <c r="F323" s="253"/>
      <c r="G323" s="253"/>
      <c r="H323" s="253"/>
      <c r="I323" s="253"/>
      <c r="J323" s="253"/>
      <c r="K323" s="253"/>
      <c r="L323" s="253"/>
      <c r="M323" s="253"/>
      <c r="N323" s="253"/>
      <c r="O323" s="253"/>
      <c r="P323" s="253"/>
      <c r="Q323" s="253"/>
      <c r="R323" s="253"/>
      <c r="S323" s="253"/>
      <c r="T323" s="253"/>
      <c r="U323" s="253"/>
      <c r="V323" s="253"/>
      <c r="W323" s="253"/>
      <c r="X323" s="253"/>
      <c r="Y323" s="253"/>
      <c r="Z323" s="253"/>
      <c r="AA323" s="253"/>
      <c r="AB323" s="2031" t="s">
        <v>668</v>
      </c>
      <c r="AC323" s="9751">
        <v>27</v>
      </c>
      <c r="AD323" s="9785"/>
      <c r="AE323" s="9861">
        <f>ForeignEarnedIncome2</f>
        <v>0</v>
      </c>
      <c r="AF323" s="9861"/>
      <c r="AG323" s="9861"/>
      <c r="AH323" s="9861"/>
      <c r="AI323" s="9861"/>
      <c r="AJ323" s="9861"/>
      <c r="AK323" s="2013"/>
      <c r="AO323" s="2083">
        <f>IF(AE318="",0,AE318)</f>
        <v>0</v>
      </c>
      <c r="BL323" s="2027"/>
      <c r="BM323" s="2027"/>
    </row>
    <row r="324" spans="1:65" ht="16.5" customHeight="1" thickBot="1">
      <c r="A324" s="2013"/>
      <c r="B324" s="253"/>
      <c r="C324" s="253"/>
      <c r="D324" s="1672" t="s">
        <v>3380</v>
      </c>
      <c r="E324" s="253"/>
      <c r="F324" s="253"/>
      <c r="G324" s="253"/>
      <c r="H324" s="253"/>
      <c r="I324" s="253"/>
      <c r="J324" s="253"/>
      <c r="K324" s="253"/>
      <c r="L324" s="253"/>
      <c r="M324" s="253"/>
      <c r="N324" s="253"/>
      <c r="O324" s="253"/>
      <c r="P324" s="253"/>
      <c r="Q324" s="253"/>
      <c r="R324" s="253"/>
      <c r="S324" s="253"/>
      <c r="T324" s="253"/>
      <c r="U324" s="253"/>
      <c r="V324" s="253"/>
      <c r="W324" s="253"/>
      <c r="X324" s="253"/>
      <c r="Y324" s="253"/>
      <c r="Z324" s="253"/>
      <c r="AA324" s="253"/>
      <c r="AB324" s="253"/>
      <c r="AC324" s="253"/>
      <c r="AD324" s="253"/>
      <c r="AE324" s="253"/>
      <c r="AF324" s="253"/>
      <c r="AG324" s="253"/>
      <c r="AH324" s="253"/>
      <c r="AI324" s="253"/>
      <c r="AJ324" s="253"/>
      <c r="AK324" s="2013"/>
      <c r="AO324" s="2083">
        <f>SUM(ForeignEarnedIncome1,ForeignEarnedIncome2)</f>
        <v>0</v>
      </c>
      <c r="BL324" s="2027"/>
      <c r="BM324" s="2027"/>
    </row>
    <row r="325" spans="1:65" ht="15" customHeight="1" thickBot="1">
      <c r="A325" s="2013"/>
      <c r="B325" s="512"/>
      <c r="C325" s="253"/>
      <c r="D325" s="277"/>
      <c r="E325" s="511" t="s">
        <v>3381</v>
      </c>
      <c r="F325" s="253"/>
      <c r="G325" s="253"/>
      <c r="H325" s="253"/>
      <c r="I325" s="253"/>
      <c r="J325" s="253"/>
      <c r="K325" s="794"/>
      <c r="L325" s="253"/>
      <c r="M325" s="253"/>
      <c r="N325" s="253"/>
      <c r="O325" s="253"/>
      <c r="P325" s="253"/>
      <c r="Q325" s="253"/>
      <c r="R325" s="253"/>
      <c r="S325" s="253"/>
      <c r="T325" s="253"/>
      <c r="U325" s="253"/>
      <c r="V325" s="253"/>
      <c r="W325" s="253"/>
      <c r="X325" s="253"/>
      <c r="Y325" s="253"/>
      <c r="Z325" s="253"/>
      <c r="AA325" s="253"/>
      <c r="AB325" s="253"/>
      <c r="AC325" s="253"/>
      <c r="AD325" s="253"/>
      <c r="AE325" s="253"/>
      <c r="AF325" s="253"/>
      <c r="AG325" s="253"/>
      <c r="AH325" s="253"/>
      <c r="AI325" s="253"/>
      <c r="AJ325" s="253"/>
      <c r="AK325" s="2013"/>
      <c r="AM325" s="2084" t="b">
        <f>(D325&lt;&gt;"")</f>
        <v>0</v>
      </c>
      <c r="BL325" s="2027"/>
      <c r="BM325" s="2027"/>
    </row>
    <row r="326" spans="1:65" ht="4.5" customHeight="1" thickBot="1">
      <c r="A326" s="2013"/>
      <c r="B326" s="253"/>
      <c r="C326" s="253"/>
      <c r="D326" s="253"/>
      <c r="E326" s="253"/>
      <c r="F326" s="253"/>
      <c r="G326" s="253"/>
      <c r="H326" s="253"/>
      <c r="I326" s="253"/>
      <c r="J326" s="253"/>
      <c r="K326" s="253"/>
      <c r="L326" s="253"/>
      <c r="M326" s="253"/>
      <c r="N326" s="253"/>
      <c r="O326" s="253"/>
      <c r="P326" s="253"/>
      <c r="Q326" s="253"/>
      <c r="R326" s="253"/>
      <c r="S326" s="253"/>
      <c r="T326" s="253"/>
      <c r="U326" s="253"/>
      <c r="V326" s="253"/>
      <c r="W326" s="253"/>
      <c r="X326" s="253"/>
      <c r="Y326" s="253"/>
      <c r="Z326" s="253"/>
      <c r="AA326" s="253"/>
      <c r="AB326" s="253"/>
      <c r="AC326" s="253"/>
      <c r="AD326" s="253"/>
      <c r="AE326" s="253"/>
      <c r="AF326" s="253"/>
      <c r="AG326" s="253"/>
      <c r="AH326" s="253"/>
      <c r="AI326" s="253"/>
      <c r="AJ326" s="253"/>
      <c r="AK326" s="2013"/>
      <c r="BL326" s="2027"/>
      <c r="BM326" s="2027"/>
    </row>
    <row r="327" spans="1:65" ht="15" customHeight="1" thickBot="1">
      <c r="A327" s="2013"/>
      <c r="B327" s="512"/>
      <c r="C327" s="253"/>
      <c r="D327" s="1987" t="str">
        <f>IF(D325="","X","")</f>
        <v>X</v>
      </c>
      <c r="E327" s="511" t="s">
        <v>3382</v>
      </c>
      <c r="F327" s="253"/>
      <c r="G327" s="253"/>
      <c r="H327" s="253"/>
      <c r="I327" s="253"/>
      <c r="J327" s="253"/>
      <c r="K327" s="253"/>
      <c r="L327" s="253"/>
      <c r="M327" s="253"/>
      <c r="N327" s="253"/>
      <c r="O327" s="253"/>
      <c r="P327" s="253"/>
      <c r="Q327" s="253"/>
      <c r="R327" s="253"/>
      <c r="S327" s="253"/>
      <c r="T327" s="253"/>
      <c r="U327" s="253"/>
      <c r="V327" s="253"/>
      <c r="W327" s="253"/>
      <c r="X327" s="253"/>
      <c r="Y327" s="253"/>
      <c r="Z327" s="253"/>
      <c r="AA327" s="253"/>
      <c r="AB327" s="253"/>
      <c r="AC327" s="253"/>
      <c r="AD327" s="253"/>
      <c r="AE327" s="253"/>
      <c r="AF327" s="253"/>
      <c r="AG327" s="253"/>
      <c r="AH327" s="253"/>
      <c r="AI327" s="253"/>
      <c r="AJ327" s="253"/>
      <c r="AK327" s="2013"/>
      <c r="AM327" s="2084" t="b">
        <f>(D327&lt;&gt;"")</f>
        <v>1</v>
      </c>
      <c r="BL327" s="2027"/>
      <c r="BM327" s="2027"/>
    </row>
    <row r="328" spans="1:65" ht="6.75" customHeight="1">
      <c r="A328" s="2013"/>
      <c r="B328" s="1999"/>
      <c r="C328" s="1999"/>
      <c r="D328" s="1999"/>
      <c r="E328" s="1999"/>
      <c r="F328" s="1999"/>
      <c r="G328" s="1999"/>
      <c r="H328" s="1999"/>
      <c r="I328" s="1999"/>
      <c r="J328" s="1999"/>
      <c r="K328" s="1999"/>
      <c r="L328" s="1999"/>
      <c r="M328" s="1999"/>
      <c r="N328" s="1999"/>
      <c r="O328" s="1999"/>
      <c r="P328" s="1999"/>
      <c r="Q328" s="1999"/>
      <c r="R328" s="1999"/>
      <c r="S328" s="1999"/>
      <c r="T328" s="1999"/>
      <c r="U328" s="1999"/>
      <c r="V328" s="1999"/>
      <c r="W328" s="1999"/>
      <c r="X328" s="1999"/>
      <c r="Y328" s="1999"/>
      <c r="Z328" s="1999"/>
      <c r="AA328" s="1999"/>
      <c r="AB328" s="1999"/>
      <c r="AC328" s="1999"/>
      <c r="AD328" s="1999"/>
      <c r="AE328" s="1999"/>
      <c r="AF328" s="1999"/>
      <c r="AG328" s="1999"/>
      <c r="AH328" s="1999"/>
      <c r="AI328" s="1999"/>
      <c r="AJ328" s="1999"/>
      <c r="AK328" s="2013"/>
    </row>
    <row r="329" spans="1:65" ht="18.75" customHeight="1">
      <c r="A329" s="2013"/>
      <c r="B329" s="9755" t="s">
        <v>3383</v>
      </c>
      <c r="C329" s="8489"/>
      <c r="D329" s="2085" t="s">
        <v>3384</v>
      </c>
      <c r="E329" s="2021"/>
      <c r="F329" s="2021"/>
      <c r="G329" s="2021"/>
      <c r="H329" s="2021"/>
      <c r="I329" s="2021"/>
      <c r="J329" s="2021"/>
      <c r="K329" s="2021"/>
      <c r="L329" s="2021"/>
      <c r="M329" s="2021"/>
      <c r="N329" s="2021"/>
      <c r="O329" s="2021"/>
      <c r="P329" s="2021"/>
      <c r="Q329" s="2021"/>
      <c r="R329" s="2021"/>
      <c r="S329" s="2021"/>
      <c r="T329" s="2021"/>
      <c r="U329" s="2021"/>
      <c r="V329" s="2021"/>
      <c r="W329" s="2021"/>
      <c r="X329" s="2021"/>
      <c r="Y329" s="2021"/>
      <c r="Z329" s="2021"/>
      <c r="AA329" s="2021"/>
      <c r="AB329" s="2021"/>
      <c r="AC329" s="2021"/>
      <c r="AD329" s="2021"/>
      <c r="AE329" s="2021"/>
      <c r="AF329" s="2021"/>
      <c r="AG329" s="2021"/>
      <c r="AH329" s="2021"/>
      <c r="AI329" s="2021"/>
      <c r="AJ329" s="2021"/>
      <c r="AK329" s="2013"/>
    </row>
    <row r="330" spans="1:65" ht="15" customHeight="1">
      <c r="A330" s="2013"/>
      <c r="B330" s="253"/>
      <c r="C330" s="253"/>
      <c r="D330" s="253"/>
      <c r="E330" s="253"/>
      <c r="F330" s="253"/>
      <c r="G330" s="253"/>
      <c r="H330" s="253"/>
      <c r="I330" s="253"/>
      <c r="J330" s="253"/>
      <c r="K330" s="253"/>
      <c r="L330" s="253"/>
      <c r="M330" s="253"/>
      <c r="N330" s="253"/>
      <c r="O330" s="253"/>
      <c r="P330" s="253"/>
      <c r="Q330" s="253"/>
      <c r="R330" s="253"/>
      <c r="S330" s="253"/>
      <c r="T330" s="253"/>
      <c r="U330" s="253"/>
      <c r="V330" s="253"/>
      <c r="W330" s="253"/>
      <c r="X330" s="253"/>
      <c r="Y330" s="253"/>
      <c r="Z330" s="253"/>
      <c r="AA330" s="253"/>
      <c r="AB330" s="253"/>
      <c r="AC330" s="8984"/>
      <c r="AD330" s="9863"/>
      <c r="AE330" s="8984"/>
      <c r="AF330" s="7879"/>
      <c r="AG330" s="7879"/>
      <c r="AH330" s="7879"/>
      <c r="AI330" s="7879"/>
      <c r="AJ330" s="7879"/>
      <c r="AK330" s="2013"/>
      <c r="BL330" s="2027"/>
      <c r="BM330" s="2027"/>
    </row>
    <row r="331" spans="1:65" ht="15" customHeight="1">
      <c r="A331" s="2013"/>
      <c r="B331" s="253"/>
      <c r="C331" s="734" t="s">
        <v>3385</v>
      </c>
      <c r="D331" s="511" t="s">
        <v>3386</v>
      </c>
      <c r="E331" s="253"/>
      <c r="F331" s="253"/>
      <c r="G331" s="253"/>
      <c r="H331" s="253"/>
      <c r="I331" s="253"/>
      <c r="J331" s="253"/>
      <c r="K331" s="253"/>
      <c r="L331" s="253"/>
      <c r="M331" s="253"/>
      <c r="N331" s="253"/>
      <c r="O331" s="253"/>
      <c r="P331" s="253"/>
      <c r="Q331" s="253"/>
      <c r="R331" s="253"/>
      <c r="S331" s="253"/>
      <c r="T331" s="253"/>
      <c r="U331" s="253"/>
      <c r="V331" s="253"/>
      <c r="W331" s="253"/>
      <c r="X331" s="253"/>
      <c r="Y331" s="253"/>
      <c r="Z331" s="253"/>
      <c r="AA331" s="253"/>
      <c r="AB331" s="2031" t="s">
        <v>597</v>
      </c>
      <c r="AC331" s="9751">
        <v>28</v>
      </c>
      <c r="AD331" s="9785"/>
      <c r="AE331" s="9786"/>
      <c r="AF331" s="9786"/>
      <c r="AG331" s="9786"/>
      <c r="AH331" s="9786"/>
      <c r="AI331" s="9786"/>
      <c r="AJ331" s="9786"/>
      <c r="AK331" s="2013"/>
      <c r="BL331" s="2027"/>
      <c r="BM331" s="2027"/>
    </row>
    <row r="332" spans="1:65" ht="15" customHeight="1">
      <c r="A332" s="2013"/>
      <c r="B332" s="253"/>
      <c r="C332" s="734" t="s">
        <v>3387</v>
      </c>
      <c r="D332" s="511" t="s">
        <v>3388</v>
      </c>
      <c r="E332" s="253"/>
      <c r="F332" s="253"/>
      <c r="G332" s="253"/>
      <c r="H332" s="253"/>
      <c r="I332" s="253"/>
      <c r="J332" s="253"/>
      <c r="K332" s="253"/>
      <c r="L332" s="253"/>
      <c r="M332" s="253"/>
      <c r="N332" s="253"/>
      <c r="O332" s="253"/>
      <c r="P332" s="253"/>
      <c r="Q332" s="253"/>
      <c r="R332" s="253"/>
      <c r="S332" s="253"/>
      <c r="T332" s="253"/>
      <c r="U332" s="9844"/>
      <c r="V332" s="9844"/>
      <c r="W332" s="9844"/>
      <c r="X332" s="9844"/>
      <c r="Y332" s="9844"/>
      <c r="Z332" s="9844"/>
      <c r="AA332" s="9844"/>
      <c r="AB332" s="253"/>
      <c r="AC332" s="9884"/>
      <c r="AD332" s="9885"/>
      <c r="AE332" s="9128"/>
      <c r="AF332" s="9788"/>
      <c r="AG332" s="9788"/>
      <c r="AH332" s="9788"/>
      <c r="AI332" s="9788"/>
      <c r="AJ332" s="9788"/>
      <c r="AK332" s="2013"/>
      <c r="BL332" s="2027"/>
      <c r="BM332" s="2027"/>
    </row>
    <row r="333" spans="1:65" ht="15" customHeight="1" thickBot="1">
      <c r="A333" s="2013"/>
      <c r="B333" s="253"/>
      <c r="C333" s="734" t="s">
        <v>2084</v>
      </c>
      <c r="D333" s="511" t="s">
        <v>3389</v>
      </c>
      <c r="E333" s="253"/>
      <c r="F333" s="253"/>
      <c r="G333" s="253"/>
      <c r="H333" s="253"/>
      <c r="I333" s="253"/>
      <c r="J333" s="253"/>
      <c r="K333" s="253"/>
      <c r="L333" s="253"/>
      <c r="M333" s="253"/>
      <c r="N333" s="253"/>
      <c r="O333" s="253"/>
      <c r="P333" s="253"/>
      <c r="Q333" s="253"/>
      <c r="R333" s="253"/>
      <c r="S333" s="253"/>
      <c r="T333" s="253"/>
      <c r="U333" s="253"/>
      <c r="V333" s="253"/>
      <c r="W333" s="253"/>
      <c r="X333" s="253"/>
      <c r="Y333" s="253"/>
      <c r="Z333" s="253"/>
      <c r="AA333" s="253"/>
      <c r="AB333" s="2031" t="s">
        <v>617</v>
      </c>
      <c r="AC333" s="9751" t="s">
        <v>3390</v>
      </c>
      <c r="AD333" s="9785"/>
      <c r="AE333" s="9786"/>
      <c r="AF333" s="9786"/>
      <c r="AG333" s="9786"/>
      <c r="AH333" s="9786"/>
      <c r="AI333" s="9786"/>
      <c r="AJ333" s="9786"/>
      <c r="AK333" s="2013"/>
      <c r="AM333" s="817" t="s">
        <v>771</v>
      </c>
      <c r="BL333" s="2027"/>
      <c r="BM333" s="2027"/>
    </row>
    <row r="334" spans="1:65" ht="15" customHeight="1" thickBot="1">
      <c r="A334" s="2013"/>
      <c r="B334" s="253"/>
      <c r="C334" s="734" t="s">
        <v>3391</v>
      </c>
      <c r="D334" s="511" t="s">
        <v>3392</v>
      </c>
      <c r="E334" s="253"/>
      <c r="F334" s="253"/>
      <c r="G334" s="253"/>
      <c r="H334" s="253"/>
      <c r="I334" s="253"/>
      <c r="J334" s="253"/>
      <c r="K334" s="253"/>
      <c r="L334" s="253"/>
      <c r="M334" s="253"/>
      <c r="N334" s="253"/>
      <c r="O334" s="253"/>
      <c r="P334" s="253"/>
      <c r="Q334" s="253"/>
      <c r="R334" s="253"/>
      <c r="S334" s="253"/>
      <c r="T334" s="253"/>
      <c r="U334" s="253"/>
      <c r="V334" s="253"/>
      <c r="W334" s="253"/>
      <c r="X334" s="253"/>
      <c r="Y334" s="253"/>
      <c r="Z334" s="253"/>
      <c r="AA334" s="253"/>
      <c r="AB334" s="2031" t="s">
        <v>677</v>
      </c>
      <c r="AC334" s="9751">
        <v>30</v>
      </c>
      <c r="AD334" s="9785"/>
      <c r="AE334" s="9861" t="str">
        <f>IF(AM334&lt;&gt;"",AM334,IF(AM327,"",IF(AE331&lt;&gt;"",MIN(AE333,AE331),0)))</f>
        <v/>
      </c>
      <c r="AF334" s="9861"/>
      <c r="AG334" s="9861"/>
      <c r="AH334" s="9861"/>
      <c r="AI334" s="9861"/>
      <c r="AJ334" s="9861"/>
      <c r="AK334" s="2013"/>
      <c r="AM334" s="449"/>
      <c r="BL334" s="2027"/>
      <c r="BM334" s="2027"/>
    </row>
    <row r="335" spans="1:65" ht="15" customHeight="1" thickBot="1">
      <c r="A335" s="2013"/>
      <c r="B335" s="253"/>
      <c r="C335" s="734" t="s">
        <v>3393</v>
      </c>
      <c r="D335" s="511" t="str">
        <f>"Number of days in your qualifying period that fall within your "&amp;TaxYear</f>
        <v>Number of days in your qualifying period that fall within your 2025</v>
      </c>
      <c r="E335" s="253"/>
      <c r="F335" s="253"/>
      <c r="G335" s="253"/>
      <c r="H335" s="253"/>
      <c r="I335" s="253"/>
      <c r="J335" s="253"/>
      <c r="K335" s="253"/>
      <c r="L335" s="253"/>
      <c r="M335" s="253"/>
      <c r="N335" s="253"/>
      <c r="O335" s="253"/>
      <c r="P335" s="253"/>
      <c r="Q335" s="253"/>
      <c r="R335" s="253"/>
      <c r="S335" s="253"/>
      <c r="T335" s="253"/>
      <c r="U335" s="8984"/>
      <c r="V335" s="9863"/>
      <c r="W335" s="1290"/>
      <c r="X335" s="416"/>
      <c r="Y335" s="416"/>
      <c r="Z335" s="416"/>
      <c r="AA335" s="7879"/>
      <c r="AB335" s="9863"/>
      <c r="AC335" s="253"/>
      <c r="AD335" s="253"/>
      <c r="AE335" s="9113">
        <f>ROUND(AE336/DaysInTaxYear,2)</f>
        <v>56.99</v>
      </c>
      <c r="AF335" s="8729"/>
      <c r="AG335" s="8729"/>
      <c r="AH335" s="8729"/>
      <c r="AI335" s="8729"/>
      <c r="AJ335" s="8729"/>
      <c r="AK335" s="2013"/>
      <c r="AO335" s="2014" t="s">
        <v>3394</v>
      </c>
      <c r="BL335" s="2027"/>
      <c r="BM335" s="2027"/>
    </row>
    <row r="336" spans="1:65" ht="15" customHeight="1" thickBot="1">
      <c r="A336" s="2013"/>
      <c r="B336" s="253"/>
      <c r="C336" s="253"/>
      <c r="D336" s="511" t="s">
        <v>4922</v>
      </c>
      <c r="E336" s="253"/>
      <c r="F336" s="253"/>
      <c r="G336" s="253"/>
      <c r="H336" s="253"/>
      <c r="I336" s="253"/>
      <c r="J336" s="253"/>
      <c r="K336" s="253"/>
      <c r="L336" s="253"/>
      <c r="M336" s="253"/>
      <c r="N336" s="253"/>
      <c r="O336" s="253"/>
      <c r="P336" s="253"/>
      <c r="Q336" s="253"/>
      <c r="R336" s="253"/>
      <c r="S336" s="253"/>
      <c r="T336" s="2031" t="s">
        <v>590</v>
      </c>
      <c r="U336" s="9751">
        <v>31</v>
      </c>
      <c r="V336" s="9785"/>
      <c r="W336" s="9865" t="str">
        <f>IF(AM336&lt;&gt;"",ROUND(AM336,0),IF(AM327,"",DaysInTaxYear))</f>
        <v/>
      </c>
      <c r="X336" s="9866"/>
      <c r="Y336" s="9866"/>
      <c r="Z336" s="9866"/>
      <c r="AA336" s="9864" t="s">
        <v>3395</v>
      </c>
      <c r="AB336" s="9183"/>
      <c r="AC336" s="253"/>
      <c r="AD336" s="253"/>
      <c r="AE336" s="9890">
        <f>ROUND(0.16*AE348,0)</f>
        <v>20800</v>
      </c>
      <c r="AF336" s="9891"/>
      <c r="AG336" s="9891"/>
      <c r="AH336" s="9891"/>
      <c r="AI336" s="9891"/>
      <c r="AJ336" s="9891"/>
      <c r="AK336" s="2013"/>
      <c r="AL336" s="2086"/>
      <c r="AM336" s="1316"/>
      <c r="AN336" s="2086" t="s">
        <v>3396</v>
      </c>
      <c r="AO336" s="2014" t="s">
        <v>3397</v>
      </c>
      <c r="BL336" s="2027"/>
      <c r="BM336" s="2027"/>
    </row>
    <row r="337" spans="1:65" ht="15" customHeight="1" thickBot="1">
      <c r="A337" s="2013"/>
      <c r="B337" s="253"/>
      <c r="C337" s="734" t="s">
        <v>3398</v>
      </c>
      <c r="D337" s="511" t="str">
        <f>"Multiply "&amp;TEXT(AE335,"$0.00")&amp;" by the number of days on line 31. If "&amp;TEXT(DaysInTaxYear,"0")&amp;" is entered on line 31, enter "&amp;TEXT(AE336,"$0,000")&amp;" here"</f>
        <v>Multiply $56.99 by the number of days on line 31. If 365 is entered on line 31, enter $20,800 here</v>
      </c>
      <c r="E337" s="253"/>
      <c r="F337" s="253"/>
      <c r="G337" s="253"/>
      <c r="H337" s="253"/>
      <c r="I337" s="253"/>
      <c r="J337" s="253"/>
      <c r="K337" s="253"/>
      <c r="L337" s="253"/>
      <c r="M337" s="253"/>
      <c r="N337" s="253"/>
      <c r="O337" s="253"/>
      <c r="P337" s="253"/>
      <c r="Q337" s="253"/>
      <c r="R337" s="253"/>
      <c r="S337" s="253"/>
      <c r="T337" s="253"/>
      <c r="U337" s="253"/>
      <c r="V337" s="253"/>
      <c r="W337" s="253"/>
      <c r="X337" s="253"/>
      <c r="Y337" s="253"/>
      <c r="Z337" s="253"/>
      <c r="AA337" s="253"/>
      <c r="AB337" s="253"/>
      <c r="AC337" s="9751">
        <v>32</v>
      </c>
      <c r="AD337" s="9785"/>
      <c r="AE337" s="9861" t="str">
        <f>IF(AM337&lt;&gt;"",ROUND(AM337,0),IF(OR(AM327,AE331=""),"",IF(W336=DaysInTaxYear,AE336,W336*AE335)))</f>
        <v/>
      </c>
      <c r="AF337" s="9861"/>
      <c r="AG337" s="9861"/>
      <c r="AH337" s="9861"/>
      <c r="AI337" s="9861"/>
      <c r="AJ337" s="9861"/>
      <c r="AK337" s="2013"/>
      <c r="AL337" s="2086"/>
      <c r="AM337" s="449"/>
      <c r="BL337" s="2027"/>
      <c r="BM337" s="2027"/>
    </row>
    <row r="338" spans="1:65" ht="15" customHeight="1">
      <c r="A338" s="2013"/>
      <c r="B338" s="253"/>
      <c r="C338" s="734" t="s">
        <v>3399</v>
      </c>
      <c r="D338" s="511" t="s">
        <v>3400</v>
      </c>
      <c r="E338" s="253"/>
      <c r="F338" s="253"/>
      <c r="G338" s="253"/>
      <c r="H338" s="253"/>
      <c r="I338" s="253"/>
      <c r="J338" s="253"/>
      <c r="K338" s="344"/>
      <c r="L338" s="511" t="s">
        <v>3401</v>
      </c>
      <c r="M338" s="253"/>
      <c r="N338" s="253"/>
      <c r="O338" s="253"/>
      <c r="P338" s="253"/>
      <c r="Q338" s="253"/>
      <c r="R338" s="253"/>
      <c r="S338" s="253"/>
      <c r="T338" s="253"/>
      <c r="U338" s="253"/>
      <c r="V338" s="253"/>
      <c r="W338" s="253"/>
      <c r="X338" s="253"/>
      <c r="Y338" s="253"/>
      <c r="Z338" s="253"/>
      <c r="AA338" s="253"/>
      <c r="AB338" s="253"/>
      <c r="AC338" s="9128"/>
      <c r="AD338" s="9787"/>
      <c r="AE338" s="9128"/>
      <c r="AF338" s="9788"/>
      <c r="AG338" s="9788"/>
      <c r="AH338" s="9788"/>
      <c r="AI338" s="9788"/>
      <c r="AJ338" s="9788"/>
      <c r="AK338" s="2013"/>
      <c r="BL338" s="2027"/>
      <c r="BM338" s="2027"/>
    </row>
    <row r="339" spans="1:65" ht="15" customHeight="1">
      <c r="A339" s="2013"/>
      <c r="B339" s="253"/>
      <c r="C339" s="253"/>
      <c r="D339" s="511" t="s">
        <v>3402</v>
      </c>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031" t="s">
        <v>1882</v>
      </c>
      <c r="AC339" s="9751">
        <v>33</v>
      </c>
      <c r="AD339" s="9785"/>
      <c r="AE339" s="9862" t="str">
        <f>IF(AM327,"",IF(AE337="",AE334,SUM(AE334,-AE337)))</f>
        <v/>
      </c>
      <c r="AF339" s="9862"/>
      <c r="AG339" s="9862"/>
      <c r="AH339" s="9862"/>
      <c r="AI339" s="9862"/>
      <c r="AJ339" s="9862"/>
      <c r="AK339" s="2013"/>
      <c r="AM339" s="2084" t="b">
        <f>AE339&lt;=0</f>
        <v>0</v>
      </c>
      <c r="AO339" s="2083">
        <f>IF(AE339="",0,AE339)</f>
        <v>0</v>
      </c>
      <c r="BL339" s="2027"/>
      <c r="BM339" s="2027"/>
    </row>
    <row r="340" spans="1:65" ht="15" customHeight="1">
      <c r="A340" s="2013"/>
      <c r="B340" s="253"/>
      <c r="C340" s="734" t="s">
        <v>3403</v>
      </c>
      <c r="D340" s="511" t="s">
        <v>3404</v>
      </c>
      <c r="E340" s="253"/>
      <c r="F340" s="253"/>
      <c r="G340" s="253"/>
      <c r="H340" s="253"/>
      <c r="I340" s="253"/>
      <c r="J340" s="253"/>
      <c r="K340" s="253"/>
      <c r="L340" s="253"/>
      <c r="M340" s="253"/>
      <c r="N340" s="253"/>
      <c r="O340" s="253"/>
      <c r="P340" s="253"/>
      <c r="Q340" s="253"/>
      <c r="R340" s="253"/>
      <c r="S340" s="253"/>
      <c r="T340" s="253"/>
      <c r="U340" s="9751">
        <v>34</v>
      </c>
      <c r="V340" s="9785"/>
      <c r="W340" s="9786"/>
      <c r="X340" s="9786"/>
      <c r="Y340" s="9786"/>
      <c r="Z340" s="9786"/>
      <c r="AA340" s="9786"/>
      <c r="AB340" s="9786"/>
      <c r="AC340" s="9884"/>
      <c r="AD340" s="9885"/>
      <c r="AE340" s="9128"/>
      <c r="AF340" s="9788"/>
      <c r="AG340" s="9788"/>
      <c r="AH340" s="9788"/>
      <c r="AI340" s="9788"/>
      <c r="AJ340" s="9788"/>
      <c r="AK340" s="2013"/>
      <c r="AM340" s="2087"/>
      <c r="BL340" s="2027"/>
      <c r="BM340" s="2027"/>
    </row>
    <row r="341" spans="1:65" ht="15" customHeight="1" thickBot="1">
      <c r="A341" s="2013"/>
      <c r="B341" s="253"/>
      <c r="C341" s="734" t="s">
        <v>3405</v>
      </c>
      <c r="D341" s="511" t="s">
        <v>3406</v>
      </c>
      <c r="E341" s="253"/>
      <c r="F341" s="253"/>
      <c r="G341" s="253"/>
      <c r="H341" s="253"/>
      <c r="I341" s="253"/>
      <c r="J341" s="253"/>
      <c r="K341" s="253"/>
      <c r="L341" s="253"/>
      <c r="M341" s="253"/>
      <c r="N341" s="253"/>
      <c r="O341" s="253"/>
      <c r="P341" s="253"/>
      <c r="Q341" s="253"/>
      <c r="R341" s="253"/>
      <c r="S341" s="253"/>
      <c r="T341" s="253"/>
      <c r="U341" s="253"/>
      <c r="V341" s="253"/>
      <c r="W341" s="253"/>
      <c r="X341" s="253"/>
      <c r="Y341" s="253"/>
      <c r="Z341" s="253"/>
      <c r="AA341" s="253"/>
      <c r="AB341" s="253"/>
      <c r="AC341" s="8984"/>
      <c r="AD341" s="9863"/>
      <c r="AE341" s="8984"/>
      <c r="AF341" s="7879"/>
      <c r="AG341" s="7879"/>
      <c r="AH341" s="7879"/>
      <c r="AI341" s="7879"/>
      <c r="AJ341" s="7879"/>
      <c r="AK341" s="2013"/>
      <c r="AM341" s="817" t="s">
        <v>771</v>
      </c>
      <c r="BL341" s="2027"/>
      <c r="BM341" s="2027"/>
    </row>
    <row r="342" spans="1:65" ht="15" customHeight="1" thickBot="1">
      <c r="A342" s="2013"/>
      <c r="B342" s="253"/>
      <c r="C342" s="253"/>
      <c r="D342" s="511" t="s">
        <v>3407</v>
      </c>
      <c r="E342" s="253"/>
      <c r="F342" s="253"/>
      <c r="G342" s="253"/>
      <c r="H342" s="253"/>
      <c r="I342" s="253"/>
      <c r="J342" s="253"/>
      <c r="K342" s="253"/>
      <c r="L342" s="253"/>
      <c r="M342" s="253"/>
      <c r="N342" s="253"/>
      <c r="O342" s="253"/>
      <c r="P342" s="253"/>
      <c r="Q342" s="253"/>
      <c r="R342" s="253"/>
      <c r="S342" s="253"/>
      <c r="T342" s="253"/>
      <c r="U342" s="253"/>
      <c r="V342" s="253"/>
      <c r="W342" s="253"/>
      <c r="X342" s="253"/>
      <c r="Y342" s="253"/>
      <c r="Z342" s="253"/>
      <c r="AA342" s="253"/>
      <c r="AB342" s="2031" t="s">
        <v>1877</v>
      </c>
      <c r="AC342" s="9751">
        <v>35</v>
      </c>
      <c r="AD342" s="9785"/>
      <c r="AE342" s="2088"/>
      <c r="AF342" s="2088"/>
      <c r="AG342" s="2089" t="s">
        <v>2119</v>
      </c>
      <c r="AH342" s="9888" t="str">
        <f>IF(AM342&lt;&gt;"",ROUND(AM342,3),IF(OR(AM327,AM339),"",IF(ISERROR(W340/ForeignEarnedIncome2),"---",IF(ForeignEarnedIncome2&gt;0,ROUND(W340/ForeignEarnedIncome2,3),""))))</f>
        <v/>
      </c>
      <c r="AI342" s="9889"/>
      <c r="AJ342" s="9889"/>
      <c r="AK342" s="2013"/>
      <c r="AM342" s="439"/>
      <c r="BL342" s="2027"/>
      <c r="BM342" s="2027"/>
    </row>
    <row r="343" spans="1:65" ht="15" customHeight="1" thickBot="1">
      <c r="A343" s="2013"/>
      <c r="B343" s="253"/>
      <c r="C343" s="734" t="s">
        <v>3408</v>
      </c>
      <c r="D343" s="511" t="s">
        <v>3409</v>
      </c>
      <c r="E343" s="253"/>
      <c r="F343" s="253"/>
      <c r="G343" s="253"/>
      <c r="H343" s="253"/>
      <c r="I343" s="253"/>
      <c r="J343" s="253"/>
      <c r="K343" s="253"/>
      <c r="L343" s="253"/>
      <c r="M343" s="253"/>
      <c r="N343" s="253"/>
      <c r="O343" s="253"/>
      <c r="P343" s="253"/>
      <c r="Q343" s="253"/>
      <c r="R343" s="253"/>
      <c r="S343" s="253"/>
      <c r="T343" s="253"/>
      <c r="U343" s="253"/>
      <c r="V343" s="253"/>
      <c r="W343" s="253"/>
      <c r="X343" s="253"/>
      <c r="Y343" s="253"/>
      <c r="Z343" s="253"/>
      <c r="AA343" s="253"/>
      <c r="AB343" s="253"/>
      <c r="AC343" s="9128"/>
      <c r="AD343" s="9787"/>
      <c r="AE343" s="9128"/>
      <c r="AF343" s="9788"/>
      <c r="AG343" s="9788"/>
      <c r="AH343" s="9788"/>
      <c r="AI343" s="9788"/>
      <c r="AJ343" s="9788"/>
      <c r="AK343" s="2013"/>
      <c r="BL343" s="2027"/>
      <c r="BM343" s="2027"/>
    </row>
    <row r="344" spans="1:65" ht="15" customHeight="1" thickBot="1">
      <c r="A344" s="2013"/>
      <c r="B344" s="253"/>
      <c r="C344" s="253"/>
      <c r="D344" s="511" t="s">
        <v>3410</v>
      </c>
      <c r="E344" s="253"/>
      <c r="F344" s="253"/>
      <c r="G344" s="253"/>
      <c r="H344" s="253"/>
      <c r="I344" s="253"/>
      <c r="J344" s="253"/>
      <c r="K344" s="253"/>
      <c r="L344" s="253"/>
      <c r="M344" s="253"/>
      <c r="N344" s="253"/>
      <c r="O344" s="253"/>
      <c r="P344" s="253"/>
      <c r="Q344" s="253"/>
      <c r="R344" s="253"/>
      <c r="S344" s="253"/>
      <c r="T344" s="253"/>
      <c r="U344" s="253"/>
      <c r="V344" s="253"/>
      <c r="W344" s="253"/>
      <c r="X344" s="253"/>
      <c r="Y344" s="253"/>
      <c r="Z344" s="253"/>
      <c r="AA344" s="253"/>
      <c r="AB344" s="2031" t="s">
        <v>665</v>
      </c>
      <c r="AC344" s="9751">
        <v>36</v>
      </c>
      <c r="AD344" s="9785"/>
      <c r="AE344" s="9861" t="str">
        <f>IF(AM344&lt;&gt;"",ROUND(AM344,0),IF(OR(AM327,AM339),"",IF(ISERROR(W340/ForeignEarnedIncome2),"---",IF(W340="",0,MIN(W340,ROUND(AE339*AH342,0))))))</f>
        <v/>
      </c>
      <c r="AF344" s="9861"/>
      <c r="AG344" s="9861"/>
      <c r="AH344" s="9861"/>
      <c r="AI344" s="9861"/>
      <c r="AJ344" s="9861"/>
      <c r="AK344" s="2013"/>
      <c r="AM344" s="449"/>
      <c r="AO344" s="2083">
        <f>IF(OR(AE344="",AE344="---"),0,AE344)</f>
        <v>0</v>
      </c>
      <c r="BL344" s="2027"/>
      <c r="BM344" s="2027"/>
    </row>
    <row r="345" spans="1:65" ht="15" customHeight="1">
      <c r="A345" s="2013"/>
      <c r="B345" s="253"/>
      <c r="C345" s="253"/>
      <c r="D345" s="511" t="s">
        <v>3411</v>
      </c>
      <c r="E345" s="253"/>
      <c r="F345" s="253"/>
      <c r="G345" s="253"/>
      <c r="H345" s="253"/>
      <c r="I345" s="253"/>
      <c r="J345" s="253"/>
      <c r="K345" s="253"/>
      <c r="L345" s="253"/>
      <c r="M345" s="253"/>
      <c r="N345" s="253"/>
      <c r="O345" s="253"/>
      <c r="P345" s="253"/>
      <c r="Q345" s="253"/>
      <c r="R345" s="253"/>
      <c r="S345" s="253"/>
      <c r="T345" s="253"/>
      <c r="U345" s="253"/>
      <c r="V345" s="253"/>
      <c r="W345" s="253"/>
      <c r="X345" s="253"/>
      <c r="Y345" s="253"/>
      <c r="Z345" s="253"/>
      <c r="AA345" s="253"/>
      <c r="AB345" s="253"/>
      <c r="AC345" s="253"/>
      <c r="AD345" s="253"/>
      <c r="AE345" s="9873">
        <f>IF(OR(AE344="",AE344="---"),0,AE344)</f>
        <v>0</v>
      </c>
      <c r="AF345" s="8729"/>
      <c r="AG345" s="8729"/>
      <c r="AH345" s="8729"/>
      <c r="AI345" s="8729"/>
      <c r="AJ345" s="8729"/>
      <c r="AK345" s="2013"/>
      <c r="BL345" s="2027"/>
      <c r="BM345" s="2027"/>
    </row>
    <row r="346" spans="1:65" ht="15" customHeight="1" thickBot="1">
      <c r="A346" s="2013"/>
      <c r="B346" s="253"/>
      <c r="C346" s="253"/>
      <c r="D346" s="511" t="s">
        <v>3412</v>
      </c>
      <c r="E346" s="253"/>
      <c r="F346" s="253"/>
      <c r="G346" s="253"/>
      <c r="H346" s="253"/>
      <c r="I346" s="253"/>
      <c r="J346" s="253"/>
      <c r="K346" s="253"/>
      <c r="L346" s="253"/>
      <c r="M346" s="253"/>
      <c r="N346" s="253"/>
      <c r="O346" s="253"/>
      <c r="P346" s="253"/>
      <c r="Q346" s="253"/>
      <c r="R346" s="253"/>
      <c r="S346" s="253"/>
      <c r="T346" s="253"/>
      <c r="U346" s="253"/>
      <c r="V346" s="253"/>
      <c r="W346" s="253"/>
      <c r="X346" s="253"/>
      <c r="Y346" s="253"/>
      <c r="Z346" s="253"/>
      <c r="AA346" s="253"/>
      <c r="AB346" s="253"/>
      <c r="AC346" s="253"/>
      <c r="AD346" s="253"/>
      <c r="AE346" s="253"/>
      <c r="AF346" s="253"/>
      <c r="AG346" s="253"/>
      <c r="AH346" s="253"/>
      <c r="AI346" s="253"/>
      <c r="AJ346" s="253"/>
      <c r="AK346" s="2013"/>
      <c r="BL346" s="2027"/>
      <c r="BM346" s="2027"/>
    </row>
    <row r="347" spans="1:65" ht="18.75" customHeight="1" thickBot="1">
      <c r="A347" s="2013"/>
      <c r="B347" s="9755" t="s">
        <v>3413</v>
      </c>
      <c r="C347" s="8489"/>
      <c r="D347" s="2090" t="s">
        <v>3414</v>
      </c>
      <c r="E347" s="2091"/>
      <c r="F347" s="2091"/>
      <c r="G347" s="2091"/>
      <c r="H347" s="2091"/>
      <c r="I347" s="2091"/>
      <c r="J347" s="2091"/>
      <c r="K347" s="2091"/>
      <c r="L347" s="2091"/>
      <c r="M347" s="2091"/>
      <c r="N347" s="2091"/>
      <c r="O347" s="2091"/>
      <c r="P347" s="2091"/>
      <c r="Q347" s="2091"/>
      <c r="R347" s="2091"/>
      <c r="S347" s="2091"/>
      <c r="T347" s="2091"/>
      <c r="U347" s="2091"/>
      <c r="V347" s="2091"/>
      <c r="W347" s="2091"/>
      <c r="X347" s="2091"/>
      <c r="Y347" s="2091"/>
      <c r="Z347" s="2091"/>
      <c r="AA347" s="2091"/>
      <c r="AB347" s="2091"/>
      <c r="AC347" s="2091"/>
      <c r="AD347" s="2091"/>
      <c r="AE347" s="9871"/>
      <c r="AF347" s="9872"/>
      <c r="AG347" s="9872"/>
      <c r="AH347" s="9872"/>
      <c r="AI347" s="9872"/>
      <c r="AJ347" s="9872"/>
      <c r="AK347" s="2013"/>
      <c r="AM347" s="817" t="s">
        <v>771</v>
      </c>
    </row>
    <row r="348" spans="1:65" ht="15" customHeight="1" thickBot="1">
      <c r="A348" s="2013"/>
      <c r="B348" s="253"/>
      <c r="C348" s="734" t="s">
        <v>3415</v>
      </c>
      <c r="D348" s="511" t="str">
        <f>"Maximum foreign earned income exclusion."</f>
        <v>Maximum foreign earned income exclusion.</v>
      </c>
      <c r="E348" s="253"/>
      <c r="F348" s="253"/>
      <c r="G348" s="253"/>
      <c r="H348" s="253"/>
      <c r="I348" s="253"/>
      <c r="J348" s="253"/>
      <c r="K348" s="253"/>
      <c r="L348" s="253"/>
      <c r="M348" s="253"/>
      <c r="N348" s="253"/>
      <c r="O348" s="253"/>
      <c r="P348" s="253" t="str">
        <f>"Enter "&amp;TEXT(AE348,"$0,000")</f>
        <v>Enter $130,000</v>
      </c>
      <c r="Q348" s="253"/>
      <c r="R348" s="253"/>
      <c r="S348" s="253"/>
      <c r="T348" s="253"/>
      <c r="U348" s="253"/>
      <c r="V348" s="253"/>
      <c r="W348" s="253"/>
      <c r="X348" s="253"/>
      <c r="Y348" s="253"/>
      <c r="Z348" s="253"/>
      <c r="AA348" s="253"/>
      <c r="AB348" s="2031" t="s">
        <v>590</v>
      </c>
      <c r="AC348" s="9751">
        <v>37</v>
      </c>
      <c r="AD348" s="9785"/>
      <c r="AE348" s="9867">
        <f>IF(AM348&lt;&gt;"",ROUND(AM348,0),AE349)</f>
        <v>130000</v>
      </c>
      <c r="AF348" s="9867"/>
      <c r="AG348" s="9867"/>
      <c r="AH348" s="9867"/>
      <c r="AI348" s="9867"/>
      <c r="AJ348" s="9867"/>
      <c r="AK348" s="2013"/>
      <c r="AM348" s="449"/>
      <c r="BL348" s="2027"/>
      <c r="BM348" s="2027"/>
    </row>
    <row r="349" spans="1:65" ht="15" customHeight="1" thickBot="1">
      <c r="A349" s="2013"/>
      <c r="B349" s="253"/>
      <c r="C349" s="734" t="s">
        <v>3416</v>
      </c>
      <c r="D349" s="2092" t="s">
        <v>615</v>
      </c>
      <c r="E349" s="511" t="s">
        <v>3417</v>
      </c>
      <c r="F349" s="253"/>
      <c r="G349" s="253"/>
      <c r="H349" s="253"/>
      <c r="I349" s="253"/>
      <c r="J349" s="253"/>
      <c r="K349" s="253"/>
      <c r="L349" s="253"/>
      <c r="M349" s="253"/>
      <c r="N349" s="253"/>
      <c r="O349" s="253"/>
      <c r="P349" s="253"/>
      <c r="Q349" s="253"/>
      <c r="R349" s="253"/>
      <c r="S349" s="253"/>
      <c r="T349" s="253"/>
      <c r="U349" s="253"/>
      <c r="V349" s="253"/>
      <c r="W349" s="416"/>
      <c r="X349" s="416"/>
      <c r="Y349" s="416"/>
      <c r="Z349" s="416"/>
      <c r="AA349" s="253"/>
      <c r="AB349" s="2093"/>
      <c r="AC349" s="2094"/>
      <c r="AD349" s="2095"/>
      <c r="AE349" s="9874">
        <f>AE160</f>
        <v>130000</v>
      </c>
      <c r="AF349" s="9875"/>
      <c r="AG349" s="9875"/>
      <c r="AH349" s="9875"/>
      <c r="AI349" s="9875"/>
      <c r="AJ349" s="9875"/>
      <c r="AK349" s="2013"/>
      <c r="AM349" s="817"/>
      <c r="AO349" s="2084" t="b">
        <f>AND(AE344&lt;&gt;0,AE344&lt;&gt;"")</f>
        <v>0</v>
      </c>
      <c r="BL349" s="2027"/>
      <c r="BM349" s="2027"/>
    </row>
    <row r="350" spans="1:65" ht="15" customHeight="1" thickBot="1">
      <c r="A350" s="2013"/>
      <c r="B350" s="253"/>
      <c r="C350" s="253"/>
      <c r="D350" s="2092" t="s">
        <v>615</v>
      </c>
      <c r="E350" s="511" t="s">
        <v>3418</v>
      </c>
      <c r="F350" s="253"/>
      <c r="G350" s="253"/>
      <c r="H350" s="253"/>
      <c r="I350" s="253"/>
      <c r="J350" s="253"/>
      <c r="K350" s="253"/>
      <c r="L350" s="253"/>
      <c r="M350" s="253"/>
      <c r="N350" s="253"/>
      <c r="O350" s="253"/>
      <c r="P350" s="253"/>
      <c r="Q350" s="253"/>
      <c r="R350" s="253"/>
      <c r="S350" s="253"/>
      <c r="T350" s="253"/>
      <c r="U350" s="2096"/>
      <c r="V350" s="9751">
        <v>38</v>
      </c>
      <c r="W350" s="8380"/>
      <c r="X350" s="7662">
        <f>IF(AO349,W336,IF(AM350&lt;&gt;"",AM350,DaysInTaxYear))</f>
        <v>365</v>
      </c>
      <c r="Y350" s="7662"/>
      <c r="Z350" s="7662"/>
      <c r="AA350" s="9864" t="s">
        <v>3395</v>
      </c>
      <c r="AB350" s="9864"/>
      <c r="AC350" s="2073"/>
      <c r="AD350" s="2074"/>
      <c r="AE350" s="253"/>
      <c r="AF350" s="253"/>
      <c r="AG350" s="253"/>
      <c r="AH350" s="253"/>
      <c r="AI350" s="253"/>
      <c r="AJ350" s="253"/>
      <c r="AK350" s="2013"/>
      <c r="AM350" s="1316"/>
      <c r="AN350" s="2014" t="s">
        <v>3419</v>
      </c>
      <c r="BL350" s="2027"/>
      <c r="BM350" s="2027"/>
    </row>
    <row r="351" spans="1:65" ht="15" customHeight="1">
      <c r="A351" s="2013"/>
      <c r="B351" s="253"/>
      <c r="C351" s="253"/>
      <c r="D351" s="253"/>
      <c r="E351" s="511" t="str">
        <f>"fall within your "&amp;TaxYear&amp;" tax year (see the instructions for line 31)."</f>
        <v>fall within your 2025 tax year (see the instructions for line 31).</v>
      </c>
      <c r="F351" s="253"/>
      <c r="G351" s="253"/>
      <c r="H351" s="253"/>
      <c r="I351" s="253"/>
      <c r="J351" s="253"/>
      <c r="K351" s="253"/>
      <c r="L351" s="253"/>
      <c r="M351" s="253"/>
      <c r="N351" s="253"/>
      <c r="O351" s="253"/>
      <c r="P351" s="253"/>
      <c r="Q351" s="253"/>
      <c r="R351" s="253"/>
      <c r="S351" s="253"/>
      <c r="T351" s="253"/>
      <c r="U351" s="253"/>
      <c r="V351" s="253"/>
      <c r="W351" s="253"/>
      <c r="X351" s="253"/>
      <c r="Y351" s="253"/>
      <c r="Z351" s="253"/>
      <c r="AA351" s="253"/>
      <c r="AB351" s="253"/>
      <c r="AC351" s="408"/>
      <c r="AD351" s="409"/>
      <c r="AE351" s="253"/>
      <c r="AF351" s="253"/>
      <c r="AG351" s="253"/>
      <c r="AH351" s="253"/>
      <c r="AI351" s="253"/>
      <c r="AJ351" s="253"/>
      <c r="AK351" s="2013"/>
      <c r="AL351" s="2014" t="s">
        <v>3420</v>
      </c>
      <c r="BL351" s="2027"/>
      <c r="BM351" s="2027"/>
    </row>
    <row r="352" spans="1:65" ht="15" customHeight="1" thickBot="1">
      <c r="A352" s="2013"/>
      <c r="B352" s="253"/>
      <c r="C352" s="734" t="s">
        <v>3421</v>
      </c>
      <c r="D352" s="2092" t="s">
        <v>615</v>
      </c>
      <c r="E352" s="511" t="str">
        <f>"If line 38 and number of days in your "&amp;TaxYear&amp;" tax year (usually "&amp;TEXT(DaysInTaxYear,"0")&amp;") are the same, enter “1.000.”"</f>
        <v>If line 38 and number of days in your 2025 tax year (usually 365) are the same, enter “1.000.”</v>
      </c>
      <c r="F352" s="253"/>
      <c r="G352" s="253"/>
      <c r="H352" s="253"/>
      <c r="I352" s="253"/>
      <c r="J352" s="253"/>
      <c r="K352" s="253"/>
      <c r="L352" s="253"/>
      <c r="M352" s="253"/>
      <c r="N352" s="253"/>
      <c r="O352" s="253"/>
      <c r="P352" s="253"/>
      <c r="Q352" s="253"/>
      <c r="R352" s="253"/>
      <c r="S352" s="253"/>
      <c r="T352" s="253"/>
      <c r="U352" s="253"/>
      <c r="V352" s="253"/>
      <c r="W352" s="253"/>
      <c r="X352" s="253"/>
      <c r="Y352" s="253"/>
      <c r="Z352" s="253"/>
      <c r="AA352" s="253"/>
      <c r="AB352" s="253"/>
      <c r="AC352" s="408"/>
      <c r="AD352" s="409"/>
      <c r="AE352" s="253"/>
      <c r="AF352" s="253"/>
      <c r="AG352" s="253"/>
      <c r="AH352" s="253"/>
      <c r="AI352" s="253"/>
      <c r="AJ352" s="253"/>
      <c r="AK352" s="2013"/>
      <c r="AL352" s="2014" t="str">
        <f>TaxYear&amp;" tax year."</f>
        <v>2025 tax year.</v>
      </c>
      <c r="BL352" s="2027"/>
      <c r="BM352" s="2027"/>
    </row>
    <row r="353" spans="1:65" ht="15" customHeight="1" thickBot="1">
      <c r="A353" s="2013"/>
      <c r="B353" s="253"/>
      <c r="C353" s="253"/>
      <c r="D353" s="2092" t="s">
        <v>615</v>
      </c>
      <c r="E353" s="511" t="str">
        <f>"Otherwise, divide line 38 by the number of days in your "&amp;TaxYear&amp;" tax year and enter the result as"</f>
        <v>Otherwise, divide line 38 by the number of days in your 2025 tax year and enter the result as</v>
      </c>
      <c r="F353" s="253"/>
      <c r="G353" s="253"/>
      <c r="H353" s="253"/>
      <c r="I353" s="253"/>
      <c r="J353" s="253"/>
      <c r="K353" s="253"/>
      <c r="L353" s="253"/>
      <c r="M353" s="253"/>
      <c r="N353" s="253"/>
      <c r="O353" s="253"/>
      <c r="P353" s="253"/>
      <c r="Q353" s="253"/>
      <c r="R353" s="253"/>
      <c r="S353" s="253"/>
      <c r="T353" s="253"/>
      <c r="U353" s="253"/>
      <c r="V353" s="253"/>
      <c r="W353" s="253"/>
      <c r="X353" s="253"/>
      <c r="Y353" s="253"/>
      <c r="Z353" s="253"/>
      <c r="AA353" s="253"/>
      <c r="AB353" s="253"/>
      <c r="AC353" s="9751">
        <v>39</v>
      </c>
      <c r="AD353" s="9785"/>
      <c r="AE353" s="2088"/>
      <c r="AF353" s="2088"/>
      <c r="AG353" s="2089" t="s">
        <v>2119</v>
      </c>
      <c r="AH353" s="9888">
        <f>IF(AND(AM350="",AM353=""),1,IF(ISERROR(X350/AM353),"",ROUND(X350/AM353,3)))</f>
        <v>1</v>
      </c>
      <c r="AI353" s="9889"/>
      <c r="AJ353" s="9889"/>
      <c r="AK353" s="2013"/>
      <c r="AM353" s="1316">
        <f>DaysInTaxYear</f>
        <v>365</v>
      </c>
      <c r="AN353" s="2014" t="str">
        <f>"No. of days in your "</f>
        <v xml:space="preserve">No. of days in your </v>
      </c>
      <c r="BL353" s="2027"/>
      <c r="BM353" s="2027"/>
    </row>
    <row r="354" spans="1:65" ht="15" customHeight="1">
      <c r="A354" s="2013"/>
      <c r="B354" s="253"/>
      <c r="C354" s="253"/>
      <c r="D354" s="253"/>
      <c r="E354" s="2046" t="s">
        <v>3422</v>
      </c>
      <c r="F354" s="253"/>
      <c r="G354" s="253"/>
      <c r="H354" s="253"/>
      <c r="I354" s="253"/>
      <c r="J354" s="253"/>
      <c r="K354" s="253"/>
      <c r="L354" s="253"/>
      <c r="M354" s="253"/>
      <c r="N354" s="253"/>
      <c r="O354" s="253"/>
      <c r="P354" s="253"/>
      <c r="Q354" s="253"/>
      <c r="R354" s="253"/>
      <c r="S354" s="253"/>
      <c r="T354" s="253"/>
      <c r="U354" s="253"/>
      <c r="V354" s="253"/>
      <c r="W354" s="253"/>
      <c r="X354" s="253"/>
      <c r="Y354" s="253"/>
      <c r="Z354" s="253"/>
      <c r="AA354" s="253"/>
      <c r="AB354" s="253"/>
      <c r="AC354" s="9128"/>
      <c r="AD354" s="9787"/>
      <c r="AE354" s="9128"/>
      <c r="AF354" s="9788"/>
      <c r="AG354" s="9788"/>
      <c r="AH354" s="9788"/>
      <c r="AI354" s="9788"/>
      <c r="AJ354" s="9788"/>
      <c r="AK354" s="2013"/>
      <c r="AN354" s="2014" t="str">
        <f>TaxYear&amp;" tax year."</f>
        <v>2025 tax year.</v>
      </c>
      <c r="BL354" s="2027"/>
      <c r="BM354" s="2027"/>
    </row>
    <row r="355" spans="1:65" ht="15" customHeight="1">
      <c r="A355" s="2013"/>
      <c r="B355" s="253"/>
      <c r="C355" s="734" t="s">
        <v>3423</v>
      </c>
      <c r="D355" s="511" t="s">
        <v>3424</v>
      </c>
      <c r="E355" s="253"/>
      <c r="F355" s="253"/>
      <c r="G355" s="253"/>
      <c r="H355" s="253"/>
      <c r="I355" s="253"/>
      <c r="J355" s="253"/>
      <c r="K355" s="253"/>
      <c r="L355" s="253"/>
      <c r="M355" s="253"/>
      <c r="N355" s="253"/>
      <c r="O355" s="253"/>
      <c r="P355" s="253"/>
      <c r="Q355" s="253"/>
      <c r="R355" s="253"/>
      <c r="S355" s="253"/>
      <c r="T355" s="253"/>
      <c r="U355" s="253"/>
      <c r="V355" s="253"/>
      <c r="W355" s="253"/>
      <c r="X355" s="253"/>
      <c r="Y355" s="253"/>
      <c r="Z355" s="253"/>
      <c r="AA355" s="253"/>
      <c r="AB355" s="2031" t="s">
        <v>2167</v>
      </c>
      <c r="AC355" s="9751">
        <v>40</v>
      </c>
      <c r="AD355" s="9785"/>
      <c r="AE355" s="9861" t="str">
        <f>IF(OR(ForeignEarnedIncome2=0,AH353=""),"",ROUND(AE348*AH353,0))</f>
        <v/>
      </c>
      <c r="AF355" s="9861"/>
      <c r="AG355" s="9861"/>
      <c r="AH355" s="9861"/>
      <c r="AI355" s="9861"/>
      <c r="AJ355" s="9861"/>
      <c r="AK355" s="2013"/>
      <c r="BL355" s="2027"/>
      <c r="BM355" s="2027"/>
    </row>
    <row r="356" spans="1:65" ht="15" customHeight="1" thickBot="1">
      <c r="A356" s="2013"/>
      <c r="B356" s="253"/>
      <c r="C356" s="734" t="s">
        <v>3425</v>
      </c>
      <c r="D356" s="511" t="s">
        <v>3426</v>
      </c>
      <c r="E356" s="253"/>
      <c r="F356" s="253"/>
      <c r="G356" s="253"/>
      <c r="H356" s="253"/>
      <c r="I356" s="253"/>
      <c r="J356" s="253"/>
      <c r="K356" s="253"/>
      <c r="L356" s="253"/>
      <c r="M356" s="253"/>
      <c r="N356" s="253"/>
      <c r="O356" s="253"/>
      <c r="P356" s="253"/>
      <c r="Q356" s="253"/>
      <c r="R356" s="253"/>
      <c r="S356" s="253"/>
      <c r="T356" s="253"/>
      <c r="U356" s="253"/>
      <c r="V356" s="253"/>
      <c r="W356" s="253"/>
      <c r="X356" s="253"/>
      <c r="Y356" s="253"/>
      <c r="Z356" s="253"/>
      <c r="AA356" s="253"/>
      <c r="AB356" s="2031" t="s">
        <v>1877</v>
      </c>
      <c r="AC356" s="9751">
        <v>41</v>
      </c>
      <c r="AD356" s="9785"/>
      <c r="AE356" s="9861" t="str">
        <f>IF(OR(ForeignEarnedIncome2=0,AH353=""),"",SUM(ForeignEarnedIncome2,-AE345))</f>
        <v/>
      </c>
      <c r="AF356" s="9861"/>
      <c r="AG356" s="9861"/>
      <c r="AH356" s="9861"/>
      <c r="AI356" s="9861"/>
      <c r="AJ356" s="9861"/>
      <c r="AK356" s="2013"/>
      <c r="AM356" s="817" t="s">
        <v>771</v>
      </c>
      <c r="BL356" s="2027"/>
      <c r="BM356" s="2027"/>
    </row>
    <row r="357" spans="1:65" ht="15" customHeight="1" thickBot="1">
      <c r="A357" s="2013"/>
      <c r="B357" s="253"/>
      <c r="C357" s="734" t="s">
        <v>3427</v>
      </c>
      <c r="D357" s="344" t="s">
        <v>3428</v>
      </c>
      <c r="E357" s="253"/>
      <c r="F357" s="253"/>
      <c r="G357" s="253"/>
      <c r="H357" s="253"/>
      <c r="I357" s="253"/>
      <c r="J357" s="253"/>
      <c r="K357" s="253"/>
      <c r="L357" s="253"/>
      <c r="M357" s="253"/>
      <c r="N357" s="253"/>
      <c r="O357" s="253"/>
      <c r="P357" s="253"/>
      <c r="Q357" s="253"/>
      <c r="R357" s="253"/>
      <c r="S357" s="253"/>
      <c r="T357" s="253"/>
      <c r="U357" s="253"/>
      <c r="V357" s="253"/>
      <c r="W357" s="253"/>
      <c r="X357" s="253"/>
      <c r="Y357" s="253"/>
      <c r="Z357" s="253"/>
      <c r="AA357" s="253"/>
      <c r="AB357" s="2031" t="s">
        <v>3429</v>
      </c>
      <c r="AC357" s="9868">
        <v>42</v>
      </c>
      <c r="AD357" s="9869"/>
      <c r="AE357" s="9870">
        <f>IF(AM357&lt;&gt;"",ROUND(AM357,0),IF(AH353="","",IF(AE356="",0,MIN(AE355,AE356))))</f>
        <v>0</v>
      </c>
      <c r="AF357" s="9870"/>
      <c r="AG357" s="9870"/>
      <c r="AH357" s="9870"/>
      <c r="AI357" s="9870"/>
      <c r="AJ357" s="9870"/>
      <c r="AK357" s="2013"/>
      <c r="AM357" s="440"/>
      <c r="BL357" s="2027"/>
      <c r="BM357" s="2027"/>
    </row>
    <row r="358" spans="1:65" ht="21.75" customHeight="1">
      <c r="A358" s="2013"/>
      <c r="B358" s="2097" t="s">
        <v>3430</v>
      </c>
      <c r="C358" s="2098"/>
      <c r="D358" s="2090" t="s">
        <v>3431</v>
      </c>
      <c r="E358" s="2091"/>
      <c r="F358" s="2091"/>
      <c r="G358" s="2091"/>
      <c r="H358" s="2091"/>
      <c r="I358" s="2091"/>
      <c r="J358" s="2091"/>
      <c r="K358" s="2091"/>
      <c r="L358" s="2091"/>
      <c r="M358" s="2091"/>
      <c r="N358" s="2091"/>
      <c r="O358" s="2091"/>
      <c r="P358" s="2091"/>
      <c r="Q358" s="2091"/>
      <c r="R358" s="2091"/>
      <c r="S358" s="2091"/>
      <c r="T358" s="2091"/>
      <c r="U358" s="2091"/>
      <c r="V358" s="2091"/>
      <c r="W358" s="2091"/>
      <c r="X358" s="2091"/>
      <c r="Y358" s="2091"/>
      <c r="Z358" s="2091"/>
      <c r="AA358" s="2091"/>
      <c r="AB358" s="2091"/>
      <c r="AC358" s="2091"/>
      <c r="AD358" s="2091"/>
      <c r="AE358" s="2091"/>
      <c r="AF358" s="2091"/>
      <c r="AG358" s="2091"/>
      <c r="AH358" s="2091"/>
      <c r="AI358" s="2091"/>
      <c r="AJ358" s="2091"/>
      <c r="AK358" s="2013"/>
    </row>
    <row r="359" spans="1:65" ht="15" customHeight="1">
      <c r="A359" s="2013"/>
      <c r="B359" s="253"/>
      <c r="C359" s="734" t="s">
        <v>3432</v>
      </c>
      <c r="D359" s="511" t="s">
        <v>3433</v>
      </c>
      <c r="E359" s="253"/>
      <c r="F359" s="253"/>
      <c r="G359" s="253"/>
      <c r="H359" s="253"/>
      <c r="I359" s="253"/>
      <c r="J359" s="253"/>
      <c r="K359" s="253"/>
      <c r="L359" s="253"/>
      <c r="M359" s="253"/>
      <c r="N359" s="253"/>
      <c r="O359" s="253"/>
      <c r="P359" s="253"/>
      <c r="Q359" s="253"/>
      <c r="R359" s="253"/>
      <c r="S359" s="253"/>
      <c r="T359" s="253"/>
      <c r="U359" s="253"/>
      <c r="V359" s="253"/>
      <c r="W359" s="253"/>
      <c r="X359" s="253"/>
      <c r="Y359" s="253"/>
      <c r="Z359" s="253"/>
      <c r="AA359" s="253"/>
      <c r="AB359" s="2031" t="s">
        <v>2699</v>
      </c>
      <c r="AC359" s="9751">
        <v>43</v>
      </c>
      <c r="AD359" s="9785"/>
      <c r="AE359" s="9861">
        <f>SUM(AO344,AE357)</f>
        <v>0</v>
      </c>
      <c r="AF359" s="9861"/>
      <c r="AG359" s="9861"/>
      <c r="AH359" s="9861"/>
      <c r="AI359" s="9861"/>
      <c r="AJ359" s="9861"/>
      <c r="AK359" s="2013"/>
      <c r="AO359" s="2083">
        <f>IF(AE359="",0,AE359)</f>
        <v>0</v>
      </c>
      <c r="BL359" s="2027"/>
      <c r="BM359" s="2027"/>
    </row>
    <row r="360" spans="1:65" ht="15" customHeight="1">
      <c r="A360" s="2013"/>
      <c r="B360" s="253"/>
      <c r="C360" s="734" t="s">
        <v>3434</v>
      </c>
      <c r="D360" s="511" t="s">
        <v>5264</v>
      </c>
      <c r="E360" s="253"/>
      <c r="F360" s="253"/>
      <c r="G360" s="253"/>
      <c r="H360" s="253"/>
      <c r="I360" s="253"/>
      <c r="J360" s="253"/>
      <c r="K360" s="253"/>
      <c r="L360" s="253"/>
      <c r="M360" s="253"/>
      <c r="N360" s="253"/>
      <c r="O360" s="253"/>
      <c r="P360" s="253"/>
      <c r="Q360" s="253"/>
      <c r="R360" s="253"/>
      <c r="S360" s="253"/>
      <c r="T360" s="253"/>
      <c r="U360" s="253"/>
      <c r="V360" s="253"/>
      <c r="W360" s="253"/>
      <c r="X360" s="253"/>
      <c r="Y360" s="253"/>
      <c r="Z360" s="253"/>
      <c r="AA360" s="253"/>
      <c r="AB360" s="253"/>
      <c r="AC360" s="9128"/>
      <c r="AD360" s="9787"/>
      <c r="AE360" s="9128"/>
      <c r="AF360" s="9788"/>
      <c r="AG360" s="9788"/>
      <c r="AH360" s="9788"/>
      <c r="AI360" s="9788"/>
      <c r="AJ360" s="9788"/>
      <c r="AK360" s="2013"/>
      <c r="AM360" s="9750" t="str">
        <f>IF(F2555_Line45_2&gt;FEI_Exclusion_Limit,"IMPORTANT NOTE: For "&amp;TaxYear&amp;", the FEI exclusion is limited to "&amp;TEXT(FEI_Exclusion_Limit,"$0,000")&amp;".","")</f>
        <v/>
      </c>
      <c r="AN360" s="9750"/>
      <c r="AO360" s="9750"/>
      <c r="BL360" s="2027"/>
      <c r="BM360" s="2027"/>
    </row>
    <row r="361" spans="1:65" ht="15" customHeight="1">
      <c r="A361" s="2013"/>
      <c r="B361" s="253"/>
      <c r="C361" s="253"/>
      <c r="D361" s="511" t="s">
        <v>5263</v>
      </c>
      <c r="E361" s="253"/>
      <c r="F361" s="253"/>
      <c r="G361" s="253"/>
      <c r="H361" s="253"/>
      <c r="I361" s="253"/>
      <c r="J361" s="253"/>
      <c r="K361" s="253"/>
      <c r="L361" s="253"/>
      <c r="M361" s="253"/>
      <c r="N361" s="253"/>
      <c r="O361" s="253"/>
      <c r="P361" s="253"/>
      <c r="Q361" s="253"/>
      <c r="R361" s="253"/>
      <c r="S361" s="253"/>
      <c r="T361" s="253"/>
      <c r="U361" s="253"/>
      <c r="V361" s="253"/>
      <c r="W361" s="253"/>
      <c r="X361" s="253"/>
      <c r="Y361" s="253"/>
      <c r="Z361" s="253"/>
      <c r="AA361" s="253"/>
      <c r="AB361" s="2031" t="s">
        <v>624</v>
      </c>
      <c r="AC361" s="9751">
        <v>44</v>
      </c>
      <c r="AD361" s="9785"/>
      <c r="AE361" s="9786"/>
      <c r="AF361" s="9786"/>
      <c r="AG361" s="9786"/>
      <c r="AH361" s="9786"/>
      <c r="AI361" s="9786"/>
      <c r="AJ361" s="9786"/>
      <c r="AK361" s="2013"/>
      <c r="AM361" s="9750"/>
      <c r="AN361" s="9750"/>
      <c r="AO361" s="9750"/>
      <c r="BL361" s="2027"/>
      <c r="BM361" s="2027"/>
    </row>
    <row r="362" spans="1:65" ht="15" customHeight="1">
      <c r="A362" s="2013"/>
      <c r="B362" s="253"/>
      <c r="C362" s="734" t="s">
        <v>3435</v>
      </c>
      <c r="D362" s="511" t="s">
        <v>3436</v>
      </c>
      <c r="E362" s="253"/>
      <c r="F362" s="253"/>
      <c r="G362" s="253"/>
      <c r="H362" s="253"/>
      <c r="I362" s="253"/>
      <c r="J362" s="253"/>
      <c r="K362" s="253"/>
      <c r="L362" s="253"/>
      <c r="M362" s="253"/>
      <c r="N362" s="253"/>
      <c r="O362" s="253"/>
      <c r="P362" s="253"/>
      <c r="Q362" s="253"/>
      <c r="R362" s="253"/>
      <c r="S362" s="253"/>
      <c r="T362" s="253"/>
      <c r="U362" s="253"/>
      <c r="V362" s="253"/>
      <c r="W362" s="253"/>
      <c r="X362" s="253"/>
      <c r="Y362" s="253"/>
      <c r="Z362" s="253"/>
      <c r="AA362" s="253"/>
      <c r="AB362" s="253"/>
      <c r="AC362" s="9128"/>
      <c r="AD362" s="9787"/>
      <c r="AE362" s="9882">
        <f>IF(AO193,$AE$170,0)</f>
        <v>0</v>
      </c>
      <c r="AF362" s="9883"/>
      <c r="AG362" s="9883"/>
      <c r="AH362" s="9883"/>
      <c r="AI362" s="9883"/>
      <c r="AJ362" s="9883"/>
      <c r="AK362" s="2013"/>
      <c r="AM362" s="9750"/>
      <c r="AN362" s="9750"/>
      <c r="AO362" s="9750"/>
      <c r="BL362" s="2027"/>
      <c r="BM362" s="2027"/>
    </row>
    <row r="363" spans="1:65" ht="15" customHeight="1" thickBot="1">
      <c r="A363" s="2013"/>
      <c r="B363" s="253"/>
      <c r="C363" s="253"/>
      <c r="D363" s="511" t="s">
        <v>5261</v>
      </c>
      <c r="E363" s="253"/>
      <c r="F363" s="253"/>
      <c r="G363" s="253"/>
      <c r="H363" s="253"/>
      <c r="I363" s="253"/>
      <c r="J363" s="253"/>
      <c r="K363" s="253"/>
      <c r="L363" s="253"/>
      <c r="M363" s="253"/>
      <c r="N363" s="253"/>
      <c r="O363" s="253"/>
      <c r="P363" s="253"/>
      <c r="Q363" s="253"/>
      <c r="R363" s="253"/>
      <c r="S363" s="253"/>
      <c r="T363" s="253"/>
      <c r="U363" s="253"/>
      <c r="V363" s="253"/>
      <c r="W363" s="253"/>
      <c r="X363" s="253"/>
      <c r="Y363" s="253"/>
      <c r="Z363" s="253"/>
      <c r="AA363" s="253"/>
      <c r="AB363" s="253"/>
      <c r="AC363" s="8984"/>
      <c r="AD363" s="9863"/>
      <c r="AE363" s="9876">
        <f>IF(AND(NOT(AO193),AO194),$AE$170,0)</f>
        <v>0</v>
      </c>
      <c r="AF363" s="9877"/>
      <c r="AG363" s="9877"/>
      <c r="AH363" s="9877"/>
      <c r="AI363" s="9877"/>
      <c r="AJ363" s="9877"/>
      <c r="AK363" s="2013"/>
      <c r="AM363" s="817" t="s">
        <v>771</v>
      </c>
      <c r="BL363" s="2027"/>
      <c r="BM363" s="2027"/>
    </row>
    <row r="364" spans="1:65" ht="15" customHeight="1" thickBot="1">
      <c r="A364" s="2013"/>
      <c r="B364" s="253"/>
      <c r="C364" s="253"/>
      <c r="D364" s="511" t="s">
        <v>5262</v>
      </c>
      <c r="E364" s="253"/>
      <c r="F364" s="253"/>
      <c r="G364" s="253"/>
      <c r="H364" s="253"/>
      <c r="I364" s="253"/>
      <c r="J364" s="253"/>
      <c r="K364" s="253"/>
      <c r="L364" s="253"/>
      <c r="M364" s="253"/>
      <c r="N364" s="253"/>
      <c r="O364" s="253"/>
      <c r="P364" s="253"/>
      <c r="Q364" s="253"/>
      <c r="R364" s="253"/>
      <c r="S364" s="253"/>
      <c r="T364" s="253"/>
      <c r="U364" s="253"/>
      <c r="V364" s="253"/>
      <c r="W364" s="253"/>
      <c r="X364" s="253"/>
      <c r="Y364" s="253"/>
      <c r="Z364" s="253"/>
      <c r="AA364" s="253"/>
      <c r="AB364" s="2031" t="s">
        <v>653</v>
      </c>
      <c r="AC364" s="9751">
        <v>45</v>
      </c>
      <c r="AD364" s="9785"/>
      <c r="AE364" s="9861">
        <f>IF(AM364&lt;&gt;"",ROUND(AM364,0),IF(AE359=0,0,SUM(AE359,-AE361)))</f>
        <v>0</v>
      </c>
      <c r="AF364" s="9861"/>
      <c r="AG364" s="9861"/>
      <c r="AH364" s="9861"/>
      <c r="AI364" s="9861"/>
      <c r="AJ364" s="9861"/>
      <c r="AK364" s="2013"/>
      <c r="AM364" s="449"/>
      <c r="AO364" s="2083" t="e" cm="1">
        <f t="array" ref="AO364">IF(F2555_Line45_2="",0,F2555_Line45)</f>
        <v>#NAME?</v>
      </c>
      <c r="BL364" s="2027"/>
      <c r="BM364" s="2027"/>
    </row>
    <row r="365" spans="1:65" ht="7.5" customHeight="1">
      <c r="A365" s="2013"/>
      <c r="B365" s="2036"/>
      <c r="C365" s="2036"/>
      <c r="D365" s="9878" t="s">
        <v>3437</v>
      </c>
      <c r="E365" s="9879"/>
      <c r="F365" s="9879"/>
      <c r="G365" s="9879"/>
      <c r="H365" s="9879"/>
      <c r="I365" s="9879"/>
      <c r="J365" s="9879"/>
      <c r="K365" s="9879"/>
      <c r="L365" s="9879"/>
      <c r="M365" s="9879"/>
      <c r="N365" s="9879"/>
      <c r="O365" s="9879"/>
      <c r="P365" s="9879"/>
      <c r="Q365" s="9879"/>
      <c r="R365" s="9879"/>
      <c r="S365" s="9879"/>
      <c r="T365" s="9879"/>
      <c r="U365" s="9879"/>
      <c r="V365" s="9879"/>
      <c r="W365" s="9879"/>
      <c r="X365" s="9879"/>
      <c r="Y365" s="9879"/>
      <c r="Z365" s="9879"/>
      <c r="AA365" s="9879"/>
      <c r="AB365" s="9879"/>
      <c r="AC365" s="9879"/>
      <c r="AD365" s="9879"/>
      <c r="AE365" s="9879"/>
      <c r="AF365" s="9879"/>
      <c r="AG365" s="9879"/>
      <c r="AH365" s="9879"/>
      <c r="AI365" s="9879"/>
      <c r="AJ365" s="9879"/>
      <c r="AK365" s="2013"/>
    </row>
    <row r="366" spans="1:65" ht="15" customHeight="1">
      <c r="A366" s="2013"/>
      <c r="B366" s="9755" t="s">
        <v>3438</v>
      </c>
      <c r="C366" s="8489"/>
      <c r="D366" s="9880"/>
      <c r="E366" s="9880"/>
      <c r="F366" s="9880"/>
      <c r="G366" s="9880"/>
      <c r="H366" s="9880"/>
      <c r="I366" s="9880"/>
      <c r="J366" s="9880"/>
      <c r="K366" s="9880"/>
      <c r="L366" s="9880"/>
      <c r="M366" s="9880"/>
      <c r="N366" s="9880"/>
      <c r="O366" s="9880"/>
      <c r="P366" s="9880"/>
      <c r="Q366" s="9880"/>
      <c r="R366" s="9880"/>
      <c r="S366" s="9880"/>
      <c r="T366" s="9880"/>
      <c r="U366" s="9880"/>
      <c r="V366" s="9880"/>
      <c r="W366" s="9880"/>
      <c r="X366" s="9880"/>
      <c r="Y366" s="9880"/>
      <c r="Z366" s="9880"/>
      <c r="AA366" s="9880"/>
      <c r="AB366" s="9880"/>
      <c r="AC366" s="9880"/>
      <c r="AD366" s="9880"/>
      <c r="AE366" s="9880"/>
      <c r="AF366" s="9880"/>
      <c r="AG366" s="9880"/>
      <c r="AH366" s="9880"/>
      <c r="AI366" s="9880"/>
      <c r="AJ366" s="9880"/>
      <c r="AK366" s="2013"/>
      <c r="AM366" s="2099" t="b">
        <f>AND(AO339&gt;AO344,ForeignEarnedIncome2&gt;AO359)</f>
        <v>0</v>
      </c>
    </row>
    <row r="367" spans="1:65" ht="7.5" customHeight="1">
      <c r="A367" s="2013"/>
      <c r="B367" s="1999"/>
      <c r="C367" s="1999"/>
      <c r="D367" s="9881"/>
      <c r="E367" s="9881"/>
      <c r="F367" s="9881"/>
      <c r="G367" s="9881"/>
      <c r="H367" s="9881"/>
      <c r="I367" s="9881"/>
      <c r="J367" s="9881"/>
      <c r="K367" s="9881"/>
      <c r="L367" s="9881"/>
      <c r="M367" s="9881"/>
      <c r="N367" s="9881"/>
      <c r="O367" s="9881"/>
      <c r="P367" s="9881"/>
      <c r="Q367" s="9881"/>
      <c r="R367" s="9881"/>
      <c r="S367" s="9881"/>
      <c r="T367" s="9881"/>
      <c r="U367" s="9881"/>
      <c r="V367" s="9881"/>
      <c r="W367" s="9881"/>
      <c r="X367" s="9881"/>
      <c r="Y367" s="9881"/>
      <c r="Z367" s="9881"/>
      <c r="AA367" s="9881"/>
      <c r="AB367" s="9881"/>
      <c r="AC367" s="9881"/>
      <c r="AD367" s="9881"/>
      <c r="AE367" s="9881"/>
      <c r="AF367" s="9881"/>
      <c r="AG367" s="9881"/>
      <c r="AH367" s="9881"/>
      <c r="AI367" s="9881"/>
      <c r="AJ367" s="9881"/>
      <c r="AK367" s="2013"/>
    </row>
    <row r="368" spans="1:65" ht="15" customHeight="1">
      <c r="A368" s="2013"/>
      <c r="B368" s="253"/>
      <c r="C368" s="734" t="s">
        <v>3439</v>
      </c>
      <c r="D368" s="511" t="s">
        <v>3440</v>
      </c>
      <c r="E368" s="253"/>
      <c r="F368" s="253"/>
      <c r="G368" s="253"/>
      <c r="H368" s="253"/>
      <c r="I368" s="253"/>
      <c r="J368" s="253"/>
      <c r="K368" s="253"/>
      <c r="L368" s="253"/>
      <c r="M368" s="253"/>
      <c r="N368" s="253"/>
      <c r="O368" s="253"/>
      <c r="P368" s="253"/>
      <c r="Q368" s="253"/>
      <c r="R368" s="253"/>
      <c r="S368" s="253"/>
      <c r="T368" s="253"/>
      <c r="U368" s="253"/>
      <c r="V368" s="253"/>
      <c r="W368" s="253"/>
      <c r="X368" s="253"/>
      <c r="Y368" s="253"/>
      <c r="Z368" s="253"/>
      <c r="AA368" s="253"/>
      <c r="AB368" s="2031" t="s">
        <v>2699</v>
      </c>
      <c r="AC368" s="9751">
        <v>46</v>
      </c>
      <c r="AD368" s="9785"/>
      <c r="AE368" s="9861" t="str">
        <f>IF(OR(AM339,NOT(AM366)),"",SUM(AO339,-AO344))</f>
        <v/>
      </c>
      <c r="AF368" s="9861"/>
      <c r="AG368" s="9861"/>
      <c r="AH368" s="9861"/>
      <c r="AI368" s="9861"/>
      <c r="AJ368" s="9861"/>
      <c r="AK368" s="2013"/>
      <c r="AM368" s="2014" t="str">
        <f>IF(F2555_Line45_2&gt;FEI_Exclusion_Limit,"For "&amp;TaxYear&amp;", the maximum","")</f>
        <v/>
      </c>
      <c r="BL368" s="2027"/>
      <c r="BM368" s="2027"/>
    </row>
    <row r="369" spans="1:74" ht="15" customHeight="1">
      <c r="A369" s="2013"/>
      <c r="B369" s="253"/>
      <c r="C369" s="734" t="s">
        <v>3441</v>
      </c>
      <c r="D369" s="511" t="s">
        <v>3442</v>
      </c>
      <c r="E369" s="253"/>
      <c r="F369" s="253"/>
      <c r="G369" s="253"/>
      <c r="H369" s="253"/>
      <c r="I369" s="253"/>
      <c r="J369" s="253"/>
      <c r="K369" s="253"/>
      <c r="L369" s="253"/>
      <c r="M369" s="253"/>
      <c r="N369" s="253"/>
      <c r="O369" s="253"/>
      <c r="P369" s="253"/>
      <c r="Q369" s="253"/>
      <c r="R369" s="253"/>
      <c r="S369" s="253"/>
      <c r="T369" s="253"/>
      <c r="U369" s="253"/>
      <c r="V369" s="253"/>
      <c r="W369" s="253"/>
      <c r="X369" s="253"/>
      <c r="Y369" s="253"/>
      <c r="Z369" s="253"/>
      <c r="AA369" s="253"/>
      <c r="AB369" s="2031" t="s">
        <v>2699</v>
      </c>
      <c r="AC369" s="9751">
        <v>47</v>
      </c>
      <c r="AD369" s="9785"/>
      <c r="AE369" s="9861" t="str">
        <f>IF(OR(AM339,NOT(AM366)),"",SUM(ForeignEarnedIncome2,-AE359))</f>
        <v/>
      </c>
      <c r="AF369" s="9861"/>
      <c r="AG369" s="9861"/>
      <c r="AH369" s="9861"/>
      <c r="AI369" s="9861"/>
      <c r="AJ369" s="9861"/>
      <c r="AK369" s="2013"/>
      <c r="BL369" s="2027"/>
      <c r="BM369" s="2027"/>
    </row>
    <row r="370" spans="1:74" ht="15" customHeight="1">
      <c r="A370" s="2013"/>
      <c r="B370" s="253"/>
      <c r="C370" s="734" t="s">
        <v>3443</v>
      </c>
      <c r="D370" s="511" t="s">
        <v>3444</v>
      </c>
      <c r="E370" s="253"/>
      <c r="F370" s="253"/>
      <c r="G370" s="253"/>
      <c r="H370" s="253"/>
      <c r="I370" s="253"/>
      <c r="J370" s="253"/>
      <c r="K370" s="253"/>
      <c r="L370" s="253"/>
      <c r="M370" s="253"/>
      <c r="N370" s="253"/>
      <c r="O370" s="253"/>
      <c r="P370" s="253"/>
      <c r="Q370" s="253"/>
      <c r="R370" s="253"/>
      <c r="S370" s="253"/>
      <c r="T370" s="253"/>
      <c r="U370" s="253"/>
      <c r="V370" s="253"/>
      <c r="W370" s="253"/>
      <c r="X370" s="253"/>
      <c r="Y370" s="253"/>
      <c r="Z370" s="253"/>
      <c r="AA370" s="253"/>
      <c r="AB370" s="2031" t="s">
        <v>653</v>
      </c>
      <c r="AC370" s="9751">
        <v>48</v>
      </c>
      <c r="AD370" s="9785"/>
      <c r="AE370" s="9861" t="str">
        <f>IF(OR(AM339,NOT(AM366)),"",MIN(AE368,AE369))</f>
        <v/>
      </c>
      <c r="AF370" s="9861"/>
      <c r="AG370" s="9861"/>
      <c r="AH370" s="9861"/>
      <c r="AI370" s="9861"/>
      <c r="AJ370" s="9861"/>
      <c r="AK370" s="2013"/>
      <c r="BL370" s="2027"/>
      <c r="BM370" s="2027"/>
    </row>
    <row r="371" spans="1:74" ht="15" customHeight="1">
      <c r="A371" s="2013"/>
      <c r="B371" s="253"/>
      <c r="C371" s="253"/>
      <c r="D371" s="511" t="s">
        <v>3445</v>
      </c>
      <c r="E371" s="253"/>
      <c r="F371" s="362"/>
      <c r="G371" s="253"/>
      <c r="H371" s="253"/>
      <c r="I371" s="253"/>
      <c r="J371" s="253"/>
      <c r="K371" s="253"/>
      <c r="L371" s="253"/>
      <c r="M371" s="253"/>
      <c r="N371" s="253"/>
      <c r="O371" s="253"/>
      <c r="P371" s="253"/>
      <c r="Q371" s="253"/>
      <c r="R371" s="253"/>
      <c r="S371" s="2100"/>
      <c r="T371" s="2100" t="str">
        <f>"all of your "&amp;TaxYear-1&amp;" housing deduction "</f>
        <v xml:space="preserve">all of your 2024 housing deduction </v>
      </c>
      <c r="U371" s="253"/>
      <c r="V371" s="253"/>
      <c r="W371" s="253"/>
      <c r="X371" s="253"/>
      <c r="Y371" s="253"/>
      <c r="Z371" s="253"/>
      <c r="AA371" s="253"/>
      <c r="AB371" s="1469"/>
      <c r="AC371" s="9884"/>
      <c r="AD371" s="9885"/>
      <c r="AE371" s="9128"/>
      <c r="AF371" s="9788"/>
      <c r="AG371" s="9788"/>
      <c r="AH371" s="9788"/>
      <c r="AI371" s="9788"/>
      <c r="AJ371" s="9788"/>
      <c r="AK371" s="2013"/>
      <c r="BL371" s="2027"/>
      <c r="BM371" s="2027"/>
    </row>
    <row r="372" spans="1:74" ht="15" customHeight="1">
      <c r="A372" s="2013"/>
      <c r="B372" s="253"/>
      <c r="C372" s="253"/>
      <c r="D372" s="511" t="str">
        <f>"because of the "&amp;TaxYear-1&amp;" limit, use the Housing Deduction Carryover Worksheet in the instructions to"</f>
        <v>because of the 2024 limit, use the Housing Deduction Carryover Worksheet in the instructions to</v>
      </c>
      <c r="E372" s="253"/>
      <c r="F372" s="253"/>
      <c r="G372" s="253"/>
      <c r="H372" s="253"/>
      <c r="I372" s="253"/>
      <c r="J372" s="253"/>
      <c r="K372" s="253"/>
      <c r="L372" s="253"/>
      <c r="M372" s="253"/>
      <c r="N372" s="253"/>
      <c r="O372" s="253"/>
      <c r="P372" s="253"/>
      <c r="Q372" s="253"/>
      <c r="R372" s="253"/>
      <c r="S372" s="253"/>
      <c r="T372" s="253"/>
      <c r="U372" s="253"/>
      <c r="V372" s="253"/>
      <c r="W372" s="253"/>
      <c r="X372" s="253"/>
      <c r="Y372" s="253"/>
      <c r="Z372" s="253"/>
      <c r="AA372" s="253"/>
      <c r="AB372" s="253"/>
      <c r="AC372" s="9886"/>
      <c r="AD372" s="9887"/>
      <c r="AE372" s="8984"/>
      <c r="AF372" s="7879"/>
      <c r="AG372" s="7879"/>
      <c r="AH372" s="7879"/>
      <c r="AI372" s="7879"/>
      <c r="AJ372" s="7879"/>
      <c r="AK372" s="2013"/>
      <c r="BL372" s="2027"/>
      <c r="BM372" s="2027"/>
    </row>
    <row r="373" spans="1:74" ht="15" customHeight="1">
      <c r="A373" s="2013"/>
      <c r="B373" s="253"/>
      <c r="C373" s="253"/>
      <c r="D373" s="511" t="s">
        <v>3446</v>
      </c>
      <c r="E373" s="253"/>
      <c r="F373" s="253"/>
      <c r="G373" s="253"/>
      <c r="H373" s="253"/>
      <c r="I373" s="253"/>
      <c r="J373" s="253"/>
      <c r="K373" s="253"/>
      <c r="L373" s="253"/>
      <c r="M373" s="253"/>
      <c r="N373" s="253"/>
      <c r="O373" s="253"/>
      <c r="P373" s="253"/>
      <c r="Q373" s="253"/>
      <c r="R373" s="253"/>
      <c r="S373" s="253"/>
      <c r="T373" s="253"/>
      <c r="U373" s="253"/>
      <c r="V373" s="253"/>
      <c r="W373" s="253"/>
      <c r="X373" s="253"/>
      <c r="Y373" s="253"/>
      <c r="Z373" s="253"/>
      <c r="AA373" s="253"/>
      <c r="AB373" s="253"/>
      <c r="AC373" s="9886"/>
      <c r="AD373" s="9887"/>
      <c r="AE373" s="8984"/>
      <c r="AF373" s="7879"/>
      <c r="AG373" s="7879"/>
      <c r="AH373" s="7879"/>
      <c r="AI373" s="7879"/>
      <c r="AJ373" s="7879"/>
      <c r="AK373" s="2013"/>
      <c r="BL373" s="2027"/>
      <c r="BM373" s="2027"/>
    </row>
    <row r="374" spans="1:74" ht="15" customHeight="1">
      <c r="A374" s="2013"/>
      <c r="B374" s="253"/>
      <c r="C374" s="734" t="s">
        <v>3447</v>
      </c>
      <c r="D374" s="511" t="str">
        <f>"Housing deduction carryover from "&amp;TaxYear-1&amp;" (from the Housing Deduction Carryover Worksheet in"</f>
        <v>Housing deduction carryover from 2024 (from the Housing Deduction Carryover Worksheet in</v>
      </c>
      <c r="E374" s="253"/>
      <c r="F374" s="253"/>
      <c r="G374" s="253"/>
      <c r="H374" s="253"/>
      <c r="I374" s="253"/>
      <c r="J374" s="253"/>
      <c r="K374" s="253"/>
      <c r="L374" s="253"/>
      <c r="M374" s="253"/>
      <c r="N374" s="253"/>
      <c r="O374" s="253"/>
      <c r="P374" s="253"/>
      <c r="Q374" s="253"/>
      <c r="R374" s="253"/>
      <c r="S374" s="253"/>
      <c r="T374" s="253"/>
      <c r="U374" s="253"/>
      <c r="V374" s="253"/>
      <c r="W374" s="253"/>
      <c r="X374" s="253"/>
      <c r="Y374" s="253"/>
      <c r="Z374" s="253"/>
      <c r="AA374" s="253"/>
      <c r="AB374" s="253"/>
      <c r="AC374" s="9886"/>
      <c r="AD374" s="9887"/>
      <c r="AE374" s="8984"/>
      <c r="AF374" s="7879"/>
      <c r="AG374" s="7879"/>
      <c r="AH374" s="7879"/>
      <c r="AI374" s="7879"/>
      <c r="AJ374" s="7879"/>
      <c r="AK374" s="2013"/>
      <c r="BL374" s="2027"/>
      <c r="BM374" s="2027"/>
    </row>
    <row r="375" spans="1:74" ht="15" customHeight="1">
      <c r="A375" s="2013"/>
      <c r="B375" s="253"/>
      <c r="C375" s="253"/>
      <c r="D375" s="511" t="s">
        <v>3448</v>
      </c>
      <c r="E375" s="253"/>
      <c r="F375" s="253"/>
      <c r="G375" s="253"/>
      <c r="H375" s="253"/>
      <c r="I375" s="253"/>
      <c r="J375" s="253"/>
      <c r="K375" s="253"/>
      <c r="L375" s="253"/>
      <c r="M375" s="253"/>
      <c r="N375" s="253"/>
      <c r="O375" s="253"/>
      <c r="P375" s="253"/>
      <c r="Q375" s="253"/>
      <c r="R375" s="253"/>
      <c r="S375" s="253"/>
      <c r="T375" s="253"/>
      <c r="U375" s="253"/>
      <c r="V375" s="253"/>
      <c r="W375" s="253"/>
      <c r="X375" s="253"/>
      <c r="Y375" s="253"/>
      <c r="Z375" s="253"/>
      <c r="AA375" s="253"/>
      <c r="AB375" s="2031" t="s">
        <v>2699</v>
      </c>
      <c r="AC375" s="9751">
        <v>49</v>
      </c>
      <c r="AD375" s="9785"/>
      <c r="AE375" s="9786"/>
      <c r="AF375" s="9786"/>
      <c r="AG375" s="9786"/>
      <c r="AH375" s="9786"/>
      <c r="AI375" s="9786"/>
      <c r="AJ375" s="9786"/>
      <c r="AK375" s="2013"/>
      <c r="BL375" s="2027"/>
      <c r="BM375" s="2027"/>
    </row>
    <row r="376" spans="1:74" ht="15" customHeight="1">
      <c r="A376" s="2013"/>
      <c r="B376" s="253"/>
      <c r="C376" s="734" t="s">
        <v>3449</v>
      </c>
      <c r="D376" s="511" t="s">
        <v>3450</v>
      </c>
      <c r="E376" s="253"/>
      <c r="F376" s="253"/>
      <c r="G376" s="253"/>
      <c r="H376" s="253"/>
      <c r="I376" s="253"/>
      <c r="J376" s="253"/>
      <c r="K376" s="253"/>
      <c r="L376" s="253"/>
      <c r="M376" s="253"/>
      <c r="N376" s="253"/>
      <c r="O376" s="253"/>
      <c r="P376" s="253"/>
      <c r="Q376" s="253"/>
      <c r="R376" s="253"/>
      <c r="S376" s="253"/>
      <c r="T376" s="253"/>
      <c r="U376" s="253"/>
      <c r="V376" s="253"/>
      <c r="W376" s="253"/>
      <c r="X376" s="253"/>
      <c r="Y376" s="253"/>
      <c r="Z376" s="253"/>
      <c r="AA376" s="253"/>
      <c r="AB376" s="253"/>
      <c r="AC376" s="9128"/>
      <c r="AD376" s="9787"/>
      <c r="AE376" s="9128"/>
      <c r="AF376" s="9788"/>
      <c r="AG376" s="9788"/>
      <c r="AH376" s="9788"/>
      <c r="AI376" s="9788"/>
      <c r="AJ376" s="9788"/>
      <c r="AK376" s="2013"/>
      <c r="BL376" s="2027"/>
      <c r="BM376" s="2027"/>
    </row>
    <row r="377" spans="1:74" ht="15" customHeight="1" thickBot="1">
      <c r="A377" s="2013"/>
      <c r="B377" s="253"/>
      <c r="C377" s="253"/>
      <c r="D377" s="511" t="s">
        <v>3451</v>
      </c>
      <c r="E377" s="253"/>
      <c r="F377" s="253"/>
      <c r="G377" s="253"/>
      <c r="H377" s="253"/>
      <c r="I377" s="253"/>
      <c r="J377" s="253"/>
      <c r="K377" s="253"/>
      <c r="L377" s="253"/>
      <c r="M377" s="253"/>
      <c r="N377" s="253"/>
      <c r="O377" s="253"/>
      <c r="P377" s="253"/>
      <c r="Q377" s="253"/>
      <c r="R377" s="253"/>
      <c r="S377" s="253"/>
      <c r="T377" s="253"/>
      <c r="U377" s="253"/>
      <c r="V377" s="253"/>
      <c r="W377" s="253"/>
      <c r="X377" s="253"/>
      <c r="Y377" s="253"/>
      <c r="Z377" s="253"/>
      <c r="AA377" s="253"/>
      <c r="AB377" s="253"/>
      <c r="AC377" s="8984"/>
      <c r="AD377" s="9863"/>
      <c r="AE377" s="8984"/>
      <c r="AF377" s="7879"/>
      <c r="AG377" s="7879"/>
      <c r="AH377" s="7879"/>
      <c r="AI377" s="7879"/>
      <c r="AJ377" s="7879"/>
      <c r="AK377" s="2013"/>
      <c r="AM377" s="817" t="s">
        <v>771</v>
      </c>
      <c r="BL377" s="2027"/>
      <c r="BM377" s="2027"/>
    </row>
    <row r="378" spans="1:74" ht="15" customHeight="1" thickBot="1">
      <c r="A378" s="2013"/>
      <c r="B378" s="253"/>
      <c r="C378" s="253"/>
      <c r="D378" s="511" t="s">
        <v>3452</v>
      </c>
      <c r="E378" s="253"/>
      <c r="F378" s="253"/>
      <c r="G378" s="253"/>
      <c r="H378" s="253"/>
      <c r="I378" s="253"/>
      <c r="J378" s="253"/>
      <c r="K378" s="253"/>
      <c r="L378" s="253"/>
      <c r="M378" s="253"/>
      <c r="N378" s="253"/>
      <c r="O378" s="253"/>
      <c r="P378" s="253"/>
      <c r="Q378" s="253"/>
      <c r="R378" s="253"/>
      <c r="S378" s="253"/>
      <c r="T378" s="253"/>
      <c r="U378" s="253"/>
      <c r="V378" s="253"/>
      <c r="W378" s="253"/>
      <c r="X378" s="253"/>
      <c r="Y378" s="253"/>
      <c r="Z378" s="253"/>
      <c r="AA378" s="253"/>
      <c r="AB378" s="2031" t="s">
        <v>653</v>
      </c>
      <c r="AC378" s="9751">
        <v>50</v>
      </c>
      <c r="AD378" s="9785"/>
      <c r="AE378" s="9861" t="str">
        <f>IF(AM378&lt;&gt;"",ROUND(AM378,0),IF(OR(AM339,NOT(AM366)),"",SUM(AE370,AE375)))</f>
        <v/>
      </c>
      <c r="AF378" s="9861"/>
      <c r="AG378" s="9861"/>
      <c r="AH378" s="9861"/>
      <c r="AI378" s="9861"/>
      <c r="AJ378" s="9861"/>
      <c r="AK378" s="2013"/>
      <c r="AM378" s="449"/>
      <c r="AO378" s="2084">
        <f>IF(AE378="",0,AE378)</f>
        <v>0</v>
      </c>
      <c r="BL378" s="2027"/>
      <c r="BM378" s="2027"/>
    </row>
    <row r="379" spans="1:74" ht="18.75" thickTop="1">
      <c r="A379" s="2013"/>
      <c r="B379" s="257"/>
      <c r="C379" s="257"/>
      <c r="D379" s="257"/>
      <c r="E379" s="257"/>
      <c r="F379" s="257"/>
      <c r="G379" s="257"/>
      <c r="H379" s="257"/>
      <c r="I379" s="257"/>
      <c r="J379" s="257"/>
      <c r="K379" s="257"/>
      <c r="L379" s="257"/>
      <c r="M379" s="257"/>
      <c r="N379" s="257"/>
      <c r="O379" s="257"/>
      <c r="P379" s="257"/>
      <c r="Q379" s="257"/>
      <c r="R379" s="257"/>
      <c r="S379" s="257"/>
      <c r="T379" s="257"/>
      <c r="U379" s="257"/>
      <c r="V379" s="257"/>
      <c r="W379" s="257"/>
      <c r="X379" s="257"/>
      <c r="Y379" s="257"/>
      <c r="Z379" s="257"/>
      <c r="AA379" s="257"/>
      <c r="AB379" s="257"/>
      <c r="AC379" s="257"/>
      <c r="AD379" s="257"/>
      <c r="AE379" s="257"/>
      <c r="AF379" s="257"/>
      <c r="AG379" s="257"/>
      <c r="AH379" s="2101" t="s">
        <v>3453</v>
      </c>
      <c r="AI379" s="2079"/>
      <c r="AJ379" s="2102" t="str">
        <f>"("&amp;TaxYear&amp;")"</f>
        <v>(2025)</v>
      </c>
      <c r="AK379" s="2013"/>
      <c r="AM379" s="2103"/>
      <c r="AO379" s="2050"/>
      <c r="AP379" s="2051"/>
      <c r="BL379" s="2027"/>
      <c r="BM379" s="2027"/>
      <c r="BO379" s="2027"/>
      <c r="BP379" s="2027"/>
      <c r="BQ379" s="2027"/>
      <c r="BR379" s="2027"/>
      <c r="BS379" s="2027"/>
      <c r="BT379" s="2027"/>
      <c r="BU379" s="2027"/>
      <c r="BV379" s="2027"/>
    </row>
    <row r="380" spans="1:74">
      <c r="A380" s="2013"/>
      <c r="B380" s="2013"/>
      <c r="C380" s="2013"/>
      <c r="D380" s="2013"/>
      <c r="E380" s="2013"/>
      <c r="F380" s="2013"/>
      <c r="G380" s="2013"/>
      <c r="H380" s="2013"/>
      <c r="I380" s="2013"/>
      <c r="J380" s="2013"/>
      <c r="K380" s="2013"/>
      <c r="L380" s="2013"/>
      <c r="M380" s="2013"/>
      <c r="N380" s="2013"/>
      <c r="O380" s="2013"/>
      <c r="P380" s="2013"/>
      <c r="Q380" s="2013"/>
      <c r="R380" s="2013"/>
      <c r="S380" s="2013"/>
      <c r="T380" s="2013"/>
      <c r="U380" s="2013"/>
      <c r="V380" s="2013"/>
      <c r="W380" s="2013"/>
      <c r="X380" s="2013"/>
      <c r="Y380" s="2013"/>
      <c r="Z380" s="2013"/>
      <c r="AA380" s="2013"/>
      <c r="AB380" s="2013"/>
      <c r="AC380" s="2013"/>
      <c r="AD380" s="2013"/>
      <c r="AE380" s="2013"/>
      <c r="AF380" s="2013"/>
      <c r="AG380" s="2013"/>
      <c r="AH380" s="2013"/>
      <c r="AI380" s="2013"/>
      <c r="AJ380" s="2013"/>
      <c r="AK380" s="2013"/>
      <c r="BL380" s="2027"/>
      <c r="BM380" s="2027"/>
    </row>
    <row r="381" spans="1:74">
      <c r="AL381" s="2084"/>
      <c r="AM381" s="2105" t="s">
        <v>566</v>
      </c>
      <c r="AN381" s="2084"/>
      <c r="AO381" s="2105" t="s">
        <v>567</v>
      </c>
      <c r="AP381" s="2084"/>
      <c r="BL381" s="2027"/>
      <c r="BM381" s="2027"/>
    </row>
    <row r="382" spans="1:74">
      <c r="AL382" s="2106"/>
      <c r="AM382" s="2084" t="b">
        <f>AO4</f>
        <v>1</v>
      </c>
      <c r="AN382" s="2084"/>
      <c r="AO382" s="2084" t="b">
        <f>AND(NOT(AO4),AO5)</f>
        <v>0</v>
      </c>
      <c r="AP382" s="2084"/>
      <c r="BL382" s="2027"/>
      <c r="BM382" s="2027"/>
    </row>
    <row r="383" spans="1:74">
      <c r="AL383" s="2084"/>
      <c r="AM383" s="2084" t="b">
        <f>AO193</f>
        <v>0</v>
      </c>
      <c r="AN383" s="2084"/>
      <c r="AO383" s="2084" t="b">
        <f>AND(NOT(AO193),AO194)</f>
        <v>1</v>
      </c>
      <c r="AP383" s="2084"/>
      <c r="BL383" s="2027"/>
      <c r="BM383" s="2027"/>
    </row>
    <row r="384" spans="1:74">
      <c r="AK384" s="5740" t="s">
        <v>3454</v>
      </c>
      <c r="AL384" s="5740"/>
      <c r="AM384" s="5741" t="s">
        <v>566</v>
      </c>
      <c r="AN384" s="5742"/>
      <c r="AO384" s="5741" t="s">
        <v>5630</v>
      </c>
      <c r="AP384" s="2084"/>
      <c r="BL384" s="2027"/>
      <c r="BM384" s="2027"/>
    </row>
    <row r="385" spans="36:65">
      <c r="AK385" s="2556" t="s">
        <v>5628</v>
      </c>
      <c r="AL385" s="2106" t="s">
        <v>3455</v>
      </c>
      <c r="AM385" s="5736">
        <f>IF($AM$382,ForeignIncExclusion1,0)</f>
        <v>0</v>
      </c>
      <c r="AN385" s="2109"/>
      <c r="AO385" s="5736">
        <f>IF($AO$382,ForeignIncExclusion1,0)</f>
        <v>0</v>
      </c>
      <c r="AP385" s="2084"/>
      <c r="BL385" s="2027"/>
      <c r="BM385" s="2027"/>
    </row>
    <row r="386" spans="36:65">
      <c r="AK386" s="2556" t="s">
        <v>5629</v>
      </c>
      <c r="AL386" s="2106" t="s">
        <v>3456</v>
      </c>
      <c r="AM386" s="5736">
        <f>IF($AM$383,ForeignIncExclusion2,0)</f>
        <v>0</v>
      </c>
      <c r="AN386" s="2109"/>
      <c r="AO386" s="5736">
        <f>IF($AO$383,ForeignIncExclusion2,0)</f>
        <v>0</v>
      </c>
      <c r="AP386" s="2084"/>
      <c r="BL386" s="2027"/>
      <c r="BM386" s="2027"/>
    </row>
    <row r="387" spans="36:65" ht="13.5" thickBot="1">
      <c r="AK387" s="2556" t="s">
        <v>5631</v>
      </c>
      <c r="AL387" s="2106" t="s">
        <v>3457</v>
      </c>
      <c r="AM387" s="5736">
        <f>SUM(AM385,AM386)</f>
        <v>0</v>
      </c>
      <c r="AN387" s="5737" t="s">
        <v>3458</v>
      </c>
      <c r="AO387" s="5736">
        <f>SUM(AO385,AO386)</f>
        <v>0</v>
      </c>
      <c r="AP387" s="2084"/>
      <c r="BL387" s="2027"/>
      <c r="BM387" s="2027"/>
    </row>
    <row r="388" spans="36:65" ht="13.5" thickBot="1">
      <c r="AK388" s="2556" t="s">
        <v>5632</v>
      </c>
      <c r="AL388" s="2106" t="s">
        <v>3459</v>
      </c>
      <c r="AM388" s="5739">
        <f>SUM(ForeignIncExclusionYou,ForeignIncExclusionSpouse)</f>
        <v>0</v>
      </c>
      <c r="AN388" s="2109"/>
      <c r="AO388" s="2109"/>
      <c r="AP388" s="2084"/>
      <c r="BL388" s="2027"/>
      <c r="BM388" s="2027"/>
    </row>
    <row r="389" spans="36:65">
      <c r="AL389" s="2106"/>
      <c r="AM389" s="2083"/>
      <c r="AN389" s="2084"/>
      <c r="AO389" s="2084"/>
      <c r="AP389" s="2084"/>
      <c r="BL389" s="2027"/>
      <c r="BM389" s="2027"/>
    </row>
    <row r="390" spans="36:65">
      <c r="AK390" s="5740" t="s">
        <v>5816</v>
      </c>
      <c r="AL390" s="2107" t="s">
        <v>3460</v>
      </c>
      <c r="AM390" s="5741" t="s">
        <v>566</v>
      </c>
      <c r="AN390" s="5742"/>
      <c r="AO390" s="5741" t="s">
        <v>5630</v>
      </c>
      <c r="AP390" s="2084"/>
      <c r="BL390" s="2027"/>
      <c r="BM390" s="2027"/>
    </row>
    <row r="391" spans="36:65">
      <c r="AK391" s="2556" t="s">
        <v>5637</v>
      </c>
      <c r="AL391" s="2106" t="s">
        <v>3461</v>
      </c>
      <c r="AM391" s="5736">
        <f>IF($AM$382,F2555_Line45_1,0)</f>
        <v>0</v>
      </c>
      <c r="AN391" s="2109"/>
      <c r="AO391" s="5736">
        <f>IF($AO$382,F2555_Line45_1,0)</f>
        <v>0</v>
      </c>
      <c r="AP391" s="2084"/>
      <c r="BL391" s="2027"/>
      <c r="BM391" s="2027"/>
    </row>
    <row r="392" spans="36:65">
      <c r="AJ392" s="1"/>
      <c r="AK392" s="2556" t="s">
        <v>5637</v>
      </c>
      <c r="AL392" s="2106" t="s">
        <v>3462</v>
      </c>
      <c r="AM392" s="5736">
        <f>IF($AM$383,F2555_Line45_2,0)</f>
        <v>0</v>
      </c>
      <c r="AN392" s="2109"/>
      <c r="AO392" s="5736">
        <f>IF($AO$383,F2555_Line45_2,0)</f>
        <v>0</v>
      </c>
      <c r="AP392" s="2084"/>
      <c r="BL392" s="2027"/>
      <c r="BM392" s="2027"/>
    </row>
    <row r="393" spans="36:65" ht="13.5" thickBot="1">
      <c r="AK393" s="2556" t="s">
        <v>5638</v>
      </c>
      <c r="AL393" s="2106" t="s">
        <v>3463</v>
      </c>
      <c r="AM393" s="5736">
        <f>SUM(AM391,AM392)</f>
        <v>0</v>
      </c>
      <c r="AN393" s="5737" t="s">
        <v>3464</v>
      </c>
      <c r="AO393" s="5736">
        <f>SUM(AO391,AO392)</f>
        <v>0</v>
      </c>
      <c r="AP393" s="2084"/>
      <c r="BL393" s="2027"/>
      <c r="BM393" s="2027"/>
    </row>
    <row r="394" spans="36:65" ht="13.5" thickBot="1">
      <c r="AK394" s="2556" t="s">
        <v>5639</v>
      </c>
      <c r="AL394" s="2106" t="s">
        <v>3465</v>
      </c>
      <c r="AM394" s="5739">
        <f>SUM(F2555_Line45_You,F2555_Line45_Spouse)</f>
        <v>0</v>
      </c>
      <c r="AN394" s="2109"/>
      <c r="AO394" s="2109"/>
      <c r="AP394" s="2084"/>
      <c r="BL394" s="2027"/>
      <c r="BM394" s="2027"/>
    </row>
    <row r="395" spans="36:65">
      <c r="AL395" s="2106"/>
      <c r="AM395" s="2083"/>
      <c r="AN395" s="2084"/>
      <c r="AO395" s="2084"/>
      <c r="AP395" s="2084"/>
      <c r="BL395" s="2027"/>
      <c r="BM395" s="2027"/>
    </row>
    <row r="396" spans="36:65">
      <c r="AK396" s="5740" t="s">
        <v>5817</v>
      </c>
      <c r="AL396" s="2107" t="s">
        <v>3466</v>
      </c>
      <c r="AM396" s="5741" t="s">
        <v>566</v>
      </c>
      <c r="AN396" s="5742"/>
      <c r="AO396" s="5741" t="s">
        <v>5630</v>
      </c>
      <c r="AP396" s="2084"/>
      <c r="BL396" s="2027"/>
      <c r="BM396" s="2027"/>
    </row>
    <row r="397" spans="36:65">
      <c r="AK397" s="2556" t="s">
        <v>5633</v>
      </c>
      <c r="AL397" s="2106" t="s">
        <v>3467</v>
      </c>
      <c r="AM397" s="5736">
        <f>IF($AM$382,ForeignHousingDeduction1,0)</f>
        <v>0</v>
      </c>
      <c r="AN397" s="2109"/>
      <c r="AO397" s="5736">
        <f>IF($AO$382,ForeignHousingDeduction1,0)</f>
        <v>0</v>
      </c>
      <c r="AP397" s="2084"/>
      <c r="BL397" s="2027"/>
      <c r="BM397" s="2027"/>
    </row>
    <row r="398" spans="36:65">
      <c r="AK398" s="2556" t="s">
        <v>5634</v>
      </c>
      <c r="AL398" s="2106" t="s">
        <v>3468</v>
      </c>
      <c r="AM398" s="5736">
        <f>IF($AM$383,ForeignHousingDeduction2,0)</f>
        <v>0</v>
      </c>
      <c r="AN398" s="2109"/>
      <c r="AO398" s="5736">
        <f>IF($AO$383,ForeignHousingDeduction2,0)</f>
        <v>0</v>
      </c>
      <c r="AP398" s="2084"/>
      <c r="BL398" s="2027"/>
      <c r="BM398" s="2027"/>
    </row>
    <row r="399" spans="36:65">
      <c r="AK399" s="2556" t="s">
        <v>5635</v>
      </c>
      <c r="AL399" s="2106" t="s">
        <v>3469</v>
      </c>
      <c r="AM399" s="5736">
        <f>SUM(AM397,AM398)</f>
        <v>0</v>
      </c>
      <c r="AN399" s="5737" t="s">
        <v>3470</v>
      </c>
      <c r="AO399" s="5736">
        <f>SUM(AO397,AO398)</f>
        <v>0</v>
      </c>
      <c r="AP399" s="2084"/>
      <c r="BL399" s="2027"/>
      <c r="BM399" s="2027"/>
    </row>
    <row r="400" spans="36:65">
      <c r="AK400" s="2556" t="s">
        <v>5636</v>
      </c>
      <c r="AL400" s="2106" t="s">
        <v>3471</v>
      </c>
      <c r="AM400" s="6238">
        <f>SUM(ForeignHousingDeductionYou,ForeignHousingDeductionSpouse)</f>
        <v>0</v>
      </c>
      <c r="AN400" s="2084"/>
      <c r="AO400" s="2084"/>
      <c r="AP400" s="2084"/>
      <c r="BL400" s="2027"/>
      <c r="BM400" s="2027"/>
    </row>
    <row r="401" spans="38:65">
      <c r="AL401" s="2084"/>
      <c r="AM401" s="2084" t="b">
        <f>ForeignHousingDeductionTotal&gt;0</f>
        <v>0</v>
      </c>
      <c r="AN401" s="2084"/>
      <c r="AO401" s="2084"/>
      <c r="AP401" s="2084"/>
      <c r="BL401" s="2027"/>
      <c r="BM401" s="2027"/>
    </row>
    <row r="402" spans="38:65">
      <c r="AL402" s="2084"/>
      <c r="AM402" s="2084"/>
      <c r="AN402" s="2084"/>
      <c r="AO402" s="2084"/>
      <c r="AP402" s="2084"/>
      <c r="BL402" s="2027"/>
      <c r="BM402" s="2027"/>
    </row>
    <row r="403" spans="38:65">
      <c r="AL403" s="2084"/>
      <c r="AM403" s="5738" t="s">
        <v>5818</v>
      </c>
      <c r="AN403" s="2108" t="s">
        <v>5185</v>
      </c>
      <c r="AO403" s="2109" t="b">
        <f>OR(AND(ForeignIncExclusion1&lt;&gt;0,ForeignIncExclusion1&lt;&gt;""),AND(ForeignIncExclusion2&lt;&gt;0,ForeignIncExclusion2&lt;&gt;""))</f>
        <v>0</v>
      </c>
      <c r="AP403" s="2084"/>
      <c r="BL403" s="2027"/>
      <c r="BM403" s="2027"/>
    </row>
    <row r="404" spans="38:65">
      <c r="AL404" s="2084"/>
      <c r="AM404" s="5738" t="s">
        <v>5819</v>
      </c>
      <c r="AN404" s="2108" t="s">
        <v>5186</v>
      </c>
      <c r="AO404" s="2109" t="b">
        <f>OR(AND(F2555_Line45_1&lt;&gt;"",F2555_Line45_1&gt;0),AND(F2555_Line45_2&lt;&gt;"",F2555_Line45_2&gt;0))</f>
        <v>0</v>
      </c>
      <c r="AP404" s="2084"/>
      <c r="BL404" s="2027"/>
      <c r="BM404" s="2027"/>
    </row>
    <row r="405" spans="38:65">
      <c r="AL405" s="2084"/>
      <c r="AM405" s="5738" t="s">
        <v>5820</v>
      </c>
      <c r="AN405" s="2108" t="s">
        <v>5187</v>
      </c>
      <c r="AO405" s="2109" t="b">
        <f>OR(AND(FEI_HousingDeduction1&lt;&gt;"",FEI_HousingDeduction1&lt;&gt;0),AND(FEI_HousingDeduction2&lt;&gt;"",FEI_HousingDeduction2&lt;&gt;0))</f>
        <v>0</v>
      </c>
      <c r="AP405" s="2084"/>
      <c r="BL405" s="2027"/>
      <c r="BM405" s="2027"/>
    </row>
    <row r="406" spans="38:65">
      <c r="AL406" s="2084"/>
      <c r="AM406" s="2084"/>
      <c r="AN406" s="2108" t="s">
        <v>5188</v>
      </c>
      <c r="AO406" s="2109" t="b">
        <f>OR(AO403,FEI_HousingExclusion,FEI_HousingDeduction)</f>
        <v>0</v>
      </c>
      <c r="AP406" s="2084"/>
      <c r="BL406" s="2027"/>
      <c r="BM406" s="2027"/>
    </row>
    <row r="407" spans="38:65">
      <c r="AL407" s="2109"/>
      <c r="AM407" s="2109"/>
      <c r="AN407" s="2109"/>
      <c r="AO407" s="2109"/>
      <c r="AP407" s="2109"/>
      <c r="BL407" s="2027"/>
      <c r="BM407" s="2027"/>
    </row>
    <row r="408" spans="38:65">
      <c r="AL408" s="2109"/>
      <c r="AM408" s="2109"/>
      <c r="AN408" s="2109"/>
      <c r="AO408" s="2109"/>
      <c r="AP408" s="2109"/>
      <c r="BL408" s="2027"/>
      <c r="BM408" s="2027"/>
    </row>
    <row r="409" spans="38:65">
      <c r="AL409" s="2109"/>
      <c r="AM409" s="2109"/>
      <c r="AN409" s="2109"/>
      <c r="AO409" s="2109"/>
      <c r="AP409" s="2109"/>
      <c r="BL409" s="2027"/>
      <c r="BM409" s="2027"/>
    </row>
    <row r="410" spans="38:65">
      <c r="BL410" s="2027"/>
      <c r="BM410" s="2027"/>
    </row>
    <row r="411" spans="38:65">
      <c r="BL411" s="2027"/>
      <c r="BM411" s="2027"/>
    </row>
    <row r="412" spans="38:65">
      <c r="BL412" s="2027"/>
      <c r="BM412" s="2027"/>
    </row>
    <row r="413" spans="38:65">
      <c r="BL413" s="2027"/>
      <c r="BM413" s="2027"/>
    </row>
    <row r="414" spans="38:65">
      <c r="BL414" s="2027"/>
      <c r="BM414" s="2027"/>
    </row>
    <row r="415" spans="38:65">
      <c r="BL415" s="2027"/>
      <c r="BM415" s="2027"/>
    </row>
    <row r="416" spans="38:65">
      <c r="BL416" s="2027"/>
      <c r="BM416" s="2027"/>
    </row>
    <row r="417" spans="64:65">
      <c r="BL417" s="2027"/>
      <c r="BM417" s="2027"/>
    </row>
    <row r="418" spans="64:65">
      <c r="BL418" s="2027"/>
      <c r="BM418" s="2027"/>
    </row>
    <row r="419" spans="64:65">
      <c r="BL419" s="2027"/>
      <c r="BM419" s="2027"/>
    </row>
    <row r="420" spans="64:65">
      <c r="BL420" s="2027"/>
      <c r="BM420" s="2027"/>
    </row>
    <row r="421" spans="64:65">
      <c r="BL421" s="2027"/>
      <c r="BM421" s="2027"/>
    </row>
    <row r="422" spans="64:65">
      <c r="BL422" s="2027"/>
      <c r="BM422" s="2027"/>
    </row>
    <row r="423" spans="64:65">
      <c r="BM423" s="2027"/>
    </row>
    <row r="424" spans="64:65">
      <c r="BM424" s="2027"/>
    </row>
  </sheetData>
  <sheetProtection algorithmName="SHA-512" hashValue="27AQ5QA7fImv40vwUhtW5Mbkn4n0JwQ+pcFAVbcRx3ds+a0Dp5l2SPqfZeWsSBn5zgZ7aYDuO7JaLwlB9qplgQ==" saltValue="TURbYumQaGLQvpEVDmu4mg==" spinCount="100000" sheet="1" formatCells="0" formatColumns="0" formatRows="0"/>
  <mergeCells count="686">
    <mergeCell ref="AC1:AJ1"/>
    <mergeCell ref="AC318:AD318"/>
    <mergeCell ref="AE318:AJ318"/>
    <mergeCell ref="D312:AA312"/>
    <mergeCell ref="AC312:AD312"/>
    <mergeCell ref="AE312:AJ312"/>
    <mergeCell ref="AC313:AD313"/>
    <mergeCell ref="AE313:AF313"/>
    <mergeCell ref="AG313:AH313"/>
    <mergeCell ref="AI313:AJ313"/>
    <mergeCell ref="AC314:AD314"/>
    <mergeCell ref="AE314:AJ314"/>
    <mergeCell ref="AE309:AF309"/>
    <mergeCell ref="AG309:AH309"/>
    <mergeCell ref="AI309:AJ309"/>
    <mergeCell ref="AC310:AD310"/>
    <mergeCell ref="AE310:AJ310"/>
    <mergeCell ref="R311:AA311"/>
    <mergeCell ref="AC311:AD311"/>
    <mergeCell ref="AE311:AF311"/>
    <mergeCell ref="AG311:AH311"/>
    <mergeCell ref="AI311:AJ311"/>
    <mergeCell ref="O307:S307"/>
    <mergeCell ref="U307:V307"/>
    <mergeCell ref="AC370:AD370"/>
    <mergeCell ref="AE370:AJ370"/>
    <mergeCell ref="AC371:AD371"/>
    <mergeCell ref="AE371:AF371"/>
    <mergeCell ref="AG371:AH371"/>
    <mergeCell ref="AI371:AJ371"/>
    <mergeCell ref="AC372:AD372"/>
    <mergeCell ref="AE372:AF372"/>
    <mergeCell ref="AG372:AH372"/>
    <mergeCell ref="AI372:AJ372"/>
    <mergeCell ref="AC378:AD378"/>
    <mergeCell ref="AE378:AJ378"/>
    <mergeCell ref="AC373:AD373"/>
    <mergeCell ref="AE373:AF373"/>
    <mergeCell ref="AG373:AH373"/>
    <mergeCell ref="AI373:AJ373"/>
    <mergeCell ref="AC374:AD374"/>
    <mergeCell ref="AE374:AF374"/>
    <mergeCell ref="AG374:AH374"/>
    <mergeCell ref="AI374:AJ374"/>
    <mergeCell ref="AC375:AD375"/>
    <mergeCell ref="AE375:AJ375"/>
    <mergeCell ref="AC376:AD376"/>
    <mergeCell ref="AE376:AF376"/>
    <mergeCell ref="AG376:AH376"/>
    <mergeCell ref="AI376:AJ376"/>
    <mergeCell ref="AC377:AD377"/>
    <mergeCell ref="AE377:AF377"/>
    <mergeCell ref="AG377:AH377"/>
    <mergeCell ref="AI377:AJ377"/>
    <mergeCell ref="B366:C366"/>
    <mergeCell ref="AC368:AD368"/>
    <mergeCell ref="AE368:AJ368"/>
    <mergeCell ref="AC369:AD369"/>
    <mergeCell ref="AE369:AJ369"/>
    <mergeCell ref="AC357:AD357"/>
    <mergeCell ref="AE357:AJ357"/>
    <mergeCell ref="AC359:AD359"/>
    <mergeCell ref="AE359:AJ359"/>
    <mergeCell ref="AC360:AD360"/>
    <mergeCell ref="AE360:AF360"/>
    <mergeCell ref="AG360:AH360"/>
    <mergeCell ref="AI360:AJ360"/>
    <mergeCell ref="AC363:AD363"/>
    <mergeCell ref="AE363:AJ363"/>
    <mergeCell ref="AC364:AD364"/>
    <mergeCell ref="AE364:AJ364"/>
    <mergeCell ref="D365:AJ367"/>
    <mergeCell ref="AM360:AO362"/>
    <mergeCell ref="AC361:AD361"/>
    <mergeCell ref="AE361:AJ361"/>
    <mergeCell ref="AC362:AD362"/>
    <mergeCell ref="AE362:AJ362"/>
    <mergeCell ref="AC353:AD353"/>
    <mergeCell ref="AH353:AJ353"/>
    <mergeCell ref="AC354:AD354"/>
    <mergeCell ref="AE354:AF354"/>
    <mergeCell ref="AG354:AH354"/>
    <mergeCell ref="AI354:AJ354"/>
    <mergeCell ref="AC355:AD355"/>
    <mergeCell ref="AE355:AJ355"/>
    <mergeCell ref="AC356:AD356"/>
    <mergeCell ref="AE356:AJ356"/>
    <mergeCell ref="AC344:AD344"/>
    <mergeCell ref="AE344:AJ344"/>
    <mergeCell ref="AE345:AJ345"/>
    <mergeCell ref="B347:C347"/>
    <mergeCell ref="AE347:AJ347"/>
    <mergeCell ref="AC348:AD348"/>
    <mergeCell ref="AE348:AJ348"/>
    <mergeCell ref="AE349:AJ349"/>
    <mergeCell ref="V350:W350"/>
    <mergeCell ref="X350:Z350"/>
    <mergeCell ref="AA350:AB350"/>
    <mergeCell ref="AC341:AD341"/>
    <mergeCell ref="AE341:AF341"/>
    <mergeCell ref="AG341:AH341"/>
    <mergeCell ref="AI341:AJ341"/>
    <mergeCell ref="AC342:AD342"/>
    <mergeCell ref="AH342:AJ342"/>
    <mergeCell ref="AC343:AD343"/>
    <mergeCell ref="AE343:AF343"/>
    <mergeCell ref="AG343:AH343"/>
    <mergeCell ref="AI343:AJ343"/>
    <mergeCell ref="AC337:AD337"/>
    <mergeCell ref="AE337:AJ337"/>
    <mergeCell ref="AC338:AD338"/>
    <mergeCell ref="AE338:AF338"/>
    <mergeCell ref="AG338:AH338"/>
    <mergeCell ref="AI338:AJ338"/>
    <mergeCell ref="AC339:AD339"/>
    <mergeCell ref="AE339:AJ339"/>
    <mergeCell ref="U340:V340"/>
    <mergeCell ref="W340:AB340"/>
    <mergeCell ref="AC340:AD340"/>
    <mergeCell ref="AE340:AF340"/>
    <mergeCell ref="AG340:AH340"/>
    <mergeCell ref="AI340:AJ340"/>
    <mergeCell ref="AC333:AD333"/>
    <mergeCell ref="AE333:AJ333"/>
    <mergeCell ref="AC334:AD334"/>
    <mergeCell ref="AE334:AJ334"/>
    <mergeCell ref="U335:V335"/>
    <mergeCell ref="AA335:AB335"/>
    <mergeCell ref="AE335:AJ335"/>
    <mergeCell ref="U336:V336"/>
    <mergeCell ref="W336:Z336"/>
    <mergeCell ref="AA336:AB336"/>
    <mergeCell ref="AE336:AJ336"/>
    <mergeCell ref="B329:C329"/>
    <mergeCell ref="AC330:AD330"/>
    <mergeCell ref="AE330:AF330"/>
    <mergeCell ref="AG330:AH330"/>
    <mergeCell ref="AI330:AJ330"/>
    <mergeCell ref="AC331:AD331"/>
    <mergeCell ref="AE331:AJ331"/>
    <mergeCell ref="AC332:AD332"/>
    <mergeCell ref="AE332:AF332"/>
    <mergeCell ref="AG332:AH332"/>
    <mergeCell ref="AI332:AJ332"/>
    <mergeCell ref="U332:AA332"/>
    <mergeCell ref="B321:C321"/>
    <mergeCell ref="AC322:AD322"/>
    <mergeCell ref="AE322:AF322"/>
    <mergeCell ref="AG322:AH322"/>
    <mergeCell ref="AI322:AJ322"/>
    <mergeCell ref="AC323:AD323"/>
    <mergeCell ref="AE323:AJ323"/>
    <mergeCell ref="AC315:AD315"/>
    <mergeCell ref="AE315:AF315"/>
    <mergeCell ref="AG315:AH315"/>
    <mergeCell ref="AI315:AJ315"/>
    <mergeCell ref="AC316:AD316"/>
    <mergeCell ref="AE316:AJ316"/>
    <mergeCell ref="AC317:AD317"/>
    <mergeCell ref="AE317:AF317"/>
    <mergeCell ref="AG317:AH317"/>
    <mergeCell ref="AI317:AJ317"/>
    <mergeCell ref="W307:X307"/>
    <mergeCell ref="Y307:Z307"/>
    <mergeCell ref="AA307:AB307"/>
    <mergeCell ref="D308:S308"/>
    <mergeCell ref="U308:V308"/>
    <mergeCell ref="W308:AB308"/>
    <mergeCell ref="AC309:AD309"/>
    <mergeCell ref="U302:V302"/>
    <mergeCell ref="W302:AB302"/>
    <mergeCell ref="U303:V303"/>
    <mergeCell ref="W303:AB303"/>
    <mergeCell ref="U304:V304"/>
    <mergeCell ref="W304:AB304"/>
    <mergeCell ref="U305:V305"/>
    <mergeCell ref="W305:AB305"/>
    <mergeCell ref="U306:V306"/>
    <mergeCell ref="W306:AB306"/>
    <mergeCell ref="AC298:AD298"/>
    <mergeCell ref="AE298:AJ298"/>
    <mergeCell ref="P299:AA299"/>
    <mergeCell ref="AC299:AD299"/>
    <mergeCell ref="AE299:AF299"/>
    <mergeCell ref="AG299:AH299"/>
    <mergeCell ref="AI299:AJ299"/>
    <mergeCell ref="D300:AA300"/>
    <mergeCell ref="AC300:AD300"/>
    <mergeCell ref="AE300:AJ300"/>
    <mergeCell ref="AC295:AD295"/>
    <mergeCell ref="AE295:AF295"/>
    <mergeCell ref="AG295:AH295"/>
    <mergeCell ref="AI295:AJ295"/>
    <mergeCell ref="AC296:AD296"/>
    <mergeCell ref="AE296:AJ296"/>
    <mergeCell ref="AC297:AD297"/>
    <mergeCell ref="AE297:AF297"/>
    <mergeCell ref="AG297:AH297"/>
    <mergeCell ref="AI297:AJ297"/>
    <mergeCell ref="AC292:AD292"/>
    <mergeCell ref="AE292:AF292"/>
    <mergeCell ref="AG292:AH292"/>
    <mergeCell ref="AI292:AJ292"/>
    <mergeCell ref="AC293:AD293"/>
    <mergeCell ref="AE293:AF293"/>
    <mergeCell ref="AG293:AH293"/>
    <mergeCell ref="AI293:AJ293"/>
    <mergeCell ref="AC294:AD294"/>
    <mergeCell ref="AE294:AJ294"/>
    <mergeCell ref="AC289:AD289"/>
    <mergeCell ref="AE289:AJ289"/>
    <mergeCell ref="V290:AA290"/>
    <mergeCell ref="AC290:AD290"/>
    <mergeCell ref="AE290:AF290"/>
    <mergeCell ref="AG290:AH290"/>
    <mergeCell ref="AI290:AJ290"/>
    <mergeCell ref="D291:AA291"/>
    <mergeCell ref="AC291:AD291"/>
    <mergeCell ref="AE291:AJ291"/>
    <mergeCell ref="B276:C278"/>
    <mergeCell ref="B286:AB286"/>
    <mergeCell ref="AC286:AJ286"/>
    <mergeCell ref="AC287:AD287"/>
    <mergeCell ref="AE287:AJ287"/>
    <mergeCell ref="AC288:AD288"/>
    <mergeCell ref="AE288:AF288"/>
    <mergeCell ref="AG288:AH288"/>
    <mergeCell ref="AI288:AJ288"/>
    <mergeCell ref="B274:M274"/>
    <mergeCell ref="N274:R274"/>
    <mergeCell ref="S274:W274"/>
    <mergeCell ref="X274:AA274"/>
    <mergeCell ref="AB274:AE274"/>
    <mergeCell ref="AF274:AJ274"/>
    <mergeCell ref="B275:M275"/>
    <mergeCell ref="N275:R275"/>
    <mergeCell ref="S275:W275"/>
    <mergeCell ref="X275:AA275"/>
    <mergeCell ref="AB275:AE275"/>
    <mergeCell ref="AF275:AJ275"/>
    <mergeCell ref="B272:M272"/>
    <mergeCell ref="N272:R272"/>
    <mergeCell ref="S272:W272"/>
    <mergeCell ref="X272:AA272"/>
    <mergeCell ref="AB272:AE272"/>
    <mergeCell ref="AF272:AJ272"/>
    <mergeCell ref="B273:M273"/>
    <mergeCell ref="N273:R273"/>
    <mergeCell ref="S273:W273"/>
    <mergeCell ref="X273:AA273"/>
    <mergeCell ref="AB273:AE273"/>
    <mergeCell ref="AF273:AJ273"/>
    <mergeCell ref="B266:C266"/>
    <mergeCell ref="B267:C267"/>
    <mergeCell ref="B271:M271"/>
    <mergeCell ref="N271:R271"/>
    <mergeCell ref="S271:W271"/>
    <mergeCell ref="X271:AA271"/>
    <mergeCell ref="AB271:AE271"/>
    <mergeCell ref="AF271:AJ271"/>
    <mergeCell ref="AA250:AJ250"/>
    <mergeCell ref="D251:AJ251"/>
    <mergeCell ref="G258:AJ258"/>
    <mergeCell ref="D259:AJ259"/>
    <mergeCell ref="B263:C263"/>
    <mergeCell ref="B265:C265"/>
    <mergeCell ref="AD265:AJ265"/>
    <mergeCell ref="U252:AJ252"/>
    <mergeCell ref="U265:Z265"/>
    <mergeCell ref="T266:AJ266"/>
    <mergeCell ref="B248:E248"/>
    <mergeCell ref="F248:I248"/>
    <mergeCell ref="J248:M248"/>
    <mergeCell ref="N248:R248"/>
    <mergeCell ref="S248:V248"/>
    <mergeCell ref="W248:Z248"/>
    <mergeCell ref="AA248:AD248"/>
    <mergeCell ref="AE248:AJ248"/>
    <mergeCell ref="B249:E249"/>
    <mergeCell ref="F249:I249"/>
    <mergeCell ref="J249:M249"/>
    <mergeCell ref="N249:R249"/>
    <mergeCell ref="S249:V249"/>
    <mergeCell ref="W249:Z249"/>
    <mergeCell ref="AA249:AD249"/>
    <mergeCell ref="AE249:AJ249"/>
    <mergeCell ref="B246:E246"/>
    <mergeCell ref="F246:I246"/>
    <mergeCell ref="J246:M246"/>
    <mergeCell ref="N246:R246"/>
    <mergeCell ref="S246:V246"/>
    <mergeCell ref="W246:Z246"/>
    <mergeCell ref="AA246:AD246"/>
    <mergeCell ref="AE246:AJ246"/>
    <mergeCell ref="B247:E247"/>
    <mergeCell ref="F247:I247"/>
    <mergeCell ref="J247:M247"/>
    <mergeCell ref="N247:R247"/>
    <mergeCell ref="S247:V247"/>
    <mergeCell ref="W247:Z247"/>
    <mergeCell ref="AA247:AD247"/>
    <mergeCell ref="AE247:AJ247"/>
    <mergeCell ref="E227:AJ227"/>
    <mergeCell ref="Y229:AJ229"/>
    <mergeCell ref="M235:AJ235"/>
    <mergeCell ref="B245:E245"/>
    <mergeCell ref="F245:I245"/>
    <mergeCell ref="J245:M245"/>
    <mergeCell ref="N245:R245"/>
    <mergeCell ref="S245:V245"/>
    <mergeCell ref="W245:Z245"/>
    <mergeCell ref="AA245:AD245"/>
    <mergeCell ref="AE245:AJ245"/>
    <mergeCell ref="M229:T229"/>
    <mergeCell ref="AC213:AJ213"/>
    <mergeCell ref="O214:AJ214"/>
    <mergeCell ref="P218:AJ218"/>
    <mergeCell ref="D220:AJ220"/>
    <mergeCell ref="B222:AJ222"/>
    <mergeCell ref="B223:AJ223"/>
    <mergeCell ref="B226:C226"/>
    <mergeCell ref="B198:X199"/>
    <mergeCell ref="Y198:AJ199"/>
    <mergeCell ref="B200:C200"/>
    <mergeCell ref="B202:X202"/>
    <mergeCell ref="Y202:AJ202"/>
    <mergeCell ref="I203:AJ203"/>
    <mergeCell ref="K204:AJ204"/>
    <mergeCell ref="K205:AJ205"/>
    <mergeCell ref="D207:H209"/>
    <mergeCell ref="AB209:AJ209"/>
    <mergeCell ref="U219:AJ219"/>
    <mergeCell ref="D191:G192"/>
    <mergeCell ref="I191:AB192"/>
    <mergeCell ref="AC191:AJ191"/>
    <mergeCell ref="B192:C192"/>
    <mergeCell ref="AC192:AJ193"/>
    <mergeCell ref="I193:AB193"/>
    <mergeCell ref="I194:AB194"/>
    <mergeCell ref="AD194:AG194"/>
    <mergeCell ref="AH194:AI195"/>
    <mergeCell ref="I195:AB195"/>
    <mergeCell ref="AD195:AG195"/>
    <mergeCell ref="B177:C177"/>
    <mergeCell ref="D119:S119"/>
    <mergeCell ref="AE145:AJ145"/>
    <mergeCell ref="AC144:AD144"/>
    <mergeCell ref="AE144:AJ144"/>
    <mergeCell ref="AC145:AD145"/>
    <mergeCell ref="AC142:AD142"/>
    <mergeCell ref="AE142:AJ142"/>
    <mergeCell ref="AC143:AD143"/>
    <mergeCell ref="AE143:AF143"/>
    <mergeCell ref="AG143:AH143"/>
    <mergeCell ref="AI143:AJ143"/>
    <mergeCell ref="AC134:AD134"/>
    <mergeCell ref="AE134:AJ134"/>
    <mergeCell ref="AC141:AD141"/>
    <mergeCell ref="AE141:AF141"/>
    <mergeCell ref="AG141:AH141"/>
    <mergeCell ref="AI141:AJ141"/>
    <mergeCell ref="AC129:AD129"/>
    <mergeCell ref="AE129:AJ129"/>
    <mergeCell ref="AC133:AD133"/>
    <mergeCell ref="AE133:AF133"/>
    <mergeCell ref="AG133:AH133"/>
    <mergeCell ref="AI133:AJ133"/>
    <mergeCell ref="AH164:AJ164"/>
    <mergeCell ref="AA161:AB161"/>
    <mergeCell ref="AC154:AD154"/>
    <mergeCell ref="AE154:AF154"/>
    <mergeCell ref="AG154:AH154"/>
    <mergeCell ref="AI154:AJ154"/>
    <mergeCell ref="D123:AA123"/>
    <mergeCell ref="AE147:AJ147"/>
    <mergeCell ref="V101:AA101"/>
    <mergeCell ref="D102:AA102"/>
    <mergeCell ref="AC152:AD152"/>
    <mergeCell ref="AE152:AF152"/>
    <mergeCell ref="AG152:AH152"/>
    <mergeCell ref="AI152:AJ152"/>
    <mergeCell ref="AC153:AD153"/>
    <mergeCell ref="P118:S118"/>
    <mergeCell ref="U143:AA143"/>
    <mergeCell ref="AH153:AJ153"/>
    <mergeCell ref="U151:V151"/>
    <mergeCell ref="W151:AB151"/>
    <mergeCell ref="AC151:AD151"/>
    <mergeCell ref="AE151:AF151"/>
    <mergeCell ref="AG151:AH151"/>
    <mergeCell ref="AI151:AJ151"/>
    <mergeCell ref="AC189:AD189"/>
    <mergeCell ref="AE189:AJ189"/>
    <mergeCell ref="AE183:AF183"/>
    <mergeCell ref="AG183:AH183"/>
    <mergeCell ref="AI183:AJ183"/>
    <mergeCell ref="AC184:AD184"/>
    <mergeCell ref="AE184:AF184"/>
    <mergeCell ref="AG184:AH184"/>
    <mergeCell ref="AI184:AJ184"/>
    <mergeCell ref="AC185:AD185"/>
    <mergeCell ref="AE185:AF185"/>
    <mergeCell ref="AG185:AH185"/>
    <mergeCell ref="AI185:AJ185"/>
    <mergeCell ref="AE186:AJ186"/>
    <mergeCell ref="AC183:AD183"/>
    <mergeCell ref="AC186:AD186"/>
    <mergeCell ref="AC187:AD187"/>
    <mergeCell ref="AE187:AF187"/>
    <mergeCell ref="AG187:AH187"/>
    <mergeCell ref="AI187:AJ187"/>
    <mergeCell ref="AC188:AD188"/>
    <mergeCell ref="AE188:AF188"/>
    <mergeCell ref="AG188:AH188"/>
    <mergeCell ref="AI188:AJ188"/>
    <mergeCell ref="AC180:AD180"/>
    <mergeCell ref="AE180:AJ180"/>
    <mergeCell ref="AC181:AD181"/>
    <mergeCell ref="AE181:AJ181"/>
    <mergeCell ref="AC175:AD175"/>
    <mergeCell ref="AE175:AJ175"/>
    <mergeCell ref="AC182:AD182"/>
    <mergeCell ref="AE182:AF182"/>
    <mergeCell ref="AG182:AH182"/>
    <mergeCell ref="AI182:AJ182"/>
    <mergeCell ref="AC173:AD173"/>
    <mergeCell ref="AC172:AD172"/>
    <mergeCell ref="AE172:AJ172"/>
    <mergeCell ref="AC174:AD174"/>
    <mergeCell ref="AE174:AJ174"/>
    <mergeCell ref="D176:AJ178"/>
    <mergeCell ref="AE173:AJ173"/>
    <mergeCell ref="AC179:AD179"/>
    <mergeCell ref="AE179:AJ179"/>
    <mergeCell ref="AC170:AD170"/>
    <mergeCell ref="AE170:AJ170"/>
    <mergeCell ref="AC171:AD171"/>
    <mergeCell ref="AE171:AF171"/>
    <mergeCell ref="AG171:AH171"/>
    <mergeCell ref="AI171:AJ171"/>
    <mergeCell ref="AC165:AD165"/>
    <mergeCell ref="AE165:AF165"/>
    <mergeCell ref="AC155:AD155"/>
    <mergeCell ref="AE155:AJ155"/>
    <mergeCell ref="AC159:AD159"/>
    <mergeCell ref="AE159:AJ159"/>
    <mergeCell ref="AC168:AD168"/>
    <mergeCell ref="AE168:AJ168"/>
    <mergeCell ref="AC166:AD166"/>
    <mergeCell ref="AE166:AJ166"/>
    <mergeCell ref="AC167:AD167"/>
    <mergeCell ref="AE167:AJ167"/>
    <mergeCell ref="AE158:AJ158"/>
    <mergeCell ref="AE156:AJ156"/>
    <mergeCell ref="AE160:AJ160"/>
    <mergeCell ref="AG165:AH165"/>
    <mergeCell ref="AI165:AJ165"/>
    <mergeCell ref="AC164:AD164"/>
    <mergeCell ref="AC149:AD149"/>
    <mergeCell ref="AE149:AF149"/>
    <mergeCell ref="AG149:AH149"/>
    <mergeCell ref="AI149:AJ149"/>
    <mergeCell ref="AC150:AD150"/>
    <mergeCell ref="AE150:AJ150"/>
    <mergeCell ref="AC148:AD148"/>
    <mergeCell ref="AE148:AJ148"/>
    <mergeCell ref="U146:V146"/>
    <mergeCell ref="AA146:AB146"/>
    <mergeCell ref="U147:V147"/>
    <mergeCell ref="AA147:AB147"/>
    <mergeCell ref="W147:Z147"/>
    <mergeCell ref="AE146:AJ146"/>
    <mergeCell ref="AC127:AD127"/>
    <mergeCell ref="AE127:AJ127"/>
    <mergeCell ref="AC128:AD128"/>
    <mergeCell ref="AE128:AF128"/>
    <mergeCell ref="AG128:AH128"/>
    <mergeCell ref="AI128:AJ128"/>
    <mergeCell ref="AC125:AD125"/>
    <mergeCell ref="AE125:AJ125"/>
    <mergeCell ref="AC126:AD126"/>
    <mergeCell ref="AE126:AF126"/>
    <mergeCell ref="AG126:AH126"/>
    <mergeCell ref="AI126:AJ126"/>
    <mergeCell ref="AC123:AD123"/>
    <mergeCell ref="AE123:AJ123"/>
    <mergeCell ref="AC124:AD124"/>
    <mergeCell ref="AE124:AF124"/>
    <mergeCell ref="AG124:AH124"/>
    <mergeCell ref="AI124:AJ124"/>
    <mergeCell ref="AC121:AD121"/>
    <mergeCell ref="AE121:AJ121"/>
    <mergeCell ref="AC122:AD122"/>
    <mergeCell ref="AE122:AF122"/>
    <mergeCell ref="AG122:AH122"/>
    <mergeCell ref="AI122:AJ122"/>
    <mergeCell ref="U119:V119"/>
    <mergeCell ref="W119:AB119"/>
    <mergeCell ref="AC120:AD120"/>
    <mergeCell ref="AE120:AF120"/>
    <mergeCell ref="AG120:AH120"/>
    <mergeCell ref="AI120:AJ120"/>
    <mergeCell ref="U116:V116"/>
    <mergeCell ref="W116:AB116"/>
    <mergeCell ref="U117:V117"/>
    <mergeCell ref="W117:AB117"/>
    <mergeCell ref="U118:V118"/>
    <mergeCell ref="W118:X118"/>
    <mergeCell ref="Y118:Z118"/>
    <mergeCell ref="AA118:AB118"/>
    <mergeCell ref="U115:V115"/>
    <mergeCell ref="W115:AB115"/>
    <mergeCell ref="U114:V114"/>
    <mergeCell ref="W114:AB114"/>
    <mergeCell ref="U113:V113"/>
    <mergeCell ref="W113:AB113"/>
    <mergeCell ref="AC111:AD111"/>
    <mergeCell ref="AE111:AJ111"/>
    <mergeCell ref="AC109:AD109"/>
    <mergeCell ref="AE109:AJ109"/>
    <mergeCell ref="AC110:AD110"/>
    <mergeCell ref="AE110:AF110"/>
    <mergeCell ref="AG110:AH110"/>
    <mergeCell ref="AI110:AJ110"/>
    <mergeCell ref="D111:AA111"/>
    <mergeCell ref="Q110:AA110"/>
    <mergeCell ref="AG106:AH106"/>
    <mergeCell ref="AI106:AJ106"/>
    <mergeCell ref="AC107:AD107"/>
    <mergeCell ref="AE107:AJ107"/>
    <mergeCell ref="AC108:AD108"/>
    <mergeCell ref="AE108:AF108"/>
    <mergeCell ref="AG108:AH108"/>
    <mergeCell ref="AI108:AJ108"/>
    <mergeCell ref="AC103:AD103"/>
    <mergeCell ref="AE103:AF103"/>
    <mergeCell ref="AG103:AH103"/>
    <mergeCell ref="AI103:AJ103"/>
    <mergeCell ref="AC104:AD104"/>
    <mergeCell ref="AE104:AF104"/>
    <mergeCell ref="AG104:AH104"/>
    <mergeCell ref="AI104:AJ104"/>
    <mergeCell ref="AC101:AD101"/>
    <mergeCell ref="AE101:AF101"/>
    <mergeCell ref="AG101:AH101"/>
    <mergeCell ref="AI101:AJ101"/>
    <mergeCell ref="AC102:AD102"/>
    <mergeCell ref="AE102:AJ102"/>
    <mergeCell ref="AC100:AD100"/>
    <mergeCell ref="AE100:AJ100"/>
    <mergeCell ref="AE99:AF99"/>
    <mergeCell ref="AG99:AH99"/>
    <mergeCell ref="AI99:AJ99"/>
    <mergeCell ref="B82:M82"/>
    <mergeCell ref="S82:W82"/>
    <mergeCell ref="B97:AB97"/>
    <mergeCell ref="AC97:AJ97"/>
    <mergeCell ref="AC98:AD98"/>
    <mergeCell ref="AC99:AD99"/>
    <mergeCell ref="AE98:AJ98"/>
    <mergeCell ref="B86:M86"/>
    <mergeCell ref="N86:R86"/>
    <mergeCell ref="S86:W86"/>
    <mergeCell ref="X86:AA86"/>
    <mergeCell ref="AB86:AE86"/>
    <mergeCell ref="AF86:AJ86"/>
    <mergeCell ref="X84:AA84"/>
    <mergeCell ref="AB84:AE84"/>
    <mergeCell ref="AF84:AJ84"/>
    <mergeCell ref="B85:M85"/>
    <mergeCell ref="N85:R85"/>
    <mergeCell ref="S85:W85"/>
    <mergeCell ref="X85:AA85"/>
    <mergeCell ref="AB85:AE85"/>
    <mergeCell ref="AF85:AJ85"/>
    <mergeCell ref="S83:W83"/>
    <mergeCell ref="B83:M83"/>
    <mergeCell ref="W57:Z57"/>
    <mergeCell ref="AE56:AJ56"/>
    <mergeCell ref="AB83:AE83"/>
    <mergeCell ref="X83:AA83"/>
    <mergeCell ref="X82:AA82"/>
    <mergeCell ref="AB82:AE82"/>
    <mergeCell ref="AF82:AJ82"/>
    <mergeCell ref="N83:R83"/>
    <mergeCell ref="N82:R82"/>
    <mergeCell ref="AE60:AJ60"/>
    <mergeCell ref="AE58:AJ58"/>
    <mergeCell ref="S58:V58"/>
    <mergeCell ref="W58:Z58"/>
    <mergeCell ref="AA58:AD58"/>
    <mergeCell ref="U63:AJ63"/>
    <mergeCell ref="T77:AJ77"/>
    <mergeCell ref="U76:Z76"/>
    <mergeCell ref="AF83:AJ83"/>
    <mergeCell ref="G69:AJ69"/>
    <mergeCell ref="D70:AJ70"/>
    <mergeCell ref="B59:E59"/>
    <mergeCell ref="F59:I59"/>
    <mergeCell ref="J59:M59"/>
    <mergeCell ref="N59:R59"/>
    <mergeCell ref="S59:V59"/>
    <mergeCell ref="W59:Z59"/>
    <mergeCell ref="AA59:AD59"/>
    <mergeCell ref="AE59:AJ59"/>
    <mergeCell ref="J60:M60"/>
    <mergeCell ref="N60:R60"/>
    <mergeCell ref="S60:V60"/>
    <mergeCell ref="W60:Z60"/>
    <mergeCell ref="AA60:AD60"/>
    <mergeCell ref="Q29:AJ29"/>
    <mergeCell ref="D2:G3"/>
    <mergeCell ref="I2:AB3"/>
    <mergeCell ref="AC2:AJ2"/>
    <mergeCell ref="B3:C3"/>
    <mergeCell ref="AC3:AJ4"/>
    <mergeCell ref="I5:AB5"/>
    <mergeCell ref="AD5:AG5"/>
    <mergeCell ref="AH5:AI6"/>
    <mergeCell ref="I4:AB4"/>
    <mergeCell ref="AB20:AJ20"/>
    <mergeCell ref="Y21:AJ21"/>
    <mergeCell ref="AC24:AJ24"/>
    <mergeCell ref="O25:AJ25"/>
    <mergeCell ref="Y40:AJ40"/>
    <mergeCell ref="T30:AJ30"/>
    <mergeCell ref="D31:AJ31"/>
    <mergeCell ref="B56:E56"/>
    <mergeCell ref="F56:I56"/>
    <mergeCell ref="M46:AJ46"/>
    <mergeCell ref="J56:M56"/>
    <mergeCell ref="N56:R56"/>
    <mergeCell ref="S56:V56"/>
    <mergeCell ref="W56:Z56"/>
    <mergeCell ref="AA56:AD56"/>
    <mergeCell ref="E38:AJ38"/>
    <mergeCell ref="B33:AJ33"/>
    <mergeCell ref="B34:AJ34"/>
    <mergeCell ref="B140:C140"/>
    <mergeCell ref="B158:C158"/>
    <mergeCell ref="I6:AB6"/>
    <mergeCell ref="B13:X13"/>
    <mergeCell ref="Y13:AJ13"/>
    <mergeCell ref="I14:AJ14"/>
    <mergeCell ref="K15:AJ15"/>
    <mergeCell ref="K16:AJ16"/>
    <mergeCell ref="AC105:AD105"/>
    <mergeCell ref="AE105:AJ105"/>
    <mergeCell ref="AC106:AD106"/>
    <mergeCell ref="AE106:AF106"/>
    <mergeCell ref="B84:M84"/>
    <mergeCell ref="N84:R84"/>
    <mergeCell ref="S84:W84"/>
    <mergeCell ref="AD76:AJ76"/>
    <mergeCell ref="AD6:AG6"/>
    <mergeCell ref="B9:X10"/>
    <mergeCell ref="Y9:AJ10"/>
    <mergeCell ref="R122:AA122"/>
    <mergeCell ref="D62:AJ62"/>
    <mergeCell ref="B60:E60"/>
    <mergeCell ref="D18:H20"/>
    <mergeCell ref="L40:T40"/>
    <mergeCell ref="AM171:AO173"/>
    <mergeCell ref="X161:Z161"/>
    <mergeCell ref="V161:W161"/>
    <mergeCell ref="AA61:AJ61"/>
    <mergeCell ref="B76:C76"/>
    <mergeCell ref="B77:C77"/>
    <mergeCell ref="B78:C78"/>
    <mergeCell ref="B87:C89"/>
    <mergeCell ref="B11:C11"/>
    <mergeCell ref="B37:C37"/>
    <mergeCell ref="B74:C74"/>
    <mergeCell ref="B132:C132"/>
    <mergeCell ref="F60:I60"/>
    <mergeCell ref="B57:E57"/>
    <mergeCell ref="F57:I57"/>
    <mergeCell ref="J57:M57"/>
    <mergeCell ref="N57:R57"/>
    <mergeCell ref="S57:V57"/>
    <mergeCell ref="AA57:AD57"/>
    <mergeCell ref="AE57:AJ57"/>
    <mergeCell ref="B58:E58"/>
    <mergeCell ref="F58:I58"/>
    <mergeCell ref="J58:M58"/>
    <mergeCell ref="N58:R58"/>
  </mergeCells>
  <conditionalFormatting sqref="B13">
    <cfRule type="expression" dxfId="1856" priority="311">
      <formula>IF(NoColor,1,0)</formula>
    </cfRule>
  </conditionalFormatting>
  <conditionalFormatting sqref="B57:B60 F57:F60 N57:N60">
    <cfRule type="expression" dxfId="1855" priority="286">
      <formula>IF(NoColor,1,0)</formula>
    </cfRule>
  </conditionalFormatting>
  <conditionalFormatting sqref="B83:B86">
    <cfRule type="expression" dxfId="1854" priority="249">
      <formula>IF(NoColor,1,0)</formula>
    </cfRule>
  </conditionalFormatting>
  <conditionalFormatting sqref="B202">
    <cfRule type="expression" dxfId="1853" priority="132">
      <formula>IF(NoColor,1,0)</formula>
    </cfRule>
  </conditionalFormatting>
  <conditionalFormatting sqref="B246:B249 F246:F249 N246:N249">
    <cfRule type="expression" dxfId="1852" priority="108">
      <formula>IF(NoColor,1,0)</formula>
    </cfRule>
  </conditionalFormatting>
  <conditionalFormatting sqref="B272:B275">
    <cfRule type="expression" dxfId="1851" priority="93">
      <formula>IF(NoColor,1,0)</formula>
    </cfRule>
  </conditionalFormatting>
  <conditionalFormatting sqref="B9:X10">
    <cfRule type="expression" dxfId="1850" priority="296">
      <formula>IF(NoColor,1,0)</formula>
    </cfRule>
  </conditionalFormatting>
  <conditionalFormatting sqref="B198:X199">
    <cfRule type="expression" dxfId="1849" priority="118">
      <formula>IF(NoColor,1,0)</formula>
    </cfRule>
  </conditionalFormatting>
  <conditionalFormatting sqref="D31">
    <cfRule type="expression" dxfId="1848" priority="301">
      <formula>IF(NoColor,1,0)</formula>
    </cfRule>
  </conditionalFormatting>
  <conditionalFormatting sqref="D52:D53">
    <cfRule type="expression" dxfId="1847" priority="215">
      <formula>IF(AND($AE$49&lt;&gt;"",$AH$51&lt;&gt;""),1,0)</formula>
    </cfRule>
  </conditionalFormatting>
  <conditionalFormatting sqref="D62">
    <cfRule type="expression" dxfId="1846" priority="275">
      <formula>IF(NoColor,1,0)</formula>
    </cfRule>
  </conditionalFormatting>
  <conditionalFormatting sqref="D70">
    <cfRule type="expression" dxfId="1845" priority="216">
      <formula>IF(NoColor,1,0)</formula>
    </cfRule>
  </conditionalFormatting>
  <conditionalFormatting sqref="D102">
    <cfRule type="expression" dxfId="1844" priority="227">
      <formula>IF(NoColor,1,0)</formula>
    </cfRule>
  </conditionalFormatting>
  <conditionalFormatting sqref="D111">
    <cfRule type="expression" dxfId="1843" priority="225">
      <formula>IF(NoColor,1,0)</formula>
    </cfRule>
  </conditionalFormatting>
  <conditionalFormatting sqref="D119">
    <cfRule type="expression" dxfId="1842" priority="222">
      <formula>IF(NoColor,1,0)</formula>
    </cfRule>
  </conditionalFormatting>
  <conditionalFormatting sqref="D123">
    <cfRule type="expression" dxfId="1841" priority="220">
      <formula>IF(NoColor,1,0)</formula>
    </cfRule>
  </conditionalFormatting>
  <conditionalFormatting sqref="D136">
    <cfRule type="expression" dxfId="1840" priority="151">
      <formula>IF(NoColor,1,0)</formula>
    </cfRule>
  </conditionalFormatting>
  <conditionalFormatting sqref="D138">
    <cfRule type="expression" dxfId="1839" priority="150">
      <formula>IF(NoColor,1,0)</formula>
    </cfRule>
  </conditionalFormatting>
  <conditionalFormatting sqref="D220">
    <cfRule type="expression" dxfId="1838" priority="122">
      <formula>IF(NoColor,1,0)</formula>
    </cfRule>
  </conditionalFormatting>
  <conditionalFormatting sqref="D241:D242">
    <cfRule type="expression" dxfId="1837" priority="72">
      <formula>IF(AND($AE$49&lt;&gt;"",$AH$51&lt;&gt;""),1,0)</formula>
    </cfRule>
  </conditionalFormatting>
  <conditionalFormatting sqref="D251">
    <cfRule type="expression" dxfId="1836" priority="104">
      <formula>IF(NoColor,1,0)</formula>
    </cfRule>
  </conditionalFormatting>
  <conditionalFormatting sqref="D259">
    <cfRule type="expression" dxfId="1835" priority="73">
      <formula>IF(NoColor,1,0)</formula>
    </cfRule>
  </conditionalFormatting>
  <conditionalFormatting sqref="D291">
    <cfRule type="expression" dxfId="1834" priority="81">
      <formula>IF(NoColor,1,0)</formula>
    </cfRule>
  </conditionalFormatting>
  <conditionalFormatting sqref="D300">
    <cfRule type="expression" dxfId="1833" priority="79">
      <formula>IF(NoColor,1,0)</formula>
    </cfRule>
  </conditionalFormatting>
  <conditionalFormatting sqref="D308">
    <cfRule type="expression" dxfId="1832" priority="76">
      <formula>IF(NoColor,1,0)</formula>
    </cfRule>
  </conditionalFormatting>
  <conditionalFormatting sqref="D312">
    <cfRule type="expression" dxfId="1831" priority="75">
      <formula>IF(NoColor,1,0)</formula>
    </cfRule>
  </conditionalFormatting>
  <conditionalFormatting sqref="D325">
    <cfRule type="expression" dxfId="1830" priority="12">
      <formula>IF(NoColor,1,0)</formula>
    </cfRule>
  </conditionalFormatting>
  <conditionalFormatting sqref="D327">
    <cfRule type="expression" dxfId="1829" priority="11">
      <formula>IF(NoColor,1,0)</formula>
    </cfRule>
  </conditionalFormatting>
  <conditionalFormatting sqref="G69">
    <cfRule type="expression" dxfId="1828" priority="273">
      <formula>IF(NoColor,1,0)</formula>
    </cfRule>
  </conditionalFormatting>
  <conditionalFormatting sqref="G258">
    <cfRule type="expression" dxfId="1827" priority="102">
      <formula>IF(NoColor,1,0)</formula>
    </cfRule>
  </conditionalFormatting>
  <conditionalFormatting sqref="I14">
    <cfRule type="expression" dxfId="1826" priority="310">
      <formula>IF(NoColor,1,0)</formula>
    </cfRule>
  </conditionalFormatting>
  <conditionalFormatting sqref="I203">
    <cfRule type="expression" dxfId="1825" priority="131">
      <formula>IF(NoColor,1,0)</formula>
    </cfRule>
  </conditionalFormatting>
  <conditionalFormatting sqref="J57:J60">
    <cfRule type="expression" dxfId="1824" priority="295">
      <formula>IF(NoColor,1,0)</formula>
    </cfRule>
  </conditionalFormatting>
  <conditionalFormatting sqref="J246:J249">
    <cfRule type="expression" dxfId="1823" priority="117">
      <formula>IF(NoColor,1,0)</formula>
    </cfRule>
  </conditionalFormatting>
  <conditionalFormatting sqref="K15:K16">
    <cfRule type="expression" dxfId="1822" priority="308">
      <formula>IF(NoColor,1,0)</formula>
    </cfRule>
  </conditionalFormatting>
  <conditionalFormatting sqref="K18">
    <cfRule type="expression" dxfId="1821" priority="175">
      <formula>IF(NoColor,1,0)</formula>
    </cfRule>
  </conditionalFormatting>
  <conditionalFormatting sqref="K20">
    <cfRule type="expression" dxfId="1820" priority="172">
      <formula>IF(NoColor,1,0)</formula>
    </cfRule>
  </conditionalFormatting>
  <conditionalFormatting sqref="K204:K205">
    <cfRule type="expression" dxfId="1819" priority="129">
      <formula>IF(NoColor,1,0)</formula>
    </cfRule>
  </conditionalFormatting>
  <conditionalFormatting sqref="K207">
    <cfRule type="expression" dxfId="1818" priority="35">
      <formula>IF(NoColor,1,0)</formula>
    </cfRule>
  </conditionalFormatting>
  <conditionalFormatting sqref="K209">
    <cfRule type="expression" dxfId="1817" priority="32">
      <formula>IF(NoColor,1,0)</formula>
    </cfRule>
  </conditionalFormatting>
  <conditionalFormatting sqref="L40">
    <cfRule type="expression" dxfId="1816" priority="300">
      <formula>IF(NoColor,1,0)</formula>
    </cfRule>
  </conditionalFormatting>
  <conditionalFormatting sqref="M46">
    <cfRule type="expression" dxfId="1815" priority="297">
      <formula>IF(NoColor,1,0)</formula>
    </cfRule>
  </conditionalFormatting>
  <conditionalFormatting sqref="M229">
    <cfRule type="expression" dxfId="1814" priority="121">
      <formula>IF(NoColor,1,0)</formula>
    </cfRule>
  </conditionalFormatting>
  <conditionalFormatting sqref="M235">
    <cfRule type="expression" dxfId="1813" priority="119">
      <formula>IF(NoColor,1,0)</formula>
    </cfRule>
  </conditionalFormatting>
  <conditionalFormatting sqref="N83:N86">
    <cfRule type="expression" dxfId="1812" priority="239">
      <formula>IF(NoColor,1,0)</formula>
    </cfRule>
  </conditionalFormatting>
  <conditionalFormatting sqref="N272:N275">
    <cfRule type="expression" dxfId="1811" priority="89">
      <formula>IF(NoColor,1,0)</formula>
    </cfRule>
  </conditionalFormatting>
  <conditionalFormatting sqref="O25">
    <cfRule type="expression" dxfId="1810" priority="304">
      <formula>IF(NoColor,1,0)</formula>
    </cfRule>
  </conditionalFormatting>
  <conditionalFormatting sqref="O42">
    <cfRule type="expression" dxfId="1809" priority="165">
      <formula>IF(NoColor,1,0)</formula>
    </cfRule>
  </conditionalFormatting>
  <conditionalFormatting sqref="O44">
    <cfRule type="expression" dxfId="1808" priority="162">
      <formula>IF(NoColor,1,0)</formula>
    </cfRule>
  </conditionalFormatting>
  <conditionalFormatting sqref="O159">
    <cfRule type="expression" dxfId="1807" priority="146">
      <formula>AND(NOT(NoColor),$AE$159&lt;&gt;$AE$160)</formula>
    </cfRule>
  </conditionalFormatting>
  <conditionalFormatting sqref="O214">
    <cfRule type="expression" dxfId="1806" priority="125">
      <formula>IF(NoColor,1,0)</formula>
    </cfRule>
  </conditionalFormatting>
  <conditionalFormatting sqref="O231">
    <cfRule type="expression" dxfId="1805" priority="26">
      <formula>IF(NoColor,1,0)</formula>
    </cfRule>
  </conditionalFormatting>
  <conditionalFormatting sqref="O233">
    <cfRule type="expression" dxfId="1804" priority="23">
      <formula>IF(NoColor,1,0)</formula>
    </cfRule>
  </conditionalFormatting>
  <conditionalFormatting sqref="O307">
    <cfRule type="expression" dxfId="1803" priority="77">
      <formula>IF(NoColor,1,0)</formula>
    </cfRule>
  </conditionalFormatting>
  <conditionalFormatting sqref="O348">
    <cfRule type="expression" dxfId="1802" priority="8">
      <formula>AND(NOT(NoColor),$AE$159&lt;&gt;$AE$160)</formula>
    </cfRule>
  </conditionalFormatting>
  <conditionalFormatting sqref="P118">
    <cfRule type="expression" dxfId="1801" priority="223">
      <formula>IF(NoColor,1,0)</formula>
    </cfRule>
  </conditionalFormatting>
  <conditionalFormatting sqref="P218">
    <cfRule type="expression" dxfId="1800" priority="124">
      <formula>IF(NoColor,1,0)</formula>
    </cfRule>
  </conditionalFormatting>
  <conditionalFormatting sqref="P299">
    <cfRule type="expression" dxfId="1799" priority="78">
      <formula>IF(NoColor,1,0)</formula>
    </cfRule>
  </conditionalFormatting>
  <conditionalFormatting sqref="Q29">
    <cfRule type="expression" dxfId="1798" priority="303">
      <formula>IF(NoColor,1,0)</formula>
    </cfRule>
  </conditionalFormatting>
  <conditionalFormatting sqref="Q110">
    <cfRule type="expression" dxfId="1797" priority="224">
      <formula>IF(NoColor,1,0)</formula>
    </cfRule>
  </conditionalFormatting>
  <conditionalFormatting sqref="R122">
    <cfRule type="expression" dxfId="1796" priority="141">
      <formula>IF(NoColor,1,0)</formula>
    </cfRule>
  </conditionalFormatting>
  <conditionalFormatting sqref="R311">
    <cfRule type="expression" dxfId="1795" priority="5">
      <formula>IF(NoColor,1,0)</formula>
    </cfRule>
  </conditionalFormatting>
  <conditionalFormatting sqref="S57:S60 W57:W60">
    <cfRule type="expression" dxfId="1794" priority="285">
      <formula>IF(NoColor,1,0)</formula>
    </cfRule>
  </conditionalFormatting>
  <conditionalFormatting sqref="S83:S86">
    <cfRule type="expression" dxfId="1793" priority="237">
      <formula>IF(NoColor,1,0)</formula>
    </cfRule>
  </conditionalFormatting>
  <conditionalFormatting sqref="S246:S249 W246:W249">
    <cfRule type="expression" dxfId="1792" priority="107">
      <formula>IF(NoColor,1,0)</formula>
    </cfRule>
  </conditionalFormatting>
  <conditionalFormatting sqref="S272:S275">
    <cfRule type="expression" dxfId="1791" priority="87">
      <formula>IF(NoColor,1,0)</formula>
    </cfRule>
  </conditionalFormatting>
  <conditionalFormatting sqref="T30">
    <cfRule type="expression" dxfId="1790" priority="302">
      <formula>IF(NoColor,1,0)</formula>
    </cfRule>
  </conditionalFormatting>
  <conditionalFormatting sqref="T77">
    <cfRule type="expression" dxfId="1789" priority="267">
      <formula>IF(NoColor,1,0)</formula>
    </cfRule>
  </conditionalFormatting>
  <conditionalFormatting sqref="T266">
    <cfRule type="expression" dxfId="1788" priority="101">
      <formula>IF(NoColor,1,0)</formula>
    </cfRule>
  </conditionalFormatting>
  <conditionalFormatting sqref="U63">
    <cfRule type="expression" dxfId="1787" priority="274">
      <formula>IF(NoColor,1,0)</formula>
    </cfRule>
  </conditionalFormatting>
  <conditionalFormatting sqref="U76">
    <cfRule type="expression" dxfId="1786" priority="230">
      <formula>IF(NoColor,1,0)</formula>
    </cfRule>
  </conditionalFormatting>
  <conditionalFormatting sqref="U143">
    <cfRule type="expression" dxfId="1785" priority="217">
      <formula>IF(NoColor,1,0)</formula>
    </cfRule>
  </conditionalFormatting>
  <conditionalFormatting sqref="U219">
    <cfRule type="expression" dxfId="1784" priority="123">
      <formula>IF(NoColor,1,0)</formula>
    </cfRule>
  </conditionalFormatting>
  <conditionalFormatting sqref="U252">
    <cfRule type="expression" dxfId="1783" priority="103">
      <formula>IF(NoColor,1,0)</formula>
    </cfRule>
  </conditionalFormatting>
  <conditionalFormatting sqref="U265">
    <cfRule type="expression" dxfId="1782" priority="83">
      <formula>IF(NoColor,1,0)</formula>
    </cfRule>
  </conditionalFormatting>
  <conditionalFormatting sqref="U332">
    <cfRule type="expression" dxfId="1781" priority="74">
      <formula>IF(NoColor,1,0)</formula>
    </cfRule>
  </conditionalFormatting>
  <conditionalFormatting sqref="V18">
    <cfRule type="expression" dxfId="1780" priority="174">
      <formula>IF(NoColor,1,0)</formula>
    </cfRule>
  </conditionalFormatting>
  <conditionalFormatting sqref="V20">
    <cfRule type="expression" dxfId="1779" priority="171">
      <formula>IF(NoColor,1,0)</formula>
    </cfRule>
  </conditionalFormatting>
  <conditionalFormatting sqref="V42">
    <cfRule type="expression" dxfId="1778" priority="164">
      <formula>IF(NoColor,1,0)</formula>
    </cfRule>
  </conditionalFormatting>
  <conditionalFormatting sqref="V101">
    <cfRule type="expression" dxfId="1777" priority="226">
      <formula>IF(NoColor,1,0)</formula>
    </cfRule>
  </conditionalFormatting>
  <conditionalFormatting sqref="V207">
    <cfRule type="expression" dxfId="1776" priority="34">
      <formula>IF(NoColor,1,0)</formula>
    </cfRule>
  </conditionalFormatting>
  <conditionalFormatting sqref="V209">
    <cfRule type="expression" dxfId="1775" priority="31">
      <formula>IF(NoColor,1,0)</formula>
    </cfRule>
  </conditionalFormatting>
  <conditionalFormatting sqref="V231">
    <cfRule type="expression" dxfId="1774" priority="25">
      <formula>IF(NoColor,1,0)</formula>
    </cfRule>
  </conditionalFormatting>
  <conditionalFormatting sqref="V290">
    <cfRule type="expression" dxfId="1773" priority="80">
      <formula>IF(NoColor,1,0)</formula>
    </cfRule>
  </conditionalFormatting>
  <conditionalFormatting sqref="W147:Z147">
    <cfRule type="expression" dxfId="1772" priority="148">
      <formula>IF(NoColor,1,0)</formula>
    </cfRule>
  </conditionalFormatting>
  <conditionalFormatting sqref="W336:Z336">
    <cfRule type="expression" dxfId="1771" priority="10">
      <formula>IF(NoColor,1,0)</formula>
    </cfRule>
  </conditionalFormatting>
  <conditionalFormatting sqref="W113:AB117">
    <cfRule type="expression" dxfId="1770" priority="214">
      <formula>IF(NoColor,1,0)</formula>
    </cfRule>
  </conditionalFormatting>
  <conditionalFormatting sqref="W119:AB119">
    <cfRule type="expression" dxfId="1769" priority="213">
      <formula>IF(NoColor,1,0)</formula>
    </cfRule>
  </conditionalFormatting>
  <conditionalFormatting sqref="W151:AB151">
    <cfRule type="expression" dxfId="1768" priority="192">
      <formula>IF(NoColor,1,0)</formula>
    </cfRule>
  </conditionalFormatting>
  <conditionalFormatting sqref="W302:AB306">
    <cfRule type="expression" dxfId="1767" priority="71">
      <formula>IF(NoColor,1,0)</formula>
    </cfRule>
  </conditionalFormatting>
  <conditionalFormatting sqref="W308:AB308">
    <cfRule type="expression" dxfId="1766" priority="70">
      <formula>IF(NoColor,1,0)</formula>
    </cfRule>
  </conditionalFormatting>
  <conditionalFormatting sqref="W340:AB340">
    <cfRule type="expression" dxfId="1765" priority="51">
      <formula>IF(NoColor,1,0)</formula>
    </cfRule>
  </conditionalFormatting>
  <conditionalFormatting sqref="X83:X86">
    <cfRule type="expression" dxfId="1764" priority="244">
      <formula>IF(NoColor,1,0)</formula>
    </cfRule>
  </conditionalFormatting>
  <conditionalFormatting sqref="X161">
    <cfRule type="expression" dxfId="1763" priority="147">
      <formula>IF(NoColor,1,0)</formula>
    </cfRule>
  </conditionalFormatting>
  <conditionalFormatting sqref="X272:X275">
    <cfRule type="expression" dxfId="1762" priority="91">
      <formula>IF(NoColor,1,0)</formula>
    </cfRule>
  </conditionalFormatting>
  <conditionalFormatting sqref="X350">
    <cfRule type="expression" dxfId="1761" priority="9">
      <formula>IF(NoColor,1,0)</formula>
    </cfRule>
  </conditionalFormatting>
  <conditionalFormatting sqref="Y9">
    <cfRule type="expression" dxfId="1760" priority="321">
      <formula>IF(NoColor,1,0)</formula>
    </cfRule>
  </conditionalFormatting>
  <conditionalFormatting sqref="Y13">
    <cfRule type="expression" dxfId="1759" priority="421">
      <formula>IF(NoColor,1,0)</formula>
    </cfRule>
  </conditionalFormatting>
  <conditionalFormatting sqref="Y21">
    <cfRule type="expression" dxfId="1758" priority="306">
      <formula>IF(NoColor,1,0)</formula>
    </cfRule>
  </conditionalFormatting>
  <conditionalFormatting sqref="Y40">
    <cfRule type="expression" dxfId="1757" priority="298">
      <formula>IF(NoColor,1,0)</formula>
    </cfRule>
  </conditionalFormatting>
  <conditionalFormatting sqref="Y198">
    <cfRule type="expression" dxfId="1756" priority="133">
      <formula>IF(NoColor,1,0)</formula>
    </cfRule>
  </conditionalFormatting>
  <conditionalFormatting sqref="Y202">
    <cfRule type="expression" dxfId="1755" priority="140">
      <formula>IF(NoColor,1,0)</formula>
    </cfRule>
  </conditionalFormatting>
  <conditionalFormatting sqref="Y229">
    <cfRule type="expression" dxfId="1754" priority="120">
      <formula>IF(NoColor,1,0)</formula>
    </cfRule>
  </conditionalFormatting>
  <conditionalFormatting sqref="Z210:AJ210">
    <cfRule type="expression" dxfId="1753" priority="127">
      <formula>IF(NoColor,1,0)</formula>
    </cfRule>
  </conditionalFormatting>
  <conditionalFormatting sqref="AA22">
    <cfRule type="expression" dxfId="1752" priority="142">
      <formula>IF(NoColor,1,0)</formula>
    </cfRule>
  </conditionalFormatting>
  <conditionalFormatting sqref="AA57:AA61">
    <cfRule type="expression" dxfId="1751" priority="145">
      <formula>IF(NoColor,1,0)</formula>
    </cfRule>
  </conditionalFormatting>
  <conditionalFormatting sqref="AA211">
    <cfRule type="expression" dxfId="1750" priority="6">
      <formula>IF(NoColor,1,0)</formula>
    </cfRule>
  </conditionalFormatting>
  <conditionalFormatting sqref="AA246:AA250">
    <cfRule type="expression" dxfId="1749" priority="7">
      <formula>IF(NoColor,1,0)</formula>
    </cfRule>
  </conditionalFormatting>
  <conditionalFormatting sqref="AB20">
    <cfRule type="expression" dxfId="1748" priority="307">
      <formula>IF(NoColor,1,0)</formula>
    </cfRule>
  </conditionalFormatting>
  <conditionalFormatting sqref="AB83:AB86">
    <cfRule type="expression" dxfId="1747" priority="246">
      <formula>IF(NoColor,1,0)</formula>
    </cfRule>
  </conditionalFormatting>
  <conditionalFormatting sqref="AB209">
    <cfRule type="expression" dxfId="1746" priority="128">
      <formula>IF(NoColor,1,0)</formula>
    </cfRule>
  </conditionalFormatting>
  <conditionalFormatting sqref="AB272:AB275">
    <cfRule type="expression" dxfId="1745" priority="92">
      <formula>IF(NoColor,1,0)</formula>
    </cfRule>
  </conditionalFormatting>
  <conditionalFormatting sqref="AC24">
    <cfRule type="expression" dxfId="1744" priority="305">
      <formula>IF(NoColor,1,0)</formula>
    </cfRule>
  </conditionalFormatting>
  <conditionalFormatting sqref="AC213">
    <cfRule type="expression" dxfId="1743" priority="126">
      <formula>IF(NoColor,1,0)</formula>
    </cfRule>
  </conditionalFormatting>
  <conditionalFormatting sqref="AD18">
    <cfRule type="expression" dxfId="1740" priority="173">
      <formula>IF(NoColor,1,0)</formula>
    </cfRule>
  </conditionalFormatting>
  <conditionalFormatting sqref="AD76">
    <cfRule type="expression" dxfId="1739" priority="229">
      <formula>IF(NoColor,1,0)</formula>
    </cfRule>
  </conditionalFormatting>
  <conditionalFormatting sqref="AD207">
    <cfRule type="expression" dxfId="1738" priority="33">
      <formula>IF(NoColor,1,0)</formula>
    </cfRule>
  </conditionalFormatting>
  <conditionalFormatting sqref="AD265">
    <cfRule type="expression" dxfId="1737" priority="82">
      <formula>IF(NoColor,1,0)</formula>
    </cfRule>
  </conditionalFormatting>
  <conditionalFormatting sqref="AE23">
    <cfRule type="expression" dxfId="1736" priority="169">
      <formula>IF(NoColor,1,0)</formula>
    </cfRule>
  </conditionalFormatting>
  <conditionalFormatting sqref="AE27">
    <cfRule type="expression" dxfId="1735" priority="167">
      <formula>IF(NoColor,1,0)</formula>
    </cfRule>
  </conditionalFormatting>
  <conditionalFormatting sqref="AE42">
    <cfRule type="expression" dxfId="1734" priority="163">
      <formula>IF(NoColor,1,0)</formula>
    </cfRule>
  </conditionalFormatting>
  <conditionalFormatting sqref="AE45">
    <cfRule type="expression" dxfId="1733" priority="161">
      <formula>IF(NoColor,1,0)</formula>
    </cfRule>
  </conditionalFormatting>
  <conditionalFormatting sqref="AE49">
    <cfRule type="expression" dxfId="1732" priority="159">
      <formula>IF(NoColor,1,0)</formula>
    </cfRule>
  </conditionalFormatting>
  <conditionalFormatting sqref="AE51">
    <cfRule type="expression" dxfId="1731" priority="157">
      <formula>IF(NoColor,1,0)</formula>
    </cfRule>
  </conditionalFormatting>
  <conditionalFormatting sqref="AE57:AE60">
    <cfRule type="expression" dxfId="1730" priority="284">
      <formula>IF(NoColor,1,0)</formula>
    </cfRule>
  </conditionalFormatting>
  <conditionalFormatting sqref="AE65">
    <cfRule type="expression" dxfId="1729" priority="155">
      <formula>IF(NoColor,1,0)</formula>
    </cfRule>
  </conditionalFormatting>
  <conditionalFormatting sqref="AE67">
    <cfRule type="expression" dxfId="1728" priority="153">
      <formula>IF(NoColor,1,0)</formula>
    </cfRule>
  </conditionalFormatting>
  <conditionalFormatting sqref="AE212">
    <cfRule type="expression" dxfId="1727" priority="30">
      <formula>IF(NoColor,1,0)</formula>
    </cfRule>
  </conditionalFormatting>
  <conditionalFormatting sqref="AE216">
    <cfRule type="expression" dxfId="1726" priority="28">
      <formula>IF(NoColor,1,0)</formula>
    </cfRule>
  </conditionalFormatting>
  <conditionalFormatting sqref="AE231">
    <cfRule type="expression" dxfId="1725" priority="24">
      <formula>IF(NoColor,1,0)</formula>
    </cfRule>
  </conditionalFormatting>
  <conditionalFormatting sqref="AE234">
    <cfRule type="expression" dxfId="1724" priority="22">
      <formula>IF(NoColor,1,0)</formula>
    </cfRule>
  </conditionalFormatting>
  <conditionalFormatting sqref="AE238">
    <cfRule type="expression" dxfId="1723" priority="20">
      <formula>IF(NoColor,1,0)</formula>
    </cfRule>
  </conditionalFormatting>
  <conditionalFormatting sqref="AE240">
    <cfRule type="expression" dxfId="1722" priority="18">
      <formula>IF(NoColor,1,0)</formula>
    </cfRule>
  </conditionalFormatting>
  <conditionalFormatting sqref="AE246:AE249">
    <cfRule type="expression" dxfId="1721" priority="106">
      <formula>IF(NoColor,1,0)</formula>
    </cfRule>
  </conditionalFormatting>
  <conditionalFormatting sqref="AE254">
    <cfRule type="expression" dxfId="1720" priority="16">
      <formula>IF(NoColor,1,0)</formula>
    </cfRule>
  </conditionalFormatting>
  <conditionalFormatting sqref="AE256">
    <cfRule type="expression" dxfId="1719" priority="14">
      <formula>IF(NoColor,1,0)</formula>
    </cfRule>
  </conditionalFormatting>
  <conditionalFormatting sqref="AE98:AJ98">
    <cfRule type="expression" dxfId="1718" priority="212">
      <formula>IF(NoColor,1,0)</formula>
    </cfRule>
  </conditionalFormatting>
  <conditionalFormatting sqref="AE100:AJ100">
    <cfRule type="expression" dxfId="1717" priority="211">
      <formula>IF(NoColor,1,0)</formula>
    </cfRule>
  </conditionalFormatting>
  <conditionalFormatting sqref="AE102:AJ102">
    <cfRule type="expression" dxfId="1716" priority="210">
      <formula>IF(NoColor,1,0)</formula>
    </cfRule>
  </conditionalFormatting>
  <conditionalFormatting sqref="AE105:AJ105">
    <cfRule type="expression" dxfId="1715" priority="209">
      <formula>IF(NoColor,1,0)</formula>
    </cfRule>
  </conditionalFormatting>
  <conditionalFormatting sqref="AE107:AJ107">
    <cfRule type="expression" dxfId="1714" priority="208">
      <formula>IF(NoColor,1,0)</formula>
    </cfRule>
  </conditionalFormatting>
  <conditionalFormatting sqref="AE109:AJ109">
    <cfRule type="expression" dxfId="1713" priority="207">
      <formula>IF(NoColor,1,0)</formula>
    </cfRule>
  </conditionalFormatting>
  <conditionalFormatting sqref="AE111:AJ111">
    <cfRule type="expression" dxfId="1712" priority="206">
      <formula>IF(NoColor,1,0)</formula>
    </cfRule>
  </conditionalFormatting>
  <conditionalFormatting sqref="AE121:AJ121">
    <cfRule type="expression" dxfId="1711" priority="205">
      <formula>IF(NoColor,1,0)</formula>
    </cfRule>
  </conditionalFormatting>
  <conditionalFormatting sqref="AE123:AJ123">
    <cfRule type="expression" dxfId="1710" priority="204">
      <formula>IF(NoColor,1,0)</formula>
    </cfRule>
  </conditionalFormatting>
  <conditionalFormatting sqref="AE125:AJ125">
    <cfRule type="expression" dxfId="1709" priority="203">
      <formula>IF(NoColor,1,0)</formula>
    </cfRule>
  </conditionalFormatting>
  <conditionalFormatting sqref="AE127:AJ127">
    <cfRule type="expression" dxfId="1708" priority="202">
      <formula>IF(NoColor,1,0)</formula>
    </cfRule>
  </conditionalFormatting>
  <conditionalFormatting sqref="AE129:AJ129">
    <cfRule type="expression" dxfId="1707" priority="201">
      <formula>IF(NoColor,1,0)</formula>
    </cfRule>
  </conditionalFormatting>
  <conditionalFormatting sqref="AE134:AJ134">
    <cfRule type="expression" dxfId="1706" priority="197">
      <formula>IF(NoColor,1,0)</formula>
    </cfRule>
  </conditionalFormatting>
  <conditionalFormatting sqref="AE142:AJ142">
    <cfRule type="expression" dxfId="1705" priority="199">
      <formula>IF(NoColor,1,0)</formula>
    </cfRule>
  </conditionalFormatting>
  <conditionalFormatting sqref="AE144:AJ145">
    <cfRule type="expression" dxfId="1704" priority="196">
      <formula>IF(NoColor,1,0)</formula>
    </cfRule>
  </conditionalFormatting>
  <conditionalFormatting sqref="AE148:AJ148">
    <cfRule type="expression" dxfId="1703" priority="194">
      <formula>IF(NoColor,1,0)</formula>
    </cfRule>
  </conditionalFormatting>
  <conditionalFormatting sqref="AE150:AJ150">
    <cfRule type="expression" dxfId="1702" priority="193">
      <formula>IF(NoColor,1,0)</formula>
    </cfRule>
  </conditionalFormatting>
  <conditionalFormatting sqref="AE155:AJ155">
    <cfRule type="expression" dxfId="1701" priority="190">
      <formula>IF(NoColor,1,0)</formula>
    </cfRule>
  </conditionalFormatting>
  <conditionalFormatting sqref="AE159:AJ159">
    <cfRule type="expression" dxfId="1700" priority="189">
      <formula>IF(NoColor,1,0)</formula>
    </cfRule>
  </conditionalFormatting>
  <conditionalFormatting sqref="AE166:AJ168">
    <cfRule type="expression" dxfId="1699" priority="184">
      <formula>IF(NoColor,1,0)</formula>
    </cfRule>
  </conditionalFormatting>
  <conditionalFormatting sqref="AE170:AJ170">
    <cfRule type="expression" dxfId="1698" priority="183">
      <formula>IF(NoColor,1,0)</formula>
    </cfRule>
  </conditionalFormatting>
  <conditionalFormatting sqref="AE172:AJ172">
    <cfRule type="expression" dxfId="1697" priority="182">
      <formula>IF(NoColor,1,0)</formula>
    </cfRule>
  </conditionalFormatting>
  <conditionalFormatting sqref="AE175:AJ175">
    <cfRule type="expression" dxfId="1696" priority="181">
      <formula>IF(NoColor,1,0)</formula>
    </cfRule>
  </conditionalFormatting>
  <conditionalFormatting sqref="AE179:AJ181">
    <cfRule type="expression" dxfId="1695" priority="178">
      <formula>IF(NoColor,1,0)</formula>
    </cfRule>
  </conditionalFormatting>
  <conditionalFormatting sqref="AE186:AJ186">
    <cfRule type="expression" dxfId="1694" priority="177">
      <formula>IF(NoColor,1,0)</formula>
    </cfRule>
  </conditionalFormatting>
  <conditionalFormatting sqref="AE189:AJ189">
    <cfRule type="expression" dxfId="1693" priority="176">
      <formula>IF(NoColor,1,0)</formula>
    </cfRule>
  </conditionalFormatting>
  <conditionalFormatting sqref="AE287:AJ287">
    <cfRule type="expression" dxfId="1692" priority="69">
      <formula>IF(NoColor,1,0)</formula>
    </cfRule>
  </conditionalFormatting>
  <conditionalFormatting sqref="AE289:AJ289">
    <cfRule type="expression" dxfId="1691" priority="68">
      <formula>IF(NoColor,1,0)</formula>
    </cfRule>
  </conditionalFormatting>
  <conditionalFormatting sqref="AE291:AJ291">
    <cfRule type="expression" dxfId="1690" priority="67">
      <formula>IF(NoColor,1,0)</formula>
    </cfRule>
  </conditionalFormatting>
  <conditionalFormatting sqref="AE294:AJ294">
    <cfRule type="expression" dxfId="1689" priority="66">
      <formula>IF(NoColor,1,0)</formula>
    </cfRule>
  </conditionalFormatting>
  <conditionalFormatting sqref="AE296:AJ296">
    <cfRule type="expression" dxfId="1688" priority="65">
      <formula>IF(NoColor,1,0)</formula>
    </cfRule>
  </conditionalFormatting>
  <conditionalFormatting sqref="AE298:AJ298">
    <cfRule type="expression" dxfId="1687" priority="64">
      <formula>IF(NoColor,1,0)</formula>
    </cfRule>
  </conditionalFormatting>
  <conditionalFormatting sqref="AE300:AJ300">
    <cfRule type="expression" dxfId="1686" priority="63">
      <formula>IF(NoColor,1,0)</formula>
    </cfRule>
  </conditionalFormatting>
  <conditionalFormatting sqref="AE310:AJ310">
    <cfRule type="expression" dxfId="1685" priority="62">
      <formula>IF(NoColor,1,0)</formula>
    </cfRule>
  </conditionalFormatting>
  <conditionalFormatting sqref="AE312:AJ312">
    <cfRule type="expression" dxfId="1684" priority="61">
      <formula>IF(NoColor,1,0)</formula>
    </cfRule>
  </conditionalFormatting>
  <conditionalFormatting sqref="AE314:AJ314">
    <cfRule type="expression" dxfId="1683" priority="60">
      <formula>IF(NoColor,1,0)</formula>
    </cfRule>
  </conditionalFormatting>
  <conditionalFormatting sqref="AE316:AJ316">
    <cfRule type="expression" dxfId="1682" priority="59">
      <formula>IF(NoColor,1,0)</formula>
    </cfRule>
  </conditionalFormatting>
  <conditionalFormatting sqref="AE318:AJ318">
    <cfRule type="expression" dxfId="1681" priority="58">
      <formula>IF(NoColor,1,0)</formula>
    </cfRule>
  </conditionalFormatting>
  <conditionalFormatting sqref="AE323:AJ323">
    <cfRule type="expression" dxfId="1680" priority="55">
      <formula>IF(NoColor,1,0)</formula>
    </cfRule>
  </conditionalFormatting>
  <conditionalFormatting sqref="AE331:AJ331">
    <cfRule type="expression" dxfId="1679" priority="57">
      <formula>IF(NoColor,1,0)</formula>
    </cfRule>
  </conditionalFormatting>
  <conditionalFormatting sqref="AE333:AJ334">
    <cfRule type="expression" dxfId="1678" priority="54">
      <formula>IF(NoColor,1,0)</formula>
    </cfRule>
  </conditionalFormatting>
  <conditionalFormatting sqref="AE337:AJ337">
    <cfRule type="expression" dxfId="1677" priority="53">
      <formula>IF(NoColor,1,0)</formula>
    </cfRule>
  </conditionalFormatting>
  <conditionalFormatting sqref="AE339:AJ339">
    <cfRule type="expression" dxfId="1676" priority="52">
      <formula>IF(NoColor,1,0)</formula>
    </cfRule>
  </conditionalFormatting>
  <conditionalFormatting sqref="AE344:AJ344">
    <cfRule type="expression" dxfId="1675" priority="49">
      <formula>IF(NoColor,1,0)</formula>
    </cfRule>
  </conditionalFormatting>
  <conditionalFormatting sqref="AE348:AJ348">
    <cfRule type="expression" dxfId="1674" priority="48">
      <formula>IF(NoColor,1,0)</formula>
    </cfRule>
  </conditionalFormatting>
  <conditionalFormatting sqref="AE355:AJ357">
    <cfRule type="expression" dxfId="1673" priority="44">
      <formula>IF(NoColor,1,0)</formula>
    </cfRule>
  </conditionalFormatting>
  <conditionalFormatting sqref="AE359:AJ359">
    <cfRule type="expression" dxfId="1672" priority="43">
      <formula>IF(NoColor,1,0)</formula>
    </cfRule>
  </conditionalFormatting>
  <conditionalFormatting sqref="AE361:AJ361">
    <cfRule type="expression" dxfId="1671" priority="42">
      <formula>IF(NoColor,1,0)</formula>
    </cfRule>
  </conditionalFormatting>
  <conditionalFormatting sqref="AE364:AJ364">
    <cfRule type="expression" dxfId="1670" priority="41">
      <formula>IF(NoColor,1,0)</formula>
    </cfRule>
  </conditionalFormatting>
  <conditionalFormatting sqref="AE368:AJ370">
    <cfRule type="expression" dxfId="1669" priority="38">
      <formula>IF(NoColor,1,0)</formula>
    </cfRule>
  </conditionalFormatting>
  <conditionalFormatting sqref="AE375:AJ375">
    <cfRule type="expression" dxfId="1668" priority="37">
      <formula>IF(NoColor,1,0)</formula>
    </cfRule>
  </conditionalFormatting>
  <conditionalFormatting sqref="AE378:AJ378">
    <cfRule type="expression" dxfId="1667" priority="36">
      <formula>IF(NoColor,1,0)</formula>
    </cfRule>
  </conditionalFormatting>
  <conditionalFormatting sqref="AF83:AF86">
    <cfRule type="expression" dxfId="1666" priority="231">
      <formula>IF(NoColor,1,0)</formula>
    </cfRule>
  </conditionalFormatting>
  <conditionalFormatting sqref="AF272:AF275">
    <cfRule type="expression" dxfId="1665" priority="84">
      <formula>IF(NoColor,1,0)</formula>
    </cfRule>
  </conditionalFormatting>
  <conditionalFormatting sqref="AH23">
    <cfRule type="expression" dxfId="1664" priority="168">
      <formula>IF(NoColor,1,0)</formula>
    </cfRule>
  </conditionalFormatting>
  <conditionalFormatting sqref="AH27">
    <cfRule type="expression" dxfId="1663" priority="166">
      <formula>IF(NoColor,1,0)</formula>
    </cfRule>
  </conditionalFormatting>
  <conditionalFormatting sqref="AH45">
    <cfRule type="expression" dxfId="1662" priority="160">
      <formula>IF(NoColor,1,0)</formula>
    </cfRule>
  </conditionalFormatting>
  <conditionalFormatting sqref="AH49">
    <cfRule type="expression" dxfId="1661" priority="158">
      <formula>IF(NoColor,1,0)</formula>
    </cfRule>
  </conditionalFormatting>
  <conditionalFormatting sqref="AH51">
    <cfRule type="expression" dxfId="1660" priority="156">
      <formula>IF(NoColor,1,0)</formula>
    </cfRule>
  </conditionalFormatting>
  <conditionalFormatting sqref="AH65">
    <cfRule type="expression" dxfId="1659" priority="154">
      <formula>IF(NoColor,1,0)</formula>
    </cfRule>
  </conditionalFormatting>
  <conditionalFormatting sqref="AH67">
    <cfRule type="expression" dxfId="1658" priority="152">
      <formula>IF(NoColor,1,0)</formula>
    </cfRule>
  </conditionalFormatting>
  <conditionalFormatting sqref="AH212">
    <cfRule type="expression" dxfId="1657" priority="29">
      <formula>IF(NoColor,1,0)</formula>
    </cfRule>
  </conditionalFormatting>
  <conditionalFormatting sqref="AH216">
    <cfRule type="expression" dxfId="1656" priority="27">
      <formula>IF(NoColor,1,0)</formula>
    </cfRule>
  </conditionalFormatting>
  <conditionalFormatting sqref="AH234">
    <cfRule type="expression" dxfId="1655" priority="21">
      <formula>IF(NoColor,1,0)</formula>
    </cfRule>
  </conditionalFormatting>
  <conditionalFormatting sqref="AH238">
    <cfRule type="expression" dxfId="1654" priority="19">
      <formula>IF(NoColor,1,0)</formula>
    </cfRule>
  </conditionalFormatting>
  <conditionalFormatting sqref="AH240">
    <cfRule type="expression" dxfId="1653" priority="17">
      <formula>IF(NoColor,1,0)</formula>
    </cfRule>
  </conditionalFormatting>
  <conditionalFormatting sqref="AH254">
    <cfRule type="expression" dxfId="1652" priority="15">
      <formula>IF(NoColor,1,0)</formula>
    </cfRule>
  </conditionalFormatting>
  <conditionalFormatting sqref="AH256">
    <cfRule type="expression" dxfId="1651" priority="13">
      <formula>IF(NoColor,1,0)</formula>
    </cfRule>
  </conditionalFormatting>
  <conditionalFormatting sqref="AH153:AJ153">
    <cfRule type="expression" dxfId="1650" priority="191">
      <formula>IF(NoColor,1,0)</formula>
    </cfRule>
  </conditionalFormatting>
  <conditionalFormatting sqref="AH164:AJ164">
    <cfRule type="expression" dxfId="1649" priority="188">
      <formula>IF(NoColor,1,0)</formula>
    </cfRule>
  </conditionalFormatting>
  <conditionalFormatting sqref="AH342:AJ342">
    <cfRule type="expression" dxfId="1648" priority="50">
      <formula>IF(NoColor,1,0)</formula>
    </cfRule>
  </conditionalFormatting>
  <conditionalFormatting sqref="AH353:AJ353">
    <cfRule type="expression" dxfId="1647" priority="47">
      <formula>IF(NoColor,1,0)</formula>
    </cfRule>
  </conditionalFormatting>
  <conditionalFormatting sqref="BF28">
    <cfRule type="expression" dxfId="1644" priority="335">
      <formula>IF(NoColor,1,0)</formula>
    </cfRule>
  </conditionalFormatting>
  <conditionalFormatting sqref="BF31">
    <cfRule type="expression" dxfId="1643" priority="334">
      <formula>IF(NoColor,1,0)</formula>
    </cfRule>
  </conditionalFormatting>
  <conditionalFormatting sqref="BF35">
    <cfRule type="expression" dxfId="1642" priority="333">
      <formula>IF(NoColor,1,0)</formula>
    </cfRule>
  </conditionalFormatting>
  <conditionalFormatting sqref="BF217">
    <cfRule type="expression" dxfId="1641" priority="136">
      <formula>IF(NoColor,1,0)</formula>
    </cfRule>
  </conditionalFormatting>
  <conditionalFormatting sqref="BF220">
    <cfRule type="expression" dxfId="1640" priority="135">
      <formula>IF(NoColor,1,0)</formula>
    </cfRule>
  </conditionalFormatting>
  <conditionalFormatting sqref="BF224">
    <cfRule type="expression" dxfId="1639" priority="134">
      <formula>IF(NoColor,1,0)</formula>
    </cfRule>
  </conditionalFormatting>
  <conditionalFormatting sqref="BG23">
    <cfRule type="expression" dxfId="1638" priority="337">
      <formula>IF(NoColor,1,0)</formula>
    </cfRule>
  </conditionalFormatting>
  <conditionalFormatting sqref="BG42">
    <cfRule type="expression" dxfId="1637" priority="338">
      <formula>IF(NoColor,1,0)</formula>
    </cfRule>
  </conditionalFormatting>
  <conditionalFormatting sqref="BG44">
    <cfRule type="expression" dxfId="1636" priority="343">
      <formula>IF(NoColor,1,0)</formula>
    </cfRule>
  </conditionalFormatting>
  <conditionalFormatting sqref="BG212">
    <cfRule type="expression" dxfId="1635" priority="137">
      <formula>IF(NoColor,1,0)</formula>
    </cfRule>
  </conditionalFormatting>
  <conditionalFormatting sqref="BG231">
    <cfRule type="expression" dxfId="1634" priority="138">
      <formula>IF(NoColor,1,0)</formula>
    </cfRule>
  </conditionalFormatting>
  <conditionalFormatting sqref="BG233">
    <cfRule type="expression" dxfId="1633" priority="139">
      <formula>IF(NoColor,1,0)</formula>
    </cfRule>
  </conditionalFormatting>
  <pageMargins left="0.75" right="0.25" top="0.36" bottom="0.28999999999999998" header="0.36" footer="0.21"/>
  <pageSetup scale="72" fitToHeight="0" orientation="portrait" r:id="rId1"/>
  <rowBreaks count="2" manualBreakCount="2">
    <brk id="71" min="1" max="35" man="1"/>
    <brk id="130" min="1" max="35" man="1"/>
  </rowBreaks>
  <drawing r:id="rId2"/>
  <extLst>
    <ext xmlns:x14="http://schemas.microsoft.com/office/spreadsheetml/2009/9/main" uri="{78C0D931-6437-407d-A8EE-F0AAD7539E65}">
      <x14:conditionalFormattings>
        <x14:conditionalFormatting xmlns:xm="http://schemas.microsoft.com/office/excel/2006/main">
          <x14:cfRule type="expression" priority="3" id="{0417F076-7FB8-47F2-AF3A-F6252626DEC6}">
            <xm:f>AND('Table of Contents'!A46="D",AK2="")</xm:f>
            <x14:dxf>
              <font>
                <b/>
                <i val="0"/>
                <color rgb="FFC00000"/>
              </font>
            </x14:dxf>
          </x14:cfRule>
          <xm:sqref>AC2:AJ2</xm:sqref>
        </x14:conditionalFormatting>
        <x14:conditionalFormatting xmlns:xm="http://schemas.microsoft.com/office/excel/2006/main">
          <x14:cfRule type="expression" priority="1" id="{FEAC6F8F-C676-48BB-9E2E-39DB35B489BD}">
            <xm:f>AND('Table of Contents'!A46="D",AK191="")</xm:f>
            <x14:dxf>
              <font>
                <b/>
                <i val="0"/>
                <color rgb="FFC00000"/>
              </font>
            </x14:dxf>
          </x14:cfRule>
          <xm:sqref>AC191:AJ191</xm:sqref>
        </x14:conditionalFormatting>
        <x14:conditionalFormatting xmlns:xm="http://schemas.microsoft.com/office/excel/2006/main">
          <x14:cfRule type="expression" priority="4" id="{DE76CB71-70CF-4DE9-8101-34506CE5295C}">
            <xm:f>'Table of Contents'!A46="D"</xm:f>
            <x14:dxf>
              <fill>
                <patternFill>
                  <bgColor theme="0"/>
                </patternFill>
              </fill>
              <border>
                <right style="thin">
                  <color auto="1"/>
                </right>
                <top style="thin">
                  <color auto="1"/>
                </top>
                <bottom style="thin">
                  <color auto="1"/>
                </bottom>
                <vertical/>
                <horizontal/>
              </border>
            </x14:dxf>
          </x14:cfRule>
          <xm:sqref>AK2</xm:sqref>
        </x14:conditionalFormatting>
        <x14:conditionalFormatting xmlns:xm="http://schemas.microsoft.com/office/excel/2006/main">
          <x14:cfRule type="expression" priority="2" id="{29A044FD-C19B-47EC-8B56-550C04ECE73F}">
            <xm:f>'Table of Contents'!A46="D"</xm:f>
            <x14:dxf>
              <fill>
                <patternFill>
                  <bgColor theme="0"/>
                </patternFill>
              </fill>
              <border>
                <right style="thin">
                  <color auto="1"/>
                </right>
                <top style="thin">
                  <color auto="1"/>
                </top>
                <bottom style="thin">
                  <color auto="1"/>
                </bottom>
                <vertical/>
                <horizontal/>
              </border>
            </x14:dxf>
          </x14:cfRule>
          <xm:sqref>AK191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1:AZ87"/>
  <sheetViews>
    <sheetView zoomScaleNormal="100" zoomScaleSheetLayoutView="100" workbookViewId="0"/>
  </sheetViews>
  <sheetFormatPr defaultColWidth="9.140625" defaultRowHeight="15"/>
  <cols>
    <col min="1" max="1" width="2.7109375" customWidth="1"/>
    <col min="2" max="2" width="5.140625" style="329" customWidth="1"/>
    <col min="3" max="3" width="3.28515625" customWidth="1"/>
    <col min="4" max="4" width="5.140625" customWidth="1"/>
    <col min="5" max="8" width="3.85546875" customWidth="1"/>
    <col min="9" max="9" width="4" customWidth="1"/>
    <col min="10" max="10" width="5.42578125" customWidth="1"/>
    <col min="11" max="15" width="4" customWidth="1"/>
    <col min="16" max="17" width="3.85546875" customWidth="1"/>
    <col min="18" max="18" width="3.140625" customWidth="1"/>
    <col min="19" max="19" width="3.5703125" customWidth="1"/>
    <col min="20" max="20" width="6.42578125" customWidth="1"/>
    <col min="21" max="21" width="3.5703125" customWidth="1"/>
    <col min="22" max="22" width="5.7109375" customWidth="1"/>
    <col min="23" max="24" width="4.7109375" customWidth="1"/>
    <col min="25" max="27" width="3.85546875" customWidth="1"/>
    <col min="28" max="28" width="5.7109375" customWidth="1"/>
    <col min="29" max="29" width="3.42578125" customWidth="1"/>
    <col min="30" max="30" width="5.5703125" style="1405" customWidth="1"/>
    <col min="31" max="31" width="4" customWidth="1"/>
    <col min="32" max="32" width="3.85546875" customWidth="1"/>
    <col min="33" max="33" width="6.5703125" customWidth="1"/>
    <col min="34" max="34" width="3.140625" customWidth="1"/>
    <col min="35" max="35" width="4" customWidth="1"/>
    <col min="36" max="36" width="2.7109375" customWidth="1"/>
    <col min="38" max="38" width="2.85546875" customWidth="1"/>
    <col min="39" max="39" width="14.42578125" customWidth="1"/>
    <col min="40" max="40" width="13.7109375" style="1224" hidden="1" customWidth="1"/>
    <col min="41" max="41" width="4.140625" customWidth="1"/>
    <col min="42" max="50" width="10.7109375" style="658" customWidth="1"/>
    <col min="51" max="51" width="4.140625" style="658" customWidth="1"/>
  </cols>
  <sheetData>
    <row r="1" spans="1:52" s="815" customFormat="1" ht="23.25" customHeight="1">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2013"/>
      <c r="AD1" s="2326"/>
      <c r="AE1" s="2013"/>
      <c r="AF1" s="2013"/>
      <c r="AG1" s="2013"/>
      <c r="AH1" s="2013"/>
      <c r="AI1" s="2013"/>
      <c r="AJ1" s="2013"/>
      <c r="AK1" s="2013"/>
      <c r="AL1" s="253"/>
      <c r="AM1" s="253"/>
      <c r="AN1" s="724"/>
      <c r="AP1" s="658"/>
      <c r="AQ1" s="658"/>
      <c r="AR1" s="658"/>
      <c r="AS1" s="658"/>
      <c r="AT1" s="658"/>
      <c r="AU1" s="658"/>
      <c r="AV1" s="658"/>
      <c r="AW1" s="658"/>
      <c r="AX1" s="658"/>
      <c r="AY1" s="658"/>
      <c r="AZ1"/>
    </row>
    <row r="2" spans="1:52" s="815" customFormat="1" ht="24" customHeight="1">
      <c r="A2" s="2013"/>
      <c r="B2" s="9962" t="str">
        <f>IF('Table of Contents'!A48="D","DRAFT","")</f>
        <v/>
      </c>
      <c r="C2" s="9962"/>
      <c r="D2" s="9951">
        <v>4137</v>
      </c>
      <c r="E2" s="9952"/>
      <c r="F2" s="9952"/>
      <c r="G2" s="9952"/>
      <c r="H2" s="379"/>
      <c r="I2" s="9953" t="s">
        <v>6612</v>
      </c>
      <c r="J2" s="9954"/>
      <c r="K2" s="9954"/>
      <c r="L2" s="9954"/>
      <c r="M2" s="9954"/>
      <c r="N2" s="9954"/>
      <c r="O2" s="9954"/>
      <c r="P2" s="9954"/>
      <c r="Q2" s="9954"/>
      <c r="R2" s="9954"/>
      <c r="S2" s="9954"/>
      <c r="T2" s="9954"/>
      <c r="U2" s="9954"/>
      <c r="V2" s="9954"/>
      <c r="W2" s="9954"/>
      <c r="X2" s="9954"/>
      <c r="Y2" s="9954"/>
      <c r="Z2" s="9954"/>
      <c r="AA2" s="9954"/>
      <c r="AB2" s="9955"/>
      <c r="AC2" s="9957" t="str">
        <f>IF('Table of Contents'!A48="D","DRAFT","OMB No. 1545-0074")</f>
        <v>OMB No. 1545-0074</v>
      </c>
      <c r="AD2" s="9958"/>
      <c r="AE2" s="9958"/>
      <c r="AF2" s="9958"/>
      <c r="AG2" s="9958"/>
      <c r="AH2" s="9958"/>
      <c r="AI2" s="9958"/>
      <c r="AJ2" s="9958"/>
      <c r="AK2" s="2013"/>
      <c r="AL2" s="253"/>
      <c r="AM2" s="253"/>
      <c r="AN2" s="724"/>
      <c r="AP2" s="658"/>
      <c r="AQ2" s="658"/>
      <c r="AR2" s="658"/>
      <c r="AS2" s="658"/>
      <c r="AT2" s="658"/>
      <c r="AU2" s="658"/>
      <c r="AV2" s="658"/>
      <c r="AW2" s="658"/>
      <c r="AX2" s="658"/>
      <c r="AY2" s="658"/>
      <c r="AZ2"/>
    </row>
    <row r="3" spans="1:52" s="815" customFormat="1" ht="24" customHeight="1">
      <c r="A3" s="2013"/>
      <c r="B3" s="9825" t="s">
        <v>46</v>
      </c>
      <c r="C3" s="9617"/>
      <c r="D3" s="9952"/>
      <c r="E3" s="9952"/>
      <c r="F3" s="9952"/>
      <c r="G3" s="9952"/>
      <c r="H3" s="379"/>
      <c r="I3" s="9956"/>
      <c r="J3" s="9954"/>
      <c r="K3" s="9954"/>
      <c r="L3" s="9954"/>
      <c r="M3" s="9954"/>
      <c r="N3" s="9954"/>
      <c r="O3" s="9954"/>
      <c r="P3" s="9954"/>
      <c r="Q3" s="9954"/>
      <c r="R3" s="9954"/>
      <c r="S3" s="9954"/>
      <c r="T3" s="9954"/>
      <c r="U3" s="9954"/>
      <c r="V3" s="9954"/>
      <c r="W3" s="9954"/>
      <c r="X3" s="9954"/>
      <c r="Y3" s="9954"/>
      <c r="Z3" s="9954"/>
      <c r="AA3" s="9954"/>
      <c r="AB3" s="9955"/>
      <c r="AC3" s="9826">
        <f>TaxYear</f>
        <v>2025</v>
      </c>
      <c r="AD3" s="9827"/>
      <c r="AE3" s="9827"/>
      <c r="AF3" s="9827"/>
      <c r="AG3" s="9827"/>
      <c r="AH3" s="9827"/>
      <c r="AI3" s="9827"/>
      <c r="AJ3" s="9827"/>
      <c r="AK3" s="2013"/>
      <c r="AL3" s="344" t="s">
        <v>3239</v>
      </c>
      <c r="AM3" s="344"/>
      <c r="AN3" s="724"/>
      <c r="AP3" s="658"/>
      <c r="AQ3" s="658"/>
      <c r="AR3" s="658"/>
      <c r="AS3" s="658"/>
      <c r="AT3" s="658"/>
      <c r="AU3" s="658"/>
      <c r="AV3" s="658"/>
      <c r="AW3" s="658"/>
      <c r="AX3" s="658"/>
      <c r="AY3" s="658"/>
      <c r="AZ3"/>
    </row>
    <row r="4" spans="1:52" s="815" customFormat="1" ht="6.75" customHeight="1" thickBot="1">
      <c r="A4" s="2013"/>
      <c r="B4" s="344"/>
      <c r="C4" s="253"/>
      <c r="D4" s="253"/>
      <c r="E4" s="253"/>
      <c r="F4" s="253"/>
      <c r="G4" s="253"/>
      <c r="H4" s="379"/>
      <c r="I4" s="7610" t="s">
        <v>6613</v>
      </c>
      <c r="J4" s="7611"/>
      <c r="K4" s="7611"/>
      <c r="L4" s="7611"/>
      <c r="M4" s="7611"/>
      <c r="N4" s="7611"/>
      <c r="O4" s="7611"/>
      <c r="P4" s="7611"/>
      <c r="Q4" s="7611"/>
      <c r="R4" s="7611"/>
      <c r="S4" s="7611"/>
      <c r="T4" s="7611"/>
      <c r="U4" s="7611"/>
      <c r="V4" s="7611"/>
      <c r="W4" s="7611"/>
      <c r="X4" s="7611"/>
      <c r="Y4" s="7611"/>
      <c r="Z4" s="7611"/>
      <c r="AA4" s="7611"/>
      <c r="AB4" s="7612"/>
      <c r="AC4" s="9828"/>
      <c r="AD4" s="9829"/>
      <c r="AE4" s="9829"/>
      <c r="AF4" s="9829"/>
      <c r="AG4" s="9829"/>
      <c r="AH4" s="9829"/>
      <c r="AI4" s="9829"/>
      <c r="AJ4" s="9829"/>
      <c r="AK4" s="2013"/>
      <c r="AL4" s="253"/>
      <c r="AM4" s="253"/>
      <c r="AN4" s="724"/>
      <c r="AP4" s="658"/>
      <c r="AQ4" s="658"/>
      <c r="AR4" s="658"/>
      <c r="AS4" s="658"/>
      <c r="AT4" s="658"/>
      <c r="AU4" s="658"/>
      <c r="AV4" s="658"/>
      <c r="AW4" s="658"/>
      <c r="AX4" s="658"/>
      <c r="AY4" s="658"/>
      <c r="AZ4"/>
    </row>
    <row r="5" spans="1:52" s="815" customFormat="1" ht="16.5" thickBot="1">
      <c r="A5" s="2013"/>
      <c r="B5" s="344" t="s">
        <v>503</v>
      </c>
      <c r="C5" s="253"/>
      <c r="D5" s="253"/>
      <c r="E5" s="253"/>
      <c r="F5" s="253"/>
      <c r="G5" s="253"/>
      <c r="H5" s="379"/>
      <c r="I5" s="7610"/>
      <c r="J5" s="7611"/>
      <c r="K5" s="7611"/>
      <c r="L5" s="7611"/>
      <c r="M5" s="7611"/>
      <c r="N5" s="7611"/>
      <c r="O5" s="7611"/>
      <c r="P5" s="7611"/>
      <c r="Q5" s="7611"/>
      <c r="R5" s="7611"/>
      <c r="S5" s="7611"/>
      <c r="T5" s="7611"/>
      <c r="U5" s="7611"/>
      <c r="V5" s="7611"/>
      <c r="W5" s="7611"/>
      <c r="X5" s="7611"/>
      <c r="Y5" s="7611"/>
      <c r="Z5" s="7611"/>
      <c r="AA5" s="7611"/>
      <c r="AB5" s="7612"/>
      <c r="AC5" s="341"/>
      <c r="AD5" s="9515" t="s">
        <v>3475</v>
      </c>
      <c r="AE5" s="7844"/>
      <c r="AF5" s="7844"/>
      <c r="AG5" s="7844"/>
      <c r="AH5" s="9193">
        <v>24</v>
      </c>
      <c r="AI5" s="9193"/>
      <c r="AJ5" s="253"/>
      <c r="AK5" s="2013"/>
      <c r="AL5" s="6649" t="s">
        <v>2119</v>
      </c>
      <c r="AM5" s="344" t="s">
        <v>566</v>
      </c>
      <c r="AN5" s="724"/>
      <c r="AP5" s="658"/>
      <c r="AQ5" s="658"/>
      <c r="AR5" s="658"/>
      <c r="AS5" s="658"/>
      <c r="AT5" s="658"/>
      <c r="AU5" s="658"/>
      <c r="AV5" s="658"/>
      <c r="AW5" s="658"/>
      <c r="AX5" s="658"/>
      <c r="AY5" s="658"/>
      <c r="AZ5"/>
    </row>
    <row r="6" spans="1:52" s="815" customFormat="1" ht="15.75" customHeight="1" thickBot="1">
      <c r="A6" s="2013"/>
      <c r="B6" s="498" t="s">
        <v>505</v>
      </c>
      <c r="C6" s="380"/>
      <c r="D6" s="380"/>
      <c r="E6" s="380"/>
      <c r="F6" s="380"/>
      <c r="G6" s="380"/>
      <c r="H6" s="381"/>
      <c r="I6" s="9963" t="s">
        <v>6614</v>
      </c>
      <c r="J6" s="9964"/>
      <c r="K6" s="9964"/>
      <c r="L6" s="9964"/>
      <c r="M6" s="9964"/>
      <c r="N6" s="9964"/>
      <c r="O6" s="9964"/>
      <c r="P6" s="9964"/>
      <c r="Q6" s="9964"/>
      <c r="R6" s="9964"/>
      <c r="S6" s="9964"/>
      <c r="T6" s="9964"/>
      <c r="U6" s="9964"/>
      <c r="V6" s="9964"/>
      <c r="W6" s="9964"/>
      <c r="X6" s="9964"/>
      <c r="Y6" s="9964"/>
      <c r="Z6" s="9964"/>
      <c r="AA6" s="9964"/>
      <c r="AB6" s="9965"/>
      <c r="AC6" s="1197"/>
      <c r="AD6" s="9966" t="s">
        <v>3488</v>
      </c>
      <c r="AE6" s="9967"/>
      <c r="AF6" s="9967"/>
      <c r="AG6" s="9967"/>
      <c r="AH6" s="9974"/>
      <c r="AI6" s="9974"/>
      <c r="AJ6" s="380"/>
      <c r="AK6" s="2013"/>
      <c r="AL6" s="6649"/>
      <c r="AM6" s="344" t="s">
        <v>3241</v>
      </c>
      <c r="AN6" s="724"/>
      <c r="AP6" s="658"/>
      <c r="AQ6" s="658"/>
      <c r="AR6" s="658"/>
      <c r="AS6" s="658"/>
      <c r="AT6" s="658"/>
      <c r="AU6" s="658"/>
      <c r="AV6" s="658"/>
      <c r="AW6" s="658"/>
      <c r="AX6" s="658"/>
      <c r="AY6" s="658"/>
      <c r="AZ6"/>
    </row>
    <row r="7" spans="1:52" s="815" customFormat="1">
      <c r="A7" s="2013"/>
      <c r="B7" s="9968" t="s">
        <v>6615</v>
      </c>
      <c r="C7" s="9968"/>
      <c r="D7" s="9968"/>
      <c r="E7" s="9968"/>
      <c r="F7" s="9968"/>
      <c r="G7" s="9968"/>
      <c r="H7" s="9968"/>
      <c r="I7" s="9968"/>
      <c r="J7" s="9968"/>
      <c r="K7" s="9968"/>
      <c r="L7" s="9968"/>
      <c r="M7" s="9968"/>
      <c r="N7" s="9968"/>
      <c r="O7" s="9968"/>
      <c r="P7" s="9968"/>
      <c r="Q7" s="9968"/>
      <c r="R7" s="9968"/>
      <c r="S7" s="9968"/>
      <c r="T7" s="9968"/>
      <c r="U7" s="9968"/>
      <c r="V7" s="9968"/>
      <c r="W7" s="9968"/>
      <c r="X7" s="9968"/>
      <c r="Y7" s="9968"/>
      <c r="Z7" s="9968"/>
      <c r="AA7" s="9969"/>
      <c r="AB7" s="6625" t="s">
        <v>6562</v>
      </c>
      <c r="AC7" s="377"/>
      <c r="AD7" s="6634"/>
      <c r="AE7" s="2289"/>
      <c r="AF7" s="2289"/>
      <c r="AG7" s="2289"/>
      <c r="AH7" s="2289"/>
      <c r="AI7" s="2289"/>
      <c r="AJ7" s="2289"/>
      <c r="AK7" s="2013"/>
      <c r="AL7" s="2741" t="str">
        <f>IF(AND(AL5="",AL6=""),"Choose one.",IF(AND(AL5&lt;&gt;"",AL6&lt;&gt;""),"Chose ONLY one.",""))</f>
        <v/>
      </c>
      <c r="AM7" s="253"/>
      <c r="AN7" s="724"/>
      <c r="AP7" s="658"/>
      <c r="AQ7" s="658"/>
      <c r="AR7" s="658"/>
      <c r="AS7" s="658"/>
      <c r="AT7" s="658"/>
      <c r="AU7" s="658"/>
      <c r="AV7" s="658"/>
      <c r="AW7" s="658"/>
      <c r="AX7" s="658"/>
      <c r="AY7" s="658"/>
      <c r="AZ7"/>
    </row>
    <row r="8" spans="1:52" s="815" customFormat="1" ht="18">
      <c r="A8" s="2013"/>
      <c r="B8" s="9970" t="str">
        <f>IF(AND(AL5&lt;&gt;"",AL6&lt;&gt;""),"",IF(AL5&lt;&gt;"",NameYours,IF(AL6&lt;&gt;"",NameSpouse,"")))</f>
        <v xml:space="preserve"> </v>
      </c>
      <c r="C8" s="9970"/>
      <c r="D8" s="9970"/>
      <c r="E8" s="9970"/>
      <c r="F8" s="9970"/>
      <c r="G8" s="9970"/>
      <c r="H8" s="9970"/>
      <c r="I8" s="9970"/>
      <c r="J8" s="9970"/>
      <c r="K8" s="9970"/>
      <c r="L8" s="9970"/>
      <c r="M8" s="9970"/>
      <c r="N8" s="9970"/>
      <c r="O8" s="9970"/>
      <c r="P8" s="9970"/>
      <c r="Q8" s="9970"/>
      <c r="R8" s="9970"/>
      <c r="S8" s="9970"/>
      <c r="T8" s="9970"/>
      <c r="U8" s="9970"/>
      <c r="V8" s="9970"/>
      <c r="W8" s="9970"/>
      <c r="X8" s="9970"/>
      <c r="Y8" s="9970"/>
      <c r="Z8" s="9970"/>
      <c r="AA8" s="9971"/>
      <c r="AB8" s="9972">
        <f>IF(AND(AL5&lt;&gt;"",AL6&lt;&gt;""),"",IF(AL5&lt;&gt;"",SS_Yours,IF(AL6&lt;&gt;"",SS_Spouse,"")))</f>
        <v>1010001</v>
      </c>
      <c r="AC8" s="9973"/>
      <c r="AD8" s="9973"/>
      <c r="AE8" s="9973"/>
      <c r="AF8" s="9973"/>
      <c r="AG8" s="9973"/>
      <c r="AH8" s="9973"/>
      <c r="AI8" s="9973"/>
      <c r="AJ8" s="9973"/>
      <c r="AK8" s="2013"/>
      <c r="AL8" s="253"/>
      <c r="AM8" s="253"/>
      <c r="AN8" s="724"/>
      <c r="AP8" s="658"/>
      <c r="AQ8" s="658"/>
      <c r="AR8" s="658"/>
      <c r="AS8" s="658"/>
      <c r="AT8" s="658"/>
      <c r="AU8" s="658"/>
      <c r="AV8" s="658"/>
      <c r="AW8" s="658"/>
      <c r="AX8" s="658"/>
      <c r="AY8" s="658"/>
      <c r="AZ8"/>
    </row>
    <row r="9" spans="1:52" s="1115" customFormat="1" ht="15.75" customHeight="1">
      <c r="A9" s="2290"/>
      <c r="B9" s="6657"/>
      <c r="C9" s="9924" t="s">
        <v>6617</v>
      </c>
      <c r="D9" s="9924"/>
      <c r="E9" s="9924"/>
      <c r="F9" s="9924"/>
      <c r="G9" s="9924"/>
      <c r="H9" s="9924"/>
      <c r="I9" s="9924"/>
      <c r="J9" s="9924"/>
      <c r="K9" s="9924"/>
      <c r="L9" s="9924"/>
      <c r="M9" s="9924"/>
      <c r="N9" s="9924"/>
      <c r="O9" s="9924"/>
      <c r="P9" s="9924"/>
      <c r="Q9" s="9924"/>
      <c r="R9" s="9924"/>
      <c r="S9" s="9925"/>
      <c r="T9" s="9930" t="s">
        <v>6616</v>
      </c>
      <c r="U9" s="9931"/>
      <c r="V9" s="9931"/>
      <c r="W9" s="9931"/>
      <c r="X9" s="9936" t="s">
        <v>6637</v>
      </c>
      <c r="Y9" s="9937"/>
      <c r="Z9" s="9937"/>
      <c r="AA9" s="9937"/>
      <c r="AB9" s="9937"/>
      <c r="AC9" s="9938"/>
      <c r="AD9" s="9936" t="s">
        <v>6638</v>
      </c>
      <c r="AE9" s="9937"/>
      <c r="AF9" s="9937"/>
      <c r="AG9" s="9937"/>
      <c r="AH9" s="9937"/>
      <c r="AI9" s="9937"/>
      <c r="AJ9" s="9937"/>
      <c r="AK9" s="2290"/>
      <c r="AL9" s="253"/>
      <c r="AM9" s="253"/>
      <c r="AN9" s="724"/>
      <c r="AP9" s="658"/>
      <c r="AQ9" s="658"/>
      <c r="AR9" s="658"/>
      <c r="AS9" s="658"/>
      <c r="AT9" s="658"/>
      <c r="AU9" s="658"/>
      <c r="AV9" s="658"/>
      <c r="AW9" s="658"/>
      <c r="AX9" s="658"/>
      <c r="AY9" s="658"/>
      <c r="AZ9" s="2293"/>
    </row>
    <row r="10" spans="1:52" s="1115" customFormat="1" ht="15.75" customHeight="1">
      <c r="A10" s="2290"/>
      <c r="B10" s="775">
        <v>1</v>
      </c>
      <c r="C10" s="9926"/>
      <c r="D10" s="9926"/>
      <c r="E10" s="9926"/>
      <c r="F10" s="9926"/>
      <c r="G10" s="9926"/>
      <c r="H10" s="9926"/>
      <c r="I10" s="9926"/>
      <c r="J10" s="9926"/>
      <c r="K10" s="9926"/>
      <c r="L10" s="9926"/>
      <c r="M10" s="9926"/>
      <c r="N10" s="9926"/>
      <c r="O10" s="9926"/>
      <c r="P10" s="9926"/>
      <c r="Q10" s="9926"/>
      <c r="R10" s="9926"/>
      <c r="S10" s="9927"/>
      <c r="T10" s="9932"/>
      <c r="U10" s="9933"/>
      <c r="V10" s="9933"/>
      <c r="W10" s="9933"/>
      <c r="X10" s="9939"/>
      <c r="Y10" s="9940"/>
      <c r="Z10" s="9940"/>
      <c r="AA10" s="9940"/>
      <c r="AB10" s="9940"/>
      <c r="AC10" s="9941"/>
      <c r="AD10" s="9939"/>
      <c r="AE10" s="9940"/>
      <c r="AF10" s="9940"/>
      <c r="AG10" s="9940"/>
      <c r="AH10" s="9940"/>
      <c r="AI10" s="9940"/>
      <c r="AJ10" s="9940"/>
      <c r="AK10" s="2290"/>
      <c r="AL10" s="253"/>
      <c r="AM10" s="253"/>
      <c r="AN10" s="724"/>
      <c r="AP10" s="658"/>
      <c r="AQ10" s="658"/>
      <c r="AR10" s="658"/>
      <c r="AS10" s="658"/>
      <c r="AT10" s="658"/>
      <c r="AU10" s="658"/>
      <c r="AV10" s="658"/>
      <c r="AW10" s="658"/>
      <c r="AX10" s="658"/>
      <c r="AY10" s="658"/>
      <c r="AZ10" s="2293"/>
    </row>
    <row r="11" spans="1:52" s="1115" customFormat="1" ht="15.75" customHeight="1">
      <c r="A11" s="2290"/>
      <c r="B11" s="1672"/>
      <c r="C11" s="9926"/>
      <c r="D11" s="9926"/>
      <c r="E11" s="9926"/>
      <c r="F11" s="9926"/>
      <c r="G11" s="9926"/>
      <c r="H11" s="9926"/>
      <c r="I11" s="9926"/>
      <c r="J11" s="9926"/>
      <c r="K11" s="9926"/>
      <c r="L11" s="9926"/>
      <c r="M11" s="9926"/>
      <c r="N11" s="9926"/>
      <c r="O11" s="9926"/>
      <c r="P11" s="9926"/>
      <c r="Q11" s="9926"/>
      <c r="R11" s="9926"/>
      <c r="S11" s="9927"/>
      <c r="T11" s="9932"/>
      <c r="U11" s="9933"/>
      <c r="V11" s="9933"/>
      <c r="W11" s="9933"/>
      <c r="X11" s="9939"/>
      <c r="Y11" s="9940"/>
      <c r="Z11" s="9940"/>
      <c r="AA11" s="9940"/>
      <c r="AB11" s="9940"/>
      <c r="AC11" s="9941"/>
      <c r="AD11" s="9939"/>
      <c r="AE11" s="9940"/>
      <c r="AF11" s="9940"/>
      <c r="AG11" s="9940"/>
      <c r="AH11" s="9940"/>
      <c r="AI11" s="9940"/>
      <c r="AJ11" s="9940"/>
      <c r="AK11" s="2290"/>
      <c r="AL11" s="253"/>
      <c r="AM11" s="253"/>
      <c r="AN11" s="724"/>
      <c r="AP11" s="658"/>
      <c r="AQ11" s="658"/>
      <c r="AR11" s="658"/>
      <c r="AS11" s="658"/>
      <c r="AT11" s="658"/>
      <c r="AU11" s="658"/>
      <c r="AV11" s="658"/>
      <c r="AW11" s="658"/>
      <c r="AX11" s="658"/>
      <c r="AY11" s="658"/>
      <c r="AZ11" s="2293"/>
    </row>
    <row r="12" spans="1:52" s="1115" customFormat="1" ht="15.75" customHeight="1">
      <c r="A12" s="2290"/>
      <c r="B12" s="1672"/>
      <c r="C12" s="9926"/>
      <c r="D12" s="9926"/>
      <c r="E12" s="9926"/>
      <c r="F12" s="9926"/>
      <c r="G12" s="9926"/>
      <c r="H12" s="9926"/>
      <c r="I12" s="9926"/>
      <c r="J12" s="9926"/>
      <c r="K12" s="9926"/>
      <c r="L12" s="9926"/>
      <c r="M12" s="9926"/>
      <c r="N12" s="9926"/>
      <c r="O12" s="9926"/>
      <c r="P12" s="9926"/>
      <c r="Q12" s="9926"/>
      <c r="R12" s="9926"/>
      <c r="S12" s="9927"/>
      <c r="T12" s="9932"/>
      <c r="U12" s="9933"/>
      <c r="V12" s="9933"/>
      <c r="W12" s="9933"/>
      <c r="X12" s="9939"/>
      <c r="Y12" s="9940"/>
      <c r="Z12" s="9940"/>
      <c r="AA12" s="9940"/>
      <c r="AB12" s="9940"/>
      <c r="AC12" s="9941"/>
      <c r="AD12" s="9939"/>
      <c r="AE12" s="9940"/>
      <c r="AF12" s="9940"/>
      <c r="AG12" s="9940"/>
      <c r="AH12" s="9940"/>
      <c r="AI12" s="9940"/>
      <c r="AJ12" s="9940"/>
      <c r="AK12" s="2290"/>
      <c r="AL12" s="253"/>
      <c r="AM12" s="253"/>
      <c r="AN12" s="724"/>
      <c r="AP12" s="658"/>
      <c r="AQ12" s="658"/>
      <c r="AR12" s="658"/>
      <c r="AS12" s="658"/>
      <c r="AT12" s="658"/>
      <c r="AU12" s="658"/>
      <c r="AV12" s="658"/>
      <c r="AW12" s="658"/>
      <c r="AX12" s="658"/>
      <c r="AY12" s="658"/>
      <c r="AZ12" s="2293"/>
    </row>
    <row r="13" spans="1:52" s="1115" customFormat="1" ht="21" customHeight="1">
      <c r="A13" s="2290"/>
      <c r="B13" s="4487"/>
      <c r="C13" s="9928"/>
      <c r="D13" s="9928"/>
      <c r="E13" s="9928"/>
      <c r="F13" s="9928"/>
      <c r="G13" s="9928"/>
      <c r="H13" s="9928"/>
      <c r="I13" s="9928"/>
      <c r="J13" s="9928"/>
      <c r="K13" s="9928"/>
      <c r="L13" s="9928"/>
      <c r="M13" s="9928"/>
      <c r="N13" s="9928"/>
      <c r="O13" s="9928"/>
      <c r="P13" s="9928"/>
      <c r="Q13" s="9928"/>
      <c r="R13" s="9928"/>
      <c r="S13" s="9929"/>
      <c r="T13" s="9934"/>
      <c r="U13" s="9935"/>
      <c r="V13" s="9935"/>
      <c r="W13" s="9935"/>
      <c r="X13" s="9942"/>
      <c r="Y13" s="9943"/>
      <c r="Z13" s="9943"/>
      <c r="AA13" s="9943"/>
      <c r="AB13" s="9943"/>
      <c r="AC13" s="9944"/>
      <c r="AD13" s="9942"/>
      <c r="AE13" s="9943"/>
      <c r="AF13" s="9943"/>
      <c r="AG13" s="9943"/>
      <c r="AH13" s="9943"/>
      <c r="AI13" s="9943"/>
      <c r="AJ13" s="9943"/>
      <c r="AK13" s="2290"/>
      <c r="AL13" s="253"/>
      <c r="AM13" s="253"/>
      <c r="AN13" s="724"/>
      <c r="AP13" s="658"/>
      <c r="AQ13" s="658"/>
      <c r="AR13" s="658"/>
      <c r="AS13" s="658"/>
      <c r="AT13" s="658"/>
      <c r="AU13" s="658"/>
      <c r="AV13" s="658"/>
      <c r="AW13" s="658"/>
      <c r="AX13" s="658"/>
      <c r="AY13" s="658"/>
      <c r="AZ13" s="2293"/>
    </row>
    <row r="14" spans="1:52" s="1115" customFormat="1" ht="15.75" customHeight="1">
      <c r="A14" s="2290"/>
      <c r="B14" s="9912" t="s">
        <v>510</v>
      </c>
      <c r="C14" s="9922"/>
      <c r="D14" s="9922"/>
      <c r="E14" s="9922"/>
      <c r="F14" s="9922"/>
      <c r="G14" s="9922"/>
      <c r="H14" s="9922"/>
      <c r="I14" s="9922"/>
      <c r="J14" s="9922"/>
      <c r="K14" s="9922"/>
      <c r="L14" s="9922"/>
      <c r="M14" s="9922"/>
      <c r="N14" s="9922"/>
      <c r="O14" s="9922"/>
      <c r="P14" s="9922"/>
      <c r="Q14" s="9922"/>
      <c r="R14" s="9922"/>
      <c r="S14" s="9923"/>
      <c r="T14" s="6655"/>
      <c r="U14" s="6656"/>
      <c r="V14" s="2291"/>
      <c r="W14" s="2291"/>
      <c r="X14" s="6630"/>
      <c r="Y14" s="6656"/>
      <c r="Z14" s="6656"/>
      <c r="AA14" s="6656"/>
      <c r="AB14" s="6656"/>
      <c r="AC14" s="6656"/>
      <c r="AD14" s="9920" t="b">
        <f>AD15&gt;X15</f>
        <v>0</v>
      </c>
      <c r="AE14" s="9921"/>
      <c r="AF14" s="9921"/>
      <c r="AG14" s="9921"/>
      <c r="AH14" s="9921"/>
      <c r="AI14" s="9921"/>
      <c r="AJ14" s="9921"/>
      <c r="AK14" s="2290"/>
      <c r="AL14" s="9975" t="str">
        <f>IF(OR(AD14,AD16,AD18,AD20,AD22),"Error:"&amp;CHAR(10)&amp;"Total cash and charge tips received CANNOT be less than or equal to the total cash and charge tips reported.","")</f>
        <v/>
      </c>
      <c r="AM14" s="9975"/>
      <c r="AN14" s="724"/>
      <c r="AP14" s="658"/>
      <c r="AQ14" s="658"/>
      <c r="AR14" s="658"/>
      <c r="AS14" s="658"/>
      <c r="AT14" s="658"/>
      <c r="AU14" s="658"/>
      <c r="AV14" s="658"/>
      <c r="AW14" s="658"/>
      <c r="AX14" s="658"/>
      <c r="AY14" s="658"/>
      <c r="AZ14" s="2293"/>
    </row>
    <row r="15" spans="1:52" s="1115" customFormat="1" ht="18" customHeight="1">
      <c r="A15" s="2290"/>
      <c r="B15" s="9913"/>
      <c r="C15" s="7146"/>
      <c r="D15" s="7146"/>
      <c r="E15" s="7146"/>
      <c r="F15" s="7146"/>
      <c r="G15" s="7146"/>
      <c r="H15" s="7146"/>
      <c r="I15" s="7146"/>
      <c r="J15" s="7146"/>
      <c r="K15" s="7146"/>
      <c r="L15" s="7146"/>
      <c r="M15" s="7146"/>
      <c r="N15" s="7146"/>
      <c r="O15" s="7146"/>
      <c r="P15" s="7146"/>
      <c r="Q15" s="7146"/>
      <c r="R15" s="7146"/>
      <c r="S15" s="7147"/>
      <c r="T15" s="9916"/>
      <c r="U15" s="9917"/>
      <c r="V15" s="9917"/>
      <c r="W15" s="9918"/>
      <c r="X15" s="9905"/>
      <c r="Y15" s="9906"/>
      <c r="Z15" s="9906"/>
      <c r="AA15" s="9906"/>
      <c r="AB15" s="9906"/>
      <c r="AC15" s="9919"/>
      <c r="AD15" s="9905"/>
      <c r="AE15" s="9906"/>
      <c r="AF15" s="9906"/>
      <c r="AG15" s="9906"/>
      <c r="AH15" s="9906"/>
      <c r="AI15" s="9906"/>
      <c r="AJ15" s="9906"/>
      <c r="AK15" s="2290"/>
      <c r="AL15" s="9975"/>
      <c r="AM15" s="9975"/>
      <c r="AN15" s="724" t="b">
        <f>AND(X15="",AD15="")</f>
        <v>1</v>
      </c>
      <c r="AP15" s="658"/>
      <c r="AQ15" s="658"/>
      <c r="AR15" s="658"/>
      <c r="AS15" s="658"/>
      <c r="AT15" s="658"/>
      <c r="AU15" s="658"/>
      <c r="AV15" s="658"/>
      <c r="AW15" s="658"/>
      <c r="AX15" s="658"/>
      <c r="AY15" s="658"/>
      <c r="AZ15" s="2293"/>
    </row>
    <row r="16" spans="1:52" s="1115" customFormat="1" ht="15.75" customHeight="1">
      <c r="A16" s="2290"/>
      <c r="B16" s="9912" t="s">
        <v>516</v>
      </c>
      <c r="C16" s="9914"/>
      <c r="D16" s="9914"/>
      <c r="E16" s="9914"/>
      <c r="F16" s="9914"/>
      <c r="G16" s="9914"/>
      <c r="H16" s="9914"/>
      <c r="I16" s="9914"/>
      <c r="J16" s="9914"/>
      <c r="K16" s="9914"/>
      <c r="L16" s="9914"/>
      <c r="M16" s="9914"/>
      <c r="N16" s="9914"/>
      <c r="O16" s="9914"/>
      <c r="P16" s="9914"/>
      <c r="Q16" s="9914"/>
      <c r="R16" s="9914"/>
      <c r="S16" s="9915"/>
      <c r="T16" s="6655"/>
      <c r="U16" s="6656"/>
      <c r="V16" s="2291"/>
      <c r="W16" s="2291"/>
      <c r="X16" s="6630"/>
      <c r="Y16" s="6656"/>
      <c r="Z16" s="6656"/>
      <c r="AA16" s="6656"/>
      <c r="AB16" s="6656"/>
      <c r="AC16" s="6656"/>
      <c r="AD16" s="9920" t="b">
        <f>AD17&gt;X17</f>
        <v>0</v>
      </c>
      <c r="AE16" s="9921"/>
      <c r="AF16" s="9921"/>
      <c r="AG16" s="9921"/>
      <c r="AH16" s="9921"/>
      <c r="AI16" s="9921"/>
      <c r="AJ16" s="9921"/>
      <c r="AK16" s="2290"/>
      <c r="AL16" s="9975"/>
      <c r="AM16" s="9975"/>
      <c r="AN16" s="724"/>
      <c r="AP16" s="658"/>
      <c r="AQ16" s="658"/>
      <c r="AR16" s="658"/>
      <c r="AS16" s="658"/>
      <c r="AT16" s="658"/>
      <c r="AU16" s="658"/>
      <c r="AV16" s="658"/>
      <c r="AW16" s="658"/>
      <c r="AX16" s="658"/>
      <c r="AY16" s="658"/>
      <c r="AZ16" s="2293"/>
    </row>
    <row r="17" spans="1:52" s="1115" customFormat="1" ht="18" customHeight="1">
      <c r="A17" s="2290"/>
      <c r="B17" s="9913"/>
      <c r="C17" s="7046"/>
      <c r="D17" s="7046"/>
      <c r="E17" s="7046"/>
      <c r="F17" s="7046"/>
      <c r="G17" s="7046"/>
      <c r="H17" s="7046"/>
      <c r="I17" s="7046"/>
      <c r="J17" s="7046"/>
      <c r="K17" s="7046"/>
      <c r="L17" s="7046"/>
      <c r="M17" s="7046"/>
      <c r="N17" s="7046"/>
      <c r="O17" s="7046"/>
      <c r="P17" s="7046"/>
      <c r="Q17" s="7046"/>
      <c r="R17" s="7046"/>
      <c r="S17" s="7047"/>
      <c r="T17" s="9916"/>
      <c r="U17" s="9917"/>
      <c r="V17" s="9917"/>
      <c r="W17" s="9918"/>
      <c r="X17" s="9905"/>
      <c r="Y17" s="9906"/>
      <c r="Z17" s="9906"/>
      <c r="AA17" s="9906"/>
      <c r="AB17" s="9906"/>
      <c r="AC17" s="9919"/>
      <c r="AD17" s="9905"/>
      <c r="AE17" s="9906"/>
      <c r="AF17" s="9906"/>
      <c r="AG17" s="9906"/>
      <c r="AH17" s="9906"/>
      <c r="AI17" s="9906"/>
      <c r="AJ17" s="9906"/>
      <c r="AK17" s="2290"/>
      <c r="AL17" s="9975"/>
      <c r="AM17" s="9975"/>
      <c r="AN17" s="724" t="b">
        <f>AND(X17="",AD17="")</f>
        <v>1</v>
      </c>
      <c r="AP17" s="658"/>
      <c r="AQ17" s="658"/>
      <c r="AR17" s="658"/>
      <c r="AS17" s="658"/>
      <c r="AT17" s="658"/>
      <c r="AU17" s="658"/>
      <c r="AV17" s="658"/>
      <c r="AW17" s="658"/>
      <c r="AX17" s="658"/>
      <c r="AY17" s="658"/>
      <c r="AZ17" s="2293"/>
    </row>
    <row r="18" spans="1:52" s="1115" customFormat="1" ht="15.75" customHeight="1">
      <c r="A18" s="2290"/>
      <c r="B18" s="9912" t="s">
        <v>518</v>
      </c>
      <c r="C18" s="9914"/>
      <c r="D18" s="9914"/>
      <c r="E18" s="9914"/>
      <c r="F18" s="9914"/>
      <c r="G18" s="9914"/>
      <c r="H18" s="9914"/>
      <c r="I18" s="9914"/>
      <c r="J18" s="9914"/>
      <c r="K18" s="9914"/>
      <c r="L18" s="9914"/>
      <c r="M18" s="9914"/>
      <c r="N18" s="9914"/>
      <c r="O18" s="9914"/>
      <c r="P18" s="9914"/>
      <c r="Q18" s="9914"/>
      <c r="R18" s="9914"/>
      <c r="S18" s="9915"/>
      <c r="T18" s="6655"/>
      <c r="U18" s="6656"/>
      <c r="V18" s="2291"/>
      <c r="W18" s="2291"/>
      <c r="X18" s="6630"/>
      <c r="Y18" s="6656"/>
      <c r="Z18" s="6656"/>
      <c r="AA18" s="6656"/>
      <c r="AB18" s="6656"/>
      <c r="AC18" s="6656"/>
      <c r="AD18" s="9920" t="b">
        <f>AD19&gt;X19</f>
        <v>0</v>
      </c>
      <c r="AE18" s="9921"/>
      <c r="AF18" s="9921"/>
      <c r="AG18" s="9921"/>
      <c r="AH18" s="9921"/>
      <c r="AI18" s="9921"/>
      <c r="AJ18" s="9921"/>
      <c r="AK18" s="2290"/>
      <c r="AL18" s="9975"/>
      <c r="AM18" s="9975"/>
      <c r="AN18" s="724"/>
      <c r="AP18" s="658"/>
      <c r="AQ18" s="658"/>
      <c r="AR18" s="658"/>
      <c r="AS18" s="658"/>
      <c r="AT18" s="658"/>
      <c r="AU18" s="658"/>
      <c r="AV18" s="658"/>
      <c r="AW18" s="658"/>
      <c r="AX18" s="658"/>
      <c r="AY18" s="658"/>
      <c r="AZ18" s="2293"/>
    </row>
    <row r="19" spans="1:52" s="1115" customFormat="1" ht="18" customHeight="1">
      <c r="A19" s="2290"/>
      <c r="B19" s="9913"/>
      <c r="C19" s="7046"/>
      <c r="D19" s="7046"/>
      <c r="E19" s="7046"/>
      <c r="F19" s="7046"/>
      <c r="G19" s="7046"/>
      <c r="H19" s="7046"/>
      <c r="I19" s="7046"/>
      <c r="J19" s="7046"/>
      <c r="K19" s="7046"/>
      <c r="L19" s="7046"/>
      <c r="M19" s="7046"/>
      <c r="N19" s="7046"/>
      <c r="O19" s="7046"/>
      <c r="P19" s="7046"/>
      <c r="Q19" s="7046"/>
      <c r="R19" s="7046"/>
      <c r="S19" s="7047"/>
      <c r="T19" s="9916"/>
      <c r="U19" s="9917"/>
      <c r="V19" s="9917"/>
      <c r="W19" s="9918"/>
      <c r="X19" s="9905"/>
      <c r="Y19" s="9906"/>
      <c r="Z19" s="9906"/>
      <c r="AA19" s="9906"/>
      <c r="AB19" s="9906"/>
      <c r="AC19" s="9919"/>
      <c r="AD19" s="9905"/>
      <c r="AE19" s="9906"/>
      <c r="AF19" s="9906"/>
      <c r="AG19" s="9906"/>
      <c r="AH19" s="9906"/>
      <c r="AI19" s="9906"/>
      <c r="AJ19" s="9906"/>
      <c r="AK19" s="2290"/>
      <c r="AL19" s="9975"/>
      <c r="AM19" s="9975"/>
      <c r="AN19" s="724" t="b">
        <f>AND(X19="",AD19="")</f>
        <v>1</v>
      </c>
      <c r="AP19" s="658"/>
      <c r="AQ19" s="658"/>
      <c r="AR19" s="658"/>
      <c r="AS19" s="658"/>
      <c r="AT19" s="658"/>
      <c r="AU19" s="658"/>
      <c r="AV19" s="658"/>
      <c r="AW19" s="658"/>
      <c r="AX19" s="658"/>
      <c r="AY19" s="658"/>
      <c r="AZ19" s="2293"/>
    </row>
    <row r="20" spans="1:52" s="1115" customFormat="1" ht="15.75" customHeight="1">
      <c r="A20" s="2290"/>
      <c r="B20" s="9912" t="s">
        <v>521</v>
      </c>
      <c r="C20" s="9914"/>
      <c r="D20" s="9914"/>
      <c r="E20" s="9914"/>
      <c r="F20" s="9914"/>
      <c r="G20" s="9914"/>
      <c r="H20" s="9914"/>
      <c r="I20" s="9914"/>
      <c r="J20" s="9914"/>
      <c r="K20" s="9914"/>
      <c r="L20" s="9914"/>
      <c r="M20" s="9914"/>
      <c r="N20" s="9914"/>
      <c r="O20" s="9914"/>
      <c r="P20" s="9914"/>
      <c r="Q20" s="9914"/>
      <c r="R20" s="9914"/>
      <c r="S20" s="9915"/>
      <c r="T20" s="6655"/>
      <c r="U20" s="6656"/>
      <c r="V20" s="2291"/>
      <c r="W20" s="2291"/>
      <c r="X20" s="6630"/>
      <c r="Y20" s="6656"/>
      <c r="Z20" s="6656"/>
      <c r="AA20" s="6656"/>
      <c r="AB20" s="6656"/>
      <c r="AC20" s="6656"/>
      <c r="AD20" s="9920" t="b">
        <f>AD21&gt;X21</f>
        <v>0</v>
      </c>
      <c r="AE20" s="9921"/>
      <c r="AF20" s="9921"/>
      <c r="AG20" s="9921"/>
      <c r="AH20" s="9921"/>
      <c r="AI20" s="9921"/>
      <c r="AJ20" s="9921"/>
      <c r="AK20" s="2290"/>
      <c r="AL20" s="9975"/>
      <c r="AM20" s="9975"/>
      <c r="AN20" s="724"/>
      <c r="AP20" s="658"/>
      <c r="AQ20" s="658"/>
      <c r="AR20" s="658"/>
      <c r="AS20" s="658"/>
      <c r="AT20" s="658"/>
      <c r="AU20" s="658"/>
      <c r="AV20" s="658"/>
      <c r="AW20" s="658"/>
      <c r="AX20" s="658"/>
      <c r="AY20" s="658"/>
      <c r="AZ20" s="2293"/>
    </row>
    <row r="21" spans="1:52" s="1115" customFormat="1" ht="18" customHeight="1">
      <c r="A21" s="2290"/>
      <c r="B21" s="9913"/>
      <c r="C21" s="7046"/>
      <c r="D21" s="7046"/>
      <c r="E21" s="7046"/>
      <c r="F21" s="7046"/>
      <c r="G21" s="7046"/>
      <c r="H21" s="7046"/>
      <c r="I21" s="7046"/>
      <c r="J21" s="7046"/>
      <c r="K21" s="7046"/>
      <c r="L21" s="7046"/>
      <c r="M21" s="7046"/>
      <c r="N21" s="7046"/>
      <c r="O21" s="7046"/>
      <c r="P21" s="7046"/>
      <c r="Q21" s="7046"/>
      <c r="R21" s="7046"/>
      <c r="S21" s="7047"/>
      <c r="T21" s="9916"/>
      <c r="U21" s="9917"/>
      <c r="V21" s="9917"/>
      <c r="W21" s="9918"/>
      <c r="X21" s="9905"/>
      <c r="Y21" s="9906"/>
      <c r="Z21" s="9906"/>
      <c r="AA21" s="9906"/>
      <c r="AB21" s="9906"/>
      <c r="AC21" s="9919"/>
      <c r="AD21" s="9905"/>
      <c r="AE21" s="9906"/>
      <c r="AF21" s="9906"/>
      <c r="AG21" s="9906"/>
      <c r="AH21" s="9906"/>
      <c r="AI21" s="9906"/>
      <c r="AJ21" s="9906"/>
      <c r="AK21" s="2290"/>
      <c r="AL21" s="9975"/>
      <c r="AM21" s="9975"/>
      <c r="AN21" s="724" t="b">
        <f>AND(X21="",AD21="")</f>
        <v>1</v>
      </c>
      <c r="AP21" s="658"/>
      <c r="AQ21" s="658"/>
      <c r="AR21" s="658"/>
      <c r="AS21" s="658"/>
      <c r="AT21" s="658"/>
      <c r="AU21" s="658"/>
      <c r="AV21" s="658"/>
      <c r="AW21" s="658"/>
      <c r="AX21" s="658"/>
      <c r="AY21" s="658"/>
      <c r="AZ21" s="2293"/>
    </row>
    <row r="22" spans="1:52" s="1115" customFormat="1" ht="15.75" customHeight="1">
      <c r="A22" s="2290"/>
      <c r="B22" s="9912" t="s">
        <v>524</v>
      </c>
      <c r="C22" s="9914"/>
      <c r="D22" s="9914"/>
      <c r="E22" s="9914"/>
      <c r="F22" s="9914"/>
      <c r="G22" s="9914"/>
      <c r="H22" s="9914"/>
      <c r="I22" s="9914"/>
      <c r="J22" s="9914"/>
      <c r="K22" s="9914"/>
      <c r="L22" s="9914"/>
      <c r="M22" s="9914"/>
      <c r="N22" s="9914"/>
      <c r="O22" s="9914"/>
      <c r="P22" s="9914"/>
      <c r="Q22" s="9914"/>
      <c r="R22" s="9914"/>
      <c r="S22" s="9915"/>
      <c r="T22" s="6655"/>
      <c r="U22" s="6656"/>
      <c r="V22" s="2291"/>
      <c r="W22" s="2291"/>
      <c r="X22" s="6630"/>
      <c r="Y22" s="6656"/>
      <c r="Z22" s="6656"/>
      <c r="AA22" s="6656"/>
      <c r="AB22" s="6656"/>
      <c r="AC22" s="6656"/>
      <c r="AD22" s="9920" t="b">
        <f>AD23&gt;X23</f>
        <v>0</v>
      </c>
      <c r="AE22" s="9921"/>
      <c r="AF22" s="9921"/>
      <c r="AG22" s="9921"/>
      <c r="AH22" s="9921"/>
      <c r="AI22" s="9921"/>
      <c r="AJ22" s="9921"/>
      <c r="AK22" s="2290"/>
      <c r="AL22" s="9975"/>
      <c r="AM22" s="9975"/>
      <c r="AN22" s="724"/>
      <c r="AP22" s="658"/>
      <c r="AQ22" s="658"/>
      <c r="AR22" s="658"/>
      <c r="AS22" s="658"/>
      <c r="AT22" s="658"/>
      <c r="AU22" s="658"/>
      <c r="AV22" s="658"/>
      <c r="AW22" s="658"/>
      <c r="AX22" s="658"/>
      <c r="AY22" s="658"/>
      <c r="AZ22" s="2293"/>
    </row>
    <row r="23" spans="1:52" s="1115" customFormat="1" ht="18" customHeight="1">
      <c r="A23" s="2290"/>
      <c r="B23" s="9913"/>
      <c r="C23" s="7046"/>
      <c r="D23" s="7046"/>
      <c r="E23" s="7046"/>
      <c r="F23" s="7046"/>
      <c r="G23" s="7046"/>
      <c r="H23" s="7046"/>
      <c r="I23" s="7046"/>
      <c r="J23" s="7046"/>
      <c r="K23" s="7046"/>
      <c r="L23" s="7046"/>
      <c r="M23" s="7046"/>
      <c r="N23" s="7046"/>
      <c r="O23" s="7046"/>
      <c r="P23" s="7046"/>
      <c r="Q23" s="7046"/>
      <c r="R23" s="7046"/>
      <c r="S23" s="7047"/>
      <c r="T23" s="9916"/>
      <c r="U23" s="9917"/>
      <c r="V23" s="9917"/>
      <c r="W23" s="9918"/>
      <c r="X23" s="9905"/>
      <c r="Y23" s="9906"/>
      <c r="Z23" s="9906"/>
      <c r="AA23" s="9906"/>
      <c r="AB23" s="9906"/>
      <c r="AC23" s="9919"/>
      <c r="AD23" s="9905"/>
      <c r="AE23" s="9906"/>
      <c r="AF23" s="9906"/>
      <c r="AG23" s="9906"/>
      <c r="AH23" s="9906"/>
      <c r="AI23" s="9906"/>
      <c r="AJ23" s="9906"/>
      <c r="AK23" s="2290"/>
      <c r="AL23" s="9975"/>
      <c r="AM23" s="9975"/>
      <c r="AN23" s="724" t="b">
        <f>AND(X23="",AD23="")</f>
        <v>1</v>
      </c>
      <c r="AP23" s="658"/>
      <c r="AQ23" s="658"/>
      <c r="AR23" s="658"/>
      <c r="AS23" s="658"/>
      <c r="AT23" s="658"/>
      <c r="AU23" s="658"/>
      <c r="AV23" s="658"/>
      <c r="AW23" s="658"/>
      <c r="AX23" s="658"/>
      <c r="AY23" s="658"/>
      <c r="AZ23" s="2293"/>
    </row>
    <row r="24" spans="1:52" s="1115" customFormat="1" ht="15.75" customHeight="1">
      <c r="A24" s="2290"/>
      <c r="B24" s="775">
        <v>2</v>
      </c>
      <c r="C24" s="1323" t="s">
        <v>6639</v>
      </c>
      <c r="D24" s="6629"/>
      <c r="E24" s="4904"/>
      <c r="F24" s="6628"/>
      <c r="G24" s="1323"/>
      <c r="H24" s="4904"/>
      <c r="I24" s="4904"/>
      <c r="J24" s="4904"/>
      <c r="K24" s="4904"/>
      <c r="L24" s="4904"/>
      <c r="M24" s="5995" t="str">
        <f>"in "&amp;TaxYear&amp;". Add the amounts from line 1,"</f>
        <v>in 2025. Add the amounts from line 1,</v>
      </c>
      <c r="N24" s="4904"/>
      <c r="O24" s="4904"/>
      <c r="P24" s="4904"/>
      <c r="Q24" s="4904"/>
      <c r="R24" s="4904"/>
      <c r="S24" s="4904"/>
      <c r="T24" s="4904"/>
      <c r="U24" s="4904"/>
      <c r="V24" s="4904"/>
      <c r="W24" s="4904"/>
      <c r="X24" s="6633"/>
      <c r="Y24" s="6630"/>
      <c r="Z24" s="2291"/>
      <c r="AA24" s="2291"/>
      <c r="AB24" s="2291"/>
      <c r="AC24" s="2291"/>
      <c r="AD24" s="6637"/>
      <c r="AE24" s="9907"/>
      <c r="AF24" s="9908"/>
      <c r="AG24" s="9908"/>
      <c r="AH24" s="9908"/>
      <c r="AI24" s="9908"/>
      <c r="AJ24" s="9908"/>
      <c r="AK24" s="2290"/>
      <c r="AL24" s="253"/>
      <c r="AM24" s="253"/>
      <c r="AN24" s="724"/>
      <c r="AP24" s="658"/>
      <c r="AQ24" s="658"/>
      <c r="AR24" s="658"/>
      <c r="AS24" s="658"/>
      <c r="AT24" s="658"/>
      <c r="AU24" s="658"/>
      <c r="AV24" s="658"/>
      <c r="AW24" s="658"/>
      <c r="AX24" s="658"/>
      <c r="AY24" s="658"/>
      <c r="AZ24" s="2293"/>
    </row>
    <row r="25" spans="1:52" s="1115" customFormat="1" ht="18.75" customHeight="1">
      <c r="A25" s="2290"/>
      <c r="B25" s="4904"/>
      <c r="C25" s="1323" t="s">
        <v>6618</v>
      </c>
      <c r="D25" s="6629"/>
      <c r="E25" s="4904"/>
      <c r="F25" s="6628"/>
      <c r="G25" s="1323"/>
      <c r="H25" s="4904"/>
      <c r="I25" s="4904"/>
      <c r="J25" s="4904"/>
      <c r="K25" s="4904"/>
      <c r="L25" s="4904"/>
      <c r="M25" s="4904"/>
      <c r="N25" s="4904"/>
      <c r="O25" s="4904"/>
      <c r="P25" s="4904"/>
      <c r="Q25" s="4904"/>
      <c r="R25" s="4904"/>
      <c r="S25" s="4904"/>
      <c r="T25" s="4904"/>
      <c r="U25" s="4904"/>
      <c r="V25" s="4904"/>
      <c r="W25" s="6653" t="s">
        <v>6641</v>
      </c>
      <c r="X25" s="6635">
        <v>2</v>
      </c>
      <c r="Y25" s="9909" t="str">
        <f>IF(AN25,"",SUM(X15,X17,X19,X21,X23))</f>
        <v/>
      </c>
      <c r="Z25" s="9910"/>
      <c r="AA25" s="9910"/>
      <c r="AB25" s="9910"/>
      <c r="AC25" s="9911"/>
      <c r="AD25" s="6639"/>
      <c r="AE25" s="4524"/>
      <c r="AF25" s="4524"/>
      <c r="AG25" s="4524"/>
      <c r="AH25" s="4524"/>
      <c r="AI25" s="4521"/>
      <c r="AJ25" s="4521"/>
      <c r="AK25" s="2290"/>
      <c r="AL25" s="253"/>
      <c r="AM25" s="6644"/>
      <c r="AN25" s="724" t="b">
        <f>AND(AN15,AN17,AN19,AN21,AN23,AM25="")</f>
        <v>1</v>
      </c>
      <c r="AP25" s="658"/>
      <c r="AQ25" s="658"/>
      <c r="AR25" s="658"/>
      <c r="AS25" s="658"/>
      <c r="AT25" s="658"/>
      <c r="AU25" s="658"/>
      <c r="AV25" s="658"/>
      <c r="AW25" s="658"/>
      <c r="AX25" s="658"/>
      <c r="AY25" s="658"/>
      <c r="AZ25" s="2293"/>
    </row>
    <row r="26" spans="1:52" s="1115" customFormat="1" ht="15.75" customHeight="1">
      <c r="A26" s="2290"/>
      <c r="B26" s="775">
        <v>3</v>
      </c>
      <c r="C26" s="1323" t="s">
        <v>6640</v>
      </c>
      <c r="D26" s="1323"/>
      <c r="E26" s="4904"/>
      <c r="F26" s="6628"/>
      <c r="G26" s="1323"/>
      <c r="H26" s="4904"/>
      <c r="I26" s="4904"/>
      <c r="J26" s="4904"/>
      <c r="K26" s="4904"/>
      <c r="L26" s="4904"/>
      <c r="M26" s="4904"/>
      <c r="N26" s="4904"/>
      <c r="O26" s="4904"/>
      <c r="P26" s="4904"/>
      <c r="Q26" s="4904"/>
      <c r="R26" s="4904" t="str">
        <f>"in "&amp;TaxYear&amp;". Add the amounts from line 1,"</f>
        <v>in 2025. Add the amounts from line 1,</v>
      </c>
      <c r="S26" s="4904"/>
      <c r="T26" s="4904"/>
      <c r="U26" s="4904"/>
      <c r="V26" s="4904"/>
      <c r="W26" s="4904"/>
      <c r="X26" s="4524"/>
      <c r="Y26" s="4524"/>
      <c r="Z26" s="4524"/>
      <c r="AA26" s="4524"/>
      <c r="AB26" s="4524"/>
      <c r="AC26" s="4524"/>
      <c r="AD26" s="6639"/>
      <c r="AE26" s="4524"/>
      <c r="AF26" s="4524"/>
      <c r="AG26" s="4524"/>
      <c r="AH26" s="4524"/>
      <c r="AI26" s="4521"/>
      <c r="AJ26" s="4521"/>
      <c r="AK26" s="2290"/>
      <c r="AL26" s="253"/>
      <c r="AM26" s="253"/>
      <c r="AN26" s="724"/>
      <c r="AP26" s="658"/>
      <c r="AQ26" s="658"/>
      <c r="AR26" s="658"/>
      <c r="AS26" s="658"/>
      <c r="AT26" s="658"/>
      <c r="AU26" s="658"/>
      <c r="AV26" s="658"/>
      <c r="AW26" s="658"/>
      <c r="AX26" s="658"/>
      <c r="AY26" s="658"/>
      <c r="AZ26" s="2293"/>
    </row>
    <row r="27" spans="1:52" s="1115" customFormat="1" ht="20.25" customHeight="1">
      <c r="A27" s="2290"/>
      <c r="B27" s="775"/>
      <c r="C27" s="1323" t="s">
        <v>6619</v>
      </c>
      <c r="D27" s="1323"/>
      <c r="E27" s="4904"/>
      <c r="F27" s="6628"/>
      <c r="G27" s="1323"/>
      <c r="H27" s="4904"/>
      <c r="I27" s="4904"/>
      <c r="J27" s="4904"/>
      <c r="K27" s="4904"/>
      <c r="L27" s="4904"/>
      <c r="M27" s="4904"/>
      <c r="N27" s="4904"/>
      <c r="O27" s="4904"/>
      <c r="P27" s="4904"/>
      <c r="Q27" s="4904"/>
      <c r="R27" s="4904"/>
      <c r="S27" s="4904"/>
      <c r="T27" s="4904"/>
      <c r="U27" s="4904"/>
      <c r="V27" s="4904"/>
      <c r="W27" s="4904"/>
      <c r="X27" s="4524"/>
      <c r="Y27" s="4524"/>
      <c r="Z27" s="4524"/>
      <c r="AA27" s="4524"/>
      <c r="AB27" s="4524"/>
      <c r="AC27" s="6653" t="s">
        <v>6642</v>
      </c>
      <c r="AD27" s="6635">
        <v>3</v>
      </c>
      <c r="AE27" s="9909" t="str">
        <f>IF($AN$27,"",SUM(AD15,AD17,AD19,AD21,AD23))</f>
        <v/>
      </c>
      <c r="AF27" s="9910"/>
      <c r="AG27" s="9910"/>
      <c r="AH27" s="9910"/>
      <c r="AI27" s="9910"/>
      <c r="AJ27" s="9910"/>
      <c r="AK27" s="2290"/>
      <c r="AL27" s="253"/>
      <c r="AM27" s="6644"/>
      <c r="AN27" s="724" t="b">
        <f>AND(AN25,AM27="")</f>
        <v>1</v>
      </c>
      <c r="AP27" s="658"/>
      <c r="AQ27" s="658"/>
      <c r="AR27" s="658"/>
      <c r="AS27" s="658"/>
      <c r="AT27" s="658"/>
      <c r="AU27" s="658"/>
      <c r="AV27" s="658"/>
      <c r="AW27" s="658"/>
      <c r="AX27" s="658"/>
      <c r="AY27" s="658"/>
      <c r="AZ27" s="2293"/>
    </row>
    <row r="28" spans="1:52" s="1115" customFormat="1" ht="15.75" customHeight="1">
      <c r="A28" s="2290"/>
      <c r="B28" s="775">
        <v>4</v>
      </c>
      <c r="C28" s="1405" t="s">
        <v>6620</v>
      </c>
      <c r="D28" s="1323"/>
      <c r="E28" s="4904"/>
      <c r="F28" s="6628"/>
      <c r="G28" s="1323"/>
      <c r="H28" s="4904"/>
      <c r="I28" s="4904"/>
      <c r="J28" s="4904"/>
      <c r="K28" s="4904"/>
      <c r="L28" s="4904"/>
      <c r="M28" s="4904"/>
      <c r="N28" s="4904"/>
      <c r="O28" s="4904"/>
      <c r="P28" s="4904"/>
      <c r="Q28" s="4904"/>
      <c r="R28" s="4904"/>
      <c r="S28" s="4904"/>
      <c r="T28" s="4904"/>
      <c r="U28" s="4904"/>
      <c r="V28" s="4904"/>
      <c r="W28" s="4904"/>
      <c r="X28" s="4524"/>
      <c r="Y28" s="4524"/>
      <c r="Z28" s="4524"/>
      <c r="AA28" s="4524"/>
      <c r="AB28" s="4524"/>
      <c r="AC28" s="4524"/>
      <c r="AD28" s="6658"/>
      <c r="AE28" s="6659"/>
      <c r="AF28" s="6659"/>
      <c r="AG28" s="6659"/>
      <c r="AH28" s="6659"/>
      <c r="AI28" s="6659"/>
      <c r="AJ28" s="6659"/>
      <c r="AK28" s="2290"/>
      <c r="AL28" s="253"/>
      <c r="AM28" s="253"/>
      <c r="AN28" s="724"/>
      <c r="AP28" s="658"/>
      <c r="AQ28" s="658"/>
      <c r="AR28" s="658"/>
      <c r="AS28" s="658"/>
      <c r="AT28" s="658"/>
      <c r="AU28" s="658"/>
      <c r="AV28" s="658"/>
      <c r="AW28" s="658"/>
      <c r="AX28" s="658"/>
      <c r="AY28" s="658"/>
      <c r="AZ28" s="2293"/>
    </row>
    <row r="29" spans="1:52" s="1115" customFormat="1" ht="18" customHeight="1">
      <c r="A29" s="2290"/>
      <c r="B29" s="775"/>
      <c r="C29" s="1405" t="s">
        <v>6621</v>
      </c>
      <c r="D29" s="1323"/>
      <c r="E29" s="4904"/>
      <c r="F29" s="6628"/>
      <c r="G29" s="1323"/>
      <c r="H29" s="4904"/>
      <c r="I29" s="4904"/>
      <c r="J29" s="4904"/>
      <c r="K29" s="4904"/>
      <c r="L29" s="4904"/>
      <c r="M29" s="4904"/>
      <c r="N29" s="4904"/>
      <c r="O29" s="4904"/>
      <c r="P29" s="4904"/>
      <c r="Q29" s="4904"/>
      <c r="R29" s="4904"/>
      <c r="S29" s="4904"/>
      <c r="T29" s="4904"/>
      <c r="U29" s="4904"/>
      <c r="V29" s="4904"/>
      <c r="W29" s="4904"/>
      <c r="X29" s="4524"/>
      <c r="Y29" s="4524"/>
      <c r="Z29" s="4524"/>
      <c r="AA29" s="4524"/>
      <c r="AB29" s="4524"/>
      <c r="AC29" s="6653" t="s">
        <v>6643</v>
      </c>
      <c r="AD29" s="6635">
        <v>4</v>
      </c>
      <c r="AE29" s="9909" t="str">
        <f>IF($AN$27,"",SUM(Y25,-AE27))</f>
        <v/>
      </c>
      <c r="AF29" s="9910"/>
      <c r="AG29" s="9910"/>
      <c r="AH29" s="9910"/>
      <c r="AI29" s="9910"/>
      <c r="AJ29" s="9910"/>
      <c r="AK29" s="2290"/>
      <c r="AL29" s="253"/>
      <c r="AM29" s="253"/>
      <c r="AN29" s="724"/>
      <c r="AP29" s="658"/>
      <c r="AQ29" s="658"/>
      <c r="AR29" s="658"/>
      <c r="AS29" s="658"/>
      <c r="AT29" s="658"/>
      <c r="AU29" s="658"/>
      <c r="AV29" s="658"/>
      <c r="AW29" s="658"/>
      <c r="AX29" s="658"/>
      <c r="AY29" s="658"/>
      <c r="AZ29" s="2293"/>
    </row>
    <row r="30" spans="1:52" s="1115" customFormat="1" ht="16.5">
      <c r="A30" s="2290"/>
      <c r="B30" s="775">
        <v>5</v>
      </c>
      <c r="C30" s="1323" t="s">
        <v>6622</v>
      </c>
      <c r="D30" s="1323"/>
      <c r="E30" s="4904"/>
      <c r="F30" s="6628"/>
      <c r="G30" s="1323"/>
      <c r="H30" s="4904"/>
      <c r="I30" s="4904"/>
      <c r="J30" s="4904"/>
      <c r="K30" s="4904"/>
      <c r="L30" s="4904"/>
      <c r="M30" s="4904"/>
      <c r="N30" s="4904"/>
      <c r="O30" s="4904"/>
      <c r="P30" s="4904"/>
      <c r="Q30" s="4904"/>
      <c r="R30" s="4904"/>
      <c r="S30" s="4904"/>
      <c r="T30" s="4904"/>
      <c r="U30" s="4904"/>
      <c r="V30" s="4904"/>
      <c r="W30" s="4904"/>
      <c r="X30" s="4524"/>
      <c r="Y30" s="4524"/>
      <c r="Z30" s="4524"/>
      <c r="AA30" s="4524"/>
      <c r="AB30" s="4524"/>
      <c r="AC30" s="4524"/>
      <c r="AD30" s="6658"/>
      <c r="AE30" s="6659"/>
      <c r="AF30" s="6659"/>
      <c r="AG30" s="6659"/>
      <c r="AH30" s="6659"/>
      <c r="AI30" s="9978">
        <v>20</v>
      </c>
      <c r="AJ30" s="9978"/>
      <c r="AK30" s="2290"/>
      <c r="AL30" s="253"/>
      <c r="AM30" s="253"/>
      <c r="AN30" s="724"/>
      <c r="AP30" s="658"/>
      <c r="AQ30" s="658"/>
      <c r="AR30" s="658"/>
      <c r="AS30" s="658"/>
      <c r="AT30" s="658"/>
      <c r="AU30" s="658"/>
      <c r="AV30" s="658"/>
      <c r="AW30" s="658"/>
      <c r="AX30" s="658"/>
      <c r="AY30" s="658"/>
      <c r="AZ30" s="2293"/>
    </row>
    <row r="31" spans="1:52" s="1115" customFormat="1" ht="15.75" customHeight="1">
      <c r="A31" s="2290"/>
      <c r="B31" s="775"/>
      <c r="C31" s="1405" t="str">
        <f>TEXT(AI30,"$0")&amp;" in a calendar month (see instructions)"</f>
        <v>$20 in a calendar month (see instructions)</v>
      </c>
      <c r="D31" s="1323"/>
      <c r="E31" s="4904"/>
      <c r="F31" s="6628"/>
      <c r="G31" s="1323"/>
      <c r="H31" s="4904"/>
      <c r="I31" s="4904"/>
      <c r="J31" s="4904"/>
      <c r="K31" s="4904"/>
      <c r="L31" s="4904"/>
      <c r="M31" s="4904"/>
      <c r="N31" s="4904"/>
      <c r="O31" s="4904"/>
      <c r="P31" s="4904"/>
      <c r="Q31" s="4904"/>
      <c r="R31" s="4904"/>
      <c r="S31" s="4904"/>
      <c r="T31" s="4904"/>
      <c r="U31" s="4904"/>
      <c r="V31" s="4904"/>
      <c r="W31" s="4904"/>
      <c r="X31" s="4524"/>
      <c r="Y31" s="4524"/>
      <c r="Z31" s="4524"/>
      <c r="AA31" s="4524"/>
      <c r="AB31" s="4524"/>
      <c r="AC31" s="6653" t="s">
        <v>6644</v>
      </c>
      <c r="AD31" s="6635">
        <v>5</v>
      </c>
      <c r="AE31" s="9905"/>
      <c r="AF31" s="9906"/>
      <c r="AG31" s="9906"/>
      <c r="AH31" s="9906"/>
      <c r="AI31" s="9906"/>
      <c r="AJ31" s="9906"/>
      <c r="AK31" s="2290"/>
      <c r="AL31" s="253"/>
      <c r="AM31" s="9977" t="str">
        <f>IF(AE31&gt;12*AI30,"&lt;&lt;&lt;"&amp;CHAR(10)&amp;"Line 5 should not be more than "&amp;TEXT(12*AI30,"$0")&amp;".","")</f>
        <v/>
      </c>
      <c r="AN31" s="724"/>
      <c r="AP31" s="658"/>
      <c r="AQ31" s="658"/>
      <c r="AR31" s="658"/>
      <c r="AS31" s="658"/>
      <c r="AT31" s="658"/>
      <c r="AU31" s="658"/>
      <c r="AV31" s="658"/>
      <c r="AW31" s="658"/>
      <c r="AX31" s="658"/>
      <c r="AY31" s="658"/>
      <c r="AZ31" s="2293"/>
    </row>
    <row r="32" spans="1:52" s="1115" customFormat="1" ht="15.75" customHeight="1">
      <c r="A32" s="2290"/>
      <c r="B32" s="775">
        <v>6</v>
      </c>
      <c r="C32" s="1323" t="s">
        <v>6623</v>
      </c>
      <c r="D32" s="1323"/>
      <c r="E32" s="4904"/>
      <c r="F32" s="6628"/>
      <c r="G32" s="1323"/>
      <c r="H32" s="4904"/>
      <c r="I32" s="4904"/>
      <c r="J32" s="4904"/>
      <c r="K32" s="4904"/>
      <c r="L32" s="4904"/>
      <c r="M32" s="4904"/>
      <c r="N32" s="4904"/>
      <c r="O32" s="4904"/>
      <c r="P32" s="4904"/>
      <c r="Q32" s="4904"/>
      <c r="R32" s="4904"/>
      <c r="S32" s="4904"/>
      <c r="T32" s="4904"/>
      <c r="U32" s="4904"/>
      <c r="V32" s="4904"/>
      <c r="W32" s="4904"/>
      <c r="X32" s="4524"/>
      <c r="Y32" s="4524"/>
      <c r="Z32" s="4524"/>
      <c r="AA32" s="4524"/>
      <c r="AB32" s="4524"/>
      <c r="AC32" s="6653" t="s">
        <v>648</v>
      </c>
      <c r="AD32" s="6635">
        <v>6</v>
      </c>
      <c r="AE32" s="9909" t="str">
        <f>IF(AN27,"",SUM(AE29,-AE31))</f>
        <v/>
      </c>
      <c r="AF32" s="9910"/>
      <c r="AG32" s="9910"/>
      <c r="AH32" s="9910"/>
      <c r="AI32" s="9910"/>
      <c r="AJ32" s="9910"/>
      <c r="AK32" s="2290"/>
      <c r="AL32" s="253"/>
      <c r="AM32" s="9977"/>
      <c r="AN32" s="724"/>
      <c r="AP32" s="658"/>
      <c r="AQ32" s="658"/>
      <c r="AR32" s="658"/>
      <c r="AS32" s="658"/>
      <c r="AT32" s="658"/>
      <c r="AU32" s="658"/>
      <c r="AV32" s="658"/>
      <c r="AW32" s="658"/>
      <c r="AX32" s="658"/>
      <c r="AY32" s="658"/>
      <c r="AZ32" s="2293"/>
    </row>
    <row r="33" spans="1:52" s="1115" customFormat="1" ht="15.75" customHeight="1">
      <c r="A33" s="2290"/>
      <c r="B33" s="775">
        <v>7</v>
      </c>
      <c r="C33" s="1405" t="s">
        <v>6624</v>
      </c>
      <c r="D33" s="1323"/>
      <c r="E33" s="4904"/>
      <c r="F33" s="6628"/>
      <c r="G33" s="1323"/>
      <c r="H33" s="4904"/>
      <c r="I33" s="4904"/>
      <c r="J33" s="4904"/>
      <c r="K33" s="4904"/>
      <c r="L33" s="4904"/>
      <c r="M33" s="4904"/>
      <c r="N33" s="4904"/>
      <c r="O33" s="4904"/>
      <c r="P33" s="4904"/>
      <c r="Q33" s="4904"/>
      <c r="R33" s="4904"/>
      <c r="S33" s="4904"/>
      <c r="T33" s="4904"/>
      <c r="U33" s="4904"/>
      <c r="V33" s="4904"/>
      <c r="W33" s="6653" t="s">
        <v>717</v>
      </c>
      <c r="X33" s="6636">
        <v>7</v>
      </c>
      <c r="Y33" s="9959">
        <f>MaxSSTaxEarnings</f>
        <v>176100</v>
      </c>
      <c r="Z33" s="9960"/>
      <c r="AA33" s="9960"/>
      <c r="AB33" s="9960"/>
      <c r="AC33" s="9961"/>
      <c r="AD33" s="6658"/>
      <c r="AE33" s="4524"/>
      <c r="AF33" s="4524"/>
      <c r="AG33" s="4524"/>
      <c r="AH33" s="4524"/>
      <c r="AI33" s="4521"/>
      <c r="AJ33" s="4521"/>
      <c r="AK33" s="2290"/>
      <c r="AL33" s="253"/>
      <c r="AM33" s="9977"/>
      <c r="AN33" s="724"/>
      <c r="AP33" s="658"/>
      <c r="AQ33" s="658"/>
      <c r="AR33" s="658"/>
      <c r="AS33" s="658"/>
      <c r="AT33" s="658"/>
      <c r="AU33" s="658"/>
      <c r="AV33" s="658"/>
      <c r="AW33" s="658"/>
      <c r="AX33" s="658"/>
      <c r="AY33" s="658"/>
      <c r="AZ33" s="2293"/>
    </row>
    <row r="34" spans="1:52" s="1115" customFormat="1" ht="15.75" customHeight="1">
      <c r="A34" s="2290"/>
      <c r="B34" s="775">
        <v>8</v>
      </c>
      <c r="C34" s="1323" t="s">
        <v>6625</v>
      </c>
      <c r="D34" s="1323"/>
      <c r="E34" s="4904"/>
      <c r="F34" s="6628"/>
      <c r="G34" s="1323"/>
      <c r="H34" s="4904"/>
      <c r="I34" s="4904"/>
      <c r="J34" s="4904"/>
      <c r="K34" s="4904"/>
      <c r="L34" s="4904"/>
      <c r="M34" s="4904"/>
      <c r="N34" s="4904"/>
      <c r="O34" s="4904"/>
      <c r="P34" s="4904"/>
      <c r="Q34" s="4904"/>
      <c r="R34" s="4904"/>
      <c r="S34" s="4904"/>
      <c r="T34" s="4904"/>
      <c r="U34" s="4904"/>
      <c r="V34" s="4904"/>
      <c r="W34" s="4904"/>
      <c r="X34" s="6632"/>
      <c r="Y34" s="9945">
        <f>SUM(SocSecWages_You,SocSecTips_You)</f>
        <v>0</v>
      </c>
      <c r="Z34" s="9946"/>
      <c r="AA34" s="9946"/>
      <c r="AB34" s="9946"/>
      <c r="AC34" s="9947"/>
      <c r="AD34" s="6638"/>
      <c r="AE34" s="4524"/>
      <c r="AF34" s="4524"/>
      <c r="AG34" s="4524"/>
      <c r="AH34" s="4524"/>
      <c r="AI34" s="4521"/>
      <c r="AJ34" s="4521"/>
      <c r="AK34" s="2290"/>
      <c r="AL34" s="253"/>
      <c r="AM34" s="9977"/>
      <c r="AN34" s="724"/>
      <c r="AP34" s="658"/>
      <c r="AQ34" s="658"/>
      <c r="AR34" s="658"/>
      <c r="AS34" s="658"/>
      <c r="AT34" s="658"/>
      <c r="AU34" s="658"/>
      <c r="AV34" s="658"/>
      <c r="AW34" s="658"/>
      <c r="AX34" s="658"/>
      <c r="AY34" s="658"/>
      <c r="AZ34" s="2293"/>
    </row>
    <row r="35" spans="1:52" s="1115" customFormat="1" ht="15.75" customHeight="1">
      <c r="A35" s="2290"/>
      <c r="B35" s="775"/>
      <c r="C35" s="1323" t="str">
        <f>"boxes 3 and 7) and railroad retirement (RRTA) compensation (subject to "&amp;TEXT(SSTaxRate,"0.0%")</f>
        <v>boxes 3 and 7) and railroad retirement (RRTA) compensation (subject to 6.2%</v>
      </c>
      <c r="D35" s="1323"/>
      <c r="E35" s="4904"/>
      <c r="F35" s="6628"/>
      <c r="G35" s="1323"/>
      <c r="H35" s="4904"/>
      <c r="I35" s="4904"/>
      <c r="J35" s="4904"/>
      <c r="K35" s="4904"/>
      <c r="L35" s="4904"/>
      <c r="M35" s="4904"/>
      <c r="N35" s="4904"/>
      <c r="O35" s="4904"/>
      <c r="P35" s="4904"/>
      <c r="Q35" s="4904"/>
      <c r="R35" s="4904"/>
      <c r="S35" s="4904"/>
      <c r="T35" s="4904"/>
      <c r="U35" s="4904"/>
      <c r="V35" s="4904"/>
      <c r="W35" s="4904"/>
      <c r="X35" s="6633"/>
      <c r="Y35" s="9948"/>
      <c r="Z35" s="9949"/>
      <c r="AA35" s="9949"/>
      <c r="AB35" s="9949"/>
      <c r="AC35" s="9950"/>
      <c r="AD35" s="6638"/>
      <c r="AE35" s="4524"/>
      <c r="AF35" s="4524"/>
      <c r="AG35" s="4524"/>
      <c r="AH35" s="4524"/>
      <c r="AI35" s="4521"/>
      <c r="AJ35" s="4521"/>
      <c r="AK35" s="2290"/>
      <c r="AL35" s="253"/>
      <c r="AM35" s="404"/>
      <c r="AN35" s="724"/>
      <c r="AP35" s="658"/>
      <c r="AQ35" s="658"/>
      <c r="AR35" s="658"/>
      <c r="AS35" s="658"/>
      <c r="AT35" s="658"/>
      <c r="AU35" s="658"/>
      <c r="AV35" s="658"/>
      <c r="AW35" s="658"/>
      <c r="AX35" s="658"/>
      <c r="AY35" s="658"/>
      <c r="AZ35" s="2293"/>
    </row>
    <row r="36" spans="1:52" s="1115" customFormat="1" ht="15.75" customHeight="1">
      <c r="A36" s="2290"/>
      <c r="B36" s="775"/>
      <c r="C36" s="1323" t="s">
        <v>6626</v>
      </c>
      <c r="D36" s="1323"/>
      <c r="E36" s="4904"/>
      <c r="F36" s="6628"/>
      <c r="G36" s="1323"/>
      <c r="H36" s="4904"/>
      <c r="I36" s="4904"/>
      <c r="J36" s="4904"/>
      <c r="K36" s="4904"/>
      <c r="L36" s="4904"/>
      <c r="M36" s="4904"/>
      <c r="N36" s="4904"/>
      <c r="O36" s="4904"/>
      <c r="P36" s="4904"/>
      <c r="Q36" s="4904"/>
      <c r="R36" s="4904"/>
      <c r="S36" s="4904"/>
      <c r="T36" s="4904"/>
      <c r="U36" s="4904"/>
      <c r="V36" s="4904"/>
      <c r="W36" s="6627" t="s">
        <v>2186</v>
      </c>
      <c r="X36" s="6635">
        <v>8</v>
      </c>
      <c r="Y36" s="7787" t="str">
        <f>IF(AN27,"",SUM(SocSecWages_You,SocSecTips_You))</f>
        <v/>
      </c>
      <c r="Z36" s="7788"/>
      <c r="AA36" s="7788"/>
      <c r="AB36" s="7788"/>
      <c r="AC36" s="7789"/>
      <c r="AD36" s="6639"/>
      <c r="AE36" s="4524"/>
      <c r="AF36" s="4524"/>
      <c r="AG36" s="4524"/>
      <c r="AH36" s="4524"/>
      <c r="AI36" s="4521"/>
      <c r="AJ36" s="4521"/>
      <c r="AK36" s="2290"/>
      <c r="AL36" s="253"/>
      <c r="AM36" s="253"/>
      <c r="AN36" s="724"/>
      <c r="AP36" s="658"/>
      <c r="AQ36" s="658"/>
      <c r="AR36" s="658"/>
      <c r="AS36" s="658"/>
      <c r="AT36" s="658"/>
      <c r="AU36" s="658"/>
      <c r="AV36" s="658"/>
      <c r="AW36" s="658"/>
      <c r="AX36" s="658"/>
      <c r="AY36" s="658"/>
      <c r="AZ36" s="2293"/>
    </row>
    <row r="37" spans="1:52" s="1115" customFormat="1" ht="15.75" customHeight="1">
      <c r="A37" s="2290"/>
      <c r="B37" s="775">
        <v>9</v>
      </c>
      <c r="C37" s="1323" t="s">
        <v>6627</v>
      </c>
      <c r="D37" s="1323"/>
      <c r="E37" s="4904"/>
      <c r="F37" s="6628"/>
      <c r="G37" s="1323"/>
      <c r="H37" s="4904"/>
      <c r="I37" s="4904"/>
      <c r="J37" s="4904"/>
      <c r="K37" s="4904"/>
      <c r="L37" s="4904"/>
      <c r="M37" s="4904"/>
      <c r="N37" s="4904"/>
      <c r="O37" s="4904"/>
      <c r="P37" s="4904"/>
      <c r="Q37" s="4904"/>
      <c r="R37" s="4904"/>
      <c r="S37" s="4904"/>
      <c r="T37" s="4904"/>
      <c r="U37" s="4904"/>
      <c r="V37" s="4904"/>
      <c r="W37" s="4904"/>
      <c r="X37" s="4524"/>
      <c r="Y37" s="4524"/>
      <c r="Z37" s="6654"/>
      <c r="AA37" s="6654"/>
      <c r="AB37" s="6654"/>
      <c r="AC37" s="6653" t="s">
        <v>4414</v>
      </c>
      <c r="AD37" s="6635">
        <v>9</v>
      </c>
      <c r="AE37" s="9909" t="str">
        <f>IF(AN27,"",MAX(0,SUM(Y33,-Y36)))</f>
        <v/>
      </c>
      <c r="AF37" s="9910"/>
      <c r="AG37" s="9910"/>
      <c r="AH37" s="9910"/>
      <c r="AI37" s="9910"/>
      <c r="AJ37" s="9910"/>
      <c r="AK37" s="2290"/>
      <c r="AL37" s="253"/>
      <c r="AM37" s="512" t="b">
        <f>Y36&gt;Z26</f>
        <v>0</v>
      </c>
      <c r="AN37" s="724"/>
      <c r="AP37" s="658"/>
      <c r="AQ37" s="658"/>
      <c r="AR37" s="658"/>
      <c r="AS37" s="658"/>
      <c r="AT37" s="658"/>
      <c r="AU37" s="658"/>
      <c r="AV37" s="658"/>
      <c r="AW37" s="658"/>
      <c r="AX37" s="658"/>
      <c r="AY37" s="658"/>
      <c r="AZ37" s="2293"/>
    </row>
    <row r="38" spans="1:52" s="1115" customFormat="1" ht="15.75" customHeight="1">
      <c r="A38" s="2290"/>
      <c r="B38" s="775">
        <v>10</v>
      </c>
      <c r="C38" s="1323" t="s">
        <v>6633</v>
      </c>
      <c r="D38" s="1323"/>
      <c r="E38" s="4904"/>
      <c r="F38" s="6628"/>
      <c r="G38" s="1323"/>
      <c r="H38" s="4904"/>
      <c r="I38" s="4904"/>
      <c r="J38" s="4904"/>
      <c r="K38" s="4904"/>
      <c r="L38" s="4904"/>
      <c r="M38" s="4904"/>
      <c r="N38" s="4904"/>
      <c r="O38" s="4904"/>
      <c r="P38" s="4904"/>
      <c r="Q38" s="4904"/>
      <c r="R38" s="4904"/>
      <c r="S38" s="4904"/>
      <c r="T38" s="4904"/>
      <c r="U38" s="4904"/>
      <c r="V38" s="4904"/>
      <c r="W38" s="4904"/>
      <c r="X38" s="4524"/>
      <c r="Y38" s="4524"/>
      <c r="Z38" s="4524"/>
      <c r="AA38" s="4524"/>
      <c r="AB38" s="4524"/>
      <c r="AC38" s="4524"/>
      <c r="AD38" s="6658"/>
      <c r="AE38" s="6659"/>
      <c r="AF38" s="6659"/>
      <c r="AG38" s="6659"/>
      <c r="AH38" s="6659"/>
      <c r="AI38" s="6659"/>
      <c r="AJ38" s="6659"/>
      <c r="AK38" s="2290"/>
      <c r="AL38" s="253"/>
      <c r="AM38" s="253"/>
      <c r="AN38" s="724"/>
      <c r="AP38" s="658"/>
      <c r="AQ38" s="658"/>
      <c r="AR38" s="658"/>
      <c r="AS38" s="658"/>
      <c r="AT38" s="658"/>
      <c r="AU38" s="658"/>
      <c r="AV38" s="658"/>
      <c r="AW38" s="658"/>
      <c r="AX38" s="658"/>
      <c r="AY38" s="658"/>
      <c r="AZ38" s="2293"/>
    </row>
    <row r="39" spans="1:52" s="1115" customFormat="1" ht="15.75" customHeight="1">
      <c r="A39" s="2290"/>
      <c r="B39" s="775"/>
      <c r="C39" s="1323" t="s">
        <v>6628</v>
      </c>
      <c r="D39" s="1323"/>
      <c r="E39" s="4904"/>
      <c r="F39" s="6628"/>
      <c r="G39" s="1323"/>
      <c r="H39" s="4904"/>
      <c r="I39" s="4904"/>
      <c r="J39" s="4904"/>
      <c r="K39" s="4904"/>
      <c r="L39" s="4904"/>
      <c r="M39" s="4904"/>
      <c r="N39" s="4904"/>
      <c r="O39" s="4904"/>
      <c r="P39" s="4904"/>
      <c r="Q39" s="4904"/>
      <c r="R39" s="4904"/>
      <c r="S39" s="4904"/>
      <c r="T39" s="4904"/>
      <c r="U39" s="4904"/>
      <c r="V39" s="4904"/>
      <c r="W39" s="4904"/>
      <c r="X39" s="4524"/>
      <c r="Y39" s="4524"/>
      <c r="Z39" s="4524"/>
      <c r="AA39" s="4524"/>
      <c r="AB39" s="4524"/>
      <c r="AC39" s="6653" t="s">
        <v>4414</v>
      </c>
      <c r="AD39" s="6635">
        <v>10</v>
      </c>
      <c r="AE39" s="9909" t="str">
        <f>IF(AN27,"",MIN(AE32,AE37))</f>
        <v/>
      </c>
      <c r="AF39" s="9910"/>
      <c r="AG39" s="9910"/>
      <c r="AH39" s="9910"/>
      <c r="AI39" s="9910"/>
      <c r="AJ39" s="9910"/>
      <c r="AK39" s="2290"/>
      <c r="AL39" s="253"/>
      <c r="AM39" s="253"/>
      <c r="AN39" s="724"/>
      <c r="AP39" s="658"/>
      <c r="AQ39" s="658"/>
      <c r="AR39" s="658"/>
      <c r="AS39" s="658"/>
      <c r="AT39" s="658"/>
      <c r="AU39" s="658"/>
      <c r="AV39" s="658"/>
      <c r="AW39" s="658"/>
      <c r="AX39" s="658"/>
      <c r="AY39" s="658"/>
      <c r="AZ39" s="2293"/>
    </row>
    <row r="40" spans="1:52" s="1115" customFormat="1" ht="15.75" customHeight="1">
      <c r="A40" s="2290"/>
      <c r="B40" s="775">
        <v>11</v>
      </c>
      <c r="C40" s="1323" t="str">
        <f>"Multiply line 10 by "&amp;TEXT(SSTaxRate,"0.000")&amp;" (social security tax rate)"</f>
        <v>Multiply line 10 by 0.062 (social security tax rate)</v>
      </c>
      <c r="D40" s="1323"/>
      <c r="E40" s="4904"/>
      <c r="F40" s="6628"/>
      <c r="G40" s="1323"/>
      <c r="H40" s="4524"/>
      <c r="I40" s="4524"/>
      <c r="J40" s="4524"/>
      <c r="K40" s="4524"/>
      <c r="L40" s="6631"/>
      <c r="M40" s="4524"/>
      <c r="N40" s="4524"/>
      <c r="O40" s="4524"/>
      <c r="P40" s="4524"/>
      <c r="Q40" s="4524"/>
      <c r="R40" s="4524"/>
      <c r="S40" s="4524"/>
      <c r="T40" s="4524"/>
      <c r="U40" s="4524"/>
      <c r="V40" s="4524"/>
      <c r="W40" s="4524"/>
      <c r="X40" s="4524"/>
      <c r="Y40" s="4524"/>
      <c r="Z40" s="4524"/>
      <c r="AA40" s="4524"/>
      <c r="AB40" s="4524"/>
      <c r="AC40" s="6653" t="s">
        <v>2178</v>
      </c>
      <c r="AD40" s="6635">
        <v>11</v>
      </c>
      <c r="AE40" s="9909" t="str">
        <f>IF(AN27,"",ROUND(AE39*SSTaxRate,0))</f>
        <v/>
      </c>
      <c r="AF40" s="9910"/>
      <c r="AG40" s="9910"/>
      <c r="AH40" s="9910"/>
      <c r="AI40" s="9910"/>
      <c r="AJ40" s="9910"/>
      <c r="AK40" s="2290"/>
      <c r="AL40" s="253"/>
      <c r="AM40" s="253"/>
      <c r="AN40" s="724"/>
      <c r="AP40" s="658"/>
      <c r="AQ40" s="658"/>
      <c r="AR40" s="658"/>
      <c r="AS40" s="658"/>
      <c r="AT40" s="658"/>
      <c r="AU40" s="658"/>
      <c r="AV40" s="658"/>
      <c r="AW40" s="658"/>
      <c r="AX40" s="658"/>
      <c r="AY40" s="658"/>
      <c r="AZ40" s="2293"/>
    </row>
    <row r="41" spans="1:52" s="1115" customFormat="1" ht="15.75" customHeight="1">
      <c r="A41" s="2290"/>
      <c r="B41" s="775">
        <v>12</v>
      </c>
      <c r="C41" s="1323" t="str">
        <f>"Multiply line 6 by "&amp;TEXT(MedicareTaxRate,"0.0000")&amp;" (Medicare tax rate)"</f>
        <v>Multiply line 6 by 0.0145 (Medicare tax rate)</v>
      </c>
      <c r="D41" s="1323"/>
      <c r="E41" s="4904"/>
      <c r="F41" s="6628"/>
      <c r="G41" s="1323"/>
      <c r="H41" s="4524"/>
      <c r="I41" s="4524"/>
      <c r="J41" s="4524"/>
      <c r="K41" s="4524"/>
      <c r="L41" s="4524"/>
      <c r="M41" s="4524"/>
      <c r="N41" s="4524"/>
      <c r="O41" s="4524"/>
      <c r="P41" s="4524"/>
      <c r="Q41" s="4524"/>
      <c r="R41" s="4524"/>
      <c r="S41" s="4524"/>
      <c r="T41" s="4524"/>
      <c r="U41" s="4524"/>
      <c r="V41" s="4524"/>
      <c r="W41" s="4524"/>
      <c r="X41" s="4524"/>
      <c r="Y41" s="4524"/>
      <c r="Z41" s="4524"/>
      <c r="AA41" s="4524"/>
      <c r="AB41" s="4524"/>
      <c r="AC41" s="6653" t="s">
        <v>6629</v>
      </c>
      <c r="AD41" s="6635">
        <v>12</v>
      </c>
      <c r="AE41" s="9909" t="str">
        <f>IF(AN27,"",ROUND(AE32*MedicareTaxRate,0))</f>
        <v/>
      </c>
      <c r="AF41" s="9910"/>
      <c r="AG41" s="9910"/>
      <c r="AH41" s="9910"/>
      <c r="AI41" s="9910"/>
      <c r="AJ41" s="9910"/>
      <c r="AK41" s="2290"/>
      <c r="AL41" s="253"/>
      <c r="AM41" s="253"/>
      <c r="AN41" s="724"/>
      <c r="AP41" s="658"/>
      <c r="AQ41" s="658"/>
      <c r="AR41" s="658"/>
      <c r="AS41" s="658"/>
      <c r="AT41" s="658"/>
      <c r="AU41" s="658"/>
      <c r="AV41" s="658"/>
      <c r="AW41" s="658"/>
      <c r="AX41" s="658"/>
      <c r="AY41" s="658"/>
      <c r="AZ41" s="2293"/>
    </row>
    <row r="42" spans="1:52" s="1115" customFormat="1" ht="15.75" customHeight="1">
      <c r="A42" s="2290"/>
      <c r="B42" s="775">
        <v>13</v>
      </c>
      <c r="C42" s="1323" t="s">
        <v>6630</v>
      </c>
      <c r="D42" s="1323"/>
      <c r="E42" s="4904"/>
      <c r="F42" s="6628"/>
      <c r="G42" s="1323"/>
      <c r="H42" s="4524"/>
      <c r="I42" s="4524"/>
      <c r="J42" s="4524"/>
      <c r="K42" s="4524"/>
      <c r="L42" s="4524"/>
      <c r="M42" s="4524"/>
      <c r="N42" s="4524"/>
      <c r="O42" s="4524"/>
      <c r="P42" s="4524"/>
      <c r="Q42" s="4524"/>
      <c r="R42" s="4524"/>
      <c r="S42" s="4524"/>
      <c r="T42" s="4524"/>
      <c r="U42" s="4524"/>
      <c r="V42" s="4524"/>
      <c r="W42" s="4524"/>
      <c r="X42" s="4524"/>
      <c r="Y42" s="4524"/>
      <c r="Z42" s="4524"/>
      <c r="AA42" s="4524"/>
      <c r="AB42" s="4524"/>
      <c r="AC42" s="4524"/>
      <c r="AD42" s="6645"/>
      <c r="AE42" s="6647"/>
      <c r="AF42" s="6647"/>
      <c r="AG42" s="6647"/>
      <c r="AH42" s="6647"/>
      <c r="AI42" s="6648"/>
      <c r="AJ42" s="6648"/>
      <c r="AK42" s="2290"/>
      <c r="AL42" s="253"/>
      <c r="AM42" s="253"/>
      <c r="AN42" s="724"/>
      <c r="AP42" s="658"/>
      <c r="AQ42" s="658"/>
      <c r="AR42" s="658"/>
      <c r="AS42" s="658"/>
      <c r="AT42" s="658"/>
      <c r="AU42" s="658"/>
      <c r="AV42" s="658"/>
      <c r="AW42" s="658"/>
      <c r="AX42" s="658"/>
      <c r="AY42" s="658"/>
      <c r="AZ42" s="2293"/>
    </row>
    <row r="43" spans="1:52" s="1115" customFormat="1" ht="15.75" customHeight="1" thickBot="1">
      <c r="A43" s="2290"/>
      <c r="B43" s="4817"/>
      <c r="C43" s="5003" t="s">
        <v>6631</v>
      </c>
      <c r="D43" s="5003"/>
      <c r="E43" s="6640"/>
      <c r="F43" s="6641"/>
      <c r="G43" s="5003"/>
      <c r="H43" s="6642"/>
      <c r="I43" s="6642"/>
      <c r="J43" s="6642"/>
      <c r="K43" s="6642"/>
      <c r="L43" s="6642"/>
      <c r="M43" s="6642"/>
      <c r="N43" s="6642"/>
      <c r="O43" s="6642"/>
      <c r="P43" s="6642"/>
      <c r="Q43" s="6642"/>
      <c r="R43" s="6642"/>
      <c r="S43" s="6642"/>
      <c r="T43" s="6642"/>
      <c r="U43" s="6642"/>
      <c r="V43" s="6642"/>
      <c r="W43" s="6642"/>
      <c r="X43" s="6642"/>
      <c r="Y43" s="6642"/>
      <c r="Z43" s="6642"/>
      <c r="AA43" s="6642"/>
      <c r="AB43" s="6642"/>
      <c r="AC43" s="6653" t="s">
        <v>6632</v>
      </c>
      <c r="AD43" s="6646">
        <v>13</v>
      </c>
      <c r="AE43" s="9903" t="str">
        <f>IF(AM43&lt;&gt;"",ROUND(AM43,0),IF(AN27,"",SUM(AE40,AE41)))</f>
        <v/>
      </c>
      <c r="AF43" s="9904"/>
      <c r="AG43" s="9904"/>
      <c r="AH43" s="9904"/>
      <c r="AI43" s="9904"/>
      <c r="AJ43" s="9904"/>
      <c r="AK43" s="2290"/>
      <c r="AL43" s="253"/>
      <c r="AM43" s="6644"/>
      <c r="AN43" s="724"/>
      <c r="AP43" s="658"/>
      <c r="AQ43" s="658"/>
      <c r="AR43" s="658"/>
      <c r="AS43" s="658"/>
      <c r="AT43" s="658"/>
      <c r="AU43" s="658"/>
      <c r="AV43" s="658"/>
      <c r="AW43" s="658"/>
      <c r="AX43" s="658"/>
      <c r="AY43" s="658"/>
      <c r="AZ43" s="2293"/>
    </row>
    <row r="44" spans="1:52" s="1115" customFormat="1" ht="15.75" customHeight="1">
      <c r="A44" s="2290"/>
      <c r="B44" s="1523" t="s">
        <v>865</v>
      </c>
      <c r="C44" s="1323"/>
      <c r="D44" s="1323"/>
      <c r="E44" s="4904"/>
      <c r="F44" s="6628"/>
      <c r="G44" s="1323"/>
      <c r="H44" s="4524"/>
      <c r="I44" s="4524"/>
      <c r="J44" s="4524"/>
      <c r="K44" s="4524"/>
      <c r="L44" s="4524"/>
      <c r="M44" s="4524"/>
      <c r="N44" s="4524"/>
      <c r="O44" s="4524"/>
      <c r="P44" s="4524"/>
      <c r="Q44" s="4524"/>
      <c r="R44" s="4524"/>
      <c r="S44" s="4524"/>
      <c r="T44" s="4524"/>
      <c r="U44" s="4524"/>
      <c r="V44" s="1672" t="s">
        <v>6636</v>
      </c>
      <c r="W44" s="4524"/>
      <c r="X44" s="4524"/>
      <c r="Y44" s="4524"/>
      <c r="Z44" s="4524"/>
      <c r="AA44" s="4524"/>
      <c r="AB44" s="4524"/>
      <c r="AC44" s="4901"/>
      <c r="AD44" s="6643" t="s">
        <v>6634</v>
      </c>
      <c r="AE44" s="9515" t="str">
        <f>"("&amp;TaxYear&amp;")"</f>
        <v>(2025)</v>
      </c>
      <c r="AF44" s="9515"/>
      <c r="AG44" s="4524"/>
      <c r="AH44" s="4524"/>
      <c r="AI44" s="4521"/>
      <c r="AJ44" s="1061" t="s">
        <v>6635</v>
      </c>
      <c r="AK44" s="2290"/>
      <c r="AL44" s="253"/>
      <c r="AM44" s="253"/>
      <c r="AN44" s="724"/>
      <c r="AP44" s="658"/>
      <c r="AQ44" s="658"/>
      <c r="AR44" s="658"/>
      <c r="AS44" s="658"/>
      <c r="AT44" s="658"/>
      <c r="AU44" s="658"/>
      <c r="AV44" s="658"/>
      <c r="AW44" s="658"/>
      <c r="AX44" s="658"/>
      <c r="AY44" s="658"/>
      <c r="AZ44" s="2293"/>
    </row>
    <row r="45" spans="1:52" s="815" customFormat="1" ht="24" customHeight="1">
      <c r="A45" s="2013"/>
      <c r="B45" s="9962" t="str">
        <f>IF('Table of Contents'!A91="D","DRAFT","")</f>
        <v/>
      </c>
      <c r="C45" s="9962"/>
      <c r="D45" s="9951">
        <v>4137</v>
      </c>
      <c r="E45" s="9952"/>
      <c r="F45" s="9952"/>
      <c r="G45" s="9952"/>
      <c r="H45" s="379"/>
      <c r="I45" s="9953" t="s">
        <v>6612</v>
      </c>
      <c r="J45" s="9954"/>
      <c r="K45" s="9954"/>
      <c r="L45" s="9954"/>
      <c r="M45" s="9954"/>
      <c r="N45" s="9954"/>
      <c r="O45" s="9954"/>
      <c r="P45" s="9954"/>
      <c r="Q45" s="9954"/>
      <c r="R45" s="9954"/>
      <c r="S45" s="9954"/>
      <c r="T45" s="9954"/>
      <c r="U45" s="9954"/>
      <c r="V45" s="9954"/>
      <c r="W45" s="9954"/>
      <c r="X45" s="9954"/>
      <c r="Y45" s="9954"/>
      <c r="Z45" s="9954"/>
      <c r="AA45" s="9954"/>
      <c r="AB45" s="9955"/>
      <c r="AC45" s="9957" t="str">
        <f>IF('Table of Contents'!A91="D","DRAFT","OMB No. 1545-0074")</f>
        <v>OMB No. 1545-0074</v>
      </c>
      <c r="AD45" s="9958"/>
      <c r="AE45" s="9958"/>
      <c r="AF45" s="9958"/>
      <c r="AG45" s="9958"/>
      <c r="AH45" s="9958"/>
      <c r="AI45" s="9958"/>
      <c r="AJ45" s="9958"/>
      <c r="AK45" s="2013"/>
      <c r="AL45" s="253"/>
      <c r="AM45" s="253"/>
      <c r="AN45" s="724"/>
      <c r="AP45" s="658"/>
      <c r="AQ45" s="658"/>
      <c r="AR45" s="658"/>
      <c r="AS45" s="658"/>
      <c r="AT45" s="658"/>
      <c r="AU45" s="658"/>
      <c r="AV45" s="658"/>
      <c r="AW45" s="658"/>
      <c r="AX45" s="658"/>
      <c r="AY45" s="658"/>
      <c r="AZ45"/>
    </row>
    <row r="46" spans="1:52" s="815" customFormat="1" ht="24" customHeight="1">
      <c r="A46" s="2013"/>
      <c r="B46" s="9825" t="s">
        <v>46</v>
      </c>
      <c r="C46" s="9617"/>
      <c r="D46" s="9952"/>
      <c r="E46" s="9952"/>
      <c r="F46" s="9952"/>
      <c r="G46" s="9952"/>
      <c r="H46" s="379"/>
      <c r="I46" s="9956"/>
      <c r="J46" s="9954"/>
      <c r="K46" s="9954"/>
      <c r="L46" s="9954"/>
      <c r="M46" s="9954"/>
      <c r="N46" s="9954"/>
      <c r="O46" s="9954"/>
      <c r="P46" s="9954"/>
      <c r="Q46" s="9954"/>
      <c r="R46" s="9954"/>
      <c r="S46" s="9954"/>
      <c r="T46" s="9954"/>
      <c r="U46" s="9954"/>
      <c r="V46" s="9954"/>
      <c r="W46" s="9954"/>
      <c r="X46" s="9954"/>
      <c r="Y46" s="9954"/>
      <c r="Z46" s="9954"/>
      <c r="AA46" s="9954"/>
      <c r="AB46" s="9955"/>
      <c r="AC46" s="9826">
        <f>TaxYear</f>
        <v>2025</v>
      </c>
      <c r="AD46" s="9827"/>
      <c r="AE46" s="9827"/>
      <c r="AF46" s="9827"/>
      <c r="AG46" s="9827"/>
      <c r="AH46" s="9827"/>
      <c r="AI46" s="9827"/>
      <c r="AJ46" s="9827"/>
      <c r="AK46" s="2013"/>
      <c r="AL46" s="344" t="s">
        <v>3239</v>
      </c>
      <c r="AM46" s="344"/>
      <c r="AN46" s="724"/>
      <c r="AP46" s="658"/>
      <c r="AQ46" s="658"/>
      <c r="AR46" s="658"/>
      <c r="AS46" s="658"/>
      <c r="AT46" s="658"/>
      <c r="AU46" s="658"/>
      <c r="AV46" s="658"/>
      <c r="AW46" s="658"/>
      <c r="AX46" s="658"/>
      <c r="AY46" s="658"/>
      <c r="AZ46"/>
    </row>
    <row r="47" spans="1:52" s="815" customFormat="1" ht="6.75" customHeight="1" thickBot="1">
      <c r="A47" s="2013"/>
      <c r="B47" s="344"/>
      <c r="C47" s="253"/>
      <c r="D47" s="253"/>
      <c r="E47" s="253"/>
      <c r="F47" s="253"/>
      <c r="G47" s="253"/>
      <c r="H47" s="379"/>
      <c r="I47" s="7610" t="s">
        <v>6613</v>
      </c>
      <c r="J47" s="7611"/>
      <c r="K47" s="7611"/>
      <c r="L47" s="7611"/>
      <c r="M47" s="7611"/>
      <c r="N47" s="7611"/>
      <c r="O47" s="7611"/>
      <c r="P47" s="7611"/>
      <c r="Q47" s="7611"/>
      <c r="R47" s="7611"/>
      <c r="S47" s="7611"/>
      <c r="T47" s="7611"/>
      <c r="U47" s="7611"/>
      <c r="V47" s="7611"/>
      <c r="W47" s="7611"/>
      <c r="X47" s="7611"/>
      <c r="Y47" s="7611"/>
      <c r="Z47" s="7611"/>
      <c r="AA47" s="7611"/>
      <c r="AB47" s="7612"/>
      <c r="AC47" s="9828"/>
      <c r="AD47" s="9829"/>
      <c r="AE47" s="9829"/>
      <c r="AF47" s="9829"/>
      <c r="AG47" s="9829"/>
      <c r="AH47" s="9829"/>
      <c r="AI47" s="9829"/>
      <c r="AJ47" s="9829"/>
      <c r="AK47" s="2013"/>
      <c r="AL47" s="253"/>
      <c r="AM47" s="253"/>
      <c r="AN47" s="724"/>
      <c r="AP47" s="658"/>
      <c r="AQ47" s="658"/>
      <c r="AR47" s="658"/>
      <c r="AS47" s="658"/>
      <c r="AT47" s="658"/>
      <c r="AU47" s="658"/>
      <c r="AV47" s="658"/>
      <c r="AW47" s="658"/>
      <c r="AX47" s="658"/>
      <c r="AY47" s="658"/>
      <c r="AZ47"/>
    </row>
    <row r="48" spans="1:52" s="815" customFormat="1" ht="16.5" thickBot="1">
      <c r="A48" s="2013"/>
      <c r="B48" s="344" t="s">
        <v>503</v>
      </c>
      <c r="C48" s="253"/>
      <c r="D48" s="253"/>
      <c r="E48" s="253"/>
      <c r="F48" s="253"/>
      <c r="G48" s="253"/>
      <c r="H48" s="379"/>
      <c r="I48" s="7610"/>
      <c r="J48" s="7611"/>
      <c r="K48" s="7611"/>
      <c r="L48" s="7611"/>
      <c r="M48" s="7611"/>
      <c r="N48" s="7611"/>
      <c r="O48" s="7611"/>
      <c r="P48" s="7611"/>
      <c r="Q48" s="7611"/>
      <c r="R48" s="7611"/>
      <c r="S48" s="7611"/>
      <c r="T48" s="7611"/>
      <c r="U48" s="7611"/>
      <c r="V48" s="7611"/>
      <c r="W48" s="7611"/>
      <c r="X48" s="7611"/>
      <c r="Y48" s="7611"/>
      <c r="Z48" s="7611"/>
      <c r="AA48" s="7611"/>
      <c r="AB48" s="7612"/>
      <c r="AC48" s="341"/>
      <c r="AD48" s="9515" t="s">
        <v>3475</v>
      </c>
      <c r="AE48" s="7844"/>
      <c r="AF48" s="7844"/>
      <c r="AG48" s="7844"/>
      <c r="AH48" s="9193">
        <v>24</v>
      </c>
      <c r="AI48" s="9193"/>
      <c r="AJ48" s="253"/>
      <c r="AK48" s="2013"/>
      <c r="AL48" s="6649"/>
      <c r="AM48" s="344" t="s">
        <v>566</v>
      </c>
      <c r="AN48" s="724"/>
      <c r="AP48" s="658"/>
      <c r="AQ48" s="658"/>
      <c r="AR48" s="658"/>
      <c r="AS48" s="658"/>
      <c r="AT48" s="658"/>
      <c r="AU48" s="658"/>
      <c r="AV48" s="658"/>
      <c r="AW48" s="658"/>
      <c r="AX48" s="658"/>
      <c r="AY48" s="658"/>
      <c r="AZ48"/>
    </row>
    <row r="49" spans="1:52" s="815" customFormat="1" ht="15.75" customHeight="1" thickBot="1">
      <c r="A49" s="2013"/>
      <c r="B49" s="498" t="s">
        <v>505</v>
      </c>
      <c r="C49" s="380"/>
      <c r="D49" s="380"/>
      <c r="E49" s="380"/>
      <c r="F49" s="380"/>
      <c r="G49" s="380"/>
      <c r="H49" s="381"/>
      <c r="I49" s="9963" t="s">
        <v>6614</v>
      </c>
      <c r="J49" s="9964"/>
      <c r="K49" s="9964"/>
      <c r="L49" s="9964"/>
      <c r="M49" s="9964"/>
      <c r="N49" s="9964"/>
      <c r="O49" s="9964"/>
      <c r="P49" s="9964"/>
      <c r="Q49" s="9964"/>
      <c r="R49" s="9964"/>
      <c r="S49" s="9964"/>
      <c r="T49" s="9964"/>
      <c r="U49" s="9964"/>
      <c r="V49" s="9964"/>
      <c r="W49" s="9964"/>
      <c r="X49" s="9964"/>
      <c r="Y49" s="9964"/>
      <c r="Z49" s="9964"/>
      <c r="AA49" s="9964"/>
      <c r="AB49" s="9965"/>
      <c r="AC49" s="1197"/>
      <c r="AD49" s="9966" t="s">
        <v>3488</v>
      </c>
      <c r="AE49" s="9967"/>
      <c r="AF49" s="9967"/>
      <c r="AG49" s="9967"/>
      <c r="AH49" s="9974"/>
      <c r="AI49" s="9974"/>
      <c r="AJ49" s="380"/>
      <c r="AK49" s="2013"/>
      <c r="AL49" s="6649" t="s">
        <v>2119</v>
      </c>
      <c r="AM49" s="344" t="s">
        <v>3241</v>
      </c>
      <c r="AN49" s="724"/>
      <c r="AP49" s="658"/>
      <c r="AQ49" s="658"/>
      <c r="AR49" s="658"/>
      <c r="AS49" s="658"/>
      <c r="AT49" s="658"/>
      <c r="AU49" s="658"/>
      <c r="AV49" s="658"/>
      <c r="AW49" s="658"/>
      <c r="AX49" s="658"/>
      <c r="AY49" s="658"/>
      <c r="AZ49"/>
    </row>
    <row r="50" spans="1:52" s="815" customFormat="1">
      <c r="A50" s="2013"/>
      <c r="B50" s="9968" t="s">
        <v>6615</v>
      </c>
      <c r="C50" s="9968"/>
      <c r="D50" s="9968"/>
      <c r="E50" s="9968"/>
      <c r="F50" s="9968"/>
      <c r="G50" s="9968"/>
      <c r="H50" s="9968"/>
      <c r="I50" s="9968"/>
      <c r="J50" s="9968"/>
      <c r="K50" s="9968"/>
      <c r="L50" s="9968"/>
      <c r="M50" s="9968"/>
      <c r="N50" s="9968"/>
      <c r="O50" s="9968"/>
      <c r="P50" s="9968"/>
      <c r="Q50" s="9968"/>
      <c r="R50" s="9968"/>
      <c r="S50" s="9968"/>
      <c r="T50" s="9968"/>
      <c r="U50" s="9968"/>
      <c r="V50" s="9968"/>
      <c r="W50" s="9968"/>
      <c r="X50" s="9968"/>
      <c r="Y50" s="9968"/>
      <c r="Z50" s="9968"/>
      <c r="AA50" s="9969"/>
      <c r="AB50" s="6625" t="s">
        <v>6562</v>
      </c>
      <c r="AC50" s="377"/>
      <c r="AD50" s="6634"/>
      <c r="AE50" s="2289"/>
      <c r="AF50" s="2289"/>
      <c r="AG50" s="2289"/>
      <c r="AH50" s="2289"/>
      <c r="AI50" s="2289"/>
      <c r="AJ50" s="2289"/>
      <c r="AK50" s="2013"/>
      <c r="AL50" s="2741" t="str">
        <f>IF(AND(AL48="",AL49=""),"Choose one.",IF(AND(AL48&lt;&gt;"",AL49&lt;&gt;""),"Chose ONLY one.",""))</f>
        <v/>
      </c>
      <c r="AM50" s="253"/>
      <c r="AN50" s="724"/>
      <c r="AP50" s="658"/>
      <c r="AQ50" s="658"/>
      <c r="AR50" s="658"/>
      <c r="AS50" s="658"/>
      <c r="AT50" s="658"/>
      <c r="AU50" s="658"/>
      <c r="AV50" s="658"/>
      <c r="AW50" s="658"/>
      <c r="AX50" s="658"/>
      <c r="AY50" s="658"/>
      <c r="AZ50"/>
    </row>
    <row r="51" spans="1:52" s="815" customFormat="1" ht="18">
      <c r="A51" s="2013"/>
      <c r="B51" s="9970" t="str">
        <f>IF(AND(AL48&lt;&gt;"",AL49&lt;&gt;""),"",IF(AL48&lt;&gt;"",NameYours,IF(AL49&lt;&gt;"",NameSpouse,"")))</f>
        <v xml:space="preserve"> </v>
      </c>
      <c r="C51" s="9970"/>
      <c r="D51" s="9970"/>
      <c r="E51" s="9970"/>
      <c r="F51" s="9970"/>
      <c r="G51" s="9970"/>
      <c r="H51" s="9970"/>
      <c r="I51" s="9970"/>
      <c r="J51" s="9970"/>
      <c r="K51" s="9970"/>
      <c r="L51" s="9970"/>
      <c r="M51" s="9970"/>
      <c r="N51" s="9970"/>
      <c r="O51" s="9970"/>
      <c r="P51" s="9970"/>
      <c r="Q51" s="9970"/>
      <c r="R51" s="9970"/>
      <c r="S51" s="9970"/>
      <c r="T51" s="9970"/>
      <c r="U51" s="9970"/>
      <c r="V51" s="9970"/>
      <c r="W51" s="9970"/>
      <c r="X51" s="9970"/>
      <c r="Y51" s="9970"/>
      <c r="Z51" s="9970"/>
      <c r="AA51" s="9971"/>
      <c r="AB51" s="9972" t="str">
        <f>IF(AND(AL48&lt;&gt;"",AL49&lt;&gt;""),"",IF(AL48&lt;&gt;"",SS_Yours,IF(AL49&lt;&gt;"",SS_Spouse,"")))</f>
        <v>Filing status?</v>
      </c>
      <c r="AC51" s="9973"/>
      <c r="AD51" s="9973"/>
      <c r="AE51" s="9973"/>
      <c r="AF51" s="9973"/>
      <c r="AG51" s="9973"/>
      <c r="AH51" s="9973"/>
      <c r="AI51" s="9973"/>
      <c r="AJ51" s="9973"/>
      <c r="AK51" s="2013"/>
      <c r="AL51" s="253"/>
      <c r="AM51" s="253"/>
      <c r="AN51" s="724"/>
      <c r="AP51" s="658"/>
      <c r="AQ51" s="658"/>
      <c r="AR51" s="658"/>
      <c r="AS51" s="658"/>
      <c r="AT51" s="658"/>
      <c r="AU51" s="658"/>
      <c r="AV51" s="658"/>
      <c r="AW51" s="658"/>
      <c r="AX51" s="658"/>
      <c r="AY51" s="658"/>
      <c r="AZ51"/>
    </row>
    <row r="52" spans="1:52" s="1115" customFormat="1" ht="15.75" customHeight="1">
      <c r="A52" s="2290"/>
      <c r="B52" s="6657"/>
      <c r="C52" s="9924" t="s">
        <v>6617</v>
      </c>
      <c r="D52" s="9924"/>
      <c r="E52" s="9924"/>
      <c r="F52" s="9924"/>
      <c r="G52" s="9924"/>
      <c r="H52" s="9924"/>
      <c r="I52" s="9924"/>
      <c r="J52" s="9924"/>
      <c r="K52" s="9924"/>
      <c r="L52" s="9924"/>
      <c r="M52" s="9924"/>
      <c r="N52" s="9924"/>
      <c r="O52" s="9924"/>
      <c r="P52" s="9924"/>
      <c r="Q52" s="9924"/>
      <c r="R52" s="9924"/>
      <c r="S52" s="9925"/>
      <c r="T52" s="9930" t="s">
        <v>6616</v>
      </c>
      <c r="U52" s="9931"/>
      <c r="V52" s="9931"/>
      <c r="W52" s="9931"/>
      <c r="X52" s="9936" t="s">
        <v>6637</v>
      </c>
      <c r="Y52" s="9937"/>
      <c r="Z52" s="9937"/>
      <c r="AA52" s="9937"/>
      <c r="AB52" s="9937"/>
      <c r="AC52" s="9938"/>
      <c r="AD52" s="9936" t="s">
        <v>6638</v>
      </c>
      <c r="AE52" s="9937"/>
      <c r="AF52" s="9937"/>
      <c r="AG52" s="9937"/>
      <c r="AH52" s="9937"/>
      <c r="AI52" s="9937"/>
      <c r="AJ52" s="9937"/>
      <c r="AK52" s="2290"/>
      <c r="AL52" s="253"/>
      <c r="AM52" s="253"/>
      <c r="AN52" s="724"/>
      <c r="AP52" s="658"/>
      <c r="AQ52" s="658"/>
      <c r="AR52" s="658"/>
      <c r="AS52" s="658"/>
      <c r="AT52" s="658"/>
      <c r="AU52" s="658"/>
      <c r="AV52" s="658"/>
      <c r="AW52" s="658"/>
      <c r="AX52" s="658"/>
      <c r="AY52" s="658"/>
      <c r="AZ52" s="2293"/>
    </row>
    <row r="53" spans="1:52" s="1115" customFormat="1" ht="15.75" customHeight="1">
      <c r="A53" s="2290"/>
      <c r="B53" s="775">
        <v>1</v>
      </c>
      <c r="C53" s="9926"/>
      <c r="D53" s="9926"/>
      <c r="E53" s="9926"/>
      <c r="F53" s="9926"/>
      <c r="G53" s="9926"/>
      <c r="H53" s="9926"/>
      <c r="I53" s="9926"/>
      <c r="J53" s="9926"/>
      <c r="K53" s="9926"/>
      <c r="L53" s="9926"/>
      <c r="M53" s="9926"/>
      <c r="N53" s="9926"/>
      <c r="O53" s="9926"/>
      <c r="P53" s="9926"/>
      <c r="Q53" s="9926"/>
      <c r="R53" s="9926"/>
      <c r="S53" s="9927"/>
      <c r="T53" s="9932"/>
      <c r="U53" s="9933"/>
      <c r="V53" s="9933"/>
      <c r="W53" s="9933"/>
      <c r="X53" s="9939"/>
      <c r="Y53" s="9940"/>
      <c r="Z53" s="9940"/>
      <c r="AA53" s="9940"/>
      <c r="AB53" s="9940"/>
      <c r="AC53" s="9941"/>
      <c r="AD53" s="9939"/>
      <c r="AE53" s="9940"/>
      <c r="AF53" s="9940"/>
      <c r="AG53" s="9940"/>
      <c r="AH53" s="9940"/>
      <c r="AI53" s="9940"/>
      <c r="AJ53" s="9940"/>
      <c r="AK53" s="2290"/>
      <c r="AL53" s="253"/>
      <c r="AM53" s="253"/>
      <c r="AN53" s="724"/>
      <c r="AP53" s="658"/>
      <c r="AQ53" s="658"/>
      <c r="AR53" s="658"/>
      <c r="AS53" s="658"/>
      <c r="AT53" s="658"/>
      <c r="AU53" s="658"/>
      <c r="AV53" s="658"/>
      <c r="AW53" s="658"/>
      <c r="AX53" s="658"/>
      <c r="AY53" s="658"/>
      <c r="AZ53" s="2293"/>
    </row>
    <row r="54" spans="1:52" s="1115" customFormat="1" ht="15.75" customHeight="1">
      <c r="A54" s="2290"/>
      <c r="B54" s="1672"/>
      <c r="C54" s="9926"/>
      <c r="D54" s="9926"/>
      <c r="E54" s="9926"/>
      <c r="F54" s="9926"/>
      <c r="G54" s="9926"/>
      <c r="H54" s="9926"/>
      <c r="I54" s="9926"/>
      <c r="J54" s="9926"/>
      <c r="K54" s="9926"/>
      <c r="L54" s="9926"/>
      <c r="M54" s="9926"/>
      <c r="N54" s="9926"/>
      <c r="O54" s="9926"/>
      <c r="P54" s="9926"/>
      <c r="Q54" s="9926"/>
      <c r="R54" s="9926"/>
      <c r="S54" s="9927"/>
      <c r="T54" s="9932"/>
      <c r="U54" s="9933"/>
      <c r="V54" s="9933"/>
      <c r="W54" s="9933"/>
      <c r="X54" s="9939"/>
      <c r="Y54" s="9940"/>
      <c r="Z54" s="9940"/>
      <c r="AA54" s="9940"/>
      <c r="AB54" s="9940"/>
      <c r="AC54" s="9941"/>
      <c r="AD54" s="9939"/>
      <c r="AE54" s="9940"/>
      <c r="AF54" s="9940"/>
      <c r="AG54" s="9940"/>
      <c r="AH54" s="9940"/>
      <c r="AI54" s="9940"/>
      <c r="AJ54" s="9940"/>
      <c r="AK54" s="2290"/>
      <c r="AL54" s="253"/>
      <c r="AM54" s="253"/>
      <c r="AN54" s="724"/>
      <c r="AP54" s="658"/>
      <c r="AQ54" s="658"/>
      <c r="AR54" s="658"/>
      <c r="AS54" s="658"/>
      <c r="AT54" s="658"/>
      <c r="AU54" s="658"/>
      <c r="AV54" s="658"/>
      <c r="AW54" s="658"/>
      <c r="AX54" s="658"/>
      <c r="AY54" s="658"/>
      <c r="AZ54" s="2293"/>
    </row>
    <row r="55" spans="1:52" s="1115" customFormat="1" ht="15.75" customHeight="1">
      <c r="A55" s="2290"/>
      <c r="B55" s="1672"/>
      <c r="C55" s="9926"/>
      <c r="D55" s="9926"/>
      <c r="E55" s="9926"/>
      <c r="F55" s="9926"/>
      <c r="G55" s="9926"/>
      <c r="H55" s="9926"/>
      <c r="I55" s="9926"/>
      <c r="J55" s="9926"/>
      <c r="K55" s="9926"/>
      <c r="L55" s="9926"/>
      <c r="M55" s="9926"/>
      <c r="N55" s="9926"/>
      <c r="O55" s="9926"/>
      <c r="P55" s="9926"/>
      <c r="Q55" s="9926"/>
      <c r="R55" s="9926"/>
      <c r="S55" s="9927"/>
      <c r="T55" s="9932"/>
      <c r="U55" s="9933"/>
      <c r="V55" s="9933"/>
      <c r="W55" s="9933"/>
      <c r="X55" s="9939"/>
      <c r="Y55" s="9940"/>
      <c r="Z55" s="9940"/>
      <c r="AA55" s="9940"/>
      <c r="AB55" s="9940"/>
      <c r="AC55" s="9941"/>
      <c r="AD55" s="9939"/>
      <c r="AE55" s="9940"/>
      <c r="AF55" s="9940"/>
      <c r="AG55" s="9940"/>
      <c r="AH55" s="9940"/>
      <c r="AI55" s="9940"/>
      <c r="AJ55" s="9940"/>
      <c r="AK55" s="2290"/>
      <c r="AL55" s="253"/>
      <c r="AM55" s="253"/>
      <c r="AN55" s="724"/>
      <c r="AP55" s="658"/>
      <c r="AQ55" s="658"/>
      <c r="AR55" s="658"/>
      <c r="AS55" s="658"/>
      <c r="AT55" s="658"/>
      <c r="AU55" s="658"/>
      <c r="AV55" s="658"/>
      <c r="AW55" s="658"/>
      <c r="AX55" s="658"/>
      <c r="AY55" s="658"/>
      <c r="AZ55" s="2293"/>
    </row>
    <row r="56" spans="1:52" s="1115" customFormat="1" ht="21" customHeight="1">
      <c r="A56" s="2290"/>
      <c r="B56" s="4487"/>
      <c r="C56" s="9928"/>
      <c r="D56" s="9928"/>
      <c r="E56" s="9928"/>
      <c r="F56" s="9928"/>
      <c r="G56" s="9928"/>
      <c r="H56" s="9928"/>
      <c r="I56" s="9928"/>
      <c r="J56" s="9928"/>
      <c r="K56" s="9928"/>
      <c r="L56" s="9928"/>
      <c r="M56" s="9928"/>
      <c r="N56" s="9928"/>
      <c r="O56" s="9928"/>
      <c r="P56" s="9928"/>
      <c r="Q56" s="9928"/>
      <c r="R56" s="9928"/>
      <c r="S56" s="9929"/>
      <c r="T56" s="9934"/>
      <c r="U56" s="9935"/>
      <c r="V56" s="9935"/>
      <c r="W56" s="9935"/>
      <c r="X56" s="9942"/>
      <c r="Y56" s="9943"/>
      <c r="Z56" s="9943"/>
      <c r="AA56" s="9943"/>
      <c r="AB56" s="9943"/>
      <c r="AC56" s="9944"/>
      <c r="AD56" s="9942"/>
      <c r="AE56" s="9943"/>
      <c r="AF56" s="9943"/>
      <c r="AG56" s="9943"/>
      <c r="AH56" s="9943"/>
      <c r="AI56" s="9943"/>
      <c r="AJ56" s="9943"/>
      <c r="AK56" s="2290"/>
      <c r="AL56" s="253"/>
      <c r="AM56" s="253"/>
      <c r="AN56" s="724"/>
      <c r="AP56" s="658"/>
      <c r="AQ56" s="658"/>
      <c r="AR56" s="658"/>
      <c r="AS56" s="658"/>
      <c r="AT56" s="658"/>
      <c r="AU56" s="658"/>
      <c r="AV56" s="658"/>
      <c r="AW56" s="658"/>
      <c r="AX56" s="658"/>
      <c r="AY56" s="658"/>
      <c r="AZ56" s="2293"/>
    </row>
    <row r="57" spans="1:52" s="1115" customFormat="1" ht="15.75" customHeight="1">
      <c r="A57" s="2290"/>
      <c r="B57" s="9912" t="s">
        <v>510</v>
      </c>
      <c r="C57" s="9922"/>
      <c r="D57" s="9922"/>
      <c r="E57" s="9922"/>
      <c r="F57" s="9922"/>
      <c r="G57" s="9922"/>
      <c r="H57" s="9922"/>
      <c r="I57" s="9922"/>
      <c r="J57" s="9922"/>
      <c r="K57" s="9922"/>
      <c r="L57" s="9922"/>
      <c r="M57" s="9922"/>
      <c r="N57" s="9922"/>
      <c r="O57" s="9922"/>
      <c r="P57" s="9922"/>
      <c r="Q57" s="9922"/>
      <c r="R57" s="9922"/>
      <c r="S57" s="9923"/>
      <c r="T57" s="6655"/>
      <c r="U57" s="6656"/>
      <c r="V57" s="2291"/>
      <c r="W57" s="2291"/>
      <c r="X57" s="6630"/>
      <c r="Y57" s="6656"/>
      <c r="Z57" s="6656"/>
      <c r="AA57" s="6656"/>
      <c r="AB57" s="6656"/>
      <c r="AC57" s="6656"/>
      <c r="AD57" s="9920" t="b">
        <f>AD58&gt;X58</f>
        <v>0</v>
      </c>
      <c r="AE57" s="9921"/>
      <c r="AF57" s="9921"/>
      <c r="AG57" s="9921"/>
      <c r="AH57" s="9921"/>
      <c r="AI57" s="9921"/>
      <c r="AJ57" s="9921"/>
      <c r="AK57" s="2290"/>
      <c r="AL57" s="9975" t="str">
        <f>IF(OR(AD57,AD59,AD61,AD63,AD65),"Error:"&amp;CHAR(10)&amp;"Total cash and charge tips received CANNOT be less than or equal to the total cash and charge tips reported.","")</f>
        <v/>
      </c>
      <c r="AM57" s="9975"/>
      <c r="AN57" s="724"/>
      <c r="AP57" s="658"/>
      <c r="AQ57" s="658"/>
      <c r="AR57" s="658"/>
      <c r="AS57" s="658"/>
      <c r="AT57" s="658"/>
      <c r="AU57" s="658"/>
      <c r="AV57" s="658"/>
      <c r="AW57" s="658"/>
      <c r="AX57" s="658"/>
      <c r="AY57" s="658"/>
      <c r="AZ57" s="2293"/>
    </row>
    <row r="58" spans="1:52" s="1115" customFormat="1" ht="18" customHeight="1">
      <c r="A58" s="2290"/>
      <c r="B58" s="9913"/>
      <c r="C58" s="7146"/>
      <c r="D58" s="7146"/>
      <c r="E58" s="7146"/>
      <c r="F58" s="7146"/>
      <c r="G58" s="7146"/>
      <c r="H58" s="7146"/>
      <c r="I58" s="7146"/>
      <c r="J58" s="7146"/>
      <c r="K58" s="7146"/>
      <c r="L58" s="7146"/>
      <c r="M58" s="7146"/>
      <c r="N58" s="7146"/>
      <c r="O58" s="7146"/>
      <c r="P58" s="7146"/>
      <c r="Q58" s="7146"/>
      <c r="R58" s="7146"/>
      <c r="S58" s="7147"/>
      <c r="T58" s="9916"/>
      <c r="U58" s="9917"/>
      <c r="V58" s="9917"/>
      <c r="W58" s="9918"/>
      <c r="X58" s="9905"/>
      <c r="Y58" s="9906"/>
      <c r="Z58" s="9906"/>
      <c r="AA58" s="9906"/>
      <c r="AB58" s="9906"/>
      <c r="AC58" s="9919"/>
      <c r="AD58" s="9905"/>
      <c r="AE58" s="9906"/>
      <c r="AF58" s="9906"/>
      <c r="AG58" s="9906"/>
      <c r="AH58" s="9906"/>
      <c r="AI58" s="9906"/>
      <c r="AJ58" s="9906"/>
      <c r="AK58" s="2290"/>
      <c r="AL58" s="9975"/>
      <c r="AM58" s="9975"/>
      <c r="AN58" s="724" t="b">
        <f>AND(X58="",AD58="")</f>
        <v>1</v>
      </c>
      <c r="AP58" s="658"/>
      <c r="AQ58" s="658"/>
      <c r="AR58" s="658"/>
      <c r="AS58" s="658"/>
      <c r="AT58" s="658"/>
      <c r="AU58" s="658"/>
      <c r="AV58" s="658"/>
      <c r="AW58" s="658"/>
      <c r="AX58" s="658"/>
      <c r="AY58" s="658"/>
      <c r="AZ58" s="2293"/>
    </row>
    <row r="59" spans="1:52" s="1115" customFormat="1" ht="15.75" customHeight="1">
      <c r="A59" s="2290"/>
      <c r="B59" s="9912" t="s">
        <v>516</v>
      </c>
      <c r="C59" s="9914" t="str">
        <f>IF(N59,'W-2s'!C45,"")</f>
        <v/>
      </c>
      <c r="D59" s="9914"/>
      <c r="E59" s="9914"/>
      <c r="F59" s="9914"/>
      <c r="G59" s="9914"/>
      <c r="H59" s="9914"/>
      <c r="I59" s="9914"/>
      <c r="J59" s="9914"/>
      <c r="K59" s="9914"/>
      <c r="L59" s="9914"/>
      <c r="M59" s="9914"/>
      <c r="N59" s="9914"/>
      <c r="O59" s="9914"/>
      <c r="P59" s="9914"/>
      <c r="Q59" s="9914"/>
      <c r="R59" s="9914"/>
      <c r="S59" s="9915"/>
      <c r="T59" s="6655"/>
      <c r="U59" s="6656"/>
      <c r="V59" s="2291"/>
      <c r="W59" s="2291"/>
      <c r="X59" s="6630"/>
      <c r="Y59" s="6656"/>
      <c r="Z59" s="6656"/>
      <c r="AA59" s="6656"/>
      <c r="AB59" s="6656"/>
      <c r="AC59" s="6656"/>
      <c r="AD59" s="9920" t="b">
        <f>AD60&gt;X60</f>
        <v>0</v>
      </c>
      <c r="AE59" s="9921"/>
      <c r="AF59" s="9921"/>
      <c r="AG59" s="9921"/>
      <c r="AH59" s="9921"/>
      <c r="AI59" s="9921"/>
      <c r="AJ59" s="9921"/>
      <c r="AK59" s="2290"/>
      <c r="AL59" s="9975"/>
      <c r="AM59" s="9975"/>
      <c r="AN59" s="724"/>
      <c r="AP59" s="658"/>
      <c r="AQ59" s="658"/>
      <c r="AR59" s="658"/>
      <c r="AS59" s="658"/>
      <c r="AT59" s="658"/>
      <c r="AU59" s="658"/>
      <c r="AV59" s="658"/>
      <c r="AW59" s="658"/>
      <c r="AX59" s="658"/>
      <c r="AY59" s="658"/>
      <c r="AZ59" s="2293"/>
    </row>
    <row r="60" spans="1:52" s="1115" customFormat="1" ht="18" customHeight="1">
      <c r="A60" s="2290"/>
      <c r="B60" s="9913"/>
      <c r="C60" s="7046"/>
      <c r="D60" s="7046"/>
      <c r="E60" s="7046"/>
      <c r="F60" s="7046"/>
      <c r="G60" s="7046"/>
      <c r="H60" s="7046"/>
      <c r="I60" s="7046"/>
      <c r="J60" s="7046"/>
      <c r="K60" s="7046"/>
      <c r="L60" s="7046"/>
      <c r="M60" s="7046"/>
      <c r="N60" s="7046"/>
      <c r="O60" s="7046"/>
      <c r="P60" s="7046"/>
      <c r="Q60" s="7046"/>
      <c r="R60" s="7046"/>
      <c r="S60" s="7047"/>
      <c r="T60" s="9916"/>
      <c r="U60" s="9917"/>
      <c r="V60" s="9917"/>
      <c r="W60" s="9918"/>
      <c r="X60" s="9905"/>
      <c r="Y60" s="9906"/>
      <c r="Z60" s="9906"/>
      <c r="AA60" s="9906"/>
      <c r="AB60" s="9906"/>
      <c r="AC60" s="9919"/>
      <c r="AD60" s="9905"/>
      <c r="AE60" s="9906"/>
      <c r="AF60" s="9906"/>
      <c r="AG60" s="9906"/>
      <c r="AH60" s="9906"/>
      <c r="AI60" s="9906"/>
      <c r="AJ60" s="9906"/>
      <c r="AK60" s="2290"/>
      <c r="AL60" s="9975"/>
      <c r="AM60" s="9975"/>
      <c r="AN60" s="724" t="b">
        <f>AND(X60="",AD60="")</f>
        <v>1</v>
      </c>
      <c r="AP60" s="658"/>
      <c r="AQ60" s="658"/>
      <c r="AR60" s="658"/>
      <c r="AS60" s="658"/>
      <c r="AT60" s="658"/>
      <c r="AU60" s="658"/>
      <c r="AV60" s="658"/>
      <c r="AW60" s="658"/>
      <c r="AX60" s="658"/>
      <c r="AY60" s="658"/>
      <c r="AZ60" s="2293"/>
    </row>
    <row r="61" spans="1:52" s="1115" customFormat="1" ht="15.75" customHeight="1">
      <c r="A61" s="2290"/>
      <c r="B61" s="9912" t="s">
        <v>518</v>
      </c>
      <c r="C61" s="9914" t="str">
        <f>IF(N61,'W-2s'!C47,"")</f>
        <v/>
      </c>
      <c r="D61" s="9914"/>
      <c r="E61" s="9914"/>
      <c r="F61" s="9914"/>
      <c r="G61" s="9914"/>
      <c r="H61" s="9914"/>
      <c r="I61" s="9914"/>
      <c r="J61" s="9914"/>
      <c r="K61" s="9914"/>
      <c r="L61" s="9914"/>
      <c r="M61" s="9914"/>
      <c r="N61" s="9914"/>
      <c r="O61" s="9914"/>
      <c r="P61" s="9914"/>
      <c r="Q61" s="9914"/>
      <c r="R61" s="9914"/>
      <c r="S61" s="9915"/>
      <c r="T61" s="6655"/>
      <c r="U61" s="6656"/>
      <c r="V61" s="2291"/>
      <c r="W61" s="2291"/>
      <c r="X61" s="6630"/>
      <c r="Y61" s="6656"/>
      <c r="Z61" s="6656"/>
      <c r="AA61" s="6656"/>
      <c r="AB61" s="6656"/>
      <c r="AC61" s="6656"/>
      <c r="AD61" s="9920" t="b">
        <f>AD62&gt;X62</f>
        <v>0</v>
      </c>
      <c r="AE61" s="9921"/>
      <c r="AF61" s="9921"/>
      <c r="AG61" s="9921"/>
      <c r="AH61" s="9921"/>
      <c r="AI61" s="9921"/>
      <c r="AJ61" s="9921"/>
      <c r="AK61" s="2290"/>
      <c r="AL61" s="9975"/>
      <c r="AM61" s="9975"/>
      <c r="AN61" s="724"/>
      <c r="AP61" s="658"/>
      <c r="AQ61" s="658"/>
      <c r="AR61" s="658"/>
      <c r="AS61" s="658"/>
      <c r="AT61" s="658"/>
      <c r="AU61" s="658"/>
      <c r="AV61" s="658"/>
      <c r="AW61" s="658"/>
      <c r="AX61" s="658"/>
      <c r="AY61" s="658"/>
      <c r="AZ61" s="2293"/>
    </row>
    <row r="62" spans="1:52" s="1115" customFormat="1" ht="18" customHeight="1">
      <c r="A62" s="2290"/>
      <c r="B62" s="9913"/>
      <c r="C62" s="7046"/>
      <c r="D62" s="7046"/>
      <c r="E62" s="7046"/>
      <c r="F62" s="7046"/>
      <c r="G62" s="7046"/>
      <c r="H62" s="7046"/>
      <c r="I62" s="7046"/>
      <c r="J62" s="7046"/>
      <c r="K62" s="7046"/>
      <c r="L62" s="7046"/>
      <c r="M62" s="7046"/>
      <c r="N62" s="7046"/>
      <c r="O62" s="7046"/>
      <c r="P62" s="7046"/>
      <c r="Q62" s="7046"/>
      <c r="R62" s="7046"/>
      <c r="S62" s="7047"/>
      <c r="T62" s="9916"/>
      <c r="U62" s="9917"/>
      <c r="V62" s="9917"/>
      <c r="W62" s="9918"/>
      <c r="X62" s="9905"/>
      <c r="Y62" s="9906"/>
      <c r="Z62" s="9906"/>
      <c r="AA62" s="9906"/>
      <c r="AB62" s="9906"/>
      <c r="AC62" s="9919"/>
      <c r="AD62" s="9905"/>
      <c r="AE62" s="9906"/>
      <c r="AF62" s="9906"/>
      <c r="AG62" s="9906"/>
      <c r="AH62" s="9906"/>
      <c r="AI62" s="9906"/>
      <c r="AJ62" s="9906"/>
      <c r="AK62" s="2290"/>
      <c r="AL62" s="9975"/>
      <c r="AM62" s="9975"/>
      <c r="AN62" s="724" t="b">
        <f>AND(X62="",AD62="")</f>
        <v>1</v>
      </c>
      <c r="AP62" s="658"/>
      <c r="AQ62" s="658"/>
      <c r="AR62" s="658"/>
      <c r="AS62" s="658"/>
      <c r="AT62" s="658"/>
      <c r="AU62" s="658"/>
      <c r="AV62" s="658"/>
      <c r="AW62" s="658"/>
      <c r="AX62" s="658"/>
      <c r="AY62" s="658"/>
      <c r="AZ62" s="2293"/>
    </row>
    <row r="63" spans="1:52" s="1115" customFormat="1" ht="15.75" customHeight="1">
      <c r="A63" s="2290"/>
      <c r="B63" s="9912" t="s">
        <v>521</v>
      </c>
      <c r="C63" s="9914" t="str">
        <f>IF(N63,'W-2s'!C49,"")</f>
        <v/>
      </c>
      <c r="D63" s="9914"/>
      <c r="E63" s="9914"/>
      <c r="F63" s="9914"/>
      <c r="G63" s="9914"/>
      <c r="H63" s="9914"/>
      <c r="I63" s="9914"/>
      <c r="J63" s="9914"/>
      <c r="K63" s="9914"/>
      <c r="L63" s="9914"/>
      <c r="M63" s="9914"/>
      <c r="N63" s="9914"/>
      <c r="O63" s="9914"/>
      <c r="P63" s="9914"/>
      <c r="Q63" s="9914"/>
      <c r="R63" s="9914"/>
      <c r="S63" s="9915"/>
      <c r="T63" s="6655"/>
      <c r="U63" s="6656"/>
      <c r="V63" s="2291"/>
      <c r="W63" s="2291"/>
      <c r="X63" s="6630"/>
      <c r="Y63" s="6656"/>
      <c r="Z63" s="6656"/>
      <c r="AA63" s="6656"/>
      <c r="AB63" s="6656"/>
      <c r="AC63" s="6656"/>
      <c r="AD63" s="9920" t="b">
        <f>AD64&gt;X64</f>
        <v>0</v>
      </c>
      <c r="AE63" s="9921"/>
      <c r="AF63" s="9921"/>
      <c r="AG63" s="9921"/>
      <c r="AH63" s="9921"/>
      <c r="AI63" s="9921"/>
      <c r="AJ63" s="9921"/>
      <c r="AK63" s="2290"/>
      <c r="AL63" s="9975"/>
      <c r="AM63" s="9975"/>
      <c r="AN63" s="724"/>
      <c r="AP63" s="658"/>
      <c r="AQ63" s="658"/>
      <c r="AR63" s="658"/>
      <c r="AS63" s="658"/>
      <c r="AT63" s="658"/>
      <c r="AU63" s="658"/>
      <c r="AV63" s="658"/>
      <c r="AW63" s="658"/>
      <c r="AX63" s="658"/>
      <c r="AY63" s="658"/>
      <c r="AZ63" s="2293"/>
    </row>
    <row r="64" spans="1:52" s="1115" customFormat="1" ht="18" customHeight="1">
      <c r="A64" s="2290"/>
      <c r="B64" s="9913"/>
      <c r="C64" s="7046"/>
      <c r="D64" s="7046"/>
      <c r="E64" s="7046"/>
      <c r="F64" s="7046"/>
      <c r="G64" s="7046"/>
      <c r="H64" s="7046"/>
      <c r="I64" s="7046"/>
      <c r="J64" s="7046"/>
      <c r="K64" s="7046"/>
      <c r="L64" s="7046"/>
      <c r="M64" s="7046"/>
      <c r="N64" s="7046"/>
      <c r="O64" s="7046"/>
      <c r="P64" s="7046"/>
      <c r="Q64" s="7046"/>
      <c r="R64" s="7046"/>
      <c r="S64" s="7047"/>
      <c r="T64" s="9916"/>
      <c r="U64" s="9917"/>
      <c r="V64" s="9917"/>
      <c r="W64" s="9918"/>
      <c r="X64" s="9905"/>
      <c r="Y64" s="9906"/>
      <c r="Z64" s="9906"/>
      <c r="AA64" s="9906"/>
      <c r="AB64" s="9906"/>
      <c r="AC64" s="9919"/>
      <c r="AD64" s="9905"/>
      <c r="AE64" s="9906"/>
      <c r="AF64" s="9906"/>
      <c r="AG64" s="9906"/>
      <c r="AH64" s="9906"/>
      <c r="AI64" s="9906"/>
      <c r="AJ64" s="9906"/>
      <c r="AK64" s="2290"/>
      <c r="AL64" s="9975"/>
      <c r="AM64" s="9975"/>
      <c r="AN64" s="724" t="b">
        <f>AND(X64="",AD64="")</f>
        <v>1</v>
      </c>
      <c r="AP64" s="658"/>
      <c r="AQ64" s="658"/>
      <c r="AR64" s="658"/>
      <c r="AS64" s="658"/>
      <c r="AT64" s="658"/>
      <c r="AU64" s="658"/>
      <c r="AV64" s="658"/>
      <c r="AW64" s="658"/>
      <c r="AX64" s="658"/>
      <c r="AY64" s="658"/>
      <c r="AZ64" s="2293"/>
    </row>
    <row r="65" spans="1:52" s="1115" customFormat="1" ht="15.75" customHeight="1">
      <c r="A65" s="2290"/>
      <c r="B65" s="9912" t="s">
        <v>524</v>
      </c>
      <c r="C65" s="9914" t="str">
        <f>IF(N65,'W-2s'!C51,"")</f>
        <v/>
      </c>
      <c r="D65" s="9914"/>
      <c r="E65" s="9914"/>
      <c r="F65" s="9914"/>
      <c r="G65" s="9914"/>
      <c r="H65" s="9914"/>
      <c r="I65" s="9914"/>
      <c r="J65" s="9914"/>
      <c r="K65" s="9914"/>
      <c r="L65" s="9914"/>
      <c r="M65" s="9914"/>
      <c r="N65" s="9914"/>
      <c r="O65" s="9914"/>
      <c r="P65" s="9914"/>
      <c r="Q65" s="9914"/>
      <c r="R65" s="9914"/>
      <c r="S65" s="9915"/>
      <c r="T65" s="6655"/>
      <c r="U65" s="6656"/>
      <c r="V65" s="2291"/>
      <c r="W65" s="2291"/>
      <c r="X65" s="6630"/>
      <c r="Y65" s="6656"/>
      <c r="Z65" s="6656"/>
      <c r="AA65" s="6656"/>
      <c r="AB65" s="6656"/>
      <c r="AC65" s="6656"/>
      <c r="AD65" s="9920" t="b">
        <f>AD66&gt;X66</f>
        <v>0</v>
      </c>
      <c r="AE65" s="9921"/>
      <c r="AF65" s="9921"/>
      <c r="AG65" s="9921"/>
      <c r="AH65" s="9921"/>
      <c r="AI65" s="9921"/>
      <c r="AJ65" s="9921"/>
      <c r="AK65" s="2290"/>
      <c r="AL65" s="9975"/>
      <c r="AM65" s="9975"/>
      <c r="AN65" s="724"/>
      <c r="AP65" s="658"/>
      <c r="AQ65" s="658"/>
      <c r="AR65" s="658"/>
      <c r="AS65" s="658"/>
      <c r="AT65" s="658"/>
      <c r="AU65" s="658"/>
      <c r="AV65" s="658"/>
      <c r="AW65" s="658"/>
      <c r="AX65" s="658"/>
      <c r="AY65" s="658"/>
      <c r="AZ65" s="2293"/>
    </row>
    <row r="66" spans="1:52" s="1115" customFormat="1" ht="18" customHeight="1">
      <c r="A66" s="2290"/>
      <c r="B66" s="9913"/>
      <c r="C66" s="7046"/>
      <c r="D66" s="7046"/>
      <c r="E66" s="7046"/>
      <c r="F66" s="7046"/>
      <c r="G66" s="7046"/>
      <c r="H66" s="7046"/>
      <c r="I66" s="7046"/>
      <c r="J66" s="7046"/>
      <c r="K66" s="7046"/>
      <c r="L66" s="7046"/>
      <c r="M66" s="7046"/>
      <c r="N66" s="7046"/>
      <c r="O66" s="7046"/>
      <c r="P66" s="7046"/>
      <c r="Q66" s="7046"/>
      <c r="R66" s="7046"/>
      <c r="S66" s="7047"/>
      <c r="T66" s="9916"/>
      <c r="U66" s="9917"/>
      <c r="V66" s="9917"/>
      <c r="W66" s="9918"/>
      <c r="X66" s="9905"/>
      <c r="Y66" s="9906"/>
      <c r="Z66" s="9906"/>
      <c r="AA66" s="9906"/>
      <c r="AB66" s="9906"/>
      <c r="AC66" s="9919"/>
      <c r="AD66" s="9905"/>
      <c r="AE66" s="9906"/>
      <c r="AF66" s="9906"/>
      <c r="AG66" s="9906"/>
      <c r="AH66" s="9906"/>
      <c r="AI66" s="9906"/>
      <c r="AJ66" s="9906"/>
      <c r="AK66" s="2290"/>
      <c r="AL66" s="9975"/>
      <c r="AM66" s="9975"/>
      <c r="AN66" s="724" t="b">
        <f>AND(X66="",AD66="")</f>
        <v>1</v>
      </c>
      <c r="AP66" s="658"/>
      <c r="AQ66" s="658"/>
      <c r="AR66" s="658"/>
      <c r="AS66" s="658"/>
      <c r="AT66" s="658"/>
      <c r="AU66" s="658"/>
      <c r="AV66" s="658"/>
      <c r="AW66" s="658"/>
      <c r="AX66" s="658"/>
      <c r="AY66" s="658"/>
      <c r="AZ66" s="2293"/>
    </row>
    <row r="67" spans="1:52" s="1115" customFormat="1" ht="15.75" customHeight="1">
      <c r="A67" s="2290"/>
      <c r="B67" s="775">
        <v>2</v>
      </c>
      <c r="C67" s="1323" t="s">
        <v>6639</v>
      </c>
      <c r="D67" s="6626"/>
      <c r="E67" s="4904"/>
      <c r="F67" s="6628"/>
      <c r="G67" s="1323"/>
      <c r="H67" s="4524"/>
      <c r="I67" s="4524"/>
      <c r="J67" s="4524"/>
      <c r="K67" s="4524"/>
      <c r="L67" s="4524"/>
      <c r="M67" s="5995" t="str">
        <f>"in "&amp;TaxYear&amp;". Add the amounts from line 1,"</f>
        <v>in 2025. Add the amounts from line 1,</v>
      </c>
      <c r="N67" s="4524"/>
      <c r="O67" s="4524"/>
      <c r="P67" s="4524"/>
      <c r="Q67" s="4524"/>
      <c r="R67" s="4524"/>
      <c r="S67" s="4524"/>
      <c r="T67" s="4524"/>
      <c r="U67" s="4524"/>
      <c r="V67" s="4524"/>
      <c r="W67" s="4524"/>
      <c r="X67" s="6633"/>
      <c r="Y67" s="6630"/>
      <c r="Z67" s="2291"/>
      <c r="AA67" s="2291"/>
      <c r="AB67" s="2291"/>
      <c r="AC67" s="2291"/>
      <c r="AD67" s="6637"/>
      <c r="AE67" s="9907"/>
      <c r="AF67" s="9908"/>
      <c r="AG67" s="9908"/>
      <c r="AH67" s="9908"/>
      <c r="AI67" s="9908"/>
      <c r="AJ67" s="9908"/>
      <c r="AK67" s="2290"/>
      <c r="AL67" s="253"/>
      <c r="AM67" s="253"/>
      <c r="AN67" s="724"/>
      <c r="AP67" s="658"/>
      <c r="AQ67" s="658"/>
      <c r="AR67" s="658"/>
      <c r="AS67" s="658"/>
      <c r="AT67" s="658"/>
      <c r="AU67" s="658"/>
      <c r="AV67" s="658"/>
      <c r="AW67" s="658"/>
      <c r="AX67" s="658"/>
      <c r="AY67" s="658"/>
      <c r="AZ67" s="2293"/>
    </row>
    <row r="68" spans="1:52" s="1115" customFormat="1" ht="18.75" customHeight="1">
      <c r="A68" s="2290"/>
      <c r="B68" s="4904"/>
      <c r="C68" s="1323" t="s">
        <v>6618</v>
      </c>
      <c r="D68" s="6626"/>
      <c r="E68" s="4904"/>
      <c r="F68" s="6628"/>
      <c r="G68" s="1323"/>
      <c r="H68" s="4524"/>
      <c r="I68" s="4524"/>
      <c r="J68" s="4524"/>
      <c r="K68" s="4524"/>
      <c r="L68" s="4524"/>
      <c r="M68" s="4524"/>
      <c r="N68" s="4524"/>
      <c r="O68" s="4524"/>
      <c r="P68" s="4524"/>
      <c r="Q68" s="4524"/>
      <c r="R68" s="4524"/>
      <c r="S68" s="4524"/>
      <c r="T68" s="4524"/>
      <c r="U68" s="4524"/>
      <c r="V68" s="4524"/>
      <c r="W68" s="6653" t="s">
        <v>6641</v>
      </c>
      <c r="X68" s="6635">
        <v>2</v>
      </c>
      <c r="Y68" s="9909" t="str">
        <f>IF(AN68,"",SUM(X58,X60,X62,X64,X66))</f>
        <v/>
      </c>
      <c r="Z68" s="9910"/>
      <c r="AA68" s="9910"/>
      <c r="AB68" s="9910"/>
      <c r="AC68" s="9911"/>
      <c r="AD68" s="6639"/>
      <c r="AE68" s="4524"/>
      <c r="AF68" s="4524"/>
      <c r="AG68" s="4524"/>
      <c r="AH68" s="4524"/>
      <c r="AI68" s="4521"/>
      <c r="AJ68" s="4521"/>
      <c r="AK68" s="2290"/>
      <c r="AL68" s="253"/>
      <c r="AM68" s="6644"/>
      <c r="AN68" s="724" t="b">
        <f>AND(AN58,AN60,AN62,AN64,AN66,AM68="")</f>
        <v>1</v>
      </c>
      <c r="AP68" s="658"/>
      <c r="AQ68" s="658"/>
      <c r="AR68" s="658"/>
      <c r="AS68" s="658"/>
      <c r="AT68" s="658"/>
      <c r="AU68" s="658"/>
      <c r="AV68" s="658"/>
      <c r="AW68" s="658"/>
      <c r="AX68" s="658"/>
      <c r="AY68" s="658"/>
      <c r="AZ68" s="2293"/>
    </row>
    <row r="69" spans="1:52" s="1115" customFormat="1" ht="15.75" customHeight="1">
      <c r="A69" s="2290"/>
      <c r="B69" s="775">
        <v>3</v>
      </c>
      <c r="C69" s="1323" t="s">
        <v>6640</v>
      </c>
      <c r="D69" s="1323"/>
      <c r="E69" s="4904"/>
      <c r="F69" s="6628"/>
      <c r="G69" s="1323"/>
      <c r="H69" s="4904"/>
      <c r="I69" s="4904"/>
      <c r="J69" s="4904"/>
      <c r="K69" s="4904"/>
      <c r="L69" s="4904"/>
      <c r="M69" s="4904"/>
      <c r="N69" s="4904"/>
      <c r="O69" s="4904"/>
      <c r="P69" s="4904"/>
      <c r="Q69" s="4904"/>
      <c r="R69" s="4904" t="str">
        <f>"in "&amp;TaxYear&amp;". Add the amounts from line 1,"</f>
        <v>in 2025. Add the amounts from line 1,</v>
      </c>
      <c r="S69" s="4904"/>
      <c r="T69" s="4904"/>
      <c r="U69" s="4904"/>
      <c r="V69" s="4904"/>
      <c r="W69" s="4904"/>
      <c r="X69" s="4524"/>
      <c r="Y69" s="4524"/>
      <c r="Z69" s="4524"/>
      <c r="AA69" s="4524"/>
      <c r="AB69" s="4524"/>
      <c r="AC69" s="4524"/>
      <c r="AD69" s="6639"/>
      <c r="AE69" s="4524"/>
      <c r="AF69" s="4524"/>
      <c r="AG69" s="4524"/>
      <c r="AH69" s="4524"/>
      <c r="AI69" s="4521"/>
      <c r="AJ69" s="4521"/>
      <c r="AK69" s="2290"/>
      <c r="AL69" s="253"/>
      <c r="AM69" s="253"/>
      <c r="AN69" s="724"/>
      <c r="AP69" s="658"/>
      <c r="AQ69" s="658"/>
      <c r="AR69" s="658"/>
      <c r="AS69" s="658"/>
      <c r="AT69" s="658"/>
      <c r="AU69" s="658"/>
      <c r="AV69" s="658"/>
      <c r="AW69" s="658"/>
      <c r="AX69" s="658"/>
      <c r="AY69" s="658"/>
      <c r="AZ69" s="2293"/>
    </row>
    <row r="70" spans="1:52" s="1115" customFormat="1" ht="20.25" customHeight="1">
      <c r="A70" s="2290"/>
      <c r="B70" s="775"/>
      <c r="C70" s="1323" t="s">
        <v>6619</v>
      </c>
      <c r="D70" s="1323"/>
      <c r="E70" s="4904"/>
      <c r="F70" s="6628"/>
      <c r="G70" s="1323"/>
      <c r="H70" s="4524"/>
      <c r="I70" s="4524"/>
      <c r="J70" s="4524"/>
      <c r="K70" s="4524"/>
      <c r="L70" s="4524"/>
      <c r="M70" s="4524"/>
      <c r="N70" s="4524"/>
      <c r="O70" s="4524"/>
      <c r="P70" s="4524"/>
      <c r="Q70" s="4524"/>
      <c r="R70" s="4524"/>
      <c r="S70" s="4524"/>
      <c r="T70" s="4524"/>
      <c r="U70" s="4524"/>
      <c r="V70" s="4524"/>
      <c r="W70" s="4524"/>
      <c r="X70" s="4524"/>
      <c r="Y70" s="4524"/>
      <c r="Z70" s="4524"/>
      <c r="AA70" s="4524"/>
      <c r="AB70" s="4524"/>
      <c r="AC70" s="6653" t="s">
        <v>6642</v>
      </c>
      <c r="AD70" s="6635">
        <v>3</v>
      </c>
      <c r="AE70" s="9909" t="str">
        <f>IF(AN70,"",SUM(AD58,AD60,AD62,AD64,AD66))</f>
        <v/>
      </c>
      <c r="AF70" s="9910"/>
      <c r="AG70" s="9910"/>
      <c r="AH70" s="9910"/>
      <c r="AI70" s="9910"/>
      <c r="AJ70" s="9910"/>
      <c r="AK70" s="2290"/>
      <c r="AL70" s="253"/>
      <c r="AM70" s="6644"/>
      <c r="AN70" s="724" t="b">
        <f>AND(AN68,AM70="")</f>
        <v>1</v>
      </c>
      <c r="AP70" s="658"/>
      <c r="AQ70" s="658"/>
      <c r="AR70" s="658"/>
      <c r="AS70" s="658"/>
      <c r="AT70" s="658"/>
      <c r="AU70" s="658"/>
      <c r="AV70" s="658"/>
      <c r="AW70" s="658"/>
      <c r="AX70" s="658"/>
      <c r="AY70" s="658"/>
      <c r="AZ70" s="2293"/>
    </row>
    <row r="71" spans="1:52" s="1115" customFormat="1" ht="15.75" customHeight="1">
      <c r="A71" s="2290"/>
      <c r="B71" s="775">
        <v>4</v>
      </c>
      <c r="C71" s="1405" t="s">
        <v>6620</v>
      </c>
      <c r="D71" s="1323"/>
      <c r="E71" s="4904"/>
      <c r="F71" s="6628"/>
      <c r="G71" s="1323"/>
      <c r="H71" s="4524"/>
      <c r="I71" s="4524"/>
      <c r="J71" s="4524"/>
      <c r="K71" s="4524"/>
      <c r="L71" s="4524"/>
      <c r="M71" s="4524"/>
      <c r="N71" s="4524"/>
      <c r="O71" s="4524"/>
      <c r="P71" s="4524"/>
      <c r="Q71" s="4524"/>
      <c r="R71" s="4524"/>
      <c r="S71" s="4524"/>
      <c r="T71" s="4524"/>
      <c r="U71" s="4524"/>
      <c r="V71" s="4524"/>
      <c r="W71" s="4524"/>
      <c r="X71" s="4524"/>
      <c r="Y71" s="4524"/>
      <c r="Z71" s="4524"/>
      <c r="AA71" s="4524"/>
      <c r="AB71" s="4524"/>
      <c r="AC71" s="4524"/>
      <c r="AD71" s="6658"/>
      <c r="AE71" s="6659"/>
      <c r="AF71" s="6659"/>
      <c r="AG71" s="6659"/>
      <c r="AH71" s="6659"/>
      <c r="AI71" s="6659"/>
      <c r="AJ71" s="6659"/>
      <c r="AK71" s="2290"/>
      <c r="AL71" s="253"/>
      <c r="AM71" s="253"/>
      <c r="AN71" s="724"/>
      <c r="AP71" s="658"/>
      <c r="AQ71" s="658"/>
      <c r="AR71" s="658"/>
      <c r="AS71" s="658"/>
      <c r="AT71" s="658"/>
      <c r="AU71" s="658"/>
      <c r="AV71" s="658"/>
      <c r="AW71" s="658"/>
      <c r="AX71" s="658"/>
      <c r="AY71" s="658"/>
      <c r="AZ71" s="2293"/>
    </row>
    <row r="72" spans="1:52" s="1115" customFormat="1" ht="18" customHeight="1">
      <c r="A72" s="2290"/>
      <c r="B72" s="775"/>
      <c r="C72" s="1405" t="s">
        <v>6621</v>
      </c>
      <c r="D72" s="1323"/>
      <c r="E72" s="4904"/>
      <c r="F72" s="6628"/>
      <c r="G72" s="1323"/>
      <c r="H72" s="4524"/>
      <c r="I72" s="4524"/>
      <c r="J72" s="4524"/>
      <c r="K72" s="4524"/>
      <c r="L72" s="4524"/>
      <c r="M72" s="4524"/>
      <c r="N72" s="4524"/>
      <c r="O72" s="4524"/>
      <c r="P72" s="4524"/>
      <c r="Q72" s="4524"/>
      <c r="R72" s="4524"/>
      <c r="S72" s="4524"/>
      <c r="T72" s="4524"/>
      <c r="U72" s="4524"/>
      <c r="V72" s="4524"/>
      <c r="W72" s="4524"/>
      <c r="X72" s="4524"/>
      <c r="Y72" s="4524"/>
      <c r="Z72" s="4524"/>
      <c r="AA72" s="4524"/>
      <c r="AB72" s="4524"/>
      <c r="AC72" s="6653" t="s">
        <v>6643</v>
      </c>
      <c r="AD72" s="6635">
        <v>4</v>
      </c>
      <c r="AE72" s="9909" t="str">
        <f>IF(AN70,"",SUM(Y68,-AE70))</f>
        <v/>
      </c>
      <c r="AF72" s="9910"/>
      <c r="AG72" s="9910"/>
      <c r="AH72" s="9910"/>
      <c r="AI72" s="9910"/>
      <c r="AJ72" s="9910"/>
      <c r="AK72" s="2290"/>
      <c r="AL72" s="253"/>
      <c r="AM72" s="253"/>
      <c r="AN72" s="724"/>
      <c r="AP72" s="658"/>
      <c r="AQ72" s="658"/>
      <c r="AR72" s="658"/>
      <c r="AS72" s="658"/>
      <c r="AT72" s="658"/>
      <c r="AU72" s="658"/>
      <c r="AV72" s="658"/>
      <c r="AW72" s="658"/>
      <c r="AX72" s="658"/>
      <c r="AY72" s="658"/>
      <c r="AZ72" s="2293"/>
    </row>
    <row r="73" spans="1:52" s="1115" customFormat="1" ht="16.5">
      <c r="A73" s="2290"/>
      <c r="B73" s="775">
        <v>5</v>
      </c>
      <c r="C73" s="1323" t="s">
        <v>6622</v>
      </c>
      <c r="D73" s="1323"/>
      <c r="E73" s="4904"/>
      <c r="F73" s="6628"/>
      <c r="G73" s="1323"/>
      <c r="H73" s="4524"/>
      <c r="I73" s="4524"/>
      <c r="J73" s="4524"/>
      <c r="K73" s="4524"/>
      <c r="L73" s="4524"/>
      <c r="M73" s="4524"/>
      <c r="N73" s="4524"/>
      <c r="O73" s="4524"/>
      <c r="P73" s="4524"/>
      <c r="Q73" s="4524"/>
      <c r="R73" s="4524"/>
      <c r="S73" s="4524"/>
      <c r="T73" s="4524"/>
      <c r="U73" s="4524"/>
      <c r="V73" s="4524"/>
      <c r="W73" s="4524"/>
      <c r="X73" s="4524"/>
      <c r="Y73" s="4524"/>
      <c r="Z73" s="4524"/>
      <c r="AA73" s="4524"/>
      <c r="AB73" s="4524"/>
      <c r="AC73" s="4524"/>
      <c r="AD73" s="6658"/>
      <c r="AE73" s="6659"/>
      <c r="AF73" s="6659"/>
      <c r="AG73" s="6659"/>
      <c r="AH73" s="6659"/>
      <c r="AI73" s="9976">
        <f>AI30</f>
        <v>20</v>
      </c>
      <c r="AJ73" s="9976"/>
      <c r="AK73" s="2290"/>
      <c r="AL73" s="253"/>
      <c r="AM73" s="253"/>
      <c r="AN73" s="724"/>
      <c r="AP73" s="658"/>
      <c r="AQ73" s="658"/>
      <c r="AR73" s="658"/>
      <c r="AS73" s="658"/>
      <c r="AT73" s="658"/>
      <c r="AU73" s="658"/>
      <c r="AV73" s="658"/>
      <c r="AW73" s="658"/>
      <c r="AX73" s="658"/>
      <c r="AY73" s="658"/>
      <c r="AZ73" s="2293"/>
    </row>
    <row r="74" spans="1:52" s="1115" customFormat="1" ht="15.75" customHeight="1">
      <c r="A74" s="2290"/>
      <c r="B74" s="775"/>
      <c r="C74" s="1405" t="str">
        <f>TEXT(AI73,"$0")&amp;" in a calendar month (see instructions)"</f>
        <v>$20 in a calendar month (see instructions)</v>
      </c>
      <c r="D74" s="1323"/>
      <c r="E74" s="4904"/>
      <c r="F74" s="6628"/>
      <c r="G74" s="1323"/>
      <c r="H74" s="4524"/>
      <c r="I74" s="4524"/>
      <c r="J74" s="4524"/>
      <c r="K74" s="4524"/>
      <c r="L74" s="4524"/>
      <c r="M74" s="4524"/>
      <c r="N74" s="4524"/>
      <c r="O74" s="4524"/>
      <c r="P74" s="4524"/>
      <c r="Q74" s="4524"/>
      <c r="R74" s="4524"/>
      <c r="S74" s="4524"/>
      <c r="T74" s="4524"/>
      <c r="U74" s="4524"/>
      <c r="V74" s="4524"/>
      <c r="W74" s="4524"/>
      <c r="X74" s="4524"/>
      <c r="Y74" s="4524"/>
      <c r="Z74" s="4524"/>
      <c r="AA74" s="4524"/>
      <c r="AB74" s="4524"/>
      <c r="AC74" s="6653" t="s">
        <v>6644</v>
      </c>
      <c r="AD74" s="6635">
        <v>5</v>
      </c>
      <c r="AE74" s="9905"/>
      <c r="AF74" s="9906"/>
      <c r="AG74" s="9906"/>
      <c r="AH74" s="9906"/>
      <c r="AI74" s="9906"/>
      <c r="AJ74" s="9906"/>
      <c r="AK74" s="2290"/>
      <c r="AL74" s="253"/>
      <c r="AM74" s="9977" t="str">
        <f>IF(AE74&gt;12*AI73,"&lt;&lt;&lt;"&amp;CHAR(10)&amp;"Line 5 should not be more than "&amp;TEXT(12*AI73,"$0")&amp;".","")</f>
        <v/>
      </c>
      <c r="AN74" s="724"/>
      <c r="AP74" s="658"/>
      <c r="AQ74" s="658"/>
      <c r="AR74" s="658"/>
      <c r="AS74" s="658"/>
      <c r="AT74" s="658"/>
      <c r="AU74" s="658"/>
      <c r="AV74" s="658"/>
      <c r="AW74" s="658"/>
      <c r="AX74" s="658"/>
      <c r="AY74" s="658"/>
      <c r="AZ74" s="2293"/>
    </row>
    <row r="75" spans="1:52" s="1115" customFormat="1" ht="15.75" customHeight="1">
      <c r="A75" s="2290"/>
      <c r="B75" s="775">
        <v>6</v>
      </c>
      <c r="C75" s="1323" t="s">
        <v>6623</v>
      </c>
      <c r="D75" s="1323"/>
      <c r="E75" s="4904"/>
      <c r="F75" s="6628"/>
      <c r="G75" s="1323"/>
      <c r="H75" s="4524"/>
      <c r="I75" s="4524"/>
      <c r="J75" s="4524"/>
      <c r="K75" s="4524"/>
      <c r="L75" s="4524"/>
      <c r="M75" s="4524"/>
      <c r="N75" s="4524"/>
      <c r="O75" s="4524"/>
      <c r="P75" s="4524"/>
      <c r="Q75" s="4524"/>
      <c r="R75" s="4524"/>
      <c r="S75" s="4524"/>
      <c r="T75" s="4524"/>
      <c r="U75" s="4524"/>
      <c r="V75" s="4524"/>
      <c r="W75" s="4524"/>
      <c r="X75" s="4524"/>
      <c r="Y75" s="4524"/>
      <c r="Z75" s="4524"/>
      <c r="AA75" s="4524"/>
      <c r="AB75" s="4524"/>
      <c r="AC75" s="6653" t="s">
        <v>648</v>
      </c>
      <c r="AD75" s="6635">
        <v>6</v>
      </c>
      <c r="AE75" s="9909" t="str">
        <f>IF(AN70,"",SUM(AE72,-AE74))</f>
        <v/>
      </c>
      <c r="AF75" s="9910"/>
      <c r="AG75" s="9910"/>
      <c r="AH75" s="9910"/>
      <c r="AI75" s="9910"/>
      <c r="AJ75" s="9910"/>
      <c r="AK75" s="2290"/>
      <c r="AL75" s="253"/>
      <c r="AM75" s="9977"/>
      <c r="AN75" s="724"/>
      <c r="AP75" s="658"/>
      <c r="AQ75" s="658"/>
      <c r="AR75" s="658"/>
      <c r="AS75" s="658"/>
      <c r="AT75" s="658"/>
      <c r="AU75" s="658"/>
      <c r="AV75" s="658"/>
      <c r="AW75" s="658"/>
      <c r="AX75" s="658"/>
      <c r="AY75" s="658"/>
      <c r="AZ75" s="2293"/>
    </row>
    <row r="76" spans="1:52" s="1115" customFormat="1" ht="15.75" customHeight="1">
      <c r="A76" s="2290"/>
      <c r="B76" s="775">
        <v>7</v>
      </c>
      <c r="C76" s="1405" t="s">
        <v>6624</v>
      </c>
      <c r="D76" s="1323"/>
      <c r="E76" s="4904"/>
      <c r="F76" s="6628"/>
      <c r="G76" s="1323"/>
      <c r="H76" s="4524"/>
      <c r="I76" s="4524"/>
      <c r="J76" s="4524"/>
      <c r="K76" s="4524"/>
      <c r="L76" s="4524"/>
      <c r="M76" s="4524"/>
      <c r="N76" s="4524"/>
      <c r="O76" s="4524"/>
      <c r="P76" s="4524"/>
      <c r="Q76" s="4524"/>
      <c r="R76" s="4524"/>
      <c r="S76" s="4524"/>
      <c r="T76" s="4524"/>
      <c r="U76" s="4524"/>
      <c r="V76" s="4524"/>
      <c r="W76" s="6653" t="s">
        <v>717</v>
      </c>
      <c r="X76" s="6636">
        <v>7</v>
      </c>
      <c r="Y76" s="9959">
        <f>MaxSSTaxEarnings</f>
        <v>176100</v>
      </c>
      <c r="Z76" s="9960"/>
      <c r="AA76" s="9960"/>
      <c r="AB76" s="9960"/>
      <c r="AC76" s="9961"/>
      <c r="AD76" s="6658"/>
      <c r="AE76" s="4524"/>
      <c r="AF76" s="4524"/>
      <c r="AG76" s="4524"/>
      <c r="AH76" s="4524"/>
      <c r="AI76" s="4521"/>
      <c r="AJ76" s="4521"/>
      <c r="AK76" s="2290"/>
      <c r="AL76" s="253"/>
      <c r="AM76" s="9977"/>
      <c r="AN76" s="724"/>
      <c r="AP76" s="658"/>
      <c r="AQ76" s="658"/>
      <c r="AR76" s="658"/>
      <c r="AS76" s="658"/>
      <c r="AT76" s="658"/>
      <c r="AU76" s="658"/>
      <c r="AV76" s="658"/>
      <c r="AW76" s="658"/>
      <c r="AX76" s="658"/>
      <c r="AY76" s="658"/>
      <c r="AZ76" s="2293"/>
    </row>
    <row r="77" spans="1:52" s="1115" customFormat="1" ht="15.75" customHeight="1">
      <c r="A77" s="2290"/>
      <c r="B77" s="775">
        <v>8</v>
      </c>
      <c r="C77" s="1323" t="s">
        <v>6625</v>
      </c>
      <c r="D77" s="1323"/>
      <c r="E77" s="4904"/>
      <c r="F77" s="6628"/>
      <c r="G77" s="1323"/>
      <c r="H77" s="4524"/>
      <c r="I77" s="4524"/>
      <c r="J77" s="4524"/>
      <c r="K77" s="4524"/>
      <c r="L77" s="4524"/>
      <c r="M77" s="4524"/>
      <c r="N77" s="4524"/>
      <c r="O77" s="4524"/>
      <c r="P77" s="4524"/>
      <c r="Q77" s="4524"/>
      <c r="R77" s="4524"/>
      <c r="S77" s="4524"/>
      <c r="T77" s="4524"/>
      <c r="U77" s="4524"/>
      <c r="V77" s="4524"/>
      <c r="W77" s="4524"/>
      <c r="X77" s="6632"/>
      <c r="Y77" s="9945">
        <f>SUM(SocSecWages_You,SocSecTips_You)</f>
        <v>0</v>
      </c>
      <c r="Z77" s="9946"/>
      <c r="AA77" s="9946"/>
      <c r="AB77" s="9946"/>
      <c r="AC77" s="9947"/>
      <c r="AD77" s="6638"/>
      <c r="AE77" s="4524"/>
      <c r="AF77" s="4524"/>
      <c r="AG77" s="4524"/>
      <c r="AH77" s="4524"/>
      <c r="AI77" s="4521"/>
      <c r="AJ77" s="4521"/>
      <c r="AK77" s="2290"/>
      <c r="AL77" s="253"/>
      <c r="AM77" s="9977"/>
      <c r="AN77" s="724"/>
      <c r="AP77" s="658"/>
      <c r="AQ77" s="658"/>
      <c r="AR77" s="658"/>
      <c r="AS77" s="658"/>
      <c r="AT77" s="658"/>
      <c r="AU77" s="658"/>
      <c r="AV77" s="658"/>
      <c r="AW77" s="658"/>
      <c r="AX77" s="658"/>
      <c r="AY77" s="658"/>
      <c r="AZ77" s="2293"/>
    </row>
    <row r="78" spans="1:52" s="1115" customFormat="1" ht="15.75" customHeight="1">
      <c r="A78" s="2290"/>
      <c r="B78" s="775"/>
      <c r="C78" s="1323" t="str">
        <f>"boxes 3 and 7) and railroad retirement (RRTA) compensation (subject to "&amp;TEXT(SSTaxRate,"0.0%")</f>
        <v>boxes 3 and 7) and railroad retirement (RRTA) compensation (subject to 6.2%</v>
      </c>
      <c r="D78" s="1323"/>
      <c r="E78" s="4904"/>
      <c r="F78" s="6628"/>
      <c r="G78" s="1323"/>
      <c r="H78" s="4524"/>
      <c r="I78" s="4524"/>
      <c r="J78" s="4524"/>
      <c r="K78" s="4524"/>
      <c r="L78" s="4524"/>
      <c r="M78" s="4524"/>
      <c r="N78" s="4524"/>
      <c r="O78" s="4524"/>
      <c r="P78" s="4524"/>
      <c r="Q78" s="4524"/>
      <c r="R78" s="4524"/>
      <c r="S78" s="4524"/>
      <c r="T78" s="4524"/>
      <c r="U78" s="4524"/>
      <c r="V78" s="4524"/>
      <c r="W78" s="4524"/>
      <c r="X78" s="6633"/>
      <c r="Y78" s="9948"/>
      <c r="Z78" s="9949"/>
      <c r="AA78" s="9949"/>
      <c r="AB78" s="9949"/>
      <c r="AC78" s="9950"/>
      <c r="AD78" s="6638"/>
      <c r="AE78" s="4524"/>
      <c r="AF78" s="4524"/>
      <c r="AG78" s="4524"/>
      <c r="AH78" s="4524"/>
      <c r="AI78" s="4521"/>
      <c r="AJ78" s="4521"/>
      <c r="AK78" s="2290"/>
      <c r="AL78" s="253"/>
      <c r="AM78" s="253"/>
      <c r="AN78" s="724"/>
      <c r="AP78" s="658"/>
      <c r="AQ78" s="658"/>
      <c r="AR78" s="658"/>
      <c r="AS78" s="658"/>
      <c r="AT78" s="658"/>
      <c r="AU78" s="658"/>
      <c r="AV78" s="658"/>
      <c r="AW78" s="658"/>
      <c r="AX78" s="658"/>
      <c r="AY78" s="658"/>
      <c r="AZ78" s="2293"/>
    </row>
    <row r="79" spans="1:52" s="1115" customFormat="1" ht="15.75" customHeight="1">
      <c r="A79" s="2290"/>
      <c r="B79" s="775"/>
      <c r="C79" s="1323" t="s">
        <v>6626</v>
      </c>
      <c r="D79" s="1323"/>
      <c r="E79" s="4904"/>
      <c r="F79" s="6628"/>
      <c r="G79" s="1323"/>
      <c r="H79" s="4524"/>
      <c r="I79" s="4524"/>
      <c r="J79" s="4524"/>
      <c r="K79" s="4524"/>
      <c r="L79" s="4524"/>
      <c r="M79" s="4524"/>
      <c r="N79" s="4524"/>
      <c r="O79" s="4524"/>
      <c r="P79" s="4524"/>
      <c r="Q79" s="4524"/>
      <c r="R79" s="4524"/>
      <c r="S79" s="4524"/>
      <c r="T79" s="4524"/>
      <c r="U79" s="4524"/>
      <c r="V79" s="4524"/>
      <c r="W79" s="6653" t="s">
        <v>2186</v>
      </c>
      <c r="X79" s="6635">
        <v>8</v>
      </c>
      <c r="Y79" s="7787" t="str">
        <f>IF(AN70,"",SUM(SocSecWages_You,SocSecTips_You))</f>
        <v/>
      </c>
      <c r="Z79" s="7788"/>
      <c r="AA79" s="7788"/>
      <c r="AB79" s="7788"/>
      <c r="AC79" s="7789"/>
      <c r="AD79" s="6639"/>
      <c r="AE79" s="4524"/>
      <c r="AF79" s="4524"/>
      <c r="AG79" s="4524"/>
      <c r="AH79" s="4524"/>
      <c r="AI79" s="4521"/>
      <c r="AJ79" s="4521"/>
      <c r="AK79" s="2290"/>
      <c r="AL79" s="253"/>
      <c r="AM79" s="253"/>
      <c r="AN79" s="724"/>
      <c r="AP79" s="658"/>
      <c r="AQ79" s="658"/>
      <c r="AR79" s="658"/>
      <c r="AS79" s="658"/>
      <c r="AT79" s="658"/>
      <c r="AU79" s="658"/>
      <c r="AV79" s="658"/>
      <c r="AW79" s="658"/>
      <c r="AX79" s="658"/>
      <c r="AY79" s="658"/>
      <c r="AZ79" s="2293"/>
    </row>
    <row r="80" spans="1:52" s="1115" customFormat="1" ht="15.75" customHeight="1">
      <c r="A80" s="2290"/>
      <c r="B80" s="775">
        <v>9</v>
      </c>
      <c r="C80" s="1323" t="s">
        <v>6627</v>
      </c>
      <c r="D80" s="1323"/>
      <c r="E80" s="4904"/>
      <c r="F80" s="6628"/>
      <c r="G80" s="1323"/>
      <c r="H80" s="4524"/>
      <c r="I80" s="4524"/>
      <c r="J80" s="4524"/>
      <c r="K80" s="4524"/>
      <c r="L80" s="4524"/>
      <c r="M80" s="4524"/>
      <c r="N80" s="4524"/>
      <c r="O80" s="4524"/>
      <c r="P80" s="4524"/>
      <c r="Q80" s="4524"/>
      <c r="R80" s="4524"/>
      <c r="S80" s="4524"/>
      <c r="T80" s="4524"/>
      <c r="U80" s="4524"/>
      <c r="V80" s="4524"/>
      <c r="W80" s="4524"/>
      <c r="X80" s="4524"/>
      <c r="Y80" s="4524"/>
      <c r="Z80" s="6654"/>
      <c r="AA80" s="6654"/>
      <c r="AB80" s="6654"/>
      <c r="AC80" s="6653" t="s">
        <v>4414</v>
      </c>
      <c r="AD80" s="6635">
        <v>9</v>
      </c>
      <c r="AE80" s="9909" t="str">
        <f>IF(AN70,"",MAX(0,SUM(Y76,-Y79)))</f>
        <v/>
      </c>
      <c r="AF80" s="9910"/>
      <c r="AG80" s="9910"/>
      <c r="AH80" s="9910"/>
      <c r="AI80" s="9910"/>
      <c r="AJ80" s="9910"/>
      <c r="AK80" s="2290"/>
      <c r="AL80" s="253"/>
      <c r="AM80" s="512" t="b">
        <f>Y79&gt;Z69</f>
        <v>0</v>
      </c>
      <c r="AN80" s="724"/>
      <c r="AP80" s="658"/>
      <c r="AQ80" s="658"/>
      <c r="AR80" s="658"/>
      <c r="AS80" s="658"/>
      <c r="AT80" s="658"/>
      <c r="AU80" s="658"/>
      <c r="AV80" s="658"/>
      <c r="AW80" s="658"/>
      <c r="AX80" s="658"/>
      <c r="AY80" s="658"/>
      <c r="AZ80" s="2293"/>
    </row>
    <row r="81" spans="1:52" s="1115" customFormat="1" ht="15.75" customHeight="1">
      <c r="A81" s="2290"/>
      <c r="B81" s="775">
        <v>10</v>
      </c>
      <c r="C81" s="1323" t="s">
        <v>6633</v>
      </c>
      <c r="D81" s="1323"/>
      <c r="E81" s="4904"/>
      <c r="F81" s="6628"/>
      <c r="G81" s="1323"/>
      <c r="H81" s="4524"/>
      <c r="I81" s="4524"/>
      <c r="J81" s="4524"/>
      <c r="K81" s="4524"/>
      <c r="L81" s="4524"/>
      <c r="M81" s="4524"/>
      <c r="N81" s="4524"/>
      <c r="O81" s="4524"/>
      <c r="P81" s="4524"/>
      <c r="Q81" s="4524"/>
      <c r="R81" s="4524"/>
      <c r="S81" s="4524"/>
      <c r="T81" s="4524"/>
      <c r="U81" s="4524"/>
      <c r="V81" s="4524"/>
      <c r="W81" s="4524"/>
      <c r="X81" s="4524"/>
      <c r="Y81" s="4524"/>
      <c r="Z81" s="4524"/>
      <c r="AA81" s="4524"/>
      <c r="AB81" s="4524"/>
      <c r="AC81" s="4524"/>
      <c r="AD81" s="6658"/>
      <c r="AE81" s="6659"/>
      <c r="AF81" s="6659"/>
      <c r="AG81" s="6659"/>
      <c r="AH81" s="6659"/>
      <c r="AI81" s="6659"/>
      <c r="AJ81" s="6659"/>
      <c r="AK81" s="2290"/>
      <c r="AL81" s="253"/>
      <c r="AM81" s="253"/>
      <c r="AN81" s="724"/>
      <c r="AP81" s="658"/>
      <c r="AQ81" s="658"/>
      <c r="AR81" s="658"/>
      <c r="AS81" s="658"/>
      <c r="AT81" s="658"/>
      <c r="AU81" s="658"/>
      <c r="AV81" s="658"/>
      <c r="AW81" s="658"/>
      <c r="AX81" s="658"/>
      <c r="AY81" s="658"/>
      <c r="AZ81" s="2293"/>
    </row>
    <row r="82" spans="1:52" s="1115" customFormat="1" ht="15.75" customHeight="1">
      <c r="A82" s="2290"/>
      <c r="B82" s="775"/>
      <c r="C82" s="1323" t="s">
        <v>6628</v>
      </c>
      <c r="D82" s="1323"/>
      <c r="E82" s="4904"/>
      <c r="F82" s="6628"/>
      <c r="G82" s="1323"/>
      <c r="H82" s="4524"/>
      <c r="I82" s="4524"/>
      <c r="J82" s="4524"/>
      <c r="K82" s="4524"/>
      <c r="L82" s="4524"/>
      <c r="M82" s="4524"/>
      <c r="N82" s="4524"/>
      <c r="O82" s="4524"/>
      <c r="P82" s="4524"/>
      <c r="Q82" s="4524"/>
      <c r="R82" s="4524"/>
      <c r="S82" s="4524"/>
      <c r="T82" s="4524"/>
      <c r="U82" s="4524"/>
      <c r="V82" s="4524"/>
      <c r="W82" s="4524"/>
      <c r="X82" s="4524"/>
      <c r="Y82" s="4524"/>
      <c r="Z82" s="4524"/>
      <c r="AA82" s="4524"/>
      <c r="AB82" s="4524"/>
      <c r="AC82" s="6653" t="s">
        <v>4414</v>
      </c>
      <c r="AD82" s="6635">
        <v>10</v>
      </c>
      <c r="AE82" s="9909" t="str">
        <f>IF(AN70,"",MIN(AE75,AE80))</f>
        <v/>
      </c>
      <c r="AF82" s="9910"/>
      <c r="AG82" s="9910"/>
      <c r="AH82" s="9910"/>
      <c r="AI82" s="9910"/>
      <c r="AJ82" s="9910"/>
      <c r="AK82" s="2290"/>
      <c r="AL82" s="253"/>
      <c r="AM82" s="253"/>
      <c r="AN82" s="724"/>
      <c r="AP82" s="658"/>
      <c r="AQ82" s="658"/>
      <c r="AR82" s="658"/>
      <c r="AS82" s="658"/>
      <c r="AT82" s="658"/>
      <c r="AU82" s="658"/>
      <c r="AV82" s="658"/>
      <c r="AW82" s="658"/>
      <c r="AX82" s="658"/>
      <c r="AY82" s="658"/>
      <c r="AZ82" s="2293"/>
    </row>
    <row r="83" spans="1:52" s="1115" customFormat="1" ht="15.75" customHeight="1">
      <c r="A83" s="2290"/>
      <c r="B83" s="775">
        <v>11</v>
      </c>
      <c r="C83" s="1323" t="str">
        <f>"Multiply line 10 by "&amp;TEXT(SSTaxRate,"0.000")&amp;" (social security tax rate)"</f>
        <v>Multiply line 10 by 0.062 (social security tax rate)</v>
      </c>
      <c r="D83" s="1323"/>
      <c r="E83" s="4904"/>
      <c r="F83" s="6628"/>
      <c r="G83" s="1323"/>
      <c r="H83" s="4524"/>
      <c r="I83" s="4524"/>
      <c r="J83" s="4524"/>
      <c r="K83" s="4524"/>
      <c r="L83" s="6631"/>
      <c r="M83" s="4524"/>
      <c r="N83" s="4524"/>
      <c r="O83" s="4524"/>
      <c r="P83" s="4524"/>
      <c r="Q83" s="4524"/>
      <c r="R83" s="4524"/>
      <c r="S83" s="4524"/>
      <c r="T83" s="4524"/>
      <c r="U83" s="4524"/>
      <c r="V83" s="4524"/>
      <c r="W83" s="4524"/>
      <c r="X83" s="4524"/>
      <c r="Y83" s="4524"/>
      <c r="Z83" s="4524"/>
      <c r="AA83" s="4524"/>
      <c r="AB83" s="4524"/>
      <c r="AC83" s="6653" t="s">
        <v>2178</v>
      </c>
      <c r="AD83" s="6635">
        <v>11</v>
      </c>
      <c r="AE83" s="9909" t="str">
        <f>IF(AN70,"",ROUND(AE82*SSTaxRate,0))</f>
        <v/>
      </c>
      <c r="AF83" s="9910"/>
      <c r="AG83" s="9910"/>
      <c r="AH83" s="9910"/>
      <c r="AI83" s="9910"/>
      <c r="AJ83" s="9910"/>
      <c r="AK83" s="2290"/>
      <c r="AL83" s="253"/>
      <c r="AM83" s="253"/>
      <c r="AN83" s="724"/>
      <c r="AP83" s="658"/>
      <c r="AQ83" s="658"/>
      <c r="AR83" s="658"/>
      <c r="AS83" s="658"/>
      <c r="AT83" s="658"/>
      <c r="AU83" s="658"/>
      <c r="AV83" s="658"/>
      <c r="AW83" s="658"/>
      <c r="AX83" s="658"/>
      <c r="AY83" s="658"/>
      <c r="AZ83" s="2293"/>
    </row>
    <row r="84" spans="1:52" s="1115" customFormat="1" ht="15.75" customHeight="1">
      <c r="A84" s="2290"/>
      <c r="B84" s="775">
        <v>12</v>
      </c>
      <c r="C84" s="1323" t="str">
        <f>"Multiply line 6 by "&amp;TEXT(MedicareTaxRate,"0.0000")&amp;" (Medicare tax rate)"</f>
        <v>Multiply line 6 by 0.0145 (Medicare tax rate)</v>
      </c>
      <c r="D84" s="1323"/>
      <c r="E84" s="4904"/>
      <c r="F84" s="6628"/>
      <c r="G84" s="1323"/>
      <c r="H84" s="4524"/>
      <c r="I84" s="4524"/>
      <c r="J84" s="4524"/>
      <c r="K84" s="4524"/>
      <c r="L84" s="4524"/>
      <c r="M84" s="4524"/>
      <c r="N84" s="4524"/>
      <c r="O84" s="4524"/>
      <c r="P84" s="4524"/>
      <c r="Q84" s="4524"/>
      <c r="R84" s="4524"/>
      <c r="S84" s="4524"/>
      <c r="T84" s="4524"/>
      <c r="U84" s="4524"/>
      <c r="V84" s="4524"/>
      <c r="W84" s="4524"/>
      <c r="X84" s="4524"/>
      <c r="Y84" s="4524"/>
      <c r="Z84" s="4524"/>
      <c r="AA84" s="4524"/>
      <c r="AB84" s="4524"/>
      <c r="AC84" s="6653" t="s">
        <v>6629</v>
      </c>
      <c r="AD84" s="6635">
        <v>12</v>
      </c>
      <c r="AE84" s="9909" t="str">
        <f>IF(AN70,"",ROUND(AE75*MedicareTaxRate,0))</f>
        <v/>
      </c>
      <c r="AF84" s="9910"/>
      <c r="AG84" s="9910"/>
      <c r="AH84" s="9910"/>
      <c r="AI84" s="9910"/>
      <c r="AJ84" s="9910"/>
      <c r="AK84" s="2290"/>
      <c r="AL84" s="253"/>
      <c r="AM84" s="253"/>
      <c r="AN84" s="724"/>
      <c r="AP84" s="658"/>
      <c r="AQ84" s="658"/>
      <c r="AR84" s="658"/>
      <c r="AS84" s="658"/>
      <c r="AT84" s="658"/>
      <c r="AU84" s="658"/>
      <c r="AV84" s="658"/>
      <c r="AW84" s="658"/>
      <c r="AX84" s="658"/>
      <c r="AY84" s="658"/>
      <c r="AZ84" s="2293"/>
    </row>
    <row r="85" spans="1:52" s="1115" customFormat="1" ht="15.75" customHeight="1">
      <c r="A85" s="2290"/>
      <c r="B85" s="775">
        <v>13</v>
      </c>
      <c r="C85" s="1323" t="s">
        <v>6630</v>
      </c>
      <c r="D85" s="1323"/>
      <c r="E85" s="4904"/>
      <c r="F85" s="6628"/>
      <c r="G85" s="1323"/>
      <c r="H85" s="4524"/>
      <c r="I85" s="4524"/>
      <c r="J85" s="4524"/>
      <c r="K85" s="4524"/>
      <c r="L85" s="4524"/>
      <c r="M85" s="4524"/>
      <c r="N85" s="4524"/>
      <c r="O85" s="4524"/>
      <c r="P85" s="4524"/>
      <c r="Q85" s="4524"/>
      <c r="R85" s="4524"/>
      <c r="S85" s="4524"/>
      <c r="T85" s="4524"/>
      <c r="U85" s="4524"/>
      <c r="V85" s="4524"/>
      <c r="W85" s="4524"/>
      <c r="X85" s="4524"/>
      <c r="Y85" s="4524"/>
      <c r="Z85" s="4524"/>
      <c r="AA85" s="4524"/>
      <c r="AB85" s="4524"/>
      <c r="AC85" s="4524"/>
      <c r="AD85" s="6645"/>
      <c r="AE85" s="6647"/>
      <c r="AF85" s="6647"/>
      <c r="AG85" s="6647"/>
      <c r="AH85" s="6647"/>
      <c r="AI85" s="6648"/>
      <c r="AJ85" s="6648"/>
      <c r="AK85" s="2290"/>
      <c r="AL85" s="253"/>
      <c r="AM85" s="253"/>
      <c r="AN85" s="724"/>
      <c r="AP85" s="658"/>
      <c r="AQ85" s="658"/>
      <c r="AR85" s="658"/>
      <c r="AS85" s="658"/>
      <c r="AT85" s="658"/>
      <c r="AU85" s="658"/>
      <c r="AV85" s="658"/>
      <c r="AW85" s="658"/>
      <c r="AX85" s="658"/>
      <c r="AY85" s="658"/>
      <c r="AZ85" s="2293"/>
    </row>
    <row r="86" spans="1:52" s="1115" customFormat="1" ht="15.75" customHeight="1" thickBot="1">
      <c r="A86" s="2290"/>
      <c r="B86" s="4817"/>
      <c r="C86" s="5003" t="s">
        <v>6631</v>
      </c>
      <c r="D86" s="5003"/>
      <c r="E86" s="6640"/>
      <c r="F86" s="6641"/>
      <c r="G86" s="5003"/>
      <c r="H86" s="6642"/>
      <c r="I86" s="6642"/>
      <c r="J86" s="6642"/>
      <c r="K86" s="6642"/>
      <c r="L86" s="6642"/>
      <c r="M86" s="6642"/>
      <c r="N86" s="6642"/>
      <c r="O86" s="6642"/>
      <c r="P86" s="6642"/>
      <c r="Q86" s="6642"/>
      <c r="R86" s="6642"/>
      <c r="S86" s="6642"/>
      <c r="T86" s="6642"/>
      <c r="U86" s="6642"/>
      <c r="V86" s="6642"/>
      <c r="W86" s="6642"/>
      <c r="X86" s="6642"/>
      <c r="Y86" s="6642"/>
      <c r="Z86" s="6642"/>
      <c r="AA86" s="6642"/>
      <c r="AB86" s="6642"/>
      <c r="AC86" s="6653" t="s">
        <v>6632</v>
      </c>
      <c r="AD86" s="6646">
        <v>13</v>
      </c>
      <c r="AE86" s="9903" t="str">
        <f>IF(AM86&lt;&gt;"",ROUND(AM86,0),IF(AN70,"",SUM(AE83,AE84)))</f>
        <v/>
      </c>
      <c r="AF86" s="9904"/>
      <c r="AG86" s="9904"/>
      <c r="AH86" s="9904"/>
      <c r="AI86" s="9904"/>
      <c r="AJ86" s="9904"/>
      <c r="AK86" s="2290"/>
      <c r="AL86" s="253"/>
      <c r="AM86" s="6644"/>
      <c r="AN86" s="724"/>
      <c r="AP86" s="658"/>
      <c r="AQ86" s="658"/>
      <c r="AR86" s="658"/>
      <c r="AS86" s="658"/>
      <c r="AT86" s="658"/>
      <c r="AU86" s="658"/>
      <c r="AV86" s="658"/>
      <c r="AW86" s="658"/>
      <c r="AX86" s="658"/>
      <c r="AY86" s="658"/>
      <c r="AZ86" s="2293"/>
    </row>
    <row r="87" spans="1:52" s="1115" customFormat="1" ht="15.75" customHeight="1">
      <c r="A87" s="2290"/>
      <c r="B87" s="1523" t="s">
        <v>865</v>
      </c>
      <c r="C87" s="1323"/>
      <c r="D87" s="1323"/>
      <c r="E87" s="4904"/>
      <c r="F87" s="6628"/>
      <c r="G87" s="1323"/>
      <c r="H87" s="4524"/>
      <c r="I87" s="4524"/>
      <c r="J87" s="4524"/>
      <c r="K87" s="4524"/>
      <c r="L87" s="4524"/>
      <c r="M87" s="4524"/>
      <c r="N87" s="4524"/>
      <c r="O87" s="4524"/>
      <c r="P87" s="4524"/>
      <c r="Q87" s="4524"/>
      <c r="R87" s="4524"/>
      <c r="S87" s="4524"/>
      <c r="T87" s="4524"/>
      <c r="U87" s="4524"/>
      <c r="V87" s="1672" t="s">
        <v>6636</v>
      </c>
      <c r="W87" s="4524"/>
      <c r="X87" s="4524"/>
      <c r="Y87" s="4524"/>
      <c r="Z87" s="4524"/>
      <c r="AA87" s="4524"/>
      <c r="AB87" s="4524"/>
      <c r="AC87" s="4901"/>
      <c r="AD87" s="6643" t="s">
        <v>6634</v>
      </c>
      <c r="AE87" s="9515" t="str">
        <f>"("&amp;TaxYear&amp;")"</f>
        <v>(2025)</v>
      </c>
      <c r="AF87" s="9515"/>
      <c r="AG87" s="4524"/>
      <c r="AH87" s="4524"/>
      <c r="AI87" s="4521"/>
      <c r="AJ87" s="1061" t="s">
        <v>6635</v>
      </c>
      <c r="AK87" s="2290"/>
      <c r="AL87" s="253"/>
      <c r="AM87" s="6651">
        <f>SUM(F4137_Line13_You,F4137_Line13_Spouse)</f>
        <v>0</v>
      </c>
      <c r="AN87" s="724"/>
      <c r="AP87" s="658"/>
      <c r="AQ87" s="658"/>
      <c r="AR87" s="658"/>
      <c r="AS87" s="658"/>
      <c r="AT87" s="658"/>
      <c r="AU87" s="658"/>
      <c r="AV87" s="658"/>
      <c r="AW87" s="658"/>
      <c r="AX87" s="658"/>
      <c r="AY87" s="658"/>
      <c r="AZ87" s="2293"/>
    </row>
  </sheetData>
  <sheetProtection algorithmName="SHA-512" hashValue="Hj570oWKAKEbXmtg37NfpFkxF5xxIH8c4xGjBOeEE1ya487yLAD6wBB7XnhsxYZQtfaqTeV1Q7DAPfYbnwpYbg==" saltValue="MoOKaGj6R9wPtIYx3LfjAw==" spinCount="100000" sheet="1" formatCells="0" formatColumns="0" formatRows="0"/>
  <mergeCells count="134">
    <mergeCell ref="AL57:AM66"/>
    <mergeCell ref="AI73:AJ73"/>
    <mergeCell ref="AM74:AM77"/>
    <mergeCell ref="AD16:AJ16"/>
    <mergeCell ref="AD18:AJ18"/>
    <mergeCell ref="AD20:AJ20"/>
    <mergeCell ref="AD22:AJ22"/>
    <mergeCell ref="AL14:AM23"/>
    <mergeCell ref="AI30:AJ30"/>
    <mergeCell ref="AM31:AM34"/>
    <mergeCell ref="AD48:AG48"/>
    <mergeCell ref="AH48:AI49"/>
    <mergeCell ref="B14:B15"/>
    <mergeCell ref="AD6:AG6"/>
    <mergeCell ref="B7:AA7"/>
    <mergeCell ref="B8:AA8"/>
    <mergeCell ref="AB8:AJ8"/>
    <mergeCell ref="T9:W13"/>
    <mergeCell ref="B2:C2"/>
    <mergeCell ref="D2:G3"/>
    <mergeCell ref="I2:AB3"/>
    <mergeCell ref="AC2:AJ2"/>
    <mergeCell ref="B3:C3"/>
    <mergeCell ref="AC3:AJ4"/>
    <mergeCell ref="I4:AB5"/>
    <mergeCell ref="AD5:AG5"/>
    <mergeCell ref="AH5:AI6"/>
    <mergeCell ref="I6:AB6"/>
    <mergeCell ref="AD9:AJ13"/>
    <mergeCell ref="X9:AC13"/>
    <mergeCell ref="C9:S13"/>
    <mergeCell ref="C14:S15"/>
    <mergeCell ref="AD14:AJ14"/>
    <mergeCell ref="AD15:AJ15"/>
    <mergeCell ref="T15:W15"/>
    <mergeCell ref="B22:B23"/>
    <mergeCell ref="B20:B21"/>
    <mergeCell ref="B16:B17"/>
    <mergeCell ref="B18:B19"/>
    <mergeCell ref="B46:C46"/>
    <mergeCell ref="B45:C45"/>
    <mergeCell ref="AE80:AJ80"/>
    <mergeCell ref="Y79:AC79"/>
    <mergeCell ref="AE75:AJ75"/>
    <mergeCell ref="Y76:AC76"/>
    <mergeCell ref="Y77:AC77"/>
    <mergeCell ref="Y78:AC78"/>
    <mergeCell ref="B57:B58"/>
    <mergeCell ref="I49:AB49"/>
    <mergeCell ref="AD49:AG49"/>
    <mergeCell ref="B50:AA50"/>
    <mergeCell ref="B51:AA51"/>
    <mergeCell ref="AB51:AJ51"/>
    <mergeCell ref="AE44:AF44"/>
    <mergeCell ref="AE37:AJ37"/>
    <mergeCell ref="C16:S17"/>
    <mergeCell ref="C18:S19"/>
    <mergeCell ref="C20:S21"/>
    <mergeCell ref="C22:S23"/>
    <mergeCell ref="T17:W17"/>
    <mergeCell ref="T19:W19"/>
    <mergeCell ref="T21:W21"/>
    <mergeCell ref="T23:W23"/>
    <mergeCell ref="Y25:AC25"/>
    <mergeCell ref="AE27:AJ27"/>
    <mergeCell ref="Y33:AC33"/>
    <mergeCell ref="Y36:AC36"/>
    <mergeCell ref="X15:AC15"/>
    <mergeCell ref="X17:AC17"/>
    <mergeCell ref="X19:AC19"/>
    <mergeCell ref="X21:AC21"/>
    <mergeCell ref="X23:AC23"/>
    <mergeCell ref="AE29:AJ29"/>
    <mergeCell ref="AD17:AJ17"/>
    <mergeCell ref="AD19:AJ19"/>
    <mergeCell ref="AD21:AJ21"/>
    <mergeCell ref="AD23:AJ23"/>
    <mergeCell ref="AE24:AJ24"/>
    <mergeCell ref="C52:S56"/>
    <mergeCell ref="T52:W56"/>
    <mergeCell ref="X52:AC56"/>
    <mergeCell ref="AD52:AJ56"/>
    <mergeCell ref="AE31:AJ31"/>
    <mergeCell ref="AE32:AJ32"/>
    <mergeCell ref="Y34:AC34"/>
    <mergeCell ref="Y35:AC35"/>
    <mergeCell ref="D45:G46"/>
    <mergeCell ref="I45:AB46"/>
    <mergeCell ref="AC45:AJ45"/>
    <mergeCell ref="AC46:AJ47"/>
    <mergeCell ref="I47:AB48"/>
    <mergeCell ref="AE39:AJ39"/>
    <mergeCell ref="AE40:AJ40"/>
    <mergeCell ref="AE41:AJ41"/>
    <mergeCell ref="AE43:AJ43"/>
    <mergeCell ref="B61:B62"/>
    <mergeCell ref="C61:S62"/>
    <mergeCell ref="T62:W62"/>
    <mergeCell ref="X62:AC62"/>
    <mergeCell ref="AD62:AJ62"/>
    <mergeCell ref="C57:S58"/>
    <mergeCell ref="T58:W58"/>
    <mergeCell ref="X58:AC58"/>
    <mergeCell ref="AD58:AJ58"/>
    <mergeCell ref="B59:B60"/>
    <mergeCell ref="C59:S60"/>
    <mergeCell ref="T60:W60"/>
    <mergeCell ref="X60:AC60"/>
    <mergeCell ref="AD60:AJ60"/>
    <mergeCell ref="AD57:AJ57"/>
    <mergeCell ref="AD59:AJ59"/>
    <mergeCell ref="AD61:AJ61"/>
    <mergeCell ref="AE86:AJ86"/>
    <mergeCell ref="AE87:AF87"/>
    <mergeCell ref="AD66:AJ66"/>
    <mergeCell ref="AE67:AJ67"/>
    <mergeCell ref="Y68:AC68"/>
    <mergeCell ref="AE70:AJ70"/>
    <mergeCell ref="AE72:AJ72"/>
    <mergeCell ref="AE74:AJ74"/>
    <mergeCell ref="B63:B64"/>
    <mergeCell ref="C63:S64"/>
    <mergeCell ref="T64:W64"/>
    <mergeCell ref="X64:AC64"/>
    <mergeCell ref="AD64:AJ64"/>
    <mergeCell ref="B65:B66"/>
    <mergeCell ref="C65:S66"/>
    <mergeCell ref="T66:W66"/>
    <mergeCell ref="X66:AC66"/>
    <mergeCell ref="AE82:AJ82"/>
    <mergeCell ref="AE84:AJ84"/>
    <mergeCell ref="AE83:AJ83"/>
    <mergeCell ref="AD63:AJ63"/>
    <mergeCell ref="AD65:AJ65"/>
  </mergeCells>
  <conditionalFormatting sqref="B8 AB8:AJ8 T15 T17 T19 T21 T23 AE27:AJ29 AE30:AI30 AE31:AJ32 Y33 Y36">
    <cfRule type="expression" dxfId="1632" priority="94">
      <formula>NoColor</formula>
    </cfRule>
  </conditionalFormatting>
  <conditionalFormatting sqref="B10">
    <cfRule type="expression" dxfId="1631" priority="32">
      <formula>IF(AND(File_Marr_Sep&lt;&gt;"",#REF!=""),1,0)</formula>
    </cfRule>
  </conditionalFormatting>
  <conditionalFormatting sqref="B51 AB51:AJ51 T58 T60 T62 T64 T66 AE70:AJ72 AE73:AI73 AE74:AJ75 Y76 Y79">
    <cfRule type="expression" dxfId="1630" priority="26">
      <formula>NoColor</formula>
    </cfRule>
  </conditionalFormatting>
  <conditionalFormatting sqref="B53">
    <cfRule type="expression" dxfId="1629" priority="7">
      <formula>IF(AND(File_Marr_Sep&lt;&gt;"",#REF!=""),1,0)</formula>
    </cfRule>
  </conditionalFormatting>
  <conditionalFormatting sqref="B14:C14">
    <cfRule type="expression" dxfId="1628" priority="89">
      <formula>NoColor</formula>
    </cfRule>
  </conditionalFormatting>
  <conditionalFormatting sqref="B16:C16 V16">
    <cfRule type="expression" dxfId="1627" priority="44">
      <formula>IF(AND(File_Marr_Sep&lt;&gt;"",#REF!=""),1,0)</formula>
    </cfRule>
  </conditionalFormatting>
  <conditionalFormatting sqref="B16:C16">
    <cfRule type="expression" dxfId="1626" priority="43">
      <formula>NoColor</formula>
    </cfRule>
  </conditionalFormatting>
  <conditionalFormatting sqref="B18:C18 V18">
    <cfRule type="expression" dxfId="1625" priority="42">
      <formula>IF(AND(File_Marr_Sep&lt;&gt;"",#REF!=""),1,0)</formula>
    </cfRule>
  </conditionalFormatting>
  <conditionalFormatting sqref="B18:C18">
    <cfRule type="expression" dxfId="1624" priority="41">
      <formula>NoColor</formula>
    </cfRule>
  </conditionalFormatting>
  <conditionalFormatting sqref="B20:C20 V20">
    <cfRule type="expression" dxfId="1623" priority="40">
      <formula>IF(AND(File_Marr_Sep&lt;&gt;"",#REF!=""),1,0)</formula>
    </cfRule>
  </conditionalFormatting>
  <conditionalFormatting sqref="B20:C20">
    <cfRule type="expression" dxfId="1622" priority="39">
      <formula>NoColor</formula>
    </cfRule>
  </conditionalFormatting>
  <conditionalFormatting sqref="B22:C22 V22">
    <cfRule type="expression" dxfId="1621" priority="38">
      <formula>IF(AND(File_Marr_Sep&lt;&gt;"",#REF!=""),1,0)</formula>
    </cfRule>
  </conditionalFormatting>
  <conditionalFormatting sqref="B22:C22">
    <cfRule type="expression" dxfId="1620" priority="37">
      <formula>NoColor</formula>
    </cfRule>
  </conditionalFormatting>
  <conditionalFormatting sqref="B57:C57">
    <cfRule type="expression" dxfId="1619" priority="21">
      <formula>NoColor</formula>
    </cfRule>
  </conditionalFormatting>
  <conditionalFormatting sqref="B59:C59 V59">
    <cfRule type="expression" dxfId="1618" priority="19">
      <formula>IF(AND(File_Marr_Sep&lt;&gt;"",#REF!=""),1,0)</formula>
    </cfRule>
  </conditionalFormatting>
  <conditionalFormatting sqref="B59:C59">
    <cfRule type="expression" dxfId="1617" priority="18">
      <formula>NoColor</formula>
    </cfRule>
  </conditionalFormatting>
  <conditionalFormatting sqref="B61:C61 V61">
    <cfRule type="expression" dxfId="1616" priority="17">
      <formula>IF(AND(File_Marr_Sep&lt;&gt;"",#REF!=""),1,0)</formula>
    </cfRule>
  </conditionalFormatting>
  <conditionalFormatting sqref="B61:C61">
    <cfRule type="expression" dxfId="1615" priority="16">
      <formula>NoColor</formula>
    </cfRule>
  </conditionalFormatting>
  <conditionalFormatting sqref="B63:C63 V63">
    <cfRule type="expression" dxfId="1614" priority="15">
      <formula>IF(AND(File_Marr_Sep&lt;&gt;"",#REF!=""),1,0)</formula>
    </cfRule>
  </conditionalFormatting>
  <conditionalFormatting sqref="B63:C63">
    <cfRule type="expression" dxfId="1613" priority="14">
      <formula>NoColor</formula>
    </cfRule>
  </conditionalFormatting>
  <conditionalFormatting sqref="B65:C65 V65">
    <cfRule type="expression" dxfId="1612" priority="13">
      <formula>IF(AND(File_Marr_Sep&lt;&gt;"",#REF!=""),1,0)</formula>
    </cfRule>
  </conditionalFormatting>
  <conditionalFormatting sqref="B65:C65">
    <cfRule type="expression" dxfId="1611" priority="12">
      <formula>NoColor</formula>
    </cfRule>
  </conditionalFormatting>
  <conditionalFormatting sqref="X16:Y16">
    <cfRule type="expression" dxfId="1610" priority="36">
      <formula>IF(AND(File_Marr_Sep&lt;&gt;"",#REF!=""),1,0)</formula>
    </cfRule>
  </conditionalFormatting>
  <conditionalFormatting sqref="X18:Y18">
    <cfRule type="expression" dxfId="1609" priority="35">
      <formula>IF(AND(File_Marr_Sep&lt;&gt;"",#REF!=""),1,0)</formula>
    </cfRule>
  </conditionalFormatting>
  <conditionalFormatting sqref="X20:Y20">
    <cfRule type="expression" dxfId="1608" priority="34">
      <formula>IF(AND(File_Marr_Sep&lt;&gt;"",#REF!=""),1,0)</formula>
    </cfRule>
  </conditionalFormatting>
  <conditionalFormatting sqref="X22:Y22">
    <cfRule type="expression" dxfId="1607" priority="33">
      <formula>IF(AND(File_Marr_Sep&lt;&gt;"",#REF!=""),1,0)</formula>
    </cfRule>
  </conditionalFormatting>
  <conditionalFormatting sqref="X59:Y59">
    <cfRule type="expression" dxfId="1606" priority="11">
      <formula>IF(AND(File_Marr_Sep&lt;&gt;"",#REF!=""),1,0)</formula>
    </cfRule>
  </conditionalFormatting>
  <conditionalFormatting sqref="X61:Y61">
    <cfRule type="expression" dxfId="1605" priority="10">
      <formula>IF(AND(File_Marr_Sep&lt;&gt;"",#REF!=""),1,0)</formula>
    </cfRule>
  </conditionalFormatting>
  <conditionalFormatting sqref="X63:Y63">
    <cfRule type="expression" dxfId="1604" priority="9">
      <formula>IF(AND(File_Marr_Sep&lt;&gt;"",#REF!=""),1,0)</formula>
    </cfRule>
  </conditionalFormatting>
  <conditionalFormatting sqref="X65:Y65">
    <cfRule type="expression" dxfId="1603" priority="8">
      <formula>IF(AND(File_Marr_Sep&lt;&gt;"",#REF!=""),1,0)</formula>
    </cfRule>
  </conditionalFormatting>
  <conditionalFormatting sqref="X59:AC59 X61:AC61 X62:AJ62 X63:AC63 X64:AJ64 X65:AC65">
    <cfRule type="expression" dxfId="1602" priority="5">
      <formula>NoColor</formula>
    </cfRule>
  </conditionalFormatting>
  <conditionalFormatting sqref="X15:AJ15 X16:AC16 X17:AJ17 X18:AC18 X19:AJ19 X20:AC20 X21:AJ21 X22:AC22 X23:AJ23">
    <cfRule type="expression" dxfId="1601" priority="28">
      <formula>NoColor</formula>
    </cfRule>
  </conditionalFormatting>
  <conditionalFormatting sqref="X58:AJ58">
    <cfRule type="expression" dxfId="1600" priority="3">
      <formula>NoColor</formula>
    </cfRule>
  </conditionalFormatting>
  <conditionalFormatting sqref="X60:AJ60">
    <cfRule type="expression" dxfId="1599" priority="2">
      <formula>NoColor</formula>
    </cfRule>
  </conditionalFormatting>
  <conditionalFormatting sqref="X66:AJ66">
    <cfRule type="expression" dxfId="1598" priority="1">
      <formula>NoColor</formula>
    </cfRule>
  </conditionalFormatting>
  <conditionalFormatting sqref="Y25:AC25">
    <cfRule type="expression" dxfId="1597" priority="27">
      <formula>NoColor</formula>
    </cfRule>
  </conditionalFormatting>
  <conditionalFormatting sqref="Y68:AC68">
    <cfRule type="expression" dxfId="1596" priority="4">
      <formula>NoColor</formula>
    </cfRule>
  </conditionalFormatting>
  <conditionalFormatting sqref="AB8:AJ8">
    <cfRule type="expression" dxfId="1595" priority="91">
      <formula>NoSSN</formula>
    </cfRule>
    <cfRule type="expression" dxfId="1594" priority="92">
      <formula>NoSSN</formula>
    </cfRule>
    <cfRule type="expression" dxfId="1593" priority="93">
      <formula>AND(NoColor,NoSSN)</formula>
    </cfRule>
  </conditionalFormatting>
  <conditionalFormatting sqref="AB51:AJ51">
    <cfRule type="expression" dxfId="1592" priority="25">
      <formula>AND(NoColor,NoSSN)</formula>
    </cfRule>
    <cfRule type="expression" dxfId="1591" priority="24">
      <formula>NoSSN</formula>
    </cfRule>
    <cfRule type="expression" dxfId="1590" priority="23">
      <formula>NoSSN</formula>
    </cfRule>
  </conditionalFormatting>
  <conditionalFormatting sqref="AE37:AJ43">
    <cfRule type="expression" dxfId="1588" priority="29">
      <formula>NoColor</formula>
    </cfRule>
  </conditionalFormatting>
  <conditionalFormatting sqref="AE80:AJ86">
    <cfRule type="expression" dxfId="1587" priority="6">
      <formula>NoColor</formula>
    </cfRule>
  </conditionalFormatting>
  <pageMargins left="0.75" right="0.25" top="0.36" bottom="0.28999999999999998" header="0.36" footer="0.21"/>
  <pageSetup scale="65" fitToHeight="0" orientation="portrait" r:id="rId1"/>
  <extLst>
    <ext xmlns:x14="http://schemas.microsoft.com/office/spreadsheetml/2009/9/main" uri="{78C0D931-6437-407d-A8EE-F0AAD7539E65}">
      <x14:conditionalFormattings>
        <x14:conditionalFormatting xmlns:xm="http://schemas.microsoft.com/office/excel/2006/main">
          <x14:cfRule type="expression" priority="90" id="{4AD4DB07-DB53-43CD-91BF-4CB700506391}">
            <xm:f>'Table of Contents'!A48="D"</xm:f>
            <x14:dxf>
              <font>
                <b/>
                <i val="0"/>
                <color rgb="FFC00000"/>
              </font>
            </x14:dxf>
          </x14:cfRule>
          <xm:sqref>AC2:AJ2 AC45:AJ45</xm:sqref>
        </x14:conditionalFormatting>
      </x14:conditionalFormatting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BK168"/>
  <sheetViews>
    <sheetView zoomScaleNormal="100" zoomScaleSheetLayoutView="100" workbookViewId="0"/>
  </sheetViews>
  <sheetFormatPr defaultColWidth="9.140625" defaultRowHeight="12.75"/>
  <cols>
    <col min="1" max="1" width="2.7109375" customWidth="1"/>
    <col min="2" max="2" width="5.140625" customWidth="1"/>
    <col min="3" max="3" width="3.28515625" customWidth="1"/>
    <col min="4" max="4" width="5.140625" customWidth="1"/>
    <col min="5" max="8" width="3.85546875" customWidth="1"/>
    <col min="9" max="15" width="4" customWidth="1"/>
    <col min="16" max="17" width="3.85546875" customWidth="1"/>
    <col min="18" max="18" width="3.140625" customWidth="1"/>
    <col min="19" max="19" width="3.5703125" customWidth="1"/>
    <col min="20" max="20" width="6.42578125" customWidth="1"/>
    <col min="21" max="21" width="3.5703125" customWidth="1"/>
    <col min="22" max="22" width="5.7109375" customWidth="1"/>
    <col min="23" max="24" width="4.7109375" customWidth="1"/>
    <col min="25" max="27" width="3.85546875" customWidth="1"/>
    <col min="28" max="28" width="4" customWidth="1"/>
    <col min="29" max="29" width="4.7109375" customWidth="1"/>
    <col min="30" max="31" width="4" customWidth="1"/>
    <col min="32" max="32" width="3.85546875" customWidth="1"/>
    <col min="33" max="33" width="6.5703125" customWidth="1"/>
    <col min="34" max="34" width="3.140625" customWidth="1"/>
    <col min="35" max="35" width="4" customWidth="1"/>
    <col min="36" max="36" width="2.7109375" customWidth="1"/>
    <col min="38" max="38" width="2.85546875" customWidth="1"/>
    <col min="39" max="39" width="14.42578125" customWidth="1"/>
    <col min="40" max="40" width="3.28515625" customWidth="1"/>
    <col min="41" max="41" width="25.7109375" customWidth="1"/>
    <col min="42" max="42" width="13.140625" customWidth="1"/>
    <col min="43" max="43" width="11.5703125" customWidth="1"/>
    <col min="44" max="44" width="10.7109375" customWidth="1"/>
    <col min="45" max="45" width="12" customWidth="1"/>
    <col min="46" max="46" width="11.5703125" customWidth="1"/>
    <col min="47" max="47" width="11.42578125" customWidth="1"/>
    <col min="48" max="48" width="10.85546875" style="84" customWidth="1"/>
    <col min="49" max="49" width="10.5703125" style="84" customWidth="1"/>
    <col min="50" max="50" width="9.140625" style="4965"/>
    <col min="51" max="51" width="12" customWidth="1"/>
    <col min="52" max="52" width="4.140625" customWidth="1"/>
    <col min="53" max="61" width="10.7109375" style="658" customWidth="1"/>
    <col min="62" max="62" width="4.140625" style="658" customWidth="1"/>
  </cols>
  <sheetData>
    <row r="1" spans="1:63" s="815" customFormat="1" ht="12" customHeight="1">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2013"/>
      <c r="AD1" s="2013"/>
      <c r="AE1" s="2013"/>
      <c r="AF1" s="2013"/>
      <c r="AG1" s="2013"/>
      <c r="AH1" s="2013"/>
      <c r="AI1" s="2013"/>
      <c r="AJ1" s="2013"/>
      <c r="AK1" s="2013"/>
      <c r="AL1" s="253"/>
      <c r="AM1" s="253"/>
      <c r="AN1" s="253"/>
      <c r="AO1"/>
      <c r="AV1" s="950"/>
      <c r="AW1" s="950"/>
      <c r="AX1" s="4953"/>
      <c r="BA1" s="658"/>
      <c r="BB1" s="658"/>
      <c r="BC1" s="658"/>
      <c r="BD1" s="658"/>
      <c r="BE1" s="658"/>
      <c r="BF1" s="658"/>
      <c r="BG1" s="658"/>
      <c r="BH1" s="658"/>
      <c r="BI1" s="658"/>
      <c r="BJ1" s="658"/>
      <c r="BK1"/>
    </row>
    <row r="2" spans="1:63" s="815" customFormat="1" ht="24" customHeight="1">
      <c r="A2" s="2013"/>
      <c r="B2" s="9962" t="str">
        <f>IF('Table of Contents'!A48="D","DRAFT","")</f>
        <v/>
      </c>
      <c r="C2" s="9962"/>
      <c r="D2" s="9951" t="s">
        <v>119</v>
      </c>
      <c r="E2" s="9952"/>
      <c r="F2" s="9952"/>
      <c r="G2" s="9952"/>
      <c r="H2" s="379"/>
      <c r="I2" s="9995" t="s">
        <v>3472</v>
      </c>
      <c r="J2" s="7091"/>
      <c r="K2" s="7091"/>
      <c r="L2" s="7091"/>
      <c r="M2" s="7091"/>
      <c r="N2" s="7091"/>
      <c r="O2" s="7091"/>
      <c r="P2" s="7091"/>
      <c r="Q2" s="7091"/>
      <c r="R2" s="7091"/>
      <c r="S2" s="7091"/>
      <c r="T2" s="7091"/>
      <c r="U2" s="7091"/>
      <c r="V2" s="7091"/>
      <c r="W2" s="7091"/>
      <c r="X2" s="7091"/>
      <c r="Y2" s="7091"/>
      <c r="Z2" s="7091"/>
      <c r="AA2" s="7091"/>
      <c r="AB2" s="7977"/>
      <c r="AC2" s="9957" t="str">
        <f>IF('Table of Contents'!A48="D","DRAFT","OMB No. 1545-0172")</f>
        <v>OMB No. 1545-0172</v>
      </c>
      <c r="AD2" s="9958"/>
      <c r="AE2" s="9958"/>
      <c r="AF2" s="9958"/>
      <c r="AG2" s="9958"/>
      <c r="AH2" s="9958"/>
      <c r="AI2" s="9958"/>
      <c r="AJ2" s="9958"/>
      <c r="AK2" s="2013"/>
      <c r="AL2" s="253"/>
      <c r="AM2" s="253"/>
      <c r="AN2" s="253"/>
      <c r="AO2"/>
      <c r="AV2" s="950"/>
      <c r="AW2" s="950"/>
      <c r="AX2" s="4953"/>
      <c r="BA2" s="658"/>
      <c r="BB2" s="658"/>
      <c r="BC2" s="658"/>
      <c r="BD2" s="658"/>
      <c r="BE2" s="658"/>
      <c r="BF2" s="658"/>
      <c r="BG2" s="658"/>
      <c r="BH2" s="658"/>
      <c r="BI2" s="658"/>
      <c r="BJ2" s="658"/>
      <c r="BK2"/>
    </row>
    <row r="3" spans="1:63" s="815" customFormat="1" ht="24" customHeight="1">
      <c r="A3" s="2013"/>
      <c r="B3" s="9825" t="s">
        <v>46</v>
      </c>
      <c r="C3" s="9617"/>
      <c r="D3" s="9952"/>
      <c r="E3" s="9952"/>
      <c r="F3" s="9952"/>
      <c r="G3" s="9952"/>
      <c r="H3" s="379"/>
      <c r="I3" s="9824"/>
      <c r="J3" s="7091"/>
      <c r="K3" s="7091"/>
      <c r="L3" s="7091"/>
      <c r="M3" s="7091"/>
      <c r="N3" s="7091"/>
      <c r="O3" s="7091"/>
      <c r="P3" s="7091"/>
      <c r="Q3" s="7091"/>
      <c r="R3" s="7091"/>
      <c r="S3" s="7091"/>
      <c r="T3" s="7091"/>
      <c r="U3" s="7091"/>
      <c r="V3" s="7091"/>
      <c r="W3" s="7091"/>
      <c r="X3" s="7091"/>
      <c r="Y3" s="7091"/>
      <c r="Z3" s="7091"/>
      <c r="AA3" s="7091"/>
      <c r="AB3" s="7977"/>
      <c r="AC3" s="9826">
        <f>TaxYear</f>
        <v>2025</v>
      </c>
      <c r="AD3" s="9827"/>
      <c r="AE3" s="9827"/>
      <c r="AF3" s="9827"/>
      <c r="AG3" s="9827"/>
      <c r="AH3" s="9827"/>
      <c r="AI3" s="9827"/>
      <c r="AJ3" s="9827"/>
      <c r="AK3" s="2013"/>
      <c r="AL3" s="253"/>
      <c r="AM3" s="253"/>
      <c r="AN3" s="253"/>
      <c r="AO3" s="4858" t="s">
        <v>3473</v>
      </c>
      <c r="AP3" s="1233"/>
      <c r="AQ3" s="1233"/>
      <c r="AR3" s="1233"/>
      <c r="AS3" s="1233"/>
      <c r="AT3" s="1233"/>
      <c r="AU3" s="1233"/>
      <c r="AV3" s="4954"/>
      <c r="AW3" s="4954"/>
      <c r="AX3" s="4960"/>
      <c r="AY3" s="1233"/>
      <c r="BA3" s="658"/>
      <c r="BB3" s="658"/>
      <c r="BC3" s="658"/>
      <c r="BD3" s="658"/>
      <c r="BE3" s="658"/>
      <c r="BF3" s="658"/>
      <c r="BG3" s="658"/>
      <c r="BH3" s="658"/>
      <c r="BI3" s="658"/>
      <c r="BJ3" s="658"/>
      <c r="BK3"/>
    </row>
    <row r="4" spans="1:63" s="815" customFormat="1" ht="6.75" customHeight="1" thickBot="1">
      <c r="A4" s="2013"/>
      <c r="B4" s="253"/>
      <c r="C4" s="253"/>
      <c r="D4" s="253"/>
      <c r="E4" s="253"/>
      <c r="F4" s="253"/>
      <c r="G4" s="253"/>
      <c r="H4" s="379"/>
      <c r="I4" s="7610" t="s">
        <v>3474</v>
      </c>
      <c r="J4" s="7611"/>
      <c r="K4" s="7611"/>
      <c r="L4" s="7611"/>
      <c r="M4" s="7611"/>
      <c r="N4" s="7611"/>
      <c r="O4" s="7611"/>
      <c r="P4" s="7611"/>
      <c r="Q4" s="7611"/>
      <c r="R4" s="7611"/>
      <c r="S4" s="7611"/>
      <c r="T4" s="7611"/>
      <c r="U4" s="7611"/>
      <c r="V4" s="7611"/>
      <c r="W4" s="7611"/>
      <c r="X4" s="7611"/>
      <c r="Y4" s="7611"/>
      <c r="Z4" s="7611"/>
      <c r="AA4" s="7611"/>
      <c r="AB4" s="7612"/>
      <c r="AC4" s="9828"/>
      <c r="AD4" s="9829"/>
      <c r="AE4" s="9829"/>
      <c r="AF4" s="9829"/>
      <c r="AG4" s="9829"/>
      <c r="AH4" s="9829"/>
      <c r="AI4" s="9829"/>
      <c r="AJ4" s="9829"/>
      <c r="AK4" s="2013"/>
      <c r="AL4" s="253"/>
      <c r="AM4" s="253"/>
      <c r="AN4" s="253"/>
      <c r="AO4" s="253"/>
      <c r="AP4" s="946"/>
      <c r="AQ4" s="946"/>
      <c r="AR4" s="946"/>
      <c r="AS4" s="946"/>
      <c r="AT4" s="946"/>
      <c r="AU4" s="946"/>
      <c r="AV4" s="4955"/>
      <c r="AW4" s="4955"/>
      <c r="AX4" s="4961"/>
      <c r="AY4" s="946"/>
      <c r="BA4" s="658"/>
      <c r="BB4" s="658"/>
      <c r="BC4" s="658"/>
      <c r="BD4" s="658"/>
      <c r="BE4" s="658"/>
      <c r="BF4" s="658"/>
      <c r="BG4" s="658"/>
      <c r="BH4" s="658"/>
      <c r="BI4" s="658"/>
      <c r="BJ4" s="658"/>
      <c r="BK4"/>
    </row>
    <row r="5" spans="1:63" s="815" customFormat="1" ht="10.5" customHeight="1">
      <c r="A5" s="2013"/>
      <c r="B5" s="253" t="s">
        <v>503</v>
      </c>
      <c r="C5" s="253"/>
      <c r="D5" s="253"/>
      <c r="E5" s="253"/>
      <c r="F5" s="253"/>
      <c r="G5" s="253"/>
      <c r="H5" s="379"/>
      <c r="I5" s="7610"/>
      <c r="J5" s="7611"/>
      <c r="K5" s="7611"/>
      <c r="L5" s="7611"/>
      <c r="M5" s="7611"/>
      <c r="N5" s="7611"/>
      <c r="O5" s="7611"/>
      <c r="P5" s="7611"/>
      <c r="Q5" s="7611"/>
      <c r="R5" s="7611"/>
      <c r="S5" s="7611"/>
      <c r="T5" s="7611"/>
      <c r="U5" s="7611"/>
      <c r="V5" s="7611"/>
      <c r="W5" s="7611"/>
      <c r="X5" s="7611"/>
      <c r="Y5" s="7611"/>
      <c r="Z5" s="7611"/>
      <c r="AA5" s="7611"/>
      <c r="AB5" s="7612"/>
      <c r="AC5" s="341"/>
      <c r="AD5" s="9515" t="s">
        <v>3475</v>
      </c>
      <c r="AE5" s="7844"/>
      <c r="AF5" s="7844"/>
      <c r="AG5" s="7844"/>
      <c r="AH5" s="9193">
        <v>179</v>
      </c>
      <c r="AI5" s="9193"/>
      <c r="AJ5" s="253"/>
      <c r="AK5" s="2013"/>
      <c r="AL5" s="253"/>
      <c r="AM5" s="253"/>
      <c r="AN5" s="253"/>
      <c r="AO5" s="10022" t="s">
        <v>3476</v>
      </c>
      <c r="AP5" s="10006" t="s">
        <v>3477</v>
      </c>
      <c r="AQ5" s="10006" t="s">
        <v>3478</v>
      </c>
      <c r="AR5" s="10006" t="s">
        <v>3479</v>
      </c>
      <c r="AS5" s="10023" t="s">
        <v>3480</v>
      </c>
      <c r="AT5" s="10006" t="s">
        <v>3481</v>
      </c>
      <c r="AU5" s="10006" t="s">
        <v>3482</v>
      </c>
      <c r="AV5" s="10006" t="s">
        <v>3483</v>
      </c>
      <c r="AW5" s="10006" t="s">
        <v>3484</v>
      </c>
      <c r="AX5" s="10010" t="s">
        <v>3485</v>
      </c>
      <c r="AY5" s="10013" t="s">
        <v>3486</v>
      </c>
      <c r="BA5" s="658"/>
      <c r="BB5" s="658"/>
      <c r="BC5" s="658"/>
      <c r="BD5" s="658"/>
      <c r="BE5" s="658"/>
      <c r="BF5" s="658"/>
      <c r="BG5" s="658"/>
      <c r="BH5" s="658"/>
      <c r="BI5" s="658"/>
      <c r="BJ5" s="658"/>
      <c r="BK5"/>
    </row>
    <row r="6" spans="1:63" s="815" customFormat="1" ht="15.75" customHeight="1" thickBot="1">
      <c r="A6" s="2013"/>
      <c r="B6" s="498" t="s">
        <v>505</v>
      </c>
      <c r="C6" s="380"/>
      <c r="D6" s="380"/>
      <c r="E6" s="380"/>
      <c r="F6" s="380"/>
      <c r="G6" s="380"/>
      <c r="H6" s="381"/>
      <c r="I6" s="9963" t="s">
        <v>3487</v>
      </c>
      <c r="J6" s="9964"/>
      <c r="K6" s="9964"/>
      <c r="L6" s="9964"/>
      <c r="M6" s="9964"/>
      <c r="N6" s="9964"/>
      <c r="O6" s="9964"/>
      <c r="P6" s="9964"/>
      <c r="Q6" s="9964"/>
      <c r="R6" s="9964"/>
      <c r="S6" s="9964"/>
      <c r="T6" s="9964"/>
      <c r="U6" s="9964"/>
      <c r="V6" s="9964"/>
      <c r="W6" s="9964"/>
      <c r="X6" s="9964"/>
      <c r="Y6" s="9964"/>
      <c r="Z6" s="9964"/>
      <c r="AA6" s="9964"/>
      <c r="AB6" s="9965"/>
      <c r="AC6" s="1197"/>
      <c r="AD6" s="9966" t="s">
        <v>3488</v>
      </c>
      <c r="AE6" s="9967"/>
      <c r="AF6" s="9967"/>
      <c r="AG6" s="9967"/>
      <c r="AH6" s="9974"/>
      <c r="AI6" s="9974"/>
      <c r="AJ6" s="380"/>
      <c r="AK6" s="2013"/>
      <c r="AL6" s="253"/>
      <c r="AM6" s="253"/>
      <c r="AN6" s="253"/>
      <c r="AO6" s="8342"/>
      <c r="AP6" s="10007"/>
      <c r="AQ6" s="10007"/>
      <c r="AR6" s="10007"/>
      <c r="AS6" s="8472"/>
      <c r="AT6" s="10007"/>
      <c r="AU6" s="10007"/>
      <c r="AV6" s="10007"/>
      <c r="AW6" s="10007"/>
      <c r="AX6" s="10011"/>
      <c r="AY6" s="8455"/>
      <c r="BA6" s="658"/>
      <c r="BB6" s="658"/>
      <c r="BC6" s="658"/>
      <c r="BD6" s="658"/>
      <c r="BE6" s="658"/>
      <c r="BF6" s="658"/>
      <c r="BG6" s="658"/>
      <c r="BH6" s="658"/>
      <c r="BI6" s="658"/>
      <c r="BJ6" s="658"/>
      <c r="BK6"/>
    </row>
    <row r="7" spans="1:63" s="815" customFormat="1">
      <c r="A7" s="2013"/>
      <c r="B7" s="339" t="s">
        <v>3489</v>
      </c>
      <c r="C7" s="339"/>
      <c r="D7" s="339"/>
      <c r="E7" s="339"/>
      <c r="F7" s="339"/>
      <c r="G7" s="339"/>
      <c r="H7" s="339"/>
      <c r="I7" s="339"/>
      <c r="J7" s="339"/>
      <c r="K7" s="339"/>
      <c r="L7" s="339"/>
      <c r="M7" s="339"/>
      <c r="N7" s="339"/>
      <c r="O7" s="4859"/>
      <c r="P7" s="4860" t="s">
        <v>3490</v>
      </c>
      <c r="Q7" s="339"/>
      <c r="R7" s="339"/>
      <c r="S7" s="339"/>
      <c r="T7" s="339"/>
      <c r="U7" s="339"/>
      <c r="V7" s="339"/>
      <c r="W7" s="339"/>
      <c r="X7" s="339"/>
      <c r="Y7" s="377"/>
      <c r="Z7" s="377"/>
      <c r="AA7" s="377"/>
      <c r="AB7" s="4861" t="s">
        <v>3491</v>
      </c>
      <c r="AC7" s="377"/>
      <c r="AD7" s="2289"/>
      <c r="AE7" s="2289"/>
      <c r="AF7" s="2289"/>
      <c r="AG7" s="2289"/>
      <c r="AH7" s="2289"/>
      <c r="AI7" s="2289"/>
      <c r="AJ7" s="2289"/>
      <c r="AK7" s="2013"/>
      <c r="AL7" s="253"/>
      <c r="AM7" s="253"/>
      <c r="AN7" s="253"/>
      <c r="AO7" s="8342"/>
      <c r="AP7" s="10007"/>
      <c r="AQ7" s="10007"/>
      <c r="AR7" s="10007"/>
      <c r="AS7" s="8472"/>
      <c r="AT7" s="10007"/>
      <c r="AU7" s="10007"/>
      <c r="AV7" s="10007"/>
      <c r="AW7" s="10007"/>
      <c r="AX7" s="10011"/>
      <c r="AY7" s="8455"/>
      <c r="BA7" s="658"/>
      <c r="BB7" s="658"/>
      <c r="BC7" s="658"/>
      <c r="BD7" s="658"/>
      <c r="BE7" s="658"/>
      <c r="BF7" s="658"/>
      <c r="BG7" s="658"/>
      <c r="BH7" s="658"/>
      <c r="BI7" s="658"/>
      <c r="BJ7" s="658"/>
      <c r="BK7"/>
    </row>
    <row r="8" spans="1:63" s="815" customFormat="1" ht="17.25" customHeight="1">
      <c r="A8" s="2013"/>
      <c r="B8" s="10015" t="str">
        <f>Names</f>
        <v/>
      </c>
      <c r="C8" s="10015"/>
      <c r="D8" s="10015"/>
      <c r="E8" s="10015"/>
      <c r="F8" s="10015"/>
      <c r="G8" s="10015"/>
      <c r="H8" s="10015"/>
      <c r="I8" s="10015"/>
      <c r="J8" s="10015"/>
      <c r="K8" s="10015"/>
      <c r="L8" s="10015"/>
      <c r="M8" s="10015"/>
      <c r="N8" s="10015"/>
      <c r="O8" s="10016"/>
      <c r="P8" s="10017"/>
      <c r="Q8" s="10018"/>
      <c r="R8" s="10018"/>
      <c r="S8" s="10018"/>
      <c r="T8" s="10018"/>
      <c r="U8" s="10018"/>
      <c r="V8" s="10018"/>
      <c r="W8" s="10018"/>
      <c r="X8" s="10018"/>
      <c r="Y8" s="10018"/>
      <c r="Z8" s="10018"/>
      <c r="AA8" s="10019"/>
      <c r="AB8" s="10020"/>
      <c r="AC8" s="10021"/>
      <c r="AD8" s="10021"/>
      <c r="AE8" s="10021"/>
      <c r="AF8" s="10021"/>
      <c r="AG8" s="10021"/>
      <c r="AH8" s="10021"/>
      <c r="AI8" s="10021"/>
      <c r="AJ8" s="10021"/>
      <c r="AK8" s="2013"/>
      <c r="AL8" s="253"/>
      <c r="AM8" s="253"/>
      <c r="AN8" s="253"/>
      <c r="AO8" s="8342"/>
      <c r="AP8" s="10007"/>
      <c r="AQ8" s="10007"/>
      <c r="AR8" s="10007"/>
      <c r="AS8" s="8472"/>
      <c r="AT8" s="10007"/>
      <c r="AU8" s="10007"/>
      <c r="AV8" s="10007"/>
      <c r="AW8" s="10007"/>
      <c r="AX8" s="10011"/>
      <c r="AY8" s="8455"/>
      <c r="BA8" s="658"/>
      <c r="BB8" s="658"/>
      <c r="BC8" s="658"/>
      <c r="BD8" s="658"/>
      <c r="BE8" s="658"/>
      <c r="BF8" s="658"/>
      <c r="BG8" s="658"/>
      <c r="BH8" s="658"/>
      <c r="BI8" s="658"/>
      <c r="BJ8" s="658"/>
      <c r="BK8"/>
    </row>
    <row r="9" spans="1:63" s="1115" customFormat="1" ht="15.75" customHeight="1">
      <c r="A9" s="2290"/>
      <c r="B9" s="7605" t="s">
        <v>780</v>
      </c>
      <c r="C9" s="10025"/>
      <c r="D9" s="4862"/>
      <c r="E9" s="2377" t="s">
        <v>3492</v>
      </c>
      <c r="F9" s="2291"/>
      <c r="G9" s="2291"/>
      <c r="H9" s="2291"/>
      <c r="I9" s="2291"/>
      <c r="J9" s="2291"/>
      <c r="K9" s="2291"/>
      <c r="L9" s="2291"/>
      <c r="M9" s="2291"/>
      <c r="N9" s="2291"/>
      <c r="O9" s="2291"/>
      <c r="P9" s="2291"/>
      <c r="Q9" s="2291"/>
      <c r="R9" s="2291"/>
      <c r="S9" s="2291"/>
      <c r="T9" s="2291"/>
      <c r="U9" s="2291"/>
      <c r="V9" s="2291"/>
      <c r="W9" s="2291"/>
      <c r="X9" s="2291"/>
      <c r="Y9" s="2291"/>
      <c r="Z9" s="2291"/>
      <c r="AA9" s="2291"/>
      <c r="AB9" s="2291"/>
      <c r="AC9" s="2291"/>
      <c r="AD9" s="2291"/>
      <c r="AE9" s="2291"/>
      <c r="AF9" s="2291"/>
      <c r="AG9" s="2291"/>
      <c r="AH9" s="2291"/>
      <c r="AI9" s="2292"/>
      <c r="AJ9" s="2292"/>
      <c r="AK9" s="2290"/>
      <c r="AL9" s="253"/>
      <c r="AM9" s="253"/>
      <c r="AN9" s="253"/>
      <c r="AO9" s="8297"/>
      <c r="AP9" s="10008"/>
      <c r="AQ9" s="10008"/>
      <c r="AR9" s="10008"/>
      <c r="AS9" s="10024"/>
      <c r="AT9" s="10008"/>
      <c r="AU9" s="10008"/>
      <c r="AV9" s="10009"/>
      <c r="AW9" s="10009"/>
      <c r="AX9" s="10012"/>
      <c r="AY9" s="10014"/>
      <c r="BA9" s="658"/>
      <c r="BB9" s="658"/>
      <c r="BC9" s="658"/>
      <c r="BD9" s="658"/>
      <c r="BE9" s="658"/>
      <c r="BF9" s="658"/>
      <c r="BG9" s="658"/>
      <c r="BH9" s="658"/>
      <c r="BI9" s="658"/>
      <c r="BJ9" s="658"/>
      <c r="BK9" s="2293"/>
    </row>
    <row r="10" spans="1:63" s="1115" customFormat="1" ht="15.75" customHeight="1">
      <c r="A10" s="2290"/>
      <c r="B10" s="2294"/>
      <c r="C10" s="2294"/>
      <c r="D10" s="2295"/>
      <c r="E10" s="2296" t="s">
        <v>3493</v>
      </c>
      <c r="F10" s="2294"/>
      <c r="G10" s="2294"/>
      <c r="H10" s="2294"/>
      <c r="I10" s="2294"/>
      <c r="J10" s="2294"/>
      <c r="K10" s="2294"/>
      <c r="L10" s="2294"/>
      <c r="M10" s="2294"/>
      <c r="N10" s="2294"/>
      <c r="O10" s="2294"/>
      <c r="P10" s="2294"/>
      <c r="Q10" s="2294"/>
      <c r="R10" s="2294"/>
      <c r="S10" s="2294"/>
      <c r="T10" s="2294"/>
      <c r="U10" s="2294"/>
      <c r="V10" s="2294"/>
      <c r="W10" s="2294"/>
      <c r="X10" s="2294"/>
      <c r="Y10" s="2294"/>
      <c r="Z10" s="2294"/>
      <c r="AA10" s="2294"/>
      <c r="AB10" s="2294"/>
      <c r="AC10" s="2294"/>
      <c r="AD10" s="2294"/>
      <c r="AE10" s="2294"/>
      <c r="AF10" s="2294"/>
      <c r="AG10" s="2294"/>
      <c r="AH10" s="2294"/>
      <c r="AI10" s="2297"/>
      <c r="AJ10" s="2297"/>
      <c r="AK10" s="2290"/>
      <c r="AL10" s="253"/>
      <c r="AM10" s="253"/>
      <c r="AN10" s="253"/>
      <c r="AO10" s="1234"/>
      <c r="AP10" s="4951"/>
      <c r="AQ10" s="1235"/>
      <c r="AR10" s="4952"/>
      <c r="AS10" s="1235"/>
      <c r="AT10" s="1235"/>
      <c r="AU10" s="1235"/>
      <c r="AV10" s="4956"/>
      <c r="AW10" s="4956"/>
      <c r="AX10" s="4952"/>
      <c r="AY10" s="1236"/>
      <c r="BA10" s="658"/>
      <c r="BB10" s="658"/>
      <c r="BC10" s="658"/>
      <c r="BD10" s="658"/>
      <c r="BE10" s="658"/>
      <c r="BF10" s="658"/>
      <c r="BG10" s="658"/>
      <c r="BH10" s="658"/>
      <c r="BI10" s="658"/>
      <c r="BJ10" s="658"/>
      <c r="BK10" s="2293"/>
    </row>
    <row r="11" spans="1:63" s="815" customFormat="1" ht="15.75" customHeight="1">
      <c r="A11" s="2013"/>
      <c r="B11" s="775">
        <v>1</v>
      </c>
      <c r="C11" s="2038" t="s">
        <v>3494</v>
      </c>
      <c r="D11" s="2038"/>
      <c r="E11" s="344"/>
      <c r="F11" s="344"/>
      <c r="G11" s="344"/>
      <c r="H11" s="344"/>
      <c r="I11" s="344"/>
      <c r="J11" s="344"/>
      <c r="K11" s="344"/>
      <c r="L11" s="344"/>
      <c r="M11" s="344"/>
      <c r="N11" s="344"/>
      <c r="O11" s="344"/>
      <c r="P11" s="344"/>
      <c r="Q11" s="344"/>
      <c r="R11" s="344"/>
      <c r="S11" s="344"/>
      <c r="T11" s="344"/>
      <c r="U11" s="344"/>
      <c r="V11" s="344"/>
      <c r="W11" s="344"/>
      <c r="X11" s="344"/>
      <c r="Y11" s="344"/>
      <c r="Z11" s="344"/>
      <c r="AA11" s="1401" t="s">
        <v>1075</v>
      </c>
      <c r="AB11" s="9996">
        <v>1</v>
      </c>
      <c r="AC11" s="9997"/>
      <c r="AD11" s="7572"/>
      <c r="AE11" s="7573"/>
      <c r="AF11" s="7573"/>
      <c r="AG11" s="7573"/>
      <c r="AH11" s="7573"/>
      <c r="AI11" s="7573"/>
      <c r="AJ11" s="7573"/>
      <c r="AK11" s="2013"/>
      <c r="AL11" s="253"/>
      <c r="AM11" s="253"/>
      <c r="AN11" s="253"/>
      <c r="AO11" s="1234"/>
      <c r="AP11" s="4951"/>
      <c r="AQ11" s="1235"/>
      <c r="AR11" s="4952"/>
      <c r="AS11" s="1235"/>
      <c r="AT11" s="1235"/>
      <c r="AU11" s="1235"/>
      <c r="AV11" s="4956"/>
      <c r="AW11" s="4956"/>
      <c r="AX11" s="4952"/>
      <c r="AY11" s="1236"/>
      <c r="BA11" s="658"/>
      <c r="BB11" s="658"/>
      <c r="BC11" s="658"/>
      <c r="BD11" s="658"/>
      <c r="BE11" s="658"/>
      <c r="BF11" s="658"/>
      <c r="BG11" s="658"/>
      <c r="BH11" s="658"/>
      <c r="BI11" s="658"/>
      <c r="BJ11" s="658"/>
      <c r="BK11"/>
    </row>
    <row r="12" spans="1:63" s="815" customFormat="1" ht="15.75" customHeight="1">
      <c r="A12" s="2013"/>
      <c r="B12" s="775">
        <v>2</v>
      </c>
      <c r="C12" s="2298" t="s">
        <v>3495</v>
      </c>
      <c r="D12" s="344"/>
      <c r="E12" s="344"/>
      <c r="F12" s="344"/>
      <c r="G12" s="344"/>
      <c r="H12" s="344"/>
      <c r="I12" s="344"/>
      <c r="J12" s="344"/>
      <c r="K12" s="344"/>
      <c r="L12" s="344"/>
      <c r="M12" s="344"/>
      <c r="N12" s="344"/>
      <c r="O12" s="344"/>
      <c r="P12" s="344"/>
      <c r="Q12" s="344"/>
      <c r="R12" s="344"/>
      <c r="S12" s="344"/>
      <c r="T12" s="344"/>
      <c r="U12" s="344"/>
      <c r="V12" s="344"/>
      <c r="W12" s="344"/>
      <c r="X12" s="344"/>
      <c r="Y12" s="344"/>
      <c r="Z12" s="344"/>
      <c r="AA12" s="1401" t="s">
        <v>911</v>
      </c>
      <c r="AB12" s="9996">
        <v>2</v>
      </c>
      <c r="AC12" s="9997"/>
      <c r="AD12" s="7572"/>
      <c r="AE12" s="7573"/>
      <c r="AF12" s="7573"/>
      <c r="AG12" s="7573"/>
      <c r="AH12" s="7573"/>
      <c r="AI12" s="7573"/>
      <c r="AJ12" s="7573"/>
      <c r="AK12" s="2013"/>
      <c r="AL12" s="253"/>
      <c r="AM12" s="253"/>
      <c r="AN12" s="253"/>
      <c r="AO12" s="1234"/>
      <c r="AP12" s="4951"/>
      <c r="AQ12" s="1235"/>
      <c r="AR12" s="4952"/>
      <c r="AS12" s="1235"/>
      <c r="AT12" s="1235"/>
      <c r="AU12" s="1235"/>
      <c r="AV12" s="4956"/>
      <c r="AW12" s="4956"/>
      <c r="AX12" s="4952"/>
      <c r="AY12" s="1236"/>
      <c r="BA12" s="658"/>
      <c r="BB12" s="658"/>
      <c r="BC12" s="658"/>
      <c r="BD12" s="658"/>
      <c r="BE12" s="658"/>
      <c r="BF12" s="658"/>
      <c r="BG12" s="658"/>
      <c r="BH12" s="658"/>
      <c r="BI12" s="658"/>
      <c r="BJ12" s="658"/>
      <c r="BK12"/>
    </row>
    <row r="13" spans="1:63" s="815" customFormat="1" ht="15.75" customHeight="1">
      <c r="A13" s="2013"/>
      <c r="B13" s="775">
        <v>3</v>
      </c>
      <c r="C13" s="2299" t="s">
        <v>3496</v>
      </c>
      <c r="D13" s="511"/>
      <c r="E13" s="344"/>
      <c r="F13" s="344"/>
      <c r="G13" s="344"/>
      <c r="H13" s="344"/>
      <c r="I13" s="344"/>
      <c r="J13" s="344"/>
      <c r="K13" s="344"/>
      <c r="L13" s="344"/>
      <c r="M13" s="344"/>
      <c r="N13" s="344"/>
      <c r="O13" s="344"/>
      <c r="P13" s="344"/>
      <c r="Q13" s="344"/>
      <c r="R13" s="344"/>
      <c r="S13" s="344"/>
      <c r="T13" s="344"/>
      <c r="U13" s="344"/>
      <c r="V13" s="344"/>
      <c r="W13" s="344"/>
      <c r="X13" s="344"/>
      <c r="Y13" s="344"/>
      <c r="Z13" s="344"/>
      <c r="AA13" s="1401" t="s">
        <v>1838</v>
      </c>
      <c r="AB13" s="9996">
        <v>3</v>
      </c>
      <c r="AC13" s="9997"/>
      <c r="AD13" s="7572"/>
      <c r="AE13" s="7573"/>
      <c r="AF13" s="7573"/>
      <c r="AG13" s="7573"/>
      <c r="AH13" s="7573"/>
      <c r="AI13" s="7573"/>
      <c r="AJ13" s="7573"/>
      <c r="AK13" s="2013"/>
      <c r="AL13" s="253"/>
      <c r="AM13" s="253"/>
      <c r="AN13" s="253"/>
      <c r="AO13" s="1234"/>
      <c r="AP13" s="4951"/>
      <c r="AQ13" s="1235"/>
      <c r="AR13" s="4952"/>
      <c r="AS13" s="1235"/>
      <c r="AT13" s="1235"/>
      <c r="AU13" s="1235"/>
      <c r="AV13" s="4956"/>
      <c r="AW13" s="4956"/>
      <c r="AX13" s="4952"/>
      <c r="AY13" s="1236"/>
      <c r="BA13" s="658"/>
      <c r="BB13" s="658"/>
      <c r="BC13" s="658"/>
      <c r="BD13" s="658"/>
      <c r="BE13" s="658"/>
      <c r="BF13" s="658"/>
      <c r="BG13" s="658"/>
      <c r="BH13" s="658"/>
      <c r="BI13" s="658"/>
      <c r="BJ13" s="658"/>
      <c r="BK13"/>
    </row>
    <row r="14" spans="1:63" s="815" customFormat="1" ht="15.75" customHeight="1">
      <c r="A14" s="2013"/>
      <c r="B14" s="775">
        <v>4</v>
      </c>
      <c r="C14" s="2299" t="s">
        <v>3497</v>
      </c>
      <c r="D14" s="511"/>
      <c r="E14" s="344"/>
      <c r="F14" s="344"/>
      <c r="G14" s="344"/>
      <c r="H14" s="344"/>
      <c r="I14" s="344"/>
      <c r="J14" s="344"/>
      <c r="K14" s="344"/>
      <c r="L14" s="344"/>
      <c r="M14" s="344"/>
      <c r="N14" s="344"/>
      <c r="O14" s="344"/>
      <c r="P14" s="344"/>
      <c r="Q14" s="344"/>
      <c r="R14" s="344"/>
      <c r="S14" s="2300"/>
      <c r="T14" s="344"/>
      <c r="U14" s="344"/>
      <c r="V14" s="344"/>
      <c r="W14" s="1204"/>
      <c r="X14" s="1205"/>
      <c r="Y14" s="1205"/>
      <c r="Z14" s="1205"/>
      <c r="AA14" s="1401" t="s">
        <v>784</v>
      </c>
      <c r="AB14" s="9996">
        <v>4</v>
      </c>
      <c r="AC14" s="9997"/>
      <c r="AD14" s="7597" t="str">
        <f>IF(AND(AD12="",AD13=""),"",MAX(0,SUM(AD12,-AD13)))</f>
        <v/>
      </c>
      <c r="AE14" s="7598"/>
      <c r="AF14" s="7598"/>
      <c r="AG14" s="7598"/>
      <c r="AH14" s="7598"/>
      <c r="AI14" s="7598"/>
      <c r="AJ14" s="7598"/>
      <c r="AK14" s="2013"/>
      <c r="AL14" s="253"/>
      <c r="AM14" s="226" t="s">
        <v>979</v>
      </c>
      <c r="AN14" s="253"/>
      <c r="AO14" s="1234"/>
      <c r="AP14" s="4951"/>
      <c r="AQ14" s="1235"/>
      <c r="AR14" s="4952"/>
      <c r="AS14" s="1235"/>
      <c r="AT14" s="1235"/>
      <c r="AU14" s="1235"/>
      <c r="AV14" s="4956"/>
      <c r="AW14" s="4956"/>
      <c r="AX14" s="4952"/>
      <c r="AY14" s="1236"/>
      <c r="BA14" s="658"/>
      <c r="BB14" s="658"/>
      <c r="BC14" s="658"/>
      <c r="BD14" s="658"/>
      <c r="BE14" s="658"/>
      <c r="BF14" s="658"/>
      <c r="BG14" s="658"/>
      <c r="BH14" s="658"/>
      <c r="BI14" s="658"/>
      <c r="BJ14" s="658"/>
      <c r="BK14"/>
    </row>
    <row r="15" spans="1:63" s="815" customFormat="1" ht="15.75" customHeight="1" thickBot="1">
      <c r="A15" s="2013"/>
      <c r="B15" s="775">
        <v>5</v>
      </c>
      <c r="C15" s="2299" t="s">
        <v>3498</v>
      </c>
      <c r="D15" s="511"/>
      <c r="E15" s="344"/>
      <c r="F15" s="344"/>
      <c r="G15" s="344"/>
      <c r="H15" s="344"/>
      <c r="I15" s="344"/>
      <c r="J15" s="344"/>
      <c r="K15" s="1061"/>
      <c r="L15" s="2300"/>
      <c r="M15" s="2301"/>
      <c r="N15" s="1061"/>
      <c r="O15" s="1061"/>
      <c r="P15" s="1061"/>
      <c r="Q15" s="1061"/>
      <c r="R15" s="1061"/>
      <c r="S15" s="344"/>
      <c r="T15" s="344"/>
      <c r="U15" s="344"/>
      <c r="V15" s="1061"/>
      <c r="W15" s="1204"/>
      <c r="X15" s="2302"/>
      <c r="Y15" s="4863"/>
      <c r="Z15" s="4863"/>
      <c r="AA15" s="4863"/>
      <c r="AB15" s="9996"/>
      <c r="AC15" s="9997"/>
      <c r="AD15" s="566"/>
      <c r="AE15" s="1205"/>
      <c r="AF15" s="1205"/>
      <c r="AG15" s="1205"/>
      <c r="AH15" s="1205"/>
      <c r="AI15" s="1205"/>
      <c r="AJ15" s="1205"/>
      <c r="AK15" s="2013"/>
      <c r="AL15" s="253"/>
      <c r="AM15" s="226" t="s">
        <v>931</v>
      </c>
      <c r="AN15" s="253"/>
      <c r="AO15" s="1234"/>
      <c r="AP15" s="4951"/>
      <c r="AQ15" s="1235"/>
      <c r="AR15" s="4952"/>
      <c r="AS15" s="1235"/>
      <c r="AT15" s="1235"/>
      <c r="AU15" s="1235"/>
      <c r="AV15" s="4956"/>
      <c r="AW15" s="4956"/>
      <c r="AX15" s="4952"/>
      <c r="AY15" s="1236"/>
      <c r="BA15" s="658"/>
      <c r="BB15" s="658"/>
      <c r="BC15" s="658"/>
      <c r="BD15" s="658"/>
      <c r="BE15" s="658"/>
      <c r="BF15" s="658"/>
      <c r="BG15" s="658"/>
      <c r="BH15" s="658"/>
      <c r="BI15" s="658"/>
      <c r="BJ15" s="658"/>
      <c r="BK15"/>
    </row>
    <row r="16" spans="1:63" s="815" customFormat="1" ht="15.75" customHeight="1" thickBot="1">
      <c r="A16" s="2013"/>
      <c r="B16" s="2008"/>
      <c r="C16" s="6023" t="s">
        <v>3499</v>
      </c>
      <c r="D16" s="1996"/>
      <c r="E16" s="569"/>
      <c r="F16" s="569"/>
      <c r="G16" s="569"/>
      <c r="H16" s="569"/>
      <c r="I16" s="569"/>
      <c r="J16" s="569"/>
      <c r="K16" s="569"/>
      <c r="L16" s="569"/>
      <c r="M16" s="569"/>
      <c r="N16" s="569"/>
      <c r="O16" s="569"/>
      <c r="P16" s="569"/>
      <c r="Q16" s="569"/>
      <c r="R16" s="569"/>
      <c r="S16" s="569"/>
      <c r="T16" s="569"/>
      <c r="U16" s="569"/>
      <c r="V16" s="569"/>
      <c r="W16" s="2304"/>
      <c r="X16" s="569"/>
      <c r="Y16" s="569"/>
      <c r="Z16" s="569"/>
      <c r="AA16" s="1401" t="s">
        <v>1888</v>
      </c>
      <c r="AB16" s="8463">
        <v>5</v>
      </c>
      <c r="AC16" s="9998"/>
      <c r="AD16" s="7703" t="str">
        <f>IF(AM16&lt;&gt;"",ROUND(AM16,0),IF(AND(AD11="",AD12="",AD13=""),"",IF(AND(AD12="",AD13=""),AD11,MAX(0,SUM(AD11,-AD14)))))</f>
        <v/>
      </c>
      <c r="AE16" s="7643"/>
      <c r="AF16" s="7643"/>
      <c r="AG16" s="7643"/>
      <c r="AH16" s="7643"/>
      <c r="AI16" s="7643"/>
      <c r="AJ16" s="7643"/>
      <c r="AK16" s="2013"/>
      <c r="AL16" s="253"/>
      <c r="AM16" s="1237"/>
      <c r="AN16" s="253"/>
      <c r="AO16" s="1234"/>
      <c r="AP16" s="4951"/>
      <c r="AQ16" s="1235"/>
      <c r="AR16" s="4952"/>
      <c r="AS16" s="1235"/>
      <c r="AT16" s="1235"/>
      <c r="AU16" s="1235"/>
      <c r="AV16" s="4956"/>
      <c r="AW16" s="4956"/>
      <c r="AX16" s="4952"/>
      <c r="AY16" s="1236"/>
      <c r="BA16" s="658"/>
      <c r="BB16" s="658"/>
      <c r="BC16" s="658"/>
      <c r="BD16" s="658"/>
      <c r="BE16" s="658"/>
      <c r="BF16" s="658"/>
      <c r="BG16" s="658"/>
      <c r="BH16" s="658"/>
      <c r="BI16" s="658"/>
      <c r="BJ16" s="658"/>
      <c r="BK16"/>
    </row>
    <row r="17" spans="1:63" s="815" customFormat="1" ht="15.75" customHeight="1">
      <c r="A17" s="2013"/>
      <c r="B17" s="4864">
        <v>6</v>
      </c>
      <c r="C17" s="9999" t="s">
        <v>3500</v>
      </c>
      <c r="D17" s="10000"/>
      <c r="E17" s="10000"/>
      <c r="F17" s="10000"/>
      <c r="G17" s="10000"/>
      <c r="H17" s="10000"/>
      <c r="I17" s="10000"/>
      <c r="J17" s="10000"/>
      <c r="K17" s="10000"/>
      <c r="L17" s="10000"/>
      <c r="M17" s="10000"/>
      <c r="N17" s="10000"/>
      <c r="O17" s="10001"/>
      <c r="P17" s="10002" t="s">
        <v>3501</v>
      </c>
      <c r="Q17" s="10003"/>
      <c r="R17" s="10003"/>
      <c r="S17" s="10003"/>
      <c r="T17" s="10003"/>
      <c r="U17" s="10004"/>
      <c r="V17" s="10005" t="s">
        <v>3502</v>
      </c>
      <c r="W17" s="8489"/>
      <c r="X17" s="8489"/>
      <c r="Y17" s="8489"/>
      <c r="Z17" s="8489"/>
      <c r="AA17" s="8489"/>
      <c r="AB17" s="8489"/>
      <c r="AC17" s="8469"/>
      <c r="AD17" s="4168"/>
      <c r="AE17" s="4168"/>
      <c r="AF17" s="4168"/>
      <c r="AG17" s="4168"/>
      <c r="AH17" s="4168"/>
      <c r="AI17" s="4168"/>
      <c r="AJ17" s="4168"/>
      <c r="AK17" s="2013"/>
      <c r="AL17" s="253"/>
      <c r="AM17" s="253"/>
      <c r="AN17" s="253"/>
      <c r="AO17" s="1234"/>
      <c r="AP17" s="4951"/>
      <c r="AQ17" s="1235"/>
      <c r="AR17" s="4952"/>
      <c r="AS17" s="1235"/>
      <c r="AT17" s="1235"/>
      <c r="AU17" s="1235"/>
      <c r="AV17" s="4956"/>
      <c r="AW17" s="4956"/>
      <c r="AX17" s="4952"/>
      <c r="AY17" s="1236"/>
      <c r="BA17" s="658"/>
      <c r="BB17" s="658"/>
      <c r="BC17" s="658"/>
      <c r="BD17" s="658"/>
      <c r="BE17" s="658"/>
      <c r="BF17" s="658"/>
      <c r="BG17" s="658"/>
      <c r="BH17" s="658"/>
      <c r="BI17" s="658"/>
      <c r="BJ17" s="658"/>
      <c r="BK17"/>
    </row>
    <row r="18" spans="1:63" s="815" customFormat="1" ht="15.75" customHeight="1">
      <c r="A18" s="2013"/>
      <c r="B18" s="7328"/>
      <c r="C18" s="7328"/>
      <c r="D18" s="7328"/>
      <c r="E18" s="7328"/>
      <c r="F18" s="7328"/>
      <c r="G18" s="7328"/>
      <c r="H18" s="7328"/>
      <c r="I18" s="7328"/>
      <c r="J18" s="7328"/>
      <c r="K18" s="7328"/>
      <c r="L18" s="7328"/>
      <c r="M18" s="7328"/>
      <c r="N18" s="7328"/>
      <c r="O18" s="8467"/>
      <c r="P18" s="7572"/>
      <c r="Q18" s="7573"/>
      <c r="R18" s="7573"/>
      <c r="S18" s="7573"/>
      <c r="T18" s="7573"/>
      <c r="U18" s="10034"/>
      <c r="V18" s="7883"/>
      <c r="W18" s="7573"/>
      <c r="X18" s="7573"/>
      <c r="Y18" s="7573"/>
      <c r="Z18" s="7573"/>
      <c r="AA18" s="7573"/>
      <c r="AB18" s="7573"/>
      <c r="AC18" s="10034"/>
      <c r="AD18" s="4168"/>
      <c r="AE18" s="4168"/>
      <c r="AF18" s="4168"/>
      <c r="AG18" s="4168"/>
      <c r="AH18" s="4168"/>
      <c r="AI18" s="4168"/>
      <c r="AJ18" s="4168"/>
      <c r="AK18" s="2013"/>
      <c r="AL18" s="253"/>
      <c r="AM18" s="226" t="s">
        <v>979</v>
      </c>
      <c r="AN18" s="253"/>
      <c r="AO18" s="1234"/>
      <c r="AP18" s="4951"/>
      <c r="AQ18" s="1235"/>
      <c r="AR18" s="4952"/>
      <c r="AS18" s="1235"/>
      <c r="AT18" s="1235"/>
      <c r="AU18" s="1235"/>
      <c r="AV18" s="4956"/>
      <c r="AW18" s="4956"/>
      <c r="AX18" s="4952"/>
      <c r="AY18" s="1236"/>
      <c r="BA18" s="658"/>
      <c r="BB18" s="658"/>
      <c r="BC18" s="658"/>
      <c r="BD18" s="658"/>
      <c r="BE18" s="658"/>
      <c r="BF18" s="658"/>
      <c r="BG18" s="658"/>
      <c r="BH18" s="658"/>
      <c r="BI18" s="658"/>
      <c r="BJ18" s="658"/>
      <c r="BK18"/>
    </row>
    <row r="19" spans="1:63" s="815" customFormat="1" ht="15.75" customHeight="1" thickBot="1">
      <c r="A19" s="2013"/>
      <c r="B19" s="7328"/>
      <c r="C19" s="7328"/>
      <c r="D19" s="7328"/>
      <c r="E19" s="7328"/>
      <c r="F19" s="7328"/>
      <c r="G19" s="7328"/>
      <c r="H19" s="7328"/>
      <c r="I19" s="7328"/>
      <c r="J19" s="7328"/>
      <c r="K19" s="7328"/>
      <c r="L19" s="7328"/>
      <c r="M19" s="7328"/>
      <c r="N19" s="7328"/>
      <c r="O19" s="8467"/>
      <c r="P19" s="7572"/>
      <c r="Q19" s="7573"/>
      <c r="R19" s="7573"/>
      <c r="S19" s="7573"/>
      <c r="T19" s="7573"/>
      <c r="U19" s="10034"/>
      <c r="V19" s="7883"/>
      <c r="W19" s="7573"/>
      <c r="X19" s="7573"/>
      <c r="Y19" s="7573"/>
      <c r="Z19" s="7573"/>
      <c r="AA19" s="7573"/>
      <c r="AB19" s="7573"/>
      <c r="AC19" s="10034"/>
      <c r="AD19" s="4168"/>
      <c r="AE19" s="4865"/>
      <c r="AF19" s="4865"/>
      <c r="AG19" s="4865"/>
      <c r="AH19" s="4865"/>
      <c r="AI19" s="4865"/>
      <c r="AJ19" s="4865"/>
      <c r="AK19" s="2013"/>
      <c r="AL19" s="253"/>
      <c r="AM19" s="226" t="s">
        <v>931</v>
      </c>
      <c r="AN19" s="253"/>
      <c r="AO19" s="1234"/>
      <c r="AP19" s="4951"/>
      <c r="AQ19" s="1235"/>
      <c r="AR19" s="4952"/>
      <c r="AS19" s="1235"/>
      <c r="AT19" s="1235"/>
      <c r="AU19" s="1235"/>
      <c r="AV19" s="4956"/>
      <c r="AW19" s="4956"/>
      <c r="AX19" s="4952"/>
      <c r="AY19" s="1236"/>
      <c r="BA19" s="658"/>
      <c r="BB19" s="658"/>
      <c r="BC19" s="658"/>
      <c r="BD19" s="658"/>
      <c r="BE19" s="658"/>
      <c r="BF19" s="658"/>
      <c r="BG19" s="658"/>
      <c r="BH19" s="658"/>
      <c r="BI19" s="658"/>
      <c r="BJ19" s="658"/>
      <c r="BK19"/>
    </row>
    <row r="20" spans="1:63" s="815" customFormat="1" ht="15.75" customHeight="1" thickBot="1">
      <c r="A20" s="2013"/>
      <c r="B20" s="775">
        <v>7</v>
      </c>
      <c r="C20" s="2299" t="s">
        <v>3503</v>
      </c>
      <c r="D20" s="344"/>
      <c r="E20" s="344"/>
      <c r="F20" s="344"/>
      <c r="G20" s="344"/>
      <c r="H20" s="344"/>
      <c r="I20" s="344"/>
      <c r="J20" s="344"/>
      <c r="K20" s="344"/>
      <c r="L20" s="344"/>
      <c r="M20" s="344"/>
      <c r="N20" s="344"/>
      <c r="O20" s="344"/>
      <c r="P20" s="344"/>
      <c r="Q20" s="344"/>
      <c r="R20" s="344"/>
      <c r="S20" s="344"/>
      <c r="T20" s="1401" t="s">
        <v>784</v>
      </c>
      <c r="U20" s="4449">
        <v>7</v>
      </c>
      <c r="V20" s="7725">
        <f>IF(AM20&lt;&gt;"",ROUND(AM20,0),AF93)</f>
        <v>0</v>
      </c>
      <c r="W20" s="7598"/>
      <c r="X20" s="7598"/>
      <c r="Y20" s="7598"/>
      <c r="Z20" s="7598"/>
      <c r="AA20" s="7598"/>
      <c r="AB20" s="7598"/>
      <c r="AC20" s="10027"/>
      <c r="AD20" s="4167"/>
      <c r="AE20" s="4865"/>
      <c r="AF20" s="4865"/>
      <c r="AG20" s="4865"/>
      <c r="AH20" s="4865"/>
      <c r="AI20" s="4865"/>
      <c r="AJ20" s="4865"/>
      <c r="AK20" s="2013"/>
      <c r="AL20" s="253"/>
      <c r="AM20" s="1237"/>
      <c r="AN20" s="253"/>
      <c r="AO20" s="1234"/>
      <c r="AP20" s="4951"/>
      <c r="AQ20" s="1235"/>
      <c r="AR20" s="4952"/>
      <c r="AS20" s="1235"/>
      <c r="AT20" s="1235"/>
      <c r="AU20" s="1235"/>
      <c r="AV20" s="4956"/>
      <c r="AW20" s="4956"/>
      <c r="AX20" s="4952"/>
      <c r="AY20" s="1236"/>
      <c r="BA20" s="658"/>
      <c r="BB20" s="658"/>
      <c r="BC20" s="658"/>
      <c r="BD20" s="658"/>
      <c r="BE20" s="658"/>
      <c r="BF20" s="658"/>
      <c r="BG20" s="658"/>
      <c r="BH20" s="658"/>
      <c r="BI20" s="658"/>
      <c r="BJ20" s="658"/>
      <c r="BK20"/>
    </row>
    <row r="21" spans="1:63" s="815" customFormat="1" ht="15.75" customHeight="1">
      <c r="A21" s="2013"/>
      <c r="B21" s="775">
        <v>8</v>
      </c>
      <c r="C21" s="2299" t="s">
        <v>3504</v>
      </c>
      <c r="D21" s="511"/>
      <c r="E21" s="344"/>
      <c r="F21" s="344"/>
      <c r="G21" s="344"/>
      <c r="H21" s="344"/>
      <c r="I21" s="344"/>
      <c r="J21" s="344"/>
      <c r="K21" s="344"/>
      <c r="L21" s="344"/>
      <c r="M21" s="344"/>
      <c r="N21" s="344"/>
      <c r="O21" s="344"/>
      <c r="P21" s="344"/>
      <c r="Q21" s="344"/>
      <c r="R21" s="344"/>
      <c r="S21" s="2300"/>
      <c r="T21" s="344"/>
      <c r="U21" s="344"/>
      <c r="V21" s="344"/>
      <c r="W21" s="1204"/>
      <c r="X21" s="1205"/>
      <c r="Y21" s="1205"/>
      <c r="Z21" s="1205"/>
      <c r="AA21" s="1401" t="s">
        <v>1838</v>
      </c>
      <c r="AB21" s="10028">
        <v>8</v>
      </c>
      <c r="AC21" s="10029"/>
      <c r="AD21" s="7703">
        <f>SUM(ROUND(V18,0),ROUND(V19,0),V20)</f>
        <v>0</v>
      </c>
      <c r="AE21" s="7643"/>
      <c r="AF21" s="7643"/>
      <c r="AG21" s="7643"/>
      <c r="AH21" s="7643"/>
      <c r="AI21" s="7643"/>
      <c r="AJ21" s="7643"/>
      <c r="AK21" s="2013"/>
      <c r="AL21" s="253"/>
      <c r="AM21" s="253"/>
      <c r="AN21" s="253"/>
      <c r="AO21" s="1234"/>
      <c r="AP21" s="4951"/>
      <c r="AQ21" s="1235"/>
      <c r="AR21" s="4952"/>
      <c r="AS21" s="1235"/>
      <c r="AT21" s="1235"/>
      <c r="AU21" s="1235"/>
      <c r="AV21" s="4956"/>
      <c r="AW21" s="4956"/>
      <c r="AX21" s="4952"/>
      <c r="AY21" s="1236"/>
      <c r="BA21" s="658"/>
      <c r="BB21" s="658"/>
      <c r="BC21" s="658"/>
      <c r="BD21" s="658"/>
      <c r="BE21" s="658"/>
      <c r="BF21" s="658"/>
      <c r="BG21" s="658"/>
      <c r="BH21" s="658"/>
      <c r="BI21" s="658"/>
      <c r="BJ21" s="658"/>
      <c r="BK21"/>
    </row>
    <row r="22" spans="1:63" s="815" customFormat="1" ht="15.75" customHeight="1">
      <c r="A22" s="2013"/>
      <c r="B22" s="775">
        <v>9</v>
      </c>
      <c r="C22" s="2299" t="s">
        <v>3505</v>
      </c>
      <c r="D22" s="511"/>
      <c r="E22" s="344"/>
      <c r="F22" s="344"/>
      <c r="G22" s="344"/>
      <c r="H22" s="344"/>
      <c r="I22" s="344"/>
      <c r="J22" s="344"/>
      <c r="K22" s="344"/>
      <c r="L22" s="344"/>
      <c r="M22" s="344"/>
      <c r="N22" s="344"/>
      <c r="O22" s="344"/>
      <c r="P22" s="344"/>
      <c r="Q22" s="344"/>
      <c r="R22" s="344"/>
      <c r="S22" s="2300"/>
      <c r="T22" s="344"/>
      <c r="U22" s="344"/>
      <c r="V22" s="344"/>
      <c r="W22" s="1204"/>
      <c r="X22" s="1205"/>
      <c r="Y22" s="1205"/>
      <c r="Z22" s="1205"/>
      <c r="AA22" s="1401" t="s">
        <v>793</v>
      </c>
      <c r="AB22" s="10028">
        <v>9</v>
      </c>
      <c r="AC22" s="10029"/>
      <c r="AD22" s="10030">
        <f>MIN(AD16,AD21)</f>
        <v>0</v>
      </c>
      <c r="AE22" s="10031"/>
      <c r="AF22" s="10031"/>
      <c r="AG22" s="10031"/>
      <c r="AH22" s="10031"/>
      <c r="AI22" s="10031"/>
      <c r="AJ22" s="10032"/>
      <c r="AK22" s="2013"/>
      <c r="AL22" s="253"/>
      <c r="AM22" s="253"/>
      <c r="AN22" s="253"/>
      <c r="AO22" s="1234"/>
      <c r="AP22" s="4951"/>
      <c r="AQ22" s="1235"/>
      <c r="AR22" s="4952"/>
      <c r="AS22" s="1235"/>
      <c r="AT22" s="1235"/>
      <c r="AU22" s="1235"/>
      <c r="AV22" s="4956"/>
      <c r="AW22" s="4956"/>
      <c r="AX22" s="4952"/>
      <c r="AY22" s="1236"/>
      <c r="BA22" s="658"/>
      <c r="BB22" s="658"/>
      <c r="BC22" s="658"/>
      <c r="BD22" s="658"/>
      <c r="BE22" s="658"/>
      <c r="BF22" s="658"/>
      <c r="BG22" s="658"/>
      <c r="BH22" s="658"/>
      <c r="BI22" s="658"/>
      <c r="BJ22" s="658"/>
      <c r="BK22"/>
    </row>
    <row r="23" spans="1:63" s="815" customFormat="1" ht="15.75" customHeight="1" thickBot="1">
      <c r="A23" s="2013"/>
      <c r="B23" s="775">
        <v>10</v>
      </c>
      <c r="C23" s="2299" t="str">
        <f>"Carryover of disallowed deduction from line 13 of your "&amp;TaxYear-1&amp;" Form 4562"</f>
        <v>Carryover of disallowed deduction from line 13 of your 2024 Form 4562</v>
      </c>
      <c r="D23" s="511"/>
      <c r="E23" s="344"/>
      <c r="F23" s="344"/>
      <c r="G23" s="344"/>
      <c r="H23" s="344"/>
      <c r="I23" s="344"/>
      <c r="J23" s="344"/>
      <c r="K23" s="344"/>
      <c r="L23" s="344"/>
      <c r="M23" s="344"/>
      <c r="N23" s="344"/>
      <c r="O23" s="344"/>
      <c r="P23" s="344"/>
      <c r="Q23" s="344"/>
      <c r="R23" s="344"/>
      <c r="S23" s="2300"/>
      <c r="T23" s="344"/>
      <c r="U23" s="344"/>
      <c r="V23" s="344"/>
      <c r="W23" s="1204"/>
      <c r="X23" s="1205"/>
      <c r="Y23" s="1205"/>
      <c r="Z23" s="1205"/>
      <c r="AA23" s="1401" t="s">
        <v>874</v>
      </c>
      <c r="AB23" s="10028">
        <v>10</v>
      </c>
      <c r="AC23" s="10029"/>
      <c r="AD23" s="10033"/>
      <c r="AE23" s="10033"/>
      <c r="AF23" s="10033"/>
      <c r="AG23" s="10033"/>
      <c r="AH23" s="10033"/>
      <c r="AI23" s="10033"/>
      <c r="AJ23" s="7572"/>
      <c r="AK23" s="2013"/>
      <c r="AL23" s="253"/>
      <c r="AM23" s="817" t="s">
        <v>3506</v>
      </c>
      <c r="AN23" s="253"/>
      <c r="AO23" s="1234"/>
      <c r="AP23" s="4951"/>
      <c r="AQ23" s="1235"/>
      <c r="AR23" s="4952"/>
      <c r="AS23" s="1235"/>
      <c r="AT23" s="1235"/>
      <c r="AU23" s="1235"/>
      <c r="AV23" s="4956"/>
      <c r="AW23" s="4956"/>
      <c r="AX23" s="4952"/>
      <c r="AY23" s="1236"/>
      <c r="BA23" s="658"/>
      <c r="BB23" s="658"/>
      <c r="BC23" s="658"/>
      <c r="BD23" s="658"/>
      <c r="BE23" s="658"/>
      <c r="BF23" s="658"/>
      <c r="BG23" s="658"/>
      <c r="BH23" s="658"/>
      <c r="BI23" s="658"/>
      <c r="BJ23" s="658"/>
      <c r="BK23"/>
    </row>
    <row r="24" spans="1:63" s="815" customFormat="1" ht="15.75" customHeight="1" thickBot="1">
      <c r="A24" s="2013"/>
      <c r="B24" s="4242">
        <v>11</v>
      </c>
      <c r="C24" s="2100" t="s">
        <v>3507</v>
      </c>
      <c r="D24" s="873"/>
      <c r="E24" s="511"/>
      <c r="F24" s="344"/>
      <c r="G24" s="344"/>
      <c r="H24" s="344"/>
      <c r="I24" s="344"/>
      <c r="J24" s="344"/>
      <c r="K24" s="344"/>
      <c r="L24" s="344"/>
      <c r="M24" s="344"/>
      <c r="N24" s="344"/>
      <c r="O24" s="344"/>
      <c r="P24" s="344"/>
      <c r="Q24" s="344"/>
      <c r="R24" s="344"/>
      <c r="S24" s="344"/>
      <c r="T24" s="344"/>
      <c r="U24" s="344"/>
      <c r="V24" s="344"/>
      <c r="W24" s="1061"/>
      <c r="X24" s="344"/>
      <c r="Y24" s="344"/>
      <c r="Z24" s="344"/>
      <c r="AA24" s="344"/>
      <c r="AB24" s="10028">
        <v>11</v>
      </c>
      <c r="AC24" s="10029"/>
      <c r="AD24" s="10030">
        <f>MIN(MAX(0,ROUND(AM24,0)),AD16)</f>
        <v>0</v>
      </c>
      <c r="AE24" s="10031"/>
      <c r="AF24" s="10031"/>
      <c r="AG24" s="10031"/>
      <c r="AH24" s="10031"/>
      <c r="AI24" s="10031"/>
      <c r="AJ24" s="10032"/>
      <c r="AK24" s="2013"/>
      <c r="AL24" s="253"/>
      <c r="AM24" s="1237"/>
      <c r="AN24" s="253"/>
      <c r="AO24" s="1234"/>
      <c r="AP24" s="4951"/>
      <c r="AQ24" s="1235"/>
      <c r="AR24" s="4952"/>
      <c r="AS24" s="1235"/>
      <c r="AT24" s="1235"/>
      <c r="AU24" s="1235"/>
      <c r="AV24" s="4956"/>
      <c r="AW24" s="4956"/>
      <c r="AX24" s="4952"/>
      <c r="AY24" s="1236"/>
      <c r="BA24" s="658"/>
      <c r="BB24" s="658"/>
      <c r="BC24" s="658"/>
      <c r="BD24" s="658"/>
      <c r="BE24" s="658"/>
      <c r="BF24" s="658"/>
      <c r="BG24" s="658"/>
      <c r="BH24" s="658"/>
      <c r="BI24" s="658"/>
      <c r="BJ24" s="658"/>
      <c r="BK24"/>
    </row>
    <row r="25" spans="1:63" s="815" customFormat="1" ht="15.75" customHeight="1" thickBot="1">
      <c r="A25" s="2013"/>
      <c r="B25" s="775">
        <v>12</v>
      </c>
      <c r="C25" s="2298" t="s">
        <v>3508</v>
      </c>
      <c r="D25" s="873"/>
      <c r="E25" s="511"/>
      <c r="F25" s="344"/>
      <c r="G25" s="344"/>
      <c r="H25" s="344"/>
      <c r="I25" s="344"/>
      <c r="J25" s="344"/>
      <c r="K25" s="344"/>
      <c r="L25" s="344"/>
      <c r="M25" s="344"/>
      <c r="N25" s="344"/>
      <c r="O25" s="344"/>
      <c r="P25" s="344"/>
      <c r="Q25" s="344"/>
      <c r="R25" s="344"/>
      <c r="S25" s="344"/>
      <c r="T25" s="344"/>
      <c r="U25" s="344"/>
      <c r="V25" s="344"/>
      <c r="W25" s="344"/>
      <c r="X25" s="344"/>
      <c r="Y25" s="344"/>
      <c r="Z25" s="344"/>
      <c r="AA25" s="1401" t="s">
        <v>905</v>
      </c>
      <c r="AB25" s="10028">
        <v>12</v>
      </c>
      <c r="AC25" s="10029"/>
      <c r="AD25" s="10030">
        <f>MIN(SUM(AD22,ROUND(AD23,0)),AD24)</f>
        <v>0</v>
      </c>
      <c r="AE25" s="10031"/>
      <c r="AF25" s="10031"/>
      <c r="AG25" s="10031"/>
      <c r="AH25" s="10031"/>
      <c r="AI25" s="10031"/>
      <c r="AJ25" s="10032"/>
      <c r="AK25" s="2013"/>
      <c r="AL25" s="253"/>
      <c r="AM25" s="4866" t="s">
        <v>931</v>
      </c>
      <c r="AN25" s="253"/>
      <c r="AO25" s="1234"/>
      <c r="AP25" s="4951"/>
      <c r="AQ25" s="1235"/>
      <c r="AR25" s="4952"/>
      <c r="AS25" s="1235"/>
      <c r="AT25" s="1235"/>
      <c r="AU25" s="1235"/>
      <c r="AV25" s="4956"/>
      <c r="AW25" s="4956"/>
      <c r="AX25" s="4952"/>
      <c r="AY25" s="1236"/>
      <c r="BA25" s="658"/>
      <c r="BB25" s="658"/>
      <c r="BC25" s="658"/>
      <c r="BD25" s="658"/>
      <c r="BE25" s="658"/>
      <c r="BF25" s="658"/>
      <c r="BG25" s="658"/>
      <c r="BH25" s="658"/>
      <c r="BI25" s="658"/>
      <c r="BJ25" s="658"/>
      <c r="BK25"/>
    </row>
    <row r="26" spans="1:63" s="815" customFormat="1" ht="15.75" customHeight="1" thickBot="1">
      <c r="A26" s="2013"/>
      <c r="B26" s="775">
        <v>13</v>
      </c>
      <c r="C26" s="2298" t="str">
        <f>"Carryover of disallowed deduction to "&amp;TaxYear+1&amp;". Add lines 9 and 10, less line 12"</f>
        <v>Carryover of disallowed deduction to 2026. Add lines 9 and 10, less line 12</v>
      </c>
      <c r="D26" s="511"/>
      <c r="E26" s="511"/>
      <c r="F26" s="344"/>
      <c r="G26" s="344"/>
      <c r="H26" s="344"/>
      <c r="I26" s="344"/>
      <c r="J26" s="344"/>
      <c r="K26" s="344"/>
      <c r="L26" s="344"/>
      <c r="M26" s="344"/>
      <c r="N26" s="344"/>
      <c r="O26" s="344"/>
      <c r="P26" s="344"/>
      <c r="Q26" s="344"/>
      <c r="R26" s="344"/>
      <c r="S26" s="344"/>
      <c r="T26" s="344"/>
      <c r="U26" s="344"/>
      <c r="V26" s="4452">
        <v>13</v>
      </c>
      <c r="W26" s="10035">
        <f>IF(AM26&lt;&gt;"",ROUND(AM26,0),SUM(AD22,ROUND(AD23,0),-AD25))</f>
        <v>0</v>
      </c>
      <c r="X26" s="10036"/>
      <c r="Y26" s="10036"/>
      <c r="Z26" s="10036"/>
      <c r="AA26" s="10036"/>
      <c r="AB26" s="10036"/>
      <c r="AC26" s="10037"/>
      <c r="AD26" s="4867"/>
      <c r="AE26" s="4868"/>
      <c r="AF26" s="4868"/>
      <c r="AG26" s="4868"/>
      <c r="AH26" s="4868"/>
      <c r="AI26" s="4868"/>
      <c r="AJ26" s="4868"/>
      <c r="AK26" s="2013"/>
      <c r="AL26" s="253"/>
      <c r="AM26" s="1237"/>
      <c r="AN26" s="253"/>
      <c r="AO26" s="1234"/>
      <c r="AP26" s="4951"/>
      <c r="AQ26" s="1235"/>
      <c r="AR26" s="4952"/>
      <c r="AS26" s="1235"/>
      <c r="AT26" s="1235"/>
      <c r="AU26" s="1235"/>
      <c r="AV26" s="4956"/>
      <c r="AW26" s="4956"/>
      <c r="AX26" s="4952"/>
      <c r="AY26" s="1236"/>
      <c r="BA26" s="658"/>
      <c r="BB26" s="658"/>
      <c r="BC26" s="658"/>
      <c r="BD26" s="658"/>
      <c r="BE26" s="658"/>
      <c r="BF26" s="658"/>
      <c r="BG26" s="658"/>
      <c r="BH26" s="658"/>
      <c r="BI26" s="658"/>
      <c r="BJ26" s="658"/>
      <c r="BK26"/>
    </row>
    <row r="27" spans="1:63" s="815" customFormat="1" ht="15.75" customHeight="1">
      <c r="A27" s="2013"/>
      <c r="B27" s="4446" t="s">
        <v>3509</v>
      </c>
      <c r="C27" s="4869"/>
      <c r="D27" s="3901"/>
      <c r="E27" s="4154"/>
      <c r="F27" s="4154"/>
      <c r="G27" s="4154"/>
      <c r="H27" s="4154"/>
      <c r="I27" s="4154"/>
      <c r="J27" s="4154"/>
      <c r="K27" s="4154"/>
      <c r="L27" s="4154"/>
      <c r="M27" s="4154"/>
      <c r="N27" s="4154"/>
      <c r="O27" s="4154"/>
      <c r="P27" s="4154"/>
      <c r="Q27" s="4154"/>
      <c r="R27" s="4154"/>
      <c r="S27" s="4154"/>
      <c r="T27" s="4154"/>
      <c r="U27" s="4154"/>
      <c r="V27" s="4154"/>
      <c r="W27" s="4154"/>
      <c r="X27" s="4154"/>
      <c r="Y27" s="4154"/>
      <c r="Z27" s="4154"/>
      <c r="AA27" s="4154"/>
      <c r="AB27" s="4154"/>
      <c r="AC27" s="4154"/>
      <c r="AD27" s="4154"/>
      <c r="AE27" s="4154"/>
      <c r="AF27" s="4154"/>
      <c r="AG27" s="4154"/>
      <c r="AH27" s="4154"/>
      <c r="AI27" s="4154"/>
      <c r="AJ27" s="4154"/>
      <c r="AK27" s="2013"/>
      <c r="AL27" s="253"/>
      <c r="AM27" s="253"/>
      <c r="AN27" s="253"/>
      <c r="AO27" s="1234"/>
      <c r="AP27" s="4951"/>
      <c r="AQ27" s="1235"/>
      <c r="AR27" s="4952"/>
      <c r="AS27" s="1235"/>
      <c r="AT27" s="1235"/>
      <c r="AU27" s="1235"/>
      <c r="AV27" s="4956"/>
      <c r="AW27" s="4956"/>
      <c r="AX27" s="4952"/>
      <c r="AY27" s="1236"/>
      <c r="BA27" s="658"/>
      <c r="BB27" s="658"/>
      <c r="BC27" s="658"/>
      <c r="BD27" s="658"/>
      <c r="BE27" s="658"/>
      <c r="BF27" s="658"/>
      <c r="BG27" s="658"/>
      <c r="BH27" s="658"/>
      <c r="BI27" s="658"/>
      <c r="BJ27" s="658"/>
      <c r="BK27"/>
    </row>
    <row r="28" spans="1:63" s="1115" customFormat="1" ht="15.75" customHeight="1">
      <c r="A28" s="2290"/>
      <c r="B28" s="9755" t="s">
        <v>868</v>
      </c>
      <c r="C28" s="10026"/>
      <c r="D28" s="4870" t="s">
        <v>3510</v>
      </c>
      <c r="E28" s="4871"/>
      <c r="F28" s="4872"/>
      <c r="G28" s="4872"/>
      <c r="H28" s="4872"/>
      <c r="I28" s="4872"/>
      <c r="J28" s="4872"/>
      <c r="K28" s="4872"/>
      <c r="L28" s="4872"/>
      <c r="M28" s="4872"/>
      <c r="N28" s="4872"/>
      <c r="O28" s="4872"/>
      <c r="P28" s="4872"/>
      <c r="Q28" s="4872"/>
      <c r="R28" s="4872"/>
      <c r="S28" s="4872"/>
      <c r="T28" s="4872"/>
      <c r="U28" s="4872"/>
      <c r="V28" s="4872"/>
      <c r="W28" s="4872"/>
      <c r="X28" s="4872"/>
      <c r="Y28" s="4872"/>
      <c r="Z28" s="4872"/>
      <c r="AA28" s="4872"/>
      <c r="AB28" s="4872"/>
      <c r="AC28" s="4872"/>
      <c r="AD28" s="4872"/>
      <c r="AE28" s="4872"/>
      <c r="AF28" s="4872"/>
      <c r="AG28" s="4872"/>
      <c r="AH28" s="4872"/>
      <c r="AI28" s="4873"/>
      <c r="AJ28" s="4873"/>
      <c r="AK28" s="2290"/>
      <c r="AL28" s="253"/>
      <c r="AM28" s="253"/>
      <c r="AN28" s="253"/>
      <c r="AO28" s="1234"/>
      <c r="AP28" s="4951"/>
      <c r="AQ28" s="1235"/>
      <c r="AR28" s="4952"/>
      <c r="AS28" s="1235"/>
      <c r="AT28" s="1235"/>
      <c r="AU28" s="1235"/>
      <c r="AV28" s="4956"/>
      <c r="AW28" s="4956"/>
      <c r="AX28" s="4952"/>
      <c r="AY28" s="1236"/>
      <c r="BA28" s="658"/>
      <c r="BB28" s="658"/>
      <c r="BC28" s="658"/>
      <c r="BD28" s="658"/>
      <c r="BE28" s="658"/>
      <c r="BF28" s="658"/>
      <c r="BG28" s="658"/>
      <c r="BH28" s="658"/>
      <c r="BI28" s="658"/>
      <c r="BJ28" s="658"/>
      <c r="BK28" s="2293"/>
    </row>
    <row r="29" spans="1:63" s="815" customFormat="1" ht="15.75" customHeight="1">
      <c r="A29" s="2013"/>
      <c r="B29" s="775">
        <v>14</v>
      </c>
      <c r="C29" s="2299" t="s">
        <v>3511</v>
      </c>
      <c r="D29" s="511"/>
      <c r="E29" s="344"/>
      <c r="F29" s="344"/>
      <c r="G29" s="344"/>
      <c r="H29" s="344"/>
      <c r="I29" s="344"/>
      <c r="J29" s="344"/>
      <c r="K29" s="1061"/>
      <c r="L29" s="2300"/>
      <c r="M29" s="2301"/>
      <c r="N29" s="1061"/>
      <c r="O29" s="1061"/>
      <c r="P29" s="1061"/>
      <c r="Q29" s="1061"/>
      <c r="R29" s="1061"/>
      <c r="S29" s="344"/>
      <c r="T29" s="344"/>
      <c r="U29" s="344"/>
      <c r="V29" s="1061"/>
      <c r="W29" s="1204"/>
      <c r="X29" s="2302"/>
      <c r="Y29" s="4863"/>
      <c r="Z29" s="4863"/>
      <c r="AA29" s="4863"/>
      <c r="AB29" s="9996"/>
      <c r="AC29" s="9997"/>
      <c r="AD29" s="566"/>
      <c r="AE29" s="1205"/>
      <c r="AF29" s="1205"/>
      <c r="AG29" s="1205"/>
      <c r="AH29" s="1205"/>
      <c r="AI29" s="1205"/>
      <c r="AJ29" s="1205"/>
      <c r="AK29" s="2013"/>
      <c r="AL29" s="253"/>
      <c r="AM29" s="226"/>
      <c r="AN29" s="253"/>
      <c r="AO29" s="1234"/>
      <c r="AP29" s="4951"/>
      <c r="AQ29" s="1235"/>
      <c r="AR29" s="4952"/>
      <c r="AS29" s="1235"/>
      <c r="AT29" s="1235"/>
      <c r="AU29" s="1235"/>
      <c r="AV29" s="4956"/>
      <c r="AW29" s="4956"/>
      <c r="AX29" s="4952"/>
      <c r="AY29" s="1236"/>
      <c r="BA29" s="658"/>
      <c r="BB29" s="658"/>
      <c r="BC29" s="658"/>
      <c r="BD29" s="658"/>
      <c r="BE29" s="658"/>
      <c r="BF29" s="658"/>
      <c r="BG29" s="658"/>
      <c r="BH29" s="658"/>
      <c r="BI29" s="658"/>
      <c r="BJ29" s="658"/>
      <c r="BK29"/>
    </row>
    <row r="30" spans="1:63" s="815" customFormat="1" ht="15.75" customHeight="1">
      <c r="A30" s="2013"/>
      <c r="B30" s="4242"/>
      <c r="C30" s="2299" t="s">
        <v>3512</v>
      </c>
      <c r="D30" s="511"/>
      <c r="E30" s="344"/>
      <c r="F30" s="344"/>
      <c r="G30" s="344"/>
      <c r="H30" s="344"/>
      <c r="I30" s="344"/>
      <c r="J30" s="344"/>
      <c r="K30" s="344"/>
      <c r="L30" s="344"/>
      <c r="M30" s="344"/>
      <c r="N30" s="344"/>
      <c r="O30" s="344"/>
      <c r="P30" s="344"/>
      <c r="Q30" s="344"/>
      <c r="R30" s="344"/>
      <c r="S30" s="344"/>
      <c r="T30" s="344"/>
      <c r="U30" s="344"/>
      <c r="V30" s="344"/>
      <c r="W30" s="1204"/>
      <c r="X30" s="344"/>
      <c r="Y30" s="344"/>
      <c r="Z30" s="344"/>
      <c r="AA30" s="1401" t="s">
        <v>3513</v>
      </c>
      <c r="AB30" s="8463">
        <v>14</v>
      </c>
      <c r="AC30" s="9998"/>
      <c r="AD30" s="7656"/>
      <c r="AE30" s="7653"/>
      <c r="AF30" s="7653"/>
      <c r="AG30" s="7653"/>
      <c r="AH30" s="7653"/>
      <c r="AI30" s="7653"/>
      <c r="AJ30" s="7653"/>
      <c r="AK30" s="2013"/>
      <c r="AL30" s="253"/>
      <c r="AM30" s="2305">
        <f>ROUND(AD30,0)</f>
        <v>0</v>
      </c>
      <c r="AN30" s="253"/>
      <c r="AO30" s="1234"/>
      <c r="AP30" s="4951"/>
      <c r="AQ30" s="1235"/>
      <c r="AR30" s="4952"/>
      <c r="AS30" s="1235"/>
      <c r="AT30" s="1235"/>
      <c r="AU30" s="1235"/>
      <c r="AV30" s="4956"/>
      <c r="AW30" s="4956"/>
      <c r="AX30" s="4952"/>
      <c r="AY30" s="1236"/>
      <c r="BA30" s="658"/>
      <c r="BB30" s="658"/>
      <c r="BC30" s="658"/>
      <c r="BD30" s="658"/>
      <c r="BE30" s="658"/>
      <c r="BF30" s="658"/>
      <c r="BG30" s="658"/>
      <c r="BH30" s="658"/>
      <c r="BI30" s="658"/>
      <c r="BJ30" s="658"/>
      <c r="BK30"/>
    </row>
    <row r="31" spans="1:63" s="815" customFormat="1" ht="15.75" customHeight="1">
      <c r="A31" s="2013"/>
      <c r="B31" s="775">
        <v>15</v>
      </c>
      <c r="C31" s="2299" t="s">
        <v>3514</v>
      </c>
      <c r="D31" s="511"/>
      <c r="E31" s="344"/>
      <c r="F31" s="344"/>
      <c r="G31" s="344"/>
      <c r="H31" s="344"/>
      <c r="I31" s="344"/>
      <c r="J31" s="344"/>
      <c r="K31" s="344"/>
      <c r="L31" s="344"/>
      <c r="M31" s="344"/>
      <c r="N31" s="344"/>
      <c r="O31" s="344"/>
      <c r="P31" s="344"/>
      <c r="Q31" s="344"/>
      <c r="R31" s="344"/>
      <c r="S31" s="2300"/>
      <c r="T31" s="344"/>
      <c r="U31" s="344"/>
      <c r="V31" s="344"/>
      <c r="W31" s="1204"/>
      <c r="X31" s="1205"/>
      <c r="Y31" s="1205"/>
      <c r="Z31" s="1205"/>
      <c r="AA31" s="1401" t="s">
        <v>802</v>
      </c>
      <c r="AB31" s="10028">
        <v>15</v>
      </c>
      <c r="AC31" s="10029"/>
      <c r="AD31" s="10033"/>
      <c r="AE31" s="10033"/>
      <c r="AF31" s="10033"/>
      <c r="AG31" s="10033"/>
      <c r="AH31" s="10033"/>
      <c r="AI31" s="10033"/>
      <c r="AJ31" s="7572"/>
      <c r="AK31" s="2013"/>
      <c r="AL31" s="253"/>
      <c r="AM31" s="2305">
        <f>ROUND(AD31,0)</f>
        <v>0</v>
      </c>
      <c r="AN31" s="253"/>
      <c r="AO31" s="1234"/>
      <c r="AP31" s="4951"/>
      <c r="AQ31" s="1235"/>
      <c r="AR31" s="4952"/>
      <c r="AS31" s="1235"/>
      <c r="AT31" s="1235"/>
      <c r="AU31" s="1235"/>
      <c r="AV31" s="4956"/>
      <c r="AW31" s="4956"/>
      <c r="AX31" s="4952"/>
      <c r="AY31" s="1236"/>
      <c r="BA31" s="658"/>
      <c r="BB31" s="658"/>
      <c r="BC31" s="658"/>
      <c r="BD31" s="658"/>
      <c r="BE31" s="658"/>
      <c r="BF31" s="658"/>
      <c r="BG31" s="658"/>
      <c r="BH31" s="658"/>
      <c r="BI31" s="658"/>
      <c r="BJ31" s="658"/>
      <c r="BK31"/>
    </row>
    <row r="32" spans="1:63" s="815" customFormat="1" ht="15.75" customHeight="1">
      <c r="A32" s="2013"/>
      <c r="B32" s="775">
        <v>16</v>
      </c>
      <c r="C32" s="2299" t="s">
        <v>3515</v>
      </c>
      <c r="D32" s="2038"/>
      <c r="E32" s="344"/>
      <c r="F32" s="344"/>
      <c r="G32" s="344"/>
      <c r="H32" s="344"/>
      <c r="I32" s="344"/>
      <c r="J32" s="344"/>
      <c r="K32" s="344"/>
      <c r="L32" s="344"/>
      <c r="M32" s="344"/>
      <c r="N32" s="344"/>
      <c r="O32" s="344"/>
      <c r="P32" s="344"/>
      <c r="Q32" s="344"/>
      <c r="R32" s="344"/>
      <c r="S32" s="344"/>
      <c r="T32" s="344"/>
      <c r="U32" s="344"/>
      <c r="V32" s="344"/>
      <c r="W32" s="344"/>
      <c r="X32" s="344"/>
      <c r="Y32" s="344"/>
      <c r="Z32" s="344"/>
      <c r="AA32" s="1401" t="s">
        <v>3513</v>
      </c>
      <c r="AB32" s="10028">
        <v>16</v>
      </c>
      <c r="AC32" s="10029"/>
      <c r="AD32" s="10033"/>
      <c r="AE32" s="10033"/>
      <c r="AF32" s="10033"/>
      <c r="AG32" s="10033"/>
      <c r="AH32" s="10033"/>
      <c r="AI32" s="10033"/>
      <c r="AJ32" s="7572"/>
      <c r="AK32" s="2013"/>
      <c r="AL32" s="253"/>
      <c r="AM32" s="2305">
        <f>ROUND(AD32,0)</f>
        <v>0</v>
      </c>
      <c r="AN32" s="253"/>
      <c r="AO32" s="1234"/>
      <c r="AP32" s="4951"/>
      <c r="AQ32" s="1235"/>
      <c r="AR32" s="4952"/>
      <c r="AS32" s="1235"/>
      <c r="AT32" s="1235"/>
      <c r="AU32" s="1235"/>
      <c r="AV32" s="4956"/>
      <c r="AW32" s="4956"/>
      <c r="AX32" s="4952"/>
      <c r="AY32" s="1236"/>
      <c r="BA32" s="658"/>
      <c r="BB32" s="658"/>
      <c r="BC32" s="658"/>
      <c r="BD32" s="658"/>
      <c r="BE32" s="658"/>
      <c r="BF32" s="658"/>
      <c r="BG32" s="658"/>
      <c r="BH32" s="658"/>
      <c r="BI32" s="658"/>
      <c r="BJ32" s="658"/>
      <c r="BK32"/>
    </row>
    <row r="33" spans="1:63" s="1115" customFormat="1" ht="15.75" customHeight="1">
      <c r="A33" s="2290"/>
      <c r="B33" s="9755" t="s">
        <v>1938</v>
      </c>
      <c r="C33" s="10026"/>
      <c r="D33" s="4870" t="s">
        <v>3516</v>
      </c>
      <c r="E33" s="4871"/>
      <c r="F33" s="4872"/>
      <c r="G33" s="4872"/>
      <c r="H33" s="4872"/>
      <c r="I33" s="4872"/>
      <c r="J33" s="4872"/>
      <c r="K33" s="4872"/>
      <c r="L33" s="4872"/>
      <c r="M33" s="4872"/>
      <c r="N33" s="4872"/>
      <c r="O33" s="4872"/>
      <c r="P33" s="4872"/>
      <c r="Q33" s="4872"/>
      <c r="R33" s="4872"/>
      <c r="S33" s="4872"/>
      <c r="T33" s="4872"/>
      <c r="U33" s="4872"/>
      <c r="V33" s="4872"/>
      <c r="W33" s="4872"/>
      <c r="X33" s="4872"/>
      <c r="Y33" s="4872"/>
      <c r="Z33" s="4872"/>
      <c r="AA33" s="4872"/>
      <c r="AB33" s="4872"/>
      <c r="AC33" s="4872"/>
      <c r="AD33" s="4872"/>
      <c r="AE33" s="4872"/>
      <c r="AF33" s="4872"/>
      <c r="AG33" s="4872"/>
      <c r="AH33" s="4872"/>
      <c r="AI33" s="4873"/>
      <c r="AJ33" s="4873"/>
      <c r="AK33" s="2290"/>
      <c r="AL33" s="253"/>
      <c r="AM33" s="512"/>
      <c r="AN33" s="253"/>
      <c r="AO33" s="1234"/>
      <c r="AP33" s="4951"/>
      <c r="AQ33" s="1235"/>
      <c r="AR33" s="4952"/>
      <c r="AS33" s="1235"/>
      <c r="AT33" s="1235"/>
      <c r="AU33" s="1235"/>
      <c r="AV33" s="4956"/>
      <c r="AW33" s="4956"/>
      <c r="AX33" s="4952"/>
      <c r="AY33" s="1236"/>
      <c r="BA33" s="658"/>
      <c r="BB33" s="658"/>
      <c r="BC33" s="658"/>
      <c r="BD33" s="658"/>
      <c r="BE33" s="658"/>
      <c r="BF33" s="658"/>
      <c r="BG33" s="658"/>
      <c r="BH33" s="658"/>
      <c r="BI33" s="658"/>
      <c r="BJ33" s="658"/>
      <c r="BK33" s="2293"/>
    </row>
    <row r="34" spans="1:63" s="1115" customFormat="1" ht="15.75" customHeight="1">
      <c r="A34" s="2290"/>
      <c r="B34" s="4874" t="s">
        <v>3517</v>
      </c>
      <c r="C34" s="4875"/>
      <c r="D34" s="4876"/>
      <c r="E34" s="4877"/>
      <c r="F34" s="4878"/>
      <c r="G34" s="4878"/>
      <c r="H34" s="4878"/>
      <c r="I34" s="4878"/>
      <c r="J34" s="4878"/>
      <c r="K34" s="4878"/>
      <c r="L34" s="4878"/>
      <c r="M34" s="4878"/>
      <c r="N34" s="4878"/>
      <c r="O34" s="4878"/>
      <c r="P34" s="4878"/>
      <c r="Q34" s="4878"/>
      <c r="R34" s="4878"/>
      <c r="S34" s="4878"/>
      <c r="T34" s="4878"/>
      <c r="U34" s="4878"/>
      <c r="V34" s="4878"/>
      <c r="W34" s="4878"/>
      <c r="X34" s="4878"/>
      <c r="Y34" s="4878"/>
      <c r="Z34" s="4878"/>
      <c r="AA34" s="4878"/>
      <c r="AB34" s="4878"/>
      <c r="AC34" s="4878"/>
      <c r="AD34" s="4878"/>
      <c r="AE34" s="4878"/>
      <c r="AF34" s="4878"/>
      <c r="AG34" s="4878"/>
      <c r="AH34" s="4878"/>
      <c r="AI34" s="4879"/>
      <c r="AJ34" s="4879"/>
      <c r="AK34" s="2290"/>
      <c r="AL34" s="253"/>
      <c r="AM34" s="512"/>
      <c r="AN34" s="253"/>
      <c r="AO34" s="1234"/>
      <c r="AP34" s="4951"/>
      <c r="AQ34" s="1235"/>
      <c r="AR34" s="4952"/>
      <c r="AS34" s="1235"/>
      <c r="AT34" s="1235"/>
      <c r="AU34" s="1235"/>
      <c r="AV34" s="4956"/>
      <c r="AW34" s="4956"/>
      <c r="AX34" s="4952"/>
      <c r="AY34" s="1236"/>
      <c r="BA34" s="658"/>
      <c r="BB34" s="658"/>
      <c r="BC34" s="658"/>
      <c r="BD34" s="658"/>
      <c r="BE34" s="658"/>
      <c r="BF34" s="658"/>
      <c r="BG34" s="658"/>
      <c r="BH34" s="658"/>
      <c r="BI34" s="658"/>
      <c r="BJ34" s="658"/>
      <c r="BK34" s="2293"/>
    </row>
    <row r="35" spans="1:63" s="815" customFormat="1" ht="15.75" customHeight="1">
      <c r="A35" s="2013"/>
      <c r="B35" s="775">
        <v>17</v>
      </c>
      <c r="C35" s="2299" t="str">
        <f>"MACRS deductions for assets placed in service in tax years beginning before "&amp;TaxYear</f>
        <v>MACRS deductions for assets placed in service in tax years beginning before 2025</v>
      </c>
      <c r="D35" s="511"/>
      <c r="E35" s="344"/>
      <c r="F35" s="344"/>
      <c r="G35" s="344"/>
      <c r="H35" s="344"/>
      <c r="I35" s="344"/>
      <c r="J35" s="344"/>
      <c r="K35" s="344"/>
      <c r="L35" s="344"/>
      <c r="M35" s="344"/>
      <c r="N35" s="344"/>
      <c r="O35" s="344"/>
      <c r="P35" s="344"/>
      <c r="Q35" s="344"/>
      <c r="R35" s="344"/>
      <c r="S35" s="2300"/>
      <c r="T35" s="344"/>
      <c r="U35" s="344"/>
      <c r="V35" s="344"/>
      <c r="W35" s="1204"/>
      <c r="X35" s="1205"/>
      <c r="Y35" s="1205"/>
      <c r="Z35" s="1205"/>
      <c r="AA35" s="1205"/>
      <c r="AB35" s="10028">
        <v>17</v>
      </c>
      <c r="AC35" s="10029"/>
      <c r="AD35" s="10033"/>
      <c r="AE35" s="10033"/>
      <c r="AF35" s="10033"/>
      <c r="AG35" s="10033"/>
      <c r="AH35" s="10033"/>
      <c r="AI35" s="10033"/>
      <c r="AJ35" s="7572"/>
      <c r="AK35" s="2013"/>
      <c r="AL35" s="253"/>
      <c r="AM35" s="2305">
        <f>ROUND(AD35,0)</f>
        <v>0</v>
      </c>
      <c r="AN35" s="253"/>
      <c r="AO35" s="1234"/>
      <c r="AP35" s="4951"/>
      <c r="AQ35" s="1235"/>
      <c r="AR35" s="4952"/>
      <c r="AS35" s="1235"/>
      <c r="AT35" s="1235"/>
      <c r="AU35" s="1235"/>
      <c r="AV35" s="4956"/>
      <c r="AW35" s="4956"/>
      <c r="AX35" s="4952"/>
      <c r="AY35" s="1236"/>
      <c r="BA35" s="658"/>
      <c r="BB35" s="658"/>
      <c r="BC35" s="658"/>
      <c r="BD35" s="658"/>
      <c r="BE35" s="658"/>
      <c r="BF35" s="658"/>
      <c r="BG35" s="658"/>
      <c r="BH35" s="658"/>
      <c r="BI35" s="658"/>
      <c r="BJ35" s="658"/>
      <c r="BK35"/>
    </row>
    <row r="36" spans="1:63" s="815" customFormat="1" ht="17.25" customHeight="1">
      <c r="A36" s="2013"/>
      <c r="B36" s="775">
        <v>18</v>
      </c>
      <c r="C36" s="2381" t="s">
        <v>3518</v>
      </c>
      <c r="D36" s="344"/>
      <c r="E36" s="344"/>
      <c r="F36" s="344"/>
      <c r="G36" s="344"/>
      <c r="H36" s="344"/>
      <c r="I36" s="344"/>
      <c r="J36" s="344"/>
      <c r="K36" s="344"/>
      <c r="L36" s="344"/>
      <c r="M36" s="344"/>
      <c r="N36" s="344"/>
      <c r="O36" s="344"/>
      <c r="P36" s="344"/>
      <c r="Q36" s="344"/>
      <c r="R36" s="344"/>
      <c r="S36" s="344"/>
      <c r="T36" s="344"/>
      <c r="U36" s="344"/>
      <c r="V36" s="344"/>
      <c r="W36" s="344"/>
      <c r="X36" s="344"/>
      <c r="Y36" s="344"/>
      <c r="Z36" s="344"/>
      <c r="AA36" s="344"/>
      <c r="AB36" s="4867"/>
      <c r="AC36" s="4880"/>
      <c r="AD36" s="4880"/>
      <c r="AE36" s="4868"/>
      <c r="AF36" s="4868"/>
      <c r="AG36" s="4868"/>
      <c r="AH36" s="4868"/>
      <c r="AI36" s="4868"/>
      <c r="AJ36" s="4868"/>
      <c r="AK36" s="2013"/>
      <c r="AL36" s="253"/>
      <c r="AM36" s="990">
        <f>SUM(AM30:AM35)</f>
        <v>0</v>
      </c>
      <c r="AN36" s="253"/>
      <c r="AO36" s="1234"/>
      <c r="AP36" s="4951"/>
      <c r="AQ36" s="1235"/>
      <c r="AR36" s="4952"/>
      <c r="AS36" s="1235"/>
      <c r="AT36" s="1235"/>
      <c r="AU36" s="1235"/>
      <c r="AV36" s="4956"/>
      <c r="AW36" s="4956"/>
      <c r="AX36" s="4952"/>
      <c r="AY36" s="1236"/>
      <c r="BA36" s="658"/>
      <c r="BB36" s="658"/>
      <c r="BC36" s="658"/>
      <c r="BD36" s="658"/>
      <c r="BE36" s="658"/>
      <c r="BF36" s="658"/>
      <c r="BG36" s="658"/>
      <c r="BH36" s="658"/>
      <c r="BI36" s="658"/>
      <c r="BJ36" s="658"/>
      <c r="BK36"/>
    </row>
    <row r="37" spans="1:63" s="815" customFormat="1" ht="13.5" customHeight="1">
      <c r="A37" s="2013"/>
      <c r="B37" s="4242"/>
      <c r="C37" s="2299" t="s">
        <v>3519</v>
      </c>
      <c r="D37" s="511"/>
      <c r="E37" s="511"/>
      <c r="F37" s="344"/>
      <c r="G37" s="344"/>
      <c r="H37" s="344"/>
      <c r="I37" s="344"/>
      <c r="J37" s="344"/>
      <c r="K37" s="344"/>
      <c r="L37" s="344"/>
      <c r="M37" s="344"/>
      <c r="N37" s="344"/>
      <c r="O37" s="344"/>
      <c r="P37" s="344"/>
      <c r="Q37" s="344"/>
      <c r="R37" s="344"/>
      <c r="S37" s="344"/>
      <c r="T37" s="344"/>
      <c r="U37" s="344"/>
      <c r="V37" s="344"/>
      <c r="W37" s="1204"/>
      <c r="X37" s="344"/>
      <c r="Y37" s="1401" t="s">
        <v>3513</v>
      </c>
      <c r="Z37" s="1238"/>
      <c r="AA37" s="3797"/>
      <c r="AB37" s="4167"/>
      <c r="AC37" s="4168"/>
      <c r="AD37" s="4168"/>
      <c r="AE37" s="4865"/>
      <c r="AF37" s="4865"/>
      <c r="AG37" s="4865"/>
      <c r="AH37" s="4865"/>
      <c r="AI37" s="4865"/>
      <c r="AJ37" s="4865"/>
      <c r="AK37" s="2013"/>
      <c r="AL37" s="253"/>
      <c r="AM37" s="512"/>
      <c r="AN37" s="253"/>
      <c r="AO37" s="1234"/>
      <c r="AP37" s="4951"/>
      <c r="AQ37" s="1235"/>
      <c r="AR37" s="4952"/>
      <c r="AS37" s="1235"/>
      <c r="AT37" s="1235"/>
      <c r="AU37" s="1235"/>
      <c r="AV37" s="4956"/>
      <c r="AW37" s="4956"/>
      <c r="AX37" s="4952"/>
      <c r="AY37" s="1236"/>
      <c r="BA37" s="658"/>
      <c r="BB37" s="658"/>
      <c r="BC37" s="658"/>
      <c r="BD37" s="658"/>
      <c r="BE37" s="658"/>
      <c r="BF37" s="658"/>
      <c r="BG37" s="658"/>
      <c r="BH37" s="658"/>
      <c r="BI37" s="658"/>
      <c r="BJ37" s="658"/>
      <c r="BK37"/>
    </row>
    <row r="38" spans="1:63" s="815" customFormat="1" ht="5.25" customHeight="1">
      <c r="A38" s="2013"/>
      <c r="B38" s="2008"/>
      <c r="C38" s="4881"/>
      <c r="D38" s="1996"/>
      <c r="E38" s="1996"/>
      <c r="F38" s="569"/>
      <c r="G38" s="569"/>
      <c r="H38" s="569"/>
      <c r="I38" s="569"/>
      <c r="J38" s="569"/>
      <c r="K38" s="569"/>
      <c r="L38" s="569"/>
      <c r="M38" s="569"/>
      <c r="N38" s="569"/>
      <c r="O38" s="569"/>
      <c r="P38" s="569"/>
      <c r="Q38" s="569"/>
      <c r="R38" s="569"/>
      <c r="S38" s="569"/>
      <c r="T38" s="569"/>
      <c r="U38" s="569"/>
      <c r="V38" s="569"/>
      <c r="W38" s="2304"/>
      <c r="X38" s="569"/>
      <c r="Y38" s="569"/>
      <c r="Z38" s="4353"/>
      <c r="AA38" s="4882"/>
      <c r="AB38" s="4207"/>
      <c r="AC38" s="4208"/>
      <c r="AD38" s="4208"/>
      <c r="AE38" s="4883"/>
      <c r="AF38" s="4883"/>
      <c r="AG38" s="4883"/>
      <c r="AH38" s="4883"/>
      <c r="AI38" s="4883"/>
      <c r="AJ38" s="4883"/>
      <c r="AK38" s="2013"/>
      <c r="AL38" s="253"/>
      <c r="AM38" s="512"/>
      <c r="AN38" s="253"/>
      <c r="AO38"/>
      <c r="AP38" s="1366"/>
      <c r="AR38" s="4953"/>
      <c r="AV38" s="950"/>
      <c r="AW38" s="950"/>
      <c r="AX38" s="4953"/>
      <c r="BA38" s="658"/>
      <c r="BB38" s="658"/>
      <c r="BC38" s="658"/>
      <c r="BD38" s="658"/>
      <c r="BE38" s="658"/>
      <c r="BF38" s="658"/>
      <c r="BG38" s="658"/>
      <c r="BH38" s="658"/>
      <c r="BI38" s="658"/>
      <c r="BJ38" s="658"/>
      <c r="BK38"/>
    </row>
    <row r="39" spans="1:63" s="1115" customFormat="1" ht="15.75" customHeight="1">
      <c r="A39" s="2290"/>
      <c r="B39" s="4877" t="str">
        <f>"Section B—Assets Placed in Service During "&amp;TaxYear&amp;" Tax Year Using the General Depreciation System"</f>
        <v>Section B—Assets Placed in Service During 2025 Tax Year Using the General Depreciation System</v>
      </c>
      <c r="C39" s="4875"/>
      <c r="D39" s="4876"/>
      <c r="E39" s="4877"/>
      <c r="F39" s="4878"/>
      <c r="G39" s="4878"/>
      <c r="H39" s="4878"/>
      <c r="I39" s="4878"/>
      <c r="J39" s="4878"/>
      <c r="K39" s="4878"/>
      <c r="L39" s="4878"/>
      <c r="M39" s="4878"/>
      <c r="N39" s="4878"/>
      <c r="O39" s="4878"/>
      <c r="P39" s="4878"/>
      <c r="Q39" s="4878"/>
      <c r="R39" s="4878"/>
      <c r="S39" s="4878"/>
      <c r="T39" s="4878"/>
      <c r="U39" s="4878"/>
      <c r="V39" s="4878"/>
      <c r="W39" s="4878"/>
      <c r="X39" s="4878"/>
      <c r="Y39" s="4878"/>
      <c r="Z39" s="4878"/>
      <c r="AA39" s="4878"/>
      <c r="AB39" s="4878"/>
      <c r="AC39" s="4878"/>
      <c r="AD39" s="4878"/>
      <c r="AE39" s="4878"/>
      <c r="AF39" s="4878"/>
      <c r="AG39" s="4878"/>
      <c r="AH39" s="4878"/>
      <c r="AI39" s="4879"/>
      <c r="AJ39" s="4879"/>
      <c r="AK39" s="2290"/>
      <c r="AL39" s="253"/>
      <c r="AM39" s="512"/>
      <c r="AN39" s="253"/>
      <c r="AO39" s="1234"/>
      <c r="AP39" s="4951"/>
      <c r="AQ39" s="1235"/>
      <c r="AR39" s="4952"/>
      <c r="AS39" s="1235"/>
      <c r="AT39" s="1235"/>
      <c r="AU39" s="1235"/>
      <c r="AV39" s="4956"/>
      <c r="AW39" s="4956"/>
      <c r="AX39" s="4952"/>
      <c r="AY39" s="1236"/>
      <c r="BA39" s="658"/>
      <c r="BB39" s="658"/>
      <c r="BC39" s="658"/>
      <c r="BD39" s="658"/>
      <c r="BE39" s="658"/>
      <c r="BF39" s="658"/>
      <c r="BG39" s="658"/>
      <c r="BH39" s="658"/>
      <c r="BI39" s="658"/>
      <c r="BJ39" s="658"/>
      <c r="BK39" s="2293"/>
    </row>
    <row r="40" spans="1:63" s="815" customFormat="1" ht="42" customHeight="1">
      <c r="A40" s="2013"/>
      <c r="B40" s="10038" t="s">
        <v>3520</v>
      </c>
      <c r="C40" s="10039"/>
      <c r="D40" s="10039"/>
      <c r="E40" s="10039"/>
      <c r="F40" s="10039"/>
      <c r="G40" s="10040"/>
      <c r="H40" s="10041" t="s">
        <v>3521</v>
      </c>
      <c r="I40" s="9841"/>
      <c r="J40" s="9841"/>
      <c r="K40" s="9841"/>
      <c r="L40" s="9842"/>
      <c r="M40" s="10042" t="s">
        <v>3522</v>
      </c>
      <c r="N40" s="10043"/>
      <c r="O40" s="10043"/>
      <c r="P40" s="10043"/>
      <c r="Q40" s="10043"/>
      <c r="R40" s="9842"/>
      <c r="S40" s="10044" t="s">
        <v>3523</v>
      </c>
      <c r="T40" s="9841"/>
      <c r="U40" s="9842"/>
      <c r="V40" s="10041" t="s">
        <v>3524</v>
      </c>
      <c r="W40" s="10038"/>
      <c r="X40" s="10045"/>
      <c r="Y40" s="10038" t="s">
        <v>3525</v>
      </c>
      <c r="Z40" s="10038"/>
      <c r="AA40" s="10038"/>
      <c r="AB40" s="10038"/>
      <c r="AC40" s="10045"/>
      <c r="AD40" s="10038" t="s">
        <v>3526</v>
      </c>
      <c r="AE40" s="10038"/>
      <c r="AF40" s="10038"/>
      <c r="AG40" s="10038"/>
      <c r="AH40" s="10038"/>
      <c r="AI40" s="10038"/>
      <c r="AJ40" s="10038"/>
      <c r="AK40" s="2013"/>
      <c r="AL40" s="253"/>
      <c r="AM40" s="512"/>
      <c r="AN40" s="253"/>
      <c r="AO40"/>
      <c r="AV40" s="950"/>
      <c r="AW40" s="950"/>
      <c r="AX40" s="4953"/>
      <c r="BA40" s="658"/>
      <c r="BB40" s="658"/>
      <c r="BC40" s="658"/>
      <c r="BD40" s="658"/>
      <c r="BE40" s="658"/>
      <c r="BF40" s="658"/>
      <c r="BG40" s="658"/>
      <c r="BH40" s="658"/>
      <c r="BI40" s="658"/>
      <c r="BJ40" s="658"/>
      <c r="BK40"/>
    </row>
    <row r="41" spans="1:63" s="1239" customFormat="1" ht="16.5" customHeight="1">
      <c r="A41" s="2306"/>
      <c r="B41" s="4203" t="s">
        <v>881</v>
      </c>
      <c r="C41" s="10046" t="s">
        <v>3527</v>
      </c>
      <c r="D41" s="10046"/>
      <c r="E41" s="10046"/>
      <c r="F41" s="10046"/>
      <c r="G41" s="10047"/>
      <c r="H41" s="10048"/>
      <c r="I41" s="8574"/>
      <c r="J41" s="8574"/>
      <c r="K41" s="8574"/>
      <c r="L41" s="8575"/>
      <c r="M41" s="9984"/>
      <c r="N41" s="9985"/>
      <c r="O41" s="9985"/>
      <c r="P41" s="9985"/>
      <c r="Q41" s="9985"/>
      <c r="R41" s="9986"/>
      <c r="S41" s="10049"/>
      <c r="T41" s="10050"/>
      <c r="U41" s="10051"/>
      <c r="V41" s="10052"/>
      <c r="W41" s="10053"/>
      <c r="X41" s="10054"/>
      <c r="Y41" s="10055"/>
      <c r="Z41" s="10056"/>
      <c r="AA41" s="10056"/>
      <c r="AB41" s="10056"/>
      <c r="AC41" s="10057"/>
      <c r="AD41" s="7656"/>
      <c r="AE41" s="7653"/>
      <c r="AF41" s="7653"/>
      <c r="AG41" s="7653"/>
      <c r="AH41" s="7653"/>
      <c r="AI41" s="7653"/>
      <c r="AJ41" s="7653"/>
      <c r="AK41" s="2306"/>
      <c r="AL41" s="411"/>
      <c r="AM41" s="2305">
        <f>ROUND(AD41,0)</f>
        <v>0</v>
      </c>
      <c r="AN41" s="411"/>
      <c r="AO41" s="4884"/>
      <c r="AV41" s="4957"/>
      <c r="AW41" s="4957"/>
      <c r="AX41" s="4962"/>
      <c r="BA41" s="665"/>
      <c r="BB41" s="665"/>
      <c r="BC41" s="665"/>
      <c r="BD41" s="665"/>
      <c r="BE41" s="665"/>
      <c r="BF41" s="665"/>
      <c r="BG41" s="665"/>
      <c r="BH41" s="665"/>
      <c r="BI41" s="665"/>
      <c r="BJ41" s="665"/>
      <c r="BK41" s="141"/>
    </row>
    <row r="42" spans="1:63" s="1239" customFormat="1" ht="16.5" customHeight="1">
      <c r="A42" s="2306"/>
      <c r="B42" s="4885" t="s">
        <v>3528</v>
      </c>
      <c r="C42" s="10046" t="s">
        <v>3529</v>
      </c>
      <c r="D42" s="10046"/>
      <c r="E42" s="10046"/>
      <c r="F42" s="10046"/>
      <c r="G42" s="10047"/>
      <c r="H42" s="10048"/>
      <c r="I42" s="8574"/>
      <c r="J42" s="8574"/>
      <c r="K42" s="8574"/>
      <c r="L42" s="8575"/>
      <c r="M42" s="9984"/>
      <c r="N42" s="9985"/>
      <c r="O42" s="9985"/>
      <c r="P42" s="9985"/>
      <c r="Q42" s="9985"/>
      <c r="R42" s="9986"/>
      <c r="S42" s="10049"/>
      <c r="T42" s="10050"/>
      <c r="U42" s="10051"/>
      <c r="V42" s="10052"/>
      <c r="W42" s="10053"/>
      <c r="X42" s="10054"/>
      <c r="Y42" s="10055"/>
      <c r="Z42" s="10056"/>
      <c r="AA42" s="10056"/>
      <c r="AB42" s="10056"/>
      <c r="AC42" s="10057"/>
      <c r="AD42" s="7656"/>
      <c r="AE42" s="7653"/>
      <c r="AF42" s="7653"/>
      <c r="AG42" s="7653"/>
      <c r="AH42" s="7653"/>
      <c r="AI42" s="7653"/>
      <c r="AJ42" s="7653"/>
      <c r="AK42" s="2306"/>
      <c r="AL42" s="411"/>
      <c r="AM42" s="2305">
        <f t="shared" ref="AM42:AM52" si="0">ROUND(AD42,0)</f>
        <v>0</v>
      </c>
      <c r="AN42" s="411"/>
      <c r="AO42" s="4884"/>
      <c r="AV42" s="4957"/>
      <c r="AW42" s="4957"/>
      <c r="AX42" s="4962"/>
      <c r="BA42" s="665"/>
      <c r="BB42" s="665"/>
      <c r="BC42" s="665"/>
      <c r="BD42" s="665"/>
      <c r="BE42" s="665"/>
      <c r="BF42" s="665"/>
      <c r="BG42" s="665"/>
      <c r="BH42" s="665"/>
      <c r="BI42" s="665"/>
      <c r="BJ42" s="665"/>
      <c r="BK42" s="141"/>
    </row>
    <row r="43" spans="1:63" s="1239" customFormat="1" ht="16.5" customHeight="1">
      <c r="A43" s="2306"/>
      <c r="B43" s="4885" t="s">
        <v>3530</v>
      </c>
      <c r="C43" s="10046" t="s">
        <v>3531</v>
      </c>
      <c r="D43" s="10046"/>
      <c r="E43" s="10046"/>
      <c r="F43" s="10046"/>
      <c r="G43" s="10047"/>
      <c r="H43" s="10048"/>
      <c r="I43" s="8574"/>
      <c r="J43" s="8574"/>
      <c r="K43" s="8574"/>
      <c r="L43" s="8575"/>
      <c r="M43" s="9984"/>
      <c r="N43" s="9985"/>
      <c r="O43" s="9985"/>
      <c r="P43" s="9985"/>
      <c r="Q43" s="9985"/>
      <c r="R43" s="9986"/>
      <c r="S43" s="10049"/>
      <c r="T43" s="10050"/>
      <c r="U43" s="10051"/>
      <c r="V43" s="10052"/>
      <c r="W43" s="10053"/>
      <c r="X43" s="10054"/>
      <c r="Y43" s="10055"/>
      <c r="Z43" s="10056"/>
      <c r="AA43" s="10056"/>
      <c r="AB43" s="10056"/>
      <c r="AC43" s="10057"/>
      <c r="AD43" s="7656"/>
      <c r="AE43" s="7653"/>
      <c r="AF43" s="7653"/>
      <c r="AG43" s="7653"/>
      <c r="AH43" s="7653"/>
      <c r="AI43" s="7653"/>
      <c r="AJ43" s="7653"/>
      <c r="AK43" s="2306"/>
      <c r="AL43" s="411"/>
      <c r="AM43" s="2305">
        <f t="shared" si="0"/>
        <v>0</v>
      </c>
      <c r="AN43" s="411"/>
      <c r="AO43" s="4884"/>
      <c r="AV43" s="4957"/>
      <c r="AW43" s="4957"/>
      <c r="AX43" s="4962"/>
      <c r="BA43" s="665"/>
      <c r="BB43" s="665"/>
      <c r="BC43" s="665"/>
      <c r="BD43" s="665"/>
      <c r="BE43" s="665"/>
      <c r="BF43" s="665"/>
      <c r="BG43" s="665"/>
      <c r="BH43" s="665"/>
      <c r="BI43" s="665"/>
      <c r="BJ43" s="665"/>
      <c r="BK43" s="141"/>
    </row>
    <row r="44" spans="1:63" s="1239" customFormat="1" ht="16.5" customHeight="1">
      <c r="A44" s="2306"/>
      <c r="B44" s="4885" t="s">
        <v>3532</v>
      </c>
      <c r="C44" s="10046" t="s">
        <v>3533</v>
      </c>
      <c r="D44" s="10046"/>
      <c r="E44" s="10046"/>
      <c r="F44" s="10046"/>
      <c r="G44" s="10047"/>
      <c r="H44" s="10048"/>
      <c r="I44" s="8574"/>
      <c r="J44" s="8574"/>
      <c r="K44" s="8574"/>
      <c r="L44" s="8575"/>
      <c r="M44" s="9984"/>
      <c r="N44" s="9985"/>
      <c r="O44" s="9985"/>
      <c r="P44" s="9985"/>
      <c r="Q44" s="9985"/>
      <c r="R44" s="9986"/>
      <c r="S44" s="10049"/>
      <c r="T44" s="10050"/>
      <c r="U44" s="10051"/>
      <c r="V44" s="10052"/>
      <c r="W44" s="10053"/>
      <c r="X44" s="10054"/>
      <c r="Y44" s="10055"/>
      <c r="Z44" s="10056"/>
      <c r="AA44" s="10056"/>
      <c r="AB44" s="10056"/>
      <c r="AC44" s="10057"/>
      <c r="AD44" s="7656"/>
      <c r="AE44" s="7653"/>
      <c r="AF44" s="7653"/>
      <c r="AG44" s="7653"/>
      <c r="AH44" s="7653"/>
      <c r="AI44" s="7653"/>
      <c r="AJ44" s="7653"/>
      <c r="AK44" s="2306"/>
      <c r="AL44" s="411"/>
      <c r="AM44" s="2305">
        <f t="shared" si="0"/>
        <v>0</v>
      </c>
      <c r="AN44" s="411"/>
      <c r="AO44" s="141"/>
      <c r="AV44" s="4957"/>
      <c r="AW44" s="4957"/>
      <c r="AX44" s="4962"/>
      <c r="BA44" s="665"/>
      <c r="BB44" s="665"/>
      <c r="BC44" s="665"/>
      <c r="BD44" s="665"/>
      <c r="BE44" s="665"/>
      <c r="BF44" s="665"/>
      <c r="BG44" s="665"/>
      <c r="BH44" s="665"/>
      <c r="BI44" s="665"/>
      <c r="BJ44" s="665"/>
      <c r="BK44" s="141"/>
    </row>
    <row r="45" spans="1:63" s="1239" customFormat="1" ht="16.5" customHeight="1">
      <c r="A45" s="2306"/>
      <c r="B45" s="4885" t="s">
        <v>3534</v>
      </c>
      <c r="C45" s="10046" t="s">
        <v>3535</v>
      </c>
      <c r="D45" s="10046"/>
      <c r="E45" s="10046"/>
      <c r="F45" s="10046"/>
      <c r="G45" s="10047"/>
      <c r="H45" s="10048"/>
      <c r="I45" s="8574"/>
      <c r="J45" s="8574"/>
      <c r="K45" s="8574"/>
      <c r="L45" s="8575"/>
      <c r="M45" s="9984"/>
      <c r="N45" s="9985"/>
      <c r="O45" s="9985"/>
      <c r="P45" s="9985"/>
      <c r="Q45" s="9985"/>
      <c r="R45" s="9986"/>
      <c r="S45" s="10049"/>
      <c r="T45" s="10050"/>
      <c r="U45" s="10051"/>
      <c r="V45" s="10052"/>
      <c r="W45" s="10053"/>
      <c r="X45" s="10054"/>
      <c r="Y45" s="10055"/>
      <c r="Z45" s="10056"/>
      <c r="AA45" s="10056"/>
      <c r="AB45" s="10056"/>
      <c r="AC45" s="10057"/>
      <c r="AD45" s="7656"/>
      <c r="AE45" s="7653"/>
      <c r="AF45" s="7653"/>
      <c r="AG45" s="7653"/>
      <c r="AH45" s="7653"/>
      <c r="AI45" s="7653"/>
      <c r="AJ45" s="7653"/>
      <c r="AK45" s="2306"/>
      <c r="AL45" s="411"/>
      <c r="AM45" s="2305">
        <f t="shared" si="0"/>
        <v>0</v>
      </c>
      <c r="AN45" s="411"/>
      <c r="AO45" s="141"/>
      <c r="AV45" s="4957"/>
      <c r="AW45" s="4957"/>
      <c r="AX45" s="4962"/>
      <c r="BA45" s="665"/>
      <c r="BB45" s="665"/>
      <c r="BC45" s="665"/>
      <c r="BD45" s="665"/>
      <c r="BE45" s="665"/>
      <c r="BF45" s="665"/>
      <c r="BG45" s="665"/>
      <c r="BH45" s="665"/>
      <c r="BI45" s="665"/>
      <c r="BJ45" s="665"/>
      <c r="BK45" s="141"/>
    </row>
    <row r="46" spans="1:63" s="1239" customFormat="1" ht="16.5" customHeight="1">
      <c r="A46" s="2306"/>
      <c r="B46" s="4885" t="s">
        <v>3536</v>
      </c>
      <c r="C46" s="10046" t="s">
        <v>3537</v>
      </c>
      <c r="D46" s="10046"/>
      <c r="E46" s="10046"/>
      <c r="F46" s="10046"/>
      <c r="G46" s="10047"/>
      <c r="H46" s="10048"/>
      <c r="I46" s="8574"/>
      <c r="J46" s="8574"/>
      <c r="K46" s="8574"/>
      <c r="L46" s="8575"/>
      <c r="M46" s="9984"/>
      <c r="N46" s="9985"/>
      <c r="O46" s="9985"/>
      <c r="P46" s="9985"/>
      <c r="Q46" s="9985"/>
      <c r="R46" s="9986"/>
      <c r="S46" s="10049"/>
      <c r="T46" s="10050"/>
      <c r="U46" s="10051"/>
      <c r="V46" s="10052"/>
      <c r="W46" s="10053"/>
      <c r="X46" s="10054"/>
      <c r="Y46" s="10055"/>
      <c r="Z46" s="10056"/>
      <c r="AA46" s="10056"/>
      <c r="AB46" s="10056"/>
      <c r="AC46" s="10057"/>
      <c r="AD46" s="7656"/>
      <c r="AE46" s="7653"/>
      <c r="AF46" s="7653"/>
      <c r="AG46" s="7653"/>
      <c r="AH46" s="7653"/>
      <c r="AI46" s="7653"/>
      <c r="AJ46" s="7653"/>
      <c r="AK46" s="2306"/>
      <c r="AL46" s="411"/>
      <c r="AM46" s="2305">
        <f t="shared" si="0"/>
        <v>0</v>
      </c>
      <c r="AN46" s="411"/>
      <c r="AO46" s="141"/>
      <c r="AV46" s="4957"/>
      <c r="AW46" s="4957"/>
      <c r="AX46" s="4962"/>
      <c r="BA46" s="665"/>
      <c r="BB46" s="665"/>
      <c r="BC46" s="665"/>
      <c r="BD46" s="665"/>
      <c r="BE46" s="665"/>
      <c r="BF46" s="665"/>
      <c r="BG46" s="665"/>
      <c r="BH46" s="665"/>
      <c r="BI46" s="665"/>
      <c r="BJ46" s="665"/>
      <c r="BK46" s="141"/>
    </row>
    <row r="47" spans="1:63" s="1239" customFormat="1" ht="16.5" customHeight="1">
      <c r="A47" s="2306"/>
      <c r="B47" s="4885" t="s">
        <v>3538</v>
      </c>
      <c r="C47" s="10046" t="s">
        <v>3539</v>
      </c>
      <c r="D47" s="10046"/>
      <c r="E47" s="10046"/>
      <c r="F47" s="10046"/>
      <c r="G47" s="10047"/>
      <c r="H47" s="10048"/>
      <c r="I47" s="8574"/>
      <c r="J47" s="8574"/>
      <c r="K47" s="8574"/>
      <c r="L47" s="8575"/>
      <c r="M47" s="9984"/>
      <c r="N47" s="9985"/>
      <c r="O47" s="9985"/>
      <c r="P47" s="9985"/>
      <c r="Q47" s="9985"/>
      <c r="R47" s="9986"/>
      <c r="S47" s="10060" t="s">
        <v>3540</v>
      </c>
      <c r="T47" s="10061"/>
      <c r="U47" s="10062"/>
      <c r="V47" s="10052"/>
      <c r="W47" s="10053"/>
      <c r="X47" s="10054"/>
      <c r="Y47" s="9990" t="s">
        <v>3541</v>
      </c>
      <c r="Z47" s="9991"/>
      <c r="AA47" s="9991"/>
      <c r="AB47" s="9991"/>
      <c r="AC47" s="9992"/>
      <c r="AD47" s="7656"/>
      <c r="AE47" s="7653"/>
      <c r="AF47" s="7653"/>
      <c r="AG47" s="7653"/>
      <c r="AH47" s="7653"/>
      <c r="AI47" s="7653"/>
      <c r="AJ47" s="7653"/>
      <c r="AK47" s="2306"/>
      <c r="AL47" s="411"/>
      <c r="AM47" s="2305">
        <f t="shared" si="0"/>
        <v>0</v>
      </c>
      <c r="AN47" s="411"/>
      <c r="AO47" s="141"/>
      <c r="AV47" s="4957"/>
      <c r="AW47" s="4957"/>
      <c r="AX47" s="4962"/>
      <c r="BA47" s="665"/>
      <c r="BB47" s="665"/>
      <c r="BC47" s="665"/>
      <c r="BD47" s="665"/>
      <c r="BE47" s="665"/>
      <c r="BF47" s="665"/>
      <c r="BG47" s="665"/>
      <c r="BH47" s="665"/>
      <c r="BI47" s="665"/>
      <c r="BJ47" s="665"/>
      <c r="BK47" s="141"/>
    </row>
    <row r="48" spans="1:63" s="1239" customFormat="1" ht="16.5" customHeight="1">
      <c r="A48" s="2306"/>
      <c r="B48" s="4886" t="s">
        <v>5915</v>
      </c>
      <c r="C48" s="10046" t="s">
        <v>5916</v>
      </c>
      <c r="D48" s="10046"/>
      <c r="E48" s="10046"/>
      <c r="F48" s="10046"/>
      <c r="G48" s="10047"/>
      <c r="H48" s="10048"/>
      <c r="I48" s="8574"/>
      <c r="J48" s="8574"/>
      <c r="K48" s="8574"/>
      <c r="L48" s="8575"/>
      <c r="M48" s="9984"/>
      <c r="N48" s="9985"/>
      <c r="O48" s="9985"/>
      <c r="P48" s="9985"/>
      <c r="Q48" s="9985"/>
      <c r="R48" s="9986"/>
      <c r="S48" s="10060" t="s">
        <v>5917</v>
      </c>
      <c r="T48" s="10061"/>
      <c r="U48" s="10062"/>
      <c r="V48" s="10052"/>
      <c r="W48" s="10053"/>
      <c r="X48" s="10054"/>
      <c r="Y48" s="9990" t="s">
        <v>3541</v>
      </c>
      <c r="Z48" s="9991"/>
      <c r="AA48" s="9991"/>
      <c r="AB48" s="9991"/>
      <c r="AC48" s="9992"/>
      <c r="AD48" s="7656"/>
      <c r="AE48" s="7653"/>
      <c r="AF48" s="7653"/>
      <c r="AG48" s="7653"/>
      <c r="AH48" s="7653"/>
      <c r="AI48" s="7653"/>
      <c r="AJ48" s="7653"/>
      <c r="AK48" s="2306"/>
      <c r="AL48" s="411"/>
      <c r="AM48" s="2305">
        <f>ROUND(AD48,0)</f>
        <v>0</v>
      </c>
      <c r="AN48" s="411"/>
      <c r="AO48" s="141"/>
      <c r="AV48" s="4957"/>
      <c r="AW48" s="4957"/>
      <c r="AX48" s="4962"/>
      <c r="BA48" s="665"/>
      <c r="BB48" s="665"/>
      <c r="BC48" s="665"/>
      <c r="BD48" s="665"/>
      <c r="BE48" s="665"/>
      <c r="BF48" s="665"/>
      <c r="BG48" s="665"/>
      <c r="BH48" s="665"/>
      <c r="BI48" s="665"/>
      <c r="BJ48" s="665"/>
      <c r="BK48" s="141"/>
    </row>
    <row r="49" spans="1:63" s="1239" customFormat="1" ht="16.5" customHeight="1">
      <c r="A49" s="2306"/>
      <c r="B49" s="4886" t="s">
        <v>3546</v>
      </c>
      <c r="C49" s="10058" t="s">
        <v>3542</v>
      </c>
      <c r="D49" s="10058"/>
      <c r="E49" s="10058"/>
      <c r="F49" s="10058"/>
      <c r="G49" s="10059"/>
      <c r="H49" s="9981"/>
      <c r="I49" s="9982"/>
      <c r="J49" s="9982"/>
      <c r="K49" s="9982"/>
      <c r="L49" s="9983"/>
      <c r="M49" s="9984"/>
      <c r="N49" s="9985"/>
      <c r="O49" s="9985"/>
      <c r="P49" s="9985"/>
      <c r="Q49" s="9985"/>
      <c r="R49" s="9986"/>
      <c r="S49" s="10060" t="s">
        <v>3543</v>
      </c>
      <c r="T49" s="10061"/>
      <c r="U49" s="10062"/>
      <c r="V49" s="9990" t="s">
        <v>3544</v>
      </c>
      <c r="W49" s="9991"/>
      <c r="X49" s="9992"/>
      <c r="Y49" s="9990" t="s">
        <v>3541</v>
      </c>
      <c r="Z49" s="9991"/>
      <c r="AA49" s="9991"/>
      <c r="AB49" s="9991"/>
      <c r="AC49" s="9992"/>
      <c r="AD49" s="7656"/>
      <c r="AE49" s="7653"/>
      <c r="AF49" s="7653"/>
      <c r="AG49" s="7653"/>
      <c r="AH49" s="7653"/>
      <c r="AI49" s="7653"/>
      <c r="AJ49" s="7653"/>
      <c r="AK49" s="2306"/>
      <c r="AL49" s="411"/>
      <c r="AM49" s="2305">
        <f t="shared" si="0"/>
        <v>0</v>
      </c>
      <c r="AN49" s="411"/>
      <c r="AO49" s="141"/>
      <c r="AV49" s="4957"/>
      <c r="AW49" s="4957"/>
      <c r="AX49" s="4962"/>
      <c r="BA49" s="665"/>
      <c r="BB49" s="665"/>
      <c r="BC49" s="665"/>
      <c r="BD49" s="665"/>
      <c r="BE49" s="665"/>
      <c r="BF49" s="665"/>
      <c r="BG49" s="665"/>
      <c r="BH49" s="665"/>
      <c r="BI49" s="665"/>
      <c r="BJ49" s="665"/>
      <c r="BK49" s="141"/>
    </row>
    <row r="50" spans="1:63" s="1239" customFormat="1" ht="16.5" customHeight="1">
      <c r="A50" s="2306"/>
      <c r="B50" s="4853"/>
      <c r="C50" s="10063" t="s">
        <v>3545</v>
      </c>
      <c r="D50" s="10063"/>
      <c r="E50" s="10063"/>
      <c r="F50" s="10063"/>
      <c r="G50" s="10064"/>
      <c r="H50" s="9981"/>
      <c r="I50" s="9982"/>
      <c r="J50" s="9982"/>
      <c r="K50" s="9982"/>
      <c r="L50" s="9983"/>
      <c r="M50" s="9984"/>
      <c r="N50" s="9985"/>
      <c r="O50" s="9985"/>
      <c r="P50" s="9985"/>
      <c r="Q50" s="9985"/>
      <c r="R50" s="9986"/>
      <c r="S50" s="10060" t="s">
        <v>3543</v>
      </c>
      <c r="T50" s="10061"/>
      <c r="U50" s="10062"/>
      <c r="V50" s="9990" t="s">
        <v>3544</v>
      </c>
      <c r="W50" s="9991"/>
      <c r="X50" s="9992"/>
      <c r="Y50" s="9990" t="s">
        <v>3541</v>
      </c>
      <c r="Z50" s="9991"/>
      <c r="AA50" s="9991"/>
      <c r="AB50" s="9991"/>
      <c r="AC50" s="9992"/>
      <c r="AD50" s="7656"/>
      <c r="AE50" s="7653"/>
      <c r="AF50" s="7653"/>
      <c r="AG50" s="7653"/>
      <c r="AH50" s="7653"/>
      <c r="AI50" s="7653"/>
      <c r="AJ50" s="7653"/>
      <c r="AK50" s="2306"/>
      <c r="AL50" s="411"/>
      <c r="AM50" s="2305">
        <f t="shared" si="0"/>
        <v>0</v>
      </c>
      <c r="AN50" s="411"/>
      <c r="AO50" s="141"/>
      <c r="AV50" s="4957"/>
      <c r="AW50" s="4957"/>
      <c r="AX50" s="4962"/>
      <c r="BA50" s="665"/>
      <c r="BB50" s="665"/>
      <c r="BC50" s="665"/>
      <c r="BD50" s="665"/>
      <c r="BE50" s="665"/>
      <c r="BF50" s="665"/>
      <c r="BG50" s="665"/>
      <c r="BH50" s="665"/>
      <c r="BI50" s="665"/>
      <c r="BJ50" s="665"/>
      <c r="BK50" s="141"/>
    </row>
    <row r="51" spans="1:63" s="1239" customFormat="1" ht="16.5" customHeight="1">
      <c r="A51" s="2306"/>
      <c r="B51" s="4886" t="s">
        <v>5918</v>
      </c>
      <c r="C51" s="10058" t="s">
        <v>3547</v>
      </c>
      <c r="D51" s="10058"/>
      <c r="E51" s="10058"/>
      <c r="F51" s="10058"/>
      <c r="G51" s="10059"/>
      <c r="H51" s="9981"/>
      <c r="I51" s="9982"/>
      <c r="J51" s="9982"/>
      <c r="K51" s="9982"/>
      <c r="L51" s="9983"/>
      <c r="M51" s="9984"/>
      <c r="N51" s="9985"/>
      <c r="O51" s="9985"/>
      <c r="P51" s="9985"/>
      <c r="Q51" s="9985"/>
      <c r="R51" s="9986"/>
      <c r="S51" s="10060" t="s">
        <v>3548</v>
      </c>
      <c r="T51" s="10061"/>
      <c r="U51" s="10062"/>
      <c r="V51" s="9990" t="s">
        <v>3544</v>
      </c>
      <c r="W51" s="9991"/>
      <c r="X51" s="9992"/>
      <c r="Y51" s="9990" t="s">
        <v>3541</v>
      </c>
      <c r="Z51" s="9991"/>
      <c r="AA51" s="9991"/>
      <c r="AB51" s="9991"/>
      <c r="AC51" s="9992"/>
      <c r="AD51" s="7656"/>
      <c r="AE51" s="7653"/>
      <c r="AF51" s="7653"/>
      <c r="AG51" s="7653"/>
      <c r="AH51" s="7653"/>
      <c r="AI51" s="7653"/>
      <c r="AJ51" s="7653"/>
      <c r="AK51" s="2306"/>
      <c r="AL51" s="411"/>
      <c r="AM51" s="2305">
        <f t="shared" si="0"/>
        <v>0</v>
      </c>
      <c r="AN51" s="411"/>
      <c r="AO51" s="141"/>
      <c r="AV51" s="4957"/>
      <c r="AW51" s="4957"/>
      <c r="AX51" s="4962"/>
      <c r="BA51" s="665"/>
      <c r="BB51" s="665"/>
      <c r="BC51" s="665"/>
      <c r="BD51" s="665"/>
      <c r="BE51" s="665"/>
      <c r="BF51" s="665"/>
      <c r="BG51" s="665"/>
      <c r="BH51" s="665"/>
      <c r="BI51" s="665"/>
      <c r="BJ51" s="665"/>
      <c r="BK51" s="141"/>
    </row>
    <row r="52" spans="1:63" s="1239" customFormat="1" ht="16.5" customHeight="1">
      <c r="A52" s="2306"/>
      <c r="B52" s="2000"/>
      <c r="C52" s="10063" t="s">
        <v>3545</v>
      </c>
      <c r="D52" s="10063"/>
      <c r="E52" s="10063"/>
      <c r="F52" s="10063"/>
      <c r="G52" s="10064"/>
      <c r="H52" s="9981"/>
      <c r="I52" s="9982"/>
      <c r="J52" s="9982"/>
      <c r="K52" s="9982"/>
      <c r="L52" s="9983"/>
      <c r="M52" s="9984"/>
      <c r="N52" s="9985"/>
      <c r="O52" s="9985"/>
      <c r="P52" s="9985"/>
      <c r="Q52" s="9985"/>
      <c r="R52" s="9986"/>
      <c r="S52" s="10049"/>
      <c r="T52" s="10050"/>
      <c r="U52" s="10051"/>
      <c r="V52" s="9990" t="s">
        <v>3544</v>
      </c>
      <c r="W52" s="9991"/>
      <c r="X52" s="9992"/>
      <c r="Y52" s="9990" t="s">
        <v>3541</v>
      </c>
      <c r="Z52" s="9991"/>
      <c r="AA52" s="9991"/>
      <c r="AB52" s="9991"/>
      <c r="AC52" s="9992"/>
      <c r="AD52" s="7656"/>
      <c r="AE52" s="7653"/>
      <c r="AF52" s="7653"/>
      <c r="AG52" s="7653"/>
      <c r="AH52" s="7653"/>
      <c r="AI52" s="7653"/>
      <c r="AJ52" s="7653"/>
      <c r="AK52" s="2306"/>
      <c r="AL52" s="411"/>
      <c r="AM52" s="2305">
        <f t="shared" si="0"/>
        <v>0</v>
      </c>
      <c r="AN52" s="411"/>
      <c r="AO52" s="141"/>
      <c r="AV52" s="4957"/>
      <c r="AW52" s="4957"/>
      <c r="AX52" s="4962"/>
      <c r="BA52" s="665"/>
      <c r="BB52" s="665"/>
      <c r="BC52" s="665"/>
      <c r="BD52" s="665"/>
      <c r="BE52" s="665"/>
      <c r="BF52" s="665"/>
      <c r="BG52" s="665"/>
      <c r="BH52" s="665"/>
      <c r="BI52" s="665"/>
      <c r="BJ52" s="665"/>
      <c r="BK52" s="141"/>
    </row>
    <row r="53" spans="1:63" s="1115" customFormat="1" ht="16.5" customHeight="1">
      <c r="A53" s="2290"/>
      <c r="B53" s="4877" t="str">
        <f>"Section C—Assets Placed in Service During "&amp;TaxYear&amp;" Tax Year Using the Alternative Depreciation System"</f>
        <v>Section C—Assets Placed in Service During 2025 Tax Year Using the Alternative Depreciation System</v>
      </c>
      <c r="C53" s="4875"/>
      <c r="D53" s="4876"/>
      <c r="E53" s="4877"/>
      <c r="F53" s="4878"/>
      <c r="G53" s="4878"/>
      <c r="H53" s="4878"/>
      <c r="I53" s="4878"/>
      <c r="J53" s="4878"/>
      <c r="K53" s="4878"/>
      <c r="L53" s="4878"/>
      <c r="M53" s="4878"/>
      <c r="N53" s="4878"/>
      <c r="O53" s="4878"/>
      <c r="P53" s="4878"/>
      <c r="Q53" s="4878"/>
      <c r="R53" s="4878"/>
      <c r="S53" s="4887"/>
      <c r="T53" s="4887"/>
      <c r="U53" s="4887"/>
      <c r="V53" s="4887"/>
      <c r="W53" s="4887"/>
      <c r="X53" s="4887"/>
      <c r="Y53" s="4887"/>
      <c r="Z53" s="4887"/>
      <c r="AA53" s="4887"/>
      <c r="AB53" s="4887"/>
      <c r="AC53" s="4887"/>
      <c r="AD53" s="4878"/>
      <c r="AE53" s="4878"/>
      <c r="AF53" s="4878"/>
      <c r="AG53" s="4878"/>
      <c r="AH53" s="4878"/>
      <c r="AI53" s="4879"/>
      <c r="AJ53" s="4879"/>
      <c r="AK53" s="2290"/>
      <c r="AL53" s="253"/>
      <c r="AM53" s="2305">
        <f>ROUND(AD54,0)</f>
        <v>0</v>
      </c>
      <c r="AN53" s="253"/>
      <c r="AO53" s="2293"/>
      <c r="AV53" s="4958"/>
      <c r="AW53" s="4958"/>
      <c r="AX53" s="4963"/>
      <c r="BA53" s="658"/>
      <c r="BB53" s="658"/>
      <c r="BC53" s="658"/>
      <c r="BD53" s="658"/>
      <c r="BE53" s="658"/>
      <c r="BF53" s="658"/>
      <c r="BG53" s="658"/>
      <c r="BH53" s="658"/>
      <c r="BI53" s="658"/>
      <c r="BJ53" s="658"/>
      <c r="BK53" s="2293"/>
    </row>
    <row r="54" spans="1:63" s="1239" customFormat="1" ht="16.5" customHeight="1">
      <c r="A54" s="2306"/>
      <c r="B54" s="4888" t="s">
        <v>2005</v>
      </c>
      <c r="C54" s="9979" t="s">
        <v>3549</v>
      </c>
      <c r="D54" s="9979"/>
      <c r="E54" s="9979"/>
      <c r="F54" s="9979"/>
      <c r="G54" s="9980"/>
      <c r="H54" s="10048"/>
      <c r="I54" s="8574"/>
      <c r="J54" s="8574"/>
      <c r="K54" s="8574"/>
      <c r="L54" s="8575"/>
      <c r="M54" s="9984"/>
      <c r="N54" s="9985"/>
      <c r="O54" s="9985"/>
      <c r="P54" s="9985"/>
      <c r="Q54" s="9985"/>
      <c r="R54" s="9986"/>
      <c r="S54" s="10049"/>
      <c r="T54" s="10050"/>
      <c r="U54" s="10051"/>
      <c r="V54" s="10052"/>
      <c r="W54" s="10053"/>
      <c r="X54" s="10054"/>
      <c r="Y54" s="9990" t="s">
        <v>3541</v>
      </c>
      <c r="Z54" s="9991"/>
      <c r="AA54" s="9991"/>
      <c r="AB54" s="9991"/>
      <c r="AC54" s="9992"/>
      <c r="AD54" s="7656"/>
      <c r="AE54" s="7653"/>
      <c r="AF54" s="7653"/>
      <c r="AG54" s="7653"/>
      <c r="AH54" s="7653"/>
      <c r="AI54" s="7653"/>
      <c r="AJ54" s="7653"/>
      <c r="AK54" s="2306"/>
      <c r="AL54" s="411"/>
      <c r="AM54" s="2305">
        <f>ROUND(AD55,0)</f>
        <v>0</v>
      </c>
      <c r="AN54" s="411"/>
      <c r="AO54" s="141"/>
      <c r="AV54" s="4957"/>
      <c r="AW54" s="4957"/>
      <c r="AX54" s="4962"/>
      <c r="BA54" s="665"/>
      <c r="BB54" s="665"/>
      <c r="BC54" s="665"/>
      <c r="BD54" s="665"/>
      <c r="BE54" s="665"/>
      <c r="BF54" s="665"/>
      <c r="BG54" s="665"/>
      <c r="BH54" s="665"/>
      <c r="BI54" s="665"/>
      <c r="BJ54" s="665"/>
      <c r="BK54" s="141"/>
    </row>
    <row r="55" spans="1:63" s="1239" customFormat="1" ht="16.5" customHeight="1">
      <c r="A55" s="2306"/>
      <c r="B55" s="4885" t="s">
        <v>3528</v>
      </c>
      <c r="C55" s="9979" t="s">
        <v>3550</v>
      </c>
      <c r="D55" s="9979"/>
      <c r="E55" s="9979"/>
      <c r="F55" s="9979"/>
      <c r="G55" s="9980"/>
      <c r="H55" s="10048"/>
      <c r="I55" s="8574"/>
      <c r="J55" s="8574"/>
      <c r="K55" s="8574"/>
      <c r="L55" s="8575"/>
      <c r="M55" s="9984"/>
      <c r="N55" s="9985"/>
      <c r="O55" s="9985"/>
      <c r="P55" s="9985"/>
      <c r="Q55" s="9985"/>
      <c r="R55" s="9986"/>
      <c r="S55" s="9987" t="s">
        <v>3551</v>
      </c>
      <c r="T55" s="9988"/>
      <c r="U55" s="9988"/>
      <c r="V55" s="10052"/>
      <c r="W55" s="10053"/>
      <c r="X55" s="10054"/>
      <c r="Y55" s="9990" t="s">
        <v>3541</v>
      </c>
      <c r="Z55" s="9991"/>
      <c r="AA55" s="9991"/>
      <c r="AB55" s="9991"/>
      <c r="AC55" s="9992"/>
      <c r="AD55" s="7656"/>
      <c r="AE55" s="7653"/>
      <c r="AF55" s="7653"/>
      <c r="AG55" s="7653"/>
      <c r="AH55" s="7653"/>
      <c r="AI55" s="7653"/>
      <c r="AJ55" s="7653"/>
      <c r="AK55" s="2306"/>
      <c r="AL55" s="411"/>
      <c r="AM55" s="2305">
        <f>ROUND(AD56,0)</f>
        <v>0</v>
      </c>
      <c r="AN55" s="411"/>
      <c r="AO55" s="141"/>
      <c r="AV55" s="4957"/>
      <c r="AW55" s="4957"/>
      <c r="AX55" s="4962"/>
      <c r="BA55" s="665"/>
      <c r="BB55" s="665"/>
      <c r="BC55" s="665"/>
      <c r="BD55" s="665"/>
      <c r="BE55" s="665"/>
      <c r="BF55" s="665"/>
      <c r="BG55" s="665"/>
      <c r="BH55" s="665"/>
      <c r="BI55" s="665"/>
      <c r="BJ55" s="665"/>
      <c r="BK55" s="141"/>
    </row>
    <row r="56" spans="1:63" s="1239" customFormat="1" ht="16.5" customHeight="1">
      <c r="A56" s="2306"/>
      <c r="B56" s="6002" t="s">
        <v>3530</v>
      </c>
      <c r="C56" s="10065" t="s">
        <v>3552</v>
      </c>
      <c r="D56" s="10065"/>
      <c r="E56" s="10065"/>
      <c r="F56" s="10065"/>
      <c r="G56" s="10066"/>
      <c r="H56" s="10067"/>
      <c r="I56" s="10068"/>
      <c r="J56" s="10068"/>
      <c r="K56" s="10068"/>
      <c r="L56" s="10069"/>
      <c r="M56" s="10070"/>
      <c r="N56" s="10071"/>
      <c r="O56" s="10071"/>
      <c r="P56" s="10071"/>
      <c r="Q56" s="10071"/>
      <c r="R56" s="10072"/>
      <c r="S56" s="10073" t="s">
        <v>3553</v>
      </c>
      <c r="T56" s="10074"/>
      <c r="U56" s="10074"/>
      <c r="V56" s="10075" t="s">
        <v>3544</v>
      </c>
      <c r="W56" s="10076"/>
      <c r="X56" s="10077"/>
      <c r="Y56" s="10075" t="s">
        <v>3541</v>
      </c>
      <c r="Z56" s="10076"/>
      <c r="AA56" s="10076"/>
      <c r="AB56" s="10076"/>
      <c r="AC56" s="10077"/>
      <c r="AD56" s="10078"/>
      <c r="AE56" s="10079"/>
      <c r="AF56" s="10079"/>
      <c r="AG56" s="10079"/>
      <c r="AH56" s="10079"/>
      <c r="AI56" s="10079"/>
      <c r="AJ56" s="10079"/>
      <c r="AK56" s="2306"/>
      <c r="AL56" s="411"/>
      <c r="AM56" s="2305">
        <f>ROUND(AD58,0)</f>
        <v>0</v>
      </c>
      <c r="AN56" s="411"/>
      <c r="AO56" s="141"/>
      <c r="AV56" s="4957"/>
      <c r="AW56" s="4957"/>
      <c r="AX56" s="4962"/>
      <c r="BA56" s="665"/>
      <c r="BB56" s="665"/>
      <c r="BC56" s="665"/>
      <c r="BD56" s="665"/>
      <c r="BE56" s="665"/>
      <c r="BF56" s="665"/>
      <c r="BG56" s="665"/>
      <c r="BH56" s="665"/>
      <c r="BI56" s="665"/>
      <c r="BJ56" s="665"/>
      <c r="BK56" s="141"/>
    </row>
    <row r="57" spans="1:63" s="1239" customFormat="1" ht="16.5" customHeight="1">
      <c r="A57" s="2306"/>
      <c r="B57" s="4885" t="s">
        <v>3532</v>
      </c>
      <c r="C57" s="9979" t="s">
        <v>3554</v>
      </c>
      <c r="D57" s="9979"/>
      <c r="E57" s="9979"/>
      <c r="F57" s="9979"/>
      <c r="G57" s="9980"/>
      <c r="H57" s="9981"/>
      <c r="I57" s="9982"/>
      <c r="J57" s="9982"/>
      <c r="K57" s="9982"/>
      <c r="L57" s="9983"/>
      <c r="M57" s="9984"/>
      <c r="N57" s="9985"/>
      <c r="O57" s="9985"/>
      <c r="P57" s="9985"/>
      <c r="Q57" s="9985"/>
      <c r="R57" s="9986"/>
      <c r="S57" s="9987" t="s">
        <v>3555</v>
      </c>
      <c r="T57" s="9988"/>
      <c r="U57" s="9989"/>
      <c r="V57" s="9990" t="s">
        <v>3544</v>
      </c>
      <c r="W57" s="9991"/>
      <c r="X57" s="9992"/>
      <c r="Y57" s="9990" t="s">
        <v>3541</v>
      </c>
      <c r="Z57" s="9991"/>
      <c r="AA57" s="9991"/>
      <c r="AB57" s="9991"/>
      <c r="AC57" s="9992"/>
      <c r="AD57" s="7572"/>
      <c r="AE57" s="7573"/>
      <c r="AF57" s="7573"/>
      <c r="AG57" s="7573"/>
      <c r="AH57" s="7573"/>
      <c r="AI57" s="7573"/>
      <c r="AJ57" s="7573"/>
      <c r="AK57" s="2306"/>
      <c r="AL57" s="411"/>
      <c r="AM57" s="226" t="s">
        <v>979</v>
      </c>
      <c r="AN57" s="411"/>
      <c r="AO57" s="141"/>
      <c r="AV57" s="4957"/>
      <c r="AW57" s="4957"/>
      <c r="AX57" s="4962"/>
      <c r="BA57" s="665"/>
      <c r="BB57" s="665"/>
      <c r="BC57" s="665"/>
      <c r="BD57" s="665"/>
      <c r="BE57" s="665"/>
      <c r="BF57" s="665"/>
      <c r="BG57" s="665"/>
      <c r="BH57" s="665"/>
      <c r="BI57" s="665"/>
      <c r="BJ57" s="665"/>
      <c r="BK57" s="141"/>
    </row>
    <row r="58" spans="1:63" s="1239" customFormat="1" ht="16.5" customHeight="1" thickBot="1">
      <c r="A58" s="2306"/>
      <c r="B58" s="4889" t="s">
        <v>3534</v>
      </c>
      <c r="C58" s="10083" t="s">
        <v>5919</v>
      </c>
      <c r="D58" s="10083"/>
      <c r="E58" s="10083"/>
      <c r="F58" s="10083"/>
      <c r="G58" s="10084"/>
      <c r="H58" s="10085"/>
      <c r="I58" s="10086"/>
      <c r="J58" s="10086"/>
      <c r="K58" s="10086"/>
      <c r="L58" s="10087"/>
      <c r="M58" s="10088"/>
      <c r="N58" s="10089"/>
      <c r="O58" s="10089"/>
      <c r="P58" s="10089"/>
      <c r="Q58" s="10089"/>
      <c r="R58" s="10090"/>
      <c r="S58" s="10091" t="s">
        <v>5917</v>
      </c>
      <c r="T58" s="10092"/>
      <c r="U58" s="10093"/>
      <c r="V58" s="10094" t="s">
        <v>3544</v>
      </c>
      <c r="W58" s="10095"/>
      <c r="X58" s="10096"/>
      <c r="Y58" s="10094" t="s">
        <v>3541</v>
      </c>
      <c r="Z58" s="10095"/>
      <c r="AA58" s="10095"/>
      <c r="AB58" s="10095"/>
      <c r="AC58" s="10096"/>
      <c r="AD58" s="10080"/>
      <c r="AE58" s="10081"/>
      <c r="AF58" s="10081"/>
      <c r="AG58" s="10081"/>
      <c r="AH58" s="10081"/>
      <c r="AI58" s="10081"/>
      <c r="AJ58" s="10081"/>
      <c r="AK58" s="2306"/>
      <c r="AL58" s="411"/>
      <c r="AM58" s="226" t="s">
        <v>979</v>
      </c>
      <c r="AN58" s="411"/>
      <c r="AO58" s="141"/>
      <c r="AV58" s="4957"/>
      <c r="AW58" s="4957"/>
      <c r="AX58" s="4962"/>
      <c r="BA58" s="665"/>
      <c r="BB58" s="665"/>
      <c r="BC58" s="665"/>
      <c r="BD58" s="665"/>
      <c r="BE58" s="665"/>
      <c r="BF58" s="665"/>
      <c r="BG58" s="665"/>
      <c r="BH58" s="665"/>
      <c r="BI58" s="665"/>
      <c r="BJ58" s="665"/>
      <c r="BK58" s="141"/>
    </row>
    <row r="59" spans="1:63" s="815" customFormat="1" ht="15.75">
      <c r="A59" s="2013"/>
      <c r="B59" s="4898" t="s">
        <v>2990</v>
      </c>
      <c r="C59" s="1560"/>
      <c r="D59" s="1560"/>
      <c r="E59" s="1560"/>
      <c r="F59" s="1560"/>
      <c r="G59" s="1560"/>
      <c r="H59" s="1560"/>
      <c r="I59" s="1560"/>
      <c r="J59" s="1560"/>
      <c r="K59" s="1560"/>
      <c r="L59" s="1560"/>
      <c r="M59" s="1560"/>
      <c r="N59" s="1560"/>
      <c r="O59" s="1560"/>
      <c r="P59" s="1560"/>
      <c r="Q59" s="1560"/>
      <c r="R59" s="1560"/>
      <c r="S59" s="1560"/>
      <c r="T59" s="1560"/>
      <c r="U59" s="247" t="s">
        <v>3558</v>
      </c>
      <c r="V59" s="1560"/>
      <c r="W59" s="3931"/>
      <c r="X59" s="1560"/>
      <c r="Y59" s="1560"/>
      <c r="Z59" s="1560"/>
      <c r="AA59" s="1560"/>
      <c r="AB59" s="1560"/>
      <c r="AC59" s="2052"/>
      <c r="AD59" s="2052" t="s">
        <v>3559</v>
      </c>
      <c r="AE59" s="2052"/>
      <c r="AF59" s="2052" t="str">
        <f>"("&amp;TaxYear&amp;")"</f>
        <v>(2025)</v>
      </c>
      <c r="AG59" s="2052"/>
      <c r="AH59" s="2052"/>
      <c r="AI59" s="1560"/>
      <c r="AJ59" s="2052" t="s">
        <v>6420</v>
      </c>
      <c r="AK59" s="2013"/>
      <c r="AL59" s="253"/>
      <c r="AM59" s="253"/>
      <c r="AN59" s="253"/>
      <c r="AO59"/>
      <c r="AV59" s="950"/>
      <c r="AW59" s="950"/>
      <c r="AX59" s="4953"/>
      <c r="BA59" s="658"/>
      <c r="BB59" s="658"/>
      <c r="BC59" s="658"/>
      <c r="BD59" s="658"/>
      <c r="BE59" s="658"/>
      <c r="BF59" s="658"/>
      <c r="BG59" s="658"/>
      <c r="BH59" s="658"/>
      <c r="BI59" s="658"/>
      <c r="BJ59" s="658"/>
      <c r="BK59"/>
    </row>
    <row r="60" spans="1:63" s="815" customFormat="1" ht="15.75" customHeight="1" thickBot="1">
      <c r="A60" s="2013"/>
      <c r="B60" s="4899" t="str">
        <f>"Form 4562 ("&amp;TaxYear&amp;")"</f>
        <v>Form 4562 (2025)</v>
      </c>
      <c r="C60" s="498"/>
      <c r="D60" s="2307"/>
      <c r="E60" s="498"/>
      <c r="F60" s="498"/>
      <c r="G60" s="498"/>
      <c r="H60" s="498"/>
      <c r="I60" s="498"/>
      <c r="J60" s="498"/>
      <c r="K60" s="498"/>
      <c r="L60" s="498"/>
      <c r="M60" s="498"/>
      <c r="N60" s="2308"/>
      <c r="O60" s="498"/>
      <c r="P60" s="498"/>
      <c r="Q60" s="498"/>
      <c r="R60" s="498"/>
      <c r="S60" s="498"/>
      <c r="T60" s="2308"/>
      <c r="U60" s="2307"/>
      <c r="V60" s="498"/>
      <c r="W60" s="498"/>
      <c r="X60" s="498"/>
      <c r="Y60" s="498"/>
      <c r="Z60" s="498"/>
      <c r="AA60" s="498"/>
      <c r="AB60" s="2308"/>
      <c r="AC60" s="498"/>
      <c r="AD60" s="498"/>
      <c r="AE60" s="498"/>
      <c r="AF60" s="498"/>
      <c r="AG60" s="498"/>
      <c r="AH60" s="498"/>
      <c r="AI60" s="498"/>
      <c r="AJ60" s="2309" t="s">
        <v>3560</v>
      </c>
      <c r="AK60" s="2013"/>
      <c r="AL60" s="253"/>
      <c r="AM60" s="253"/>
      <c r="AN60" s="253"/>
      <c r="AO60"/>
      <c r="AV60" s="950"/>
      <c r="AW60" s="950"/>
      <c r="AX60" s="4953"/>
      <c r="BA60" s="658"/>
      <c r="BB60" s="658"/>
      <c r="BC60" s="658"/>
      <c r="BD60" s="658"/>
      <c r="BE60" s="658"/>
      <c r="BF60" s="658"/>
      <c r="BG60" s="658"/>
      <c r="BH60" s="658"/>
      <c r="BI60" s="658"/>
      <c r="BJ60" s="658"/>
      <c r="BK60"/>
    </row>
    <row r="61" spans="1:63" s="1115" customFormat="1" ht="15.75" customHeight="1" thickBot="1">
      <c r="A61" s="2290"/>
      <c r="B61" s="9755" t="s">
        <v>2102</v>
      </c>
      <c r="C61" s="10026"/>
      <c r="D61" s="4870" t="s">
        <v>3556</v>
      </c>
      <c r="E61" s="4871"/>
      <c r="F61" s="4872"/>
      <c r="G61" s="4872"/>
      <c r="H61" s="2294"/>
      <c r="I61" s="2294"/>
      <c r="J61" s="2294"/>
      <c r="K61" s="2294"/>
      <c r="L61" s="2294"/>
      <c r="M61" s="4872"/>
      <c r="N61" s="4872"/>
      <c r="O61" s="4872"/>
      <c r="P61" s="4872"/>
      <c r="Q61" s="4872"/>
      <c r="R61" s="4872"/>
      <c r="S61" s="2294"/>
      <c r="T61" s="2294"/>
      <c r="U61" s="2294"/>
      <c r="V61" s="2294"/>
      <c r="W61" s="2294"/>
      <c r="X61" s="2294"/>
      <c r="Y61" s="2294"/>
      <c r="Z61" s="2294"/>
      <c r="AA61" s="2294"/>
      <c r="AB61" s="2294"/>
      <c r="AC61" s="2294"/>
      <c r="AD61" s="2294"/>
      <c r="AE61" s="2294"/>
      <c r="AF61" s="2294"/>
      <c r="AG61" s="2294"/>
      <c r="AH61" s="2294"/>
      <c r="AI61" s="2297"/>
      <c r="AJ61" s="2297"/>
      <c r="AK61" s="2290"/>
      <c r="AL61" s="253"/>
      <c r="AM61" s="226" t="s">
        <v>931</v>
      </c>
      <c r="AN61" s="253"/>
      <c r="AO61" s="2293"/>
      <c r="AV61" s="4958"/>
      <c r="AW61" s="4958"/>
      <c r="AX61" s="4963"/>
      <c r="BA61" s="658"/>
      <c r="BB61" s="658"/>
      <c r="BC61" s="658"/>
      <c r="BD61" s="658"/>
      <c r="BE61" s="658"/>
      <c r="BF61" s="658"/>
      <c r="BG61" s="658"/>
      <c r="BH61" s="658"/>
      <c r="BI61" s="658"/>
      <c r="BJ61" s="658"/>
      <c r="BK61" s="2293"/>
    </row>
    <row r="62" spans="1:63" s="815" customFormat="1" ht="15.75" customHeight="1" thickBot="1">
      <c r="A62" s="2013"/>
      <c r="B62" s="4242">
        <v>21</v>
      </c>
      <c r="C62" s="2100" t="s">
        <v>3557</v>
      </c>
      <c r="D62" s="873"/>
      <c r="E62" s="511"/>
      <c r="F62" s="344"/>
      <c r="G62" s="344"/>
      <c r="H62" s="344"/>
      <c r="I62" s="344"/>
      <c r="J62" s="344"/>
      <c r="K62" s="344"/>
      <c r="L62" s="344"/>
      <c r="M62" s="344"/>
      <c r="N62" s="344"/>
      <c r="O62" s="344"/>
      <c r="P62" s="344"/>
      <c r="Q62" s="344"/>
      <c r="R62" s="344"/>
      <c r="S62" s="344"/>
      <c r="T62" s="344"/>
      <c r="U62" s="344"/>
      <c r="V62" s="344"/>
      <c r="W62" s="1061"/>
      <c r="X62" s="344"/>
      <c r="Y62" s="344"/>
      <c r="Z62" s="344"/>
      <c r="AA62" s="1401" t="s">
        <v>3513</v>
      </c>
      <c r="AB62" s="10028">
        <v>21</v>
      </c>
      <c r="AC62" s="10029"/>
      <c r="AD62" s="10030">
        <f>IF(AM62&lt;&gt;"",ROUND(AM62,0),AA92)</f>
        <v>0</v>
      </c>
      <c r="AE62" s="10030"/>
      <c r="AF62" s="10030"/>
      <c r="AG62" s="10030"/>
      <c r="AH62" s="10030"/>
      <c r="AI62" s="10030"/>
      <c r="AJ62" s="7597"/>
      <c r="AK62" s="2013"/>
      <c r="AL62" s="253"/>
      <c r="AM62" s="1237"/>
      <c r="AN62" s="253"/>
      <c r="AO62"/>
      <c r="AV62" s="950"/>
      <c r="AW62" s="950"/>
      <c r="AX62" s="4953"/>
      <c r="BA62" s="658"/>
      <c r="BB62" s="658"/>
      <c r="BC62" s="658"/>
      <c r="BD62" s="658"/>
      <c r="BE62" s="658"/>
      <c r="BF62" s="658"/>
      <c r="BG62" s="658"/>
      <c r="BH62" s="658"/>
      <c r="BI62" s="658"/>
      <c r="BJ62" s="658"/>
      <c r="BK62"/>
    </row>
    <row r="63" spans="1:63" s="815" customFormat="1" ht="15.75" customHeight="1" thickBot="1">
      <c r="A63" s="2013"/>
      <c r="B63" s="775">
        <v>22</v>
      </c>
      <c r="C63" s="2299" t="s">
        <v>6421</v>
      </c>
      <c r="D63" s="511"/>
      <c r="E63" s="344"/>
      <c r="F63" s="344"/>
      <c r="G63" s="344"/>
      <c r="H63" s="344"/>
      <c r="I63" s="344"/>
      <c r="J63" s="344"/>
      <c r="K63" s="1061"/>
      <c r="L63" s="2300"/>
      <c r="M63" s="2301"/>
      <c r="N63" s="1061"/>
      <c r="O63" s="1061"/>
      <c r="P63" s="1061"/>
      <c r="Q63" s="1061"/>
      <c r="R63" s="1061"/>
      <c r="S63" s="344"/>
      <c r="T63" s="344"/>
      <c r="U63" s="344"/>
      <c r="V63" s="1061"/>
      <c r="W63" s="1204"/>
      <c r="X63" s="2302"/>
      <c r="Y63" s="4863"/>
      <c r="Z63" s="4863"/>
      <c r="AA63" s="4863"/>
      <c r="AB63" s="9996"/>
      <c r="AC63" s="9997"/>
      <c r="AD63" s="566"/>
      <c r="AE63" s="1205"/>
      <c r="AF63" s="1205"/>
      <c r="AG63" s="1205"/>
      <c r="AH63" s="1205"/>
      <c r="AI63" s="1205"/>
      <c r="AJ63" s="1205"/>
      <c r="AK63" s="2013"/>
      <c r="AL63" s="253"/>
      <c r="AM63" s="2713">
        <f>SUM(AM41:AM56)</f>
        <v>0</v>
      </c>
      <c r="AN63" s="253"/>
      <c r="AO63"/>
      <c r="AV63" s="950"/>
      <c r="AW63" s="950"/>
      <c r="AX63" s="4953"/>
      <c r="BA63" s="658"/>
      <c r="BB63" s="658"/>
      <c r="BC63" s="658"/>
      <c r="BD63" s="658"/>
      <c r="BE63" s="658"/>
      <c r="BF63" s="658"/>
      <c r="BG63" s="658"/>
      <c r="BH63" s="658"/>
      <c r="BI63" s="658"/>
      <c r="BJ63" s="658"/>
      <c r="BK63"/>
    </row>
    <row r="64" spans="1:63" s="815" customFormat="1" ht="15.75" customHeight="1" thickBot="1">
      <c r="A64" s="2013"/>
      <c r="B64" s="4242"/>
      <c r="C64" s="4890" t="s">
        <v>6422</v>
      </c>
      <c r="D64" s="511"/>
      <c r="E64" s="344"/>
      <c r="F64" s="344"/>
      <c r="G64" s="344"/>
      <c r="H64" s="344"/>
      <c r="I64" s="344"/>
      <c r="J64" s="344"/>
      <c r="K64" s="344"/>
      <c r="L64" s="344"/>
      <c r="M64" s="344"/>
      <c r="N64" s="344"/>
      <c r="O64" s="344"/>
      <c r="P64" s="344"/>
      <c r="Q64" s="344"/>
      <c r="R64" s="344"/>
      <c r="S64" s="344"/>
      <c r="T64" s="344"/>
      <c r="U64" s="344"/>
      <c r="V64" s="344"/>
      <c r="W64" s="1204"/>
      <c r="X64" s="344"/>
      <c r="Y64" s="344"/>
      <c r="Z64" s="344"/>
      <c r="AA64" s="1401" t="s">
        <v>875</v>
      </c>
      <c r="AB64" s="8463">
        <v>22</v>
      </c>
      <c r="AC64" s="9998"/>
      <c r="AD64" s="10082">
        <f>IF(AM64&lt;&gt;"",ROUND(AM64,0),SUM(AD25,AM36,AM63,AD62))</f>
        <v>0</v>
      </c>
      <c r="AE64" s="10082"/>
      <c r="AF64" s="10082"/>
      <c r="AG64" s="10082"/>
      <c r="AH64" s="10082"/>
      <c r="AI64" s="10082"/>
      <c r="AJ64" s="7703"/>
      <c r="AK64" s="2013"/>
      <c r="AL64" s="253"/>
      <c r="AM64" s="1237"/>
      <c r="AN64" s="253"/>
      <c r="AO64"/>
      <c r="AV64" s="950"/>
      <c r="AW64" s="950"/>
      <c r="AX64" s="4953"/>
      <c r="BA64" s="658"/>
      <c r="BB64" s="658"/>
      <c r="BC64" s="658"/>
      <c r="BD64" s="658"/>
      <c r="BE64" s="658"/>
      <c r="BF64" s="658"/>
      <c r="BG64" s="658"/>
      <c r="BH64" s="658"/>
      <c r="BI64" s="658"/>
      <c r="BJ64" s="658"/>
      <c r="BK64"/>
    </row>
    <row r="65" spans="1:63" s="815" customFormat="1" ht="15.75" customHeight="1">
      <c r="A65" s="2013"/>
      <c r="B65" s="775" t="s">
        <v>2374</v>
      </c>
      <c r="C65" s="2100" t="s">
        <v>6423</v>
      </c>
      <c r="D65" s="511"/>
      <c r="E65" s="511"/>
      <c r="F65" s="344"/>
      <c r="G65" s="344"/>
      <c r="H65" s="344"/>
      <c r="I65" s="344"/>
      <c r="J65" s="344"/>
      <c r="K65" s="344"/>
      <c r="L65" s="344"/>
      <c r="M65" s="344"/>
      <c r="N65" s="344"/>
      <c r="O65" s="344"/>
      <c r="P65" s="344"/>
      <c r="Q65" s="344"/>
      <c r="R65" s="344"/>
      <c r="S65" s="344"/>
      <c r="T65" s="344"/>
      <c r="U65" s="344"/>
      <c r="V65" s="4452"/>
      <c r="W65" s="9996"/>
      <c r="X65" s="8558"/>
      <c r="Y65" s="8558"/>
      <c r="Z65" s="8558"/>
      <c r="AA65" s="10097"/>
      <c r="AB65" s="4867"/>
      <c r="AC65" s="4880"/>
      <c r="AD65" s="4880"/>
      <c r="AE65" s="4868"/>
      <c r="AF65" s="4868"/>
      <c r="AG65" s="4868"/>
      <c r="AH65" s="4868"/>
      <c r="AI65" s="4868"/>
      <c r="AJ65" s="4868"/>
      <c r="AK65" s="2013"/>
      <c r="AL65" s="253"/>
      <c r="AM65" s="253"/>
      <c r="AN65" s="253"/>
      <c r="AO65"/>
      <c r="AV65" s="950"/>
      <c r="AW65" s="950"/>
      <c r="AX65" s="4953"/>
      <c r="BA65" s="658"/>
      <c r="BB65" s="658"/>
      <c r="BC65" s="658"/>
      <c r="BD65" s="658"/>
      <c r="BE65" s="658"/>
      <c r="BF65" s="658"/>
      <c r="BG65" s="658"/>
      <c r="BH65" s="658"/>
      <c r="BI65" s="658"/>
      <c r="BJ65" s="658"/>
      <c r="BK65"/>
    </row>
    <row r="66" spans="1:63" s="815" customFormat="1" ht="15.75" customHeight="1">
      <c r="A66" s="2013"/>
      <c r="B66" s="775"/>
      <c r="C66" s="2100" t="s">
        <v>6424</v>
      </c>
      <c r="D66" s="511"/>
      <c r="E66" s="511"/>
      <c r="F66" s="344"/>
      <c r="G66" s="344"/>
      <c r="H66" s="344"/>
      <c r="I66" s="344"/>
      <c r="J66" s="344"/>
      <c r="K66" s="344"/>
      <c r="L66" s="344"/>
      <c r="M66" s="344"/>
      <c r="N66" s="344"/>
      <c r="O66" s="344"/>
      <c r="P66" s="344"/>
      <c r="Q66" s="344"/>
      <c r="R66" s="344"/>
      <c r="S66" s="344"/>
      <c r="T66" s="344"/>
      <c r="U66" s="344"/>
      <c r="V66" s="4447"/>
      <c r="W66" s="4842"/>
      <c r="X66" s="4242"/>
      <c r="Y66" s="4242"/>
      <c r="Z66" s="4242"/>
      <c r="AA66" s="6493"/>
      <c r="AB66" s="4167"/>
      <c r="AC66" s="4168"/>
      <c r="AD66" s="4168"/>
      <c r="AE66" s="4865"/>
      <c r="AF66" s="4865"/>
      <c r="AG66" s="4865"/>
      <c r="AH66" s="4865"/>
      <c r="AI66" s="4865"/>
      <c r="AJ66" s="4865"/>
      <c r="AK66" s="2013"/>
      <c r="AL66" s="253"/>
      <c r="AM66" s="253"/>
      <c r="AN66" s="253"/>
      <c r="AO66"/>
      <c r="AV66" s="950"/>
      <c r="AW66" s="950"/>
      <c r="AX66" s="4953"/>
      <c r="BA66" s="658"/>
      <c r="BB66" s="658"/>
      <c r="BC66" s="658"/>
      <c r="BD66" s="658"/>
      <c r="BE66" s="658"/>
      <c r="BF66" s="658"/>
      <c r="BG66" s="658"/>
      <c r="BH66" s="658"/>
      <c r="BI66" s="658"/>
      <c r="BJ66" s="658"/>
      <c r="BK66"/>
    </row>
    <row r="67" spans="1:63" s="815" customFormat="1" ht="15.75" customHeight="1">
      <c r="A67" s="2013"/>
      <c r="B67" s="6507"/>
      <c r="C67" s="2100" t="s">
        <v>6425</v>
      </c>
      <c r="D67" s="2324"/>
      <c r="E67" s="2324"/>
      <c r="F67" s="2324"/>
      <c r="G67" s="2324"/>
      <c r="H67" s="2324"/>
      <c r="I67" s="2324"/>
      <c r="J67" s="2324"/>
      <c r="K67" s="2324"/>
      <c r="L67" s="2324"/>
      <c r="M67" s="2324"/>
      <c r="N67" s="2324"/>
      <c r="O67" s="2324"/>
      <c r="P67" s="2324"/>
      <c r="Q67" s="2324"/>
      <c r="R67" s="2324"/>
      <c r="S67" s="2324"/>
      <c r="T67" s="2324"/>
      <c r="U67" s="1321" t="s">
        <v>808</v>
      </c>
      <c r="V67" s="4448" t="s">
        <v>2374</v>
      </c>
      <c r="W67" s="7873"/>
      <c r="X67" s="7585"/>
      <c r="Y67" s="7585"/>
      <c r="Z67" s="7585"/>
      <c r="AA67" s="7874"/>
      <c r="AB67" s="4167"/>
      <c r="AC67" s="4168"/>
      <c r="AD67" s="4168"/>
      <c r="AE67" s="4865"/>
      <c r="AF67" s="4865"/>
      <c r="AG67" s="4865"/>
      <c r="AH67" s="4865"/>
      <c r="AI67" s="4865"/>
      <c r="AJ67" s="4865"/>
      <c r="AK67" s="2013"/>
      <c r="AL67" s="253"/>
      <c r="AM67" s="253"/>
      <c r="AN67" s="253"/>
      <c r="AO67"/>
      <c r="AV67" s="950"/>
      <c r="AW67" s="950"/>
      <c r="AX67" s="4953"/>
      <c r="BA67" s="658"/>
      <c r="BB67" s="658"/>
      <c r="BC67" s="658"/>
      <c r="BD67" s="658"/>
      <c r="BE67" s="658"/>
      <c r="BF67" s="658"/>
      <c r="BG67" s="658"/>
      <c r="BH67" s="658"/>
      <c r="BI67" s="658"/>
      <c r="BJ67" s="658"/>
      <c r="BK67"/>
    </row>
    <row r="68" spans="1:63" s="815" customFormat="1" ht="15.75" customHeight="1">
      <c r="A68" s="2013"/>
      <c r="B68" s="775" t="s">
        <v>592</v>
      </c>
      <c r="C68" s="759" t="s">
        <v>6426</v>
      </c>
      <c r="D68" s="511"/>
      <c r="E68" s="511"/>
      <c r="F68" s="344"/>
      <c r="G68" s="344"/>
      <c r="H68" s="344"/>
      <c r="I68" s="344"/>
      <c r="J68" s="344"/>
      <c r="K68" s="344"/>
      <c r="L68" s="344"/>
      <c r="M68" s="344"/>
      <c r="N68" s="344"/>
      <c r="O68" s="344"/>
      <c r="P68" s="344"/>
      <c r="Q68" s="344"/>
      <c r="R68" s="344"/>
      <c r="S68" s="344"/>
      <c r="T68" s="344"/>
      <c r="U68" s="344"/>
      <c r="V68" s="4447"/>
      <c r="W68" s="10101"/>
      <c r="X68" s="8433"/>
      <c r="Y68" s="8433"/>
      <c r="Z68" s="8433"/>
      <c r="AA68" s="10102"/>
      <c r="AB68" s="4167"/>
      <c r="AC68" s="4168"/>
      <c r="AD68" s="4168"/>
      <c r="AE68" s="4865"/>
      <c r="AF68" s="4865"/>
      <c r="AG68" s="4865"/>
      <c r="AH68" s="4865"/>
      <c r="AI68" s="4865"/>
      <c r="AJ68" s="4865"/>
      <c r="AK68" s="2013"/>
      <c r="AL68" s="253"/>
      <c r="AM68" s="253"/>
      <c r="AN68" s="253"/>
      <c r="AO68"/>
      <c r="AV68" s="950"/>
      <c r="AW68" s="950"/>
      <c r="AX68" s="4953"/>
      <c r="BA68" s="658"/>
      <c r="BB68" s="658"/>
      <c r="BC68" s="658"/>
      <c r="BD68" s="658"/>
      <c r="BE68" s="658"/>
      <c r="BF68" s="658"/>
      <c r="BG68" s="658"/>
      <c r="BH68" s="658"/>
      <c r="BI68" s="658"/>
      <c r="BJ68" s="658"/>
      <c r="BK68"/>
    </row>
    <row r="69" spans="1:63" s="815" customFormat="1" ht="15.75" customHeight="1">
      <c r="A69" s="2013"/>
      <c r="B69" s="775"/>
      <c r="C69" s="759" t="s">
        <v>6427</v>
      </c>
      <c r="D69" s="511"/>
      <c r="E69" s="511"/>
      <c r="F69" s="344"/>
      <c r="G69" s="344"/>
      <c r="H69" s="344"/>
      <c r="I69" s="344"/>
      <c r="J69" s="344"/>
      <c r="K69" s="344"/>
      <c r="L69" s="344"/>
      <c r="M69" s="344"/>
      <c r="N69" s="344"/>
      <c r="O69" s="344"/>
      <c r="P69" s="344"/>
      <c r="Q69" s="344"/>
      <c r="R69" s="344"/>
      <c r="S69" s="344"/>
      <c r="T69" s="344"/>
      <c r="U69" s="344"/>
      <c r="V69" s="4447"/>
      <c r="W69" s="4842"/>
      <c r="X69" s="4242"/>
      <c r="Y69" s="4242"/>
      <c r="Z69" s="4242"/>
      <c r="AA69" s="6493"/>
      <c r="AB69" s="4167"/>
      <c r="AC69" s="4168"/>
      <c r="AD69" s="4168"/>
      <c r="AE69" s="4865"/>
      <c r="AF69" s="4865"/>
      <c r="AG69" s="4865"/>
      <c r="AH69" s="4865"/>
      <c r="AI69" s="4865"/>
      <c r="AJ69" s="4865"/>
      <c r="AK69" s="2013"/>
      <c r="AL69" s="253"/>
      <c r="AM69" s="253"/>
      <c r="AN69" s="253"/>
      <c r="AO69"/>
      <c r="AV69" s="950"/>
      <c r="AW69" s="950"/>
      <c r="AX69" s="4953"/>
      <c r="BA69" s="658"/>
      <c r="BB69" s="658"/>
      <c r="BC69" s="658"/>
      <c r="BD69" s="658"/>
      <c r="BE69" s="658"/>
      <c r="BF69" s="658"/>
      <c r="BG69" s="658"/>
      <c r="BH69" s="658"/>
      <c r="BI69" s="658"/>
      <c r="BJ69" s="658"/>
      <c r="BK69"/>
    </row>
    <row r="70" spans="1:63" s="815" customFormat="1" ht="15.75" customHeight="1" thickBot="1">
      <c r="A70" s="2013"/>
      <c r="B70" s="4892"/>
      <c r="C70" s="6508" t="s">
        <v>6428</v>
      </c>
      <c r="D70" s="4893"/>
      <c r="E70" s="4893"/>
      <c r="F70" s="4893"/>
      <c r="G70" s="4893"/>
      <c r="H70" s="4893"/>
      <c r="I70" s="4893"/>
      <c r="J70" s="4893"/>
      <c r="K70" s="4893"/>
      <c r="L70" s="4893"/>
      <c r="M70" s="4893"/>
      <c r="N70" s="4893"/>
      <c r="O70" s="4893"/>
      <c r="P70" s="4893"/>
      <c r="Q70" s="4893"/>
      <c r="R70" s="4893"/>
      <c r="S70" s="4893"/>
      <c r="T70" s="4893"/>
      <c r="U70" s="2220" t="s">
        <v>2823</v>
      </c>
      <c r="V70" s="4894" t="s">
        <v>2378</v>
      </c>
      <c r="W70" s="10103"/>
      <c r="X70" s="10104"/>
      <c r="Y70" s="10104"/>
      <c r="Z70" s="10104"/>
      <c r="AA70" s="10105"/>
      <c r="AB70" s="4895"/>
      <c r="AC70" s="4896"/>
      <c r="AD70" s="4896"/>
      <c r="AE70" s="4897"/>
      <c r="AF70" s="4897"/>
      <c r="AG70" s="4897"/>
      <c r="AH70" s="4897"/>
      <c r="AI70" s="4897"/>
      <c r="AJ70" s="4897"/>
      <c r="AK70" s="2013"/>
      <c r="AL70" s="253"/>
      <c r="AM70" s="253"/>
      <c r="AN70" s="253"/>
      <c r="AO70"/>
      <c r="AV70" s="950"/>
      <c r="AW70" s="950"/>
      <c r="AX70" s="4953"/>
      <c r="BA70" s="658"/>
      <c r="BB70" s="658"/>
      <c r="BC70" s="658"/>
      <c r="BD70" s="658"/>
      <c r="BE70" s="658"/>
      <c r="BF70" s="658"/>
      <c r="BG70" s="658"/>
      <c r="BH70" s="658"/>
      <c r="BI70" s="658"/>
      <c r="BJ70" s="658"/>
      <c r="BK70"/>
    </row>
    <row r="71" spans="1:63" s="1115" customFormat="1" ht="15.75" customHeight="1">
      <c r="A71" s="2290"/>
      <c r="B71" s="7605" t="s">
        <v>2117</v>
      </c>
      <c r="C71" s="8601"/>
      <c r="D71" s="4900"/>
      <c r="E71" s="4901" t="s">
        <v>3561</v>
      </c>
      <c r="F71" s="2310"/>
      <c r="G71" s="2310"/>
      <c r="H71" s="2310"/>
      <c r="I71" s="2310"/>
      <c r="J71" s="2310" t="s">
        <v>3562</v>
      </c>
      <c r="K71" s="2310"/>
      <c r="L71" s="2310"/>
      <c r="M71" s="2310"/>
      <c r="N71" s="2310"/>
      <c r="O71" s="2310"/>
      <c r="P71" s="2310"/>
      <c r="Q71" s="2310"/>
      <c r="R71" s="2310"/>
      <c r="S71" s="2310"/>
      <c r="T71" s="2310"/>
      <c r="U71" s="2310"/>
      <c r="V71" s="2310"/>
      <c r="W71" s="2310"/>
      <c r="X71" s="2310"/>
      <c r="Y71" s="2310"/>
      <c r="Z71" s="2310"/>
      <c r="AA71" s="2310"/>
      <c r="AB71" s="2310"/>
      <c r="AC71" s="2310"/>
      <c r="AD71" s="2310"/>
      <c r="AE71" s="2310"/>
      <c r="AF71" s="2310"/>
      <c r="AG71" s="2310"/>
      <c r="AH71" s="2310"/>
      <c r="AI71" s="565"/>
      <c r="AJ71" s="565"/>
      <c r="AK71" s="2290"/>
      <c r="AL71" s="253"/>
      <c r="AM71" s="253"/>
      <c r="AN71" s="253"/>
      <c r="AO71" s="2293"/>
      <c r="AV71" s="4958"/>
      <c r="AW71" s="4958"/>
      <c r="AX71" s="4963"/>
      <c r="BA71" s="658"/>
      <c r="BB71" s="658"/>
      <c r="BC71" s="658"/>
      <c r="BD71" s="658"/>
      <c r="BE71" s="658"/>
      <c r="BF71" s="658"/>
      <c r="BG71" s="658"/>
      <c r="BH71" s="658"/>
      <c r="BI71" s="658"/>
      <c r="BJ71" s="658"/>
      <c r="BK71" s="2293"/>
    </row>
    <row r="72" spans="1:63" s="815" customFormat="1" ht="15.75" customHeight="1">
      <c r="A72" s="2013"/>
      <c r="B72" s="4902"/>
      <c r="C72" s="344"/>
      <c r="D72" s="4903"/>
      <c r="E72" s="4904" t="s">
        <v>3563</v>
      </c>
      <c r="F72" s="4903"/>
      <c r="G72" s="4903"/>
      <c r="H72" s="4903"/>
      <c r="I72" s="4903"/>
      <c r="J72" s="4903"/>
      <c r="K72" s="4903"/>
      <c r="L72" s="4903"/>
      <c r="M72" s="4903"/>
      <c r="N72" s="4903"/>
      <c r="O72" s="4903"/>
      <c r="P72" s="4903"/>
      <c r="Q72" s="4903"/>
      <c r="R72" s="4903"/>
      <c r="S72" s="4903"/>
      <c r="T72" s="4905"/>
      <c r="U72" s="4906"/>
      <c r="V72" s="4906"/>
      <c r="W72" s="4906"/>
      <c r="X72" s="4906"/>
      <c r="Y72" s="4906"/>
      <c r="Z72" s="4906"/>
      <c r="AA72" s="4906"/>
      <c r="AB72" s="4906"/>
      <c r="AC72" s="4906"/>
      <c r="AD72" s="4906"/>
      <c r="AE72" s="4906"/>
      <c r="AF72" s="4906"/>
      <c r="AG72" s="4906"/>
      <c r="AH72" s="4906"/>
      <c r="AI72" s="4906"/>
      <c r="AJ72" s="4906"/>
      <c r="AK72" s="2013"/>
      <c r="AL72" s="253"/>
      <c r="AM72" s="253"/>
      <c r="AN72" s="253"/>
      <c r="AO72"/>
      <c r="AV72" s="950"/>
      <c r="AW72" s="950"/>
      <c r="AX72" s="4953"/>
      <c r="BA72" s="658"/>
      <c r="BB72" s="658"/>
      <c r="BC72" s="658"/>
      <c r="BD72" s="658"/>
      <c r="BE72" s="658"/>
      <c r="BF72" s="658"/>
      <c r="BG72" s="658"/>
      <c r="BH72" s="658"/>
      <c r="BI72" s="658"/>
      <c r="BJ72" s="658"/>
      <c r="BK72"/>
    </row>
    <row r="73" spans="1:63" s="815" customFormat="1" ht="15.75" customHeight="1">
      <c r="A73" s="2013"/>
      <c r="B73" s="4902"/>
      <c r="C73" s="344"/>
      <c r="D73" s="511"/>
      <c r="E73" s="1323" t="s">
        <v>3564</v>
      </c>
      <c r="F73" s="344"/>
      <c r="G73" s="1323" t="s">
        <v>3565</v>
      </c>
      <c r="H73" s="344"/>
      <c r="I73" s="344"/>
      <c r="J73" s="344"/>
      <c r="K73" s="344"/>
      <c r="L73" s="344"/>
      <c r="M73" s="344"/>
      <c r="N73" s="344"/>
      <c r="O73" s="344"/>
      <c r="P73" s="344"/>
      <c r="Q73" s="344"/>
      <c r="R73" s="344"/>
      <c r="S73" s="344"/>
      <c r="T73" s="344"/>
      <c r="U73" s="344"/>
      <c r="V73" s="344"/>
      <c r="W73" s="344"/>
      <c r="X73" s="344"/>
      <c r="Y73" s="344"/>
      <c r="Z73" s="344"/>
      <c r="AA73" s="344"/>
      <c r="AB73" s="344"/>
      <c r="AC73" s="344"/>
      <c r="AD73" s="344"/>
      <c r="AE73" s="344"/>
      <c r="AF73" s="344"/>
      <c r="AG73" s="344"/>
      <c r="AH73" s="344"/>
      <c r="AI73" s="344"/>
      <c r="AJ73" s="344"/>
      <c r="AK73" s="2013"/>
      <c r="AL73" s="253"/>
      <c r="AM73" s="253"/>
      <c r="AN73" s="253"/>
      <c r="AO73"/>
      <c r="AV73" s="950"/>
      <c r="AW73" s="950"/>
      <c r="AX73" s="4953"/>
      <c r="BA73" s="658"/>
      <c r="BB73" s="658"/>
      <c r="BC73" s="658"/>
      <c r="BD73" s="658"/>
      <c r="BE73" s="658"/>
      <c r="BF73" s="658"/>
      <c r="BG73" s="658"/>
      <c r="BH73" s="658"/>
      <c r="BI73" s="658"/>
      <c r="BJ73" s="658"/>
      <c r="BK73"/>
    </row>
    <row r="74" spans="1:63" s="815" customFormat="1" ht="15.75" customHeight="1">
      <c r="A74" s="2013"/>
      <c r="B74" s="4902"/>
      <c r="C74" s="344"/>
      <c r="D74" s="4231"/>
      <c r="E74" s="2311" t="s">
        <v>3566</v>
      </c>
      <c r="F74" s="344"/>
      <c r="G74" s="344"/>
      <c r="H74" s="344"/>
      <c r="I74" s="344"/>
      <c r="J74" s="344"/>
      <c r="K74" s="344"/>
      <c r="L74" s="344"/>
      <c r="M74" s="344"/>
      <c r="N74" s="4231"/>
      <c r="O74" s="344"/>
      <c r="P74" s="344"/>
      <c r="Q74" s="344"/>
      <c r="R74" s="344"/>
      <c r="S74" s="344"/>
      <c r="T74" s="4231"/>
      <c r="U74" s="4231"/>
      <c r="V74" s="344"/>
      <c r="W74" s="344"/>
      <c r="X74" s="344"/>
      <c r="Y74" s="344"/>
      <c r="Z74" s="344"/>
      <c r="AA74" s="344"/>
      <c r="AB74" s="4231"/>
      <c r="AC74" s="344"/>
      <c r="AD74" s="344"/>
      <c r="AE74" s="344"/>
      <c r="AF74" s="344"/>
      <c r="AG74" s="344"/>
      <c r="AH74" s="344"/>
      <c r="AI74" s="344"/>
      <c r="AJ74" s="344"/>
      <c r="AK74" s="2013"/>
      <c r="AL74" s="253"/>
      <c r="AM74" s="253"/>
      <c r="AN74" s="253"/>
      <c r="AO74"/>
      <c r="AV74" s="950"/>
      <c r="AW74" s="950"/>
      <c r="AX74" s="4953"/>
      <c r="BA74" s="658"/>
      <c r="BB74" s="658"/>
      <c r="BC74" s="658"/>
      <c r="BD74" s="658"/>
      <c r="BE74" s="658"/>
      <c r="BF74" s="658"/>
      <c r="BG74" s="658"/>
      <c r="BH74" s="658"/>
      <c r="BI74" s="658"/>
      <c r="BJ74" s="658"/>
      <c r="BK74"/>
    </row>
    <row r="75" spans="1:63" s="1115" customFormat="1" ht="15.75" customHeight="1">
      <c r="A75" s="2290"/>
      <c r="B75" s="4877" t="s">
        <v>3567</v>
      </c>
      <c r="C75" s="4875"/>
      <c r="D75" s="4876"/>
      <c r="E75" s="4877"/>
      <c r="F75" s="4878"/>
      <c r="G75" s="4878"/>
      <c r="H75" s="4878"/>
      <c r="I75" s="4878"/>
      <c r="J75" s="4878"/>
      <c r="K75" s="4878"/>
      <c r="L75" s="4878"/>
      <c r="M75" s="4878"/>
      <c r="N75" s="4878"/>
      <c r="O75" s="4878"/>
      <c r="P75" s="4878"/>
      <c r="Q75" s="4878"/>
      <c r="R75" s="4878"/>
      <c r="S75" s="4887"/>
      <c r="T75" s="4887"/>
      <c r="U75" s="4887"/>
      <c r="V75" s="4887"/>
      <c r="W75" s="4887"/>
      <c r="X75" s="4887"/>
      <c r="Y75" s="4887"/>
      <c r="Z75" s="4887"/>
      <c r="AA75" s="4887"/>
      <c r="AB75" s="4887"/>
      <c r="AC75" s="4887"/>
      <c r="AD75" s="4878"/>
      <c r="AE75" s="4878"/>
      <c r="AF75" s="4878"/>
      <c r="AG75" s="4878"/>
      <c r="AH75" s="4878"/>
      <c r="AI75" s="4879"/>
      <c r="AJ75" s="4879"/>
      <c r="AK75" s="2290"/>
      <c r="AL75" s="253"/>
      <c r="AM75" s="253"/>
      <c r="AN75" s="253"/>
      <c r="AO75" s="2293"/>
      <c r="AV75" s="4958"/>
      <c r="AW75" s="4958"/>
      <c r="AX75" s="4963"/>
      <c r="BA75" s="658"/>
      <c r="BB75" s="658"/>
      <c r="BC75" s="658"/>
      <c r="BD75" s="658"/>
      <c r="BE75" s="658"/>
      <c r="BF75" s="658"/>
      <c r="BG75" s="658"/>
      <c r="BH75" s="658"/>
      <c r="BI75" s="658"/>
      <c r="BJ75" s="658"/>
      <c r="BK75" s="2293"/>
    </row>
    <row r="76" spans="1:63" s="1115" customFormat="1" ht="4.5" customHeight="1">
      <c r="A76" s="2290"/>
      <c r="B76" s="4907"/>
      <c r="C76" s="4908"/>
      <c r="D76" s="4909"/>
      <c r="E76" s="4907"/>
      <c r="F76" s="4910"/>
      <c r="G76" s="4910"/>
      <c r="H76" s="4910"/>
      <c r="I76" s="4910"/>
      <c r="J76" s="4910"/>
      <c r="K76" s="4910"/>
      <c r="L76" s="4910"/>
      <c r="M76" s="4910"/>
      <c r="N76" s="4910"/>
      <c r="O76" s="4910"/>
      <c r="P76" s="4910"/>
      <c r="Q76" s="4910"/>
      <c r="R76" s="4911"/>
      <c r="S76" s="4912"/>
      <c r="T76" s="4913"/>
      <c r="U76" s="4912"/>
      <c r="V76" s="4913"/>
      <c r="W76" s="4913"/>
      <c r="X76" s="4913"/>
      <c r="Y76" s="4913"/>
      <c r="Z76" s="4912"/>
      <c r="AA76" s="4912"/>
      <c r="AB76" s="4912"/>
      <c r="AC76" s="4912"/>
      <c r="AD76" s="4910"/>
      <c r="AE76" s="4911"/>
      <c r="AF76" s="4910"/>
      <c r="AG76" s="4911"/>
      <c r="AH76" s="4910"/>
      <c r="AI76" s="4914"/>
      <c r="AJ76" s="4915"/>
      <c r="AK76" s="2290"/>
      <c r="AL76" s="253"/>
      <c r="AM76" s="253"/>
      <c r="AN76" s="253"/>
      <c r="AO76" s="2293"/>
      <c r="AV76" s="4958"/>
      <c r="AW76" s="4958"/>
      <c r="AX76" s="4963"/>
      <c r="BA76" s="658"/>
      <c r="BB76" s="658"/>
      <c r="BC76" s="658"/>
      <c r="BD76" s="658"/>
      <c r="BE76" s="658"/>
      <c r="BF76" s="658"/>
      <c r="BG76" s="658"/>
      <c r="BH76" s="658"/>
      <c r="BI76" s="658"/>
      <c r="BJ76" s="658"/>
      <c r="BK76" s="2293"/>
    </row>
    <row r="77" spans="1:63" s="1239" customFormat="1" ht="12" customHeight="1">
      <c r="A77" s="2306"/>
      <c r="B77" s="342" t="s">
        <v>895</v>
      </c>
      <c r="C77" s="516" t="s">
        <v>3568</v>
      </c>
      <c r="D77" s="4916"/>
      <c r="E77" s="1672"/>
      <c r="F77" s="516"/>
      <c r="G77" s="516"/>
      <c r="H77" s="516"/>
      <c r="I77" s="516"/>
      <c r="J77" s="516"/>
      <c r="K77" s="516"/>
      <c r="L77" s="516"/>
      <c r="M77" s="516"/>
      <c r="N77" s="516"/>
      <c r="O77" s="516"/>
      <c r="P77" s="516"/>
      <c r="Q77" s="516"/>
      <c r="R77" s="516"/>
      <c r="S77" s="342"/>
      <c r="T77" s="516"/>
      <c r="U77" s="516"/>
      <c r="V77" s="516"/>
      <c r="W77" s="516"/>
      <c r="X77" s="342"/>
      <c r="Y77" s="516"/>
      <c r="Z77" s="516"/>
      <c r="AA77" s="1672"/>
      <c r="AB77" s="384"/>
      <c r="AC77" s="6510" t="s">
        <v>568</v>
      </c>
      <c r="AD77" s="342"/>
      <c r="AE77" s="4917"/>
      <c r="AF77" s="384"/>
      <c r="AG77" s="2026" t="s">
        <v>569</v>
      </c>
      <c r="AH77" s="1672"/>
      <c r="AI77" s="516"/>
      <c r="AJ77" s="516"/>
      <c r="AK77" s="2306"/>
      <c r="AL77" s="411"/>
      <c r="AM77" s="411"/>
      <c r="AN77" s="411"/>
      <c r="AO77" s="141"/>
      <c r="AV77" s="4957"/>
      <c r="AW77" s="4957"/>
      <c r="AX77" s="4962"/>
      <c r="BA77" s="665"/>
      <c r="BB77" s="665"/>
      <c r="BC77" s="665"/>
      <c r="BD77" s="665"/>
      <c r="BE77" s="665"/>
      <c r="BF77" s="665"/>
      <c r="BG77" s="665"/>
      <c r="BH77" s="665"/>
      <c r="BI77" s="665"/>
      <c r="BJ77" s="665"/>
      <c r="BK77" s="141"/>
    </row>
    <row r="78" spans="1:63" s="1239" customFormat="1" ht="12" customHeight="1">
      <c r="A78" s="2306"/>
      <c r="B78" s="342" t="s">
        <v>592</v>
      </c>
      <c r="C78" s="516" t="s">
        <v>3569</v>
      </c>
      <c r="D78" s="4916"/>
      <c r="E78" s="1672"/>
      <c r="F78" s="516"/>
      <c r="G78" s="516"/>
      <c r="H78" s="516"/>
      <c r="I78" s="516"/>
      <c r="J78" s="516"/>
      <c r="K78" s="516"/>
      <c r="L78" s="516"/>
      <c r="M78" s="516"/>
      <c r="N78" s="516"/>
      <c r="O78" s="516"/>
      <c r="P78" s="516"/>
      <c r="Q78" s="516"/>
      <c r="R78" s="516"/>
      <c r="S78" s="342"/>
      <c r="T78" s="516"/>
      <c r="U78" s="516"/>
      <c r="V78" s="516"/>
      <c r="W78" s="516"/>
      <c r="X78" s="342"/>
      <c r="Y78" s="516"/>
      <c r="Z78" s="516"/>
      <c r="AA78" s="1672"/>
      <c r="AB78" s="384"/>
      <c r="AC78" s="6510" t="s">
        <v>568</v>
      </c>
      <c r="AD78" s="342"/>
      <c r="AE78" s="4917"/>
      <c r="AF78" s="384"/>
      <c r="AG78" s="2026" t="s">
        <v>569</v>
      </c>
      <c r="AH78" s="1672"/>
      <c r="AI78" s="516"/>
      <c r="AJ78" s="516"/>
      <c r="AK78" s="2306"/>
      <c r="AL78" s="411"/>
      <c r="AM78" s="411"/>
      <c r="AN78" s="411"/>
      <c r="AO78" s="141"/>
      <c r="AV78" s="4957"/>
      <c r="AW78" s="4957"/>
      <c r="AX78" s="4962"/>
      <c r="BA78" s="665"/>
      <c r="BB78" s="665"/>
      <c r="BC78" s="665"/>
      <c r="BD78" s="665"/>
      <c r="BE78" s="665"/>
      <c r="BF78" s="665"/>
      <c r="BG78" s="665"/>
      <c r="BH78" s="665"/>
      <c r="BI78" s="665"/>
      <c r="BJ78" s="665"/>
      <c r="BK78" s="141"/>
    </row>
    <row r="79" spans="1:63" s="1239" customFormat="1" ht="12" customHeight="1">
      <c r="A79" s="2306"/>
      <c r="B79" s="342" t="s">
        <v>595</v>
      </c>
      <c r="C79" s="516" t="s">
        <v>6431</v>
      </c>
      <c r="D79" s="4916"/>
      <c r="E79" s="1672"/>
      <c r="F79" s="516"/>
      <c r="G79" s="516"/>
      <c r="H79" s="516"/>
      <c r="I79" s="516"/>
      <c r="J79" s="516"/>
      <c r="K79" s="516"/>
      <c r="L79" s="516"/>
      <c r="M79" s="516"/>
      <c r="N79" s="516"/>
      <c r="O79" s="516"/>
      <c r="P79" s="516"/>
      <c r="Q79" s="516"/>
      <c r="R79" s="516"/>
      <c r="S79" s="342"/>
      <c r="T79" s="516"/>
      <c r="U79" s="516"/>
      <c r="V79" s="516"/>
      <c r="W79" s="384"/>
      <c r="X79" s="6509" t="s">
        <v>6432</v>
      </c>
      <c r="Y79" s="516"/>
      <c r="Z79" s="516"/>
      <c r="AA79" s="1672"/>
      <c r="AB79" s="384"/>
      <c r="AC79" s="6510" t="s">
        <v>6429</v>
      </c>
      <c r="AD79" s="342"/>
      <c r="AE79" s="4917"/>
      <c r="AF79" s="384"/>
      <c r="AG79" s="2026" t="s">
        <v>6430</v>
      </c>
      <c r="AH79" s="1672"/>
      <c r="AI79" s="516"/>
      <c r="AJ79" s="516"/>
      <c r="AK79" s="2306"/>
      <c r="AL79" s="411"/>
      <c r="AM79" s="411"/>
      <c r="AN79" s="411"/>
      <c r="AO79" s="141"/>
      <c r="AV79" s="4957"/>
      <c r="AW79" s="4957"/>
      <c r="AX79" s="4962"/>
      <c r="BA79" s="665"/>
      <c r="BB79" s="665"/>
      <c r="BC79" s="665"/>
      <c r="BD79" s="665"/>
      <c r="BE79" s="665"/>
      <c r="BF79" s="665"/>
      <c r="BG79" s="665"/>
      <c r="BH79" s="665"/>
      <c r="BI79" s="665"/>
      <c r="BJ79" s="665"/>
      <c r="BK79" s="141"/>
    </row>
    <row r="80" spans="1:63" s="815" customFormat="1" ht="4.5" customHeight="1">
      <c r="A80" s="2013"/>
      <c r="B80" s="2725"/>
      <c r="C80" s="569"/>
      <c r="D80" s="569"/>
      <c r="E80" s="1996"/>
      <c r="F80" s="569"/>
      <c r="G80" s="569"/>
      <c r="H80" s="569"/>
      <c r="I80" s="569"/>
      <c r="J80" s="569"/>
      <c r="K80" s="569"/>
      <c r="L80" s="569"/>
      <c r="M80" s="569"/>
      <c r="N80" s="569"/>
      <c r="O80" s="569"/>
      <c r="P80" s="569"/>
      <c r="Q80" s="569"/>
      <c r="R80" s="569"/>
      <c r="S80" s="569"/>
      <c r="T80" s="569"/>
      <c r="U80" s="569"/>
      <c r="V80" s="4918"/>
      <c r="W80" s="569"/>
      <c r="X80" s="569"/>
      <c r="Y80" s="569"/>
      <c r="Z80" s="569"/>
      <c r="AA80" s="569"/>
      <c r="AB80" s="569"/>
      <c r="AC80" s="569"/>
      <c r="AD80" s="569"/>
      <c r="AE80" s="569"/>
      <c r="AF80" s="569"/>
      <c r="AG80" s="569"/>
      <c r="AH80" s="569"/>
      <c r="AI80" s="569"/>
      <c r="AJ80" s="569"/>
      <c r="AK80" s="2013"/>
      <c r="AL80" s="253"/>
      <c r="AM80" s="253"/>
      <c r="AN80" s="253"/>
      <c r="AO80"/>
      <c r="AV80" s="950"/>
      <c r="AW80" s="950"/>
      <c r="AX80" s="4953"/>
      <c r="BA80" s="658"/>
      <c r="BB80" s="658"/>
      <c r="BC80" s="658"/>
      <c r="BD80" s="658"/>
      <c r="BE80" s="658"/>
      <c r="BF80" s="658"/>
      <c r="BG80" s="658"/>
      <c r="BH80" s="658"/>
      <c r="BI80" s="658"/>
      <c r="BJ80" s="658"/>
      <c r="BK80"/>
    </row>
    <row r="81" spans="1:63" s="815" customFormat="1" ht="52.5" customHeight="1">
      <c r="A81" s="2013"/>
      <c r="B81" s="10098" t="s">
        <v>3570</v>
      </c>
      <c r="C81" s="10043"/>
      <c r="D81" s="10043"/>
      <c r="E81" s="10099"/>
      <c r="F81" s="10100" t="s">
        <v>3571</v>
      </c>
      <c r="G81" s="10043"/>
      <c r="H81" s="10099"/>
      <c r="I81" s="9840" t="s">
        <v>3572</v>
      </c>
      <c r="J81" s="9815"/>
      <c r="K81" s="9816"/>
      <c r="L81" s="10044" t="s">
        <v>3573</v>
      </c>
      <c r="M81" s="9841"/>
      <c r="N81" s="9841"/>
      <c r="O81" s="9842"/>
      <c r="P81" s="10100" t="s">
        <v>3574</v>
      </c>
      <c r="Q81" s="9841"/>
      <c r="R81" s="9841"/>
      <c r="S81" s="9841"/>
      <c r="T81" s="9842"/>
      <c r="U81" s="10044" t="s">
        <v>3575</v>
      </c>
      <c r="V81" s="9841"/>
      <c r="W81" s="9842"/>
      <c r="X81" s="10041" t="s">
        <v>3576</v>
      </c>
      <c r="Y81" s="9841"/>
      <c r="Z81" s="9842"/>
      <c r="AA81" s="10041" t="s">
        <v>3577</v>
      </c>
      <c r="AB81" s="9841"/>
      <c r="AC81" s="9841"/>
      <c r="AD81" s="9841"/>
      <c r="AE81" s="9841"/>
      <c r="AF81" s="10041" t="s">
        <v>3578</v>
      </c>
      <c r="AG81" s="9841"/>
      <c r="AH81" s="9841"/>
      <c r="AI81" s="9841"/>
      <c r="AJ81" s="9841"/>
      <c r="AK81" s="2013"/>
      <c r="AL81" s="253"/>
      <c r="AM81" s="253"/>
      <c r="AN81" s="253"/>
      <c r="AO81"/>
      <c r="AV81" s="950"/>
      <c r="AW81" s="950"/>
      <c r="AX81" s="4953"/>
      <c r="BA81" s="658"/>
      <c r="BB81" s="658"/>
      <c r="BC81" s="658"/>
      <c r="BD81" s="658"/>
      <c r="BE81" s="658"/>
      <c r="BF81" s="658"/>
      <c r="BG81" s="658"/>
      <c r="BH81" s="658"/>
      <c r="BI81" s="658"/>
      <c r="BJ81" s="658"/>
      <c r="BK81"/>
    </row>
    <row r="82" spans="1:63" s="815" customFormat="1" ht="15.75" customHeight="1">
      <c r="A82" s="2013"/>
      <c r="B82" s="775">
        <v>25</v>
      </c>
      <c r="C82" s="2298" t="s">
        <v>3579</v>
      </c>
      <c r="D82" s="511"/>
      <c r="E82" s="511"/>
      <c r="F82" s="344"/>
      <c r="G82" s="344"/>
      <c r="H82" s="344"/>
      <c r="I82" s="344"/>
      <c r="J82" s="344"/>
      <c r="K82" s="344"/>
      <c r="L82" s="344"/>
      <c r="M82" s="344"/>
      <c r="N82" s="344"/>
      <c r="O82" s="344"/>
      <c r="P82" s="344"/>
      <c r="Q82" s="344"/>
      <c r="R82" s="344"/>
      <c r="S82" s="344"/>
      <c r="T82" s="565"/>
      <c r="U82" s="565"/>
      <c r="V82" s="4855"/>
      <c r="W82" s="4855"/>
      <c r="X82" s="4891"/>
      <c r="Y82" s="4848"/>
      <c r="Z82" s="4855"/>
      <c r="AA82" s="9996"/>
      <c r="AB82" s="7840"/>
      <c r="AC82" s="7840"/>
      <c r="AD82" s="7840"/>
      <c r="AE82" s="10106"/>
      <c r="AF82" s="4919"/>
      <c r="AG82" s="4868"/>
      <c r="AH82" s="4868"/>
      <c r="AI82" s="4868"/>
      <c r="AJ82" s="4868"/>
      <c r="AK82" s="2013"/>
      <c r="AL82" s="253"/>
      <c r="AM82" s="253"/>
      <c r="AN82" s="253"/>
      <c r="AO82"/>
      <c r="AV82" s="950"/>
      <c r="AW82" s="950"/>
      <c r="AX82" s="4953"/>
      <c r="BA82" s="658"/>
      <c r="BB82" s="658"/>
      <c r="BC82" s="658"/>
      <c r="BD82" s="658"/>
      <c r="BE82" s="658"/>
      <c r="BF82" s="658"/>
      <c r="BG82" s="658"/>
      <c r="BH82" s="658"/>
      <c r="BI82" s="658"/>
      <c r="BJ82" s="658"/>
      <c r="BK82"/>
    </row>
    <row r="83" spans="1:63" s="815" customFormat="1" ht="15.75" customHeight="1" thickBot="1">
      <c r="A83" s="2013"/>
      <c r="B83" s="4817"/>
      <c r="C83" s="4920" t="s">
        <v>3580</v>
      </c>
      <c r="D83" s="4893"/>
      <c r="E83" s="4893"/>
      <c r="F83" s="4893"/>
      <c r="G83" s="4893"/>
      <c r="H83" s="4893"/>
      <c r="I83" s="4893"/>
      <c r="J83" s="4893"/>
      <c r="K83" s="4893"/>
      <c r="L83" s="4893"/>
      <c r="M83" s="4893"/>
      <c r="N83" s="4893"/>
      <c r="O83" s="4893"/>
      <c r="P83" s="4893"/>
      <c r="Q83" s="4893"/>
      <c r="R83" s="4893"/>
      <c r="S83" s="4893"/>
      <c r="T83" s="4893"/>
      <c r="U83" s="4893"/>
      <c r="V83" s="4921"/>
      <c r="W83" s="4921"/>
      <c r="X83" s="4922" t="s">
        <v>832</v>
      </c>
      <c r="Y83" s="10107">
        <v>25</v>
      </c>
      <c r="Z83" s="10108"/>
      <c r="AA83" s="10103"/>
      <c r="AB83" s="10109"/>
      <c r="AC83" s="10109"/>
      <c r="AD83" s="10109"/>
      <c r="AE83" s="10110"/>
      <c r="AF83" s="4923"/>
      <c r="AG83" s="4897"/>
      <c r="AH83" s="4897"/>
      <c r="AI83" s="4897"/>
      <c r="AJ83" s="4897"/>
      <c r="AK83" s="2013"/>
      <c r="AL83" s="253"/>
      <c r="AM83" s="253"/>
      <c r="AN83" s="253"/>
      <c r="AO83"/>
      <c r="AV83" s="950"/>
      <c r="AW83" s="950"/>
      <c r="AX83" s="4953"/>
      <c r="BA83" s="658"/>
      <c r="BB83" s="658"/>
      <c r="BC83" s="658"/>
      <c r="BD83" s="658"/>
      <c r="BE83" s="658"/>
      <c r="BF83" s="658"/>
      <c r="BG83" s="658"/>
      <c r="BH83" s="658"/>
      <c r="BI83" s="658"/>
      <c r="BJ83" s="658"/>
      <c r="BK83"/>
    </row>
    <row r="84" spans="1:63" s="1115" customFormat="1" ht="15.75" customHeight="1">
      <c r="A84" s="2290"/>
      <c r="B84" s="4924">
        <v>26</v>
      </c>
      <c r="C84" s="4925" t="s">
        <v>3581</v>
      </c>
      <c r="D84" s="4876"/>
      <c r="E84" s="4877"/>
      <c r="F84" s="4878"/>
      <c r="G84" s="4878"/>
      <c r="H84" s="4878"/>
      <c r="I84" s="4878"/>
      <c r="J84" s="4878"/>
      <c r="K84" s="4878"/>
      <c r="L84" s="4878"/>
      <c r="M84" s="4878"/>
      <c r="N84" s="4878"/>
      <c r="O84" s="4878"/>
      <c r="P84" s="4878"/>
      <c r="Q84" s="4878"/>
      <c r="R84" s="4878"/>
      <c r="S84" s="4878"/>
      <c r="T84" s="4878"/>
      <c r="U84" s="4878"/>
      <c r="V84" s="4878"/>
      <c r="W84" s="4878"/>
      <c r="X84" s="4878"/>
      <c r="Y84" s="4878"/>
      <c r="Z84" s="4878"/>
      <c r="AA84" s="4878"/>
      <c r="AB84" s="4878"/>
      <c r="AC84" s="4878"/>
      <c r="AD84" s="4878"/>
      <c r="AE84" s="4878"/>
      <c r="AF84" s="4878"/>
      <c r="AG84" s="4878"/>
      <c r="AH84" s="4878"/>
      <c r="AI84" s="4879"/>
      <c r="AJ84" s="4879"/>
      <c r="AK84" s="2290"/>
      <c r="AL84" s="253"/>
      <c r="AM84" s="253"/>
      <c r="AN84" s="253"/>
      <c r="AO84" s="2293"/>
      <c r="AV84" s="4958"/>
      <c r="AW84" s="4958"/>
      <c r="AX84" s="4963"/>
      <c r="BA84" s="658"/>
      <c r="BB84" s="658"/>
      <c r="BC84" s="658"/>
      <c r="BD84" s="658"/>
      <c r="BE84" s="658"/>
      <c r="BF84" s="658"/>
      <c r="BG84" s="658"/>
      <c r="BH84" s="658"/>
      <c r="BI84" s="658"/>
      <c r="BJ84" s="658"/>
      <c r="BK84" s="2293"/>
    </row>
    <row r="85" spans="1:63" s="815" customFormat="1" ht="18.75" customHeight="1">
      <c r="A85" s="2013"/>
      <c r="B85" s="10111"/>
      <c r="C85" s="10111"/>
      <c r="D85" s="10111"/>
      <c r="E85" s="10112"/>
      <c r="F85" s="10113"/>
      <c r="G85" s="10111"/>
      <c r="H85" s="10112"/>
      <c r="I85" s="10114"/>
      <c r="J85" s="10115"/>
      <c r="K85" s="4926" t="s">
        <v>3582</v>
      </c>
      <c r="L85" s="10116"/>
      <c r="M85" s="10117"/>
      <c r="N85" s="10117"/>
      <c r="O85" s="10118"/>
      <c r="P85" s="10116"/>
      <c r="Q85" s="10117"/>
      <c r="R85" s="10117"/>
      <c r="S85" s="10117"/>
      <c r="T85" s="10118"/>
      <c r="U85" s="10119"/>
      <c r="V85" s="10111"/>
      <c r="W85" s="10112"/>
      <c r="X85" s="10119"/>
      <c r="Y85" s="10111"/>
      <c r="Z85" s="10112"/>
      <c r="AA85" s="10116"/>
      <c r="AB85" s="10117"/>
      <c r="AC85" s="10117"/>
      <c r="AD85" s="10117"/>
      <c r="AE85" s="10118"/>
      <c r="AF85" s="10116"/>
      <c r="AG85" s="10117"/>
      <c r="AH85" s="10117"/>
      <c r="AI85" s="10117"/>
      <c r="AJ85" s="10117"/>
      <c r="AK85" s="2013"/>
      <c r="AL85" s="253"/>
      <c r="AM85" s="253"/>
      <c r="AN85" s="253"/>
      <c r="AO85"/>
      <c r="AV85" s="950"/>
      <c r="AW85" s="950"/>
      <c r="AX85" s="4953"/>
      <c r="BA85" s="658"/>
      <c r="BB85" s="658"/>
      <c r="BC85" s="658"/>
      <c r="BD85" s="658"/>
      <c r="BE85" s="658"/>
      <c r="BF85" s="658"/>
      <c r="BG85" s="658"/>
      <c r="BH85" s="658"/>
      <c r="BI85" s="658"/>
      <c r="BJ85" s="658"/>
      <c r="BK85"/>
    </row>
    <row r="86" spans="1:63" s="815" customFormat="1" ht="18.75" customHeight="1">
      <c r="A86" s="2013"/>
      <c r="B86" s="10111"/>
      <c r="C86" s="10111"/>
      <c r="D86" s="10111"/>
      <c r="E86" s="10112"/>
      <c r="F86" s="10113"/>
      <c r="G86" s="10111"/>
      <c r="H86" s="10112"/>
      <c r="I86" s="10114"/>
      <c r="J86" s="10115"/>
      <c r="K86" s="4926" t="s">
        <v>3582</v>
      </c>
      <c r="L86" s="10116"/>
      <c r="M86" s="10117"/>
      <c r="N86" s="10117"/>
      <c r="O86" s="10118"/>
      <c r="P86" s="10116"/>
      <c r="Q86" s="10117"/>
      <c r="R86" s="10117"/>
      <c r="S86" s="10117"/>
      <c r="T86" s="10118"/>
      <c r="U86" s="10119"/>
      <c r="V86" s="10111"/>
      <c r="W86" s="10112"/>
      <c r="X86" s="10119"/>
      <c r="Y86" s="10111"/>
      <c r="Z86" s="10112"/>
      <c r="AA86" s="10116"/>
      <c r="AB86" s="10117"/>
      <c r="AC86" s="10117"/>
      <c r="AD86" s="10117"/>
      <c r="AE86" s="10118"/>
      <c r="AF86" s="10116"/>
      <c r="AG86" s="10117"/>
      <c r="AH86" s="10117"/>
      <c r="AI86" s="10117"/>
      <c r="AJ86" s="10117"/>
      <c r="AK86" s="2013"/>
      <c r="AL86" s="253"/>
      <c r="AM86" s="253"/>
      <c r="AN86" s="253"/>
      <c r="AO86"/>
      <c r="AV86" s="950"/>
      <c r="AW86" s="950"/>
      <c r="AX86" s="4953"/>
      <c r="BA86" s="658"/>
      <c r="BB86" s="658"/>
      <c r="BC86" s="658"/>
      <c r="BD86" s="658"/>
      <c r="BE86" s="658"/>
      <c r="BF86" s="658"/>
      <c r="BG86" s="658"/>
      <c r="BH86" s="658"/>
      <c r="BI86" s="658"/>
      <c r="BJ86" s="658"/>
      <c r="BK86"/>
    </row>
    <row r="87" spans="1:63" s="815" customFormat="1" ht="18.75" customHeight="1">
      <c r="A87" s="2013"/>
      <c r="B87" s="10111"/>
      <c r="C87" s="10111"/>
      <c r="D87" s="10111"/>
      <c r="E87" s="10112"/>
      <c r="F87" s="10113"/>
      <c r="G87" s="10111"/>
      <c r="H87" s="10112"/>
      <c r="I87" s="10114"/>
      <c r="J87" s="10115"/>
      <c r="K87" s="4926" t="s">
        <v>3582</v>
      </c>
      <c r="L87" s="10116"/>
      <c r="M87" s="10117"/>
      <c r="N87" s="10117"/>
      <c r="O87" s="10118"/>
      <c r="P87" s="10116"/>
      <c r="Q87" s="10117"/>
      <c r="R87" s="10117"/>
      <c r="S87" s="10117"/>
      <c r="T87" s="10118"/>
      <c r="U87" s="10119"/>
      <c r="V87" s="10111"/>
      <c r="W87" s="10112"/>
      <c r="X87" s="10119"/>
      <c r="Y87" s="10111"/>
      <c r="Z87" s="10112"/>
      <c r="AA87" s="10116"/>
      <c r="AB87" s="10117"/>
      <c r="AC87" s="10117"/>
      <c r="AD87" s="10117"/>
      <c r="AE87" s="10118"/>
      <c r="AF87" s="10116"/>
      <c r="AG87" s="10117"/>
      <c r="AH87" s="10117"/>
      <c r="AI87" s="10117"/>
      <c r="AJ87" s="10117"/>
      <c r="AK87" s="2013"/>
      <c r="AL87" s="253"/>
      <c r="AM87" s="253"/>
      <c r="AN87" s="253"/>
      <c r="AO87"/>
      <c r="AV87" s="950"/>
      <c r="AW87" s="950"/>
      <c r="AX87" s="4953"/>
      <c r="BA87" s="658"/>
      <c r="BB87" s="658"/>
      <c r="BC87" s="658"/>
      <c r="BD87" s="658"/>
      <c r="BE87" s="658"/>
      <c r="BF87" s="658"/>
      <c r="BG87" s="658"/>
      <c r="BH87" s="658"/>
      <c r="BI87" s="658"/>
      <c r="BJ87" s="658"/>
      <c r="BK87"/>
    </row>
    <row r="88" spans="1:63" s="1115" customFormat="1" ht="15.75" customHeight="1">
      <c r="A88" s="2290"/>
      <c r="B88" s="4924">
        <v>27</v>
      </c>
      <c r="C88" s="4925" t="s">
        <v>3583</v>
      </c>
      <c r="D88" s="4876"/>
      <c r="E88" s="4877"/>
      <c r="F88" s="4878"/>
      <c r="G88" s="4878"/>
      <c r="H88" s="4878"/>
      <c r="I88" s="4878"/>
      <c r="J88" s="4878"/>
      <c r="K88" s="4878"/>
      <c r="L88" s="4878"/>
      <c r="M88" s="4878"/>
      <c r="N88" s="4878"/>
      <c r="O88" s="4878"/>
      <c r="P88" s="4878"/>
      <c r="Q88" s="4878"/>
      <c r="R88" s="4878"/>
      <c r="S88" s="4878"/>
      <c r="T88" s="4878"/>
      <c r="U88" s="4878"/>
      <c r="V88" s="4878"/>
      <c r="W88" s="4878"/>
      <c r="X88" s="4878"/>
      <c r="Y88" s="4878"/>
      <c r="Z88" s="4878"/>
      <c r="AA88" s="4878"/>
      <c r="AB88" s="4878"/>
      <c r="AC88" s="4878"/>
      <c r="AD88" s="4878"/>
      <c r="AE88" s="4878"/>
      <c r="AF88" s="4878"/>
      <c r="AG88" s="4878"/>
      <c r="AH88" s="4878"/>
      <c r="AI88" s="4879"/>
      <c r="AJ88" s="4879"/>
      <c r="AK88" s="2290"/>
      <c r="AL88" s="253"/>
      <c r="AM88" s="253"/>
      <c r="AN88" s="253"/>
      <c r="AO88" s="2293"/>
      <c r="AV88" s="4958"/>
      <c r="AW88" s="4958"/>
      <c r="AX88" s="4963"/>
      <c r="BA88" s="658"/>
      <c r="BB88" s="658"/>
      <c r="BC88" s="658"/>
      <c r="BD88" s="658"/>
      <c r="BE88" s="658"/>
      <c r="BF88" s="658"/>
      <c r="BG88" s="658"/>
      <c r="BH88" s="658"/>
      <c r="BI88" s="658"/>
      <c r="BJ88" s="658"/>
      <c r="BK88" s="2293"/>
    </row>
    <row r="89" spans="1:63" s="815" customFormat="1" ht="18.75" customHeight="1">
      <c r="A89" s="2013"/>
      <c r="B89" s="10111"/>
      <c r="C89" s="10111"/>
      <c r="D89" s="10111"/>
      <c r="E89" s="10112"/>
      <c r="F89" s="10113"/>
      <c r="G89" s="10111"/>
      <c r="H89" s="10112"/>
      <c r="I89" s="10114"/>
      <c r="J89" s="10115"/>
      <c r="K89" s="4926" t="s">
        <v>3582</v>
      </c>
      <c r="L89" s="10116"/>
      <c r="M89" s="10117"/>
      <c r="N89" s="10117"/>
      <c r="O89" s="10118"/>
      <c r="P89" s="10116"/>
      <c r="Q89" s="10117"/>
      <c r="R89" s="10117"/>
      <c r="S89" s="10117"/>
      <c r="T89" s="10118"/>
      <c r="U89" s="10119"/>
      <c r="V89" s="10111"/>
      <c r="W89" s="10112"/>
      <c r="X89" s="4927" t="s">
        <v>3584</v>
      </c>
      <c r="Y89" s="10120"/>
      <c r="Z89" s="10121"/>
      <c r="AA89" s="10116"/>
      <c r="AB89" s="10117"/>
      <c r="AC89" s="10117"/>
      <c r="AD89" s="10117"/>
      <c r="AE89" s="10118"/>
      <c r="AF89" s="4919"/>
      <c r="AG89" s="4868"/>
      <c r="AH89" s="4868"/>
      <c r="AI89" s="4868"/>
      <c r="AJ89" s="4868"/>
      <c r="AK89" s="2013"/>
      <c r="AL89" s="253"/>
      <c r="AM89" s="253"/>
      <c r="AN89" s="253"/>
      <c r="AO89"/>
      <c r="AV89" s="950"/>
      <c r="AW89" s="950"/>
      <c r="AX89" s="4953"/>
      <c r="BA89" s="658"/>
      <c r="BB89" s="658"/>
      <c r="BC89" s="658"/>
      <c r="BD89" s="658"/>
      <c r="BE89" s="658"/>
      <c r="BF89" s="658"/>
      <c r="BG89" s="658"/>
      <c r="BH89" s="658"/>
      <c r="BI89" s="658"/>
      <c r="BJ89" s="658"/>
      <c r="BK89"/>
    </row>
    <row r="90" spans="1:63" s="815" customFormat="1" ht="18.75" customHeight="1">
      <c r="A90" s="2013"/>
      <c r="B90" s="10111"/>
      <c r="C90" s="10111"/>
      <c r="D90" s="10111"/>
      <c r="E90" s="10112"/>
      <c r="F90" s="10113"/>
      <c r="G90" s="10111"/>
      <c r="H90" s="10112"/>
      <c r="I90" s="10114"/>
      <c r="J90" s="10115"/>
      <c r="K90" s="4926" t="s">
        <v>3582</v>
      </c>
      <c r="L90" s="10116"/>
      <c r="M90" s="10117"/>
      <c r="N90" s="10117"/>
      <c r="O90" s="10118"/>
      <c r="P90" s="10116"/>
      <c r="Q90" s="10117"/>
      <c r="R90" s="10117"/>
      <c r="S90" s="10117"/>
      <c r="T90" s="10118"/>
      <c r="U90" s="10119"/>
      <c r="V90" s="10111"/>
      <c r="W90" s="10112"/>
      <c r="X90" s="4927" t="s">
        <v>3584</v>
      </c>
      <c r="Y90" s="10120"/>
      <c r="Z90" s="10121"/>
      <c r="AA90" s="10116"/>
      <c r="AB90" s="10117"/>
      <c r="AC90" s="10117"/>
      <c r="AD90" s="10117"/>
      <c r="AE90" s="10118"/>
      <c r="AF90" s="4928"/>
      <c r="AG90" s="4865"/>
      <c r="AH90" s="4865"/>
      <c r="AI90" s="4865"/>
      <c r="AJ90" s="4865"/>
      <c r="AK90" s="2013"/>
      <c r="AL90" s="253"/>
      <c r="AM90" s="226" t="s">
        <v>979</v>
      </c>
      <c r="AN90" s="253"/>
      <c r="AO90"/>
      <c r="AV90" s="950"/>
      <c r="AW90" s="950"/>
      <c r="AX90" s="4953"/>
      <c r="BA90" s="658"/>
      <c r="BB90" s="658"/>
      <c r="BC90" s="658"/>
      <c r="BD90" s="658"/>
      <c r="BE90" s="658"/>
      <c r="BF90" s="658"/>
      <c r="BG90" s="658"/>
      <c r="BH90" s="658"/>
      <c r="BI90" s="658"/>
      <c r="BJ90" s="658"/>
      <c r="BK90"/>
    </row>
    <row r="91" spans="1:63" s="815" customFormat="1" ht="18.75" customHeight="1" thickBot="1">
      <c r="A91" s="2013"/>
      <c r="B91" s="10111"/>
      <c r="C91" s="10111"/>
      <c r="D91" s="10111"/>
      <c r="E91" s="10112"/>
      <c r="F91" s="10113"/>
      <c r="G91" s="10111"/>
      <c r="H91" s="10112"/>
      <c r="I91" s="10114"/>
      <c r="J91" s="10115"/>
      <c r="K91" s="4926" t="s">
        <v>3582</v>
      </c>
      <c r="L91" s="10116"/>
      <c r="M91" s="10117"/>
      <c r="N91" s="10117"/>
      <c r="O91" s="10118"/>
      <c r="P91" s="10116"/>
      <c r="Q91" s="10117"/>
      <c r="R91" s="10117"/>
      <c r="S91" s="10117"/>
      <c r="T91" s="10118"/>
      <c r="U91" s="10119"/>
      <c r="V91" s="10111"/>
      <c r="W91" s="10112"/>
      <c r="X91" s="4927" t="s">
        <v>3584</v>
      </c>
      <c r="Y91" s="10120"/>
      <c r="Z91" s="10121"/>
      <c r="AA91" s="10116"/>
      <c r="AB91" s="10117"/>
      <c r="AC91" s="10117"/>
      <c r="AD91" s="10117"/>
      <c r="AE91" s="10118"/>
      <c r="AF91" s="4928"/>
      <c r="AG91" s="4865"/>
      <c r="AH91" s="4865"/>
      <c r="AI91" s="4865"/>
      <c r="AJ91" s="4865"/>
      <c r="AK91" s="2013"/>
      <c r="AL91" s="253"/>
      <c r="AM91" s="226" t="s">
        <v>931</v>
      </c>
      <c r="AN91" s="253"/>
      <c r="AO91"/>
      <c r="AV91" s="950"/>
      <c r="AW91" s="950"/>
      <c r="AX91" s="4953"/>
      <c r="BA91" s="658"/>
      <c r="BB91" s="658"/>
      <c r="BC91" s="658"/>
      <c r="BD91" s="658"/>
      <c r="BE91" s="658"/>
      <c r="BF91" s="658"/>
      <c r="BG91" s="658"/>
      <c r="BH91" s="658"/>
      <c r="BI91" s="658"/>
      <c r="BJ91" s="658"/>
      <c r="BK91"/>
    </row>
    <row r="92" spans="1:63" s="815" customFormat="1" ht="15.75" customHeight="1" thickBot="1">
      <c r="A92" s="2013"/>
      <c r="B92" s="2312">
        <v>28</v>
      </c>
      <c r="C92" s="4796" t="s">
        <v>3585</v>
      </c>
      <c r="D92" s="4929"/>
      <c r="E92" s="4929"/>
      <c r="F92" s="4929"/>
      <c r="G92" s="4929"/>
      <c r="H92" s="4929"/>
      <c r="I92" s="4929"/>
      <c r="J92" s="4929"/>
      <c r="K92" s="4929"/>
      <c r="L92" s="4929"/>
      <c r="M92" s="4929"/>
      <c r="N92" s="4929"/>
      <c r="O92" s="4929"/>
      <c r="P92" s="4929"/>
      <c r="Q92" s="4929"/>
      <c r="R92" s="4929"/>
      <c r="S92" s="4929"/>
      <c r="T92" s="4929"/>
      <c r="U92" s="4929"/>
      <c r="V92" s="4855"/>
      <c r="W92" s="4855"/>
      <c r="X92" s="1401" t="s">
        <v>828</v>
      </c>
      <c r="Y92" s="8468">
        <v>28</v>
      </c>
      <c r="Z92" s="8469"/>
      <c r="AA92" s="7725">
        <f>IF(AM92&lt;&gt;"",ROUND(AM92,0),SUM(ROUND(AA83,0),ROUND(AA85,0),ROUND(AA86,0),ROUND(AA87,0),ROUND(AA89,0),ROUND(AA90,0),ROUND(AA91,0)))</f>
        <v>0</v>
      </c>
      <c r="AB92" s="10122"/>
      <c r="AC92" s="10122"/>
      <c r="AD92" s="10122"/>
      <c r="AE92" s="10123"/>
      <c r="AF92" s="4930"/>
      <c r="AG92" s="4883"/>
      <c r="AH92" s="4883"/>
      <c r="AI92" s="4883"/>
      <c r="AJ92" s="4883"/>
      <c r="AK92" s="2013"/>
      <c r="AL92" s="253"/>
      <c r="AM92" s="1237"/>
      <c r="AN92" s="253"/>
      <c r="AO92"/>
      <c r="AV92" s="950"/>
      <c r="AW92" s="950"/>
      <c r="AX92" s="4953"/>
      <c r="BA92" s="658"/>
      <c r="BB92" s="658"/>
      <c r="BC92" s="658"/>
      <c r="BD92" s="658"/>
      <c r="BE92" s="658"/>
      <c r="BF92" s="658"/>
      <c r="BG92" s="658"/>
      <c r="BH92" s="658"/>
      <c r="BI92" s="658"/>
      <c r="BJ92" s="658"/>
      <c r="BK92"/>
    </row>
    <row r="93" spans="1:63" s="815" customFormat="1" ht="15.75" customHeight="1" thickBot="1">
      <c r="A93" s="2013"/>
      <c r="B93" s="4888">
        <v>29</v>
      </c>
      <c r="C93" s="4931" t="s">
        <v>3586</v>
      </c>
      <c r="D93" s="4932"/>
      <c r="E93" s="4932"/>
      <c r="F93" s="4932"/>
      <c r="G93" s="4932"/>
      <c r="H93" s="4932"/>
      <c r="I93" s="4932"/>
      <c r="J93" s="4932"/>
      <c r="K93" s="4932"/>
      <c r="L93" s="4932"/>
      <c r="M93" s="4932"/>
      <c r="N93" s="4932"/>
      <c r="O93" s="4932"/>
      <c r="P93" s="4932"/>
      <c r="Q93" s="4932"/>
      <c r="R93" s="4932"/>
      <c r="S93" s="4932"/>
      <c r="T93" s="4932"/>
      <c r="U93" s="4932"/>
      <c r="V93" s="4854"/>
      <c r="W93" s="4854"/>
      <c r="X93" s="4854"/>
      <c r="Y93" s="4854"/>
      <c r="Z93" s="4854"/>
      <c r="AA93" s="4856"/>
      <c r="AB93" s="4854"/>
      <c r="AC93" s="4856" t="s">
        <v>2657</v>
      </c>
      <c r="AD93" s="8468">
        <v>29</v>
      </c>
      <c r="AE93" s="8469"/>
      <c r="AF93" s="7725">
        <f>IF(AM93&lt;&gt;"",ROUND(AM92,0),SUM(ROUND(AF85,0),ROUND(AF86,0),ROUND(AF87,0)))</f>
        <v>0</v>
      </c>
      <c r="AG93" s="10122"/>
      <c r="AH93" s="10122"/>
      <c r="AI93" s="10122"/>
      <c r="AJ93" s="10122"/>
      <c r="AK93" s="2013"/>
      <c r="AL93" s="253"/>
      <c r="AM93" s="1237"/>
      <c r="AN93" s="253"/>
      <c r="AO93"/>
      <c r="AV93" s="950"/>
      <c r="AW93" s="950"/>
      <c r="AX93" s="4953"/>
      <c r="BA93" s="658"/>
      <c r="BB93" s="658"/>
      <c r="BC93" s="658"/>
      <c r="BD93" s="658"/>
      <c r="BE93" s="658"/>
      <c r="BF93" s="658"/>
      <c r="BG93" s="658"/>
      <c r="BH93" s="658"/>
      <c r="BI93" s="658"/>
      <c r="BJ93" s="658"/>
      <c r="BK93"/>
    </row>
    <row r="94" spans="1:63" s="815" customFormat="1" ht="15.75" customHeight="1">
      <c r="A94" s="2013"/>
      <c r="B94" s="4858" t="s">
        <v>3587</v>
      </c>
      <c r="C94" s="4933"/>
      <c r="D94" s="4933"/>
      <c r="E94" s="4934"/>
      <c r="F94" s="4933"/>
      <c r="G94" s="4933"/>
      <c r="H94" s="4933"/>
      <c r="I94" s="4933"/>
      <c r="J94" s="4933"/>
      <c r="K94" s="4933"/>
      <c r="L94" s="4933"/>
      <c r="M94" s="4933"/>
      <c r="N94" s="4933"/>
      <c r="O94" s="4933"/>
      <c r="P94" s="4933"/>
      <c r="Q94" s="4933"/>
      <c r="R94" s="4933"/>
      <c r="S94" s="4933"/>
      <c r="T94" s="4933"/>
      <c r="U94" s="4933"/>
      <c r="V94" s="4933"/>
      <c r="W94" s="4933"/>
      <c r="X94" s="4933"/>
      <c r="Y94" s="4933"/>
      <c r="Z94" s="4933"/>
      <c r="AA94" s="4933"/>
      <c r="AB94" s="4933"/>
      <c r="AC94" s="4933"/>
      <c r="AD94" s="4933"/>
      <c r="AE94" s="4933"/>
      <c r="AF94" s="4933"/>
      <c r="AG94" s="4933"/>
      <c r="AH94" s="4933"/>
      <c r="AI94" s="4933"/>
      <c r="AJ94" s="4933"/>
      <c r="AK94" s="2013"/>
      <c r="AL94" s="253"/>
      <c r="AM94" s="253"/>
      <c r="AN94" s="253"/>
      <c r="AO94"/>
      <c r="AV94" s="950"/>
      <c r="AW94" s="950"/>
      <c r="AX94" s="4953"/>
      <c r="BA94" s="658"/>
      <c r="BB94" s="658"/>
      <c r="BC94" s="658"/>
      <c r="BD94" s="658"/>
      <c r="BE94" s="658"/>
      <c r="BF94" s="658"/>
      <c r="BG94" s="658"/>
      <c r="BH94" s="658"/>
      <c r="BI94" s="658"/>
      <c r="BJ94" s="658"/>
      <c r="BK94"/>
    </row>
    <row r="95" spans="1:63" s="815" customFormat="1" ht="15.75" customHeight="1">
      <c r="A95" s="2013"/>
      <c r="B95" s="2299" t="s">
        <v>3588</v>
      </c>
      <c r="C95" s="344"/>
      <c r="D95" s="344"/>
      <c r="E95" s="511"/>
      <c r="F95" s="344"/>
      <c r="G95" s="344"/>
      <c r="H95" s="344"/>
      <c r="I95" s="344"/>
      <c r="J95" s="344"/>
      <c r="K95" s="344"/>
      <c r="L95" s="344"/>
      <c r="M95" s="344"/>
      <c r="N95" s="344"/>
      <c r="O95" s="344"/>
      <c r="P95" s="344"/>
      <c r="Q95" s="344"/>
      <c r="R95" s="344"/>
      <c r="S95" s="344"/>
      <c r="T95" s="344"/>
      <c r="U95" s="344"/>
      <c r="V95" s="344"/>
      <c r="W95" s="344"/>
      <c r="X95" s="344"/>
      <c r="Y95" s="344"/>
      <c r="Z95" s="344"/>
      <c r="AA95" s="344"/>
      <c r="AB95" s="344"/>
      <c r="AC95" s="344"/>
      <c r="AD95" s="344"/>
      <c r="AE95" s="344"/>
      <c r="AF95" s="344"/>
      <c r="AG95" s="344"/>
      <c r="AH95" s="344"/>
      <c r="AI95" s="344"/>
      <c r="AJ95" s="344"/>
      <c r="AK95" s="2013"/>
      <c r="AL95" s="253"/>
      <c r="AM95" s="253"/>
      <c r="AN95" s="253"/>
      <c r="AO95"/>
      <c r="AV95" s="950"/>
      <c r="AW95" s="950"/>
      <c r="AX95" s="4953"/>
      <c r="BA95" s="658"/>
      <c r="BB95" s="658"/>
      <c r="BC95" s="658"/>
      <c r="BD95" s="658"/>
      <c r="BE95" s="658"/>
      <c r="BF95" s="658"/>
      <c r="BG95" s="658"/>
      <c r="BH95" s="658"/>
      <c r="BI95" s="658"/>
      <c r="BJ95" s="658"/>
      <c r="BK95"/>
    </row>
    <row r="96" spans="1:63" s="815" customFormat="1" ht="15.75" customHeight="1">
      <c r="A96" s="2013"/>
      <c r="B96" s="4918" t="s">
        <v>3589</v>
      </c>
      <c r="C96" s="569"/>
      <c r="D96" s="569"/>
      <c r="E96" s="4487"/>
      <c r="F96" s="569"/>
      <c r="G96" s="569"/>
      <c r="H96" s="569"/>
      <c r="I96" s="569"/>
      <c r="J96" s="569"/>
      <c r="K96" s="569"/>
      <c r="L96" s="569"/>
      <c r="M96" s="569"/>
      <c r="N96" s="569"/>
      <c r="O96" s="569"/>
      <c r="P96" s="569"/>
      <c r="Q96" s="569"/>
      <c r="R96" s="569"/>
      <c r="S96" s="569"/>
      <c r="T96" s="4935"/>
      <c r="U96" s="569"/>
      <c r="V96" s="569"/>
      <c r="W96" s="569"/>
      <c r="X96" s="569"/>
      <c r="Y96" s="569"/>
      <c r="Z96" s="569"/>
      <c r="AA96" s="569"/>
      <c r="AB96" s="569"/>
      <c r="AC96" s="4935"/>
      <c r="AD96" s="569"/>
      <c r="AE96" s="569"/>
      <c r="AF96" s="569"/>
      <c r="AG96" s="569"/>
      <c r="AH96" s="569"/>
      <c r="AI96" s="569"/>
      <c r="AJ96" s="569"/>
      <c r="AK96" s="2013"/>
      <c r="AL96" s="253"/>
      <c r="AM96" s="253"/>
      <c r="AN96" s="253"/>
      <c r="AO96"/>
      <c r="AV96" s="950"/>
      <c r="AW96" s="950"/>
      <c r="AX96" s="4953"/>
      <c r="BA96" s="658"/>
      <c r="BB96" s="658"/>
      <c r="BC96" s="658"/>
      <c r="BD96" s="658"/>
      <c r="BE96" s="658"/>
      <c r="BF96" s="658"/>
      <c r="BG96" s="658"/>
      <c r="BH96" s="658"/>
      <c r="BI96" s="658"/>
      <c r="BJ96" s="658"/>
      <c r="BK96"/>
    </row>
    <row r="97" spans="1:63" s="1116" customFormat="1" ht="48" customHeight="1">
      <c r="A97" s="2067"/>
      <c r="B97" s="10124" t="s">
        <v>3590</v>
      </c>
      <c r="C97" s="10126" t="s">
        <v>3591</v>
      </c>
      <c r="D97" s="7577"/>
      <c r="E97" s="7577"/>
      <c r="F97" s="7577"/>
      <c r="G97" s="7577"/>
      <c r="H97" s="7577"/>
      <c r="I97" s="7577"/>
      <c r="J97" s="7577"/>
      <c r="K97" s="7577"/>
      <c r="L97" s="8295"/>
      <c r="M97" s="10041" t="s">
        <v>3592</v>
      </c>
      <c r="N97" s="10127"/>
      <c r="O97" s="10127"/>
      <c r="P97" s="8411"/>
      <c r="Q97" s="10041" t="s">
        <v>3593</v>
      </c>
      <c r="R97" s="10127"/>
      <c r="S97" s="10127"/>
      <c r="T97" s="8411"/>
      <c r="U97" s="10041" t="s">
        <v>3594</v>
      </c>
      <c r="V97" s="10127"/>
      <c r="W97" s="10127"/>
      <c r="X97" s="8411"/>
      <c r="Y97" s="10041" t="s">
        <v>3595</v>
      </c>
      <c r="Z97" s="10127"/>
      <c r="AA97" s="10127"/>
      <c r="AB97" s="8411"/>
      <c r="AC97" s="10041" t="s">
        <v>3596</v>
      </c>
      <c r="AD97" s="10127"/>
      <c r="AE97" s="10127"/>
      <c r="AF97" s="8411"/>
      <c r="AG97" s="10041" t="s">
        <v>3597</v>
      </c>
      <c r="AH97" s="10127"/>
      <c r="AI97" s="10127"/>
      <c r="AJ97" s="10127"/>
      <c r="AK97" s="2067"/>
      <c r="AL97" s="253"/>
      <c r="AM97" s="253"/>
      <c r="AN97" s="253"/>
      <c r="AO97" s="138"/>
      <c r="AV97" s="4959"/>
      <c r="AW97" s="4959"/>
      <c r="AX97" s="4964"/>
      <c r="BA97" s="658"/>
      <c r="BB97" s="658"/>
      <c r="BC97" s="658"/>
      <c r="BD97" s="658"/>
      <c r="BE97" s="658"/>
      <c r="BF97" s="658"/>
      <c r="BG97" s="658"/>
      <c r="BH97" s="658"/>
      <c r="BI97" s="658"/>
      <c r="BJ97" s="658"/>
      <c r="BK97" s="138"/>
    </row>
    <row r="98" spans="1:63" s="1116" customFormat="1" ht="15.75" customHeight="1">
      <c r="A98" s="2067"/>
      <c r="B98" s="10125"/>
      <c r="C98" s="7976"/>
      <c r="D98" s="7976"/>
      <c r="E98" s="7976"/>
      <c r="F98" s="7976"/>
      <c r="G98" s="7976"/>
      <c r="H98" s="7976"/>
      <c r="I98" s="7976"/>
      <c r="J98" s="7976"/>
      <c r="K98" s="7976"/>
      <c r="L98" s="9199"/>
      <c r="M98" s="8403"/>
      <c r="N98" s="8404"/>
      <c r="O98" s="8404"/>
      <c r="P98" s="10128"/>
      <c r="Q98" s="8403"/>
      <c r="R98" s="8404"/>
      <c r="S98" s="8404"/>
      <c r="T98" s="10128"/>
      <c r="U98" s="8403"/>
      <c r="V98" s="8404"/>
      <c r="W98" s="8404"/>
      <c r="X98" s="10128"/>
      <c r="Y98" s="8403"/>
      <c r="Z98" s="8404"/>
      <c r="AA98" s="8404"/>
      <c r="AB98" s="10128"/>
      <c r="AC98" s="8403"/>
      <c r="AD98" s="8404"/>
      <c r="AE98" s="8404"/>
      <c r="AF98" s="10128"/>
      <c r="AG98" s="8403"/>
      <c r="AH98" s="8404"/>
      <c r="AI98" s="8404"/>
      <c r="AJ98" s="8404"/>
      <c r="AK98" s="2067"/>
      <c r="AL98" s="253"/>
      <c r="AM98" s="253"/>
      <c r="AN98" s="253"/>
      <c r="AO98" s="138"/>
      <c r="AV98" s="4959"/>
      <c r="AW98" s="4959"/>
      <c r="AX98" s="4964"/>
      <c r="BA98" s="658"/>
      <c r="BB98" s="658"/>
      <c r="BC98" s="658"/>
      <c r="BD98" s="658"/>
      <c r="BE98" s="658"/>
      <c r="BF98" s="658"/>
      <c r="BG98" s="658"/>
      <c r="BH98" s="658"/>
      <c r="BI98" s="658"/>
      <c r="BJ98" s="658"/>
      <c r="BK98" s="138"/>
    </row>
    <row r="99" spans="1:63" s="1116" customFormat="1" ht="15.75" customHeight="1">
      <c r="A99" s="2067"/>
      <c r="B99" s="4936">
        <v>31</v>
      </c>
      <c r="C99" s="344" t="s">
        <v>3598</v>
      </c>
      <c r="D99" s="979"/>
      <c r="E99" s="2046"/>
      <c r="F99" s="979"/>
      <c r="G99" s="979"/>
      <c r="H99" s="979"/>
      <c r="I99" s="979"/>
      <c r="J99" s="979"/>
      <c r="K99" s="979"/>
      <c r="L99" s="979"/>
      <c r="M99" s="8403"/>
      <c r="N99" s="8404"/>
      <c r="O99" s="8404"/>
      <c r="P99" s="10128"/>
      <c r="Q99" s="8403"/>
      <c r="R99" s="8404"/>
      <c r="S99" s="8404"/>
      <c r="T99" s="10128"/>
      <c r="U99" s="8403"/>
      <c r="V99" s="8404"/>
      <c r="W99" s="8404"/>
      <c r="X99" s="10128"/>
      <c r="Y99" s="8403"/>
      <c r="Z99" s="8404"/>
      <c r="AA99" s="8404"/>
      <c r="AB99" s="10128"/>
      <c r="AC99" s="8403"/>
      <c r="AD99" s="8404"/>
      <c r="AE99" s="8404"/>
      <c r="AF99" s="10128"/>
      <c r="AG99" s="8403"/>
      <c r="AH99" s="8404"/>
      <c r="AI99" s="8404"/>
      <c r="AJ99" s="8404"/>
      <c r="AK99" s="2067"/>
      <c r="AL99" s="253"/>
      <c r="AM99" s="253"/>
      <c r="AN99" s="253"/>
      <c r="AO99" s="138"/>
      <c r="AV99" s="4959"/>
      <c r="AW99" s="4959"/>
      <c r="AX99" s="4964"/>
      <c r="BA99" s="658"/>
      <c r="BB99" s="658"/>
      <c r="BC99" s="658"/>
      <c r="BD99" s="658"/>
      <c r="BE99" s="658"/>
      <c r="BF99" s="658"/>
      <c r="BG99" s="658"/>
      <c r="BH99" s="658"/>
      <c r="BI99" s="658"/>
      <c r="BJ99" s="658"/>
      <c r="BK99" s="138"/>
    </row>
    <row r="100" spans="1:63" s="815" customFormat="1" ht="15.75" customHeight="1">
      <c r="A100" s="2013"/>
      <c r="B100" s="4936">
        <v>32</v>
      </c>
      <c r="C100" s="344" t="s">
        <v>3599</v>
      </c>
      <c r="D100" s="344"/>
      <c r="E100" s="511"/>
      <c r="F100" s="344"/>
      <c r="G100" s="344"/>
      <c r="H100" s="344"/>
      <c r="I100" s="344"/>
      <c r="J100" s="344"/>
      <c r="K100" s="344"/>
      <c r="L100" s="344"/>
      <c r="M100" s="3541"/>
      <c r="N100" s="565"/>
      <c r="O100" s="565"/>
      <c r="P100" s="3542"/>
      <c r="Q100" s="3541"/>
      <c r="R100" s="565"/>
      <c r="S100" s="565"/>
      <c r="T100" s="3542"/>
      <c r="U100" s="3541"/>
      <c r="V100" s="565"/>
      <c r="W100" s="565"/>
      <c r="X100" s="3542"/>
      <c r="Y100" s="3541"/>
      <c r="Z100" s="565"/>
      <c r="AA100" s="565"/>
      <c r="AB100" s="3542"/>
      <c r="AC100" s="3541"/>
      <c r="AD100" s="565"/>
      <c r="AE100" s="565"/>
      <c r="AF100" s="3542"/>
      <c r="AG100" s="3541"/>
      <c r="AH100" s="565"/>
      <c r="AI100" s="565"/>
      <c r="AJ100" s="565"/>
      <c r="AK100" s="2013"/>
      <c r="AL100" s="253"/>
      <c r="AM100" s="253"/>
      <c r="AN100" s="253"/>
      <c r="AO100"/>
      <c r="AV100" s="950"/>
      <c r="AW100" s="950"/>
      <c r="AX100" s="4953"/>
      <c r="BA100" s="658"/>
      <c r="BB100" s="658"/>
      <c r="BC100" s="658"/>
      <c r="BD100" s="658"/>
      <c r="BE100" s="658"/>
      <c r="BF100" s="658"/>
      <c r="BG100" s="658"/>
      <c r="BH100" s="658"/>
      <c r="BI100" s="658"/>
      <c r="BJ100" s="658"/>
      <c r="BK100"/>
    </row>
    <row r="101" spans="1:63" s="815" customFormat="1" ht="15.75" customHeight="1" thickBot="1">
      <c r="A101" s="2013"/>
      <c r="B101" s="2723"/>
      <c r="C101" s="344" t="s">
        <v>3600</v>
      </c>
      <c r="D101" s="344"/>
      <c r="E101" s="1672"/>
      <c r="F101" s="344"/>
      <c r="G101" s="344"/>
      <c r="H101" s="344"/>
      <c r="I101" s="344"/>
      <c r="J101" s="344"/>
      <c r="K101" s="344"/>
      <c r="L101" s="344"/>
      <c r="M101" s="10132"/>
      <c r="N101" s="10133"/>
      <c r="O101" s="10133"/>
      <c r="P101" s="10134"/>
      <c r="Q101" s="10132"/>
      <c r="R101" s="10133"/>
      <c r="S101" s="10133"/>
      <c r="T101" s="10134"/>
      <c r="U101" s="10132"/>
      <c r="V101" s="10133"/>
      <c r="W101" s="10133"/>
      <c r="X101" s="10134"/>
      <c r="Y101" s="10132"/>
      <c r="Z101" s="10133"/>
      <c r="AA101" s="10133"/>
      <c r="AB101" s="10134"/>
      <c r="AC101" s="10132"/>
      <c r="AD101" s="10133"/>
      <c r="AE101" s="10133"/>
      <c r="AF101" s="10134"/>
      <c r="AG101" s="10132"/>
      <c r="AH101" s="10133"/>
      <c r="AI101" s="10133"/>
      <c r="AJ101" s="10133"/>
      <c r="AK101" s="2013"/>
      <c r="AL101" s="253"/>
      <c r="AM101" s="253"/>
      <c r="AN101" s="253"/>
      <c r="AO101"/>
      <c r="AV101" s="950"/>
      <c r="AW101" s="950"/>
      <c r="AX101" s="4953"/>
      <c r="BA101" s="658"/>
      <c r="BB101" s="658"/>
      <c r="BC101" s="658"/>
      <c r="BD101" s="658"/>
      <c r="BE101" s="658"/>
      <c r="BF101" s="658"/>
      <c r="BG101" s="658"/>
      <c r="BH101" s="658"/>
      <c r="BI101" s="658"/>
      <c r="BJ101" s="658"/>
      <c r="BK101"/>
    </row>
    <row r="102" spans="1:63" s="815" customFormat="1" ht="15.75" customHeight="1">
      <c r="A102" s="2013"/>
      <c r="B102" s="4936">
        <v>33</v>
      </c>
      <c r="C102" s="344" t="s">
        <v>3601</v>
      </c>
      <c r="D102" s="344"/>
      <c r="E102" s="511"/>
      <c r="F102" s="344"/>
      <c r="G102" s="344"/>
      <c r="H102" s="344"/>
      <c r="I102" s="344"/>
      <c r="J102" s="344"/>
      <c r="K102" s="344"/>
      <c r="L102" s="344"/>
      <c r="M102" s="4860"/>
      <c r="N102" s="339"/>
      <c r="O102" s="339"/>
      <c r="P102" s="4859"/>
      <c r="Q102" s="4860"/>
      <c r="R102" s="339"/>
      <c r="S102" s="339"/>
      <c r="T102" s="4859"/>
      <c r="U102" s="4860"/>
      <c r="V102" s="339"/>
      <c r="W102" s="339"/>
      <c r="X102" s="4859"/>
      <c r="Y102" s="4860"/>
      <c r="Z102" s="339"/>
      <c r="AA102" s="339"/>
      <c r="AB102" s="4859"/>
      <c r="AC102" s="4860"/>
      <c r="AD102" s="339"/>
      <c r="AE102" s="339"/>
      <c r="AF102" s="4859"/>
      <c r="AG102" s="4860"/>
      <c r="AH102" s="339"/>
      <c r="AI102" s="339"/>
      <c r="AJ102" s="339"/>
      <c r="AK102" s="2013"/>
      <c r="AL102" s="253"/>
      <c r="AM102" s="253"/>
      <c r="AN102" s="253"/>
      <c r="AO102"/>
      <c r="AV102" s="950"/>
      <c r="AW102" s="950"/>
      <c r="AX102" s="4953"/>
      <c r="BA102" s="658"/>
      <c r="BB102" s="658"/>
      <c r="BC102" s="658"/>
      <c r="BD102" s="658"/>
      <c r="BE102" s="658"/>
      <c r="BF102" s="658"/>
      <c r="BG102" s="658"/>
      <c r="BH102" s="658"/>
      <c r="BI102" s="658"/>
      <c r="BJ102" s="658"/>
      <c r="BK102"/>
    </row>
    <row r="103" spans="1:63" s="815" customFormat="1" ht="15.75" customHeight="1" thickBot="1">
      <c r="A103" s="2013"/>
      <c r="B103" s="2723"/>
      <c r="C103" s="344" t="s">
        <v>3602</v>
      </c>
      <c r="D103" s="344"/>
      <c r="E103" s="1672"/>
      <c r="F103" s="344"/>
      <c r="G103" s="344"/>
      <c r="H103" s="344"/>
      <c r="I103" s="344"/>
      <c r="J103" s="344"/>
      <c r="K103" s="344"/>
      <c r="L103" s="344"/>
      <c r="M103" s="10129" t="str">
        <f>IF(OR(M98&lt;&gt;"",M99&lt;&gt;"",M101&lt;&gt;""),SUM(ROUND(M98,0),ROUND(M99,0),ROUND(M101,0)),"")</f>
        <v/>
      </c>
      <c r="N103" s="10130"/>
      <c r="O103" s="10130"/>
      <c r="P103" s="10131"/>
      <c r="Q103" s="10129" t="str">
        <f>IF(OR(Q98&lt;&gt;"",Q99&lt;&gt;"",Q101&lt;&gt;""),SUM(ROUND(Q98,0),ROUND(Q99,0),ROUND(Q101,0)),"")</f>
        <v/>
      </c>
      <c r="R103" s="10130"/>
      <c r="S103" s="10130"/>
      <c r="T103" s="10131"/>
      <c r="U103" s="10129" t="str">
        <f>IF(OR(U98&lt;&gt;"",U99&lt;&gt;"",U101&lt;&gt;""),SUM(ROUND(U98,0),ROUND(U99,0),ROUND(U101,0)),"")</f>
        <v/>
      </c>
      <c r="V103" s="10130"/>
      <c r="W103" s="10130"/>
      <c r="X103" s="10131"/>
      <c r="Y103" s="10129" t="str">
        <f>IF(OR(Y98&lt;&gt;"",Y99&lt;&gt;"",Y101&lt;&gt;""),SUM(ROUND(Y98,0),ROUND(Y99,0),ROUND(Y101,0)),"")</f>
        <v/>
      </c>
      <c r="Z103" s="10130"/>
      <c r="AA103" s="10130"/>
      <c r="AB103" s="10131"/>
      <c r="AC103" s="10129" t="str">
        <f>IF(OR(AC98&lt;&gt;"",AC99&lt;&gt;"",AC101&lt;&gt;""),SUM(ROUND(AC98,0),ROUND(AC99,0),ROUND(AC101,0)),"")</f>
        <v/>
      </c>
      <c r="AD103" s="10130"/>
      <c r="AE103" s="10130"/>
      <c r="AF103" s="10131"/>
      <c r="AG103" s="10129" t="str">
        <f>IF(OR(AG98&lt;&gt;"",AG99&lt;&gt;"",AG101&lt;&gt;""),SUM(ROUND(AG98,0),ROUND(AG99,0),ROUND(AG101,0)),"")</f>
        <v/>
      </c>
      <c r="AH103" s="10130"/>
      <c r="AI103" s="10130"/>
      <c r="AJ103" s="10130"/>
      <c r="AK103" s="2013"/>
      <c r="AL103" s="253"/>
      <c r="AM103" s="253"/>
      <c r="AN103" s="253"/>
      <c r="AO103"/>
      <c r="AV103" s="950"/>
      <c r="AW103" s="950"/>
      <c r="AX103" s="4953"/>
      <c r="BA103" s="658"/>
      <c r="BB103" s="658"/>
      <c r="BC103" s="658"/>
      <c r="BD103" s="658"/>
      <c r="BE103" s="658"/>
      <c r="BF103" s="658"/>
      <c r="BG103" s="658"/>
      <c r="BH103" s="658"/>
      <c r="BI103" s="658"/>
      <c r="BJ103" s="658"/>
      <c r="BK103"/>
    </row>
    <row r="104" spans="1:63" s="815" customFormat="1" ht="12.75" customHeight="1">
      <c r="A104" s="2013"/>
      <c r="B104" s="10125">
        <v>34</v>
      </c>
      <c r="C104" s="7852" t="s">
        <v>3603</v>
      </c>
      <c r="D104" s="7852"/>
      <c r="E104" s="7852"/>
      <c r="F104" s="7852"/>
      <c r="G104" s="7852"/>
      <c r="H104" s="7852"/>
      <c r="I104" s="7852"/>
      <c r="J104" s="7852"/>
      <c r="K104" s="7852"/>
      <c r="L104" s="7852"/>
      <c r="M104" s="10135" t="s">
        <v>568</v>
      </c>
      <c r="N104" s="10136"/>
      <c r="O104" s="10137" t="s">
        <v>569</v>
      </c>
      <c r="P104" s="10138"/>
      <c r="Q104" s="10135" t="s">
        <v>568</v>
      </c>
      <c r="R104" s="10136"/>
      <c r="S104" s="10137" t="s">
        <v>569</v>
      </c>
      <c r="T104" s="10138"/>
      <c r="U104" s="10135" t="s">
        <v>568</v>
      </c>
      <c r="V104" s="10136"/>
      <c r="W104" s="10137" t="s">
        <v>569</v>
      </c>
      <c r="X104" s="10138"/>
      <c r="Y104" s="10135" t="s">
        <v>568</v>
      </c>
      <c r="Z104" s="10136"/>
      <c r="AA104" s="10137" t="s">
        <v>569</v>
      </c>
      <c r="AB104" s="10138"/>
      <c r="AC104" s="10135" t="s">
        <v>568</v>
      </c>
      <c r="AD104" s="10136"/>
      <c r="AE104" s="10137" t="s">
        <v>569</v>
      </c>
      <c r="AF104" s="10138"/>
      <c r="AG104" s="10135" t="s">
        <v>568</v>
      </c>
      <c r="AH104" s="10136"/>
      <c r="AI104" s="10137" t="s">
        <v>569</v>
      </c>
      <c r="AJ104" s="10139"/>
      <c r="AK104" s="2013"/>
      <c r="AL104" s="253"/>
      <c r="AM104" s="253"/>
      <c r="AN104" s="253"/>
      <c r="AO104"/>
      <c r="AV104" s="950"/>
      <c r="AW104" s="950"/>
      <c r="AX104" s="4953"/>
      <c r="BA104" s="658"/>
      <c r="BB104" s="658"/>
      <c r="BC104" s="658"/>
      <c r="BD104" s="658"/>
      <c r="BE104" s="658"/>
      <c r="BF104" s="658"/>
      <c r="BG104" s="658"/>
      <c r="BH104" s="658"/>
      <c r="BI104" s="658"/>
      <c r="BJ104" s="658"/>
      <c r="BK104"/>
    </row>
    <row r="105" spans="1:63" s="815" customFormat="1" ht="21.75" customHeight="1">
      <c r="A105" s="2013"/>
      <c r="B105" s="10125"/>
      <c r="C105" s="7852"/>
      <c r="D105" s="7852"/>
      <c r="E105" s="7852"/>
      <c r="F105" s="7852"/>
      <c r="G105" s="7852"/>
      <c r="H105" s="7852"/>
      <c r="I105" s="7852"/>
      <c r="J105" s="7852"/>
      <c r="K105" s="7852"/>
      <c r="L105" s="7852"/>
      <c r="M105" s="10142"/>
      <c r="N105" s="10143"/>
      <c r="O105" s="10140"/>
      <c r="P105" s="10141"/>
      <c r="Q105" s="10142"/>
      <c r="R105" s="10143"/>
      <c r="S105" s="10140"/>
      <c r="T105" s="10141"/>
      <c r="U105" s="10142"/>
      <c r="V105" s="10143"/>
      <c r="W105" s="10140"/>
      <c r="X105" s="10141"/>
      <c r="Y105" s="10142"/>
      <c r="Z105" s="10143"/>
      <c r="AA105" s="10140"/>
      <c r="AB105" s="10141"/>
      <c r="AC105" s="10142"/>
      <c r="AD105" s="10143"/>
      <c r="AE105" s="10140"/>
      <c r="AF105" s="10141"/>
      <c r="AG105" s="10142"/>
      <c r="AH105" s="10143"/>
      <c r="AI105" s="10140"/>
      <c r="AJ105" s="10144"/>
      <c r="AK105" s="2013"/>
      <c r="AL105" s="253"/>
      <c r="AM105" s="253"/>
      <c r="AN105" s="253"/>
      <c r="AO105"/>
      <c r="AV105" s="950"/>
      <c r="AW105" s="950"/>
      <c r="AX105" s="4953"/>
      <c r="BA105" s="658"/>
      <c r="BB105" s="658"/>
      <c r="BC105" s="658"/>
      <c r="BD105" s="658"/>
      <c r="BE105" s="658"/>
      <c r="BF105" s="658"/>
      <c r="BG105" s="658"/>
      <c r="BH105" s="658"/>
      <c r="BI105" s="658"/>
      <c r="BJ105" s="658"/>
      <c r="BK105"/>
    </row>
    <row r="106" spans="1:63" s="815" customFormat="1" ht="30" customHeight="1">
      <c r="A106" s="2013"/>
      <c r="B106" s="4936">
        <v>35</v>
      </c>
      <c r="C106" s="9807" t="s">
        <v>3604</v>
      </c>
      <c r="D106" s="10145"/>
      <c r="E106" s="10145"/>
      <c r="F106" s="10145"/>
      <c r="G106" s="10145"/>
      <c r="H106" s="10145"/>
      <c r="I106" s="10145"/>
      <c r="J106" s="10145"/>
      <c r="K106" s="10145"/>
      <c r="L106" s="10145"/>
      <c r="M106" s="10142"/>
      <c r="N106" s="10143"/>
      <c r="O106" s="10140"/>
      <c r="P106" s="10141"/>
      <c r="Q106" s="10142"/>
      <c r="R106" s="10143"/>
      <c r="S106" s="10140"/>
      <c r="T106" s="10141"/>
      <c r="U106" s="10142"/>
      <c r="V106" s="10143"/>
      <c r="W106" s="10140"/>
      <c r="X106" s="10141"/>
      <c r="Y106" s="10142"/>
      <c r="Z106" s="10143"/>
      <c r="AA106" s="10140"/>
      <c r="AB106" s="10141"/>
      <c r="AC106" s="10142"/>
      <c r="AD106" s="10143"/>
      <c r="AE106" s="10140"/>
      <c r="AF106" s="10141"/>
      <c r="AG106" s="10142"/>
      <c r="AH106" s="10143"/>
      <c r="AI106" s="10140"/>
      <c r="AJ106" s="10144"/>
      <c r="AK106" s="2013"/>
      <c r="AL106" s="253"/>
      <c r="AM106" s="253"/>
      <c r="AN106" s="253"/>
      <c r="AO106"/>
      <c r="AV106" s="950"/>
      <c r="AW106" s="950"/>
      <c r="AX106" s="4953"/>
      <c r="BA106" s="658"/>
      <c r="BB106" s="658"/>
      <c r="BC106" s="658"/>
      <c r="BD106" s="658"/>
      <c r="BE106" s="658"/>
      <c r="BF106" s="658"/>
      <c r="BG106" s="658"/>
      <c r="BH106" s="658"/>
      <c r="BI106" s="658"/>
      <c r="BJ106" s="658"/>
      <c r="BK106"/>
    </row>
    <row r="107" spans="1:63" s="815" customFormat="1" ht="21.75" customHeight="1" thickBot="1">
      <c r="A107" s="2013"/>
      <c r="B107" s="4817">
        <v>36</v>
      </c>
      <c r="C107" s="6511" t="s">
        <v>3605</v>
      </c>
      <c r="D107" s="6511"/>
      <c r="E107" s="4830"/>
      <c r="F107" s="498"/>
      <c r="G107" s="498"/>
      <c r="H107" s="498"/>
      <c r="I107" s="498"/>
      <c r="J107" s="498"/>
      <c r="K107" s="498"/>
      <c r="L107" s="498"/>
      <c r="M107" s="10146"/>
      <c r="N107" s="10147"/>
      <c r="O107" s="10148"/>
      <c r="P107" s="10149"/>
      <c r="Q107" s="10146"/>
      <c r="R107" s="10147"/>
      <c r="S107" s="10148"/>
      <c r="T107" s="10149"/>
      <c r="U107" s="10146"/>
      <c r="V107" s="10147"/>
      <c r="W107" s="10148"/>
      <c r="X107" s="10149"/>
      <c r="Y107" s="10146"/>
      <c r="Z107" s="10147"/>
      <c r="AA107" s="10148"/>
      <c r="AB107" s="10149"/>
      <c r="AC107" s="10146"/>
      <c r="AD107" s="10147"/>
      <c r="AE107" s="10148"/>
      <c r="AF107" s="10149"/>
      <c r="AG107" s="10146"/>
      <c r="AH107" s="10147"/>
      <c r="AI107" s="10148"/>
      <c r="AJ107" s="10159"/>
      <c r="AK107" s="2013"/>
      <c r="AL107" s="253"/>
      <c r="AM107" s="253"/>
      <c r="AN107" s="253"/>
      <c r="AO107"/>
      <c r="AV107" s="950"/>
      <c r="AW107" s="950"/>
      <c r="AX107" s="4953"/>
      <c r="BA107" s="658"/>
      <c r="BB107" s="658"/>
      <c r="BC107" s="658"/>
      <c r="BD107" s="658"/>
      <c r="BE107" s="658"/>
      <c r="BF107" s="658"/>
      <c r="BG107" s="658"/>
      <c r="BH107" s="658"/>
      <c r="BI107" s="658"/>
      <c r="BJ107" s="658"/>
      <c r="BK107"/>
    </row>
    <row r="108" spans="1:63" s="815" customFormat="1" ht="18">
      <c r="A108" s="2013"/>
      <c r="B108" s="4898"/>
      <c r="C108" s="1560"/>
      <c r="D108" s="1560"/>
      <c r="E108" s="1560"/>
      <c r="F108" s="1560"/>
      <c r="G108" s="1560"/>
      <c r="H108" s="1560"/>
      <c r="I108" s="1560"/>
      <c r="J108" s="1560"/>
      <c r="K108" s="1560"/>
      <c r="L108" s="1560"/>
      <c r="M108" s="1560"/>
      <c r="N108" s="1560"/>
      <c r="O108" s="1560"/>
      <c r="P108" s="1560"/>
      <c r="Q108" s="1560"/>
      <c r="R108" s="1560"/>
      <c r="S108" s="1560"/>
      <c r="T108" s="1560"/>
      <c r="U108" s="247"/>
      <c r="V108" s="1560"/>
      <c r="W108" s="3931"/>
      <c r="X108" s="1560"/>
      <c r="Y108" s="1560"/>
      <c r="Z108" s="1560"/>
      <c r="AA108" s="1560"/>
      <c r="AB108" s="1560"/>
      <c r="AC108" s="2052"/>
      <c r="AD108" s="1560"/>
      <c r="AE108" s="1560"/>
      <c r="AF108" s="1560"/>
      <c r="AG108" s="1560"/>
      <c r="AH108" s="2052" t="s">
        <v>3626</v>
      </c>
      <c r="AI108" s="1560"/>
      <c r="AJ108" s="2052" t="str">
        <f>"("&amp;TaxYear&amp;")"</f>
        <v>(2025)</v>
      </c>
      <c r="AK108" s="2013"/>
      <c r="AL108" s="253"/>
      <c r="AM108" s="253"/>
      <c r="AN108" s="253"/>
      <c r="AO108"/>
      <c r="AV108" s="950"/>
      <c r="AW108" s="950"/>
      <c r="AX108" s="4953"/>
      <c r="BA108" s="658"/>
      <c r="BB108" s="658"/>
      <c r="BC108" s="658"/>
      <c r="BD108" s="658"/>
      <c r="BE108" s="658"/>
      <c r="BF108" s="658"/>
      <c r="BG108" s="658"/>
      <c r="BH108" s="658"/>
      <c r="BI108" s="658"/>
      <c r="BJ108" s="658"/>
      <c r="BK108"/>
    </row>
    <row r="109" spans="1:63" s="815" customFormat="1" ht="15.75" customHeight="1" thickBot="1">
      <c r="A109" s="2013"/>
      <c r="B109" s="4899" t="str">
        <f>"Form 4562 ("&amp;TaxYear&amp;")"</f>
        <v>Form 4562 (2025)</v>
      </c>
      <c r="C109" s="498"/>
      <c r="D109" s="2307"/>
      <c r="E109" s="498"/>
      <c r="F109" s="498"/>
      <c r="G109" s="498"/>
      <c r="H109" s="498"/>
      <c r="I109" s="498"/>
      <c r="J109" s="498"/>
      <c r="K109" s="498"/>
      <c r="L109" s="498"/>
      <c r="M109" s="498"/>
      <c r="N109" s="2308"/>
      <c r="O109" s="498"/>
      <c r="P109" s="498"/>
      <c r="Q109" s="498"/>
      <c r="R109" s="498"/>
      <c r="S109" s="498"/>
      <c r="T109" s="2308"/>
      <c r="U109" s="2307"/>
      <c r="V109" s="498"/>
      <c r="W109" s="498"/>
      <c r="X109" s="498"/>
      <c r="Y109" s="498"/>
      <c r="Z109" s="498"/>
      <c r="AA109" s="498"/>
      <c r="AB109" s="2308"/>
      <c r="AC109" s="498"/>
      <c r="AD109" s="498"/>
      <c r="AE109" s="498"/>
      <c r="AF109" s="498"/>
      <c r="AG109" s="498"/>
      <c r="AH109" s="498"/>
      <c r="AI109" s="498"/>
      <c r="AJ109" s="2309" t="s">
        <v>6811</v>
      </c>
      <c r="AK109" s="2013"/>
      <c r="AL109" s="253"/>
      <c r="AM109" s="253"/>
      <c r="AN109" s="253"/>
      <c r="AO109"/>
      <c r="AV109" s="950"/>
      <c r="AW109" s="950"/>
      <c r="AX109" s="4953"/>
      <c r="BA109" s="658"/>
      <c r="BB109" s="658"/>
      <c r="BC109" s="658"/>
      <c r="BD109" s="658"/>
      <c r="BE109" s="658"/>
      <c r="BF109" s="658"/>
      <c r="BG109" s="658"/>
      <c r="BH109" s="658"/>
      <c r="BI109" s="658"/>
      <c r="BJ109" s="658"/>
      <c r="BK109"/>
    </row>
    <row r="110" spans="1:63" s="1115" customFormat="1" ht="15.75" customHeight="1">
      <c r="A110" s="2290"/>
      <c r="B110" s="9993" t="s">
        <v>2117</v>
      </c>
      <c r="C110" s="9994"/>
      <c r="D110" s="6024"/>
      <c r="E110" s="4901" t="s">
        <v>3561</v>
      </c>
      <c r="F110" s="6025"/>
      <c r="G110" s="6025"/>
      <c r="H110" s="6025"/>
      <c r="I110" s="6025"/>
      <c r="J110" s="6025" t="s">
        <v>3562</v>
      </c>
      <c r="K110" s="6025"/>
      <c r="L110" s="6025"/>
      <c r="M110" s="6025"/>
      <c r="N110" s="6025"/>
      <c r="O110" s="6025"/>
      <c r="P110" s="6025"/>
      <c r="Q110" s="6025"/>
      <c r="R110" s="6025"/>
      <c r="S110" s="6025"/>
      <c r="T110" s="6025"/>
      <c r="U110" s="6025"/>
      <c r="V110" s="6025"/>
      <c r="W110" s="6025"/>
      <c r="X110" s="6025"/>
      <c r="Y110" s="6025"/>
      <c r="Z110" s="6025"/>
      <c r="AA110" s="6025"/>
      <c r="AB110" s="6025"/>
      <c r="AC110" s="6025"/>
      <c r="AD110" s="6025"/>
      <c r="AE110" s="6025"/>
      <c r="AF110" s="6025"/>
      <c r="AG110" s="6025"/>
      <c r="AH110" s="6025"/>
      <c r="AI110" s="339"/>
      <c r="AJ110" s="339"/>
      <c r="AK110" s="2290"/>
      <c r="AL110" s="253"/>
      <c r="AM110" s="253"/>
      <c r="AN110" s="253"/>
      <c r="AO110" s="2293"/>
      <c r="AV110" s="4958"/>
      <c r="AW110" s="4958"/>
      <c r="AX110" s="4963"/>
      <c r="BA110" s="658"/>
      <c r="BB110" s="658"/>
      <c r="BC110" s="658"/>
      <c r="BD110" s="658"/>
      <c r="BE110" s="658"/>
      <c r="BF110" s="658"/>
      <c r="BG110" s="658"/>
      <c r="BH110" s="658"/>
      <c r="BI110" s="658"/>
      <c r="BJ110" s="658"/>
      <c r="BK110" s="2293"/>
    </row>
    <row r="111" spans="1:63" s="815" customFormat="1" ht="15.75" customHeight="1">
      <c r="A111" s="2013"/>
      <c r="B111" s="6515"/>
      <c r="C111" s="569"/>
      <c r="D111" s="6516"/>
      <c r="E111" s="2296" t="s">
        <v>5920</v>
      </c>
      <c r="F111" s="6516"/>
      <c r="G111" s="6516"/>
      <c r="H111" s="6516"/>
      <c r="I111" s="6516"/>
      <c r="J111" s="6516"/>
      <c r="K111" s="6516"/>
      <c r="L111" s="6516"/>
      <c r="M111" s="6516"/>
      <c r="N111" s="6516"/>
      <c r="O111" s="6516"/>
      <c r="P111" s="6516"/>
      <c r="Q111" s="6516"/>
      <c r="R111" s="6516"/>
      <c r="S111" s="6516"/>
      <c r="T111" s="6517"/>
      <c r="U111" s="6518"/>
      <c r="V111" s="6518"/>
      <c r="W111" s="6518"/>
      <c r="X111" s="6518"/>
      <c r="Y111" s="6518"/>
      <c r="Z111" s="6518"/>
      <c r="AA111" s="6518"/>
      <c r="AB111" s="6518"/>
      <c r="AC111" s="6518"/>
      <c r="AD111" s="6518"/>
      <c r="AE111" s="6518"/>
      <c r="AF111" s="6518"/>
      <c r="AG111" s="6518"/>
      <c r="AH111" s="6518"/>
      <c r="AI111" s="6518"/>
      <c r="AJ111" s="6518"/>
      <c r="AK111" s="2013"/>
      <c r="AL111" s="253"/>
      <c r="AM111" s="253"/>
      <c r="AN111" s="253"/>
      <c r="AO111"/>
      <c r="AV111" s="950"/>
      <c r="AW111" s="950"/>
      <c r="AX111" s="4953"/>
      <c r="BA111" s="658"/>
      <c r="BB111" s="658"/>
      <c r="BC111" s="658"/>
      <c r="BD111" s="658"/>
      <c r="BE111" s="658"/>
      <c r="BF111" s="658"/>
      <c r="BG111" s="658"/>
      <c r="BH111" s="658"/>
      <c r="BI111" s="658"/>
      <c r="BJ111" s="658"/>
      <c r="BK111"/>
    </row>
    <row r="112" spans="1:63" s="4957" customFormat="1" ht="30.75" customHeight="1">
      <c r="A112" s="2306"/>
      <c r="B112" s="775"/>
      <c r="C112" s="873"/>
      <c r="D112" s="873"/>
      <c r="E112" s="6512"/>
      <c r="F112" s="873"/>
      <c r="G112" s="873"/>
      <c r="H112" s="873"/>
      <c r="I112" s="873"/>
      <c r="J112" s="873"/>
      <c r="K112" s="873"/>
      <c r="L112" s="873"/>
      <c r="M112" s="873"/>
      <c r="N112" s="873"/>
      <c r="O112" s="873"/>
      <c r="P112" s="775"/>
      <c r="Q112" s="775"/>
      <c r="R112" s="775" t="s">
        <v>3606</v>
      </c>
      <c r="S112" s="873"/>
      <c r="T112" s="873"/>
      <c r="U112" s="873"/>
      <c r="V112" s="873"/>
      <c r="W112" s="873"/>
      <c r="X112" s="873"/>
      <c r="Y112" s="873"/>
      <c r="Z112" s="873"/>
      <c r="AA112" s="873"/>
      <c r="AB112" s="873"/>
      <c r="AC112" s="873"/>
      <c r="AD112" s="873"/>
      <c r="AE112" s="873"/>
      <c r="AF112" s="873"/>
      <c r="AG112" s="873"/>
      <c r="AH112" s="873"/>
      <c r="AI112" s="873"/>
      <c r="AJ112" s="873"/>
      <c r="AK112" s="2306"/>
      <c r="AL112" s="4082"/>
      <c r="AM112" s="4082"/>
      <c r="AN112" s="4082"/>
      <c r="AO112" s="502"/>
      <c r="AX112" s="6513"/>
      <c r="BA112" s="6514"/>
      <c r="BB112" s="6514"/>
      <c r="BC112" s="6514"/>
      <c r="BD112" s="6514"/>
      <c r="BE112" s="6514"/>
      <c r="BF112" s="6514"/>
      <c r="BG112" s="6514"/>
      <c r="BH112" s="6514"/>
      <c r="BI112" s="6514"/>
      <c r="BJ112" s="6514"/>
      <c r="BK112" s="502"/>
    </row>
    <row r="113" spans="1:63" s="1116" customFormat="1" ht="15.75" customHeight="1">
      <c r="A113" s="2067"/>
      <c r="B113" s="2313" t="s">
        <v>6433</v>
      </c>
      <c r="C113" s="979"/>
      <c r="D113" s="979"/>
      <c r="E113" s="2046"/>
      <c r="F113" s="979"/>
      <c r="G113" s="979"/>
      <c r="H113" s="979"/>
      <c r="I113" s="979"/>
      <c r="J113" s="979"/>
      <c r="K113" s="979"/>
      <c r="L113" s="979"/>
      <c r="M113" s="979"/>
      <c r="N113" s="979"/>
      <c r="O113" s="979"/>
      <c r="P113" s="979"/>
      <c r="Q113" s="979"/>
      <c r="R113" s="979"/>
      <c r="S113" s="979"/>
      <c r="T113" s="979"/>
      <c r="U113" s="979"/>
      <c r="V113" s="979"/>
      <c r="W113" s="979"/>
      <c r="X113" s="979"/>
      <c r="Y113" s="979"/>
      <c r="Z113" s="979"/>
      <c r="AA113" s="979"/>
      <c r="AB113" s="979"/>
      <c r="AC113" s="979"/>
      <c r="AD113" s="979"/>
      <c r="AE113" s="979"/>
      <c r="AF113" s="979"/>
      <c r="AG113" s="979"/>
      <c r="AH113" s="979"/>
      <c r="AI113" s="979"/>
      <c r="AJ113" s="979"/>
      <c r="AK113" s="2067"/>
      <c r="AL113" s="253"/>
      <c r="AM113" s="253"/>
      <c r="AN113" s="253"/>
      <c r="AO113" s="138"/>
      <c r="AV113" s="4959"/>
      <c r="AW113" s="4959"/>
      <c r="AX113" s="4964"/>
      <c r="BA113" s="658"/>
      <c r="BB113" s="658"/>
      <c r="BC113" s="658"/>
      <c r="BD113" s="658"/>
      <c r="BE113" s="658"/>
      <c r="BF113" s="658"/>
      <c r="BG113" s="658"/>
      <c r="BH113" s="658"/>
      <c r="BI113" s="658"/>
      <c r="BJ113" s="658"/>
      <c r="BK113" s="138"/>
    </row>
    <row r="114" spans="1:63" s="815" customFormat="1" ht="15.75" customHeight="1">
      <c r="A114" s="2013"/>
      <c r="B114" s="4840" t="s">
        <v>3607</v>
      </c>
      <c r="C114" s="4937"/>
      <c r="D114" s="4937"/>
      <c r="E114" s="4937"/>
      <c r="F114" s="4937"/>
      <c r="G114" s="4937"/>
      <c r="H114" s="4937"/>
      <c r="I114" s="4937"/>
      <c r="J114" s="4937"/>
      <c r="K114" s="4937"/>
      <c r="L114" s="4937"/>
      <c r="M114" s="4937"/>
      <c r="N114" s="4937"/>
      <c r="O114" s="4937"/>
      <c r="P114" s="4937"/>
      <c r="Q114" s="4937"/>
      <c r="R114" s="4937"/>
      <c r="S114" s="4937"/>
      <c r="T114" s="4937"/>
      <c r="U114" s="4937"/>
      <c r="V114" s="4937"/>
      <c r="W114" s="4937"/>
      <c r="X114" s="4937"/>
      <c r="Y114" s="4937"/>
      <c r="Z114" s="4937"/>
      <c r="AA114" s="4937"/>
      <c r="AB114" s="4937"/>
      <c r="AC114" s="4937"/>
      <c r="AD114" s="4937"/>
      <c r="AE114" s="4937"/>
      <c r="AF114" s="4937"/>
      <c r="AG114" s="4937"/>
      <c r="AH114" s="4937"/>
      <c r="AI114" s="4937"/>
      <c r="AJ114" s="4937"/>
      <c r="AK114" s="2013"/>
      <c r="AL114" s="253"/>
      <c r="AM114" s="253"/>
      <c r="AN114" s="253"/>
      <c r="AO114"/>
      <c r="AV114" s="950"/>
      <c r="AW114" s="950"/>
      <c r="AX114" s="4953"/>
      <c r="BA114" s="658"/>
      <c r="BB114" s="658"/>
      <c r="BC114" s="658"/>
      <c r="BD114" s="658"/>
      <c r="BE114" s="658"/>
      <c r="BF114" s="658"/>
      <c r="BG114" s="658"/>
      <c r="BH114" s="658"/>
      <c r="BI114" s="658"/>
      <c r="BJ114" s="658"/>
      <c r="BK114"/>
    </row>
    <row r="115" spans="1:63" s="1115" customFormat="1" ht="15.75" customHeight="1">
      <c r="A115" s="2290"/>
      <c r="B115" s="775">
        <v>37</v>
      </c>
      <c r="C115" s="2311" t="s">
        <v>3608</v>
      </c>
      <c r="D115" s="2311"/>
      <c r="E115" s="4938"/>
      <c r="F115" s="2311"/>
      <c r="G115" s="2311"/>
      <c r="H115" s="2311"/>
      <c r="I115" s="2311"/>
      <c r="J115" s="2311"/>
      <c r="K115" s="2311"/>
      <c r="L115" s="2311"/>
      <c r="M115" s="2311"/>
      <c r="N115" s="2311"/>
      <c r="O115" s="2311"/>
      <c r="P115" s="2311"/>
      <c r="Q115" s="2311"/>
      <c r="R115" s="2311"/>
      <c r="S115" s="2311"/>
      <c r="T115" s="2311"/>
      <c r="U115" s="2311"/>
      <c r="V115" s="2311"/>
      <c r="W115" s="2311"/>
      <c r="X115" s="2311"/>
      <c r="Y115" s="2311"/>
      <c r="Z115" s="2311"/>
      <c r="AA115" s="2311"/>
      <c r="AB115" s="2311"/>
      <c r="AC115" s="2311"/>
      <c r="AD115" s="2311"/>
      <c r="AE115" s="2311"/>
      <c r="AF115" s="2311"/>
      <c r="AG115" s="8573" t="s">
        <v>568</v>
      </c>
      <c r="AH115" s="10160"/>
      <c r="AI115" s="8573" t="s">
        <v>569</v>
      </c>
      <c r="AJ115" s="10160"/>
      <c r="AK115" s="2290"/>
      <c r="AL115" s="253"/>
      <c r="AM115" s="253"/>
      <c r="AN115" s="253"/>
      <c r="AO115" s="2293"/>
      <c r="AV115" s="4958"/>
      <c r="AW115" s="4958"/>
      <c r="AX115" s="4963"/>
      <c r="BA115" s="658"/>
      <c r="BB115" s="658"/>
      <c r="BC115" s="658"/>
      <c r="BD115" s="658"/>
      <c r="BE115" s="658"/>
      <c r="BF115" s="658"/>
      <c r="BG115" s="658"/>
      <c r="BH115" s="658"/>
      <c r="BI115" s="658"/>
      <c r="BJ115" s="658"/>
      <c r="BK115" s="2293"/>
    </row>
    <row r="116" spans="1:63" s="1115" customFormat="1" ht="15.75" customHeight="1">
      <c r="A116" s="2290"/>
      <c r="B116" s="2007"/>
      <c r="C116" s="2311" t="s">
        <v>3609</v>
      </c>
      <c r="D116" s="2311"/>
      <c r="E116" s="4939"/>
      <c r="F116" s="2311"/>
      <c r="G116" s="2311"/>
      <c r="H116" s="2311"/>
      <c r="I116" s="2311"/>
      <c r="J116" s="2311"/>
      <c r="K116" s="2311"/>
      <c r="L116" s="2311"/>
      <c r="M116" s="2311"/>
      <c r="N116" s="2311"/>
      <c r="O116" s="2311"/>
      <c r="P116" s="2311"/>
      <c r="Q116" s="2311"/>
      <c r="R116" s="2311"/>
      <c r="S116" s="2311"/>
      <c r="T116" s="2311"/>
      <c r="U116" s="2311"/>
      <c r="V116" s="2311"/>
      <c r="W116" s="2311"/>
      <c r="X116" s="2311"/>
      <c r="Y116" s="2311"/>
      <c r="Z116" s="2311"/>
      <c r="AA116" s="2311"/>
      <c r="AB116" s="2311"/>
      <c r="AC116" s="2311"/>
      <c r="AD116" s="2311"/>
      <c r="AE116" s="2311"/>
      <c r="AF116" s="1401" t="s">
        <v>3610</v>
      </c>
      <c r="AG116" s="10119"/>
      <c r="AH116" s="10120"/>
      <c r="AI116" s="10119"/>
      <c r="AJ116" s="10120"/>
      <c r="AK116" s="2290"/>
      <c r="AL116" s="253"/>
      <c r="AM116" s="253"/>
      <c r="AN116" s="253"/>
      <c r="AO116" s="2293"/>
      <c r="AV116" s="4958"/>
      <c r="AW116" s="4958"/>
      <c r="AX116" s="4963"/>
      <c r="BA116" s="658"/>
      <c r="BB116" s="658"/>
      <c r="BC116" s="658"/>
      <c r="BD116" s="658"/>
      <c r="BE116" s="658"/>
      <c r="BF116" s="658"/>
      <c r="BG116" s="658"/>
      <c r="BH116" s="658"/>
      <c r="BI116" s="658"/>
      <c r="BJ116" s="658"/>
      <c r="BK116" s="2293"/>
    </row>
    <row r="117" spans="1:63" s="815" customFormat="1" ht="15.75" customHeight="1">
      <c r="A117" s="2013"/>
      <c r="B117" s="775">
        <v>38</v>
      </c>
      <c r="C117" s="2311" t="s">
        <v>3611</v>
      </c>
      <c r="D117" s="2311"/>
      <c r="E117" s="2311"/>
      <c r="F117" s="2311"/>
      <c r="G117" s="2311"/>
      <c r="H117" s="2311"/>
      <c r="I117" s="2311"/>
      <c r="J117" s="2311"/>
      <c r="K117" s="2311"/>
      <c r="L117" s="2311"/>
      <c r="M117" s="2311"/>
      <c r="N117" s="2311"/>
      <c r="O117" s="2311"/>
      <c r="P117" s="2311"/>
      <c r="Q117" s="2311"/>
      <c r="R117" s="2311"/>
      <c r="S117" s="2311"/>
      <c r="T117" s="2311"/>
      <c r="U117" s="2311"/>
      <c r="V117" s="2311"/>
      <c r="W117" s="2311"/>
      <c r="X117" s="2311"/>
      <c r="Y117" s="2311"/>
      <c r="Z117" s="2311"/>
      <c r="AA117" s="2311"/>
      <c r="AB117" s="2311"/>
      <c r="AC117" s="2311"/>
      <c r="AD117" s="2311"/>
      <c r="AE117" s="2311"/>
      <c r="AF117" s="2311"/>
      <c r="AG117" s="10150"/>
      <c r="AH117" s="10151"/>
      <c r="AI117" s="10154"/>
      <c r="AJ117" s="10155"/>
      <c r="AK117" s="2013"/>
      <c r="AL117" s="253"/>
      <c r="AM117" s="253"/>
      <c r="AN117" s="253"/>
      <c r="AO117"/>
      <c r="AV117" s="950"/>
      <c r="AW117" s="950"/>
      <c r="AX117" s="4953"/>
      <c r="BA117" s="658"/>
      <c r="BB117" s="658"/>
      <c r="BC117" s="658"/>
      <c r="BD117" s="658"/>
      <c r="BE117" s="658"/>
      <c r="BF117" s="658"/>
      <c r="BG117" s="658"/>
      <c r="BH117" s="658"/>
      <c r="BI117" s="658"/>
      <c r="BJ117" s="658"/>
      <c r="BK117"/>
    </row>
    <row r="118" spans="1:63" s="815" customFormat="1" ht="15.75" customHeight="1">
      <c r="A118" s="2013"/>
      <c r="B118" s="4902"/>
      <c r="C118" s="2311" t="s">
        <v>3612</v>
      </c>
      <c r="D118" s="344"/>
      <c r="E118" s="344"/>
      <c r="F118" s="344"/>
      <c r="G118" s="344"/>
      <c r="H118" s="344"/>
      <c r="I118" s="344"/>
      <c r="J118" s="344"/>
      <c r="K118" s="344"/>
      <c r="L118" s="344"/>
      <c r="M118" s="344"/>
      <c r="N118" s="344"/>
      <c r="O118" s="344"/>
      <c r="P118" s="344"/>
      <c r="Q118" s="344"/>
      <c r="R118" s="344"/>
      <c r="S118" s="344"/>
      <c r="T118" s="344"/>
      <c r="U118" s="344"/>
      <c r="V118" s="344"/>
      <c r="W118" s="344"/>
      <c r="X118" s="344"/>
      <c r="Y118" s="344"/>
      <c r="Z118" s="344"/>
      <c r="AA118" s="344"/>
      <c r="AB118" s="730"/>
      <c r="AC118" s="730"/>
      <c r="AD118" s="344"/>
      <c r="AE118" s="344"/>
      <c r="AF118" s="344"/>
      <c r="AG118" s="10152"/>
      <c r="AH118" s="10153"/>
      <c r="AI118" s="10156"/>
      <c r="AJ118" s="10157"/>
      <c r="AK118" s="2013"/>
      <c r="AL118" s="253"/>
      <c r="AM118" s="253"/>
      <c r="AN118" s="253"/>
      <c r="AO118"/>
      <c r="AV118" s="950"/>
      <c r="AW118" s="950"/>
      <c r="AX118" s="4953"/>
      <c r="BA118" s="658"/>
      <c r="BB118" s="658"/>
      <c r="BC118" s="658"/>
      <c r="BD118" s="658"/>
      <c r="BE118" s="658"/>
      <c r="BF118" s="658"/>
      <c r="BG118" s="658"/>
      <c r="BH118" s="658"/>
      <c r="BI118" s="658"/>
      <c r="BJ118" s="658"/>
      <c r="BK118"/>
    </row>
    <row r="119" spans="1:63" s="815" customFormat="1" ht="15.75" customHeight="1">
      <c r="A119" s="2013"/>
      <c r="B119" s="775">
        <v>39</v>
      </c>
      <c r="C119" s="2311" t="s">
        <v>3613</v>
      </c>
      <c r="D119" s="511"/>
      <c r="E119" s="511"/>
      <c r="F119" s="344"/>
      <c r="G119" s="344"/>
      <c r="H119" s="344"/>
      <c r="I119" s="344"/>
      <c r="J119" s="344"/>
      <c r="K119" s="344"/>
      <c r="L119" s="344"/>
      <c r="M119" s="344"/>
      <c r="N119" s="344"/>
      <c r="O119" s="344"/>
      <c r="P119" s="344"/>
      <c r="Q119" s="344"/>
      <c r="R119" s="4940"/>
      <c r="S119" s="344"/>
      <c r="T119" s="344"/>
      <c r="U119" s="344"/>
      <c r="V119" s="344"/>
      <c r="W119" s="344"/>
      <c r="X119" s="344"/>
      <c r="Y119" s="344"/>
      <c r="Z119" s="3902"/>
      <c r="AA119" s="3902"/>
      <c r="AB119" s="344"/>
      <c r="AC119" s="344"/>
      <c r="AD119" s="1204"/>
      <c r="AE119" s="2302"/>
      <c r="AF119" s="1401" t="s">
        <v>891</v>
      </c>
      <c r="AG119" s="10119"/>
      <c r="AH119" s="10120"/>
      <c r="AI119" s="10119"/>
      <c r="AJ119" s="10120"/>
      <c r="AK119" s="2013"/>
      <c r="AL119" s="253"/>
      <c r="AM119" s="253"/>
      <c r="AN119" s="253"/>
      <c r="AO119"/>
      <c r="AV119" s="950"/>
      <c r="AW119" s="950"/>
      <c r="AX119" s="4953"/>
      <c r="BA119" s="658"/>
      <c r="BB119" s="658"/>
      <c r="BC119" s="658"/>
      <c r="BD119" s="658"/>
      <c r="BE119" s="658"/>
      <c r="BF119" s="658"/>
      <c r="BG119" s="658"/>
      <c r="BH119" s="658"/>
      <c r="BI119" s="658"/>
      <c r="BJ119" s="658"/>
      <c r="BK119"/>
    </row>
    <row r="120" spans="1:63" s="815" customFormat="1" ht="15.75" customHeight="1">
      <c r="A120" s="2013"/>
      <c r="B120" s="775">
        <v>40</v>
      </c>
      <c r="C120" s="2311" t="s">
        <v>3614</v>
      </c>
      <c r="D120" s="511"/>
      <c r="E120" s="344"/>
      <c r="F120" s="344"/>
      <c r="G120" s="344"/>
      <c r="H120" s="344"/>
      <c r="I120" s="344"/>
      <c r="J120" s="344"/>
      <c r="K120" s="344"/>
      <c r="L120" s="344"/>
      <c r="M120" s="344"/>
      <c r="N120" s="344"/>
      <c r="O120" s="344"/>
      <c r="P120" s="344"/>
      <c r="Q120" s="344"/>
      <c r="R120" s="344"/>
      <c r="S120" s="344"/>
      <c r="T120" s="344"/>
      <c r="U120" s="344"/>
      <c r="V120" s="344"/>
      <c r="W120" s="344"/>
      <c r="X120" s="344"/>
      <c r="Y120" s="344"/>
      <c r="Z120" s="3902"/>
      <c r="AA120" s="3902"/>
      <c r="AB120" s="344"/>
      <c r="AC120" s="1061"/>
      <c r="AD120" s="1204"/>
      <c r="AE120" s="2302"/>
      <c r="AF120" s="4941"/>
      <c r="AG120" s="10154"/>
      <c r="AH120" s="10154"/>
      <c r="AI120" s="10154"/>
      <c r="AJ120" s="10150"/>
      <c r="AK120" s="2013"/>
      <c r="AL120" s="253"/>
      <c r="AM120" s="253"/>
      <c r="AN120" s="253"/>
      <c r="AO120"/>
      <c r="AV120" s="950"/>
      <c r="AW120" s="950"/>
      <c r="AX120" s="4953"/>
      <c r="BA120" s="658"/>
      <c r="BB120" s="658"/>
      <c r="BC120" s="658"/>
      <c r="BD120" s="658"/>
      <c r="BE120" s="658"/>
      <c r="BF120" s="658"/>
      <c r="BG120" s="658"/>
      <c r="BH120" s="658"/>
      <c r="BI120" s="658"/>
      <c r="BJ120" s="658"/>
      <c r="BK120"/>
    </row>
    <row r="121" spans="1:63" s="815" customFormat="1" ht="15.75" customHeight="1">
      <c r="A121" s="2013"/>
      <c r="B121" s="4902"/>
      <c r="C121" s="2311" t="s">
        <v>3615</v>
      </c>
      <c r="D121" s="511"/>
      <c r="E121" s="511"/>
      <c r="F121" s="511"/>
      <c r="G121" s="344"/>
      <c r="H121" s="344"/>
      <c r="I121" s="344"/>
      <c r="J121" s="344"/>
      <c r="K121" s="344"/>
      <c r="L121" s="344"/>
      <c r="M121" s="344"/>
      <c r="N121" s="344"/>
      <c r="O121" s="344"/>
      <c r="P121" s="344"/>
      <c r="Q121" s="344"/>
      <c r="R121" s="344"/>
      <c r="S121" s="344"/>
      <c r="T121" s="344"/>
      <c r="U121" s="344"/>
      <c r="V121" s="344"/>
      <c r="W121" s="344"/>
      <c r="X121" s="344"/>
      <c r="Y121" s="344"/>
      <c r="Z121" s="344"/>
      <c r="AA121" s="344"/>
      <c r="AB121" s="344"/>
      <c r="AC121" s="1061"/>
      <c r="AD121" s="1204"/>
      <c r="AE121" s="2302"/>
      <c r="AF121" s="1401" t="s">
        <v>871</v>
      </c>
      <c r="AG121" s="10158"/>
      <c r="AH121" s="10158"/>
      <c r="AI121" s="10158"/>
      <c r="AJ121" s="10152"/>
      <c r="AK121" s="2013"/>
      <c r="AL121" s="253"/>
      <c r="AM121" s="253"/>
      <c r="AN121" s="253"/>
      <c r="AO121"/>
      <c r="AV121" s="950"/>
      <c r="AW121" s="950"/>
      <c r="AX121" s="4953"/>
      <c r="BA121" s="658"/>
      <c r="BB121" s="658"/>
      <c r="BC121" s="658"/>
      <c r="BD121" s="658"/>
      <c r="BE121" s="658"/>
      <c r="BF121" s="658"/>
      <c r="BG121" s="658"/>
      <c r="BH121" s="658"/>
      <c r="BI121" s="658"/>
      <c r="BJ121" s="658"/>
      <c r="BK121"/>
    </row>
    <row r="122" spans="1:63" s="815" customFormat="1" ht="15.75" customHeight="1">
      <c r="A122" s="2013"/>
      <c r="B122" s="775">
        <v>41</v>
      </c>
      <c r="C122" s="2311" t="s">
        <v>3616</v>
      </c>
      <c r="D122" s="511"/>
      <c r="E122" s="511"/>
      <c r="F122" s="511"/>
      <c r="G122" s="344"/>
      <c r="H122" s="344"/>
      <c r="I122" s="344"/>
      <c r="J122" s="344"/>
      <c r="K122" s="344"/>
      <c r="L122" s="344"/>
      <c r="M122" s="344"/>
      <c r="N122" s="344"/>
      <c r="O122" s="344"/>
      <c r="P122" s="344"/>
      <c r="Q122" s="344"/>
      <c r="R122" s="344"/>
      <c r="S122" s="344"/>
      <c r="T122" s="344"/>
      <c r="U122" s="344"/>
      <c r="V122" s="344"/>
      <c r="W122" s="344"/>
      <c r="X122" s="344"/>
      <c r="Y122" s="344"/>
      <c r="Z122" s="344"/>
      <c r="AA122" s="344"/>
      <c r="AB122" s="730"/>
      <c r="AC122" s="730"/>
      <c r="AD122" s="344"/>
      <c r="AE122" s="344"/>
      <c r="AF122" s="1401" t="s">
        <v>877</v>
      </c>
      <c r="AG122" s="10119"/>
      <c r="AH122" s="10120"/>
      <c r="AI122" s="10119"/>
      <c r="AJ122" s="10120"/>
      <c r="AK122" s="2013"/>
      <c r="AL122" s="253"/>
      <c r="AM122" s="253"/>
      <c r="AN122" s="253"/>
      <c r="AO122"/>
      <c r="AV122" s="950"/>
      <c r="AW122" s="950"/>
      <c r="AX122" s="4953"/>
      <c r="BA122" s="658"/>
      <c r="BB122" s="658"/>
      <c r="BC122" s="658"/>
      <c r="BD122" s="658"/>
      <c r="BE122" s="658"/>
      <c r="BF122" s="658"/>
      <c r="BG122" s="658"/>
      <c r="BH122" s="658"/>
      <c r="BI122" s="658"/>
      <c r="BJ122" s="658"/>
      <c r="BK122"/>
    </row>
    <row r="123" spans="1:63" s="815" customFormat="1" ht="15.75" customHeight="1" thickBot="1">
      <c r="A123" s="2013"/>
      <c r="B123" s="4504"/>
      <c r="C123" s="4942" t="s">
        <v>3617</v>
      </c>
      <c r="D123" s="2015"/>
      <c r="E123" s="2015"/>
      <c r="F123" s="2015"/>
      <c r="G123" s="498"/>
      <c r="H123" s="498"/>
      <c r="I123" s="498"/>
      <c r="J123" s="498"/>
      <c r="K123" s="498"/>
      <c r="L123" s="498"/>
      <c r="M123" s="498"/>
      <c r="N123" s="498"/>
      <c r="O123" s="498"/>
      <c r="P123" s="498"/>
      <c r="Q123" s="498"/>
      <c r="R123" s="498"/>
      <c r="S123" s="498"/>
      <c r="T123" s="498"/>
      <c r="U123" s="498"/>
      <c r="V123" s="498"/>
      <c r="W123" s="498"/>
      <c r="X123" s="498"/>
      <c r="Y123" s="498"/>
      <c r="Z123" s="498"/>
      <c r="AA123" s="498"/>
      <c r="AB123" s="498"/>
      <c r="AC123" s="4188"/>
      <c r="AD123" s="4943"/>
      <c r="AE123" s="4944"/>
      <c r="AF123" s="4945"/>
      <c r="AG123" s="4923"/>
      <c r="AH123" s="4897"/>
      <c r="AI123" s="4897"/>
      <c r="AJ123" s="4897"/>
      <c r="AK123" s="2013"/>
      <c r="AL123" s="253"/>
      <c r="AM123" s="253"/>
      <c r="AN123" s="253"/>
      <c r="AO123"/>
      <c r="AV123" s="950"/>
      <c r="AW123" s="950"/>
      <c r="AX123" s="4953"/>
      <c r="BA123" s="658"/>
      <c r="BB123" s="658"/>
      <c r="BC123" s="658"/>
      <c r="BD123" s="658"/>
      <c r="BE123" s="658"/>
      <c r="BF123" s="658"/>
      <c r="BG123" s="658"/>
      <c r="BH123" s="658"/>
      <c r="BI123" s="658"/>
      <c r="BJ123" s="658"/>
      <c r="BK123"/>
    </row>
    <row r="124" spans="1:63" s="1115" customFormat="1" ht="15.75" customHeight="1">
      <c r="A124" s="2290"/>
      <c r="B124" s="9755" t="s">
        <v>3383</v>
      </c>
      <c r="C124" s="10026"/>
      <c r="D124" s="4946" t="s">
        <v>3618</v>
      </c>
      <c r="E124" s="4871"/>
      <c r="F124" s="4872"/>
      <c r="G124" s="4872"/>
      <c r="H124" s="4872"/>
      <c r="I124" s="4872"/>
      <c r="J124" s="4872"/>
      <c r="K124" s="4872"/>
      <c r="L124" s="4872"/>
      <c r="M124" s="4872"/>
      <c r="N124" s="4872"/>
      <c r="O124" s="4872"/>
      <c r="P124" s="4872"/>
      <c r="Q124" s="4872"/>
      <c r="R124" s="4872"/>
      <c r="S124" s="2294"/>
      <c r="T124" s="2294"/>
      <c r="U124" s="2294"/>
      <c r="V124" s="2294"/>
      <c r="W124" s="2294"/>
      <c r="X124" s="2294"/>
      <c r="Y124" s="2294"/>
      <c r="Z124" s="2294"/>
      <c r="AA124" s="2294"/>
      <c r="AB124" s="2294"/>
      <c r="AC124" s="2294"/>
      <c r="AD124" s="2294"/>
      <c r="AE124" s="2294"/>
      <c r="AF124" s="2294"/>
      <c r="AG124" s="2294"/>
      <c r="AH124" s="2294"/>
      <c r="AI124" s="2297"/>
      <c r="AJ124" s="2297"/>
      <c r="AK124" s="2290"/>
      <c r="AL124" s="253"/>
      <c r="AM124" s="253"/>
      <c r="AN124" s="253"/>
      <c r="AO124" s="2293"/>
      <c r="AV124" s="4958"/>
      <c r="AW124" s="4958"/>
      <c r="AX124" s="4963"/>
      <c r="BA124" s="658"/>
      <c r="BB124" s="658"/>
      <c r="BC124" s="658"/>
      <c r="BD124" s="658"/>
      <c r="BE124" s="658"/>
      <c r="BF124" s="658"/>
      <c r="BG124" s="658"/>
      <c r="BH124" s="658"/>
      <c r="BI124" s="658"/>
      <c r="BJ124" s="658"/>
      <c r="BK124" s="2293"/>
    </row>
    <row r="125" spans="1:63" s="815" customFormat="1" ht="58.5" customHeight="1">
      <c r="A125" s="2013"/>
      <c r="B125" s="10161" t="s">
        <v>3619</v>
      </c>
      <c r="C125" s="10162"/>
      <c r="D125" s="10162"/>
      <c r="E125" s="10162"/>
      <c r="F125" s="10162"/>
      <c r="G125" s="10162"/>
      <c r="H125" s="10162"/>
      <c r="I125" s="10163"/>
      <c r="J125" s="10164" t="s">
        <v>3620</v>
      </c>
      <c r="K125" s="10165"/>
      <c r="L125" s="10165"/>
      <c r="M125" s="10165"/>
      <c r="N125" s="10165"/>
      <c r="O125" s="10166"/>
      <c r="P125" s="10164" t="s">
        <v>3621</v>
      </c>
      <c r="Q125" s="10165"/>
      <c r="R125" s="10165"/>
      <c r="S125" s="10165"/>
      <c r="T125" s="10165"/>
      <c r="U125" s="10166"/>
      <c r="V125" s="10164" t="s">
        <v>3622</v>
      </c>
      <c r="W125" s="10165"/>
      <c r="X125" s="10165"/>
      <c r="Y125" s="10166"/>
      <c r="Z125" s="10167" t="s">
        <v>3623</v>
      </c>
      <c r="AA125" s="10168"/>
      <c r="AB125" s="10168"/>
      <c r="AC125" s="10169"/>
      <c r="AD125" s="10164" t="s">
        <v>3624</v>
      </c>
      <c r="AE125" s="10170"/>
      <c r="AF125" s="10170"/>
      <c r="AG125" s="10170"/>
      <c r="AH125" s="10170"/>
      <c r="AI125" s="10170"/>
      <c r="AJ125" s="10170"/>
      <c r="AK125" s="2013"/>
      <c r="AL125" s="253"/>
      <c r="AM125" s="253"/>
      <c r="AN125" s="253"/>
      <c r="AO125"/>
      <c r="AV125" s="950"/>
      <c r="AW125" s="950"/>
      <c r="AX125" s="4953"/>
      <c r="BA125" s="658"/>
      <c r="BB125" s="658"/>
      <c r="BC125" s="658"/>
      <c r="BD125" s="658"/>
      <c r="BE125" s="658"/>
      <c r="BF125" s="658"/>
      <c r="BG125" s="658"/>
      <c r="BH125" s="658"/>
      <c r="BI125" s="658"/>
      <c r="BJ125" s="658"/>
      <c r="BK125"/>
    </row>
    <row r="126" spans="1:63" s="1115" customFormat="1" ht="15.75" customHeight="1">
      <c r="A126" s="2290"/>
      <c r="B126" s="4924">
        <v>42</v>
      </c>
      <c r="C126" s="4947" t="str">
        <f>"Amortization of costs that begins during your "&amp;TaxYear&amp;" tax year (see instructions):"</f>
        <v>Amortization of costs that begins during your 2025 tax year (see instructions):</v>
      </c>
      <c r="D126" s="4876"/>
      <c r="E126" s="4877"/>
      <c r="F126" s="4878"/>
      <c r="G126" s="4878"/>
      <c r="H126" s="4878"/>
      <c r="I126" s="4878"/>
      <c r="J126" s="4878"/>
      <c r="K126" s="4878"/>
      <c r="L126" s="4878"/>
      <c r="M126" s="4878"/>
      <c r="N126" s="4878"/>
      <c r="O126" s="4878"/>
      <c r="P126" s="4878"/>
      <c r="Q126" s="4878"/>
      <c r="R126" s="4878"/>
      <c r="S126" s="4878"/>
      <c r="T126" s="4878"/>
      <c r="U126" s="4878"/>
      <c r="V126" s="4878"/>
      <c r="W126" s="4878"/>
      <c r="X126" s="4878"/>
      <c r="Y126" s="4878"/>
      <c r="Z126" s="4878"/>
      <c r="AA126" s="4878"/>
      <c r="AB126" s="4878"/>
      <c r="AC126" s="4878"/>
      <c r="AD126" s="4878"/>
      <c r="AE126" s="4878"/>
      <c r="AF126" s="4878"/>
      <c r="AG126" s="4878"/>
      <c r="AH126" s="4878"/>
      <c r="AI126" s="4879"/>
      <c r="AJ126" s="4879"/>
      <c r="AK126" s="2290"/>
      <c r="AL126" s="253"/>
      <c r="AM126" s="253"/>
      <c r="AN126" s="253"/>
      <c r="AO126" s="2293"/>
      <c r="AV126" s="4958"/>
      <c r="AW126" s="4958"/>
      <c r="AX126" s="4963"/>
      <c r="BA126" s="658"/>
      <c r="BB126" s="658"/>
      <c r="BC126" s="658"/>
      <c r="BD126" s="658"/>
      <c r="BE126" s="658"/>
      <c r="BF126" s="658"/>
      <c r="BG126" s="658"/>
      <c r="BH126" s="658"/>
      <c r="BI126" s="658"/>
      <c r="BJ126" s="658"/>
      <c r="BK126" s="2293"/>
    </row>
    <row r="127" spans="1:63" s="815" customFormat="1" ht="17.25" customHeight="1">
      <c r="A127" s="2013"/>
      <c r="B127" s="10171"/>
      <c r="C127" s="10172"/>
      <c r="D127" s="10172"/>
      <c r="E127" s="10172"/>
      <c r="F127" s="10172"/>
      <c r="G127" s="10172"/>
      <c r="H127" s="10172"/>
      <c r="I127" s="10173"/>
      <c r="J127" s="10174"/>
      <c r="K127" s="10175"/>
      <c r="L127" s="10175"/>
      <c r="M127" s="10175"/>
      <c r="N127" s="10175"/>
      <c r="O127" s="10176"/>
      <c r="P127" s="10116"/>
      <c r="Q127" s="9985"/>
      <c r="R127" s="9985"/>
      <c r="S127" s="9985"/>
      <c r="T127" s="9985"/>
      <c r="U127" s="9986"/>
      <c r="V127" s="10119"/>
      <c r="W127" s="10111"/>
      <c r="X127" s="10111"/>
      <c r="Y127" s="10112"/>
      <c r="Z127" s="10180"/>
      <c r="AA127" s="10178"/>
      <c r="AB127" s="10178"/>
      <c r="AC127" s="10179"/>
      <c r="AD127" s="10116"/>
      <c r="AE127" s="10117"/>
      <c r="AF127" s="10117"/>
      <c r="AG127" s="10117"/>
      <c r="AH127" s="10117"/>
      <c r="AI127" s="10117"/>
      <c r="AJ127" s="10117"/>
      <c r="AK127" s="2013"/>
      <c r="AL127" s="253"/>
      <c r="AM127" s="253"/>
      <c r="AN127" s="253"/>
      <c r="AO127"/>
      <c r="AV127" s="950"/>
      <c r="AW127" s="950"/>
      <c r="AX127" s="4953"/>
      <c r="BA127" s="658"/>
      <c r="BB127" s="658"/>
      <c r="BC127" s="658"/>
      <c r="BD127" s="658"/>
      <c r="BE127" s="658"/>
      <c r="BF127" s="658"/>
      <c r="BG127" s="658"/>
      <c r="BH127" s="658"/>
      <c r="BI127" s="658"/>
      <c r="BJ127" s="658"/>
      <c r="BK127"/>
    </row>
    <row r="128" spans="1:63" s="815" customFormat="1" ht="17.25" customHeight="1">
      <c r="A128" s="2013"/>
      <c r="B128" s="10171"/>
      <c r="C128" s="10172"/>
      <c r="D128" s="10172"/>
      <c r="E128" s="10172"/>
      <c r="F128" s="10172"/>
      <c r="G128" s="10172"/>
      <c r="H128" s="10172"/>
      <c r="I128" s="10173"/>
      <c r="J128" s="10174"/>
      <c r="K128" s="10175"/>
      <c r="L128" s="10175"/>
      <c r="M128" s="10175"/>
      <c r="N128" s="10175"/>
      <c r="O128" s="10176"/>
      <c r="P128" s="10116"/>
      <c r="Q128" s="9985"/>
      <c r="R128" s="9985"/>
      <c r="S128" s="9985"/>
      <c r="T128" s="9985"/>
      <c r="U128" s="9986"/>
      <c r="V128" s="10119"/>
      <c r="W128" s="10111"/>
      <c r="X128" s="10111"/>
      <c r="Y128" s="10112"/>
      <c r="Z128" s="10177"/>
      <c r="AA128" s="10178"/>
      <c r="AB128" s="10178"/>
      <c r="AC128" s="10179"/>
      <c r="AD128" s="10116"/>
      <c r="AE128" s="10117"/>
      <c r="AF128" s="10117"/>
      <c r="AG128" s="10117"/>
      <c r="AH128" s="10117"/>
      <c r="AI128" s="10117"/>
      <c r="AJ128" s="10117"/>
      <c r="AK128" s="2013"/>
      <c r="AL128" s="253"/>
      <c r="AM128" s="253"/>
      <c r="AN128" s="253"/>
      <c r="AO128"/>
      <c r="AV128" s="950"/>
      <c r="AW128" s="950"/>
      <c r="AX128" s="4953"/>
      <c r="BA128" s="658"/>
      <c r="BB128" s="658"/>
      <c r="BC128" s="658"/>
      <c r="BD128" s="658"/>
      <c r="BE128" s="658"/>
      <c r="BF128" s="658"/>
      <c r="BG128" s="658"/>
      <c r="BH128" s="658"/>
      <c r="BI128" s="658"/>
      <c r="BJ128" s="658"/>
      <c r="BK128"/>
    </row>
    <row r="129" spans="1:63" s="815" customFormat="1" ht="17.25" customHeight="1" thickBot="1">
      <c r="A129" s="2013"/>
      <c r="B129" s="2917">
        <v>43</v>
      </c>
      <c r="C129" s="4948" t="str">
        <f>"Amortization of costs that began before your "&amp;TaxYear&amp;" tax year"</f>
        <v>Amortization of costs that began before your 2025 tax year</v>
      </c>
      <c r="D129" s="511"/>
      <c r="E129" s="511"/>
      <c r="F129" s="511"/>
      <c r="G129" s="344"/>
      <c r="H129" s="344"/>
      <c r="I129" s="344"/>
      <c r="J129" s="344"/>
      <c r="K129" s="344"/>
      <c r="L129" s="344"/>
      <c r="M129" s="344"/>
      <c r="N129" s="344"/>
      <c r="O129" s="344"/>
      <c r="P129" s="344"/>
      <c r="Q129" s="344"/>
      <c r="R129" s="344"/>
      <c r="S129" s="344"/>
      <c r="T129" s="344"/>
      <c r="U129" s="344"/>
      <c r="V129" s="344"/>
      <c r="W129" s="344"/>
      <c r="X129" s="344"/>
      <c r="Y129" s="344"/>
      <c r="Z129" s="344"/>
      <c r="AA129" s="1401" t="s">
        <v>811</v>
      </c>
      <c r="AB129" s="10028">
        <v>43</v>
      </c>
      <c r="AC129" s="10029"/>
      <c r="AD129" s="10116"/>
      <c r="AE129" s="10117"/>
      <c r="AF129" s="10117"/>
      <c r="AG129" s="10117"/>
      <c r="AH129" s="10117"/>
      <c r="AI129" s="10117"/>
      <c r="AJ129" s="10117"/>
      <c r="AK129" s="2013"/>
      <c r="AL129" s="253"/>
      <c r="AM129" s="253"/>
      <c r="AN129" s="253"/>
      <c r="AO129"/>
      <c r="AV129" s="950"/>
      <c r="AW129" s="950"/>
      <c r="AX129" s="4953"/>
      <c r="BA129" s="658"/>
      <c r="BB129" s="658"/>
      <c r="BC129" s="658"/>
      <c r="BD129" s="658"/>
      <c r="BE129" s="658"/>
      <c r="BF129" s="658"/>
      <c r="BG129" s="658"/>
      <c r="BH129" s="658"/>
      <c r="BI129" s="658"/>
      <c r="BJ129" s="658"/>
      <c r="BK129"/>
    </row>
    <row r="130" spans="1:63" s="815" customFormat="1" ht="17.25" customHeight="1" thickBot="1">
      <c r="A130" s="2013"/>
      <c r="B130" s="5714">
        <v>44</v>
      </c>
      <c r="C130" s="5710" t="s">
        <v>3625</v>
      </c>
      <c r="D130" s="5715"/>
      <c r="E130" s="5715"/>
      <c r="F130" s="5715"/>
      <c r="G130" s="2080"/>
      <c r="H130" s="2080"/>
      <c r="I130" s="2080"/>
      <c r="J130" s="2080"/>
      <c r="K130" s="2080"/>
      <c r="L130" s="2080"/>
      <c r="M130" s="2080"/>
      <c r="N130" s="2080"/>
      <c r="O130" s="2080"/>
      <c r="P130" s="2080"/>
      <c r="Q130" s="2080"/>
      <c r="R130" s="2080"/>
      <c r="S130" s="2080"/>
      <c r="T130" s="2080"/>
      <c r="U130" s="2080"/>
      <c r="V130" s="2080"/>
      <c r="W130" s="2080"/>
      <c r="X130" s="2080"/>
      <c r="Y130" s="2080"/>
      <c r="Z130" s="2080"/>
      <c r="AA130" s="4462" t="s">
        <v>874</v>
      </c>
      <c r="AB130" s="10181">
        <v>44</v>
      </c>
      <c r="AC130" s="10182"/>
      <c r="AD130" s="10183">
        <f>IF(AM130&lt;&gt;"",ROUND(AM130,0),SUM(ROUND(AD127,0),ROUND(AD128,0),ROUND(AD129,0)))</f>
        <v>0</v>
      </c>
      <c r="AE130" s="10184"/>
      <c r="AF130" s="10184"/>
      <c r="AG130" s="10184"/>
      <c r="AH130" s="10184"/>
      <c r="AI130" s="10184"/>
      <c r="AJ130" s="10184"/>
      <c r="AK130" s="2013"/>
      <c r="AL130" s="253"/>
      <c r="AM130" s="1241"/>
      <c r="AN130" s="253"/>
      <c r="AO130"/>
      <c r="AV130" s="950"/>
      <c r="AW130" s="950"/>
      <c r="AX130" s="4953"/>
      <c r="BA130" s="658"/>
      <c r="BB130" s="658"/>
      <c r="BC130" s="658"/>
      <c r="BD130" s="658"/>
      <c r="BE130" s="658"/>
      <c r="BF130" s="658"/>
      <c r="BG130" s="658"/>
      <c r="BH130" s="658"/>
      <c r="BI130" s="658"/>
      <c r="BJ130" s="658"/>
      <c r="BK130"/>
    </row>
    <row r="131" spans="1:63" s="815" customFormat="1" ht="18.75" thickTop="1">
      <c r="A131" s="2013"/>
      <c r="B131" s="4949"/>
      <c r="C131" s="1560"/>
      <c r="D131" s="1560"/>
      <c r="E131" s="1560"/>
      <c r="F131" s="1560"/>
      <c r="G131" s="1560"/>
      <c r="H131" s="1560"/>
      <c r="I131" s="1560"/>
      <c r="J131" s="1560"/>
      <c r="K131" s="1560"/>
      <c r="L131" s="1560"/>
      <c r="M131" s="1560"/>
      <c r="N131" s="1560"/>
      <c r="O131" s="1560"/>
      <c r="P131" s="1560"/>
      <c r="Q131" s="1560"/>
      <c r="R131" s="1560"/>
      <c r="S131" s="1560"/>
      <c r="T131" s="1560"/>
      <c r="U131" s="3931"/>
      <c r="V131" s="1560"/>
      <c r="W131" s="3931"/>
      <c r="X131" s="1560"/>
      <c r="Y131" s="1560"/>
      <c r="Z131" s="1560"/>
      <c r="AA131" s="1560"/>
      <c r="AB131" s="1560"/>
      <c r="AC131" s="1560"/>
      <c r="AD131" s="1560"/>
      <c r="AE131" s="1560"/>
      <c r="AF131" s="1560"/>
      <c r="AG131" s="1560"/>
      <c r="AH131" s="2052" t="s">
        <v>3626</v>
      </c>
      <c r="AI131" s="1560"/>
      <c r="AJ131" s="2052" t="str">
        <f>"("&amp;TaxYear&amp;")"</f>
        <v>(2025)</v>
      </c>
      <c r="AK131" s="2013"/>
      <c r="AL131" s="253"/>
      <c r="AM131" s="253"/>
      <c r="AN131" s="253"/>
      <c r="AO131"/>
      <c r="AV131" s="950"/>
      <c r="AW131" s="950"/>
      <c r="AX131" s="4953"/>
      <c r="BA131" s="658"/>
      <c r="BB131" s="658"/>
      <c r="BC131" s="658"/>
      <c r="BD131" s="658"/>
      <c r="BE131" s="658"/>
      <c r="BF131" s="658"/>
      <c r="BG131" s="658"/>
      <c r="BH131" s="658"/>
      <c r="BI131" s="658"/>
      <c r="BJ131" s="658"/>
      <c r="BK131"/>
    </row>
    <row r="132" spans="1:63" ht="6" customHeight="1">
      <c r="A132" s="2013"/>
      <c r="B132" s="2013"/>
      <c r="C132" s="2013"/>
      <c r="D132" s="2013"/>
      <c r="E132" s="2013"/>
      <c r="F132" s="2013"/>
      <c r="G132" s="2013"/>
      <c r="H132" s="2013"/>
      <c r="I132" s="2013"/>
      <c r="J132" s="2013"/>
      <c r="K132" s="2013"/>
      <c r="L132" s="2013"/>
      <c r="M132" s="2013"/>
      <c r="N132" s="2013"/>
      <c r="O132" s="2013"/>
      <c r="P132" s="2013"/>
      <c r="Q132" s="2013"/>
      <c r="R132" s="2013"/>
      <c r="S132" s="2013"/>
      <c r="T132" s="2013"/>
      <c r="U132" s="2013"/>
      <c r="V132" s="2013"/>
      <c r="W132" s="2013"/>
      <c r="X132" s="2013"/>
      <c r="Y132" s="2013"/>
      <c r="Z132" s="2013"/>
      <c r="AA132" s="2013"/>
      <c r="AB132" s="2013"/>
      <c r="AC132" s="2013"/>
      <c r="AD132" s="2013"/>
      <c r="AE132" s="2013"/>
      <c r="AF132" s="2013"/>
      <c r="AG132" s="2013"/>
      <c r="AH132" s="2013"/>
      <c r="AI132" s="2013"/>
      <c r="AJ132" s="2013"/>
      <c r="AK132" s="2013"/>
      <c r="AL132" s="253"/>
      <c r="AM132" s="253"/>
      <c r="AN132" s="253"/>
    </row>
    <row r="133" spans="1:63" ht="15">
      <c r="B133" s="4950" t="s">
        <v>3473</v>
      </c>
      <c r="C133" s="4033"/>
      <c r="D133" s="4033"/>
      <c r="E133" s="4033"/>
      <c r="F133" s="4033"/>
      <c r="G133" s="4033"/>
      <c r="H133" s="4033"/>
      <c r="I133" s="4033"/>
      <c r="J133" s="4033"/>
      <c r="K133" s="4033"/>
      <c r="L133" s="4033"/>
      <c r="M133" s="4033"/>
      <c r="N133" s="4033"/>
      <c r="O133" s="4033"/>
      <c r="P133" s="4033"/>
      <c r="Q133" s="4033"/>
      <c r="R133" s="4033"/>
      <c r="S133" s="4033"/>
      <c r="T133" s="4033"/>
      <c r="U133" s="4033"/>
      <c r="V133" s="4033"/>
      <c r="W133" s="4033"/>
      <c r="X133" s="4033"/>
      <c r="Y133" s="4033"/>
      <c r="Z133" s="4033"/>
      <c r="AA133" s="4033"/>
      <c r="AB133" s="4033"/>
      <c r="AC133" s="4033"/>
      <c r="AD133" s="4033"/>
      <c r="AE133" s="4033"/>
      <c r="AF133" s="4033"/>
      <c r="AG133" s="4033"/>
      <c r="AH133" s="4033"/>
      <c r="AI133" s="4033"/>
      <c r="AJ133" s="4033"/>
    </row>
    <row r="134" spans="1:63" ht="7.5" customHeight="1">
      <c r="B134" s="253"/>
      <c r="C134" s="253"/>
      <c r="D134" s="253"/>
      <c r="E134" s="253"/>
      <c r="F134" s="413"/>
      <c r="G134" s="413"/>
      <c r="H134" s="413"/>
      <c r="I134" s="413"/>
      <c r="J134" s="413"/>
      <c r="K134" s="413"/>
      <c r="L134" s="413"/>
      <c r="M134" s="413"/>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row>
    <row r="135" spans="1:63" ht="22.5" customHeight="1">
      <c r="B135" s="10185" t="s">
        <v>3627</v>
      </c>
      <c r="C135" s="8460"/>
      <c r="D135" s="8460"/>
      <c r="E135" s="8460"/>
      <c r="F135" s="8460"/>
      <c r="G135" s="8460"/>
      <c r="H135" s="8460"/>
      <c r="I135" s="8323"/>
      <c r="J135" s="10187" t="s">
        <v>3628</v>
      </c>
      <c r="K135" s="8440"/>
      <c r="L135" s="8441"/>
      <c r="M135" s="10187" t="s">
        <v>3629</v>
      </c>
      <c r="N135" s="8440"/>
      <c r="O135" s="8441"/>
      <c r="P135" s="10187" t="s">
        <v>3630</v>
      </c>
      <c r="Q135" s="8460"/>
      <c r="R135" s="8323"/>
      <c r="S135" s="10187" t="s">
        <v>3631</v>
      </c>
      <c r="T135" s="8460"/>
      <c r="U135" s="8323"/>
      <c r="V135" s="10187" t="s">
        <v>3481</v>
      </c>
      <c r="W135" s="8460"/>
      <c r="X135" s="8323"/>
      <c r="Y135" s="10187" t="s">
        <v>3632</v>
      </c>
      <c r="Z135" s="8440"/>
      <c r="AA135" s="8441"/>
      <c r="AB135" s="10187" t="s">
        <v>3633</v>
      </c>
      <c r="AC135" s="8323"/>
      <c r="AD135" s="10187" t="s">
        <v>3634</v>
      </c>
      <c r="AE135" s="8440"/>
      <c r="AF135" s="8441"/>
      <c r="AG135" s="10187" t="s">
        <v>3635</v>
      </c>
      <c r="AH135" s="8460"/>
      <c r="AI135" s="8460"/>
      <c r="AJ135" s="8323"/>
    </row>
    <row r="136" spans="1:63" ht="22.5" customHeight="1">
      <c r="B136" s="8324"/>
      <c r="C136" s="9500"/>
      <c r="D136" s="9500"/>
      <c r="E136" s="9500"/>
      <c r="F136" s="9500"/>
      <c r="G136" s="9500"/>
      <c r="H136" s="9500"/>
      <c r="I136" s="8325"/>
      <c r="J136" s="8442"/>
      <c r="K136" s="8443"/>
      <c r="L136" s="8444"/>
      <c r="M136" s="8442"/>
      <c r="N136" s="8443"/>
      <c r="O136" s="8444"/>
      <c r="P136" s="8324"/>
      <c r="Q136" s="9500"/>
      <c r="R136" s="8325"/>
      <c r="S136" s="8324"/>
      <c r="T136" s="9500"/>
      <c r="U136" s="8325"/>
      <c r="V136" s="8324"/>
      <c r="W136" s="9500"/>
      <c r="X136" s="8325"/>
      <c r="Y136" s="8442"/>
      <c r="Z136" s="8443"/>
      <c r="AA136" s="8444"/>
      <c r="AB136" s="8324"/>
      <c r="AC136" s="8325"/>
      <c r="AD136" s="8442"/>
      <c r="AE136" s="8443"/>
      <c r="AF136" s="8444"/>
      <c r="AG136" s="8324"/>
      <c r="AH136" s="9500"/>
      <c r="AI136" s="9500"/>
      <c r="AJ136" s="8325"/>
    </row>
    <row r="137" spans="1:63" ht="22.5" customHeight="1">
      <c r="B137" s="8326"/>
      <c r="C137" s="10186"/>
      <c r="D137" s="10186"/>
      <c r="E137" s="10186"/>
      <c r="F137" s="10186"/>
      <c r="G137" s="10186"/>
      <c r="H137" s="10186"/>
      <c r="I137" s="8327"/>
      <c r="J137" s="8445"/>
      <c r="K137" s="8446"/>
      <c r="L137" s="8447"/>
      <c r="M137" s="8445"/>
      <c r="N137" s="8446"/>
      <c r="O137" s="8447"/>
      <c r="P137" s="8326"/>
      <c r="Q137" s="10186"/>
      <c r="R137" s="8327"/>
      <c r="S137" s="8326"/>
      <c r="T137" s="10186"/>
      <c r="U137" s="8327"/>
      <c r="V137" s="8326"/>
      <c r="W137" s="10186"/>
      <c r="X137" s="8327"/>
      <c r="Y137" s="8445"/>
      <c r="Z137" s="8446"/>
      <c r="AA137" s="8447"/>
      <c r="AB137" s="8326"/>
      <c r="AC137" s="8327"/>
      <c r="AD137" s="8445"/>
      <c r="AE137" s="8446"/>
      <c r="AF137" s="8447"/>
      <c r="AG137" s="8326"/>
      <c r="AH137" s="10186"/>
      <c r="AI137" s="10186"/>
      <c r="AJ137" s="8327"/>
    </row>
    <row r="138" spans="1:63" s="506" customFormat="1" ht="15">
      <c r="B138" s="10191"/>
      <c r="C138" s="10192"/>
      <c r="D138" s="10192"/>
      <c r="E138" s="10192"/>
      <c r="F138" s="10192"/>
      <c r="G138" s="10192"/>
      <c r="H138" s="10192"/>
      <c r="I138" s="10193"/>
      <c r="J138" s="10194"/>
      <c r="K138" s="10195"/>
      <c r="L138" s="10196"/>
      <c r="M138" s="10197"/>
      <c r="N138" s="10198"/>
      <c r="O138" s="10199"/>
      <c r="P138" s="10200"/>
      <c r="Q138" s="10201"/>
      <c r="R138" s="10202"/>
      <c r="S138" s="10197"/>
      <c r="T138" s="10198"/>
      <c r="U138" s="10199"/>
      <c r="V138" s="10197"/>
      <c r="W138" s="10198"/>
      <c r="X138" s="10199"/>
      <c r="Y138" s="10203"/>
      <c r="Z138" s="10204"/>
      <c r="AA138" s="10205"/>
      <c r="AB138" s="10206"/>
      <c r="AC138" s="10196"/>
      <c r="AD138" s="10200"/>
      <c r="AE138" s="10201"/>
      <c r="AF138" s="10202"/>
      <c r="AG138" s="10188"/>
      <c r="AH138" s="10189"/>
      <c r="AI138" s="10189"/>
      <c r="AJ138" s="10190"/>
      <c r="AV138" s="3161"/>
      <c r="AW138" s="3161"/>
      <c r="AX138" s="4966"/>
      <c r="BA138" s="1242"/>
      <c r="BB138" s="1242"/>
      <c r="BC138" s="1242"/>
      <c r="BD138" s="1242"/>
      <c r="BE138" s="1242"/>
      <c r="BF138" s="1242"/>
      <c r="BG138" s="1242"/>
      <c r="BH138" s="1242"/>
      <c r="BI138" s="1242"/>
      <c r="BJ138" s="1242"/>
    </row>
    <row r="139" spans="1:63" s="506" customFormat="1" ht="15">
      <c r="B139" s="10191"/>
      <c r="C139" s="10192"/>
      <c r="D139" s="10192"/>
      <c r="E139" s="10192"/>
      <c r="F139" s="10192"/>
      <c r="G139" s="10192"/>
      <c r="H139" s="10192"/>
      <c r="I139" s="10193"/>
      <c r="J139" s="10194"/>
      <c r="K139" s="10195"/>
      <c r="L139" s="10196"/>
      <c r="M139" s="10197"/>
      <c r="N139" s="10198"/>
      <c r="O139" s="10199"/>
      <c r="P139" s="10200"/>
      <c r="Q139" s="10201"/>
      <c r="R139" s="10202"/>
      <c r="S139" s="10197"/>
      <c r="T139" s="10198"/>
      <c r="U139" s="10199"/>
      <c r="V139" s="10197"/>
      <c r="W139" s="10198"/>
      <c r="X139" s="10199"/>
      <c r="Y139" s="10203"/>
      <c r="Z139" s="10204"/>
      <c r="AA139" s="10205"/>
      <c r="AB139" s="10206"/>
      <c r="AC139" s="10196"/>
      <c r="AD139" s="10200"/>
      <c r="AE139" s="10201"/>
      <c r="AF139" s="10202"/>
      <c r="AG139" s="10188"/>
      <c r="AH139" s="10189"/>
      <c r="AI139" s="10189"/>
      <c r="AJ139" s="10190"/>
      <c r="AV139" s="3161"/>
      <c r="AW139" s="3161"/>
      <c r="AX139" s="4966"/>
      <c r="BA139" s="1242"/>
      <c r="BB139" s="1242"/>
      <c r="BC139" s="1242"/>
      <c r="BD139" s="1242"/>
      <c r="BE139" s="1242"/>
      <c r="BF139" s="1242"/>
      <c r="BG139" s="1242"/>
      <c r="BH139" s="1242"/>
      <c r="BI139" s="1242"/>
      <c r="BJ139" s="1242"/>
    </row>
    <row r="140" spans="1:63" s="506" customFormat="1" ht="15">
      <c r="B140" s="10191"/>
      <c r="C140" s="10192"/>
      <c r="D140" s="10192"/>
      <c r="E140" s="10192"/>
      <c r="F140" s="10192"/>
      <c r="G140" s="10192"/>
      <c r="H140" s="10192"/>
      <c r="I140" s="10193"/>
      <c r="J140" s="10194"/>
      <c r="K140" s="10195"/>
      <c r="L140" s="10196"/>
      <c r="M140" s="10197"/>
      <c r="N140" s="10198"/>
      <c r="O140" s="10199"/>
      <c r="P140" s="10200"/>
      <c r="Q140" s="10201"/>
      <c r="R140" s="10202"/>
      <c r="S140" s="10197"/>
      <c r="T140" s="10198"/>
      <c r="U140" s="10199"/>
      <c r="V140" s="10197"/>
      <c r="W140" s="10198"/>
      <c r="X140" s="10199"/>
      <c r="Y140" s="10203"/>
      <c r="Z140" s="10204"/>
      <c r="AA140" s="10205"/>
      <c r="AB140" s="10206"/>
      <c r="AC140" s="10196"/>
      <c r="AD140" s="10200"/>
      <c r="AE140" s="10201"/>
      <c r="AF140" s="10202"/>
      <c r="AG140" s="10188"/>
      <c r="AH140" s="10189"/>
      <c r="AI140" s="10189"/>
      <c r="AJ140" s="10190"/>
      <c r="AV140" s="3161"/>
      <c r="AW140" s="3161"/>
      <c r="AX140" s="4966"/>
      <c r="BA140" s="1242"/>
      <c r="BB140" s="1242"/>
      <c r="BC140" s="1242"/>
      <c r="BD140" s="1242"/>
      <c r="BE140" s="1242"/>
      <c r="BF140" s="1242"/>
      <c r="BG140" s="1242"/>
      <c r="BH140" s="1242"/>
      <c r="BI140" s="1242"/>
      <c r="BJ140" s="1242"/>
    </row>
    <row r="141" spans="1:63" s="506" customFormat="1" ht="15">
      <c r="B141" s="10191"/>
      <c r="C141" s="10192"/>
      <c r="D141" s="10192"/>
      <c r="E141" s="10192"/>
      <c r="F141" s="10192"/>
      <c r="G141" s="10192"/>
      <c r="H141" s="10192"/>
      <c r="I141" s="10193"/>
      <c r="J141" s="10194"/>
      <c r="K141" s="10195"/>
      <c r="L141" s="10196"/>
      <c r="M141" s="10197"/>
      <c r="N141" s="10198"/>
      <c r="O141" s="10199"/>
      <c r="P141" s="10200"/>
      <c r="Q141" s="10201"/>
      <c r="R141" s="10202"/>
      <c r="S141" s="10197"/>
      <c r="T141" s="10198"/>
      <c r="U141" s="10199"/>
      <c r="V141" s="10197"/>
      <c r="W141" s="10198"/>
      <c r="X141" s="10199"/>
      <c r="Y141" s="10203"/>
      <c r="Z141" s="10204"/>
      <c r="AA141" s="10205"/>
      <c r="AB141" s="10206"/>
      <c r="AC141" s="10196"/>
      <c r="AD141" s="10200"/>
      <c r="AE141" s="10201"/>
      <c r="AF141" s="10202"/>
      <c r="AG141" s="10188"/>
      <c r="AH141" s="10189"/>
      <c r="AI141" s="10189"/>
      <c r="AJ141" s="10190"/>
      <c r="AV141" s="3161"/>
      <c r="AW141" s="3161"/>
      <c r="AX141" s="4966"/>
      <c r="BA141" s="1242"/>
      <c r="BB141" s="1242"/>
      <c r="BC141" s="1242"/>
      <c r="BD141" s="1242"/>
      <c r="BE141" s="1242"/>
      <c r="BF141" s="1242"/>
      <c r="BG141" s="1242"/>
      <c r="BH141" s="1242"/>
      <c r="BI141" s="1242"/>
      <c r="BJ141" s="1242"/>
    </row>
    <row r="142" spans="1:63" s="506" customFormat="1" ht="15">
      <c r="B142" s="10191"/>
      <c r="C142" s="10192"/>
      <c r="D142" s="10192"/>
      <c r="E142" s="10192"/>
      <c r="F142" s="10192"/>
      <c r="G142" s="10192"/>
      <c r="H142" s="10192"/>
      <c r="I142" s="10193"/>
      <c r="J142" s="10194"/>
      <c r="K142" s="10195"/>
      <c r="L142" s="10196"/>
      <c r="M142" s="10197"/>
      <c r="N142" s="10198"/>
      <c r="O142" s="10199"/>
      <c r="P142" s="10200"/>
      <c r="Q142" s="10201"/>
      <c r="R142" s="10202"/>
      <c r="S142" s="10197"/>
      <c r="T142" s="10198"/>
      <c r="U142" s="10199"/>
      <c r="V142" s="10197"/>
      <c r="W142" s="10198"/>
      <c r="X142" s="10199"/>
      <c r="Y142" s="10203"/>
      <c r="Z142" s="10204"/>
      <c r="AA142" s="10205"/>
      <c r="AB142" s="10206"/>
      <c r="AC142" s="10196"/>
      <c r="AD142" s="10200"/>
      <c r="AE142" s="10201"/>
      <c r="AF142" s="10202"/>
      <c r="AG142" s="10188"/>
      <c r="AH142" s="10189"/>
      <c r="AI142" s="10189"/>
      <c r="AJ142" s="10190"/>
      <c r="AV142" s="3161"/>
      <c r="AW142" s="3161"/>
      <c r="AX142" s="4966"/>
      <c r="BA142" s="1242"/>
      <c r="BB142" s="1242"/>
      <c r="BC142" s="1242"/>
      <c r="BD142" s="1242"/>
      <c r="BE142" s="1242"/>
      <c r="BF142" s="1242"/>
      <c r="BG142" s="1242"/>
      <c r="BH142" s="1242"/>
      <c r="BI142" s="1242"/>
      <c r="BJ142" s="1242"/>
    </row>
    <row r="143" spans="1:63" s="506" customFormat="1" ht="15">
      <c r="B143" s="10191"/>
      <c r="C143" s="10192"/>
      <c r="D143" s="10192"/>
      <c r="E143" s="10192"/>
      <c r="F143" s="10192"/>
      <c r="G143" s="10192"/>
      <c r="H143" s="10192"/>
      <c r="I143" s="10193"/>
      <c r="J143" s="10194"/>
      <c r="K143" s="10195"/>
      <c r="L143" s="10196"/>
      <c r="M143" s="10197"/>
      <c r="N143" s="10198"/>
      <c r="O143" s="10199"/>
      <c r="P143" s="10200"/>
      <c r="Q143" s="10201"/>
      <c r="R143" s="10202"/>
      <c r="S143" s="10197"/>
      <c r="T143" s="10198"/>
      <c r="U143" s="10199"/>
      <c r="V143" s="10197"/>
      <c r="W143" s="10198"/>
      <c r="X143" s="10199"/>
      <c r="Y143" s="10203"/>
      <c r="Z143" s="10204"/>
      <c r="AA143" s="10205"/>
      <c r="AB143" s="10206"/>
      <c r="AC143" s="10196"/>
      <c r="AD143" s="10200"/>
      <c r="AE143" s="10201"/>
      <c r="AF143" s="10202"/>
      <c r="AG143" s="10188"/>
      <c r="AH143" s="10189"/>
      <c r="AI143" s="10189"/>
      <c r="AJ143" s="10190"/>
      <c r="AV143" s="3161"/>
      <c r="AW143" s="3161"/>
      <c r="AX143" s="4966"/>
      <c r="BA143" s="1242"/>
      <c r="BB143" s="1242"/>
      <c r="BC143" s="1242"/>
      <c r="BD143" s="1242"/>
      <c r="BE143" s="1242"/>
      <c r="BF143" s="1242"/>
      <c r="BG143" s="1242"/>
      <c r="BH143" s="1242"/>
      <c r="BI143" s="1242"/>
      <c r="BJ143" s="1242"/>
    </row>
    <row r="144" spans="1:63" s="506" customFormat="1" ht="15">
      <c r="B144" s="10191"/>
      <c r="C144" s="10192"/>
      <c r="D144" s="10192"/>
      <c r="E144" s="10192"/>
      <c r="F144" s="10192"/>
      <c r="G144" s="10192"/>
      <c r="H144" s="10192"/>
      <c r="I144" s="10193"/>
      <c r="J144" s="10194"/>
      <c r="K144" s="10195"/>
      <c r="L144" s="10196"/>
      <c r="M144" s="10197"/>
      <c r="N144" s="10198"/>
      <c r="O144" s="10199"/>
      <c r="P144" s="10200"/>
      <c r="Q144" s="10201"/>
      <c r="R144" s="10202"/>
      <c r="S144" s="10197"/>
      <c r="T144" s="10198"/>
      <c r="U144" s="10199"/>
      <c r="V144" s="10197"/>
      <c r="W144" s="10198"/>
      <c r="X144" s="10199"/>
      <c r="Y144" s="10203"/>
      <c r="Z144" s="10204"/>
      <c r="AA144" s="10205"/>
      <c r="AB144" s="10206"/>
      <c r="AC144" s="10196"/>
      <c r="AD144" s="10200"/>
      <c r="AE144" s="10201"/>
      <c r="AF144" s="10202"/>
      <c r="AG144" s="10188"/>
      <c r="AH144" s="10189"/>
      <c r="AI144" s="10189"/>
      <c r="AJ144" s="10190"/>
      <c r="AV144" s="3161"/>
      <c r="AW144" s="3161"/>
      <c r="AX144" s="4966"/>
      <c r="BA144" s="1242"/>
      <c r="BB144" s="1242"/>
      <c r="BC144" s="1242"/>
      <c r="BD144" s="1242"/>
      <c r="BE144" s="1242"/>
      <c r="BF144" s="1242"/>
      <c r="BG144" s="1242"/>
      <c r="BH144" s="1242"/>
      <c r="BI144" s="1242"/>
      <c r="BJ144" s="1242"/>
    </row>
    <row r="145" spans="2:62" s="506" customFormat="1" ht="15">
      <c r="B145" s="10191"/>
      <c r="C145" s="10192"/>
      <c r="D145" s="10192"/>
      <c r="E145" s="10192"/>
      <c r="F145" s="10192"/>
      <c r="G145" s="10192"/>
      <c r="H145" s="10192"/>
      <c r="I145" s="10193"/>
      <c r="J145" s="10194"/>
      <c r="K145" s="10195"/>
      <c r="L145" s="10196"/>
      <c r="M145" s="10197"/>
      <c r="N145" s="10198"/>
      <c r="O145" s="10199"/>
      <c r="P145" s="10200"/>
      <c r="Q145" s="10201"/>
      <c r="R145" s="10202"/>
      <c r="S145" s="10197"/>
      <c r="T145" s="10198"/>
      <c r="U145" s="10199"/>
      <c r="V145" s="10197"/>
      <c r="W145" s="10198"/>
      <c r="X145" s="10199"/>
      <c r="Y145" s="10203"/>
      <c r="Z145" s="10204"/>
      <c r="AA145" s="10205"/>
      <c r="AB145" s="10206"/>
      <c r="AC145" s="10196"/>
      <c r="AD145" s="10200"/>
      <c r="AE145" s="10201"/>
      <c r="AF145" s="10202"/>
      <c r="AG145" s="10188"/>
      <c r="AH145" s="10189"/>
      <c r="AI145" s="10189"/>
      <c r="AJ145" s="10190"/>
      <c r="AV145" s="3161"/>
      <c r="AW145" s="3161"/>
      <c r="AX145" s="4966"/>
      <c r="BA145" s="1242"/>
      <c r="BB145" s="1242"/>
      <c r="BC145" s="1242"/>
      <c r="BD145" s="1242"/>
      <c r="BE145" s="1242"/>
      <c r="BF145" s="1242"/>
      <c r="BG145" s="1242"/>
      <c r="BH145" s="1242"/>
      <c r="BI145" s="1242"/>
      <c r="BJ145" s="1242"/>
    </row>
    <row r="146" spans="2:62" s="506" customFormat="1" ht="15">
      <c r="B146" s="10191"/>
      <c r="C146" s="10192"/>
      <c r="D146" s="10192"/>
      <c r="E146" s="10192"/>
      <c r="F146" s="10192"/>
      <c r="G146" s="10192"/>
      <c r="H146" s="10192"/>
      <c r="I146" s="10193"/>
      <c r="J146" s="10194"/>
      <c r="K146" s="10195"/>
      <c r="L146" s="10196"/>
      <c r="M146" s="10197"/>
      <c r="N146" s="10198"/>
      <c r="O146" s="10199"/>
      <c r="P146" s="10200"/>
      <c r="Q146" s="10201"/>
      <c r="R146" s="10202"/>
      <c r="S146" s="10197"/>
      <c r="T146" s="10198"/>
      <c r="U146" s="10199"/>
      <c r="V146" s="10197"/>
      <c r="W146" s="10198"/>
      <c r="X146" s="10199"/>
      <c r="Y146" s="10203"/>
      <c r="Z146" s="10204"/>
      <c r="AA146" s="10205"/>
      <c r="AB146" s="10206"/>
      <c r="AC146" s="10196"/>
      <c r="AD146" s="10200"/>
      <c r="AE146" s="10201"/>
      <c r="AF146" s="10202"/>
      <c r="AG146" s="10188"/>
      <c r="AH146" s="10189"/>
      <c r="AI146" s="10189"/>
      <c r="AJ146" s="10190"/>
      <c r="AV146" s="3161"/>
      <c r="AW146" s="3161"/>
      <c r="AX146" s="4966"/>
      <c r="BA146" s="1242"/>
      <c r="BB146" s="1242"/>
      <c r="BC146" s="1242"/>
      <c r="BD146" s="1242"/>
      <c r="BE146" s="1242"/>
      <c r="BF146" s="1242"/>
      <c r="BG146" s="1242"/>
      <c r="BH146" s="1242"/>
      <c r="BI146" s="1242"/>
      <c r="BJ146" s="1242"/>
    </row>
    <row r="147" spans="2:62" s="506" customFormat="1" ht="15">
      <c r="B147" s="10191"/>
      <c r="C147" s="10192"/>
      <c r="D147" s="10192"/>
      <c r="E147" s="10192"/>
      <c r="F147" s="10192"/>
      <c r="G147" s="10192"/>
      <c r="H147" s="10192"/>
      <c r="I147" s="10193"/>
      <c r="J147" s="10194"/>
      <c r="K147" s="10195"/>
      <c r="L147" s="10196"/>
      <c r="M147" s="10197"/>
      <c r="N147" s="10198"/>
      <c r="O147" s="10199"/>
      <c r="P147" s="10200"/>
      <c r="Q147" s="10201"/>
      <c r="R147" s="10202"/>
      <c r="S147" s="10197"/>
      <c r="T147" s="10198"/>
      <c r="U147" s="10199"/>
      <c r="V147" s="10197"/>
      <c r="W147" s="10198"/>
      <c r="X147" s="10199"/>
      <c r="Y147" s="10203"/>
      <c r="Z147" s="10204"/>
      <c r="AA147" s="10205"/>
      <c r="AB147" s="10206"/>
      <c r="AC147" s="10196"/>
      <c r="AD147" s="10200"/>
      <c r="AE147" s="10201"/>
      <c r="AF147" s="10202"/>
      <c r="AG147" s="10188"/>
      <c r="AH147" s="10189"/>
      <c r="AI147" s="10189"/>
      <c r="AJ147" s="10190"/>
      <c r="AV147" s="3161"/>
      <c r="AW147" s="3161"/>
      <c r="AX147" s="4966"/>
      <c r="BA147" s="1242"/>
      <c r="BB147" s="1242"/>
      <c r="BC147" s="1242"/>
      <c r="BD147" s="1242"/>
      <c r="BE147" s="1242"/>
      <c r="BF147" s="1242"/>
      <c r="BG147" s="1242"/>
      <c r="BH147" s="1242"/>
      <c r="BI147" s="1242"/>
      <c r="BJ147" s="1242"/>
    </row>
    <row r="148" spans="2:62" s="506" customFormat="1" ht="15">
      <c r="B148" s="10191"/>
      <c r="C148" s="10192"/>
      <c r="D148" s="10192"/>
      <c r="E148" s="10192"/>
      <c r="F148" s="10192"/>
      <c r="G148" s="10192"/>
      <c r="H148" s="10192"/>
      <c r="I148" s="10193"/>
      <c r="J148" s="10194"/>
      <c r="K148" s="10195"/>
      <c r="L148" s="10196"/>
      <c r="M148" s="10197"/>
      <c r="N148" s="10198"/>
      <c r="O148" s="10199"/>
      <c r="P148" s="10200"/>
      <c r="Q148" s="10201"/>
      <c r="R148" s="10202"/>
      <c r="S148" s="10197"/>
      <c r="T148" s="10198"/>
      <c r="U148" s="10199"/>
      <c r="V148" s="10197"/>
      <c r="W148" s="10198"/>
      <c r="X148" s="10199"/>
      <c r="Y148" s="10203"/>
      <c r="Z148" s="10204"/>
      <c r="AA148" s="10205"/>
      <c r="AB148" s="10206"/>
      <c r="AC148" s="10196"/>
      <c r="AD148" s="10200"/>
      <c r="AE148" s="10201"/>
      <c r="AF148" s="10202"/>
      <c r="AG148" s="10188"/>
      <c r="AH148" s="10189"/>
      <c r="AI148" s="10189"/>
      <c r="AJ148" s="10190"/>
      <c r="AV148" s="3161"/>
      <c r="AW148" s="3161"/>
      <c r="AX148" s="4966"/>
      <c r="BA148" s="1242"/>
      <c r="BB148" s="1242"/>
      <c r="BC148" s="1242"/>
      <c r="BD148" s="1242"/>
      <c r="BE148" s="1242"/>
      <c r="BF148" s="1242"/>
      <c r="BG148" s="1242"/>
      <c r="BH148" s="1242"/>
      <c r="BI148" s="1242"/>
      <c r="BJ148" s="1242"/>
    </row>
    <row r="149" spans="2:62" s="506" customFormat="1" ht="15">
      <c r="B149" s="10191"/>
      <c r="C149" s="10192"/>
      <c r="D149" s="10192"/>
      <c r="E149" s="10192"/>
      <c r="F149" s="10192"/>
      <c r="G149" s="10192"/>
      <c r="H149" s="10192"/>
      <c r="I149" s="10193"/>
      <c r="J149" s="10194"/>
      <c r="K149" s="10195"/>
      <c r="L149" s="10196"/>
      <c r="M149" s="10197"/>
      <c r="N149" s="10198"/>
      <c r="O149" s="10199"/>
      <c r="P149" s="10200"/>
      <c r="Q149" s="10201"/>
      <c r="R149" s="10202"/>
      <c r="S149" s="10197"/>
      <c r="T149" s="10198"/>
      <c r="U149" s="10199"/>
      <c r="V149" s="10197"/>
      <c r="W149" s="10198"/>
      <c r="X149" s="10199"/>
      <c r="Y149" s="10203"/>
      <c r="Z149" s="10204"/>
      <c r="AA149" s="10205"/>
      <c r="AB149" s="10206"/>
      <c r="AC149" s="10196"/>
      <c r="AD149" s="10200"/>
      <c r="AE149" s="10201"/>
      <c r="AF149" s="10202"/>
      <c r="AG149" s="10188"/>
      <c r="AH149" s="10189"/>
      <c r="AI149" s="10189"/>
      <c r="AJ149" s="10190"/>
      <c r="AV149" s="3161"/>
      <c r="AW149" s="3161"/>
      <c r="AX149" s="4966"/>
      <c r="BA149" s="1242"/>
      <c r="BB149" s="1242"/>
      <c r="BC149" s="1242"/>
      <c r="BD149" s="1242"/>
      <c r="BE149" s="1242"/>
      <c r="BF149" s="1242"/>
      <c r="BG149" s="1242"/>
      <c r="BH149" s="1242"/>
      <c r="BI149" s="1242"/>
      <c r="BJ149" s="1242"/>
    </row>
    <row r="150" spans="2:62" s="506" customFormat="1" ht="15">
      <c r="B150" s="10191"/>
      <c r="C150" s="10192"/>
      <c r="D150" s="10192"/>
      <c r="E150" s="10192"/>
      <c r="F150" s="10192"/>
      <c r="G150" s="10192"/>
      <c r="H150" s="10192"/>
      <c r="I150" s="10193"/>
      <c r="J150" s="10194"/>
      <c r="K150" s="10195"/>
      <c r="L150" s="10196"/>
      <c r="M150" s="10197"/>
      <c r="N150" s="10198"/>
      <c r="O150" s="10199"/>
      <c r="P150" s="10200"/>
      <c r="Q150" s="10201"/>
      <c r="R150" s="10202"/>
      <c r="S150" s="10197"/>
      <c r="T150" s="10198"/>
      <c r="U150" s="10199"/>
      <c r="V150" s="10197"/>
      <c r="W150" s="10198"/>
      <c r="X150" s="10199"/>
      <c r="Y150" s="10203"/>
      <c r="Z150" s="10204"/>
      <c r="AA150" s="10205"/>
      <c r="AB150" s="10206"/>
      <c r="AC150" s="10196"/>
      <c r="AD150" s="10200"/>
      <c r="AE150" s="10201"/>
      <c r="AF150" s="10202"/>
      <c r="AG150" s="10188"/>
      <c r="AH150" s="10189"/>
      <c r="AI150" s="10189"/>
      <c r="AJ150" s="10190"/>
      <c r="AV150" s="3161"/>
      <c r="AW150" s="3161"/>
      <c r="AX150" s="4966"/>
      <c r="BA150" s="1242"/>
      <c r="BB150" s="1242"/>
      <c r="BC150" s="1242"/>
      <c r="BD150" s="1242"/>
      <c r="BE150" s="1242"/>
      <c r="BF150" s="1242"/>
      <c r="BG150" s="1242"/>
      <c r="BH150" s="1242"/>
      <c r="BI150" s="1242"/>
      <c r="BJ150" s="1242"/>
    </row>
    <row r="151" spans="2:62" s="506" customFormat="1" ht="15">
      <c r="B151" s="10191"/>
      <c r="C151" s="10192"/>
      <c r="D151" s="10192"/>
      <c r="E151" s="10192"/>
      <c r="F151" s="10192"/>
      <c r="G151" s="10192"/>
      <c r="H151" s="10192"/>
      <c r="I151" s="10193"/>
      <c r="J151" s="10194"/>
      <c r="K151" s="10195"/>
      <c r="L151" s="10196"/>
      <c r="M151" s="10197"/>
      <c r="N151" s="10198"/>
      <c r="O151" s="10199"/>
      <c r="P151" s="10200"/>
      <c r="Q151" s="10201"/>
      <c r="R151" s="10202"/>
      <c r="S151" s="10197"/>
      <c r="T151" s="10198"/>
      <c r="U151" s="10199"/>
      <c r="V151" s="10197"/>
      <c r="W151" s="10198"/>
      <c r="X151" s="10199"/>
      <c r="Y151" s="10203"/>
      <c r="Z151" s="10204"/>
      <c r="AA151" s="10205"/>
      <c r="AB151" s="10206"/>
      <c r="AC151" s="10196"/>
      <c r="AD151" s="10200"/>
      <c r="AE151" s="10201"/>
      <c r="AF151" s="10202"/>
      <c r="AG151" s="10188"/>
      <c r="AH151" s="10189"/>
      <c r="AI151" s="10189"/>
      <c r="AJ151" s="10190"/>
      <c r="AV151" s="3161"/>
      <c r="AW151" s="3161"/>
      <c r="AX151" s="4966"/>
      <c r="BA151" s="1242"/>
      <c r="BB151" s="1242"/>
      <c r="BC151" s="1242"/>
      <c r="BD151" s="1242"/>
      <c r="BE151" s="1242"/>
      <c r="BF151" s="1242"/>
      <c r="BG151" s="1242"/>
      <c r="BH151" s="1242"/>
      <c r="BI151" s="1242"/>
      <c r="BJ151" s="1242"/>
    </row>
    <row r="152" spans="2:62" s="506" customFormat="1" ht="15">
      <c r="B152" s="10191"/>
      <c r="C152" s="10192"/>
      <c r="D152" s="10192"/>
      <c r="E152" s="10192"/>
      <c r="F152" s="10192"/>
      <c r="G152" s="10192"/>
      <c r="H152" s="10192"/>
      <c r="I152" s="10193"/>
      <c r="J152" s="10194"/>
      <c r="K152" s="10195"/>
      <c r="L152" s="10196"/>
      <c r="M152" s="10197"/>
      <c r="N152" s="10198"/>
      <c r="O152" s="10199"/>
      <c r="P152" s="10200"/>
      <c r="Q152" s="10201"/>
      <c r="R152" s="10202"/>
      <c r="S152" s="10197"/>
      <c r="T152" s="10198"/>
      <c r="U152" s="10199"/>
      <c r="V152" s="10197"/>
      <c r="W152" s="10198"/>
      <c r="X152" s="10199"/>
      <c r="Y152" s="10203"/>
      <c r="Z152" s="10204"/>
      <c r="AA152" s="10205"/>
      <c r="AB152" s="10206"/>
      <c r="AC152" s="10196"/>
      <c r="AD152" s="10200"/>
      <c r="AE152" s="10201"/>
      <c r="AF152" s="10202"/>
      <c r="AG152" s="10188"/>
      <c r="AH152" s="10189"/>
      <c r="AI152" s="10189"/>
      <c r="AJ152" s="10190"/>
      <c r="AV152" s="3161"/>
      <c r="AW152" s="3161"/>
      <c r="AX152" s="4966"/>
      <c r="BA152" s="1242"/>
      <c r="BB152" s="1242"/>
      <c r="BC152" s="1242"/>
      <c r="BD152" s="1242"/>
      <c r="BE152" s="1242"/>
      <c r="BF152" s="1242"/>
      <c r="BG152" s="1242"/>
      <c r="BH152" s="1242"/>
      <c r="BI152" s="1242"/>
      <c r="BJ152" s="1242"/>
    </row>
    <row r="153" spans="2:62" s="506" customFormat="1" ht="15">
      <c r="B153" s="10191"/>
      <c r="C153" s="10192"/>
      <c r="D153" s="10192"/>
      <c r="E153" s="10192"/>
      <c r="F153" s="10192"/>
      <c r="G153" s="10192"/>
      <c r="H153" s="10192"/>
      <c r="I153" s="10193"/>
      <c r="J153" s="10194"/>
      <c r="K153" s="10195"/>
      <c r="L153" s="10196"/>
      <c r="M153" s="10197"/>
      <c r="N153" s="10198"/>
      <c r="O153" s="10199"/>
      <c r="P153" s="10200"/>
      <c r="Q153" s="10201"/>
      <c r="R153" s="10202"/>
      <c r="S153" s="10197"/>
      <c r="T153" s="10198"/>
      <c r="U153" s="10199"/>
      <c r="V153" s="10197"/>
      <c r="W153" s="10198"/>
      <c r="X153" s="10199"/>
      <c r="Y153" s="10203"/>
      <c r="Z153" s="10204"/>
      <c r="AA153" s="10205"/>
      <c r="AB153" s="10206"/>
      <c r="AC153" s="10196"/>
      <c r="AD153" s="10200"/>
      <c r="AE153" s="10201"/>
      <c r="AF153" s="10202"/>
      <c r="AG153" s="10188"/>
      <c r="AH153" s="10189"/>
      <c r="AI153" s="10189"/>
      <c r="AJ153" s="10190"/>
      <c r="AV153" s="3161"/>
      <c r="AW153" s="3161"/>
      <c r="AX153" s="4966"/>
      <c r="BA153" s="1242"/>
      <c r="BB153" s="1242"/>
      <c r="BC153" s="1242"/>
      <c r="BD153" s="1242"/>
      <c r="BE153" s="1242"/>
      <c r="BF153" s="1242"/>
      <c r="BG153" s="1242"/>
      <c r="BH153" s="1242"/>
      <c r="BI153" s="1242"/>
      <c r="BJ153" s="1242"/>
    </row>
    <row r="154" spans="2:62" s="506" customFormat="1" ht="15">
      <c r="B154" s="10191"/>
      <c r="C154" s="10192"/>
      <c r="D154" s="10192"/>
      <c r="E154" s="10192"/>
      <c r="F154" s="10192"/>
      <c r="G154" s="10192"/>
      <c r="H154" s="10192"/>
      <c r="I154" s="10193"/>
      <c r="J154" s="10194"/>
      <c r="K154" s="10195"/>
      <c r="L154" s="10196"/>
      <c r="M154" s="10197"/>
      <c r="N154" s="10198"/>
      <c r="O154" s="10199"/>
      <c r="P154" s="10200"/>
      <c r="Q154" s="10201"/>
      <c r="R154" s="10202"/>
      <c r="S154" s="10197"/>
      <c r="T154" s="10198"/>
      <c r="U154" s="10199"/>
      <c r="V154" s="10197"/>
      <c r="W154" s="10198"/>
      <c r="X154" s="10199"/>
      <c r="Y154" s="10203"/>
      <c r="Z154" s="10204"/>
      <c r="AA154" s="10205"/>
      <c r="AB154" s="10206"/>
      <c r="AC154" s="10196"/>
      <c r="AD154" s="10200"/>
      <c r="AE154" s="10201"/>
      <c r="AF154" s="10202"/>
      <c r="AG154" s="10188"/>
      <c r="AH154" s="10189"/>
      <c r="AI154" s="10189"/>
      <c r="AJ154" s="10190"/>
      <c r="AV154" s="3161"/>
      <c r="AW154" s="3161"/>
      <c r="AX154" s="4966"/>
      <c r="BA154" s="1242"/>
      <c r="BB154" s="1242"/>
      <c r="BC154" s="1242"/>
      <c r="BD154" s="1242"/>
      <c r="BE154" s="1242"/>
      <c r="BF154" s="1242"/>
      <c r="BG154" s="1242"/>
      <c r="BH154" s="1242"/>
      <c r="BI154" s="1242"/>
      <c r="BJ154" s="1242"/>
    </row>
    <row r="155" spans="2:62" s="506" customFormat="1" ht="15">
      <c r="B155" s="10191"/>
      <c r="C155" s="10192"/>
      <c r="D155" s="10192"/>
      <c r="E155" s="10192"/>
      <c r="F155" s="10192"/>
      <c r="G155" s="10192"/>
      <c r="H155" s="10192"/>
      <c r="I155" s="10193"/>
      <c r="J155" s="10194"/>
      <c r="K155" s="10195"/>
      <c r="L155" s="10196"/>
      <c r="M155" s="10197"/>
      <c r="N155" s="10198"/>
      <c r="O155" s="10199"/>
      <c r="P155" s="10200"/>
      <c r="Q155" s="10201"/>
      <c r="R155" s="10202"/>
      <c r="S155" s="10197"/>
      <c r="T155" s="10198"/>
      <c r="U155" s="10199"/>
      <c r="V155" s="10197"/>
      <c r="W155" s="10198"/>
      <c r="X155" s="10199"/>
      <c r="Y155" s="10203"/>
      <c r="Z155" s="10204"/>
      <c r="AA155" s="10205"/>
      <c r="AB155" s="10206"/>
      <c r="AC155" s="10196"/>
      <c r="AD155" s="10200"/>
      <c r="AE155" s="10201"/>
      <c r="AF155" s="10202"/>
      <c r="AG155" s="10188"/>
      <c r="AH155" s="10189"/>
      <c r="AI155" s="10189"/>
      <c r="AJ155" s="10190"/>
      <c r="AV155" s="3161"/>
      <c r="AW155" s="3161"/>
      <c r="AX155" s="4966"/>
      <c r="BA155" s="1242"/>
      <c r="BB155" s="1242"/>
      <c r="BC155" s="1242"/>
      <c r="BD155" s="1242"/>
      <c r="BE155" s="1242"/>
      <c r="BF155" s="1242"/>
      <c r="BG155" s="1242"/>
      <c r="BH155" s="1242"/>
      <c r="BI155" s="1242"/>
      <c r="BJ155" s="1242"/>
    </row>
    <row r="156" spans="2:62" s="506" customFormat="1" ht="15">
      <c r="B156" s="10191"/>
      <c r="C156" s="10192"/>
      <c r="D156" s="10192"/>
      <c r="E156" s="10192"/>
      <c r="F156" s="10192"/>
      <c r="G156" s="10192"/>
      <c r="H156" s="10192"/>
      <c r="I156" s="10193"/>
      <c r="J156" s="10194"/>
      <c r="K156" s="10195"/>
      <c r="L156" s="10196"/>
      <c r="M156" s="10197"/>
      <c r="N156" s="10198"/>
      <c r="O156" s="10199"/>
      <c r="P156" s="10200"/>
      <c r="Q156" s="10201"/>
      <c r="R156" s="10202"/>
      <c r="S156" s="10197"/>
      <c r="T156" s="10198"/>
      <c r="U156" s="10199"/>
      <c r="V156" s="10197"/>
      <c r="W156" s="10198"/>
      <c r="X156" s="10199"/>
      <c r="Y156" s="10203"/>
      <c r="Z156" s="10204"/>
      <c r="AA156" s="10205"/>
      <c r="AB156" s="10206"/>
      <c r="AC156" s="10196"/>
      <c r="AD156" s="10200"/>
      <c r="AE156" s="10201"/>
      <c r="AF156" s="10202"/>
      <c r="AG156" s="10188"/>
      <c r="AH156" s="10189"/>
      <c r="AI156" s="10189"/>
      <c r="AJ156" s="10190"/>
      <c r="AV156" s="3161"/>
      <c r="AW156" s="3161"/>
      <c r="AX156" s="4966"/>
      <c r="BA156" s="1242"/>
      <c r="BB156" s="1242"/>
      <c r="BC156" s="1242"/>
      <c r="BD156" s="1242"/>
      <c r="BE156" s="1242"/>
      <c r="BF156" s="1242"/>
      <c r="BG156" s="1242"/>
      <c r="BH156" s="1242"/>
      <c r="BI156" s="1242"/>
      <c r="BJ156" s="1242"/>
    </row>
    <row r="157" spans="2:62" s="506" customFormat="1" ht="15">
      <c r="B157" s="10191"/>
      <c r="C157" s="10192"/>
      <c r="D157" s="10192"/>
      <c r="E157" s="10192"/>
      <c r="F157" s="10192"/>
      <c r="G157" s="10192"/>
      <c r="H157" s="10192"/>
      <c r="I157" s="10193"/>
      <c r="J157" s="10194"/>
      <c r="K157" s="10195"/>
      <c r="L157" s="10196"/>
      <c r="M157" s="10197"/>
      <c r="N157" s="10198"/>
      <c r="O157" s="10199"/>
      <c r="P157" s="10200"/>
      <c r="Q157" s="10201"/>
      <c r="R157" s="10202"/>
      <c r="S157" s="10197"/>
      <c r="T157" s="10198"/>
      <c r="U157" s="10199"/>
      <c r="V157" s="10197"/>
      <c r="W157" s="10198"/>
      <c r="X157" s="10199"/>
      <c r="Y157" s="10203"/>
      <c r="Z157" s="10204"/>
      <c r="AA157" s="10205"/>
      <c r="AB157" s="10206"/>
      <c r="AC157" s="10196"/>
      <c r="AD157" s="10200"/>
      <c r="AE157" s="10201"/>
      <c r="AF157" s="10202"/>
      <c r="AG157" s="10188"/>
      <c r="AH157" s="10189"/>
      <c r="AI157" s="10189"/>
      <c r="AJ157" s="10190"/>
      <c r="AV157" s="3161"/>
      <c r="AW157" s="3161"/>
      <c r="AX157" s="4966"/>
      <c r="BA157" s="1242"/>
      <c r="BB157" s="1242"/>
      <c r="BC157" s="1242"/>
      <c r="BD157" s="1242"/>
      <c r="BE157" s="1242"/>
      <c r="BF157" s="1242"/>
      <c r="BG157" s="1242"/>
      <c r="BH157" s="1242"/>
      <c r="BI157" s="1242"/>
      <c r="BJ157" s="1242"/>
    </row>
    <row r="158" spans="2:62" s="506" customFormat="1" ht="15">
      <c r="B158" s="10191"/>
      <c r="C158" s="10192"/>
      <c r="D158" s="10192"/>
      <c r="E158" s="10192"/>
      <c r="F158" s="10192"/>
      <c r="G158" s="10192"/>
      <c r="H158" s="10192"/>
      <c r="I158" s="10193"/>
      <c r="J158" s="10194"/>
      <c r="K158" s="10195"/>
      <c r="L158" s="10196"/>
      <c r="M158" s="10197"/>
      <c r="N158" s="10198"/>
      <c r="O158" s="10199"/>
      <c r="P158" s="10200"/>
      <c r="Q158" s="10201"/>
      <c r="R158" s="10202"/>
      <c r="S158" s="10197"/>
      <c r="T158" s="10198"/>
      <c r="U158" s="10199"/>
      <c r="V158" s="10197"/>
      <c r="W158" s="10198"/>
      <c r="X158" s="10199"/>
      <c r="Y158" s="10203"/>
      <c r="Z158" s="10204"/>
      <c r="AA158" s="10205"/>
      <c r="AB158" s="10206"/>
      <c r="AC158" s="10196"/>
      <c r="AD158" s="10200"/>
      <c r="AE158" s="10201"/>
      <c r="AF158" s="10202"/>
      <c r="AG158" s="10188"/>
      <c r="AH158" s="10189"/>
      <c r="AI158" s="10189"/>
      <c r="AJ158" s="10190"/>
      <c r="AV158" s="3161"/>
      <c r="AW158" s="3161"/>
      <c r="AX158" s="4966"/>
      <c r="BA158" s="1242"/>
      <c r="BB158" s="1242"/>
      <c r="BC158" s="1242"/>
      <c r="BD158" s="1242"/>
      <c r="BE158" s="1242"/>
      <c r="BF158" s="1242"/>
      <c r="BG158" s="1242"/>
      <c r="BH158" s="1242"/>
      <c r="BI158" s="1242"/>
      <c r="BJ158" s="1242"/>
    </row>
    <row r="159" spans="2:62" s="506" customFormat="1" ht="15">
      <c r="B159" s="10191"/>
      <c r="C159" s="10192"/>
      <c r="D159" s="10192"/>
      <c r="E159" s="10192"/>
      <c r="F159" s="10192"/>
      <c r="G159" s="10192"/>
      <c r="H159" s="10192"/>
      <c r="I159" s="10193"/>
      <c r="J159" s="10194"/>
      <c r="K159" s="10195"/>
      <c r="L159" s="10196"/>
      <c r="M159" s="10197"/>
      <c r="N159" s="10198"/>
      <c r="O159" s="10199"/>
      <c r="P159" s="10200"/>
      <c r="Q159" s="10201"/>
      <c r="R159" s="10202"/>
      <c r="S159" s="10197"/>
      <c r="T159" s="10198"/>
      <c r="U159" s="10199"/>
      <c r="V159" s="10197"/>
      <c r="W159" s="10198"/>
      <c r="X159" s="10199"/>
      <c r="Y159" s="10203"/>
      <c r="Z159" s="10204"/>
      <c r="AA159" s="10205"/>
      <c r="AB159" s="10206"/>
      <c r="AC159" s="10196"/>
      <c r="AD159" s="10200"/>
      <c r="AE159" s="10201"/>
      <c r="AF159" s="10202"/>
      <c r="AG159" s="10188"/>
      <c r="AH159" s="10189"/>
      <c r="AI159" s="10189"/>
      <c r="AJ159" s="10190"/>
      <c r="AV159" s="3161"/>
      <c r="AW159" s="3161"/>
      <c r="AX159" s="4966"/>
      <c r="BA159" s="1242"/>
      <c r="BB159" s="1242"/>
      <c r="BC159" s="1242"/>
      <c r="BD159" s="1242"/>
      <c r="BE159" s="1242"/>
      <c r="BF159" s="1242"/>
      <c r="BG159" s="1242"/>
      <c r="BH159" s="1242"/>
      <c r="BI159" s="1242"/>
      <c r="BJ159" s="1242"/>
    </row>
    <row r="160" spans="2:62" s="506" customFormat="1" ht="15">
      <c r="B160" s="10191"/>
      <c r="C160" s="10192"/>
      <c r="D160" s="10192"/>
      <c r="E160" s="10192"/>
      <c r="F160" s="10192"/>
      <c r="G160" s="10192"/>
      <c r="H160" s="10192"/>
      <c r="I160" s="10193"/>
      <c r="J160" s="10194"/>
      <c r="K160" s="10195"/>
      <c r="L160" s="10196"/>
      <c r="M160" s="10197"/>
      <c r="N160" s="10198"/>
      <c r="O160" s="10199"/>
      <c r="P160" s="10200"/>
      <c r="Q160" s="10201"/>
      <c r="R160" s="10202"/>
      <c r="S160" s="10197"/>
      <c r="T160" s="10198"/>
      <c r="U160" s="10199"/>
      <c r="V160" s="10197"/>
      <c r="W160" s="10198"/>
      <c r="X160" s="10199"/>
      <c r="Y160" s="10203"/>
      <c r="Z160" s="10204"/>
      <c r="AA160" s="10205"/>
      <c r="AB160" s="10206"/>
      <c r="AC160" s="10196"/>
      <c r="AD160" s="10200"/>
      <c r="AE160" s="10201"/>
      <c r="AF160" s="10202"/>
      <c r="AG160" s="10188"/>
      <c r="AH160" s="10189"/>
      <c r="AI160" s="10189"/>
      <c r="AJ160" s="10190"/>
      <c r="AV160" s="3161"/>
      <c r="AW160" s="3161"/>
      <c r="AX160" s="4966"/>
      <c r="BA160" s="1242"/>
      <c r="BB160" s="1242"/>
      <c r="BC160" s="1242"/>
      <c r="BD160" s="1242"/>
      <c r="BE160" s="1242"/>
      <c r="BF160" s="1242"/>
      <c r="BG160" s="1242"/>
      <c r="BH160" s="1242"/>
      <c r="BI160" s="1242"/>
      <c r="BJ160" s="1242"/>
    </row>
    <row r="161" spans="2:62" s="506" customFormat="1" ht="15">
      <c r="B161" s="10191"/>
      <c r="C161" s="10192"/>
      <c r="D161" s="10192"/>
      <c r="E161" s="10192"/>
      <c r="F161" s="10192"/>
      <c r="G161" s="10192"/>
      <c r="H161" s="10192"/>
      <c r="I161" s="10193"/>
      <c r="J161" s="10194"/>
      <c r="K161" s="10195"/>
      <c r="L161" s="10196"/>
      <c r="M161" s="10197"/>
      <c r="N161" s="10198"/>
      <c r="O161" s="10199"/>
      <c r="P161" s="10200"/>
      <c r="Q161" s="10201"/>
      <c r="R161" s="10202"/>
      <c r="S161" s="10197"/>
      <c r="T161" s="10198"/>
      <c r="U161" s="10199"/>
      <c r="V161" s="10197"/>
      <c r="W161" s="10198"/>
      <c r="X161" s="10199"/>
      <c r="Y161" s="10203"/>
      <c r="Z161" s="10204"/>
      <c r="AA161" s="10205"/>
      <c r="AB161" s="10206"/>
      <c r="AC161" s="10196"/>
      <c r="AD161" s="10200"/>
      <c r="AE161" s="10201"/>
      <c r="AF161" s="10202"/>
      <c r="AG161" s="10188"/>
      <c r="AH161" s="10189"/>
      <c r="AI161" s="10189"/>
      <c r="AJ161" s="10190"/>
      <c r="AV161" s="3161"/>
      <c r="AW161" s="3161"/>
      <c r="AX161" s="4966"/>
      <c r="BA161" s="1242"/>
      <c r="BB161" s="1242"/>
      <c r="BC161" s="1242"/>
      <c r="BD161" s="1242"/>
      <c r="BE161" s="1242"/>
      <c r="BF161" s="1242"/>
      <c r="BG161" s="1242"/>
      <c r="BH161" s="1242"/>
      <c r="BI161" s="1242"/>
      <c r="BJ161" s="1242"/>
    </row>
    <row r="162" spans="2:62" s="506" customFormat="1" ht="15">
      <c r="B162" s="10191"/>
      <c r="C162" s="10192"/>
      <c r="D162" s="10192"/>
      <c r="E162" s="10192"/>
      <c r="F162" s="10192"/>
      <c r="G162" s="10192"/>
      <c r="H162" s="10192"/>
      <c r="I162" s="10193"/>
      <c r="J162" s="10194"/>
      <c r="K162" s="10195"/>
      <c r="L162" s="10196"/>
      <c r="M162" s="10197"/>
      <c r="N162" s="10198"/>
      <c r="O162" s="10199"/>
      <c r="P162" s="10200"/>
      <c r="Q162" s="10201"/>
      <c r="R162" s="10202"/>
      <c r="S162" s="10197"/>
      <c r="T162" s="10198"/>
      <c r="U162" s="10199"/>
      <c r="V162" s="10197"/>
      <c r="W162" s="10198"/>
      <c r="X162" s="10199"/>
      <c r="Y162" s="10203"/>
      <c r="Z162" s="10204"/>
      <c r="AA162" s="10205"/>
      <c r="AB162" s="10206"/>
      <c r="AC162" s="10196"/>
      <c r="AD162" s="10200"/>
      <c r="AE162" s="10201"/>
      <c r="AF162" s="10202"/>
      <c r="AG162" s="10188"/>
      <c r="AH162" s="10189"/>
      <c r="AI162" s="10189"/>
      <c r="AJ162" s="10190"/>
      <c r="AV162" s="3161"/>
      <c r="AW162" s="3161"/>
      <c r="AX162" s="4966"/>
      <c r="BA162" s="1242"/>
      <c r="BB162" s="1242"/>
      <c r="BC162" s="1242"/>
      <c r="BD162" s="1242"/>
      <c r="BE162" s="1242"/>
      <c r="BF162" s="1242"/>
      <c r="BG162" s="1242"/>
      <c r="BH162" s="1242"/>
      <c r="BI162" s="1242"/>
      <c r="BJ162" s="1242"/>
    </row>
    <row r="163" spans="2:62" s="506" customFormat="1" ht="15">
      <c r="B163" s="10191"/>
      <c r="C163" s="10192"/>
      <c r="D163" s="10192"/>
      <c r="E163" s="10192"/>
      <c r="F163" s="10192"/>
      <c r="G163" s="10192"/>
      <c r="H163" s="10192"/>
      <c r="I163" s="10193"/>
      <c r="J163" s="10194"/>
      <c r="K163" s="10195"/>
      <c r="L163" s="10196"/>
      <c r="M163" s="10197"/>
      <c r="N163" s="10198"/>
      <c r="O163" s="10199"/>
      <c r="P163" s="10200"/>
      <c r="Q163" s="10201"/>
      <c r="R163" s="10202"/>
      <c r="S163" s="10197"/>
      <c r="T163" s="10198"/>
      <c r="U163" s="10199"/>
      <c r="V163" s="10197"/>
      <c r="W163" s="10198"/>
      <c r="X163" s="10199"/>
      <c r="Y163" s="10203"/>
      <c r="Z163" s="10204"/>
      <c r="AA163" s="10205"/>
      <c r="AB163" s="10206"/>
      <c r="AC163" s="10196"/>
      <c r="AD163" s="10200"/>
      <c r="AE163" s="10201"/>
      <c r="AF163" s="10202"/>
      <c r="AG163" s="10188"/>
      <c r="AH163" s="10189"/>
      <c r="AI163" s="10189"/>
      <c r="AJ163" s="10190"/>
      <c r="AV163" s="3161"/>
      <c r="AW163" s="3161"/>
      <c r="AX163" s="4966"/>
      <c r="BA163" s="1242"/>
      <c r="BB163" s="1242"/>
      <c r="BC163" s="1242"/>
      <c r="BD163" s="1242"/>
      <c r="BE163" s="1242"/>
      <c r="BF163" s="1242"/>
      <c r="BG163" s="1242"/>
      <c r="BH163" s="1242"/>
      <c r="BI163" s="1242"/>
      <c r="BJ163" s="1242"/>
    </row>
    <row r="164" spans="2:62" s="506" customFormat="1" ht="15">
      <c r="B164" s="10191"/>
      <c r="C164" s="10192"/>
      <c r="D164" s="10192"/>
      <c r="E164" s="10192"/>
      <c r="F164" s="10192"/>
      <c r="G164" s="10192"/>
      <c r="H164" s="10192"/>
      <c r="I164" s="10193"/>
      <c r="J164" s="10194"/>
      <c r="K164" s="10195"/>
      <c r="L164" s="10196"/>
      <c r="M164" s="10197"/>
      <c r="N164" s="10198"/>
      <c r="O164" s="10199"/>
      <c r="P164" s="10200"/>
      <c r="Q164" s="10201"/>
      <c r="R164" s="10202"/>
      <c r="S164" s="10197"/>
      <c r="T164" s="10198"/>
      <c r="U164" s="10199"/>
      <c r="V164" s="10197"/>
      <c r="W164" s="10198"/>
      <c r="X164" s="10199"/>
      <c r="Y164" s="10203"/>
      <c r="Z164" s="10204"/>
      <c r="AA164" s="10205"/>
      <c r="AB164" s="10206"/>
      <c r="AC164" s="10196"/>
      <c r="AD164" s="10200"/>
      <c r="AE164" s="10201"/>
      <c r="AF164" s="10202"/>
      <c r="AG164" s="10188"/>
      <c r="AH164" s="10189"/>
      <c r="AI164" s="10189"/>
      <c r="AJ164" s="10190"/>
      <c r="AV164" s="3161"/>
      <c r="AW164" s="3161"/>
      <c r="AX164" s="4966"/>
      <c r="BA164" s="1242"/>
      <c r="BB164" s="1242"/>
      <c r="BC164" s="1242"/>
      <c r="BD164" s="1242"/>
      <c r="BE164" s="1242"/>
      <c r="BF164" s="1242"/>
      <c r="BG164" s="1242"/>
      <c r="BH164" s="1242"/>
      <c r="BI164" s="1242"/>
      <c r="BJ164" s="1242"/>
    </row>
    <row r="165" spans="2:62" s="506" customFormat="1" ht="15">
      <c r="B165" s="10191"/>
      <c r="C165" s="10192"/>
      <c r="D165" s="10192"/>
      <c r="E165" s="10192"/>
      <c r="F165" s="10192"/>
      <c r="G165" s="10192"/>
      <c r="H165" s="10192"/>
      <c r="I165" s="10193"/>
      <c r="J165" s="10194"/>
      <c r="K165" s="10195"/>
      <c r="L165" s="10196"/>
      <c r="M165" s="10197"/>
      <c r="N165" s="10198"/>
      <c r="O165" s="10199"/>
      <c r="P165" s="10200"/>
      <c r="Q165" s="10201"/>
      <c r="R165" s="10202"/>
      <c r="S165" s="10197"/>
      <c r="T165" s="10198"/>
      <c r="U165" s="10199"/>
      <c r="V165" s="10197"/>
      <c r="W165" s="10198"/>
      <c r="X165" s="10199"/>
      <c r="Y165" s="10203"/>
      <c r="Z165" s="10204"/>
      <c r="AA165" s="10205"/>
      <c r="AB165" s="10206"/>
      <c r="AC165" s="10196"/>
      <c r="AD165" s="10200"/>
      <c r="AE165" s="10201"/>
      <c r="AF165" s="10202"/>
      <c r="AG165" s="10188"/>
      <c r="AH165" s="10189"/>
      <c r="AI165" s="10189"/>
      <c r="AJ165" s="10190"/>
      <c r="AV165" s="3161"/>
      <c r="AW165" s="3161"/>
      <c r="AX165" s="4966"/>
      <c r="BA165" s="1242"/>
      <c r="BB165" s="1242"/>
      <c r="BC165" s="1242"/>
      <c r="BD165" s="1242"/>
      <c r="BE165" s="1242"/>
      <c r="BF165" s="1242"/>
      <c r="BG165" s="1242"/>
      <c r="BH165" s="1242"/>
      <c r="BI165" s="1242"/>
      <c r="BJ165" s="1242"/>
    </row>
    <row r="166" spans="2:62" s="506" customFormat="1" ht="15">
      <c r="B166" s="10191"/>
      <c r="C166" s="10192"/>
      <c r="D166" s="10192"/>
      <c r="E166" s="10192"/>
      <c r="F166" s="10192"/>
      <c r="G166" s="10192"/>
      <c r="H166" s="10192"/>
      <c r="I166" s="10193"/>
      <c r="J166" s="10194"/>
      <c r="K166" s="10195"/>
      <c r="L166" s="10196"/>
      <c r="M166" s="10197"/>
      <c r="N166" s="10198"/>
      <c r="O166" s="10199"/>
      <c r="P166" s="10200"/>
      <c r="Q166" s="10201"/>
      <c r="R166" s="10202"/>
      <c r="S166" s="10197"/>
      <c r="T166" s="10198"/>
      <c r="U166" s="10199"/>
      <c r="V166" s="10197"/>
      <c r="W166" s="10198"/>
      <c r="X166" s="10199"/>
      <c r="Y166" s="10203"/>
      <c r="Z166" s="10204"/>
      <c r="AA166" s="10205"/>
      <c r="AB166" s="10206"/>
      <c r="AC166" s="10196"/>
      <c r="AD166" s="10200"/>
      <c r="AE166" s="10201"/>
      <c r="AF166" s="10202"/>
      <c r="AG166" s="10188"/>
      <c r="AH166" s="10189"/>
      <c r="AI166" s="10189"/>
      <c r="AJ166" s="10190"/>
      <c r="AV166" s="3161"/>
      <c r="AW166" s="3161"/>
      <c r="AX166" s="4966"/>
      <c r="BA166" s="1242"/>
      <c r="BB166" s="1242"/>
      <c r="BC166" s="1242"/>
      <c r="BD166" s="1242"/>
      <c r="BE166" s="1242"/>
      <c r="BF166" s="1242"/>
      <c r="BG166" s="1242"/>
      <c r="BH166" s="1242"/>
      <c r="BI166" s="1242"/>
      <c r="BJ166" s="1242"/>
    </row>
    <row r="167" spans="2:62" s="506" customFormat="1" ht="15">
      <c r="B167" s="10191"/>
      <c r="C167" s="10192"/>
      <c r="D167" s="10192"/>
      <c r="E167" s="10192"/>
      <c r="F167" s="10192"/>
      <c r="G167" s="10192"/>
      <c r="H167" s="10192"/>
      <c r="I167" s="10193"/>
      <c r="J167" s="10194"/>
      <c r="K167" s="10195"/>
      <c r="L167" s="10196"/>
      <c r="M167" s="10197"/>
      <c r="N167" s="10198"/>
      <c r="O167" s="10199"/>
      <c r="P167" s="10200"/>
      <c r="Q167" s="10201"/>
      <c r="R167" s="10202"/>
      <c r="S167" s="10197"/>
      <c r="T167" s="10198"/>
      <c r="U167" s="10199"/>
      <c r="V167" s="10197"/>
      <c r="W167" s="10198"/>
      <c r="X167" s="10199"/>
      <c r="Y167" s="10203"/>
      <c r="Z167" s="10204"/>
      <c r="AA167" s="10205"/>
      <c r="AB167" s="10206"/>
      <c r="AC167" s="10196"/>
      <c r="AD167" s="10200"/>
      <c r="AE167" s="10201"/>
      <c r="AF167" s="10202"/>
      <c r="AG167" s="10188"/>
      <c r="AH167" s="10189"/>
      <c r="AI167" s="10189"/>
      <c r="AJ167" s="10190"/>
      <c r="AV167" s="3161"/>
      <c r="AW167" s="3161"/>
      <c r="AX167" s="4966"/>
      <c r="BA167" s="1242"/>
      <c r="BB167" s="1242"/>
      <c r="BC167" s="1242"/>
      <c r="BD167" s="1242"/>
      <c r="BE167" s="1242"/>
      <c r="BF167" s="1242"/>
      <c r="BG167" s="1242"/>
      <c r="BH167" s="1242"/>
      <c r="BI167" s="1242"/>
      <c r="BJ167" s="1242"/>
    </row>
    <row r="168" spans="2:62" s="506" customFormat="1" ht="15">
      <c r="B168" s="10191"/>
      <c r="C168" s="10192"/>
      <c r="D168" s="10192"/>
      <c r="E168" s="10192"/>
      <c r="F168" s="10192"/>
      <c r="G168" s="10192"/>
      <c r="H168" s="10192"/>
      <c r="I168" s="10193"/>
      <c r="J168" s="10194"/>
      <c r="K168" s="10195"/>
      <c r="L168" s="10196"/>
      <c r="M168" s="10197"/>
      <c r="N168" s="10198"/>
      <c r="O168" s="10199"/>
      <c r="P168" s="10200"/>
      <c r="Q168" s="10201"/>
      <c r="R168" s="10202"/>
      <c r="S168" s="10197"/>
      <c r="T168" s="10198"/>
      <c r="U168" s="10199"/>
      <c r="V168" s="10197"/>
      <c r="W168" s="10198"/>
      <c r="X168" s="10199"/>
      <c r="Y168" s="10203"/>
      <c r="Z168" s="10204"/>
      <c r="AA168" s="10205"/>
      <c r="AB168" s="10206"/>
      <c r="AC168" s="10196"/>
      <c r="AD168" s="10200"/>
      <c r="AE168" s="10201"/>
      <c r="AF168" s="10202"/>
      <c r="AG168" s="10188"/>
      <c r="AH168" s="10189"/>
      <c r="AI168" s="10189"/>
      <c r="AJ168" s="10190"/>
      <c r="AV168" s="3161"/>
      <c r="AW168" s="3161"/>
      <c r="AX168" s="4966"/>
      <c r="BA168" s="1242"/>
      <c r="BB168" s="1242"/>
      <c r="BC168" s="1242"/>
      <c r="BD168" s="1242"/>
      <c r="BE168" s="1242"/>
      <c r="BF168" s="1242"/>
      <c r="BG168" s="1242"/>
      <c r="BH168" s="1242"/>
      <c r="BI168" s="1242"/>
      <c r="BJ168" s="1242"/>
    </row>
  </sheetData>
  <sheetProtection algorithmName="SHA-512" hashValue="HarQJU6byxtZ4ZzdoYTIid9iR2zgCz/xblY8NgwcmZheG/4v6XSWGQyNqh9Cn8EwxIXLI+N/Vz+G49Q/zYv1YA==" saltValue="AcOiPgiVUHQTAg3vrLTnSw==" spinCount="100000" sheet="1" formatCells="0" formatColumns="0" formatRows="0"/>
  <mergeCells count="712">
    <mergeCell ref="B104:B105"/>
    <mergeCell ref="C104:L105"/>
    <mergeCell ref="AG166:AJ166"/>
    <mergeCell ref="B167:I167"/>
    <mergeCell ref="J167:L167"/>
    <mergeCell ref="M167:O167"/>
    <mergeCell ref="P167:R167"/>
    <mergeCell ref="S167:U167"/>
    <mergeCell ref="V167:X167"/>
    <mergeCell ref="B166:I166"/>
    <mergeCell ref="J166:L166"/>
    <mergeCell ref="M166:O166"/>
    <mergeCell ref="P166:R166"/>
    <mergeCell ref="S166:U166"/>
    <mergeCell ref="V166:X166"/>
    <mergeCell ref="Y166:AA166"/>
    <mergeCell ref="AB166:AC166"/>
    <mergeCell ref="AD166:AF166"/>
    <mergeCell ref="AG164:AJ164"/>
    <mergeCell ref="B165:I165"/>
    <mergeCell ref="J165:L165"/>
    <mergeCell ref="M165:O165"/>
    <mergeCell ref="P165:R165"/>
    <mergeCell ref="S165:U165"/>
    <mergeCell ref="Y168:AA168"/>
    <mergeCell ref="AB168:AC168"/>
    <mergeCell ref="AD168:AF168"/>
    <mergeCell ref="AG168:AJ168"/>
    <mergeCell ref="Y167:AA167"/>
    <mergeCell ref="AB167:AC167"/>
    <mergeCell ref="AD167:AF167"/>
    <mergeCell ref="AG167:AJ167"/>
    <mergeCell ref="B168:I168"/>
    <mergeCell ref="J168:L168"/>
    <mergeCell ref="M168:O168"/>
    <mergeCell ref="P168:R168"/>
    <mergeCell ref="S168:U168"/>
    <mergeCell ref="V168:X168"/>
    <mergeCell ref="V165:X165"/>
    <mergeCell ref="Y165:AA165"/>
    <mergeCell ref="AB165:AC165"/>
    <mergeCell ref="AD165:AF165"/>
    <mergeCell ref="AG165:AJ165"/>
    <mergeCell ref="B164:I164"/>
    <mergeCell ref="J164:L164"/>
    <mergeCell ref="M164:O164"/>
    <mergeCell ref="P164:R164"/>
    <mergeCell ref="S164:U164"/>
    <mergeCell ref="V164:X164"/>
    <mergeCell ref="Y164:AA164"/>
    <mergeCell ref="AB164:AC164"/>
    <mergeCell ref="AD164:AF164"/>
    <mergeCell ref="AG162:AJ162"/>
    <mergeCell ref="B163:I163"/>
    <mergeCell ref="J163:L163"/>
    <mergeCell ref="M163:O163"/>
    <mergeCell ref="P163:R163"/>
    <mergeCell ref="S163:U163"/>
    <mergeCell ref="V163:X163"/>
    <mergeCell ref="Y163:AA163"/>
    <mergeCell ref="AB163:AC163"/>
    <mergeCell ref="AD163:AF163"/>
    <mergeCell ref="AG163:AJ163"/>
    <mergeCell ref="B162:I162"/>
    <mergeCell ref="J162:L162"/>
    <mergeCell ref="M162:O162"/>
    <mergeCell ref="P162:R162"/>
    <mergeCell ref="S162:U162"/>
    <mergeCell ref="V162:X162"/>
    <mergeCell ref="Y162:AA162"/>
    <mergeCell ref="AB162:AC162"/>
    <mergeCell ref="AD162:AF162"/>
    <mergeCell ref="AG160:AJ160"/>
    <mergeCell ref="B161:I161"/>
    <mergeCell ref="J161:L161"/>
    <mergeCell ref="M161:O161"/>
    <mergeCell ref="P161:R161"/>
    <mergeCell ref="S161:U161"/>
    <mergeCell ref="V161:X161"/>
    <mergeCell ref="Y161:AA161"/>
    <mergeCell ref="AB161:AC161"/>
    <mergeCell ref="AD161:AF161"/>
    <mergeCell ref="AG161:AJ161"/>
    <mergeCell ref="B160:I160"/>
    <mergeCell ref="J160:L160"/>
    <mergeCell ref="M160:O160"/>
    <mergeCell ref="P160:R160"/>
    <mergeCell ref="S160:U160"/>
    <mergeCell ref="V160:X160"/>
    <mergeCell ref="Y160:AA160"/>
    <mergeCell ref="AB160:AC160"/>
    <mergeCell ref="AD160:AF160"/>
    <mergeCell ref="AG158:AJ158"/>
    <mergeCell ref="B159:I159"/>
    <mergeCell ref="J159:L159"/>
    <mergeCell ref="M159:O159"/>
    <mergeCell ref="P159:R159"/>
    <mergeCell ref="S159:U159"/>
    <mergeCell ref="V159:X159"/>
    <mergeCell ref="Y159:AA159"/>
    <mergeCell ref="AB159:AC159"/>
    <mergeCell ref="AD159:AF159"/>
    <mergeCell ref="AG159:AJ159"/>
    <mergeCell ref="B158:I158"/>
    <mergeCell ref="J158:L158"/>
    <mergeCell ref="M158:O158"/>
    <mergeCell ref="P158:R158"/>
    <mergeCell ref="S158:U158"/>
    <mergeCell ref="V158:X158"/>
    <mergeCell ref="Y158:AA158"/>
    <mergeCell ref="AB158:AC158"/>
    <mergeCell ref="AD158:AF158"/>
    <mergeCell ref="AG156:AJ156"/>
    <mergeCell ref="B157:I157"/>
    <mergeCell ref="J157:L157"/>
    <mergeCell ref="M157:O157"/>
    <mergeCell ref="P157:R157"/>
    <mergeCell ref="S157:U157"/>
    <mergeCell ref="V157:X157"/>
    <mergeCell ref="Y157:AA157"/>
    <mergeCell ref="AB157:AC157"/>
    <mergeCell ref="AD157:AF157"/>
    <mergeCell ref="AG157:AJ157"/>
    <mergeCell ref="B156:I156"/>
    <mergeCell ref="J156:L156"/>
    <mergeCell ref="M156:O156"/>
    <mergeCell ref="P156:R156"/>
    <mergeCell ref="S156:U156"/>
    <mergeCell ref="V156:X156"/>
    <mergeCell ref="Y156:AA156"/>
    <mergeCell ref="AB156:AC156"/>
    <mergeCell ref="AD156:AF156"/>
    <mergeCell ref="AG154:AJ154"/>
    <mergeCell ref="B155:I155"/>
    <mergeCell ref="J155:L155"/>
    <mergeCell ref="M155:O155"/>
    <mergeCell ref="P155:R155"/>
    <mergeCell ref="S155:U155"/>
    <mergeCell ref="V155:X155"/>
    <mergeCell ref="Y155:AA155"/>
    <mergeCell ref="AB155:AC155"/>
    <mergeCell ref="AD155:AF155"/>
    <mergeCell ref="AG155:AJ155"/>
    <mergeCell ref="B154:I154"/>
    <mergeCell ref="J154:L154"/>
    <mergeCell ref="M154:O154"/>
    <mergeCell ref="P154:R154"/>
    <mergeCell ref="S154:U154"/>
    <mergeCell ref="V154:X154"/>
    <mergeCell ref="Y154:AA154"/>
    <mergeCell ref="AB154:AC154"/>
    <mergeCell ref="AD154:AF154"/>
    <mergeCell ref="AG152:AJ152"/>
    <mergeCell ref="B153:I153"/>
    <mergeCell ref="J153:L153"/>
    <mergeCell ref="M153:O153"/>
    <mergeCell ref="P153:R153"/>
    <mergeCell ref="S153:U153"/>
    <mergeCell ref="V153:X153"/>
    <mergeCell ref="Y153:AA153"/>
    <mergeCell ref="AB153:AC153"/>
    <mergeCell ref="AD153:AF153"/>
    <mergeCell ref="AG153:AJ153"/>
    <mergeCell ref="B152:I152"/>
    <mergeCell ref="J152:L152"/>
    <mergeCell ref="M152:O152"/>
    <mergeCell ref="P152:R152"/>
    <mergeCell ref="S152:U152"/>
    <mergeCell ref="V152:X152"/>
    <mergeCell ref="Y152:AA152"/>
    <mergeCell ref="AB152:AC152"/>
    <mergeCell ref="AD152:AF152"/>
    <mergeCell ref="AG150:AJ150"/>
    <mergeCell ref="B151:I151"/>
    <mergeCell ref="J151:L151"/>
    <mergeCell ref="M151:O151"/>
    <mergeCell ref="P151:R151"/>
    <mergeCell ref="S151:U151"/>
    <mergeCell ref="V151:X151"/>
    <mergeCell ref="Y151:AA151"/>
    <mergeCell ref="AB151:AC151"/>
    <mergeCell ref="AD151:AF151"/>
    <mergeCell ref="AG151:AJ151"/>
    <mergeCell ref="B150:I150"/>
    <mergeCell ref="J150:L150"/>
    <mergeCell ref="M150:O150"/>
    <mergeCell ref="P150:R150"/>
    <mergeCell ref="S150:U150"/>
    <mergeCell ref="V150:X150"/>
    <mergeCell ref="Y150:AA150"/>
    <mergeCell ref="AB150:AC150"/>
    <mergeCell ref="AD150:AF150"/>
    <mergeCell ref="AG148:AJ148"/>
    <mergeCell ref="B149:I149"/>
    <mergeCell ref="J149:L149"/>
    <mergeCell ref="M149:O149"/>
    <mergeCell ref="P149:R149"/>
    <mergeCell ref="S149:U149"/>
    <mergeCell ref="V149:X149"/>
    <mergeCell ref="Y149:AA149"/>
    <mergeCell ref="AB149:AC149"/>
    <mergeCell ref="AD149:AF149"/>
    <mergeCell ref="AG149:AJ149"/>
    <mergeCell ref="B148:I148"/>
    <mergeCell ref="J148:L148"/>
    <mergeCell ref="M148:O148"/>
    <mergeCell ref="P148:R148"/>
    <mergeCell ref="S148:U148"/>
    <mergeCell ref="V148:X148"/>
    <mergeCell ref="Y148:AA148"/>
    <mergeCell ref="AB148:AC148"/>
    <mergeCell ref="AD148:AF148"/>
    <mergeCell ref="AG146:AJ146"/>
    <mergeCell ref="B147:I147"/>
    <mergeCell ref="J147:L147"/>
    <mergeCell ref="M147:O147"/>
    <mergeCell ref="P147:R147"/>
    <mergeCell ref="S147:U147"/>
    <mergeCell ref="V147:X147"/>
    <mergeCell ref="Y147:AA147"/>
    <mergeCell ref="AB147:AC147"/>
    <mergeCell ref="AD147:AF147"/>
    <mergeCell ref="AG147:AJ147"/>
    <mergeCell ref="B146:I146"/>
    <mergeCell ref="J146:L146"/>
    <mergeCell ref="M146:O146"/>
    <mergeCell ref="P146:R146"/>
    <mergeCell ref="S146:U146"/>
    <mergeCell ref="V146:X146"/>
    <mergeCell ref="Y146:AA146"/>
    <mergeCell ref="AB146:AC146"/>
    <mergeCell ref="AD146:AF146"/>
    <mergeCell ref="AG144:AJ144"/>
    <mergeCell ref="B145:I145"/>
    <mergeCell ref="J145:L145"/>
    <mergeCell ref="M145:O145"/>
    <mergeCell ref="P145:R145"/>
    <mergeCell ref="S145:U145"/>
    <mergeCell ref="V145:X145"/>
    <mergeCell ref="Y145:AA145"/>
    <mergeCell ref="AB145:AC145"/>
    <mergeCell ref="AD145:AF145"/>
    <mergeCell ref="AG145:AJ145"/>
    <mergeCell ref="B144:I144"/>
    <mergeCell ref="J144:L144"/>
    <mergeCell ref="M144:O144"/>
    <mergeCell ref="P144:R144"/>
    <mergeCell ref="S144:U144"/>
    <mergeCell ref="V144:X144"/>
    <mergeCell ref="Y144:AA144"/>
    <mergeCell ref="AB144:AC144"/>
    <mergeCell ref="AD144:AF144"/>
    <mergeCell ref="AG142:AJ142"/>
    <mergeCell ref="B143:I143"/>
    <mergeCell ref="J143:L143"/>
    <mergeCell ref="M143:O143"/>
    <mergeCell ref="P143:R143"/>
    <mergeCell ref="S143:U143"/>
    <mergeCell ref="V143:X143"/>
    <mergeCell ref="Y143:AA143"/>
    <mergeCell ref="AB143:AC143"/>
    <mergeCell ref="AD143:AF143"/>
    <mergeCell ref="AG143:AJ143"/>
    <mergeCell ref="B142:I142"/>
    <mergeCell ref="J142:L142"/>
    <mergeCell ref="M142:O142"/>
    <mergeCell ref="P142:R142"/>
    <mergeCell ref="S142:U142"/>
    <mergeCell ref="V142:X142"/>
    <mergeCell ref="Y142:AA142"/>
    <mergeCell ref="AB142:AC142"/>
    <mergeCell ref="AD142:AF142"/>
    <mergeCell ref="AG140:AJ140"/>
    <mergeCell ref="B141:I141"/>
    <mergeCell ref="J141:L141"/>
    <mergeCell ref="M141:O141"/>
    <mergeCell ref="P141:R141"/>
    <mergeCell ref="S141:U141"/>
    <mergeCell ref="V141:X141"/>
    <mergeCell ref="Y141:AA141"/>
    <mergeCell ref="AB141:AC141"/>
    <mergeCell ref="AD141:AF141"/>
    <mergeCell ref="AG141:AJ141"/>
    <mergeCell ref="B140:I140"/>
    <mergeCell ref="J140:L140"/>
    <mergeCell ref="M140:O140"/>
    <mergeCell ref="P140:R140"/>
    <mergeCell ref="S140:U140"/>
    <mergeCell ref="V140:X140"/>
    <mergeCell ref="Y140:AA140"/>
    <mergeCell ref="AB140:AC140"/>
    <mergeCell ref="AD140:AF140"/>
    <mergeCell ref="AG138:AJ138"/>
    <mergeCell ref="B139:I139"/>
    <mergeCell ref="J139:L139"/>
    <mergeCell ref="M139:O139"/>
    <mergeCell ref="P139:R139"/>
    <mergeCell ref="S139:U139"/>
    <mergeCell ref="V139:X139"/>
    <mergeCell ref="Y139:AA139"/>
    <mergeCell ref="AB139:AC139"/>
    <mergeCell ref="AD139:AF139"/>
    <mergeCell ref="AG139:AJ139"/>
    <mergeCell ref="B138:I138"/>
    <mergeCell ref="J138:L138"/>
    <mergeCell ref="M138:O138"/>
    <mergeCell ref="P138:R138"/>
    <mergeCell ref="S138:U138"/>
    <mergeCell ref="V138:X138"/>
    <mergeCell ref="Y138:AA138"/>
    <mergeCell ref="AB138:AC138"/>
    <mergeCell ref="AD138:AF138"/>
    <mergeCell ref="AB129:AC129"/>
    <mergeCell ref="AD129:AJ129"/>
    <mergeCell ref="AB130:AC130"/>
    <mergeCell ref="AD130:AJ130"/>
    <mergeCell ref="B135:I137"/>
    <mergeCell ref="J135:L137"/>
    <mergeCell ref="M135:O137"/>
    <mergeCell ref="P135:R137"/>
    <mergeCell ref="S135:U137"/>
    <mergeCell ref="V135:X137"/>
    <mergeCell ref="Y135:AA137"/>
    <mergeCell ref="AB135:AC137"/>
    <mergeCell ref="AD135:AF137"/>
    <mergeCell ref="AG135:AJ137"/>
    <mergeCell ref="B128:I128"/>
    <mergeCell ref="J128:O128"/>
    <mergeCell ref="P128:U128"/>
    <mergeCell ref="V128:Y128"/>
    <mergeCell ref="Z128:AC128"/>
    <mergeCell ref="AD128:AJ128"/>
    <mergeCell ref="B127:I127"/>
    <mergeCell ref="J127:O127"/>
    <mergeCell ref="P127:U127"/>
    <mergeCell ref="V127:Y127"/>
    <mergeCell ref="Z127:AC127"/>
    <mergeCell ref="AD127:AJ127"/>
    <mergeCell ref="AG122:AH122"/>
    <mergeCell ref="AI122:AJ122"/>
    <mergeCell ref="B124:C124"/>
    <mergeCell ref="B125:I125"/>
    <mergeCell ref="J125:O125"/>
    <mergeCell ref="P125:U125"/>
    <mergeCell ref="V125:Y125"/>
    <mergeCell ref="Z125:AC125"/>
    <mergeCell ref="AD125:AJ125"/>
    <mergeCell ref="AG117:AH118"/>
    <mergeCell ref="AI117:AJ118"/>
    <mergeCell ref="AG119:AH119"/>
    <mergeCell ref="AI119:AJ119"/>
    <mergeCell ref="AG120:AH121"/>
    <mergeCell ref="AI120:AJ121"/>
    <mergeCell ref="AE107:AF107"/>
    <mergeCell ref="AG107:AH107"/>
    <mergeCell ref="AI107:AJ107"/>
    <mergeCell ref="AG115:AH115"/>
    <mergeCell ref="AI115:AJ115"/>
    <mergeCell ref="AG116:AH116"/>
    <mergeCell ref="AI116:AJ116"/>
    <mergeCell ref="AI106:AJ106"/>
    <mergeCell ref="M107:N107"/>
    <mergeCell ref="O107:P107"/>
    <mergeCell ref="Q107:R107"/>
    <mergeCell ref="S107:T107"/>
    <mergeCell ref="U107:V107"/>
    <mergeCell ref="W107:X107"/>
    <mergeCell ref="Y107:Z107"/>
    <mergeCell ref="AA107:AB107"/>
    <mergeCell ref="AC107:AD107"/>
    <mergeCell ref="W106:X106"/>
    <mergeCell ref="Y106:Z106"/>
    <mergeCell ref="AA106:AB106"/>
    <mergeCell ref="AC106:AD106"/>
    <mergeCell ref="AE106:AF106"/>
    <mergeCell ref="AG106:AH106"/>
    <mergeCell ref="C106:L106"/>
    <mergeCell ref="M106:N106"/>
    <mergeCell ref="O106:P106"/>
    <mergeCell ref="Q106:R106"/>
    <mergeCell ref="S106:T106"/>
    <mergeCell ref="U106:V106"/>
    <mergeCell ref="Y105:Z105"/>
    <mergeCell ref="AA105:AB105"/>
    <mergeCell ref="AC105:AD105"/>
    <mergeCell ref="AE105:AF105"/>
    <mergeCell ref="AG105:AH105"/>
    <mergeCell ref="AI105:AJ105"/>
    <mergeCell ref="M105:N105"/>
    <mergeCell ref="O105:P105"/>
    <mergeCell ref="Q105:R105"/>
    <mergeCell ref="S105:T105"/>
    <mergeCell ref="U105:V105"/>
    <mergeCell ref="W105:X105"/>
    <mergeCell ref="Y104:Z104"/>
    <mergeCell ref="AA104:AB104"/>
    <mergeCell ref="AC104:AD104"/>
    <mergeCell ref="AE104:AF104"/>
    <mergeCell ref="AG104:AH104"/>
    <mergeCell ref="AI104:AJ104"/>
    <mergeCell ref="M104:N104"/>
    <mergeCell ref="O104:P104"/>
    <mergeCell ref="Q104:R104"/>
    <mergeCell ref="S104:T104"/>
    <mergeCell ref="U104:V104"/>
    <mergeCell ref="W104:X104"/>
    <mergeCell ref="M103:P103"/>
    <mergeCell ref="Q103:T103"/>
    <mergeCell ref="U103:X103"/>
    <mergeCell ref="Y103:AB103"/>
    <mergeCell ref="AC103:AF103"/>
    <mergeCell ref="AG103:AJ103"/>
    <mergeCell ref="M101:P101"/>
    <mergeCell ref="Q101:T101"/>
    <mergeCell ref="U101:X101"/>
    <mergeCell ref="Y101:AB101"/>
    <mergeCell ref="AC101:AF101"/>
    <mergeCell ref="AG101:AJ101"/>
    <mergeCell ref="M99:P99"/>
    <mergeCell ref="Q99:T99"/>
    <mergeCell ref="U99:X99"/>
    <mergeCell ref="Y99:AB99"/>
    <mergeCell ref="AC99:AF99"/>
    <mergeCell ref="AG99:AJ99"/>
    <mergeCell ref="AC97:AF97"/>
    <mergeCell ref="AG97:AJ97"/>
    <mergeCell ref="M98:P98"/>
    <mergeCell ref="Q98:T98"/>
    <mergeCell ref="U98:X98"/>
    <mergeCell ref="Y98:AB98"/>
    <mergeCell ref="AC98:AF98"/>
    <mergeCell ref="AG98:AJ98"/>
    <mergeCell ref="Y92:Z92"/>
    <mergeCell ref="AA92:AE92"/>
    <mergeCell ref="AD93:AE93"/>
    <mergeCell ref="AF93:AJ93"/>
    <mergeCell ref="B97:B98"/>
    <mergeCell ref="C97:L98"/>
    <mergeCell ref="M97:P97"/>
    <mergeCell ref="Q97:T97"/>
    <mergeCell ref="U97:X97"/>
    <mergeCell ref="Y97:AB97"/>
    <mergeCell ref="B91:E91"/>
    <mergeCell ref="F91:H91"/>
    <mergeCell ref="I91:J91"/>
    <mergeCell ref="L91:O91"/>
    <mergeCell ref="P91:T91"/>
    <mergeCell ref="U91:W91"/>
    <mergeCell ref="Y91:Z91"/>
    <mergeCell ref="AA91:AE91"/>
    <mergeCell ref="B90:E90"/>
    <mergeCell ref="F90:H90"/>
    <mergeCell ref="I90:J90"/>
    <mergeCell ref="L90:O90"/>
    <mergeCell ref="P90:T90"/>
    <mergeCell ref="U90:W90"/>
    <mergeCell ref="B89:E89"/>
    <mergeCell ref="F89:H89"/>
    <mergeCell ref="I89:J89"/>
    <mergeCell ref="L89:O89"/>
    <mergeCell ref="P89:T89"/>
    <mergeCell ref="U89:W89"/>
    <mergeCell ref="Y89:Z89"/>
    <mergeCell ref="AA89:AE89"/>
    <mergeCell ref="Y90:Z90"/>
    <mergeCell ref="AA90:AE90"/>
    <mergeCell ref="B87:E87"/>
    <mergeCell ref="F87:H87"/>
    <mergeCell ref="I87:J87"/>
    <mergeCell ref="L87:O87"/>
    <mergeCell ref="P87:T87"/>
    <mergeCell ref="U87:W87"/>
    <mergeCell ref="X87:Z87"/>
    <mergeCell ref="AA87:AE87"/>
    <mergeCell ref="AF87:AJ87"/>
    <mergeCell ref="B86:E86"/>
    <mergeCell ref="F86:H86"/>
    <mergeCell ref="I86:J86"/>
    <mergeCell ref="L86:O86"/>
    <mergeCell ref="P86:T86"/>
    <mergeCell ref="U86:W86"/>
    <mergeCell ref="X86:Z86"/>
    <mergeCell ref="AA86:AE86"/>
    <mergeCell ref="AF86:AJ86"/>
    <mergeCell ref="AF81:AJ81"/>
    <mergeCell ref="AA82:AE82"/>
    <mergeCell ref="Y83:Z83"/>
    <mergeCell ref="AA83:AE83"/>
    <mergeCell ref="B85:E85"/>
    <mergeCell ref="F85:H85"/>
    <mergeCell ref="I85:J85"/>
    <mergeCell ref="L85:O85"/>
    <mergeCell ref="P85:T85"/>
    <mergeCell ref="U85:W85"/>
    <mergeCell ref="X85:Z85"/>
    <mergeCell ref="AA85:AE85"/>
    <mergeCell ref="AF85:AJ85"/>
    <mergeCell ref="W65:AA65"/>
    <mergeCell ref="W67:AA67"/>
    <mergeCell ref="B71:C71"/>
    <mergeCell ref="B81:E81"/>
    <mergeCell ref="F81:H81"/>
    <mergeCell ref="I81:K81"/>
    <mergeCell ref="L81:O81"/>
    <mergeCell ref="P81:T81"/>
    <mergeCell ref="U81:W81"/>
    <mergeCell ref="X81:Z81"/>
    <mergeCell ref="AA81:AE81"/>
    <mergeCell ref="W68:AA68"/>
    <mergeCell ref="W70:AA70"/>
    <mergeCell ref="AD58:AJ58"/>
    <mergeCell ref="B61:C61"/>
    <mergeCell ref="AB62:AC62"/>
    <mergeCell ref="AD62:AJ62"/>
    <mergeCell ref="AB63:AC63"/>
    <mergeCell ref="AB64:AC64"/>
    <mergeCell ref="AD64:AJ64"/>
    <mergeCell ref="C58:G58"/>
    <mergeCell ref="H58:L58"/>
    <mergeCell ref="M58:R58"/>
    <mergeCell ref="S58:U58"/>
    <mergeCell ref="V58:X58"/>
    <mergeCell ref="Y58:AC58"/>
    <mergeCell ref="AD55:AJ55"/>
    <mergeCell ref="C56:G56"/>
    <mergeCell ref="H56:L56"/>
    <mergeCell ref="M56:R56"/>
    <mergeCell ref="S56:U56"/>
    <mergeCell ref="V56:X56"/>
    <mergeCell ref="Y56:AC56"/>
    <mergeCell ref="AD56:AJ56"/>
    <mergeCell ref="C55:G55"/>
    <mergeCell ref="H55:L55"/>
    <mergeCell ref="M55:R55"/>
    <mergeCell ref="S55:U55"/>
    <mergeCell ref="V55:X55"/>
    <mergeCell ref="Y55:AC55"/>
    <mergeCell ref="AD52:AJ52"/>
    <mergeCell ref="C54:G54"/>
    <mergeCell ref="H54:L54"/>
    <mergeCell ref="M54:R54"/>
    <mergeCell ref="S54:U54"/>
    <mergeCell ref="V54:X54"/>
    <mergeCell ref="Y54:AC54"/>
    <mergeCell ref="AD54:AJ54"/>
    <mergeCell ref="C52:G52"/>
    <mergeCell ref="H52:L52"/>
    <mergeCell ref="M52:R52"/>
    <mergeCell ref="S52:U52"/>
    <mergeCell ref="V52:X52"/>
    <mergeCell ref="Y52:AC52"/>
    <mergeCell ref="AD50:AJ50"/>
    <mergeCell ref="C51:G51"/>
    <mergeCell ref="H51:L51"/>
    <mergeCell ref="M51:R51"/>
    <mergeCell ref="S51:U51"/>
    <mergeCell ref="V51:X51"/>
    <mergeCell ref="Y51:AC51"/>
    <mergeCell ref="AD51:AJ51"/>
    <mergeCell ref="C50:G50"/>
    <mergeCell ref="H50:L50"/>
    <mergeCell ref="M50:R50"/>
    <mergeCell ref="S50:U50"/>
    <mergeCell ref="V50:X50"/>
    <mergeCell ref="Y50:AC50"/>
    <mergeCell ref="AD47:AJ47"/>
    <mergeCell ref="C49:G49"/>
    <mergeCell ref="H49:L49"/>
    <mergeCell ref="M49:R49"/>
    <mergeCell ref="S49:U49"/>
    <mergeCell ref="V49:X49"/>
    <mergeCell ref="Y49:AC49"/>
    <mergeCell ref="AD49:AJ49"/>
    <mergeCell ref="C47:G47"/>
    <mergeCell ref="H47:L47"/>
    <mergeCell ref="M47:R47"/>
    <mergeCell ref="S47:U47"/>
    <mergeCell ref="V47:X47"/>
    <mergeCell ref="Y47:AC47"/>
    <mergeCell ref="C48:G48"/>
    <mergeCell ref="H48:L48"/>
    <mergeCell ref="M48:R48"/>
    <mergeCell ref="S48:U48"/>
    <mergeCell ref="V48:X48"/>
    <mergeCell ref="Y48:AC48"/>
    <mergeCell ref="AD48:AJ48"/>
    <mergeCell ref="AD45:AJ45"/>
    <mergeCell ref="C46:G46"/>
    <mergeCell ref="H46:L46"/>
    <mergeCell ref="M46:R46"/>
    <mergeCell ref="S46:U46"/>
    <mergeCell ref="V46:X46"/>
    <mergeCell ref="Y46:AC46"/>
    <mergeCell ref="AD46:AJ46"/>
    <mergeCell ref="C45:G45"/>
    <mergeCell ref="H45:L45"/>
    <mergeCell ref="M45:R45"/>
    <mergeCell ref="S45:U45"/>
    <mergeCell ref="V45:X45"/>
    <mergeCell ref="Y45:AC45"/>
    <mergeCell ref="AD43:AJ43"/>
    <mergeCell ref="C44:G44"/>
    <mergeCell ref="H44:L44"/>
    <mergeCell ref="M44:R44"/>
    <mergeCell ref="S44:U44"/>
    <mergeCell ref="V44:X44"/>
    <mergeCell ref="Y44:AC44"/>
    <mergeCell ref="AD44:AJ44"/>
    <mergeCell ref="C43:G43"/>
    <mergeCell ref="H43:L43"/>
    <mergeCell ref="M43:R43"/>
    <mergeCell ref="S43:U43"/>
    <mergeCell ref="V43:X43"/>
    <mergeCell ref="Y43:AC43"/>
    <mergeCell ref="AD41:AJ41"/>
    <mergeCell ref="C42:G42"/>
    <mergeCell ref="H42:L42"/>
    <mergeCell ref="M42:R42"/>
    <mergeCell ref="S42:U42"/>
    <mergeCell ref="V42:X42"/>
    <mergeCell ref="Y42:AC42"/>
    <mergeCell ref="AD42:AJ42"/>
    <mergeCell ref="C41:G41"/>
    <mergeCell ref="H41:L41"/>
    <mergeCell ref="M41:R41"/>
    <mergeCell ref="S41:U41"/>
    <mergeCell ref="V41:X41"/>
    <mergeCell ref="Y41:AC41"/>
    <mergeCell ref="B33:C33"/>
    <mergeCell ref="AB35:AC35"/>
    <mergeCell ref="AD35:AJ35"/>
    <mergeCell ref="B40:G40"/>
    <mergeCell ref="H40:L40"/>
    <mergeCell ref="M40:R40"/>
    <mergeCell ref="S40:U40"/>
    <mergeCell ref="V40:X40"/>
    <mergeCell ref="Y40:AC40"/>
    <mergeCell ref="AD40:AJ40"/>
    <mergeCell ref="AB29:AC29"/>
    <mergeCell ref="AB30:AC30"/>
    <mergeCell ref="AD30:AJ30"/>
    <mergeCell ref="AB31:AC31"/>
    <mergeCell ref="AD31:AJ31"/>
    <mergeCell ref="AB32:AC32"/>
    <mergeCell ref="AD32:AJ32"/>
    <mergeCell ref="AB24:AC24"/>
    <mergeCell ref="AD24:AJ24"/>
    <mergeCell ref="AB25:AC25"/>
    <mergeCell ref="AD25:AJ25"/>
    <mergeCell ref="W26:AC26"/>
    <mergeCell ref="AD11:AJ11"/>
    <mergeCell ref="AB12:AC12"/>
    <mergeCell ref="AD12:AJ12"/>
    <mergeCell ref="AB13:AC13"/>
    <mergeCell ref="AD13:AJ13"/>
    <mergeCell ref="B28:C28"/>
    <mergeCell ref="V20:AC20"/>
    <mergeCell ref="AB21:AC21"/>
    <mergeCell ref="AD21:AJ21"/>
    <mergeCell ref="AB22:AC22"/>
    <mergeCell ref="AD22:AJ22"/>
    <mergeCell ref="AB23:AC23"/>
    <mergeCell ref="AD23:AJ23"/>
    <mergeCell ref="B18:O18"/>
    <mergeCell ref="P18:U18"/>
    <mergeCell ref="V18:AC18"/>
    <mergeCell ref="B19:O19"/>
    <mergeCell ref="P19:U19"/>
    <mergeCell ref="V19:AC19"/>
    <mergeCell ref="AU5:AU9"/>
    <mergeCell ref="B2:C2"/>
    <mergeCell ref="I4:AB5"/>
    <mergeCell ref="AV5:AV9"/>
    <mergeCell ref="AW5:AW9"/>
    <mergeCell ref="AX5:AX9"/>
    <mergeCell ref="AY5:AY9"/>
    <mergeCell ref="I6:AB6"/>
    <mergeCell ref="AD6:AG6"/>
    <mergeCell ref="B8:O8"/>
    <mergeCell ref="P8:AA8"/>
    <mergeCell ref="AB8:AJ8"/>
    <mergeCell ref="AO5:AO9"/>
    <mergeCell ref="AP5:AP9"/>
    <mergeCell ref="AQ5:AQ9"/>
    <mergeCell ref="AR5:AR9"/>
    <mergeCell ref="AS5:AS9"/>
    <mergeCell ref="AT5:AT9"/>
    <mergeCell ref="B9:C9"/>
    <mergeCell ref="C57:G57"/>
    <mergeCell ref="H57:L57"/>
    <mergeCell ref="M57:R57"/>
    <mergeCell ref="S57:U57"/>
    <mergeCell ref="V57:X57"/>
    <mergeCell ref="Y57:AC57"/>
    <mergeCell ref="AD57:AJ57"/>
    <mergeCell ref="B110:C110"/>
    <mergeCell ref="D2:G3"/>
    <mergeCell ref="I2:AB3"/>
    <mergeCell ref="AC2:AJ2"/>
    <mergeCell ref="B3:C3"/>
    <mergeCell ref="AC3:AJ4"/>
    <mergeCell ref="AD5:AG5"/>
    <mergeCell ref="AH5:AI6"/>
    <mergeCell ref="AB14:AC14"/>
    <mergeCell ref="AD14:AJ14"/>
    <mergeCell ref="AB15:AC15"/>
    <mergeCell ref="AB16:AC16"/>
    <mergeCell ref="AD16:AJ16"/>
    <mergeCell ref="C17:O17"/>
    <mergeCell ref="P17:U17"/>
    <mergeCell ref="V17:AC17"/>
    <mergeCell ref="AB11:AC11"/>
  </mergeCells>
  <conditionalFormatting sqref="B9 E9:AH10 B10:C10 B28 B33:B34 B39 B53 B61 B71 B75:B76 B84 B88 B124 B126">
    <cfRule type="expression" dxfId="1586" priority="146">
      <formula>IF(AND(File_Marr_Sep&lt;&gt;"",$AI$9=""),1,0)</formula>
    </cfRule>
  </conditionalFormatting>
  <conditionalFormatting sqref="B110">
    <cfRule type="expression" dxfId="1585" priority="12">
      <formula>IF(AND(File_Marr_Sep&lt;&gt;"",$AI$9=""),1,0)</formula>
    </cfRule>
  </conditionalFormatting>
  <conditionalFormatting sqref="B115:D116 B117:AF117 B119:B120 B122">
    <cfRule type="expression" dxfId="1584" priority="100">
      <formula>$AM$115</formula>
    </cfRule>
  </conditionalFormatting>
  <conditionalFormatting sqref="B85:J87">
    <cfRule type="expression" dxfId="1583" priority="53">
      <formula>NoColor</formula>
    </cfRule>
  </conditionalFormatting>
  <conditionalFormatting sqref="B89:J91">
    <cfRule type="expression" dxfId="1582" priority="50">
      <formula>NoColor</formula>
    </cfRule>
  </conditionalFormatting>
  <conditionalFormatting sqref="B18:AC19">
    <cfRule type="expression" dxfId="1581" priority="77">
      <formula>NoColor</formula>
    </cfRule>
  </conditionalFormatting>
  <conditionalFormatting sqref="B8:AJ8">
    <cfRule type="expression" dxfId="1580" priority="82">
      <formula>NoColor</formula>
    </cfRule>
  </conditionalFormatting>
  <conditionalFormatting sqref="B127:AJ128">
    <cfRule type="expression" dxfId="1579" priority="40">
      <formula>NoColor</formula>
    </cfRule>
  </conditionalFormatting>
  <conditionalFormatting sqref="C119:C123">
    <cfRule type="expression" dxfId="1578" priority="102">
      <formula>$AM$115</formula>
    </cfRule>
  </conditionalFormatting>
  <conditionalFormatting sqref="C126">
    <cfRule type="expression" dxfId="1577" priority="85">
      <formula>$AM$115</formula>
    </cfRule>
  </conditionalFormatting>
  <conditionalFormatting sqref="C129:C130">
    <cfRule type="expression" dxfId="1576" priority="83">
      <formula>$AM$115</formula>
    </cfRule>
  </conditionalFormatting>
  <conditionalFormatting sqref="C114:AJ114">
    <cfRule type="expression" dxfId="1575" priority="133">
      <formula>$AM$115</formula>
    </cfRule>
  </conditionalFormatting>
  <conditionalFormatting sqref="E72">
    <cfRule type="expression" dxfId="1574" priority="111">
      <formula>IF(AND(File_Marr_Sep&lt;&gt;"",$AI$9=""),1,0)</formula>
    </cfRule>
  </conditionalFormatting>
  <conditionalFormatting sqref="E74">
    <cfRule type="expression" dxfId="1573" priority="110">
      <formula>IF(AND(File_Marr_Sep&lt;&gt;"",$AI$9=""),1,0)</formula>
    </cfRule>
  </conditionalFormatting>
  <conditionalFormatting sqref="E111">
    <cfRule type="expression" dxfId="1572" priority="7">
      <formula>IF(AND(File_Marr_Sep&lt;&gt;"",$AI$9=""),1,0)</formula>
    </cfRule>
  </conditionalFormatting>
  <conditionalFormatting sqref="E115:E116">
    <cfRule type="expression" dxfId="1571" priority="129">
      <formula>AM115</formula>
    </cfRule>
  </conditionalFormatting>
  <conditionalFormatting sqref="E28:AH28">
    <cfRule type="expression" dxfId="1570" priority="126">
      <formula>IF(AND(File_Marr_Sep&lt;&gt;"",$AI$9=""),1,0)</formula>
    </cfRule>
  </conditionalFormatting>
  <conditionalFormatting sqref="E33:AH34">
    <cfRule type="expression" dxfId="1569" priority="120">
      <formula>IF(AND(File_Marr_Sep&lt;&gt;"",$AI$9=""),1,0)</formula>
    </cfRule>
  </conditionalFormatting>
  <conditionalFormatting sqref="E39:AH39">
    <cfRule type="expression" dxfId="1568" priority="119">
      <formula>IF(AND(File_Marr_Sep&lt;&gt;"",$AI$9=""),1,0)</formula>
    </cfRule>
  </conditionalFormatting>
  <conditionalFormatting sqref="E53:AH53">
    <cfRule type="expression" dxfId="1567" priority="118">
      <formula>IF(AND(File_Marr_Sep&lt;&gt;"",$AI$9=""),1,0)</formula>
    </cfRule>
  </conditionalFormatting>
  <conditionalFormatting sqref="E61:AH61">
    <cfRule type="expression" dxfId="1566" priority="117">
      <formula>IF(AND(File_Marr_Sep&lt;&gt;"",$AI$9=""),1,0)</formula>
    </cfRule>
  </conditionalFormatting>
  <conditionalFormatting sqref="E71:AH71">
    <cfRule type="expression" dxfId="1565" priority="112">
      <formula>IF(AND(File_Marr_Sep&lt;&gt;"",$AI$9=""),1,0)</formula>
    </cfRule>
  </conditionalFormatting>
  <conditionalFormatting sqref="E75:AH76">
    <cfRule type="expression" dxfId="1564" priority="109">
      <formula>IF(AND(File_Marr_Sep&lt;&gt;"",$AI$9=""),1,0)</formula>
    </cfRule>
  </conditionalFormatting>
  <conditionalFormatting sqref="E84:AH84">
    <cfRule type="expression" dxfId="1563" priority="108">
      <formula>IF(AND(File_Marr_Sep&lt;&gt;"",$AI$9=""),1,0)</formula>
    </cfRule>
  </conditionalFormatting>
  <conditionalFormatting sqref="E88:AH88">
    <cfRule type="expression" dxfId="1562" priority="107">
      <formula>IF(AND(File_Marr_Sep&lt;&gt;"",$AI$9=""),1,0)</formula>
    </cfRule>
  </conditionalFormatting>
  <conditionalFormatting sqref="E110:AH110">
    <cfRule type="expression" dxfId="1561" priority="8">
      <formula>IF(AND(File_Marr_Sep&lt;&gt;"",$AI$9=""),1,0)</formula>
    </cfRule>
  </conditionalFormatting>
  <conditionalFormatting sqref="E124:AH124">
    <cfRule type="expression" dxfId="1560" priority="87">
      <formula>IF(AND(File_Marr_Sep&lt;&gt;"",$AI$9=""),1,0)</formula>
    </cfRule>
  </conditionalFormatting>
  <conditionalFormatting sqref="E126:AH126">
    <cfRule type="expression" dxfId="1559" priority="86">
      <formula>IF(AND(File_Marr_Sep&lt;&gt;"",$AI$9=""),1,0)</formula>
    </cfRule>
  </conditionalFormatting>
  <conditionalFormatting sqref="F116:AE116">
    <cfRule type="expression" dxfId="1558" priority="99">
      <formula>$AM$115</formula>
    </cfRule>
  </conditionalFormatting>
  <conditionalFormatting sqref="F115:AG115">
    <cfRule type="expression" dxfId="1557" priority="98">
      <formula>$AM$115</formula>
    </cfRule>
  </conditionalFormatting>
  <conditionalFormatting sqref="H56:L60">
    <cfRule type="expression" dxfId="1556" priority="62">
      <formula>NoColor</formula>
    </cfRule>
  </conditionalFormatting>
  <conditionalFormatting sqref="H49:R52">
    <cfRule type="expression" dxfId="1555" priority="70">
      <formula>NoColor</formula>
    </cfRule>
  </conditionalFormatting>
  <conditionalFormatting sqref="H108:R109">
    <cfRule type="expression" dxfId="1554" priority="4">
      <formula>NoColor</formula>
    </cfRule>
  </conditionalFormatting>
  <conditionalFormatting sqref="L89:W91">
    <cfRule type="expression" dxfId="1553" priority="49">
      <formula>NoColor</formula>
    </cfRule>
  </conditionalFormatting>
  <conditionalFormatting sqref="L85:AJ87">
    <cfRule type="expression" dxfId="1552" priority="52">
      <formula>NoColor</formula>
    </cfRule>
  </conditionalFormatting>
  <conditionalFormatting sqref="M105:P107">
    <cfRule type="expression" dxfId="1551" priority="24">
      <formula>AND($M105&lt;&gt;"",$O105&lt;&gt;"")</formula>
    </cfRule>
  </conditionalFormatting>
  <conditionalFormatting sqref="M15:R15">
    <cfRule type="expression" dxfId="1550" priority="147">
      <formula>IF(NoColor,1,0)</formula>
    </cfRule>
  </conditionalFormatting>
  <conditionalFormatting sqref="M29:R29">
    <cfRule type="expression" dxfId="1549" priority="124">
      <formula>IF(NoColor,1,0)</formula>
    </cfRule>
  </conditionalFormatting>
  <conditionalFormatting sqref="M47:R48">
    <cfRule type="expression" dxfId="1548" priority="68">
      <formula>NoColor</formula>
    </cfRule>
  </conditionalFormatting>
  <conditionalFormatting sqref="M55:R60">
    <cfRule type="expression" dxfId="1547" priority="63">
      <formula>NoColor</formula>
    </cfRule>
  </conditionalFormatting>
  <conditionalFormatting sqref="M63:R63">
    <cfRule type="expression" dxfId="1546" priority="115">
      <formula>IF(NoColor,1,0)</formula>
    </cfRule>
  </conditionalFormatting>
  <conditionalFormatting sqref="M54:X54">
    <cfRule type="expression" dxfId="1545" priority="65">
      <formula>NoColor</formula>
    </cfRule>
  </conditionalFormatting>
  <conditionalFormatting sqref="M41:AJ46">
    <cfRule type="expression" dxfId="1544" priority="71">
      <formula>NoColor</formula>
    </cfRule>
  </conditionalFormatting>
  <conditionalFormatting sqref="M98:AJ99">
    <cfRule type="expression" dxfId="1543" priority="45">
      <formula>NoColor</formula>
    </cfRule>
  </conditionalFormatting>
  <conditionalFormatting sqref="M101:AJ103">
    <cfRule type="expression" dxfId="1542" priority="43">
      <formula>NoColor</formula>
    </cfRule>
  </conditionalFormatting>
  <conditionalFormatting sqref="M105:AJ107">
    <cfRule type="expression" dxfId="1541" priority="42">
      <formula>NoColor</formula>
    </cfRule>
  </conditionalFormatting>
  <conditionalFormatting sqref="Q105:T107">
    <cfRule type="expression" dxfId="1540" priority="23">
      <formula>AND($Q105&lt;&gt;"",$S105&lt;&gt;"")</formula>
    </cfRule>
  </conditionalFormatting>
  <conditionalFormatting sqref="R119">
    <cfRule type="expression" dxfId="1539" priority="134">
      <formula>AND($AH$118,$AB$118)</formula>
    </cfRule>
  </conditionalFormatting>
  <conditionalFormatting sqref="S52:U52">
    <cfRule type="expression" dxfId="1538" priority="66">
      <formula>NoColor</formula>
    </cfRule>
  </conditionalFormatting>
  <conditionalFormatting sqref="T96">
    <cfRule type="expression" dxfId="1537" priority="132">
      <formula>NoColor</formula>
    </cfRule>
  </conditionalFormatting>
  <conditionalFormatting sqref="T72:U72">
    <cfRule type="expression" dxfId="1536" priority="142">
      <formula>AND(NOT(NoColor),NoSSN)</formula>
    </cfRule>
    <cfRule type="expression" dxfId="1535" priority="141">
      <formula>IF(NoColor,1,0)</formula>
    </cfRule>
  </conditionalFormatting>
  <conditionalFormatting sqref="T111:U111">
    <cfRule type="expression" dxfId="1534" priority="10">
      <formula>IF(NoColor,1,0)</formula>
    </cfRule>
    <cfRule type="expression" dxfId="1533" priority="11">
      <formula>AND(NOT(NoColor),NoSSN)</formula>
    </cfRule>
  </conditionalFormatting>
  <conditionalFormatting sqref="U105:X107">
    <cfRule type="expression" dxfId="1532" priority="22">
      <formula>AND($U105&lt;&gt;"",$W105&lt;&gt;"")</formula>
    </cfRule>
  </conditionalFormatting>
  <conditionalFormatting sqref="U72:AJ72">
    <cfRule type="expression" dxfId="1531" priority="130">
      <formula>AND(NoColor,NoSSN)</formula>
    </cfRule>
  </conditionalFormatting>
  <conditionalFormatting sqref="U111:AJ111">
    <cfRule type="expression" dxfId="1530" priority="9">
      <formula>AND(NoColor,NoSSN)</formula>
    </cfRule>
  </conditionalFormatting>
  <conditionalFormatting sqref="V47:X48">
    <cfRule type="expression" dxfId="1529" priority="67">
      <formula>NoColor</formula>
    </cfRule>
  </conditionalFormatting>
  <conditionalFormatting sqref="V55:X55">
    <cfRule type="expression" dxfId="1528" priority="61">
      <formula>NoColor</formula>
    </cfRule>
  </conditionalFormatting>
  <conditionalFormatting sqref="V20:AC20">
    <cfRule type="expression" dxfId="1527" priority="76">
      <formula>NoColor</formula>
    </cfRule>
  </conditionalFormatting>
  <conditionalFormatting sqref="W79">
    <cfRule type="expression" dxfId="1526" priority="2">
      <formula>NoColor</formula>
    </cfRule>
  </conditionalFormatting>
  <conditionalFormatting sqref="W67:AA67 W70:AA70">
    <cfRule type="expression" dxfId="1525" priority="58">
      <formula>NoColor</formula>
    </cfRule>
  </conditionalFormatting>
  <conditionalFormatting sqref="W26:AC26">
    <cfRule type="expression" dxfId="1524" priority="74">
      <formula>NoColor</formula>
    </cfRule>
  </conditionalFormatting>
  <conditionalFormatting sqref="X15:AA15">
    <cfRule type="expression" dxfId="1523" priority="144">
      <formula>IF(NoColor,1,0)</formula>
    </cfRule>
  </conditionalFormatting>
  <conditionalFormatting sqref="X29:AA29">
    <cfRule type="expression" dxfId="1522" priority="122">
      <formula>IF(NoColor,1,0)</formula>
    </cfRule>
  </conditionalFormatting>
  <conditionalFormatting sqref="X63:AA63">
    <cfRule type="expression" dxfId="1521" priority="113">
      <formula>IF(NoColor,1,0)</formula>
    </cfRule>
  </conditionalFormatting>
  <conditionalFormatting sqref="Y105:AB107">
    <cfRule type="expression" dxfId="1520" priority="21">
      <formula>AND($Y105&lt;&gt;"",$AA105&lt;&gt;"")</formula>
    </cfRule>
  </conditionalFormatting>
  <conditionalFormatting sqref="Y89:AE91">
    <cfRule type="expression" dxfId="1519" priority="48">
      <formula>NoColor</formula>
    </cfRule>
  </conditionalFormatting>
  <conditionalFormatting sqref="AA83:AE83">
    <cfRule type="expression" dxfId="1518" priority="51">
      <formula>NoColor</formula>
    </cfRule>
  </conditionalFormatting>
  <conditionalFormatting sqref="AA92:AE92">
    <cfRule type="expression" dxfId="1517" priority="47">
      <formula>NoColor</formula>
    </cfRule>
  </conditionalFormatting>
  <conditionalFormatting sqref="AB77:AB79">
    <cfRule type="expression" dxfId="1516" priority="57">
      <formula>NoColor</formula>
    </cfRule>
  </conditionalFormatting>
  <conditionalFormatting sqref="AB8:AJ8">
    <cfRule type="expression" dxfId="1515" priority="38">
      <formula>NoSSN</formula>
    </cfRule>
    <cfRule type="expression" dxfId="1514" priority="80">
      <formula>NoSSN</formula>
    </cfRule>
    <cfRule type="expression" dxfId="1513" priority="81">
      <formula>AND(NoColor,NoSSN)</formula>
    </cfRule>
  </conditionalFormatting>
  <conditionalFormatting sqref="AC96">
    <cfRule type="expression" dxfId="1512" priority="131">
      <formula>NoColor</formula>
    </cfRule>
  </conditionalFormatting>
  <conditionalFormatting sqref="AC108">
    <cfRule type="expression" dxfId="1511" priority="3">
      <formula>NoColor</formula>
    </cfRule>
  </conditionalFormatting>
  <conditionalFormatting sqref="AC105:AF107">
    <cfRule type="expression" dxfId="1510" priority="20">
      <formula>AND($AC105&lt;&gt;"",$AE105&lt;&gt;"")</formula>
    </cfRule>
  </conditionalFormatting>
  <conditionalFormatting sqref="AC59:AJ59">
    <cfRule type="expression" dxfId="1508" priority="1">
      <formula>NoColor</formula>
    </cfRule>
  </conditionalFormatting>
  <conditionalFormatting sqref="AD11:AJ14">
    <cfRule type="expression" dxfId="1507" priority="79">
      <formula>NoColor</formula>
    </cfRule>
  </conditionalFormatting>
  <conditionalFormatting sqref="AD16:AJ16">
    <cfRule type="expression" dxfId="1506" priority="78">
      <formula>NoColor</formula>
    </cfRule>
  </conditionalFormatting>
  <conditionalFormatting sqref="AD21:AJ25">
    <cfRule type="expression" dxfId="1505" priority="75">
      <formula>NoColor</formula>
    </cfRule>
  </conditionalFormatting>
  <conditionalFormatting sqref="AD30:AJ32">
    <cfRule type="expression" dxfId="1504" priority="73">
      <formula>NoColor</formula>
    </cfRule>
  </conditionalFormatting>
  <conditionalFormatting sqref="AD35:AJ35">
    <cfRule type="expression" dxfId="1503" priority="72">
      <formula>NoColor</formula>
    </cfRule>
  </conditionalFormatting>
  <conditionalFormatting sqref="AD47:AJ52">
    <cfRule type="expression" dxfId="1502" priority="69">
      <formula>NoColor</formula>
    </cfRule>
  </conditionalFormatting>
  <conditionalFormatting sqref="AD54:AJ58 AD60:AJ60">
    <cfRule type="expression" dxfId="1501" priority="64">
      <formula>NoColor</formula>
    </cfRule>
  </conditionalFormatting>
  <conditionalFormatting sqref="AD62:AJ62">
    <cfRule type="expression" dxfId="1500" priority="60">
      <formula>NoColor</formula>
    </cfRule>
  </conditionalFormatting>
  <conditionalFormatting sqref="AD64:AJ64">
    <cfRule type="expression" dxfId="1499" priority="59">
      <formula>NoColor</formula>
    </cfRule>
  </conditionalFormatting>
  <conditionalFormatting sqref="AD109:AJ109">
    <cfRule type="expression" dxfId="1498" priority="6">
      <formula>NoColor</formula>
    </cfRule>
  </conditionalFormatting>
  <conditionalFormatting sqref="AD129:AJ130">
    <cfRule type="expression" dxfId="1497" priority="39">
      <formula>NoColor</formula>
    </cfRule>
  </conditionalFormatting>
  <conditionalFormatting sqref="AE119:AE121">
    <cfRule type="expression" dxfId="1496" priority="135">
      <formula>IF(NoColor,1,0)</formula>
    </cfRule>
  </conditionalFormatting>
  <conditionalFormatting sqref="AE120:AF120">
    <cfRule type="expression" dxfId="1495" priority="137">
      <formula>IF(NoColor,1,0)</formula>
    </cfRule>
  </conditionalFormatting>
  <conditionalFormatting sqref="AE123:AF123">
    <cfRule type="expression" dxfId="1494" priority="127">
      <formula>IF(NoColor,1,0)</formula>
    </cfRule>
  </conditionalFormatting>
  <conditionalFormatting sqref="AF77:AF79">
    <cfRule type="expression" dxfId="1493" priority="56">
      <formula>NoColor</formula>
    </cfRule>
  </conditionalFormatting>
  <conditionalFormatting sqref="AF93:AJ93">
    <cfRule type="expression" dxfId="1492" priority="46">
      <formula>NoColor</formula>
    </cfRule>
  </conditionalFormatting>
  <conditionalFormatting sqref="AG117 AG119:AH119 AG120 AG122:AH122">
    <cfRule type="expression" dxfId="1491" priority="17">
      <formula>AND($AG117&lt;&gt;"",$AI117&lt;&gt;"")</formula>
    </cfRule>
  </conditionalFormatting>
  <conditionalFormatting sqref="AG119:AG120">
    <cfRule type="expression" dxfId="1490" priority="94">
      <formula>$AM$115</formula>
    </cfRule>
  </conditionalFormatting>
  <conditionalFormatting sqref="AG122">
    <cfRule type="expression" dxfId="1489" priority="92">
      <formula>$AM$115</formula>
    </cfRule>
  </conditionalFormatting>
  <conditionalFormatting sqref="AG105:AJ107">
    <cfRule type="expression" dxfId="1488" priority="19">
      <formula>AND($AG105&lt;&gt;"",$AI105&lt;&gt;"")</formula>
    </cfRule>
  </conditionalFormatting>
  <conditionalFormatting sqref="AG116:AJ116 AG117 AI117:AJ118 AG119:AJ119 AG120 AI120:AJ121 AG122:AJ122">
    <cfRule type="expression" dxfId="1487" priority="41">
      <formula>NoColor</formula>
    </cfRule>
  </conditionalFormatting>
  <conditionalFormatting sqref="AG116:AJ116">
    <cfRule type="expression" dxfId="1486" priority="18">
      <formula>AND($AG116&lt;&gt;"",$AI116&lt;&gt;"")</formula>
    </cfRule>
  </conditionalFormatting>
  <conditionalFormatting sqref="AG119:AJ119">
    <cfRule type="expression" dxfId="1485" priority="15">
      <formula>AND($AG$119&lt;&gt;"",$AI$119&lt;&gt;"")</formula>
    </cfRule>
  </conditionalFormatting>
  <conditionalFormatting sqref="AG120:AJ121">
    <cfRule type="expression" dxfId="1484" priority="14">
      <formula>AND($AG120&lt;&gt;"",$AI$120&lt;&gt;"")</formula>
    </cfRule>
  </conditionalFormatting>
  <conditionalFormatting sqref="AG122:AJ122">
    <cfRule type="expression" dxfId="1483" priority="13">
      <formula>AND($AG122&lt;&gt;"",$AI$122&lt;&gt;"")</formula>
    </cfRule>
  </conditionalFormatting>
  <conditionalFormatting sqref="AI115:AI116">
    <cfRule type="expression" dxfId="1482" priority="91">
      <formula>$AM$115</formula>
    </cfRule>
  </conditionalFormatting>
  <conditionalFormatting sqref="AI119:AI120">
    <cfRule type="expression" dxfId="1481" priority="95">
      <formula>$AM$115</formula>
    </cfRule>
  </conditionalFormatting>
  <conditionalFormatting sqref="AI122">
    <cfRule type="expression" dxfId="1480" priority="93">
      <formula>$AM$115</formula>
    </cfRule>
  </conditionalFormatting>
  <conditionalFormatting sqref="AI117:AJ118">
    <cfRule type="expression" dxfId="1479" priority="16">
      <formula>AND($AG117&lt;&gt;"",$AI117&lt;&gt;"")</formula>
    </cfRule>
  </conditionalFormatting>
  <pageMargins left="0.75" right="0.25" top="0.36" bottom="0.28999999999999998" header="0.36" footer="0.21"/>
  <pageSetup scale="67" fitToHeight="0" orientation="portrait" r:id="rId1"/>
  <rowBreaks count="2" manualBreakCount="2">
    <brk id="59" min="1" max="35" man="1"/>
    <brk id="108" max="16383" man="1"/>
  </rowBreaks>
  <extLst>
    <ext xmlns:x14="http://schemas.microsoft.com/office/spreadsheetml/2009/9/main" uri="{78C0D931-6437-407d-A8EE-F0AAD7539E65}">
      <x14:conditionalFormattings>
        <x14:conditionalFormatting xmlns:xm="http://schemas.microsoft.com/office/excel/2006/main">
          <x14:cfRule type="expression" priority="37" id="{66804422-6C4D-4A04-A0B5-9916F239E28E}">
            <xm:f>'Table of Contents'!A48="D"</xm:f>
            <x14:dxf>
              <font>
                <b/>
                <i val="0"/>
                <color rgb="FFC00000"/>
              </font>
            </x14:dxf>
          </x14:cfRule>
          <xm:sqref>AC2:AJ2</xm:sqref>
        </x14:conditionalFormatting>
      </x14:conditionalFormatting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pageSetUpPr fitToPage="1"/>
  </sheetPr>
  <dimension ref="A1:AZ323"/>
  <sheetViews>
    <sheetView zoomScaleNormal="100" zoomScaleSheetLayoutView="100" workbookViewId="0"/>
  </sheetViews>
  <sheetFormatPr defaultColWidth="9.140625" defaultRowHeight="15.75"/>
  <cols>
    <col min="1" max="1" width="2.7109375" customWidth="1"/>
    <col min="2" max="2" width="6.140625" customWidth="1"/>
    <col min="3" max="19" width="4.42578125" customWidth="1"/>
    <col min="20" max="20" width="3.5703125" customWidth="1"/>
    <col min="21" max="21" width="5.140625" customWidth="1"/>
    <col min="22" max="22" width="6.42578125" customWidth="1"/>
    <col min="23" max="23" width="8.7109375" customWidth="1"/>
    <col min="24" max="24" width="4.7109375" customWidth="1"/>
    <col min="25" max="27" width="3.85546875" customWidth="1"/>
    <col min="28" max="29" width="2.85546875" customWidth="1"/>
    <col min="30" max="30" width="2.140625" customWidth="1"/>
    <col min="31" max="31" width="4" customWidth="1"/>
    <col min="32" max="32" width="3.85546875" customWidth="1"/>
    <col min="33" max="34" width="3.7109375" customWidth="1"/>
    <col min="35" max="35" width="3.85546875" customWidth="1"/>
    <col min="36" max="36" width="2.7109375" customWidth="1"/>
    <col min="37" max="37" width="4.7109375" customWidth="1"/>
    <col min="38" max="38" width="2.85546875" customWidth="1"/>
    <col min="39" max="39" width="14.42578125" customWidth="1"/>
    <col min="40" max="40" width="18.42578125" style="304" customWidth="1"/>
    <col min="41" max="41" width="10.5703125" style="6607" hidden="1" customWidth="1"/>
    <col min="42" max="50" width="10.7109375" style="658" customWidth="1"/>
    <col min="51" max="51" width="4.140625" style="658" customWidth="1"/>
  </cols>
  <sheetData>
    <row r="1" spans="1:52" s="815" customFormat="1" ht="24.75" customHeight="1">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8823" t="str">
        <f>IF('Table of Contents'!A49="D","DRAFT","")</f>
        <v/>
      </c>
      <c r="AD1" s="8823"/>
      <c r="AE1" s="8823"/>
      <c r="AF1" s="8823"/>
      <c r="AG1" s="8823"/>
      <c r="AH1" s="8823"/>
      <c r="AI1" s="8823"/>
      <c r="AJ1" s="8823"/>
      <c r="AK1" s="2013"/>
      <c r="AL1" s="253"/>
      <c r="AM1" s="253"/>
      <c r="AN1" s="2362"/>
      <c r="AO1" s="6605"/>
      <c r="AP1" s="658"/>
      <c r="AQ1" s="658"/>
      <c r="AR1" s="658"/>
      <c r="AS1" s="658"/>
      <c r="AT1" s="658"/>
      <c r="AU1" s="658"/>
      <c r="AV1" s="658"/>
      <c r="AW1" s="658"/>
      <c r="AX1" s="658"/>
      <c r="AY1" s="658"/>
      <c r="AZ1"/>
    </row>
    <row r="2" spans="1:52" s="815" customFormat="1" ht="24" customHeight="1">
      <c r="A2" s="2013"/>
      <c r="B2" s="9962" t="str">
        <f>IF('Table of Contents'!A48="D","DRAFT","")</f>
        <v/>
      </c>
      <c r="C2" s="9962"/>
      <c r="D2" s="9951" t="s">
        <v>5270</v>
      </c>
      <c r="E2" s="9952"/>
      <c r="F2" s="9952"/>
      <c r="G2" s="9952"/>
      <c r="H2" s="379"/>
      <c r="I2" s="10244" t="s">
        <v>5197</v>
      </c>
      <c r="J2" s="10245"/>
      <c r="K2" s="10245"/>
      <c r="L2" s="10245"/>
      <c r="M2" s="10245"/>
      <c r="N2" s="10245"/>
      <c r="O2" s="10245"/>
      <c r="P2" s="10245"/>
      <c r="Q2" s="10245"/>
      <c r="R2" s="10245"/>
      <c r="S2" s="10245"/>
      <c r="T2" s="10245"/>
      <c r="U2" s="10245"/>
      <c r="V2" s="10245"/>
      <c r="W2" s="10245"/>
      <c r="X2" s="10245"/>
      <c r="Y2" s="10245"/>
      <c r="Z2" s="10245"/>
      <c r="AA2" s="10245"/>
      <c r="AB2" s="10246"/>
      <c r="AC2" s="9957" t="str">
        <f>IF(AND('Table of Contents'!A49="D",AK2=""),"DRAFT","OMB No. 1545-0074")</f>
        <v>OMB No. 1545-0074</v>
      </c>
      <c r="AD2" s="9958"/>
      <c r="AE2" s="9958"/>
      <c r="AF2" s="9958"/>
      <c r="AG2" s="9958"/>
      <c r="AH2" s="9958"/>
      <c r="AI2" s="9958"/>
      <c r="AJ2" s="9958"/>
      <c r="AK2" s="1796"/>
      <c r="AL2" s="253"/>
      <c r="AM2" s="253"/>
      <c r="AN2" s="2362"/>
      <c r="AO2" s="6605"/>
      <c r="AP2" s="658"/>
      <c r="AQ2" s="658"/>
      <c r="AR2" s="658"/>
      <c r="AS2" s="658"/>
      <c r="AT2" s="658"/>
      <c r="AU2" s="658"/>
      <c r="AV2" s="658"/>
      <c r="AW2" s="658"/>
      <c r="AX2" s="658"/>
      <c r="AY2" s="658"/>
      <c r="AZ2"/>
    </row>
    <row r="3" spans="1:52" s="815" customFormat="1" ht="24" customHeight="1">
      <c r="A3" s="2013"/>
      <c r="B3" s="9831" t="s">
        <v>46</v>
      </c>
      <c r="C3" s="9832"/>
      <c r="D3" s="9952"/>
      <c r="E3" s="9952"/>
      <c r="F3" s="9952"/>
      <c r="G3" s="9952"/>
      <c r="H3" s="379"/>
      <c r="I3" s="10247"/>
      <c r="J3" s="10245"/>
      <c r="K3" s="10245"/>
      <c r="L3" s="10245"/>
      <c r="M3" s="10245"/>
      <c r="N3" s="10245"/>
      <c r="O3" s="10245"/>
      <c r="P3" s="10245"/>
      <c r="Q3" s="10245"/>
      <c r="R3" s="10245"/>
      <c r="S3" s="10245"/>
      <c r="T3" s="10245"/>
      <c r="U3" s="10245"/>
      <c r="V3" s="10245"/>
      <c r="W3" s="10245"/>
      <c r="X3" s="10245"/>
      <c r="Y3" s="10245"/>
      <c r="Z3" s="10245"/>
      <c r="AA3" s="10245"/>
      <c r="AB3" s="10246"/>
      <c r="AC3" s="9826">
        <f>TaxYear</f>
        <v>2025</v>
      </c>
      <c r="AD3" s="9827"/>
      <c r="AE3" s="9827"/>
      <c r="AF3" s="9827"/>
      <c r="AG3" s="9827"/>
      <c r="AH3" s="9827"/>
      <c r="AI3" s="9827"/>
      <c r="AJ3" s="9827"/>
      <c r="AK3" s="2013"/>
      <c r="AL3" s="253"/>
      <c r="AM3" s="253"/>
      <c r="AN3" s="2362"/>
      <c r="AO3" s="6605"/>
      <c r="AP3" s="658"/>
      <c r="AQ3" s="658"/>
      <c r="AR3" s="658"/>
      <c r="AS3" s="658"/>
      <c r="AT3" s="658"/>
      <c r="AU3" s="658"/>
      <c r="AV3" s="658"/>
      <c r="AW3" s="658"/>
      <c r="AX3" s="658"/>
      <c r="AY3" s="658"/>
      <c r="AZ3"/>
    </row>
    <row r="4" spans="1:52" s="815" customFormat="1" ht="6.75" customHeight="1">
      <c r="A4" s="2013"/>
      <c r="B4" s="253"/>
      <c r="C4" s="253"/>
      <c r="D4" s="253"/>
      <c r="E4" s="253"/>
      <c r="F4" s="253"/>
      <c r="G4" s="253"/>
      <c r="H4" s="379"/>
      <c r="I4" s="7705" t="s">
        <v>776</v>
      </c>
      <c r="J4" s="7706"/>
      <c r="K4" s="7706"/>
      <c r="L4" s="7706"/>
      <c r="M4" s="7706"/>
      <c r="N4" s="7706"/>
      <c r="O4" s="7706"/>
      <c r="P4" s="7706"/>
      <c r="Q4" s="7706"/>
      <c r="R4" s="7706"/>
      <c r="S4" s="7706"/>
      <c r="T4" s="7706"/>
      <c r="U4" s="7706"/>
      <c r="V4" s="7706"/>
      <c r="W4" s="7706"/>
      <c r="X4" s="7706"/>
      <c r="Y4" s="7706"/>
      <c r="Z4" s="7706"/>
      <c r="AA4" s="7706"/>
      <c r="AB4" s="7707"/>
      <c r="AC4" s="9828"/>
      <c r="AD4" s="9829"/>
      <c r="AE4" s="9829"/>
      <c r="AF4" s="9829"/>
      <c r="AG4" s="9829"/>
      <c r="AH4" s="9829"/>
      <c r="AI4" s="9829"/>
      <c r="AJ4" s="9829"/>
      <c r="AK4" s="2013"/>
      <c r="AL4" s="253"/>
      <c r="AM4" s="253"/>
      <c r="AN4" s="2362"/>
      <c r="AO4" s="6605"/>
      <c r="AP4" s="658"/>
      <c r="AQ4" s="658"/>
      <c r="AR4" s="658"/>
      <c r="AS4" s="658"/>
      <c r="AT4" s="658"/>
      <c r="AU4" s="658"/>
      <c r="AV4" s="658"/>
      <c r="AW4" s="658"/>
      <c r="AX4" s="658"/>
      <c r="AY4" s="658"/>
      <c r="AZ4"/>
    </row>
    <row r="5" spans="1:52" s="815" customFormat="1" ht="10.5" customHeight="1">
      <c r="A5" s="2013"/>
      <c r="B5" s="253" t="s">
        <v>503</v>
      </c>
      <c r="C5" s="253"/>
      <c r="D5" s="253"/>
      <c r="E5" s="253"/>
      <c r="F5" s="253"/>
      <c r="G5" s="253"/>
      <c r="H5" s="379"/>
      <c r="I5" s="7705"/>
      <c r="J5" s="7706"/>
      <c r="K5" s="7706"/>
      <c r="L5" s="7706"/>
      <c r="M5" s="7706"/>
      <c r="N5" s="7706"/>
      <c r="O5" s="7706"/>
      <c r="P5" s="7706"/>
      <c r="Q5" s="7706"/>
      <c r="R5" s="7706"/>
      <c r="S5" s="7706"/>
      <c r="T5" s="7706"/>
      <c r="U5" s="7706"/>
      <c r="V5" s="7706"/>
      <c r="W5" s="7706"/>
      <c r="X5" s="7706"/>
      <c r="Y5" s="7706"/>
      <c r="Z5" s="7706"/>
      <c r="AA5" s="7706"/>
      <c r="AB5" s="7707"/>
      <c r="AC5" s="341"/>
      <c r="AD5" s="9515" t="s">
        <v>3475</v>
      </c>
      <c r="AE5" s="7844"/>
      <c r="AF5" s="7844"/>
      <c r="AG5" s="7844"/>
      <c r="AH5" s="7932">
        <v>75</v>
      </c>
      <c r="AI5" s="7932"/>
      <c r="AJ5" s="253"/>
      <c r="AK5" s="2013"/>
      <c r="AL5" s="253"/>
      <c r="AM5" s="253"/>
      <c r="AN5" s="2362"/>
      <c r="AO5" s="6605"/>
      <c r="AP5" s="658"/>
      <c r="AQ5" s="658"/>
      <c r="AR5" s="658"/>
      <c r="AS5" s="658"/>
      <c r="AT5" s="658"/>
      <c r="AU5" s="658"/>
      <c r="AV5" s="658"/>
      <c r="AW5" s="658"/>
      <c r="AX5" s="658"/>
      <c r="AY5" s="658"/>
      <c r="AZ5"/>
    </row>
    <row r="6" spans="1:52" s="815" customFormat="1" ht="15.75" customHeight="1" thickBot="1">
      <c r="A6" s="2013"/>
      <c r="B6" s="498" t="s">
        <v>505</v>
      </c>
      <c r="C6" s="380"/>
      <c r="D6" s="380"/>
      <c r="E6" s="380"/>
      <c r="F6" s="380"/>
      <c r="G6" s="380"/>
      <c r="H6" s="381"/>
      <c r="I6" s="10249" t="s">
        <v>6259</v>
      </c>
      <c r="J6" s="10250"/>
      <c r="K6" s="10250"/>
      <c r="L6" s="10250"/>
      <c r="M6" s="10250"/>
      <c r="N6" s="10250"/>
      <c r="O6" s="10250"/>
      <c r="P6" s="10250"/>
      <c r="Q6" s="10250"/>
      <c r="R6" s="10250"/>
      <c r="S6" s="10250"/>
      <c r="T6" s="10250"/>
      <c r="U6" s="10250"/>
      <c r="V6" s="10250"/>
      <c r="W6" s="10250"/>
      <c r="X6" s="10250"/>
      <c r="Y6" s="10250"/>
      <c r="Z6" s="10250"/>
      <c r="AA6" s="10250"/>
      <c r="AB6" s="10251"/>
      <c r="AC6" s="1197"/>
      <c r="AD6" s="9966" t="s">
        <v>3488</v>
      </c>
      <c r="AE6" s="9967"/>
      <c r="AF6" s="9967"/>
      <c r="AG6" s="9967"/>
      <c r="AH6" s="10248"/>
      <c r="AI6" s="10248"/>
      <c r="AJ6" s="380"/>
      <c r="AK6" s="2013"/>
      <c r="AL6" s="253"/>
      <c r="AM6" s="253"/>
      <c r="AN6" s="2362"/>
      <c r="AO6" s="6605"/>
      <c r="AP6" s="658"/>
      <c r="AQ6" s="658"/>
      <c r="AR6" s="658"/>
      <c r="AS6" s="658"/>
      <c r="AT6" s="658"/>
      <c r="AU6" s="658"/>
      <c r="AV6" s="658"/>
      <c r="AW6" s="658"/>
      <c r="AX6" s="658"/>
      <c r="AY6" s="658"/>
      <c r="AZ6"/>
    </row>
    <row r="7" spans="1:52" s="815" customFormat="1" ht="17.25" customHeight="1">
      <c r="A7" s="2013"/>
      <c r="B7" s="1995" t="s">
        <v>1918</v>
      </c>
      <c r="C7" s="339"/>
      <c r="D7" s="339"/>
      <c r="E7" s="339"/>
      <c r="F7" s="339"/>
      <c r="G7" s="339"/>
      <c r="H7" s="339"/>
      <c r="I7" s="339"/>
      <c r="J7" s="339"/>
      <c r="K7" s="339"/>
      <c r="L7" s="339"/>
      <c r="M7" s="339"/>
      <c r="N7" s="339"/>
      <c r="O7" s="339"/>
      <c r="P7" s="339"/>
      <c r="Q7" s="339"/>
      <c r="R7" s="339"/>
      <c r="S7" s="339"/>
      <c r="T7" s="339"/>
      <c r="U7" s="339"/>
      <c r="V7" s="339"/>
      <c r="W7" s="339"/>
      <c r="X7" s="339"/>
      <c r="Y7" s="377"/>
      <c r="Z7" s="377"/>
      <c r="AA7" s="377"/>
      <c r="AB7" s="2314" t="s">
        <v>549</v>
      </c>
      <c r="AC7" s="377"/>
      <c r="AD7" s="2289"/>
      <c r="AE7" s="2289"/>
      <c r="AF7" s="2289"/>
      <c r="AG7" s="2289"/>
      <c r="AH7" s="2289"/>
      <c r="AI7" s="2289"/>
      <c r="AJ7" s="2289"/>
      <c r="AK7" s="2013"/>
      <c r="AL7" s="253"/>
      <c r="AM7" s="253"/>
      <c r="AN7" s="2362"/>
      <c r="AO7" s="6605"/>
      <c r="AP7" s="658"/>
      <c r="AQ7" s="658"/>
      <c r="AR7" s="658"/>
      <c r="AS7" s="658"/>
      <c r="AT7" s="658"/>
      <c r="AU7" s="658"/>
      <c r="AV7" s="658"/>
      <c r="AW7" s="658"/>
      <c r="AX7" s="658"/>
      <c r="AY7" s="658"/>
      <c r="AZ7"/>
    </row>
    <row r="8" spans="1:52" s="815" customFormat="1" ht="21" customHeight="1">
      <c r="A8" s="2013"/>
      <c r="B8" s="7869" t="str">
        <f>Names</f>
        <v/>
      </c>
      <c r="C8" s="7869"/>
      <c r="D8" s="7869"/>
      <c r="E8" s="7869"/>
      <c r="F8" s="7869"/>
      <c r="G8" s="7869"/>
      <c r="H8" s="7869"/>
      <c r="I8" s="7869"/>
      <c r="J8" s="7869"/>
      <c r="K8" s="7869"/>
      <c r="L8" s="7869"/>
      <c r="M8" s="7869"/>
      <c r="N8" s="7869"/>
      <c r="O8" s="7869"/>
      <c r="P8" s="7869"/>
      <c r="Q8" s="7869"/>
      <c r="R8" s="7869"/>
      <c r="S8" s="7869"/>
      <c r="T8" s="7869"/>
      <c r="U8" s="7869"/>
      <c r="V8" s="7869"/>
      <c r="W8" s="7869"/>
      <c r="X8" s="7869"/>
      <c r="Y8" s="7869"/>
      <c r="Z8" s="7869"/>
      <c r="AA8" s="7870"/>
      <c r="AB8" s="10261">
        <f>IF(NoSSN,"",SS_Yours)</f>
        <v>1010001</v>
      </c>
      <c r="AC8" s="10262"/>
      <c r="AD8" s="10262"/>
      <c r="AE8" s="10262"/>
      <c r="AF8" s="10262"/>
      <c r="AG8" s="10262"/>
      <c r="AH8" s="10262"/>
      <c r="AI8" s="10262"/>
      <c r="AJ8" s="10262"/>
      <c r="AK8" s="2013"/>
      <c r="AL8" s="253"/>
      <c r="AM8" s="253"/>
      <c r="AN8" s="2362"/>
      <c r="AO8" s="6605"/>
      <c r="AP8" s="658"/>
      <c r="AQ8" s="658"/>
      <c r="AR8" s="658"/>
      <c r="AS8" s="658"/>
      <c r="AT8" s="658"/>
      <c r="AU8" s="658"/>
      <c r="AV8" s="658"/>
      <c r="AW8" s="658"/>
      <c r="AX8" s="658"/>
      <c r="AY8" s="658"/>
      <c r="AZ8"/>
    </row>
    <row r="9" spans="1:52" s="1115" customFormat="1" ht="6" customHeight="1">
      <c r="A9" s="2290"/>
      <c r="B9" s="2291"/>
      <c r="C9" s="2291"/>
      <c r="D9" s="2317"/>
      <c r="E9" s="2310"/>
      <c r="F9" s="2291"/>
      <c r="G9" s="2291"/>
      <c r="H9" s="2291"/>
      <c r="I9" s="2291"/>
      <c r="J9" s="2291"/>
      <c r="K9" s="2291"/>
      <c r="L9" s="2291"/>
      <c r="M9" s="2291"/>
      <c r="N9" s="2291"/>
      <c r="O9" s="2291"/>
      <c r="P9" s="2291"/>
      <c r="Q9" s="2291"/>
      <c r="R9" s="2291"/>
      <c r="S9" s="2291"/>
      <c r="T9" s="2291"/>
      <c r="U9" s="2291"/>
      <c r="V9" s="2291"/>
      <c r="W9" s="2291"/>
      <c r="X9" s="2291"/>
      <c r="Y9" s="2291"/>
      <c r="Z9" s="2291"/>
      <c r="AA9" s="2291"/>
      <c r="AB9" s="2291"/>
      <c r="AC9" s="2291"/>
      <c r="AD9" s="2291"/>
      <c r="AE9" s="2291"/>
      <c r="AF9" s="2291"/>
      <c r="AG9" s="2291"/>
      <c r="AH9" s="2291"/>
      <c r="AI9" s="2292"/>
      <c r="AJ9" s="2292"/>
      <c r="AK9" s="2290"/>
      <c r="AL9" s="253"/>
      <c r="AM9" s="253"/>
      <c r="AN9" s="2363"/>
      <c r="AO9" s="6606"/>
      <c r="AP9" s="658"/>
      <c r="AQ9" s="658"/>
      <c r="AR9" s="658"/>
      <c r="AS9" s="658"/>
      <c r="AT9" s="658"/>
      <c r="AU9" s="658"/>
      <c r="AV9" s="658"/>
      <c r="AW9" s="658"/>
      <c r="AX9" s="658"/>
      <c r="AY9" s="658"/>
      <c r="AZ9" s="2293"/>
    </row>
    <row r="10" spans="1:52" s="2321" customFormat="1" ht="19.5" customHeight="1">
      <c r="A10" s="2318"/>
      <c r="B10" s="7646" t="s">
        <v>780</v>
      </c>
      <c r="C10" s="10263"/>
      <c r="D10" s="2315"/>
      <c r="E10" s="2323" t="s">
        <v>5271</v>
      </c>
      <c r="F10" s="2319"/>
      <c r="G10" s="2319"/>
      <c r="H10" s="2319"/>
      <c r="I10" s="2319"/>
      <c r="J10" s="2319"/>
      <c r="K10" s="2319"/>
      <c r="L10" s="2319"/>
      <c r="M10" s="2319"/>
      <c r="N10" s="2319"/>
      <c r="O10" s="2319"/>
      <c r="P10" s="2319"/>
      <c r="Q10" s="2325" t="s">
        <v>5272</v>
      </c>
      <c r="R10" s="2319"/>
      <c r="S10" s="2319"/>
      <c r="T10" s="2319"/>
      <c r="U10" s="2319"/>
      <c r="V10" s="2319"/>
      <c r="W10" s="2319"/>
      <c r="X10" s="2319"/>
      <c r="Y10" s="2319"/>
      <c r="Z10" s="2319"/>
      <c r="AA10" s="2319"/>
      <c r="AB10" s="2319"/>
      <c r="AC10" s="2319"/>
      <c r="AD10" s="2319"/>
      <c r="AE10" s="2319"/>
      <c r="AF10" s="2319"/>
      <c r="AG10" s="2319"/>
      <c r="AH10" s="2319"/>
      <c r="AI10" s="2320"/>
      <c r="AJ10" s="2320"/>
      <c r="AK10" s="2318"/>
      <c r="AL10" s="1323"/>
      <c r="AM10" s="1323"/>
      <c r="AN10" s="2364"/>
      <c r="AO10" s="6606"/>
      <c r="AP10" s="668"/>
      <c r="AQ10" s="668"/>
      <c r="AR10" s="668"/>
      <c r="AS10" s="668"/>
      <c r="AT10" s="668"/>
      <c r="AU10" s="668"/>
      <c r="AV10" s="668"/>
      <c r="AW10" s="668"/>
      <c r="AX10" s="668"/>
      <c r="AY10" s="668"/>
      <c r="AZ10" s="2322"/>
    </row>
    <row r="11" spans="1:52" s="1115" customFormat="1" ht="6.75" customHeight="1">
      <c r="A11" s="2290"/>
      <c r="B11" s="2294"/>
      <c r="C11" s="2294"/>
      <c r="D11" s="2295"/>
      <c r="E11" s="2296"/>
      <c r="F11" s="2294"/>
      <c r="G11" s="2294"/>
      <c r="H11" s="2294"/>
      <c r="I11" s="2294"/>
      <c r="J11" s="2294"/>
      <c r="K11" s="2294"/>
      <c r="L11" s="2294"/>
      <c r="M11" s="2294"/>
      <c r="N11" s="2294"/>
      <c r="O11" s="2294"/>
      <c r="P11" s="2294"/>
      <c r="Q11" s="2294"/>
      <c r="R11" s="2294"/>
      <c r="S11" s="2294"/>
      <c r="T11" s="2294"/>
      <c r="U11" s="2294"/>
      <c r="V11" s="2294"/>
      <c r="W11" s="2294"/>
      <c r="X11" s="2294"/>
      <c r="Y11" s="2294"/>
      <c r="Z11" s="2294"/>
      <c r="AA11" s="2294"/>
      <c r="AB11" s="2294"/>
      <c r="AC11" s="2294"/>
      <c r="AD11" s="2294"/>
      <c r="AE11" s="2294"/>
      <c r="AF11" s="2294"/>
      <c r="AG11" s="2294"/>
      <c r="AH11" s="2294"/>
      <c r="AI11" s="2297"/>
      <c r="AJ11" s="2297"/>
      <c r="AK11" s="2290"/>
      <c r="AL11" s="253"/>
      <c r="AM11" s="253"/>
      <c r="AN11" s="2363"/>
      <c r="AO11" s="6606"/>
      <c r="AP11" s="658"/>
      <c r="AQ11" s="658"/>
      <c r="AR11" s="658"/>
      <c r="AS11" s="658"/>
      <c r="AT11" s="658"/>
      <c r="AU11" s="658"/>
      <c r="AV11" s="658"/>
      <c r="AW11" s="658"/>
      <c r="AX11" s="658"/>
      <c r="AY11" s="658"/>
      <c r="AZ11" s="2293"/>
    </row>
    <row r="12" spans="1:52" s="1115" customFormat="1" ht="7.5" customHeight="1">
      <c r="A12" s="2290"/>
      <c r="B12" s="2291"/>
      <c r="C12" s="2291"/>
      <c r="D12" s="2317"/>
      <c r="E12" s="2310"/>
      <c r="F12" s="2291"/>
      <c r="G12" s="2291"/>
      <c r="H12" s="2291"/>
      <c r="I12" s="2291"/>
      <c r="J12" s="2291"/>
      <c r="K12" s="2291"/>
      <c r="L12" s="2291"/>
      <c r="M12" s="2291"/>
      <c r="N12" s="2291"/>
      <c r="O12" s="2291"/>
      <c r="P12" s="2291"/>
      <c r="Q12" s="2291"/>
      <c r="R12" s="2291"/>
      <c r="S12" s="2291"/>
      <c r="T12" s="2291"/>
      <c r="U12" s="2291"/>
      <c r="V12" s="2291"/>
      <c r="W12" s="2291"/>
      <c r="X12" s="2291"/>
      <c r="Y12" s="2291"/>
      <c r="Z12" s="2291"/>
      <c r="AA12" s="2291"/>
      <c r="AB12" s="2291"/>
      <c r="AC12" s="2291"/>
      <c r="AD12" s="2291"/>
      <c r="AE12" s="2291"/>
      <c r="AF12" s="2291"/>
      <c r="AG12" s="2291"/>
      <c r="AH12" s="2291"/>
      <c r="AI12" s="2292"/>
      <c r="AJ12" s="2292"/>
      <c r="AK12" s="2290"/>
      <c r="AL12" s="253"/>
      <c r="AM12" s="253"/>
      <c r="AN12" s="2363"/>
      <c r="AO12" s="6606"/>
      <c r="AP12" s="658"/>
      <c r="AQ12" s="658"/>
      <c r="AR12" s="658"/>
      <c r="AS12" s="658"/>
      <c r="AT12" s="658"/>
      <c r="AU12" s="658"/>
      <c r="AV12" s="658"/>
      <c r="AW12" s="658"/>
      <c r="AX12" s="658"/>
      <c r="AY12" s="658"/>
      <c r="AZ12" s="2293"/>
    </row>
    <row r="13" spans="1:52" s="2321" customFormat="1" ht="18">
      <c r="A13" s="2318"/>
      <c r="B13" s="2329" t="s">
        <v>1933</v>
      </c>
      <c r="C13" s="2320"/>
      <c r="D13" s="2033" t="s">
        <v>5343</v>
      </c>
      <c r="E13" s="2320"/>
      <c r="F13" s="2320"/>
      <c r="G13" s="2320"/>
      <c r="H13" s="2320"/>
      <c r="I13" s="2320"/>
      <c r="J13" s="2320"/>
      <c r="K13" s="2320"/>
      <c r="L13" s="2320"/>
      <c r="M13" s="2320"/>
      <c r="N13" s="2320"/>
      <c r="O13" s="2320"/>
      <c r="P13" s="2320"/>
      <c r="Q13" s="2320"/>
      <c r="R13" s="2320"/>
      <c r="S13" s="2320"/>
      <c r="T13" s="2320"/>
      <c r="U13" s="2320"/>
      <c r="V13" s="2320"/>
      <c r="W13" s="1988"/>
      <c r="X13" s="2328" t="str">
        <f>""&amp;TaxYear-1&amp;"."</f>
        <v>2024.</v>
      </c>
      <c r="Y13" s="1988"/>
      <c r="Z13" s="2328"/>
      <c r="AA13" s="2320"/>
      <c r="AB13" s="2320"/>
      <c r="AC13" s="2320"/>
      <c r="AD13" s="2320"/>
      <c r="AE13" s="2328"/>
      <c r="AF13" s="2320"/>
      <c r="AG13" s="2328"/>
      <c r="AH13" s="2320"/>
      <c r="AI13" s="2320"/>
      <c r="AJ13" s="2320"/>
      <c r="AK13" s="2318"/>
      <c r="AL13" s="1323"/>
      <c r="AM13" s="1323"/>
      <c r="AN13" s="2364"/>
      <c r="AO13" s="6606"/>
      <c r="AP13" s="668"/>
      <c r="AQ13" s="668"/>
      <c r="AR13" s="668"/>
      <c r="AS13" s="668"/>
      <c r="AT13" s="668"/>
      <c r="AU13" s="668"/>
      <c r="AV13" s="668"/>
      <c r="AW13" s="668"/>
      <c r="AX13" s="668"/>
      <c r="AY13" s="668"/>
      <c r="AZ13" s="2322"/>
    </row>
    <row r="14" spans="1:52" s="2321" customFormat="1" ht="8.25" customHeight="1">
      <c r="A14" s="2318"/>
      <c r="B14" s="2325"/>
      <c r="C14" s="2319"/>
      <c r="D14" s="2319"/>
      <c r="E14" s="2319"/>
      <c r="F14" s="2319"/>
      <c r="G14" s="2319"/>
      <c r="H14" s="2319"/>
      <c r="I14" s="2319"/>
      <c r="J14" s="2319"/>
      <c r="K14" s="2319"/>
      <c r="L14" s="2319"/>
      <c r="M14" s="2319"/>
      <c r="N14" s="2319"/>
      <c r="O14" s="2319"/>
      <c r="P14" s="2319"/>
      <c r="Q14" s="2319"/>
      <c r="R14" s="2319"/>
      <c r="S14" s="2319"/>
      <c r="T14" s="2319"/>
      <c r="U14" s="2319"/>
      <c r="V14" s="2319"/>
      <c r="W14" s="2319"/>
      <c r="X14" s="2319"/>
      <c r="Y14" s="2319"/>
      <c r="Z14" s="2319"/>
      <c r="AA14" s="2319"/>
      <c r="AB14" s="2319"/>
      <c r="AC14" s="2319"/>
      <c r="AD14" s="2319"/>
      <c r="AE14" s="2319"/>
      <c r="AF14" s="2319"/>
      <c r="AG14" s="2319"/>
      <c r="AH14" s="2319"/>
      <c r="AI14" s="2320"/>
      <c r="AJ14" s="2320"/>
      <c r="AK14" s="2318"/>
      <c r="AL14" s="1323"/>
      <c r="AM14" s="1323"/>
      <c r="AN14" s="2364"/>
      <c r="AO14" s="6606"/>
      <c r="AP14" s="668"/>
      <c r="AQ14" s="668"/>
      <c r="AR14" s="668"/>
      <c r="AS14" s="668"/>
      <c r="AT14" s="668"/>
      <c r="AU14" s="668"/>
      <c r="AV14" s="668"/>
      <c r="AW14" s="668"/>
      <c r="AX14" s="668"/>
      <c r="AY14" s="668"/>
      <c r="AZ14" s="2322"/>
    </row>
    <row r="15" spans="1:52" s="2321" customFormat="1" ht="15">
      <c r="A15" s="2318"/>
      <c r="B15" s="2311" t="s">
        <v>5273</v>
      </c>
      <c r="C15" s="2319"/>
      <c r="D15" s="2319"/>
      <c r="E15" s="2319"/>
      <c r="F15" s="2319"/>
      <c r="G15" s="2319"/>
      <c r="H15" s="2319"/>
      <c r="I15" s="2319"/>
      <c r="J15" s="2319"/>
      <c r="K15" s="2319"/>
      <c r="L15" s="2319"/>
      <c r="M15" s="2319"/>
      <c r="N15" s="2319"/>
      <c r="O15" s="2319"/>
      <c r="P15" s="2319"/>
      <c r="Q15" s="2319"/>
      <c r="R15" s="2319"/>
      <c r="S15" s="2319"/>
      <c r="T15" s="2319"/>
      <c r="U15" s="2319"/>
      <c r="V15" s="2319"/>
      <c r="W15" s="2319"/>
      <c r="X15" s="2319"/>
      <c r="Y15" s="2319"/>
      <c r="Z15" s="2319"/>
      <c r="AA15" s="2319"/>
      <c r="AB15" s="2319"/>
      <c r="AC15" s="2319"/>
      <c r="AD15" s="2319"/>
      <c r="AE15" s="2319"/>
      <c r="AF15" s="2319"/>
      <c r="AG15" s="2319"/>
      <c r="AH15" s="2319"/>
      <c r="AI15" s="2320"/>
      <c r="AJ15" s="2320"/>
      <c r="AK15" s="2318"/>
      <c r="AL15" s="1323"/>
      <c r="AM15" s="1323"/>
      <c r="AN15" s="2364"/>
      <c r="AO15" s="6606"/>
      <c r="AP15" s="668"/>
      <c r="AQ15" s="668"/>
      <c r="AR15" s="668"/>
      <c r="AS15" s="668"/>
      <c r="AT15" s="668"/>
      <c r="AU15" s="668"/>
      <c r="AV15" s="668"/>
      <c r="AW15" s="668"/>
      <c r="AX15" s="668"/>
      <c r="AY15" s="668"/>
      <c r="AZ15" s="2322"/>
    </row>
    <row r="16" spans="1:52" s="2321" customFormat="1" ht="15">
      <c r="A16" s="2318"/>
      <c r="B16" s="2311" t="s">
        <v>5274</v>
      </c>
      <c r="C16" s="2319"/>
      <c r="D16" s="2319"/>
      <c r="E16" s="2319"/>
      <c r="F16" s="2319"/>
      <c r="G16" s="2319"/>
      <c r="H16" s="2319"/>
      <c r="I16" s="2319"/>
      <c r="J16" s="2319"/>
      <c r="K16" s="2319"/>
      <c r="L16" s="2319"/>
      <c r="M16" s="2319"/>
      <c r="N16" s="2319"/>
      <c r="O16" s="2319"/>
      <c r="P16" s="2319"/>
      <c r="Q16" s="2319"/>
      <c r="R16" s="2319"/>
      <c r="S16" s="2319"/>
      <c r="T16" s="2319"/>
      <c r="U16" s="2319"/>
      <c r="V16" s="2319"/>
      <c r="W16" s="2319"/>
      <c r="X16" s="2319"/>
      <c r="Y16" s="2319"/>
      <c r="Z16" s="2319"/>
      <c r="AA16" s="2319"/>
      <c r="AB16" s="2319"/>
      <c r="AC16" s="2319"/>
      <c r="AD16" s="2319"/>
      <c r="AE16" s="2319"/>
      <c r="AF16" s="2319"/>
      <c r="AG16" s="2319"/>
      <c r="AH16" s="2319"/>
      <c r="AI16" s="2320"/>
      <c r="AJ16" s="2320"/>
      <c r="AK16" s="2318"/>
      <c r="AL16" s="1323"/>
      <c r="AM16" s="1323"/>
      <c r="AN16" s="2364"/>
      <c r="AO16" s="6606"/>
      <c r="AP16" s="668"/>
      <c r="AQ16" s="668"/>
      <c r="AR16" s="668"/>
      <c r="AS16" s="668"/>
      <c r="AT16" s="668"/>
      <c r="AU16" s="668"/>
      <c r="AV16" s="668"/>
      <c r="AW16" s="668"/>
      <c r="AX16" s="668"/>
      <c r="AY16" s="668"/>
      <c r="AZ16" s="2322"/>
    </row>
    <row r="17" spans="1:52" s="2321" customFormat="1" ht="8.25" customHeight="1">
      <c r="A17" s="2318"/>
      <c r="B17" s="2311"/>
      <c r="C17" s="2319"/>
      <c r="D17" s="2319"/>
      <c r="E17" s="2319"/>
      <c r="F17" s="2319"/>
      <c r="G17" s="2319"/>
      <c r="H17" s="2319"/>
      <c r="I17" s="2319"/>
      <c r="J17" s="2319"/>
      <c r="K17" s="2319"/>
      <c r="L17" s="2319"/>
      <c r="M17" s="2319"/>
      <c r="N17" s="2319"/>
      <c r="O17" s="2319"/>
      <c r="P17" s="2319"/>
      <c r="Q17" s="2319"/>
      <c r="R17" s="2319"/>
      <c r="S17" s="2319"/>
      <c r="T17" s="2319"/>
      <c r="U17" s="2319"/>
      <c r="V17" s="2319"/>
      <c r="W17" s="2319"/>
      <c r="X17" s="2319"/>
      <c r="Y17" s="2319"/>
      <c r="Z17" s="2319"/>
      <c r="AA17" s="2319"/>
      <c r="AB17" s="2319"/>
      <c r="AC17" s="2319"/>
      <c r="AD17" s="2319"/>
      <c r="AE17" s="2319"/>
      <c r="AF17" s="2319"/>
      <c r="AG17" s="2319"/>
      <c r="AH17" s="2319"/>
      <c r="AI17" s="2320"/>
      <c r="AJ17" s="2320"/>
      <c r="AK17" s="2318"/>
      <c r="AL17" s="1323"/>
      <c r="AM17" s="1323"/>
      <c r="AN17" s="2364"/>
      <c r="AO17" s="6606"/>
      <c r="AP17" s="668"/>
      <c r="AQ17" s="668"/>
      <c r="AR17" s="668"/>
      <c r="AS17" s="668"/>
      <c r="AT17" s="668"/>
      <c r="AU17" s="668"/>
      <c r="AV17" s="668"/>
      <c r="AW17" s="668"/>
      <c r="AX17" s="668"/>
      <c r="AY17" s="668"/>
      <c r="AZ17" s="2322"/>
    </row>
    <row r="18" spans="1:52" s="2327" customFormat="1" ht="21" customHeight="1">
      <c r="A18" s="2326"/>
      <c r="B18" s="10216"/>
      <c r="C18" s="10216"/>
      <c r="D18" s="10216"/>
      <c r="E18" s="10216"/>
      <c r="F18" s="10216"/>
      <c r="G18" s="10216"/>
      <c r="H18" s="10216"/>
      <c r="I18" s="10216"/>
      <c r="J18" s="10216"/>
      <c r="K18" s="10216"/>
      <c r="L18" s="10216"/>
      <c r="M18" s="10216"/>
      <c r="N18" s="10216"/>
      <c r="O18" s="10216"/>
      <c r="P18" s="2311"/>
      <c r="Q18" s="10260"/>
      <c r="R18" s="10260"/>
      <c r="S18" s="10260"/>
      <c r="T18" s="2311"/>
      <c r="U18" s="10260"/>
      <c r="V18" s="10260"/>
      <c r="W18" s="10260"/>
      <c r="X18" s="10260"/>
      <c r="Y18" s="10260"/>
      <c r="Z18" s="10260"/>
      <c r="AA18" s="10260"/>
      <c r="AB18" s="2311"/>
      <c r="AC18" s="10260"/>
      <c r="AD18" s="10260"/>
      <c r="AE18" s="10260"/>
      <c r="AF18" s="2311"/>
      <c r="AG18" s="10264"/>
      <c r="AH18" s="10264"/>
      <c r="AI18" s="10264"/>
      <c r="AJ18" s="1323"/>
      <c r="AK18" s="2326"/>
      <c r="AL18" s="1323"/>
      <c r="AM18" s="1323"/>
      <c r="AN18" s="2365"/>
      <c r="AO18" s="6605"/>
      <c r="AP18" s="668"/>
      <c r="AQ18" s="668"/>
      <c r="AR18" s="668"/>
      <c r="AS18" s="668"/>
      <c r="AT18" s="668"/>
      <c r="AU18" s="668"/>
      <c r="AV18" s="668"/>
      <c r="AW18" s="668"/>
      <c r="AX18" s="668"/>
      <c r="AY18" s="668"/>
      <c r="AZ18" s="1405"/>
    </row>
    <row r="19" spans="1:52" s="2321" customFormat="1" ht="14.25" customHeight="1">
      <c r="A19" s="2318"/>
      <c r="B19" s="1672" t="s">
        <v>5275</v>
      </c>
      <c r="C19" s="2319"/>
      <c r="D19" s="2319"/>
      <c r="E19" s="2319"/>
      <c r="F19" s="2319"/>
      <c r="G19" s="2319"/>
      <c r="H19" s="2319"/>
      <c r="I19" s="2319"/>
      <c r="J19" s="2319"/>
      <c r="K19" s="2319"/>
      <c r="L19" s="2319"/>
      <c r="M19" s="2319"/>
      <c r="N19" s="2319"/>
      <c r="O19" s="2319"/>
      <c r="P19" s="2319"/>
      <c r="Q19" s="1672" t="s">
        <v>5276</v>
      </c>
      <c r="R19" s="2319"/>
      <c r="S19" s="2319"/>
      <c r="T19" s="2319"/>
      <c r="U19" s="1672" t="s">
        <v>5277</v>
      </c>
      <c r="V19" s="2319"/>
      <c r="W19" s="2319"/>
      <c r="X19" s="2319"/>
      <c r="Y19" s="2319"/>
      <c r="Z19" s="2319"/>
      <c r="AA19" s="2319"/>
      <c r="AB19" s="1672"/>
      <c r="AC19" s="1672" t="s">
        <v>309</v>
      </c>
      <c r="AD19" s="2319"/>
      <c r="AE19" s="2319"/>
      <c r="AF19" s="1672"/>
      <c r="AG19" s="1672" t="s">
        <v>5278</v>
      </c>
      <c r="AH19" s="2319"/>
      <c r="AI19" s="2320"/>
      <c r="AJ19" s="2320"/>
      <c r="AK19" s="2318"/>
      <c r="AL19" s="1323"/>
      <c r="AM19" s="1323"/>
      <c r="AN19" s="2364"/>
      <c r="AO19" s="6606"/>
      <c r="AP19" s="668"/>
      <c r="AQ19" s="668"/>
      <c r="AR19" s="668"/>
      <c r="AS19" s="668"/>
      <c r="AT19" s="668"/>
      <c r="AU19" s="668"/>
      <c r="AV19" s="668"/>
      <c r="AW19" s="668"/>
      <c r="AX19" s="668"/>
      <c r="AY19" s="668"/>
      <c r="AZ19" s="2322"/>
    </row>
    <row r="20" spans="1:52" s="1115" customFormat="1" ht="3" customHeight="1">
      <c r="A20" s="2290"/>
      <c r="B20" s="2294"/>
      <c r="C20" s="2294"/>
      <c r="D20" s="2295"/>
      <c r="E20" s="2296"/>
      <c r="F20" s="2294"/>
      <c r="G20" s="2294"/>
      <c r="H20" s="2294"/>
      <c r="I20" s="2294"/>
      <c r="J20" s="2294"/>
      <c r="K20" s="2294"/>
      <c r="L20" s="2294"/>
      <c r="M20" s="2294"/>
      <c r="N20" s="2294"/>
      <c r="O20" s="2294"/>
      <c r="P20" s="2294"/>
      <c r="Q20" s="2294"/>
      <c r="R20" s="2294"/>
      <c r="S20" s="2294"/>
      <c r="T20" s="2294"/>
      <c r="U20" s="2294"/>
      <c r="V20" s="2294"/>
      <c r="W20" s="2294"/>
      <c r="X20" s="2294"/>
      <c r="Y20" s="2294"/>
      <c r="Z20" s="2294"/>
      <c r="AA20" s="2294"/>
      <c r="AB20" s="2294"/>
      <c r="AC20" s="2294"/>
      <c r="AD20" s="2294"/>
      <c r="AE20" s="2294"/>
      <c r="AF20" s="2294"/>
      <c r="AG20" s="2294"/>
      <c r="AH20" s="2294"/>
      <c r="AI20" s="2297"/>
      <c r="AJ20" s="2297"/>
      <c r="AK20" s="2290"/>
      <c r="AL20" s="253"/>
      <c r="AM20" s="253"/>
      <c r="AN20" s="2363"/>
      <c r="AO20" s="6606"/>
      <c r="AP20" s="658"/>
      <c r="AQ20" s="658"/>
      <c r="AR20" s="658"/>
      <c r="AS20" s="658"/>
      <c r="AT20" s="658"/>
      <c r="AU20" s="658"/>
      <c r="AV20" s="658"/>
      <c r="AW20" s="658"/>
      <c r="AX20" s="658"/>
      <c r="AY20" s="658"/>
      <c r="AZ20" s="2293"/>
    </row>
    <row r="21" spans="1:52" s="815" customFormat="1" ht="15.75" customHeight="1">
      <c r="A21" s="2013"/>
      <c r="B21" s="2347"/>
      <c r="C21" s="2038"/>
      <c r="D21" s="2038"/>
      <c r="E21" s="344"/>
      <c r="F21" s="344"/>
      <c r="G21" s="344"/>
      <c r="H21" s="344"/>
      <c r="I21" s="344"/>
      <c r="J21" s="344"/>
      <c r="K21" s="344"/>
      <c r="L21" s="344"/>
      <c r="M21" s="344"/>
      <c r="N21" s="344"/>
      <c r="O21" s="344"/>
      <c r="P21" s="344"/>
      <c r="Q21" s="344"/>
      <c r="R21" s="344"/>
      <c r="S21" s="344"/>
      <c r="T21" s="344"/>
      <c r="U21" s="344"/>
      <c r="V21" s="344"/>
      <c r="W21" s="344"/>
      <c r="X21" s="344"/>
      <c r="Y21" s="344"/>
      <c r="Z21" s="344"/>
      <c r="AA21" s="1401"/>
      <c r="AB21" s="10229"/>
      <c r="AC21" s="10230"/>
      <c r="AD21" s="1255"/>
      <c r="AE21" s="1256"/>
      <c r="AF21" s="1256"/>
      <c r="AG21" s="1256"/>
      <c r="AH21" s="1256"/>
      <c r="AI21" s="1256"/>
      <c r="AJ21" s="1256"/>
      <c r="AK21" s="2013"/>
      <c r="AL21" s="253"/>
      <c r="AM21" s="253"/>
      <c r="AN21" s="2362"/>
      <c r="AO21" s="6605"/>
      <c r="AP21" s="658"/>
      <c r="AQ21" s="658"/>
      <c r="AR21" s="658"/>
      <c r="AS21" s="658"/>
      <c r="AT21" s="658"/>
      <c r="AU21" s="658"/>
      <c r="AV21" s="658"/>
      <c r="AW21" s="658"/>
      <c r="AX21" s="658"/>
      <c r="AY21" s="658"/>
      <c r="AZ21"/>
    </row>
    <row r="22" spans="1:52" s="815" customFormat="1" ht="21" customHeight="1">
      <c r="A22" s="2013"/>
      <c r="B22" s="2347">
        <v>1</v>
      </c>
      <c r="C22" s="2379" t="s">
        <v>5279</v>
      </c>
      <c r="D22" s="344"/>
      <c r="E22" s="344"/>
      <c r="F22" s="344"/>
      <c r="G22" s="344"/>
      <c r="H22" s="344"/>
      <c r="I22" s="344"/>
      <c r="J22" s="344"/>
      <c r="K22" s="344"/>
      <c r="L22" s="344"/>
      <c r="M22" s="344"/>
      <c r="N22" s="344"/>
      <c r="O22" s="344"/>
      <c r="P22" s="344"/>
      <c r="Q22" s="344"/>
      <c r="R22" s="344"/>
      <c r="S22" s="344"/>
      <c r="T22" s="344"/>
      <c r="U22" s="344"/>
      <c r="V22" s="344"/>
      <c r="W22" s="344"/>
      <c r="X22" s="344"/>
      <c r="Y22" s="344"/>
      <c r="Z22" s="344"/>
      <c r="AA22" s="1401" t="s">
        <v>891</v>
      </c>
      <c r="AB22" s="10212">
        <v>1</v>
      </c>
      <c r="AC22" s="10213"/>
      <c r="AD22" s="10254"/>
      <c r="AE22" s="10255"/>
      <c r="AF22" s="10255"/>
      <c r="AG22" s="10255"/>
      <c r="AH22" s="10255"/>
      <c r="AI22" s="10255"/>
      <c r="AJ22" s="10255"/>
      <c r="AK22" s="2013"/>
      <c r="AL22" s="253"/>
      <c r="AM22" s="253"/>
      <c r="AN22" s="989">
        <f>ROUND(AD22,0)</f>
        <v>0</v>
      </c>
      <c r="AO22" s="6605" t="b">
        <f>AD22=""</f>
        <v>1</v>
      </c>
      <c r="AP22" s="658"/>
      <c r="AQ22" s="658"/>
      <c r="AR22" s="658"/>
      <c r="AS22" s="658"/>
      <c r="AT22" s="658"/>
      <c r="AU22" s="658"/>
      <c r="AV22" s="658"/>
      <c r="AW22" s="658"/>
      <c r="AX22" s="658"/>
      <c r="AY22" s="658"/>
      <c r="AZ22"/>
    </row>
    <row r="23" spans="1:52" s="815" customFormat="1" ht="8.25" customHeight="1">
      <c r="A23" s="2013"/>
      <c r="B23" s="2347"/>
      <c r="C23" s="2038"/>
      <c r="D23" s="2038"/>
      <c r="E23" s="344"/>
      <c r="F23" s="344"/>
      <c r="G23" s="344"/>
      <c r="H23" s="344"/>
      <c r="I23" s="344"/>
      <c r="J23" s="344"/>
      <c r="K23" s="344"/>
      <c r="L23" s="344"/>
      <c r="M23" s="344"/>
      <c r="N23" s="344"/>
      <c r="O23" s="344"/>
      <c r="P23" s="344"/>
      <c r="Q23" s="344"/>
      <c r="R23" s="344"/>
      <c r="S23" s="344"/>
      <c r="T23" s="344"/>
      <c r="U23" s="344"/>
      <c r="V23" s="344"/>
      <c r="W23" s="344"/>
      <c r="X23" s="344"/>
      <c r="Y23" s="344"/>
      <c r="Z23" s="344"/>
      <c r="AA23" s="1401"/>
      <c r="AB23" s="10229"/>
      <c r="AC23" s="10230"/>
      <c r="AD23" s="1255"/>
      <c r="AE23" s="1256"/>
      <c r="AF23" s="1256"/>
      <c r="AG23" s="1256"/>
      <c r="AH23" s="1256"/>
      <c r="AI23" s="1256"/>
      <c r="AJ23" s="1256"/>
      <c r="AK23" s="2013"/>
      <c r="AL23" s="253"/>
      <c r="AM23" s="253"/>
      <c r="AN23" s="2362"/>
      <c r="AO23" s="6605"/>
      <c r="AP23" s="658"/>
      <c r="AQ23" s="658"/>
      <c r="AR23" s="658"/>
      <c r="AS23" s="658"/>
      <c r="AT23" s="658"/>
      <c r="AU23" s="658"/>
      <c r="AV23" s="658"/>
      <c r="AW23" s="658"/>
      <c r="AX23" s="658"/>
      <c r="AY23" s="658"/>
      <c r="AZ23"/>
    </row>
    <row r="24" spans="1:52" s="815" customFormat="1" ht="21" customHeight="1">
      <c r="A24" s="2013"/>
      <c r="B24" s="2347">
        <v>2</v>
      </c>
      <c r="C24" s="2379" t="s">
        <v>5280</v>
      </c>
      <c r="D24" s="344"/>
      <c r="E24" s="344"/>
      <c r="F24" s="344"/>
      <c r="G24" s="344"/>
      <c r="H24" s="344"/>
      <c r="I24" s="344"/>
      <c r="J24" s="344"/>
      <c r="K24" s="344"/>
      <c r="L24" s="344"/>
      <c r="M24" s="344"/>
      <c r="N24" s="344"/>
      <c r="O24" s="344"/>
      <c r="P24" s="344"/>
      <c r="Q24" s="344"/>
      <c r="R24" s="344"/>
      <c r="S24" s="344"/>
      <c r="T24" s="344"/>
      <c r="U24" s="344"/>
      <c r="V24" s="344"/>
      <c r="W24" s="344"/>
      <c r="X24" s="344"/>
      <c r="Y24" s="344"/>
      <c r="Z24" s="344"/>
      <c r="AA24" s="1401" t="s">
        <v>802</v>
      </c>
      <c r="AB24" s="10212">
        <v>2</v>
      </c>
      <c r="AC24" s="10213"/>
      <c r="AD24" s="10254"/>
      <c r="AE24" s="10255"/>
      <c r="AF24" s="10255"/>
      <c r="AG24" s="10255"/>
      <c r="AH24" s="10255"/>
      <c r="AI24" s="10255"/>
      <c r="AJ24" s="10255"/>
      <c r="AK24" s="2013"/>
      <c r="AL24" s="253"/>
      <c r="AM24" s="253"/>
      <c r="AN24" s="989">
        <f>ROUND(AD24,0)</f>
        <v>0</v>
      </c>
      <c r="AO24" s="6605" t="b">
        <f>AD24=""</f>
        <v>1</v>
      </c>
      <c r="AP24" s="658"/>
      <c r="AQ24" s="658"/>
      <c r="AR24" s="658"/>
      <c r="AS24" s="658"/>
      <c r="AT24" s="658"/>
      <c r="AU24" s="658"/>
      <c r="AV24" s="658"/>
      <c r="AW24" s="658"/>
      <c r="AX24" s="658"/>
      <c r="AY24" s="658"/>
      <c r="AZ24"/>
    </row>
    <row r="25" spans="1:52" s="815" customFormat="1" ht="8.25" customHeight="1">
      <c r="A25" s="2013"/>
      <c r="B25" s="2347"/>
      <c r="C25" s="2038"/>
      <c r="D25" s="2038"/>
      <c r="E25" s="344"/>
      <c r="F25" s="344"/>
      <c r="G25" s="344"/>
      <c r="H25" s="344"/>
      <c r="I25" s="344"/>
      <c r="J25" s="344"/>
      <c r="K25" s="344"/>
      <c r="L25" s="344"/>
      <c r="M25" s="344"/>
      <c r="N25" s="344"/>
      <c r="O25" s="344"/>
      <c r="P25" s="344"/>
      <c r="Q25" s="344"/>
      <c r="R25" s="344"/>
      <c r="S25" s="344"/>
      <c r="T25" s="344"/>
      <c r="U25" s="344"/>
      <c r="V25" s="344"/>
      <c r="W25" s="344"/>
      <c r="X25" s="344"/>
      <c r="Y25" s="344"/>
      <c r="Z25" s="344"/>
      <c r="AA25" s="1401"/>
      <c r="AB25" s="10229"/>
      <c r="AC25" s="10230"/>
      <c r="AD25" s="1255"/>
      <c r="AE25" s="1256"/>
      <c r="AF25" s="1256"/>
      <c r="AG25" s="1256"/>
      <c r="AH25" s="1256"/>
      <c r="AI25" s="1256"/>
      <c r="AJ25" s="1256"/>
      <c r="AK25" s="2013"/>
      <c r="AL25" s="253"/>
      <c r="AM25" s="253"/>
      <c r="AN25" s="2362"/>
      <c r="AO25" s="6605"/>
      <c r="AP25" s="658"/>
      <c r="AQ25" s="658"/>
      <c r="AR25" s="658"/>
      <c r="AS25" s="658"/>
      <c r="AT25" s="658"/>
      <c r="AU25" s="658"/>
      <c r="AV25" s="658"/>
      <c r="AW25" s="658"/>
      <c r="AX25" s="658"/>
      <c r="AY25" s="658"/>
      <c r="AZ25"/>
    </row>
    <row r="26" spans="1:52" s="815" customFormat="1" ht="21" customHeight="1">
      <c r="A26" s="2013"/>
      <c r="B26" s="2347">
        <v>3</v>
      </c>
      <c r="C26" s="2379" t="s">
        <v>5281</v>
      </c>
      <c r="D26" s="344"/>
      <c r="E26" s="344"/>
      <c r="F26" s="344"/>
      <c r="G26" s="344"/>
      <c r="H26" s="344"/>
      <c r="I26" s="344"/>
      <c r="J26" s="344"/>
      <c r="K26" s="344"/>
      <c r="L26" s="344"/>
      <c r="M26" s="344"/>
      <c r="N26" s="344"/>
      <c r="O26" s="344"/>
      <c r="P26" s="344"/>
      <c r="Q26" s="344"/>
      <c r="R26" s="344"/>
      <c r="S26" s="344"/>
      <c r="T26" s="344"/>
      <c r="U26" s="344"/>
      <c r="V26" s="344"/>
      <c r="W26" s="344"/>
      <c r="X26" s="344"/>
      <c r="Y26" s="344"/>
      <c r="Z26" s="344"/>
      <c r="AA26" s="1401" t="s">
        <v>1859</v>
      </c>
      <c r="AB26" s="10212">
        <v>3</v>
      </c>
      <c r="AC26" s="10213"/>
      <c r="AD26" s="10254"/>
      <c r="AE26" s="10255"/>
      <c r="AF26" s="10255"/>
      <c r="AG26" s="10255"/>
      <c r="AH26" s="10255"/>
      <c r="AI26" s="10255"/>
      <c r="AJ26" s="10255"/>
      <c r="AK26" s="2013"/>
      <c r="AL26" s="253"/>
      <c r="AM26" s="253"/>
      <c r="AN26" s="989">
        <f>ROUND(AD26,0)</f>
        <v>0</v>
      </c>
      <c r="AO26" s="6605" t="b">
        <f>AD26=""</f>
        <v>1</v>
      </c>
      <c r="AP26" s="658"/>
      <c r="AQ26" s="658"/>
      <c r="AR26" s="658"/>
      <c r="AS26" s="658"/>
      <c r="AT26" s="658"/>
      <c r="AU26" s="658"/>
      <c r="AV26" s="658"/>
      <c r="AW26" s="658"/>
      <c r="AX26" s="658"/>
      <c r="AY26" s="658"/>
      <c r="AZ26"/>
    </row>
    <row r="27" spans="1:52" s="815" customFormat="1" ht="8.25" customHeight="1">
      <c r="A27" s="2013"/>
      <c r="B27" s="2347"/>
      <c r="C27" s="2038"/>
      <c r="D27" s="2038"/>
      <c r="E27" s="344"/>
      <c r="F27" s="344"/>
      <c r="G27" s="344"/>
      <c r="H27" s="344"/>
      <c r="I27" s="344"/>
      <c r="J27" s="344"/>
      <c r="K27" s="344"/>
      <c r="L27" s="344"/>
      <c r="M27" s="344"/>
      <c r="N27" s="344"/>
      <c r="O27" s="344"/>
      <c r="P27" s="344"/>
      <c r="Q27" s="344"/>
      <c r="R27" s="344"/>
      <c r="S27" s="344"/>
      <c r="T27" s="344"/>
      <c r="U27" s="344"/>
      <c r="V27" s="344"/>
      <c r="W27" s="344"/>
      <c r="X27" s="344"/>
      <c r="Y27" s="344"/>
      <c r="Z27" s="344"/>
      <c r="AA27" s="1401"/>
      <c r="AB27" s="10229"/>
      <c r="AC27" s="10230"/>
      <c r="AD27" s="1255"/>
      <c r="AE27" s="1256"/>
      <c r="AF27" s="1256"/>
      <c r="AG27" s="1256"/>
      <c r="AH27" s="1256"/>
      <c r="AI27" s="1256"/>
      <c r="AJ27" s="1256"/>
      <c r="AK27" s="2013"/>
      <c r="AL27" s="253"/>
      <c r="AM27" s="253"/>
      <c r="AN27" s="2362"/>
      <c r="AO27" s="6605"/>
      <c r="AP27" s="658"/>
      <c r="AQ27" s="658"/>
      <c r="AR27" s="658"/>
      <c r="AS27" s="658"/>
      <c r="AT27" s="658"/>
      <c r="AU27" s="658"/>
      <c r="AV27" s="658"/>
      <c r="AW27" s="658"/>
      <c r="AX27" s="658"/>
      <c r="AY27" s="658"/>
      <c r="AZ27"/>
    </row>
    <row r="28" spans="1:52" s="815" customFormat="1" ht="21" customHeight="1">
      <c r="A28" s="2013"/>
      <c r="B28" s="2347">
        <v>4</v>
      </c>
      <c r="C28" s="2379" t="s">
        <v>5282</v>
      </c>
      <c r="D28" s="344"/>
      <c r="E28" s="344"/>
      <c r="F28" s="344"/>
      <c r="G28" s="344"/>
      <c r="H28" s="344"/>
      <c r="I28" s="344"/>
      <c r="J28" s="344"/>
      <c r="K28" s="344"/>
      <c r="L28" s="344"/>
      <c r="M28" s="344"/>
      <c r="N28" s="344"/>
      <c r="O28" s="344"/>
      <c r="P28" s="344"/>
      <c r="Q28" s="344"/>
      <c r="R28" s="344"/>
      <c r="S28" s="344"/>
      <c r="T28" s="344"/>
      <c r="U28" s="344"/>
      <c r="V28" s="344"/>
      <c r="W28" s="344"/>
      <c r="X28" s="344"/>
      <c r="Y28" s="344"/>
      <c r="Z28" s="344"/>
      <c r="AA28" s="1401" t="s">
        <v>887</v>
      </c>
      <c r="AB28" s="10212">
        <v>4</v>
      </c>
      <c r="AC28" s="10213"/>
      <c r="AD28" s="10252"/>
      <c r="AE28" s="10214"/>
      <c r="AF28" s="10214"/>
      <c r="AG28" s="10214"/>
      <c r="AH28" s="10214"/>
      <c r="AI28" s="10214"/>
      <c r="AJ28" s="10214"/>
      <c r="AK28" s="2013"/>
      <c r="AL28" s="253"/>
      <c r="AM28" s="253"/>
      <c r="AN28" s="989">
        <f>ROUND(AD28,0)</f>
        <v>0</v>
      </c>
      <c r="AO28" s="6605" t="b">
        <f>AD28=""</f>
        <v>1</v>
      </c>
      <c r="AP28" s="658"/>
      <c r="AQ28" s="658"/>
      <c r="AR28" s="658"/>
      <c r="AS28" s="658"/>
      <c r="AT28" s="658"/>
      <c r="AU28" s="658"/>
      <c r="AV28" s="658"/>
      <c r="AW28" s="658"/>
      <c r="AX28" s="658"/>
      <c r="AY28" s="658"/>
      <c r="AZ28"/>
    </row>
    <row r="29" spans="1:52" s="815" customFormat="1" ht="8.25" customHeight="1">
      <c r="A29" s="2013"/>
      <c r="B29" s="2347"/>
      <c r="C29" s="2038"/>
      <c r="D29" s="2038"/>
      <c r="E29" s="344"/>
      <c r="F29" s="344"/>
      <c r="G29" s="344"/>
      <c r="H29" s="344"/>
      <c r="I29" s="344"/>
      <c r="J29" s="344"/>
      <c r="K29" s="344"/>
      <c r="L29" s="344"/>
      <c r="M29" s="344"/>
      <c r="N29" s="344"/>
      <c r="O29" s="344"/>
      <c r="P29" s="344"/>
      <c r="Q29" s="344"/>
      <c r="R29" s="344"/>
      <c r="S29" s="344"/>
      <c r="T29" s="344"/>
      <c r="U29" s="344"/>
      <c r="V29" s="344"/>
      <c r="W29" s="344"/>
      <c r="X29" s="344"/>
      <c r="Y29" s="344"/>
      <c r="Z29" s="344"/>
      <c r="AA29" s="1401"/>
      <c r="AB29" s="10229"/>
      <c r="AC29" s="10253"/>
      <c r="AD29" s="2333"/>
      <c r="AE29" s="2334"/>
      <c r="AF29" s="2334"/>
      <c r="AG29" s="2334"/>
      <c r="AH29" s="2334"/>
      <c r="AI29" s="2334"/>
      <c r="AJ29" s="2334"/>
      <c r="AK29" s="2013"/>
      <c r="AL29" s="253"/>
      <c r="AM29" s="253"/>
      <c r="AN29" s="2362"/>
      <c r="AO29" s="6605"/>
      <c r="AP29" s="658"/>
      <c r="AQ29" s="658"/>
      <c r="AR29" s="658"/>
      <c r="AS29" s="658"/>
      <c r="AT29" s="658"/>
      <c r="AU29" s="658"/>
      <c r="AV29" s="658"/>
      <c r="AW29" s="658"/>
      <c r="AX29" s="658"/>
      <c r="AY29" s="658"/>
      <c r="AZ29"/>
    </row>
    <row r="30" spans="1:52" s="815" customFormat="1" ht="15.75" customHeight="1">
      <c r="A30" s="2013"/>
      <c r="B30" s="2347" t="s">
        <v>629</v>
      </c>
      <c r="C30" s="2038" t="s">
        <v>5283</v>
      </c>
      <c r="D30" s="2038"/>
      <c r="E30" s="344"/>
      <c r="F30" s="344"/>
      <c r="G30" s="344"/>
      <c r="H30" s="344"/>
      <c r="I30" s="344"/>
      <c r="J30" s="344"/>
      <c r="K30" s="344"/>
      <c r="L30" s="344"/>
      <c r="M30" s="344"/>
      <c r="N30" s="344"/>
      <c r="O30" s="344"/>
      <c r="P30" s="344"/>
      <c r="Q30" s="344"/>
      <c r="R30" s="344"/>
      <c r="S30" s="344"/>
      <c r="T30" s="344"/>
      <c r="U30" s="344"/>
      <c r="V30" s="344"/>
      <c r="W30" s="344"/>
      <c r="X30" s="344"/>
      <c r="Y30" s="344"/>
      <c r="Z30" s="344"/>
      <c r="AA30" s="1401"/>
      <c r="AB30" s="10212"/>
      <c r="AC30" s="10213"/>
      <c r="AD30" s="2332"/>
      <c r="AE30" s="1664"/>
      <c r="AF30" s="1664"/>
      <c r="AG30" s="1664"/>
      <c r="AH30" s="1664"/>
      <c r="AI30" s="1664"/>
      <c r="AJ30" s="1664"/>
      <c r="AK30" s="2013"/>
      <c r="AL30" s="253"/>
      <c r="AM30" s="253"/>
      <c r="AN30" s="2362"/>
      <c r="AO30" s="6605" t="b">
        <f>AND(AO22,AO24,AO26,AO28)</f>
        <v>1</v>
      </c>
      <c r="AP30" s="658"/>
      <c r="AQ30" s="658"/>
      <c r="AR30" s="658"/>
      <c r="AS30" s="658"/>
      <c r="AT30" s="658"/>
      <c r="AU30" s="658"/>
      <c r="AV30" s="658"/>
      <c r="AW30" s="658"/>
      <c r="AX30" s="658"/>
      <c r="AY30" s="658"/>
      <c r="AZ30"/>
    </row>
    <row r="31" spans="1:52" s="815" customFormat="1" ht="15.75" customHeight="1">
      <c r="A31" s="2013"/>
      <c r="B31" s="2347"/>
      <c r="C31" s="2038" t="s">
        <v>5367</v>
      </c>
      <c r="D31" s="2038"/>
      <c r="E31" s="344"/>
      <c r="F31" s="344"/>
      <c r="G31" s="344"/>
      <c r="H31" s="344"/>
      <c r="I31" s="344"/>
      <c r="J31" s="344"/>
      <c r="K31" s="344"/>
      <c r="L31" s="344"/>
      <c r="M31" s="344"/>
      <c r="N31" s="344"/>
      <c r="O31" s="344"/>
      <c r="P31" s="344"/>
      <c r="Q31" s="344"/>
      <c r="R31" s="344"/>
      <c r="S31" s="344"/>
      <c r="T31" s="344"/>
      <c r="U31" s="344"/>
      <c r="V31" s="344"/>
      <c r="W31" s="344"/>
      <c r="X31" s="344"/>
      <c r="Y31" s="344"/>
      <c r="Z31" s="344"/>
      <c r="AA31" s="1401"/>
      <c r="AB31" s="10212"/>
      <c r="AC31" s="10213"/>
      <c r="AD31" s="2332"/>
      <c r="AE31" s="1664"/>
      <c r="AF31" s="1664"/>
      <c r="AG31" s="1664"/>
      <c r="AH31" s="1664"/>
      <c r="AI31" s="1664"/>
      <c r="AJ31" s="1664"/>
      <c r="AK31" s="2013"/>
      <c r="AL31" s="253"/>
      <c r="AM31" s="253"/>
      <c r="AN31" s="2362"/>
      <c r="AO31" s="6605"/>
      <c r="AP31" s="658"/>
      <c r="AQ31" s="658"/>
      <c r="AR31" s="658"/>
      <c r="AS31" s="658"/>
      <c r="AT31" s="658"/>
      <c r="AU31" s="658"/>
      <c r="AV31" s="658"/>
      <c r="AW31" s="658"/>
      <c r="AX31" s="658"/>
      <c r="AY31" s="658"/>
      <c r="AZ31"/>
    </row>
    <row r="32" spans="1:52" s="815" customFormat="1" ht="21" customHeight="1">
      <c r="A32" s="2013"/>
      <c r="B32" s="2347"/>
      <c r="C32" s="2298" t="s">
        <v>5368</v>
      </c>
      <c r="D32" s="344"/>
      <c r="E32" s="344"/>
      <c r="F32" s="344"/>
      <c r="G32" s="344"/>
      <c r="H32" s="344"/>
      <c r="I32" s="344"/>
      <c r="J32" s="344"/>
      <c r="K32" s="344"/>
      <c r="L32" s="344"/>
      <c r="M32" s="344"/>
      <c r="N32" s="344"/>
      <c r="O32" s="344"/>
      <c r="P32" s="344"/>
      <c r="Q32" s="344"/>
      <c r="R32" s="344"/>
      <c r="S32" s="344"/>
      <c r="T32" s="344"/>
      <c r="U32" s="344"/>
      <c r="V32" s="344"/>
      <c r="W32" s="344"/>
      <c r="X32" s="344"/>
      <c r="Y32" s="344"/>
      <c r="Z32" s="344"/>
      <c r="AA32" s="1401" t="s">
        <v>875</v>
      </c>
      <c r="AB32" s="10212" t="s">
        <v>629</v>
      </c>
      <c r="AC32" s="10213"/>
      <c r="AD32" s="2332"/>
      <c r="AE32" s="2335"/>
      <c r="AF32" s="1664" t="s">
        <v>568</v>
      </c>
      <c r="AG32" s="1664"/>
      <c r="AH32" s="2336" t="str">
        <f>IF(AND(AE32="",AK32=""),"X","")</f>
        <v/>
      </c>
      <c r="AI32" s="1664" t="s">
        <v>569</v>
      </c>
      <c r="AJ32" s="1664"/>
      <c r="AK32" s="2337" t="s">
        <v>2119</v>
      </c>
      <c r="AL32" s="2338" t="s">
        <v>5284</v>
      </c>
      <c r="AM32" s="253"/>
      <c r="AN32" s="2362"/>
      <c r="AO32" s="6605"/>
      <c r="AP32" s="658"/>
      <c r="AQ32" s="658"/>
      <c r="AR32" s="658"/>
      <c r="AS32" s="658"/>
      <c r="AT32" s="658"/>
      <c r="AU32" s="658"/>
      <c r="AV32" s="658"/>
      <c r="AW32" s="658"/>
      <c r="AX32" s="658"/>
      <c r="AY32" s="658"/>
      <c r="AZ32"/>
    </row>
    <row r="33" spans="1:52" s="815" customFormat="1" ht="5.25" customHeight="1">
      <c r="A33" s="2013"/>
      <c r="B33" s="2347"/>
      <c r="C33" s="2298"/>
      <c r="D33" s="344"/>
      <c r="E33" s="344"/>
      <c r="F33" s="344"/>
      <c r="G33" s="344"/>
      <c r="H33" s="344"/>
      <c r="I33" s="344"/>
      <c r="J33" s="344"/>
      <c r="K33" s="344"/>
      <c r="L33" s="344"/>
      <c r="M33" s="344"/>
      <c r="N33" s="344"/>
      <c r="O33" s="344"/>
      <c r="P33" s="344"/>
      <c r="Q33" s="344"/>
      <c r="R33" s="344"/>
      <c r="S33" s="344"/>
      <c r="T33" s="344"/>
      <c r="U33" s="344"/>
      <c r="V33" s="344"/>
      <c r="W33" s="344"/>
      <c r="X33" s="344"/>
      <c r="Y33" s="344"/>
      <c r="Z33" s="344"/>
      <c r="AA33" s="1401"/>
      <c r="AB33" s="10212"/>
      <c r="AC33" s="10213"/>
      <c r="AD33" s="2330"/>
      <c r="AE33" s="2331"/>
      <c r="AF33" s="2331"/>
      <c r="AG33" s="2331"/>
      <c r="AH33" s="2331"/>
      <c r="AI33" s="2331"/>
      <c r="AJ33" s="2331"/>
      <c r="AK33" s="2013"/>
      <c r="AL33" s="253"/>
      <c r="AM33" s="253"/>
      <c r="AN33" s="2362"/>
      <c r="AO33" s="6605"/>
      <c r="AP33" s="658"/>
      <c r="AQ33" s="658"/>
      <c r="AR33" s="658"/>
      <c r="AS33" s="658"/>
      <c r="AT33" s="658"/>
      <c r="AU33" s="658"/>
      <c r="AV33" s="658"/>
      <c r="AW33" s="658"/>
      <c r="AX33" s="658"/>
      <c r="AY33" s="658"/>
      <c r="AZ33"/>
    </row>
    <row r="34" spans="1:52" s="815" customFormat="1" ht="21" customHeight="1">
      <c r="A34" s="2013"/>
      <c r="B34" s="2347" t="s">
        <v>592</v>
      </c>
      <c r="C34" s="2380" t="s">
        <v>5285</v>
      </c>
      <c r="D34" s="511"/>
      <c r="E34" s="344"/>
      <c r="F34" s="344"/>
      <c r="G34" s="344"/>
      <c r="H34" s="344"/>
      <c r="I34" s="344"/>
      <c r="J34" s="344"/>
      <c r="K34" s="344"/>
      <c r="L34" s="344"/>
      <c r="M34" s="344"/>
      <c r="N34" s="344"/>
      <c r="O34" s="344"/>
      <c r="P34" s="344"/>
      <c r="Q34" s="344"/>
      <c r="R34" s="344"/>
      <c r="S34" s="344"/>
      <c r="T34" s="344"/>
      <c r="U34" s="344"/>
      <c r="V34" s="344"/>
      <c r="W34" s="344"/>
      <c r="X34" s="344"/>
      <c r="Y34" s="344"/>
      <c r="Z34" s="344"/>
      <c r="AA34" s="1401" t="s">
        <v>877</v>
      </c>
      <c r="AB34" s="10229" t="s">
        <v>985</v>
      </c>
      <c r="AC34" s="10253"/>
      <c r="AD34" s="10252"/>
      <c r="AE34" s="10214"/>
      <c r="AF34" s="10214"/>
      <c r="AG34" s="10214"/>
      <c r="AH34" s="10214"/>
      <c r="AI34" s="10214"/>
      <c r="AJ34" s="10214"/>
      <c r="AK34" s="2013"/>
      <c r="AL34" s="253"/>
      <c r="AM34" s="7393" t="s">
        <v>4354</v>
      </c>
      <c r="AN34" s="989">
        <f>ROUND(AD34,0)</f>
        <v>0</v>
      </c>
      <c r="AO34" s="6605" t="b">
        <f>AD34=""</f>
        <v>1</v>
      </c>
      <c r="AP34" s="658"/>
      <c r="AQ34" s="658"/>
      <c r="AR34" s="658"/>
      <c r="AS34" s="658"/>
      <c r="AT34" s="658"/>
      <c r="AU34" s="658"/>
      <c r="AV34" s="658"/>
      <c r="AW34" s="658"/>
      <c r="AX34" s="658"/>
      <c r="AY34" s="658"/>
      <c r="AZ34"/>
    </row>
    <row r="35" spans="1:52" s="815" customFormat="1" ht="8.25" customHeight="1" thickBot="1">
      <c r="A35" s="2013"/>
      <c r="B35" s="2347"/>
      <c r="C35" s="2038"/>
      <c r="D35" s="2038"/>
      <c r="E35" s="344"/>
      <c r="F35" s="344"/>
      <c r="G35" s="344"/>
      <c r="H35" s="344"/>
      <c r="I35" s="344"/>
      <c r="J35" s="344"/>
      <c r="K35" s="344"/>
      <c r="L35" s="344"/>
      <c r="M35" s="344"/>
      <c r="N35" s="344"/>
      <c r="O35" s="344"/>
      <c r="P35" s="344"/>
      <c r="Q35" s="344"/>
      <c r="R35" s="344"/>
      <c r="S35" s="344"/>
      <c r="T35" s="344"/>
      <c r="U35" s="344"/>
      <c r="V35" s="344"/>
      <c r="W35" s="344"/>
      <c r="X35" s="344"/>
      <c r="Y35" s="344"/>
      <c r="Z35" s="344"/>
      <c r="AA35" s="1401"/>
      <c r="AB35" s="10229"/>
      <c r="AC35" s="10230"/>
      <c r="AD35" s="1255"/>
      <c r="AE35" s="1256"/>
      <c r="AF35" s="1256"/>
      <c r="AG35" s="1256"/>
      <c r="AH35" s="1256"/>
      <c r="AI35" s="1256"/>
      <c r="AJ35" s="1256"/>
      <c r="AK35" s="2013"/>
      <c r="AL35" s="253"/>
      <c r="AM35" s="10207"/>
      <c r="AN35" s="2362"/>
      <c r="AO35" s="6605"/>
      <c r="AP35" s="658"/>
      <c r="AQ35" s="658"/>
      <c r="AR35" s="658"/>
      <c r="AS35" s="658"/>
      <c r="AT35" s="658"/>
      <c r="AU35" s="658"/>
      <c r="AV35" s="658"/>
      <c r="AW35" s="658"/>
      <c r="AX35" s="658"/>
      <c r="AY35" s="658"/>
      <c r="AZ35"/>
    </row>
    <row r="36" spans="1:52" s="815" customFormat="1" ht="21" customHeight="1" thickBot="1">
      <c r="A36" s="2013"/>
      <c r="B36" s="2347" t="s">
        <v>995</v>
      </c>
      <c r="C36" s="2379" t="s">
        <v>5286</v>
      </c>
      <c r="D36" s="344"/>
      <c r="E36" s="344"/>
      <c r="F36" s="344"/>
      <c r="G36" s="344"/>
      <c r="H36" s="344"/>
      <c r="I36" s="344"/>
      <c r="J36" s="344"/>
      <c r="K36" s="344"/>
      <c r="L36" s="344"/>
      <c r="M36" s="344"/>
      <c r="N36" s="344"/>
      <c r="O36" s="344"/>
      <c r="P36" s="344"/>
      <c r="Q36" s="344"/>
      <c r="R36" s="344"/>
      <c r="S36" s="344"/>
      <c r="T36" s="344"/>
      <c r="U36" s="344"/>
      <c r="V36" s="344"/>
      <c r="W36" s="344"/>
      <c r="X36" s="344"/>
      <c r="Y36" s="344"/>
      <c r="Z36" s="344"/>
      <c r="AA36" s="1401" t="s">
        <v>1888</v>
      </c>
      <c r="AB36" s="10212" t="s">
        <v>995</v>
      </c>
      <c r="AC36" s="10213"/>
      <c r="AD36" s="10221" t="str">
        <f>IF(AM36&lt;&gt;"",ROUND(AM36,0),IF(AO36,"",SUM(AN22,AN24,AN26,AN28,AN34)))</f>
        <v/>
      </c>
      <c r="AE36" s="10208"/>
      <c r="AF36" s="10208"/>
      <c r="AG36" s="10208"/>
      <c r="AH36" s="10208"/>
      <c r="AI36" s="10208"/>
      <c r="AJ36" s="10208"/>
      <c r="AK36" s="2013"/>
      <c r="AL36" s="253"/>
      <c r="AM36" s="2361"/>
      <c r="AN36" s="2362"/>
      <c r="AO36" s="6605" t="b">
        <f>AND(AO30,AO34)</f>
        <v>1</v>
      </c>
      <c r="AP36" s="658"/>
      <c r="AQ36" s="658"/>
      <c r="AR36" s="658"/>
      <c r="AS36" s="658"/>
      <c r="AT36" s="658"/>
      <c r="AU36" s="658"/>
      <c r="AV36" s="658"/>
      <c r="AW36" s="658"/>
      <c r="AX36" s="658"/>
      <c r="AY36" s="658"/>
      <c r="AZ36"/>
    </row>
    <row r="37" spans="1:52" s="815" customFormat="1" ht="8.25" customHeight="1" thickBot="1">
      <c r="A37" s="2013"/>
      <c r="B37" s="2347"/>
      <c r="C37" s="2038"/>
      <c r="D37" s="2038"/>
      <c r="E37" s="344"/>
      <c r="F37" s="344"/>
      <c r="G37" s="344"/>
      <c r="H37" s="344"/>
      <c r="I37" s="344"/>
      <c r="J37" s="344"/>
      <c r="K37" s="344"/>
      <c r="L37" s="344"/>
      <c r="M37" s="344"/>
      <c r="N37" s="344"/>
      <c r="O37" s="344"/>
      <c r="P37" s="344"/>
      <c r="Q37" s="344"/>
      <c r="R37" s="344"/>
      <c r="S37" s="344"/>
      <c r="T37" s="344"/>
      <c r="U37" s="344"/>
      <c r="V37" s="344"/>
      <c r="W37" s="344"/>
      <c r="X37" s="344"/>
      <c r="Y37" s="344"/>
      <c r="Z37" s="344"/>
      <c r="AA37" s="1401"/>
      <c r="AB37" s="10229"/>
      <c r="AC37" s="10230"/>
      <c r="AD37" s="10217">
        <v>0.3</v>
      </c>
      <c r="AE37" s="10218"/>
      <c r="AF37" s="10218"/>
      <c r="AG37" s="10218"/>
      <c r="AH37" s="10218"/>
      <c r="AI37" s="10218"/>
      <c r="AJ37" s="10218"/>
      <c r="AK37" s="2013"/>
      <c r="AL37" s="253"/>
      <c r="AM37" s="253"/>
      <c r="AN37" s="2362"/>
      <c r="AO37" s="6605"/>
      <c r="AP37" s="658"/>
      <c r="AQ37" s="658"/>
      <c r="AR37" s="658"/>
      <c r="AS37" s="658"/>
      <c r="AT37" s="658"/>
      <c r="AU37" s="658"/>
      <c r="AV37" s="658"/>
      <c r="AW37" s="658"/>
      <c r="AX37" s="658"/>
      <c r="AY37" s="658"/>
      <c r="AZ37"/>
    </row>
    <row r="38" spans="1:52" s="815" customFormat="1" ht="21" customHeight="1" thickBot="1">
      <c r="A38" s="2013"/>
      <c r="B38" s="2347" t="s">
        <v>592</v>
      </c>
      <c r="C38" s="2379" t="str">
        <f>"Multiply line 6a by "&amp;TEXT(AD37,"0%")&amp;", ("&amp;TEXT(AD37,"0.00")&amp;")"</f>
        <v>Multiply line 6a by 30%, (0.30)</v>
      </c>
      <c r="D38" s="344"/>
      <c r="E38" s="344"/>
      <c r="F38" s="344"/>
      <c r="G38" s="344"/>
      <c r="H38" s="344"/>
      <c r="I38" s="344"/>
      <c r="J38" s="344"/>
      <c r="K38" s="344"/>
      <c r="L38" s="344"/>
      <c r="M38" s="344"/>
      <c r="N38" s="344"/>
      <c r="O38" s="344"/>
      <c r="P38" s="344"/>
      <c r="Q38" s="344"/>
      <c r="R38" s="344"/>
      <c r="S38" s="344"/>
      <c r="T38" s="344"/>
      <c r="U38" s="344"/>
      <c r="V38" s="344"/>
      <c r="W38" s="344"/>
      <c r="X38" s="344"/>
      <c r="Y38" s="344"/>
      <c r="Z38" s="344"/>
      <c r="AA38" s="1401" t="s">
        <v>787</v>
      </c>
      <c r="AB38" s="10222" t="s">
        <v>996</v>
      </c>
      <c r="AC38" s="10223"/>
      <c r="AD38" s="10221" t="str">
        <f>IF(AM38&lt;&gt;"",ROUND(AM38,0),IF(AO36,"",ROUND(AD36*AD37,0)))</f>
        <v/>
      </c>
      <c r="AE38" s="10208"/>
      <c r="AF38" s="10208"/>
      <c r="AG38" s="10208"/>
      <c r="AH38" s="10208"/>
      <c r="AI38" s="10208"/>
      <c r="AJ38" s="10208"/>
      <c r="AK38" s="2013"/>
      <c r="AL38" s="253"/>
      <c r="AM38" s="2361"/>
      <c r="AN38" s="2362"/>
      <c r="AO38" s="6605"/>
      <c r="AP38" s="658"/>
      <c r="AQ38" s="658"/>
      <c r="AR38" s="658"/>
      <c r="AS38" s="658"/>
      <c r="AT38" s="658"/>
      <c r="AU38" s="658"/>
      <c r="AV38" s="658"/>
      <c r="AW38" s="658"/>
      <c r="AX38" s="658"/>
      <c r="AY38" s="658"/>
      <c r="AZ38"/>
    </row>
    <row r="39" spans="1:52" s="815" customFormat="1" ht="26.25" customHeight="1">
      <c r="A39" s="2013"/>
      <c r="B39" s="1053" t="s">
        <v>372</v>
      </c>
      <c r="C39" s="2379" t="s">
        <v>5374</v>
      </c>
      <c r="D39" s="2298"/>
      <c r="E39" s="344"/>
      <c r="F39" s="344"/>
      <c r="G39" s="344"/>
      <c r="H39" s="344"/>
      <c r="I39" s="344"/>
      <c r="J39" s="344"/>
      <c r="K39" s="344"/>
      <c r="L39" s="344"/>
      <c r="M39" s="344"/>
      <c r="N39" s="344"/>
      <c r="O39" s="344"/>
      <c r="P39" s="344"/>
      <c r="Q39" s="344"/>
      <c r="R39" s="344"/>
      <c r="S39" s="344"/>
      <c r="T39" s="344"/>
      <c r="U39" s="344"/>
      <c r="V39" s="344"/>
      <c r="W39" s="344"/>
      <c r="X39" s="344"/>
      <c r="Y39" s="344"/>
      <c r="Z39" s="344"/>
      <c r="AA39" s="1401"/>
      <c r="AB39" s="10212"/>
      <c r="AC39" s="10213"/>
      <c r="AD39" s="2332"/>
      <c r="AE39" s="1664"/>
      <c r="AF39" s="1664"/>
      <c r="AG39" s="1664"/>
      <c r="AH39" s="1664"/>
      <c r="AI39" s="1664"/>
      <c r="AJ39" s="1664"/>
      <c r="AK39" s="2013"/>
      <c r="AL39" s="253"/>
      <c r="AM39" s="253"/>
      <c r="AN39" s="2362"/>
      <c r="AO39" s="6605"/>
      <c r="AP39" s="658"/>
      <c r="AQ39" s="658"/>
      <c r="AR39" s="658"/>
      <c r="AS39" s="658"/>
      <c r="AT39" s="658"/>
      <c r="AU39" s="658"/>
      <c r="AV39" s="658"/>
      <c r="AW39" s="658"/>
      <c r="AX39" s="658"/>
      <c r="AY39" s="658"/>
      <c r="AZ39"/>
    </row>
    <row r="40" spans="1:52" s="815" customFormat="1" ht="21" customHeight="1">
      <c r="A40" s="2013"/>
      <c r="B40" s="2347"/>
      <c r="C40" s="2038" t="s">
        <v>5375</v>
      </c>
      <c r="D40" s="2038"/>
      <c r="E40" s="344"/>
      <c r="F40" s="344"/>
      <c r="G40" s="344"/>
      <c r="H40" s="344"/>
      <c r="I40" s="344"/>
      <c r="J40" s="344"/>
      <c r="K40" s="344"/>
      <c r="L40" s="344"/>
      <c r="M40" s="344"/>
      <c r="N40" s="344"/>
      <c r="O40" s="344"/>
      <c r="P40" s="344"/>
      <c r="Q40" s="344"/>
      <c r="R40" s="344"/>
      <c r="S40" s="344"/>
      <c r="T40" s="344"/>
      <c r="U40" s="344"/>
      <c r="V40" s="344"/>
      <c r="W40" s="344"/>
      <c r="X40" s="344"/>
      <c r="Y40" s="344"/>
      <c r="Z40" s="344"/>
      <c r="AA40" s="1401" t="s">
        <v>874</v>
      </c>
      <c r="AB40" s="10212" t="s">
        <v>372</v>
      </c>
      <c r="AC40" s="10213"/>
      <c r="AD40" s="2332"/>
      <c r="AE40" s="2335"/>
      <c r="AF40" s="1664" t="s">
        <v>568</v>
      </c>
      <c r="AG40" s="1664"/>
      <c r="AH40" s="2336" t="str">
        <f>IF(AND(AE40="",AK40=""),"X","")</f>
        <v/>
      </c>
      <c r="AI40" s="1664" t="s">
        <v>569</v>
      </c>
      <c r="AJ40" s="1664"/>
      <c r="AK40" s="2337" t="s">
        <v>2119</v>
      </c>
      <c r="AL40" s="2338" t="s">
        <v>5284</v>
      </c>
      <c r="AM40" s="253"/>
      <c r="AN40" s="2362"/>
      <c r="AO40" s="6605"/>
      <c r="AP40" s="658"/>
      <c r="AQ40" s="658"/>
      <c r="AR40" s="658"/>
      <c r="AS40" s="658"/>
      <c r="AT40" s="658"/>
      <c r="AU40" s="658"/>
      <c r="AV40" s="658"/>
      <c r="AW40" s="658"/>
      <c r="AX40" s="658"/>
      <c r="AY40" s="658"/>
      <c r="AZ40"/>
    </row>
    <row r="41" spans="1:52" s="815" customFormat="1" ht="5.25" customHeight="1">
      <c r="A41" s="2013"/>
      <c r="B41" s="2347"/>
      <c r="C41" s="2298"/>
      <c r="D41" s="344"/>
      <c r="E41" s="344"/>
      <c r="F41" s="344"/>
      <c r="G41" s="344"/>
      <c r="H41" s="344"/>
      <c r="I41" s="344"/>
      <c r="J41" s="344"/>
      <c r="K41" s="344"/>
      <c r="L41" s="344"/>
      <c r="M41" s="344"/>
      <c r="N41" s="344"/>
      <c r="O41" s="344"/>
      <c r="P41" s="344"/>
      <c r="Q41" s="344"/>
      <c r="R41" s="344"/>
      <c r="S41" s="344"/>
      <c r="T41" s="344"/>
      <c r="U41" s="344"/>
      <c r="V41" s="344"/>
      <c r="W41" s="344"/>
      <c r="X41" s="344"/>
      <c r="Y41" s="344"/>
      <c r="Z41" s="344"/>
      <c r="AA41" s="1401"/>
      <c r="AB41" s="10212"/>
      <c r="AC41" s="10213"/>
      <c r="AD41" s="2330"/>
      <c r="AE41" s="2331"/>
      <c r="AF41" s="2331"/>
      <c r="AG41" s="2331"/>
      <c r="AH41" s="2331"/>
      <c r="AI41" s="2331"/>
      <c r="AJ41" s="2331"/>
      <c r="AK41" s="2013"/>
      <c r="AL41" s="253"/>
      <c r="AM41" s="253"/>
      <c r="AN41" s="2362"/>
      <c r="AO41" s="6605"/>
      <c r="AP41" s="658"/>
      <c r="AQ41" s="658"/>
      <c r="AR41" s="658"/>
      <c r="AS41" s="658"/>
      <c r="AT41" s="658"/>
      <c r="AU41" s="658"/>
      <c r="AV41" s="658"/>
      <c r="AW41" s="658"/>
      <c r="AX41" s="658"/>
      <c r="AY41" s="658"/>
      <c r="AZ41"/>
    </row>
    <row r="42" spans="1:52" s="815" customFormat="1" ht="15.75" customHeight="1">
      <c r="A42" s="2013"/>
      <c r="B42" s="2347"/>
      <c r="C42" s="2380" t="s">
        <v>5370</v>
      </c>
      <c r="D42" s="511"/>
      <c r="E42" s="344"/>
      <c r="F42" s="344"/>
      <c r="G42" s="344"/>
      <c r="H42" s="344"/>
      <c r="I42" s="344"/>
      <c r="J42" s="344"/>
      <c r="K42" s="344"/>
      <c r="L42" s="344"/>
      <c r="M42" s="344"/>
      <c r="N42" s="344"/>
      <c r="O42" s="344"/>
      <c r="P42" s="344"/>
      <c r="Q42" s="344"/>
      <c r="R42" s="344"/>
      <c r="S42" s="2300"/>
      <c r="T42" s="344"/>
      <c r="U42" s="344"/>
      <c r="V42" s="344"/>
      <c r="W42" s="1204"/>
      <c r="X42" s="1205"/>
      <c r="Y42" s="1205"/>
      <c r="Z42" s="1205"/>
      <c r="AA42" s="1401"/>
      <c r="AB42" s="10271"/>
      <c r="AC42" s="10272"/>
      <c r="AD42" s="7897"/>
      <c r="AE42" s="7938"/>
      <c r="AF42" s="7938"/>
      <c r="AG42" s="7938"/>
      <c r="AH42" s="7938"/>
      <c r="AI42" s="7938"/>
      <c r="AJ42" s="7938"/>
      <c r="AK42" s="2013"/>
      <c r="AL42" s="253"/>
      <c r="AM42" s="2367" t="b">
        <f>AE40=""</f>
        <v>1</v>
      </c>
      <c r="AN42" s="2362"/>
      <c r="AO42" s="6605"/>
      <c r="AP42" s="658"/>
      <c r="AQ42" s="658"/>
      <c r="AR42" s="658"/>
      <c r="AS42" s="658"/>
      <c r="AT42" s="658"/>
      <c r="AU42" s="658"/>
      <c r="AV42" s="658"/>
      <c r="AW42" s="658"/>
      <c r="AX42" s="658"/>
      <c r="AY42" s="658"/>
      <c r="AZ42"/>
    </row>
    <row r="43" spans="1:52" s="815" customFormat="1" ht="15.75" customHeight="1">
      <c r="A43" s="2013"/>
      <c r="B43" s="2347"/>
      <c r="C43" s="2380" t="s">
        <v>5369</v>
      </c>
      <c r="D43" s="511"/>
      <c r="E43" s="344"/>
      <c r="F43" s="344"/>
      <c r="G43" s="344"/>
      <c r="H43" s="344"/>
      <c r="I43" s="344"/>
      <c r="J43" s="344"/>
      <c r="K43" s="344"/>
      <c r="L43" s="344"/>
      <c r="M43" s="344"/>
      <c r="N43" s="344"/>
      <c r="O43" s="344"/>
      <c r="P43" s="344"/>
      <c r="Q43" s="344"/>
      <c r="R43" s="344"/>
      <c r="S43" s="2300"/>
      <c r="T43" s="344"/>
      <c r="U43" s="344"/>
      <c r="V43" s="344"/>
      <c r="W43" s="1204"/>
      <c r="X43" s="1205"/>
      <c r="Y43" s="1205"/>
      <c r="Z43" s="1205"/>
      <c r="AA43" s="1401"/>
      <c r="AB43" s="2339"/>
      <c r="AC43" s="2340"/>
      <c r="AD43" s="1803"/>
      <c r="AE43" s="1806"/>
      <c r="AF43" s="1806"/>
      <c r="AG43" s="1806"/>
      <c r="AH43" s="1806"/>
      <c r="AI43" s="1806"/>
      <c r="AJ43" s="1806"/>
      <c r="AK43" s="2013"/>
      <c r="AL43" s="2374" t="str">
        <f>IF(AND(NOT(AO36),AM42),"Skip lines 7b through 11.","")</f>
        <v/>
      </c>
      <c r="AM43" s="2374"/>
      <c r="AN43" s="2362"/>
      <c r="AO43" s="6605"/>
      <c r="AP43" s="658"/>
      <c r="AQ43" s="658"/>
      <c r="AR43" s="658"/>
      <c r="AS43" s="658"/>
      <c r="AT43" s="658"/>
      <c r="AU43" s="658"/>
      <c r="AV43" s="658"/>
      <c r="AW43" s="658"/>
      <c r="AX43" s="658"/>
      <c r="AY43" s="658"/>
      <c r="AZ43"/>
    </row>
    <row r="44" spans="1:52" s="815" customFormat="1" ht="24" customHeight="1">
      <c r="A44" s="2013"/>
      <c r="B44" s="1053" t="s">
        <v>592</v>
      </c>
      <c r="C44" s="2380" t="s">
        <v>5287</v>
      </c>
      <c r="D44" s="511"/>
      <c r="E44" s="344"/>
      <c r="F44" s="344"/>
      <c r="G44" s="344"/>
      <c r="H44" s="344"/>
      <c r="I44" s="344"/>
      <c r="J44" s="344"/>
      <c r="K44" s="344"/>
      <c r="L44" s="344"/>
      <c r="M44" s="344"/>
      <c r="N44" s="344"/>
      <c r="O44" s="344"/>
      <c r="P44" s="344"/>
      <c r="Q44" s="344"/>
      <c r="R44" s="344"/>
      <c r="S44" s="2300"/>
      <c r="T44" s="344"/>
      <c r="U44" s="344"/>
      <c r="V44" s="344"/>
      <c r="W44" s="1204"/>
      <c r="X44" s="1205"/>
      <c r="Y44" s="1205"/>
      <c r="Z44" s="1205"/>
      <c r="AA44" s="1401"/>
      <c r="AB44" s="2339"/>
      <c r="AC44" s="2340"/>
      <c r="AD44" s="1803"/>
      <c r="AE44" s="1806"/>
      <c r="AF44" s="1806"/>
      <c r="AG44" s="1806"/>
      <c r="AH44" s="1806"/>
      <c r="AI44" s="1806"/>
      <c r="AJ44" s="1806"/>
      <c r="AK44" s="2013"/>
      <c r="AL44" s="253"/>
      <c r="AM44" s="226"/>
      <c r="AN44" s="2362"/>
      <c r="AO44" s="6605"/>
      <c r="AP44" s="658"/>
      <c r="AQ44" s="658"/>
      <c r="AR44" s="658"/>
      <c r="AS44" s="658"/>
      <c r="AT44" s="658"/>
      <c r="AU44" s="658"/>
      <c r="AV44" s="658"/>
      <c r="AW44" s="658"/>
      <c r="AX44" s="658"/>
      <c r="AY44" s="658"/>
      <c r="AZ44"/>
    </row>
    <row r="45" spans="1:52" s="815" customFormat="1" ht="9" customHeight="1">
      <c r="A45" s="2013"/>
      <c r="B45" s="2347"/>
      <c r="C45" s="2299"/>
      <c r="D45" s="511"/>
      <c r="E45" s="344"/>
      <c r="F45" s="344"/>
      <c r="G45" s="344"/>
      <c r="H45" s="344"/>
      <c r="I45" s="344"/>
      <c r="J45" s="344"/>
      <c r="K45" s="344"/>
      <c r="L45" s="344"/>
      <c r="M45" s="344"/>
      <c r="N45" s="344"/>
      <c r="O45" s="344"/>
      <c r="P45" s="344"/>
      <c r="Q45" s="344"/>
      <c r="R45" s="344"/>
      <c r="S45" s="2300"/>
      <c r="T45" s="344"/>
      <c r="U45" s="344"/>
      <c r="V45" s="344"/>
      <c r="W45" s="1204"/>
      <c r="X45" s="1205"/>
      <c r="Y45" s="1205"/>
      <c r="Z45" s="1205"/>
      <c r="AA45" s="1401"/>
      <c r="AB45" s="2339"/>
      <c r="AC45" s="2340"/>
      <c r="AD45" s="1803"/>
      <c r="AE45" s="1806"/>
      <c r="AF45" s="1806"/>
      <c r="AG45" s="1806"/>
      <c r="AH45" s="1806"/>
      <c r="AI45" s="1806"/>
      <c r="AJ45" s="1806"/>
      <c r="AK45" s="2013"/>
      <c r="AL45" s="253"/>
      <c r="AM45" s="226"/>
      <c r="AN45" s="2362"/>
      <c r="AO45" s="6605"/>
      <c r="AP45" s="658"/>
      <c r="AQ45" s="658"/>
      <c r="AR45" s="658"/>
      <c r="AS45" s="658"/>
      <c r="AT45" s="658"/>
      <c r="AU45" s="658"/>
      <c r="AV45" s="658"/>
      <c r="AW45" s="658"/>
      <c r="AX45" s="658"/>
      <c r="AY45" s="658"/>
      <c r="AZ45"/>
    </row>
    <row r="46" spans="1:52" s="815" customFormat="1" ht="21.75" customHeight="1">
      <c r="A46" s="2013"/>
      <c r="B46" s="2316"/>
      <c r="C46" s="10265"/>
      <c r="D46" s="10265"/>
      <c r="E46" s="10265"/>
      <c r="F46" s="10265"/>
      <c r="G46" s="10265"/>
      <c r="H46" s="10265"/>
      <c r="I46" s="10265"/>
      <c r="J46" s="10265"/>
      <c r="K46" s="10265"/>
      <c r="L46" s="10265"/>
      <c r="M46" s="10265"/>
      <c r="N46" s="10266"/>
      <c r="O46" s="10267"/>
      <c r="P46" s="10268"/>
      <c r="Q46" s="10269"/>
      <c r="R46" s="10265"/>
      <c r="S46" s="10265"/>
      <c r="T46" s="10265"/>
      <c r="U46" s="10265"/>
      <c r="V46" s="10270"/>
      <c r="W46" s="2378"/>
      <c r="X46" s="10227"/>
      <c r="Y46" s="10227"/>
      <c r="Z46" s="10227"/>
      <c r="AA46" s="10228"/>
      <c r="AB46" s="2342"/>
      <c r="AC46" s="2340"/>
      <c r="AD46" s="2316"/>
      <c r="AE46" s="2316"/>
      <c r="AF46" s="2316"/>
      <c r="AG46" s="2316"/>
      <c r="AH46" s="2316"/>
      <c r="AI46" s="2316"/>
      <c r="AJ46" s="2316"/>
      <c r="AK46" s="2013"/>
      <c r="AL46" s="253"/>
      <c r="AM46" s="512"/>
      <c r="AN46" s="2362"/>
      <c r="AO46" s="6605"/>
      <c r="AP46" s="658"/>
      <c r="AQ46" s="658"/>
      <c r="AR46" s="658"/>
      <c r="AS46" s="658"/>
      <c r="AT46" s="658"/>
      <c r="AU46" s="658"/>
      <c r="AV46" s="658"/>
      <c r="AW46" s="658"/>
      <c r="AX46" s="658"/>
      <c r="AY46" s="658"/>
      <c r="AZ46"/>
    </row>
    <row r="47" spans="1:52" s="815" customFormat="1" ht="18" customHeight="1">
      <c r="A47" s="2013"/>
      <c r="B47" s="2316"/>
      <c r="C47" s="1672" t="s">
        <v>5275</v>
      </c>
      <c r="D47" s="2377"/>
      <c r="E47" s="2377"/>
      <c r="F47" s="2377"/>
      <c r="G47" s="2377"/>
      <c r="H47" s="2377"/>
      <c r="I47" s="2377"/>
      <c r="J47" s="2377"/>
      <c r="K47" s="2377"/>
      <c r="L47" s="2377"/>
      <c r="M47" s="2377"/>
      <c r="N47" s="1672" t="s">
        <v>5276</v>
      </c>
      <c r="O47" s="2377"/>
      <c r="P47" s="2377"/>
      <c r="Q47" s="1672" t="s">
        <v>5277</v>
      </c>
      <c r="R47" s="2377"/>
      <c r="S47" s="2377"/>
      <c r="T47" s="2377"/>
      <c r="U47" s="2377"/>
      <c r="V47" s="2377"/>
      <c r="W47" s="1672" t="s">
        <v>309</v>
      </c>
      <c r="X47" s="1672" t="s">
        <v>5278</v>
      </c>
      <c r="Y47" s="2377"/>
      <c r="Z47" s="2377"/>
      <c r="AA47" s="2377"/>
      <c r="AB47" s="2339"/>
      <c r="AC47" s="2340"/>
      <c r="AD47" s="2316"/>
      <c r="AE47" s="2316"/>
      <c r="AF47" s="2316"/>
      <c r="AG47" s="2316"/>
      <c r="AH47" s="2316"/>
      <c r="AI47" s="2316"/>
      <c r="AJ47" s="2316"/>
      <c r="AK47" s="2013"/>
      <c r="AL47" s="253"/>
      <c r="AM47" s="512"/>
      <c r="AN47" s="2362"/>
      <c r="AO47" s="6605"/>
      <c r="AP47" s="658"/>
      <c r="AQ47" s="658"/>
      <c r="AR47" s="658"/>
      <c r="AS47" s="658"/>
      <c r="AT47" s="658"/>
      <c r="AU47" s="658"/>
      <c r="AV47" s="658"/>
      <c r="AW47" s="658"/>
      <c r="AX47" s="658"/>
      <c r="AY47" s="658"/>
      <c r="AZ47"/>
    </row>
    <row r="48" spans="1:52" s="815" customFormat="1" ht="6.75" customHeight="1">
      <c r="A48" s="2013"/>
      <c r="B48" s="2347"/>
      <c r="C48" s="2299"/>
      <c r="D48" s="511"/>
      <c r="E48" s="344"/>
      <c r="F48" s="344"/>
      <c r="G48" s="344"/>
      <c r="H48" s="344"/>
      <c r="I48" s="344"/>
      <c r="J48" s="344"/>
      <c r="K48" s="1061"/>
      <c r="L48" s="2300"/>
      <c r="M48" s="2301"/>
      <c r="N48" s="1061"/>
      <c r="O48" s="1061"/>
      <c r="P48" s="1061"/>
      <c r="Q48" s="1061"/>
      <c r="R48" s="1061"/>
      <c r="S48" s="344"/>
      <c r="T48" s="344"/>
      <c r="U48" s="344"/>
      <c r="V48" s="344"/>
      <c r="W48" s="1204"/>
      <c r="X48" s="1205"/>
      <c r="Y48" s="1205"/>
      <c r="Z48" s="1205"/>
      <c r="AA48" s="1401"/>
      <c r="AB48" s="2339"/>
      <c r="AC48" s="2340"/>
      <c r="AD48" s="1803"/>
      <c r="AE48" s="1806"/>
      <c r="AF48" s="1806"/>
      <c r="AG48" s="1806"/>
      <c r="AH48" s="1806"/>
      <c r="AI48" s="1806"/>
      <c r="AJ48" s="1806"/>
      <c r="AK48" s="2013"/>
      <c r="AL48" s="253"/>
      <c r="AM48" s="1323"/>
      <c r="AN48" s="2362"/>
      <c r="AO48" s="6605"/>
      <c r="AP48" s="658"/>
      <c r="AQ48" s="658"/>
      <c r="AR48" s="658"/>
      <c r="AS48" s="658"/>
      <c r="AT48" s="658"/>
      <c r="AU48" s="658"/>
      <c r="AV48" s="658"/>
      <c r="AW48" s="658"/>
      <c r="AX48" s="658"/>
      <c r="AY48" s="658"/>
      <c r="AZ48"/>
    </row>
    <row r="49" spans="1:52" s="815" customFormat="1" ht="15.75" customHeight="1">
      <c r="A49" s="2013"/>
      <c r="B49" s="1053" t="s">
        <v>595</v>
      </c>
      <c r="C49" s="2299" t="s">
        <v>5288</v>
      </c>
      <c r="D49" s="511"/>
      <c r="E49" s="344"/>
      <c r="F49" s="344"/>
      <c r="G49" s="344"/>
      <c r="H49" s="344"/>
      <c r="I49" s="344"/>
      <c r="J49" s="344"/>
      <c r="K49" s="344"/>
      <c r="L49" s="344"/>
      <c r="M49" s="344"/>
      <c r="N49" s="344"/>
      <c r="O49" s="344"/>
      <c r="P49" s="344"/>
      <c r="Q49" s="384"/>
      <c r="R49" s="2299" t="s">
        <v>5289</v>
      </c>
      <c r="S49" s="344"/>
      <c r="T49" s="344"/>
      <c r="U49" s="344"/>
      <c r="V49" s="344"/>
      <c r="W49" s="1204"/>
      <c r="X49" s="1205"/>
      <c r="Y49" s="1205"/>
      <c r="Z49" s="1205"/>
      <c r="AA49" s="1401"/>
      <c r="AB49" s="2339"/>
      <c r="AC49" s="2340"/>
      <c r="AD49" s="1803"/>
      <c r="AE49" s="1806"/>
      <c r="AF49" s="1806"/>
      <c r="AG49" s="1806"/>
      <c r="AH49" s="1806"/>
      <c r="AI49" s="1806"/>
      <c r="AJ49" s="1806"/>
      <c r="AK49" s="2013"/>
      <c r="AL49" s="253"/>
      <c r="AM49" s="1323"/>
      <c r="AN49" s="2362"/>
      <c r="AO49" s="6605"/>
      <c r="AP49" s="658"/>
      <c r="AQ49" s="658"/>
      <c r="AR49" s="658"/>
      <c r="AS49" s="658"/>
      <c r="AT49" s="658"/>
      <c r="AU49" s="658"/>
      <c r="AV49" s="658"/>
      <c r="AW49" s="658"/>
      <c r="AX49" s="658"/>
      <c r="AY49" s="658"/>
      <c r="AZ49"/>
    </row>
    <row r="50" spans="1:52" s="815" customFormat="1" ht="8.25" customHeight="1">
      <c r="A50" s="2013"/>
      <c r="B50" s="2347"/>
      <c r="C50" s="2299"/>
      <c r="D50" s="511"/>
      <c r="E50" s="344"/>
      <c r="F50" s="344"/>
      <c r="G50" s="344"/>
      <c r="H50" s="344"/>
      <c r="I50" s="344"/>
      <c r="J50" s="344"/>
      <c r="K50" s="1061"/>
      <c r="L50" s="2300"/>
      <c r="M50" s="2301"/>
      <c r="N50" s="1061"/>
      <c r="O50" s="1061"/>
      <c r="P50" s="1061"/>
      <c r="Q50" s="1061"/>
      <c r="R50" s="1061"/>
      <c r="S50" s="344"/>
      <c r="T50" s="344"/>
      <c r="U50" s="344"/>
      <c r="V50" s="2349"/>
      <c r="W50" s="1204"/>
      <c r="X50" s="1205"/>
      <c r="Y50" s="1205"/>
      <c r="Z50" s="1205"/>
      <c r="AA50" s="1401"/>
      <c r="AB50" s="2339"/>
      <c r="AC50" s="2340"/>
      <c r="AD50" s="1803"/>
      <c r="AE50" s="1806"/>
      <c r="AF50" s="1806"/>
      <c r="AG50" s="1806"/>
      <c r="AH50" s="1806"/>
      <c r="AI50" s="1806"/>
      <c r="AJ50" s="1806"/>
      <c r="AK50" s="2013"/>
      <c r="AL50" s="253"/>
      <c r="AM50" s="226"/>
      <c r="AN50" s="2362"/>
      <c r="AO50" s="6605"/>
      <c r="AP50" s="658"/>
      <c r="AQ50" s="658"/>
      <c r="AR50" s="658"/>
      <c r="AS50" s="658"/>
      <c r="AT50" s="658"/>
      <c r="AU50" s="658"/>
      <c r="AV50" s="658"/>
      <c r="AW50" s="658"/>
      <c r="AX50" s="658"/>
      <c r="AY50" s="658"/>
      <c r="AZ50"/>
    </row>
    <row r="51" spans="1:52" s="815" customFormat="1" ht="21" customHeight="1">
      <c r="A51" s="2013"/>
      <c r="B51" s="2347">
        <v>8</v>
      </c>
      <c r="C51" s="2380" t="s">
        <v>5290</v>
      </c>
      <c r="D51" s="511"/>
      <c r="E51" s="344"/>
      <c r="F51" s="344"/>
      <c r="G51" s="344"/>
      <c r="H51" s="344"/>
      <c r="I51" s="344"/>
      <c r="J51" s="344"/>
      <c r="K51" s="1061"/>
      <c r="L51" s="2300"/>
      <c r="M51" s="2301"/>
      <c r="N51" s="1061"/>
      <c r="O51" s="1061"/>
      <c r="P51" s="1061"/>
      <c r="Q51" s="1061"/>
      <c r="R51" s="1061"/>
      <c r="S51" s="344"/>
      <c r="T51" s="344"/>
      <c r="U51" s="1401" t="s">
        <v>811</v>
      </c>
      <c r="V51" s="2350">
        <v>8</v>
      </c>
      <c r="W51" s="10214"/>
      <c r="X51" s="10214"/>
      <c r="Y51" s="10214"/>
      <c r="Z51" s="10214"/>
      <c r="AA51" s="10215"/>
      <c r="AB51" s="2339"/>
      <c r="AC51" s="2340"/>
      <c r="AD51" s="1803"/>
      <c r="AE51" s="1806"/>
      <c r="AF51" s="1806"/>
      <c r="AG51" s="1806"/>
      <c r="AH51" s="1806"/>
      <c r="AI51" s="1806"/>
      <c r="AJ51" s="1806"/>
      <c r="AK51" s="2013"/>
      <c r="AL51" s="253"/>
      <c r="AM51" s="7393" t="s">
        <v>4354</v>
      </c>
      <c r="AN51" s="2362"/>
      <c r="AO51" s="6605" t="b">
        <f>W51=""</f>
        <v>1</v>
      </c>
      <c r="AP51" s="658"/>
      <c r="AQ51" s="658"/>
      <c r="AR51" s="658"/>
      <c r="AS51" s="658"/>
      <c r="AT51" s="658"/>
      <c r="AU51" s="658"/>
      <c r="AV51" s="658"/>
      <c r="AW51" s="658"/>
      <c r="AX51" s="658"/>
      <c r="AY51" s="658"/>
      <c r="AZ51"/>
    </row>
    <row r="52" spans="1:52" s="815" customFormat="1" ht="8.25" customHeight="1" thickBot="1">
      <c r="A52" s="2013"/>
      <c r="B52" s="2347"/>
      <c r="C52" s="2299"/>
      <c r="D52" s="511"/>
      <c r="E52" s="344"/>
      <c r="F52" s="344"/>
      <c r="G52" s="344"/>
      <c r="H52" s="344"/>
      <c r="I52" s="344"/>
      <c r="J52" s="344"/>
      <c r="K52" s="1061"/>
      <c r="L52" s="2300"/>
      <c r="M52" s="2301"/>
      <c r="N52" s="1061"/>
      <c r="O52" s="1061"/>
      <c r="P52" s="1061"/>
      <c r="Q52" s="1061"/>
      <c r="R52" s="1061"/>
      <c r="S52" s="344"/>
      <c r="T52" s="344"/>
      <c r="U52" s="344"/>
      <c r="V52" s="2349"/>
      <c r="W52" s="1204"/>
      <c r="X52" s="1205"/>
      <c r="Y52" s="1205"/>
      <c r="Z52" s="1205"/>
      <c r="AA52" s="1401"/>
      <c r="AB52" s="2339"/>
      <c r="AC52" s="2340"/>
      <c r="AD52" s="1803"/>
      <c r="AE52" s="1806"/>
      <c r="AF52" s="1806"/>
      <c r="AG52" s="1806"/>
      <c r="AH52" s="1806"/>
      <c r="AI52" s="1806"/>
      <c r="AJ52" s="1806"/>
      <c r="AK52" s="2013"/>
      <c r="AL52" s="253"/>
      <c r="AM52" s="10225"/>
      <c r="AN52" s="2362"/>
      <c r="AO52" s="6605"/>
      <c r="AP52" s="658"/>
      <c r="AQ52" s="658"/>
      <c r="AR52" s="658"/>
      <c r="AS52" s="658"/>
      <c r="AT52" s="658"/>
      <c r="AU52" s="658"/>
      <c r="AV52" s="658"/>
      <c r="AW52" s="658"/>
      <c r="AX52" s="658"/>
      <c r="AY52" s="658"/>
      <c r="AZ52"/>
    </row>
    <row r="53" spans="1:52" s="815" customFormat="1" ht="21" customHeight="1" thickBot="1">
      <c r="A53" s="2013"/>
      <c r="B53" s="2347">
        <v>9</v>
      </c>
      <c r="C53" s="2380" t="str">
        <f>"Multiply line 8 by "&amp;TEXT(AD53,"0%")&amp;" ("&amp;TEXT(AD53,"0.00")&amp;")"</f>
        <v>Multiply line 8 by 30% (0.30)</v>
      </c>
      <c r="D53" s="511"/>
      <c r="E53" s="344"/>
      <c r="F53" s="344"/>
      <c r="G53" s="344"/>
      <c r="H53" s="344"/>
      <c r="I53" s="344"/>
      <c r="J53" s="344"/>
      <c r="K53" s="1061"/>
      <c r="L53" s="2300"/>
      <c r="M53" s="2301"/>
      <c r="N53" s="1061"/>
      <c r="O53" s="1061"/>
      <c r="P53" s="1061"/>
      <c r="Q53" s="1061"/>
      <c r="R53" s="1061"/>
      <c r="S53" s="344"/>
      <c r="T53" s="344"/>
      <c r="U53" s="1401" t="s">
        <v>811</v>
      </c>
      <c r="V53" s="2350">
        <v>9</v>
      </c>
      <c r="W53" s="10208" t="str">
        <f>IF(AM53&lt;&gt;"",ROUND(AM53,0),IF(OR(AM42,AO51),"",ROUND(0.3*W51,0)))</f>
        <v/>
      </c>
      <c r="X53" s="10208"/>
      <c r="Y53" s="10208"/>
      <c r="Z53" s="10208"/>
      <c r="AA53" s="10209"/>
      <c r="AB53" s="2339"/>
      <c r="AC53" s="2340"/>
      <c r="AD53" s="10217">
        <v>0.3</v>
      </c>
      <c r="AE53" s="10218"/>
      <c r="AF53" s="10218"/>
      <c r="AG53" s="10218"/>
      <c r="AH53" s="10218"/>
      <c r="AI53" s="10218"/>
      <c r="AJ53" s="10218"/>
      <c r="AK53" s="2013"/>
      <c r="AL53" s="253"/>
      <c r="AM53" s="2361"/>
      <c r="AN53" s="2362"/>
      <c r="AO53" s="6605"/>
      <c r="AP53" s="658"/>
      <c r="AQ53" s="658"/>
      <c r="AR53" s="658"/>
      <c r="AS53" s="658"/>
      <c r="AT53" s="658"/>
      <c r="AU53" s="658"/>
      <c r="AV53" s="658"/>
      <c r="AW53" s="658"/>
      <c r="AX53" s="658"/>
      <c r="AY53" s="658"/>
      <c r="AZ53"/>
    </row>
    <row r="54" spans="1:52" s="815" customFormat="1" ht="8.25" customHeight="1" thickBot="1">
      <c r="A54" s="2013"/>
      <c r="B54" s="2347"/>
      <c r="C54" s="2299"/>
      <c r="D54" s="511"/>
      <c r="E54" s="344"/>
      <c r="F54" s="344"/>
      <c r="G54" s="344"/>
      <c r="H54" s="344"/>
      <c r="I54" s="344"/>
      <c r="J54" s="344"/>
      <c r="K54" s="1061"/>
      <c r="L54" s="2300"/>
      <c r="M54" s="2301"/>
      <c r="N54" s="1061"/>
      <c r="O54" s="1061"/>
      <c r="P54" s="1061"/>
      <c r="Q54" s="1061"/>
      <c r="R54" s="1061"/>
      <c r="S54" s="344"/>
      <c r="T54" s="344"/>
      <c r="U54" s="344"/>
      <c r="V54" s="2349"/>
      <c r="W54" s="1204"/>
      <c r="X54" s="1205"/>
      <c r="Y54" s="1205"/>
      <c r="Z54" s="1205"/>
      <c r="AA54" s="1401"/>
      <c r="AB54" s="2339"/>
      <c r="AC54" s="2340"/>
      <c r="AD54" s="1327"/>
      <c r="AE54" s="1328"/>
      <c r="AF54" s="1328"/>
      <c r="AG54" s="1328"/>
      <c r="AH54" s="1328"/>
      <c r="AI54" s="1328"/>
      <c r="AJ54" s="1328"/>
      <c r="AK54" s="2013"/>
      <c r="AL54" s="253"/>
      <c r="AM54" s="226"/>
      <c r="AN54" s="2362"/>
      <c r="AO54" s="6605"/>
      <c r="AP54" s="658"/>
      <c r="AQ54" s="658"/>
      <c r="AR54" s="658"/>
      <c r="AS54" s="658"/>
      <c r="AT54" s="658"/>
      <c r="AU54" s="658"/>
      <c r="AV54" s="658"/>
      <c r="AW54" s="658"/>
      <c r="AX54" s="658"/>
      <c r="AY54" s="658"/>
      <c r="AZ54"/>
    </row>
    <row r="55" spans="1:52" s="815" customFormat="1" ht="21" customHeight="1" thickBot="1">
      <c r="A55" s="2013"/>
      <c r="B55" s="2347">
        <v>10</v>
      </c>
      <c r="C55" s="2380" t="s">
        <v>5291</v>
      </c>
      <c r="D55" s="511"/>
      <c r="E55" s="344"/>
      <c r="F55" s="344"/>
      <c r="G55" s="344"/>
      <c r="H55" s="344"/>
      <c r="I55" s="344"/>
      <c r="J55" s="344"/>
      <c r="K55" s="1061"/>
      <c r="L55" s="2300"/>
      <c r="M55" s="2301"/>
      <c r="N55" s="1061"/>
      <c r="O55" s="1061"/>
      <c r="P55" s="10216"/>
      <c r="Q55" s="10216"/>
      <c r="R55" s="10216"/>
      <c r="S55" s="2341" t="str">
        <f>" x  "&amp;TEXT(AD55,"$0,000")</f>
        <v xml:space="preserve"> x  $1,000</v>
      </c>
      <c r="T55" s="344"/>
      <c r="U55" s="1401"/>
      <c r="V55" s="2350">
        <v>10</v>
      </c>
      <c r="W55" s="10208" t="str">
        <f>IF(AM55&lt;&gt;"",ROUND(AM55,0),IF(OR(P55="",AM42),"",ROUND(P55*AD55,0)))</f>
        <v/>
      </c>
      <c r="X55" s="10208"/>
      <c r="Y55" s="10208"/>
      <c r="Z55" s="10208"/>
      <c r="AA55" s="10209"/>
      <c r="AB55" s="2339"/>
      <c r="AC55" s="2340"/>
      <c r="AD55" s="10210">
        <v>1000</v>
      </c>
      <c r="AE55" s="10211"/>
      <c r="AF55" s="10211"/>
      <c r="AG55" s="10211"/>
      <c r="AH55" s="10211"/>
      <c r="AI55" s="10211"/>
      <c r="AJ55" s="10211"/>
      <c r="AK55" s="2013"/>
      <c r="AL55" s="253"/>
      <c r="AM55" s="2361"/>
      <c r="AN55" s="2362"/>
      <c r="AO55" s="6605"/>
      <c r="AP55" s="658"/>
      <c r="AQ55" s="658"/>
      <c r="AR55" s="658"/>
      <c r="AS55" s="658"/>
      <c r="AT55" s="658"/>
      <c r="AU55" s="658"/>
      <c r="AV55" s="658"/>
      <c r="AW55" s="658"/>
      <c r="AX55" s="658"/>
      <c r="AY55" s="658"/>
      <c r="AZ55"/>
    </row>
    <row r="56" spans="1:52" s="815" customFormat="1" ht="15.75" customHeight="1" thickBot="1">
      <c r="A56" s="2013"/>
      <c r="B56" s="2347"/>
      <c r="C56" s="2038"/>
      <c r="D56" s="2038"/>
      <c r="E56" s="344"/>
      <c r="F56" s="344"/>
      <c r="G56" s="344"/>
      <c r="H56" s="344"/>
      <c r="I56" s="344"/>
      <c r="J56" s="344"/>
      <c r="K56" s="344"/>
      <c r="L56" s="344"/>
      <c r="M56" s="344"/>
      <c r="N56" s="344"/>
      <c r="O56" s="344"/>
      <c r="P56" s="344"/>
      <c r="Q56" s="344"/>
      <c r="R56" s="344"/>
      <c r="S56" s="344"/>
      <c r="T56" s="344"/>
      <c r="U56" s="344"/>
      <c r="V56" s="344"/>
      <c r="W56" s="344"/>
      <c r="X56" s="344"/>
      <c r="Y56" s="344"/>
      <c r="Z56" s="344"/>
      <c r="AA56" s="1401"/>
      <c r="AB56" s="10229"/>
      <c r="AC56" s="10230"/>
      <c r="AD56" s="1255"/>
      <c r="AE56" s="1256"/>
      <c r="AF56" s="1256"/>
      <c r="AG56" s="1256"/>
      <c r="AH56" s="1256"/>
      <c r="AI56" s="1256"/>
      <c r="AJ56" s="1256"/>
      <c r="AK56" s="2013"/>
      <c r="AL56" s="253"/>
      <c r="AM56" s="253"/>
      <c r="AN56" s="2362"/>
      <c r="AO56" s="6605"/>
      <c r="AP56" s="658"/>
      <c r="AQ56" s="658"/>
      <c r="AR56" s="658"/>
      <c r="AS56" s="658"/>
      <c r="AT56" s="658"/>
      <c r="AU56" s="658"/>
      <c r="AV56" s="658"/>
      <c r="AW56" s="658"/>
      <c r="AX56" s="658"/>
      <c r="AY56" s="658"/>
      <c r="AZ56"/>
    </row>
    <row r="57" spans="1:52" s="815" customFormat="1" ht="21" customHeight="1" thickBot="1">
      <c r="A57" s="2013"/>
      <c r="B57" s="2347">
        <v>11</v>
      </c>
      <c r="C57" s="2379" t="s">
        <v>5292</v>
      </c>
      <c r="D57" s="344"/>
      <c r="E57" s="344"/>
      <c r="F57" s="344"/>
      <c r="G57" s="344"/>
      <c r="H57" s="344"/>
      <c r="I57" s="344"/>
      <c r="J57" s="344"/>
      <c r="K57" s="344"/>
      <c r="L57" s="344"/>
      <c r="M57" s="344"/>
      <c r="N57" s="344"/>
      <c r="O57" s="344"/>
      <c r="P57" s="344"/>
      <c r="Q57" s="344"/>
      <c r="R57" s="344"/>
      <c r="S57" s="344"/>
      <c r="T57" s="344"/>
      <c r="U57" s="344"/>
      <c r="V57" s="344"/>
      <c r="W57" s="344"/>
      <c r="X57" s="344"/>
      <c r="Y57" s="344"/>
      <c r="Z57" s="344"/>
      <c r="AA57" s="1401" t="s">
        <v>787</v>
      </c>
      <c r="AB57" s="10222">
        <v>11</v>
      </c>
      <c r="AC57" s="10223"/>
      <c r="AD57" s="10221" t="str">
        <f>IF(AM57&lt;&gt;"",ROUND(AM57,0),IF(AM42,"",IF(OR(W53="",W55=""),0,MIN(W53,W55))))</f>
        <v/>
      </c>
      <c r="AE57" s="10208"/>
      <c r="AF57" s="10208"/>
      <c r="AG57" s="10208"/>
      <c r="AH57" s="10208"/>
      <c r="AI57" s="10208"/>
      <c r="AJ57" s="10208"/>
      <c r="AK57" s="2013"/>
      <c r="AL57" s="253"/>
      <c r="AM57" s="2361"/>
      <c r="AN57" s="2362"/>
      <c r="AO57" s="6605"/>
      <c r="AP57" s="658"/>
      <c r="AQ57" s="658"/>
      <c r="AR57" s="658"/>
      <c r="AS57" s="658"/>
      <c r="AT57" s="658"/>
      <c r="AU57" s="658"/>
      <c r="AV57" s="658"/>
      <c r="AW57" s="658"/>
      <c r="AX57" s="658"/>
      <c r="AY57" s="658"/>
      <c r="AZ57"/>
    </row>
    <row r="58" spans="1:52" s="815" customFormat="1" ht="8.25" customHeight="1">
      <c r="A58" s="2013"/>
      <c r="B58" s="2347"/>
      <c r="C58" s="2038"/>
      <c r="D58" s="2038"/>
      <c r="E58" s="344"/>
      <c r="F58" s="344"/>
      <c r="G58" s="344"/>
      <c r="H58" s="344"/>
      <c r="I58" s="344"/>
      <c r="J58" s="344"/>
      <c r="K58" s="344"/>
      <c r="L58" s="344"/>
      <c r="M58" s="344"/>
      <c r="N58" s="344"/>
      <c r="O58" s="344"/>
      <c r="P58" s="344"/>
      <c r="Q58" s="344"/>
      <c r="R58" s="344"/>
      <c r="S58" s="344"/>
      <c r="T58" s="344"/>
      <c r="U58" s="344"/>
      <c r="V58" s="344"/>
      <c r="W58" s="344"/>
      <c r="X58" s="344"/>
      <c r="Y58" s="344"/>
      <c r="Z58" s="344"/>
      <c r="AA58" s="1401"/>
      <c r="AB58" s="10229"/>
      <c r="AC58" s="10230"/>
      <c r="AD58" s="1255"/>
      <c r="AE58" s="1256"/>
      <c r="AF58" s="1256"/>
      <c r="AG58" s="1256"/>
      <c r="AH58" s="1256"/>
      <c r="AI58" s="1256"/>
      <c r="AJ58" s="1256"/>
      <c r="AK58" s="2013"/>
      <c r="AL58" s="253"/>
      <c r="AM58" s="253"/>
      <c r="AN58" s="2362"/>
      <c r="AO58" s="6605"/>
      <c r="AP58" s="658"/>
      <c r="AQ58" s="658"/>
      <c r="AR58" s="658"/>
      <c r="AS58" s="658"/>
      <c r="AT58" s="658"/>
      <c r="AU58" s="658"/>
      <c r="AV58" s="658"/>
      <c r="AW58" s="658"/>
      <c r="AX58" s="658"/>
      <c r="AY58" s="658"/>
      <c r="AZ58"/>
    </row>
    <row r="59" spans="1:52" s="815" customFormat="1" ht="21" customHeight="1">
      <c r="A59" s="2013"/>
      <c r="B59" s="2347">
        <v>12</v>
      </c>
      <c r="C59" s="2298" t="str">
        <f>"Credit carryforward from "&amp;TaxYear-1&amp;". Enter the amount, if any, from your "&amp;TaxYear-1&amp;" Form 5695, line 16"</f>
        <v>Credit carryforward from 2024. Enter the amount, if any, from your 2024 Form 5695, line 16</v>
      </c>
      <c r="D59" s="344"/>
      <c r="E59" s="344"/>
      <c r="F59" s="344"/>
      <c r="G59" s="344"/>
      <c r="H59" s="344"/>
      <c r="I59" s="344"/>
      <c r="J59" s="344"/>
      <c r="K59" s="344"/>
      <c r="L59" s="344"/>
      <c r="M59" s="344"/>
      <c r="N59" s="344"/>
      <c r="O59" s="344"/>
      <c r="P59" s="344"/>
      <c r="Q59" s="344"/>
      <c r="R59" s="344"/>
      <c r="S59" s="344"/>
      <c r="T59" s="344"/>
      <c r="U59" s="344"/>
      <c r="V59" s="344"/>
      <c r="W59" s="344"/>
      <c r="X59" s="344"/>
      <c r="Y59" s="344"/>
      <c r="Z59" s="344"/>
      <c r="AA59" s="1401" t="s">
        <v>1838</v>
      </c>
      <c r="AB59" s="10222">
        <v>12</v>
      </c>
      <c r="AC59" s="10223"/>
      <c r="AD59" s="10252"/>
      <c r="AE59" s="10214"/>
      <c r="AF59" s="10214"/>
      <c r="AG59" s="10214"/>
      <c r="AH59" s="10214"/>
      <c r="AI59" s="10214"/>
      <c r="AJ59" s="10214"/>
      <c r="AK59" s="2013"/>
      <c r="AL59" s="253"/>
      <c r="AM59" s="253"/>
      <c r="AN59" s="2362"/>
      <c r="AO59" s="6605" t="b">
        <f>AD59=""</f>
        <v>1</v>
      </c>
      <c r="AP59" s="658"/>
      <c r="AQ59" s="658"/>
      <c r="AR59" s="658"/>
      <c r="AS59" s="658"/>
      <c r="AT59" s="658"/>
      <c r="AU59" s="658"/>
      <c r="AV59" s="658"/>
      <c r="AW59" s="658"/>
      <c r="AX59" s="658"/>
      <c r="AY59" s="658"/>
      <c r="AZ59"/>
    </row>
    <row r="60" spans="1:52" s="815" customFormat="1" ht="8.25" customHeight="1" thickBot="1">
      <c r="A60" s="2013"/>
      <c r="B60" s="2347"/>
      <c r="C60" s="2038"/>
      <c r="D60" s="2038"/>
      <c r="E60" s="344"/>
      <c r="F60" s="344"/>
      <c r="G60" s="344"/>
      <c r="H60" s="344"/>
      <c r="I60" s="344"/>
      <c r="J60" s="344"/>
      <c r="K60" s="344"/>
      <c r="L60" s="344"/>
      <c r="M60" s="344"/>
      <c r="N60" s="344"/>
      <c r="O60" s="344"/>
      <c r="P60" s="344"/>
      <c r="Q60" s="344"/>
      <c r="R60" s="344"/>
      <c r="S60" s="344"/>
      <c r="T60" s="344"/>
      <c r="U60" s="344"/>
      <c r="V60" s="344"/>
      <c r="W60" s="344"/>
      <c r="X60" s="344"/>
      <c r="Y60" s="344"/>
      <c r="Z60" s="344"/>
      <c r="AA60" s="1401"/>
      <c r="AB60" s="10229"/>
      <c r="AC60" s="10230"/>
      <c r="AD60" s="1255"/>
      <c r="AE60" s="1256"/>
      <c r="AF60" s="1256"/>
      <c r="AG60" s="1256"/>
      <c r="AH60" s="1256"/>
      <c r="AI60" s="1256"/>
      <c r="AJ60" s="1256"/>
      <c r="AK60" s="2013"/>
      <c r="AL60" s="253"/>
      <c r="AM60" s="253"/>
      <c r="AN60" s="2362"/>
      <c r="AO60" s="6605"/>
      <c r="AP60" s="658"/>
      <c r="AQ60" s="658"/>
      <c r="AR60" s="658"/>
      <c r="AS60" s="658"/>
      <c r="AT60" s="658"/>
      <c r="AU60" s="658"/>
      <c r="AV60" s="658"/>
      <c r="AW60" s="658"/>
      <c r="AX60" s="658"/>
      <c r="AY60" s="658"/>
      <c r="AZ60"/>
    </row>
    <row r="61" spans="1:52" s="815" customFormat="1" ht="21" customHeight="1" thickBot="1">
      <c r="A61" s="2013"/>
      <c r="B61" s="2347">
        <v>13</v>
      </c>
      <c r="C61" s="2379" t="s">
        <v>5293</v>
      </c>
      <c r="D61" s="344"/>
      <c r="E61" s="344"/>
      <c r="F61" s="344"/>
      <c r="G61" s="344"/>
      <c r="H61" s="344"/>
      <c r="I61" s="344"/>
      <c r="J61" s="344"/>
      <c r="K61" s="344"/>
      <c r="L61" s="344"/>
      <c r="M61" s="344"/>
      <c r="N61" s="344"/>
      <c r="O61" s="344"/>
      <c r="P61" s="344"/>
      <c r="Q61" s="344"/>
      <c r="R61" s="344"/>
      <c r="S61" s="344"/>
      <c r="T61" s="344"/>
      <c r="U61" s="344"/>
      <c r="V61" s="344"/>
      <c r="W61" s="344"/>
      <c r="X61" s="344"/>
      <c r="Y61" s="344"/>
      <c r="Z61" s="344"/>
      <c r="AA61" s="1401" t="s">
        <v>787</v>
      </c>
      <c r="AB61" s="10222">
        <v>13</v>
      </c>
      <c r="AC61" s="10223"/>
      <c r="AD61" s="10221" t="str">
        <f>IF(AM61&lt;&gt;"",ROUND(AM61,0),IF(AO61,"",SUM(AD38,AD57,AD59)))</f>
        <v/>
      </c>
      <c r="AE61" s="10208"/>
      <c r="AF61" s="10208"/>
      <c r="AG61" s="10208"/>
      <c r="AH61" s="10208"/>
      <c r="AI61" s="10208"/>
      <c r="AJ61" s="10208"/>
      <c r="AK61" s="2013"/>
      <c r="AL61" s="253"/>
      <c r="AM61" s="2361"/>
      <c r="AN61" s="2362"/>
      <c r="AO61" s="6605" t="b">
        <f>AND(AO36,AO51,AO59)</f>
        <v>1</v>
      </c>
      <c r="AP61" s="658"/>
      <c r="AQ61" s="658"/>
      <c r="AR61" s="658"/>
      <c r="AS61" s="658"/>
      <c r="AT61" s="658"/>
      <c r="AU61" s="658"/>
      <c r="AV61" s="658"/>
      <c r="AW61" s="658"/>
      <c r="AX61" s="658"/>
      <c r="AY61" s="658"/>
      <c r="AZ61"/>
    </row>
    <row r="62" spans="1:52" s="815" customFormat="1" ht="25.5" customHeight="1" thickBot="1">
      <c r="A62" s="2013"/>
      <c r="B62" s="1053">
        <v>14</v>
      </c>
      <c r="C62" s="2298" t="s">
        <v>5294</v>
      </c>
      <c r="D62" s="2298"/>
      <c r="E62" s="344"/>
      <c r="F62" s="344"/>
      <c r="G62" s="344"/>
      <c r="H62" s="344"/>
      <c r="I62" s="344"/>
      <c r="J62" s="344"/>
      <c r="K62" s="344"/>
      <c r="L62" s="344"/>
      <c r="M62" s="344"/>
      <c r="N62" s="344"/>
      <c r="O62" s="344"/>
      <c r="P62" s="344"/>
      <c r="Q62" s="344"/>
      <c r="R62" s="344"/>
      <c r="S62" s="344"/>
      <c r="T62" s="344"/>
      <c r="U62" s="344"/>
      <c r="V62" s="344"/>
      <c r="W62" s="344"/>
      <c r="X62" s="344"/>
      <c r="Y62" s="344"/>
      <c r="Z62" s="344"/>
      <c r="AA62" s="1401"/>
      <c r="AB62" s="10229"/>
      <c r="AC62" s="10230"/>
      <c r="AD62" s="1255"/>
      <c r="AE62" s="1256"/>
      <c r="AF62" s="1256"/>
      <c r="AG62" s="1256"/>
      <c r="AH62" s="1256"/>
      <c r="AI62" s="1256"/>
      <c r="AJ62" s="1256"/>
      <c r="AK62" s="2013"/>
      <c r="AL62" s="253"/>
      <c r="AM62" s="253"/>
      <c r="AN62" s="2362"/>
      <c r="AO62" s="6605"/>
      <c r="AP62" s="658"/>
      <c r="AQ62" s="658"/>
      <c r="AR62" s="658"/>
      <c r="AS62" s="658"/>
      <c r="AT62" s="658"/>
      <c r="AU62" s="658"/>
      <c r="AV62" s="658"/>
      <c r="AW62" s="658"/>
      <c r="AX62" s="658"/>
      <c r="AY62" s="658"/>
      <c r="AZ62"/>
    </row>
    <row r="63" spans="1:52" s="815" customFormat="1" ht="21" customHeight="1" thickBot="1">
      <c r="A63" s="2013"/>
      <c r="B63" s="2347"/>
      <c r="C63" s="2298" t="s">
        <v>5295</v>
      </c>
      <c r="D63" s="344"/>
      <c r="E63" s="344"/>
      <c r="F63" s="344"/>
      <c r="G63" s="344"/>
      <c r="H63" s="344"/>
      <c r="I63" s="344"/>
      <c r="J63" s="344"/>
      <c r="K63" s="344"/>
      <c r="L63" s="344"/>
      <c r="M63" s="344"/>
      <c r="N63" s="344"/>
      <c r="O63" s="344"/>
      <c r="P63" s="344"/>
      <c r="Q63" s="344"/>
      <c r="R63" s="344"/>
      <c r="S63" s="344"/>
      <c r="T63" s="344"/>
      <c r="U63" s="344"/>
      <c r="V63" s="344"/>
      <c r="W63" s="344"/>
      <c r="X63" s="344"/>
      <c r="Y63" s="344"/>
      <c r="Z63" s="344"/>
      <c r="AA63" s="1401" t="s">
        <v>787</v>
      </c>
      <c r="AB63" s="10222">
        <v>14</v>
      </c>
      <c r="AC63" s="10223"/>
      <c r="AD63" s="10221" t="str">
        <f>IF(AM63&lt;&gt;"",ROUND(AM63,0),IF(AO61,"",IF(RCE_CL_WKST&lt;=0,0,RCE_CL_WKST)))</f>
        <v/>
      </c>
      <c r="AE63" s="10208"/>
      <c r="AF63" s="10208"/>
      <c r="AG63" s="10208"/>
      <c r="AH63" s="10208"/>
      <c r="AI63" s="10208"/>
      <c r="AJ63" s="10208"/>
      <c r="AK63" s="2013"/>
      <c r="AL63" s="253"/>
      <c r="AM63" s="2361"/>
      <c r="AN63" s="2362"/>
      <c r="AO63" s="6605"/>
      <c r="AP63" s="658"/>
      <c r="AQ63" s="658"/>
      <c r="AR63" s="658"/>
      <c r="AS63" s="658"/>
      <c r="AT63" s="658"/>
      <c r="AU63" s="658"/>
      <c r="AV63" s="658"/>
      <c r="AW63" s="658"/>
      <c r="AX63" s="658"/>
      <c r="AY63" s="658"/>
      <c r="AZ63"/>
    </row>
    <row r="64" spans="1:52" s="815" customFormat="1" ht="25.5" customHeight="1" thickBot="1">
      <c r="A64" s="2013"/>
      <c r="B64" s="1053">
        <v>15</v>
      </c>
      <c r="C64" s="2298" t="s">
        <v>5299</v>
      </c>
      <c r="D64" s="2298"/>
      <c r="E64" s="344"/>
      <c r="F64" s="344"/>
      <c r="G64" s="344"/>
      <c r="H64" s="344"/>
      <c r="I64" s="344"/>
      <c r="J64" s="344"/>
      <c r="K64" s="344"/>
      <c r="L64" s="344"/>
      <c r="M64" s="344"/>
      <c r="N64" s="344"/>
      <c r="O64" s="344"/>
      <c r="P64" s="344"/>
      <c r="Q64" s="344"/>
      <c r="R64" s="344"/>
      <c r="S64" s="344"/>
      <c r="T64" s="344"/>
      <c r="U64" s="344"/>
      <c r="V64" s="344"/>
      <c r="W64" s="344"/>
      <c r="X64" s="344"/>
      <c r="Y64" s="344"/>
      <c r="Z64" s="344"/>
      <c r="AA64" s="1401"/>
      <c r="AB64" s="10229"/>
      <c r="AC64" s="10230"/>
      <c r="AD64" s="1255"/>
      <c r="AE64" s="1256"/>
      <c r="AF64" s="1256"/>
      <c r="AG64" s="1256"/>
      <c r="AH64" s="1256"/>
      <c r="AI64" s="1256"/>
      <c r="AJ64" s="1256"/>
      <c r="AK64" s="2013"/>
      <c r="AL64" s="253"/>
      <c r="AM64" s="253"/>
      <c r="AN64" s="2362"/>
      <c r="AO64" s="6605"/>
      <c r="AP64" s="658"/>
      <c r="AQ64" s="658"/>
      <c r="AR64" s="658"/>
      <c r="AS64" s="658"/>
      <c r="AT64" s="658"/>
      <c r="AU64" s="658"/>
      <c r="AV64" s="658"/>
      <c r="AW64" s="658"/>
      <c r="AX64" s="658"/>
      <c r="AY64" s="658"/>
      <c r="AZ64"/>
    </row>
    <row r="65" spans="1:52" s="815" customFormat="1" ht="21" customHeight="1" thickBot="1">
      <c r="A65" s="2013"/>
      <c r="B65" s="2347"/>
      <c r="C65" s="2298" t="s">
        <v>5296</v>
      </c>
      <c r="D65" s="344"/>
      <c r="E65" s="344"/>
      <c r="F65" s="344"/>
      <c r="G65" s="344"/>
      <c r="H65" s="344"/>
      <c r="I65" s="344"/>
      <c r="J65" s="344"/>
      <c r="K65" s="344"/>
      <c r="L65" s="344"/>
      <c r="M65" s="344"/>
      <c r="N65" s="344"/>
      <c r="O65" s="344"/>
      <c r="P65" s="344"/>
      <c r="Q65" s="344"/>
      <c r="R65" s="344"/>
      <c r="S65" s="344"/>
      <c r="T65" s="344"/>
      <c r="U65" s="344"/>
      <c r="V65" s="344"/>
      <c r="W65" s="344"/>
      <c r="X65" s="344"/>
      <c r="Y65" s="344"/>
      <c r="Z65" s="344"/>
      <c r="AA65" s="1401" t="s">
        <v>787</v>
      </c>
      <c r="AB65" s="10222">
        <v>15</v>
      </c>
      <c r="AC65" s="10223"/>
      <c r="AD65" s="10221" t="str">
        <f>IF(AM65&lt;&gt;"",ROUND(AM65,0),IF(AO61,"",IF(RCE_CL_WKST&lt;=0,0,MIN(AD61,AD63))))</f>
        <v/>
      </c>
      <c r="AE65" s="10208"/>
      <c r="AF65" s="10208"/>
      <c r="AG65" s="10208"/>
      <c r="AH65" s="10208"/>
      <c r="AI65" s="10208"/>
      <c r="AJ65" s="10208"/>
      <c r="AK65" s="2013"/>
      <c r="AL65" s="253"/>
      <c r="AM65" s="2361"/>
      <c r="AN65" s="2362"/>
      <c r="AO65" s="6605"/>
      <c r="AP65" s="658"/>
      <c r="AQ65" s="658"/>
      <c r="AR65" s="658"/>
      <c r="AS65" s="658"/>
      <c r="AT65" s="658"/>
      <c r="AU65" s="658"/>
      <c r="AV65" s="658"/>
      <c r="AW65" s="658"/>
      <c r="AX65" s="658"/>
      <c r="AY65" s="658"/>
      <c r="AZ65"/>
    </row>
    <row r="66" spans="1:52" s="815" customFormat="1" ht="22.5" customHeight="1" thickBot="1">
      <c r="A66" s="2013"/>
      <c r="B66" s="1053">
        <v>16</v>
      </c>
      <c r="C66" s="2299" t="str">
        <f>"Credit carryforward to "&amp;TaxYear+1&amp;". If line 15 is less than line 13, subtract line 15"</f>
        <v>Credit carryforward to 2026. If line 15 is less than line 13, subtract line 15</v>
      </c>
      <c r="D66" s="511"/>
      <c r="E66" s="344"/>
      <c r="F66" s="344"/>
      <c r="G66" s="344"/>
      <c r="H66" s="344"/>
      <c r="I66" s="344"/>
      <c r="J66" s="344"/>
      <c r="K66" s="1061"/>
      <c r="L66" s="2300"/>
      <c r="M66" s="2301"/>
      <c r="N66" s="1061"/>
      <c r="O66" s="1061"/>
      <c r="P66" s="1061"/>
      <c r="Q66" s="1061"/>
      <c r="R66" s="1061"/>
      <c r="S66" s="344"/>
      <c r="T66" s="344"/>
      <c r="U66" s="344"/>
      <c r="V66" s="2349"/>
      <c r="W66" s="1204"/>
      <c r="X66" s="1205"/>
      <c r="Y66" s="1205"/>
      <c r="Z66" s="1205"/>
      <c r="AA66" s="1401"/>
      <c r="AB66" s="2339"/>
      <c r="AC66" s="2340"/>
      <c r="AD66" s="1803"/>
      <c r="AE66" s="1806"/>
      <c r="AF66" s="1806"/>
      <c r="AG66" s="1806"/>
      <c r="AH66" s="1806"/>
      <c r="AI66" s="1806"/>
      <c r="AJ66" s="1806"/>
      <c r="AK66" s="2013"/>
      <c r="AL66" s="253"/>
      <c r="AM66" s="226"/>
      <c r="AN66" s="2362"/>
      <c r="AO66" s="6605"/>
      <c r="AP66" s="658"/>
      <c r="AQ66" s="658"/>
      <c r="AR66" s="658"/>
      <c r="AS66" s="658"/>
      <c r="AT66" s="658"/>
      <c r="AU66" s="658"/>
      <c r="AV66" s="658"/>
      <c r="AW66" s="658"/>
      <c r="AX66" s="658"/>
      <c r="AY66" s="658"/>
      <c r="AZ66"/>
    </row>
    <row r="67" spans="1:52" s="815" customFormat="1" ht="21" customHeight="1" thickBot="1">
      <c r="A67" s="2013"/>
      <c r="B67" s="2348"/>
      <c r="C67" s="2381" t="s">
        <v>5297</v>
      </c>
      <c r="D67" s="511"/>
      <c r="E67" s="344"/>
      <c r="F67" s="344"/>
      <c r="G67" s="344"/>
      <c r="H67" s="344"/>
      <c r="I67" s="344"/>
      <c r="J67" s="344"/>
      <c r="K67" s="1061"/>
      <c r="L67" s="2300"/>
      <c r="M67" s="2301"/>
      <c r="N67" s="1061"/>
      <c r="O67" s="1061"/>
      <c r="P67" s="1061"/>
      <c r="Q67" s="1061"/>
      <c r="R67" s="1061"/>
      <c r="S67" s="344"/>
      <c r="T67" s="344"/>
      <c r="U67" s="1401" t="s">
        <v>1859</v>
      </c>
      <c r="V67" s="2351">
        <v>16</v>
      </c>
      <c r="W67" s="10273" t="str">
        <f>IF(AM67&lt;&gt;"",ROUND(AM67,0),IF(AD65&lt;AD61,SUM(AD61,-AD65),""))</f>
        <v/>
      </c>
      <c r="X67" s="10273"/>
      <c r="Y67" s="10273"/>
      <c r="Z67" s="10273"/>
      <c r="AA67" s="10274"/>
      <c r="AB67" s="2339"/>
      <c r="AC67" s="2340"/>
      <c r="AD67" s="1803"/>
      <c r="AE67" s="1806"/>
      <c r="AF67" s="1806"/>
      <c r="AG67" s="1806"/>
      <c r="AH67" s="1806"/>
      <c r="AI67" s="1806"/>
      <c r="AJ67" s="1806"/>
      <c r="AK67" s="2013"/>
      <c r="AL67" s="253"/>
      <c r="AM67" s="2361"/>
      <c r="AN67" s="2362"/>
      <c r="AO67" s="6605"/>
      <c r="AP67" s="658"/>
      <c r="AQ67" s="658"/>
      <c r="AR67" s="658"/>
      <c r="AS67" s="658"/>
      <c r="AT67" s="658"/>
      <c r="AU67" s="658"/>
      <c r="AV67" s="658"/>
      <c r="AW67" s="658"/>
      <c r="AX67" s="658"/>
      <c r="AY67" s="658"/>
      <c r="AZ67"/>
    </row>
    <row r="68" spans="1:52" s="815" customFormat="1" ht="21.75" customHeight="1">
      <c r="A68" s="2013"/>
      <c r="B68" s="2343" t="s">
        <v>2990</v>
      </c>
      <c r="C68" s="2344"/>
      <c r="D68" s="2344"/>
      <c r="E68" s="2344"/>
      <c r="F68" s="2344"/>
      <c r="G68" s="2344"/>
      <c r="H68" s="2344"/>
      <c r="I68" s="2344"/>
      <c r="J68" s="2344"/>
      <c r="K68" s="2344"/>
      <c r="L68" s="2344"/>
      <c r="M68" s="2344"/>
      <c r="N68" s="2344"/>
      <c r="O68" s="2344"/>
      <c r="P68" s="2344"/>
      <c r="Q68" s="2344"/>
      <c r="R68" s="2344"/>
      <c r="S68" s="2344"/>
      <c r="T68" s="2344"/>
      <c r="U68" s="2344" t="s">
        <v>5298</v>
      </c>
      <c r="V68" s="2344"/>
      <c r="W68" s="1916"/>
      <c r="X68" s="2344"/>
      <c r="Y68" s="2344"/>
      <c r="Z68" s="2344"/>
      <c r="AA68" s="2344"/>
      <c r="AB68" s="2344"/>
      <c r="AC68" s="2344"/>
      <c r="AD68" s="2344"/>
      <c r="AE68" s="2344"/>
      <c r="AF68" s="2344"/>
      <c r="AG68" s="2344"/>
      <c r="AH68" s="2345" t="s">
        <v>5301</v>
      </c>
      <c r="AI68" s="2344"/>
      <c r="AJ68" s="2346" t="str">
        <f>"("&amp;TaxYear&amp;")"</f>
        <v>(2025)</v>
      </c>
      <c r="AK68" s="2013"/>
      <c r="AL68" s="253"/>
      <c r="AM68" s="253"/>
      <c r="AN68" s="2362"/>
      <c r="AO68" s="6605"/>
      <c r="AP68" s="658"/>
      <c r="AQ68" s="658"/>
      <c r="AR68" s="658"/>
      <c r="AS68" s="658"/>
      <c r="AT68" s="658"/>
      <c r="AU68" s="658"/>
      <c r="AV68" s="658"/>
      <c r="AW68" s="658"/>
      <c r="AX68" s="658"/>
      <c r="AY68" s="658"/>
      <c r="AZ68"/>
    </row>
    <row r="69" spans="1:52" s="815" customFormat="1" ht="18.75" customHeight="1" thickBot="1">
      <c r="A69" s="2013"/>
      <c r="B69" s="2352" t="str">
        <f>"Form 5695 ("&amp;TaxYear&amp;")"</f>
        <v>Form 5695 (2025)</v>
      </c>
      <c r="C69" s="498"/>
      <c r="D69" s="2307"/>
      <c r="E69" s="498"/>
      <c r="F69" s="498"/>
      <c r="G69" s="498"/>
      <c r="H69" s="498"/>
      <c r="I69" s="498"/>
      <c r="J69" s="498"/>
      <c r="K69" s="498"/>
      <c r="L69" s="498"/>
      <c r="M69" s="498"/>
      <c r="N69" s="2308"/>
      <c r="O69" s="498"/>
      <c r="P69" s="498"/>
      <c r="Q69" s="498"/>
      <c r="R69" s="498"/>
      <c r="S69" s="498"/>
      <c r="T69" s="2308"/>
      <c r="U69" s="2307"/>
      <c r="V69" s="498"/>
      <c r="W69" s="498"/>
      <c r="X69" s="498"/>
      <c r="Y69" s="498"/>
      <c r="Z69" s="498"/>
      <c r="AA69" s="498"/>
      <c r="AB69" s="2308"/>
      <c r="AC69" s="498"/>
      <c r="AD69" s="498"/>
      <c r="AE69" s="498"/>
      <c r="AF69" s="498"/>
      <c r="AG69" s="498"/>
      <c r="AH69" s="498"/>
      <c r="AI69" s="498"/>
      <c r="AJ69" s="2309" t="s">
        <v>5330</v>
      </c>
      <c r="AK69" s="2013"/>
      <c r="AL69" s="253"/>
      <c r="AM69" s="253"/>
      <c r="AN69" s="2362"/>
      <c r="AO69" s="6605"/>
      <c r="AP69" s="658"/>
      <c r="AQ69" s="658"/>
      <c r="AR69" s="658"/>
      <c r="AS69" s="658"/>
      <c r="AT69" s="658"/>
      <c r="AU69" s="658"/>
      <c r="AV69" s="658"/>
      <c r="AW69" s="658"/>
      <c r="AX69" s="658"/>
      <c r="AY69" s="658"/>
      <c r="AZ69"/>
    </row>
    <row r="70" spans="1:52" s="1115" customFormat="1" ht="6" customHeight="1">
      <c r="A70" s="2290"/>
      <c r="B70" s="2291"/>
      <c r="C70" s="2291"/>
      <c r="D70" s="2317"/>
      <c r="E70" s="2310"/>
      <c r="F70" s="2291"/>
      <c r="G70" s="2291"/>
      <c r="H70" s="2291"/>
      <c r="I70" s="2291"/>
      <c r="J70" s="2291"/>
      <c r="K70" s="2291"/>
      <c r="L70" s="2291"/>
      <c r="M70" s="2291"/>
      <c r="N70" s="2291"/>
      <c r="O70" s="2291"/>
      <c r="P70" s="2291"/>
      <c r="Q70" s="2291"/>
      <c r="R70" s="2291"/>
      <c r="S70" s="2291"/>
      <c r="T70" s="2291"/>
      <c r="U70" s="2291"/>
      <c r="V70" s="2291"/>
      <c r="W70" s="2291"/>
      <c r="X70" s="2291"/>
      <c r="Y70" s="2291"/>
      <c r="Z70" s="2291"/>
      <c r="AA70" s="2291"/>
      <c r="AB70" s="2291"/>
      <c r="AC70" s="2291"/>
      <c r="AD70" s="2291"/>
      <c r="AE70" s="2291"/>
      <c r="AF70" s="2291"/>
      <c r="AG70" s="2291"/>
      <c r="AH70" s="2291"/>
      <c r="AI70" s="2292"/>
      <c r="AJ70" s="2292"/>
      <c r="AK70" s="2290"/>
      <c r="AL70" s="253"/>
      <c r="AM70" s="253"/>
      <c r="AN70" s="2363"/>
      <c r="AO70" s="6606"/>
      <c r="AP70" s="658"/>
      <c r="AQ70" s="658"/>
      <c r="AR70" s="658"/>
      <c r="AS70" s="658"/>
      <c r="AT70" s="658"/>
      <c r="AU70" s="658"/>
      <c r="AV70" s="658"/>
      <c r="AW70" s="658"/>
      <c r="AX70" s="658"/>
      <c r="AY70" s="658"/>
      <c r="AZ70" s="2293"/>
    </row>
    <row r="71" spans="1:52" s="2321" customFormat="1" ht="23.25" customHeight="1">
      <c r="A71" s="2318"/>
      <c r="B71" s="7646" t="s">
        <v>868</v>
      </c>
      <c r="C71" s="10263"/>
      <c r="D71" s="2315"/>
      <c r="E71" s="2323" t="s">
        <v>5302</v>
      </c>
      <c r="F71" s="2319"/>
      <c r="G71" s="2319"/>
      <c r="H71" s="2319"/>
      <c r="I71" s="2319"/>
      <c r="J71" s="2319"/>
      <c r="K71" s="2319"/>
      <c r="L71" s="2319"/>
      <c r="M71" s="2319"/>
      <c r="N71" s="2319"/>
      <c r="O71" s="2319"/>
      <c r="P71" s="2319"/>
      <c r="Q71" s="2324"/>
      <c r="R71" s="2319"/>
      <c r="S71" s="2319"/>
      <c r="T71" s="2319"/>
      <c r="U71" s="2319"/>
      <c r="V71" s="2319"/>
      <c r="W71" s="2319"/>
      <c r="X71" s="2319"/>
      <c r="Y71" s="2319"/>
      <c r="Z71" s="2319"/>
      <c r="AA71" s="2319"/>
      <c r="AB71" s="2319"/>
      <c r="AC71" s="2319"/>
      <c r="AD71" s="2319"/>
      <c r="AE71" s="2319"/>
      <c r="AF71" s="2319"/>
      <c r="AG71" s="2319"/>
      <c r="AH71" s="2319"/>
      <c r="AI71" s="2320"/>
      <c r="AJ71" s="2320"/>
      <c r="AK71" s="2318"/>
      <c r="AL71" s="1323"/>
      <c r="AM71" s="1323"/>
      <c r="AN71" s="2364"/>
      <c r="AO71" s="6606"/>
      <c r="AP71" s="668"/>
      <c r="AQ71" s="668"/>
      <c r="AR71" s="668"/>
      <c r="AS71" s="668"/>
      <c r="AT71" s="668"/>
      <c r="AU71" s="668"/>
      <c r="AV71" s="668"/>
      <c r="AW71" s="668"/>
      <c r="AX71" s="668"/>
      <c r="AY71" s="668"/>
      <c r="AZ71" s="2322"/>
    </row>
    <row r="72" spans="1:52" s="1115" customFormat="1" ht="6.75" customHeight="1">
      <c r="A72" s="2290"/>
      <c r="B72" s="2294"/>
      <c r="C72" s="2294"/>
      <c r="D72" s="2295"/>
      <c r="E72" s="2296"/>
      <c r="F72" s="2294"/>
      <c r="G72" s="2294"/>
      <c r="H72" s="2294"/>
      <c r="I72" s="2294"/>
      <c r="J72" s="2294"/>
      <c r="K72" s="2294"/>
      <c r="L72" s="2294"/>
      <c r="M72" s="2294"/>
      <c r="N72" s="2294"/>
      <c r="O72" s="2294"/>
      <c r="P72" s="2294"/>
      <c r="Q72" s="2294"/>
      <c r="R72" s="2294"/>
      <c r="S72" s="2294"/>
      <c r="T72" s="2294"/>
      <c r="U72" s="2294"/>
      <c r="V72" s="2294"/>
      <c r="W72" s="2294"/>
      <c r="X72" s="2294"/>
      <c r="Y72" s="2294"/>
      <c r="Z72" s="2294"/>
      <c r="AA72" s="2294"/>
      <c r="AB72" s="2294"/>
      <c r="AC72" s="2294"/>
      <c r="AD72" s="2294"/>
      <c r="AE72" s="2294"/>
      <c r="AF72" s="2294"/>
      <c r="AG72" s="2294"/>
      <c r="AH72" s="2294"/>
      <c r="AI72" s="2297"/>
      <c r="AJ72" s="2297"/>
      <c r="AK72" s="2290"/>
      <c r="AL72" s="253"/>
      <c r="AM72" s="253"/>
      <c r="AN72" s="2363"/>
      <c r="AO72" s="6606"/>
      <c r="AP72" s="658"/>
      <c r="AQ72" s="658"/>
      <c r="AR72" s="658"/>
      <c r="AS72" s="658"/>
      <c r="AT72" s="658"/>
      <c r="AU72" s="658"/>
      <c r="AV72" s="658"/>
      <c r="AW72" s="658"/>
      <c r="AX72" s="658"/>
      <c r="AY72" s="658"/>
      <c r="AZ72" s="2293"/>
    </row>
    <row r="73" spans="1:52" s="815" customFormat="1" ht="9.75" customHeight="1">
      <c r="A73" s="2013"/>
      <c r="B73" s="775"/>
      <c r="C73" s="2299"/>
      <c r="D73" s="511"/>
      <c r="E73" s="344"/>
      <c r="F73" s="344"/>
      <c r="G73" s="344"/>
      <c r="H73" s="344"/>
      <c r="I73" s="344"/>
      <c r="J73" s="344"/>
      <c r="K73" s="1061"/>
      <c r="L73" s="2300"/>
      <c r="M73" s="2301"/>
      <c r="N73" s="1061"/>
      <c r="O73" s="1061"/>
      <c r="P73" s="1061"/>
      <c r="Q73" s="1061"/>
      <c r="R73" s="1061"/>
      <c r="S73" s="344"/>
      <c r="T73" s="344"/>
      <c r="U73" s="344"/>
      <c r="V73" s="1061"/>
      <c r="W73" s="1204"/>
      <c r="X73" s="2302"/>
      <c r="Y73" s="344"/>
      <c r="Z73" s="344"/>
      <c r="AA73" s="344"/>
      <c r="AB73" s="344"/>
      <c r="AC73" s="344"/>
      <c r="AD73" s="344"/>
      <c r="AE73" s="344"/>
      <c r="AF73" s="344"/>
      <c r="AG73" s="344"/>
      <c r="AH73" s="344"/>
      <c r="AI73" s="344"/>
      <c r="AJ73" s="344"/>
      <c r="AK73" s="2013"/>
      <c r="AL73" s="253"/>
      <c r="AM73" s="226"/>
      <c r="AN73" s="2362"/>
      <c r="AO73" s="6605"/>
      <c r="AP73" s="658"/>
      <c r="AQ73" s="658"/>
      <c r="AR73" s="658"/>
      <c r="AS73" s="658"/>
      <c r="AT73" s="658"/>
      <c r="AU73" s="658"/>
      <c r="AV73" s="658"/>
      <c r="AW73" s="658"/>
      <c r="AX73" s="658"/>
      <c r="AY73" s="658"/>
      <c r="AZ73"/>
    </row>
    <row r="74" spans="1:52" s="815" customFormat="1" ht="15.75" customHeight="1">
      <c r="A74" s="2013"/>
      <c r="B74" s="1213" t="s">
        <v>5303</v>
      </c>
      <c r="C74" s="2299"/>
      <c r="D74" s="511"/>
      <c r="E74" s="344"/>
      <c r="F74" s="344"/>
      <c r="G74" s="344"/>
      <c r="H74" s="344"/>
      <c r="I74" s="344"/>
      <c r="J74" s="344"/>
      <c r="K74" s="1061"/>
      <c r="L74" s="2300"/>
      <c r="M74" s="2301"/>
      <c r="N74" s="1061"/>
      <c r="O74" s="1061"/>
      <c r="P74" s="1061"/>
      <c r="Q74" s="1061"/>
      <c r="R74" s="1061"/>
      <c r="S74" s="344"/>
      <c r="T74" s="344"/>
      <c r="U74" s="344"/>
      <c r="V74" s="1061"/>
      <c r="W74" s="1204"/>
      <c r="X74" s="2302"/>
      <c r="Y74" s="344"/>
      <c r="Z74" s="344"/>
      <c r="AA74" s="344"/>
      <c r="AB74" s="344"/>
      <c r="AC74" s="344"/>
      <c r="AD74" s="344"/>
      <c r="AE74" s="344"/>
      <c r="AF74" s="344"/>
      <c r="AG74" s="344"/>
      <c r="AH74" s="344"/>
      <c r="AI74" s="344"/>
      <c r="AJ74" s="344"/>
      <c r="AK74" s="2013"/>
      <c r="AL74" s="253"/>
      <c r="AM74" s="226"/>
      <c r="AN74" s="2362"/>
      <c r="AO74" s="6605"/>
      <c r="AP74" s="658"/>
      <c r="AQ74" s="658"/>
      <c r="AR74" s="658"/>
      <c r="AS74" s="658"/>
      <c r="AT74" s="658"/>
      <c r="AU74" s="658"/>
      <c r="AV74" s="658"/>
      <c r="AW74" s="658"/>
      <c r="AX74" s="658"/>
      <c r="AY74" s="658"/>
      <c r="AZ74"/>
    </row>
    <row r="75" spans="1:52" s="815" customFormat="1" ht="8.25" customHeight="1">
      <c r="A75" s="2013"/>
      <c r="B75" s="2008"/>
      <c r="C75" s="2303"/>
      <c r="D75" s="1996"/>
      <c r="E75" s="569"/>
      <c r="F75" s="569"/>
      <c r="G75" s="569"/>
      <c r="H75" s="569"/>
      <c r="I75" s="569"/>
      <c r="J75" s="569"/>
      <c r="K75" s="569"/>
      <c r="L75" s="569"/>
      <c r="M75" s="569"/>
      <c r="N75" s="569"/>
      <c r="O75" s="569"/>
      <c r="P75" s="569"/>
      <c r="Q75" s="569"/>
      <c r="R75" s="569"/>
      <c r="S75" s="569"/>
      <c r="T75" s="569"/>
      <c r="U75" s="569"/>
      <c r="V75" s="569"/>
      <c r="W75" s="2304"/>
      <c r="X75" s="569"/>
      <c r="Y75" s="569"/>
      <c r="Z75" s="569"/>
      <c r="AA75" s="569"/>
      <c r="AB75" s="569"/>
      <c r="AC75" s="569"/>
      <c r="AD75" s="569"/>
      <c r="AE75" s="569"/>
      <c r="AF75" s="569"/>
      <c r="AG75" s="569"/>
      <c r="AH75" s="569"/>
      <c r="AI75" s="569"/>
      <c r="AJ75" s="569"/>
      <c r="AK75" s="2013"/>
      <c r="AL75" s="253"/>
      <c r="AM75" s="226"/>
      <c r="AN75" s="2362"/>
      <c r="AO75" s="6605"/>
      <c r="AP75" s="658"/>
      <c r="AQ75" s="658"/>
      <c r="AR75" s="658"/>
      <c r="AS75" s="658"/>
      <c r="AT75" s="658"/>
      <c r="AU75" s="658"/>
      <c r="AV75" s="658"/>
      <c r="AW75" s="658"/>
      <c r="AX75" s="658"/>
      <c r="AY75" s="658"/>
      <c r="AZ75"/>
    </row>
    <row r="76" spans="1:52" s="815" customFormat="1" ht="21" customHeight="1">
      <c r="A76" s="2013"/>
      <c r="B76" s="1053" t="s">
        <v>1081</v>
      </c>
      <c r="C76" s="2298" t="s">
        <v>5304</v>
      </c>
      <c r="D76" s="2298"/>
      <c r="E76" s="344"/>
      <c r="F76" s="344"/>
      <c r="G76" s="344"/>
      <c r="H76" s="344"/>
      <c r="I76" s="344"/>
      <c r="J76" s="344"/>
      <c r="K76" s="344"/>
      <c r="L76" s="344"/>
      <c r="M76" s="344"/>
      <c r="N76" s="344"/>
      <c r="O76" s="344"/>
      <c r="P76" s="344"/>
      <c r="Q76" s="344"/>
      <c r="R76" s="344"/>
      <c r="S76" s="344"/>
      <c r="T76" s="344"/>
      <c r="U76" s="344"/>
      <c r="V76" s="344"/>
      <c r="W76" s="344"/>
      <c r="X76" s="344"/>
      <c r="Y76" s="344"/>
      <c r="Z76" s="344"/>
      <c r="AA76" s="1401"/>
      <c r="AB76" s="10212"/>
      <c r="AC76" s="10213"/>
      <c r="AD76" s="2332"/>
      <c r="AE76" s="1664"/>
      <c r="AF76" s="1664"/>
      <c r="AG76" s="1664"/>
      <c r="AH76" s="1664"/>
      <c r="AI76" s="1664"/>
      <c r="AJ76" s="1664"/>
      <c r="AK76" s="2013"/>
      <c r="AL76" s="253"/>
      <c r="AM76" s="253"/>
      <c r="AN76" s="2362"/>
      <c r="AO76" s="6605"/>
      <c r="AP76" s="658"/>
      <c r="AQ76" s="658"/>
      <c r="AR76" s="658"/>
      <c r="AS76" s="658"/>
      <c r="AT76" s="658"/>
      <c r="AU76" s="658"/>
      <c r="AV76" s="658"/>
      <c r="AW76" s="658"/>
      <c r="AX76" s="658"/>
      <c r="AY76" s="658"/>
      <c r="AZ76"/>
    </row>
    <row r="77" spans="1:52" s="815" customFormat="1" ht="18">
      <c r="A77" s="2013"/>
      <c r="B77" s="2347"/>
      <c r="C77" s="2038" t="s">
        <v>5305</v>
      </c>
      <c r="D77" s="2038"/>
      <c r="E77" s="344"/>
      <c r="F77" s="344"/>
      <c r="G77" s="344"/>
      <c r="H77" s="344"/>
      <c r="I77" s="344"/>
      <c r="J77" s="344"/>
      <c r="K77" s="344"/>
      <c r="L77" s="344"/>
      <c r="M77" s="344"/>
      <c r="N77" s="344"/>
      <c r="O77" s="344"/>
      <c r="P77" s="344"/>
      <c r="Q77" s="344"/>
      <c r="R77" s="344"/>
      <c r="S77" s="344"/>
      <c r="T77" s="344"/>
      <c r="U77" s="344"/>
      <c r="V77" s="344"/>
      <c r="W77" s="344"/>
      <c r="X77" s="344"/>
      <c r="Y77" s="344"/>
      <c r="Z77" s="344"/>
      <c r="AA77" s="1401" t="s">
        <v>874</v>
      </c>
      <c r="AB77" s="10212" t="s">
        <v>1081</v>
      </c>
      <c r="AC77" s="10213"/>
      <c r="AD77" s="2332"/>
      <c r="AE77" s="2335"/>
      <c r="AF77" s="1664" t="s">
        <v>568</v>
      </c>
      <c r="AG77" s="1664"/>
      <c r="AH77" s="2336" t="str">
        <f>IF(AND(AE77="",AK77=""),"X","")</f>
        <v/>
      </c>
      <c r="AI77" s="1664" t="s">
        <v>569</v>
      </c>
      <c r="AJ77" s="1664"/>
      <c r="AK77" s="2337" t="s">
        <v>2119</v>
      </c>
      <c r="AL77" s="2338" t="s">
        <v>5284</v>
      </c>
      <c r="AM77" s="253"/>
      <c r="AN77" s="2362"/>
      <c r="AO77" s="6605" t="b">
        <f>AH77&lt;&gt;""</f>
        <v>0</v>
      </c>
      <c r="AP77" s="658"/>
      <c r="AQ77" s="658"/>
      <c r="AR77" s="658"/>
      <c r="AS77" s="658"/>
      <c r="AT77" s="658"/>
      <c r="AU77" s="658"/>
      <c r="AV77" s="658"/>
      <c r="AW77" s="658"/>
      <c r="AX77" s="658"/>
      <c r="AY77" s="658"/>
      <c r="AZ77"/>
    </row>
    <row r="78" spans="1:52" s="815" customFormat="1" ht="5.25" customHeight="1">
      <c r="A78" s="2013"/>
      <c r="B78" s="2347"/>
      <c r="C78" s="2298"/>
      <c r="D78" s="344"/>
      <c r="E78" s="344"/>
      <c r="F78" s="344"/>
      <c r="G78" s="344"/>
      <c r="H78" s="344"/>
      <c r="I78" s="344"/>
      <c r="J78" s="344"/>
      <c r="K78" s="344"/>
      <c r="L78" s="344"/>
      <c r="M78" s="344"/>
      <c r="N78" s="344"/>
      <c r="O78" s="344"/>
      <c r="P78" s="344"/>
      <c r="Q78" s="344"/>
      <c r="R78" s="344"/>
      <c r="S78" s="344"/>
      <c r="T78" s="344"/>
      <c r="U78" s="344"/>
      <c r="V78" s="344"/>
      <c r="W78" s="344"/>
      <c r="X78" s="344"/>
      <c r="Y78" s="344"/>
      <c r="Z78" s="344"/>
      <c r="AA78" s="1401"/>
      <c r="AB78" s="10222"/>
      <c r="AC78" s="10223"/>
      <c r="AD78" s="2330"/>
      <c r="AE78" s="2331"/>
      <c r="AF78" s="2331"/>
      <c r="AG78" s="2331"/>
      <c r="AH78" s="2331"/>
      <c r="AI78" s="2331"/>
      <c r="AJ78" s="2331"/>
      <c r="AK78" s="2013"/>
      <c r="AL78" s="253"/>
      <c r="AM78" s="253"/>
      <c r="AN78" s="2362"/>
      <c r="AO78" s="6605"/>
      <c r="AP78" s="658"/>
      <c r="AQ78" s="658"/>
      <c r="AR78" s="658"/>
      <c r="AS78" s="658"/>
      <c r="AT78" s="658"/>
      <c r="AU78" s="658"/>
      <c r="AV78" s="658"/>
      <c r="AW78" s="658"/>
      <c r="AX78" s="658"/>
      <c r="AY78" s="658"/>
      <c r="AZ78"/>
    </row>
    <row r="79" spans="1:52" s="815" customFormat="1" ht="5.25" customHeight="1">
      <c r="A79" s="2013"/>
      <c r="B79" s="2347"/>
      <c r="C79" s="2298"/>
      <c r="D79" s="344"/>
      <c r="E79" s="344"/>
      <c r="F79" s="344"/>
      <c r="G79" s="344"/>
      <c r="H79" s="344"/>
      <c r="I79" s="344"/>
      <c r="J79" s="344"/>
      <c r="K79" s="344"/>
      <c r="L79" s="344"/>
      <c r="M79" s="344"/>
      <c r="N79" s="344"/>
      <c r="O79" s="344"/>
      <c r="P79" s="344"/>
      <c r="Q79" s="344"/>
      <c r="R79" s="344"/>
      <c r="S79" s="344"/>
      <c r="T79" s="344"/>
      <c r="U79" s="344"/>
      <c r="V79" s="344"/>
      <c r="W79" s="344"/>
      <c r="X79" s="344"/>
      <c r="Y79" s="344"/>
      <c r="Z79" s="344"/>
      <c r="AA79" s="1401"/>
      <c r="AB79" s="10212"/>
      <c r="AC79" s="10213"/>
      <c r="AD79" s="2333"/>
      <c r="AE79" s="2334"/>
      <c r="AF79" s="2334"/>
      <c r="AG79" s="2334"/>
      <c r="AH79" s="2334"/>
      <c r="AI79" s="2334"/>
      <c r="AJ79" s="2334"/>
      <c r="AK79" s="2013"/>
      <c r="AL79" s="253"/>
      <c r="AM79" s="253"/>
      <c r="AN79" s="2362"/>
      <c r="AO79" s="6605"/>
      <c r="AP79" s="658"/>
      <c r="AQ79" s="658"/>
      <c r="AR79" s="658"/>
      <c r="AS79" s="658"/>
      <c r="AT79" s="658"/>
      <c r="AU79" s="658"/>
      <c r="AV79" s="658"/>
      <c r="AW79" s="658"/>
      <c r="AX79" s="658"/>
      <c r="AY79" s="658"/>
      <c r="AZ79"/>
    </row>
    <row r="80" spans="1:52" s="815" customFormat="1" ht="18">
      <c r="A80" s="2013"/>
      <c r="B80" s="2328" t="s">
        <v>592</v>
      </c>
      <c r="C80" s="2038" t="s">
        <v>5306</v>
      </c>
      <c r="D80" s="2038"/>
      <c r="E80" s="344"/>
      <c r="F80" s="344"/>
      <c r="G80" s="344"/>
      <c r="H80" s="344"/>
      <c r="I80" s="344"/>
      <c r="J80" s="344"/>
      <c r="K80" s="344"/>
      <c r="L80" s="344"/>
      <c r="M80" s="344"/>
      <c r="N80" s="344"/>
      <c r="O80" s="344"/>
      <c r="P80" s="344"/>
      <c r="Q80" s="344"/>
      <c r="R80" s="344"/>
      <c r="S80" s="344"/>
      <c r="T80" s="344"/>
      <c r="U80" s="344"/>
      <c r="V80" s="344"/>
      <c r="W80" s="344"/>
      <c r="X80" s="344"/>
      <c r="Y80" s="344"/>
      <c r="Z80" s="344"/>
      <c r="AA80" s="1401" t="s">
        <v>874</v>
      </c>
      <c r="AB80" s="10212"/>
      <c r="AC80" s="10213"/>
      <c r="AD80" s="2332"/>
      <c r="AE80" s="2335"/>
      <c r="AF80" s="1664" t="s">
        <v>568</v>
      </c>
      <c r="AG80" s="1664"/>
      <c r="AH80" s="2336" t="str">
        <f>IF(AND(AE80="",AK80=""),"X","")</f>
        <v/>
      </c>
      <c r="AI80" s="1664" t="s">
        <v>569</v>
      </c>
      <c r="AJ80" s="1664"/>
      <c r="AK80" s="2337" t="s">
        <v>2119</v>
      </c>
      <c r="AL80" s="2338" t="s">
        <v>5284</v>
      </c>
      <c r="AM80" s="253"/>
      <c r="AN80" s="2362"/>
      <c r="AO80" s="6605" t="b">
        <f>AH80&lt;&gt;""</f>
        <v>0</v>
      </c>
      <c r="AP80" s="658"/>
      <c r="AQ80" s="658"/>
      <c r="AR80" s="658"/>
      <c r="AS80" s="658"/>
      <c r="AT80" s="658"/>
      <c r="AU80" s="658"/>
      <c r="AV80" s="658"/>
      <c r="AW80" s="658"/>
      <c r="AX80" s="658"/>
      <c r="AY80" s="658"/>
      <c r="AZ80"/>
    </row>
    <row r="81" spans="1:52" s="815" customFormat="1" ht="5.25" customHeight="1">
      <c r="A81" s="2013"/>
      <c r="B81" s="2347"/>
      <c r="C81" s="2298"/>
      <c r="D81" s="344"/>
      <c r="E81" s="344"/>
      <c r="F81" s="344"/>
      <c r="G81" s="344"/>
      <c r="H81" s="344"/>
      <c r="I81" s="344"/>
      <c r="J81" s="344"/>
      <c r="K81" s="344"/>
      <c r="L81" s="344"/>
      <c r="M81" s="344"/>
      <c r="N81" s="344"/>
      <c r="O81" s="344"/>
      <c r="P81" s="344"/>
      <c r="Q81" s="344"/>
      <c r="R81" s="344"/>
      <c r="S81" s="344"/>
      <c r="T81" s="344"/>
      <c r="U81" s="344"/>
      <c r="V81" s="344"/>
      <c r="W81" s="344"/>
      <c r="X81" s="344"/>
      <c r="Y81" s="344"/>
      <c r="Z81" s="344"/>
      <c r="AA81" s="1401"/>
      <c r="AB81" s="10212"/>
      <c r="AC81" s="10213"/>
      <c r="AD81" s="2330"/>
      <c r="AE81" s="2331"/>
      <c r="AF81" s="2331"/>
      <c r="AG81" s="2331"/>
      <c r="AH81" s="2331"/>
      <c r="AI81" s="2331"/>
      <c r="AJ81" s="2331"/>
      <c r="AK81" s="2013"/>
      <c r="AL81" s="253"/>
      <c r="AM81" s="253"/>
      <c r="AN81" s="2362"/>
      <c r="AO81" s="6605"/>
      <c r="AP81" s="658"/>
      <c r="AQ81" s="658"/>
      <c r="AR81" s="658"/>
      <c r="AS81" s="658"/>
      <c r="AT81" s="658"/>
      <c r="AU81" s="658"/>
      <c r="AV81" s="658"/>
      <c r="AW81" s="658"/>
      <c r="AX81" s="658"/>
      <c r="AY81" s="658"/>
      <c r="AZ81"/>
    </row>
    <row r="82" spans="1:52" s="815" customFormat="1" ht="15" customHeight="1">
      <c r="A82" s="2013"/>
      <c r="B82" s="2353" t="s">
        <v>595</v>
      </c>
      <c r="C82" s="2038" t="s">
        <v>5307</v>
      </c>
      <c r="D82" s="2038"/>
      <c r="E82" s="344"/>
      <c r="F82" s="344"/>
      <c r="G82" s="344"/>
      <c r="H82" s="344"/>
      <c r="I82" s="344"/>
      <c r="J82" s="344"/>
      <c r="K82" s="344"/>
      <c r="L82" s="344"/>
      <c r="M82" s="344"/>
      <c r="N82" s="344"/>
      <c r="O82" s="344"/>
      <c r="P82" s="344"/>
      <c r="Q82" s="344"/>
      <c r="R82" s="344"/>
      <c r="S82" s="344"/>
      <c r="T82" s="344"/>
      <c r="U82" s="344"/>
      <c r="V82" s="344"/>
      <c r="W82" s="344"/>
      <c r="X82" s="344"/>
      <c r="Y82" s="344"/>
      <c r="Z82" s="344"/>
      <c r="AA82" s="1401"/>
      <c r="AB82" s="10212"/>
      <c r="AC82" s="10213"/>
      <c r="AD82" s="2332"/>
      <c r="AE82" s="1664"/>
      <c r="AF82" s="1664"/>
      <c r="AG82" s="1664"/>
      <c r="AH82" s="1664"/>
      <c r="AI82" s="1664"/>
      <c r="AJ82" s="1664"/>
      <c r="AK82" s="2013"/>
      <c r="AL82" s="253"/>
      <c r="AM82" s="253"/>
      <c r="AN82" s="2362"/>
      <c r="AO82" s="6605"/>
      <c r="AP82" s="658"/>
      <c r="AQ82" s="658"/>
      <c r="AR82" s="658"/>
      <c r="AS82" s="658"/>
      <c r="AT82" s="658"/>
      <c r="AU82" s="658"/>
      <c r="AV82" s="658"/>
      <c r="AW82" s="658"/>
      <c r="AX82" s="658"/>
      <c r="AY82" s="658"/>
      <c r="AZ82"/>
    </row>
    <row r="83" spans="1:52" s="815" customFormat="1" ht="15" customHeight="1">
      <c r="A83" s="2013"/>
      <c r="B83" s="2347"/>
      <c r="C83" s="2038" t="s">
        <v>5308</v>
      </c>
      <c r="D83" s="2038"/>
      <c r="E83" s="344"/>
      <c r="F83" s="344"/>
      <c r="G83" s="344"/>
      <c r="H83" s="344"/>
      <c r="I83" s="344"/>
      <c r="J83" s="344"/>
      <c r="K83" s="344"/>
      <c r="L83" s="344"/>
      <c r="M83" s="344"/>
      <c r="N83" s="344"/>
      <c r="O83" s="344"/>
      <c r="P83" s="344"/>
      <c r="Q83" s="344"/>
      <c r="R83" s="344"/>
      <c r="S83" s="344"/>
      <c r="T83" s="344"/>
      <c r="U83" s="344"/>
      <c r="V83" s="344"/>
      <c r="W83" s="344"/>
      <c r="X83" s="344"/>
      <c r="Y83" s="344"/>
      <c r="Z83" s="344"/>
      <c r="AA83" s="1401"/>
      <c r="AB83" s="10212"/>
      <c r="AC83" s="10213"/>
      <c r="AD83" s="2332"/>
      <c r="AE83" s="1664"/>
      <c r="AF83" s="1664"/>
      <c r="AG83" s="1664"/>
      <c r="AH83" s="1664"/>
      <c r="AI83" s="1664"/>
      <c r="AJ83" s="1664"/>
      <c r="AK83" s="2013"/>
      <c r="AL83" s="253"/>
      <c r="AM83" s="253"/>
      <c r="AN83" s="2362"/>
      <c r="AO83" s="6605"/>
      <c r="AP83" s="658"/>
      <c r="AQ83" s="658"/>
      <c r="AR83" s="658"/>
      <c r="AS83" s="658"/>
      <c r="AT83" s="658"/>
      <c r="AU83" s="658"/>
      <c r="AV83" s="658"/>
      <c r="AW83" s="658"/>
      <c r="AX83" s="658"/>
      <c r="AY83" s="658"/>
      <c r="AZ83"/>
    </row>
    <row r="84" spans="1:52" s="815" customFormat="1" ht="18">
      <c r="A84" s="2013"/>
      <c r="B84" s="2347"/>
      <c r="C84" s="2038" t="s">
        <v>5309</v>
      </c>
      <c r="D84" s="344"/>
      <c r="E84" s="344"/>
      <c r="F84" s="344"/>
      <c r="G84" s="344"/>
      <c r="H84" s="344"/>
      <c r="I84" s="2313"/>
      <c r="J84" s="344"/>
      <c r="K84" s="344"/>
      <c r="L84" s="344"/>
      <c r="M84" s="344"/>
      <c r="N84" s="344"/>
      <c r="O84" s="344"/>
      <c r="P84" s="344"/>
      <c r="Q84" s="344"/>
      <c r="R84" s="344"/>
      <c r="S84" s="344"/>
      <c r="T84" s="344"/>
      <c r="U84" s="344"/>
      <c r="V84" s="344"/>
      <c r="W84" s="344"/>
      <c r="X84" s="344"/>
      <c r="Y84" s="344"/>
      <c r="Z84" s="344"/>
      <c r="AA84" s="1401" t="s">
        <v>887</v>
      </c>
      <c r="AB84" s="10212" t="s">
        <v>1084</v>
      </c>
      <c r="AC84" s="10213"/>
      <c r="AD84" s="2332"/>
      <c r="AE84" s="2335"/>
      <c r="AF84" s="1664" t="s">
        <v>568</v>
      </c>
      <c r="AG84" s="1664"/>
      <c r="AH84" s="2336" t="str">
        <f>IF(AND(AE84="",AK84=""),"X","")</f>
        <v/>
      </c>
      <c r="AI84" s="1664" t="s">
        <v>569</v>
      </c>
      <c r="AJ84" s="1664"/>
      <c r="AK84" s="2337" t="s">
        <v>2119</v>
      </c>
      <c r="AL84" s="2338" t="s">
        <v>5284</v>
      </c>
      <c r="AM84" s="253"/>
      <c r="AN84" s="2362"/>
      <c r="AO84" s="6605" t="b">
        <f>AH84&lt;&gt;""</f>
        <v>0</v>
      </c>
      <c r="AP84" s="658"/>
      <c r="AQ84" s="658"/>
      <c r="AR84" s="658"/>
      <c r="AS84" s="658"/>
      <c r="AT84" s="658"/>
      <c r="AU84" s="658"/>
      <c r="AV84" s="658"/>
      <c r="AW84" s="658"/>
      <c r="AX84" s="658"/>
      <c r="AY84" s="658"/>
      <c r="AZ84"/>
    </row>
    <row r="85" spans="1:52" s="815" customFormat="1" ht="5.25" customHeight="1">
      <c r="A85" s="2013"/>
      <c r="B85" s="2347"/>
      <c r="C85" s="2298"/>
      <c r="D85" s="344"/>
      <c r="E85" s="344"/>
      <c r="F85" s="344"/>
      <c r="G85" s="344"/>
      <c r="H85" s="344"/>
      <c r="I85" s="344"/>
      <c r="J85" s="344"/>
      <c r="K85" s="344"/>
      <c r="L85" s="344"/>
      <c r="M85" s="344"/>
      <c r="N85" s="344"/>
      <c r="O85" s="344"/>
      <c r="P85" s="344"/>
      <c r="Q85" s="344"/>
      <c r="R85" s="344"/>
      <c r="S85" s="344"/>
      <c r="T85" s="344"/>
      <c r="U85" s="344"/>
      <c r="V85" s="344"/>
      <c r="W85" s="344"/>
      <c r="X85" s="344"/>
      <c r="Y85" s="344"/>
      <c r="Z85" s="344"/>
      <c r="AA85" s="1401"/>
      <c r="AB85" s="10212"/>
      <c r="AC85" s="10213"/>
      <c r="AD85" s="2330"/>
      <c r="AE85" s="2331"/>
      <c r="AF85" s="2331"/>
      <c r="AG85" s="2331"/>
      <c r="AH85" s="2331"/>
      <c r="AI85" s="2331"/>
      <c r="AJ85" s="2331"/>
      <c r="AK85" s="2013"/>
      <c r="AL85" s="253"/>
      <c r="AM85" s="253"/>
      <c r="AN85" s="2362"/>
      <c r="AO85" s="6605"/>
      <c r="AP85" s="658"/>
      <c r="AQ85" s="658"/>
      <c r="AR85" s="658"/>
      <c r="AS85" s="658"/>
      <c r="AT85" s="658"/>
      <c r="AU85" s="658"/>
      <c r="AV85" s="658"/>
      <c r="AW85" s="658"/>
      <c r="AX85" s="658"/>
      <c r="AY85" s="658"/>
      <c r="AZ85"/>
    </row>
    <row r="86" spans="1:52" s="815" customFormat="1" ht="15.75" customHeight="1">
      <c r="A86" s="2013"/>
      <c r="B86" s="2353" t="s">
        <v>599</v>
      </c>
      <c r="C86" s="2299" t="s">
        <v>5310</v>
      </c>
      <c r="D86" s="511"/>
      <c r="E86" s="344"/>
      <c r="F86" s="344"/>
      <c r="G86" s="344"/>
      <c r="H86" s="344"/>
      <c r="I86" s="344"/>
      <c r="J86" s="344"/>
      <c r="K86" s="344"/>
      <c r="L86" s="344"/>
      <c r="M86" s="344"/>
      <c r="N86" s="344"/>
      <c r="O86" s="344"/>
      <c r="P86" s="344"/>
      <c r="Q86" s="344"/>
      <c r="R86" s="344"/>
      <c r="S86" s="2300"/>
      <c r="T86" s="344"/>
      <c r="U86" s="344"/>
      <c r="V86" s="344"/>
      <c r="W86" s="1204"/>
      <c r="X86" s="1205"/>
      <c r="Y86" s="1205"/>
      <c r="Z86" s="1205"/>
      <c r="AA86" s="1401"/>
      <c r="AB86" s="2339"/>
      <c r="AC86" s="2340"/>
      <c r="AD86" s="1803"/>
      <c r="AE86" s="1806"/>
      <c r="AF86" s="1806"/>
      <c r="AG86" s="1806"/>
      <c r="AH86" s="1806"/>
      <c r="AI86" s="1806"/>
      <c r="AJ86" s="1806"/>
      <c r="AK86" s="2013"/>
      <c r="AL86" s="253"/>
      <c r="AM86" s="226"/>
      <c r="AN86" s="2362"/>
      <c r="AO86" s="6605" t="b">
        <f>OR(AO77,AO80,AO84)</f>
        <v>0</v>
      </c>
      <c r="AP86" s="658"/>
      <c r="AQ86" s="658"/>
      <c r="AR86" s="658"/>
      <c r="AS86" s="658"/>
      <c r="AT86" s="658"/>
      <c r="AU86" s="658"/>
      <c r="AV86" s="658"/>
      <c r="AW86" s="658"/>
      <c r="AX86" s="658"/>
      <c r="AY86" s="658"/>
      <c r="AZ86"/>
    </row>
    <row r="87" spans="1:52" s="815" customFormat="1" ht="15.75" customHeight="1">
      <c r="A87" s="2013"/>
      <c r="B87" s="2347"/>
      <c r="C87" s="2299" t="s">
        <v>5311</v>
      </c>
      <c r="D87" s="511"/>
      <c r="E87" s="344"/>
      <c r="F87" s="344"/>
      <c r="G87" s="344"/>
      <c r="H87" s="344"/>
      <c r="I87" s="344"/>
      <c r="J87" s="344"/>
      <c r="K87" s="344"/>
      <c r="L87" s="344"/>
      <c r="M87" s="344"/>
      <c r="N87" s="344"/>
      <c r="O87" s="344"/>
      <c r="P87" s="344"/>
      <c r="Q87" s="344"/>
      <c r="R87" s="344"/>
      <c r="S87" s="2300"/>
      <c r="T87" s="344"/>
      <c r="U87" s="344"/>
      <c r="V87" s="344"/>
      <c r="W87" s="1204"/>
      <c r="X87" s="1205"/>
      <c r="Y87" s="1205"/>
      <c r="Z87" s="1205"/>
      <c r="AA87" s="1401"/>
      <c r="AB87" s="2339"/>
      <c r="AC87" s="2340"/>
      <c r="AD87" s="1803"/>
      <c r="AE87" s="1806"/>
      <c r="AF87" s="1806"/>
      <c r="AG87" s="1806"/>
      <c r="AH87" s="1806"/>
      <c r="AI87" s="1806"/>
      <c r="AJ87" s="1806"/>
      <c r="AK87" s="2013"/>
      <c r="AL87" s="253"/>
      <c r="AM87" s="226"/>
      <c r="AN87" s="2362"/>
      <c r="AO87" s="6605"/>
      <c r="AP87" s="658"/>
      <c r="AQ87" s="658"/>
      <c r="AR87" s="658"/>
      <c r="AS87" s="658"/>
      <c r="AT87" s="658"/>
      <c r="AU87" s="658"/>
      <c r="AV87" s="658"/>
      <c r="AW87" s="658"/>
      <c r="AX87" s="658"/>
      <c r="AY87" s="658"/>
      <c r="AZ87"/>
    </row>
    <row r="88" spans="1:52" s="815" customFormat="1" ht="9" customHeight="1">
      <c r="A88" s="2013"/>
      <c r="B88" s="2347"/>
      <c r="C88" s="2299"/>
      <c r="D88" s="511"/>
      <c r="E88" s="344"/>
      <c r="F88" s="344"/>
      <c r="G88" s="344"/>
      <c r="H88" s="344"/>
      <c r="I88" s="344"/>
      <c r="J88" s="344"/>
      <c r="K88" s="344"/>
      <c r="L88" s="344"/>
      <c r="M88" s="344"/>
      <c r="N88" s="344"/>
      <c r="O88" s="344"/>
      <c r="P88" s="344"/>
      <c r="Q88" s="344"/>
      <c r="R88" s="344"/>
      <c r="S88" s="2300"/>
      <c r="T88" s="344"/>
      <c r="U88" s="344"/>
      <c r="V88" s="344"/>
      <c r="W88" s="1204"/>
      <c r="X88" s="1205"/>
      <c r="Y88" s="1205"/>
      <c r="Z88" s="1205"/>
      <c r="AA88" s="1401"/>
      <c r="AB88" s="2339"/>
      <c r="AC88" s="2340"/>
      <c r="AD88" s="1803"/>
      <c r="AE88" s="1806"/>
      <c r="AF88" s="1806"/>
      <c r="AG88" s="1806"/>
      <c r="AH88" s="1806"/>
      <c r="AI88" s="1806"/>
      <c r="AJ88" s="1806"/>
      <c r="AK88" s="2013"/>
      <c r="AL88" s="253"/>
      <c r="AM88" s="226"/>
      <c r="AN88" s="2362"/>
      <c r="AO88" s="6605"/>
      <c r="AP88" s="658"/>
      <c r="AQ88" s="658"/>
      <c r="AR88" s="658"/>
      <c r="AS88" s="658"/>
      <c r="AT88" s="658"/>
      <c r="AU88" s="658"/>
      <c r="AV88" s="658"/>
      <c r="AW88" s="658"/>
      <c r="AX88" s="658"/>
      <c r="AY88" s="658"/>
      <c r="AZ88"/>
    </row>
    <row r="89" spans="1:52" s="815" customFormat="1" ht="21.75" customHeight="1">
      <c r="A89" s="2013"/>
      <c r="B89" s="2316"/>
      <c r="C89" s="10265"/>
      <c r="D89" s="10265"/>
      <c r="E89" s="10265"/>
      <c r="F89" s="10265"/>
      <c r="G89" s="10265"/>
      <c r="H89" s="10265"/>
      <c r="I89" s="10265"/>
      <c r="J89" s="10265"/>
      <c r="K89" s="10265"/>
      <c r="L89" s="10265"/>
      <c r="M89" s="10265"/>
      <c r="N89" s="10266"/>
      <c r="O89" s="10267"/>
      <c r="P89" s="10268"/>
      <c r="Q89" s="10269"/>
      <c r="R89" s="10265"/>
      <c r="S89" s="10265"/>
      <c r="T89" s="10265"/>
      <c r="U89" s="10265"/>
      <c r="V89" s="10270"/>
      <c r="W89" s="2378"/>
      <c r="X89" s="10227"/>
      <c r="Y89" s="10227"/>
      <c r="Z89" s="10227"/>
      <c r="AA89" s="10228"/>
      <c r="AB89" s="2342"/>
      <c r="AC89" s="2340"/>
      <c r="AD89" s="2316"/>
      <c r="AE89" s="2316"/>
      <c r="AF89" s="2316"/>
      <c r="AG89" s="2316"/>
      <c r="AH89" s="2316"/>
      <c r="AI89" s="2316"/>
      <c r="AJ89" s="2316"/>
      <c r="AK89" s="2013"/>
      <c r="AL89" s="253"/>
      <c r="AM89" s="512"/>
      <c r="AN89" s="2362"/>
      <c r="AO89" s="6605"/>
      <c r="AP89" s="658"/>
      <c r="AQ89" s="658"/>
      <c r="AR89" s="658"/>
      <c r="AS89" s="658"/>
      <c r="AT89" s="658"/>
      <c r="AU89" s="658"/>
      <c r="AV89" s="658"/>
      <c r="AW89" s="658"/>
      <c r="AX89" s="658"/>
      <c r="AY89" s="658"/>
      <c r="AZ89"/>
    </row>
    <row r="90" spans="1:52" s="815" customFormat="1" ht="18" customHeight="1">
      <c r="A90" s="2013"/>
      <c r="B90" s="2316"/>
      <c r="C90" s="1672" t="s">
        <v>5275</v>
      </c>
      <c r="D90" s="2377"/>
      <c r="E90" s="2377"/>
      <c r="F90" s="2377"/>
      <c r="G90" s="2377"/>
      <c r="H90" s="2377"/>
      <c r="I90" s="2377"/>
      <c r="J90" s="2377"/>
      <c r="K90" s="2377"/>
      <c r="L90" s="2377"/>
      <c r="M90" s="2377"/>
      <c r="N90" s="1672" t="s">
        <v>5276</v>
      </c>
      <c r="O90" s="2377"/>
      <c r="P90" s="2377"/>
      <c r="Q90" s="1672" t="s">
        <v>5277</v>
      </c>
      <c r="R90" s="2377"/>
      <c r="S90" s="2377"/>
      <c r="T90" s="2377"/>
      <c r="U90" s="2377"/>
      <c r="V90" s="2377"/>
      <c r="W90" s="1672" t="s">
        <v>309</v>
      </c>
      <c r="X90" s="1672" t="s">
        <v>5278</v>
      </c>
      <c r="Y90" s="2377"/>
      <c r="Z90" s="2377"/>
      <c r="AA90" s="2377"/>
      <c r="AB90" s="2339"/>
      <c r="AC90" s="2340"/>
      <c r="AD90" s="2316"/>
      <c r="AE90" s="2316"/>
      <c r="AF90" s="2316"/>
      <c r="AG90" s="2316"/>
      <c r="AH90" s="2316"/>
      <c r="AI90" s="2316"/>
      <c r="AJ90" s="2316"/>
      <c r="AK90" s="2013"/>
      <c r="AL90" s="253"/>
      <c r="AM90" s="512"/>
      <c r="AN90" s="2362"/>
      <c r="AO90" s="6605"/>
      <c r="AP90" s="658"/>
      <c r="AQ90" s="658"/>
      <c r="AR90" s="658"/>
      <c r="AS90" s="658"/>
      <c r="AT90" s="658"/>
      <c r="AU90" s="658"/>
      <c r="AV90" s="658"/>
      <c r="AW90" s="658"/>
      <c r="AX90" s="658"/>
      <c r="AY90" s="658"/>
      <c r="AZ90"/>
    </row>
    <row r="91" spans="1:52" s="815" customFormat="1" ht="15.75" customHeight="1">
      <c r="A91" s="2013"/>
      <c r="B91" s="2328" t="s">
        <v>603</v>
      </c>
      <c r="C91" s="2038" t="s">
        <v>5506</v>
      </c>
      <c r="D91" s="2038"/>
      <c r="E91" s="344"/>
      <c r="F91" s="344"/>
      <c r="G91" s="344"/>
      <c r="H91" s="344"/>
      <c r="I91" s="344"/>
      <c r="J91" s="344"/>
      <c r="K91" s="344"/>
      <c r="L91" s="344"/>
      <c r="M91" s="344"/>
      <c r="N91" s="344"/>
      <c r="O91" s="344"/>
      <c r="P91" s="344"/>
      <c r="Q91" s="344"/>
      <c r="R91" s="344"/>
      <c r="S91" s="344"/>
      <c r="T91" s="344"/>
      <c r="U91" s="344"/>
      <c r="V91" s="344"/>
      <c r="W91" s="344"/>
      <c r="X91" s="344"/>
      <c r="Y91" s="344"/>
      <c r="Z91" s="344"/>
      <c r="AA91" s="1401" t="s">
        <v>874</v>
      </c>
      <c r="AB91" s="10212" t="s">
        <v>1089</v>
      </c>
      <c r="AC91" s="10213"/>
      <c r="AD91" s="2332"/>
      <c r="AE91" s="2335"/>
      <c r="AF91" s="1664" t="s">
        <v>568</v>
      </c>
      <c r="AG91" s="1664"/>
      <c r="AH91" s="2336" t="str">
        <f>IF(AND(AE91="",AK91=""),"X","")</f>
        <v/>
      </c>
      <c r="AI91" s="1664" t="s">
        <v>569</v>
      </c>
      <c r="AJ91" s="1664"/>
      <c r="AK91" s="2337" t="s">
        <v>2119</v>
      </c>
      <c r="AL91" s="2338" t="s">
        <v>5284</v>
      </c>
      <c r="AM91" s="253"/>
      <c r="AN91" s="2362"/>
      <c r="AO91" s="6605" t="b">
        <f>AND(AE91="",AH91="")</f>
        <v>1</v>
      </c>
      <c r="AP91" s="658"/>
      <c r="AQ91" s="658"/>
      <c r="AR91" s="658"/>
      <c r="AS91" s="658"/>
      <c r="AT91" s="658"/>
      <c r="AU91" s="658"/>
      <c r="AV91" s="658"/>
      <c r="AW91" s="658"/>
      <c r="AX91" s="658"/>
      <c r="AY91" s="658"/>
      <c r="AZ91"/>
    </row>
    <row r="92" spans="1:52" s="815" customFormat="1" ht="5.25" customHeight="1">
      <c r="A92" s="2013"/>
      <c r="B92" s="2347"/>
      <c r="C92" s="2298"/>
      <c r="D92" s="344"/>
      <c r="E92" s="344"/>
      <c r="F92" s="344"/>
      <c r="G92" s="344"/>
      <c r="H92" s="344"/>
      <c r="I92" s="344"/>
      <c r="J92" s="344"/>
      <c r="K92" s="344"/>
      <c r="L92" s="344"/>
      <c r="M92" s="344"/>
      <c r="N92" s="344"/>
      <c r="O92" s="344"/>
      <c r="P92" s="344"/>
      <c r="Q92" s="344"/>
      <c r="R92" s="344"/>
      <c r="S92" s="344"/>
      <c r="T92" s="344"/>
      <c r="U92" s="344"/>
      <c r="V92" s="344"/>
      <c r="W92" s="344"/>
      <c r="X92" s="344"/>
      <c r="Y92" s="344"/>
      <c r="Z92" s="344"/>
      <c r="AA92" s="1401"/>
      <c r="AB92" s="10212"/>
      <c r="AC92" s="10213"/>
      <c r="AD92" s="2330"/>
      <c r="AE92" s="2331"/>
      <c r="AF92" s="2331"/>
      <c r="AG92" s="2331"/>
      <c r="AH92" s="2331"/>
      <c r="AI92" s="2331"/>
      <c r="AJ92" s="2331"/>
      <c r="AK92" s="2013"/>
      <c r="AL92" s="253"/>
      <c r="AM92" s="253"/>
      <c r="AN92" s="2362"/>
      <c r="AO92" s="6605"/>
      <c r="AP92" s="658"/>
      <c r="AQ92" s="658"/>
      <c r="AR92" s="658"/>
      <c r="AS92" s="658"/>
      <c r="AT92" s="658"/>
      <c r="AU92" s="658"/>
      <c r="AV92" s="658"/>
      <c r="AW92" s="658"/>
      <c r="AX92" s="658"/>
      <c r="AY92" s="658"/>
      <c r="AZ92"/>
    </row>
    <row r="93" spans="1:52" s="815" customFormat="1" ht="15.75" customHeight="1">
      <c r="A93" s="2013"/>
      <c r="B93" s="2347"/>
      <c r="C93" s="2299" t="s">
        <v>5312</v>
      </c>
      <c r="D93" s="511"/>
      <c r="E93" s="344"/>
      <c r="F93" s="344"/>
      <c r="G93" s="344"/>
      <c r="H93" s="344"/>
      <c r="I93" s="344"/>
      <c r="J93" s="344"/>
      <c r="K93" s="344"/>
      <c r="L93" s="344"/>
      <c r="M93" s="344"/>
      <c r="N93" s="344"/>
      <c r="O93" s="344"/>
      <c r="P93" s="344"/>
      <c r="Q93" s="344"/>
      <c r="R93" s="344"/>
      <c r="S93" s="2300"/>
      <c r="T93" s="344"/>
      <c r="U93" s="344"/>
      <c r="V93" s="344"/>
      <c r="W93" s="1204"/>
      <c r="X93" s="1205"/>
      <c r="Y93" s="1205"/>
      <c r="Z93" s="1205"/>
      <c r="AA93" s="1401"/>
      <c r="AB93" s="2339"/>
      <c r="AC93" s="2340"/>
      <c r="AD93" s="1803"/>
      <c r="AE93" s="1806"/>
      <c r="AF93" s="1806"/>
      <c r="AG93" s="1806"/>
      <c r="AH93" s="1806"/>
      <c r="AI93" s="1806"/>
      <c r="AJ93" s="1806"/>
      <c r="AK93" s="2013"/>
      <c r="AL93" s="253"/>
      <c r="AM93" s="226"/>
      <c r="AN93" s="2362"/>
      <c r="AO93" s="6605"/>
      <c r="AP93" s="658"/>
      <c r="AQ93" s="658"/>
      <c r="AR93" s="658"/>
      <c r="AS93" s="658"/>
      <c r="AT93" s="658"/>
      <c r="AU93" s="658"/>
      <c r="AV93" s="658"/>
      <c r="AW93" s="658"/>
      <c r="AX93" s="658"/>
      <c r="AY93" s="658"/>
      <c r="AZ93"/>
    </row>
    <row r="94" spans="1:52" s="815" customFormat="1" ht="15.75" customHeight="1">
      <c r="A94" s="2013"/>
      <c r="B94" s="514"/>
      <c r="C94" s="1323" t="s">
        <v>5313</v>
      </c>
      <c r="D94" s="514"/>
      <c r="E94" s="514"/>
      <c r="F94" s="514"/>
      <c r="G94" s="514"/>
      <c r="H94" s="514"/>
      <c r="I94" s="514"/>
      <c r="J94" s="514"/>
      <c r="K94" s="514"/>
      <c r="L94" s="514"/>
      <c r="M94" s="514"/>
      <c r="N94" s="514"/>
      <c r="O94" s="514"/>
      <c r="P94" s="514"/>
      <c r="Q94" s="514"/>
      <c r="R94" s="514"/>
      <c r="S94" s="514"/>
      <c r="T94" s="514"/>
      <c r="U94" s="514"/>
      <c r="V94" s="514"/>
      <c r="W94" s="514"/>
      <c r="X94" s="514"/>
      <c r="Y94" s="514"/>
      <c r="Z94" s="514"/>
      <c r="AA94" s="514"/>
      <c r="AB94" s="2339"/>
      <c r="AC94" s="2340"/>
      <c r="AD94" s="514"/>
      <c r="AE94" s="514"/>
      <c r="AF94" s="514"/>
      <c r="AG94" s="514"/>
      <c r="AH94" s="514"/>
      <c r="AI94" s="514"/>
      <c r="AJ94" s="514"/>
      <c r="AK94" s="2013"/>
      <c r="AL94" s="253"/>
      <c r="AM94" s="226"/>
      <c r="AN94" s="2362"/>
      <c r="AO94" s="6605"/>
      <c r="AP94" s="658"/>
      <c r="AQ94" s="658"/>
      <c r="AR94" s="658"/>
      <c r="AS94" s="658"/>
      <c r="AT94" s="658"/>
      <c r="AU94" s="658"/>
      <c r="AV94" s="658"/>
      <c r="AW94" s="658"/>
      <c r="AX94" s="658"/>
      <c r="AY94" s="658"/>
      <c r="AZ94"/>
    </row>
    <row r="95" spans="1:52" s="815" customFormat="1" ht="15.75" customHeight="1">
      <c r="A95" s="2013"/>
      <c r="B95" s="514"/>
      <c r="C95" s="1323" t="s">
        <v>5314</v>
      </c>
      <c r="D95" s="514"/>
      <c r="E95" s="514"/>
      <c r="F95" s="514"/>
      <c r="G95" s="514"/>
      <c r="H95" s="514"/>
      <c r="I95" s="514"/>
      <c r="J95" s="514"/>
      <c r="K95" s="514"/>
      <c r="L95" s="514"/>
      <c r="M95" s="514"/>
      <c r="N95" s="514"/>
      <c r="O95" s="514"/>
      <c r="P95" s="514"/>
      <c r="Q95" s="514"/>
      <c r="R95" s="514"/>
      <c r="S95" s="514"/>
      <c r="T95" s="514"/>
      <c r="U95" s="514"/>
      <c r="V95" s="514"/>
      <c r="W95" s="514"/>
      <c r="X95" s="514"/>
      <c r="Y95" s="514"/>
      <c r="Z95" s="514"/>
      <c r="AA95" s="514"/>
      <c r="AB95" s="2339"/>
      <c r="AC95" s="2340"/>
      <c r="AD95" s="514"/>
      <c r="AE95" s="514"/>
      <c r="AF95" s="514"/>
      <c r="AG95" s="514"/>
      <c r="AH95" s="514"/>
      <c r="AI95" s="514"/>
      <c r="AJ95" s="514"/>
      <c r="AK95" s="2013"/>
      <c r="AL95" s="253"/>
      <c r="AM95" s="226"/>
      <c r="AN95" s="2362"/>
      <c r="AO95" s="6605"/>
      <c r="AP95" s="658"/>
      <c r="AQ95" s="658"/>
      <c r="AR95" s="658"/>
      <c r="AS95" s="658"/>
      <c r="AT95" s="658"/>
      <c r="AU95" s="658"/>
      <c r="AV95" s="658"/>
      <c r="AW95" s="658"/>
      <c r="AX95" s="658"/>
      <c r="AY95" s="658"/>
      <c r="AZ95"/>
    </row>
    <row r="96" spans="1:52" s="815" customFormat="1" ht="15.75" customHeight="1">
      <c r="A96" s="2013"/>
      <c r="B96" s="514"/>
      <c r="C96" s="1323" t="s">
        <v>5315</v>
      </c>
      <c r="D96" s="514"/>
      <c r="E96" s="514"/>
      <c r="F96" s="514"/>
      <c r="G96" s="514"/>
      <c r="H96" s="514"/>
      <c r="I96" s="514"/>
      <c r="J96" s="514"/>
      <c r="K96" s="514"/>
      <c r="L96" s="514"/>
      <c r="M96" s="514"/>
      <c r="N96" s="514"/>
      <c r="O96" s="514"/>
      <c r="P96" s="514"/>
      <c r="Q96" s="514"/>
      <c r="R96" s="514"/>
      <c r="S96" s="514"/>
      <c r="T96" s="514"/>
      <c r="U96" s="514"/>
      <c r="V96" s="514"/>
      <c r="W96" s="514"/>
      <c r="X96" s="514"/>
      <c r="Y96" s="514"/>
      <c r="Z96" s="514"/>
      <c r="AA96" s="514"/>
      <c r="AB96" s="2339"/>
      <c r="AC96" s="2340"/>
      <c r="AD96" s="514"/>
      <c r="AE96" s="514"/>
      <c r="AF96" s="514"/>
      <c r="AG96" s="514"/>
      <c r="AH96" s="514"/>
      <c r="AI96" s="514"/>
      <c r="AJ96" s="514"/>
      <c r="AK96" s="2013"/>
      <c r="AL96" s="253"/>
      <c r="AM96" s="226"/>
      <c r="AN96" s="2362"/>
      <c r="AO96" s="6605"/>
      <c r="AP96" s="658"/>
      <c r="AQ96" s="658"/>
      <c r="AR96" s="658"/>
      <c r="AS96" s="658"/>
      <c r="AT96" s="658"/>
      <c r="AU96" s="658"/>
      <c r="AV96" s="658"/>
      <c r="AW96" s="658"/>
      <c r="AX96" s="658"/>
      <c r="AY96" s="658"/>
      <c r="AZ96"/>
    </row>
    <row r="97" spans="1:52" s="815" customFormat="1" ht="21" customHeight="1">
      <c r="A97" s="2013"/>
      <c r="B97" s="2347">
        <v>18</v>
      </c>
      <c r="C97" s="2381" t="s">
        <v>6279</v>
      </c>
      <c r="D97" s="511"/>
      <c r="E97" s="344"/>
      <c r="F97" s="344"/>
      <c r="G97" s="344"/>
      <c r="H97" s="344"/>
      <c r="I97" s="344"/>
      <c r="J97" s="344"/>
      <c r="K97" s="1061"/>
      <c r="L97" s="2300"/>
      <c r="M97" s="2301"/>
      <c r="N97" s="1061"/>
      <c r="O97" s="1061"/>
      <c r="P97" s="1061"/>
      <c r="Q97" s="1061"/>
      <c r="R97" s="1061"/>
      <c r="S97" s="344"/>
      <c r="T97" s="344"/>
      <c r="U97" s="1401" t="s">
        <v>894</v>
      </c>
      <c r="V97" s="2349"/>
      <c r="W97" s="1204"/>
      <c r="X97" s="1205"/>
      <c r="Y97" s="1205"/>
      <c r="Z97" s="1205"/>
      <c r="AA97" s="1401"/>
      <c r="AB97" s="2339"/>
      <c r="AC97" s="2340"/>
      <c r="AD97" s="1803"/>
      <c r="AE97" s="1806"/>
      <c r="AF97" s="1806"/>
      <c r="AG97" s="1806"/>
      <c r="AH97" s="1806"/>
      <c r="AI97" s="1806"/>
      <c r="AJ97" s="1806"/>
      <c r="AK97" s="2013"/>
      <c r="AL97" s="253"/>
      <c r="AM97" s="226"/>
      <c r="AN97" s="2362"/>
      <c r="AO97" s="6605"/>
      <c r="AP97" s="658"/>
      <c r="AQ97" s="658"/>
      <c r="AR97" s="658"/>
      <c r="AS97" s="658"/>
      <c r="AT97" s="658"/>
      <c r="AU97" s="658"/>
      <c r="AV97" s="658"/>
      <c r="AW97" s="658"/>
      <c r="AX97" s="658"/>
      <c r="AY97" s="658"/>
      <c r="AZ97"/>
    </row>
    <row r="98" spans="1:52" s="815" customFormat="1" ht="14.25" customHeight="1">
      <c r="A98" s="2013"/>
      <c r="B98" s="2328" t="s">
        <v>588</v>
      </c>
      <c r="C98" s="2381" t="s">
        <v>5316</v>
      </c>
      <c r="D98" s="511"/>
      <c r="E98" s="344"/>
      <c r="F98" s="344"/>
      <c r="G98" s="344"/>
      <c r="H98" s="344"/>
      <c r="I98" s="344"/>
      <c r="J98" s="344"/>
      <c r="K98" s="1061"/>
      <c r="L98" s="2300"/>
      <c r="M98" s="2301"/>
      <c r="N98" s="1061"/>
      <c r="O98" s="1061"/>
      <c r="P98" s="1061"/>
      <c r="Q98" s="1061"/>
      <c r="R98" s="1061"/>
      <c r="S98" s="344"/>
      <c r="T98" s="344"/>
      <c r="U98" s="344"/>
      <c r="V98" s="2349"/>
      <c r="W98" s="1204"/>
      <c r="X98" s="1205"/>
      <c r="Y98" s="1205"/>
      <c r="Z98" s="1205"/>
      <c r="AA98" s="1401"/>
      <c r="AB98" s="2339"/>
      <c r="AC98" s="2340"/>
      <c r="AD98" s="1803"/>
      <c r="AE98" s="1806"/>
      <c r="AF98" s="1806"/>
      <c r="AG98" s="1806"/>
      <c r="AH98" s="1806"/>
      <c r="AI98" s="1806"/>
      <c r="AJ98" s="1806"/>
      <c r="AK98" s="2013"/>
      <c r="AL98" s="253"/>
      <c r="AM98" s="226"/>
      <c r="AN98" s="2362"/>
      <c r="AO98" s="6605"/>
      <c r="AP98" s="658"/>
      <c r="AQ98" s="658"/>
      <c r="AR98" s="658"/>
      <c r="AS98" s="658"/>
      <c r="AT98" s="658"/>
      <c r="AU98" s="658"/>
      <c r="AV98" s="658"/>
      <c r="AW98" s="658"/>
      <c r="AX98" s="658"/>
      <c r="AY98" s="658"/>
      <c r="AZ98"/>
    </row>
    <row r="99" spans="1:52" s="815" customFormat="1" ht="14.25" customHeight="1">
      <c r="A99" s="2013"/>
      <c r="B99" s="2347"/>
      <c r="C99" s="2381" t="s">
        <v>5317</v>
      </c>
      <c r="D99" s="511"/>
      <c r="E99" s="344"/>
      <c r="F99" s="344"/>
      <c r="G99" s="344"/>
      <c r="H99" s="344"/>
      <c r="I99" s="344"/>
      <c r="J99" s="344"/>
      <c r="K99" s="1061"/>
      <c r="L99" s="2300"/>
      <c r="M99" s="2301"/>
      <c r="N99" s="1061"/>
      <c r="O99" s="1061"/>
      <c r="P99" s="1061"/>
      <c r="Q99" s="1061"/>
      <c r="R99" s="1061"/>
      <c r="S99" s="344"/>
      <c r="T99" s="344"/>
      <c r="U99" s="344"/>
      <c r="V99" s="2349"/>
      <c r="W99" s="1204"/>
      <c r="X99" s="1205"/>
      <c r="Y99" s="1205"/>
      <c r="Z99" s="1205"/>
      <c r="AA99" s="1401"/>
      <c r="AB99" s="2339"/>
      <c r="AC99" s="2340"/>
      <c r="AD99" s="1803"/>
      <c r="AE99" s="1806"/>
      <c r="AF99" s="1806"/>
      <c r="AG99" s="1806"/>
      <c r="AH99" s="1806"/>
      <c r="AI99" s="1806"/>
      <c r="AJ99" s="1806"/>
      <c r="AK99" s="2013"/>
      <c r="AL99" s="253"/>
      <c r="AM99" s="226" t="s">
        <v>979</v>
      </c>
      <c r="AN99" s="2362"/>
      <c r="AO99" s="6605"/>
      <c r="AP99" s="658"/>
      <c r="AQ99" s="658"/>
      <c r="AR99" s="658"/>
      <c r="AS99" s="658"/>
      <c r="AT99" s="658"/>
      <c r="AU99" s="658"/>
      <c r="AV99" s="658"/>
      <c r="AW99" s="658"/>
      <c r="AX99" s="658"/>
      <c r="AY99" s="658"/>
      <c r="AZ99"/>
    </row>
    <row r="100" spans="1:52" s="815" customFormat="1" ht="18" customHeight="1" thickBot="1">
      <c r="A100" s="2013"/>
      <c r="B100" s="2347"/>
      <c r="C100" s="2381" t="s">
        <v>5318</v>
      </c>
      <c r="D100" s="511"/>
      <c r="E100" s="344"/>
      <c r="F100" s="344"/>
      <c r="G100" s="344"/>
      <c r="H100" s="344"/>
      <c r="I100" s="344"/>
      <c r="J100" s="344"/>
      <c r="K100" s="1061"/>
      <c r="L100" s="2300"/>
      <c r="M100" s="2301"/>
      <c r="N100" s="1061"/>
      <c r="O100" s="1061"/>
      <c r="P100" s="1061"/>
      <c r="Q100" s="1061"/>
      <c r="R100" s="1061"/>
      <c r="S100" s="344"/>
      <c r="T100" s="344"/>
      <c r="U100" s="344"/>
      <c r="V100" s="2350" t="s">
        <v>4026</v>
      </c>
      <c r="W100" s="10214"/>
      <c r="X100" s="10214"/>
      <c r="Y100" s="10214"/>
      <c r="Z100" s="10214"/>
      <c r="AA100" s="10215"/>
      <c r="AB100" s="2339"/>
      <c r="AC100" s="2340"/>
      <c r="AD100" s="10217">
        <v>0.3</v>
      </c>
      <c r="AE100" s="10218"/>
      <c r="AF100" s="10218"/>
      <c r="AG100" s="10211">
        <v>1200</v>
      </c>
      <c r="AH100" s="10211"/>
      <c r="AI100" s="10211"/>
      <c r="AJ100" s="10211"/>
      <c r="AK100" s="2013"/>
      <c r="AL100" s="253"/>
      <c r="AM100" s="226" t="s">
        <v>931</v>
      </c>
      <c r="AN100" s="2362"/>
      <c r="AO100" s="6605" t="b">
        <f>W100=""</f>
        <v>1</v>
      </c>
      <c r="AP100" s="658"/>
      <c r="AQ100" s="658"/>
      <c r="AR100" s="658"/>
      <c r="AS100" s="658"/>
      <c r="AT100" s="658"/>
      <c r="AU100" s="658"/>
      <c r="AV100" s="658"/>
      <c r="AW100" s="658"/>
      <c r="AX100" s="658"/>
      <c r="AY100" s="658"/>
      <c r="AZ100"/>
    </row>
    <row r="101" spans="1:52" s="815" customFormat="1" ht="21" customHeight="1" thickBot="1">
      <c r="A101" s="2013"/>
      <c r="B101" s="2328" t="s">
        <v>592</v>
      </c>
      <c r="C101" s="2038" t="str">
        <f>"Multiply line 18a by "&amp;TEXT($AD$100,"0%")&amp;" ("&amp;TEXT($AD$100,"0.00")&amp;"). Enter the results."</f>
        <v>Multiply line 18a by 30% (0.30). Enter the results.</v>
      </c>
      <c r="D101" s="2038"/>
      <c r="E101" s="344"/>
      <c r="F101" s="344"/>
      <c r="G101" s="344"/>
      <c r="H101" s="344"/>
      <c r="I101" s="344"/>
      <c r="J101" s="344"/>
      <c r="K101" s="344"/>
      <c r="L101" s="344"/>
      <c r="M101" s="344"/>
      <c r="N101" s="344"/>
      <c r="O101" s="344"/>
      <c r="P101" s="344"/>
      <c r="Q101" s="344"/>
      <c r="R101" s="344"/>
      <c r="S101" s="6431" t="s">
        <v>6277</v>
      </c>
      <c r="T101" s="2038" t="str">
        <f>TEXT(AG100,"$0,000")</f>
        <v>$1,200</v>
      </c>
      <c r="U101" s="2311"/>
      <c r="V101" s="344"/>
      <c r="W101" s="344"/>
      <c r="X101" s="344"/>
      <c r="Y101" s="344"/>
      <c r="Z101" s="344"/>
      <c r="AA101" s="1401" t="s">
        <v>874</v>
      </c>
      <c r="AB101" s="10212" t="s">
        <v>4028</v>
      </c>
      <c r="AC101" s="10213"/>
      <c r="AD101" s="10221" t="str">
        <f>IF(AM101&lt;&gt;"",ROUND(AM101,0),IF(AO100,"",MIN(AG100,ROUND($W$100*AD100,0))))</f>
        <v/>
      </c>
      <c r="AE101" s="10208"/>
      <c r="AF101" s="10208"/>
      <c r="AG101" s="10208"/>
      <c r="AH101" s="10208"/>
      <c r="AI101" s="10208"/>
      <c r="AJ101" s="10208"/>
      <c r="AK101" s="2013"/>
      <c r="AL101" s="253"/>
      <c r="AM101" s="2361"/>
      <c r="AN101" s="2362"/>
      <c r="AO101" s="6605" t="b">
        <f>AD101=""</f>
        <v>1</v>
      </c>
      <c r="AP101" s="658"/>
      <c r="AQ101" s="658"/>
      <c r="AR101" s="658"/>
      <c r="AS101" s="658"/>
      <c r="AT101" s="658"/>
      <c r="AU101" s="658"/>
      <c r="AV101" s="658"/>
      <c r="AW101" s="658"/>
      <c r="AX101" s="658"/>
      <c r="AY101" s="658"/>
      <c r="AZ101"/>
    </row>
    <row r="102" spans="1:52" s="815" customFormat="1" ht="21" customHeight="1">
      <c r="A102" s="2013"/>
      <c r="B102" s="2347">
        <v>19</v>
      </c>
      <c r="C102" s="2299" t="s">
        <v>5376</v>
      </c>
      <c r="D102" s="511"/>
      <c r="E102" s="344"/>
      <c r="F102" s="344"/>
      <c r="G102" s="344"/>
      <c r="H102" s="344"/>
      <c r="I102" s="344"/>
      <c r="J102" s="344"/>
      <c r="K102" s="1061"/>
      <c r="L102" s="2300"/>
      <c r="M102" s="2301"/>
      <c r="N102" s="1061"/>
      <c r="O102" s="1061"/>
      <c r="P102" s="1061"/>
      <c r="Q102" s="1061"/>
      <c r="R102" s="1061"/>
      <c r="S102" s="344"/>
      <c r="T102" s="344"/>
      <c r="U102" s="1401" t="s">
        <v>905</v>
      </c>
      <c r="V102" s="2349"/>
      <c r="W102" s="1204"/>
      <c r="X102" s="1205"/>
      <c r="Y102" s="1205"/>
      <c r="Z102" s="1205"/>
      <c r="AA102" s="1401"/>
      <c r="AB102" s="2339"/>
      <c r="AC102" s="2340"/>
      <c r="AD102" s="1803"/>
      <c r="AE102" s="1806"/>
      <c r="AF102" s="1806"/>
      <c r="AG102" s="1806"/>
      <c r="AH102" s="1806"/>
      <c r="AI102" s="1806"/>
      <c r="AJ102" s="1806"/>
      <c r="AK102" s="2013"/>
      <c r="AL102" s="253"/>
      <c r="AM102" s="226"/>
      <c r="AN102" s="2362"/>
      <c r="AO102" s="6605" t="b">
        <f>AM101&gt;AG100</f>
        <v>0</v>
      </c>
      <c r="AP102" s="658"/>
      <c r="AQ102" s="658"/>
      <c r="AR102" s="658"/>
      <c r="AS102" s="658"/>
      <c r="AT102" s="658"/>
      <c r="AU102" s="658"/>
      <c r="AV102" s="658"/>
      <c r="AW102" s="658"/>
      <c r="AX102" s="658"/>
      <c r="AY102" s="658"/>
      <c r="AZ102"/>
    </row>
    <row r="103" spans="1:52" s="815" customFormat="1" ht="21.75" customHeight="1">
      <c r="A103" s="2013"/>
      <c r="B103" s="2353" t="s">
        <v>588</v>
      </c>
      <c r="C103" s="2299" t="s">
        <v>5319</v>
      </c>
      <c r="D103" s="511"/>
      <c r="E103" s="344"/>
      <c r="F103" s="344"/>
      <c r="G103" s="344"/>
      <c r="H103" s="344"/>
      <c r="I103" s="344"/>
      <c r="J103" s="344"/>
      <c r="K103" s="1061"/>
      <c r="L103" s="2300"/>
      <c r="M103" s="2301"/>
      <c r="N103" s="1061"/>
      <c r="O103" s="1061"/>
      <c r="P103" s="1061"/>
      <c r="Q103" s="1061"/>
      <c r="R103" s="1061"/>
      <c r="S103" s="344"/>
      <c r="T103" s="344"/>
      <c r="U103" s="1401" t="s">
        <v>877</v>
      </c>
      <c r="V103" s="2350" t="s">
        <v>881</v>
      </c>
      <c r="W103" s="10214"/>
      <c r="X103" s="10214"/>
      <c r="Y103" s="10214"/>
      <c r="Z103" s="10214"/>
      <c r="AA103" s="10215"/>
      <c r="AB103" s="2339"/>
      <c r="AC103" s="2340"/>
      <c r="AD103" s="1803"/>
      <c r="AE103" s="1806"/>
      <c r="AF103" s="1806"/>
      <c r="AG103" s="1806"/>
      <c r="AH103" s="1806"/>
      <c r="AI103" s="1806"/>
      <c r="AJ103" s="1806"/>
      <c r="AK103" s="2013"/>
      <c r="AL103" s="253"/>
      <c r="AM103" s="226"/>
      <c r="AN103" s="2362"/>
      <c r="AO103" s="6605" t="b">
        <f>W103=""</f>
        <v>1</v>
      </c>
      <c r="AP103" s="658"/>
      <c r="AQ103" s="658"/>
      <c r="AR103" s="658"/>
      <c r="AS103" s="658"/>
      <c r="AT103" s="658"/>
      <c r="AU103" s="658"/>
      <c r="AV103" s="658"/>
      <c r="AW103" s="658"/>
      <c r="AX103" s="658"/>
      <c r="AY103" s="658"/>
      <c r="AZ103"/>
    </row>
    <row r="104" spans="1:52" s="815" customFormat="1" ht="21.75" customHeight="1">
      <c r="A104" s="2013"/>
      <c r="B104" s="2353" t="s">
        <v>592</v>
      </c>
      <c r="C104" s="2299" t="s">
        <v>6260</v>
      </c>
      <c r="D104" s="511"/>
      <c r="E104" s="344"/>
      <c r="F104" s="344"/>
      <c r="G104" s="344"/>
      <c r="H104" s="344"/>
      <c r="I104" s="344"/>
      <c r="J104" s="344"/>
      <c r="K104" s="1061"/>
      <c r="L104" s="2300"/>
      <c r="M104" s="2301"/>
      <c r="N104" s="1061"/>
      <c r="O104" s="1061"/>
      <c r="P104" s="1061"/>
      <c r="Q104" s="1061"/>
      <c r="R104" s="1061"/>
      <c r="S104" s="344"/>
      <c r="T104" s="344"/>
      <c r="U104" s="344"/>
      <c r="V104" s="6406"/>
      <c r="W104" s="6407"/>
      <c r="X104" s="6408"/>
      <c r="Y104" s="6408"/>
      <c r="Z104" s="6408"/>
      <c r="AA104" s="6409"/>
      <c r="AB104" s="2339"/>
      <c r="AC104" s="2340"/>
      <c r="AD104" s="1803"/>
      <c r="AE104" s="1806"/>
      <c r="AF104" s="1806"/>
      <c r="AG104" s="1806"/>
      <c r="AH104" s="1806"/>
      <c r="AI104" s="1806"/>
      <c r="AJ104" s="1806"/>
      <c r="AK104" s="2013"/>
      <c r="AL104" s="253"/>
      <c r="AM104" s="226"/>
      <c r="AN104" s="2362"/>
      <c r="AO104" s="6605"/>
      <c r="AP104" s="658"/>
      <c r="AQ104" s="658"/>
      <c r="AR104" s="658"/>
      <c r="AS104" s="658"/>
      <c r="AT104" s="658"/>
      <c r="AU104" s="658"/>
      <c r="AV104" s="658"/>
      <c r="AW104" s="658"/>
      <c r="AX104" s="658"/>
      <c r="AY104" s="658"/>
      <c r="AZ104"/>
    </row>
    <row r="105" spans="1:52" s="815" customFormat="1" ht="21.75" customHeight="1" thickBot="1">
      <c r="A105" s="2013"/>
      <c r="B105" s="2353"/>
      <c r="C105" s="6415"/>
      <c r="D105" s="6416"/>
      <c r="E105" s="6416"/>
      <c r="F105" s="6416"/>
      <c r="G105" s="6447"/>
      <c r="H105" s="6447"/>
      <c r="I105" s="6447"/>
      <c r="J105" s="6447"/>
      <c r="K105" s="6447"/>
      <c r="L105" s="6448"/>
      <c r="M105" s="6449"/>
      <c r="N105" s="6447"/>
      <c r="O105" s="6447"/>
      <c r="P105" s="6447"/>
      <c r="Q105" s="6447"/>
      <c r="R105" s="6447"/>
      <c r="S105" s="6447"/>
      <c r="T105" s="344"/>
      <c r="U105" s="344"/>
      <c r="V105" s="2351"/>
      <c r="W105" s="6410"/>
      <c r="X105" s="6411"/>
      <c r="Y105" s="6411"/>
      <c r="Z105" s="6411"/>
      <c r="AA105" s="6412"/>
      <c r="AB105" s="2339"/>
      <c r="AC105" s="2340"/>
      <c r="AD105" s="1803"/>
      <c r="AE105" s="1806"/>
      <c r="AF105" s="1806"/>
      <c r="AG105" s="1806"/>
      <c r="AH105" s="1806"/>
      <c r="AI105" s="1806"/>
      <c r="AJ105" s="1806"/>
      <c r="AK105" s="2013"/>
      <c r="AL105" s="253"/>
      <c r="AM105" s="226"/>
      <c r="AN105" s="2362"/>
      <c r="AO105" s="6605"/>
      <c r="AP105" s="658"/>
      <c r="AQ105" s="658"/>
      <c r="AR105" s="658"/>
      <c r="AS105" s="658"/>
      <c r="AT105" s="658"/>
      <c r="AU105" s="658"/>
      <c r="AV105" s="658"/>
      <c r="AW105" s="658"/>
      <c r="AX105" s="658"/>
      <c r="AY105" s="658"/>
      <c r="AZ105"/>
    </row>
    <row r="106" spans="1:52" s="815" customFormat="1" ht="21.75" customHeight="1" thickBot="1">
      <c r="A106" s="2013"/>
      <c r="B106" s="2353" t="s">
        <v>595</v>
      </c>
      <c r="C106" s="2299" t="str">
        <f>"Multiply line 19a by "&amp;TEXT($AD$100,"0%")&amp;" ("&amp;TEXT($AD$100,"0.00")&amp;")."</f>
        <v>Multiply line 19a by 30% (0.30).</v>
      </c>
      <c r="D106" s="511"/>
      <c r="E106" s="344"/>
      <c r="F106" s="344"/>
      <c r="G106" s="344"/>
      <c r="H106" s="344"/>
      <c r="I106" s="344"/>
      <c r="J106" s="2298"/>
      <c r="K106" s="2298"/>
      <c r="L106" s="2300"/>
      <c r="M106" s="2301"/>
      <c r="N106" s="4998"/>
      <c r="O106" s="4998" t="s">
        <v>6278</v>
      </c>
      <c r="P106" s="2298" t="str">
        <f>TEXT(AD106,"$0")</f>
        <v>$250</v>
      </c>
      <c r="Q106" s="2298"/>
      <c r="R106" s="1061"/>
      <c r="S106" s="344"/>
      <c r="T106" s="344"/>
      <c r="U106" s="1401" t="s">
        <v>905</v>
      </c>
      <c r="V106" s="2350" t="s">
        <v>4592</v>
      </c>
      <c r="W106" s="10208" t="str">
        <f>IF(AM106&lt;&gt;"",ROUND(AM106,0),IF($AO$103,"",MIN(AD106,ROUND(W103*$AD$100,0))))</f>
        <v/>
      </c>
      <c r="X106" s="10208"/>
      <c r="Y106" s="10208"/>
      <c r="Z106" s="10208"/>
      <c r="AA106" s="10209"/>
      <c r="AB106" s="2339"/>
      <c r="AC106" s="2340"/>
      <c r="AD106" s="10210">
        <v>250</v>
      </c>
      <c r="AE106" s="10211"/>
      <c r="AF106" s="10211"/>
      <c r="AG106" s="10211"/>
      <c r="AH106" s="10211"/>
      <c r="AI106" s="10211"/>
      <c r="AJ106" s="10211"/>
      <c r="AK106" s="2013"/>
      <c r="AL106" s="253"/>
      <c r="AM106" s="2361"/>
      <c r="AN106" s="2362"/>
      <c r="AO106" s="6605"/>
      <c r="AP106" s="658"/>
      <c r="AQ106" s="658"/>
      <c r="AR106" s="658"/>
      <c r="AS106" s="658"/>
      <c r="AT106" s="658"/>
      <c r="AU106" s="658"/>
      <c r="AV106" s="658"/>
      <c r="AW106" s="658"/>
      <c r="AX106" s="658"/>
      <c r="AY106" s="658"/>
      <c r="AZ106"/>
    </row>
    <row r="107" spans="1:52" s="815" customFormat="1" ht="21.75" customHeight="1" thickBot="1">
      <c r="A107" s="2013"/>
      <c r="B107" s="2353" t="s">
        <v>599</v>
      </c>
      <c r="C107" s="2299" t="s">
        <v>6261</v>
      </c>
      <c r="D107" s="511"/>
      <c r="E107" s="344"/>
      <c r="F107" s="344"/>
      <c r="G107" s="344"/>
      <c r="H107" s="344"/>
      <c r="I107" s="344"/>
      <c r="J107" s="344"/>
      <c r="K107" s="1061"/>
      <c r="L107" s="2300"/>
      <c r="M107" s="2301"/>
      <c r="N107" s="1061"/>
      <c r="O107" s="1061"/>
      <c r="P107" s="1061"/>
      <c r="Q107" s="1061"/>
      <c r="R107" s="1061"/>
      <c r="S107" s="344"/>
      <c r="T107" s="344"/>
      <c r="U107" s="344"/>
      <c r="V107" s="2351"/>
      <c r="W107" s="6410"/>
      <c r="X107" s="6411"/>
      <c r="Y107" s="6411"/>
      <c r="Z107" s="6411"/>
      <c r="AA107" s="6412"/>
      <c r="AB107" s="2339"/>
      <c r="AC107" s="2340"/>
      <c r="AD107" s="1803"/>
      <c r="AE107" s="1806"/>
      <c r="AF107" s="1806"/>
      <c r="AG107" s="1806"/>
      <c r="AH107" s="1806"/>
      <c r="AI107" s="1806"/>
      <c r="AJ107" s="1806"/>
      <c r="AK107" s="2013"/>
      <c r="AL107" s="253"/>
      <c r="AM107" s="226"/>
      <c r="AN107" s="2362"/>
      <c r="AO107" s="6605"/>
      <c r="AP107" s="658"/>
      <c r="AQ107" s="658"/>
      <c r="AR107" s="658"/>
      <c r="AS107" s="658"/>
      <c r="AT107" s="658"/>
      <c r="AU107" s="658"/>
      <c r="AV107" s="658"/>
      <c r="AW107" s="658"/>
      <c r="AX107" s="658"/>
      <c r="AY107" s="658"/>
      <c r="AZ107"/>
    </row>
    <row r="108" spans="1:52" s="815" customFormat="1" ht="18.75" thickBot="1">
      <c r="A108" s="2013"/>
      <c r="B108" s="2353"/>
      <c r="C108" s="2381" t="s">
        <v>6262</v>
      </c>
      <c r="D108" s="511"/>
      <c r="E108" s="344"/>
      <c r="F108" s="344"/>
      <c r="G108" s="344"/>
      <c r="H108" s="344"/>
      <c r="I108" s="344"/>
      <c r="J108" s="344"/>
      <c r="K108" s="1061"/>
      <c r="L108" s="2300"/>
      <c r="M108" s="2301"/>
      <c r="N108" s="1061"/>
      <c r="O108" s="1061"/>
      <c r="P108" s="1061"/>
      <c r="Q108" s="1061"/>
      <c r="R108" s="1061"/>
      <c r="S108" s="344"/>
      <c r="T108" s="344"/>
      <c r="U108" s="1401" t="s">
        <v>793</v>
      </c>
      <c r="V108" s="2350" t="s">
        <v>5320</v>
      </c>
      <c r="W108" s="10208" t="str">
        <f>IF(AM108&lt;&gt;"",ROUND(AM108,0),IF(AND($AO$103,$AO$108),"",SUM(ROUND(V110,0),ROUND(V112,0))))</f>
        <v/>
      </c>
      <c r="X108" s="10208"/>
      <c r="Y108" s="10208"/>
      <c r="Z108" s="10208"/>
      <c r="AA108" s="10209"/>
      <c r="AB108" s="2339"/>
      <c r="AC108" s="2340"/>
      <c r="AD108" s="1803"/>
      <c r="AE108" s="1806"/>
      <c r="AF108" s="1806"/>
      <c r="AG108" s="1806"/>
      <c r="AH108" s="1806"/>
      <c r="AI108" s="1806"/>
      <c r="AJ108" s="1806"/>
      <c r="AK108" s="2013"/>
      <c r="AL108" s="253"/>
      <c r="AM108" s="2361"/>
      <c r="AN108" s="2362"/>
      <c r="AO108" s="6605" t="b">
        <f>AND(V110="",V112="")</f>
        <v>1</v>
      </c>
      <c r="AP108" s="658"/>
      <c r="AQ108" s="658"/>
      <c r="AR108" s="658"/>
      <c r="AS108" s="658"/>
      <c r="AT108" s="658"/>
      <c r="AU108" s="658"/>
      <c r="AV108" s="658"/>
      <c r="AW108" s="658"/>
      <c r="AX108" s="658"/>
      <c r="AY108" s="658"/>
      <c r="AZ108"/>
    </row>
    <row r="109" spans="1:52" s="815" customFormat="1" ht="9" customHeight="1">
      <c r="A109" s="2013"/>
      <c r="B109" s="2353"/>
      <c r="C109" s="2353"/>
      <c r="D109" s="2353"/>
      <c r="E109" s="2353"/>
      <c r="F109" s="2353"/>
      <c r="G109" s="2353"/>
      <c r="H109" s="2353"/>
      <c r="I109" s="2353"/>
      <c r="J109" s="2353"/>
      <c r="K109" s="2353"/>
      <c r="L109" s="2353"/>
      <c r="M109" s="2353"/>
      <c r="N109" s="2353"/>
      <c r="O109" s="2353"/>
      <c r="P109" s="2353"/>
      <c r="Q109" s="2353"/>
      <c r="R109" s="2353"/>
      <c r="S109" s="2353"/>
      <c r="T109" s="2353"/>
      <c r="U109" s="2353"/>
      <c r="V109" s="2353"/>
      <c r="W109" s="2353"/>
      <c r="X109" s="2353"/>
      <c r="Y109" s="2353"/>
      <c r="Z109" s="2353"/>
      <c r="AA109" s="2353"/>
      <c r="AB109" s="2339"/>
      <c r="AC109" s="2340"/>
      <c r="AD109" s="1803"/>
      <c r="AE109" s="1806"/>
      <c r="AF109" s="1806"/>
      <c r="AG109" s="1806"/>
      <c r="AH109" s="1806"/>
      <c r="AI109" s="1806"/>
      <c r="AJ109" s="1806"/>
      <c r="AK109" s="2013"/>
      <c r="AL109" s="253"/>
      <c r="AM109" s="226"/>
      <c r="AN109" s="2362"/>
      <c r="AO109" s="6605"/>
      <c r="AP109" s="658"/>
      <c r="AQ109" s="658"/>
      <c r="AR109" s="658"/>
      <c r="AS109" s="658"/>
      <c r="AT109" s="658"/>
      <c r="AU109" s="658"/>
      <c r="AV109" s="658"/>
      <c r="AW109" s="658"/>
      <c r="AX109" s="658"/>
      <c r="AY109" s="658"/>
      <c r="AZ109"/>
    </row>
    <row r="110" spans="1:52" s="815" customFormat="1" ht="21.75" customHeight="1">
      <c r="A110" s="2013"/>
      <c r="B110" s="6417" t="s">
        <v>6264</v>
      </c>
      <c r="C110" s="6415"/>
      <c r="D110" s="6416"/>
      <c r="E110" s="6416"/>
      <c r="F110" s="6416"/>
      <c r="G110" s="6447"/>
      <c r="H110" s="6447"/>
      <c r="I110" s="6447"/>
      <c r="J110" s="6447"/>
      <c r="K110" s="6447"/>
      <c r="L110" s="6448"/>
      <c r="M110" s="6449"/>
      <c r="N110" s="6447"/>
      <c r="O110" s="6447"/>
      <c r="P110" s="6447"/>
      <c r="Q110" s="6447"/>
      <c r="R110" s="6447"/>
      <c r="S110" s="6447"/>
      <c r="T110" s="344"/>
      <c r="U110" s="2371" t="s">
        <v>6263</v>
      </c>
      <c r="V110" s="10226"/>
      <c r="W110" s="10226"/>
      <c r="X110" s="6411"/>
      <c r="Y110" s="6411"/>
      <c r="Z110" s="6411"/>
      <c r="AA110" s="6412"/>
      <c r="AB110" s="2339"/>
      <c r="AC110" s="2340"/>
      <c r="AD110" s="1803"/>
      <c r="AE110" s="1806"/>
      <c r="AF110" s="1806"/>
      <c r="AG110" s="1806"/>
      <c r="AH110" s="1806"/>
      <c r="AI110" s="1806"/>
      <c r="AJ110" s="1806"/>
      <c r="AK110" s="2013"/>
      <c r="AL110" s="253"/>
      <c r="AM110" s="226"/>
      <c r="AN110" s="2362"/>
      <c r="AO110" s="6605"/>
      <c r="AP110" s="658"/>
      <c r="AQ110" s="658"/>
      <c r="AR110" s="658"/>
      <c r="AS110" s="658"/>
      <c r="AT110" s="658"/>
      <c r="AU110" s="658"/>
      <c r="AV110" s="658"/>
      <c r="AW110" s="658"/>
      <c r="AX110" s="658"/>
      <c r="AY110" s="658"/>
      <c r="AZ110"/>
    </row>
    <row r="111" spans="1:52" s="815" customFormat="1" ht="9.75" customHeight="1">
      <c r="A111" s="2013"/>
      <c r="B111" s="2353"/>
      <c r="C111" s="6413"/>
      <c r="D111" s="6414"/>
      <c r="E111" s="6414"/>
      <c r="F111" s="6414"/>
      <c r="G111" s="6414"/>
      <c r="H111" s="6414"/>
      <c r="I111" s="6414"/>
      <c r="J111" s="6414"/>
      <c r="K111" s="6414"/>
      <c r="L111" s="6414"/>
      <c r="M111" s="6414"/>
      <c r="N111" s="6414"/>
      <c r="O111" s="6414"/>
      <c r="P111" s="6414"/>
      <c r="Q111" s="6414"/>
      <c r="R111" s="6414"/>
      <c r="S111" s="6414"/>
      <c r="T111" s="344"/>
      <c r="U111" s="344"/>
      <c r="V111" s="2347"/>
      <c r="W111" s="6411"/>
      <c r="X111" s="6411"/>
      <c r="Y111" s="6411"/>
      <c r="Z111" s="6411"/>
      <c r="AA111" s="6412"/>
      <c r="AB111" s="2339"/>
      <c r="AC111" s="2340"/>
      <c r="AD111" s="1803"/>
      <c r="AE111" s="1806"/>
      <c r="AF111" s="1806"/>
      <c r="AG111" s="1806"/>
      <c r="AH111" s="1806"/>
      <c r="AI111" s="1806"/>
      <c r="AJ111" s="1806"/>
      <c r="AK111" s="2013"/>
      <c r="AL111" s="253"/>
      <c r="AM111" s="226"/>
      <c r="AN111" s="2362"/>
      <c r="AO111" s="6605"/>
      <c r="AP111" s="658"/>
      <c r="AQ111" s="658"/>
      <c r="AR111" s="658"/>
      <c r="AS111" s="658"/>
      <c r="AT111" s="658"/>
      <c r="AU111" s="658"/>
      <c r="AV111" s="658"/>
      <c r="AW111" s="658"/>
      <c r="AX111" s="658"/>
      <c r="AY111" s="658"/>
      <c r="AZ111"/>
    </row>
    <row r="112" spans="1:52" s="815" customFormat="1" ht="21.75" customHeight="1">
      <c r="A112" s="2013"/>
      <c r="B112" s="6417" t="s">
        <v>6265</v>
      </c>
      <c r="C112" s="6415"/>
      <c r="D112" s="6416"/>
      <c r="E112" s="6416"/>
      <c r="F112" s="6416"/>
      <c r="G112" s="6447"/>
      <c r="H112" s="6447"/>
      <c r="I112" s="6447"/>
      <c r="J112" s="6447"/>
      <c r="K112" s="6447"/>
      <c r="L112" s="6448"/>
      <c r="M112" s="6449"/>
      <c r="N112" s="6447"/>
      <c r="O112" s="6447"/>
      <c r="P112" s="6447"/>
      <c r="Q112" s="6447"/>
      <c r="R112" s="6447"/>
      <c r="S112" s="6447"/>
      <c r="T112" s="344"/>
      <c r="U112" s="2371" t="s">
        <v>6263</v>
      </c>
      <c r="V112" s="10226"/>
      <c r="W112" s="10226"/>
      <c r="X112" s="6411"/>
      <c r="Y112" s="6411"/>
      <c r="Z112" s="6411"/>
      <c r="AA112" s="6412"/>
      <c r="AB112" s="2339"/>
      <c r="AC112" s="2340"/>
      <c r="AD112" s="1803"/>
      <c r="AE112" s="1806"/>
      <c r="AF112" s="1806"/>
      <c r="AG112" s="1806"/>
      <c r="AH112" s="1806"/>
      <c r="AI112" s="1806"/>
      <c r="AJ112" s="1806"/>
      <c r="AK112" s="2013"/>
      <c r="AL112" s="253"/>
      <c r="AM112" s="226"/>
      <c r="AN112" s="2362"/>
      <c r="AO112" s="6605"/>
      <c r="AP112" s="658"/>
      <c r="AQ112" s="658"/>
      <c r="AR112" s="658"/>
      <c r="AS112" s="658"/>
      <c r="AT112" s="658"/>
      <c r="AU112" s="658"/>
      <c r="AV112" s="658"/>
      <c r="AW112" s="658"/>
      <c r="AX112" s="658"/>
      <c r="AY112" s="658"/>
      <c r="AZ112"/>
    </row>
    <row r="113" spans="1:52" s="815" customFormat="1" ht="9" customHeight="1" thickBot="1">
      <c r="A113" s="2013"/>
      <c r="B113" s="2353"/>
      <c r="C113" s="6413"/>
      <c r="D113" s="6413"/>
      <c r="E113" s="6413"/>
      <c r="F113" s="6413"/>
      <c r="G113" s="6413"/>
      <c r="H113" s="6413"/>
      <c r="I113" s="6413"/>
      <c r="J113" s="6413"/>
      <c r="K113" s="6413"/>
      <c r="L113" s="6413"/>
      <c r="M113" s="6413"/>
      <c r="N113" s="6413"/>
      <c r="O113" s="6413"/>
      <c r="P113" s="6413"/>
      <c r="Q113" s="6413"/>
      <c r="R113" s="6413"/>
      <c r="S113" s="6413"/>
      <c r="T113" s="6413"/>
      <c r="U113" s="6413"/>
      <c r="V113" s="6413"/>
      <c r="W113" s="6413"/>
      <c r="X113" s="6413"/>
      <c r="Y113" s="6411"/>
      <c r="Z113" s="6411"/>
      <c r="AA113" s="6412"/>
      <c r="AB113" s="2339"/>
      <c r="AC113" s="2340"/>
      <c r="AD113" s="1803"/>
      <c r="AE113" s="1806"/>
      <c r="AF113" s="1806"/>
      <c r="AG113" s="1806"/>
      <c r="AH113" s="1806"/>
      <c r="AI113" s="1806"/>
      <c r="AJ113" s="1806"/>
      <c r="AK113" s="2013"/>
      <c r="AL113" s="253"/>
      <c r="AM113" s="226"/>
      <c r="AN113" s="2362"/>
      <c r="AO113" s="6605"/>
      <c r="AP113" s="658"/>
      <c r="AQ113" s="658"/>
      <c r="AR113" s="658"/>
      <c r="AS113" s="658"/>
      <c r="AT113" s="658"/>
      <c r="AU113" s="658"/>
      <c r="AV113" s="658"/>
      <c r="AW113" s="658"/>
      <c r="AX113" s="658"/>
      <c r="AY113" s="658"/>
      <c r="AZ113"/>
    </row>
    <row r="114" spans="1:52" s="815" customFormat="1" ht="21" customHeight="1" thickBot="1">
      <c r="A114" s="2013"/>
      <c r="B114" s="2353" t="s">
        <v>603</v>
      </c>
      <c r="C114" s="2299" t="s">
        <v>6266</v>
      </c>
      <c r="D114" s="511"/>
      <c r="E114" s="344"/>
      <c r="F114" s="344"/>
      <c r="G114" s="344"/>
      <c r="H114" s="344"/>
      <c r="I114" s="344"/>
      <c r="J114" s="344"/>
      <c r="K114" s="1061"/>
      <c r="L114" s="2300"/>
      <c r="M114" s="2301"/>
      <c r="N114" s="1061"/>
      <c r="O114" s="1061"/>
      <c r="P114" s="1061"/>
      <c r="Q114" s="1061"/>
      <c r="R114" s="1061"/>
      <c r="S114" s="344"/>
      <c r="T114" s="344"/>
      <c r="U114" s="1401" t="s">
        <v>905</v>
      </c>
      <c r="V114" s="2350" t="s">
        <v>5323</v>
      </c>
      <c r="W114" s="10208" t="str">
        <f>IF($AO$103,"",IF(AM114="",0,ROUND(AM114,0)))</f>
        <v/>
      </c>
      <c r="X114" s="10208"/>
      <c r="Y114" s="10208"/>
      <c r="Z114" s="10208"/>
      <c r="AA114" s="10209"/>
      <c r="AB114" s="2339"/>
      <c r="AC114" s="2340"/>
      <c r="AD114" s="1803"/>
      <c r="AE114" s="1806"/>
      <c r="AF114" s="1806"/>
      <c r="AG114" s="1806"/>
      <c r="AH114" s="1806"/>
      <c r="AI114" s="1806"/>
      <c r="AJ114" s="1806"/>
      <c r="AK114" s="2013"/>
      <c r="AL114" s="253"/>
      <c r="AM114" s="2361"/>
      <c r="AN114" s="2362"/>
      <c r="AO114" s="6605" t="b">
        <f>W114=""</f>
        <v>1</v>
      </c>
      <c r="AP114" s="658"/>
      <c r="AQ114" s="658"/>
      <c r="AR114" s="658"/>
      <c r="AS114" s="658"/>
      <c r="AT114" s="658"/>
      <c r="AU114" s="658"/>
      <c r="AV114" s="658"/>
      <c r="AW114" s="658"/>
      <c r="AX114" s="658"/>
      <c r="AY114" s="658"/>
      <c r="AZ114"/>
    </row>
    <row r="115" spans="1:52" s="815" customFormat="1" ht="21.75" customHeight="1">
      <c r="A115" s="2013"/>
      <c r="B115" s="2353" t="s">
        <v>606</v>
      </c>
      <c r="C115" s="1323" t="s">
        <v>6267</v>
      </c>
      <c r="D115" s="514"/>
      <c r="E115" s="514"/>
      <c r="F115" s="514"/>
      <c r="G115" s="514"/>
      <c r="H115" s="514"/>
      <c r="I115" s="514"/>
      <c r="J115" s="514"/>
      <c r="K115" s="514"/>
      <c r="L115" s="514"/>
      <c r="M115" s="514"/>
      <c r="N115" s="514"/>
      <c r="O115" s="514"/>
      <c r="P115" s="514"/>
      <c r="Q115" s="514"/>
      <c r="R115" s="514"/>
      <c r="S115" s="514"/>
      <c r="T115" s="514"/>
      <c r="U115" s="1401" t="s">
        <v>887</v>
      </c>
      <c r="V115" s="2350" t="s">
        <v>6268</v>
      </c>
      <c r="W115" s="10208" t="str">
        <f>IF(AND($AO$103,$AO$114),"",SUM(W108,W114))</f>
        <v/>
      </c>
      <c r="X115" s="10208"/>
      <c r="Y115" s="10208"/>
      <c r="Z115" s="10208"/>
      <c r="AA115" s="10209"/>
      <c r="AB115" s="2339"/>
      <c r="AC115" s="2340"/>
      <c r="AD115" s="10219"/>
      <c r="AE115" s="10220"/>
      <c r="AF115" s="10220"/>
      <c r="AG115" s="10220"/>
      <c r="AH115" s="10220"/>
      <c r="AI115" s="10220"/>
      <c r="AJ115" s="10220"/>
      <c r="AK115" s="2013"/>
      <c r="AL115" s="253"/>
      <c r="AM115" s="226"/>
      <c r="AN115" s="2362"/>
      <c r="AO115" s="6605"/>
      <c r="AP115" s="658"/>
      <c r="AQ115" s="658"/>
      <c r="AR115" s="658"/>
      <c r="AS115" s="658"/>
      <c r="AT115" s="658"/>
      <c r="AU115" s="658"/>
      <c r="AV115" s="658"/>
      <c r="AW115" s="658"/>
      <c r="AX115" s="658"/>
      <c r="AY115" s="658"/>
      <c r="AZ115"/>
    </row>
    <row r="116" spans="1:52" s="815" customFormat="1" ht="21.75" customHeight="1" thickBot="1">
      <c r="A116" s="2013"/>
      <c r="B116" s="2353" t="s">
        <v>610</v>
      </c>
      <c r="C116" s="1323" t="str">
        <f>"Multiply line 19f by "&amp;TEXT($AD$100,"0%")&amp;" ("&amp;TEXT($AD$100,"0.00")&amp;")"</f>
        <v>Multiply line 19f by 30% (0.30)</v>
      </c>
      <c r="D116" s="514"/>
      <c r="E116" s="514"/>
      <c r="F116" s="514"/>
      <c r="G116" s="514"/>
      <c r="H116" s="514"/>
      <c r="I116" s="514"/>
      <c r="J116" s="514"/>
      <c r="K116" s="514"/>
      <c r="L116" s="514"/>
      <c r="M116" s="514"/>
      <c r="N116" s="514"/>
      <c r="O116" s="514"/>
      <c r="P116" s="514"/>
      <c r="Q116" s="514"/>
      <c r="R116" s="514"/>
      <c r="S116" s="514"/>
      <c r="T116" s="514"/>
      <c r="U116" s="1401" t="s">
        <v>805</v>
      </c>
      <c r="V116" s="2350" t="s">
        <v>6269</v>
      </c>
      <c r="W116" s="10208" t="str">
        <f>IF(AND($AO$103,$AO$114),"",ROUND(W115*$AD$100,0))</f>
        <v/>
      </c>
      <c r="X116" s="10208"/>
      <c r="Y116" s="10208"/>
      <c r="Z116" s="10208"/>
      <c r="AA116" s="10209"/>
      <c r="AB116" s="2339"/>
      <c r="AC116" s="2340"/>
      <c r="AD116" s="10210">
        <v>500</v>
      </c>
      <c r="AE116" s="10211"/>
      <c r="AF116" s="10211"/>
      <c r="AG116" s="10211"/>
      <c r="AH116" s="10211"/>
      <c r="AI116" s="10211"/>
      <c r="AJ116" s="10211"/>
      <c r="AK116" s="2013"/>
      <c r="AL116" s="253"/>
      <c r="AM116" s="226"/>
      <c r="AN116" s="2362"/>
      <c r="AO116" s="6605"/>
      <c r="AP116" s="658"/>
      <c r="AQ116" s="658"/>
      <c r="AR116" s="658"/>
      <c r="AS116" s="658"/>
      <c r="AT116" s="658"/>
      <c r="AU116" s="658"/>
      <c r="AV116" s="658"/>
      <c r="AW116" s="658"/>
      <c r="AX116" s="658"/>
      <c r="AY116" s="658"/>
      <c r="AZ116"/>
    </row>
    <row r="117" spans="1:52" s="815" customFormat="1" ht="21" customHeight="1" thickBot="1">
      <c r="A117" s="2013"/>
      <c r="B117" s="2328" t="s">
        <v>615</v>
      </c>
      <c r="C117" s="2299" t="s">
        <v>6300</v>
      </c>
      <c r="D117" s="2038"/>
      <c r="E117" s="344"/>
      <c r="F117" s="344"/>
      <c r="G117" s="344"/>
      <c r="H117" s="344"/>
      <c r="I117" s="344"/>
      <c r="J117" s="344"/>
      <c r="K117" s="344"/>
      <c r="L117" s="344"/>
      <c r="M117" s="4998"/>
      <c r="N117" s="6432" t="s">
        <v>6299</v>
      </c>
      <c r="O117" s="2299" t="str">
        <f>TEXT(AD116,"$0")</f>
        <v>$500</v>
      </c>
      <c r="P117" s="344"/>
      <c r="Q117" s="344"/>
      <c r="R117" s="344"/>
      <c r="S117" s="344"/>
      <c r="T117" s="344"/>
      <c r="U117" s="344"/>
      <c r="V117" s="344"/>
      <c r="W117" s="344"/>
      <c r="X117" s="344"/>
      <c r="Y117" s="344"/>
      <c r="Z117" s="344"/>
      <c r="AA117" s="1401" t="s">
        <v>6189</v>
      </c>
      <c r="AB117" s="10222" t="s">
        <v>6272</v>
      </c>
      <c r="AC117" s="10223"/>
      <c r="AD117" s="10221" t="str">
        <f>IF(AM117&lt;&gt;"",ROUND(AM117,0),IF(AND($AO$103,$AO$114),"",MIN(AD116,SUM(W106,W116))))</f>
        <v/>
      </c>
      <c r="AE117" s="10208"/>
      <c r="AF117" s="10208"/>
      <c r="AG117" s="10208"/>
      <c r="AH117" s="10208"/>
      <c r="AI117" s="10208"/>
      <c r="AJ117" s="10208"/>
      <c r="AK117" s="2013"/>
      <c r="AL117" s="253"/>
      <c r="AM117" s="2361"/>
      <c r="AN117" s="2362"/>
      <c r="AO117" s="6605" t="b">
        <f>AD117=""</f>
        <v>1</v>
      </c>
      <c r="AP117" s="658"/>
      <c r="AQ117" s="658"/>
      <c r="AR117" s="658"/>
      <c r="AS117" s="658"/>
      <c r="AT117" s="658"/>
      <c r="AU117" s="658"/>
      <c r="AV117" s="658"/>
      <c r="AW117" s="658"/>
      <c r="AX117" s="658"/>
      <c r="AY117" s="658"/>
      <c r="AZ117"/>
    </row>
    <row r="118" spans="1:52" s="815" customFormat="1" ht="21" customHeight="1">
      <c r="A118" s="2013"/>
      <c r="B118" s="2347">
        <v>20</v>
      </c>
      <c r="C118" s="2299" t="s">
        <v>5321</v>
      </c>
      <c r="D118" s="511"/>
      <c r="E118" s="344"/>
      <c r="F118" s="344"/>
      <c r="G118" s="344"/>
      <c r="H118" s="344"/>
      <c r="I118" s="344"/>
      <c r="J118" s="344"/>
      <c r="K118" s="1061"/>
      <c r="L118" s="2300"/>
      <c r="M118" s="2301"/>
      <c r="N118" s="1061"/>
      <c r="O118" s="1061"/>
      <c r="P118" s="1061"/>
      <c r="Q118" s="1061"/>
      <c r="R118" s="1061"/>
      <c r="S118" s="344"/>
      <c r="T118" s="344"/>
      <c r="U118" s="1204"/>
      <c r="V118" s="1204"/>
      <c r="W118" s="1204"/>
      <c r="X118" s="1205"/>
      <c r="Y118" s="1205"/>
      <c r="Z118" s="1205"/>
      <c r="AA118" s="1401"/>
      <c r="AB118" s="2339"/>
      <c r="AC118" s="2340"/>
      <c r="AD118" s="1803"/>
      <c r="AE118" s="1806"/>
      <c r="AF118" s="1806"/>
      <c r="AG118" s="1806"/>
      <c r="AH118" s="1806"/>
      <c r="AI118" s="1806"/>
      <c r="AJ118" s="1806"/>
      <c r="AK118" s="2013"/>
      <c r="AL118" s="253"/>
      <c r="AM118" s="226"/>
      <c r="AN118" s="2362"/>
      <c r="AO118" s="6605" t="b">
        <f>AM117&gt;AD116</f>
        <v>0</v>
      </c>
      <c r="AP118" s="658"/>
      <c r="AQ118" s="658"/>
      <c r="AR118" s="658"/>
      <c r="AS118" s="658"/>
      <c r="AT118" s="658"/>
      <c r="AU118" s="658"/>
      <c r="AV118" s="658"/>
      <c r="AW118" s="658"/>
      <c r="AX118" s="658"/>
      <c r="AY118" s="658"/>
      <c r="AZ118"/>
    </row>
    <row r="119" spans="1:52" s="815" customFormat="1" ht="21.75" customHeight="1" thickBot="1">
      <c r="A119" s="2013"/>
      <c r="B119" s="2353" t="s">
        <v>588</v>
      </c>
      <c r="C119" s="2299" t="s">
        <v>6261</v>
      </c>
      <c r="D119" s="511"/>
      <c r="E119" s="344"/>
      <c r="F119" s="344"/>
      <c r="G119" s="344"/>
      <c r="H119" s="344"/>
      <c r="I119" s="344"/>
      <c r="J119" s="344"/>
      <c r="K119" s="1061"/>
      <c r="L119" s="2300"/>
      <c r="M119" s="2301"/>
      <c r="N119" s="1061"/>
      <c r="O119" s="1061"/>
      <c r="P119" s="1061"/>
      <c r="Q119" s="1061"/>
      <c r="R119" s="1061"/>
      <c r="S119" s="344"/>
      <c r="T119" s="344"/>
      <c r="U119" s="6411"/>
      <c r="V119" s="6411"/>
      <c r="W119" s="6411"/>
      <c r="X119" s="6411"/>
      <c r="Y119" s="6411"/>
      <c r="Z119" s="6411"/>
      <c r="AA119" s="6412"/>
      <c r="AB119" s="2339"/>
      <c r="AC119" s="2340"/>
      <c r="AD119" s="1803"/>
      <c r="AE119" s="1806"/>
      <c r="AF119" s="1806"/>
      <c r="AG119" s="1806"/>
      <c r="AH119" s="1806"/>
      <c r="AI119" s="1806"/>
      <c r="AJ119" s="1806"/>
      <c r="AK119" s="2013"/>
      <c r="AL119" s="253"/>
      <c r="AM119" s="226"/>
      <c r="AN119" s="2362"/>
      <c r="AO119" s="6605"/>
      <c r="AP119" s="658"/>
      <c r="AQ119" s="658"/>
      <c r="AR119" s="658"/>
      <c r="AS119" s="658"/>
      <c r="AT119" s="658"/>
      <c r="AU119" s="658"/>
      <c r="AV119" s="658"/>
      <c r="AW119" s="658"/>
      <c r="AX119" s="658"/>
      <c r="AY119" s="658"/>
      <c r="AZ119"/>
    </row>
    <row r="120" spans="1:52" s="815" customFormat="1" ht="18.75" thickBot="1">
      <c r="A120" s="2013"/>
      <c r="B120" s="2353"/>
      <c r="C120" s="2381" t="s">
        <v>6289</v>
      </c>
      <c r="D120" s="511"/>
      <c r="E120" s="344"/>
      <c r="F120" s="344"/>
      <c r="G120" s="344"/>
      <c r="H120" s="344"/>
      <c r="I120" s="344"/>
      <c r="J120" s="344"/>
      <c r="K120" s="1061"/>
      <c r="L120" s="2300"/>
      <c r="M120" s="2301"/>
      <c r="N120" s="1061"/>
      <c r="O120" s="1061"/>
      <c r="P120" s="1061"/>
      <c r="Q120" s="1061"/>
      <c r="R120" s="1061"/>
      <c r="S120" s="344"/>
      <c r="T120" s="344"/>
      <c r="U120" s="1401" t="s">
        <v>894</v>
      </c>
      <c r="V120" s="2350" t="s">
        <v>2005</v>
      </c>
      <c r="W120" s="10208" t="str">
        <f>IF(AM120&lt;&gt;"",ROUND(AM120,0),IF($AO$120,"",SUM(ROUND(V122,0),ROUND(V124,0),ROUND(V126,0),ROUND(V128,0))))</f>
        <v/>
      </c>
      <c r="X120" s="10208"/>
      <c r="Y120" s="10208"/>
      <c r="Z120" s="10208"/>
      <c r="AA120" s="10209"/>
      <c r="AB120" s="2339"/>
      <c r="AC120" s="2340"/>
      <c r="AD120" s="1803"/>
      <c r="AE120" s="1806"/>
      <c r="AF120" s="1806"/>
      <c r="AG120" s="1806"/>
      <c r="AH120" s="1806"/>
      <c r="AI120" s="1806"/>
      <c r="AJ120" s="1806"/>
      <c r="AK120" s="2013"/>
      <c r="AL120" s="253"/>
      <c r="AM120" s="2361"/>
      <c r="AN120" s="2362"/>
      <c r="AO120" s="6605" t="b">
        <f>AND(V122="",V124="",V126="",V128="")</f>
        <v>1</v>
      </c>
      <c r="AP120" s="658"/>
      <c r="AQ120" s="658"/>
      <c r="AR120" s="658"/>
      <c r="AS120" s="658"/>
      <c r="AT120" s="658"/>
      <c r="AU120" s="658"/>
      <c r="AV120" s="658"/>
      <c r="AW120" s="658"/>
      <c r="AX120" s="658"/>
      <c r="AY120" s="658"/>
      <c r="AZ120"/>
    </row>
    <row r="121" spans="1:52" s="815" customFormat="1" ht="9" customHeight="1">
      <c r="A121" s="2013"/>
      <c r="B121" s="2353"/>
      <c r="C121" s="2353"/>
      <c r="D121" s="2353"/>
      <c r="E121" s="2353"/>
      <c r="F121" s="2353"/>
      <c r="G121" s="2353"/>
      <c r="H121" s="2353"/>
      <c r="I121" s="2353"/>
      <c r="J121" s="2353"/>
      <c r="K121" s="2353"/>
      <c r="L121" s="2353"/>
      <c r="M121" s="2353"/>
      <c r="N121" s="2353"/>
      <c r="O121" s="2353"/>
      <c r="P121" s="2353"/>
      <c r="Q121" s="2353"/>
      <c r="R121" s="2353"/>
      <c r="S121" s="2353"/>
      <c r="T121" s="2353"/>
      <c r="U121" s="2353"/>
      <c r="V121" s="2353"/>
      <c r="W121" s="2353"/>
      <c r="X121" s="2353"/>
      <c r="Y121" s="2353"/>
      <c r="Z121" s="2353"/>
      <c r="AA121" s="2353"/>
      <c r="AB121" s="2339"/>
      <c r="AC121" s="2340"/>
      <c r="AD121" s="1803"/>
      <c r="AE121" s="1806"/>
      <c r="AF121" s="1806"/>
      <c r="AG121" s="1806"/>
      <c r="AH121" s="1806"/>
      <c r="AI121" s="1806"/>
      <c r="AJ121" s="1806"/>
      <c r="AK121" s="2013"/>
      <c r="AL121" s="253"/>
      <c r="AM121" s="226"/>
      <c r="AN121" s="2362"/>
      <c r="AO121" s="6605"/>
      <c r="AP121" s="658"/>
      <c r="AQ121" s="658"/>
      <c r="AR121" s="658"/>
      <c r="AS121" s="658"/>
      <c r="AT121" s="658"/>
      <c r="AU121" s="658"/>
      <c r="AV121" s="658"/>
      <c r="AW121" s="658"/>
      <c r="AX121" s="658"/>
      <c r="AY121" s="658"/>
      <c r="AZ121"/>
    </row>
    <row r="122" spans="1:52" s="815" customFormat="1" ht="21.75" customHeight="1">
      <c r="A122" s="2013"/>
      <c r="B122" s="6417" t="s">
        <v>6264</v>
      </c>
      <c r="C122" s="6415"/>
      <c r="D122" s="6416"/>
      <c r="E122" s="6416"/>
      <c r="F122" s="6416"/>
      <c r="G122" s="6447"/>
      <c r="H122" s="6447"/>
      <c r="I122" s="6447"/>
      <c r="J122" s="6447"/>
      <c r="K122" s="6447"/>
      <c r="L122" s="6448"/>
      <c r="M122" s="6449"/>
      <c r="N122" s="6447"/>
      <c r="O122" s="6447"/>
      <c r="P122" s="6447"/>
      <c r="Q122" s="6447"/>
      <c r="R122" s="6447"/>
      <c r="S122" s="6447"/>
      <c r="T122" s="344"/>
      <c r="U122" s="2371" t="s">
        <v>6263</v>
      </c>
      <c r="V122" s="10226"/>
      <c r="W122" s="10226"/>
      <c r="X122" s="6411"/>
      <c r="Y122" s="6411"/>
      <c r="Z122" s="6411"/>
      <c r="AA122" s="6412"/>
      <c r="AB122" s="2339"/>
      <c r="AC122" s="2340"/>
      <c r="AD122" s="1803"/>
      <c r="AE122" s="1806"/>
      <c r="AF122" s="1806"/>
      <c r="AG122" s="1806"/>
      <c r="AH122" s="1806"/>
      <c r="AI122" s="1806"/>
      <c r="AJ122" s="1806"/>
      <c r="AK122" s="2013"/>
      <c r="AL122" s="253"/>
      <c r="AM122" s="226"/>
      <c r="AN122" s="2362"/>
      <c r="AO122" s="6605"/>
      <c r="AP122" s="658"/>
      <c r="AQ122" s="658"/>
      <c r="AR122" s="658"/>
      <c r="AS122" s="658"/>
      <c r="AT122" s="658"/>
      <c r="AU122" s="658"/>
      <c r="AV122" s="658"/>
      <c r="AW122" s="658"/>
      <c r="AX122" s="658"/>
      <c r="AY122" s="658"/>
      <c r="AZ122"/>
    </row>
    <row r="123" spans="1:52" s="815" customFormat="1" ht="9.75" customHeight="1">
      <c r="A123" s="2013"/>
      <c r="B123" s="2353"/>
      <c r="C123" s="6413"/>
      <c r="D123" s="6414"/>
      <c r="E123" s="6414"/>
      <c r="F123" s="6414"/>
      <c r="G123" s="6414"/>
      <c r="H123" s="6414"/>
      <c r="I123" s="6414"/>
      <c r="J123" s="6414"/>
      <c r="K123" s="6414"/>
      <c r="L123" s="6414"/>
      <c r="M123" s="6414"/>
      <c r="N123" s="6414"/>
      <c r="O123" s="6414"/>
      <c r="P123" s="6414"/>
      <c r="Q123" s="6414"/>
      <c r="R123" s="6414"/>
      <c r="S123" s="6414"/>
      <c r="T123" s="344"/>
      <c r="U123" s="344"/>
      <c r="V123" s="2347"/>
      <c r="W123" s="6411"/>
      <c r="X123" s="6411"/>
      <c r="Y123" s="6411"/>
      <c r="Z123" s="6411"/>
      <c r="AA123" s="6412"/>
      <c r="AB123" s="2339"/>
      <c r="AC123" s="2340"/>
      <c r="AD123" s="1803"/>
      <c r="AE123" s="1806"/>
      <c r="AF123" s="1806"/>
      <c r="AG123" s="1806"/>
      <c r="AH123" s="1806"/>
      <c r="AI123" s="1806"/>
      <c r="AJ123" s="1806"/>
      <c r="AK123" s="2013"/>
      <c r="AL123" s="253"/>
      <c r="AM123" s="226"/>
      <c r="AN123" s="2362"/>
      <c r="AO123" s="6605"/>
      <c r="AP123" s="658"/>
      <c r="AQ123" s="658"/>
      <c r="AR123" s="658"/>
      <c r="AS123" s="658"/>
      <c r="AT123" s="658"/>
      <c r="AU123" s="658"/>
      <c r="AV123" s="658"/>
      <c r="AW123" s="658"/>
      <c r="AX123" s="658"/>
      <c r="AY123" s="658"/>
      <c r="AZ123"/>
    </row>
    <row r="124" spans="1:52" s="815" customFormat="1" ht="21.75" customHeight="1">
      <c r="A124" s="2013"/>
      <c r="B124" s="6417" t="s">
        <v>6265</v>
      </c>
      <c r="C124" s="6415"/>
      <c r="D124" s="6416"/>
      <c r="E124" s="6416"/>
      <c r="F124" s="6416"/>
      <c r="G124" s="6447"/>
      <c r="H124" s="6447"/>
      <c r="I124" s="6447"/>
      <c r="J124" s="6447"/>
      <c r="K124" s="6447"/>
      <c r="L124" s="6448"/>
      <c r="M124" s="6449"/>
      <c r="N124" s="6447"/>
      <c r="O124" s="6447"/>
      <c r="P124" s="6447"/>
      <c r="Q124" s="6447"/>
      <c r="R124" s="6447"/>
      <c r="S124" s="6447"/>
      <c r="T124" s="344"/>
      <c r="U124" s="2371" t="s">
        <v>6263</v>
      </c>
      <c r="V124" s="10226"/>
      <c r="W124" s="10226"/>
      <c r="X124" s="6411"/>
      <c r="Y124" s="6411"/>
      <c r="Z124" s="6411"/>
      <c r="AA124" s="6412"/>
      <c r="AB124" s="2339"/>
      <c r="AC124" s="2340"/>
      <c r="AD124" s="1803"/>
      <c r="AE124" s="1806"/>
      <c r="AF124" s="1806"/>
      <c r="AG124" s="1806"/>
      <c r="AH124" s="1806"/>
      <c r="AI124" s="1806"/>
      <c r="AJ124" s="1806"/>
      <c r="AK124" s="2013"/>
      <c r="AL124" s="253"/>
      <c r="AM124" s="226"/>
      <c r="AN124" s="2362"/>
      <c r="AO124" s="6605"/>
      <c r="AP124" s="658"/>
      <c r="AQ124" s="658"/>
      <c r="AR124" s="658"/>
      <c r="AS124" s="658"/>
      <c r="AT124" s="658"/>
      <c r="AU124" s="658"/>
      <c r="AV124" s="658"/>
      <c r="AW124" s="658"/>
      <c r="AX124" s="658"/>
      <c r="AY124" s="658"/>
      <c r="AZ124"/>
    </row>
    <row r="125" spans="1:52" s="815" customFormat="1" ht="9" customHeight="1">
      <c r="A125" s="2013"/>
      <c r="B125" s="2353"/>
      <c r="C125" s="2353"/>
      <c r="D125" s="2353"/>
      <c r="E125" s="2353"/>
      <c r="F125" s="2353"/>
      <c r="G125" s="2353"/>
      <c r="H125" s="2353"/>
      <c r="I125" s="2353"/>
      <c r="J125" s="2353"/>
      <c r="K125" s="2353"/>
      <c r="L125" s="2353"/>
      <c r="M125" s="2353"/>
      <c r="N125" s="2353"/>
      <c r="O125" s="2353"/>
      <c r="P125" s="2353"/>
      <c r="Q125" s="2353"/>
      <c r="R125" s="2353"/>
      <c r="S125" s="2353"/>
      <c r="T125" s="2353"/>
      <c r="U125" s="2353"/>
      <c r="V125" s="2353"/>
      <c r="W125" s="2353"/>
      <c r="X125" s="2353"/>
      <c r="Y125" s="2353"/>
      <c r="Z125" s="2353"/>
      <c r="AA125" s="2353"/>
      <c r="AB125" s="2339"/>
      <c r="AC125" s="2340"/>
      <c r="AD125" s="1803"/>
      <c r="AE125" s="1806"/>
      <c r="AF125" s="1806"/>
      <c r="AG125" s="1806"/>
      <c r="AH125" s="1806"/>
      <c r="AI125" s="1806"/>
      <c r="AJ125" s="1806"/>
      <c r="AK125" s="2013"/>
      <c r="AL125" s="253"/>
      <c r="AM125" s="226"/>
      <c r="AN125" s="2362"/>
      <c r="AO125" s="6605"/>
      <c r="AP125" s="658"/>
      <c r="AQ125" s="658"/>
      <c r="AR125" s="658"/>
      <c r="AS125" s="658"/>
      <c r="AT125" s="658"/>
      <c r="AU125" s="658"/>
      <c r="AV125" s="658"/>
      <c r="AW125" s="658"/>
      <c r="AX125" s="658"/>
      <c r="AY125" s="658"/>
      <c r="AZ125"/>
    </row>
    <row r="126" spans="1:52" s="815" customFormat="1" ht="21.75" customHeight="1">
      <c r="A126" s="2013"/>
      <c r="B126" s="6417" t="s">
        <v>6270</v>
      </c>
      <c r="C126" s="6415"/>
      <c r="D126" s="6416"/>
      <c r="E126" s="6416"/>
      <c r="F126" s="6416"/>
      <c r="G126" s="6447"/>
      <c r="H126" s="6447"/>
      <c r="I126" s="6447"/>
      <c r="J126" s="6447"/>
      <c r="K126" s="6447"/>
      <c r="L126" s="6448"/>
      <c r="M126" s="6449"/>
      <c r="N126" s="6447"/>
      <c r="O126" s="6447"/>
      <c r="P126" s="6447"/>
      <c r="Q126" s="6447"/>
      <c r="R126" s="6447"/>
      <c r="S126" s="6447"/>
      <c r="T126" s="344"/>
      <c r="U126" s="2371" t="s">
        <v>6263</v>
      </c>
      <c r="V126" s="10226"/>
      <c r="W126" s="10226"/>
      <c r="X126" s="6411"/>
      <c r="Y126" s="6411"/>
      <c r="Z126" s="6411"/>
      <c r="AA126" s="6412"/>
      <c r="AB126" s="2339"/>
      <c r="AC126" s="2340"/>
      <c r="AD126" s="1803"/>
      <c r="AE126" s="1806"/>
      <c r="AF126" s="1806"/>
      <c r="AG126" s="1806"/>
      <c r="AH126" s="1806"/>
      <c r="AI126" s="1806"/>
      <c r="AJ126" s="1806"/>
      <c r="AK126" s="2013"/>
      <c r="AL126" s="253"/>
      <c r="AM126" s="226"/>
      <c r="AN126" s="2362"/>
      <c r="AO126" s="6605"/>
      <c r="AP126" s="658"/>
      <c r="AQ126" s="658"/>
      <c r="AR126" s="658"/>
      <c r="AS126" s="658"/>
      <c r="AT126" s="658"/>
      <c r="AU126" s="658"/>
      <c r="AV126" s="658"/>
      <c r="AW126" s="658"/>
      <c r="AX126" s="658"/>
      <c r="AY126" s="658"/>
      <c r="AZ126"/>
    </row>
    <row r="127" spans="1:52" s="815" customFormat="1" ht="9.75" customHeight="1">
      <c r="A127" s="2013"/>
      <c r="B127" s="2353"/>
      <c r="C127" s="6413"/>
      <c r="D127" s="6414"/>
      <c r="E127" s="6414"/>
      <c r="F127" s="6414"/>
      <c r="G127" s="6414"/>
      <c r="H127" s="6414"/>
      <c r="I127" s="6414"/>
      <c r="J127" s="6414"/>
      <c r="K127" s="6414"/>
      <c r="L127" s="6414"/>
      <c r="M127" s="6414"/>
      <c r="N127" s="6414"/>
      <c r="O127" s="6414"/>
      <c r="P127" s="6414"/>
      <c r="Q127" s="6414"/>
      <c r="R127" s="6414"/>
      <c r="S127" s="6414"/>
      <c r="T127" s="344"/>
      <c r="U127" s="344"/>
      <c r="V127" s="2347"/>
      <c r="W127" s="6411"/>
      <c r="X127" s="6411"/>
      <c r="Y127" s="6411"/>
      <c r="Z127" s="6411"/>
      <c r="AA127" s="6412"/>
      <c r="AB127" s="2339"/>
      <c r="AC127" s="2340"/>
      <c r="AD127" s="1803"/>
      <c r="AE127" s="1806"/>
      <c r="AF127" s="1806"/>
      <c r="AG127" s="1806"/>
      <c r="AH127" s="1806"/>
      <c r="AI127" s="1806"/>
      <c r="AJ127" s="1806"/>
      <c r="AK127" s="2013"/>
      <c r="AL127" s="253"/>
      <c r="AM127" s="226"/>
      <c r="AN127" s="2362"/>
      <c r="AO127" s="6605"/>
      <c r="AP127" s="658"/>
      <c r="AQ127" s="658"/>
      <c r="AR127" s="658"/>
      <c r="AS127" s="658"/>
      <c r="AT127" s="658"/>
      <c r="AU127" s="658"/>
      <c r="AV127" s="658"/>
      <c r="AW127" s="658"/>
      <c r="AX127" s="658"/>
      <c r="AY127" s="658"/>
      <c r="AZ127"/>
    </row>
    <row r="128" spans="1:52" s="815" customFormat="1" ht="21.75" customHeight="1">
      <c r="A128" s="2013"/>
      <c r="B128" s="6417" t="s">
        <v>6271</v>
      </c>
      <c r="C128" s="6415"/>
      <c r="D128" s="6416"/>
      <c r="E128" s="6416"/>
      <c r="F128" s="6416"/>
      <c r="G128" s="6447"/>
      <c r="H128" s="6447"/>
      <c r="I128" s="6447"/>
      <c r="J128" s="6447"/>
      <c r="K128" s="6447"/>
      <c r="L128" s="6448"/>
      <c r="M128" s="6449"/>
      <c r="N128" s="6447"/>
      <c r="O128" s="6447"/>
      <c r="P128" s="6447"/>
      <c r="Q128" s="6447"/>
      <c r="R128" s="6447"/>
      <c r="S128" s="6447"/>
      <c r="T128" s="344"/>
      <c r="U128" s="2371" t="s">
        <v>6263</v>
      </c>
      <c r="V128" s="10226"/>
      <c r="W128" s="10226"/>
      <c r="X128" s="6411"/>
      <c r="Y128" s="6411"/>
      <c r="Z128" s="6411"/>
      <c r="AA128" s="6412"/>
      <c r="AB128" s="2339"/>
      <c r="AC128" s="2340"/>
      <c r="AD128" s="1803"/>
      <c r="AE128" s="1806"/>
      <c r="AF128" s="1806"/>
      <c r="AG128" s="1806"/>
      <c r="AH128" s="1806"/>
      <c r="AI128" s="1806"/>
      <c r="AJ128" s="1806"/>
      <c r="AK128" s="2013"/>
      <c r="AL128" s="253"/>
      <c r="AM128" s="226"/>
      <c r="AN128" s="2362"/>
      <c r="AO128" s="6605"/>
      <c r="AP128" s="658"/>
      <c r="AQ128" s="658"/>
      <c r="AR128" s="658"/>
      <c r="AS128" s="658"/>
      <c r="AT128" s="658"/>
      <c r="AU128" s="658"/>
      <c r="AV128" s="658"/>
      <c r="AW128" s="658"/>
      <c r="AX128" s="658"/>
      <c r="AY128" s="658"/>
      <c r="AZ128"/>
    </row>
    <row r="129" spans="1:52" s="815" customFormat="1" ht="9" customHeight="1">
      <c r="A129" s="2013"/>
      <c r="B129" s="2353"/>
      <c r="C129" s="6413"/>
      <c r="D129" s="6413"/>
      <c r="E129" s="6413"/>
      <c r="F129" s="6413"/>
      <c r="G129" s="6413"/>
      <c r="H129" s="6413"/>
      <c r="I129" s="6413"/>
      <c r="J129" s="6413"/>
      <c r="K129" s="6413"/>
      <c r="L129" s="6413"/>
      <c r="M129" s="6413"/>
      <c r="N129" s="6413"/>
      <c r="O129" s="6413"/>
      <c r="P129" s="6413"/>
      <c r="Q129" s="6413"/>
      <c r="R129" s="6413"/>
      <c r="S129" s="6413"/>
      <c r="T129" s="6413"/>
      <c r="U129" s="6413"/>
      <c r="V129" s="6413"/>
      <c r="W129" s="6413"/>
      <c r="X129" s="6413"/>
      <c r="Y129" s="6411"/>
      <c r="Z129" s="6411"/>
      <c r="AA129" s="6412"/>
      <c r="AB129" s="2339"/>
      <c r="AC129" s="2340"/>
      <c r="AD129" s="1803"/>
      <c r="AE129" s="1806"/>
      <c r="AF129" s="1806"/>
      <c r="AG129" s="1806"/>
      <c r="AH129" s="1806"/>
      <c r="AI129" s="1806"/>
      <c r="AJ129" s="1806"/>
      <c r="AK129" s="2013"/>
      <c r="AL129" s="253"/>
      <c r="AM129" s="226"/>
      <c r="AN129" s="2362"/>
      <c r="AO129" s="6605"/>
      <c r="AP129" s="658"/>
      <c r="AQ129" s="658"/>
      <c r="AR129" s="658"/>
      <c r="AS129" s="658"/>
      <c r="AT129" s="658"/>
      <c r="AU129" s="658"/>
      <c r="AV129" s="658"/>
      <c r="AW129" s="658"/>
      <c r="AX129" s="658"/>
      <c r="AY129" s="658"/>
      <c r="AZ129"/>
    </row>
    <row r="130" spans="1:52" s="815" customFormat="1" ht="18" customHeight="1" thickBot="1">
      <c r="A130" s="2013"/>
      <c r="B130" s="2353" t="s">
        <v>592</v>
      </c>
      <c r="C130" s="2299" t="s">
        <v>6276</v>
      </c>
      <c r="D130" s="6413"/>
      <c r="E130" s="6413"/>
      <c r="F130" s="6413"/>
      <c r="G130" s="6413"/>
      <c r="H130" s="6413"/>
      <c r="I130" s="6413"/>
      <c r="J130" s="6413"/>
      <c r="K130" s="6413"/>
      <c r="L130" s="6413"/>
      <c r="M130" s="6413"/>
      <c r="N130" s="6413"/>
      <c r="O130" s="6413"/>
      <c r="P130" s="6413"/>
      <c r="Q130" s="6413"/>
      <c r="R130" s="6413"/>
      <c r="S130" s="6413"/>
      <c r="T130" s="6413"/>
      <c r="U130" s="6413"/>
      <c r="V130" s="6413"/>
      <c r="W130" s="6413"/>
      <c r="X130" s="6413"/>
      <c r="Y130" s="6411"/>
      <c r="Z130" s="6411"/>
      <c r="AA130" s="6412"/>
      <c r="AB130" s="2339"/>
      <c r="AC130" s="2340"/>
      <c r="AD130" s="1803"/>
      <c r="AE130" s="1806"/>
      <c r="AF130" s="1806"/>
      <c r="AG130" s="1806"/>
      <c r="AH130" s="1806"/>
      <c r="AI130" s="1806"/>
      <c r="AJ130" s="1806"/>
      <c r="AK130" s="2013"/>
      <c r="AL130" s="253"/>
      <c r="AM130" s="226"/>
      <c r="AN130" s="2362"/>
      <c r="AO130" s="6605"/>
      <c r="AP130" s="658"/>
      <c r="AQ130" s="658"/>
      <c r="AR130" s="658"/>
      <c r="AS130" s="658"/>
      <c r="AT130" s="658"/>
      <c r="AU130" s="658"/>
      <c r="AV130" s="658"/>
      <c r="AW130" s="658"/>
      <c r="AX130" s="658"/>
      <c r="AY130" s="658"/>
      <c r="AZ130"/>
    </row>
    <row r="131" spans="1:52" s="815" customFormat="1" ht="18.75" thickBot="1">
      <c r="A131" s="2013"/>
      <c r="B131" s="2353"/>
      <c r="C131" s="2299" t="s">
        <v>6273</v>
      </c>
      <c r="D131" s="511"/>
      <c r="E131" s="344"/>
      <c r="F131" s="344"/>
      <c r="G131" s="344"/>
      <c r="H131" s="344"/>
      <c r="I131" s="344"/>
      <c r="J131" s="344"/>
      <c r="K131" s="1061"/>
      <c r="L131" s="2300"/>
      <c r="M131" s="2301"/>
      <c r="N131" s="1061"/>
      <c r="O131" s="1061"/>
      <c r="P131" s="1061"/>
      <c r="Q131" s="1061"/>
      <c r="R131" s="1061"/>
      <c r="S131" s="344"/>
      <c r="T131" s="344"/>
      <c r="U131" s="1401" t="s">
        <v>1104</v>
      </c>
      <c r="V131" s="2350" t="s">
        <v>2010</v>
      </c>
      <c r="W131" s="10208" t="str">
        <f>IF(AM131&lt;&gt;"",ROUND(AM131,0),IF($AO$120,"",0))</f>
        <v/>
      </c>
      <c r="X131" s="10208"/>
      <c r="Y131" s="10208"/>
      <c r="Z131" s="10208"/>
      <c r="AA131" s="10209"/>
      <c r="AB131" s="2339"/>
      <c r="AC131" s="2340"/>
      <c r="AD131" s="1803"/>
      <c r="AE131" s="1806"/>
      <c r="AF131" s="1806"/>
      <c r="AG131" s="1806"/>
      <c r="AH131" s="1806"/>
      <c r="AI131" s="1806"/>
      <c r="AJ131" s="1806"/>
      <c r="AK131" s="2013"/>
      <c r="AL131" s="253"/>
      <c r="AM131" s="2361"/>
      <c r="AN131" s="2362"/>
      <c r="AO131" s="6605" t="b">
        <f>W131=""</f>
        <v>1</v>
      </c>
      <c r="AP131" s="658"/>
      <c r="AQ131" s="658"/>
      <c r="AR131" s="658"/>
      <c r="AS131" s="658"/>
      <c r="AT131" s="658"/>
      <c r="AU131" s="658"/>
      <c r="AV131" s="658"/>
      <c r="AW131" s="658"/>
      <c r="AX131" s="658"/>
      <c r="AY131" s="658"/>
      <c r="AZ131"/>
    </row>
    <row r="132" spans="1:52" s="815" customFormat="1" ht="18" customHeight="1" thickBot="1">
      <c r="A132" s="2013"/>
      <c r="B132" s="2353" t="s">
        <v>595</v>
      </c>
      <c r="C132" s="2299" t="s">
        <v>6275</v>
      </c>
      <c r="D132" s="511"/>
      <c r="E132" s="344"/>
      <c r="F132" s="344"/>
      <c r="G132" s="344"/>
      <c r="H132" s="344"/>
      <c r="I132" s="344"/>
      <c r="J132" s="344"/>
      <c r="K132" s="1061"/>
      <c r="L132" s="2300"/>
      <c r="M132" s="2301"/>
      <c r="N132" s="1061"/>
      <c r="O132" s="1061"/>
      <c r="P132" s="1061"/>
      <c r="Q132" s="1061"/>
      <c r="R132" s="1061"/>
      <c r="S132" s="344"/>
      <c r="T132" s="344"/>
      <c r="U132" s="1401" t="s">
        <v>1104</v>
      </c>
      <c r="V132" s="2350" t="s">
        <v>4679</v>
      </c>
      <c r="W132" s="10208" t="str">
        <f>IF(AND($AO$120,$AO$131),"",SUM(W120,W131))</f>
        <v/>
      </c>
      <c r="X132" s="10208"/>
      <c r="Y132" s="10208"/>
      <c r="Z132" s="10208"/>
      <c r="AA132" s="10209"/>
      <c r="AB132" s="2339"/>
      <c r="AC132" s="2340"/>
      <c r="AD132" s="10210">
        <v>600</v>
      </c>
      <c r="AE132" s="10211"/>
      <c r="AF132" s="10211"/>
      <c r="AG132" s="10211"/>
      <c r="AH132" s="10211"/>
      <c r="AI132" s="10211"/>
      <c r="AJ132" s="10211"/>
      <c r="AK132" s="2013"/>
      <c r="AL132" s="253"/>
      <c r="AM132" s="226"/>
      <c r="AN132" s="2362"/>
      <c r="AO132" s="6605"/>
      <c r="AP132" s="658"/>
      <c r="AQ132" s="658"/>
      <c r="AR132" s="658"/>
      <c r="AS132" s="658"/>
      <c r="AT132" s="658"/>
      <c r="AU132" s="658"/>
      <c r="AV132" s="658"/>
      <c r="AW132" s="658"/>
      <c r="AX132" s="658"/>
      <c r="AY132" s="658"/>
      <c r="AZ132"/>
    </row>
    <row r="133" spans="1:52" s="815" customFormat="1" ht="18.75" thickBot="1">
      <c r="A133" s="2013"/>
      <c r="B133" s="6419" t="s">
        <v>599</v>
      </c>
      <c r="C133" s="4920" t="str">
        <f>"Multiply line 20c by "&amp;TEXT($AD$100,"0%")&amp;" ("&amp;TEXT($AD$100,"0.00")&amp;").  Enter results."</f>
        <v>Multiply line 20c by 30% (0.30).  Enter results.</v>
      </c>
      <c r="D133" s="6420"/>
      <c r="E133" s="498"/>
      <c r="F133" s="498"/>
      <c r="G133" s="498"/>
      <c r="H133" s="498"/>
      <c r="I133" s="498"/>
      <c r="J133" s="498"/>
      <c r="K133" s="498"/>
      <c r="L133" s="498"/>
      <c r="M133" s="498"/>
      <c r="N133" s="5003"/>
      <c r="O133" s="498"/>
      <c r="P133" s="498"/>
      <c r="Q133" s="498"/>
      <c r="R133" s="498"/>
      <c r="S133" s="6433" t="s">
        <v>6301</v>
      </c>
      <c r="T133" s="5003" t="str">
        <f>TEXT($AD$132,"$0")</f>
        <v>$600</v>
      </c>
      <c r="U133" s="498"/>
      <c r="V133" s="498"/>
      <c r="W133" s="498"/>
      <c r="X133" s="498"/>
      <c r="Y133" s="498"/>
      <c r="Z133" s="498"/>
      <c r="AA133" s="4488" t="s">
        <v>874</v>
      </c>
      <c r="AB133" s="10258" t="s">
        <v>6274</v>
      </c>
      <c r="AC133" s="10259"/>
      <c r="AD133" s="10256" t="str">
        <f>IF(AM133&lt;&gt;"",ROUND(AM133,0),IF(W132="","",MIN(AD132,ROUND(W132*AD100,0))))</f>
        <v/>
      </c>
      <c r="AE133" s="10257"/>
      <c r="AF133" s="10257"/>
      <c r="AG133" s="10257"/>
      <c r="AH133" s="10257"/>
      <c r="AI133" s="10257"/>
      <c r="AJ133" s="10257"/>
      <c r="AK133" s="2013"/>
      <c r="AL133" s="253"/>
      <c r="AM133" s="2361"/>
      <c r="AN133" s="2362"/>
      <c r="AO133" s="6605" t="b">
        <f>AD133=""</f>
        <v>1</v>
      </c>
      <c r="AP133" s="658"/>
      <c r="AQ133" s="658"/>
      <c r="AR133" s="658"/>
      <c r="AS133" s="658"/>
      <c r="AT133" s="658"/>
      <c r="AU133" s="658"/>
      <c r="AV133" s="658"/>
      <c r="AW133" s="658"/>
      <c r="AX133" s="658"/>
      <c r="AY133" s="658"/>
      <c r="AZ133"/>
    </row>
    <row r="134" spans="1:52" s="815" customFormat="1" ht="18">
      <c r="A134" s="2013"/>
      <c r="B134" s="2343"/>
      <c r="C134" s="2344"/>
      <c r="D134" s="2344"/>
      <c r="E134" s="2344"/>
      <c r="F134" s="2344"/>
      <c r="G134" s="2344"/>
      <c r="H134" s="2344"/>
      <c r="I134" s="2344"/>
      <c r="J134" s="2344"/>
      <c r="K134" s="2344"/>
      <c r="L134" s="2344"/>
      <c r="M134" s="2344"/>
      <c r="N134" s="2344"/>
      <c r="O134" s="2344"/>
      <c r="P134" s="2344"/>
      <c r="Q134" s="2344"/>
      <c r="R134" s="2344"/>
      <c r="S134" s="2344"/>
      <c r="T134" s="2344"/>
      <c r="U134" s="2344"/>
      <c r="V134" s="2344"/>
      <c r="W134" s="1916"/>
      <c r="X134" s="2344"/>
      <c r="Y134" s="2344"/>
      <c r="Z134" s="2344"/>
      <c r="AA134" s="2344"/>
      <c r="AB134" s="2344"/>
      <c r="AC134" s="2344"/>
      <c r="AD134" s="2344"/>
      <c r="AE134" s="2344"/>
      <c r="AF134" s="2344"/>
      <c r="AG134" s="2345" t="s">
        <v>5301</v>
      </c>
      <c r="AH134" s="2345"/>
      <c r="AI134" s="2346" t="str">
        <f>"("&amp;TaxYear&amp;")"</f>
        <v>(2025)</v>
      </c>
      <c r="AJ134" s="2346"/>
      <c r="AK134" s="2013"/>
      <c r="AL134" s="253"/>
      <c r="AM134" s="253"/>
      <c r="AN134" s="2362"/>
      <c r="AO134" s="6605" t="b">
        <f>AM133&gt;AD132</f>
        <v>0</v>
      </c>
      <c r="AP134" s="658"/>
      <c r="AQ134" s="658"/>
      <c r="AR134" s="658"/>
      <c r="AS134" s="658"/>
      <c r="AT134" s="658"/>
      <c r="AU134" s="658"/>
      <c r="AV134" s="658"/>
      <c r="AW134" s="658"/>
      <c r="AX134" s="658"/>
      <c r="AY134" s="658"/>
      <c r="AZ134"/>
    </row>
    <row r="135" spans="1:52" s="815" customFormat="1" ht="18.75" customHeight="1" thickBot="1">
      <c r="A135" s="2013"/>
      <c r="B135" s="2352" t="str">
        <f>"Form 5695 ("&amp;TaxYear&amp;")"</f>
        <v>Form 5695 (2025)</v>
      </c>
      <c r="C135" s="498"/>
      <c r="D135" s="2307"/>
      <c r="E135" s="498"/>
      <c r="F135" s="498"/>
      <c r="G135" s="498"/>
      <c r="H135" s="498"/>
      <c r="I135" s="498"/>
      <c r="J135" s="498"/>
      <c r="K135" s="498"/>
      <c r="L135" s="498"/>
      <c r="M135" s="498"/>
      <c r="N135" s="2308"/>
      <c r="O135" s="498"/>
      <c r="P135" s="498"/>
      <c r="Q135" s="498"/>
      <c r="R135" s="498"/>
      <c r="S135" s="498"/>
      <c r="T135" s="2308"/>
      <c r="U135" s="2307"/>
      <c r="V135" s="498"/>
      <c r="W135" s="498"/>
      <c r="X135" s="498"/>
      <c r="Y135" s="498"/>
      <c r="Z135" s="498"/>
      <c r="AA135" s="498"/>
      <c r="AB135" s="2308"/>
      <c r="AC135" s="498"/>
      <c r="AD135" s="498"/>
      <c r="AE135" s="498"/>
      <c r="AF135" s="498"/>
      <c r="AG135" s="498"/>
      <c r="AH135" s="498"/>
      <c r="AI135" s="498"/>
      <c r="AJ135" s="2309" t="s">
        <v>5300</v>
      </c>
      <c r="AK135" s="2013"/>
      <c r="AL135" s="253"/>
      <c r="AM135" s="253"/>
      <c r="AN135" s="2362"/>
      <c r="AO135" s="6605"/>
      <c r="AP135" s="658"/>
      <c r="AQ135" s="658"/>
      <c r="AR135" s="658"/>
      <c r="AS135" s="658"/>
      <c r="AT135" s="658"/>
      <c r="AU135" s="658"/>
      <c r="AV135" s="658"/>
      <c r="AW135" s="658"/>
      <c r="AX135" s="658"/>
      <c r="AY135" s="658"/>
      <c r="AZ135"/>
    </row>
    <row r="136" spans="1:52" s="815" customFormat="1" ht="22.5" customHeight="1">
      <c r="A136" s="2013"/>
      <c r="B136" s="6421" t="s">
        <v>5322</v>
      </c>
      <c r="C136" s="6422"/>
      <c r="D136" s="6423"/>
      <c r="E136" s="6424"/>
      <c r="F136" s="6424"/>
      <c r="G136" s="6424"/>
      <c r="H136" s="6424"/>
      <c r="I136" s="6424"/>
      <c r="J136" s="6424"/>
      <c r="K136" s="6425"/>
      <c r="L136" s="6426"/>
      <c r="M136" s="6427"/>
      <c r="N136" s="6425"/>
      <c r="O136" s="6425"/>
      <c r="P136" s="6425"/>
      <c r="Q136" s="6425"/>
      <c r="R136" s="6425"/>
      <c r="S136" s="6424"/>
      <c r="T136" s="6424"/>
      <c r="U136" s="6424"/>
      <c r="V136" s="6425"/>
      <c r="W136" s="6428"/>
      <c r="X136" s="6429"/>
      <c r="Y136" s="6424"/>
      <c r="Z136" s="6424"/>
      <c r="AA136" s="6424"/>
      <c r="AB136" s="6424"/>
      <c r="AC136" s="6424"/>
      <c r="AD136" s="6424"/>
      <c r="AE136" s="6424"/>
      <c r="AF136" s="6424"/>
      <c r="AG136" s="6424"/>
      <c r="AH136" s="6424"/>
      <c r="AI136" s="6424"/>
      <c r="AJ136" s="6424"/>
      <c r="AK136" s="2013"/>
      <c r="AL136" s="253"/>
      <c r="AM136" s="226"/>
      <c r="AN136" s="2362"/>
      <c r="AO136" s="6605" t="b">
        <f>AND(AO86,NOT(AND(AO91,AO100,AO101,AO103,AO114,AO117,AO131,AO133)))</f>
        <v>0</v>
      </c>
      <c r="AP136" s="658"/>
      <c r="AQ136" s="658"/>
      <c r="AR136" s="658"/>
      <c r="AS136" s="658"/>
      <c r="AT136" s="658"/>
      <c r="AU136" s="658"/>
      <c r="AV136" s="658"/>
      <c r="AW136" s="658"/>
      <c r="AX136" s="658"/>
      <c r="AY136" s="658"/>
      <c r="AZ136"/>
    </row>
    <row r="137" spans="1:52" s="815" customFormat="1" ht="18">
      <c r="A137" s="2013"/>
      <c r="B137" s="1053" t="s">
        <v>2520</v>
      </c>
      <c r="C137" s="2298" t="s">
        <v>5324</v>
      </c>
      <c r="D137" s="2298"/>
      <c r="E137" s="344"/>
      <c r="F137" s="344"/>
      <c r="G137" s="344"/>
      <c r="H137" s="344"/>
      <c r="I137" s="344"/>
      <c r="J137" s="344"/>
      <c r="K137" s="344"/>
      <c r="L137" s="344"/>
      <c r="M137" s="344"/>
      <c r="N137" s="344"/>
      <c r="O137" s="344"/>
      <c r="P137" s="344"/>
      <c r="Q137" s="344"/>
      <c r="R137" s="344"/>
      <c r="S137" s="344"/>
      <c r="T137" s="344"/>
      <c r="U137" s="344"/>
      <c r="V137" s="344"/>
      <c r="W137" s="344"/>
      <c r="X137" s="344"/>
      <c r="Y137" s="344"/>
      <c r="Z137" s="344"/>
      <c r="AA137" s="1401"/>
      <c r="AB137" s="10212"/>
      <c r="AC137" s="10213"/>
      <c r="AD137" s="2332"/>
      <c r="AE137" s="1664"/>
      <c r="AF137" s="1664"/>
      <c r="AG137" s="1664"/>
      <c r="AH137" s="1664"/>
      <c r="AI137" s="1664"/>
      <c r="AJ137" s="1664"/>
      <c r="AK137" s="2013"/>
      <c r="AL137" s="253"/>
      <c r="AM137" s="253"/>
      <c r="AN137" s="2362"/>
      <c r="AO137" s="6605"/>
      <c r="AP137" s="658"/>
      <c r="AQ137" s="658"/>
      <c r="AR137" s="658"/>
      <c r="AS137" s="658"/>
      <c r="AT137" s="658"/>
      <c r="AU137" s="658"/>
      <c r="AV137" s="658"/>
      <c r="AW137" s="658"/>
      <c r="AX137" s="658"/>
      <c r="AY137" s="658"/>
      <c r="AZ137"/>
    </row>
    <row r="138" spans="1:52" s="815" customFormat="1" ht="21" customHeight="1">
      <c r="A138" s="2013"/>
      <c r="B138" s="2347"/>
      <c r="C138" s="2038" t="s">
        <v>6280</v>
      </c>
      <c r="D138" s="2038"/>
      <c r="E138" s="344"/>
      <c r="F138" s="344"/>
      <c r="G138" s="344"/>
      <c r="H138" s="344"/>
      <c r="I138" s="344"/>
      <c r="J138" s="344"/>
      <c r="K138" s="344"/>
      <c r="L138" s="344"/>
      <c r="M138" s="344"/>
      <c r="N138" s="344"/>
      <c r="O138" s="344"/>
      <c r="P138" s="344"/>
      <c r="Q138" s="344"/>
      <c r="R138" s="344"/>
      <c r="S138" s="344"/>
      <c r="T138" s="344"/>
      <c r="U138" s="344"/>
      <c r="V138" s="344"/>
      <c r="W138" s="344"/>
      <c r="X138" s="344"/>
      <c r="Y138" s="344"/>
      <c r="Z138" s="344"/>
      <c r="AA138" s="1401" t="s">
        <v>874</v>
      </c>
      <c r="AB138" s="10212" t="s">
        <v>2520</v>
      </c>
      <c r="AC138" s="10213"/>
      <c r="AD138" s="2332"/>
      <c r="AE138" s="2335"/>
      <c r="AF138" s="1664" t="s">
        <v>568</v>
      </c>
      <c r="AG138" s="1664"/>
      <c r="AH138" s="2336" t="str">
        <f>IF(AND(AE138="",AK138=""),"X","")</f>
        <v/>
      </c>
      <c r="AI138" s="1664" t="s">
        <v>569</v>
      </c>
      <c r="AJ138" s="1664"/>
      <c r="AK138" s="2337" t="s">
        <v>2119</v>
      </c>
      <c r="AL138" s="2338" t="s">
        <v>5284</v>
      </c>
      <c r="AM138" s="253"/>
      <c r="AN138" s="2362"/>
      <c r="AO138" s="6605" t="b">
        <f>AE138&lt;&gt;""</f>
        <v>0</v>
      </c>
      <c r="AP138" s="658"/>
      <c r="AQ138" s="658"/>
      <c r="AR138" s="658"/>
      <c r="AS138" s="658"/>
      <c r="AT138" s="658"/>
      <c r="AU138" s="658"/>
      <c r="AV138" s="658"/>
      <c r="AW138" s="658"/>
      <c r="AX138" s="658"/>
      <c r="AY138" s="658"/>
      <c r="AZ138"/>
    </row>
    <row r="139" spans="1:52" s="815" customFormat="1" ht="5.25" customHeight="1">
      <c r="A139" s="2013"/>
      <c r="B139" s="2347"/>
      <c r="C139" s="2298"/>
      <c r="D139" s="344"/>
      <c r="E139" s="344"/>
      <c r="F139" s="344"/>
      <c r="G139" s="344"/>
      <c r="H139" s="344"/>
      <c r="I139" s="344"/>
      <c r="J139" s="344"/>
      <c r="K139" s="344"/>
      <c r="L139" s="344"/>
      <c r="M139" s="344"/>
      <c r="N139" s="344"/>
      <c r="O139" s="344"/>
      <c r="P139" s="344"/>
      <c r="Q139" s="344"/>
      <c r="R139" s="344"/>
      <c r="S139" s="344"/>
      <c r="T139" s="344"/>
      <c r="U139" s="344"/>
      <c r="V139" s="344"/>
      <c r="W139" s="344"/>
      <c r="X139" s="344"/>
      <c r="Y139" s="344"/>
      <c r="Z139" s="344"/>
      <c r="AA139" s="1401"/>
      <c r="AB139" s="10222"/>
      <c r="AC139" s="10223"/>
      <c r="AD139" s="2330"/>
      <c r="AE139" s="2331"/>
      <c r="AF139" s="2331"/>
      <c r="AG139" s="2331"/>
      <c r="AH139" s="2331"/>
      <c r="AI139" s="2331"/>
      <c r="AJ139" s="2331"/>
      <c r="AK139" s="2013"/>
      <c r="AL139" s="253"/>
      <c r="AM139" s="253"/>
      <c r="AN139" s="2362"/>
      <c r="AO139" s="6605"/>
      <c r="AP139" s="658"/>
      <c r="AQ139" s="658"/>
      <c r="AR139" s="658"/>
      <c r="AS139" s="658"/>
      <c r="AT139" s="658"/>
      <c r="AU139" s="658"/>
      <c r="AV139" s="658"/>
      <c r="AW139" s="658"/>
      <c r="AX139" s="658"/>
      <c r="AY139" s="658"/>
      <c r="AZ139"/>
    </row>
    <row r="140" spans="1:52" s="815" customFormat="1" ht="5.25" customHeight="1">
      <c r="A140" s="2013"/>
      <c r="B140" s="2347"/>
      <c r="C140" s="2298"/>
      <c r="D140" s="344"/>
      <c r="E140" s="344"/>
      <c r="F140" s="344"/>
      <c r="G140" s="344"/>
      <c r="H140" s="344"/>
      <c r="I140" s="344"/>
      <c r="J140" s="344"/>
      <c r="K140" s="344"/>
      <c r="L140" s="344"/>
      <c r="M140" s="344"/>
      <c r="N140" s="344"/>
      <c r="O140" s="344"/>
      <c r="P140" s="344"/>
      <c r="Q140" s="344"/>
      <c r="R140" s="344"/>
      <c r="S140" s="344"/>
      <c r="T140" s="344"/>
      <c r="U140" s="344"/>
      <c r="V140" s="344"/>
      <c r="W140" s="344"/>
      <c r="X140" s="344"/>
      <c r="Y140" s="344"/>
      <c r="Z140" s="344"/>
      <c r="AA140" s="1401"/>
      <c r="AB140" s="10212"/>
      <c r="AC140" s="10213"/>
      <c r="AD140" s="2333"/>
      <c r="AE140" s="2334"/>
      <c r="AF140" s="2334"/>
      <c r="AG140" s="2334"/>
      <c r="AH140" s="2334"/>
      <c r="AI140" s="2334"/>
      <c r="AJ140" s="2334"/>
      <c r="AK140" s="2013"/>
      <c r="AL140" s="253"/>
      <c r="AM140" s="253"/>
      <c r="AN140" s="2362"/>
      <c r="AO140" s="6605"/>
      <c r="AP140" s="658"/>
      <c r="AQ140" s="658"/>
      <c r="AR140" s="658"/>
      <c r="AS140" s="658"/>
      <c r="AT140" s="658"/>
      <c r="AU140" s="658"/>
      <c r="AV140" s="658"/>
      <c r="AW140" s="658"/>
      <c r="AX140" s="658"/>
      <c r="AY140" s="658"/>
      <c r="AZ140"/>
    </row>
    <row r="141" spans="1:52" s="815" customFormat="1" ht="21" customHeight="1">
      <c r="A141" s="2013"/>
      <c r="B141" s="2353" t="s">
        <v>592</v>
      </c>
      <c r="C141" s="2038" t="s">
        <v>6281</v>
      </c>
      <c r="D141" s="2038"/>
      <c r="E141" s="344"/>
      <c r="F141" s="344"/>
      <c r="G141" s="344"/>
      <c r="H141" s="344"/>
      <c r="I141" s="344"/>
      <c r="J141" s="344"/>
      <c r="K141" s="344"/>
      <c r="L141" s="344"/>
      <c r="M141" s="344"/>
      <c r="N141" s="344"/>
      <c r="O141" s="344"/>
      <c r="P141" s="344"/>
      <c r="Q141" s="344"/>
      <c r="R141" s="344"/>
      <c r="S141" s="344"/>
      <c r="T141" s="344"/>
      <c r="U141" s="344"/>
      <c r="V141" s="344"/>
      <c r="W141" s="344"/>
      <c r="X141" s="344"/>
      <c r="Y141" s="344"/>
      <c r="Z141" s="344"/>
      <c r="AA141" s="1401" t="s">
        <v>874</v>
      </c>
      <c r="AB141" s="10212" t="s">
        <v>2522</v>
      </c>
      <c r="AC141" s="10213"/>
      <c r="AD141" s="2332"/>
      <c r="AE141" s="2335"/>
      <c r="AF141" s="1664" t="s">
        <v>568</v>
      </c>
      <c r="AG141" s="1664"/>
      <c r="AH141" s="2336" t="str">
        <f>IF(AND(AE141="",AK141=""),"X","")</f>
        <v/>
      </c>
      <c r="AI141" s="1664" t="s">
        <v>569</v>
      </c>
      <c r="AJ141" s="1664"/>
      <c r="AK141" s="2337" t="s">
        <v>2119</v>
      </c>
      <c r="AL141" s="2338" t="s">
        <v>5284</v>
      </c>
      <c r="AM141" s="253"/>
      <c r="AN141" s="2362"/>
      <c r="AO141" s="6605" t="b">
        <f>AE141&lt;&gt;""</f>
        <v>0</v>
      </c>
      <c r="AP141" s="658"/>
      <c r="AQ141" s="658"/>
      <c r="AR141" s="658"/>
      <c r="AS141" s="658"/>
      <c r="AT141" s="658"/>
      <c r="AU141" s="658"/>
      <c r="AV141" s="658"/>
      <c r="AW141" s="658"/>
      <c r="AX141" s="658"/>
      <c r="AY141" s="658"/>
      <c r="AZ141"/>
    </row>
    <row r="142" spans="1:52" s="815" customFormat="1" ht="5.25" customHeight="1">
      <c r="A142" s="2013"/>
      <c r="B142" s="2347"/>
      <c r="C142" s="2298"/>
      <c r="D142" s="344"/>
      <c r="E142" s="344"/>
      <c r="F142" s="344"/>
      <c r="G142" s="344"/>
      <c r="H142" s="344"/>
      <c r="I142" s="344"/>
      <c r="J142" s="344"/>
      <c r="K142" s="344"/>
      <c r="L142" s="344"/>
      <c r="M142" s="344"/>
      <c r="N142" s="344"/>
      <c r="O142" s="344"/>
      <c r="P142" s="344"/>
      <c r="Q142" s="344"/>
      <c r="R142" s="344"/>
      <c r="S142" s="344"/>
      <c r="T142" s="344"/>
      <c r="U142" s="344"/>
      <c r="V142" s="344"/>
      <c r="W142" s="344"/>
      <c r="X142" s="344"/>
      <c r="Y142" s="344"/>
      <c r="Z142" s="344"/>
      <c r="AA142" s="1401"/>
      <c r="AB142" s="10212"/>
      <c r="AC142" s="10213"/>
      <c r="AD142" s="2330"/>
      <c r="AE142" s="2331"/>
      <c r="AF142" s="2331"/>
      <c r="AG142" s="2331"/>
      <c r="AH142" s="2331"/>
      <c r="AI142" s="2331"/>
      <c r="AJ142" s="2331"/>
      <c r="AK142" s="2013"/>
      <c r="AL142" s="253"/>
      <c r="AM142" s="253"/>
      <c r="AN142" s="2362"/>
      <c r="AO142" s="6605"/>
      <c r="AP142" s="658"/>
      <c r="AQ142" s="658"/>
      <c r="AR142" s="658"/>
      <c r="AS142" s="658"/>
      <c r="AT142" s="658"/>
      <c r="AU142" s="658"/>
      <c r="AV142" s="658"/>
      <c r="AW142" s="658"/>
      <c r="AX142" s="658"/>
      <c r="AY142" s="658"/>
      <c r="AZ142"/>
    </row>
    <row r="143" spans="1:52" s="815" customFormat="1" ht="15.75" customHeight="1">
      <c r="A143" s="2013"/>
      <c r="B143" s="1053"/>
      <c r="C143" s="5998" t="s">
        <v>5325</v>
      </c>
      <c r="D143" s="2298"/>
      <c r="E143" s="344"/>
      <c r="F143" s="344"/>
      <c r="G143" s="344"/>
      <c r="H143" s="344"/>
      <c r="I143" s="344"/>
      <c r="J143" s="344"/>
      <c r="K143" s="344"/>
      <c r="L143" s="344"/>
      <c r="M143" s="344"/>
      <c r="N143" s="344"/>
      <c r="O143" s="344"/>
      <c r="P143" s="344"/>
      <c r="Q143" s="344"/>
      <c r="R143" s="344"/>
      <c r="S143" s="344"/>
      <c r="T143" s="344"/>
      <c r="U143" s="344"/>
      <c r="V143" s="344"/>
      <c r="W143" s="344"/>
      <c r="X143" s="344"/>
      <c r="Y143" s="344"/>
      <c r="Z143" s="344"/>
      <c r="AA143" s="1401"/>
      <c r="AB143" s="2339"/>
      <c r="AC143" s="2340"/>
      <c r="AD143" s="2332"/>
      <c r="AE143" s="1664"/>
      <c r="AF143" s="1664"/>
      <c r="AG143" s="1664"/>
      <c r="AH143" s="1664"/>
      <c r="AI143" s="1664"/>
      <c r="AJ143" s="1664"/>
      <c r="AK143" s="2013"/>
      <c r="AL143" s="253"/>
      <c r="AM143" s="253"/>
      <c r="AN143" s="2362"/>
      <c r="AO143" s="6605" t="b">
        <f>AND(AO138,AO141)</f>
        <v>0</v>
      </c>
      <c r="AP143" s="664"/>
      <c r="AQ143" s="658"/>
      <c r="AR143" s="658"/>
      <c r="AS143" s="658"/>
      <c r="AT143" s="658"/>
      <c r="AU143" s="658"/>
      <c r="AV143" s="658"/>
      <c r="AW143" s="658"/>
      <c r="AX143" s="658"/>
      <c r="AY143" s="658"/>
      <c r="AZ143"/>
    </row>
    <row r="144" spans="1:52" s="815" customFormat="1" ht="15.75" customHeight="1">
      <c r="A144" s="2013"/>
      <c r="B144" s="514"/>
      <c r="C144" s="5998" t="s">
        <v>5326</v>
      </c>
      <c r="D144" s="514"/>
      <c r="E144" s="514"/>
      <c r="F144" s="514"/>
      <c r="G144" s="514"/>
      <c r="H144" s="514"/>
      <c r="I144" s="514"/>
      <c r="J144" s="514"/>
      <c r="K144" s="514"/>
      <c r="L144" s="514"/>
      <c r="M144" s="514"/>
      <c r="N144" s="514"/>
      <c r="O144" s="514"/>
      <c r="P144" s="514"/>
      <c r="Q144" s="514"/>
      <c r="R144" s="514"/>
      <c r="S144" s="514"/>
      <c r="T144" s="514"/>
      <c r="U144" s="514"/>
      <c r="V144" s="514"/>
      <c r="W144" s="514"/>
      <c r="X144" s="514"/>
      <c r="Y144" s="514"/>
      <c r="Z144" s="514"/>
      <c r="AA144" s="514"/>
      <c r="AB144" s="2339"/>
      <c r="AC144" s="2340"/>
      <c r="AD144" s="514"/>
      <c r="AE144" s="514"/>
      <c r="AF144" s="514"/>
      <c r="AG144" s="514"/>
      <c r="AH144" s="514"/>
      <c r="AI144" s="514"/>
      <c r="AJ144" s="514"/>
      <c r="AK144" s="2013"/>
      <c r="AL144" s="4850" t="str">
        <f>IF(NOT(AO143),"Skip lines 22 through 25, and line 29.","")</f>
        <v>Skip lines 22 through 25, and line 29.</v>
      </c>
      <c r="AM144" s="2305"/>
      <c r="AN144" s="2362"/>
      <c r="AO144" s="6605"/>
      <c r="AP144" s="658"/>
      <c r="AQ144" s="658"/>
      <c r="AR144" s="658"/>
      <c r="AS144" s="658"/>
      <c r="AT144" s="658"/>
      <c r="AU144" s="658"/>
      <c r="AV144" s="658"/>
      <c r="AW144" s="658"/>
      <c r="AX144" s="658"/>
      <c r="AY144" s="658"/>
      <c r="AZ144"/>
    </row>
    <row r="145" spans="1:52" s="815" customFormat="1" ht="21" customHeight="1">
      <c r="A145" s="2013"/>
      <c r="B145" s="2353" t="s">
        <v>595</v>
      </c>
      <c r="C145" s="2311" t="s">
        <v>5327</v>
      </c>
      <c r="D145" s="514"/>
      <c r="E145" s="514"/>
      <c r="F145" s="514"/>
      <c r="G145" s="514"/>
      <c r="H145" s="514"/>
      <c r="I145" s="514"/>
      <c r="J145" s="514"/>
      <c r="K145" s="514"/>
      <c r="L145" s="514"/>
      <c r="M145" s="514"/>
      <c r="N145" s="514"/>
      <c r="O145" s="514"/>
      <c r="P145" s="514"/>
      <c r="Q145" s="514"/>
      <c r="R145" s="514"/>
      <c r="S145" s="514"/>
      <c r="T145" s="514"/>
      <c r="U145" s="514"/>
      <c r="V145" s="514"/>
      <c r="W145" s="514"/>
      <c r="X145" s="514"/>
      <c r="Y145" s="514"/>
      <c r="Z145" s="514"/>
      <c r="AA145" s="514"/>
      <c r="AB145" s="2339"/>
      <c r="AC145" s="2340"/>
      <c r="AD145" s="514"/>
      <c r="AE145" s="514"/>
      <c r="AF145" s="514"/>
      <c r="AG145" s="514"/>
      <c r="AH145" s="514"/>
      <c r="AI145" s="514"/>
      <c r="AJ145" s="514"/>
      <c r="AK145" s="2013"/>
      <c r="AL145" s="4851" t="str">
        <f>IF(NOT(AO143),"Go to line 26.","")</f>
        <v>Go to line 26.</v>
      </c>
      <c r="AM145" s="226"/>
      <c r="AN145" s="2362"/>
      <c r="AO145" s="6605"/>
      <c r="AP145" s="658"/>
      <c r="AQ145" s="658"/>
      <c r="AR145" s="658"/>
      <c r="AS145" s="658"/>
      <c r="AT145" s="658"/>
      <c r="AU145" s="658"/>
      <c r="AV145" s="658"/>
      <c r="AW145" s="658"/>
      <c r="AX145" s="658"/>
      <c r="AY145" s="658"/>
      <c r="AZ145"/>
    </row>
    <row r="146" spans="1:52" s="815" customFormat="1" ht="21" customHeight="1">
      <c r="A146" s="2013"/>
      <c r="B146" s="2316"/>
      <c r="C146" s="10231" t="s">
        <v>5275</v>
      </c>
      <c r="D146" s="10231"/>
      <c r="E146" s="10231"/>
      <c r="F146" s="10231"/>
      <c r="G146" s="10231"/>
      <c r="H146" s="10231"/>
      <c r="I146" s="10231"/>
      <c r="J146" s="10231"/>
      <c r="K146" s="10231"/>
      <c r="L146" s="10231"/>
      <c r="M146" s="10232"/>
      <c r="N146" s="7719" t="s">
        <v>5328</v>
      </c>
      <c r="O146" s="10231"/>
      <c r="P146" s="10232"/>
      <c r="Q146" s="7719" t="s">
        <v>5277</v>
      </c>
      <c r="R146" s="10231"/>
      <c r="S146" s="10231"/>
      <c r="T146" s="10231"/>
      <c r="U146" s="10231"/>
      <c r="V146" s="10232"/>
      <c r="W146" s="10236" t="s">
        <v>309</v>
      </c>
      <c r="X146" s="7719" t="s">
        <v>561</v>
      </c>
      <c r="Y146" s="10231"/>
      <c r="Z146" s="10231"/>
      <c r="AA146" s="10232"/>
      <c r="AB146" s="2342"/>
      <c r="AC146" s="2340"/>
      <c r="AD146" s="2316"/>
      <c r="AE146" s="2316"/>
      <c r="AF146" s="2316"/>
      <c r="AG146" s="2316"/>
      <c r="AH146" s="2316"/>
      <c r="AI146" s="2316"/>
      <c r="AJ146" s="2316"/>
      <c r="AK146" s="2013"/>
      <c r="AL146" s="253"/>
      <c r="AM146" s="512"/>
      <c r="AN146" s="2362"/>
      <c r="AO146" s="6605"/>
      <c r="AP146" s="658"/>
      <c r="AQ146" s="658"/>
      <c r="AR146" s="658"/>
      <c r="AS146" s="658"/>
      <c r="AT146" s="658"/>
      <c r="AU146" s="658"/>
      <c r="AV146" s="658"/>
      <c r="AW146" s="658"/>
      <c r="AX146" s="658"/>
      <c r="AY146" s="658"/>
      <c r="AZ146"/>
    </row>
    <row r="147" spans="1:52" s="1115" customFormat="1" ht="21" customHeight="1">
      <c r="A147" s="2290"/>
      <c r="B147" s="2316"/>
      <c r="C147" s="10234"/>
      <c r="D147" s="10234"/>
      <c r="E147" s="10234"/>
      <c r="F147" s="10234"/>
      <c r="G147" s="10234"/>
      <c r="H147" s="10234"/>
      <c r="I147" s="10234"/>
      <c r="J147" s="10234"/>
      <c r="K147" s="10234"/>
      <c r="L147" s="10234"/>
      <c r="M147" s="10235"/>
      <c r="N147" s="10233"/>
      <c r="O147" s="10234"/>
      <c r="P147" s="10235"/>
      <c r="Q147" s="10233"/>
      <c r="R147" s="10234"/>
      <c r="S147" s="10234"/>
      <c r="T147" s="10234"/>
      <c r="U147" s="10234"/>
      <c r="V147" s="10235"/>
      <c r="W147" s="10237"/>
      <c r="X147" s="10233"/>
      <c r="Y147" s="10234"/>
      <c r="Z147" s="10234"/>
      <c r="AA147" s="10235"/>
      <c r="AB147" s="2342"/>
      <c r="AC147" s="2340"/>
      <c r="AD147" s="2316"/>
      <c r="AE147" s="2316"/>
      <c r="AF147" s="2316"/>
      <c r="AG147" s="2316"/>
      <c r="AH147" s="2316"/>
      <c r="AI147" s="2316"/>
      <c r="AJ147" s="2316"/>
      <c r="AK147" s="2290"/>
      <c r="AL147" s="253"/>
      <c r="AM147" s="512"/>
      <c r="AN147" s="2363"/>
      <c r="AO147" s="6606"/>
      <c r="AP147" s="658"/>
      <c r="AQ147" s="658"/>
      <c r="AR147" s="658"/>
      <c r="AS147" s="658"/>
      <c r="AT147" s="658"/>
      <c r="AU147" s="658"/>
      <c r="AV147" s="658"/>
      <c r="AW147" s="658"/>
      <c r="AX147" s="658"/>
      <c r="AY147" s="658"/>
      <c r="AZ147" s="2293"/>
    </row>
    <row r="148" spans="1:52" s="815" customFormat="1" ht="18" customHeight="1">
      <c r="A148" s="2013"/>
      <c r="B148" s="2316"/>
      <c r="C148" s="10275"/>
      <c r="D148" s="10275"/>
      <c r="E148" s="10275"/>
      <c r="F148" s="10275"/>
      <c r="G148" s="10275"/>
      <c r="H148" s="10275"/>
      <c r="I148" s="10275"/>
      <c r="J148" s="10275"/>
      <c r="K148" s="10275"/>
      <c r="L148" s="10275"/>
      <c r="M148" s="10276"/>
      <c r="N148" s="10281"/>
      <c r="O148" s="10282"/>
      <c r="P148" s="10283"/>
      <c r="Q148" s="10277"/>
      <c r="R148" s="10275"/>
      <c r="S148" s="10275"/>
      <c r="T148" s="10275"/>
      <c r="U148" s="10275"/>
      <c r="V148" s="10276"/>
      <c r="W148" s="2355"/>
      <c r="X148" s="10278"/>
      <c r="Y148" s="10279"/>
      <c r="Z148" s="10279"/>
      <c r="AA148" s="10280"/>
      <c r="AB148" s="2342"/>
      <c r="AC148" s="2340"/>
      <c r="AD148" s="2316"/>
      <c r="AE148" s="2316"/>
      <c r="AF148" s="2316"/>
      <c r="AG148" s="2316"/>
      <c r="AH148" s="2316"/>
      <c r="AI148" s="2316"/>
      <c r="AJ148" s="2316"/>
      <c r="AK148" s="2013"/>
      <c r="AL148" s="253"/>
      <c r="AM148" s="512"/>
      <c r="AN148" s="2362"/>
      <c r="AO148" s="6605" t="b">
        <f>AND(C148="",N148="",Q148="",W148="",X148="")</f>
        <v>1</v>
      </c>
      <c r="AP148" s="2382"/>
      <c r="AQ148" s="658"/>
      <c r="AR148" s="658"/>
      <c r="AS148" s="658"/>
      <c r="AT148" s="658"/>
      <c r="AU148" s="658"/>
      <c r="AV148" s="658"/>
      <c r="AW148" s="658"/>
      <c r="AX148" s="658"/>
      <c r="AY148" s="658"/>
      <c r="AZ148"/>
    </row>
    <row r="149" spans="1:52" s="1239" customFormat="1" ht="18" customHeight="1">
      <c r="A149" s="2306"/>
      <c r="B149" s="2316"/>
      <c r="C149" s="10275"/>
      <c r="D149" s="10275"/>
      <c r="E149" s="10275"/>
      <c r="F149" s="10275"/>
      <c r="G149" s="10275"/>
      <c r="H149" s="10275"/>
      <c r="I149" s="10275"/>
      <c r="J149" s="10275"/>
      <c r="K149" s="10275"/>
      <c r="L149" s="10275"/>
      <c r="M149" s="10276"/>
      <c r="N149" s="10281"/>
      <c r="O149" s="10282"/>
      <c r="P149" s="10283"/>
      <c r="Q149" s="10277"/>
      <c r="R149" s="10275"/>
      <c r="S149" s="10275"/>
      <c r="T149" s="10275"/>
      <c r="U149" s="10275"/>
      <c r="V149" s="10276"/>
      <c r="W149" s="2355"/>
      <c r="X149" s="10278"/>
      <c r="Y149" s="10279"/>
      <c r="Z149" s="10279"/>
      <c r="AA149" s="10280"/>
      <c r="AB149" s="2342"/>
      <c r="AC149" s="2340"/>
      <c r="AD149" s="2316"/>
      <c r="AE149" s="2316"/>
      <c r="AF149" s="2316"/>
      <c r="AG149" s="2316"/>
      <c r="AH149" s="2316"/>
      <c r="AI149" s="2316"/>
      <c r="AJ149" s="2316"/>
      <c r="AK149" s="2306"/>
      <c r="AL149" s="411"/>
      <c r="AM149" s="2305"/>
      <c r="AN149" s="2366"/>
      <c r="AO149" s="6605" t="b">
        <f>AND(C149="",N149="",Q149="",W149="",X149="")</f>
        <v>1</v>
      </c>
      <c r="AP149" s="665"/>
      <c r="AQ149" s="665"/>
      <c r="AR149" s="665"/>
      <c r="AS149" s="665"/>
      <c r="AT149" s="665"/>
      <c r="AU149" s="665"/>
      <c r="AV149" s="665"/>
      <c r="AW149" s="665"/>
      <c r="AX149" s="665"/>
      <c r="AY149" s="665"/>
      <c r="AZ149" s="141"/>
    </row>
    <row r="150" spans="1:52" s="1239" customFormat="1" ht="18" customHeight="1">
      <c r="A150" s="2306"/>
      <c r="B150" s="2316"/>
      <c r="C150" s="10275"/>
      <c r="D150" s="10275"/>
      <c r="E150" s="10275"/>
      <c r="F150" s="10275"/>
      <c r="G150" s="10275"/>
      <c r="H150" s="10275"/>
      <c r="I150" s="10275"/>
      <c r="J150" s="10275"/>
      <c r="K150" s="10275"/>
      <c r="L150" s="10275"/>
      <c r="M150" s="10276"/>
      <c r="N150" s="10281"/>
      <c r="O150" s="10282"/>
      <c r="P150" s="10283"/>
      <c r="Q150" s="10277"/>
      <c r="R150" s="10275"/>
      <c r="S150" s="10275"/>
      <c r="T150" s="10275"/>
      <c r="U150" s="10275"/>
      <c r="V150" s="10276"/>
      <c r="W150" s="2355"/>
      <c r="X150" s="10278"/>
      <c r="Y150" s="10279"/>
      <c r="Z150" s="10279"/>
      <c r="AA150" s="10280"/>
      <c r="AB150" s="2342"/>
      <c r="AC150" s="2340"/>
      <c r="AD150" s="2316"/>
      <c r="AE150" s="2316"/>
      <c r="AF150" s="2316"/>
      <c r="AG150" s="2316"/>
      <c r="AH150" s="2316"/>
      <c r="AI150" s="2316"/>
      <c r="AJ150" s="2316"/>
      <c r="AK150" s="2306"/>
      <c r="AL150" s="411"/>
      <c r="AM150" s="2305"/>
      <c r="AN150" s="2366"/>
      <c r="AO150" s="6605" t="b">
        <f>AND(C150="",N150="",Q150="",W150="",X150="")</f>
        <v>1</v>
      </c>
      <c r="AP150" s="665"/>
      <c r="AQ150" s="665"/>
      <c r="AR150" s="665"/>
      <c r="AS150" s="665"/>
      <c r="AT150" s="665"/>
      <c r="AU150" s="665"/>
      <c r="AV150" s="665"/>
      <c r="AW150" s="665"/>
      <c r="AX150" s="665"/>
      <c r="AY150" s="665"/>
      <c r="AZ150" s="141"/>
    </row>
    <row r="151" spans="1:52" s="1239" customFormat="1" ht="18" customHeight="1">
      <c r="A151" s="2306"/>
      <c r="B151" s="2316"/>
      <c r="C151" s="10275"/>
      <c r="D151" s="10275"/>
      <c r="E151" s="10275"/>
      <c r="F151" s="10275"/>
      <c r="G151" s="10275"/>
      <c r="H151" s="10275"/>
      <c r="I151" s="10275"/>
      <c r="J151" s="10275"/>
      <c r="K151" s="10275"/>
      <c r="L151" s="10275"/>
      <c r="M151" s="10276"/>
      <c r="N151" s="10281"/>
      <c r="O151" s="10282"/>
      <c r="P151" s="10283"/>
      <c r="Q151" s="10277"/>
      <c r="R151" s="10275"/>
      <c r="S151" s="10275"/>
      <c r="T151" s="10275"/>
      <c r="U151" s="10275"/>
      <c r="V151" s="10276"/>
      <c r="W151" s="2355"/>
      <c r="X151" s="10278"/>
      <c r="Y151" s="10279"/>
      <c r="Z151" s="10279"/>
      <c r="AA151" s="10280"/>
      <c r="AB151" s="2342"/>
      <c r="AC151" s="2340"/>
      <c r="AD151" s="2316"/>
      <c r="AE151" s="2316"/>
      <c r="AF151" s="2316"/>
      <c r="AG151" s="2316"/>
      <c r="AH151" s="2316"/>
      <c r="AI151" s="2316"/>
      <c r="AJ151" s="2316"/>
      <c r="AK151" s="2306"/>
      <c r="AL151" s="411"/>
      <c r="AM151" s="2305"/>
      <c r="AN151" s="2366"/>
      <c r="AO151" s="6605" t="b">
        <f>AND(C151="",N151="",Q151="",W151="",X151="")</f>
        <v>1</v>
      </c>
      <c r="AP151" s="665"/>
      <c r="AQ151" s="665"/>
      <c r="AR151" s="665"/>
      <c r="AS151" s="665"/>
      <c r="AT151" s="665"/>
      <c r="AU151" s="665"/>
      <c r="AV151" s="665"/>
      <c r="AW151" s="665"/>
      <c r="AX151" s="665"/>
      <c r="AY151" s="665"/>
      <c r="AZ151" s="141"/>
    </row>
    <row r="152" spans="1:52" s="1239" customFormat="1" ht="11.25" customHeight="1">
      <c r="A152" s="2306"/>
      <c r="B152" s="2316"/>
      <c r="C152" s="2316"/>
      <c r="D152" s="2316"/>
      <c r="E152" s="2316"/>
      <c r="F152" s="2316"/>
      <c r="G152" s="2316"/>
      <c r="H152" s="2316"/>
      <c r="I152" s="2316"/>
      <c r="J152" s="2316"/>
      <c r="K152" s="2316"/>
      <c r="L152" s="2316"/>
      <c r="M152" s="2316"/>
      <c r="N152" s="2316"/>
      <c r="O152" s="2316"/>
      <c r="P152" s="2316"/>
      <c r="Q152" s="2316"/>
      <c r="R152" s="2316"/>
      <c r="S152" s="2316"/>
      <c r="T152" s="2316"/>
      <c r="U152" s="2316"/>
      <c r="V152" s="2349"/>
      <c r="W152" s="2316"/>
      <c r="X152" s="2316"/>
      <c r="Y152" s="2316"/>
      <c r="Z152" s="2316"/>
      <c r="AA152" s="2316"/>
      <c r="AB152" s="2339"/>
      <c r="AC152" s="2340"/>
      <c r="AD152" s="2316"/>
      <c r="AE152" s="2316"/>
      <c r="AF152" s="2316"/>
      <c r="AG152" s="2316"/>
      <c r="AH152" s="2316"/>
      <c r="AI152" s="2316"/>
      <c r="AJ152" s="2316"/>
      <c r="AK152" s="2306"/>
      <c r="AL152" s="411"/>
      <c r="AM152" s="2305"/>
      <c r="AN152" s="2366"/>
      <c r="AO152" s="6605" t="b">
        <f>AND(C152="",N152="",Q152="",W152="",X152="")</f>
        <v>1</v>
      </c>
      <c r="AP152" s="665"/>
      <c r="AQ152" s="665"/>
      <c r="AR152" s="665"/>
      <c r="AS152" s="665"/>
      <c r="AT152" s="665"/>
      <c r="AU152" s="665"/>
      <c r="AV152" s="665"/>
      <c r="AW152" s="665"/>
      <c r="AX152" s="665"/>
      <c r="AY152" s="665"/>
      <c r="AZ152" s="141"/>
    </row>
    <row r="153" spans="1:52" s="815" customFormat="1" ht="16.5" customHeight="1">
      <c r="A153" s="2013"/>
      <c r="B153" s="2347">
        <v>22</v>
      </c>
      <c r="C153" s="6430" t="s">
        <v>6522</v>
      </c>
      <c r="D153" s="511"/>
      <c r="E153" s="344"/>
      <c r="F153" s="344"/>
      <c r="G153" s="344"/>
      <c r="H153" s="344"/>
      <c r="I153" s="344"/>
      <c r="J153" s="344"/>
      <c r="K153" s="1061"/>
      <c r="L153" s="2300"/>
      <c r="M153" s="2301"/>
      <c r="N153" s="1061"/>
      <c r="O153" s="1061"/>
      <c r="P153" s="1061"/>
      <c r="Q153" s="1061"/>
      <c r="R153" s="1061"/>
      <c r="S153" s="344"/>
      <c r="T153" s="344"/>
      <c r="U153" s="1401"/>
      <c r="V153" s="2349"/>
      <c r="W153" s="1204"/>
      <c r="X153" s="1205"/>
      <c r="Y153" s="1205"/>
      <c r="Z153" s="1205"/>
      <c r="AA153" s="1401"/>
      <c r="AB153" s="2339"/>
      <c r="AC153" s="2340"/>
      <c r="AD153" s="1803"/>
      <c r="AE153" s="1806"/>
      <c r="AF153" s="1806"/>
      <c r="AG153" s="1806"/>
      <c r="AH153" s="1806"/>
      <c r="AI153" s="1806"/>
      <c r="AJ153" s="1806"/>
      <c r="AK153" s="2013"/>
      <c r="AL153" s="253"/>
      <c r="AM153" s="226"/>
      <c r="AN153" s="2362"/>
      <c r="AO153" s="6605"/>
      <c r="AP153" s="658"/>
      <c r="AQ153" s="658"/>
      <c r="AR153" s="658"/>
      <c r="AS153" s="658"/>
      <c r="AT153" s="658"/>
      <c r="AU153" s="658"/>
      <c r="AV153" s="658"/>
      <c r="AW153" s="658"/>
      <c r="AX153" s="658"/>
      <c r="AY153" s="658"/>
      <c r="AZ153"/>
    </row>
    <row r="154" spans="1:52" s="815" customFormat="1" ht="16.5" customHeight="1">
      <c r="A154" s="2013"/>
      <c r="B154" s="2353"/>
      <c r="C154" s="6430" t="s">
        <v>6521</v>
      </c>
      <c r="D154" s="511"/>
      <c r="E154" s="344"/>
      <c r="F154" s="344"/>
      <c r="G154" s="344"/>
      <c r="H154" s="344"/>
      <c r="I154" s="344"/>
      <c r="J154" s="344"/>
      <c r="K154" s="1061"/>
      <c r="L154" s="2300"/>
      <c r="M154" s="2301"/>
      <c r="N154" s="1061"/>
      <c r="O154" s="1061"/>
      <c r="P154" s="1061"/>
      <c r="Q154" s="1061"/>
      <c r="R154" s="1061"/>
      <c r="S154" s="344"/>
      <c r="T154" s="344"/>
      <c r="U154" s="344"/>
      <c r="V154" s="2349"/>
      <c r="W154" s="1204"/>
      <c r="X154" s="1205"/>
      <c r="Y154" s="1205"/>
      <c r="Z154" s="1205"/>
      <c r="AA154" s="1401"/>
      <c r="AB154" s="2339"/>
      <c r="AC154" s="2340"/>
      <c r="AD154" s="1803"/>
      <c r="AE154" s="1806"/>
      <c r="AF154" s="1806"/>
      <c r="AG154" s="1806"/>
      <c r="AH154" s="1806"/>
      <c r="AI154" s="1806"/>
      <c r="AJ154" s="1806"/>
      <c r="AK154" s="2013"/>
      <c r="AL154" s="253"/>
      <c r="AM154" s="226" t="s">
        <v>979</v>
      </c>
      <c r="AN154" s="2362"/>
      <c r="AO154" s="6605"/>
      <c r="AP154" s="658"/>
      <c r="AQ154" s="658"/>
      <c r="AR154" s="658"/>
      <c r="AS154" s="658"/>
      <c r="AT154" s="658"/>
      <c r="AU154" s="658"/>
      <c r="AV154" s="658"/>
      <c r="AW154" s="658"/>
      <c r="AX154" s="658"/>
      <c r="AY154" s="658"/>
      <c r="AZ154"/>
    </row>
    <row r="155" spans="1:52" s="815" customFormat="1" ht="21.75" customHeight="1">
      <c r="A155" s="2013"/>
      <c r="B155" s="2353" t="s">
        <v>588</v>
      </c>
      <c r="C155" s="2299" t="s">
        <v>6282</v>
      </c>
      <c r="D155" s="511"/>
      <c r="E155" s="344"/>
      <c r="F155" s="344"/>
      <c r="G155" s="344"/>
      <c r="H155" s="344"/>
      <c r="I155" s="344"/>
      <c r="J155" s="344"/>
      <c r="K155" s="1061"/>
      <c r="L155" s="2300"/>
      <c r="M155" s="2301"/>
      <c r="N155" s="1061"/>
      <c r="O155" s="1061"/>
      <c r="P155" s="1061"/>
      <c r="Q155" s="1061"/>
      <c r="R155" s="1061"/>
      <c r="S155" s="344"/>
      <c r="T155" s="344"/>
      <c r="U155" s="344"/>
      <c r="V155" s="2351"/>
      <c r="W155" s="6410"/>
      <c r="X155" s="6411"/>
      <c r="Y155" s="6411"/>
      <c r="Z155" s="6411"/>
      <c r="AA155" s="6412"/>
      <c r="AB155" s="2339"/>
      <c r="AC155" s="2340"/>
      <c r="AD155" s="1803"/>
      <c r="AE155" s="1806"/>
      <c r="AF155" s="1806"/>
      <c r="AG155" s="1806"/>
      <c r="AH155" s="1806"/>
      <c r="AI155" s="1806"/>
      <c r="AJ155" s="1806"/>
      <c r="AK155" s="2013"/>
      <c r="AL155" s="253"/>
      <c r="AM155" s="5425" t="s">
        <v>931</v>
      </c>
      <c r="AN155" s="2362"/>
      <c r="AO155" s="6605"/>
      <c r="AP155" s="658"/>
      <c r="AQ155" s="658"/>
      <c r="AR155" s="658"/>
      <c r="AS155" s="658"/>
      <c r="AT155" s="658"/>
      <c r="AU155" s="658"/>
      <c r="AV155" s="658"/>
      <c r="AW155" s="658"/>
      <c r="AX155" s="658"/>
      <c r="AY155" s="658"/>
      <c r="AZ155"/>
    </row>
    <row r="156" spans="1:52" s="815" customFormat="1" ht="18">
      <c r="A156" s="2013"/>
      <c r="B156" s="2353"/>
      <c r="C156" s="2381" t="s">
        <v>6283</v>
      </c>
      <c r="D156" s="511"/>
      <c r="E156" s="344"/>
      <c r="F156" s="344"/>
      <c r="G156" s="344"/>
      <c r="H156" s="344"/>
      <c r="I156" s="344"/>
      <c r="J156" s="344"/>
      <c r="K156" s="1061"/>
      <c r="L156" s="2300"/>
      <c r="M156" s="2301"/>
      <c r="N156" s="1061"/>
      <c r="O156" s="1061"/>
      <c r="P156" s="1061"/>
      <c r="Q156" s="1061"/>
      <c r="R156" s="1061"/>
      <c r="S156" s="344"/>
      <c r="T156" s="344"/>
      <c r="U156" s="1401" t="s">
        <v>793</v>
      </c>
      <c r="V156" s="2350" t="s">
        <v>3353</v>
      </c>
      <c r="W156" s="10214"/>
      <c r="X156" s="10214"/>
      <c r="Y156" s="10214"/>
      <c r="Z156" s="10214"/>
      <c r="AA156" s="10215"/>
      <c r="AB156" s="2339"/>
      <c r="AC156" s="2340"/>
      <c r="AD156" s="1803"/>
      <c r="AE156" s="1806"/>
      <c r="AF156" s="1806"/>
      <c r="AG156" s="1806"/>
      <c r="AH156" s="1806"/>
      <c r="AI156" s="1806"/>
      <c r="AJ156" s="1806"/>
      <c r="AK156" s="2013"/>
      <c r="AL156" s="253"/>
      <c r="AM156" s="226"/>
      <c r="AN156" s="2362"/>
      <c r="AO156" s="6605" t="b">
        <f>AND(W156="",AM160="")</f>
        <v>1</v>
      </c>
      <c r="AP156" s="658"/>
      <c r="AQ156" s="658"/>
      <c r="AR156" s="658"/>
      <c r="AS156" s="658"/>
      <c r="AT156" s="658"/>
      <c r="AU156" s="658"/>
      <c r="AV156" s="658"/>
      <c r="AW156" s="658"/>
      <c r="AX156" s="658"/>
      <c r="AY156" s="658"/>
      <c r="AZ156"/>
    </row>
    <row r="157" spans="1:52" s="815" customFormat="1" ht="9" customHeight="1">
      <c r="A157" s="2013"/>
      <c r="B157" s="2353"/>
      <c r="C157" s="2353"/>
      <c r="D157" s="2353"/>
      <c r="E157" s="2353"/>
      <c r="F157" s="2353"/>
      <c r="G157" s="2353"/>
      <c r="H157" s="2353"/>
      <c r="I157" s="2353"/>
      <c r="J157" s="2353"/>
      <c r="K157" s="2353"/>
      <c r="L157" s="2353"/>
      <c r="M157" s="2353"/>
      <c r="N157" s="2353"/>
      <c r="O157" s="2353"/>
      <c r="P157" s="2353"/>
      <c r="Q157" s="2353"/>
      <c r="R157" s="2353"/>
      <c r="S157" s="2353"/>
      <c r="T157" s="2353"/>
      <c r="U157" s="2353"/>
      <c r="V157" s="6434"/>
      <c r="W157" s="2353"/>
      <c r="X157" s="2353"/>
      <c r="Y157" s="2353"/>
      <c r="Z157" s="2353"/>
      <c r="AA157" s="2353"/>
      <c r="AB157" s="2339"/>
      <c r="AC157" s="2340"/>
      <c r="AD157" s="1803"/>
      <c r="AE157" s="1806"/>
      <c r="AF157" s="1806"/>
      <c r="AG157" s="1806"/>
      <c r="AH157" s="1806"/>
      <c r="AI157" s="1806"/>
      <c r="AJ157" s="1806"/>
      <c r="AK157" s="2013"/>
      <c r="AL157" s="253"/>
      <c r="AM157" s="226"/>
      <c r="AN157" s="2362"/>
      <c r="AO157" s="6605"/>
      <c r="AP157" s="658"/>
      <c r="AQ157" s="658"/>
      <c r="AR157" s="658"/>
      <c r="AS157" s="658"/>
      <c r="AT157" s="658"/>
      <c r="AU157" s="658"/>
      <c r="AV157" s="658"/>
      <c r="AW157" s="658"/>
      <c r="AX157" s="658"/>
      <c r="AY157" s="658"/>
      <c r="AZ157"/>
    </row>
    <row r="158" spans="1:52" s="815" customFormat="1" ht="21.75" customHeight="1">
      <c r="A158" s="2013"/>
      <c r="B158" s="6417"/>
      <c r="C158" s="6415"/>
      <c r="D158" s="6416"/>
      <c r="E158" s="6416"/>
      <c r="F158" s="6416"/>
      <c r="G158" s="6447"/>
      <c r="H158" s="6447"/>
      <c r="I158" s="6447"/>
      <c r="J158" s="6447"/>
      <c r="K158" s="6447"/>
      <c r="L158" s="6448"/>
      <c r="M158" s="6449"/>
      <c r="N158" s="6447"/>
      <c r="O158" s="6447"/>
      <c r="P158" s="6447"/>
      <c r="Q158" s="6447"/>
      <c r="R158" s="6447"/>
      <c r="S158" s="6447"/>
      <c r="T158" s="344"/>
      <c r="U158" s="6411"/>
      <c r="V158" s="6435"/>
      <c r="W158" s="6411"/>
      <c r="X158" s="6411"/>
      <c r="Y158" s="6411"/>
      <c r="Z158" s="6411"/>
      <c r="AA158" s="6412"/>
      <c r="AB158" s="2339"/>
      <c r="AC158" s="2340"/>
      <c r="AD158" s="1803"/>
      <c r="AE158" s="1806"/>
      <c r="AF158" s="1806"/>
      <c r="AG158" s="1806"/>
      <c r="AH158" s="1806"/>
      <c r="AI158" s="1806"/>
      <c r="AJ158" s="1806"/>
      <c r="AK158" s="2013"/>
      <c r="AL158" s="253"/>
      <c r="AM158" s="226"/>
      <c r="AN158" s="2362"/>
      <c r="AO158" s="6605"/>
      <c r="AP158" s="658"/>
      <c r="AQ158" s="658"/>
      <c r="AR158" s="658"/>
      <c r="AS158" s="658"/>
      <c r="AT158" s="658"/>
      <c r="AU158" s="658"/>
      <c r="AV158" s="658"/>
      <c r="AW158" s="658"/>
      <c r="AX158" s="658"/>
      <c r="AY158" s="658"/>
      <c r="AZ158"/>
    </row>
    <row r="159" spans="1:52" s="815" customFormat="1" ht="6" customHeight="1" thickBot="1">
      <c r="A159" s="2013"/>
      <c r="B159" s="6417"/>
      <c r="C159" s="6418"/>
      <c r="D159" s="6418"/>
      <c r="E159" s="6418"/>
      <c r="F159" s="6418"/>
      <c r="G159" s="6418"/>
      <c r="H159" s="6418"/>
      <c r="I159" s="6418"/>
      <c r="J159" s="6418"/>
      <c r="K159" s="6418"/>
      <c r="L159" s="6418"/>
      <c r="M159" s="6418"/>
      <c r="N159" s="6418"/>
      <c r="O159" s="6418"/>
      <c r="P159" s="6418"/>
      <c r="Q159" s="6418"/>
      <c r="R159" s="6418"/>
      <c r="S159" s="6418"/>
      <c r="T159" s="6418"/>
      <c r="U159" s="6418"/>
      <c r="V159" s="6436"/>
      <c r="W159" s="6418"/>
      <c r="X159" s="6418"/>
      <c r="Y159" s="6418"/>
      <c r="Z159" s="6418"/>
      <c r="AA159" s="6412"/>
      <c r="AB159" s="2339"/>
      <c r="AC159" s="2340"/>
      <c r="AD159" s="1803"/>
      <c r="AE159" s="1806"/>
      <c r="AF159" s="1806"/>
      <c r="AG159" s="1806"/>
      <c r="AH159" s="1806"/>
      <c r="AI159" s="1806"/>
      <c r="AJ159" s="1806"/>
      <c r="AK159" s="2013"/>
      <c r="AL159" s="253"/>
      <c r="AM159" s="226"/>
      <c r="AN159" s="2362"/>
      <c r="AO159" s="6605"/>
      <c r="AP159" s="658"/>
      <c r="AQ159" s="658"/>
      <c r="AR159" s="658"/>
      <c r="AS159" s="658"/>
      <c r="AT159" s="658"/>
      <c r="AU159" s="658"/>
      <c r="AV159" s="658"/>
      <c r="AW159" s="658"/>
      <c r="AX159" s="658"/>
      <c r="AY159" s="658"/>
      <c r="AZ159"/>
    </row>
    <row r="160" spans="1:52" s="815" customFormat="1" ht="21" customHeight="1" thickBot="1">
      <c r="A160" s="2013"/>
      <c r="B160" s="2353" t="s">
        <v>592</v>
      </c>
      <c r="C160" s="2299" t="s">
        <v>6284</v>
      </c>
      <c r="D160" s="511"/>
      <c r="E160" s="344"/>
      <c r="F160" s="344"/>
      <c r="G160" s="344"/>
      <c r="H160" s="344"/>
      <c r="I160" s="344"/>
      <c r="J160" s="344"/>
      <c r="K160" s="1061"/>
      <c r="L160" s="2300"/>
      <c r="M160" s="2301"/>
      <c r="N160" s="1061"/>
      <c r="O160" s="1061"/>
      <c r="P160" s="1061"/>
      <c r="Q160" s="1061"/>
      <c r="R160" s="1061"/>
      <c r="S160" s="344"/>
      <c r="T160" s="344"/>
      <c r="U160" s="1401" t="s">
        <v>6285</v>
      </c>
      <c r="V160" s="2350" t="s">
        <v>3355</v>
      </c>
      <c r="W160" s="10208" t="str">
        <f>IF($AO$156,"",IF(AM160="",0,ROUND(AM160,0)))</f>
        <v/>
      </c>
      <c r="X160" s="10208"/>
      <c r="Y160" s="10208"/>
      <c r="Z160" s="10208"/>
      <c r="AA160" s="10209"/>
      <c r="AB160" s="2339"/>
      <c r="AC160" s="2340"/>
      <c r="AD160" s="10219"/>
      <c r="AE160" s="10220"/>
      <c r="AF160" s="10220"/>
      <c r="AG160" s="10220"/>
      <c r="AH160" s="10220"/>
      <c r="AI160" s="10220"/>
      <c r="AJ160" s="10220"/>
      <c r="AK160" s="2013"/>
      <c r="AL160" s="253"/>
      <c r="AM160" s="2361"/>
      <c r="AN160" s="2362"/>
      <c r="AO160" s="6605" t="b">
        <f>W160=""</f>
        <v>1</v>
      </c>
      <c r="AP160" s="658"/>
      <c r="AQ160" s="658"/>
      <c r="AR160" s="658"/>
      <c r="AS160" s="658"/>
      <c r="AT160" s="658"/>
      <c r="AU160" s="658"/>
      <c r="AV160" s="658"/>
      <c r="AW160" s="658"/>
      <c r="AX160" s="658"/>
      <c r="AY160" s="658"/>
      <c r="AZ160"/>
    </row>
    <row r="161" spans="1:52" s="815" customFormat="1" ht="21.75" customHeight="1" thickBot="1">
      <c r="A161" s="2013"/>
      <c r="B161" s="2353" t="s">
        <v>595</v>
      </c>
      <c r="C161" s="1323" t="s">
        <v>6286</v>
      </c>
      <c r="D161" s="514"/>
      <c r="E161" s="514"/>
      <c r="F161" s="514"/>
      <c r="G161" s="514"/>
      <c r="H161" s="514"/>
      <c r="I161" s="514"/>
      <c r="J161" s="514"/>
      <c r="K161" s="514"/>
      <c r="L161" s="514"/>
      <c r="M161" s="514"/>
      <c r="N161" s="514"/>
      <c r="O161" s="514"/>
      <c r="P161" s="514"/>
      <c r="Q161" s="514"/>
      <c r="R161" s="514"/>
      <c r="S161" s="514"/>
      <c r="T161" s="514"/>
      <c r="U161" s="1401" t="s">
        <v>887</v>
      </c>
      <c r="V161" s="2350" t="s">
        <v>3357</v>
      </c>
      <c r="W161" s="10208" t="str">
        <f>IF(AND($AO$156,$AO$160),"",SUM(ROUND(W156,0),W160))</f>
        <v/>
      </c>
      <c r="X161" s="10208"/>
      <c r="Y161" s="10208"/>
      <c r="Z161" s="10208"/>
      <c r="AA161" s="10209"/>
      <c r="AB161" s="2339"/>
      <c r="AC161" s="2340"/>
      <c r="AD161" s="10217">
        <v>0.3</v>
      </c>
      <c r="AE161" s="10218"/>
      <c r="AF161" s="10218"/>
      <c r="AG161" s="10211">
        <v>600</v>
      </c>
      <c r="AH161" s="10211"/>
      <c r="AI161" s="10211"/>
      <c r="AJ161" s="10211"/>
      <c r="AK161" s="2013"/>
      <c r="AL161" s="253"/>
      <c r="AM161" s="226"/>
      <c r="AN161" s="2362"/>
      <c r="AO161" s="6605"/>
      <c r="AP161" s="658"/>
      <c r="AQ161" s="658"/>
      <c r="AR161" s="658"/>
      <c r="AS161" s="658"/>
      <c r="AT161" s="658"/>
      <c r="AU161" s="658"/>
      <c r="AV161" s="658"/>
      <c r="AW161" s="658"/>
      <c r="AX161" s="658"/>
      <c r="AY161" s="658"/>
      <c r="AZ161"/>
    </row>
    <row r="162" spans="1:52" s="815" customFormat="1" ht="21" customHeight="1" thickBot="1">
      <c r="A162" s="2013"/>
      <c r="B162" s="2328" t="s">
        <v>599</v>
      </c>
      <c r="C162" s="2299" t="str">
        <f>"Multiply line 22c by "&amp;TEXT($AD$100,"0%")&amp;" ("&amp;TEXT($AD$100,"0.00")&amp;").  Enter the results."</f>
        <v>Multiply line 22c by 30% (0.30).  Enter the results.</v>
      </c>
      <c r="D162" s="511"/>
      <c r="E162" s="344"/>
      <c r="F162" s="344"/>
      <c r="G162" s="344"/>
      <c r="H162" s="344"/>
      <c r="I162" s="344"/>
      <c r="J162" s="344"/>
      <c r="K162" s="344"/>
      <c r="L162" s="344"/>
      <c r="M162" s="344"/>
      <c r="N162" s="2298"/>
      <c r="O162" s="2298"/>
      <c r="P162" s="2300"/>
      <c r="Q162" s="2301"/>
      <c r="R162" s="4998"/>
      <c r="S162" s="4998" t="s">
        <v>6299</v>
      </c>
      <c r="T162" s="2298" t="str">
        <f>TEXT($AD$132,"$0")</f>
        <v>$600</v>
      </c>
      <c r="U162" s="344"/>
      <c r="V162" s="344"/>
      <c r="W162" s="344"/>
      <c r="X162" s="344"/>
      <c r="Y162" s="344"/>
      <c r="Z162" s="344"/>
      <c r="AA162" s="1401" t="s">
        <v>874</v>
      </c>
      <c r="AB162" s="10212" t="s">
        <v>3359</v>
      </c>
      <c r="AC162" s="10213"/>
      <c r="AD162" s="10221" t="str">
        <f>IF(AM162&lt;&gt;"",ROUND(AM162,0),IF(AND(AO156,AO160),"",MIN(ROUND(W161*$AD$161,0),$AG$161)))</f>
        <v/>
      </c>
      <c r="AE162" s="10208"/>
      <c r="AF162" s="10208"/>
      <c r="AG162" s="10208"/>
      <c r="AH162" s="10208"/>
      <c r="AI162" s="10208"/>
      <c r="AJ162" s="10208"/>
      <c r="AK162" s="2013"/>
      <c r="AL162" s="253"/>
      <c r="AM162" s="2361"/>
      <c r="AN162" s="2362"/>
      <c r="AO162" s="6605" t="b">
        <f>AD162=""</f>
        <v>1</v>
      </c>
      <c r="AP162" s="658"/>
      <c r="AQ162" s="658"/>
      <c r="AR162" s="658"/>
      <c r="AS162" s="658"/>
      <c r="AT162" s="658"/>
      <c r="AU162" s="658"/>
      <c r="AV162" s="658"/>
      <c r="AW162" s="658"/>
      <c r="AX162" s="658"/>
      <c r="AY162" s="658"/>
      <c r="AZ162"/>
    </row>
    <row r="163" spans="1:52" s="815" customFormat="1" ht="21" customHeight="1">
      <c r="A163" s="2013"/>
      <c r="B163" s="2353" t="s">
        <v>2374</v>
      </c>
      <c r="C163" s="2299" t="s">
        <v>6287</v>
      </c>
      <c r="D163" s="511"/>
      <c r="E163" s="344"/>
      <c r="F163" s="344"/>
      <c r="G163" s="344"/>
      <c r="H163" s="344"/>
      <c r="I163" s="344"/>
      <c r="J163" s="344"/>
      <c r="K163" s="1061"/>
      <c r="L163" s="2300"/>
      <c r="M163" s="2301"/>
      <c r="N163" s="1061"/>
      <c r="O163" s="1061"/>
      <c r="P163" s="1061"/>
      <c r="Q163" s="1061"/>
      <c r="R163" s="1061"/>
      <c r="S163" s="344"/>
      <c r="T163" s="344"/>
      <c r="U163" s="1401"/>
      <c r="V163" s="2351"/>
      <c r="W163" s="6418"/>
      <c r="X163" s="6418"/>
      <c r="Y163" s="6418"/>
      <c r="Z163" s="6418"/>
      <c r="AA163" s="6412"/>
      <c r="AB163" s="2339"/>
      <c r="AC163" s="2340"/>
      <c r="AD163" s="1803"/>
      <c r="AE163" s="1806"/>
      <c r="AF163" s="1806"/>
      <c r="AG163" s="1806"/>
      <c r="AH163" s="1806"/>
      <c r="AI163" s="1806"/>
      <c r="AJ163" s="1806"/>
      <c r="AK163" s="2013"/>
      <c r="AL163" s="253"/>
      <c r="AM163" s="226"/>
      <c r="AN163" s="2362"/>
      <c r="AO163" s="6605" t="b">
        <f>W163=""</f>
        <v>1</v>
      </c>
      <c r="AP163" s="658"/>
      <c r="AQ163" s="658"/>
      <c r="AR163" s="658"/>
      <c r="AS163" s="658"/>
      <c r="AT163" s="658"/>
      <c r="AU163" s="658"/>
      <c r="AV163" s="658"/>
      <c r="AW163" s="658"/>
      <c r="AX163" s="658"/>
      <c r="AY163" s="658"/>
      <c r="AZ163"/>
    </row>
    <row r="164" spans="1:52" s="815" customFormat="1" ht="21" customHeight="1">
      <c r="A164" s="2013"/>
      <c r="B164" s="2353"/>
      <c r="C164" s="2299" t="s">
        <v>6288</v>
      </c>
      <c r="D164" s="511"/>
      <c r="E164" s="344"/>
      <c r="F164" s="344"/>
      <c r="G164" s="344"/>
      <c r="H164" s="344"/>
      <c r="I164" s="344"/>
      <c r="J164" s="344"/>
      <c r="K164" s="1061"/>
      <c r="L164" s="2300"/>
      <c r="M164" s="2301"/>
      <c r="N164" s="1061"/>
      <c r="O164" s="1061"/>
      <c r="P164" s="1061"/>
      <c r="Q164" s="1061"/>
      <c r="R164" s="1061"/>
      <c r="S164" s="344"/>
      <c r="T164" s="344"/>
      <c r="U164" s="1401"/>
      <c r="V164" s="2350" t="s">
        <v>2374</v>
      </c>
      <c r="W164" s="10208" t="str">
        <f>IF(AM164&lt;&gt;"",ROUND(AM164,0),IF(AO164,"",SUM(ROUND(V166,0),ROUND(V168,0))))</f>
        <v/>
      </c>
      <c r="X164" s="10208"/>
      <c r="Y164" s="10208"/>
      <c r="Z164" s="10208"/>
      <c r="AA164" s="10209"/>
      <c r="AB164" s="2339"/>
      <c r="AC164" s="2340"/>
      <c r="AD164" s="1803"/>
      <c r="AE164" s="1806"/>
      <c r="AF164" s="1806"/>
      <c r="AG164" s="1806"/>
      <c r="AH164" s="1806"/>
      <c r="AI164" s="1806"/>
      <c r="AJ164" s="1806"/>
      <c r="AK164" s="2013"/>
      <c r="AL164" s="253"/>
      <c r="AM164" s="226"/>
      <c r="AN164" s="2362"/>
      <c r="AO164" s="6605" t="b">
        <f>AND(V166="",V168="")</f>
        <v>1</v>
      </c>
      <c r="AP164" s="658"/>
      <c r="AQ164" s="658"/>
      <c r="AR164" s="658"/>
      <c r="AS164" s="658"/>
      <c r="AT164" s="658"/>
      <c r="AU164" s="658"/>
      <c r="AV164" s="658"/>
      <c r="AW164" s="658"/>
      <c r="AX164" s="658"/>
      <c r="AY164" s="658"/>
      <c r="AZ164"/>
    </row>
    <row r="165" spans="1:52" s="815" customFormat="1" ht="9" customHeight="1">
      <c r="A165" s="2013"/>
      <c r="B165" s="2353"/>
      <c r="C165" s="2353"/>
      <c r="D165" s="2353"/>
      <c r="E165" s="2353"/>
      <c r="F165" s="2353"/>
      <c r="G165" s="2353"/>
      <c r="H165" s="2353"/>
      <c r="I165" s="2353"/>
      <c r="J165" s="2353"/>
      <c r="K165" s="2353"/>
      <c r="L165" s="2353"/>
      <c r="M165" s="2353"/>
      <c r="N165" s="2353"/>
      <c r="O165" s="2353"/>
      <c r="P165" s="2353"/>
      <c r="Q165" s="2353"/>
      <c r="R165" s="2353"/>
      <c r="S165" s="2353"/>
      <c r="T165" s="2353"/>
      <c r="U165" s="2353"/>
      <c r="V165" s="2353"/>
      <c r="W165" s="2353"/>
      <c r="X165" s="2353"/>
      <c r="Y165" s="2353"/>
      <c r="Z165" s="2353"/>
      <c r="AA165" s="2353"/>
      <c r="AB165" s="2339"/>
      <c r="AC165" s="2340"/>
      <c r="AD165" s="1803"/>
      <c r="AE165" s="1806"/>
      <c r="AF165" s="1806"/>
      <c r="AG165" s="1806"/>
      <c r="AH165" s="1806"/>
      <c r="AI165" s="1806"/>
      <c r="AJ165" s="1806"/>
      <c r="AK165" s="2013"/>
      <c r="AL165" s="253"/>
      <c r="AM165" s="226"/>
      <c r="AN165" s="2362"/>
      <c r="AO165" s="6605"/>
      <c r="AP165" s="658"/>
      <c r="AQ165" s="658"/>
      <c r="AR165" s="658"/>
      <c r="AS165" s="658"/>
      <c r="AT165" s="658"/>
      <c r="AU165" s="658"/>
      <c r="AV165" s="658"/>
      <c r="AW165" s="658"/>
      <c r="AX165" s="658"/>
      <c r="AY165" s="658"/>
      <c r="AZ165"/>
    </row>
    <row r="166" spans="1:52" s="815" customFormat="1" ht="21.75" customHeight="1">
      <c r="A166" s="2013"/>
      <c r="B166" s="6417" t="s">
        <v>6264</v>
      </c>
      <c r="C166" s="6415"/>
      <c r="D166" s="6416"/>
      <c r="E166" s="6416"/>
      <c r="F166" s="6416"/>
      <c r="G166" s="6447"/>
      <c r="H166" s="6447"/>
      <c r="I166" s="6447"/>
      <c r="J166" s="6447"/>
      <c r="K166" s="6447"/>
      <c r="L166" s="6448"/>
      <c r="M166" s="6449"/>
      <c r="N166" s="6447"/>
      <c r="O166" s="6447"/>
      <c r="P166" s="6447"/>
      <c r="Q166" s="6447"/>
      <c r="R166" s="6447"/>
      <c r="S166" s="6447"/>
      <c r="T166" s="344"/>
      <c r="U166" s="2371" t="s">
        <v>6263</v>
      </c>
      <c r="V166" s="10226"/>
      <c r="W166" s="10226"/>
      <c r="X166" s="6411"/>
      <c r="Y166" s="6411"/>
      <c r="Z166" s="6411"/>
      <c r="AA166" s="6412"/>
      <c r="AB166" s="2339"/>
      <c r="AC166" s="2340"/>
      <c r="AD166" s="1803"/>
      <c r="AE166" s="1806"/>
      <c r="AF166" s="1806"/>
      <c r="AG166" s="1806"/>
      <c r="AH166" s="1806"/>
      <c r="AI166" s="1806"/>
      <c r="AJ166" s="1806"/>
      <c r="AK166" s="2013"/>
      <c r="AL166" s="253"/>
      <c r="AM166" s="226"/>
      <c r="AN166" s="2362"/>
      <c r="AO166" s="6605" t="b">
        <f>(AM162&gt;AD132)</f>
        <v>0</v>
      </c>
      <c r="AP166" s="658"/>
      <c r="AQ166" s="658"/>
      <c r="AR166" s="658"/>
      <c r="AS166" s="658"/>
      <c r="AT166" s="658"/>
      <c r="AU166" s="658"/>
      <c r="AV166" s="658"/>
      <c r="AW166" s="658"/>
      <c r="AX166" s="658"/>
      <c r="AY166" s="658"/>
      <c r="AZ166"/>
    </row>
    <row r="167" spans="1:52" s="815" customFormat="1" ht="6" customHeight="1">
      <c r="A167" s="2013"/>
      <c r="B167" s="6417"/>
      <c r="C167" s="6418"/>
      <c r="D167" s="6418"/>
      <c r="E167" s="6418"/>
      <c r="F167" s="6418"/>
      <c r="G167" s="6418"/>
      <c r="H167" s="6418"/>
      <c r="I167" s="6418"/>
      <c r="J167" s="6418"/>
      <c r="K167" s="6418"/>
      <c r="L167" s="6418"/>
      <c r="M167" s="6418"/>
      <c r="N167" s="6418"/>
      <c r="O167" s="6418"/>
      <c r="P167" s="6418"/>
      <c r="Q167" s="6418"/>
      <c r="R167" s="6418"/>
      <c r="S167" s="6418"/>
      <c r="T167" s="6418"/>
      <c r="U167" s="6418"/>
      <c r="V167" s="6418"/>
      <c r="W167" s="6418"/>
      <c r="X167" s="6418"/>
      <c r="Y167" s="6418"/>
      <c r="Z167" s="6418"/>
      <c r="AA167" s="6412"/>
      <c r="AB167" s="2339"/>
      <c r="AC167" s="2340"/>
      <c r="AD167" s="1803"/>
      <c r="AE167" s="1806"/>
      <c r="AF167" s="1806"/>
      <c r="AG167" s="1806"/>
      <c r="AH167" s="1806"/>
      <c r="AI167" s="1806"/>
      <c r="AJ167" s="1806"/>
      <c r="AK167" s="2013"/>
      <c r="AL167" s="253"/>
      <c r="AM167" s="226"/>
      <c r="AN167" s="2362"/>
      <c r="AO167" s="6605"/>
      <c r="AP167" s="658"/>
      <c r="AQ167" s="658"/>
      <c r="AR167" s="658"/>
      <c r="AS167" s="658"/>
      <c r="AT167" s="658"/>
      <c r="AU167" s="658"/>
      <c r="AV167" s="658"/>
      <c r="AW167" s="658"/>
      <c r="AX167" s="658"/>
      <c r="AY167" s="658"/>
      <c r="AZ167"/>
    </row>
    <row r="168" spans="1:52" s="815" customFormat="1" ht="21.75" customHeight="1">
      <c r="A168" s="2013"/>
      <c r="B168" s="6417" t="s">
        <v>6265</v>
      </c>
      <c r="C168" s="6415"/>
      <c r="D168" s="6416"/>
      <c r="E168" s="6416"/>
      <c r="F168" s="6416"/>
      <c r="G168" s="6447"/>
      <c r="H168" s="6447"/>
      <c r="I168" s="6447"/>
      <c r="J168" s="6447"/>
      <c r="K168" s="6447"/>
      <c r="L168" s="6448"/>
      <c r="M168" s="6449"/>
      <c r="N168" s="6447"/>
      <c r="O168" s="6447"/>
      <c r="P168" s="6447"/>
      <c r="Q168" s="6447"/>
      <c r="R168" s="6447"/>
      <c r="S168" s="6447"/>
      <c r="T168" s="344"/>
      <c r="U168" s="2371" t="s">
        <v>6263</v>
      </c>
      <c r="V168" s="10226"/>
      <c r="W168" s="10226"/>
      <c r="X168" s="6411"/>
      <c r="Y168" s="6411"/>
      <c r="Z168" s="6411"/>
      <c r="AA168" s="6412"/>
      <c r="AB168" s="2339"/>
      <c r="AC168" s="2340"/>
      <c r="AD168" s="1803"/>
      <c r="AE168" s="1806"/>
      <c r="AF168" s="1806"/>
      <c r="AG168" s="1806"/>
      <c r="AH168" s="1806"/>
      <c r="AI168" s="1806"/>
      <c r="AJ168" s="1806"/>
      <c r="AK168" s="2013"/>
      <c r="AL168" s="253"/>
      <c r="AM168" s="226"/>
      <c r="AN168" s="2362"/>
      <c r="AO168" s="6605"/>
      <c r="AP168" s="658"/>
      <c r="AQ168" s="658"/>
      <c r="AR168" s="658"/>
      <c r="AS168" s="658"/>
      <c r="AT168" s="658"/>
      <c r="AU168" s="658"/>
      <c r="AV168" s="658"/>
      <c r="AW168" s="658"/>
      <c r="AX168" s="658"/>
      <c r="AY168" s="658"/>
      <c r="AZ168"/>
    </row>
    <row r="169" spans="1:52" s="815" customFormat="1" ht="6" customHeight="1">
      <c r="A169" s="2013"/>
      <c r="B169" s="6417"/>
      <c r="C169" s="6418"/>
      <c r="D169" s="6418"/>
      <c r="E169" s="6418"/>
      <c r="F169" s="6418"/>
      <c r="G169" s="6418"/>
      <c r="H169" s="6418"/>
      <c r="I169" s="6418"/>
      <c r="J169" s="6418"/>
      <c r="K169" s="6418"/>
      <c r="L169" s="6418"/>
      <c r="M169" s="6418"/>
      <c r="N169" s="6418"/>
      <c r="O169" s="6418"/>
      <c r="P169" s="6418"/>
      <c r="Q169" s="6418"/>
      <c r="R169" s="6418"/>
      <c r="S169" s="6418"/>
      <c r="T169" s="6418"/>
      <c r="U169" s="6418"/>
      <c r="V169" s="6418"/>
      <c r="W169" s="6418"/>
      <c r="X169" s="6418"/>
      <c r="Y169" s="6418"/>
      <c r="Z169" s="6418"/>
      <c r="AA169" s="6412"/>
      <c r="AB169" s="2339"/>
      <c r="AC169" s="2340"/>
      <c r="AD169" s="1803"/>
      <c r="AE169" s="1806"/>
      <c r="AF169" s="1806"/>
      <c r="AG169" s="1806"/>
      <c r="AH169" s="1806"/>
      <c r="AI169" s="1806"/>
      <c r="AJ169" s="1806"/>
      <c r="AK169" s="2013"/>
      <c r="AL169" s="253"/>
      <c r="AM169" s="226"/>
      <c r="AN169" s="2362"/>
      <c r="AO169" s="6605"/>
      <c r="AP169" s="658"/>
      <c r="AQ169" s="658"/>
      <c r="AR169" s="658"/>
      <c r="AS169" s="658"/>
      <c r="AT169" s="658"/>
      <c r="AU169" s="658"/>
      <c r="AV169" s="658"/>
      <c r="AW169" s="658"/>
      <c r="AX169" s="658"/>
      <c r="AY169" s="658"/>
      <c r="AZ169"/>
    </row>
    <row r="170" spans="1:52" s="815" customFormat="1" ht="18.75" thickBot="1">
      <c r="A170" s="2013"/>
      <c r="B170" s="2353" t="s">
        <v>592</v>
      </c>
      <c r="C170" s="2299" t="s">
        <v>6523</v>
      </c>
      <c r="D170" s="6418"/>
      <c r="E170" s="6418"/>
      <c r="F170" s="6418"/>
      <c r="G170" s="6418"/>
      <c r="H170" s="6418"/>
      <c r="I170" s="6418"/>
      <c r="J170" s="6418"/>
      <c r="K170" s="6418"/>
      <c r="L170" s="6418"/>
      <c r="M170" s="6418"/>
      <c r="N170" s="6418"/>
      <c r="O170" s="6418"/>
      <c r="P170" s="6418"/>
      <c r="Q170" s="6418"/>
      <c r="R170" s="6418"/>
      <c r="S170" s="6418"/>
      <c r="T170" s="6418"/>
      <c r="U170" s="6418"/>
      <c r="V170" s="2349"/>
      <c r="W170" s="6418"/>
      <c r="X170" s="6418"/>
      <c r="Y170" s="6418"/>
      <c r="Z170" s="6418"/>
      <c r="AA170" s="6412"/>
      <c r="AB170" s="2339"/>
      <c r="AC170" s="2340"/>
      <c r="AD170" s="1803"/>
      <c r="AE170" s="1806"/>
      <c r="AF170" s="1806"/>
      <c r="AG170" s="1806"/>
      <c r="AH170" s="1806"/>
      <c r="AI170" s="1806"/>
      <c r="AJ170" s="1806"/>
      <c r="AK170" s="2013"/>
      <c r="AL170" s="253"/>
      <c r="AM170" s="226"/>
      <c r="AN170" s="2362"/>
      <c r="AO170" s="6605"/>
      <c r="AP170" s="658"/>
      <c r="AQ170" s="658"/>
      <c r="AR170" s="658"/>
      <c r="AS170" s="658"/>
      <c r="AT170" s="658"/>
      <c r="AU170" s="658"/>
      <c r="AV170" s="658"/>
      <c r="AW170" s="658"/>
      <c r="AX170" s="658"/>
      <c r="AY170" s="658"/>
      <c r="AZ170"/>
    </row>
    <row r="171" spans="1:52" s="815" customFormat="1" ht="21" customHeight="1" thickBot="1">
      <c r="A171" s="2013"/>
      <c r="B171" s="2353"/>
      <c r="C171" s="2299" t="s">
        <v>6382</v>
      </c>
      <c r="D171" s="511"/>
      <c r="E171" s="344"/>
      <c r="F171" s="344"/>
      <c r="G171" s="344"/>
      <c r="H171" s="344"/>
      <c r="I171" s="344"/>
      <c r="J171" s="344"/>
      <c r="K171" s="1061"/>
      <c r="L171" s="2300"/>
      <c r="M171" s="2301"/>
      <c r="N171" s="1061"/>
      <c r="O171" s="1061"/>
      <c r="P171" s="1061"/>
      <c r="Q171" s="1061"/>
      <c r="R171" s="1061"/>
      <c r="S171" s="344"/>
      <c r="T171" s="344"/>
      <c r="U171" s="1401" t="s">
        <v>787</v>
      </c>
      <c r="V171" s="2350" t="s">
        <v>2378</v>
      </c>
      <c r="W171" s="10208" t="str">
        <f>IF(AND(AO164,AO171),"",IF(AM171="",0,ROUND(AM171,0)))</f>
        <v/>
      </c>
      <c r="X171" s="10208"/>
      <c r="Y171" s="10208"/>
      <c r="Z171" s="10208"/>
      <c r="AA171" s="10209"/>
      <c r="AB171" s="2339"/>
      <c r="AC171" s="2340"/>
      <c r="AD171" s="10217">
        <v>0.3</v>
      </c>
      <c r="AE171" s="10218"/>
      <c r="AF171" s="10218"/>
      <c r="AG171" s="10211">
        <v>600</v>
      </c>
      <c r="AH171" s="10211"/>
      <c r="AI171" s="10211"/>
      <c r="AJ171" s="10211"/>
      <c r="AK171" s="2013"/>
      <c r="AL171" s="253"/>
      <c r="AM171" s="2361"/>
      <c r="AN171" s="2362"/>
      <c r="AO171" s="6605" t="b">
        <f>AM171=""</f>
        <v>1</v>
      </c>
      <c r="AP171" s="658"/>
      <c r="AQ171" s="658"/>
      <c r="AR171" s="658"/>
      <c r="AS171" s="658"/>
      <c r="AT171" s="658"/>
      <c r="AU171" s="658"/>
      <c r="AV171" s="658"/>
      <c r="AW171" s="658"/>
      <c r="AX171" s="658"/>
      <c r="AY171" s="658"/>
      <c r="AZ171"/>
    </row>
    <row r="172" spans="1:52" s="815" customFormat="1" ht="21.75" customHeight="1" thickBot="1">
      <c r="A172" s="2013"/>
      <c r="B172" s="2353" t="s">
        <v>595</v>
      </c>
      <c r="C172" s="1323" t="s">
        <v>6525</v>
      </c>
      <c r="D172" s="514"/>
      <c r="E172" s="514"/>
      <c r="F172" s="514"/>
      <c r="G172" s="514"/>
      <c r="H172" s="514"/>
      <c r="I172" s="514"/>
      <c r="J172" s="514"/>
      <c r="K172" s="514"/>
      <c r="L172" s="514"/>
      <c r="M172" s="514"/>
      <c r="N172" s="514"/>
      <c r="O172" s="514"/>
      <c r="P172" s="514"/>
      <c r="Q172" s="514"/>
      <c r="R172" s="514"/>
      <c r="S172" s="514"/>
      <c r="T172" s="514"/>
      <c r="U172" s="1401" t="s">
        <v>887</v>
      </c>
      <c r="V172" s="2350" t="s">
        <v>2380</v>
      </c>
      <c r="W172" s="10208" t="str">
        <f>IF(AND(AO164,AO171),"",SUM(W164,W171))</f>
        <v/>
      </c>
      <c r="X172" s="10208"/>
      <c r="Y172" s="10208"/>
      <c r="Z172" s="10208"/>
      <c r="AA172" s="10209"/>
      <c r="AB172" s="2339"/>
      <c r="AC172" s="2340"/>
      <c r="AD172" s="10219"/>
      <c r="AE172" s="10220"/>
      <c r="AF172" s="10220"/>
      <c r="AG172" s="10220"/>
      <c r="AH172" s="10220"/>
      <c r="AI172" s="10220"/>
      <c r="AJ172" s="10220"/>
      <c r="AK172" s="2013"/>
      <c r="AL172" s="253"/>
      <c r="AM172" s="226"/>
      <c r="AN172" s="2362"/>
      <c r="AO172" s="6605"/>
      <c r="AP172" s="658"/>
      <c r="AQ172" s="658"/>
      <c r="AR172" s="658"/>
      <c r="AS172" s="658"/>
      <c r="AT172" s="658"/>
      <c r="AU172" s="658"/>
      <c r="AV172" s="658"/>
      <c r="AW172" s="658"/>
      <c r="AX172" s="658"/>
      <c r="AY172" s="658"/>
      <c r="AZ172"/>
    </row>
    <row r="173" spans="1:52" s="815" customFormat="1" ht="21" customHeight="1" thickBot="1">
      <c r="A173" s="2013"/>
      <c r="B173" s="2328" t="s">
        <v>599</v>
      </c>
      <c r="C173" s="2038" t="str">
        <f>"Multiply line 23c by "&amp;TEXT($AD$161,"0%")&amp;" ("&amp;TEXT($AD$161,"0.00")&amp;"). Enter the results."</f>
        <v>Multiply line 23c by 30% (0.30). Enter the results.</v>
      </c>
      <c r="D173" s="2038"/>
      <c r="E173" s="344"/>
      <c r="F173" s="344"/>
      <c r="G173" s="344"/>
      <c r="H173" s="344"/>
      <c r="I173" s="344"/>
      <c r="J173" s="344"/>
      <c r="K173" s="344"/>
      <c r="L173" s="344"/>
      <c r="M173" s="344"/>
      <c r="N173" s="344"/>
      <c r="O173" s="1323"/>
      <c r="P173" s="344"/>
      <c r="Q173" s="344"/>
      <c r="R173" s="344"/>
      <c r="S173" s="344"/>
      <c r="T173" s="6431" t="s">
        <v>6524</v>
      </c>
      <c r="U173" s="2311" t="str">
        <f>TEXT($AG$161,"$0")</f>
        <v>$600</v>
      </c>
      <c r="V173" s="344"/>
      <c r="W173" s="344"/>
      <c r="X173" s="344"/>
      <c r="Y173" s="344"/>
      <c r="Z173" s="344"/>
      <c r="AA173" s="1401" t="s">
        <v>911</v>
      </c>
      <c r="AB173" s="10212" t="s">
        <v>2382</v>
      </c>
      <c r="AC173" s="10213"/>
      <c r="AD173" s="10221" t="str">
        <f>IF(AM173&lt;&gt;"",ROUND(AM173,0),IF(AND(AO164,AO171),"",MIN(ROUND(W172*$AD$161,0),$AG$161)))</f>
        <v/>
      </c>
      <c r="AE173" s="10208"/>
      <c r="AF173" s="10208"/>
      <c r="AG173" s="10208"/>
      <c r="AH173" s="10208"/>
      <c r="AI173" s="10208"/>
      <c r="AJ173" s="10208"/>
      <c r="AK173" s="2013"/>
      <c r="AL173" s="253"/>
      <c r="AM173" s="2361"/>
      <c r="AN173" s="2362"/>
      <c r="AO173" s="6605" t="b">
        <f>AD173=""</f>
        <v>1</v>
      </c>
      <c r="AP173" s="658"/>
      <c r="AQ173" s="658"/>
      <c r="AR173" s="658"/>
      <c r="AS173" s="658"/>
      <c r="AT173" s="658"/>
      <c r="AU173" s="658"/>
      <c r="AV173" s="658"/>
      <c r="AW173" s="658"/>
      <c r="AX173" s="658"/>
      <c r="AY173" s="658"/>
      <c r="AZ173"/>
    </row>
    <row r="174" spans="1:52" s="815" customFormat="1" ht="16.5" customHeight="1">
      <c r="A174" s="2013"/>
      <c r="B174" s="2347"/>
      <c r="C174" s="2299" t="s">
        <v>6282</v>
      </c>
      <c r="D174" s="511"/>
      <c r="E174" s="344"/>
      <c r="F174" s="344"/>
      <c r="G174" s="344"/>
      <c r="H174" s="344"/>
      <c r="I174" s="344"/>
      <c r="J174" s="344"/>
      <c r="K174" s="1061"/>
      <c r="L174" s="2300"/>
      <c r="M174" s="2301"/>
      <c r="N174" s="1061"/>
      <c r="O174" s="1061"/>
      <c r="P174" s="1061"/>
      <c r="Q174" s="1061"/>
      <c r="R174" s="1061"/>
      <c r="S174" s="344"/>
      <c r="T174" s="344"/>
      <c r="U174" s="1401"/>
      <c r="V174" s="2349"/>
      <c r="W174" s="1204"/>
      <c r="X174" s="1205"/>
      <c r="Y174" s="1205"/>
      <c r="Z174" s="1205"/>
      <c r="AA174" s="1401"/>
      <c r="AB174" s="2339"/>
      <c r="AC174" s="2340"/>
      <c r="AD174" s="1803"/>
      <c r="AE174" s="1806"/>
      <c r="AF174" s="1806"/>
      <c r="AG174" s="1806"/>
      <c r="AH174" s="1806"/>
      <c r="AI174" s="1806"/>
      <c r="AJ174" s="1806"/>
      <c r="AK174" s="2013"/>
      <c r="AL174" s="253"/>
      <c r="AM174" s="226"/>
      <c r="AN174" s="2362"/>
      <c r="AO174" s="6605" t="b">
        <f>AM173&gt;$AG$161</f>
        <v>0</v>
      </c>
      <c r="AP174" s="658"/>
      <c r="AQ174" s="658"/>
      <c r="AR174" s="658"/>
      <c r="AS174" s="658"/>
      <c r="AT174" s="658"/>
      <c r="AU174" s="658"/>
      <c r="AV174" s="658"/>
      <c r="AW174" s="658"/>
      <c r="AX174" s="658"/>
      <c r="AY174" s="658"/>
      <c r="AZ174"/>
    </row>
    <row r="175" spans="1:52" s="815" customFormat="1" ht="16.5" customHeight="1">
      <c r="A175" s="2013"/>
      <c r="B175" s="2353"/>
      <c r="C175" s="2299" t="s">
        <v>5329</v>
      </c>
      <c r="D175" s="511"/>
      <c r="E175" s="344"/>
      <c r="F175" s="344"/>
      <c r="G175" s="344"/>
      <c r="H175" s="344"/>
      <c r="I175" s="344"/>
      <c r="J175" s="344"/>
      <c r="K175" s="1061"/>
      <c r="L175" s="2300"/>
      <c r="M175" s="2301"/>
      <c r="N175" s="1061"/>
      <c r="O175" s="1061"/>
      <c r="P175" s="1061"/>
      <c r="Q175" s="1061"/>
      <c r="R175" s="1061"/>
      <c r="S175" s="344"/>
      <c r="T175" s="344"/>
      <c r="U175" s="344"/>
      <c r="V175" s="2349"/>
      <c r="W175" s="1204"/>
      <c r="X175" s="1205"/>
      <c r="Y175" s="1205"/>
      <c r="Z175" s="1205"/>
      <c r="AA175" s="1401"/>
      <c r="AB175" s="2339"/>
      <c r="AC175" s="2340"/>
      <c r="AD175" s="1803"/>
      <c r="AE175" s="1806"/>
      <c r="AF175" s="1806"/>
      <c r="AG175" s="1806"/>
      <c r="AH175" s="1806"/>
      <c r="AI175" s="1806"/>
      <c r="AJ175" s="1806"/>
      <c r="AK175" s="2013"/>
      <c r="AL175" s="253"/>
      <c r="AM175" s="226"/>
      <c r="AN175" s="2362"/>
      <c r="AO175" s="6605"/>
      <c r="AP175" s="658"/>
      <c r="AQ175" s="658"/>
      <c r="AR175" s="658"/>
      <c r="AS175" s="658"/>
      <c r="AT175" s="658"/>
      <c r="AU175" s="658"/>
      <c r="AV175" s="658"/>
      <c r="AW175" s="658"/>
      <c r="AX175" s="658"/>
      <c r="AY175" s="658"/>
      <c r="AZ175"/>
    </row>
    <row r="176" spans="1:52" s="815" customFormat="1" ht="21.75" customHeight="1">
      <c r="A176" s="2013"/>
      <c r="B176" s="2347" t="s">
        <v>895</v>
      </c>
      <c r="C176" s="2299" t="s">
        <v>6282</v>
      </c>
      <c r="D176" s="511"/>
      <c r="E176" s="344"/>
      <c r="F176" s="344"/>
      <c r="G176" s="344"/>
      <c r="H176" s="344"/>
      <c r="I176" s="344"/>
      <c r="J176" s="344"/>
      <c r="K176" s="1061"/>
      <c r="L176" s="2300"/>
      <c r="M176" s="2301"/>
      <c r="N176" s="1061"/>
      <c r="O176" s="1061"/>
      <c r="P176" s="1061"/>
      <c r="Q176" s="1061"/>
      <c r="R176" s="1061"/>
      <c r="S176" s="344"/>
      <c r="T176" s="344"/>
      <c r="U176" s="344"/>
      <c r="V176" s="2351"/>
      <c r="W176" s="6410"/>
      <c r="X176" s="6411"/>
      <c r="Y176" s="6411"/>
      <c r="Z176" s="6411"/>
      <c r="AA176" s="6412"/>
      <c r="AB176" s="2339"/>
      <c r="AC176" s="2340"/>
      <c r="AD176" s="1803"/>
      <c r="AE176" s="1806"/>
      <c r="AF176" s="1806"/>
      <c r="AG176" s="1806"/>
      <c r="AH176" s="1806"/>
      <c r="AI176" s="1806"/>
      <c r="AJ176" s="1806"/>
      <c r="AK176" s="2013"/>
      <c r="AL176" s="253"/>
      <c r="AM176" s="5425"/>
      <c r="AN176" s="2362"/>
      <c r="AO176" s="6605"/>
      <c r="AP176" s="658"/>
      <c r="AQ176" s="658"/>
      <c r="AR176" s="658"/>
      <c r="AS176" s="658"/>
      <c r="AT176" s="658"/>
      <c r="AU176" s="658"/>
      <c r="AV176" s="658"/>
      <c r="AW176" s="658"/>
      <c r="AX176" s="658"/>
      <c r="AY176" s="658"/>
      <c r="AZ176"/>
    </row>
    <row r="177" spans="1:52" s="815" customFormat="1" ht="18">
      <c r="A177" s="2013"/>
      <c r="B177" s="2353"/>
      <c r="C177" s="2381" t="s">
        <v>6290</v>
      </c>
      <c r="D177" s="511"/>
      <c r="E177" s="344"/>
      <c r="F177" s="344"/>
      <c r="G177" s="344"/>
      <c r="H177" s="344"/>
      <c r="I177" s="344"/>
      <c r="J177" s="344"/>
      <c r="K177" s="1061"/>
      <c r="L177" s="2300"/>
      <c r="M177" s="2301"/>
      <c r="N177" s="1061"/>
      <c r="O177" s="1061"/>
      <c r="P177" s="1061"/>
      <c r="Q177" s="1061"/>
      <c r="R177" s="1061"/>
      <c r="S177" s="344"/>
      <c r="T177" s="344"/>
      <c r="U177" s="1401" t="s">
        <v>905</v>
      </c>
      <c r="V177" s="2350" t="s">
        <v>895</v>
      </c>
      <c r="W177" s="10214"/>
      <c r="X177" s="10214"/>
      <c r="Y177" s="10214"/>
      <c r="Z177" s="10214"/>
      <c r="AA177" s="10215"/>
      <c r="AB177" s="2339"/>
      <c r="AC177" s="2340"/>
      <c r="AD177" s="1803"/>
      <c r="AE177" s="1806"/>
      <c r="AF177" s="1806"/>
      <c r="AG177" s="1806"/>
      <c r="AH177" s="1806"/>
      <c r="AI177" s="1806"/>
      <c r="AJ177" s="1806"/>
      <c r="AK177" s="2013"/>
      <c r="AL177" s="253"/>
      <c r="AM177" s="226"/>
      <c r="AN177" s="2362"/>
      <c r="AO177" s="6605" t="b">
        <f>AND(W177="",AM182="")</f>
        <v>1</v>
      </c>
      <c r="AP177" s="658"/>
      <c r="AQ177" s="658"/>
      <c r="AR177" s="658"/>
      <c r="AS177" s="658"/>
      <c r="AT177" s="658"/>
      <c r="AU177" s="658"/>
      <c r="AV177" s="658"/>
      <c r="AW177" s="658"/>
      <c r="AX177" s="658"/>
      <c r="AY177" s="658"/>
      <c r="AZ177"/>
    </row>
    <row r="178" spans="1:52" s="815" customFormat="1" ht="9" customHeight="1">
      <c r="A178" s="2013"/>
      <c r="B178" s="2353"/>
      <c r="C178" s="2353"/>
      <c r="D178" s="2353"/>
      <c r="E178" s="2353"/>
      <c r="F178" s="2353"/>
      <c r="G178" s="2353"/>
      <c r="H178" s="2353"/>
      <c r="I178" s="2353"/>
      <c r="J178" s="2353"/>
      <c r="K178" s="2353"/>
      <c r="L178" s="2353"/>
      <c r="M178" s="2353"/>
      <c r="N178" s="2353"/>
      <c r="O178" s="2353"/>
      <c r="P178" s="2353"/>
      <c r="Q178" s="2353"/>
      <c r="R178" s="2353"/>
      <c r="S178" s="2353"/>
      <c r="T178" s="2353"/>
      <c r="U178" s="2353"/>
      <c r="V178" s="2353"/>
      <c r="W178" s="2353"/>
      <c r="X178" s="2353"/>
      <c r="Y178" s="2353"/>
      <c r="Z178" s="2353"/>
      <c r="AA178" s="2353"/>
      <c r="AB178" s="2339"/>
      <c r="AC178" s="2340"/>
      <c r="AD178" s="1803"/>
      <c r="AE178" s="1806"/>
      <c r="AF178" s="1806"/>
      <c r="AG178" s="1806"/>
      <c r="AH178" s="1806"/>
      <c r="AI178" s="1806"/>
      <c r="AJ178" s="1806"/>
      <c r="AK178" s="2013"/>
      <c r="AL178" s="253"/>
      <c r="AM178" s="226"/>
      <c r="AN178" s="2362"/>
      <c r="AO178" s="6605"/>
      <c r="AP178" s="658"/>
      <c r="AQ178" s="658"/>
      <c r="AR178" s="658"/>
      <c r="AS178" s="658"/>
      <c r="AT178" s="658"/>
      <c r="AU178" s="658"/>
      <c r="AV178" s="658"/>
      <c r="AW178" s="658"/>
      <c r="AX178" s="658"/>
      <c r="AY178" s="658"/>
      <c r="AZ178"/>
    </row>
    <row r="179" spans="1:52" s="815" customFormat="1" ht="21.75" customHeight="1">
      <c r="A179" s="2013"/>
      <c r="B179" s="6417"/>
      <c r="C179" s="6415"/>
      <c r="D179" s="6416"/>
      <c r="E179" s="6416"/>
      <c r="F179" s="6416"/>
      <c r="G179" s="6447"/>
      <c r="H179" s="6447"/>
      <c r="I179" s="6447"/>
      <c r="J179" s="6447"/>
      <c r="K179" s="6447"/>
      <c r="L179" s="6448"/>
      <c r="M179" s="6449"/>
      <c r="N179" s="6447"/>
      <c r="O179" s="6447"/>
      <c r="P179" s="6447"/>
      <c r="Q179" s="6447"/>
      <c r="R179" s="6447"/>
      <c r="S179" s="6447"/>
      <c r="T179" s="344"/>
      <c r="U179" s="6411"/>
      <c r="V179" s="6411"/>
      <c r="W179" s="6411"/>
      <c r="X179" s="6411"/>
      <c r="Y179" s="6411"/>
      <c r="Z179" s="6411"/>
      <c r="AA179" s="6412"/>
      <c r="AB179" s="2339"/>
      <c r="AC179" s="2340"/>
      <c r="AD179" s="1803"/>
      <c r="AE179" s="1806"/>
      <c r="AF179" s="1806"/>
      <c r="AG179" s="1806"/>
      <c r="AH179" s="1806"/>
      <c r="AI179" s="1806"/>
      <c r="AJ179" s="1806"/>
      <c r="AK179" s="2013"/>
      <c r="AL179" s="253"/>
      <c r="AM179" s="7393" t="s">
        <v>4354</v>
      </c>
      <c r="AN179" s="2362"/>
      <c r="AO179" s="6605"/>
      <c r="AP179" s="658"/>
      <c r="AQ179" s="658"/>
      <c r="AR179" s="658"/>
      <c r="AS179" s="658"/>
      <c r="AT179" s="658"/>
      <c r="AU179" s="658"/>
      <c r="AV179" s="658"/>
      <c r="AW179" s="658"/>
      <c r="AX179" s="658"/>
      <c r="AY179" s="658"/>
      <c r="AZ179"/>
    </row>
    <row r="180" spans="1:52" s="815" customFormat="1" ht="6" customHeight="1">
      <c r="A180" s="2013"/>
      <c r="B180" s="6417"/>
      <c r="C180" s="6418"/>
      <c r="D180" s="6418"/>
      <c r="E180" s="6418"/>
      <c r="F180" s="6418"/>
      <c r="G180" s="6418"/>
      <c r="H180" s="6418"/>
      <c r="I180" s="6418"/>
      <c r="J180" s="6418"/>
      <c r="K180" s="6418"/>
      <c r="L180" s="6418"/>
      <c r="M180" s="6418"/>
      <c r="N180" s="6418"/>
      <c r="O180" s="6418"/>
      <c r="P180" s="6418"/>
      <c r="Q180" s="6418"/>
      <c r="R180" s="6418"/>
      <c r="S180" s="6418"/>
      <c r="T180" s="6418"/>
      <c r="U180" s="6418"/>
      <c r="V180" s="6418"/>
      <c r="W180" s="6418"/>
      <c r="X180" s="6418"/>
      <c r="Y180" s="6418"/>
      <c r="Z180" s="6418"/>
      <c r="AA180" s="6412"/>
      <c r="AB180" s="2339"/>
      <c r="AC180" s="2340"/>
      <c r="AD180" s="1803"/>
      <c r="AE180" s="1806"/>
      <c r="AF180" s="1806"/>
      <c r="AG180" s="1806"/>
      <c r="AH180" s="1806"/>
      <c r="AI180" s="1806"/>
      <c r="AJ180" s="1806"/>
      <c r="AK180" s="2013"/>
      <c r="AL180" s="253"/>
      <c r="AM180" s="7843"/>
      <c r="AN180" s="2362"/>
      <c r="AO180" s="6605"/>
      <c r="AP180" s="658"/>
      <c r="AQ180" s="658"/>
      <c r="AR180" s="658"/>
      <c r="AS180" s="658"/>
      <c r="AT180" s="658"/>
      <c r="AU180" s="658"/>
      <c r="AV180" s="658"/>
      <c r="AW180" s="658"/>
      <c r="AX180" s="658"/>
      <c r="AY180" s="658"/>
      <c r="AZ180"/>
    </row>
    <row r="181" spans="1:52" s="815" customFormat="1" ht="17.25" customHeight="1" thickBot="1">
      <c r="A181" s="2013"/>
      <c r="B181" s="2353" t="s">
        <v>592</v>
      </c>
      <c r="C181" s="2299" t="s">
        <v>6291</v>
      </c>
      <c r="D181" s="6418"/>
      <c r="E181" s="6418"/>
      <c r="F181" s="6418"/>
      <c r="G181" s="6418"/>
      <c r="H181" s="6418"/>
      <c r="I181" s="6418"/>
      <c r="J181" s="6418"/>
      <c r="K181" s="6418"/>
      <c r="L181" s="6418"/>
      <c r="M181" s="6418"/>
      <c r="N181" s="6418"/>
      <c r="O181" s="6418"/>
      <c r="P181" s="6418"/>
      <c r="Q181" s="6418"/>
      <c r="R181" s="6418"/>
      <c r="S181" s="6418"/>
      <c r="T181" s="6418"/>
      <c r="U181" s="6418"/>
      <c r="V181" s="6418"/>
      <c r="W181" s="6418"/>
      <c r="X181" s="6418"/>
      <c r="Y181" s="6418"/>
      <c r="Z181" s="6418"/>
      <c r="AA181" s="6412"/>
      <c r="AB181" s="2339"/>
      <c r="AC181" s="2340"/>
      <c r="AD181" s="1803"/>
      <c r="AE181" s="1806"/>
      <c r="AF181" s="1806"/>
      <c r="AG181" s="1806"/>
      <c r="AH181" s="1806"/>
      <c r="AI181" s="1806"/>
      <c r="AJ181" s="1806"/>
      <c r="AK181" s="2013"/>
      <c r="AL181" s="253"/>
      <c r="AM181" s="10207"/>
      <c r="AN181" s="2362"/>
      <c r="AO181" s="6605"/>
      <c r="AP181" s="658"/>
      <c r="AQ181" s="658"/>
      <c r="AR181" s="658"/>
      <c r="AS181" s="658"/>
      <c r="AT181" s="658"/>
      <c r="AU181" s="658"/>
      <c r="AV181" s="658"/>
      <c r="AW181" s="658"/>
      <c r="AX181" s="658"/>
      <c r="AY181" s="658"/>
      <c r="AZ181"/>
    </row>
    <row r="182" spans="1:52" s="815" customFormat="1" ht="21" customHeight="1" thickBot="1">
      <c r="A182" s="2013"/>
      <c r="B182" s="2353"/>
      <c r="C182" s="2381" t="s">
        <v>6292</v>
      </c>
      <c r="D182" s="511"/>
      <c r="E182" s="344"/>
      <c r="F182" s="344"/>
      <c r="G182" s="344"/>
      <c r="H182" s="344"/>
      <c r="I182" s="344"/>
      <c r="J182" s="344"/>
      <c r="K182" s="1061"/>
      <c r="L182" s="2300"/>
      <c r="M182" s="2301"/>
      <c r="N182" s="1061"/>
      <c r="O182" s="1061"/>
      <c r="P182" s="1061"/>
      <c r="Q182" s="1061"/>
      <c r="R182" s="1061"/>
      <c r="S182" s="344"/>
      <c r="T182" s="344"/>
      <c r="U182" s="1401" t="s">
        <v>887</v>
      </c>
      <c r="V182" s="2350" t="s">
        <v>897</v>
      </c>
      <c r="W182" s="10208" t="str">
        <f>IF(AND(AO177,AO182),"",IF(AM182="",0,ROUND(AM182,0)))</f>
        <v/>
      </c>
      <c r="X182" s="10208"/>
      <c r="Y182" s="10208"/>
      <c r="Z182" s="10208"/>
      <c r="AA182" s="10209"/>
      <c r="AB182" s="2339"/>
      <c r="AC182" s="2340"/>
      <c r="AD182" s="10217">
        <v>0.3</v>
      </c>
      <c r="AE182" s="10218"/>
      <c r="AF182" s="10218"/>
      <c r="AG182" s="10211">
        <v>600</v>
      </c>
      <c r="AH182" s="10211"/>
      <c r="AI182" s="10211"/>
      <c r="AJ182" s="10211"/>
      <c r="AK182" s="2013"/>
      <c r="AL182" s="253"/>
      <c r="AM182" s="2361"/>
      <c r="AN182" s="2362"/>
      <c r="AO182" s="6605" t="b">
        <f>AM182=""</f>
        <v>1</v>
      </c>
      <c r="AP182" s="658"/>
      <c r="AQ182" s="658"/>
      <c r="AR182" s="658"/>
      <c r="AS182" s="658"/>
      <c r="AT182" s="658"/>
      <c r="AU182" s="658"/>
      <c r="AV182" s="658"/>
      <c r="AW182" s="658"/>
      <c r="AX182" s="658"/>
      <c r="AY182" s="658"/>
      <c r="AZ182"/>
    </row>
    <row r="183" spans="1:52" s="815" customFormat="1" ht="21.75" customHeight="1" thickBot="1">
      <c r="A183" s="2013"/>
      <c r="B183" s="2353" t="s">
        <v>595</v>
      </c>
      <c r="C183" s="1323" t="s">
        <v>6293</v>
      </c>
      <c r="D183" s="514"/>
      <c r="E183" s="514"/>
      <c r="F183" s="514"/>
      <c r="G183" s="514"/>
      <c r="H183" s="514"/>
      <c r="I183" s="514"/>
      <c r="J183" s="514"/>
      <c r="K183" s="514"/>
      <c r="L183" s="514"/>
      <c r="M183" s="514"/>
      <c r="N183" s="514"/>
      <c r="O183" s="514"/>
      <c r="P183" s="514"/>
      <c r="Q183" s="514"/>
      <c r="R183" s="514"/>
      <c r="S183" s="514"/>
      <c r="T183" s="514"/>
      <c r="U183" s="1401" t="s">
        <v>887</v>
      </c>
      <c r="V183" s="2350" t="s">
        <v>898</v>
      </c>
      <c r="W183" s="10208" t="str">
        <f>IF(AND(AO177,AO182),"",SUM(ROUND(W177,0),W182))</f>
        <v/>
      </c>
      <c r="X183" s="10208"/>
      <c r="Y183" s="10208"/>
      <c r="Z183" s="10208"/>
      <c r="AA183" s="10209"/>
      <c r="AB183" s="2339"/>
      <c r="AC183" s="2340"/>
      <c r="AD183" s="10219"/>
      <c r="AE183" s="10220"/>
      <c r="AF183" s="10220"/>
      <c r="AG183" s="10220"/>
      <c r="AH183" s="10220"/>
      <c r="AI183" s="10220"/>
      <c r="AJ183" s="10220"/>
      <c r="AK183" s="2013"/>
      <c r="AL183" s="253"/>
      <c r="AM183" s="226"/>
      <c r="AN183" s="2362"/>
      <c r="AO183" s="6605"/>
      <c r="AP183" s="658"/>
      <c r="AQ183" s="658"/>
      <c r="AR183" s="658"/>
      <c r="AS183" s="658"/>
      <c r="AT183" s="658"/>
      <c r="AU183" s="658"/>
      <c r="AV183" s="658"/>
      <c r="AW183" s="658"/>
      <c r="AX183" s="658"/>
      <c r="AY183" s="658"/>
      <c r="AZ183"/>
    </row>
    <row r="184" spans="1:52" s="815" customFormat="1" ht="21" customHeight="1" thickBot="1">
      <c r="A184" s="2013"/>
      <c r="B184" s="2328" t="s">
        <v>599</v>
      </c>
      <c r="C184" s="2299" t="str">
        <f>"Multiply line 24c by "&amp;TEXT($AD$100,"0%")&amp;" ("&amp;TEXT($AD$100,"0.00")&amp;").  Enter the results."</f>
        <v>Multiply line 24c by 30% (0.30).  Enter the results.</v>
      </c>
      <c r="D184" s="511"/>
      <c r="E184" s="344"/>
      <c r="F184" s="344"/>
      <c r="G184" s="344"/>
      <c r="H184" s="344"/>
      <c r="I184" s="344"/>
      <c r="J184" s="344"/>
      <c r="K184" s="344"/>
      <c r="L184" s="344"/>
      <c r="M184" s="344"/>
      <c r="N184" s="2298"/>
      <c r="O184" s="2298"/>
      <c r="P184" s="2300"/>
      <c r="Q184" s="2301"/>
      <c r="R184" s="4998"/>
      <c r="S184" s="4998"/>
      <c r="T184" s="4998" t="s">
        <v>6524</v>
      </c>
      <c r="U184" s="2298" t="str">
        <f>TEXT($AG$161,"$0")</f>
        <v>$600</v>
      </c>
      <c r="V184" s="344"/>
      <c r="W184" s="344"/>
      <c r="X184" s="344"/>
      <c r="Y184" s="344"/>
      <c r="Z184" s="344"/>
      <c r="AA184" s="1401" t="s">
        <v>874</v>
      </c>
      <c r="AB184" s="10212" t="s">
        <v>900</v>
      </c>
      <c r="AC184" s="10213"/>
      <c r="AD184" s="10221" t="str">
        <f>IF(AM184&lt;&gt;"",ROUND(AM184,0),IF(AND(AO177,AO182),"",MIN(ROUND(W183*$AD$161,0),$AG$161)))</f>
        <v/>
      </c>
      <c r="AE184" s="10208"/>
      <c r="AF184" s="10208"/>
      <c r="AG184" s="10208"/>
      <c r="AH184" s="10208"/>
      <c r="AI184" s="10208"/>
      <c r="AJ184" s="10208"/>
      <c r="AK184" s="2013"/>
      <c r="AL184" s="253"/>
      <c r="AM184" s="2361"/>
      <c r="AN184" s="2362"/>
      <c r="AO184" s="6605" t="b">
        <f>AD184=""</f>
        <v>1</v>
      </c>
      <c r="AP184" s="658"/>
      <c r="AQ184" s="658"/>
      <c r="AR184" s="658"/>
      <c r="AS184" s="658"/>
      <c r="AT184" s="658"/>
      <c r="AU184" s="658"/>
      <c r="AV184" s="658"/>
      <c r="AW184" s="658"/>
      <c r="AX184" s="658"/>
      <c r="AY184" s="658"/>
      <c r="AZ184"/>
    </row>
    <row r="185" spans="1:52" s="815" customFormat="1" ht="21" customHeight="1">
      <c r="A185" s="2013"/>
      <c r="B185" s="2347" t="s">
        <v>680</v>
      </c>
      <c r="C185" s="2299" t="s">
        <v>6313</v>
      </c>
      <c r="D185" s="511"/>
      <c r="E185" s="344"/>
      <c r="F185" s="344"/>
      <c r="G185" s="344"/>
      <c r="H185" s="344"/>
      <c r="I185" s="344"/>
      <c r="J185" s="344"/>
      <c r="K185" s="1061"/>
      <c r="L185" s="2300"/>
      <c r="M185" s="2301"/>
      <c r="N185" s="1061"/>
      <c r="O185" s="1061"/>
      <c r="P185" s="1061"/>
      <c r="Q185" s="1061"/>
      <c r="R185" s="1061"/>
      <c r="S185" s="344"/>
      <c r="T185" s="344"/>
      <c r="U185" s="344"/>
      <c r="V185" s="344"/>
      <c r="W185" s="1204"/>
      <c r="X185" s="1205"/>
      <c r="Y185" s="1205"/>
      <c r="Z185" s="1205"/>
      <c r="AA185" s="1401"/>
      <c r="AB185" s="2339"/>
      <c r="AC185" s="2340"/>
      <c r="AD185" s="1803"/>
      <c r="AE185" s="1806"/>
      <c r="AF185" s="1806"/>
      <c r="AG185" s="1806"/>
      <c r="AH185" s="1806"/>
      <c r="AI185" s="1806"/>
      <c r="AJ185" s="1806"/>
      <c r="AK185" s="2013"/>
      <c r="AL185" s="253"/>
      <c r="AM185" s="226"/>
      <c r="AN185" s="2362"/>
      <c r="AO185" s="6605" t="b">
        <f>AM184&gt;$AG$161</f>
        <v>0</v>
      </c>
      <c r="AP185" s="658"/>
      <c r="AQ185" s="658"/>
      <c r="AR185" s="658"/>
      <c r="AS185" s="658"/>
      <c r="AT185" s="658"/>
      <c r="AU185" s="658"/>
      <c r="AV185" s="658"/>
      <c r="AW185" s="658"/>
      <c r="AX185" s="658"/>
      <c r="AY185" s="658"/>
      <c r="AZ185"/>
    </row>
    <row r="186" spans="1:52" s="815" customFormat="1" ht="18">
      <c r="A186" s="2013"/>
      <c r="B186" s="2347"/>
      <c r="C186" s="2299" t="s">
        <v>6314</v>
      </c>
      <c r="D186" s="511"/>
      <c r="E186" s="344"/>
      <c r="F186" s="344"/>
      <c r="G186" s="344"/>
      <c r="H186" s="344"/>
      <c r="I186" s="344"/>
      <c r="J186" s="344"/>
      <c r="K186" s="1061"/>
      <c r="L186" s="2300"/>
      <c r="M186" s="2301"/>
      <c r="N186" s="1061"/>
      <c r="O186" s="1061"/>
      <c r="P186" s="1061"/>
      <c r="Q186" s="1061"/>
      <c r="R186" s="1061"/>
      <c r="S186" s="344"/>
      <c r="T186" s="344"/>
      <c r="U186" s="344"/>
      <c r="V186" s="344"/>
      <c r="W186" s="1204"/>
      <c r="X186" s="1205"/>
      <c r="Y186" s="1205"/>
      <c r="Z186" s="1205"/>
      <c r="AA186" s="1401"/>
      <c r="AB186" s="2339"/>
      <c r="AC186" s="2340"/>
      <c r="AD186" s="1803"/>
      <c r="AE186" s="1806"/>
      <c r="AF186" s="1806"/>
      <c r="AG186" s="1806"/>
      <c r="AH186" s="1806"/>
      <c r="AI186" s="1806"/>
      <c r="AJ186" s="1806"/>
      <c r="AK186" s="2013"/>
      <c r="AL186" s="253"/>
      <c r="AM186" s="226"/>
      <c r="AN186" s="2362"/>
      <c r="AO186" s="6605"/>
      <c r="AP186" s="658"/>
      <c r="AQ186" s="658"/>
      <c r="AR186" s="658"/>
      <c r="AS186" s="658"/>
      <c r="AT186" s="658"/>
      <c r="AU186" s="658"/>
      <c r="AV186" s="658"/>
      <c r="AW186" s="658"/>
      <c r="AX186" s="658"/>
      <c r="AY186" s="658"/>
      <c r="AZ186"/>
    </row>
    <row r="187" spans="1:52" s="815" customFormat="1" ht="18">
      <c r="A187" s="2013"/>
      <c r="B187" s="2347"/>
      <c r="C187" s="2299" t="s">
        <v>6315</v>
      </c>
      <c r="D187" s="511"/>
      <c r="E187" s="344"/>
      <c r="F187" s="344"/>
      <c r="G187" s="344"/>
      <c r="H187" s="344"/>
      <c r="I187" s="344"/>
      <c r="J187" s="344"/>
      <c r="K187" s="1061"/>
      <c r="L187" s="2300"/>
      <c r="M187" s="2301"/>
      <c r="N187" s="1061"/>
      <c r="O187" s="1061"/>
      <c r="P187" s="1061"/>
      <c r="Q187" s="1061"/>
      <c r="R187" s="1061"/>
      <c r="S187" s="344"/>
      <c r="T187" s="344"/>
      <c r="U187" s="344"/>
      <c r="V187" s="344"/>
      <c r="W187" s="1204"/>
      <c r="X187" s="1205"/>
      <c r="Y187" s="1205"/>
      <c r="Z187" s="1205"/>
      <c r="AA187" s="1401"/>
      <c r="AB187" s="2339"/>
      <c r="AC187" s="2340"/>
      <c r="AD187" s="1803"/>
      <c r="AE187" s="1806"/>
      <c r="AF187" s="1806"/>
      <c r="AG187" s="1806"/>
      <c r="AH187" s="1806"/>
      <c r="AI187" s="1806"/>
      <c r="AJ187" s="1806"/>
      <c r="AK187" s="2013"/>
      <c r="AL187" s="253"/>
      <c r="AM187" s="226"/>
      <c r="AN187" s="2362"/>
      <c r="AO187" s="6605"/>
      <c r="AP187" s="658"/>
      <c r="AQ187" s="658"/>
      <c r="AR187" s="658"/>
      <c r="AS187" s="658"/>
      <c r="AT187" s="658"/>
      <c r="AU187" s="658"/>
      <c r="AV187" s="658"/>
      <c r="AW187" s="658"/>
      <c r="AX187" s="658"/>
      <c r="AY187" s="658"/>
      <c r="AZ187"/>
    </row>
    <row r="188" spans="1:52" s="815" customFormat="1" ht="18">
      <c r="A188" s="2013"/>
      <c r="B188" s="2347"/>
      <c r="C188" s="2299" t="str">
        <f>"and the enabled property installed in "&amp;TaxYear&amp;"? (See instructions if some of the property was installed in"</f>
        <v>and the enabled property installed in 2025? (See instructions if some of the property was installed in</v>
      </c>
      <c r="D188" s="511"/>
      <c r="E188" s="344"/>
      <c r="F188" s="344"/>
      <c r="G188" s="344"/>
      <c r="H188" s="344"/>
      <c r="I188" s="344"/>
      <c r="J188" s="344"/>
      <c r="K188" s="1061"/>
      <c r="L188" s="2300"/>
      <c r="M188" s="2301"/>
      <c r="N188" s="1061"/>
      <c r="O188" s="1061"/>
      <c r="P188" s="1061"/>
      <c r="Q188" s="1061"/>
      <c r="R188" s="1061"/>
      <c r="S188" s="344"/>
      <c r="T188" s="344"/>
      <c r="U188" s="344"/>
      <c r="V188" s="344"/>
      <c r="W188" s="1204"/>
      <c r="X188" s="1205"/>
      <c r="Y188" s="1205"/>
      <c r="Z188" s="1205"/>
      <c r="AA188" s="1401"/>
      <c r="AB188" s="2339"/>
      <c r="AC188" s="2340"/>
      <c r="AD188" s="1803"/>
      <c r="AE188" s="1806"/>
      <c r="AF188" s="1806"/>
      <c r="AG188" s="1806"/>
      <c r="AH188" s="1806"/>
      <c r="AI188" s="1806"/>
      <c r="AJ188" s="1806"/>
      <c r="AK188" s="2013"/>
      <c r="AL188" s="253"/>
      <c r="AM188" s="226"/>
      <c r="AN188" s="2362"/>
      <c r="AO188" s="6605"/>
      <c r="AP188" s="658"/>
      <c r="AQ188" s="658"/>
      <c r="AR188" s="658"/>
      <c r="AS188" s="658"/>
      <c r="AT188" s="658"/>
      <c r="AU188" s="658"/>
      <c r="AV188" s="658"/>
      <c r="AW188" s="658"/>
      <c r="AX188" s="658"/>
      <c r="AY188" s="658"/>
      <c r="AZ188"/>
    </row>
    <row r="189" spans="1:52" s="815" customFormat="1" ht="18">
      <c r="A189" s="2013"/>
      <c r="B189" s="2347"/>
      <c r="C189" s="2299" t="str">
        <f>TaxYear-1&amp;".)"</f>
        <v>2024.)</v>
      </c>
      <c r="D189" s="511"/>
      <c r="E189" s="344"/>
      <c r="F189" s="344"/>
      <c r="G189" s="344"/>
      <c r="H189" s="344"/>
      <c r="I189" s="344"/>
      <c r="J189" s="344"/>
      <c r="K189" s="1061"/>
      <c r="L189" s="2300"/>
      <c r="M189" s="2301"/>
      <c r="N189" s="1061"/>
      <c r="O189" s="1061"/>
      <c r="P189" s="1061"/>
      <c r="Q189" s="1061"/>
      <c r="R189" s="1061"/>
      <c r="S189" s="344"/>
      <c r="T189" s="344"/>
      <c r="U189" s="344"/>
      <c r="V189" s="344"/>
      <c r="W189" s="1204"/>
      <c r="X189" s="1205"/>
      <c r="Y189" s="1205"/>
      <c r="Z189" s="1205"/>
      <c r="AA189" s="1401"/>
      <c r="AB189" s="10212" t="s">
        <v>680</v>
      </c>
      <c r="AC189" s="10213"/>
      <c r="AD189" s="2332"/>
      <c r="AE189" s="2335"/>
      <c r="AF189" s="1664" t="s">
        <v>568</v>
      </c>
      <c r="AG189" s="1664"/>
      <c r="AH189" s="2336" t="str">
        <f>IF(AND(AE189="",AK189=""),"X","")</f>
        <v/>
      </c>
      <c r="AI189" s="1664" t="s">
        <v>569</v>
      </c>
      <c r="AJ189" s="1664"/>
      <c r="AK189" s="2337" t="s">
        <v>2119</v>
      </c>
      <c r="AL189" s="2338" t="s">
        <v>5284</v>
      </c>
      <c r="AM189" s="253"/>
      <c r="AN189" s="2362"/>
      <c r="AO189" s="6605"/>
      <c r="AP189" s="658"/>
      <c r="AQ189" s="658"/>
      <c r="AR189" s="658"/>
      <c r="AS189" s="658"/>
      <c r="AT189" s="658"/>
      <c r="AU189" s="658"/>
      <c r="AV189" s="658"/>
      <c r="AW189" s="658"/>
      <c r="AX189" s="658"/>
      <c r="AY189" s="658"/>
      <c r="AZ189"/>
    </row>
    <row r="190" spans="1:52" s="815" customFormat="1" ht="18">
      <c r="A190" s="2013"/>
      <c r="B190" s="2353"/>
      <c r="C190" s="2299" t="s">
        <v>6316</v>
      </c>
      <c r="D190" s="511"/>
      <c r="E190" s="344"/>
      <c r="F190" s="344"/>
      <c r="G190" s="344"/>
      <c r="H190" s="344"/>
      <c r="I190" s="344"/>
      <c r="J190" s="344"/>
      <c r="K190" s="1061"/>
      <c r="L190" s="2300"/>
      <c r="M190" s="2301"/>
      <c r="N190" s="1061"/>
      <c r="O190" s="1061"/>
      <c r="P190" s="1061"/>
      <c r="Q190" s="1061"/>
      <c r="R190" s="1061"/>
      <c r="S190" s="344"/>
      <c r="T190" s="344"/>
      <c r="U190" s="344"/>
      <c r="V190" s="344"/>
      <c r="W190" s="1204"/>
      <c r="X190" s="1205"/>
      <c r="Y190" s="1205"/>
      <c r="Z190" s="1205"/>
      <c r="AA190" s="1401"/>
      <c r="AB190" s="2339"/>
      <c r="AC190" s="2340"/>
      <c r="AD190" s="1803"/>
      <c r="AE190" s="1806"/>
      <c r="AF190" s="1806"/>
      <c r="AG190" s="1806"/>
      <c r="AH190" s="1806"/>
      <c r="AI190" s="1806"/>
      <c r="AJ190" s="1806"/>
      <c r="AK190" s="2013"/>
      <c r="AL190" s="253"/>
      <c r="AM190" s="226"/>
      <c r="AN190" s="2362"/>
      <c r="AO190" s="6605"/>
      <c r="AP190" s="658"/>
      <c r="AQ190" s="658"/>
      <c r="AR190" s="658"/>
      <c r="AS190" s="658"/>
      <c r="AT190" s="658"/>
      <c r="AU190" s="658"/>
      <c r="AV190" s="658"/>
      <c r="AW190" s="658"/>
      <c r="AX190" s="658"/>
      <c r="AY190" s="658"/>
      <c r="AZ190"/>
    </row>
    <row r="191" spans="1:52" s="815" customFormat="1" ht="18">
      <c r="A191" s="2013"/>
      <c r="B191" s="2353"/>
      <c r="C191" s="2299" t="s">
        <v>6317</v>
      </c>
      <c r="D191" s="511"/>
      <c r="E191" s="344"/>
      <c r="F191" s="344"/>
      <c r="G191" s="344"/>
      <c r="H191" s="344"/>
      <c r="I191" s="344"/>
      <c r="J191" s="344"/>
      <c r="K191" s="1061"/>
      <c r="L191" s="2300"/>
      <c r="M191" s="2301"/>
      <c r="N191" s="1061"/>
      <c r="O191" s="1061"/>
      <c r="P191" s="1061"/>
      <c r="Q191" s="1061"/>
      <c r="R191" s="1061"/>
      <c r="S191" s="344"/>
      <c r="T191" s="344"/>
      <c r="U191" s="344"/>
      <c r="V191" s="344"/>
      <c r="W191" s="1204"/>
      <c r="X191" s="1205"/>
      <c r="Y191" s="1205"/>
      <c r="Z191" s="1205"/>
      <c r="AA191" s="1401"/>
      <c r="AB191" s="2339"/>
      <c r="AC191" s="2340"/>
      <c r="AD191" s="1803"/>
      <c r="AE191" s="1806"/>
      <c r="AF191" s="1806"/>
      <c r="AG191" s="1806"/>
      <c r="AH191" s="1806"/>
      <c r="AI191" s="1806"/>
      <c r="AJ191" s="1806"/>
      <c r="AK191" s="2013"/>
      <c r="AL191" s="253"/>
      <c r="AM191" s="226"/>
      <c r="AN191" s="2362"/>
      <c r="AO191" s="6605"/>
      <c r="AP191" s="658"/>
      <c r="AQ191" s="658"/>
      <c r="AR191" s="658"/>
      <c r="AS191" s="658"/>
      <c r="AT191" s="658"/>
      <c r="AU191" s="658"/>
      <c r="AV191" s="658"/>
      <c r="AW191" s="658"/>
      <c r="AX191" s="658"/>
      <c r="AY191" s="658"/>
      <c r="AZ191"/>
    </row>
    <row r="192" spans="1:52" s="815" customFormat="1" ht="18">
      <c r="A192" s="2013"/>
      <c r="B192" s="2353" t="s">
        <v>592</v>
      </c>
      <c r="C192" s="2299" t="s">
        <v>6320</v>
      </c>
      <c r="D192" s="511"/>
      <c r="E192" s="344"/>
      <c r="F192" s="344"/>
      <c r="G192" s="344"/>
      <c r="H192" s="344"/>
      <c r="I192" s="344"/>
      <c r="J192" s="344"/>
      <c r="K192" s="1061"/>
      <c r="L192" s="2300"/>
      <c r="M192" s="2301"/>
      <c r="N192" s="1061"/>
      <c r="O192" s="1061"/>
      <c r="P192" s="1061"/>
      <c r="Q192" s="1061"/>
      <c r="R192" s="1061"/>
      <c r="S192" s="344"/>
      <c r="T192" s="344"/>
      <c r="U192" s="344"/>
      <c r="V192" s="344"/>
      <c r="W192" s="1204"/>
      <c r="X192" s="1205"/>
      <c r="Y192" s="1205"/>
      <c r="Z192" s="1205"/>
      <c r="AA192" s="1401"/>
      <c r="AB192" s="2339"/>
      <c r="AC192" s="2340"/>
      <c r="AD192" s="1803"/>
      <c r="AE192" s="1806"/>
      <c r="AF192" s="1806"/>
      <c r="AG192" s="1806"/>
      <c r="AH192" s="1806"/>
      <c r="AI192" s="1806"/>
      <c r="AJ192" s="1806"/>
      <c r="AK192" s="2013"/>
      <c r="AL192" s="253"/>
      <c r="AM192" s="226"/>
      <c r="AN192" s="2362"/>
      <c r="AO192" s="6605"/>
      <c r="AP192" s="658"/>
      <c r="AQ192" s="658"/>
      <c r="AR192" s="658"/>
      <c r="AS192" s="658"/>
      <c r="AT192" s="658"/>
      <c r="AU192" s="658"/>
      <c r="AV192" s="658"/>
      <c r="AW192" s="658"/>
      <c r="AX192" s="658"/>
      <c r="AY192" s="658"/>
      <c r="AZ192"/>
    </row>
    <row r="193" spans="1:52" s="815" customFormat="1" ht="18">
      <c r="A193" s="2013"/>
      <c r="B193" s="2353"/>
      <c r="C193" s="2299" t="s">
        <v>6318</v>
      </c>
      <c r="D193" s="511"/>
      <c r="E193" s="344"/>
      <c r="F193" s="344"/>
      <c r="G193" s="10216"/>
      <c r="H193" s="10216"/>
      <c r="I193" s="344"/>
      <c r="J193" s="10216"/>
      <c r="K193" s="10216"/>
      <c r="L193" s="2300"/>
      <c r="M193" s="10216"/>
      <c r="N193" s="10216"/>
      <c r="O193" s="1061"/>
      <c r="P193" s="10216"/>
      <c r="Q193" s="10216"/>
      <c r="R193" s="1061"/>
      <c r="S193" s="10216"/>
      <c r="T193" s="10216"/>
      <c r="U193" s="344"/>
      <c r="V193" s="10216"/>
      <c r="W193" s="10216"/>
      <c r="X193" s="10216"/>
      <c r="Y193" s="10216"/>
      <c r="Z193" s="1205"/>
      <c r="AA193" s="1401"/>
      <c r="AB193" s="2339"/>
      <c r="AC193" s="2340"/>
      <c r="AD193" s="1803"/>
      <c r="AE193" s="1806"/>
      <c r="AF193" s="1806"/>
      <c r="AG193" s="1806"/>
      <c r="AH193" s="1806"/>
      <c r="AI193" s="1806"/>
      <c r="AJ193" s="1806"/>
      <c r="AK193" s="2013"/>
      <c r="AL193" s="253"/>
      <c r="AM193" s="226"/>
      <c r="AN193" s="2362"/>
      <c r="AO193" s="6605"/>
      <c r="AP193" s="658"/>
      <c r="AQ193" s="658"/>
      <c r="AR193" s="658"/>
      <c r="AS193" s="658"/>
      <c r="AT193" s="658"/>
      <c r="AU193" s="658"/>
      <c r="AV193" s="658"/>
      <c r="AW193" s="658"/>
      <c r="AX193" s="658"/>
      <c r="AY193" s="658"/>
      <c r="AZ193"/>
    </row>
    <row r="194" spans="1:52" s="815" customFormat="1" ht="7.5" customHeight="1">
      <c r="A194" s="2013"/>
      <c r="B194" s="2353"/>
      <c r="C194" s="2299"/>
      <c r="D194" s="511"/>
      <c r="E194" s="344"/>
      <c r="F194" s="344"/>
      <c r="G194" s="344"/>
      <c r="H194" s="344"/>
      <c r="I194" s="344"/>
      <c r="J194" s="344"/>
      <c r="K194" s="344"/>
      <c r="L194" s="344"/>
      <c r="M194" s="344"/>
      <c r="N194" s="344"/>
      <c r="O194" s="344"/>
      <c r="P194" s="344"/>
      <c r="Q194" s="344"/>
      <c r="R194" s="344"/>
      <c r="S194" s="344"/>
      <c r="T194" s="344"/>
      <c r="U194" s="344"/>
      <c r="V194" s="344"/>
      <c r="W194" s="344"/>
      <c r="X194" s="344"/>
      <c r="Y194" s="1205"/>
      <c r="Z194" s="1205"/>
      <c r="AA194" s="1401"/>
      <c r="AB194" s="2339"/>
      <c r="AC194" s="2340"/>
      <c r="AD194" s="1803"/>
      <c r="AE194" s="1806"/>
      <c r="AF194" s="1806"/>
      <c r="AG194" s="1806"/>
      <c r="AH194" s="1806"/>
      <c r="AI194" s="1806"/>
      <c r="AJ194" s="1806"/>
      <c r="AK194" s="2013"/>
      <c r="AL194" s="253"/>
      <c r="AM194" s="226"/>
      <c r="AN194" s="2362"/>
      <c r="AO194" s="6605"/>
      <c r="AP194" s="658"/>
      <c r="AQ194" s="658"/>
      <c r="AR194" s="658"/>
      <c r="AS194" s="658"/>
      <c r="AT194" s="658"/>
      <c r="AU194" s="658"/>
      <c r="AV194" s="658"/>
      <c r="AW194" s="658"/>
      <c r="AX194" s="658"/>
      <c r="AY194" s="658"/>
      <c r="AZ194"/>
    </row>
    <row r="195" spans="1:52" s="815" customFormat="1" ht="18">
      <c r="A195" s="2013"/>
      <c r="B195" s="2353" t="s">
        <v>595</v>
      </c>
      <c r="C195" s="2299" t="s">
        <v>6319</v>
      </c>
      <c r="D195" s="511"/>
      <c r="E195" s="344"/>
      <c r="F195" s="344"/>
      <c r="G195" s="344"/>
      <c r="H195" s="344"/>
      <c r="I195" s="344"/>
      <c r="J195" s="344"/>
      <c r="K195" s="1061"/>
      <c r="L195" s="2300"/>
      <c r="M195" s="2301"/>
      <c r="N195" s="1061"/>
      <c r="O195" s="1061"/>
      <c r="P195" s="1061"/>
      <c r="Q195" s="1061"/>
      <c r="R195" s="1061"/>
      <c r="S195" s="344"/>
      <c r="T195" s="344"/>
      <c r="U195" s="1401" t="s">
        <v>905</v>
      </c>
      <c r="V195" s="2350" t="s">
        <v>687</v>
      </c>
      <c r="W195" s="10214"/>
      <c r="X195" s="10214"/>
      <c r="Y195" s="10214"/>
      <c r="Z195" s="10214"/>
      <c r="AA195" s="10215"/>
      <c r="AB195" s="2339"/>
      <c r="AC195" s="2340"/>
      <c r="AD195" s="1803"/>
      <c r="AE195" s="1806"/>
      <c r="AF195" s="1806"/>
      <c r="AG195" s="1806"/>
      <c r="AH195" s="1806"/>
      <c r="AI195" s="1806"/>
      <c r="AJ195" s="1806"/>
      <c r="AK195" s="2013"/>
      <c r="AL195" s="253"/>
      <c r="AM195" s="226"/>
      <c r="AN195" s="2362"/>
      <c r="AO195" s="6605" t="b">
        <f>W195=""</f>
        <v>1</v>
      </c>
      <c r="AP195" s="658"/>
      <c r="AQ195" s="658"/>
      <c r="AR195" s="658"/>
      <c r="AS195" s="658"/>
      <c r="AT195" s="658"/>
      <c r="AU195" s="658"/>
      <c r="AV195" s="658"/>
      <c r="AW195" s="658"/>
      <c r="AX195" s="658"/>
      <c r="AY195" s="658"/>
      <c r="AZ195"/>
    </row>
    <row r="196" spans="1:52" s="815" customFormat="1" ht="18">
      <c r="A196" s="2013"/>
      <c r="B196" s="2353" t="s">
        <v>599</v>
      </c>
      <c r="C196" s="2299" t="s">
        <v>6321</v>
      </c>
      <c r="D196" s="511"/>
      <c r="E196" s="344"/>
      <c r="F196" s="344"/>
      <c r="G196" s="344"/>
      <c r="H196" s="344"/>
      <c r="I196" s="344"/>
      <c r="J196" s="344"/>
      <c r="K196" s="1061"/>
      <c r="L196" s="2300"/>
      <c r="M196" s="2301"/>
      <c r="N196" s="1061"/>
      <c r="O196" s="1061"/>
      <c r="P196" s="1061"/>
      <c r="Q196" s="1061"/>
      <c r="R196" s="1061"/>
      <c r="S196" s="344"/>
      <c r="T196" s="344"/>
      <c r="U196" s="344"/>
      <c r="V196" s="344"/>
      <c r="W196" s="1204"/>
      <c r="X196" s="1205"/>
      <c r="Y196" s="1205"/>
      <c r="Z196" s="1205"/>
      <c r="AA196" s="1401"/>
      <c r="AB196" s="2339"/>
      <c r="AC196" s="2340"/>
      <c r="AD196" s="1803"/>
      <c r="AE196" s="1806"/>
      <c r="AF196" s="1806"/>
      <c r="AG196" s="1806"/>
      <c r="AH196" s="1806"/>
      <c r="AI196" s="1806"/>
      <c r="AJ196" s="1806"/>
      <c r="AK196" s="2013"/>
      <c r="AL196" s="253"/>
      <c r="AM196" s="226"/>
      <c r="AN196" s="2362"/>
      <c r="AO196" s="6605"/>
      <c r="AP196" s="658"/>
      <c r="AQ196" s="658"/>
      <c r="AR196" s="658"/>
      <c r="AS196" s="658"/>
      <c r="AT196" s="658"/>
      <c r="AU196" s="658"/>
      <c r="AV196" s="658"/>
      <c r="AW196" s="658"/>
      <c r="AX196" s="658"/>
      <c r="AY196" s="658"/>
      <c r="AZ196"/>
    </row>
    <row r="197" spans="1:52" s="815" customFormat="1" ht="6.75" customHeight="1">
      <c r="A197" s="2013"/>
      <c r="B197" s="2353"/>
      <c r="C197" s="2299"/>
      <c r="D197" s="511"/>
      <c r="E197" s="344"/>
      <c r="F197" s="344"/>
      <c r="G197" s="344"/>
      <c r="H197" s="344"/>
      <c r="I197" s="344"/>
      <c r="J197" s="344"/>
      <c r="K197" s="1061"/>
      <c r="L197" s="2300"/>
      <c r="M197" s="2301"/>
      <c r="N197" s="1061"/>
      <c r="O197" s="1061"/>
      <c r="P197" s="1061"/>
      <c r="Q197" s="1061"/>
      <c r="R197" s="1061"/>
      <c r="S197" s="344"/>
      <c r="T197" s="344"/>
      <c r="U197" s="344"/>
      <c r="V197" s="344"/>
      <c r="W197" s="1204"/>
      <c r="X197" s="1205"/>
      <c r="Y197" s="1205"/>
      <c r="Z197" s="1205"/>
      <c r="AA197" s="1401"/>
      <c r="AB197" s="2339"/>
      <c r="AC197" s="2340"/>
      <c r="AD197" s="1803"/>
      <c r="AE197" s="1806"/>
      <c r="AF197" s="1806"/>
      <c r="AG197" s="1806"/>
      <c r="AH197" s="1806"/>
      <c r="AI197" s="1806"/>
      <c r="AJ197" s="1806"/>
      <c r="AK197" s="2013"/>
      <c r="AL197" s="253"/>
      <c r="AM197" s="226"/>
      <c r="AN197" s="2362"/>
      <c r="AO197" s="6605"/>
      <c r="AP197" s="658"/>
      <c r="AQ197" s="658"/>
      <c r="AR197" s="658"/>
      <c r="AS197" s="658"/>
      <c r="AT197" s="658"/>
      <c r="AU197" s="658"/>
      <c r="AV197" s="658"/>
      <c r="AW197" s="658"/>
      <c r="AX197" s="658"/>
      <c r="AY197" s="658"/>
      <c r="AZ197"/>
    </row>
    <row r="198" spans="1:52" s="815" customFormat="1" ht="21" customHeight="1">
      <c r="A198" s="2013"/>
      <c r="B198" s="6417" t="s">
        <v>6264</v>
      </c>
      <c r="C198" s="6415"/>
      <c r="D198" s="6416"/>
      <c r="E198" s="6416"/>
      <c r="F198" s="6416"/>
      <c r="G198" s="344"/>
      <c r="H198" s="344"/>
      <c r="I198" s="344"/>
      <c r="J198" s="344"/>
      <c r="K198" s="1061"/>
      <c r="L198" s="2300"/>
      <c r="M198" s="2301"/>
      <c r="N198" s="1061"/>
      <c r="O198" s="1061"/>
      <c r="P198" s="1061"/>
      <c r="Q198" s="1061"/>
      <c r="R198" s="1061"/>
      <c r="S198" s="344"/>
      <c r="T198" s="344"/>
      <c r="U198" s="344"/>
      <c r="V198" s="344"/>
      <c r="W198" s="1204"/>
      <c r="X198" s="1205"/>
      <c r="Y198" s="1205"/>
      <c r="Z198" s="1205"/>
      <c r="AA198" s="1401"/>
      <c r="AB198" s="2339"/>
      <c r="AC198" s="2340"/>
      <c r="AD198" s="1803"/>
      <c r="AE198" s="1806"/>
      <c r="AF198" s="1806"/>
      <c r="AG198" s="1806"/>
      <c r="AH198" s="1806"/>
      <c r="AI198" s="1806"/>
      <c r="AJ198" s="1806"/>
      <c r="AK198" s="2013"/>
      <c r="AL198" s="253"/>
      <c r="AM198" s="226"/>
      <c r="AN198" s="2362"/>
      <c r="AO198" s="6605"/>
      <c r="AP198" s="658"/>
      <c r="AQ198" s="658"/>
      <c r="AR198" s="658"/>
      <c r="AS198" s="658"/>
      <c r="AT198" s="658"/>
      <c r="AU198" s="658"/>
      <c r="AV198" s="658"/>
      <c r="AW198" s="658"/>
      <c r="AX198" s="658"/>
      <c r="AY198" s="658"/>
      <c r="AZ198"/>
    </row>
    <row r="199" spans="1:52" s="815" customFormat="1" ht="14.25" customHeight="1">
      <c r="A199" s="2013"/>
      <c r="B199" s="6417"/>
      <c r="C199" s="6418"/>
      <c r="D199" s="6418"/>
      <c r="E199" s="6418"/>
      <c r="F199" s="6418"/>
      <c r="G199" s="344"/>
      <c r="H199" s="344"/>
      <c r="I199" s="344"/>
      <c r="J199" s="344"/>
      <c r="K199" s="1061"/>
      <c r="L199" s="2300"/>
      <c r="M199" s="2301"/>
      <c r="N199" s="1061"/>
      <c r="O199" s="1061"/>
      <c r="P199" s="1061"/>
      <c r="Q199" s="1061"/>
      <c r="R199" s="1061"/>
      <c r="S199" s="344"/>
      <c r="T199" s="344"/>
      <c r="U199" s="344"/>
      <c r="V199" s="344"/>
      <c r="W199" s="344"/>
      <c r="X199" s="344"/>
      <c r="Y199" s="344"/>
      <c r="Z199" s="344"/>
      <c r="AA199" s="344"/>
      <c r="AB199" s="2339"/>
      <c r="AC199" s="2340"/>
      <c r="AD199" s="1803"/>
      <c r="AE199" s="1806"/>
      <c r="AF199" s="1806"/>
      <c r="AG199" s="1806"/>
      <c r="AH199" s="1806"/>
      <c r="AI199" s="1806"/>
      <c r="AJ199" s="1806"/>
      <c r="AK199" s="2013"/>
      <c r="AL199" s="253"/>
      <c r="AM199" s="7393" t="s">
        <v>4354</v>
      </c>
      <c r="AN199" s="2362"/>
      <c r="AO199" s="6605"/>
      <c r="AP199" s="658"/>
      <c r="AQ199" s="658"/>
      <c r="AR199" s="658"/>
      <c r="AS199" s="658"/>
      <c r="AT199" s="658"/>
      <c r="AU199" s="658"/>
      <c r="AV199" s="658"/>
      <c r="AW199" s="658"/>
      <c r="AX199" s="658"/>
      <c r="AY199" s="658"/>
      <c r="AZ199"/>
    </row>
    <row r="200" spans="1:52" s="815" customFormat="1" ht="21" customHeight="1" thickBot="1">
      <c r="A200" s="2013"/>
      <c r="B200" s="6417" t="s">
        <v>6265</v>
      </c>
      <c r="C200" s="6415"/>
      <c r="D200" s="6416"/>
      <c r="E200" s="6416"/>
      <c r="F200" s="6416"/>
      <c r="G200" s="344"/>
      <c r="H200" s="344"/>
      <c r="I200" s="344"/>
      <c r="J200" s="344"/>
      <c r="K200" s="1061"/>
      <c r="L200" s="2300"/>
      <c r="M200" s="2301"/>
      <c r="N200" s="1061"/>
      <c r="O200" s="1061"/>
      <c r="P200" s="1061"/>
      <c r="Q200" s="1061"/>
      <c r="R200" s="1061"/>
      <c r="S200" s="344"/>
      <c r="T200" s="344"/>
      <c r="U200" s="344"/>
      <c r="V200" s="344"/>
      <c r="W200" s="344"/>
      <c r="X200" s="344"/>
      <c r="Y200" s="344"/>
      <c r="Z200" s="344"/>
      <c r="AA200" s="344"/>
      <c r="AB200" s="2339"/>
      <c r="AC200" s="2340"/>
      <c r="AD200" s="1803"/>
      <c r="AE200" s="1806"/>
      <c r="AF200" s="1806"/>
      <c r="AG200" s="1806"/>
      <c r="AH200" s="1806"/>
      <c r="AI200" s="1806"/>
      <c r="AJ200" s="1806"/>
      <c r="AK200" s="2013"/>
      <c r="AL200" s="253"/>
      <c r="AM200" s="10207"/>
      <c r="AN200" s="2362"/>
      <c r="AO200" s="6605"/>
      <c r="AP200" s="658"/>
      <c r="AQ200" s="658"/>
      <c r="AR200" s="658"/>
      <c r="AS200" s="658"/>
      <c r="AT200" s="658"/>
      <c r="AU200" s="658"/>
      <c r="AV200" s="658"/>
      <c r="AW200" s="658"/>
      <c r="AX200" s="658"/>
      <c r="AY200" s="658"/>
      <c r="AZ200"/>
    </row>
    <row r="201" spans="1:52" s="815" customFormat="1" ht="24" customHeight="1" thickBot="1">
      <c r="A201" s="2013"/>
      <c r="B201" s="2328" t="s">
        <v>603</v>
      </c>
      <c r="C201" s="2298" t="str">
        <f>"Multiply line 25a by "&amp;TEXT($AD$161,"0%")&amp;" ("&amp;TEXT($AD$161,"0.00")&amp;"). Enter the results."</f>
        <v>Multiply line 25a by 30% (0.30). Enter the results.</v>
      </c>
      <c r="D201" s="344"/>
      <c r="E201" s="344"/>
      <c r="F201" s="344"/>
      <c r="G201" s="344"/>
      <c r="H201" s="344"/>
      <c r="I201" s="344"/>
      <c r="J201" s="344"/>
      <c r="K201" s="344"/>
      <c r="L201" s="344"/>
      <c r="M201" s="344"/>
      <c r="N201" s="344"/>
      <c r="O201" s="5995"/>
      <c r="P201" s="344"/>
      <c r="Q201" s="344"/>
      <c r="R201" s="344"/>
      <c r="S201" s="6437"/>
      <c r="T201" s="6437"/>
      <c r="U201" s="6437" t="s">
        <v>6302</v>
      </c>
      <c r="V201" s="2298" t="str">
        <f>"  "&amp;TEXT($AG$161,"$0")</f>
        <v xml:space="preserve">  $600</v>
      </c>
      <c r="W201" s="344"/>
      <c r="X201" s="344"/>
      <c r="Y201" s="344"/>
      <c r="Z201" s="344"/>
      <c r="AA201" s="1401" t="s">
        <v>784</v>
      </c>
      <c r="AB201" s="10222" t="s">
        <v>6298</v>
      </c>
      <c r="AC201" s="10223"/>
      <c r="AD201" s="10221" t="str">
        <f>IF(AM201&lt;&gt;"",ROUND(AM201,0),IF(AO195,"",MIN(ROUND(W195*$AD$161,0),$AG$161)))</f>
        <v/>
      </c>
      <c r="AE201" s="10208"/>
      <c r="AF201" s="10208"/>
      <c r="AG201" s="10208"/>
      <c r="AH201" s="10208"/>
      <c r="AI201" s="10208"/>
      <c r="AJ201" s="10208"/>
      <c r="AK201" s="2013"/>
      <c r="AL201" s="253"/>
      <c r="AM201" s="2361"/>
      <c r="AN201" s="2384" t="b">
        <f>AM201&gt;$AG$161</f>
        <v>0</v>
      </c>
      <c r="AO201" s="6605" t="b">
        <f>AD201=""</f>
        <v>1</v>
      </c>
      <c r="AP201" s="658"/>
      <c r="AQ201" s="658"/>
      <c r="AR201" s="658"/>
      <c r="AS201" s="658"/>
      <c r="AT201" s="658"/>
      <c r="AU201" s="658"/>
      <c r="AV201" s="658"/>
      <c r="AW201" s="658"/>
      <c r="AX201" s="658"/>
      <c r="AY201" s="658"/>
      <c r="AZ201"/>
    </row>
    <row r="202" spans="1:52" s="815" customFormat="1" ht="18">
      <c r="A202" s="2013"/>
      <c r="B202" s="2343"/>
      <c r="C202" s="2344"/>
      <c r="D202" s="2344"/>
      <c r="E202" s="2344"/>
      <c r="F202" s="2344"/>
      <c r="G202" s="2344"/>
      <c r="H202" s="2344"/>
      <c r="I202" s="2344"/>
      <c r="J202" s="2344"/>
      <c r="K202" s="2344"/>
      <c r="L202" s="2344"/>
      <c r="M202" s="2344"/>
      <c r="N202" s="2344"/>
      <c r="O202" s="2344"/>
      <c r="P202" s="2344"/>
      <c r="Q202" s="2344"/>
      <c r="R202" s="2344"/>
      <c r="S202" s="2344"/>
      <c r="T202" s="2344"/>
      <c r="U202" s="2344"/>
      <c r="V202" s="2344"/>
      <c r="W202" s="1916"/>
      <c r="X202" s="2344"/>
      <c r="Y202" s="2344"/>
      <c r="Z202" s="2344"/>
      <c r="AA202" s="2344"/>
      <c r="AB202" s="2344"/>
      <c r="AC202" s="2344"/>
      <c r="AD202" s="2344"/>
      <c r="AE202" s="2344"/>
      <c r="AF202" s="2344"/>
      <c r="AG202" s="2345" t="s">
        <v>5301</v>
      </c>
      <c r="AH202" s="2345"/>
      <c r="AI202" s="2346" t="str">
        <f>"("&amp;TaxYear&amp;")"</f>
        <v>(2025)</v>
      </c>
      <c r="AJ202" s="2346"/>
      <c r="AK202" s="2013"/>
      <c r="AL202" s="253"/>
      <c r="AM202" s="253"/>
      <c r="AN202" s="2362"/>
      <c r="AO202" s="6605" t="b">
        <f>AM201&gt;$AG$161</f>
        <v>0</v>
      </c>
      <c r="AP202" s="658"/>
      <c r="AQ202" s="658"/>
      <c r="AR202" s="658"/>
      <c r="AS202" s="658"/>
      <c r="AT202" s="658"/>
      <c r="AU202" s="658"/>
      <c r="AV202" s="658"/>
      <c r="AW202" s="658"/>
      <c r="AX202" s="658"/>
      <c r="AY202" s="658"/>
      <c r="AZ202"/>
    </row>
    <row r="203" spans="1:52" s="815" customFormat="1" ht="18.75" customHeight="1" thickBot="1">
      <c r="A203" s="2013"/>
      <c r="B203" s="2352" t="str">
        <f>"Form 5695 ("&amp;TaxYear&amp;")"</f>
        <v>Form 5695 (2025)</v>
      </c>
      <c r="C203" s="498"/>
      <c r="D203" s="2307"/>
      <c r="E203" s="498"/>
      <c r="F203" s="498"/>
      <c r="G203" s="498"/>
      <c r="H203" s="498"/>
      <c r="I203" s="498"/>
      <c r="J203" s="498"/>
      <c r="K203" s="498"/>
      <c r="L203" s="498"/>
      <c r="M203" s="498"/>
      <c r="N203" s="2308"/>
      <c r="O203" s="498"/>
      <c r="P203" s="498"/>
      <c r="Q203" s="498"/>
      <c r="R203" s="498"/>
      <c r="S203" s="498"/>
      <c r="T203" s="2308"/>
      <c r="U203" s="2307"/>
      <c r="V203" s="498"/>
      <c r="W203" s="498"/>
      <c r="X203" s="498"/>
      <c r="Y203" s="498"/>
      <c r="Z203" s="498"/>
      <c r="AA203" s="498"/>
      <c r="AB203" s="2308"/>
      <c r="AC203" s="498"/>
      <c r="AD203" s="498"/>
      <c r="AE203" s="498"/>
      <c r="AF203" s="498"/>
      <c r="AG203" s="498"/>
      <c r="AH203" s="498"/>
      <c r="AI203" s="498"/>
      <c r="AJ203" s="2309" t="s">
        <v>6295</v>
      </c>
      <c r="AK203" s="2013"/>
      <c r="AL203" s="253"/>
      <c r="AM203" s="253"/>
      <c r="AN203" s="2362"/>
      <c r="AO203" s="6605"/>
      <c r="AP203" s="658"/>
      <c r="AQ203" s="658"/>
      <c r="AR203" s="658"/>
      <c r="AS203" s="658"/>
      <c r="AT203" s="658"/>
      <c r="AU203" s="658"/>
      <c r="AV203" s="658"/>
      <c r="AW203" s="658"/>
      <c r="AX203" s="658"/>
      <c r="AY203" s="658"/>
      <c r="AZ203"/>
    </row>
    <row r="204" spans="1:52" s="815" customFormat="1" ht="22.5" customHeight="1">
      <c r="A204" s="2013"/>
      <c r="B204" s="6421" t="s">
        <v>6296</v>
      </c>
      <c r="C204" s="6422"/>
      <c r="D204" s="6423"/>
      <c r="E204" s="6424"/>
      <c r="F204" s="6424"/>
      <c r="G204" s="6424"/>
      <c r="H204" s="6424"/>
      <c r="I204" s="6424"/>
      <c r="J204" s="6424"/>
      <c r="K204" s="6425"/>
      <c r="L204" s="6426"/>
      <c r="M204" s="6427"/>
      <c r="N204" s="6425"/>
      <c r="O204" s="6425"/>
      <c r="P204" s="6425"/>
      <c r="Q204" s="6425"/>
      <c r="R204" s="6425"/>
      <c r="S204" s="6424"/>
      <c r="T204" s="6424"/>
      <c r="U204" s="6424"/>
      <c r="V204" s="6425"/>
      <c r="W204" s="6428"/>
      <c r="X204" s="6429"/>
      <c r="Y204" s="6424"/>
      <c r="Z204" s="6424"/>
      <c r="AA204" s="6424"/>
      <c r="AB204" s="6424"/>
      <c r="AC204" s="6424"/>
      <c r="AD204" s="6424"/>
      <c r="AE204" s="6424"/>
      <c r="AF204" s="6424"/>
      <c r="AG204" s="6424"/>
      <c r="AH204" s="6424"/>
      <c r="AI204" s="6424"/>
      <c r="AJ204" s="6424"/>
      <c r="AK204" s="2013"/>
      <c r="AL204" s="253"/>
      <c r="AM204" s="226"/>
      <c r="AN204" s="2362"/>
      <c r="AO204" s="6605" t="b">
        <f>AND(AO139,NOT(AND(AO144,AO153,AO154,AO156,AO167,AO171,AO185,AN201)))</f>
        <v>1</v>
      </c>
      <c r="AP204" s="658"/>
      <c r="AQ204" s="658"/>
      <c r="AR204" s="658"/>
      <c r="AS204" s="658"/>
      <c r="AT204" s="658"/>
      <c r="AU204" s="658"/>
      <c r="AV204" s="658"/>
      <c r="AW204" s="658"/>
      <c r="AX204" s="658"/>
      <c r="AY204" s="658"/>
      <c r="AZ204"/>
    </row>
    <row r="205" spans="1:52" s="815" customFormat="1" ht="21" customHeight="1">
      <c r="A205" s="2013"/>
      <c r="B205" s="2347">
        <v>26</v>
      </c>
      <c r="C205" s="2299" t="s">
        <v>5331</v>
      </c>
      <c r="D205" s="511"/>
      <c r="E205" s="344"/>
      <c r="F205" s="344"/>
      <c r="G205" s="344"/>
      <c r="H205" s="344"/>
      <c r="I205" s="344"/>
      <c r="J205" s="344"/>
      <c r="K205" s="1061"/>
      <c r="L205" s="2300"/>
      <c r="M205" s="2301"/>
      <c r="N205" s="1061"/>
      <c r="O205" s="1061"/>
      <c r="P205" s="1061"/>
      <c r="Q205" s="1061"/>
      <c r="R205" s="1061"/>
      <c r="S205" s="344"/>
      <c r="T205" s="344"/>
      <c r="U205" s="1401"/>
      <c r="V205" s="2033"/>
      <c r="W205" s="1204"/>
      <c r="X205" s="1205"/>
      <c r="Y205" s="1205"/>
      <c r="Z205" s="1205"/>
      <c r="AA205" s="1401"/>
      <c r="AB205" s="2339"/>
      <c r="AC205" s="2340"/>
      <c r="AD205" s="1803"/>
      <c r="AE205" s="1806"/>
      <c r="AF205" s="1806"/>
      <c r="AG205" s="1806"/>
      <c r="AH205" s="1806"/>
      <c r="AI205" s="1806"/>
      <c r="AJ205" s="1806"/>
      <c r="AK205" s="2013"/>
      <c r="AL205" s="253"/>
      <c r="AM205" s="226"/>
      <c r="AN205" s="2362"/>
      <c r="AO205" s="6605"/>
      <c r="AP205" s="658"/>
      <c r="AQ205" s="658"/>
      <c r="AR205" s="658"/>
      <c r="AS205" s="658"/>
      <c r="AT205" s="658"/>
      <c r="AU205" s="658"/>
      <c r="AV205" s="658"/>
      <c r="AW205" s="658"/>
      <c r="AX205" s="658"/>
      <c r="AY205" s="658"/>
      <c r="AZ205"/>
    </row>
    <row r="206" spans="1:52" s="815" customFormat="1" ht="21" customHeight="1">
      <c r="A206" s="2013"/>
      <c r="B206" s="2353" t="s">
        <v>588</v>
      </c>
      <c r="C206" s="6430" t="s">
        <v>5333</v>
      </c>
      <c r="D206" s="511"/>
      <c r="E206" s="344"/>
      <c r="F206" s="344"/>
      <c r="G206" s="344"/>
      <c r="H206" s="344"/>
      <c r="I206" s="344"/>
      <c r="J206" s="344"/>
      <c r="K206" s="1061"/>
      <c r="L206" s="2300"/>
      <c r="M206" s="2301"/>
      <c r="N206" s="1061"/>
      <c r="O206" s="1061"/>
      <c r="P206" s="1061"/>
      <c r="Q206" s="1061"/>
      <c r="R206" s="1061"/>
      <c r="S206" s="344"/>
      <c r="T206" s="344"/>
      <c r="U206" s="344"/>
      <c r="V206" s="344"/>
      <c r="W206" s="344"/>
      <c r="X206" s="344"/>
      <c r="Y206" s="1205"/>
      <c r="Z206" s="1205"/>
      <c r="AA206" s="1401"/>
      <c r="AB206" s="2339"/>
      <c r="AC206" s="2340"/>
      <c r="AD206" s="2332"/>
      <c r="AE206" s="1664"/>
      <c r="AF206" s="1664"/>
      <c r="AG206" s="1664"/>
      <c r="AH206" s="1664"/>
      <c r="AI206" s="1664"/>
      <c r="AJ206" s="1664"/>
      <c r="AK206" s="2013"/>
      <c r="AL206" s="253"/>
      <c r="AM206" s="253"/>
      <c r="AN206" s="2362" t="s">
        <v>588</v>
      </c>
      <c r="AO206" s="6605"/>
      <c r="AP206" s="658"/>
      <c r="AQ206" s="658"/>
      <c r="AR206" s="658"/>
      <c r="AS206" s="658"/>
      <c r="AT206" s="658"/>
      <c r="AU206" s="658"/>
      <c r="AV206" s="658"/>
      <c r="AW206" s="658"/>
      <c r="AX206" s="658"/>
      <c r="AY206" s="658"/>
      <c r="AZ206"/>
    </row>
    <row r="207" spans="1:52" s="815" customFormat="1" ht="21" customHeight="1">
      <c r="A207" s="2013"/>
      <c r="B207" s="2353"/>
      <c r="C207" s="6430" t="s">
        <v>5334</v>
      </c>
      <c r="D207" s="511"/>
      <c r="E207" s="344"/>
      <c r="F207" s="344"/>
      <c r="G207" s="344"/>
      <c r="H207" s="344"/>
      <c r="I207" s="344"/>
      <c r="J207" s="344"/>
      <c r="K207" s="1061"/>
      <c r="L207" s="2300"/>
      <c r="M207" s="2301"/>
      <c r="N207" s="1061"/>
      <c r="O207" s="1061"/>
      <c r="P207" s="1061"/>
      <c r="Q207" s="1061"/>
      <c r="R207" s="1061"/>
      <c r="S207" s="344"/>
      <c r="T207" s="344"/>
      <c r="U207" s="344"/>
      <c r="V207" s="2033"/>
      <c r="W207" s="1204"/>
      <c r="X207" s="1205"/>
      <c r="Y207" s="1205"/>
      <c r="Z207" s="1205"/>
      <c r="AA207" s="1401"/>
      <c r="AB207" s="2339"/>
      <c r="AC207" s="2340"/>
      <c r="AD207" s="2332"/>
      <c r="AE207" s="1664"/>
      <c r="AF207" s="1664"/>
      <c r="AG207" s="1664"/>
      <c r="AH207" s="1664"/>
      <c r="AI207" s="1664"/>
      <c r="AJ207" s="1664"/>
      <c r="AK207" s="2013"/>
      <c r="AL207" s="253"/>
      <c r="AM207" s="253"/>
      <c r="AN207" s="2362"/>
      <c r="AO207" s="6605"/>
      <c r="AP207" s="658"/>
      <c r="AQ207" s="658"/>
      <c r="AR207" s="658"/>
      <c r="AS207" s="658"/>
      <c r="AT207" s="658"/>
      <c r="AU207" s="658"/>
      <c r="AV207" s="658"/>
      <c r="AW207" s="658"/>
      <c r="AX207" s="658"/>
      <c r="AY207" s="658"/>
      <c r="AZ207"/>
    </row>
    <row r="208" spans="1:52" s="815" customFormat="1" ht="21" customHeight="1">
      <c r="A208" s="2013"/>
      <c r="B208" s="2347"/>
      <c r="C208" s="6430" t="s">
        <v>6297</v>
      </c>
      <c r="D208" s="511"/>
      <c r="E208" s="344"/>
      <c r="F208" s="344"/>
      <c r="G208" s="344"/>
      <c r="H208" s="344"/>
      <c r="I208" s="344"/>
      <c r="J208" s="344"/>
      <c r="K208" s="1061"/>
      <c r="L208" s="2300"/>
      <c r="M208" s="2301"/>
      <c r="N208" s="1061"/>
      <c r="O208" s="1061"/>
      <c r="P208" s="1061"/>
      <c r="Q208" s="1061"/>
      <c r="R208" s="1061"/>
      <c r="S208" s="344"/>
      <c r="T208" s="344"/>
      <c r="U208" s="344"/>
      <c r="V208" s="2033"/>
      <c r="W208" s="1204"/>
      <c r="X208" s="1205"/>
      <c r="Y208" s="1205"/>
      <c r="Z208" s="1205"/>
      <c r="AA208" s="1657"/>
      <c r="AB208" s="10212" t="s">
        <v>5332</v>
      </c>
      <c r="AC208" s="10224"/>
      <c r="AD208" s="2332"/>
      <c r="AE208" s="2335"/>
      <c r="AF208" s="1664" t="s">
        <v>568</v>
      </c>
      <c r="AG208" s="1664"/>
      <c r="AH208" s="2336" t="str">
        <f>IF(AND(AE208="",AK208=""),"X","")</f>
        <v/>
      </c>
      <c r="AI208" s="1664" t="s">
        <v>569</v>
      </c>
      <c r="AJ208" s="1664"/>
      <c r="AK208" s="2337" t="s">
        <v>2119</v>
      </c>
      <c r="AL208" s="2338" t="s">
        <v>5284</v>
      </c>
      <c r="AM208" s="253"/>
      <c r="AN208" s="2362"/>
      <c r="AO208" s="6605"/>
      <c r="AP208" s="658"/>
      <c r="AQ208" s="658"/>
      <c r="AR208" s="658"/>
      <c r="AS208" s="658"/>
      <c r="AT208" s="658"/>
      <c r="AU208" s="658"/>
      <c r="AV208" s="658"/>
      <c r="AW208" s="658"/>
      <c r="AX208" s="658"/>
      <c r="AY208" s="658"/>
      <c r="AZ208"/>
    </row>
    <row r="209" spans="1:52" s="815" customFormat="1" ht="6.75" customHeight="1">
      <c r="A209" s="2013"/>
      <c r="B209" s="2347"/>
      <c r="C209" s="2299"/>
      <c r="D209" s="511"/>
      <c r="E209" s="344"/>
      <c r="F209" s="344"/>
      <c r="G209" s="344"/>
      <c r="H209" s="344"/>
      <c r="I209" s="344"/>
      <c r="J209" s="344"/>
      <c r="K209" s="1061"/>
      <c r="L209" s="2300"/>
      <c r="M209" s="2301"/>
      <c r="N209" s="1061"/>
      <c r="O209" s="1061"/>
      <c r="P209" s="1061"/>
      <c r="Q209" s="1061"/>
      <c r="R209" s="1061"/>
      <c r="S209" s="344"/>
      <c r="T209" s="344"/>
      <c r="U209" s="344"/>
      <c r="V209" s="2347"/>
      <c r="W209" s="2356"/>
      <c r="X209" s="2356"/>
      <c r="Y209" s="2356"/>
      <c r="Z209" s="2356"/>
      <c r="AA209" s="2357"/>
      <c r="AB209" s="2358"/>
      <c r="AC209" s="2359"/>
      <c r="AD209" s="2330"/>
      <c r="AE209" s="2331"/>
      <c r="AF209" s="2331"/>
      <c r="AG209" s="2331"/>
      <c r="AH209" s="2331"/>
      <c r="AI209" s="2331"/>
      <c r="AJ209" s="2331"/>
      <c r="AK209" s="2013"/>
      <c r="AL209" s="253"/>
      <c r="AM209" s="253"/>
      <c r="AN209" s="2362"/>
      <c r="AO209" s="6605"/>
      <c r="AP209" s="658"/>
      <c r="AQ209" s="658"/>
      <c r="AR209" s="658"/>
      <c r="AS209" s="658"/>
      <c r="AT209" s="658"/>
      <c r="AU209" s="658"/>
      <c r="AV209" s="658"/>
      <c r="AW209" s="658"/>
      <c r="AX209" s="658"/>
      <c r="AY209" s="658"/>
      <c r="AZ209"/>
    </row>
    <row r="210" spans="1:52" s="815" customFormat="1" ht="18.75" thickBot="1">
      <c r="A210" s="2013"/>
      <c r="B210" s="2353" t="s">
        <v>592</v>
      </c>
      <c r="C210" s="2381" t="s">
        <v>5336</v>
      </c>
      <c r="D210" s="511"/>
      <c r="E210" s="344"/>
      <c r="F210" s="344"/>
      <c r="G210" s="344"/>
      <c r="H210" s="344"/>
      <c r="I210" s="344"/>
      <c r="J210" s="344"/>
      <c r="K210" s="1061"/>
      <c r="L210" s="2300"/>
      <c r="M210" s="2301"/>
      <c r="N210" s="1061"/>
      <c r="O210" s="1061"/>
      <c r="P210" s="1061"/>
      <c r="Q210" s="1061"/>
      <c r="R210" s="1061"/>
      <c r="S210" s="344"/>
      <c r="T210" s="344"/>
      <c r="U210" s="1401"/>
      <c r="V210" s="2350" t="s">
        <v>5335</v>
      </c>
      <c r="W210" s="10214"/>
      <c r="X210" s="10214"/>
      <c r="Y210" s="10214"/>
      <c r="Z210" s="10214"/>
      <c r="AA210" s="10215"/>
      <c r="AB210" s="2339"/>
      <c r="AC210" s="2340"/>
      <c r="AD210" s="10242" t="str">
        <f>IF(AND(AE208="",W210&lt;&gt;""),"Check 'Yes'.","")</f>
        <v/>
      </c>
      <c r="AE210" s="10243"/>
      <c r="AF210" s="10243"/>
      <c r="AG210" s="10243"/>
      <c r="AH210" s="10243"/>
      <c r="AI210" s="10243"/>
      <c r="AJ210" s="10243"/>
      <c r="AK210" s="2013"/>
      <c r="AL210" s="253"/>
      <c r="AM210" s="226" t="s">
        <v>931</v>
      </c>
      <c r="AN210" s="2362"/>
      <c r="AO210" s="6605" t="b">
        <f>W210=""</f>
        <v>1</v>
      </c>
      <c r="AP210" s="658"/>
      <c r="AQ210" s="658"/>
      <c r="AR210" s="658"/>
      <c r="AS210" s="658"/>
      <c r="AT210" s="658"/>
      <c r="AU210" s="658"/>
      <c r="AV210" s="658"/>
      <c r="AW210" s="658"/>
      <c r="AX210" s="658"/>
      <c r="AY210" s="658"/>
      <c r="AZ210"/>
    </row>
    <row r="211" spans="1:52" s="815" customFormat="1" ht="21" customHeight="1" thickBot="1">
      <c r="A211" s="2013"/>
      <c r="B211" s="2353" t="s">
        <v>595</v>
      </c>
      <c r="C211" s="2298" t="str">
        <f>"Multiply line 26b by "&amp;TEXT($AD$161,"0%")&amp;" ("&amp;TEXT($AD$161,"0.00")&amp;"). Enter the results. "</f>
        <v xml:space="preserve">Multiply line 26b by 30% (0.30). Enter the results. </v>
      </c>
      <c r="D211" s="344"/>
      <c r="E211" s="344"/>
      <c r="F211" s="344"/>
      <c r="G211" s="344"/>
      <c r="H211" s="344"/>
      <c r="I211" s="344"/>
      <c r="J211" s="344"/>
      <c r="K211" s="344"/>
      <c r="L211" s="344"/>
      <c r="M211" s="344"/>
      <c r="N211" s="1323"/>
      <c r="O211" s="344"/>
      <c r="P211" s="344"/>
      <c r="Q211" s="344"/>
      <c r="R211" s="344"/>
      <c r="S211" s="4998"/>
      <c r="T211" s="4998" t="s">
        <v>6524</v>
      </c>
      <c r="U211" s="2298" t="str">
        <f>TEXT($AN$211,"$0")</f>
        <v>$150</v>
      </c>
      <c r="V211" s="344"/>
      <c r="W211" s="344"/>
      <c r="X211" s="344"/>
      <c r="Y211" s="344"/>
      <c r="Z211" s="344"/>
      <c r="AA211" s="1401"/>
      <c r="AB211" s="10222" t="s">
        <v>5337</v>
      </c>
      <c r="AC211" s="10223"/>
      <c r="AD211" s="10221" t="str">
        <f>IF(AM211&lt;&gt;"",ROUND(AM211,"0"),IF(W210="","",MIN(ROUND(W210*$AD$161,0),$AN$211)))</f>
        <v/>
      </c>
      <c r="AE211" s="10208"/>
      <c r="AF211" s="10208"/>
      <c r="AG211" s="10208"/>
      <c r="AH211" s="10208"/>
      <c r="AI211" s="10208"/>
      <c r="AJ211" s="10208"/>
      <c r="AK211" s="2013"/>
      <c r="AL211" s="253"/>
      <c r="AM211" s="2361"/>
      <c r="AN211" s="6446">
        <v>150</v>
      </c>
      <c r="AO211" s="6605" t="b">
        <f>AD211=""</f>
        <v>1</v>
      </c>
      <c r="AP211" s="658"/>
      <c r="AQ211" s="658"/>
      <c r="AR211" s="658"/>
      <c r="AS211" s="658"/>
      <c r="AT211" s="658"/>
      <c r="AU211" s="658"/>
      <c r="AV211" s="658"/>
      <c r="AW211" s="658"/>
      <c r="AX211" s="658"/>
      <c r="AY211" s="658"/>
      <c r="AZ211"/>
    </row>
    <row r="212" spans="1:52" s="815" customFormat="1" ht="21" customHeight="1" thickBot="1">
      <c r="A212" s="2013"/>
      <c r="B212" s="2347">
        <v>27</v>
      </c>
      <c r="C212" s="2299" t="s">
        <v>6294</v>
      </c>
      <c r="D212" s="511"/>
      <c r="E212" s="344"/>
      <c r="F212" s="344"/>
      <c r="G212" s="344"/>
      <c r="H212" s="344"/>
      <c r="I212" s="344"/>
      <c r="J212" s="344"/>
      <c r="K212" s="1061"/>
      <c r="L212" s="2300"/>
      <c r="M212" s="2301"/>
      <c r="N212" s="1061"/>
      <c r="O212" s="1061"/>
      <c r="P212" s="1061"/>
      <c r="Q212" s="1061"/>
      <c r="R212" s="1061"/>
      <c r="S212" s="344"/>
      <c r="T212" s="344"/>
      <c r="U212" s="1401" t="s">
        <v>824</v>
      </c>
      <c r="V212" s="2350">
        <v>27</v>
      </c>
      <c r="W212" s="10208" t="str">
        <f>IF(AM212&lt;&gt;"",ROUND(AM212,0),IF(AO212,"",SUM(AD101,AD117,AD133,AD162,AD173,AD184,AD201,AD211)))</f>
        <v/>
      </c>
      <c r="X212" s="10208"/>
      <c r="Y212" s="10208"/>
      <c r="Z212" s="10208"/>
      <c r="AA212" s="10209"/>
      <c r="AB212" s="2339"/>
      <c r="AC212" s="2340"/>
      <c r="AD212" s="10240">
        <v>1200</v>
      </c>
      <c r="AE212" s="10241"/>
      <c r="AF212" s="10241"/>
      <c r="AG212" s="10241"/>
      <c r="AH212" s="10241"/>
      <c r="AI212" s="10241"/>
      <c r="AJ212" s="10241"/>
      <c r="AK212" s="2013"/>
      <c r="AL212" s="253"/>
      <c r="AM212" s="2361"/>
      <c r="AN212" s="2362" t="b">
        <f>AM211&gt;AN211</f>
        <v>0</v>
      </c>
      <c r="AO212" s="6605" t="b">
        <f>AND(AO101,AO117,AO133,AO162,AO173,AO184,AO201,AO211)</f>
        <v>1</v>
      </c>
      <c r="AP212" s="658"/>
      <c r="AQ212" s="658"/>
      <c r="AR212" s="658"/>
      <c r="AS212" s="658"/>
      <c r="AT212" s="658"/>
      <c r="AU212" s="658"/>
      <c r="AV212" s="658"/>
      <c r="AW212" s="658"/>
      <c r="AX212" s="658"/>
      <c r="AY212" s="658"/>
      <c r="AZ212"/>
    </row>
    <row r="213" spans="1:52" s="815" customFormat="1" ht="21" customHeight="1" thickBot="1">
      <c r="A213" s="2013"/>
      <c r="B213" s="2347">
        <v>28</v>
      </c>
      <c r="C213" s="2298" t="str">
        <f>"Enter the smaller of line 27 or "&amp;TEXT(AD212,"$0,000")</f>
        <v>Enter the smaller of line 27 or $1,200</v>
      </c>
      <c r="D213" s="344"/>
      <c r="E213" s="344"/>
      <c r="F213" s="344"/>
      <c r="G213" s="344"/>
      <c r="H213" s="344"/>
      <c r="I213" s="344"/>
      <c r="J213" s="344"/>
      <c r="K213" s="344"/>
      <c r="L213" s="344"/>
      <c r="M213" s="344"/>
      <c r="N213" s="344"/>
      <c r="O213" s="344"/>
      <c r="P213" s="344"/>
      <c r="Q213" s="344"/>
      <c r="R213" s="344"/>
      <c r="S213" s="344"/>
      <c r="T213" s="344"/>
      <c r="U213" s="344"/>
      <c r="V213" s="344"/>
      <c r="W213" s="344"/>
      <c r="X213" s="344"/>
      <c r="Y213" s="344"/>
      <c r="Z213" s="344"/>
      <c r="AA213" s="1401" t="s">
        <v>1888</v>
      </c>
      <c r="AB213" s="10222">
        <v>28</v>
      </c>
      <c r="AC213" s="10223"/>
      <c r="AD213" s="10221" t="str">
        <f>IF(AM213&lt;&gt;"",ROUND(AM213,0),IF(AO212,"",MIN(W212,$AD$212)))</f>
        <v/>
      </c>
      <c r="AE213" s="10208"/>
      <c r="AF213" s="10208"/>
      <c r="AG213" s="10208"/>
      <c r="AH213" s="10208"/>
      <c r="AI213" s="10208"/>
      <c r="AJ213" s="10208"/>
      <c r="AK213" s="2013"/>
      <c r="AL213" s="253"/>
      <c r="AM213" s="2361"/>
      <c r="AN213" s="2362"/>
      <c r="AO213" s="6605" t="b">
        <f>AD213=""</f>
        <v>1</v>
      </c>
      <c r="AP213" s="658"/>
      <c r="AQ213" s="658"/>
      <c r="AR213" s="658"/>
      <c r="AS213" s="658"/>
      <c r="AT213" s="658"/>
      <c r="AU213" s="658"/>
      <c r="AV213" s="658"/>
      <c r="AW213" s="658"/>
      <c r="AX213" s="658"/>
      <c r="AY213" s="658"/>
      <c r="AZ213"/>
    </row>
    <row r="214" spans="1:52" s="815" customFormat="1" ht="21" customHeight="1">
      <c r="A214" s="2013"/>
      <c r="B214" s="2347">
        <v>29</v>
      </c>
      <c r="C214" s="2299" t="s">
        <v>5338</v>
      </c>
      <c r="D214" s="511"/>
      <c r="E214" s="344"/>
      <c r="F214" s="344"/>
      <c r="G214" s="344"/>
      <c r="H214" s="344"/>
      <c r="I214" s="344"/>
      <c r="J214" s="344"/>
      <c r="K214" s="1061"/>
      <c r="L214" s="2300"/>
      <c r="M214" s="2301"/>
      <c r="N214" s="1061"/>
      <c r="O214" s="1061"/>
      <c r="P214" s="1061"/>
      <c r="Q214" s="1061"/>
      <c r="R214" s="1061"/>
      <c r="S214" s="344"/>
      <c r="T214" s="344"/>
      <c r="U214" s="1401"/>
      <c r="V214" s="2349"/>
      <c r="W214" s="1204"/>
      <c r="X214" s="1205"/>
      <c r="Y214" s="1205"/>
      <c r="Z214" s="1205"/>
      <c r="AA214" s="1401"/>
      <c r="AB214" s="2339"/>
      <c r="AC214" s="2340"/>
      <c r="AD214" s="1803"/>
      <c r="AE214" s="1806"/>
      <c r="AF214" s="1806"/>
      <c r="AG214" s="1806"/>
      <c r="AH214" s="1806"/>
      <c r="AI214" s="1806"/>
      <c r="AJ214" s="1806"/>
      <c r="AK214" s="2013"/>
      <c r="AL214" s="4850" t="str">
        <f>IF(NOT(AO143),"Skip line 29.","")</f>
        <v>Skip line 29.</v>
      </c>
      <c r="AM214" s="226"/>
      <c r="AN214" s="2362"/>
      <c r="AO214" s="6605"/>
      <c r="AP214" s="658"/>
      <c r="AQ214" s="658"/>
      <c r="AR214" s="658"/>
      <c r="AS214" s="658"/>
      <c r="AT214" s="658"/>
      <c r="AU214" s="658"/>
      <c r="AV214" s="658"/>
      <c r="AW214" s="658"/>
      <c r="AX214" s="658"/>
      <c r="AY214" s="658"/>
      <c r="AZ214"/>
    </row>
    <row r="215" spans="1:52" s="815" customFormat="1" ht="21.75" customHeight="1">
      <c r="A215" s="2013"/>
      <c r="B215" s="2353" t="s">
        <v>588</v>
      </c>
      <c r="C215" s="2299" t="s">
        <v>6282</v>
      </c>
      <c r="D215" s="511"/>
      <c r="E215" s="344"/>
      <c r="F215" s="344"/>
      <c r="G215" s="344"/>
      <c r="H215" s="344"/>
      <c r="I215" s="344"/>
      <c r="J215" s="344"/>
      <c r="K215" s="1061"/>
      <c r="L215" s="2300"/>
      <c r="M215" s="2301"/>
      <c r="N215" s="1061"/>
      <c r="O215" s="1061"/>
      <c r="P215" s="1061"/>
      <c r="Q215" s="1061"/>
      <c r="R215" s="1061"/>
      <c r="S215" s="344"/>
      <c r="T215" s="344"/>
      <c r="U215" s="344"/>
      <c r="V215" s="2351"/>
      <c r="W215" s="6410"/>
      <c r="X215" s="6411"/>
      <c r="Y215" s="6411"/>
      <c r="Z215" s="6411"/>
      <c r="AA215" s="6412"/>
      <c r="AB215" s="2339"/>
      <c r="AC215" s="2340"/>
      <c r="AD215" s="1803"/>
      <c r="AE215" s="1806"/>
      <c r="AF215" s="1806"/>
      <c r="AG215" s="1806"/>
      <c r="AH215" s="1806"/>
      <c r="AI215" s="1806"/>
      <c r="AJ215" s="1806"/>
      <c r="AK215" s="2013"/>
      <c r="AL215" s="253"/>
      <c r="AM215" s="5425" t="s">
        <v>931</v>
      </c>
      <c r="AN215" s="2362"/>
      <c r="AO215" s="6605"/>
      <c r="AP215" s="658"/>
      <c r="AQ215" s="658"/>
      <c r="AR215" s="658"/>
      <c r="AS215" s="658"/>
      <c r="AT215" s="658"/>
      <c r="AU215" s="658"/>
      <c r="AV215" s="658"/>
      <c r="AW215" s="658"/>
      <c r="AX215" s="658"/>
      <c r="AY215" s="658"/>
      <c r="AZ215"/>
    </row>
    <row r="216" spans="1:52" s="815" customFormat="1" ht="18">
      <c r="A216" s="2013"/>
      <c r="B216" s="2353"/>
      <c r="C216" s="2381" t="s">
        <v>6821</v>
      </c>
      <c r="D216" s="511"/>
      <c r="E216" s="344"/>
      <c r="F216" s="344"/>
      <c r="G216" s="344"/>
      <c r="H216" s="344"/>
      <c r="I216" s="344"/>
      <c r="J216" s="344"/>
      <c r="K216" s="1061"/>
      <c r="L216" s="2300"/>
      <c r="M216" s="2301"/>
      <c r="N216" s="1061"/>
      <c r="O216" s="1061"/>
      <c r="P216" s="1061"/>
      <c r="Q216" s="1061"/>
      <c r="R216" s="1061"/>
      <c r="S216" s="344"/>
      <c r="T216" s="344"/>
      <c r="U216" s="1401" t="s">
        <v>908</v>
      </c>
      <c r="V216" s="2350" t="s">
        <v>2414</v>
      </c>
      <c r="W216" s="10214"/>
      <c r="X216" s="10214"/>
      <c r="Y216" s="10214"/>
      <c r="Z216" s="10214"/>
      <c r="AA216" s="10215"/>
      <c r="AB216" s="2339"/>
      <c r="AC216" s="2340"/>
      <c r="AD216" s="1803"/>
      <c r="AE216" s="1806"/>
      <c r="AF216" s="1806"/>
      <c r="AG216" s="1806"/>
      <c r="AH216" s="1806"/>
      <c r="AI216" s="1806"/>
      <c r="AJ216" s="1806"/>
      <c r="AK216" s="2013"/>
      <c r="AL216" s="253"/>
      <c r="AM216" s="226"/>
      <c r="AN216" s="2362"/>
      <c r="AO216" s="6605" t="b">
        <f>W216=""</f>
        <v>1</v>
      </c>
      <c r="AP216" s="658"/>
      <c r="AQ216" s="658"/>
      <c r="AR216" s="658"/>
      <c r="AS216" s="658"/>
      <c r="AT216" s="658"/>
      <c r="AU216" s="658"/>
      <c r="AV216" s="658"/>
      <c r="AW216" s="658"/>
      <c r="AX216" s="658"/>
      <c r="AY216" s="658"/>
      <c r="AZ216"/>
    </row>
    <row r="217" spans="1:52" s="815" customFormat="1" ht="9" customHeight="1">
      <c r="A217" s="2013"/>
      <c r="B217" s="2353"/>
      <c r="C217" s="2353"/>
      <c r="D217" s="2353"/>
      <c r="E217" s="2353"/>
      <c r="F217" s="2353"/>
      <c r="G217" s="2353"/>
      <c r="H217" s="2353"/>
      <c r="I217" s="2353"/>
      <c r="J217" s="2353"/>
      <c r="K217" s="2353"/>
      <c r="L217" s="2353"/>
      <c r="M217" s="2353"/>
      <c r="N217" s="2353"/>
      <c r="O217" s="2353"/>
      <c r="P217" s="2353"/>
      <c r="Q217" s="2353"/>
      <c r="R217" s="2353"/>
      <c r="S217" s="2353"/>
      <c r="T217" s="2353"/>
      <c r="U217" s="2353"/>
      <c r="V217" s="2351"/>
      <c r="W217" s="2353"/>
      <c r="X217" s="2353"/>
      <c r="Y217" s="2353"/>
      <c r="Z217" s="2353"/>
      <c r="AA217" s="2353"/>
      <c r="AB217" s="2339"/>
      <c r="AC217" s="2340"/>
      <c r="AD217" s="1803"/>
      <c r="AE217" s="1806"/>
      <c r="AF217" s="1806"/>
      <c r="AG217" s="1806"/>
      <c r="AH217" s="1806"/>
      <c r="AI217" s="1806"/>
      <c r="AJ217" s="1806"/>
      <c r="AK217" s="2013"/>
      <c r="AL217" s="253"/>
      <c r="AM217" s="226"/>
      <c r="AN217" s="2362"/>
      <c r="AO217" s="6605"/>
      <c r="AP217" s="658"/>
      <c r="AQ217" s="658"/>
      <c r="AR217" s="658"/>
      <c r="AS217" s="658"/>
      <c r="AT217" s="658"/>
      <c r="AU217" s="658"/>
      <c r="AV217" s="658"/>
      <c r="AW217" s="658"/>
      <c r="AX217" s="658"/>
      <c r="AY217" s="658"/>
      <c r="AZ217"/>
    </row>
    <row r="218" spans="1:52" s="815" customFormat="1" ht="21.75" customHeight="1">
      <c r="A218" s="2013"/>
      <c r="B218" s="6417"/>
      <c r="C218" s="6415"/>
      <c r="D218" s="6416"/>
      <c r="E218" s="6416"/>
      <c r="F218" s="6416"/>
      <c r="G218" s="6447"/>
      <c r="H218" s="6447"/>
      <c r="I218" s="6447"/>
      <c r="J218" s="6447"/>
      <c r="K218" s="6447"/>
      <c r="L218" s="6448"/>
      <c r="M218" s="6449"/>
      <c r="N218" s="6447"/>
      <c r="O218" s="6447"/>
      <c r="P218" s="6447"/>
      <c r="Q218" s="6447"/>
      <c r="R218" s="6447"/>
      <c r="S218" s="6447"/>
      <c r="T218" s="344"/>
      <c r="U218" s="6411"/>
      <c r="V218" s="2351"/>
      <c r="W218" s="6411"/>
      <c r="X218" s="6411"/>
      <c r="Y218" s="6411"/>
      <c r="Z218" s="6411"/>
      <c r="AA218" s="6412"/>
      <c r="AB218" s="2339"/>
      <c r="AC218" s="2340"/>
      <c r="AD218" s="1803"/>
      <c r="AE218" s="1806"/>
      <c r="AF218" s="1806"/>
      <c r="AG218" s="1806"/>
      <c r="AH218" s="1806"/>
      <c r="AI218" s="1806"/>
      <c r="AJ218" s="1806"/>
      <c r="AK218" s="2013"/>
      <c r="AL218" s="253"/>
      <c r="AM218" s="226"/>
      <c r="AN218" s="2362"/>
      <c r="AO218" s="6605"/>
      <c r="AP218" s="658"/>
      <c r="AQ218" s="658"/>
      <c r="AR218" s="658"/>
      <c r="AS218" s="658"/>
      <c r="AT218" s="658"/>
      <c r="AU218" s="658"/>
      <c r="AV218" s="658"/>
      <c r="AW218" s="658"/>
      <c r="AX218" s="658"/>
      <c r="AY218" s="658"/>
      <c r="AZ218"/>
    </row>
    <row r="219" spans="1:52" s="815" customFormat="1" ht="6" customHeight="1" thickBot="1">
      <c r="A219" s="2013"/>
      <c r="B219" s="6417"/>
      <c r="C219" s="6418"/>
      <c r="D219" s="6418"/>
      <c r="E219" s="6418"/>
      <c r="F219" s="6418"/>
      <c r="G219" s="6418"/>
      <c r="H219" s="6418"/>
      <c r="I219" s="6418"/>
      <c r="J219" s="6418"/>
      <c r="K219" s="6418"/>
      <c r="L219" s="6418"/>
      <c r="M219" s="6418"/>
      <c r="N219" s="6418"/>
      <c r="O219" s="6418"/>
      <c r="P219" s="6418"/>
      <c r="Q219" s="6418"/>
      <c r="R219" s="6418"/>
      <c r="S219" s="6418"/>
      <c r="T219" s="6418"/>
      <c r="U219" s="6418"/>
      <c r="V219" s="2351"/>
      <c r="W219" s="6418"/>
      <c r="X219" s="6418"/>
      <c r="Y219" s="6418"/>
      <c r="Z219" s="6418"/>
      <c r="AA219" s="6412"/>
      <c r="AB219" s="2339"/>
      <c r="AC219" s="2340"/>
      <c r="AD219" s="1803"/>
      <c r="AE219" s="1806"/>
      <c r="AF219" s="1806"/>
      <c r="AG219" s="1806"/>
      <c r="AH219" s="1806"/>
      <c r="AI219" s="1806"/>
      <c r="AJ219" s="1806"/>
      <c r="AK219" s="2013"/>
      <c r="AL219" s="253"/>
      <c r="AM219" s="226"/>
      <c r="AN219" s="2362"/>
      <c r="AO219" s="6605"/>
      <c r="AP219" s="658"/>
      <c r="AQ219" s="658"/>
      <c r="AR219" s="658"/>
      <c r="AS219" s="658"/>
      <c r="AT219" s="658"/>
      <c r="AU219" s="658"/>
      <c r="AV219" s="658"/>
      <c r="AW219" s="658"/>
      <c r="AX219" s="658"/>
      <c r="AY219" s="658"/>
      <c r="AZ219"/>
    </row>
    <row r="220" spans="1:52" s="815" customFormat="1" ht="21" customHeight="1" thickBot="1">
      <c r="A220" s="2013"/>
      <c r="B220" s="2353" t="s">
        <v>592</v>
      </c>
      <c r="C220" s="2299" t="s">
        <v>6303</v>
      </c>
      <c r="D220" s="511"/>
      <c r="E220" s="344"/>
      <c r="F220" s="344"/>
      <c r="G220" s="344"/>
      <c r="H220" s="344"/>
      <c r="I220" s="344"/>
      <c r="J220" s="344"/>
      <c r="K220" s="1061"/>
      <c r="L220" s="2300"/>
      <c r="M220" s="2301"/>
      <c r="N220" s="1061"/>
      <c r="O220" s="1061"/>
      <c r="P220" s="1061"/>
      <c r="Q220" s="1061"/>
      <c r="R220" s="1061"/>
      <c r="S220" s="344"/>
      <c r="T220" s="344"/>
      <c r="U220" s="1401" t="s">
        <v>828</v>
      </c>
      <c r="V220" s="2350" t="s">
        <v>3390</v>
      </c>
      <c r="W220" s="10208" t="str">
        <f>IF(AND(AO216,AO220),"",IF(AM220="",0,ROUND(AM220,0)))</f>
        <v/>
      </c>
      <c r="X220" s="10208"/>
      <c r="Y220" s="10208"/>
      <c r="Z220" s="10208"/>
      <c r="AA220" s="10209"/>
      <c r="AB220" s="2339"/>
      <c r="AC220" s="2340"/>
      <c r="AD220" s="10217">
        <v>0.3</v>
      </c>
      <c r="AE220" s="10218"/>
      <c r="AF220" s="10218"/>
      <c r="AG220" s="10211">
        <v>600</v>
      </c>
      <c r="AH220" s="10211"/>
      <c r="AI220" s="10211"/>
      <c r="AJ220" s="10211"/>
      <c r="AK220" s="2013"/>
      <c r="AL220" s="253"/>
      <c r="AM220" s="2361"/>
      <c r="AN220" s="2362"/>
      <c r="AO220" s="6605" t="b">
        <f>AM220=""</f>
        <v>1</v>
      </c>
      <c r="AP220" s="658"/>
      <c r="AQ220" s="658"/>
      <c r="AR220" s="658"/>
      <c r="AS220" s="658"/>
      <c r="AT220" s="658"/>
      <c r="AU220" s="658"/>
      <c r="AV220" s="658"/>
      <c r="AW220" s="658"/>
      <c r="AX220" s="658"/>
      <c r="AY220" s="658"/>
      <c r="AZ220"/>
    </row>
    <row r="221" spans="1:52" s="815" customFormat="1" ht="21.75" customHeight="1">
      <c r="A221" s="2013"/>
      <c r="B221" s="6417" t="s">
        <v>595</v>
      </c>
      <c r="C221" s="2299" t="s">
        <v>6282</v>
      </c>
      <c r="D221" s="511"/>
      <c r="E221" s="344"/>
      <c r="F221" s="344"/>
      <c r="G221" s="344"/>
      <c r="H221" s="344"/>
      <c r="I221" s="344"/>
      <c r="J221" s="344"/>
      <c r="K221" s="1061"/>
      <c r="L221" s="2300"/>
      <c r="M221" s="2301"/>
      <c r="N221" s="1061"/>
      <c r="O221" s="1061"/>
      <c r="P221" s="1061"/>
      <c r="Q221" s="1061"/>
      <c r="R221" s="1061"/>
      <c r="S221" s="344"/>
      <c r="T221" s="344"/>
      <c r="U221" s="344"/>
      <c r="V221" s="2351"/>
      <c r="W221" s="6410"/>
      <c r="X221" s="6411"/>
      <c r="Y221" s="6411"/>
      <c r="Z221" s="6411"/>
      <c r="AA221" s="6412"/>
      <c r="AB221" s="2339"/>
      <c r="AC221" s="2340"/>
      <c r="AD221" s="1803"/>
      <c r="AE221" s="1806"/>
      <c r="AF221" s="1806"/>
      <c r="AG221" s="1806"/>
      <c r="AH221" s="1806"/>
      <c r="AI221" s="1806"/>
      <c r="AJ221" s="1806"/>
      <c r="AK221" s="2013"/>
      <c r="AL221" s="253"/>
      <c r="AM221" s="5425" t="s">
        <v>931</v>
      </c>
      <c r="AN221" s="2362"/>
      <c r="AO221" s="6605"/>
      <c r="AP221" s="658"/>
      <c r="AQ221" s="658"/>
      <c r="AR221" s="658"/>
      <c r="AS221" s="658"/>
      <c r="AT221" s="658"/>
      <c r="AU221" s="658"/>
      <c r="AV221" s="658"/>
      <c r="AW221" s="658"/>
      <c r="AX221" s="658"/>
      <c r="AY221" s="658"/>
      <c r="AZ221"/>
    </row>
    <row r="222" spans="1:52" s="815" customFormat="1" ht="18">
      <c r="A222" s="2013"/>
      <c r="B222" s="2353"/>
      <c r="C222" s="2381" t="s">
        <v>6304</v>
      </c>
      <c r="D222" s="511"/>
      <c r="E222" s="344"/>
      <c r="F222" s="344"/>
      <c r="G222" s="344"/>
      <c r="H222" s="344"/>
      <c r="I222" s="344"/>
      <c r="J222" s="344"/>
      <c r="K222" s="1061"/>
      <c r="L222" s="2300"/>
      <c r="M222" s="2301"/>
      <c r="N222" s="1061"/>
      <c r="O222" s="1061"/>
      <c r="P222" s="1061"/>
      <c r="Q222" s="1061"/>
      <c r="R222" s="1061"/>
      <c r="S222" s="344"/>
      <c r="T222" s="344"/>
      <c r="U222" s="1401" t="s">
        <v>877</v>
      </c>
      <c r="V222" s="2350" t="s">
        <v>5339</v>
      </c>
      <c r="W222" s="10214"/>
      <c r="X222" s="10214"/>
      <c r="Y222" s="10214"/>
      <c r="Z222" s="10214"/>
      <c r="AA222" s="10215"/>
      <c r="AB222" s="2339"/>
      <c r="AC222" s="2340"/>
      <c r="AD222" s="1803"/>
      <c r="AE222" s="1806"/>
      <c r="AF222" s="1806"/>
      <c r="AG222" s="1806"/>
      <c r="AH222" s="1806"/>
      <c r="AI222" s="1806"/>
      <c r="AJ222" s="1806"/>
      <c r="AK222" s="2013"/>
      <c r="AL222" s="253"/>
      <c r="AM222" s="226"/>
      <c r="AN222" s="2362"/>
      <c r="AO222" s="6605" t="b">
        <f>W222=""</f>
        <v>1</v>
      </c>
      <c r="AP222" s="658"/>
      <c r="AQ222" s="658"/>
      <c r="AR222" s="658"/>
      <c r="AS222" s="658"/>
      <c r="AT222" s="658"/>
      <c r="AU222" s="658"/>
      <c r="AV222" s="658"/>
      <c r="AW222" s="658"/>
      <c r="AX222" s="658"/>
      <c r="AY222" s="658"/>
      <c r="AZ222"/>
    </row>
    <row r="223" spans="1:52" s="815" customFormat="1" ht="9" customHeight="1">
      <c r="A223" s="2013"/>
      <c r="B223" s="2353"/>
      <c r="C223" s="2353"/>
      <c r="D223" s="2353"/>
      <c r="E223" s="2353"/>
      <c r="F223" s="2353"/>
      <c r="G223" s="2353"/>
      <c r="H223" s="2353"/>
      <c r="I223" s="2353"/>
      <c r="J223" s="2353"/>
      <c r="K223" s="2353"/>
      <c r="L223" s="2353"/>
      <c r="M223" s="2353"/>
      <c r="N223" s="2353"/>
      <c r="O223" s="2353"/>
      <c r="P223" s="2353"/>
      <c r="Q223" s="2353"/>
      <c r="R223" s="2353"/>
      <c r="S223" s="2353"/>
      <c r="T223" s="2353"/>
      <c r="U223" s="2353"/>
      <c r="V223" s="6434"/>
      <c r="W223" s="2353"/>
      <c r="X223" s="2353"/>
      <c r="Y223" s="2353"/>
      <c r="Z223" s="2353"/>
      <c r="AA223" s="2353"/>
      <c r="AB223" s="2339"/>
      <c r="AC223" s="2340"/>
      <c r="AD223" s="1803"/>
      <c r="AE223" s="1806"/>
      <c r="AF223" s="1806"/>
      <c r="AG223" s="1806"/>
      <c r="AH223" s="1806"/>
      <c r="AI223" s="1806"/>
      <c r="AJ223" s="1806"/>
      <c r="AK223" s="2013"/>
      <c r="AL223" s="253"/>
      <c r="AM223" s="226"/>
      <c r="AN223" s="2362"/>
      <c r="AO223" s="6605"/>
      <c r="AP223" s="658"/>
      <c r="AQ223" s="658"/>
      <c r="AR223" s="658"/>
      <c r="AS223" s="658"/>
      <c r="AT223" s="658"/>
      <c r="AU223" s="658"/>
      <c r="AV223" s="658"/>
      <c r="AW223" s="658"/>
      <c r="AX223" s="658"/>
      <c r="AY223" s="658"/>
      <c r="AZ223"/>
    </row>
    <row r="224" spans="1:52" s="815" customFormat="1" ht="21.75" customHeight="1">
      <c r="A224" s="2013"/>
      <c r="B224" s="6417"/>
      <c r="C224" s="6415"/>
      <c r="D224" s="6416"/>
      <c r="E224" s="6416"/>
      <c r="F224" s="6416"/>
      <c r="G224" s="6447"/>
      <c r="H224" s="6447"/>
      <c r="I224" s="6447"/>
      <c r="J224" s="6447"/>
      <c r="K224" s="6447"/>
      <c r="L224" s="6448"/>
      <c r="M224" s="6449"/>
      <c r="N224" s="6447"/>
      <c r="O224" s="6447"/>
      <c r="P224" s="6447"/>
      <c r="Q224" s="6447"/>
      <c r="R224" s="6447"/>
      <c r="S224" s="6447"/>
      <c r="T224" s="344"/>
      <c r="U224" s="6411"/>
      <c r="V224" s="6435"/>
      <c r="W224" s="6411"/>
      <c r="X224" s="6411"/>
      <c r="Y224" s="6411"/>
      <c r="Z224" s="6411"/>
      <c r="AA224" s="6412"/>
      <c r="AB224" s="2339"/>
      <c r="AC224" s="2340"/>
      <c r="AD224" s="1803"/>
      <c r="AE224" s="1806"/>
      <c r="AF224" s="1806"/>
      <c r="AG224" s="1806"/>
      <c r="AH224" s="1806"/>
      <c r="AI224" s="1806"/>
      <c r="AJ224" s="1806"/>
      <c r="AK224" s="2013"/>
      <c r="AL224" s="253"/>
      <c r="AM224" s="226"/>
      <c r="AN224" s="2362"/>
      <c r="AO224" s="6605"/>
      <c r="AP224" s="658"/>
      <c r="AQ224" s="658"/>
      <c r="AR224" s="658"/>
      <c r="AS224" s="658"/>
      <c r="AT224" s="658"/>
      <c r="AU224" s="658"/>
      <c r="AV224" s="658"/>
      <c r="AW224" s="658"/>
      <c r="AX224" s="658"/>
      <c r="AY224" s="658"/>
      <c r="AZ224"/>
    </row>
    <row r="225" spans="1:52" s="815" customFormat="1" ht="6" customHeight="1">
      <c r="A225" s="2013"/>
      <c r="B225" s="6417"/>
      <c r="C225" s="6418"/>
      <c r="D225" s="6418"/>
      <c r="E225" s="6418"/>
      <c r="F225" s="6418"/>
      <c r="G225" s="6418"/>
      <c r="H225" s="6418"/>
      <c r="I225" s="6418"/>
      <c r="J225" s="6418"/>
      <c r="K225" s="6418"/>
      <c r="L225" s="6418"/>
      <c r="M225" s="6418"/>
      <c r="N225" s="6418"/>
      <c r="O225" s="6418"/>
      <c r="P225" s="6418"/>
      <c r="Q225" s="6418"/>
      <c r="R225" s="6418"/>
      <c r="S225" s="6418"/>
      <c r="T225" s="6418"/>
      <c r="U225" s="6418"/>
      <c r="V225" s="6436"/>
      <c r="W225" s="6418"/>
      <c r="X225" s="6418"/>
      <c r="Y225" s="6418"/>
      <c r="Z225" s="6418"/>
      <c r="AA225" s="6412"/>
      <c r="AB225" s="2339"/>
      <c r="AC225" s="2340"/>
      <c r="AD225" s="1803"/>
      <c r="AE225" s="1806"/>
      <c r="AF225" s="1806"/>
      <c r="AG225" s="1806"/>
      <c r="AH225" s="1806"/>
      <c r="AI225" s="1806"/>
      <c r="AJ225" s="1806"/>
      <c r="AK225" s="2013"/>
      <c r="AL225" s="253"/>
      <c r="AM225" s="226"/>
      <c r="AN225" s="2362"/>
      <c r="AO225" s="6605"/>
      <c r="AP225" s="658"/>
      <c r="AQ225" s="658"/>
      <c r="AR225" s="658"/>
      <c r="AS225" s="658"/>
      <c r="AT225" s="658"/>
      <c r="AU225" s="658"/>
      <c r="AV225" s="658"/>
      <c r="AW225" s="658"/>
      <c r="AX225" s="658"/>
      <c r="AY225" s="658"/>
      <c r="AZ225"/>
    </row>
    <row r="226" spans="1:52" s="815" customFormat="1" ht="18.75" thickBot="1">
      <c r="A226" s="2013"/>
      <c r="B226" s="6417" t="s">
        <v>599</v>
      </c>
      <c r="C226" s="2299" t="s">
        <v>6526</v>
      </c>
      <c r="D226" s="6418"/>
      <c r="E226" s="6418"/>
      <c r="F226" s="6418"/>
      <c r="G226" s="6418"/>
      <c r="H226" s="6418"/>
      <c r="I226" s="6418"/>
      <c r="J226" s="6418"/>
      <c r="K226" s="6418"/>
      <c r="L226" s="6418"/>
      <c r="M226" s="6418"/>
      <c r="N226" s="6418"/>
      <c r="O226" s="6418"/>
      <c r="P226" s="6418"/>
      <c r="Q226" s="6418"/>
      <c r="R226" s="6418"/>
      <c r="S226" s="6418"/>
      <c r="T226" s="6418"/>
      <c r="U226" s="6418"/>
      <c r="V226" s="6436"/>
      <c r="W226" s="6418"/>
      <c r="X226" s="6418"/>
      <c r="Y226" s="6418"/>
      <c r="Z226" s="6418"/>
      <c r="AA226" s="6412"/>
      <c r="AB226" s="2339"/>
      <c r="AC226" s="2340"/>
      <c r="AD226" s="1803"/>
      <c r="AE226" s="1806"/>
      <c r="AF226" s="1806"/>
      <c r="AG226" s="1806"/>
      <c r="AH226" s="1806"/>
      <c r="AI226" s="1806"/>
      <c r="AJ226" s="1806"/>
      <c r="AK226" s="2013"/>
      <c r="AL226" s="253"/>
      <c r="AM226" s="226"/>
      <c r="AN226" s="2362"/>
      <c r="AO226" s="6605"/>
      <c r="AP226" s="658"/>
      <c r="AQ226" s="658"/>
      <c r="AR226" s="658"/>
      <c r="AS226" s="658"/>
      <c r="AT226" s="658"/>
      <c r="AU226" s="658"/>
      <c r="AV226" s="658"/>
      <c r="AW226" s="658"/>
      <c r="AX226" s="658"/>
      <c r="AY226" s="658"/>
      <c r="AZ226"/>
    </row>
    <row r="227" spans="1:52" s="815" customFormat="1" ht="21" customHeight="1" thickBot="1">
      <c r="A227" s="2013"/>
      <c r="B227" s="6417"/>
      <c r="C227" s="2299" t="s">
        <v>6527</v>
      </c>
      <c r="D227" s="511"/>
      <c r="E227" s="344"/>
      <c r="F227" s="344"/>
      <c r="G227" s="344"/>
      <c r="H227" s="344"/>
      <c r="I227" s="344"/>
      <c r="J227" s="344"/>
      <c r="K227" s="1061"/>
      <c r="L227" s="2300"/>
      <c r="M227" s="2301"/>
      <c r="N227" s="1061"/>
      <c r="O227" s="1061"/>
      <c r="P227" s="1061"/>
      <c r="Q227" s="1061"/>
      <c r="R227" s="1061"/>
      <c r="S227" s="344"/>
      <c r="T227" s="344"/>
      <c r="U227" s="1401" t="s">
        <v>891</v>
      </c>
      <c r="V227" s="2350" t="s">
        <v>5340</v>
      </c>
      <c r="W227" s="10208" t="str">
        <f>IF(AO222,"",IF(AM227="",0,ROUND(AM227,0)))</f>
        <v/>
      </c>
      <c r="X227" s="10208"/>
      <c r="Y227" s="10208"/>
      <c r="Z227" s="10208"/>
      <c r="AA227" s="10209"/>
      <c r="AB227" s="2339"/>
      <c r="AC227" s="2340"/>
      <c r="AD227" s="10219"/>
      <c r="AE227" s="10220"/>
      <c r="AF227" s="10220"/>
      <c r="AG227" s="10220"/>
      <c r="AH227" s="10220"/>
      <c r="AI227" s="10220"/>
      <c r="AJ227" s="10220"/>
      <c r="AK227" s="2013"/>
      <c r="AL227" s="253"/>
      <c r="AM227" s="2361"/>
      <c r="AN227" s="2362"/>
      <c r="AO227" s="6605" t="b">
        <f>AM227=""</f>
        <v>1</v>
      </c>
      <c r="AP227" s="658"/>
      <c r="AQ227" s="658"/>
      <c r="AR227" s="658"/>
      <c r="AS227" s="658"/>
      <c r="AT227" s="658"/>
      <c r="AU227" s="658"/>
      <c r="AV227" s="658"/>
      <c r="AW227" s="658"/>
      <c r="AX227" s="658"/>
      <c r="AY227" s="658"/>
      <c r="AZ227"/>
    </row>
    <row r="228" spans="1:52" s="815" customFormat="1" ht="21.75" customHeight="1">
      <c r="A228" s="2013"/>
      <c r="B228" s="2353" t="s">
        <v>603</v>
      </c>
      <c r="C228" s="2299" t="s">
        <v>6282</v>
      </c>
      <c r="D228" s="511"/>
      <c r="E228" s="344"/>
      <c r="F228" s="344"/>
      <c r="G228" s="344"/>
      <c r="H228" s="344"/>
      <c r="I228" s="344"/>
      <c r="J228" s="344"/>
      <c r="K228" s="1061"/>
      <c r="L228" s="2300"/>
      <c r="M228" s="2301"/>
      <c r="N228" s="1061"/>
      <c r="O228" s="1061"/>
      <c r="P228" s="1061"/>
      <c r="Q228" s="1061"/>
      <c r="R228" s="1061"/>
      <c r="S228" s="344"/>
      <c r="T228" s="344"/>
      <c r="U228" s="344"/>
      <c r="V228" s="2351"/>
      <c r="W228" s="6410"/>
      <c r="X228" s="6411"/>
      <c r="Y228" s="6411"/>
      <c r="Z228" s="6411"/>
      <c r="AA228" s="6412"/>
      <c r="AB228" s="2339"/>
      <c r="AC228" s="2340"/>
      <c r="AD228" s="1803"/>
      <c r="AE228" s="1806"/>
      <c r="AF228" s="1806"/>
      <c r="AG228" s="1806"/>
      <c r="AH228" s="1806"/>
      <c r="AI228" s="1806"/>
      <c r="AJ228" s="1806"/>
      <c r="AK228" s="2013"/>
      <c r="AL228" s="253"/>
      <c r="AM228" s="5425" t="s">
        <v>931</v>
      </c>
      <c r="AN228" s="2362"/>
      <c r="AO228" s="6605"/>
      <c r="AP228" s="658"/>
      <c r="AQ228" s="658"/>
      <c r="AR228" s="658"/>
      <c r="AS228" s="658"/>
      <c r="AT228" s="658"/>
      <c r="AU228" s="658"/>
      <c r="AV228" s="658"/>
      <c r="AW228" s="658"/>
      <c r="AX228" s="658"/>
      <c r="AY228" s="658"/>
      <c r="AZ228"/>
    </row>
    <row r="229" spans="1:52" s="815" customFormat="1" ht="18">
      <c r="A229" s="2013"/>
      <c r="B229" s="2353"/>
      <c r="C229" s="2381" t="s">
        <v>6305</v>
      </c>
      <c r="D229" s="511"/>
      <c r="E229" s="344"/>
      <c r="F229" s="344"/>
      <c r="G229" s="344"/>
      <c r="H229" s="344"/>
      <c r="I229" s="344"/>
      <c r="J229" s="344"/>
      <c r="K229" s="1061"/>
      <c r="L229" s="2300"/>
      <c r="M229" s="2301"/>
      <c r="N229" s="1061"/>
      <c r="O229" s="1061"/>
      <c r="P229" s="1061"/>
      <c r="Q229" s="1061"/>
      <c r="R229" s="1061"/>
      <c r="S229" s="344"/>
      <c r="T229" s="344"/>
      <c r="U229" s="1401" t="s">
        <v>805</v>
      </c>
      <c r="V229" s="2350" t="s">
        <v>5341</v>
      </c>
      <c r="W229" s="10214"/>
      <c r="X229" s="10214"/>
      <c r="Y229" s="10214"/>
      <c r="Z229" s="10214"/>
      <c r="AA229" s="10215"/>
      <c r="AB229" s="2339"/>
      <c r="AC229" s="2340"/>
      <c r="AD229" s="1803"/>
      <c r="AE229" s="1806"/>
      <c r="AF229" s="1806"/>
      <c r="AG229" s="1806"/>
      <c r="AH229" s="1806"/>
      <c r="AI229" s="1806"/>
      <c r="AJ229" s="1806"/>
      <c r="AK229" s="2013"/>
      <c r="AL229" s="253"/>
      <c r="AM229" s="226"/>
      <c r="AN229" s="2362"/>
      <c r="AO229" s="6605" t="b">
        <f>W229=""</f>
        <v>1</v>
      </c>
      <c r="AP229" s="658"/>
      <c r="AQ229" s="658"/>
      <c r="AR229" s="658"/>
      <c r="AS229" s="658"/>
      <c r="AT229" s="658"/>
      <c r="AU229" s="658"/>
      <c r="AV229" s="658"/>
      <c r="AW229" s="658"/>
      <c r="AX229" s="658"/>
      <c r="AY229" s="658"/>
      <c r="AZ229"/>
    </row>
    <row r="230" spans="1:52" s="815" customFormat="1" ht="9" customHeight="1">
      <c r="A230" s="2013"/>
      <c r="B230" s="2353"/>
      <c r="C230" s="2353"/>
      <c r="D230" s="2353"/>
      <c r="E230" s="2353"/>
      <c r="F230" s="2353"/>
      <c r="G230" s="2353"/>
      <c r="H230" s="2353"/>
      <c r="I230" s="2353"/>
      <c r="J230" s="2353"/>
      <c r="K230" s="2353"/>
      <c r="L230" s="2353"/>
      <c r="M230" s="2353"/>
      <c r="N230" s="2353"/>
      <c r="O230" s="2353"/>
      <c r="P230" s="2353"/>
      <c r="Q230" s="2353"/>
      <c r="R230" s="2353"/>
      <c r="S230" s="2353"/>
      <c r="T230" s="2353"/>
      <c r="U230" s="2353"/>
      <c r="V230" s="2353"/>
      <c r="W230" s="2353"/>
      <c r="X230" s="2353"/>
      <c r="Y230" s="2353"/>
      <c r="Z230" s="2353"/>
      <c r="AA230" s="2353"/>
      <c r="AB230" s="2339"/>
      <c r="AC230" s="2340"/>
      <c r="AD230" s="1803"/>
      <c r="AE230" s="1806"/>
      <c r="AF230" s="1806"/>
      <c r="AG230" s="1806"/>
      <c r="AH230" s="1806"/>
      <c r="AI230" s="1806"/>
      <c r="AJ230" s="1806"/>
      <c r="AK230" s="2013"/>
      <c r="AL230" s="253"/>
      <c r="AM230" s="226"/>
      <c r="AN230" s="2362"/>
      <c r="AO230" s="6605"/>
      <c r="AP230" s="658"/>
      <c r="AQ230" s="658"/>
      <c r="AR230" s="658"/>
      <c r="AS230" s="658"/>
      <c r="AT230" s="658"/>
      <c r="AU230" s="658"/>
      <c r="AV230" s="658"/>
      <c r="AW230" s="658"/>
      <c r="AX230" s="658"/>
      <c r="AY230" s="658"/>
      <c r="AZ230"/>
    </row>
    <row r="231" spans="1:52" s="815" customFormat="1" ht="21.75" customHeight="1">
      <c r="A231" s="2013"/>
      <c r="B231" s="6417"/>
      <c r="C231" s="6415"/>
      <c r="D231" s="6416"/>
      <c r="E231" s="6416"/>
      <c r="F231" s="6416"/>
      <c r="G231" s="6447"/>
      <c r="H231" s="6447"/>
      <c r="I231" s="6447"/>
      <c r="J231" s="6447"/>
      <c r="K231" s="6447"/>
      <c r="L231" s="6448"/>
      <c r="M231" s="6449"/>
      <c r="N231" s="6447"/>
      <c r="O231" s="6447"/>
      <c r="P231" s="6447"/>
      <c r="Q231" s="6447"/>
      <c r="R231" s="6447"/>
      <c r="S231" s="6447"/>
      <c r="T231" s="344"/>
      <c r="U231" s="6411"/>
      <c r="V231" s="6411"/>
      <c r="W231" s="6411"/>
      <c r="X231" s="6411"/>
      <c r="Y231" s="6411"/>
      <c r="Z231" s="6411"/>
      <c r="AA231" s="6412"/>
      <c r="AB231" s="2339"/>
      <c r="AC231" s="2340"/>
      <c r="AD231" s="1803"/>
      <c r="AE231" s="1806"/>
      <c r="AF231" s="1806"/>
      <c r="AG231" s="1806"/>
      <c r="AH231" s="1806"/>
      <c r="AI231" s="1806"/>
      <c r="AJ231" s="1806"/>
      <c r="AK231" s="2013"/>
      <c r="AL231" s="253"/>
      <c r="AM231" s="226"/>
      <c r="AN231" s="2362"/>
      <c r="AO231" s="6605"/>
      <c r="AP231" s="658"/>
      <c r="AQ231" s="658"/>
      <c r="AR231" s="658"/>
      <c r="AS231" s="658"/>
      <c r="AT231" s="658"/>
      <c r="AU231" s="658"/>
      <c r="AV231" s="658"/>
      <c r="AW231" s="658"/>
      <c r="AX231" s="658"/>
      <c r="AY231" s="658"/>
      <c r="AZ231"/>
    </row>
    <row r="232" spans="1:52" s="815" customFormat="1" ht="6" customHeight="1" thickBot="1">
      <c r="A232" s="2013"/>
      <c r="B232" s="6417"/>
      <c r="C232" s="6418"/>
      <c r="D232" s="6418"/>
      <c r="E232" s="6418"/>
      <c r="F232" s="6418"/>
      <c r="G232" s="6418"/>
      <c r="H232" s="6418"/>
      <c r="I232" s="6418"/>
      <c r="J232" s="6418"/>
      <c r="K232" s="6418"/>
      <c r="L232" s="6418"/>
      <c r="M232" s="6418"/>
      <c r="N232" s="6418"/>
      <c r="O232" s="6418"/>
      <c r="P232" s="6418"/>
      <c r="Q232" s="6418"/>
      <c r="R232" s="6418"/>
      <c r="S232" s="6418"/>
      <c r="T232" s="6418"/>
      <c r="U232" s="6418"/>
      <c r="V232" s="6418"/>
      <c r="W232" s="6418"/>
      <c r="X232" s="6418"/>
      <c r="Y232" s="6418"/>
      <c r="Z232" s="6418"/>
      <c r="AA232" s="6412"/>
      <c r="AB232" s="2339"/>
      <c r="AC232" s="2340"/>
      <c r="AD232" s="1803"/>
      <c r="AE232" s="1806"/>
      <c r="AF232" s="1806"/>
      <c r="AG232" s="1806"/>
      <c r="AH232" s="1806"/>
      <c r="AI232" s="1806"/>
      <c r="AJ232" s="1806"/>
      <c r="AK232" s="2013"/>
      <c r="AL232" s="253"/>
      <c r="AM232" s="226"/>
      <c r="AN232" s="2362"/>
      <c r="AO232" s="6605"/>
      <c r="AP232" s="658"/>
      <c r="AQ232" s="658"/>
      <c r="AR232" s="658"/>
      <c r="AS232" s="658"/>
      <c r="AT232" s="658"/>
      <c r="AU232" s="658"/>
      <c r="AV232" s="658"/>
      <c r="AW232" s="658"/>
      <c r="AX232" s="658"/>
      <c r="AY232" s="658"/>
      <c r="AZ232"/>
    </row>
    <row r="233" spans="1:52" s="815" customFormat="1" ht="21" customHeight="1" thickBot="1">
      <c r="A233" s="2013"/>
      <c r="B233" s="6417" t="s">
        <v>606</v>
      </c>
      <c r="C233" s="2299" t="s">
        <v>6307</v>
      </c>
      <c r="D233" s="511"/>
      <c r="E233" s="344"/>
      <c r="F233" s="344"/>
      <c r="G233" s="344"/>
      <c r="H233" s="344"/>
      <c r="I233" s="344"/>
      <c r="J233" s="344"/>
      <c r="K233" s="1061"/>
      <c r="L233" s="2300"/>
      <c r="M233" s="2301"/>
      <c r="N233" s="1061"/>
      <c r="O233" s="1061"/>
      <c r="P233" s="1061"/>
      <c r="Q233" s="1061"/>
      <c r="R233" s="1061"/>
      <c r="S233" s="344"/>
      <c r="T233" s="344"/>
      <c r="U233" s="1401"/>
      <c r="V233" s="2350" t="s">
        <v>6309</v>
      </c>
      <c r="W233" s="10208" t="str">
        <f>IF(AND(AO229,AO233),"",IF(AM233="",0,ROUND(AM233,0)))</f>
        <v/>
      </c>
      <c r="X233" s="10208"/>
      <c r="Y233" s="10208"/>
      <c r="Z233" s="10208"/>
      <c r="AA233" s="10209"/>
      <c r="AB233" s="2339"/>
      <c r="AC233" s="2340"/>
      <c r="AD233" s="10219"/>
      <c r="AE233" s="10220"/>
      <c r="AF233" s="10220"/>
      <c r="AG233" s="10220"/>
      <c r="AH233" s="10220"/>
      <c r="AI233" s="10220"/>
      <c r="AJ233" s="10220"/>
      <c r="AK233" s="2013"/>
      <c r="AL233" s="253"/>
      <c r="AM233" s="2361"/>
      <c r="AN233" s="2362"/>
      <c r="AO233" s="6605" t="b">
        <f>AM233=""</f>
        <v>1</v>
      </c>
      <c r="AP233" s="658"/>
      <c r="AQ233" s="658"/>
      <c r="AR233" s="658"/>
      <c r="AS233" s="658"/>
      <c r="AT233" s="658"/>
      <c r="AU233" s="658"/>
      <c r="AV233" s="658"/>
      <c r="AW233" s="658"/>
      <c r="AX233" s="658"/>
      <c r="AY233" s="658"/>
      <c r="AZ233"/>
    </row>
    <row r="234" spans="1:52" s="815" customFormat="1" ht="21" customHeight="1" thickBot="1">
      <c r="A234" s="2013"/>
      <c r="B234" s="6417" t="s">
        <v>610</v>
      </c>
      <c r="C234" s="2299" t="s">
        <v>6322</v>
      </c>
      <c r="D234" s="511"/>
      <c r="E234" s="344"/>
      <c r="F234" s="344"/>
      <c r="G234" s="344"/>
      <c r="H234" s="344"/>
      <c r="I234" s="344"/>
      <c r="J234" s="344"/>
      <c r="K234" s="1061"/>
      <c r="L234" s="2300"/>
      <c r="M234" s="2301"/>
      <c r="N234" s="1061"/>
      <c r="O234" s="1061"/>
      <c r="P234" s="1061"/>
      <c r="Q234" s="1061"/>
      <c r="R234" s="1061"/>
      <c r="S234" s="344"/>
      <c r="T234" s="344"/>
      <c r="U234" s="1401" t="s">
        <v>1066</v>
      </c>
      <c r="V234" s="2350" t="s">
        <v>6308</v>
      </c>
      <c r="W234" s="10208" t="str">
        <f>IF(AM234&lt;&gt;"",ROUND(AM234,0),IF(AO234,"",SUM(ROUND(W216,0),W220,ROUND(W222,0),W227,ROUND(W229,0),W233)))</f>
        <v/>
      </c>
      <c r="X234" s="10208"/>
      <c r="Y234" s="10208"/>
      <c r="Z234" s="10208"/>
      <c r="AA234" s="10209"/>
      <c r="AB234" s="2339"/>
      <c r="AC234" s="2340"/>
      <c r="AD234" s="10210">
        <v>2000</v>
      </c>
      <c r="AE234" s="10211"/>
      <c r="AF234" s="10211"/>
      <c r="AG234" s="10211"/>
      <c r="AH234" s="10211"/>
      <c r="AI234" s="10211"/>
      <c r="AJ234" s="10211"/>
      <c r="AK234" s="2013"/>
      <c r="AL234" s="253"/>
      <c r="AM234" s="2361"/>
      <c r="AN234" s="2362"/>
      <c r="AO234" s="6605" t="b">
        <f>AND(AO216,AO220,AO222,AO227,AO229,AO233)</f>
        <v>1</v>
      </c>
      <c r="AP234" s="658"/>
      <c r="AQ234" s="658"/>
      <c r="AR234" s="658"/>
      <c r="AS234" s="658"/>
      <c r="AT234" s="658"/>
      <c r="AU234" s="658"/>
      <c r="AV234" s="658"/>
      <c r="AW234" s="658"/>
      <c r="AX234" s="658"/>
      <c r="AY234" s="658"/>
      <c r="AZ234"/>
    </row>
    <row r="235" spans="1:52" s="815" customFormat="1" ht="21" customHeight="1" thickBot="1">
      <c r="A235" s="2013"/>
      <c r="B235" s="2353" t="s">
        <v>615</v>
      </c>
      <c r="C235" s="2298" t="str">
        <f>"Multiply line 29g by "&amp;TEXT($AD$161,"0%")&amp;" ("&amp;TEXT($AD$161,"0.00")&amp;"). Enter the results. "</f>
        <v xml:space="preserve">Multiply line 29g by 30% (0.30). Enter the results. </v>
      </c>
      <c r="D235" s="344"/>
      <c r="E235" s="344"/>
      <c r="F235" s="344"/>
      <c r="G235" s="344"/>
      <c r="H235" s="344"/>
      <c r="I235" s="344"/>
      <c r="J235" s="344"/>
      <c r="K235" s="344"/>
      <c r="L235" s="344"/>
      <c r="M235" s="344"/>
      <c r="N235" s="1323"/>
      <c r="O235" s="344"/>
      <c r="P235" s="344"/>
      <c r="Q235" s="344"/>
      <c r="R235" s="344"/>
      <c r="S235" s="4998"/>
      <c r="T235" s="4998" t="s">
        <v>6524</v>
      </c>
      <c r="U235" s="2298" t="str">
        <f>TEXT($AD$234,"$0,000")</f>
        <v>$2,000</v>
      </c>
      <c r="V235" s="344"/>
      <c r="W235" s="344"/>
      <c r="X235" s="344"/>
      <c r="Y235" s="344"/>
      <c r="Z235" s="344"/>
      <c r="AA235" s="1401" t="s">
        <v>874</v>
      </c>
      <c r="AB235" s="10222" t="s">
        <v>6352</v>
      </c>
      <c r="AC235" s="10223"/>
      <c r="AD235" s="10221" t="str">
        <f>IF(AM235&lt;&gt;"",ROUND(AM235,"0"),IF(AO234,"",MIN(ROUND(W234*$AD$161,0),$AD$234)))</f>
        <v/>
      </c>
      <c r="AE235" s="10208"/>
      <c r="AF235" s="10208"/>
      <c r="AG235" s="10208"/>
      <c r="AH235" s="10208"/>
      <c r="AI235" s="10208"/>
      <c r="AJ235" s="10208"/>
      <c r="AK235" s="2013"/>
      <c r="AL235" s="253"/>
      <c r="AM235" s="2361"/>
      <c r="AN235" s="2362"/>
      <c r="AO235" s="6605" t="b">
        <f>AND(AO234,AM235="")</f>
        <v>1</v>
      </c>
      <c r="AP235" s="658"/>
      <c r="AQ235" s="658"/>
      <c r="AR235" s="658"/>
      <c r="AS235" s="658"/>
      <c r="AT235" s="658"/>
      <c r="AU235" s="658"/>
      <c r="AV235" s="658"/>
      <c r="AW235" s="658"/>
      <c r="AX235" s="658"/>
      <c r="AY235" s="658"/>
      <c r="AZ235"/>
    </row>
    <row r="236" spans="1:52" s="815" customFormat="1" ht="24" customHeight="1" thickBot="1">
      <c r="A236" s="2013"/>
      <c r="B236" s="2347">
        <v>30</v>
      </c>
      <c r="C236" s="2038" t="s">
        <v>6306</v>
      </c>
      <c r="D236" s="2038"/>
      <c r="E236" s="344"/>
      <c r="F236" s="344"/>
      <c r="G236" s="344"/>
      <c r="H236" s="344"/>
      <c r="I236" s="344"/>
      <c r="J236" s="344"/>
      <c r="K236" s="344"/>
      <c r="L236" s="344"/>
      <c r="M236" s="344"/>
      <c r="N236" s="344"/>
      <c r="O236" s="344"/>
      <c r="P236" s="344"/>
      <c r="Q236" s="344"/>
      <c r="R236" s="344"/>
      <c r="S236" s="344"/>
      <c r="T236" s="344"/>
      <c r="U236" s="344"/>
      <c r="V236" s="344"/>
      <c r="W236" s="344"/>
      <c r="X236" s="344"/>
      <c r="Y236" s="344"/>
      <c r="Z236" s="344"/>
      <c r="AA236" s="1401" t="s">
        <v>2230</v>
      </c>
      <c r="AB236" s="10212">
        <v>30</v>
      </c>
      <c r="AC236" s="10213"/>
      <c r="AD236" s="10221" t="str">
        <f>IF(AM236&lt;&gt;"",ROUND(AM236,0),IF(AO236,"",SUM(AD213,AD235)))</f>
        <v/>
      </c>
      <c r="AE236" s="10208"/>
      <c r="AF236" s="10208"/>
      <c r="AG236" s="10208"/>
      <c r="AH236" s="10208"/>
      <c r="AI236" s="10208"/>
      <c r="AJ236" s="10208"/>
      <c r="AK236" s="2013"/>
      <c r="AL236" s="253"/>
      <c r="AM236" s="2361"/>
      <c r="AN236" s="2362"/>
      <c r="AO236" s="6605" t="b">
        <f>AND(AO213,AO235)</f>
        <v>1</v>
      </c>
      <c r="AP236" s="658"/>
      <c r="AQ236" s="658"/>
      <c r="AR236" s="658"/>
      <c r="AS236" s="658"/>
      <c r="AT236" s="658"/>
      <c r="AU236" s="658"/>
      <c r="AV236" s="658"/>
      <c r="AW236" s="658"/>
      <c r="AX236" s="658"/>
      <c r="AY236" s="658"/>
      <c r="AZ236"/>
    </row>
    <row r="237" spans="1:52" s="815" customFormat="1" ht="17.25" customHeight="1" thickBot="1">
      <c r="A237" s="2013"/>
      <c r="B237" s="1053">
        <v>31</v>
      </c>
      <c r="C237" s="5998" t="s">
        <v>5294</v>
      </c>
      <c r="D237" s="2298"/>
      <c r="E237" s="344"/>
      <c r="F237" s="344"/>
      <c r="G237" s="344"/>
      <c r="H237" s="344"/>
      <c r="I237" s="344"/>
      <c r="J237" s="344"/>
      <c r="K237" s="344"/>
      <c r="L237" s="344"/>
      <c r="M237" s="344"/>
      <c r="N237" s="344"/>
      <c r="O237" s="344"/>
      <c r="P237" s="344"/>
      <c r="Q237" s="344"/>
      <c r="R237" s="344"/>
      <c r="S237" s="344"/>
      <c r="T237" s="344"/>
      <c r="U237" s="344"/>
      <c r="V237" s="344"/>
      <c r="W237" s="344"/>
      <c r="X237" s="344"/>
      <c r="Y237" s="344"/>
      <c r="Z237" s="344"/>
      <c r="AA237" s="1401"/>
      <c r="AB237" s="10229"/>
      <c r="AC237" s="10230"/>
      <c r="AD237" s="1255"/>
      <c r="AE237" s="1256"/>
      <c r="AF237" s="1256"/>
      <c r="AG237" s="1256"/>
      <c r="AH237" s="1256"/>
      <c r="AI237" s="1256"/>
      <c r="AJ237" s="1256"/>
      <c r="AK237" s="2013"/>
      <c r="AL237" s="253"/>
      <c r="AM237" s="253"/>
      <c r="AN237" s="2362"/>
      <c r="AO237" s="6605"/>
      <c r="AP237" s="658"/>
      <c r="AQ237" s="658"/>
      <c r="AR237" s="658"/>
      <c r="AS237" s="658"/>
      <c r="AT237" s="658"/>
      <c r="AU237" s="658"/>
      <c r="AV237" s="658"/>
      <c r="AW237" s="658"/>
      <c r="AX237" s="658"/>
      <c r="AY237" s="658"/>
      <c r="AZ237"/>
    </row>
    <row r="238" spans="1:52" s="815" customFormat="1" ht="21" customHeight="1" thickBot="1">
      <c r="A238" s="2013"/>
      <c r="B238" s="2347"/>
      <c r="C238" s="6438" t="s">
        <v>5295</v>
      </c>
      <c r="D238" s="344"/>
      <c r="E238" s="344"/>
      <c r="F238" s="344"/>
      <c r="G238" s="344"/>
      <c r="H238" s="344"/>
      <c r="I238" s="344"/>
      <c r="J238" s="344"/>
      <c r="K238" s="344"/>
      <c r="L238" s="344"/>
      <c r="M238" s="344"/>
      <c r="N238" s="344"/>
      <c r="O238" s="344"/>
      <c r="P238" s="344"/>
      <c r="Q238" s="344"/>
      <c r="R238" s="344"/>
      <c r="S238" s="344"/>
      <c r="T238" s="344"/>
      <c r="U238" s="344"/>
      <c r="V238" s="344"/>
      <c r="W238" s="344"/>
      <c r="X238" s="344"/>
      <c r="Y238" s="344"/>
      <c r="Z238" s="344"/>
      <c r="AA238" s="1401" t="s">
        <v>1888</v>
      </c>
      <c r="AB238" s="10222">
        <v>31</v>
      </c>
      <c r="AC238" s="10223"/>
      <c r="AD238" s="10221" t="str">
        <f>IF(AM238&lt;&gt;"",ROUND(AM238,0),IF(AO238,"",IF(AND(NOT(AO318),EEHI_CL_WKST&lt;=0),0,EEHI_CL_WKST)))</f>
        <v/>
      </c>
      <c r="AE238" s="10208"/>
      <c r="AF238" s="10208"/>
      <c r="AG238" s="10208"/>
      <c r="AH238" s="10208"/>
      <c r="AI238" s="10208"/>
      <c r="AJ238" s="10208"/>
      <c r="AK238" s="2013"/>
      <c r="AL238" s="253"/>
      <c r="AM238" s="2361"/>
      <c r="AN238" s="2362"/>
      <c r="AO238" s="6605" t="b">
        <f>AO236</f>
        <v>1</v>
      </c>
      <c r="AP238" s="658"/>
      <c r="AQ238" s="658"/>
      <c r="AR238" s="658"/>
      <c r="AS238" s="658"/>
      <c r="AT238" s="658"/>
      <c r="AU238" s="658"/>
      <c r="AV238" s="658"/>
      <c r="AW238" s="658"/>
      <c r="AX238" s="658"/>
      <c r="AY238" s="658"/>
      <c r="AZ238"/>
    </row>
    <row r="239" spans="1:52" s="815" customFormat="1" ht="17.25" customHeight="1" thickBot="1">
      <c r="A239" s="2013"/>
      <c r="B239" s="1053">
        <v>32</v>
      </c>
      <c r="C239" s="2298" t="s">
        <v>5416</v>
      </c>
      <c r="D239" s="2298"/>
      <c r="E239" s="344"/>
      <c r="F239" s="344"/>
      <c r="G239" s="344"/>
      <c r="H239" s="344"/>
      <c r="I239" s="344"/>
      <c r="J239" s="344"/>
      <c r="K239" s="344"/>
      <c r="L239" s="344"/>
      <c r="M239" s="344"/>
      <c r="N239" s="344"/>
      <c r="O239" s="344"/>
      <c r="P239" s="344"/>
      <c r="Q239" s="344"/>
      <c r="R239" s="344"/>
      <c r="S239" s="344"/>
      <c r="T239" s="344"/>
      <c r="U239" s="344"/>
      <c r="V239" s="344"/>
      <c r="W239" s="344"/>
      <c r="X239" s="344"/>
      <c r="Y239" s="344"/>
      <c r="Z239" s="344"/>
      <c r="AA239" s="1401"/>
      <c r="AB239" s="10229"/>
      <c r="AC239" s="10230"/>
      <c r="AD239" s="1255"/>
      <c r="AE239" s="1256"/>
      <c r="AF239" s="1256"/>
      <c r="AG239" s="1256"/>
      <c r="AH239" s="1256"/>
      <c r="AI239" s="1256"/>
      <c r="AJ239" s="1256"/>
      <c r="AK239" s="2013"/>
      <c r="AL239" s="253"/>
      <c r="AM239" s="253"/>
      <c r="AN239" s="2362"/>
      <c r="AO239" s="6605"/>
      <c r="AP239" s="658"/>
      <c r="AQ239" s="658"/>
      <c r="AR239" s="658"/>
      <c r="AS239" s="658"/>
      <c r="AT239" s="658"/>
      <c r="AU239" s="658"/>
      <c r="AV239" s="658"/>
      <c r="AW239" s="658"/>
      <c r="AX239" s="658"/>
      <c r="AY239" s="658"/>
      <c r="AZ239"/>
    </row>
    <row r="240" spans="1:52" s="815" customFormat="1" ht="18.75" thickBot="1">
      <c r="A240" s="2013"/>
      <c r="B240" s="2347"/>
      <c r="C240" s="2298" t="s">
        <v>5342</v>
      </c>
      <c r="D240" s="344"/>
      <c r="E240" s="344"/>
      <c r="F240" s="344"/>
      <c r="G240" s="344"/>
      <c r="H240" s="344"/>
      <c r="I240" s="344"/>
      <c r="J240" s="344"/>
      <c r="K240" s="344"/>
      <c r="L240" s="344"/>
      <c r="M240" s="344"/>
      <c r="N240" s="344"/>
      <c r="O240" s="344"/>
      <c r="P240" s="344"/>
      <c r="Q240" s="344"/>
      <c r="R240" s="344"/>
      <c r="S240" s="344"/>
      <c r="T240" s="344"/>
      <c r="U240" s="344"/>
      <c r="V240" s="344"/>
      <c r="W240" s="344"/>
      <c r="X240" s="344"/>
      <c r="Y240" s="344"/>
      <c r="Z240" s="344"/>
      <c r="AA240" s="1401" t="s">
        <v>891</v>
      </c>
      <c r="AB240" s="10222">
        <v>32</v>
      </c>
      <c r="AC240" s="10223"/>
      <c r="AD240" s="10221" t="str">
        <f>IF(AM240&lt;&gt;"",ROUND(AM240,0),IF(AND(AO212,AO218,AO219,AO236,AO238),"",IF(OR(AO236,AO238),0,IF(AND(NOT(AO321),EEHI_CL_WKST&lt;0),0,MIN(AD236,AD238)))))</f>
        <v/>
      </c>
      <c r="AE240" s="10208"/>
      <c r="AF240" s="10208"/>
      <c r="AG240" s="10208"/>
      <c r="AH240" s="10208"/>
      <c r="AI240" s="10208"/>
      <c r="AJ240" s="10208"/>
      <c r="AK240" s="2013"/>
      <c r="AL240" s="253"/>
      <c r="AM240" s="2361"/>
      <c r="AN240" s="2362"/>
      <c r="AO240" s="6605" t="b">
        <f>AO236</f>
        <v>1</v>
      </c>
      <c r="AP240" s="658"/>
      <c r="AQ240" s="658"/>
      <c r="AR240" s="658"/>
      <c r="AS240" s="658"/>
      <c r="AT240" s="658"/>
      <c r="AU240" s="658"/>
      <c r="AV240" s="658"/>
      <c r="AW240" s="658"/>
      <c r="AX240" s="658"/>
      <c r="AY240" s="658"/>
      <c r="AZ240"/>
    </row>
    <row r="241" spans="1:52" s="815" customFormat="1" ht="18" customHeight="1">
      <c r="A241" s="2013"/>
      <c r="B241" s="2353" t="s">
        <v>588</v>
      </c>
      <c r="C241" s="2298" t="s">
        <v>5288</v>
      </c>
      <c r="D241" s="344"/>
      <c r="E241" s="344"/>
      <c r="F241" s="344"/>
      <c r="G241" s="344"/>
      <c r="H241" s="344"/>
      <c r="I241" s="344"/>
      <c r="J241" s="344"/>
      <c r="K241" s="344"/>
      <c r="L241" s="344"/>
      <c r="M241" s="344"/>
      <c r="N241" s="344"/>
      <c r="O241" s="344"/>
      <c r="P241" s="344"/>
      <c r="Q241" s="2360"/>
      <c r="R241" s="2298" t="s">
        <v>5289</v>
      </c>
      <c r="S241" s="344"/>
      <c r="T241" s="344"/>
      <c r="U241" s="344"/>
      <c r="V241" s="344"/>
      <c r="W241" s="344"/>
      <c r="X241" s="344"/>
      <c r="Y241" s="344"/>
      <c r="Z241" s="344"/>
      <c r="AA241" s="1401"/>
      <c r="AB241" s="6440"/>
      <c r="AC241" s="6441"/>
      <c r="AD241" s="1256"/>
      <c r="AE241" s="1256"/>
      <c r="AF241" s="1256"/>
      <c r="AG241" s="1256"/>
      <c r="AH241" s="1256"/>
      <c r="AI241" s="1256"/>
      <c r="AJ241" s="1256"/>
      <c r="AK241" s="2013"/>
      <c r="AL241" s="253"/>
      <c r="AM241" s="253"/>
      <c r="AN241" s="2362"/>
      <c r="AO241" s="6605"/>
      <c r="AP241" s="658"/>
      <c r="AQ241" s="658"/>
      <c r="AR241" s="658"/>
      <c r="AS241" s="658"/>
      <c r="AT241" s="658"/>
      <c r="AU241" s="658"/>
      <c r="AV241" s="658"/>
      <c r="AW241" s="658"/>
      <c r="AX241" s="658"/>
      <c r="AY241" s="658"/>
      <c r="AZ241"/>
    </row>
    <row r="242" spans="1:52" s="815" customFormat="1" ht="18.75" customHeight="1">
      <c r="A242" s="2013"/>
      <c r="B242" s="2353" t="s">
        <v>592</v>
      </c>
      <c r="C242" s="2299" t="s">
        <v>6310</v>
      </c>
      <c r="D242" s="511"/>
      <c r="E242" s="344"/>
      <c r="F242" s="344"/>
      <c r="G242" s="344"/>
      <c r="H242" s="344"/>
      <c r="I242" s="344"/>
      <c r="J242" s="344"/>
      <c r="K242" s="1061"/>
      <c r="L242" s="2300"/>
      <c r="M242" s="2301"/>
      <c r="N242" s="1061"/>
      <c r="O242" s="1061"/>
      <c r="P242" s="1061"/>
      <c r="Q242" s="1061"/>
      <c r="R242" s="1061"/>
      <c r="S242" s="344"/>
      <c r="T242" s="344"/>
      <c r="U242" s="344"/>
      <c r="V242" s="2347"/>
      <c r="W242" s="2356"/>
      <c r="X242" s="2356"/>
      <c r="Y242" s="2356"/>
      <c r="Z242" s="2356"/>
      <c r="AA242" s="2356"/>
      <c r="AB242" s="6442"/>
      <c r="AC242" s="6443"/>
      <c r="AD242" s="1806"/>
      <c r="AE242" s="1806"/>
      <c r="AF242" s="1806"/>
      <c r="AG242" s="1806"/>
      <c r="AH242" s="1806"/>
      <c r="AI242" s="1806"/>
      <c r="AJ242" s="1806"/>
      <c r="AK242" s="2013"/>
      <c r="AL242" s="253"/>
      <c r="AM242" s="253"/>
      <c r="AN242" s="2362"/>
      <c r="AO242" s="6605"/>
      <c r="AP242" s="658"/>
      <c r="AQ242" s="658"/>
      <c r="AR242" s="658"/>
      <c r="AS242" s="658"/>
      <c r="AT242" s="658"/>
      <c r="AU242" s="658"/>
      <c r="AV242" s="658"/>
      <c r="AW242" s="658"/>
      <c r="AX242" s="658"/>
      <c r="AY242" s="658"/>
      <c r="AZ242"/>
    </row>
    <row r="243" spans="1:52" s="815" customFormat="1" ht="18.75" customHeight="1">
      <c r="A243" s="2013"/>
      <c r="B243" s="2347"/>
      <c r="C243" s="2299" t="s">
        <v>6311</v>
      </c>
      <c r="D243" s="511"/>
      <c r="E243" s="344"/>
      <c r="F243" s="344"/>
      <c r="G243" s="344"/>
      <c r="H243" s="344"/>
      <c r="I243" s="344"/>
      <c r="J243" s="344"/>
      <c r="K243" s="1061"/>
      <c r="L243" s="2300"/>
      <c r="M243" s="2301"/>
      <c r="N243" s="1061"/>
      <c r="O243" s="2356"/>
      <c r="P243" s="1061"/>
      <c r="Q243" s="1061"/>
      <c r="R243" s="1061"/>
      <c r="S243" s="1061"/>
      <c r="T243" s="2360"/>
      <c r="U243" s="1323" t="s">
        <v>6312</v>
      </c>
      <c r="V243" s="344"/>
      <c r="W243" s="2347"/>
      <c r="X243" s="2356"/>
      <c r="Y243" s="2356"/>
      <c r="Z243" s="2356"/>
      <c r="AA243" s="2356"/>
      <c r="AB243" s="6442"/>
      <c r="AC243" s="6443"/>
      <c r="AD243" s="1806"/>
      <c r="AE243" s="1806"/>
      <c r="AF243" s="1806"/>
      <c r="AG243" s="1806"/>
      <c r="AH243" s="1806"/>
      <c r="AI243" s="1806"/>
      <c r="AJ243" s="1806"/>
      <c r="AK243" s="2013"/>
      <c r="AL243" s="253"/>
      <c r="AM243" s="253"/>
      <c r="AN243" s="2362"/>
      <c r="AO243" s="6605"/>
      <c r="AP243" s="658"/>
      <c r="AQ243" s="658"/>
      <c r="AR243" s="658"/>
      <c r="AS243" s="658"/>
      <c r="AT243" s="658"/>
      <c r="AU243" s="658"/>
      <c r="AV243" s="658"/>
      <c r="AW243" s="658"/>
      <c r="AX243" s="658"/>
      <c r="AY243" s="658"/>
      <c r="AZ243"/>
    </row>
    <row r="244" spans="1:52" s="815" customFormat="1" ht="6.75" customHeight="1" thickBot="1">
      <c r="A244" s="2013"/>
      <c r="B244" s="2347"/>
      <c r="C244" s="2299"/>
      <c r="D244" s="511"/>
      <c r="E244" s="344"/>
      <c r="F244" s="344"/>
      <c r="G244" s="344"/>
      <c r="H244" s="344"/>
      <c r="I244" s="344"/>
      <c r="J244" s="344"/>
      <c r="K244" s="1061"/>
      <c r="L244" s="2300"/>
      <c r="M244" s="2301"/>
      <c r="N244" s="1061"/>
      <c r="O244" s="1061"/>
      <c r="P244" s="1061"/>
      <c r="Q244" s="1061"/>
      <c r="R244" s="1061"/>
      <c r="S244" s="344"/>
      <c r="T244" s="344"/>
      <c r="U244" s="344"/>
      <c r="V244" s="2347"/>
      <c r="W244" s="2356"/>
      <c r="X244" s="2356"/>
      <c r="Y244" s="2356"/>
      <c r="Z244" s="2356"/>
      <c r="AA244" s="2356"/>
      <c r="AB244" s="6444"/>
      <c r="AC244" s="6445"/>
      <c r="AD244" s="6439"/>
      <c r="AE244" s="6439"/>
      <c r="AF244" s="6439"/>
      <c r="AG244" s="6439"/>
      <c r="AH244" s="6439"/>
      <c r="AI244" s="6439"/>
      <c r="AJ244" s="6439"/>
      <c r="AK244" s="2013"/>
      <c r="AL244" s="253"/>
      <c r="AM244" s="253"/>
      <c r="AN244" s="2362"/>
      <c r="AO244" s="6605"/>
      <c r="AP244" s="658"/>
      <c r="AQ244" s="658"/>
      <c r="AR244" s="658"/>
      <c r="AS244" s="658"/>
      <c r="AT244" s="658"/>
      <c r="AU244" s="658"/>
      <c r="AV244" s="658"/>
      <c r="AW244" s="658"/>
      <c r="AX244" s="658"/>
      <c r="AY244" s="658"/>
      <c r="AZ244"/>
    </row>
    <row r="245" spans="1:52" s="815" customFormat="1" ht="18" customHeight="1">
      <c r="A245" s="2013"/>
      <c r="B245" s="2343"/>
      <c r="C245" s="2344"/>
      <c r="D245" s="2344"/>
      <c r="E245" s="2344"/>
      <c r="F245" s="2344"/>
      <c r="G245" s="2344"/>
      <c r="H245" s="2344"/>
      <c r="I245" s="2344"/>
      <c r="J245" s="2344"/>
      <c r="K245" s="2344"/>
      <c r="L245" s="2344"/>
      <c r="M245" s="2344"/>
      <c r="N245" s="2344"/>
      <c r="O245" s="2344"/>
      <c r="P245" s="2344"/>
      <c r="Q245" s="2344"/>
      <c r="R245" s="2344"/>
      <c r="S245" s="2344"/>
      <c r="T245" s="2344"/>
      <c r="U245" s="2344"/>
      <c r="V245" s="2344"/>
      <c r="W245" s="1916"/>
      <c r="X245" s="2344"/>
      <c r="Y245" s="2344"/>
      <c r="Z245" s="2344"/>
      <c r="AA245" s="2344"/>
      <c r="AB245" s="2344"/>
      <c r="AC245" s="2344"/>
      <c r="AD245" s="2344"/>
      <c r="AE245" s="2344"/>
      <c r="AF245" s="2344"/>
      <c r="AG245" s="2344"/>
      <c r="AH245" s="2345" t="s">
        <v>5301</v>
      </c>
      <c r="AI245" s="2344"/>
      <c r="AJ245" s="2346" t="str">
        <f>"("&amp;TaxYear&amp;")"</f>
        <v>(2025)</v>
      </c>
      <c r="AK245" s="2013"/>
      <c r="AL245" s="253"/>
      <c r="AM245" s="253"/>
      <c r="AN245" s="2362"/>
      <c r="AO245" s="6605"/>
      <c r="AP245" s="658"/>
      <c r="AQ245" s="658"/>
      <c r="AR245" s="658"/>
      <c r="AS245" s="658"/>
      <c r="AT245" s="658"/>
      <c r="AU245" s="658"/>
      <c r="AV245" s="658"/>
      <c r="AW245" s="658"/>
      <c r="AX245" s="658"/>
      <c r="AY245" s="658"/>
      <c r="AZ245"/>
    </row>
    <row r="246" spans="1:52">
      <c r="A246" s="2368"/>
      <c r="B246" s="253"/>
      <c r="C246" s="253"/>
      <c r="D246" s="253"/>
      <c r="E246" s="253"/>
      <c r="F246" s="253"/>
      <c r="G246" s="253"/>
      <c r="H246" s="253"/>
      <c r="I246" s="253"/>
      <c r="J246" s="253"/>
      <c r="K246" s="253"/>
      <c r="L246" s="253"/>
      <c r="M246" s="253"/>
      <c r="N246" s="253"/>
      <c r="O246" s="253"/>
      <c r="P246" s="253"/>
      <c r="Q246" s="253"/>
      <c r="R246" s="253"/>
      <c r="S246" s="253"/>
      <c r="T246" s="253"/>
      <c r="U246" s="253"/>
      <c r="V246" s="253"/>
      <c r="W246" s="253"/>
      <c r="X246" s="253"/>
      <c r="Y246" s="253"/>
      <c r="Z246" s="253"/>
      <c r="AA246" s="253"/>
      <c r="AB246" s="253"/>
      <c r="AC246" s="253"/>
      <c r="AD246" s="253"/>
      <c r="AE246" s="253"/>
      <c r="AF246" s="253"/>
      <c r="AG246" s="253"/>
      <c r="AH246" s="253"/>
      <c r="AI246" s="253"/>
      <c r="AJ246" s="253"/>
      <c r="AK246" s="2368"/>
      <c r="AL246" s="253"/>
      <c r="AM246" s="253"/>
    </row>
    <row r="247" spans="1:52" ht="20.25">
      <c r="A247" s="2368"/>
      <c r="B247" s="253"/>
      <c r="C247" s="2370" t="s">
        <v>5344</v>
      </c>
      <c r="D247" s="253"/>
      <c r="E247" s="253"/>
      <c r="F247" s="253"/>
      <c r="G247" s="253"/>
      <c r="H247" s="253"/>
      <c r="I247" s="253"/>
      <c r="J247" s="253"/>
      <c r="K247" s="253"/>
      <c r="L247" s="253"/>
      <c r="M247" s="253"/>
      <c r="N247" s="253"/>
      <c r="O247" s="253"/>
      <c r="P247" s="253"/>
      <c r="Q247" s="253"/>
      <c r="R247" s="253"/>
      <c r="S247" s="253"/>
      <c r="T247" s="253"/>
      <c r="U247" s="253"/>
      <c r="V247" s="253"/>
      <c r="W247" s="253"/>
      <c r="X247" s="253"/>
      <c r="Y247" s="253"/>
      <c r="Z247" s="253"/>
      <c r="AA247" s="253"/>
      <c r="AB247" s="253"/>
      <c r="AC247" s="253"/>
      <c r="AD247" s="253"/>
      <c r="AE247" s="253"/>
      <c r="AF247" s="253"/>
      <c r="AG247" s="253"/>
      <c r="AH247" s="253"/>
      <c r="AI247" s="253"/>
      <c r="AJ247" s="253"/>
      <c r="AK247" s="2368"/>
      <c r="AL247" s="253"/>
      <c r="AM247" s="226" t="s">
        <v>979</v>
      </c>
    </row>
    <row r="248" spans="1:52" ht="16.5" thickBot="1">
      <c r="A248" s="2368"/>
      <c r="B248" s="253"/>
      <c r="C248" s="253"/>
      <c r="D248" s="253"/>
      <c r="E248" s="253"/>
      <c r="F248" s="253"/>
      <c r="G248" s="253"/>
      <c r="H248" s="253"/>
      <c r="I248" s="253"/>
      <c r="J248" s="253"/>
      <c r="K248" s="253"/>
      <c r="L248" s="253"/>
      <c r="M248" s="253"/>
      <c r="N248" s="253"/>
      <c r="O248" s="253"/>
      <c r="P248" s="253"/>
      <c r="Q248" s="253"/>
      <c r="R248" s="253"/>
      <c r="S248" s="253"/>
      <c r="T248" s="253"/>
      <c r="U248" s="253"/>
      <c r="V248" s="253"/>
      <c r="W248" s="253"/>
      <c r="X248" s="253"/>
      <c r="Y248" s="253"/>
      <c r="Z248" s="253"/>
      <c r="AA248" s="253"/>
      <c r="AB248" s="253"/>
      <c r="AC248" s="253"/>
      <c r="AD248" s="253"/>
      <c r="AE248" s="253"/>
      <c r="AF248" s="253"/>
      <c r="AG248" s="253"/>
      <c r="AH248" s="253"/>
      <c r="AI248" s="253"/>
      <c r="AJ248" s="253"/>
      <c r="AK248" s="2368"/>
      <c r="AL248" s="253"/>
      <c r="AM248" s="226" t="s">
        <v>931</v>
      </c>
    </row>
    <row r="249" spans="1:52" ht="18.75" thickBot="1">
      <c r="A249" s="2368"/>
      <c r="B249" s="253"/>
      <c r="C249" s="2369">
        <v>1</v>
      </c>
      <c r="D249" s="1323" t="s">
        <v>5365</v>
      </c>
      <c r="E249" s="253"/>
      <c r="F249" s="253"/>
      <c r="G249" s="253"/>
      <c r="H249" s="253"/>
      <c r="I249" s="253"/>
      <c r="J249" s="253"/>
      <c r="K249" s="253"/>
      <c r="L249" s="253"/>
      <c r="M249" s="253"/>
      <c r="N249" s="253"/>
      <c r="O249" s="253"/>
      <c r="P249" s="253"/>
      <c r="Q249" s="253"/>
      <c r="R249" s="253"/>
      <c r="S249" s="253"/>
      <c r="T249" s="253"/>
      <c r="U249" s="253"/>
      <c r="V249" s="253"/>
      <c r="W249" s="253"/>
      <c r="X249" s="253"/>
      <c r="Y249" s="253"/>
      <c r="Z249" s="253"/>
      <c r="AA249" s="253"/>
      <c r="AB249" s="10238">
        <v>1</v>
      </c>
      <c r="AC249" s="10238"/>
      <c r="AD249" s="253"/>
      <c r="AE249" s="10239" t="str">
        <f>IF(AM249&lt;&gt;"",ROUND(AM249,0),IF(AND(AO36,NOT(AO249)),"",Tax))</f>
        <v/>
      </c>
      <c r="AF249" s="10239"/>
      <c r="AG249" s="10239"/>
      <c r="AH249" s="10239"/>
      <c r="AI249" s="10239"/>
      <c r="AJ249" s="253"/>
      <c r="AK249" s="2368"/>
      <c r="AL249" s="253"/>
      <c r="AM249" s="2361"/>
      <c r="AO249" s="6607" t="b">
        <f>OR(NOT(AO36),NOT(AO51),NOT(AO59))</f>
        <v>0</v>
      </c>
    </row>
    <row r="250" spans="1:52">
      <c r="A250" s="2368"/>
      <c r="B250" s="253"/>
      <c r="C250" s="253"/>
      <c r="D250" s="253"/>
      <c r="E250" s="253"/>
      <c r="F250" s="253"/>
      <c r="G250" s="253"/>
      <c r="H250" s="253"/>
      <c r="I250" s="253"/>
      <c r="J250" s="253"/>
      <c r="K250" s="253"/>
      <c r="L250" s="253"/>
      <c r="M250" s="253"/>
      <c r="N250" s="253"/>
      <c r="O250" s="253"/>
      <c r="P250" s="253"/>
      <c r="Q250" s="253"/>
      <c r="R250" s="253"/>
      <c r="S250" s="253"/>
      <c r="T250" s="253"/>
      <c r="U250" s="253"/>
      <c r="V250" s="253"/>
      <c r="W250" s="253"/>
      <c r="X250" s="253"/>
      <c r="Y250" s="253"/>
      <c r="Z250" s="253"/>
      <c r="AA250" s="253"/>
      <c r="AB250" s="253"/>
      <c r="AC250" s="253"/>
      <c r="AD250" s="253"/>
      <c r="AE250" s="253"/>
      <c r="AF250" s="253"/>
      <c r="AG250" s="253"/>
      <c r="AH250" s="253"/>
      <c r="AI250" s="253"/>
      <c r="AJ250" s="253"/>
      <c r="AK250" s="2368"/>
      <c r="AL250" s="253"/>
      <c r="AM250" s="253"/>
    </row>
    <row r="251" spans="1:52">
      <c r="A251" s="2368"/>
      <c r="B251" s="253"/>
      <c r="C251" s="2369">
        <v>2</v>
      </c>
      <c r="D251" s="1323" t="str">
        <f>"Enter the total of the following credit(s)/adjustment(s) if you are taking the credit(s)/adjustment(s) on"</f>
        <v>Enter the total of the following credit(s)/adjustment(s) if you are taking the credit(s)/adjustment(s) on</v>
      </c>
      <c r="E251" s="253"/>
      <c r="F251" s="253"/>
      <c r="G251" s="253"/>
      <c r="H251" s="253"/>
      <c r="I251" s="253"/>
      <c r="J251" s="253"/>
      <c r="K251" s="253"/>
      <c r="L251" s="253"/>
      <c r="M251" s="253"/>
      <c r="N251" s="253"/>
      <c r="O251" s="253"/>
      <c r="P251" s="253"/>
      <c r="Q251" s="253"/>
      <c r="R251" s="253"/>
      <c r="S251" s="253"/>
      <c r="T251" s="253"/>
      <c r="U251" s="253"/>
      <c r="V251" s="253"/>
      <c r="W251" s="253"/>
      <c r="X251" s="253"/>
      <c r="Y251" s="253"/>
      <c r="Z251" s="253"/>
      <c r="AA251" s="253"/>
      <c r="AB251" s="2383"/>
      <c r="AC251" s="2383"/>
      <c r="AD251" s="2383"/>
      <c r="AE251" s="2383"/>
      <c r="AF251" s="2383"/>
      <c r="AG251" s="2383"/>
      <c r="AH251" s="2383"/>
      <c r="AI251" s="2383"/>
      <c r="AJ251" s="253"/>
      <c r="AK251" s="2368"/>
      <c r="AL251" s="253"/>
      <c r="AM251" s="253"/>
    </row>
    <row r="252" spans="1:52" ht="12.75" customHeight="1">
      <c r="A252" s="2368"/>
      <c r="B252" s="253"/>
      <c r="C252" s="253"/>
      <c r="D252" s="1323" t="str">
        <f>"your "&amp;TaxYear&amp;" income tax return:"</f>
        <v>your 2025 income tax return:</v>
      </c>
      <c r="E252" s="253"/>
      <c r="F252" s="253"/>
      <c r="G252" s="253"/>
      <c r="H252" s="253"/>
      <c r="I252" s="253"/>
      <c r="J252" s="253"/>
      <c r="K252" s="253"/>
      <c r="L252" s="253"/>
      <c r="M252" s="253"/>
      <c r="N252" s="253"/>
      <c r="O252" s="253"/>
      <c r="P252" s="253"/>
      <c r="Q252" s="253"/>
      <c r="R252" s="253"/>
      <c r="S252" s="253"/>
      <c r="T252" s="253"/>
      <c r="U252" s="253"/>
      <c r="V252" s="253"/>
      <c r="W252" s="253"/>
      <c r="X252" s="253"/>
      <c r="Y252" s="253"/>
      <c r="Z252" s="253"/>
      <c r="AA252" s="253"/>
      <c r="AB252" s="253"/>
      <c r="AC252" s="253"/>
      <c r="AD252" s="253"/>
      <c r="AE252" s="253"/>
      <c r="AF252" s="253"/>
      <c r="AG252" s="253"/>
      <c r="AH252" s="253"/>
      <c r="AI252" s="253"/>
      <c r="AJ252" s="253"/>
      <c r="AK252" s="2368"/>
      <c r="AL252" s="253"/>
      <c r="AM252" s="226" t="s">
        <v>979</v>
      </c>
    </row>
    <row r="253" spans="1:52">
      <c r="A253" s="2368"/>
      <c r="B253" s="253"/>
      <c r="C253" s="253"/>
      <c r="D253" s="253"/>
      <c r="E253" s="253"/>
      <c r="F253" s="253"/>
      <c r="G253" s="253"/>
      <c r="H253" s="253"/>
      <c r="I253" s="253"/>
      <c r="J253" s="253"/>
      <c r="K253" s="253"/>
      <c r="L253" s="253"/>
      <c r="M253" s="253"/>
      <c r="N253" s="253"/>
      <c r="O253" s="253"/>
      <c r="P253" s="253"/>
      <c r="Q253" s="253"/>
      <c r="R253" s="253"/>
      <c r="S253" s="253"/>
      <c r="T253" s="253"/>
      <c r="U253" s="253"/>
      <c r="V253" s="253"/>
      <c r="W253" s="253"/>
      <c r="X253" s="253"/>
      <c r="Y253" s="253"/>
      <c r="Z253" s="253"/>
      <c r="AA253" s="253"/>
      <c r="AB253" s="253"/>
      <c r="AC253" s="253"/>
      <c r="AD253" s="253"/>
      <c r="AE253" s="253"/>
      <c r="AF253" s="253"/>
      <c r="AG253" s="253"/>
      <c r="AH253" s="253"/>
      <c r="AI253" s="253"/>
      <c r="AJ253" s="253"/>
      <c r="AK253" s="2368"/>
      <c r="AL253" s="253"/>
      <c r="AM253" s="226" t="s">
        <v>931</v>
      </c>
    </row>
    <row r="254" spans="1:52" ht="18.75" thickBot="1">
      <c r="A254" s="2368"/>
      <c r="B254" s="253"/>
      <c r="C254" s="2371" t="s">
        <v>4060</v>
      </c>
      <c r="D254" s="1323" t="s">
        <v>5352</v>
      </c>
      <c r="E254" s="253"/>
      <c r="F254" s="253"/>
      <c r="G254" s="253"/>
      <c r="H254" s="253"/>
      <c r="I254" s="253"/>
      <c r="J254" s="253"/>
      <c r="K254" s="253"/>
      <c r="L254" s="253"/>
      <c r="M254" s="253"/>
      <c r="N254" s="253"/>
      <c r="O254" s="253"/>
      <c r="P254" s="253"/>
      <c r="Q254" s="253"/>
      <c r="R254" s="253"/>
      <c r="S254" s="253"/>
      <c r="T254" s="253"/>
      <c r="U254" s="253"/>
      <c r="V254" s="253"/>
      <c r="W254" s="253"/>
      <c r="X254" s="253"/>
      <c r="Y254" s="253"/>
      <c r="Z254" s="253"/>
      <c r="AA254" s="253"/>
      <c r="AB254" s="253"/>
      <c r="AC254" s="253"/>
      <c r="AD254" s="253"/>
      <c r="AE254" s="253"/>
      <c r="AF254" s="253"/>
      <c r="AG254" s="253"/>
      <c r="AH254" s="253"/>
      <c r="AI254" s="253"/>
      <c r="AJ254" s="253"/>
      <c r="AK254" s="2368"/>
      <c r="AL254" s="253"/>
      <c r="AM254" s="226"/>
    </row>
    <row r="255" spans="1:52" ht="18.75" thickBot="1">
      <c r="A255" s="2368"/>
      <c r="B255" s="253"/>
      <c r="C255" s="2371"/>
      <c r="D255" s="1323" t="s">
        <v>5366</v>
      </c>
      <c r="E255" s="253"/>
      <c r="F255" s="253"/>
      <c r="G255" s="253"/>
      <c r="H255" s="253"/>
      <c r="I255" s="253"/>
      <c r="J255" s="253"/>
      <c r="K255" s="253"/>
      <c r="L255" s="253"/>
      <c r="M255" s="253"/>
      <c r="N255" s="253"/>
      <c r="O255" s="253"/>
      <c r="P255" s="253"/>
      <c r="Q255" s="253"/>
      <c r="R255" s="253"/>
      <c r="S255" s="253"/>
      <c r="T255" s="253"/>
      <c r="U255" s="253"/>
      <c r="V255" s="253"/>
      <c r="W255" s="253"/>
      <c r="X255" s="253"/>
      <c r="Y255" s="253"/>
      <c r="Z255" s="253"/>
      <c r="AA255" s="253"/>
      <c r="AB255" s="253"/>
      <c r="AC255" s="253"/>
      <c r="AD255" s="253"/>
      <c r="AE255" s="10239" t="str">
        <f>IF(AM255&lt;&gt;"",ROUND(AM255,0),IF(OR(F8978_Credit="",F8978_Credit=0),"",F8978_Credit))</f>
        <v/>
      </c>
      <c r="AF255" s="10239"/>
      <c r="AG255" s="10239"/>
      <c r="AH255" s="10239"/>
      <c r="AI255" s="10239"/>
      <c r="AJ255" s="253"/>
      <c r="AK255" s="2368"/>
      <c r="AL255" s="253"/>
      <c r="AM255" s="2361"/>
    </row>
    <row r="256" spans="1:52" ht="16.5" thickBot="1">
      <c r="A256" s="2368"/>
      <c r="B256" s="253"/>
      <c r="C256" s="253"/>
      <c r="D256" s="1323"/>
      <c r="E256" s="253"/>
      <c r="F256" s="253"/>
      <c r="G256" s="253"/>
      <c r="H256" s="253"/>
      <c r="I256" s="253"/>
      <c r="J256" s="253"/>
      <c r="K256" s="253"/>
      <c r="L256" s="253"/>
      <c r="M256" s="253"/>
      <c r="N256" s="253"/>
      <c r="O256" s="253"/>
      <c r="P256" s="253"/>
      <c r="Q256" s="253"/>
      <c r="R256" s="253"/>
      <c r="S256" s="253"/>
      <c r="T256" s="253"/>
      <c r="U256" s="253"/>
      <c r="V256" s="253"/>
      <c r="W256" s="253"/>
      <c r="X256" s="253"/>
      <c r="Y256" s="253"/>
      <c r="Z256" s="253"/>
      <c r="AA256" s="253"/>
      <c r="AB256" s="253"/>
      <c r="AC256" s="253"/>
      <c r="AD256" s="253"/>
      <c r="AE256" s="2373"/>
      <c r="AF256" s="2373"/>
      <c r="AG256" s="2373"/>
      <c r="AH256" s="2373"/>
      <c r="AI256" s="2373"/>
      <c r="AJ256" s="253"/>
      <c r="AK256" s="2368"/>
      <c r="AL256" s="253"/>
      <c r="AM256" s="253"/>
    </row>
    <row r="257" spans="1:51" ht="18.75" thickBot="1">
      <c r="A257" s="2368"/>
      <c r="B257" s="253"/>
      <c r="C257" s="2371" t="s">
        <v>4060</v>
      </c>
      <c r="D257" s="1323" t="s">
        <v>5357</v>
      </c>
      <c r="E257" s="253"/>
      <c r="F257" s="253"/>
      <c r="G257" s="253"/>
      <c r="H257" s="253"/>
      <c r="I257" s="253"/>
      <c r="J257" s="253"/>
      <c r="K257" s="253"/>
      <c r="L257" s="253"/>
      <c r="M257" s="253"/>
      <c r="N257" s="253"/>
      <c r="O257" s="253"/>
      <c r="P257" s="253"/>
      <c r="Q257" s="253"/>
      <c r="R257" s="253"/>
      <c r="S257" s="253"/>
      <c r="T257" s="253"/>
      <c r="U257" s="253"/>
      <c r="V257" s="253"/>
      <c r="W257" s="253"/>
      <c r="X257" s="253"/>
      <c r="Y257" s="253"/>
      <c r="Z257" s="253"/>
      <c r="AA257" s="253"/>
      <c r="AB257" s="253"/>
      <c r="AC257" s="253"/>
      <c r="AD257" s="253"/>
      <c r="AE257" s="10239" t="str">
        <f>IF(AM257&lt;&gt;"",ROUND(AM257,0),IF(OR(Foreign_Tax_Credit="",Foreign_Tax_Credit=0),"",Foreign_Tax_Credit))</f>
        <v/>
      </c>
      <c r="AF257" s="10239"/>
      <c r="AG257" s="10239"/>
      <c r="AH257" s="10239"/>
      <c r="AI257" s="10239"/>
      <c r="AJ257" s="253"/>
      <c r="AK257" s="2368"/>
      <c r="AL257" s="253"/>
      <c r="AM257" s="2361"/>
    </row>
    <row r="258" spans="1:51" thickBot="1">
      <c r="A258" s="2368"/>
      <c r="B258" s="253"/>
      <c r="C258" s="253"/>
      <c r="D258" s="1323"/>
      <c r="E258" s="253"/>
      <c r="F258" s="253"/>
      <c r="G258" s="253"/>
      <c r="H258" s="253"/>
      <c r="I258" s="253"/>
      <c r="J258" s="253"/>
      <c r="K258" s="253"/>
      <c r="L258" s="253"/>
      <c r="M258" s="253"/>
      <c r="N258" s="253"/>
      <c r="O258" s="253"/>
      <c r="P258" s="253"/>
      <c r="Q258" s="253"/>
      <c r="R258" s="253"/>
      <c r="S258" s="253"/>
      <c r="T258" s="253"/>
      <c r="U258" s="253"/>
      <c r="V258" s="253"/>
      <c r="W258" s="253"/>
      <c r="X258" s="253"/>
      <c r="Y258" s="253"/>
      <c r="Z258" s="253"/>
      <c r="AA258" s="253"/>
      <c r="AB258" s="253"/>
      <c r="AC258" s="253"/>
      <c r="AD258" s="253"/>
      <c r="AE258" s="2373"/>
      <c r="AF258" s="2373"/>
      <c r="AG258" s="2373"/>
      <c r="AH258" s="2373"/>
      <c r="AI258" s="2373"/>
      <c r="AJ258" s="253"/>
      <c r="AK258" s="2368"/>
      <c r="AL258" s="253"/>
      <c r="AM258" s="253"/>
      <c r="AN258"/>
      <c r="AO258"/>
      <c r="AP258"/>
      <c r="AQ258"/>
      <c r="AR258"/>
      <c r="AS258"/>
      <c r="AT258"/>
      <c r="AU258"/>
      <c r="AV258"/>
      <c r="AW258"/>
      <c r="AX258"/>
      <c r="AY258"/>
    </row>
    <row r="259" spans="1:51" ht="18.75" thickBot="1">
      <c r="A259" s="2368"/>
      <c r="B259" s="253"/>
      <c r="C259" s="2371" t="s">
        <v>4060</v>
      </c>
      <c r="D259" s="1323" t="s">
        <v>5356</v>
      </c>
      <c r="E259" s="253"/>
      <c r="F259" s="253"/>
      <c r="G259" s="253"/>
      <c r="H259" s="253"/>
      <c r="I259" s="253"/>
      <c r="J259" s="253"/>
      <c r="K259" s="253"/>
      <c r="L259" s="253"/>
      <c r="M259" s="253"/>
      <c r="N259" s="253"/>
      <c r="O259" s="253"/>
      <c r="P259" s="253"/>
      <c r="Q259" s="253"/>
      <c r="R259" s="253"/>
      <c r="S259" s="253"/>
      <c r="T259" s="253"/>
      <c r="U259" s="253"/>
      <c r="V259" s="253"/>
      <c r="W259" s="253"/>
      <c r="X259" s="253"/>
      <c r="Y259" s="253"/>
      <c r="Z259" s="253"/>
      <c r="AA259" s="253"/>
      <c r="AB259" s="253"/>
      <c r="AC259" s="253"/>
      <c r="AD259" s="253"/>
      <c r="AE259" s="10239" t="str">
        <f>IF(AM259&lt;&gt;"",ROUND(AM259,0),IF(OR(Care_Expenses="",Care_Expenses=0),"",Care_Expenses))</f>
        <v/>
      </c>
      <c r="AF259" s="10239"/>
      <c r="AG259" s="10239"/>
      <c r="AH259" s="10239"/>
      <c r="AI259" s="10239"/>
      <c r="AJ259" s="253"/>
      <c r="AK259" s="2368"/>
      <c r="AL259" s="253"/>
      <c r="AM259" s="2361"/>
      <c r="AN259"/>
      <c r="AO259"/>
      <c r="AP259"/>
      <c r="AQ259"/>
      <c r="AR259"/>
      <c r="AS259"/>
      <c r="AT259"/>
      <c r="AU259"/>
      <c r="AV259"/>
      <c r="AW259"/>
      <c r="AX259"/>
      <c r="AY259"/>
    </row>
    <row r="260" spans="1:51" thickBot="1">
      <c r="A260" s="2368"/>
      <c r="B260" s="253"/>
      <c r="C260" s="253"/>
      <c r="D260" s="1323"/>
      <c r="E260" s="253"/>
      <c r="F260" s="253"/>
      <c r="G260" s="253"/>
      <c r="H260" s="253"/>
      <c r="I260" s="253"/>
      <c r="J260" s="253"/>
      <c r="K260" s="253"/>
      <c r="L260" s="253"/>
      <c r="M260" s="253"/>
      <c r="N260" s="253"/>
      <c r="O260" s="253"/>
      <c r="P260" s="253"/>
      <c r="Q260" s="253"/>
      <c r="R260" s="253"/>
      <c r="S260" s="253"/>
      <c r="T260" s="253"/>
      <c r="U260" s="253"/>
      <c r="V260" s="253"/>
      <c r="W260" s="253"/>
      <c r="X260" s="253"/>
      <c r="Y260" s="253"/>
      <c r="Z260" s="253"/>
      <c r="AA260" s="253"/>
      <c r="AB260" s="253"/>
      <c r="AC260" s="253"/>
      <c r="AD260" s="253"/>
      <c r="AE260" s="2373"/>
      <c r="AF260" s="2373"/>
      <c r="AG260" s="2373"/>
      <c r="AH260" s="2373"/>
      <c r="AI260" s="2373"/>
      <c r="AJ260" s="253"/>
      <c r="AK260" s="2368"/>
      <c r="AL260" s="253"/>
      <c r="AM260" s="253"/>
      <c r="AN260"/>
      <c r="AO260"/>
      <c r="AP260"/>
      <c r="AQ260"/>
      <c r="AR260"/>
      <c r="AS260"/>
      <c r="AT260"/>
      <c r="AU260"/>
      <c r="AV260"/>
      <c r="AW260"/>
      <c r="AX260"/>
      <c r="AY260"/>
    </row>
    <row r="261" spans="1:51" ht="18.75" thickBot="1">
      <c r="A261" s="2368"/>
      <c r="B261" s="253"/>
      <c r="C261" s="2371" t="s">
        <v>4060</v>
      </c>
      <c r="D261" s="1323" t="s">
        <v>5355</v>
      </c>
      <c r="E261" s="253"/>
      <c r="F261" s="253"/>
      <c r="G261" s="253"/>
      <c r="H261" s="253"/>
      <c r="I261" s="253"/>
      <c r="J261" s="253"/>
      <c r="K261" s="253"/>
      <c r="L261" s="253"/>
      <c r="M261" s="253"/>
      <c r="N261" s="253"/>
      <c r="O261" s="253"/>
      <c r="P261" s="253"/>
      <c r="Q261" s="253"/>
      <c r="R261" s="253"/>
      <c r="S261" s="253"/>
      <c r="T261" s="253"/>
      <c r="U261" s="253"/>
      <c r="V261" s="253"/>
      <c r="W261" s="253"/>
      <c r="X261" s="253"/>
      <c r="Y261" s="253"/>
      <c r="Z261" s="253"/>
      <c r="AA261" s="253"/>
      <c r="AB261" s="253"/>
      <c r="AC261" s="253"/>
      <c r="AD261" s="253"/>
      <c r="AE261" s="10239" t="str">
        <f>IF(AM261&lt;&gt;"",ROUND(AM261,0),IF(OR(Sch3_Line6d="",Sch3_Line6d=0),"",Sch3_Line6d))</f>
        <v/>
      </c>
      <c r="AF261" s="10239"/>
      <c r="AG261" s="10239"/>
      <c r="AH261" s="10239"/>
      <c r="AI261" s="10239"/>
      <c r="AJ261" s="253"/>
      <c r="AK261" s="2368"/>
      <c r="AL261" s="253"/>
      <c r="AM261" s="2361"/>
      <c r="AN261"/>
      <c r="AO261"/>
      <c r="AP261"/>
      <c r="AQ261"/>
      <c r="AR261"/>
      <c r="AS261"/>
      <c r="AT261"/>
      <c r="AU261"/>
      <c r="AV261"/>
      <c r="AW261"/>
      <c r="AX261"/>
      <c r="AY261"/>
    </row>
    <row r="262" spans="1:51" thickBot="1">
      <c r="A262" s="2368"/>
      <c r="B262" s="253"/>
      <c r="C262" s="253"/>
      <c r="D262" s="1323"/>
      <c r="E262" s="253"/>
      <c r="F262" s="253"/>
      <c r="G262" s="253"/>
      <c r="H262" s="253"/>
      <c r="I262" s="253"/>
      <c r="J262" s="253"/>
      <c r="K262" s="253"/>
      <c r="L262" s="253"/>
      <c r="M262" s="253"/>
      <c r="N262" s="253"/>
      <c r="O262" s="253"/>
      <c r="P262" s="253"/>
      <c r="Q262" s="253"/>
      <c r="R262" s="253"/>
      <c r="S262" s="253"/>
      <c r="T262" s="253"/>
      <c r="U262" s="253"/>
      <c r="V262" s="253"/>
      <c r="W262" s="253"/>
      <c r="X262" s="253"/>
      <c r="Y262" s="253"/>
      <c r="Z262" s="253"/>
      <c r="AA262" s="253"/>
      <c r="AB262" s="253"/>
      <c r="AC262" s="253"/>
      <c r="AD262" s="253"/>
      <c r="AE262" s="2373"/>
      <c r="AF262" s="2373"/>
      <c r="AG262" s="2373"/>
      <c r="AH262" s="2373"/>
      <c r="AI262" s="2373"/>
      <c r="AJ262" s="253"/>
      <c r="AK262" s="2368"/>
      <c r="AL262" s="253"/>
      <c r="AM262" s="253"/>
      <c r="AN262"/>
      <c r="AO262"/>
      <c r="AP262"/>
      <c r="AQ262"/>
      <c r="AR262"/>
      <c r="AS262"/>
      <c r="AT262"/>
      <c r="AU262"/>
      <c r="AV262"/>
      <c r="AW262"/>
      <c r="AX262"/>
      <c r="AY262"/>
    </row>
    <row r="263" spans="1:51" ht="18.75" thickBot="1">
      <c r="A263" s="2368"/>
      <c r="B263" s="253"/>
      <c r="C263" s="2371" t="s">
        <v>4060</v>
      </c>
      <c r="D263" s="1323" t="s">
        <v>5354</v>
      </c>
      <c r="E263" s="253"/>
      <c r="F263" s="253"/>
      <c r="G263" s="253"/>
      <c r="H263" s="253"/>
      <c r="I263" s="253"/>
      <c r="J263" s="253"/>
      <c r="K263" s="253"/>
      <c r="L263" s="253"/>
      <c r="M263" s="253"/>
      <c r="N263" s="253"/>
      <c r="O263" s="253"/>
      <c r="P263" s="253"/>
      <c r="Q263" s="253"/>
      <c r="R263" s="253"/>
      <c r="S263" s="253"/>
      <c r="T263" s="253"/>
      <c r="U263" s="253"/>
      <c r="V263" s="253"/>
      <c r="W263" s="253"/>
      <c r="X263" s="253"/>
      <c r="Y263" s="253"/>
      <c r="Z263" s="253"/>
      <c r="AA263" s="253"/>
      <c r="AB263" s="253"/>
      <c r="AC263" s="253"/>
      <c r="AD263" s="253"/>
      <c r="AE263" s="10239" t="str">
        <f>IF(AM263&lt;&gt;"",ROUND(AM263,0),IF(OR(Education="",Education=0),"",Education))</f>
        <v/>
      </c>
      <c r="AF263" s="10239"/>
      <c r="AG263" s="10239"/>
      <c r="AH263" s="10239"/>
      <c r="AI263" s="10239"/>
      <c r="AJ263" s="253"/>
      <c r="AK263" s="2368"/>
      <c r="AL263" s="253"/>
      <c r="AM263" s="2361"/>
      <c r="AN263"/>
      <c r="AO263"/>
      <c r="AP263"/>
      <c r="AQ263"/>
      <c r="AR263"/>
      <c r="AS263"/>
      <c r="AT263"/>
      <c r="AU263"/>
      <c r="AV263"/>
      <c r="AW263"/>
      <c r="AX263"/>
      <c r="AY263"/>
    </row>
    <row r="264" spans="1:51" thickBot="1">
      <c r="A264" s="2368"/>
      <c r="B264" s="253"/>
      <c r="C264" s="253"/>
      <c r="D264" s="1323"/>
      <c r="E264" s="253"/>
      <c r="F264" s="253"/>
      <c r="G264" s="253"/>
      <c r="H264" s="253"/>
      <c r="I264" s="253"/>
      <c r="J264" s="253"/>
      <c r="K264" s="253"/>
      <c r="L264" s="253"/>
      <c r="M264" s="253"/>
      <c r="N264" s="253"/>
      <c r="O264" s="253"/>
      <c r="P264" s="253"/>
      <c r="Q264" s="253"/>
      <c r="R264" s="253"/>
      <c r="S264" s="253"/>
      <c r="T264" s="253"/>
      <c r="U264" s="253"/>
      <c r="V264" s="253"/>
      <c r="W264" s="253"/>
      <c r="X264" s="253"/>
      <c r="Y264" s="253"/>
      <c r="Z264" s="253"/>
      <c r="AA264" s="253"/>
      <c r="AB264" s="253"/>
      <c r="AC264" s="253"/>
      <c r="AD264" s="253"/>
      <c r="AE264" s="2373"/>
      <c r="AF264" s="2373"/>
      <c r="AG264" s="2373"/>
      <c r="AH264" s="2373"/>
      <c r="AI264" s="2373"/>
      <c r="AJ264" s="253"/>
      <c r="AK264" s="2368"/>
      <c r="AL264" s="253"/>
      <c r="AM264" s="253"/>
      <c r="AN264"/>
      <c r="AO264"/>
      <c r="AP264"/>
      <c r="AQ264"/>
      <c r="AR264"/>
      <c r="AS264"/>
      <c r="AT264"/>
      <c r="AU264"/>
      <c r="AV264"/>
      <c r="AW264"/>
      <c r="AX264"/>
      <c r="AY264"/>
    </row>
    <row r="265" spans="1:51" ht="18.75" thickBot="1">
      <c r="A265" s="2368"/>
      <c r="B265" s="253"/>
      <c r="C265" s="2371" t="s">
        <v>4060</v>
      </c>
      <c r="D265" s="1323" t="s">
        <v>5353</v>
      </c>
      <c r="E265" s="253"/>
      <c r="F265" s="253"/>
      <c r="G265" s="253"/>
      <c r="H265" s="253"/>
      <c r="I265" s="253"/>
      <c r="J265" s="253"/>
      <c r="K265" s="253"/>
      <c r="L265" s="253"/>
      <c r="M265" s="253"/>
      <c r="N265" s="253"/>
      <c r="O265" s="253"/>
      <c r="P265" s="253"/>
      <c r="Q265" s="253"/>
      <c r="R265" s="253"/>
      <c r="S265" s="253"/>
      <c r="T265" s="253"/>
      <c r="U265" s="253"/>
      <c r="V265" s="253"/>
      <c r="W265" s="253"/>
      <c r="X265" s="253"/>
      <c r="Y265" s="253"/>
      <c r="Z265" s="253"/>
      <c r="AA265" s="253"/>
      <c r="AB265" s="253"/>
      <c r="AC265" s="253"/>
      <c r="AD265" s="253"/>
      <c r="AE265" s="10239" t="str">
        <f>IF(AM265&lt;&gt;"",ROUND(AM265,0),IF(OR(Retirement_Savings="",Retirement_Savings=0),"",Retirement_Savings))</f>
        <v/>
      </c>
      <c r="AF265" s="10239"/>
      <c r="AG265" s="10239"/>
      <c r="AH265" s="10239"/>
      <c r="AI265" s="10239"/>
      <c r="AJ265" s="253"/>
      <c r="AK265" s="2368"/>
      <c r="AL265" s="253"/>
      <c r="AM265" s="2361"/>
      <c r="AN265"/>
      <c r="AO265"/>
      <c r="AP265"/>
      <c r="AQ265"/>
      <c r="AR265"/>
      <c r="AS265"/>
      <c r="AT265"/>
      <c r="AU265"/>
      <c r="AV265"/>
      <c r="AW265"/>
      <c r="AX265"/>
      <c r="AY265"/>
    </row>
    <row r="266" spans="1:51" thickBot="1">
      <c r="A266" s="2368"/>
      <c r="B266" s="253"/>
      <c r="C266" s="253"/>
      <c r="D266" s="1323"/>
      <c r="E266" s="253"/>
      <c r="F266" s="253"/>
      <c r="G266" s="253"/>
      <c r="H266" s="253"/>
      <c r="I266" s="253"/>
      <c r="J266" s="253"/>
      <c r="K266" s="253"/>
      <c r="L266" s="253"/>
      <c r="M266" s="253"/>
      <c r="N266" s="253"/>
      <c r="O266" s="253"/>
      <c r="P266" s="253"/>
      <c r="Q266" s="253"/>
      <c r="R266" s="253"/>
      <c r="S266" s="253"/>
      <c r="T266" s="253"/>
      <c r="U266" s="253"/>
      <c r="V266" s="253"/>
      <c r="W266" s="253"/>
      <c r="X266" s="253"/>
      <c r="Y266" s="253"/>
      <c r="Z266" s="253"/>
      <c r="AA266" s="253"/>
      <c r="AB266" s="253"/>
      <c r="AC266" s="253"/>
      <c r="AD266" s="253"/>
      <c r="AE266" s="2373"/>
      <c r="AF266" s="2373"/>
      <c r="AG266" s="2373"/>
      <c r="AH266" s="2373"/>
      <c r="AI266" s="2373"/>
      <c r="AJ266" s="253"/>
      <c r="AK266" s="2368"/>
      <c r="AL266" s="253"/>
      <c r="AM266" s="253"/>
      <c r="AN266"/>
      <c r="AO266"/>
      <c r="AP266"/>
      <c r="AQ266"/>
      <c r="AR266"/>
      <c r="AS266"/>
      <c r="AT266"/>
      <c r="AU266"/>
      <c r="AV266"/>
      <c r="AW266"/>
      <c r="AX266"/>
      <c r="AY266"/>
    </row>
    <row r="267" spans="1:51" ht="18.75" thickBot="1">
      <c r="A267" s="2368"/>
      <c r="B267" s="253"/>
      <c r="C267" s="2371" t="s">
        <v>4060</v>
      </c>
      <c r="D267" s="1323" t="s">
        <v>5358</v>
      </c>
      <c r="E267" s="253"/>
      <c r="F267" s="253"/>
      <c r="G267" s="253"/>
      <c r="H267" s="253"/>
      <c r="I267" s="253"/>
      <c r="J267" s="253"/>
      <c r="K267" s="253"/>
      <c r="L267" s="253"/>
      <c r="M267" s="253"/>
      <c r="N267" s="253"/>
      <c r="O267" s="253"/>
      <c r="P267" s="253"/>
      <c r="Q267" s="253"/>
      <c r="R267" s="253"/>
      <c r="S267" s="253"/>
      <c r="T267" s="253"/>
      <c r="U267" s="253"/>
      <c r="V267" s="253"/>
      <c r="W267" s="253"/>
      <c r="X267" s="253"/>
      <c r="Y267" s="253"/>
      <c r="Z267" s="253"/>
      <c r="AA267" s="253"/>
      <c r="AB267" s="253"/>
      <c r="AC267" s="253"/>
      <c r="AD267" s="253"/>
      <c r="AE267" s="10239" t="str">
        <f>IF(AM267&lt;&gt;"",ROUND(AM267,0),IF(OR(AD240="",AD240=0),"",AD240))</f>
        <v/>
      </c>
      <c r="AF267" s="10239"/>
      <c r="AG267" s="10239"/>
      <c r="AH267" s="10239"/>
      <c r="AI267" s="10239"/>
      <c r="AJ267" s="253"/>
      <c r="AK267" s="2368"/>
      <c r="AL267" s="253"/>
      <c r="AM267" s="2361"/>
      <c r="AN267"/>
      <c r="AO267"/>
      <c r="AP267"/>
      <c r="AQ267"/>
      <c r="AR267"/>
      <c r="AS267"/>
      <c r="AT267"/>
      <c r="AU267"/>
      <c r="AV267"/>
      <c r="AW267"/>
      <c r="AX267"/>
      <c r="AY267"/>
    </row>
    <row r="268" spans="1:51" thickBot="1">
      <c r="A268" s="2368"/>
      <c r="B268" s="253"/>
      <c r="C268" s="253"/>
      <c r="D268" s="1323"/>
      <c r="E268" s="253"/>
      <c r="F268" s="253"/>
      <c r="G268" s="253"/>
      <c r="H268" s="253"/>
      <c r="I268" s="253"/>
      <c r="J268" s="253"/>
      <c r="K268" s="253"/>
      <c r="L268" s="253"/>
      <c r="M268" s="253"/>
      <c r="N268" s="253"/>
      <c r="O268" s="253"/>
      <c r="P268" s="253"/>
      <c r="Q268" s="253"/>
      <c r="R268" s="253"/>
      <c r="S268" s="253"/>
      <c r="T268" s="253"/>
      <c r="U268" s="253"/>
      <c r="V268" s="253"/>
      <c r="W268" s="253"/>
      <c r="X268" s="253"/>
      <c r="Y268" s="253"/>
      <c r="Z268" s="253"/>
      <c r="AA268" s="253"/>
      <c r="AB268" s="253"/>
      <c r="AC268" s="253"/>
      <c r="AD268" s="253"/>
      <c r="AE268" s="2373"/>
      <c r="AF268" s="2373"/>
      <c r="AG268" s="2373"/>
      <c r="AH268" s="2373"/>
      <c r="AI268" s="2373"/>
      <c r="AJ268" s="253"/>
      <c r="AK268" s="2368"/>
      <c r="AL268" s="253"/>
      <c r="AM268" s="253"/>
      <c r="AN268"/>
      <c r="AO268"/>
      <c r="AP268"/>
      <c r="AQ268"/>
      <c r="AR268"/>
      <c r="AS268"/>
      <c r="AT268"/>
      <c r="AU268"/>
      <c r="AV268"/>
      <c r="AW268"/>
      <c r="AX268"/>
      <c r="AY268"/>
    </row>
    <row r="269" spans="1:51" ht="18.75" thickBot="1">
      <c r="A269" s="2368"/>
      <c r="B269" s="253"/>
      <c r="C269" s="2371" t="s">
        <v>4060</v>
      </c>
      <c r="D269" s="1323" t="s">
        <v>5359</v>
      </c>
      <c r="E269" s="253"/>
      <c r="F269" s="253"/>
      <c r="G269" s="253"/>
      <c r="H269" s="253"/>
      <c r="I269" s="253"/>
      <c r="J269" s="253"/>
      <c r="K269" s="253"/>
      <c r="L269" s="253"/>
      <c r="M269" s="253"/>
      <c r="N269" s="253"/>
      <c r="O269" s="253"/>
      <c r="P269" s="253"/>
      <c r="Q269" s="253"/>
      <c r="R269" s="253"/>
      <c r="S269" s="253"/>
      <c r="T269" s="253"/>
      <c r="U269" s="253"/>
      <c r="V269" s="253"/>
      <c r="W269" s="253"/>
      <c r="X269" s="253"/>
      <c r="Y269" s="253"/>
      <c r="Z269" s="253"/>
      <c r="AA269" s="253"/>
      <c r="AB269" s="253"/>
      <c r="AC269" s="253"/>
      <c r="AD269" s="253"/>
      <c r="AE269" s="10239" t="str">
        <f>IF(AM269&lt;&gt;"",ROUND(AM269,0),IF(OR(Sch3_Line6m="",Sch3_Line6m=0),"",Sch3_Line6m))</f>
        <v/>
      </c>
      <c r="AF269" s="10239"/>
      <c r="AG269" s="10239"/>
      <c r="AH269" s="10239"/>
      <c r="AI269" s="10239"/>
      <c r="AJ269" s="253"/>
      <c r="AK269" s="2368"/>
      <c r="AL269" s="253"/>
      <c r="AM269" s="2361"/>
      <c r="AN269"/>
      <c r="AO269"/>
      <c r="AP269"/>
      <c r="AQ269"/>
      <c r="AR269"/>
      <c r="AS269"/>
      <c r="AT269"/>
      <c r="AU269"/>
      <c r="AV269"/>
      <c r="AW269"/>
      <c r="AX269"/>
      <c r="AY269"/>
    </row>
    <row r="270" spans="1:51" thickBot="1">
      <c r="A270" s="2368"/>
      <c r="B270" s="253"/>
      <c r="C270" s="253"/>
      <c r="D270" s="1323"/>
      <c r="E270" s="253"/>
      <c r="F270" s="253"/>
      <c r="G270" s="253"/>
      <c r="H270" s="253"/>
      <c r="I270" s="253"/>
      <c r="J270" s="253"/>
      <c r="K270" s="253"/>
      <c r="L270" s="253"/>
      <c r="M270" s="253"/>
      <c r="N270" s="253"/>
      <c r="O270" s="253"/>
      <c r="P270" s="253"/>
      <c r="Q270" s="253"/>
      <c r="R270" s="253"/>
      <c r="S270" s="253"/>
      <c r="T270" s="253"/>
      <c r="U270" s="253"/>
      <c r="V270" s="253"/>
      <c r="W270" s="253"/>
      <c r="X270" s="253"/>
      <c r="Y270" s="253"/>
      <c r="Z270" s="253"/>
      <c r="AA270" s="253"/>
      <c r="AB270" s="253"/>
      <c r="AC270" s="253"/>
      <c r="AD270" s="253"/>
      <c r="AE270" s="2373"/>
      <c r="AF270" s="2373"/>
      <c r="AG270" s="2373"/>
      <c r="AH270" s="2373"/>
      <c r="AI270" s="2373"/>
      <c r="AJ270" s="253"/>
      <c r="AK270" s="2368"/>
      <c r="AL270" s="253"/>
      <c r="AM270" s="253"/>
      <c r="AN270"/>
      <c r="AO270"/>
      <c r="AP270"/>
      <c r="AQ270"/>
      <c r="AR270"/>
      <c r="AS270"/>
      <c r="AT270"/>
      <c r="AU270"/>
      <c r="AV270"/>
      <c r="AW270"/>
      <c r="AX270"/>
      <c r="AY270"/>
    </row>
    <row r="271" spans="1:51" ht="18.75" thickBot="1">
      <c r="A271" s="2368"/>
      <c r="B271" s="253"/>
      <c r="C271" s="2371" t="s">
        <v>4060</v>
      </c>
      <c r="D271" s="1323" t="s">
        <v>5360</v>
      </c>
      <c r="E271" s="253"/>
      <c r="F271" s="253"/>
      <c r="G271" s="253"/>
      <c r="H271" s="253"/>
      <c r="I271" s="253"/>
      <c r="J271" s="253"/>
      <c r="K271" s="253"/>
      <c r="L271" s="253"/>
      <c r="M271" s="253"/>
      <c r="N271" s="253"/>
      <c r="O271" s="253"/>
      <c r="P271" s="253"/>
      <c r="Q271" s="253"/>
      <c r="R271" s="253"/>
      <c r="S271" s="253"/>
      <c r="T271" s="253"/>
      <c r="U271" s="253"/>
      <c r="V271" s="253"/>
      <c r="W271" s="253"/>
      <c r="X271" s="253"/>
      <c r="Y271" s="253"/>
      <c r="Z271" s="253"/>
      <c r="AA271" s="253"/>
      <c r="AB271" s="253"/>
      <c r="AC271" s="253"/>
      <c r="AD271" s="253"/>
      <c r="AE271" s="10239" t="str">
        <f>IF(AM271&lt;&gt;"",ROUND(AM271,0),IF(OR(Sch3_Line6f="",Sch3_Line6f=0),"",Sch3_Line6f))</f>
        <v/>
      </c>
      <c r="AF271" s="10239"/>
      <c r="AG271" s="10239"/>
      <c r="AH271" s="10239"/>
      <c r="AI271" s="10239"/>
      <c r="AJ271" s="253"/>
      <c r="AK271" s="2368"/>
      <c r="AL271" s="253"/>
      <c r="AM271" s="2361"/>
      <c r="AN271"/>
      <c r="AO271"/>
      <c r="AP271"/>
      <c r="AQ271"/>
      <c r="AR271"/>
      <c r="AS271"/>
      <c r="AT271"/>
      <c r="AU271"/>
      <c r="AV271"/>
      <c r="AW271"/>
      <c r="AX271"/>
      <c r="AY271"/>
    </row>
    <row r="272" spans="1:51" thickBot="1">
      <c r="A272" s="2368"/>
      <c r="B272" s="253"/>
      <c r="C272" s="253"/>
      <c r="D272" s="1323"/>
      <c r="E272" s="253"/>
      <c r="F272" s="253"/>
      <c r="G272" s="253"/>
      <c r="H272" s="253"/>
      <c r="I272" s="253"/>
      <c r="J272" s="253"/>
      <c r="K272" s="253"/>
      <c r="L272" s="253"/>
      <c r="M272" s="253"/>
      <c r="N272" s="253"/>
      <c r="O272" s="253"/>
      <c r="P272" s="253"/>
      <c r="Q272" s="253"/>
      <c r="R272" s="253"/>
      <c r="S272" s="253"/>
      <c r="T272" s="253"/>
      <c r="U272" s="253"/>
      <c r="V272" s="253"/>
      <c r="W272" s="253"/>
      <c r="X272" s="253"/>
      <c r="Y272" s="253"/>
      <c r="Z272" s="253"/>
      <c r="AA272" s="253"/>
      <c r="AB272" s="253"/>
      <c r="AC272" s="253"/>
      <c r="AD272" s="253"/>
      <c r="AE272" s="2373"/>
      <c r="AF272" s="2373"/>
      <c r="AG272" s="2373"/>
      <c r="AH272" s="2373"/>
      <c r="AI272" s="2373"/>
      <c r="AJ272" s="253"/>
      <c r="AK272" s="2368"/>
      <c r="AL272" s="253"/>
      <c r="AM272" s="253"/>
      <c r="AN272"/>
      <c r="AO272"/>
      <c r="AP272"/>
      <c r="AQ272"/>
      <c r="AR272"/>
      <c r="AS272"/>
      <c r="AT272"/>
      <c r="AU272"/>
      <c r="AV272"/>
      <c r="AW272"/>
      <c r="AX272"/>
      <c r="AY272"/>
    </row>
    <row r="273" spans="1:51" ht="18.75" thickBot="1">
      <c r="A273" s="2368"/>
      <c r="B273" s="253"/>
      <c r="C273" s="2371" t="s">
        <v>4060</v>
      </c>
      <c r="D273" s="1323" t="s">
        <v>5361</v>
      </c>
      <c r="E273" s="253"/>
      <c r="F273" s="253"/>
      <c r="G273" s="253"/>
      <c r="H273" s="253"/>
      <c r="I273" s="253"/>
      <c r="J273" s="253"/>
      <c r="K273" s="253"/>
      <c r="L273" s="253"/>
      <c r="M273" s="253"/>
      <c r="N273" s="253"/>
      <c r="O273" s="253"/>
      <c r="P273" s="253"/>
      <c r="Q273" s="253"/>
      <c r="R273" s="253"/>
      <c r="S273" s="253"/>
      <c r="T273" s="253"/>
      <c r="U273" s="253"/>
      <c r="V273" s="253"/>
      <c r="W273" s="253"/>
      <c r="X273" s="253"/>
      <c r="Y273" s="253"/>
      <c r="Z273" s="253"/>
      <c r="AA273" s="253"/>
      <c r="AB273" s="253"/>
      <c r="AC273" s="253"/>
      <c r="AD273" s="253"/>
      <c r="AE273" s="10239" t="str">
        <f>IF(AM273&lt;&gt;"",ROUND(AM273,0),IF('8812'!C107,'8812'!AK208,IF(OR(ChildDepend_TaxCredit="",ChildDepend_TaxCredit=0),"",ChildDepend_TaxCredit)))</f>
        <v/>
      </c>
      <c r="AF273" s="10239"/>
      <c r="AG273" s="10239"/>
      <c r="AH273" s="10239"/>
      <c r="AI273" s="10239"/>
      <c r="AJ273" s="253"/>
      <c r="AK273" s="2368"/>
      <c r="AL273" s="253"/>
      <c r="AM273" s="2361"/>
      <c r="AN273"/>
      <c r="AO273"/>
      <c r="AP273"/>
      <c r="AQ273"/>
      <c r="AR273"/>
      <c r="AS273"/>
      <c r="AT273"/>
      <c r="AU273"/>
      <c r="AV273"/>
      <c r="AW273"/>
      <c r="AX273"/>
      <c r="AY273"/>
    </row>
    <row r="274" spans="1:51" thickBot="1">
      <c r="A274" s="2368"/>
      <c r="B274" s="253"/>
      <c r="C274" s="253"/>
      <c r="D274" s="1323"/>
      <c r="E274" s="253"/>
      <c r="F274" s="253"/>
      <c r="G274" s="253"/>
      <c r="H274" s="253"/>
      <c r="I274" s="253"/>
      <c r="J274" s="253"/>
      <c r="K274" s="253"/>
      <c r="L274" s="253"/>
      <c r="M274" s="253"/>
      <c r="N274" s="253"/>
      <c r="O274" s="253"/>
      <c r="P274" s="253"/>
      <c r="Q274" s="253"/>
      <c r="R274" s="253"/>
      <c r="S274" s="253"/>
      <c r="T274" s="253"/>
      <c r="U274" s="253"/>
      <c r="V274" s="253"/>
      <c r="W274" s="4852" t="str">
        <f>IF('8812'!C107,"See note below.","")</f>
        <v/>
      </c>
      <c r="X274" s="253"/>
      <c r="Y274" s="253"/>
      <c r="Z274" s="253"/>
      <c r="AA274" s="253"/>
      <c r="AB274" s="253"/>
      <c r="AC274" s="253"/>
      <c r="AD274" s="253"/>
      <c r="AE274" s="2373"/>
      <c r="AF274" s="2373"/>
      <c r="AG274" s="2373"/>
      <c r="AH274" s="2373"/>
      <c r="AI274" s="2373"/>
      <c r="AJ274" s="253"/>
      <c r="AK274" s="2368"/>
      <c r="AL274" s="253"/>
      <c r="AM274" s="253"/>
      <c r="AN274"/>
      <c r="AO274"/>
      <c r="AP274"/>
      <c r="AQ274"/>
      <c r="AR274"/>
      <c r="AS274"/>
      <c r="AT274"/>
      <c r="AU274"/>
      <c r="AV274"/>
      <c r="AW274"/>
      <c r="AX274"/>
      <c r="AY274"/>
    </row>
    <row r="275" spans="1:51" ht="18.75" thickBot="1">
      <c r="A275" s="2368"/>
      <c r="B275" s="253"/>
      <c r="C275" s="2371" t="s">
        <v>4060</v>
      </c>
      <c r="D275" s="1323" t="s">
        <v>5362</v>
      </c>
      <c r="E275" s="253"/>
      <c r="F275" s="253"/>
      <c r="G275" s="253"/>
      <c r="H275" s="253"/>
      <c r="I275" s="253"/>
      <c r="J275" s="253"/>
      <c r="K275" s="253"/>
      <c r="L275" s="253"/>
      <c r="M275" s="253"/>
      <c r="N275" s="253"/>
      <c r="O275" s="253"/>
      <c r="P275" s="253"/>
      <c r="Q275" s="253"/>
      <c r="R275" s="253"/>
      <c r="S275" s="253"/>
      <c r="T275" s="253"/>
      <c r="U275" s="253"/>
      <c r="V275" s="253"/>
      <c r="W275" s="253"/>
      <c r="X275" s="253"/>
      <c r="Y275" s="253"/>
      <c r="Z275" s="253"/>
      <c r="AA275" s="253"/>
      <c r="AB275" s="253"/>
      <c r="AC275" s="253"/>
      <c r="AD275" s="253"/>
      <c r="AE275" s="10239" t="str">
        <f>IF(AM275&lt;&gt;"",ROUND(AM275,0),IF(OR(Sch3_Line6g="",Sch3_Line6g=0),"",Sch3_Line6g))</f>
        <v/>
      </c>
      <c r="AF275" s="10239"/>
      <c r="AG275" s="10239"/>
      <c r="AH275" s="10239"/>
      <c r="AI275" s="10239"/>
      <c r="AJ275" s="253"/>
      <c r="AK275" s="2368"/>
      <c r="AL275" s="253"/>
      <c r="AM275" s="2361"/>
      <c r="AN275"/>
      <c r="AO275"/>
      <c r="AP275"/>
      <c r="AQ275"/>
      <c r="AR275"/>
      <c r="AS275"/>
      <c r="AT275"/>
      <c r="AU275"/>
      <c r="AV275"/>
      <c r="AW275"/>
      <c r="AX275"/>
      <c r="AY275"/>
    </row>
    <row r="276" spans="1:51" thickBot="1">
      <c r="A276" s="2368"/>
      <c r="B276" s="253"/>
      <c r="C276" s="253"/>
      <c r="D276" s="1323"/>
      <c r="E276" s="253"/>
      <c r="F276" s="253"/>
      <c r="G276" s="253"/>
      <c r="H276" s="253"/>
      <c r="I276" s="253"/>
      <c r="J276" s="253"/>
      <c r="K276" s="253"/>
      <c r="L276" s="253"/>
      <c r="M276" s="253"/>
      <c r="N276" s="253"/>
      <c r="O276" s="253"/>
      <c r="P276" s="253"/>
      <c r="Q276" s="253"/>
      <c r="R276" s="253"/>
      <c r="S276" s="253"/>
      <c r="T276" s="253"/>
      <c r="U276" s="253"/>
      <c r="V276" s="253"/>
      <c r="W276" s="253"/>
      <c r="X276" s="253"/>
      <c r="Y276" s="253"/>
      <c r="Z276" s="253"/>
      <c r="AA276" s="253"/>
      <c r="AB276" s="253"/>
      <c r="AC276" s="253"/>
      <c r="AD276" s="253"/>
      <c r="AE276" s="2373"/>
      <c r="AF276" s="2373"/>
      <c r="AG276" s="2373"/>
      <c r="AH276" s="2373"/>
      <c r="AI276" s="2373"/>
      <c r="AJ276" s="253"/>
      <c r="AK276" s="2368"/>
      <c r="AL276" s="253"/>
      <c r="AM276" s="253"/>
      <c r="AN276"/>
      <c r="AO276"/>
      <c r="AP276"/>
      <c r="AQ276"/>
      <c r="AR276"/>
      <c r="AS276"/>
      <c r="AT276"/>
      <c r="AU276"/>
      <c r="AV276"/>
      <c r="AW276"/>
      <c r="AX276"/>
      <c r="AY276"/>
    </row>
    <row r="277" spans="1:51" ht="18.75" thickBot="1">
      <c r="A277" s="2368"/>
      <c r="B277" s="253"/>
      <c r="C277" s="2371" t="s">
        <v>4060</v>
      </c>
      <c r="D277" s="1323" t="s">
        <v>5363</v>
      </c>
      <c r="E277" s="253"/>
      <c r="F277" s="253"/>
      <c r="G277" s="253"/>
      <c r="H277" s="253"/>
      <c r="I277" s="253"/>
      <c r="J277" s="253"/>
      <c r="K277" s="253"/>
      <c r="L277" s="253"/>
      <c r="M277" s="253"/>
      <c r="N277" s="253"/>
      <c r="O277" s="253"/>
      <c r="P277" s="253"/>
      <c r="Q277" s="253"/>
      <c r="R277" s="253"/>
      <c r="S277" s="253"/>
      <c r="T277" s="253"/>
      <c r="U277" s="253"/>
      <c r="V277" s="253"/>
      <c r="W277" s="253"/>
      <c r="X277" s="253"/>
      <c r="Y277" s="253"/>
      <c r="Z277" s="253"/>
      <c r="AA277" s="253"/>
      <c r="AB277" s="253"/>
      <c r="AC277" s="253"/>
      <c r="AD277" s="253"/>
      <c r="AE277" s="10239" t="str">
        <f>IF(AM277&lt;&gt;"",ROUND(AM277,0),IF(OR(AdoptCredit="",AdoptCredit=0),"",AdoptCredit))</f>
        <v/>
      </c>
      <c r="AF277" s="10239"/>
      <c r="AG277" s="10239"/>
      <c r="AH277" s="10239"/>
      <c r="AI277" s="10239"/>
      <c r="AJ277" s="253"/>
      <c r="AK277" s="2368"/>
      <c r="AL277" s="253"/>
      <c r="AM277" s="2361"/>
      <c r="AN277"/>
      <c r="AO277"/>
      <c r="AP277"/>
      <c r="AQ277"/>
      <c r="AR277"/>
      <c r="AS277"/>
      <c r="AT277"/>
      <c r="AU277"/>
      <c r="AV277"/>
      <c r="AW277"/>
      <c r="AX277"/>
      <c r="AY277"/>
    </row>
    <row r="278" spans="1:51" thickBot="1">
      <c r="A278" s="2368"/>
      <c r="B278" s="253"/>
      <c r="C278" s="253"/>
      <c r="D278" s="1323"/>
      <c r="E278" s="253"/>
      <c r="F278" s="253"/>
      <c r="G278" s="253"/>
      <c r="H278" s="253"/>
      <c r="I278" s="253"/>
      <c r="J278" s="253"/>
      <c r="K278" s="253"/>
      <c r="L278" s="253"/>
      <c r="M278" s="253"/>
      <c r="N278" s="253"/>
      <c r="O278" s="253"/>
      <c r="P278" s="253"/>
      <c r="Q278" s="253"/>
      <c r="R278" s="253"/>
      <c r="S278" s="253"/>
      <c r="T278" s="253"/>
      <c r="U278" s="253"/>
      <c r="V278" s="253"/>
      <c r="W278" s="253"/>
      <c r="X278" s="253"/>
      <c r="Y278" s="253"/>
      <c r="Z278" s="253"/>
      <c r="AA278" s="253"/>
      <c r="AB278" s="253"/>
      <c r="AC278" s="253"/>
      <c r="AD278" s="253"/>
      <c r="AE278" s="2373"/>
      <c r="AF278" s="2373"/>
      <c r="AG278" s="2373"/>
      <c r="AH278" s="2373"/>
      <c r="AI278" s="2373"/>
      <c r="AJ278" s="253"/>
      <c r="AK278" s="2368"/>
      <c r="AL278" s="253"/>
      <c r="AM278" s="253"/>
      <c r="AN278"/>
      <c r="AO278"/>
      <c r="AP278"/>
      <c r="AQ278"/>
      <c r="AR278"/>
      <c r="AS278"/>
      <c r="AT278"/>
      <c r="AU278"/>
      <c r="AV278"/>
      <c r="AW278"/>
      <c r="AX278"/>
      <c r="AY278"/>
    </row>
    <row r="279" spans="1:51" ht="18.75" thickBot="1">
      <c r="A279" s="2368"/>
      <c r="B279" s="253"/>
      <c r="C279" s="2371" t="s">
        <v>4060</v>
      </c>
      <c r="D279" s="1323" t="s">
        <v>5364</v>
      </c>
      <c r="E279" s="253"/>
      <c r="F279" s="253"/>
      <c r="G279" s="253"/>
      <c r="H279" s="253"/>
      <c r="I279" s="253"/>
      <c r="J279" s="253"/>
      <c r="K279" s="253"/>
      <c r="L279" s="253"/>
      <c r="M279" s="253"/>
      <c r="N279" s="253"/>
      <c r="O279" s="253"/>
      <c r="P279" s="253"/>
      <c r="Q279" s="253"/>
      <c r="R279" s="253"/>
      <c r="S279" s="253"/>
      <c r="T279" s="253"/>
      <c r="U279" s="253"/>
      <c r="V279" s="253"/>
      <c r="W279" s="253"/>
      <c r="X279" s="253"/>
      <c r="Y279" s="253"/>
      <c r="Z279" s="253"/>
      <c r="AA279" s="253"/>
      <c r="AB279" s="253"/>
      <c r="AC279" s="253"/>
      <c r="AD279" s="253"/>
      <c r="AE279" s="10239" t="str">
        <f>IF(AM279&lt;&gt;"",ROUND(AM279,0),IF(OR(Sch3_Line6h="",Sch3_Line6h=0),"",Sch3_Line6h))</f>
        <v/>
      </c>
      <c r="AF279" s="10239"/>
      <c r="AG279" s="10239"/>
      <c r="AH279" s="10239"/>
      <c r="AI279" s="10239"/>
      <c r="AJ279" s="253"/>
      <c r="AK279" s="2368"/>
      <c r="AL279" s="253"/>
      <c r="AM279" s="2361"/>
      <c r="AN279"/>
      <c r="AO279"/>
      <c r="AP279"/>
      <c r="AQ279"/>
      <c r="AR279"/>
      <c r="AS279"/>
      <c r="AT279"/>
      <c r="AU279"/>
      <c r="AV279"/>
      <c r="AW279"/>
      <c r="AX279"/>
      <c r="AY279"/>
    </row>
    <row r="280" spans="1:51" ht="12.75">
      <c r="A280" s="2368"/>
      <c r="B280" s="253"/>
      <c r="C280" s="253"/>
      <c r="D280" s="253"/>
      <c r="E280" s="253"/>
      <c r="F280" s="253"/>
      <c r="G280" s="253"/>
      <c r="H280" s="253"/>
      <c r="I280" s="253"/>
      <c r="J280" s="253"/>
      <c r="K280" s="253"/>
      <c r="L280" s="253"/>
      <c r="M280" s="253"/>
      <c r="N280" s="253"/>
      <c r="O280" s="253"/>
      <c r="P280" s="253"/>
      <c r="Q280" s="253"/>
      <c r="R280" s="253"/>
      <c r="S280" s="253"/>
      <c r="T280" s="253"/>
      <c r="U280" s="253"/>
      <c r="V280" s="253"/>
      <c r="W280" s="253"/>
      <c r="X280" s="253"/>
      <c r="Y280" s="253"/>
      <c r="Z280" s="253"/>
      <c r="AA280" s="253"/>
      <c r="AB280" s="253"/>
      <c r="AC280" s="253"/>
      <c r="AD280" s="253"/>
      <c r="AE280" s="253"/>
      <c r="AF280" s="253"/>
      <c r="AG280" s="253"/>
      <c r="AH280" s="253"/>
      <c r="AI280" s="253"/>
      <c r="AJ280" s="253"/>
      <c r="AK280" s="2368"/>
      <c r="AL280" s="253"/>
      <c r="AM280" s="253"/>
      <c r="AN280"/>
      <c r="AO280"/>
      <c r="AP280"/>
      <c r="AQ280"/>
      <c r="AR280"/>
      <c r="AS280"/>
      <c r="AT280"/>
      <c r="AU280"/>
      <c r="AV280"/>
      <c r="AW280"/>
      <c r="AX280"/>
      <c r="AY280"/>
    </row>
    <row r="281" spans="1:51" ht="15">
      <c r="A281" s="2368"/>
      <c r="B281" s="253"/>
      <c r="C281" s="2372" t="s">
        <v>947</v>
      </c>
      <c r="D281" s="253"/>
      <c r="E281" s="2320" t="s">
        <v>5345</v>
      </c>
      <c r="F281" s="253"/>
      <c r="G281" s="253"/>
      <c r="H281" s="253"/>
      <c r="I281" s="253"/>
      <c r="J281" s="253"/>
      <c r="K281" s="253"/>
      <c r="L281" s="253"/>
      <c r="M281" s="253"/>
      <c r="N281" s="253"/>
      <c r="O281" s="253"/>
      <c r="P281" s="253"/>
      <c r="Q281" s="253"/>
      <c r="R281" s="253"/>
      <c r="S281" s="253"/>
      <c r="T281" s="253"/>
      <c r="U281" s="253"/>
      <c r="V281" s="253"/>
      <c r="W281" s="253"/>
      <c r="X281" s="253"/>
      <c r="Y281" s="253"/>
      <c r="Z281" s="253"/>
      <c r="AA281" s="253"/>
      <c r="AB281" s="253"/>
      <c r="AC281" s="253"/>
      <c r="AD281" s="253"/>
      <c r="AE281" s="253"/>
      <c r="AF281" s="253"/>
      <c r="AG281" s="253"/>
      <c r="AH281" s="253"/>
      <c r="AI281" s="253"/>
      <c r="AJ281" s="253"/>
      <c r="AK281" s="2368"/>
      <c r="AL281" s="253"/>
      <c r="AM281" s="253"/>
      <c r="AN281"/>
      <c r="AO281"/>
      <c r="AP281"/>
      <c r="AQ281"/>
      <c r="AR281"/>
      <c r="AS281"/>
      <c r="AT281"/>
      <c r="AU281"/>
      <c r="AV281"/>
      <c r="AW281"/>
      <c r="AX281"/>
      <c r="AY281"/>
    </row>
    <row r="282" spans="1:51" ht="15">
      <c r="A282" s="2368"/>
      <c r="B282" s="253"/>
      <c r="C282" s="344"/>
      <c r="D282" s="253"/>
      <c r="E282" s="2320" t="str">
        <f>"your "&amp;TaxYear&amp;" income tax return."</f>
        <v>your 2025 income tax return.</v>
      </c>
      <c r="F282" s="253"/>
      <c r="G282" s="253"/>
      <c r="H282" s="253"/>
      <c r="I282" s="253"/>
      <c r="J282" s="253"/>
      <c r="K282" s="253"/>
      <c r="L282" s="253"/>
      <c r="M282" s="253"/>
      <c r="N282" s="253"/>
      <c r="O282" s="253"/>
      <c r="P282" s="253"/>
      <c r="Q282" s="253"/>
      <c r="R282" s="253"/>
      <c r="S282" s="253"/>
      <c r="T282" s="253"/>
      <c r="U282" s="253"/>
      <c r="V282" s="253"/>
      <c r="W282" s="253"/>
      <c r="X282" s="253"/>
      <c r="Y282" s="253"/>
      <c r="Z282" s="253"/>
      <c r="AA282" s="253"/>
      <c r="AB282" s="253"/>
      <c r="AC282" s="253"/>
      <c r="AD282" s="253"/>
      <c r="AE282" s="253"/>
      <c r="AF282" s="253"/>
      <c r="AG282" s="253"/>
      <c r="AH282" s="253"/>
      <c r="AI282" s="253"/>
      <c r="AJ282" s="253"/>
      <c r="AK282" s="2368"/>
      <c r="AL282" s="253"/>
      <c r="AM282" s="253"/>
      <c r="AN282"/>
      <c r="AO282"/>
      <c r="AP282"/>
      <c r="AQ282"/>
      <c r="AR282"/>
      <c r="AS282"/>
      <c r="AT282"/>
      <c r="AU282"/>
      <c r="AV282"/>
      <c r="AW282"/>
      <c r="AX282"/>
      <c r="AY282"/>
    </row>
    <row r="283" spans="1:51" ht="12.75">
      <c r="A283" s="2368"/>
      <c r="B283" s="253"/>
      <c r="C283" s="253"/>
      <c r="D283" s="253"/>
      <c r="E283" s="253"/>
      <c r="F283" s="253"/>
      <c r="G283" s="253"/>
      <c r="H283" s="253"/>
      <c r="I283" s="253"/>
      <c r="J283" s="253"/>
      <c r="K283" s="253"/>
      <c r="L283" s="253"/>
      <c r="M283" s="253"/>
      <c r="N283" s="253"/>
      <c r="O283" s="253"/>
      <c r="P283" s="253"/>
      <c r="Q283" s="253"/>
      <c r="R283" s="253"/>
      <c r="S283" s="253"/>
      <c r="T283" s="253"/>
      <c r="U283" s="253"/>
      <c r="V283" s="253"/>
      <c r="W283" s="253"/>
      <c r="X283" s="253"/>
      <c r="Y283" s="253"/>
      <c r="Z283" s="253"/>
      <c r="AA283" s="253"/>
      <c r="AB283" s="253"/>
      <c r="AC283" s="253"/>
      <c r="AD283" s="253"/>
      <c r="AE283" s="253"/>
      <c r="AF283" s="253"/>
      <c r="AG283" s="253"/>
      <c r="AH283" s="253"/>
      <c r="AI283" s="253"/>
      <c r="AJ283" s="253"/>
      <c r="AK283" s="2368"/>
      <c r="AL283" s="253"/>
      <c r="AM283" s="226" t="s">
        <v>979</v>
      </c>
      <c r="AN283"/>
      <c r="AO283"/>
      <c r="AP283"/>
      <c r="AQ283"/>
      <c r="AR283"/>
      <c r="AS283"/>
      <c r="AT283"/>
      <c r="AU283"/>
      <c r="AV283"/>
      <c r="AW283"/>
      <c r="AX283"/>
      <c r="AY283"/>
    </row>
    <row r="284" spans="1:51" thickBot="1">
      <c r="A284" s="2368"/>
      <c r="B284" s="253"/>
      <c r="C284" s="253"/>
      <c r="D284" s="253"/>
      <c r="E284" s="2320" t="s">
        <v>5346</v>
      </c>
      <c r="F284" s="253"/>
      <c r="G284" s="253"/>
      <c r="H284" s="253"/>
      <c r="I284" s="253"/>
      <c r="J284" s="253"/>
      <c r="K284" s="253"/>
      <c r="L284" s="253"/>
      <c r="M284" s="253"/>
      <c r="N284" s="253"/>
      <c r="O284" s="253"/>
      <c r="P284" s="253"/>
      <c r="Q284" s="253"/>
      <c r="R284" s="253"/>
      <c r="S284" s="253"/>
      <c r="T284" s="253"/>
      <c r="U284" s="253"/>
      <c r="V284" s="253"/>
      <c r="W284" s="253"/>
      <c r="X284" s="253"/>
      <c r="Y284" s="253"/>
      <c r="Z284" s="253"/>
      <c r="AA284" s="253"/>
      <c r="AB284" s="253"/>
      <c r="AC284" s="253"/>
      <c r="AD284" s="253"/>
      <c r="AE284" s="253"/>
      <c r="AF284" s="253"/>
      <c r="AG284" s="253"/>
      <c r="AH284" s="253"/>
      <c r="AI284" s="253"/>
      <c r="AJ284" s="253"/>
      <c r="AK284" s="2368"/>
      <c r="AL284" s="253"/>
      <c r="AM284" s="226" t="s">
        <v>931</v>
      </c>
      <c r="AN284"/>
      <c r="AO284"/>
      <c r="AP284"/>
      <c r="AQ284"/>
      <c r="AR284"/>
      <c r="AS284"/>
      <c r="AT284"/>
      <c r="AU284"/>
      <c r="AV284"/>
      <c r="AW284"/>
      <c r="AX284"/>
      <c r="AY284"/>
    </row>
    <row r="285" spans="1:51" ht="18.75" thickBot="1">
      <c r="A285" s="2368"/>
      <c r="B285" s="253"/>
      <c r="C285" s="253"/>
      <c r="D285" s="253"/>
      <c r="E285" s="2320" t="str">
        <f>"See the instructions for your "&amp;TaxYear&amp;" income tax return."</f>
        <v>See the instructions for your 2025 income tax return.</v>
      </c>
      <c r="F285" s="253"/>
      <c r="G285" s="253"/>
      <c r="H285" s="253"/>
      <c r="I285" s="253"/>
      <c r="J285" s="253"/>
      <c r="K285" s="253"/>
      <c r="L285" s="253"/>
      <c r="M285" s="253"/>
      <c r="N285" s="253"/>
      <c r="O285" s="253"/>
      <c r="P285" s="253"/>
      <c r="Q285" s="253"/>
      <c r="R285" s="253"/>
      <c r="S285" s="253"/>
      <c r="T285" s="253"/>
      <c r="U285" s="253"/>
      <c r="V285" s="253"/>
      <c r="W285" s="253"/>
      <c r="X285" s="253"/>
      <c r="Y285" s="253"/>
      <c r="Z285" s="253"/>
      <c r="AA285" s="253"/>
      <c r="AB285" s="10238">
        <v>2</v>
      </c>
      <c r="AC285" s="10238"/>
      <c r="AD285" s="253"/>
      <c r="AE285" s="10239" t="str">
        <f>IF(AM285&lt;&gt;"",ROUND(AM285,0),IF(AND(AO36,NOT(AO249)),"",SUM(AE255,AE257,AE259,AE261,AE263,AE265,AE267,AE269,AE271,AE273,AE275,AE277,AE279)))</f>
        <v/>
      </c>
      <c r="AF285" s="10239"/>
      <c r="AG285" s="10239"/>
      <c r="AH285" s="10239"/>
      <c r="AI285" s="10239"/>
      <c r="AJ285" s="253"/>
      <c r="AK285" s="2368"/>
      <c r="AL285" s="253"/>
      <c r="AM285" s="2361"/>
      <c r="AN285"/>
      <c r="AO285"/>
      <c r="AP285"/>
      <c r="AQ285"/>
      <c r="AR285"/>
      <c r="AS285"/>
      <c r="AT285"/>
      <c r="AU285"/>
      <c r="AV285"/>
      <c r="AW285"/>
      <c r="AX285"/>
      <c r="AY285"/>
    </row>
    <row r="286" spans="1:51" ht="12.75">
      <c r="A286" s="2368"/>
      <c r="B286" s="253"/>
      <c r="C286" s="253"/>
      <c r="D286" s="253"/>
      <c r="E286" s="253"/>
      <c r="F286" s="253"/>
      <c r="G286" s="253"/>
      <c r="H286" s="253"/>
      <c r="I286" s="253"/>
      <c r="J286" s="253"/>
      <c r="K286" s="253"/>
      <c r="L286" s="253"/>
      <c r="M286" s="253"/>
      <c r="N286" s="253"/>
      <c r="O286" s="253"/>
      <c r="P286" s="253"/>
      <c r="Q286" s="253"/>
      <c r="R286" s="253"/>
      <c r="S286" s="253"/>
      <c r="T286" s="253"/>
      <c r="U286" s="253"/>
      <c r="V286" s="253"/>
      <c r="W286" s="253"/>
      <c r="X286" s="253"/>
      <c r="Y286" s="253"/>
      <c r="Z286" s="253"/>
      <c r="AA286" s="253"/>
      <c r="AB286" s="253"/>
      <c r="AC286" s="253"/>
      <c r="AD286" s="253"/>
      <c r="AE286" s="253"/>
      <c r="AF286" s="253"/>
      <c r="AG286" s="253"/>
      <c r="AH286" s="253"/>
      <c r="AI286" s="253"/>
      <c r="AJ286" s="253"/>
      <c r="AK286" s="2368"/>
      <c r="AL286" s="253"/>
      <c r="AM286" s="253"/>
      <c r="AN286"/>
      <c r="AO286"/>
      <c r="AP286"/>
      <c r="AQ286"/>
      <c r="AR286"/>
      <c r="AS286"/>
      <c r="AT286"/>
      <c r="AU286"/>
      <c r="AV286"/>
      <c r="AW286"/>
      <c r="AX286"/>
      <c r="AY286"/>
    </row>
    <row r="287" spans="1:51" ht="16.5" thickBot="1">
      <c r="A287" s="2368"/>
      <c r="B287" s="253"/>
      <c r="C287" s="2369">
        <v>3</v>
      </c>
      <c r="D287" s="1323" t="s">
        <v>5347</v>
      </c>
      <c r="E287" s="253"/>
      <c r="F287" s="253"/>
      <c r="G287" s="253"/>
      <c r="H287" s="253"/>
      <c r="I287" s="253"/>
      <c r="J287" s="253"/>
      <c r="K287" s="253"/>
      <c r="L287" s="253"/>
      <c r="M287" s="253"/>
      <c r="N287" s="253"/>
      <c r="O287" s="253"/>
      <c r="P287" s="253"/>
      <c r="Q287" s="253"/>
      <c r="R287" s="253"/>
      <c r="S287" s="253"/>
      <c r="T287" s="253"/>
      <c r="U287" s="253"/>
      <c r="V287" s="253"/>
      <c r="W287" s="253"/>
      <c r="X287" s="253"/>
      <c r="Y287" s="253"/>
      <c r="Z287" s="253"/>
      <c r="AA287" s="253"/>
      <c r="AB287" s="253"/>
      <c r="AC287" s="253"/>
      <c r="AD287" s="253"/>
      <c r="AE287" s="253"/>
      <c r="AF287" s="253"/>
      <c r="AG287" s="253"/>
      <c r="AH287" s="253"/>
      <c r="AI287" s="253"/>
      <c r="AJ287" s="253"/>
      <c r="AK287" s="2368"/>
      <c r="AL287" s="253"/>
      <c r="AM287" s="253"/>
      <c r="AN287"/>
      <c r="AO287"/>
      <c r="AP287"/>
      <c r="AQ287"/>
      <c r="AR287"/>
      <c r="AS287"/>
      <c r="AT287"/>
      <c r="AU287"/>
      <c r="AV287"/>
      <c r="AW287"/>
      <c r="AX287"/>
      <c r="AY287"/>
    </row>
    <row r="288" spans="1:51" ht="18.75" thickBot="1">
      <c r="A288" s="2368"/>
      <c r="B288" s="253"/>
      <c r="C288" s="253"/>
      <c r="D288" s="1323" t="s">
        <v>5348</v>
      </c>
      <c r="E288" s="253"/>
      <c r="F288" s="253"/>
      <c r="G288" s="253"/>
      <c r="H288" s="253"/>
      <c r="I288" s="253"/>
      <c r="J288" s="253"/>
      <c r="K288" s="253"/>
      <c r="L288" s="253"/>
      <c r="M288" s="253"/>
      <c r="N288" s="253"/>
      <c r="O288" s="253"/>
      <c r="P288" s="253"/>
      <c r="Q288" s="253"/>
      <c r="R288" s="253"/>
      <c r="S288" s="253"/>
      <c r="T288" s="253"/>
      <c r="U288" s="253"/>
      <c r="V288" s="253"/>
      <c r="W288" s="6992"/>
      <c r="X288" s="6992"/>
      <c r="Y288" s="6992"/>
      <c r="Z288" s="253"/>
      <c r="AA288" s="253"/>
      <c r="AB288" s="10238">
        <v>3</v>
      </c>
      <c r="AC288" s="10238"/>
      <c r="AD288" s="253"/>
      <c r="AE288" s="10239" t="str">
        <f>IF(AM288&lt;&gt;"",ROUND(AM288,0),IF(AND(AO36,NOT(AO249)),"",SUM(AE249,-AE285)))</f>
        <v/>
      </c>
      <c r="AF288" s="10239"/>
      <c r="AG288" s="10239"/>
      <c r="AH288" s="10239"/>
      <c r="AI288" s="10239"/>
      <c r="AJ288" s="253"/>
      <c r="AK288" s="2368"/>
      <c r="AL288" s="253"/>
      <c r="AM288" s="2361"/>
      <c r="AN288"/>
      <c r="AO288"/>
      <c r="AP288"/>
      <c r="AQ288"/>
      <c r="AR288"/>
      <c r="AS288"/>
      <c r="AT288"/>
      <c r="AU288"/>
      <c r="AV288"/>
      <c r="AW288"/>
      <c r="AX288"/>
      <c r="AY288"/>
    </row>
    <row r="289" spans="1:51" ht="12.75">
      <c r="A289" s="2368"/>
      <c r="B289" s="253"/>
      <c r="C289" s="253"/>
      <c r="D289" s="253"/>
      <c r="E289" s="253"/>
      <c r="F289" s="253"/>
      <c r="G289" s="253"/>
      <c r="H289" s="253"/>
      <c r="I289" s="253"/>
      <c r="J289" s="253"/>
      <c r="K289" s="253"/>
      <c r="L289" s="253"/>
      <c r="M289" s="253"/>
      <c r="N289" s="253"/>
      <c r="O289" s="253"/>
      <c r="P289" s="253"/>
      <c r="Q289" s="253"/>
      <c r="R289" s="253"/>
      <c r="S289" s="253"/>
      <c r="T289" s="253"/>
      <c r="U289" s="253"/>
      <c r="V289" s="253"/>
      <c r="W289" s="253"/>
      <c r="X289" s="253"/>
      <c r="Y289" s="253"/>
      <c r="Z289" s="253"/>
      <c r="AA289" s="253"/>
      <c r="AB289" s="253"/>
      <c r="AC289" s="253"/>
      <c r="AD289" s="253"/>
      <c r="AE289" s="253"/>
      <c r="AF289" s="253"/>
      <c r="AG289" s="253"/>
      <c r="AH289" s="253"/>
      <c r="AI289" s="253"/>
      <c r="AJ289" s="253"/>
      <c r="AK289" s="2368"/>
      <c r="AL289" s="253"/>
      <c r="AM289" s="253"/>
      <c r="AN289"/>
      <c r="AO289"/>
      <c r="AP289"/>
      <c r="AQ289"/>
      <c r="AR289"/>
      <c r="AS289"/>
      <c r="AT289"/>
      <c r="AU289"/>
      <c r="AV289"/>
      <c r="AW289"/>
      <c r="AX289"/>
      <c r="AY289"/>
    </row>
    <row r="290" spans="1:51" ht="15">
      <c r="A290" s="2368"/>
      <c r="B290" s="253"/>
      <c r="C290" s="253"/>
      <c r="D290" s="2320" t="s">
        <v>5351</v>
      </c>
      <c r="E290" s="253"/>
      <c r="F290" s="253"/>
      <c r="G290" s="253"/>
      <c r="H290" s="253"/>
      <c r="I290" s="253"/>
      <c r="J290" s="253"/>
      <c r="K290" s="253"/>
      <c r="L290" s="253"/>
      <c r="M290" s="253"/>
      <c r="N290" s="253"/>
      <c r="O290" s="253"/>
      <c r="P290" s="253"/>
      <c r="Q290" s="253"/>
      <c r="R290" s="253"/>
      <c r="S290" s="253"/>
      <c r="T290" s="253"/>
      <c r="U290" s="253"/>
      <c r="V290" s="253"/>
      <c r="W290" s="253"/>
      <c r="X290" s="253"/>
      <c r="Y290" s="253"/>
      <c r="Z290" s="253"/>
      <c r="AA290" s="253"/>
      <c r="AB290" s="253"/>
      <c r="AC290" s="253"/>
      <c r="AD290" s="253"/>
      <c r="AE290" s="253"/>
      <c r="AF290" s="253"/>
      <c r="AG290" s="253"/>
      <c r="AH290" s="253"/>
      <c r="AI290" s="253"/>
      <c r="AJ290" s="253"/>
      <c r="AK290" s="2368"/>
      <c r="AL290" s="253"/>
      <c r="AM290" s="253"/>
      <c r="AN290"/>
      <c r="AO290"/>
      <c r="AP290"/>
      <c r="AQ290"/>
      <c r="AR290"/>
      <c r="AS290"/>
      <c r="AT290"/>
      <c r="AU290"/>
      <c r="AV290"/>
      <c r="AW290"/>
      <c r="AX290"/>
      <c r="AY290"/>
    </row>
    <row r="291" spans="1:51" ht="15">
      <c r="A291" s="2368"/>
      <c r="B291" s="253"/>
      <c r="C291" s="253"/>
      <c r="D291" s="2320" t="s">
        <v>5350</v>
      </c>
      <c r="E291" s="253"/>
      <c r="F291" s="253"/>
      <c r="G291" s="253"/>
      <c r="H291" s="253"/>
      <c r="I291" s="253"/>
      <c r="J291" s="253"/>
      <c r="K291" s="253"/>
      <c r="L291" s="253"/>
      <c r="M291" s="253"/>
      <c r="N291" s="253"/>
      <c r="O291" s="253"/>
      <c r="P291" s="253"/>
      <c r="Q291" s="253"/>
      <c r="R291" s="253"/>
      <c r="S291" s="253"/>
      <c r="T291" s="253"/>
      <c r="U291" s="253"/>
      <c r="V291" s="253"/>
      <c r="W291" s="253"/>
      <c r="X291" s="253"/>
      <c r="Y291" s="253"/>
      <c r="Z291" s="253"/>
      <c r="AA291" s="253"/>
      <c r="AB291" s="253"/>
      <c r="AC291" s="253"/>
      <c r="AD291" s="253"/>
      <c r="AE291" s="253"/>
      <c r="AF291" s="253"/>
      <c r="AG291" s="253"/>
      <c r="AH291" s="253"/>
      <c r="AI291" s="253"/>
      <c r="AJ291" s="253"/>
      <c r="AK291" s="2368"/>
      <c r="AL291" s="253"/>
      <c r="AM291" s="253"/>
      <c r="AN291"/>
      <c r="AO291"/>
      <c r="AP291"/>
      <c r="AQ291"/>
      <c r="AR291"/>
      <c r="AS291"/>
      <c r="AT291"/>
      <c r="AU291"/>
      <c r="AV291"/>
      <c r="AW291"/>
      <c r="AX291"/>
      <c r="AY291"/>
    </row>
    <row r="292" spans="1:51" ht="15">
      <c r="A292" s="2368"/>
      <c r="B292" s="253"/>
      <c r="C292" s="253"/>
      <c r="D292" s="2320" t="s">
        <v>5349</v>
      </c>
      <c r="E292" s="253"/>
      <c r="F292" s="253"/>
      <c r="G292" s="253"/>
      <c r="H292" s="253"/>
      <c r="I292" s="253"/>
      <c r="J292" s="253"/>
      <c r="K292" s="253"/>
      <c r="L292" s="253"/>
      <c r="M292" s="253"/>
      <c r="N292" s="253"/>
      <c r="O292" s="253"/>
      <c r="P292" s="253"/>
      <c r="Q292" s="253"/>
      <c r="R292" s="253"/>
      <c r="S292" s="253"/>
      <c r="T292" s="253"/>
      <c r="U292" s="253"/>
      <c r="V292" s="253"/>
      <c r="W292" s="253"/>
      <c r="X292" s="253"/>
      <c r="Y292" s="253"/>
      <c r="Z292" s="253"/>
      <c r="AA292" s="253"/>
      <c r="AB292" s="253"/>
      <c r="AC292" s="253"/>
      <c r="AD292" s="253"/>
      <c r="AE292" s="253"/>
      <c r="AF292" s="253"/>
      <c r="AG292" s="253"/>
      <c r="AH292" s="253"/>
      <c r="AI292" s="253"/>
      <c r="AJ292" s="253"/>
      <c r="AK292" s="2368"/>
      <c r="AL292" s="253"/>
      <c r="AM292" s="253"/>
      <c r="AN292"/>
      <c r="AO292"/>
      <c r="AP292"/>
      <c r="AQ292"/>
      <c r="AR292"/>
      <c r="AS292"/>
      <c r="AT292"/>
      <c r="AU292"/>
      <c r="AV292"/>
      <c r="AW292"/>
      <c r="AX292"/>
      <c r="AY292"/>
    </row>
    <row r="293" spans="1:51" ht="12.75">
      <c r="A293" s="2368"/>
      <c r="B293" s="253"/>
      <c r="C293" s="253"/>
      <c r="D293" s="253"/>
      <c r="E293" s="253"/>
      <c r="F293" s="253"/>
      <c r="G293" s="253"/>
      <c r="H293" s="253"/>
      <c r="I293" s="253"/>
      <c r="J293" s="253"/>
      <c r="K293" s="253"/>
      <c r="L293" s="253"/>
      <c r="M293" s="253"/>
      <c r="N293" s="253"/>
      <c r="O293" s="253"/>
      <c r="P293" s="253"/>
      <c r="Q293" s="253"/>
      <c r="R293" s="253"/>
      <c r="S293" s="253"/>
      <c r="T293" s="253"/>
      <c r="U293" s="253"/>
      <c r="V293" s="253"/>
      <c r="W293" s="253"/>
      <c r="X293" s="253"/>
      <c r="Y293" s="253"/>
      <c r="Z293" s="253"/>
      <c r="AA293" s="253"/>
      <c r="AB293" s="253"/>
      <c r="AC293" s="253"/>
      <c r="AD293" s="253"/>
      <c r="AE293" s="253"/>
      <c r="AF293" s="253"/>
      <c r="AG293" s="253"/>
      <c r="AH293" s="253"/>
      <c r="AI293" s="253"/>
      <c r="AJ293" s="253"/>
      <c r="AK293" s="2368"/>
      <c r="AL293" s="253"/>
      <c r="AM293" s="253"/>
      <c r="AN293"/>
      <c r="AO293"/>
      <c r="AP293"/>
      <c r="AQ293"/>
      <c r="AR293"/>
      <c r="AS293"/>
      <c r="AT293"/>
      <c r="AU293"/>
      <c r="AV293"/>
      <c r="AW293"/>
      <c r="AX293"/>
      <c r="AY293"/>
    </row>
    <row r="294" spans="1:51" ht="39" customHeight="1">
      <c r="A294" s="2368"/>
      <c r="B294" s="2375"/>
      <c r="C294" s="2376" t="s">
        <v>5371</v>
      </c>
      <c r="D294" s="2375"/>
      <c r="E294" s="2375"/>
      <c r="F294" s="2375"/>
      <c r="G294" s="2375"/>
      <c r="H294" s="2375"/>
      <c r="I294" s="2375"/>
      <c r="J294" s="2375"/>
      <c r="K294" s="2375"/>
      <c r="L294" s="2375"/>
      <c r="M294" s="2375"/>
      <c r="N294" s="2375"/>
      <c r="O294" s="2375"/>
      <c r="P294" s="2375"/>
      <c r="Q294" s="2375"/>
      <c r="R294" s="2375"/>
      <c r="S294" s="2375"/>
      <c r="T294" s="2375"/>
      <c r="U294" s="2375"/>
      <c r="V294" s="2375"/>
      <c r="W294" s="2375"/>
      <c r="X294" s="2375"/>
      <c r="Y294" s="2375"/>
      <c r="Z294" s="2375"/>
      <c r="AA294" s="2375"/>
      <c r="AB294" s="2375"/>
      <c r="AC294" s="2375"/>
      <c r="AD294" s="2375"/>
      <c r="AE294" s="2375"/>
      <c r="AF294" s="2375"/>
      <c r="AG294" s="2375"/>
      <c r="AH294" s="2375"/>
      <c r="AI294" s="2375"/>
      <c r="AJ294" s="2375"/>
      <c r="AK294" s="2368"/>
      <c r="AL294" s="253"/>
      <c r="AM294" s="226" t="s">
        <v>979</v>
      </c>
      <c r="AN294"/>
      <c r="AO294"/>
      <c r="AP294"/>
      <c r="AQ294"/>
      <c r="AR294"/>
      <c r="AS294"/>
      <c r="AT294"/>
      <c r="AU294"/>
      <c r="AV294"/>
      <c r="AW294"/>
      <c r="AX294"/>
      <c r="AY294"/>
    </row>
    <row r="295" spans="1:51" ht="13.5" thickBot="1">
      <c r="A295" s="2368"/>
      <c r="B295" s="253"/>
      <c r="C295" s="253"/>
      <c r="D295" s="253"/>
      <c r="E295" s="253"/>
      <c r="F295" s="253"/>
      <c r="G295" s="253"/>
      <c r="H295" s="253"/>
      <c r="I295" s="253"/>
      <c r="J295" s="253"/>
      <c r="K295" s="253"/>
      <c r="L295" s="253"/>
      <c r="M295" s="253"/>
      <c r="N295" s="253"/>
      <c r="O295" s="253"/>
      <c r="P295" s="253"/>
      <c r="Q295" s="253"/>
      <c r="R295" s="253"/>
      <c r="S295" s="253"/>
      <c r="T295" s="253"/>
      <c r="U295" s="253"/>
      <c r="V295" s="253"/>
      <c r="W295" s="253"/>
      <c r="X295" s="253"/>
      <c r="Y295" s="253"/>
      <c r="Z295" s="253"/>
      <c r="AA295" s="253"/>
      <c r="AB295" s="253"/>
      <c r="AC295" s="253"/>
      <c r="AD295" s="253"/>
      <c r="AE295" s="253"/>
      <c r="AF295" s="253"/>
      <c r="AG295" s="253"/>
      <c r="AH295" s="253"/>
      <c r="AI295" s="253"/>
      <c r="AJ295" s="253"/>
      <c r="AK295" s="2368"/>
      <c r="AL295" s="253"/>
      <c r="AM295" s="226" t="s">
        <v>931</v>
      </c>
      <c r="AN295"/>
      <c r="AO295"/>
      <c r="AP295"/>
      <c r="AQ295"/>
      <c r="AR295"/>
      <c r="AS295"/>
      <c r="AT295"/>
      <c r="AU295"/>
      <c r="AV295"/>
      <c r="AW295"/>
      <c r="AX295"/>
      <c r="AY295"/>
    </row>
    <row r="296" spans="1:51" ht="18.75" thickBot="1">
      <c r="A296" s="2368"/>
      <c r="B296" s="253"/>
      <c r="C296" s="2369">
        <v>1</v>
      </c>
      <c r="D296" s="1323" t="s">
        <v>5365</v>
      </c>
      <c r="E296" s="253"/>
      <c r="F296" s="253"/>
      <c r="G296" s="253"/>
      <c r="H296" s="253"/>
      <c r="I296" s="253"/>
      <c r="J296" s="253"/>
      <c r="K296" s="253"/>
      <c r="L296" s="253"/>
      <c r="M296" s="253"/>
      <c r="N296" s="253"/>
      <c r="O296" s="253"/>
      <c r="P296" s="253"/>
      <c r="Q296" s="253"/>
      <c r="R296" s="253"/>
      <c r="S296" s="253"/>
      <c r="T296" s="253"/>
      <c r="U296" s="253"/>
      <c r="V296" s="253"/>
      <c r="W296" s="253"/>
      <c r="X296" s="253"/>
      <c r="Y296" s="253"/>
      <c r="Z296" s="253"/>
      <c r="AA296" s="253"/>
      <c r="AB296" s="10238">
        <v>1</v>
      </c>
      <c r="AC296" s="10238"/>
      <c r="AD296" s="253"/>
      <c r="AE296" s="10239" t="str">
        <f>IF(AM296&lt;&gt;"",ROUND(AM296,0),IF(AO236,"",Tax))</f>
        <v/>
      </c>
      <c r="AF296" s="10239"/>
      <c r="AG296" s="10239"/>
      <c r="AH296" s="10239"/>
      <c r="AI296" s="10239"/>
      <c r="AJ296" s="253"/>
      <c r="AK296" s="2368"/>
      <c r="AL296" s="253"/>
      <c r="AM296" s="2361"/>
      <c r="AN296"/>
      <c r="AO296"/>
      <c r="AP296"/>
      <c r="AQ296"/>
      <c r="AR296"/>
      <c r="AS296"/>
      <c r="AT296"/>
      <c r="AU296"/>
      <c r="AV296"/>
      <c r="AW296"/>
      <c r="AX296"/>
      <c r="AY296"/>
    </row>
    <row r="297" spans="1:51" ht="12.75">
      <c r="A297" s="2368"/>
      <c r="B297" s="253"/>
      <c r="C297" s="253"/>
      <c r="D297" s="253"/>
      <c r="E297" s="253"/>
      <c r="F297" s="253"/>
      <c r="G297" s="253"/>
      <c r="H297" s="253"/>
      <c r="I297" s="253"/>
      <c r="J297" s="253"/>
      <c r="K297" s="253"/>
      <c r="L297" s="253"/>
      <c r="M297" s="253"/>
      <c r="N297" s="253"/>
      <c r="O297" s="253"/>
      <c r="P297" s="253"/>
      <c r="Q297" s="253"/>
      <c r="R297" s="253"/>
      <c r="S297" s="253"/>
      <c r="T297" s="253"/>
      <c r="U297" s="253"/>
      <c r="V297" s="253"/>
      <c r="W297" s="253"/>
      <c r="X297" s="253"/>
      <c r="Y297" s="253"/>
      <c r="Z297" s="253"/>
      <c r="AA297" s="253"/>
      <c r="AB297" s="253"/>
      <c r="AC297" s="253"/>
      <c r="AD297" s="253"/>
      <c r="AE297" s="253"/>
      <c r="AF297" s="253"/>
      <c r="AG297" s="253"/>
      <c r="AH297" s="253"/>
      <c r="AI297" s="253"/>
      <c r="AJ297" s="253"/>
      <c r="AK297" s="2368"/>
      <c r="AL297" s="253"/>
      <c r="AM297" s="253"/>
      <c r="AN297"/>
      <c r="AO297"/>
      <c r="AP297"/>
      <c r="AQ297"/>
      <c r="AR297"/>
      <c r="AS297"/>
      <c r="AT297"/>
      <c r="AU297"/>
      <c r="AV297"/>
      <c r="AW297"/>
      <c r="AX297"/>
      <c r="AY297"/>
    </row>
    <row r="298" spans="1:51">
      <c r="A298" s="2368"/>
      <c r="B298" s="253"/>
      <c r="C298" s="2369">
        <v>2</v>
      </c>
      <c r="D298" s="1323" t="str">
        <f>"Enter the total of the following credit(s)/adjustment(s) if you are taking the credit(s)/adjustment(s) on"</f>
        <v>Enter the total of the following credit(s)/adjustment(s) if you are taking the credit(s)/adjustment(s) on</v>
      </c>
      <c r="E298" s="253"/>
      <c r="F298" s="253"/>
      <c r="G298" s="253"/>
      <c r="H298" s="253"/>
      <c r="I298" s="253"/>
      <c r="J298" s="253"/>
      <c r="K298" s="253"/>
      <c r="L298" s="253"/>
      <c r="M298" s="253"/>
      <c r="N298" s="253"/>
      <c r="O298" s="253"/>
      <c r="P298" s="253"/>
      <c r="Q298" s="253"/>
      <c r="R298" s="253"/>
      <c r="S298" s="253"/>
      <c r="T298" s="253"/>
      <c r="U298" s="253"/>
      <c r="V298" s="253"/>
      <c r="W298" s="253"/>
      <c r="X298" s="253"/>
      <c r="Y298" s="253"/>
      <c r="Z298" s="253"/>
      <c r="AA298" s="253"/>
      <c r="AB298" s="2383"/>
      <c r="AC298" s="2383"/>
      <c r="AD298" s="2383"/>
      <c r="AE298" s="2383"/>
      <c r="AF298" s="2383"/>
      <c r="AG298" s="2383"/>
      <c r="AH298" s="2383"/>
      <c r="AI298" s="2383"/>
      <c r="AJ298" s="253"/>
      <c r="AK298" s="2368"/>
      <c r="AL298" s="253"/>
      <c r="AM298" s="253"/>
      <c r="AN298"/>
      <c r="AO298"/>
      <c r="AP298"/>
      <c r="AQ298"/>
      <c r="AR298"/>
      <c r="AS298"/>
      <c r="AT298"/>
      <c r="AU298"/>
      <c r="AV298"/>
      <c r="AW298"/>
      <c r="AX298"/>
      <c r="AY298"/>
    </row>
    <row r="299" spans="1:51" ht="12.75" customHeight="1">
      <c r="A299" s="2368"/>
      <c r="B299" s="253"/>
      <c r="C299" s="253"/>
      <c r="D299" s="1323" t="str">
        <f>"your "&amp;TaxYear&amp;" income tax return:"</f>
        <v>your 2025 income tax return:</v>
      </c>
      <c r="E299" s="253"/>
      <c r="F299" s="253"/>
      <c r="G299" s="253"/>
      <c r="H299" s="253"/>
      <c r="I299" s="253"/>
      <c r="J299" s="253"/>
      <c r="K299" s="253"/>
      <c r="L299" s="253"/>
      <c r="M299" s="253"/>
      <c r="N299" s="253"/>
      <c r="O299" s="253"/>
      <c r="P299" s="253"/>
      <c r="Q299" s="253"/>
      <c r="R299" s="253"/>
      <c r="S299" s="253"/>
      <c r="T299" s="253"/>
      <c r="U299" s="253"/>
      <c r="V299" s="253"/>
      <c r="W299" s="253"/>
      <c r="X299" s="253"/>
      <c r="Y299" s="253"/>
      <c r="Z299" s="253"/>
      <c r="AA299" s="253"/>
      <c r="AB299" s="253"/>
      <c r="AC299" s="253"/>
      <c r="AD299" s="253"/>
      <c r="AE299" s="253"/>
      <c r="AF299" s="253"/>
      <c r="AG299" s="253"/>
      <c r="AH299" s="253"/>
      <c r="AI299" s="253"/>
      <c r="AJ299" s="253"/>
      <c r="AK299" s="2368"/>
      <c r="AL299" s="253"/>
      <c r="AM299" s="226"/>
      <c r="AN299"/>
      <c r="AO299"/>
      <c r="AP299"/>
      <c r="AQ299"/>
      <c r="AR299"/>
      <c r="AS299"/>
      <c r="AT299"/>
      <c r="AU299"/>
      <c r="AV299"/>
      <c r="AW299"/>
      <c r="AX299"/>
      <c r="AY299"/>
    </row>
    <row r="300" spans="1:51" ht="12.75">
      <c r="A300" s="2368"/>
      <c r="B300" s="253"/>
      <c r="C300" s="253"/>
      <c r="D300" s="253"/>
      <c r="E300" s="253"/>
      <c r="F300" s="253"/>
      <c r="G300" s="253"/>
      <c r="H300" s="253"/>
      <c r="I300" s="253"/>
      <c r="J300" s="253"/>
      <c r="K300" s="253"/>
      <c r="L300" s="253"/>
      <c r="M300" s="253"/>
      <c r="N300" s="253"/>
      <c r="O300" s="253"/>
      <c r="P300" s="253"/>
      <c r="Q300" s="253"/>
      <c r="R300" s="253"/>
      <c r="S300" s="253"/>
      <c r="T300" s="253"/>
      <c r="U300" s="253"/>
      <c r="V300" s="253"/>
      <c r="W300" s="253"/>
      <c r="X300" s="253"/>
      <c r="Y300" s="253"/>
      <c r="Z300" s="253"/>
      <c r="AA300" s="253"/>
      <c r="AB300" s="253"/>
      <c r="AC300" s="253"/>
      <c r="AD300" s="253"/>
      <c r="AE300" s="253"/>
      <c r="AF300" s="253"/>
      <c r="AG300" s="253"/>
      <c r="AH300" s="253"/>
      <c r="AI300" s="253"/>
      <c r="AJ300" s="253"/>
      <c r="AK300" s="2368"/>
      <c r="AL300" s="253"/>
      <c r="AM300" s="226"/>
      <c r="AN300"/>
      <c r="AO300"/>
      <c r="AP300"/>
      <c r="AQ300"/>
      <c r="AR300"/>
      <c r="AS300"/>
      <c r="AT300"/>
      <c r="AU300"/>
      <c r="AV300"/>
      <c r="AW300"/>
      <c r="AX300"/>
      <c r="AY300"/>
    </row>
    <row r="301" spans="1:51" ht="18.75" thickBot="1">
      <c r="A301" s="2368"/>
      <c r="B301" s="253"/>
      <c r="C301" s="2371" t="s">
        <v>4060</v>
      </c>
      <c r="D301" s="1323" t="s">
        <v>5352</v>
      </c>
      <c r="E301" s="253"/>
      <c r="F301" s="253"/>
      <c r="G301" s="253"/>
      <c r="H301" s="253"/>
      <c r="I301" s="253"/>
      <c r="J301" s="253"/>
      <c r="K301" s="253"/>
      <c r="L301" s="253"/>
      <c r="M301" s="253"/>
      <c r="N301" s="253"/>
      <c r="O301" s="253"/>
      <c r="P301" s="253"/>
      <c r="Q301" s="253"/>
      <c r="R301" s="253"/>
      <c r="S301" s="253"/>
      <c r="T301" s="253"/>
      <c r="U301" s="253"/>
      <c r="V301" s="253"/>
      <c r="W301" s="253"/>
      <c r="X301" s="253"/>
      <c r="Y301" s="253"/>
      <c r="Z301" s="253"/>
      <c r="AA301" s="253"/>
      <c r="AB301" s="253"/>
      <c r="AC301" s="253"/>
      <c r="AD301" s="253"/>
      <c r="AE301" s="253"/>
      <c r="AF301" s="253"/>
      <c r="AG301" s="253"/>
      <c r="AH301" s="253"/>
      <c r="AI301" s="253"/>
      <c r="AJ301" s="253"/>
      <c r="AK301" s="2368"/>
      <c r="AL301" s="253"/>
      <c r="AM301" s="226"/>
      <c r="AN301"/>
      <c r="AO301"/>
      <c r="AP301"/>
      <c r="AQ301"/>
      <c r="AR301"/>
      <c r="AS301"/>
      <c r="AT301"/>
      <c r="AU301"/>
      <c r="AV301"/>
      <c r="AW301"/>
      <c r="AX301"/>
      <c r="AY301"/>
    </row>
    <row r="302" spans="1:51" ht="18.75" thickBot="1">
      <c r="A302" s="2368"/>
      <c r="B302" s="253"/>
      <c r="C302" s="2371"/>
      <c r="D302" s="1323" t="s">
        <v>5366</v>
      </c>
      <c r="E302" s="253"/>
      <c r="F302" s="253"/>
      <c r="G302" s="253"/>
      <c r="H302" s="253"/>
      <c r="I302" s="253"/>
      <c r="J302" s="253"/>
      <c r="K302" s="253"/>
      <c r="L302" s="253"/>
      <c r="M302" s="253"/>
      <c r="N302" s="253"/>
      <c r="O302" s="253"/>
      <c r="P302" s="253"/>
      <c r="Q302" s="253"/>
      <c r="R302" s="253"/>
      <c r="S302" s="253"/>
      <c r="T302" s="253"/>
      <c r="U302" s="253"/>
      <c r="V302" s="253"/>
      <c r="W302" s="253"/>
      <c r="X302" s="253"/>
      <c r="Y302" s="253"/>
      <c r="Z302" s="253"/>
      <c r="AA302" s="253"/>
      <c r="AB302" s="253"/>
      <c r="AC302" s="253"/>
      <c r="AD302" s="253"/>
      <c r="AE302" s="10239" t="str">
        <f>IF(AM302&lt;&gt;"",ROUND(AM302,0),IF(OR(F8978_Credit="",F8978_Credit=0),"",F8978_Credit))</f>
        <v/>
      </c>
      <c r="AF302" s="10239"/>
      <c r="AG302" s="10239"/>
      <c r="AH302" s="10239"/>
      <c r="AI302" s="10239"/>
      <c r="AJ302" s="253"/>
      <c r="AK302" s="2368"/>
      <c r="AL302" s="253"/>
      <c r="AM302" s="2361"/>
      <c r="AN302"/>
      <c r="AO302"/>
      <c r="AP302"/>
      <c r="AQ302"/>
      <c r="AR302"/>
      <c r="AS302"/>
      <c r="AT302"/>
      <c r="AU302"/>
      <c r="AV302"/>
      <c r="AW302"/>
      <c r="AX302"/>
      <c r="AY302"/>
    </row>
    <row r="303" spans="1:51" thickBot="1">
      <c r="A303" s="2368"/>
      <c r="B303" s="253"/>
      <c r="C303" s="253"/>
      <c r="D303" s="1323"/>
      <c r="E303" s="253"/>
      <c r="F303" s="253"/>
      <c r="G303" s="253"/>
      <c r="H303" s="253"/>
      <c r="I303" s="253"/>
      <c r="J303" s="253"/>
      <c r="K303" s="253"/>
      <c r="L303" s="253"/>
      <c r="M303" s="253"/>
      <c r="N303" s="253"/>
      <c r="O303" s="253"/>
      <c r="P303" s="253"/>
      <c r="Q303" s="253"/>
      <c r="R303" s="253"/>
      <c r="S303" s="253"/>
      <c r="T303" s="253"/>
      <c r="U303" s="253"/>
      <c r="V303" s="253"/>
      <c r="W303" s="253"/>
      <c r="X303" s="253"/>
      <c r="Y303" s="253"/>
      <c r="Z303" s="253"/>
      <c r="AA303" s="253"/>
      <c r="AB303" s="253"/>
      <c r="AC303" s="253"/>
      <c r="AD303" s="253"/>
      <c r="AE303" s="2373"/>
      <c r="AF303" s="2373"/>
      <c r="AG303" s="2373"/>
      <c r="AH303" s="2373"/>
      <c r="AI303" s="2373"/>
      <c r="AJ303" s="253"/>
      <c r="AK303" s="2368"/>
      <c r="AL303" s="253"/>
      <c r="AM303" s="253"/>
      <c r="AN303"/>
      <c r="AO303"/>
      <c r="AP303"/>
      <c r="AQ303"/>
      <c r="AR303"/>
      <c r="AS303"/>
      <c r="AT303"/>
      <c r="AU303"/>
      <c r="AV303"/>
      <c r="AW303"/>
      <c r="AX303"/>
      <c r="AY303"/>
    </row>
    <row r="304" spans="1:51" ht="18.75" thickBot="1">
      <c r="A304" s="2368"/>
      <c r="B304" s="253"/>
      <c r="C304" s="2371" t="s">
        <v>4060</v>
      </c>
      <c r="D304" s="1323" t="s">
        <v>5357</v>
      </c>
      <c r="E304" s="253"/>
      <c r="F304" s="253"/>
      <c r="G304" s="253"/>
      <c r="H304" s="253"/>
      <c r="I304" s="253"/>
      <c r="J304" s="253"/>
      <c r="K304" s="253"/>
      <c r="L304" s="253"/>
      <c r="M304" s="253"/>
      <c r="N304" s="253"/>
      <c r="O304" s="253"/>
      <c r="P304" s="253"/>
      <c r="Q304" s="253"/>
      <c r="R304" s="253"/>
      <c r="S304" s="253"/>
      <c r="T304" s="253"/>
      <c r="U304" s="253"/>
      <c r="V304" s="253"/>
      <c r="W304" s="253"/>
      <c r="X304" s="253"/>
      <c r="Y304" s="253"/>
      <c r="Z304" s="253"/>
      <c r="AA304" s="253"/>
      <c r="AB304" s="253"/>
      <c r="AC304" s="253"/>
      <c r="AD304" s="253"/>
      <c r="AE304" s="10239" t="str">
        <f>IF(AM304&lt;&gt;"",ROUND(AM304,0),IF(OR(Foreign_Tax_Credit="",Foreign_Tax_Credit=0),"",Foreign_Tax_Credit))</f>
        <v/>
      </c>
      <c r="AF304" s="10239"/>
      <c r="AG304" s="10239"/>
      <c r="AH304" s="10239"/>
      <c r="AI304" s="10239"/>
      <c r="AJ304" s="253"/>
      <c r="AK304" s="2368"/>
      <c r="AL304" s="253"/>
      <c r="AM304" s="2361"/>
      <c r="AN304"/>
      <c r="AO304"/>
      <c r="AP304"/>
      <c r="AQ304"/>
      <c r="AR304"/>
      <c r="AS304"/>
      <c r="AT304"/>
      <c r="AU304"/>
      <c r="AV304"/>
      <c r="AW304"/>
      <c r="AX304"/>
      <c r="AY304"/>
    </row>
    <row r="305" spans="1:51" thickBot="1">
      <c r="A305" s="2368"/>
      <c r="B305" s="253"/>
      <c r="C305" s="253"/>
      <c r="D305" s="1323"/>
      <c r="E305" s="253"/>
      <c r="F305" s="253"/>
      <c r="G305" s="253"/>
      <c r="H305" s="253"/>
      <c r="I305" s="253"/>
      <c r="J305" s="253"/>
      <c r="K305" s="253"/>
      <c r="L305" s="253"/>
      <c r="M305" s="253"/>
      <c r="N305" s="253"/>
      <c r="O305" s="253"/>
      <c r="P305" s="253"/>
      <c r="Q305" s="253"/>
      <c r="R305" s="253"/>
      <c r="S305" s="253"/>
      <c r="T305" s="253"/>
      <c r="U305" s="253"/>
      <c r="V305" s="253"/>
      <c r="W305" s="253"/>
      <c r="X305" s="253"/>
      <c r="Y305" s="253"/>
      <c r="Z305" s="253"/>
      <c r="AA305" s="253"/>
      <c r="AB305" s="253"/>
      <c r="AC305" s="253"/>
      <c r="AD305" s="253"/>
      <c r="AE305" s="2373"/>
      <c r="AF305" s="2373"/>
      <c r="AG305" s="2373"/>
      <c r="AH305" s="2373"/>
      <c r="AI305" s="2373"/>
      <c r="AJ305" s="253"/>
      <c r="AK305" s="2368"/>
      <c r="AL305" s="253"/>
      <c r="AM305" s="253"/>
      <c r="AN305"/>
      <c r="AO305"/>
      <c r="AP305"/>
      <c r="AQ305"/>
      <c r="AR305"/>
      <c r="AS305"/>
      <c r="AT305"/>
      <c r="AU305"/>
      <c r="AV305"/>
      <c r="AW305"/>
      <c r="AX305"/>
      <c r="AY305"/>
    </row>
    <row r="306" spans="1:51" ht="18.75" thickBot="1">
      <c r="A306" s="2368"/>
      <c r="B306" s="253"/>
      <c r="C306" s="2371" t="s">
        <v>4060</v>
      </c>
      <c r="D306" s="1323" t="s">
        <v>5356</v>
      </c>
      <c r="E306" s="253"/>
      <c r="F306" s="253"/>
      <c r="G306" s="253"/>
      <c r="H306" s="253"/>
      <c r="I306" s="253"/>
      <c r="J306" s="253"/>
      <c r="K306" s="253"/>
      <c r="L306" s="253"/>
      <c r="M306" s="253"/>
      <c r="N306" s="253"/>
      <c r="O306" s="253"/>
      <c r="P306" s="253"/>
      <c r="Q306" s="253"/>
      <c r="R306" s="253"/>
      <c r="S306" s="253"/>
      <c r="T306" s="253"/>
      <c r="U306" s="253"/>
      <c r="V306" s="253"/>
      <c r="W306" s="253"/>
      <c r="X306" s="253"/>
      <c r="Y306" s="253"/>
      <c r="Z306" s="253"/>
      <c r="AA306" s="253"/>
      <c r="AB306" s="253"/>
      <c r="AC306" s="253"/>
      <c r="AD306" s="253"/>
      <c r="AE306" s="10239" t="str">
        <f>IF(AM306&lt;&gt;"",ROUND(AM306,0),IF(OR(Care_Expenses="",Care_Expenses=0),"",Care_Expenses))</f>
        <v/>
      </c>
      <c r="AF306" s="10239"/>
      <c r="AG306" s="10239"/>
      <c r="AH306" s="10239"/>
      <c r="AI306" s="10239"/>
      <c r="AJ306" s="253"/>
      <c r="AK306" s="2368"/>
      <c r="AL306" s="253"/>
      <c r="AM306" s="2361"/>
      <c r="AP306"/>
      <c r="AQ306"/>
      <c r="AR306"/>
      <c r="AS306"/>
      <c r="AT306"/>
      <c r="AU306"/>
      <c r="AV306"/>
      <c r="AW306"/>
      <c r="AX306"/>
      <c r="AY306"/>
    </row>
    <row r="307" spans="1:51" ht="16.5" thickBot="1">
      <c r="A307" s="2368"/>
      <c r="B307" s="253"/>
      <c r="C307" s="253"/>
      <c r="D307" s="1323"/>
      <c r="E307" s="253"/>
      <c r="F307" s="253"/>
      <c r="G307" s="253"/>
      <c r="H307" s="253"/>
      <c r="I307" s="253"/>
      <c r="J307" s="253"/>
      <c r="K307" s="253"/>
      <c r="L307" s="253"/>
      <c r="M307" s="253"/>
      <c r="N307" s="253"/>
      <c r="O307" s="253"/>
      <c r="P307" s="253"/>
      <c r="Q307" s="253"/>
      <c r="R307" s="253"/>
      <c r="S307" s="253"/>
      <c r="T307" s="253"/>
      <c r="U307" s="253"/>
      <c r="V307" s="253"/>
      <c r="W307" s="253"/>
      <c r="X307" s="253"/>
      <c r="Y307" s="253"/>
      <c r="Z307" s="253"/>
      <c r="AA307" s="253"/>
      <c r="AB307" s="253"/>
      <c r="AC307" s="253"/>
      <c r="AD307" s="253"/>
      <c r="AE307" s="2373"/>
      <c r="AF307" s="2373"/>
      <c r="AG307" s="2373"/>
      <c r="AH307" s="2373"/>
      <c r="AI307" s="2373"/>
      <c r="AJ307" s="253"/>
      <c r="AK307" s="2368"/>
      <c r="AL307" s="253"/>
      <c r="AM307" s="253"/>
      <c r="AP307"/>
      <c r="AQ307"/>
      <c r="AR307"/>
      <c r="AS307"/>
      <c r="AT307"/>
      <c r="AU307"/>
      <c r="AV307"/>
      <c r="AW307"/>
      <c r="AX307"/>
      <c r="AY307"/>
    </row>
    <row r="308" spans="1:51" ht="18.75" thickBot="1">
      <c r="A308" s="2368"/>
      <c r="B308" s="253"/>
      <c r="C308" s="2371" t="s">
        <v>4060</v>
      </c>
      <c r="D308" s="1323" t="s">
        <v>5355</v>
      </c>
      <c r="E308" s="253"/>
      <c r="F308" s="253"/>
      <c r="G308" s="253"/>
      <c r="H308" s="253"/>
      <c r="I308" s="253"/>
      <c r="J308" s="253"/>
      <c r="K308" s="253"/>
      <c r="L308" s="253"/>
      <c r="M308" s="253"/>
      <c r="N308" s="253"/>
      <c r="O308" s="253"/>
      <c r="P308" s="253"/>
      <c r="Q308" s="253"/>
      <c r="R308" s="253"/>
      <c r="S308" s="253"/>
      <c r="T308" s="253"/>
      <c r="U308" s="253"/>
      <c r="V308" s="253"/>
      <c r="W308" s="253"/>
      <c r="X308" s="253"/>
      <c r="Y308" s="253"/>
      <c r="Z308" s="253"/>
      <c r="AA308" s="253"/>
      <c r="AB308" s="253"/>
      <c r="AC308" s="253"/>
      <c r="AD308" s="253"/>
      <c r="AE308" s="10239" t="str">
        <f>IF(AM308&lt;&gt;"",ROUND(AM308,0),IF(OR(Sch3_Line6d="",Sch3_Line6d=0),"",Sch3_Line6d))</f>
        <v/>
      </c>
      <c r="AF308" s="10239"/>
      <c r="AG308" s="10239"/>
      <c r="AH308" s="10239"/>
      <c r="AI308" s="10239"/>
      <c r="AJ308" s="253"/>
      <c r="AK308" s="2368"/>
      <c r="AL308" s="253"/>
      <c r="AM308" s="2361"/>
      <c r="AP308"/>
      <c r="AQ308"/>
      <c r="AR308"/>
      <c r="AS308"/>
      <c r="AT308"/>
      <c r="AU308"/>
      <c r="AV308"/>
      <c r="AW308"/>
      <c r="AX308"/>
      <c r="AY308"/>
    </row>
    <row r="309" spans="1:51" ht="16.5" thickBot="1">
      <c r="A309" s="2368"/>
      <c r="B309" s="253"/>
      <c r="C309" s="253"/>
      <c r="D309" s="1323"/>
      <c r="E309" s="253"/>
      <c r="F309" s="253"/>
      <c r="G309" s="253"/>
      <c r="H309" s="253"/>
      <c r="I309" s="253"/>
      <c r="J309" s="253"/>
      <c r="K309" s="253"/>
      <c r="L309" s="253"/>
      <c r="M309" s="253"/>
      <c r="N309" s="253"/>
      <c r="O309" s="253"/>
      <c r="P309" s="253"/>
      <c r="Q309" s="253"/>
      <c r="R309" s="253"/>
      <c r="S309" s="253"/>
      <c r="T309" s="253"/>
      <c r="U309" s="253"/>
      <c r="V309" s="253"/>
      <c r="W309" s="253"/>
      <c r="X309" s="253"/>
      <c r="Y309" s="253"/>
      <c r="Z309" s="253"/>
      <c r="AA309" s="253"/>
      <c r="AB309" s="253"/>
      <c r="AC309" s="253"/>
      <c r="AD309" s="253"/>
      <c r="AE309" s="2373"/>
      <c r="AF309" s="2373"/>
      <c r="AG309" s="2373"/>
      <c r="AH309" s="2373"/>
      <c r="AI309" s="2373"/>
      <c r="AJ309" s="253"/>
      <c r="AK309" s="2368"/>
      <c r="AL309" s="253"/>
      <c r="AM309" s="253"/>
      <c r="AP309"/>
      <c r="AQ309"/>
      <c r="AR309"/>
      <c r="AS309"/>
      <c r="AT309"/>
      <c r="AU309"/>
      <c r="AV309"/>
      <c r="AW309"/>
      <c r="AX309"/>
      <c r="AY309"/>
    </row>
    <row r="310" spans="1:51" ht="18.75" thickBot="1">
      <c r="A310" s="2368"/>
      <c r="B310" s="253"/>
      <c r="C310" s="2371" t="s">
        <v>4060</v>
      </c>
      <c r="D310" s="1323" t="s">
        <v>5354</v>
      </c>
      <c r="E310" s="253"/>
      <c r="F310" s="253"/>
      <c r="G310" s="253"/>
      <c r="H310" s="253"/>
      <c r="I310" s="253"/>
      <c r="J310" s="253"/>
      <c r="K310" s="253"/>
      <c r="L310" s="253"/>
      <c r="M310" s="253"/>
      <c r="N310" s="253"/>
      <c r="O310" s="253"/>
      <c r="P310" s="253"/>
      <c r="Q310" s="253"/>
      <c r="R310" s="253"/>
      <c r="S310" s="253"/>
      <c r="T310" s="253"/>
      <c r="U310" s="253"/>
      <c r="V310" s="253"/>
      <c r="W310" s="253"/>
      <c r="X310" s="253"/>
      <c r="Y310" s="253"/>
      <c r="Z310" s="253"/>
      <c r="AA310" s="253"/>
      <c r="AB310" s="253"/>
      <c r="AC310" s="253"/>
      <c r="AD310" s="253"/>
      <c r="AE310" s="10239" t="str">
        <f>IF(AM310&lt;&gt;"",ROUND(AM310,0),IF(OR(Education="",Education=0),"",Education))</f>
        <v/>
      </c>
      <c r="AF310" s="10239"/>
      <c r="AG310" s="10239"/>
      <c r="AH310" s="10239"/>
      <c r="AI310" s="10239"/>
      <c r="AJ310" s="253"/>
      <c r="AK310" s="2368"/>
      <c r="AL310" s="253"/>
      <c r="AM310" s="2361"/>
      <c r="AP310"/>
      <c r="AQ310"/>
      <c r="AR310"/>
      <c r="AS310"/>
      <c r="AT310"/>
      <c r="AU310"/>
      <c r="AV310"/>
      <c r="AW310"/>
      <c r="AX310"/>
      <c r="AY310"/>
    </row>
    <row r="311" spans="1:51" ht="16.5" thickBot="1">
      <c r="A311" s="2368"/>
      <c r="B311" s="253"/>
      <c r="C311" s="253"/>
      <c r="D311" s="1323"/>
      <c r="E311" s="253"/>
      <c r="F311" s="253"/>
      <c r="G311" s="253"/>
      <c r="H311" s="253"/>
      <c r="I311" s="253"/>
      <c r="J311" s="253"/>
      <c r="K311" s="253"/>
      <c r="L311" s="253"/>
      <c r="M311" s="253"/>
      <c r="N311" s="253"/>
      <c r="O311" s="253"/>
      <c r="P311" s="253"/>
      <c r="Q311" s="253"/>
      <c r="R311" s="253"/>
      <c r="S311" s="253"/>
      <c r="T311" s="253"/>
      <c r="U311" s="253"/>
      <c r="V311" s="253"/>
      <c r="W311" s="253"/>
      <c r="X311" s="253"/>
      <c r="Y311" s="253"/>
      <c r="Z311" s="253"/>
      <c r="AA311" s="253"/>
      <c r="AB311" s="253"/>
      <c r="AC311" s="253"/>
      <c r="AD311" s="253"/>
      <c r="AE311" s="2373"/>
      <c r="AF311" s="2373"/>
      <c r="AG311" s="2373"/>
      <c r="AH311" s="2373"/>
      <c r="AI311" s="2373"/>
      <c r="AJ311" s="253"/>
      <c r="AK311" s="2368"/>
      <c r="AL311" s="253"/>
      <c r="AM311" s="253"/>
      <c r="AP311"/>
      <c r="AQ311"/>
      <c r="AR311"/>
      <c r="AS311"/>
      <c r="AT311"/>
      <c r="AU311"/>
      <c r="AV311"/>
      <c r="AW311"/>
      <c r="AX311"/>
      <c r="AY311"/>
    </row>
    <row r="312" spans="1:51" ht="18.75" thickBot="1">
      <c r="A312" s="2368"/>
      <c r="B312" s="253"/>
      <c r="C312" s="2371" t="s">
        <v>4060</v>
      </c>
      <c r="D312" s="1323" t="s">
        <v>5353</v>
      </c>
      <c r="E312" s="253"/>
      <c r="F312" s="253"/>
      <c r="G312" s="253"/>
      <c r="H312" s="253"/>
      <c r="I312" s="253"/>
      <c r="J312" s="253"/>
      <c r="K312" s="253"/>
      <c r="L312" s="253"/>
      <c r="M312" s="253"/>
      <c r="N312" s="253"/>
      <c r="O312" s="253"/>
      <c r="P312" s="253"/>
      <c r="Q312" s="253"/>
      <c r="R312" s="253"/>
      <c r="S312" s="253"/>
      <c r="T312" s="253"/>
      <c r="U312" s="253"/>
      <c r="V312" s="253"/>
      <c r="W312" s="253"/>
      <c r="X312" s="253"/>
      <c r="Y312" s="253"/>
      <c r="Z312" s="253"/>
      <c r="AA312" s="253"/>
      <c r="AB312" s="253"/>
      <c r="AC312" s="253"/>
      <c r="AD312" s="253"/>
      <c r="AE312" s="10239" t="str">
        <f>IF(AM312&lt;&gt;"",ROUND(AM312,0),IF(OR(Retirement_Savings="",Retirement_Savings=0),"",Retirement_Savings))</f>
        <v/>
      </c>
      <c r="AF312" s="10239"/>
      <c r="AG312" s="10239"/>
      <c r="AH312" s="10239"/>
      <c r="AI312" s="10239"/>
      <c r="AJ312" s="253"/>
      <c r="AK312" s="2368"/>
      <c r="AL312" s="253"/>
      <c r="AM312" s="2361"/>
      <c r="AP312"/>
      <c r="AQ312"/>
      <c r="AR312"/>
      <c r="AS312"/>
      <c r="AT312"/>
      <c r="AU312"/>
      <c r="AV312"/>
      <c r="AW312"/>
      <c r="AX312"/>
      <c r="AY312"/>
    </row>
    <row r="313" spans="1:51">
      <c r="A313" s="2368"/>
      <c r="B313" s="253"/>
      <c r="C313" s="253"/>
      <c r="D313" s="1323"/>
      <c r="E313" s="253"/>
      <c r="F313" s="253"/>
      <c r="G313" s="253"/>
      <c r="H313" s="253"/>
      <c r="I313" s="253"/>
      <c r="J313" s="253"/>
      <c r="K313" s="253"/>
      <c r="L313" s="253"/>
      <c r="M313" s="253"/>
      <c r="N313" s="253"/>
      <c r="O313" s="253"/>
      <c r="P313" s="253"/>
      <c r="Q313" s="253"/>
      <c r="R313" s="253"/>
      <c r="S313" s="253"/>
      <c r="T313" s="253"/>
      <c r="U313" s="253"/>
      <c r="V313" s="253"/>
      <c r="W313" s="253"/>
      <c r="X313" s="253"/>
      <c r="Y313" s="253"/>
      <c r="Z313" s="253"/>
      <c r="AA313" s="253"/>
      <c r="AB313" s="253"/>
      <c r="AC313" s="253"/>
      <c r="AD313" s="253"/>
      <c r="AE313" s="2373"/>
      <c r="AF313" s="2373"/>
      <c r="AG313" s="2373"/>
      <c r="AH313" s="2373"/>
      <c r="AI313" s="2373"/>
      <c r="AJ313" s="253"/>
      <c r="AK313" s="2368"/>
      <c r="AL313" s="253"/>
      <c r="AM313" s="253"/>
      <c r="AP313"/>
      <c r="AQ313"/>
      <c r="AR313"/>
      <c r="AS313"/>
      <c r="AT313"/>
      <c r="AU313"/>
      <c r="AV313"/>
      <c r="AW313"/>
      <c r="AX313"/>
      <c r="AY313"/>
    </row>
    <row r="314" spans="1:51">
      <c r="A314" s="2368"/>
      <c r="B314" s="253"/>
      <c r="C314" s="2372" t="s">
        <v>947</v>
      </c>
      <c r="D314" s="253"/>
      <c r="E314" s="2320" t="s">
        <v>5345</v>
      </c>
      <c r="F314" s="253"/>
      <c r="G314" s="253"/>
      <c r="H314" s="253"/>
      <c r="I314" s="253"/>
      <c r="J314" s="253"/>
      <c r="K314" s="253"/>
      <c r="L314" s="253"/>
      <c r="M314" s="253"/>
      <c r="N314" s="253"/>
      <c r="O314" s="253"/>
      <c r="P314" s="253"/>
      <c r="Q314" s="253"/>
      <c r="R314" s="253"/>
      <c r="S314" s="253"/>
      <c r="T314" s="253"/>
      <c r="U314" s="253"/>
      <c r="V314" s="253"/>
      <c r="W314" s="253"/>
      <c r="X314" s="253"/>
      <c r="Y314" s="253"/>
      <c r="Z314" s="253"/>
      <c r="AA314" s="253"/>
      <c r="AB314" s="253"/>
      <c r="AC314" s="253"/>
      <c r="AD314" s="253"/>
      <c r="AE314" s="253"/>
      <c r="AF314" s="253"/>
      <c r="AG314" s="253"/>
      <c r="AH314" s="253"/>
      <c r="AI314" s="253"/>
      <c r="AJ314" s="253"/>
      <c r="AK314" s="2368"/>
      <c r="AL314" s="253"/>
      <c r="AM314" s="253"/>
      <c r="AP314"/>
      <c r="AQ314"/>
      <c r="AR314"/>
      <c r="AS314"/>
      <c r="AT314"/>
      <c r="AU314"/>
      <c r="AV314"/>
      <c r="AW314"/>
      <c r="AX314"/>
      <c r="AY314"/>
    </row>
    <row r="315" spans="1:51">
      <c r="A315" s="2368"/>
      <c r="B315" s="253"/>
      <c r="C315" s="344"/>
      <c r="D315" s="253"/>
      <c r="E315" s="2320" t="str">
        <f>"your "&amp;TaxYear&amp;" income tax return."</f>
        <v>your 2025 income tax return.</v>
      </c>
      <c r="F315" s="253"/>
      <c r="G315" s="253"/>
      <c r="H315" s="253"/>
      <c r="I315" s="253"/>
      <c r="J315" s="253"/>
      <c r="K315" s="253"/>
      <c r="L315" s="253"/>
      <c r="M315" s="253"/>
      <c r="N315" s="253"/>
      <c r="O315" s="253"/>
      <c r="P315" s="253"/>
      <c r="Q315" s="253"/>
      <c r="R315" s="253"/>
      <c r="S315" s="253"/>
      <c r="T315" s="253"/>
      <c r="U315" s="253"/>
      <c r="V315" s="253"/>
      <c r="W315" s="253"/>
      <c r="X315" s="253"/>
      <c r="Y315" s="253"/>
      <c r="Z315" s="253"/>
      <c r="AA315" s="253"/>
      <c r="AB315" s="253"/>
      <c r="AC315" s="253"/>
      <c r="AD315" s="253"/>
      <c r="AE315" s="253"/>
      <c r="AF315" s="253"/>
      <c r="AG315" s="253"/>
      <c r="AH315" s="253"/>
      <c r="AI315" s="253"/>
      <c r="AJ315" s="253"/>
      <c r="AK315" s="2368"/>
      <c r="AL315" s="253"/>
      <c r="AM315" s="253"/>
      <c r="AP315"/>
      <c r="AQ315"/>
      <c r="AR315"/>
      <c r="AS315"/>
      <c r="AT315"/>
      <c r="AU315"/>
      <c r="AV315"/>
      <c r="AW315"/>
      <c r="AX315"/>
      <c r="AY315"/>
    </row>
    <row r="316" spans="1:51">
      <c r="A316" s="2368"/>
      <c r="B316" s="253"/>
      <c r="C316" s="253"/>
      <c r="D316" s="253"/>
      <c r="E316" s="253"/>
      <c r="F316" s="253"/>
      <c r="G316" s="253"/>
      <c r="H316" s="253"/>
      <c r="I316" s="253"/>
      <c r="J316" s="253"/>
      <c r="K316" s="253"/>
      <c r="L316" s="253"/>
      <c r="M316" s="253"/>
      <c r="N316" s="253"/>
      <c r="O316" s="253"/>
      <c r="P316" s="253"/>
      <c r="Q316" s="253"/>
      <c r="R316" s="253"/>
      <c r="S316" s="253"/>
      <c r="T316" s="253"/>
      <c r="U316" s="253"/>
      <c r="V316" s="253"/>
      <c r="W316" s="253"/>
      <c r="X316" s="253"/>
      <c r="Y316" s="253"/>
      <c r="Z316" s="253"/>
      <c r="AA316" s="253"/>
      <c r="AB316" s="253"/>
      <c r="AC316" s="253"/>
      <c r="AD316" s="253"/>
      <c r="AE316" s="253"/>
      <c r="AF316" s="253"/>
      <c r="AG316" s="253"/>
      <c r="AH316" s="253"/>
      <c r="AI316" s="253"/>
      <c r="AJ316" s="253"/>
      <c r="AK316" s="2368"/>
      <c r="AL316" s="253"/>
      <c r="AM316" s="226"/>
      <c r="AP316"/>
      <c r="AQ316"/>
      <c r="AR316"/>
      <c r="AS316"/>
      <c r="AT316"/>
      <c r="AU316"/>
      <c r="AV316"/>
      <c r="AW316"/>
      <c r="AX316"/>
      <c r="AY316"/>
    </row>
    <row r="317" spans="1:51" ht="16.5" thickBot="1">
      <c r="A317" s="2368"/>
      <c r="B317" s="253"/>
      <c r="C317" s="253"/>
      <c r="D317" s="253"/>
      <c r="E317" s="2320" t="s">
        <v>5346</v>
      </c>
      <c r="F317" s="253"/>
      <c r="G317" s="253"/>
      <c r="H317" s="253"/>
      <c r="I317" s="253"/>
      <c r="J317" s="253"/>
      <c r="K317" s="253"/>
      <c r="L317" s="253"/>
      <c r="M317" s="253"/>
      <c r="N317" s="253"/>
      <c r="O317" s="253"/>
      <c r="P317" s="253"/>
      <c r="Q317" s="253"/>
      <c r="R317" s="253"/>
      <c r="S317" s="253"/>
      <c r="T317" s="253"/>
      <c r="U317" s="253"/>
      <c r="V317" s="253"/>
      <c r="W317" s="253"/>
      <c r="X317" s="253"/>
      <c r="Y317" s="253"/>
      <c r="Z317" s="253"/>
      <c r="AA317" s="253"/>
      <c r="AB317" s="253"/>
      <c r="AC317" s="253"/>
      <c r="AD317" s="253"/>
      <c r="AE317" s="253"/>
      <c r="AF317" s="253"/>
      <c r="AG317" s="253"/>
      <c r="AH317" s="253"/>
      <c r="AI317" s="253"/>
      <c r="AJ317" s="253"/>
      <c r="AK317" s="2368"/>
      <c r="AL317" s="253"/>
      <c r="AM317" s="226"/>
      <c r="AP317"/>
      <c r="AQ317"/>
      <c r="AR317"/>
      <c r="AS317"/>
      <c r="AT317"/>
      <c r="AU317"/>
      <c r="AV317"/>
      <c r="AW317"/>
      <c r="AX317"/>
      <c r="AY317"/>
    </row>
    <row r="318" spans="1:51" ht="18.75" thickBot="1">
      <c r="A318" s="2368"/>
      <c r="B318" s="253"/>
      <c r="C318" s="253"/>
      <c r="D318" s="253"/>
      <c r="E318" s="2320" t="str">
        <f>"See the instructions for your "&amp;TaxYear&amp;" income tax return."</f>
        <v>See the instructions for your 2025 income tax return.</v>
      </c>
      <c r="F318" s="253"/>
      <c r="G318" s="253"/>
      <c r="H318" s="253"/>
      <c r="I318" s="253"/>
      <c r="J318" s="253"/>
      <c r="K318" s="253"/>
      <c r="L318" s="253"/>
      <c r="M318" s="253"/>
      <c r="N318" s="253"/>
      <c r="O318" s="253"/>
      <c r="P318" s="253"/>
      <c r="Q318" s="253"/>
      <c r="R318" s="253"/>
      <c r="S318" s="253"/>
      <c r="T318" s="253"/>
      <c r="U318" s="253"/>
      <c r="V318" s="253"/>
      <c r="W318" s="253"/>
      <c r="X318" s="253"/>
      <c r="Y318" s="253"/>
      <c r="Z318" s="253"/>
      <c r="AA318" s="253"/>
      <c r="AB318" s="10238">
        <v>2</v>
      </c>
      <c r="AC318" s="10238"/>
      <c r="AD318" s="253"/>
      <c r="AE318" s="10239" t="str">
        <f>IF(AM318&lt;&gt;"",ROUND(AM318,0),IF(AO236,"",SUM(AE302,AE304,AE306,AE308,AE310,AE312)))</f>
        <v/>
      </c>
      <c r="AF318" s="10239"/>
      <c r="AG318" s="10239"/>
      <c r="AH318" s="10239"/>
      <c r="AI318" s="10239"/>
      <c r="AJ318" s="253"/>
      <c r="AK318" s="2368"/>
      <c r="AL318" s="253"/>
      <c r="AM318" s="2361"/>
      <c r="AO318" s="6608" t="b">
        <f>AE318=""</f>
        <v>1</v>
      </c>
      <c r="AP318"/>
      <c r="AQ318"/>
      <c r="AR318"/>
      <c r="AS318"/>
      <c r="AT318"/>
      <c r="AU318"/>
      <c r="AV318"/>
      <c r="AW318"/>
      <c r="AX318"/>
      <c r="AY318"/>
    </row>
    <row r="319" spans="1:51">
      <c r="A319" s="2368"/>
      <c r="B319" s="253"/>
      <c r="C319" s="253"/>
      <c r="D319" s="253"/>
      <c r="E319" s="253"/>
      <c r="F319" s="253"/>
      <c r="G319" s="253"/>
      <c r="H319" s="253"/>
      <c r="I319" s="253"/>
      <c r="J319" s="253"/>
      <c r="K319" s="253"/>
      <c r="L319" s="253"/>
      <c r="M319" s="253"/>
      <c r="N319" s="253"/>
      <c r="O319" s="253"/>
      <c r="P319" s="253"/>
      <c r="Q319" s="253"/>
      <c r="R319" s="253"/>
      <c r="S319" s="253"/>
      <c r="T319" s="253"/>
      <c r="U319" s="253"/>
      <c r="V319" s="253"/>
      <c r="W319" s="253"/>
      <c r="X319" s="253"/>
      <c r="Y319" s="253"/>
      <c r="Z319" s="253"/>
      <c r="AA319" s="253"/>
      <c r="AB319" s="253"/>
      <c r="AC319" s="253"/>
      <c r="AD319" s="253"/>
      <c r="AE319" s="253"/>
      <c r="AF319" s="253"/>
      <c r="AG319" s="253"/>
      <c r="AH319" s="253"/>
      <c r="AI319" s="253"/>
      <c r="AJ319" s="253"/>
      <c r="AK319" s="2368"/>
      <c r="AL319" s="253"/>
      <c r="AM319" s="253"/>
      <c r="AP319"/>
      <c r="AQ319"/>
      <c r="AR319"/>
      <c r="AS319"/>
      <c r="AT319"/>
      <c r="AU319"/>
      <c r="AV319"/>
      <c r="AW319"/>
      <c r="AX319"/>
      <c r="AY319"/>
    </row>
    <row r="320" spans="1:51" ht="16.5" thickBot="1">
      <c r="A320" s="2368"/>
      <c r="B320" s="253"/>
      <c r="C320" s="2369">
        <v>3</v>
      </c>
      <c r="D320" s="1323" t="s">
        <v>5372</v>
      </c>
      <c r="E320" s="253"/>
      <c r="F320" s="253"/>
      <c r="G320" s="253"/>
      <c r="H320" s="253"/>
      <c r="I320" s="253"/>
      <c r="J320" s="253"/>
      <c r="K320" s="253"/>
      <c r="L320" s="253"/>
      <c r="M320" s="253"/>
      <c r="N320" s="253"/>
      <c r="O320" s="253"/>
      <c r="P320" s="253"/>
      <c r="Q320" s="253"/>
      <c r="R320" s="253"/>
      <c r="S320" s="253"/>
      <c r="T320" s="253"/>
      <c r="U320" s="253"/>
      <c r="V320" s="253"/>
      <c r="W320" s="253"/>
      <c r="X320" s="253"/>
      <c r="Y320" s="253"/>
      <c r="Z320" s="253"/>
      <c r="AA320" s="253"/>
      <c r="AB320" s="253"/>
      <c r="AC320" s="253"/>
      <c r="AD320" s="253"/>
      <c r="AE320" s="253"/>
      <c r="AF320" s="253"/>
      <c r="AG320" s="253"/>
      <c r="AH320" s="253"/>
      <c r="AI320" s="253"/>
      <c r="AJ320" s="253"/>
      <c r="AK320" s="2368"/>
      <c r="AL320" s="253"/>
      <c r="AM320" s="253"/>
      <c r="AP320"/>
      <c r="AQ320"/>
      <c r="AR320"/>
      <c r="AS320"/>
      <c r="AT320"/>
      <c r="AU320"/>
      <c r="AV320"/>
      <c r="AW320"/>
      <c r="AX320"/>
      <c r="AY320"/>
    </row>
    <row r="321" spans="1:51" ht="18.75" thickBot="1">
      <c r="A321" s="2368"/>
      <c r="B321" s="253"/>
      <c r="C321" s="253"/>
      <c r="D321" s="1323" t="s">
        <v>5373</v>
      </c>
      <c r="E321" s="253"/>
      <c r="F321" s="253"/>
      <c r="G321" s="253"/>
      <c r="H321" s="253"/>
      <c r="I321" s="253"/>
      <c r="J321" s="253"/>
      <c r="K321" s="253"/>
      <c r="L321" s="253"/>
      <c r="M321" s="253"/>
      <c r="N321" s="253"/>
      <c r="O321" s="253"/>
      <c r="P321" s="253"/>
      <c r="Q321" s="253"/>
      <c r="R321" s="253"/>
      <c r="S321" s="253"/>
      <c r="T321" s="253"/>
      <c r="U321" s="253"/>
      <c r="V321" s="253"/>
      <c r="W321" s="6992"/>
      <c r="X321" s="6992"/>
      <c r="Y321" s="6992"/>
      <c r="Z321" s="253"/>
      <c r="AA321" s="253"/>
      <c r="AB321" s="10238">
        <v>3</v>
      </c>
      <c r="AC321" s="10238"/>
      <c r="AD321" s="253"/>
      <c r="AE321" s="10239" t="str">
        <f>IF(AM321&lt;&gt;"",ROUND(AM321,0),IF(AO236,"",SUM(AE296,-AE318)))</f>
        <v/>
      </c>
      <c r="AF321" s="10239"/>
      <c r="AG321" s="10239"/>
      <c r="AH321" s="10239"/>
      <c r="AI321" s="10239"/>
      <c r="AJ321" s="253"/>
      <c r="AK321" s="2368"/>
      <c r="AL321" s="253"/>
      <c r="AM321" s="2361"/>
      <c r="AO321" s="6607" t="b">
        <f>EEHI_CL_WKST=""</f>
        <v>1</v>
      </c>
      <c r="AP321"/>
      <c r="AQ321"/>
      <c r="AR321"/>
      <c r="AS321"/>
      <c r="AT321"/>
      <c r="AU321"/>
      <c r="AV321"/>
      <c r="AW321"/>
      <c r="AX321"/>
      <c r="AY321"/>
    </row>
    <row r="322" spans="1:51" ht="12.75">
      <c r="A322" s="2368"/>
      <c r="B322" s="253"/>
      <c r="C322" s="253"/>
      <c r="D322" s="253"/>
      <c r="E322" s="253"/>
      <c r="F322" s="253"/>
      <c r="G322" s="253"/>
      <c r="H322" s="253"/>
      <c r="I322" s="253"/>
      <c r="J322" s="253"/>
      <c r="K322" s="253"/>
      <c r="L322" s="253"/>
      <c r="M322" s="253"/>
      <c r="N322" s="253"/>
      <c r="O322" s="253"/>
      <c r="P322" s="253"/>
      <c r="Q322" s="253"/>
      <c r="R322" s="253"/>
      <c r="S322" s="253"/>
      <c r="T322" s="253"/>
      <c r="U322" s="253"/>
      <c r="V322" s="253"/>
      <c r="W322" s="253"/>
      <c r="X322" s="253"/>
      <c r="Y322" s="253"/>
      <c r="Z322" s="253"/>
      <c r="AA322" s="253"/>
      <c r="AB322" s="253"/>
      <c r="AC322" s="253"/>
      <c r="AD322" s="253"/>
      <c r="AE322" s="253"/>
      <c r="AF322" s="253"/>
      <c r="AG322" s="253"/>
      <c r="AH322" s="253"/>
      <c r="AI322" s="253"/>
      <c r="AJ322" s="253"/>
      <c r="AK322" s="2368"/>
      <c r="AL322" s="253"/>
      <c r="AM322" s="253"/>
      <c r="AN322"/>
      <c r="AO322"/>
      <c r="AP322"/>
      <c r="AQ322"/>
      <c r="AR322"/>
      <c r="AS322"/>
      <c r="AT322"/>
      <c r="AU322"/>
      <c r="AV322"/>
      <c r="AW322"/>
      <c r="AX322"/>
      <c r="AY322"/>
    </row>
    <row r="323" spans="1:51" ht="12.75">
      <c r="A323" s="2368"/>
      <c r="B323" s="2368"/>
      <c r="C323" s="2368"/>
      <c r="D323" s="2368"/>
      <c r="E323" s="2368"/>
      <c r="F323" s="2368"/>
      <c r="G323" s="2368"/>
      <c r="H323" s="2368"/>
      <c r="I323" s="2368"/>
      <c r="J323" s="2368"/>
      <c r="K323" s="2368"/>
      <c r="L323" s="2368"/>
      <c r="M323" s="2368"/>
      <c r="N323" s="2368"/>
      <c r="O323" s="2368"/>
      <c r="P323" s="2368"/>
      <c r="Q323" s="2368"/>
      <c r="R323" s="2368"/>
      <c r="S323" s="2368"/>
      <c r="T323" s="2368"/>
      <c r="U323" s="2368"/>
      <c r="V323" s="2368"/>
      <c r="W323" s="2368"/>
      <c r="X323" s="2368"/>
      <c r="Y323" s="2368"/>
      <c r="Z323" s="2368"/>
      <c r="AA323" s="2368"/>
      <c r="AB323" s="2368"/>
      <c r="AC323" s="2368"/>
      <c r="AD323" s="2368"/>
      <c r="AE323" s="2368"/>
      <c r="AF323" s="2368"/>
      <c r="AG323" s="2368"/>
      <c r="AH323" s="2368"/>
      <c r="AI323" s="2368"/>
      <c r="AJ323" s="2368"/>
      <c r="AK323" s="2368"/>
      <c r="AN323"/>
      <c r="AO323"/>
      <c r="AP323"/>
      <c r="AQ323"/>
      <c r="AR323"/>
      <c r="AS323"/>
      <c r="AT323"/>
      <c r="AU323"/>
      <c r="AV323"/>
      <c r="AW323"/>
      <c r="AX323"/>
      <c r="AY323"/>
    </row>
  </sheetData>
  <sheetProtection algorithmName="SHA-512" hashValue="qwAtFgOipOSNEPd5tpKGx/KDS4maLVyZV+2UuTLVJTA82x/tmGnWoefN1m4Jy9B9mMiTJ9TPFv9XTLnXsC6HSg==" saltValue="nZZqMVykR1bBZp9kQVVznw==" spinCount="100000" sheet="1" objects="1" scenarios="1" formatCells="0" formatColumns="0" formatRows="0"/>
  <mergeCells count="254">
    <mergeCell ref="C148:M148"/>
    <mergeCell ref="Q148:V148"/>
    <mergeCell ref="W103:AA103"/>
    <mergeCell ref="W114:AA114"/>
    <mergeCell ref="W116:AA116"/>
    <mergeCell ref="Q149:V149"/>
    <mergeCell ref="Q151:V151"/>
    <mergeCell ref="Q150:V150"/>
    <mergeCell ref="X148:AA148"/>
    <mergeCell ref="X149:AA149"/>
    <mergeCell ref="X150:AA150"/>
    <mergeCell ref="X151:AA151"/>
    <mergeCell ref="C149:M149"/>
    <mergeCell ref="C150:M150"/>
    <mergeCell ref="C151:M151"/>
    <mergeCell ref="N148:P148"/>
    <mergeCell ref="N149:P149"/>
    <mergeCell ref="N150:P150"/>
    <mergeCell ref="N151:P151"/>
    <mergeCell ref="W132:AA132"/>
    <mergeCell ref="C146:M147"/>
    <mergeCell ref="N146:P147"/>
    <mergeCell ref="C89:M89"/>
    <mergeCell ref="N89:P89"/>
    <mergeCell ref="Q89:V89"/>
    <mergeCell ref="V124:W124"/>
    <mergeCell ref="V126:W126"/>
    <mergeCell ref="V128:W128"/>
    <mergeCell ref="AB42:AC42"/>
    <mergeCell ref="AD42:AJ42"/>
    <mergeCell ref="C46:M46"/>
    <mergeCell ref="N46:P46"/>
    <mergeCell ref="Q46:V46"/>
    <mergeCell ref="W67:AA67"/>
    <mergeCell ref="B71:C71"/>
    <mergeCell ref="AB62:AC62"/>
    <mergeCell ref="AB63:AC63"/>
    <mergeCell ref="AD63:AJ63"/>
    <mergeCell ref="AB64:AC64"/>
    <mergeCell ref="AB65:AC65"/>
    <mergeCell ref="AD65:AJ65"/>
    <mergeCell ref="AD53:AJ53"/>
    <mergeCell ref="AB58:AC58"/>
    <mergeCell ref="AB59:AC59"/>
    <mergeCell ref="AD59:AJ59"/>
    <mergeCell ref="P55:R55"/>
    <mergeCell ref="AE318:AI318"/>
    <mergeCell ref="AB318:AC318"/>
    <mergeCell ref="W321:Y321"/>
    <mergeCell ref="AE321:AI321"/>
    <mergeCell ref="AB321:AC321"/>
    <mergeCell ref="AC1:AJ1"/>
    <mergeCell ref="B8:AA8"/>
    <mergeCell ref="Q18:S18"/>
    <mergeCell ref="B18:O18"/>
    <mergeCell ref="U18:AA18"/>
    <mergeCell ref="AC18:AE18"/>
    <mergeCell ref="AB23:AC23"/>
    <mergeCell ref="AB24:AC24"/>
    <mergeCell ref="AD24:AJ24"/>
    <mergeCell ref="AB8:AJ8"/>
    <mergeCell ref="B10:C10"/>
    <mergeCell ref="AB21:AC21"/>
    <mergeCell ref="AB22:AC22"/>
    <mergeCell ref="AD22:AJ22"/>
    <mergeCell ref="AG18:AI18"/>
    <mergeCell ref="AB35:AC35"/>
    <mergeCell ref="AB60:AC60"/>
    <mergeCell ref="AB61:AC61"/>
    <mergeCell ref="AD61:AJ61"/>
    <mergeCell ref="W222:AA222"/>
    <mergeCell ref="W220:AA220"/>
    <mergeCell ref="W229:AA229"/>
    <mergeCell ref="W233:AA233"/>
    <mergeCell ref="AB235:AC235"/>
    <mergeCell ref="AD235:AJ235"/>
    <mergeCell ref="W288:Y288"/>
    <mergeCell ref="AB139:AC139"/>
    <mergeCell ref="AB34:AC34"/>
    <mergeCell ref="AD34:AJ34"/>
    <mergeCell ref="AD37:AJ37"/>
    <mergeCell ref="X146:AA147"/>
    <mergeCell ref="V193:W193"/>
    <mergeCell ref="W182:AA182"/>
    <mergeCell ref="AD182:AF182"/>
    <mergeCell ref="AG182:AJ182"/>
    <mergeCell ref="W183:AA183"/>
    <mergeCell ref="AD183:AJ183"/>
    <mergeCell ref="AB184:AC184"/>
    <mergeCell ref="AD184:AJ184"/>
    <mergeCell ref="AD132:AJ132"/>
    <mergeCell ref="AD133:AJ133"/>
    <mergeCell ref="AB133:AC133"/>
    <mergeCell ref="W171:AA171"/>
    <mergeCell ref="AE302:AI302"/>
    <mergeCell ref="AE304:AI304"/>
    <mergeCell ref="AE306:AI306"/>
    <mergeCell ref="AB85:AC85"/>
    <mergeCell ref="AB236:AC236"/>
    <mergeCell ref="AD236:AJ236"/>
    <mergeCell ref="AB237:AC237"/>
    <mergeCell ref="AB238:AC238"/>
    <mergeCell ref="AD238:AJ238"/>
    <mergeCell ref="AE279:AI279"/>
    <mergeCell ref="AB285:AC285"/>
    <mergeCell ref="AE285:AI285"/>
    <mergeCell ref="AE255:AI255"/>
    <mergeCell ref="AE257:AI257"/>
    <mergeCell ref="AE259:AI259"/>
    <mergeCell ref="AE261:AI261"/>
    <mergeCell ref="AE263:AI263"/>
    <mergeCell ref="AE265:AI265"/>
    <mergeCell ref="AE267:AI267"/>
    <mergeCell ref="AE269:AI269"/>
    <mergeCell ref="AE271:AI271"/>
    <mergeCell ref="AE273:AI273"/>
    <mergeCell ref="AE275:AI275"/>
    <mergeCell ref="AE277:AI277"/>
    <mergeCell ref="AE308:AI308"/>
    <mergeCell ref="AE310:AI310"/>
    <mergeCell ref="AE312:AI312"/>
    <mergeCell ref="AB101:AC101"/>
    <mergeCell ref="W100:AA100"/>
    <mergeCell ref="W53:AA53"/>
    <mergeCell ref="W55:AA55"/>
    <mergeCell ref="AD55:AJ55"/>
    <mergeCell ref="AB56:AC56"/>
    <mergeCell ref="AB57:AC57"/>
    <mergeCell ref="AD57:AJ57"/>
    <mergeCell ref="AD100:AF100"/>
    <mergeCell ref="AG100:AJ100"/>
    <mergeCell ref="AD116:AJ116"/>
    <mergeCell ref="AD106:AJ106"/>
    <mergeCell ref="AB76:AC76"/>
    <mergeCell ref="AB77:AC77"/>
    <mergeCell ref="AB78:AC78"/>
    <mergeCell ref="AB80:AC80"/>
    <mergeCell ref="AB81:AC81"/>
    <mergeCell ref="AB79:AC79"/>
    <mergeCell ref="AB82:AC82"/>
    <mergeCell ref="AB83:AC83"/>
    <mergeCell ref="AB84:AC84"/>
    <mergeCell ref="AB25:AC25"/>
    <mergeCell ref="AB33:AC33"/>
    <mergeCell ref="AB30:AC30"/>
    <mergeCell ref="AB31:AC31"/>
    <mergeCell ref="AB32:AC32"/>
    <mergeCell ref="B2:C2"/>
    <mergeCell ref="D2:G3"/>
    <mergeCell ref="I2:AB3"/>
    <mergeCell ref="AC2:AJ2"/>
    <mergeCell ref="B3:C3"/>
    <mergeCell ref="AC3:AJ4"/>
    <mergeCell ref="I4:AB5"/>
    <mergeCell ref="AD5:AG5"/>
    <mergeCell ref="AH5:AI6"/>
    <mergeCell ref="I6:AB6"/>
    <mergeCell ref="AD6:AG6"/>
    <mergeCell ref="AB28:AC28"/>
    <mergeCell ref="AD28:AJ28"/>
    <mergeCell ref="AB29:AC29"/>
    <mergeCell ref="AB26:AC26"/>
    <mergeCell ref="AD26:AJ26"/>
    <mergeCell ref="AB27:AC27"/>
    <mergeCell ref="AB296:AC296"/>
    <mergeCell ref="AE296:AI296"/>
    <mergeCell ref="AD212:AJ212"/>
    <mergeCell ref="AD210:AJ210"/>
    <mergeCell ref="AD161:AF161"/>
    <mergeCell ref="AG161:AJ161"/>
    <mergeCell ref="AD173:AJ173"/>
    <mergeCell ref="AB288:AC288"/>
    <mergeCell ref="AE288:AI288"/>
    <mergeCell ref="AB211:AC211"/>
    <mergeCell ref="AB249:AC249"/>
    <mergeCell ref="AE249:AI249"/>
    <mergeCell ref="AB239:AC239"/>
    <mergeCell ref="AB240:AC240"/>
    <mergeCell ref="AD240:AJ240"/>
    <mergeCell ref="AD227:AJ227"/>
    <mergeCell ref="AD171:AF171"/>
    <mergeCell ref="AG171:AJ171"/>
    <mergeCell ref="AB38:AC38"/>
    <mergeCell ref="W172:AA172"/>
    <mergeCell ref="AD172:AJ172"/>
    <mergeCell ref="W177:AA177"/>
    <mergeCell ref="W131:AA131"/>
    <mergeCell ref="W156:AA156"/>
    <mergeCell ref="W161:AA161"/>
    <mergeCell ref="AD160:AJ160"/>
    <mergeCell ref="V166:W166"/>
    <mergeCell ref="V168:W168"/>
    <mergeCell ref="W164:AA164"/>
    <mergeCell ref="W160:AA160"/>
    <mergeCell ref="AB162:AC162"/>
    <mergeCell ref="AD162:AJ162"/>
    <mergeCell ref="AB140:AC140"/>
    <mergeCell ref="AB137:AC137"/>
    <mergeCell ref="AB138:AC138"/>
    <mergeCell ref="AB141:AC141"/>
    <mergeCell ref="AB142:AC142"/>
    <mergeCell ref="AB173:AC173"/>
    <mergeCell ref="Q146:V147"/>
    <mergeCell ref="W146:W147"/>
    <mergeCell ref="AD38:AJ38"/>
    <mergeCell ref="AB39:AC39"/>
    <mergeCell ref="W227:AA227"/>
    <mergeCell ref="AM34:AM35"/>
    <mergeCell ref="AM51:AM52"/>
    <mergeCell ref="V110:W110"/>
    <mergeCell ref="V112:W112"/>
    <mergeCell ref="W108:AA108"/>
    <mergeCell ref="W115:AA115"/>
    <mergeCell ref="AD115:AJ115"/>
    <mergeCell ref="W120:AA120"/>
    <mergeCell ref="V122:W122"/>
    <mergeCell ref="AD117:AJ117"/>
    <mergeCell ref="W106:AA106"/>
    <mergeCell ref="AD101:AJ101"/>
    <mergeCell ref="AB91:AC91"/>
    <mergeCell ref="W51:AA51"/>
    <mergeCell ref="AB117:AC117"/>
    <mergeCell ref="X89:AA89"/>
    <mergeCell ref="AB92:AC92"/>
    <mergeCell ref="X46:AA46"/>
    <mergeCell ref="AB40:AC40"/>
    <mergeCell ref="AB41:AC41"/>
    <mergeCell ref="AB36:AC36"/>
    <mergeCell ref="AD36:AJ36"/>
    <mergeCell ref="AB37:AC37"/>
    <mergeCell ref="AM179:AM181"/>
    <mergeCell ref="AM199:AM200"/>
    <mergeCell ref="W234:AA234"/>
    <mergeCell ref="AD234:AJ234"/>
    <mergeCell ref="AB189:AC189"/>
    <mergeCell ref="W195:AA195"/>
    <mergeCell ref="G193:H193"/>
    <mergeCell ref="J193:K193"/>
    <mergeCell ref="M193:N193"/>
    <mergeCell ref="P193:Q193"/>
    <mergeCell ref="S193:T193"/>
    <mergeCell ref="X193:Y193"/>
    <mergeCell ref="AD220:AF220"/>
    <mergeCell ref="AG220:AJ220"/>
    <mergeCell ref="AD233:AJ233"/>
    <mergeCell ref="AD211:AJ211"/>
    <mergeCell ref="W210:AA210"/>
    <mergeCell ref="W212:AA212"/>
    <mergeCell ref="AB213:AC213"/>
    <mergeCell ref="AD213:AJ213"/>
    <mergeCell ref="W216:AA216"/>
    <mergeCell ref="AB201:AC201"/>
    <mergeCell ref="AD201:AJ201"/>
    <mergeCell ref="AB208:AC208"/>
  </mergeCells>
  <conditionalFormatting sqref="B8 AB8:AJ8 AD48:AJ52 AD137:AJ143">
    <cfRule type="expression" dxfId="1478" priority="360">
      <formula>NoColor</formula>
    </cfRule>
  </conditionalFormatting>
  <conditionalFormatting sqref="B10 B13:AH17 B18 P18:Q18 T18:U18 AB18 AF18 B19:AH19 B20:C20 E20:AH20">
    <cfRule type="expression" dxfId="1477" priority="401">
      <formula>IF(AND(File_Marr_Sep&lt;&gt;"",$AI$10=""),1,0)</formula>
    </cfRule>
  </conditionalFormatting>
  <conditionalFormatting sqref="B71 B72:C72">
    <cfRule type="expression" dxfId="1476" priority="283">
      <formula>IF(AND(File_Marr_Sep&lt;&gt;"",$AI$10=""),1,0)</formula>
    </cfRule>
  </conditionalFormatting>
  <conditionalFormatting sqref="B9:C9">
    <cfRule type="expression" dxfId="1475" priority="302">
      <formula>IF(AND(File_Marr_Sep&lt;&gt;"",$AI$10=""),1,0)</formula>
    </cfRule>
  </conditionalFormatting>
  <conditionalFormatting sqref="B70:C70 E70:AH72">
    <cfRule type="expression" dxfId="1474" priority="282">
      <formula>IF(AND(File_Marr_Sep&lt;&gt;"",$AI$10=""),1,0)</formula>
    </cfRule>
  </conditionalFormatting>
  <conditionalFormatting sqref="B18:O18">
    <cfRule type="expression" dxfId="1473" priority="300">
      <formula>NoColor</formula>
    </cfRule>
  </conditionalFormatting>
  <conditionalFormatting sqref="C32">
    <cfRule type="expression" dxfId="1472" priority="182">
      <formula>AND($AH$32&lt;&gt;"",$AD$34&lt;&gt;"")</formula>
    </cfRule>
  </conditionalFormatting>
  <conditionalFormatting sqref="C42:C43">
    <cfRule type="expression" dxfId="1471" priority="125">
      <formula>AND($AH$40&lt;&gt;"",NOT(NoColor),OR($W$51&lt;&gt;"",$P$55&lt;&gt;""))</formula>
    </cfRule>
  </conditionalFormatting>
  <conditionalFormatting sqref="C47">
    <cfRule type="expression" dxfId="1470" priority="171">
      <formula>IF(AND(File_Marr_Sep&lt;&gt;"",$AI$10=""),1,0)</formula>
    </cfRule>
  </conditionalFormatting>
  <conditionalFormatting sqref="C83:C84">
    <cfRule type="expression" dxfId="1469" priority="167">
      <formula>$AO$136</formula>
    </cfRule>
  </conditionalFormatting>
  <conditionalFormatting sqref="C90">
    <cfRule type="expression" dxfId="1468" priority="177">
      <formula>IF(AND(File_Marr_Sep&lt;&gt;"",$AI$10=""),1,0)</formula>
    </cfRule>
  </conditionalFormatting>
  <conditionalFormatting sqref="C143:C144">
    <cfRule type="expression" dxfId="1467" priority="6908">
      <formula>#REF!</formula>
    </cfRule>
  </conditionalFormatting>
  <conditionalFormatting sqref="C46:AA46">
    <cfRule type="expression" dxfId="1466" priority="172">
      <formula>NoColor</formula>
    </cfRule>
  </conditionalFormatting>
  <conditionalFormatting sqref="C89:AA89">
    <cfRule type="expression" dxfId="1465" priority="178">
      <formula>NoColor</formula>
    </cfRule>
  </conditionalFormatting>
  <conditionalFormatting sqref="C148:AA151">
    <cfRule type="expression" dxfId="1464" priority="229">
      <formula>NoColor</formula>
    </cfRule>
  </conditionalFormatting>
  <conditionalFormatting sqref="D288">
    <cfRule type="expression" dxfId="1463" priority="183">
      <formula>AND(NOT(NoColor),RCE_CL_WKST&lt;=0)</formula>
    </cfRule>
  </conditionalFormatting>
  <conditionalFormatting sqref="D321">
    <cfRule type="expression" dxfId="1461" priority="180">
      <formula>AND(NOT(NoColor),EEHI_CL_WKST&lt;=0)</formula>
    </cfRule>
  </conditionalFormatting>
  <conditionalFormatting sqref="E9:AH12 B11:C12">
    <cfRule type="expression" dxfId="1460" priority="301">
      <formula>IF(AND(File_Marr_Sep&lt;&gt;"",$AI$10=""),1,0)</formula>
    </cfRule>
  </conditionalFormatting>
  <conditionalFormatting sqref="G193:H193">
    <cfRule type="expression" dxfId="1459" priority="7">
      <formula>NoColor</formula>
    </cfRule>
  </conditionalFormatting>
  <conditionalFormatting sqref="J193:K193">
    <cfRule type="expression" dxfId="1458" priority="6">
      <formula>NoColor</formula>
    </cfRule>
  </conditionalFormatting>
  <conditionalFormatting sqref="M193:N193">
    <cfRule type="expression" dxfId="1457" priority="5">
      <formula>NoColor</formula>
    </cfRule>
  </conditionalFormatting>
  <conditionalFormatting sqref="M117:O117">
    <cfRule type="expression" dxfId="1456" priority="72">
      <formula>$AO$118</formula>
    </cfRule>
  </conditionalFormatting>
  <conditionalFormatting sqref="M48:R48 M102:R105 M106 P106:R106 M107:R108 M136:R136 X136 M195:R200 M242:R242 M243:S243 M244:R244">
    <cfRule type="expression" dxfId="1455" priority="286">
      <formula>IF(NoColor,1,0)</formula>
    </cfRule>
  </conditionalFormatting>
  <conditionalFormatting sqref="M50:R54 M55:P55 M73:R74">
    <cfRule type="expression" dxfId="1454" priority="402">
      <formula>IF(NoColor,1,0)</formula>
    </cfRule>
  </conditionalFormatting>
  <conditionalFormatting sqref="M66:R67">
    <cfRule type="expression" dxfId="1453" priority="284">
      <formula>IF(NoColor,1,0)</formula>
    </cfRule>
  </conditionalFormatting>
  <conditionalFormatting sqref="M97:R100">
    <cfRule type="expression" dxfId="1452" priority="259">
      <formula>IF(NoColor,1,0)</formula>
    </cfRule>
  </conditionalFormatting>
  <conditionalFormatting sqref="M110:R110">
    <cfRule type="expression" dxfId="1451" priority="31">
      <formula>IF(NoColor,1,0)</formula>
    </cfRule>
  </conditionalFormatting>
  <conditionalFormatting sqref="M112:R112">
    <cfRule type="expression" dxfId="1450" priority="30">
      <formula>IF(NoColor,1,0)</formula>
    </cfRule>
  </conditionalFormatting>
  <conditionalFormatting sqref="M114:R114">
    <cfRule type="expression" dxfId="1449" priority="249">
      <formula>IF(NoColor,1,0)</formula>
    </cfRule>
  </conditionalFormatting>
  <conditionalFormatting sqref="M118:R120">
    <cfRule type="expression" dxfId="1448" priority="121">
      <formula>IF(NoColor,1,0)</formula>
    </cfRule>
  </conditionalFormatting>
  <conditionalFormatting sqref="M122:R122">
    <cfRule type="expression" dxfId="1447" priority="29">
      <formula>IF(NoColor,1,0)</formula>
    </cfRule>
  </conditionalFormatting>
  <conditionalFormatting sqref="M124:R124">
    <cfRule type="expression" dxfId="1446" priority="28">
      <formula>IF(NoColor,1,0)</formula>
    </cfRule>
  </conditionalFormatting>
  <conditionalFormatting sqref="M126:R126">
    <cfRule type="expression" dxfId="1445" priority="27">
      <formula>IF(NoColor,1,0)</formula>
    </cfRule>
  </conditionalFormatting>
  <conditionalFormatting sqref="M128:R128">
    <cfRule type="expression" dxfId="1444" priority="26">
      <formula>IF(NoColor,1,0)</formula>
    </cfRule>
  </conditionalFormatting>
  <conditionalFormatting sqref="M131:R132">
    <cfRule type="expression" dxfId="1443" priority="115">
      <formula>IF(NoColor,1,0)</formula>
    </cfRule>
  </conditionalFormatting>
  <conditionalFormatting sqref="M153:R156">
    <cfRule type="expression" dxfId="1442" priority="108">
      <formula>IF(NoColor,1,0)</formula>
    </cfRule>
  </conditionalFormatting>
  <conditionalFormatting sqref="M158:R158">
    <cfRule type="expression" dxfId="1441" priority="25">
      <formula>IF(NoColor,1,0)</formula>
    </cfRule>
  </conditionalFormatting>
  <conditionalFormatting sqref="M160:R160">
    <cfRule type="expression" dxfId="1440" priority="226">
      <formula>IF(NoColor,1,0)</formula>
    </cfRule>
  </conditionalFormatting>
  <conditionalFormatting sqref="M163:R164">
    <cfRule type="expression" dxfId="1439" priority="223">
      <formula>IF(NoColor,1,0)</formula>
    </cfRule>
  </conditionalFormatting>
  <conditionalFormatting sqref="M166:R166">
    <cfRule type="expression" dxfId="1438" priority="24">
      <formula>IF(NoColor,1,0)</formula>
    </cfRule>
  </conditionalFormatting>
  <conditionalFormatting sqref="M168:R168">
    <cfRule type="expression" dxfId="1437" priority="23">
      <formula>IF(NoColor,1,0)</formula>
    </cfRule>
  </conditionalFormatting>
  <conditionalFormatting sqref="M171:R171">
    <cfRule type="expression" dxfId="1436" priority="93">
      <formula>IF(NoColor,1,0)</formula>
    </cfRule>
  </conditionalFormatting>
  <conditionalFormatting sqref="M174:R177">
    <cfRule type="expression" dxfId="1435" priority="83">
      <formula>IF(NoColor,1,0)</formula>
    </cfRule>
  </conditionalFormatting>
  <conditionalFormatting sqref="M179:R179">
    <cfRule type="expression" dxfId="1434" priority="22">
      <formula>IF(NoColor,1,0)</formula>
    </cfRule>
  </conditionalFormatting>
  <conditionalFormatting sqref="M182:R182">
    <cfRule type="expression" dxfId="1433" priority="85">
      <formula>IF(NoColor,1,0)</formula>
    </cfRule>
  </conditionalFormatting>
  <conditionalFormatting sqref="M185:R192 O193 R193">
    <cfRule type="expression" dxfId="1432" priority="217">
      <formula>IF(NoColor,1,0)</formula>
    </cfRule>
  </conditionalFormatting>
  <conditionalFormatting sqref="M212:R212">
    <cfRule type="expression" dxfId="1431" priority="205">
      <formula>IF(NoColor,1,0)</formula>
    </cfRule>
  </conditionalFormatting>
  <conditionalFormatting sqref="M214:R216">
    <cfRule type="expression" dxfId="1430" priority="57">
      <formula>IF(NoColor,1,0)</formula>
    </cfRule>
  </conditionalFormatting>
  <conditionalFormatting sqref="M218:R218">
    <cfRule type="expression" dxfId="1429" priority="21">
      <formula>IF(NoColor,1,0)</formula>
    </cfRule>
  </conditionalFormatting>
  <conditionalFormatting sqref="M220:R222">
    <cfRule type="expression" dxfId="1428" priority="46">
      <formula>IF(NoColor,1,0)</formula>
    </cfRule>
  </conditionalFormatting>
  <conditionalFormatting sqref="M224:R224">
    <cfRule type="expression" dxfId="1427" priority="20">
      <formula>IF(NoColor,1,0)</formula>
    </cfRule>
  </conditionalFormatting>
  <conditionalFormatting sqref="M227:R229">
    <cfRule type="expression" dxfId="1426" priority="43">
      <formula>IF(NoColor,1,0)</formula>
    </cfRule>
  </conditionalFormatting>
  <conditionalFormatting sqref="M231:R231">
    <cfRule type="expression" dxfId="1425" priority="19">
      <formula>IF(NoColor,1,0)</formula>
    </cfRule>
  </conditionalFormatting>
  <conditionalFormatting sqref="M233:R234">
    <cfRule type="expression" dxfId="1424" priority="38">
      <formula>IF(NoColor,1,0)</formula>
    </cfRule>
  </conditionalFormatting>
  <conditionalFormatting sqref="N47">
    <cfRule type="expression" dxfId="1423" priority="170">
      <formula>IF(AND(File_Marr_Sep&lt;&gt;"",$AI$10=""),1,0)</formula>
    </cfRule>
  </conditionalFormatting>
  <conditionalFormatting sqref="N90">
    <cfRule type="expression" dxfId="1422" priority="176">
      <formula>IF(AND(File_Marr_Sep&lt;&gt;"",$AI$10=""),1,0)</formula>
    </cfRule>
  </conditionalFormatting>
  <conditionalFormatting sqref="P193:Q193">
    <cfRule type="expression" dxfId="1421" priority="4">
      <formula>NoColor</formula>
    </cfRule>
  </conditionalFormatting>
  <conditionalFormatting sqref="Q47">
    <cfRule type="expression" dxfId="1420" priority="169">
      <formula>IF(AND(File_Marr_Sep&lt;&gt;"",$AI$10=""),1,0)</formula>
    </cfRule>
  </conditionalFormatting>
  <conditionalFormatting sqref="Q49">
    <cfRule type="expression" dxfId="1419" priority="16">
      <formula>NoColor</formula>
    </cfRule>
  </conditionalFormatting>
  <conditionalFormatting sqref="Q90">
    <cfRule type="expression" dxfId="1418" priority="175">
      <formula>IF(AND(File_Marr_Sep&lt;&gt;"",$AI$10=""),1,0)</formula>
    </cfRule>
  </conditionalFormatting>
  <conditionalFormatting sqref="Q162 T162">
    <cfRule type="expression" dxfId="1417" priority="100">
      <formula>IF(NoColor,1,0)</formula>
    </cfRule>
  </conditionalFormatting>
  <conditionalFormatting sqref="Q184 T184:U184">
    <cfRule type="expression" dxfId="1416" priority="75">
      <formula>IF(NoColor,1,0)</formula>
    </cfRule>
  </conditionalFormatting>
  <conditionalFormatting sqref="Q241">
    <cfRule type="expression" dxfId="1415" priority="184">
      <formula>NoColor</formula>
    </cfRule>
  </conditionalFormatting>
  <conditionalFormatting sqref="Q18:S18">
    <cfRule type="expression" dxfId="1414" priority="299">
      <formula>NoColor</formula>
    </cfRule>
  </conditionalFormatting>
  <conditionalFormatting sqref="S133">
    <cfRule type="expression" dxfId="1413" priority="69">
      <formula>$AO$134</formula>
    </cfRule>
  </conditionalFormatting>
  <conditionalFormatting sqref="S101:T101">
    <cfRule type="expression" dxfId="1412" priority="73">
      <formula>$AO$102</formula>
    </cfRule>
  </conditionalFormatting>
  <conditionalFormatting sqref="S162:T162">
    <cfRule type="expression" dxfId="1411" priority="67">
      <formula>$AO$166</formula>
    </cfRule>
  </conditionalFormatting>
  <conditionalFormatting sqref="S193:T193">
    <cfRule type="expression" dxfId="1410" priority="3">
      <formula>NoColor</formula>
    </cfRule>
  </conditionalFormatting>
  <conditionalFormatting sqref="S184:U184">
    <cfRule type="expression" dxfId="1409" priority="65">
      <formula>$AO$185</formula>
    </cfRule>
  </conditionalFormatting>
  <conditionalFormatting sqref="S211:U211">
    <cfRule type="expression" dxfId="1408" priority="6948">
      <formula>$AN$212</formula>
    </cfRule>
  </conditionalFormatting>
  <conditionalFormatting sqref="S235:U235">
    <cfRule type="expression" dxfId="1407" priority="7072">
      <formula>$AO$237</formula>
    </cfRule>
  </conditionalFormatting>
  <conditionalFormatting sqref="S201:V201">
    <cfRule type="expression" dxfId="1406" priority="59">
      <formula>$AO$202</formula>
    </cfRule>
  </conditionalFormatting>
  <conditionalFormatting sqref="T133">
    <cfRule type="expression" dxfId="1405" priority="68">
      <formula>AO134</formula>
    </cfRule>
  </conditionalFormatting>
  <conditionalFormatting sqref="T243">
    <cfRule type="expression" dxfId="1404" priority="32">
      <formula>NoColor</formula>
    </cfRule>
  </conditionalFormatting>
  <conditionalFormatting sqref="T173:U173">
    <cfRule type="expression" dxfId="1403" priority="66">
      <formula>$AO$174</formula>
    </cfRule>
  </conditionalFormatting>
  <conditionalFormatting sqref="T201:V201">
    <cfRule type="expression" dxfId="1402" priority="60">
      <formula>NoColor</formula>
    </cfRule>
  </conditionalFormatting>
  <conditionalFormatting sqref="U133">
    <cfRule type="expression" dxfId="1401" priority="70">
      <formula>$AO$133</formula>
    </cfRule>
  </conditionalFormatting>
  <conditionalFormatting sqref="U218 W218:AA218 AA219 U224:AA224 AA225:AA226">
    <cfRule type="expression" dxfId="1400" priority="55">
      <formula>NoColor</formula>
    </cfRule>
  </conditionalFormatting>
  <conditionalFormatting sqref="U18:AA18">
    <cfRule type="expression" dxfId="1399" priority="298">
      <formula>NoColor</formula>
    </cfRule>
  </conditionalFormatting>
  <conditionalFormatting sqref="U119:AA119 W123:AA123 W127:AA127 Y129:AA130">
    <cfRule type="expression" dxfId="1398" priority="120">
      <formula>NoColor</formula>
    </cfRule>
  </conditionalFormatting>
  <conditionalFormatting sqref="U158:AA158 AA159">
    <cfRule type="expression" dxfId="1397" priority="106">
      <formula>NoColor</formula>
    </cfRule>
  </conditionalFormatting>
  <conditionalFormatting sqref="U179:AA179 AA180:AA181">
    <cfRule type="expression" dxfId="1396" priority="81">
      <formula>NoColor</formula>
    </cfRule>
  </conditionalFormatting>
  <conditionalFormatting sqref="U231:AA231 AA232">
    <cfRule type="expression" dxfId="1395" priority="41">
      <formula>NoColor</formula>
    </cfRule>
  </conditionalFormatting>
  <conditionalFormatting sqref="V193:Y193">
    <cfRule type="expression" dxfId="1394" priority="1">
      <formula>NoColor</formula>
    </cfRule>
  </conditionalFormatting>
  <conditionalFormatting sqref="V110:AA110">
    <cfRule type="expression" dxfId="1393" priority="15">
      <formula>NoColor</formula>
    </cfRule>
  </conditionalFormatting>
  <conditionalFormatting sqref="V112:AA112">
    <cfRule type="expression" dxfId="1392" priority="14">
      <formula>NoColor</formula>
    </cfRule>
  </conditionalFormatting>
  <conditionalFormatting sqref="V122:AA122">
    <cfRule type="expression" dxfId="1391" priority="13">
      <formula>NoColor</formula>
    </cfRule>
  </conditionalFormatting>
  <conditionalFormatting sqref="V124:AA124">
    <cfRule type="expression" dxfId="1390" priority="12">
      <formula>NoColor</formula>
    </cfRule>
  </conditionalFormatting>
  <conditionalFormatting sqref="V126:AA126">
    <cfRule type="expression" dxfId="1389" priority="11">
      <formula>NoColor</formula>
    </cfRule>
  </conditionalFormatting>
  <conditionalFormatting sqref="V128:AA128">
    <cfRule type="expression" dxfId="1388" priority="10">
      <formula>NoColor</formula>
    </cfRule>
  </conditionalFormatting>
  <conditionalFormatting sqref="V166:AA166">
    <cfRule type="expression" dxfId="1387" priority="9">
      <formula>NoColor</formula>
    </cfRule>
  </conditionalFormatting>
  <conditionalFormatting sqref="V168:AA168">
    <cfRule type="expression" dxfId="1386" priority="8">
      <formula>NoColor</formula>
    </cfRule>
  </conditionalFormatting>
  <conditionalFormatting sqref="W51:AA51">
    <cfRule type="expression" dxfId="1385" priority="161">
      <formula>NoColor</formula>
    </cfRule>
  </conditionalFormatting>
  <conditionalFormatting sqref="W53:AA53">
    <cfRule type="expression" dxfId="1384" priority="160">
      <formula>NoColor</formula>
    </cfRule>
  </conditionalFormatting>
  <conditionalFormatting sqref="W55:AA55">
    <cfRule type="expression" dxfId="1383" priority="159">
      <formula>NoColor</formula>
    </cfRule>
  </conditionalFormatting>
  <conditionalFormatting sqref="W67:AA67">
    <cfRule type="expression" dxfId="1382" priority="153">
      <formula>NoColor</formula>
    </cfRule>
  </conditionalFormatting>
  <conditionalFormatting sqref="W100:AA100 W242:AA242 O243 X243:AA243 W244:AA244">
    <cfRule type="expression" dxfId="1381" priority="228">
      <formula>NoColor</formula>
    </cfRule>
  </conditionalFormatting>
  <conditionalFormatting sqref="W103:AA108 W111:AA111 Y113:AA113 W114:AA116">
    <cfRule type="expression" dxfId="1380" priority="227">
      <formula>NoColor</formula>
    </cfRule>
  </conditionalFormatting>
  <conditionalFormatting sqref="W120:AA120">
    <cfRule type="expression" dxfId="1379" priority="111">
      <formula>NoColor</formula>
    </cfRule>
  </conditionalFormatting>
  <conditionalFormatting sqref="W131:AA132">
    <cfRule type="expression" dxfId="1378" priority="109">
      <formula>NoColor</formula>
    </cfRule>
  </conditionalFormatting>
  <conditionalFormatting sqref="W155:AA156">
    <cfRule type="expression" dxfId="1377" priority="101">
      <formula>NoColor</formula>
    </cfRule>
  </conditionalFormatting>
  <conditionalFormatting sqref="W160:AA161">
    <cfRule type="expression" dxfId="1376" priority="102">
      <formula>NoColor</formula>
    </cfRule>
  </conditionalFormatting>
  <conditionalFormatting sqref="W164:AA164">
    <cfRule type="expression" dxfId="1375" priority="87">
      <formula>NoColor</formula>
    </cfRule>
  </conditionalFormatting>
  <conditionalFormatting sqref="W171:AA172">
    <cfRule type="expression" dxfId="1374" priority="89">
      <formula>NoColor</formula>
    </cfRule>
  </conditionalFormatting>
  <conditionalFormatting sqref="W176:AA177">
    <cfRule type="expression" dxfId="1373" priority="76">
      <formula>NoColor</formula>
    </cfRule>
  </conditionalFormatting>
  <conditionalFormatting sqref="W182:AA183">
    <cfRule type="expression" dxfId="1372" priority="77">
      <formula>NoColor</formula>
    </cfRule>
  </conditionalFormatting>
  <conditionalFormatting sqref="W195:AA195">
    <cfRule type="expression" dxfId="1371" priority="17">
      <formula>NoColor</formula>
    </cfRule>
  </conditionalFormatting>
  <conditionalFormatting sqref="W209:AA209">
    <cfRule type="expression" dxfId="1370" priority="212">
      <formula>NoColor</formula>
    </cfRule>
  </conditionalFormatting>
  <conditionalFormatting sqref="W210:AA210">
    <cfRule type="expression" dxfId="1369" priority="141">
      <formula>NoColor</formula>
    </cfRule>
  </conditionalFormatting>
  <conditionalFormatting sqref="W212:AA212">
    <cfRule type="expression" dxfId="1368" priority="130">
      <formula>NoColor</formula>
    </cfRule>
  </conditionalFormatting>
  <conditionalFormatting sqref="W215:AA216">
    <cfRule type="expression" dxfId="1367" priority="53">
      <formula>NoColor</formula>
    </cfRule>
  </conditionalFormatting>
  <conditionalFormatting sqref="W220:AA222">
    <cfRule type="expression" dxfId="1366" priority="44">
      <formula>NoColor</formula>
    </cfRule>
  </conditionalFormatting>
  <conditionalFormatting sqref="W227:AA229">
    <cfRule type="expression" dxfId="1365" priority="39">
      <formula>NoColor</formula>
    </cfRule>
  </conditionalFormatting>
  <conditionalFormatting sqref="W233:AA234">
    <cfRule type="expression" dxfId="1364" priority="36">
      <formula>NoColor</formula>
    </cfRule>
  </conditionalFormatting>
  <conditionalFormatting sqref="X47">
    <cfRule type="expression" dxfId="1363" priority="168">
      <formula>IF(AND(File_Marr_Sep&lt;&gt;"",$AI$10=""),1,0)</formula>
    </cfRule>
  </conditionalFormatting>
  <conditionalFormatting sqref="X73:X74">
    <cfRule type="expression" dxfId="1362" priority="293">
      <formula>IF(NoColor,1,0)</formula>
    </cfRule>
  </conditionalFormatting>
  <conditionalFormatting sqref="X90">
    <cfRule type="expression" dxfId="1361" priority="174">
      <formula>IF(AND(File_Marr_Sep&lt;&gt;"",$AI$10=""),1,0)</formula>
    </cfRule>
  </conditionalFormatting>
  <conditionalFormatting sqref="X204 M204:R210">
    <cfRule type="expression" dxfId="1360" priority="74">
      <formula>IF(NoColor,1,0)</formula>
    </cfRule>
  </conditionalFormatting>
  <conditionalFormatting sqref="AA163">
    <cfRule type="expression" dxfId="1359" priority="88">
      <formula>NoColor</formula>
    </cfRule>
  </conditionalFormatting>
  <conditionalFormatting sqref="AA167">
    <cfRule type="expression" dxfId="1358" priority="98">
      <formula>NoColor</formula>
    </cfRule>
  </conditionalFormatting>
  <conditionalFormatting sqref="AA169:AA170">
    <cfRule type="expression" dxfId="1357" priority="95">
      <formula>NoColor</formula>
    </cfRule>
  </conditionalFormatting>
  <conditionalFormatting sqref="AB8:AJ8">
    <cfRule type="expression" dxfId="1356" priority="317">
      <formula>NoSSN</formula>
    </cfRule>
    <cfRule type="expression" dxfId="1355" priority="358">
      <formula>NoSSN</formula>
    </cfRule>
    <cfRule type="expression" dxfId="1354" priority="359">
      <formula>AND(NoColor,NoSSN)</formula>
    </cfRule>
  </conditionalFormatting>
  <conditionalFormatting sqref="AC18:AE18">
    <cfRule type="expression" dxfId="1352" priority="297">
      <formula>NoColor</formula>
    </cfRule>
  </conditionalFormatting>
  <conditionalFormatting sqref="AD37 AD53 AD54:AJ54 AD55">
    <cfRule type="expression" dxfId="1351" priority="331">
      <formula>NoColor</formula>
    </cfRule>
  </conditionalFormatting>
  <conditionalFormatting sqref="AD160:AD161">
    <cfRule type="expression" dxfId="1350" priority="104">
      <formula>NoColor</formula>
    </cfRule>
  </conditionalFormatting>
  <conditionalFormatting sqref="AD171:AD172">
    <cfRule type="expression" dxfId="1349" priority="91">
      <formula>NoColor</formula>
    </cfRule>
  </conditionalFormatting>
  <conditionalFormatting sqref="AD182:AD183">
    <cfRule type="expression" dxfId="1348" priority="79">
      <formula>NoColor</formula>
    </cfRule>
  </conditionalFormatting>
  <conditionalFormatting sqref="AD210">
    <cfRule type="expression" dxfId="1347" priority="207">
      <formula>NoColor</formula>
    </cfRule>
  </conditionalFormatting>
  <conditionalFormatting sqref="AD212">
    <cfRule type="expression" dxfId="1346" priority="204">
      <formula>NoColor</formula>
    </cfRule>
  </conditionalFormatting>
  <conditionalFormatting sqref="AD220 AG220">
    <cfRule type="expression" dxfId="1345" priority="45">
      <formula>NoColor</formula>
    </cfRule>
  </conditionalFormatting>
  <conditionalFormatting sqref="AD227">
    <cfRule type="expression" dxfId="1344" priority="51">
      <formula>NoColor</formula>
    </cfRule>
  </conditionalFormatting>
  <conditionalFormatting sqref="AD233:AD234">
    <cfRule type="expression" dxfId="1343" priority="37">
      <formula>NoColor</formula>
    </cfRule>
  </conditionalFormatting>
  <conditionalFormatting sqref="AD241">
    <cfRule type="expression" dxfId="1342" priority="131">
      <formula>NoColor</formula>
    </cfRule>
  </conditionalFormatting>
  <conditionalFormatting sqref="AD21:AJ36">
    <cfRule type="expression" dxfId="1341" priority="163">
      <formula>NoColor</formula>
    </cfRule>
  </conditionalFormatting>
  <conditionalFormatting sqref="AD38:AJ45">
    <cfRule type="expression" dxfId="1340" priority="162">
      <formula>NoColor</formula>
    </cfRule>
  </conditionalFormatting>
  <conditionalFormatting sqref="AD56:AJ67">
    <cfRule type="expression" dxfId="1339" priority="154">
      <formula>NoColor</formula>
    </cfRule>
  </conditionalFormatting>
  <conditionalFormatting sqref="AD76:AJ88">
    <cfRule type="expression" dxfId="1338" priority="275">
      <formula>NoColor</formula>
    </cfRule>
  </conditionalFormatting>
  <conditionalFormatting sqref="AD91:AJ93">
    <cfRule type="expression" dxfId="1337" priority="266">
      <formula>NoColor</formula>
    </cfRule>
  </conditionalFormatting>
  <conditionalFormatting sqref="AD97:AJ99 AD100 AG100 AD106 AD115:AD116 AD132">
    <cfRule type="expression" dxfId="1336" priority="238">
      <formula>NoColor</formula>
    </cfRule>
  </conditionalFormatting>
  <conditionalFormatting sqref="AD101:AJ105">
    <cfRule type="expression" dxfId="1335" priority="152">
      <formula>NoColor</formula>
    </cfRule>
  </conditionalFormatting>
  <conditionalFormatting sqref="AD107:AJ114">
    <cfRule type="expression" dxfId="1334" priority="123">
      <formula>NoColor</formula>
    </cfRule>
  </conditionalFormatting>
  <conditionalFormatting sqref="AD117:AJ133">
    <cfRule type="expression" dxfId="1333" priority="119">
      <formula>NoColor</formula>
    </cfRule>
  </conditionalFormatting>
  <conditionalFormatting sqref="AD153:AJ159">
    <cfRule type="expression" dxfId="1332" priority="105">
      <formula>NoColor</formula>
    </cfRule>
  </conditionalFormatting>
  <conditionalFormatting sqref="AD162:AJ170">
    <cfRule type="expression" dxfId="1331" priority="94">
      <formula>NoColor</formula>
    </cfRule>
  </conditionalFormatting>
  <conditionalFormatting sqref="AD173:AJ181">
    <cfRule type="expression" dxfId="1330" priority="80">
      <formula>NoColor</formula>
    </cfRule>
  </conditionalFormatting>
  <conditionalFormatting sqref="AD184:AJ201">
    <cfRule type="expression" dxfId="1329" priority="18">
      <formula>NoColor</formula>
    </cfRule>
  </conditionalFormatting>
  <conditionalFormatting sqref="AD205:AJ209">
    <cfRule type="expression" dxfId="1328" priority="137">
      <formula>NoColor</formula>
    </cfRule>
  </conditionalFormatting>
  <conditionalFormatting sqref="AD211:AJ211">
    <cfRule type="expression" dxfId="1327" priority="136">
      <formula>NoColor</formula>
    </cfRule>
  </conditionalFormatting>
  <conditionalFormatting sqref="AD213:AJ219 AD221:AJ226">
    <cfRule type="expression" dxfId="1326" priority="54">
      <formula>NoColor</formula>
    </cfRule>
  </conditionalFormatting>
  <conditionalFormatting sqref="AD228:AJ232">
    <cfRule type="expression" dxfId="1325" priority="40">
      <formula>NoColor</formula>
    </cfRule>
  </conditionalFormatting>
  <conditionalFormatting sqref="AD235:AJ240">
    <cfRule type="expression" dxfId="1324" priority="35">
      <formula>NoColor</formula>
    </cfRule>
  </conditionalFormatting>
  <conditionalFormatting sqref="AE249:AI288">
    <cfRule type="expression" dxfId="1323" priority="128">
      <formula>NoColor</formula>
    </cfRule>
  </conditionalFormatting>
  <conditionalFormatting sqref="AE296:AI321">
    <cfRule type="expression" dxfId="1322" priority="127">
      <formula>NoColor</formula>
    </cfRule>
  </conditionalFormatting>
  <conditionalFormatting sqref="AG161">
    <cfRule type="expression" dxfId="1320" priority="225">
      <formula>NoColor</formula>
    </cfRule>
  </conditionalFormatting>
  <conditionalFormatting sqref="AG171">
    <cfRule type="expression" dxfId="1319" priority="92">
      <formula>NoColor</formula>
    </cfRule>
  </conditionalFormatting>
  <conditionalFormatting sqref="AG182">
    <cfRule type="expression" dxfId="1318" priority="84">
      <formula>NoColor</formula>
    </cfRule>
  </conditionalFormatting>
  <conditionalFormatting sqref="AG18:AI18">
    <cfRule type="expression" dxfId="1317" priority="296">
      <formula>NoColor</formula>
    </cfRule>
  </conditionalFormatting>
  <conditionalFormatting sqref="AL43:AM43">
    <cfRule type="expression" dxfId="1315" priority="179">
      <formula>OR($W$51&lt;&gt;"",$P$55&lt;&gt;"")</formula>
    </cfRule>
  </conditionalFormatting>
  <pageMargins left="0.75" right="0.25" top="0.3" bottom="0.28999999999999998" header="0.36" footer="0.21"/>
  <pageSetup scale="65" fitToHeight="0" orientation="portrait" r:id="rId1"/>
  <rowBreaks count="5" manualBreakCount="5">
    <brk id="68" min="1" max="35" man="1"/>
    <brk id="134" min="1" max="35" man="1"/>
    <brk id="202" min="1" max="35" man="1"/>
    <brk id="245" max="16383" man="1"/>
    <brk id="293" max="16383" man="1"/>
  </rowBreaks>
  <extLst>
    <ext xmlns:x14="http://schemas.microsoft.com/office/spreadsheetml/2009/9/main" uri="{78C0D931-6437-407d-A8EE-F0AAD7539E65}">
      <x14:conditionalFormattings>
        <x14:conditionalFormatting xmlns:xm="http://schemas.microsoft.com/office/excel/2006/main">
          <x14:cfRule type="expression" priority="124" id="{A85F76D3-2BD1-4327-B86A-C3F0AFD30323}">
            <xm:f>'8812'!$C$107</xm:f>
            <x14:dxf>
              <font>
                <b/>
                <i/>
                <color rgb="FF008000"/>
              </font>
            </x14:dxf>
          </x14:cfRule>
          <xm:sqref>D290:D292</xm:sqref>
        </x14:conditionalFormatting>
        <x14:conditionalFormatting xmlns:xm="http://schemas.microsoft.com/office/excel/2006/main">
          <x14:cfRule type="expression" priority="316" id="{AB475A94-C40A-4799-AC54-D1D49381789D}">
            <xm:f>AND('Table of Contents'!A49="D",AK2="")</xm:f>
            <x14:dxf>
              <font>
                <b/>
                <i val="0"/>
                <color rgb="FFC00000"/>
              </font>
            </x14:dxf>
          </x14:cfRule>
          <xm:sqref>AC2:AE2</xm:sqref>
        </x14:conditionalFormatting>
        <x14:conditionalFormatting xmlns:xm="http://schemas.microsoft.com/office/excel/2006/main">
          <x14:cfRule type="expression" priority="5494" id="{AB475A94-C40A-4799-AC54-D1D49381789D}">
            <xm:f>AND('Table of Contents'!D49="D",#REF!="")</xm:f>
            <x14:dxf>
              <font>
                <b/>
                <i val="0"/>
                <color rgb="FFC00000"/>
              </font>
            </x14:dxf>
          </x14:cfRule>
          <xm:sqref>AF2:AJ2</xm:sqref>
        </x14:conditionalFormatting>
        <x14:conditionalFormatting xmlns:xm="http://schemas.microsoft.com/office/excel/2006/main">
          <x14:cfRule type="expression" priority="303" id="{C8D11FAF-563D-4215-8A61-D823E16DAF11}">
            <xm:f>'Table of Contents'!A49="D"</xm:f>
            <x14:dxf>
              <fill>
                <patternFill>
                  <bgColor theme="0"/>
                </patternFill>
              </fill>
              <border>
                <right style="thin">
                  <color auto="1"/>
                </right>
                <top style="thin">
                  <color auto="1"/>
                </top>
                <bottom style="thin">
                  <color auto="1"/>
                </bottom>
                <vertical/>
                <horizontal/>
              </border>
            </x14:dxf>
          </x14:cfRule>
          <xm:sqref>AK2</xm:sqref>
        </x14:conditionalFormatting>
      </x14:conditionalFormatting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13">
    <pageSetUpPr fitToPage="1"/>
  </sheetPr>
  <dimension ref="A1:AT272"/>
  <sheetViews>
    <sheetView zoomScaleNormal="100" zoomScaleSheetLayoutView="100" workbookViewId="0"/>
  </sheetViews>
  <sheetFormatPr defaultRowHeight="12.75"/>
  <cols>
    <col min="1" max="1" width="2.42578125" customWidth="1"/>
    <col min="2" max="2" width="7.85546875" customWidth="1"/>
    <col min="3" max="3" width="3.140625" customWidth="1"/>
    <col min="4" max="4" width="10.7109375" customWidth="1"/>
    <col min="5" max="5" width="8.7109375" customWidth="1"/>
    <col min="6" max="6" width="21.42578125" customWidth="1"/>
    <col min="7" max="7" width="14.85546875" customWidth="1"/>
    <col min="8" max="8" width="6.85546875" customWidth="1"/>
    <col min="9" max="9" width="8.85546875" customWidth="1"/>
    <col min="10" max="10" width="4.140625" customWidth="1"/>
    <col min="11" max="11" width="13.42578125" customWidth="1"/>
    <col min="12" max="12" width="3.7109375" customWidth="1"/>
    <col min="13" max="13" width="14.140625" customWidth="1"/>
    <col min="14" max="14" width="2.5703125" customWidth="1"/>
    <col min="15" max="15" width="3.42578125" style="314" customWidth="1"/>
    <col min="16" max="16" width="30.140625" customWidth="1"/>
    <col min="17" max="17" width="3.5703125" customWidth="1"/>
    <col min="18" max="18" width="12.5703125" style="1224" customWidth="1"/>
    <col min="19" max="19" width="2.85546875" style="80" customWidth="1"/>
    <col min="20" max="20" width="2.7109375" style="80" customWidth="1"/>
    <col min="21" max="21" width="2.7109375" style="84" customWidth="1"/>
    <col min="22" max="22" width="6" customWidth="1"/>
    <col min="23" max="23" width="17.42578125" customWidth="1"/>
    <col min="24" max="24" width="31.140625" customWidth="1"/>
    <col min="25" max="25" width="6.28515625" customWidth="1"/>
    <col min="26" max="26" width="3.42578125" customWidth="1"/>
    <col min="27" max="27" width="14.5703125" customWidth="1"/>
    <col min="28" max="28" width="5.140625" customWidth="1"/>
    <col min="29" max="29" width="12.28515625" customWidth="1"/>
    <col min="30" max="30" width="4" customWidth="1"/>
    <col min="31" max="31" width="9.42578125" customWidth="1"/>
    <col min="32" max="32" width="9.140625" style="80"/>
    <col min="33" max="33" width="2.140625" customWidth="1"/>
    <col min="34" max="34" width="9.7109375" style="382" customWidth="1"/>
    <col min="35" max="35" width="3.85546875" customWidth="1"/>
    <col min="36" max="46" width="10.7109375" style="658" customWidth="1"/>
  </cols>
  <sheetData>
    <row r="1" spans="1:36" ht="17.25" customHeight="1" thickBot="1">
      <c r="A1" s="2945"/>
      <c r="B1" s="210"/>
      <c r="C1" s="210"/>
      <c r="D1" s="210"/>
      <c r="E1" s="210"/>
      <c r="F1" s="210"/>
      <c r="G1" s="210"/>
      <c r="H1" s="210"/>
      <c r="I1" s="210"/>
      <c r="J1" s="210"/>
      <c r="K1" s="210"/>
      <c r="L1" s="211"/>
      <c r="M1" s="139"/>
      <c r="N1" s="139"/>
      <c r="P1" s="304" t="b">
        <f>OR(O2&lt;&gt;"",AND(U35="X",OR(U54="X",U65="X")))</f>
        <v>0</v>
      </c>
      <c r="S1" s="329"/>
      <c r="T1" s="329"/>
      <c r="AF1" s="329"/>
      <c r="AJ1" s="657" t="s">
        <v>223</v>
      </c>
    </row>
    <row r="2" spans="1:36" ht="16.5" customHeight="1" thickBot="1">
      <c r="A2" s="2945"/>
      <c r="B2" s="3536"/>
      <c r="C2" s="211"/>
      <c r="D2" s="2946"/>
      <c r="E2" s="210"/>
      <c r="F2" s="210"/>
      <c r="G2" s="211"/>
      <c r="H2" s="210"/>
      <c r="I2" s="210"/>
      <c r="J2" s="210"/>
      <c r="K2" s="211"/>
      <c r="L2" s="2947" t="s">
        <v>3636</v>
      </c>
      <c r="M2" s="1340" t="str">
        <f>IF(O2&lt;&gt;"","Override 'Yes'.",IF(P1,"Yes","No"))</f>
        <v>No</v>
      </c>
      <c r="N2" s="139"/>
      <c r="O2" s="435"/>
      <c r="P2" t="str">
        <f>IF(AND(O2="",NOT(P1)),"Check this box to use form anyway.",IF(O2&lt;&gt;"","Boxed checked to use form.",""))</f>
        <v>Check this box to use form anyway.</v>
      </c>
      <c r="Q2" s="635"/>
      <c r="S2" s="329"/>
      <c r="T2" s="329"/>
      <c r="AF2" s="329"/>
    </row>
    <row r="3" spans="1:36" ht="9" customHeight="1">
      <c r="A3" s="2948"/>
      <c r="B3" s="206"/>
      <c r="C3" s="139"/>
      <c r="D3" s="139"/>
      <c r="E3" s="139"/>
      <c r="F3" s="139"/>
      <c r="G3" s="200"/>
      <c r="H3" s="139"/>
      <c r="I3" s="139"/>
      <c r="J3" s="139"/>
      <c r="K3" s="139"/>
      <c r="L3" s="139"/>
      <c r="M3" s="139"/>
      <c r="N3" s="139"/>
      <c r="O3" s="728"/>
      <c r="S3" s="329"/>
      <c r="T3" s="329"/>
      <c r="AF3" s="329"/>
    </row>
    <row r="4" spans="1:36" ht="16.5" thickBot="1">
      <c r="A4" s="139"/>
      <c r="B4" s="2677"/>
      <c r="C4" s="88"/>
      <c r="D4" s="90"/>
      <c r="E4" s="2868"/>
      <c r="F4" s="88"/>
      <c r="G4" s="5721" t="str">
        <f>IF(AND('Table of Contents'!A50="D",O4=""),"DRAFT FORM","")</f>
        <v/>
      </c>
      <c r="H4" s="88"/>
      <c r="I4" s="88"/>
      <c r="J4" s="88"/>
      <c r="K4" s="2910"/>
      <c r="L4" s="10287" t="s">
        <v>2143</v>
      </c>
      <c r="M4" s="9894"/>
      <c r="N4" s="139"/>
      <c r="O4" s="5722"/>
      <c r="P4" t="str">
        <f>IF('Table of Contents'!A50="D","Check to hide 'DRAFT FORM'.","")</f>
        <v/>
      </c>
      <c r="S4" s="329"/>
      <c r="T4" s="329"/>
      <c r="AF4" s="329"/>
    </row>
    <row r="5" spans="1:36" ht="20.25" customHeight="1">
      <c r="A5" s="139"/>
      <c r="B5" s="10310" t="s">
        <v>46</v>
      </c>
      <c r="C5" s="10316">
        <v>6251</v>
      </c>
      <c r="D5" s="10317"/>
      <c r="E5" s="10298" t="s">
        <v>3637</v>
      </c>
      <c r="F5" s="9954"/>
      <c r="G5" s="9954"/>
      <c r="H5" s="9954"/>
      <c r="I5" s="9954"/>
      <c r="J5" s="9954"/>
      <c r="K5" s="9955"/>
      <c r="L5" s="8169">
        <f>TaxYear</f>
        <v>2025</v>
      </c>
      <c r="M5" s="10288"/>
      <c r="N5" s="2746"/>
      <c r="O5" s="2763"/>
      <c r="P5" s="226" t="s">
        <v>979</v>
      </c>
      <c r="Q5" s="1560"/>
      <c r="R5" s="6537"/>
      <c r="S5" s="2949" t="s">
        <v>5860</v>
      </c>
      <c r="T5" s="2950"/>
      <c r="U5" s="2951"/>
      <c r="V5" s="2952"/>
      <c r="W5" s="2952"/>
      <c r="X5" s="2953"/>
      <c r="Y5" s="2953"/>
      <c r="Z5" s="2953"/>
      <c r="AA5" s="2953"/>
      <c r="AB5" s="2953"/>
      <c r="AC5" s="2953"/>
      <c r="AD5" s="2953"/>
      <c r="AE5" s="2953"/>
      <c r="AF5" s="2954"/>
    </row>
    <row r="6" spans="1:36" ht="14.25" customHeight="1">
      <c r="A6" s="139"/>
      <c r="B6" s="7091"/>
      <c r="C6" s="10318"/>
      <c r="D6" s="10319"/>
      <c r="E6" s="10299"/>
      <c r="F6" s="10300"/>
      <c r="G6" s="10300"/>
      <c r="H6" s="10300"/>
      <c r="I6" s="10300"/>
      <c r="J6" s="10300"/>
      <c r="K6" s="10301"/>
      <c r="L6" s="10289"/>
      <c r="M6" s="10290"/>
      <c r="N6" s="2749"/>
      <c r="O6" s="2763"/>
      <c r="P6" s="226" t="s">
        <v>931</v>
      </c>
      <c r="Q6" s="247"/>
      <c r="R6" s="6538"/>
      <c r="S6" s="2955"/>
      <c r="T6" s="2956"/>
      <c r="U6" s="2957" t="s">
        <v>927</v>
      </c>
      <c r="V6" s="1022"/>
      <c r="W6" s="2957"/>
      <c r="X6" s="2956" t="s">
        <v>3638</v>
      </c>
      <c r="Y6" s="1022"/>
      <c r="Z6" s="1022"/>
      <c r="AA6" s="1022"/>
      <c r="AB6" s="1022"/>
      <c r="AC6" s="1022"/>
      <c r="AD6" s="1022"/>
      <c r="AE6" s="1022"/>
      <c r="AF6" s="2958"/>
    </row>
    <row r="7" spans="1:36" ht="12.75" customHeight="1">
      <c r="A7" s="139"/>
      <c r="B7" s="8059" t="s">
        <v>2318</v>
      </c>
      <c r="C7" s="8060"/>
      <c r="D7" s="10329"/>
      <c r="E7" s="8298" t="s">
        <v>2144</v>
      </c>
      <c r="F7" s="8299"/>
      <c r="G7" s="8299"/>
      <c r="H7" s="8299"/>
      <c r="I7" s="8299"/>
      <c r="J7" s="8299"/>
      <c r="K7" s="8300"/>
      <c r="L7" s="10293" t="s">
        <v>1055</v>
      </c>
      <c r="M7" s="10294"/>
      <c r="N7" s="2746"/>
      <c r="O7" s="2763"/>
      <c r="P7" s="2733"/>
      <c r="Q7" s="247"/>
      <c r="R7" s="6539"/>
      <c r="S7" s="2959"/>
      <c r="T7" s="2960"/>
      <c r="U7" s="2961"/>
      <c r="V7" s="2962"/>
      <c r="W7" s="2963"/>
      <c r="X7" s="2964" t="s">
        <v>3640</v>
      </c>
      <c r="Y7" s="2962"/>
      <c r="Z7" s="2962"/>
      <c r="AA7" s="2962"/>
      <c r="AB7" s="2962"/>
      <c r="AC7" s="2962"/>
      <c r="AD7" s="2962"/>
      <c r="AE7" s="2962"/>
      <c r="AF7" s="2965"/>
    </row>
    <row r="8" spans="1:36" ht="12.75" customHeight="1" thickBot="1">
      <c r="A8" s="139"/>
      <c r="B8" s="10330"/>
      <c r="C8" s="10330"/>
      <c r="D8" s="10331"/>
      <c r="E8" s="10295" t="s">
        <v>3639</v>
      </c>
      <c r="F8" s="10296"/>
      <c r="G8" s="10296"/>
      <c r="H8" s="10296"/>
      <c r="I8" s="10296"/>
      <c r="J8" s="10296"/>
      <c r="K8" s="10297"/>
      <c r="L8" s="10285" t="s">
        <v>3641</v>
      </c>
      <c r="M8" s="10286"/>
      <c r="N8" s="2749"/>
      <c r="O8" s="2763"/>
      <c r="P8" s="2966" t="s">
        <v>3642</v>
      </c>
      <c r="Q8" s="1560"/>
      <c r="R8" s="6539"/>
      <c r="S8" s="2967"/>
      <c r="T8" s="2956"/>
      <c r="U8" s="2968"/>
      <c r="V8" s="1022"/>
      <c r="W8" s="2969"/>
      <c r="X8" s="2970"/>
      <c r="Y8" s="1022"/>
      <c r="Z8" s="1022"/>
      <c r="AA8" s="1022"/>
      <c r="AB8" s="1022"/>
      <c r="AC8" s="1022"/>
      <c r="AD8" s="1022"/>
      <c r="AE8" s="1022"/>
      <c r="AF8" s="2958"/>
    </row>
    <row r="9" spans="1:36" ht="11.25" customHeight="1">
      <c r="A9" s="139"/>
      <c r="B9" s="2753" t="s">
        <v>779</v>
      </c>
      <c r="C9" s="2754"/>
      <c r="D9" s="2754"/>
      <c r="E9" s="2755"/>
      <c r="F9" s="2756"/>
      <c r="G9" s="2753"/>
      <c r="H9" s="2756"/>
      <c r="I9" s="2756"/>
      <c r="J9" s="2756"/>
      <c r="K9" s="10305" t="s">
        <v>549</v>
      </c>
      <c r="L9" s="10306"/>
      <c r="M9" s="10306"/>
      <c r="N9" s="2746"/>
      <c r="O9" s="2763"/>
      <c r="P9" s="2966" t="s">
        <v>666</v>
      </c>
      <c r="Q9" s="1560"/>
      <c r="R9" s="6540"/>
      <c r="S9" s="2971"/>
      <c r="T9" s="2972"/>
      <c r="U9" s="2973" t="s">
        <v>157</v>
      </c>
      <c r="V9" s="2974" t="s">
        <v>3643</v>
      </c>
      <c r="W9" s="2972"/>
      <c r="X9" s="2972"/>
      <c r="Y9" s="2972"/>
      <c r="Z9" s="2972"/>
      <c r="AA9" s="2972"/>
      <c r="AB9" s="2972"/>
      <c r="AC9" s="2972"/>
      <c r="AD9" s="2972"/>
      <c r="AE9" s="1022"/>
      <c r="AF9" s="2958"/>
    </row>
    <row r="10" spans="1:36" ht="14.25" customHeight="1" thickBot="1">
      <c r="A10" s="139"/>
      <c r="B10" s="10320" t="str">
        <f>Names</f>
        <v/>
      </c>
      <c r="C10" s="10321"/>
      <c r="D10" s="10321"/>
      <c r="E10" s="10321"/>
      <c r="F10" s="10321"/>
      <c r="G10" s="10321"/>
      <c r="H10" s="10321"/>
      <c r="I10" s="10321"/>
      <c r="J10" s="10322"/>
      <c r="K10" s="8064">
        <f>IF(NoSSN,"",SS_Yours)</f>
        <v>1010001</v>
      </c>
      <c r="L10" s="10302"/>
      <c r="M10" s="10302"/>
      <c r="N10" s="2749"/>
      <c r="O10" s="2763"/>
      <c r="P10" s="2975" t="str">
        <f>Deduction</f>
        <v>Filing status not indicated.</v>
      </c>
      <c r="Q10" s="1560"/>
      <c r="R10" s="6540"/>
      <c r="S10" s="2971"/>
      <c r="T10" s="2972"/>
      <c r="U10" s="2972"/>
      <c r="V10" s="2976"/>
      <c r="W10" s="2972"/>
      <c r="X10" s="2972"/>
      <c r="Y10" s="2972"/>
      <c r="Z10" s="2972"/>
      <c r="AA10" s="2972"/>
      <c r="AB10" s="2972"/>
      <c r="AC10" s="2972"/>
      <c r="AD10" s="2972"/>
      <c r="AE10" s="2977"/>
      <c r="AF10" s="2958"/>
    </row>
    <row r="11" spans="1:36" ht="16.5" thickBot="1">
      <c r="A11" s="139"/>
      <c r="B11" s="2978" t="s">
        <v>2154</v>
      </c>
      <c r="C11" s="10291" t="s">
        <v>3644</v>
      </c>
      <c r="D11" s="10291"/>
      <c r="E11" s="10292"/>
      <c r="F11" s="10292"/>
      <c r="G11" s="10292"/>
      <c r="H11" s="10292"/>
      <c r="I11" s="10292"/>
      <c r="J11" s="10292"/>
      <c r="K11" s="10292"/>
      <c r="L11" s="10292"/>
      <c r="M11" s="10292"/>
      <c r="N11" s="2762"/>
      <c r="O11" s="2763"/>
      <c r="P11" s="2013"/>
      <c r="Q11" s="1560"/>
      <c r="R11" s="2979">
        <v>20000</v>
      </c>
      <c r="S11" s="2971"/>
      <c r="T11" s="2972"/>
      <c r="U11" s="2980" t="str">
        <f>IF(SchA_Filed,"","X")</f>
        <v>X</v>
      </c>
      <c r="V11" s="2981" t="s">
        <v>936</v>
      </c>
      <c r="W11" s="2982" t="s">
        <v>3645</v>
      </c>
      <c r="X11" s="2972"/>
      <c r="Y11" s="2972"/>
      <c r="Z11" s="2972"/>
      <c r="AA11" s="2972"/>
      <c r="AB11" s="2972"/>
      <c r="AC11" s="2983" t="str">
        <f>IF(U11="X","Go to Line 4.","")</f>
        <v>Go to Line 4.</v>
      </c>
      <c r="AD11" s="2972"/>
      <c r="AE11" s="2977"/>
      <c r="AF11" s="2958"/>
    </row>
    <row r="12" spans="1:36" ht="12" customHeight="1">
      <c r="A12" s="139"/>
      <c r="B12" s="2994" t="s">
        <v>6434</v>
      </c>
      <c r="C12" s="3019" t="s">
        <v>6435</v>
      </c>
      <c r="D12" s="2770"/>
      <c r="E12" s="2751"/>
      <c r="F12" s="2751"/>
      <c r="G12" s="2771"/>
      <c r="H12" s="2771"/>
      <c r="I12" s="2771"/>
      <c r="J12" s="6519"/>
      <c r="K12" s="3631">
        <f>IF(TotalDeductions="",0,TotalDeductions)</f>
        <v>0</v>
      </c>
      <c r="L12" s="3026"/>
      <c r="M12" s="3017">
        <f>IF(DeductionForSeniors="",0,DeductionForSeniors)</f>
        <v>0</v>
      </c>
      <c r="N12" s="2783"/>
      <c r="O12" s="2987"/>
      <c r="P12" s="2785"/>
      <c r="Q12" s="2988"/>
      <c r="R12" s="304"/>
      <c r="S12" s="2971"/>
      <c r="T12" s="2972"/>
      <c r="U12" s="2972"/>
      <c r="V12" s="2976"/>
      <c r="W12" s="2982" t="s">
        <v>3647</v>
      </c>
      <c r="X12" s="2972"/>
      <c r="Y12" s="2972"/>
      <c r="Z12" s="2972"/>
      <c r="AA12" s="2972"/>
      <c r="AB12" s="2972"/>
      <c r="AC12" s="2972"/>
      <c r="AD12" s="2972"/>
      <c r="AE12" s="1022"/>
      <c r="AF12" s="2958"/>
    </row>
    <row r="13" spans="1:36" ht="15" customHeight="1">
      <c r="A13" s="139"/>
      <c r="B13" s="2768"/>
      <c r="C13" s="3019" t="s">
        <v>6436</v>
      </c>
      <c r="D13" s="2770"/>
      <c r="E13" s="2751"/>
      <c r="F13" s="2751"/>
      <c r="G13" s="2771"/>
      <c r="H13" s="2771"/>
      <c r="I13" s="2075" t="str">
        <f>IF(AND($M$22&lt;&gt;"",$M$22&gt;0),"(Enter Line 2f as a negative amount.)",".   .   .   .   .   .   .   .   .   .   .   .   .   .   .   .   .   .   .   .   .   . ")</f>
        <v xml:space="preserve">.   .   .   .   .   .   .   .   .   .   .   .   .   .   .   .   .   .   .   .   .   . </v>
      </c>
      <c r="J13" s="2773" t="s">
        <v>333</v>
      </c>
      <c r="K13" s="2774" t="str">
        <f>IF(N13&lt;&gt;"",ROUND(N13,0),IF(NOT(F6251_Needed),"",SUM(K12,-M12)))</f>
        <v/>
      </c>
      <c r="L13" s="3030"/>
      <c r="M13" s="2989"/>
      <c r="N13" s="2783"/>
      <c r="O13" s="2990"/>
      <c r="P13" s="800"/>
      <c r="Q13" s="2988"/>
      <c r="R13" s="854"/>
      <c r="S13" s="2971"/>
      <c r="T13" s="2972"/>
      <c r="U13" s="2972"/>
      <c r="V13" s="2976"/>
      <c r="W13" s="2982"/>
      <c r="X13" s="2972"/>
      <c r="Y13" s="2972"/>
      <c r="Z13" s="2972"/>
      <c r="AA13" s="2972"/>
      <c r="AB13" s="2972"/>
      <c r="AC13" s="2972"/>
      <c r="AD13" s="2972"/>
      <c r="AE13" s="1022"/>
      <c r="AF13" s="2958"/>
    </row>
    <row r="14" spans="1:36" ht="15" customHeight="1" thickBot="1">
      <c r="A14" s="139"/>
      <c r="B14" s="2768" t="s">
        <v>592</v>
      </c>
      <c r="C14" s="3019" t="s">
        <v>6437</v>
      </c>
      <c r="D14" s="2770"/>
      <c r="E14" s="2751"/>
      <c r="F14" s="2751"/>
      <c r="G14" s="2771"/>
      <c r="H14" s="2771"/>
      <c r="I14" s="2075"/>
      <c r="J14" s="2075"/>
      <c r="K14" s="2075"/>
      <c r="L14" s="3030"/>
      <c r="M14" s="2989">
        <f>Adj_Gross_Inc_Pg2</f>
        <v>0</v>
      </c>
      <c r="N14" s="2783"/>
      <c r="O14" s="2990"/>
      <c r="P14" s="800"/>
      <c r="Q14" s="2988"/>
      <c r="R14" s="854"/>
      <c r="S14" s="2971"/>
      <c r="T14" s="2972"/>
      <c r="U14" s="2972"/>
      <c r="V14" s="2976"/>
      <c r="W14" s="2982"/>
      <c r="X14" s="2972"/>
      <c r="Y14" s="2972"/>
      <c r="Z14" s="2972"/>
      <c r="AA14" s="2972"/>
      <c r="AB14" s="2972"/>
      <c r="AC14" s="2972"/>
      <c r="AD14" s="2972"/>
      <c r="AE14" s="1022"/>
      <c r="AF14" s="2958"/>
    </row>
    <row r="15" spans="1:36" ht="15" customHeight="1" thickBot="1">
      <c r="A15" s="139"/>
      <c r="B15" s="2768"/>
      <c r="C15" s="3214" t="s">
        <v>6438</v>
      </c>
      <c r="D15" s="2770"/>
      <c r="E15" s="6521"/>
      <c r="F15" s="6521"/>
      <c r="G15" s="2771"/>
      <c r="H15" s="2771"/>
      <c r="I15" s="2771"/>
      <c r="J15" s="2771"/>
      <c r="K15" s="2031" t="s">
        <v>590</v>
      </c>
      <c r="L15" s="2773" t="s">
        <v>335</v>
      </c>
      <c r="M15" s="2774" t="str">
        <f>IF(P15&lt;&gt;"",ROUND(P15,0),IF(OR(NOT(F6251_Needed),K13=""),"",SUM(M14,-K13)))</f>
        <v/>
      </c>
      <c r="N15" s="2783"/>
      <c r="O15" s="2990"/>
      <c r="P15" s="6520"/>
      <c r="Q15" s="2991"/>
      <c r="R15" s="2979">
        <f>IF(ISERROR(ROUND(M15,0)),0,ROUND(M15,0))</f>
        <v>0</v>
      </c>
      <c r="S15" s="2971"/>
      <c r="T15" s="2972"/>
      <c r="U15" s="2980" t="str">
        <f>IF(SchA_Filed,"X","")</f>
        <v/>
      </c>
      <c r="V15" s="2981" t="s">
        <v>938</v>
      </c>
      <c r="W15" s="2982" t="s">
        <v>3650</v>
      </c>
      <c r="X15" s="2972"/>
      <c r="Y15" s="2972"/>
      <c r="Z15" s="2972"/>
      <c r="AA15" s="2992" t="s">
        <v>874</v>
      </c>
      <c r="AB15" s="2993" t="s">
        <v>157</v>
      </c>
      <c r="AC15" s="2943" t="str">
        <f>IF(U15="X",Taxable_Inc,"")</f>
        <v/>
      </c>
      <c r="AD15" s="2972"/>
      <c r="AE15" s="1022"/>
      <c r="AF15" s="2958"/>
    </row>
    <row r="16" spans="1:36" ht="15" customHeight="1">
      <c r="A16" s="139"/>
      <c r="B16" s="2994" t="s">
        <v>3651</v>
      </c>
      <c r="C16" s="2769" t="s">
        <v>3652</v>
      </c>
      <c r="D16" s="2995"/>
      <c r="E16" s="2751"/>
      <c r="F16" s="2751"/>
      <c r="G16" s="2771"/>
      <c r="H16" s="2771"/>
      <c r="I16" s="2771"/>
      <c r="J16" s="2771"/>
      <c r="K16" s="2031"/>
      <c r="L16" s="2996"/>
      <c r="M16" s="2792"/>
      <c r="N16" s="2775"/>
      <c r="O16" s="2990"/>
      <c r="P16" s="2997">
        <v>920350</v>
      </c>
      <c r="Q16" s="2991"/>
      <c r="R16" s="2979">
        <f>SUM(P16,ROUND(P22*SUM(P19,-P16),0))</f>
        <v>915350</v>
      </c>
      <c r="S16" s="2971"/>
      <c r="T16" s="2972"/>
      <c r="U16" s="2972"/>
      <c r="V16" s="2976"/>
      <c r="W16" s="2972"/>
      <c r="X16" s="2972"/>
      <c r="Y16" s="2972"/>
      <c r="Z16" s="2972"/>
      <c r="AA16" s="2972"/>
      <c r="AB16" s="2972"/>
      <c r="AC16" s="2972"/>
      <c r="AD16" s="2972"/>
      <c r="AE16" s="2972"/>
      <c r="AF16" s="2998"/>
    </row>
    <row r="17" spans="1:34" ht="15" customHeight="1">
      <c r="A17" s="139"/>
      <c r="B17" s="2768"/>
      <c r="C17" s="2769" t="s">
        <v>6177</v>
      </c>
      <c r="D17" s="2769"/>
      <c r="E17" s="2751"/>
      <c r="F17" s="2751"/>
      <c r="G17" s="2771"/>
      <c r="H17" s="2771"/>
      <c r="I17" s="2771"/>
      <c r="J17" s="2771"/>
      <c r="K17" s="2031" t="s">
        <v>653</v>
      </c>
      <c r="L17" s="2773" t="s">
        <v>337</v>
      </c>
      <c r="M17" s="2774" t="str">
        <f>IF(NOT(P1),"",IF(P17&lt;&gt;"",ROUND(P17,0),IF(ItemizedDeduct,SALT_Limited,Deductions)))</f>
        <v/>
      </c>
      <c r="N17" s="2775"/>
      <c r="O17" s="2990"/>
      <c r="P17" s="118"/>
      <c r="Q17" s="2991"/>
      <c r="R17" s="2979">
        <f>IF(ISERROR(ROUND(M17,0)),0,ROUND(M17,0))</f>
        <v>0</v>
      </c>
      <c r="S17" s="2999"/>
      <c r="T17" s="2972"/>
      <c r="U17" s="3000" t="s">
        <v>161</v>
      </c>
      <c r="V17" s="2982" t="s">
        <v>3653</v>
      </c>
      <c r="W17" s="2972"/>
      <c r="X17" s="2972"/>
      <c r="Y17" s="2972"/>
      <c r="Z17" s="2972"/>
      <c r="AA17" s="2992" t="s">
        <v>891</v>
      </c>
      <c r="AB17" s="2993" t="s">
        <v>161</v>
      </c>
      <c r="AC17" s="2943" t="str">
        <f>IF(U15="X",SALT_Limited,"")</f>
        <v/>
      </c>
      <c r="AD17" s="2972"/>
      <c r="AE17" s="2972"/>
      <c r="AF17" s="2998"/>
    </row>
    <row r="18" spans="1:34" ht="15" customHeight="1">
      <c r="A18" s="139"/>
      <c r="B18" s="2768" t="s">
        <v>592</v>
      </c>
      <c r="C18" s="2769" t="s">
        <v>3654</v>
      </c>
      <c r="D18" s="2769"/>
      <c r="E18" s="2751"/>
      <c r="F18" s="2751"/>
      <c r="G18" s="3001"/>
      <c r="H18" s="10338" t="str">
        <f>IF(AND($M$18&lt;&gt;"",$M$18&gt;0),"(Line 2b must be a negative amount.)",".   .   .   .   .   .   .   .   .   .   .   .   .   .   .   .   .   . ")</f>
        <v xml:space="preserve">.   .   .   .   .   .   .   .   .   .   .   .   .   .   .   .   .   . </v>
      </c>
      <c r="I18" s="10338"/>
      <c r="J18" s="10338"/>
      <c r="K18" s="10339"/>
      <c r="L18" s="2773" t="str">
        <f t="shared" ref="L18:L26" si="0">"2"&amp;B18</f>
        <v>2b</v>
      </c>
      <c r="M18" s="2774" t="str">
        <f>IF(NOT(P1),"",IF(P18&lt;&gt;"",ROUND(P18,0),IF(Sch1_Line1="",0,SUM(-Sch1_Line1,-AA21))))</f>
        <v/>
      </c>
      <c r="N18" s="2775"/>
      <c r="O18" s="2990"/>
      <c r="P18" s="118"/>
      <c r="Q18" s="2991"/>
      <c r="R18" s="2979">
        <f>IF(ISERROR(ROUND(M18,0)),0,ROUND(M18,0))</f>
        <v>0</v>
      </c>
      <c r="S18" s="2971"/>
      <c r="T18" s="2972"/>
      <c r="U18" s="2972"/>
      <c r="V18" s="2976"/>
      <c r="W18" s="2972"/>
      <c r="X18" s="2972"/>
      <c r="Y18" s="2972"/>
      <c r="Z18" s="2972"/>
      <c r="AA18" s="2972"/>
      <c r="AB18" s="2972"/>
      <c r="AC18" s="2972"/>
      <c r="AD18" s="2972"/>
      <c r="AE18" s="6541"/>
      <c r="AF18" s="2998"/>
    </row>
    <row r="19" spans="1:34" ht="15" customHeight="1">
      <c r="A19" s="139"/>
      <c r="B19" s="2768" t="s">
        <v>595</v>
      </c>
      <c r="C19" s="2769" t="s">
        <v>3655</v>
      </c>
      <c r="D19" s="2769"/>
      <c r="E19" s="2751"/>
      <c r="F19" s="2751"/>
      <c r="G19" s="2771"/>
      <c r="H19" s="2771"/>
      <c r="I19" s="2771"/>
      <c r="J19" s="2771"/>
      <c r="K19" s="2031" t="s">
        <v>676</v>
      </c>
      <c r="L19" s="2773" t="str">
        <f t="shared" si="0"/>
        <v>2c</v>
      </c>
      <c r="M19" s="335"/>
      <c r="N19" s="2775"/>
      <c r="O19" s="2990"/>
      <c r="P19" s="6522">
        <v>900350</v>
      </c>
      <c r="Q19" s="2991"/>
      <c r="R19" s="2979">
        <f>ROUND(M19,0)</f>
        <v>0</v>
      </c>
      <c r="S19" s="2971"/>
      <c r="T19" s="2972"/>
      <c r="U19" s="3000" t="s">
        <v>167</v>
      </c>
      <c r="V19" s="2982" t="s">
        <v>3072</v>
      </c>
      <c r="W19" s="2972"/>
      <c r="X19" s="2972"/>
      <c r="Y19" s="2972"/>
      <c r="Z19" s="2972"/>
      <c r="AA19" s="2992" t="s">
        <v>1989</v>
      </c>
      <c r="AB19" s="2993" t="s">
        <v>167</v>
      </c>
      <c r="AC19" s="2943">
        <f>IF(U11="X",SUM(Adj_Gross_Inc,-AE19),IF(U15="X",SUM(AC15,AC17),""))</f>
        <v>0</v>
      </c>
      <c r="AD19" s="2972"/>
      <c r="AE19" s="6542">
        <f>IF(QBID_1040="",0,QBID_1040)</f>
        <v>0</v>
      </c>
      <c r="AF19" s="2998"/>
    </row>
    <row r="20" spans="1:34" ht="15" customHeight="1">
      <c r="A20" s="139"/>
      <c r="B20" s="2768" t="s">
        <v>599</v>
      </c>
      <c r="C20" s="2769" t="s">
        <v>3656</v>
      </c>
      <c r="D20" s="2769"/>
      <c r="E20" s="2751"/>
      <c r="F20" s="2751"/>
      <c r="G20" s="2771"/>
      <c r="H20" s="2771"/>
      <c r="I20" s="2771"/>
      <c r="J20" s="2771"/>
      <c r="K20" s="2031" t="s">
        <v>1876</v>
      </c>
      <c r="L20" s="2773" t="str">
        <f t="shared" si="0"/>
        <v>2d</v>
      </c>
      <c r="M20" s="335"/>
      <c r="N20" s="2775"/>
      <c r="O20" s="2990"/>
      <c r="P20" s="6522">
        <v>1174350</v>
      </c>
      <c r="Q20" s="2991"/>
      <c r="R20" s="2979">
        <f t="shared" ref="R20:R37" si="1">ROUND(M20,0)</f>
        <v>0</v>
      </c>
      <c r="S20" s="2971"/>
      <c r="T20" s="2972"/>
      <c r="U20" s="2972"/>
      <c r="V20" s="2976"/>
      <c r="W20" s="2972"/>
      <c r="X20" s="2972"/>
      <c r="Y20" s="2972"/>
      <c r="Z20" s="2972"/>
      <c r="AA20" s="2972"/>
      <c r="AB20" s="2972"/>
      <c r="AC20" s="2972"/>
      <c r="AD20" s="2972"/>
      <c r="AE20" s="2972"/>
      <c r="AF20" s="2998"/>
    </row>
    <row r="21" spans="1:34" ht="15" customHeight="1">
      <c r="A21" s="139"/>
      <c r="B21" s="2768" t="s">
        <v>603</v>
      </c>
      <c r="C21" s="2769" t="s">
        <v>3657</v>
      </c>
      <c r="D21" s="2769"/>
      <c r="E21" s="2751"/>
      <c r="F21" s="2751"/>
      <c r="G21" s="3002"/>
      <c r="H21" s="3003" t="s">
        <v>3658</v>
      </c>
      <c r="I21" s="3004"/>
      <c r="J21" s="3005"/>
      <c r="K21" s="3005"/>
      <c r="L21" s="2773" t="str">
        <f t="shared" si="0"/>
        <v>2e</v>
      </c>
      <c r="M21" s="335"/>
      <c r="N21" s="2775"/>
      <c r="O21" s="2990"/>
      <c r="P21" s="2997">
        <f>I45</f>
        <v>68500</v>
      </c>
      <c r="Q21" s="2991"/>
      <c r="R21" s="2979">
        <f t="shared" si="1"/>
        <v>0</v>
      </c>
      <c r="S21" s="2971"/>
      <c r="T21" s="2972"/>
      <c r="U21" s="3000" t="s">
        <v>171</v>
      </c>
      <c r="V21" s="2982" t="s">
        <v>3659</v>
      </c>
      <c r="W21" s="2972"/>
      <c r="X21" s="2972"/>
      <c r="Y21" s="2972"/>
      <c r="Z21" s="3006" t="s">
        <v>2526</v>
      </c>
      <c r="AA21" s="352"/>
      <c r="AB21" s="2993" t="s">
        <v>171</v>
      </c>
      <c r="AC21" s="2943">
        <f>SUM(Sch1_Line1,AA21)</f>
        <v>0</v>
      </c>
      <c r="AD21" s="2972"/>
      <c r="AE21" s="2972"/>
      <c r="AF21" s="2998"/>
    </row>
    <row r="22" spans="1:34" ht="15" customHeight="1">
      <c r="A22" s="139"/>
      <c r="B22" s="2768" t="s">
        <v>606</v>
      </c>
      <c r="C22" s="2769" t="s">
        <v>3660</v>
      </c>
      <c r="D22" s="2769"/>
      <c r="E22" s="2751"/>
      <c r="F22" s="2751"/>
      <c r="G22" s="3007"/>
      <c r="H22" s="2771"/>
      <c r="I22" s="2771"/>
      <c r="J22" s="2771"/>
      <c r="K22" s="2075" t="str">
        <f>IF(AND($M$22&lt;&gt;"",$M$22&gt;0),"(Enter Line 2f as a negative amount.)",".   .   .   .   .   .   .   .   .   .   .   .   .   .   .   .   .   .   .   .   .   . ")</f>
        <v xml:space="preserve">.   .   .   .   .   .   .   .   .   .   .   .   .   .   .   .   .   .   .   .   .   . </v>
      </c>
      <c r="L22" s="2773" t="str">
        <f t="shared" si="0"/>
        <v>2f</v>
      </c>
      <c r="M22" s="335"/>
      <c r="N22" s="2775"/>
      <c r="O22" s="2990"/>
      <c r="P22" s="2510">
        <v>0.25</v>
      </c>
      <c r="Q22" s="2991"/>
      <c r="R22" s="2979">
        <f t="shared" si="1"/>
        <v>0</v>
      </c>
      <c r="S22" s="2971"/>
      <c r="T22" s="2972"/>
      <c r="U22" s="2972"/>
      <c r="V22" s="2976"/>
      <c r="W22" s="2972"/>
      <c r="X22" s="2972"/>
      <c r="Y22" s="2972"/>
      <c r="Z22" s="2972"/>
      <c r="AA22" s="3008" t="s">
        <v>3661</v>
      </c>
      <c r="AB22" s="2972"/>
      <c r="AC22" s="2972"/>
      <c r="AD22" s="2972"/>
      <c r="AE22" s="2972"/>
      <c r="AF22" s="2998"/>
    </row>
    <row r="23" spans="1:34" ht="15" customHeight="1">
      <c r="A23" s="139"/>
      <c r="B23" s="2768" t="s">
        <v>610</v>
      </c>
      <c r="C23" s="2769" t="s">
        <v>3662</v>
      </c>
      <c r="D23" s="2769"/>
      <c r="E23" s="2751"/>
      <c r="F23" s="2751"/>
      <c r="G23" s="2771"/>
      <c r="H23" s="2771"/>
      <c r="I23" s="2771"/>
      <c r="J23" s="2771"/>
      <c r="K23" s="2031" t="s">
        <v>702</v>
      </c>
      <c r="L23" s="2773" t="str">
        <f t="shared" si="0"/>
        <v>2g</v>
      </c>
      <c r="M23" s="2816" t="str">
        <f>IF(P23&lt;&gt;"",ROUND(P23,0),IF(NOT(F6251_Needed),"",SUM(F1099INT_SPABI,F1099DIV_SPABI)))</f>
        <v/>
      </c>
      <c r="N23" s="2775"/>
      <c r="O23" s="2990"/>
      <c r="P23" s="118"/>
      <c r="Q23" s="2991"/>
      <c r="R23" s="2979">
        <f>IF(ISERROR(ROUND(M23,0)),0,ROUND(M23,0))</f>
        <v>0</v>
      </c>
      <c r="S23" s="2971"/>
      <c r="T23" s="2972"/>
      <c r="U23" s="2972"/>
      <c r="V23" s="2976"/>
      <c r="W23" s="2972"/>
      <c r="X23" s="2972"/>
      <c r="Y23" s="2972"/>
      <c r="Z23" s="2972"/>
      <c r="AA23" s="3009" t="s">
        <v>3663</v>
      </c>
      <c r="AB23" s="2972"/>
      <c r="AC23" s="2972"/>
      <c r="AD23" s="2972"/>
      <c r="AE23" s="2972"/>
      <c r="AF23" s="2998"/>
    </row>
    <row r="24" spans="1:34" ht="15" customHeight="1">
      <c r="A24" s="139"/>
      <c r="B24" s="2768" t="s">
        <v>615</v>
      </c>
      <c r="C24" s="2769" t="s">
        <v>3664</v>
      </c>
      <c r="D24" s="2769"/>
      <c r="E24" s="2751"/>
      <c r="F24" s="2751"/>
      <c r="G24" s="2771"/>
      <c r="H24" s="2771"/>
      <c r="I24" s="2771"/>
      <c r="J24" s="2771"/>
      <c r="K24" s="2031" t="s">
        <v>650</v>
      </c>
      <c r="L24" s="2773" t="str">
        <f t="shared" si="0"/>
        <v>2h</v>
      </c>
      <c r="M24" s="335"/>
      <c r="N24" s="2775"/>
      <c r="O24" s="2990"/>
      <c r="P24" s="3010"/>
      <c r="Q24" s="2991"/>
      <c r="R24" s="2979">
        <f t="shared" si="1"/>
        <v>0</v>
      </c>
      <c r="S24" s="2971"/>
      <c r="T24" s="2972"/>
      <c r="U24" s="3000" t="s">
        <v>184</v>
      </c>
      <c r="V24" s="2982" t="s">
        <v>3665</v>
      </c>
      <c r="W24" s="2972"/>
      <c r="X24" s="2972"/>
      <c r="Y24" s="2972"/>
      <c r="Z24" s="2972"/>
      <c r="AA24" s="2992" t="s">
        <v>1989</v>
      </c>
      <c r="AB24" s="2993" t="s">
        <v>184</v>
      </c>
      <c r="AC24" s="2943">
        <f>SUM(AC19,-AC21)</f>
        <v>0</v>
      </c>
      <c r="AD24" s="2972"/>
      <c r="AE24" s="2972"/>
      <c r="AF24" s="2998"/>
    </row>
    <row r="25" spans="1:34" ht="15" customHeight="1">
      <c r="A25" s="139"/>
      <c r="B25" s="2768" t="s">
        <v>619</v>
      </c>
      <c r="C25" s="2769" t="s">
        <v>3666</v>
      </c>
      <c r="D25" s="2769"/>
      <c r="E25" s="2751"/>
      <c r="F25" s="2751"/>
      <c r="G25" s="2771"/>
      <c r="H25" s="2771"/>
      <c r="I25" s="2771"/>
      <c r="J25" s="2771"/>
      <c r="K25" s="2031" t="s">
        <v>624</v>
      </c>
      <c r="L25" s="2773" t="str">
        <f t="shared" si="0"/>
        <v>2i</v>
      </c>
      <c r="M25" s="335"/>
      <c r="N25" s="2775"/>
      <c r="O25" s="2990"/>
      <c r="P25" s="3011" t="s">
        <v>3667</v>
      </c>
      <c r="Q25" s="2991"/>
      <c r="R25" s="2979">
        <f t="shared" si="1"/>
        <v>0</v>
      </c>
      <c r="S25" s="2971"/>
      <c r="T25" s="2972"/>
      <c r="U25" s="2972"/>
      <c r="V25" s="2976"/>
      <c r="W25" s="2972"/>
      <c r="X25" s="2972"/>
      <c r="Y25" s="2972"/>
      <c r="Z25" s="2972"/>
      <c r="AA25" s="2972"/>
      <c r="AB25" s="2972"/>
      <c r="AC25" s="2972"/>
      <c r="AD25" s="2972"/>
      <c r="AE25" s="2972"/>
      <c r="AF25" s="2998"/>
    </row>
    <row r="26" spans="1:34" ht="15" customHeight="1">
      <c r="A26" s="139"/>
      <c r="B26" s="2768" t="s">
        <v>822</v>
      </c>
      <c r="C26" s="2769" t="s">
        <v>3668</v>
      </c>
      <c r="D26" s="2769"/>
      <c r="E26" s="2751"/>
      <c r="F26" s="2751"/>
      <c r="G26" s="2771"/>
      <c r="H26" s="2771"/>
      <c r="I26" s="2771"/>
      <c r="J26" s="2771"/>
      <c r="K26" s="2031" t="s">
        <v>601</v>
      </c>
      <c r="L26" s="2773" t="str">
        <f t="shared" si="0"/>
        <v>2j</v>
      </c>
      <c r="M26" s="335"/>
      <c r="N26" s="2775"/>
      <c r="O26" s="2990"/>
      <c r="P26" s="3011" t="s">
        <v>16</v>
      </c>
      <c r="Q26" s="2991"/>
      <c r="R26" s="2979">
        <f t="shared" si="1"/>
        <v>0</v>
      </c>
      <c r="S26" s="2971"/>
      <c r="T26" s="2972"/>
      <c r="U26" s="3000" t="s">
        <v>188</v>
      </c>
      <c r="V26" s="2982" t="s">
        <v>3669</v>
      </c>
      <c r="W26" s="2972"/>
      <c r="X26" s="2972"/>
      <c r="Y26" s="2972"/>
      <c r="Z26" s="2972"/>
      <c r="AA26" s="2972"/>
      <c r="AB26" s="2972"/>
      <c r="AC26" s="2972"/>
      <c r="AD26" s="2972"/>
      <c r="AE26" s="2972"/>
      <c r="AF26" s="2998"/>
    </row>
    <row r="27" spans="1:34" ht="15" customHeight="1">
      <c r="A27" s="139"/>
      <c r="B27" s="2768" t="s">
        <v>826</v>
      </c>
      <c r="C27" s="2769" t="s">
        <v>3670</v>
      </c>
      <c r="D27" s="2769"/>
      <c r="E27" s="2751"/>
      <c r="F27" s="2751"/>
      <c r="G27" s="2771"/>
      <c r="H27" s="2771"/>
      <c r="I27" s="2771"/>
      <c r="J27" s="2771"/>
      <c r="K27" s="2031" t="s">
        <v>670</v>
      </c>
      <c r="L27" s="2773" t="str">
        <f t="shared" ref="L27:L36" si="2">"2"&amp;B27</f>
        <v>2k</v>
      </c>
      <c r="M27" s="335"/>
      <c r="N27" s="2775"/>
      <c r="O27" s="2990"/>
      <c r="P27" s="3011" t="s">
        <v>3671</v>
      </c>
      <c r="Q27" s="2991"/>
      <c r="R27" s="2979">
        <f t="shared" si="1"/>
        <v>0</v>
      </c>
      <c r="S27" s="2971"/>
      <c r="T27" s="2972"/>
      <c r="U27" s="2976" t="s">
        <v>3672</v>
      </c>
      <c r="V27" s="2982" t="str">
        <f>"Single or head of household -- "&amp;TEXT(I43,"$0,000")</f>
        <v>Single or head of household -- $88,100</v>
      </c>
      <c r="W27" s="2972"/>
      <c r="X27" s="2972"/>
      <c r="Y27" s="2972"/>
      <c r="Z27" s="2972"/>
      <c r="AA27" s="2992" t="s">
        <v>808</v>
      </c>
      <c r="AB27" s="2993" t="s">
        <v>188</v>
      </c>
      <c r="AC27" s="2943" t="str">
        <f>IF(OR(File_Single&lt;&gt;"",File_Head&lt;&gt;""),I43,IF(OR(File_Marr_Joint&lt;&gt;"",File_Qual_Widow&lt;&gt;""),I44,IF(File_Marr_Sep&lt;&gt;"",I45,"Filing status?")))</f>
        <v>Filing status?</v>
      </c>
      <c r="AD27" s="2972"/>
      <c r="AE27" s="2972"/>
      <c r="AF27" s="2998"/>
      <c r="AH27" s="3012"/>
    </row>
    <row r="28" spans="1:34" ht="15" customHeight="1">
      <c r="A28" s="139"/>
      <c r="B28" s="2768" t="s">
        <v>830</v>
      </c>
      <c r="C28" s="2769" t="s">
        <v>5528</v>
      </c>
      <c r="D28" s="2769"/>
      <c r="E28" s="2751"/>
      <c r="F28" s="2751"/>
      <c r="G28" s="2771"/>
      <c r="H28" s="2771"/>
      <c r="I28" s="2771"/>
      <c r="J28" s="2771"/>
      <c r="K28" s="2031" t="s">
        <v>708</v>
      </c>
      <c r="L28" s="2773" t="str">
        <f t="shared" si="2"/>
        <v>2l</v>
      </c>
      <c r="M28" s="335"/>
      <c r="N28" s="2775"/>
      <c r="O28" s="2990"/>
      <c r="P28" s="3011" t="s">
        <v>3673</v>
      </c>
      <c r="Q28" s="2991"/>
      <c r="R28" s="2979">
        <f t="shared" si="1"/>
        <v>0</v>
      </c>
      <c r="S28" s="2971"/>
      <c r="T28" s="2972"/>
      <c r="U28" s="2976" t="s">
        <v>3672</v>
      </c>
      <c r="V28" s="2982" t="str">
        <f>"Married filing jointly or qualifying widow(er) -- "&amp;TEXT(I44,"$0,000")</f>
        <v>Married filing jointly or qualifying widow(er) -- $137,000</v>
      </c>
      <c r="W28" s="2972"/>
      <c r="X28" s="2972"/>
      <c r="Y28" s="2972"/>
      <c r="Z28" s="2972"/>
      <c r="AA28" s="3013"/>
      <c r="AB28" s="2972"/>
      <c r="AC28" s="2972"/>
      <c r="AD28" s="2972"/>
      <c r="AE28" s="2972"/>
      <c r="AF28" s="2998"/>
    </row>
    <row r="29" spans="1:34" ht="15" customHeight="1">
      <c r="A29" s="139"/>
      <c r="B29" s="2768" t="s">
        <v>834</v>
      </c>
      <c r="C29" s="2769" t="s">
        <v>3674</v>
      </c>
      <c r="D29" s="2769"/>
      <c r="E29" s="2751"/>
      <c r="F29" s="2751"/>
      <c r="G29" s="2771"/>
      <c r="H29" s="2771"/>
      <c r="I29" s="2771"/>
      <c r="J29" s="2771"/>
      <c r="K29" s="2031" t="s">
        <v>670</v>
      </c>
      <c r="L29" s="2773" t="str">
        <f t="shared" si="2"/>
        <v>2m</v>
      </c>
      <c r="M29" s="335"/>
      <c r="N29" s="2775"/>
      <c r="O29" s="2990"/>
      <c r="P29" s="3011" t="str">
        <f>TEXT(P19,"$0,000")&amp;", you must include an"</f>
        <v>$900,350, you must include an</v>
      </c>
      <c r="Q29" s="2991"/>
      <c r="R29" s="2979">
        <f t="shared" si="1"/>
        <v>0</v>
      </c>
      <c r="S29" s="2971"/>
      <c r="T29" s="2972"/>
      <c r="U29" s="2976" t="s">
        <v>3672</v>
      </c>
      <c r="V29" s="2982" t="str">
        <f>"Married filing separately -- "&amp;TEXT(I45,"$0,000")</f>
        <v>Married filing separately -- $68,500</v>
      </c>
      <c r="W29" s="2972"/>
      <c r="X29" s="2972"/>
      <c r="Y29" s="2972"/>
      <c r="Z29" s="2972"/>
      <c r="AA29" s="3013"/>
      <c r="AB29" s="2972"/>
      <c r="AC29" s="2972"/>
      <c r="AD29" s="2972"/>
      <c r="AE29" s="2972"/>
      <c r="AF29" s="2998"/>
    </row>
    <row r="30" spans="1:34" ht="15" customHeight="1">
      <c r="A30" s="139"/>
      <c r="B30" s="2768" t="s">
        <v>837</v>
      </c>
      <c r="C30" s="2769" t="s">
        <v>3675</v>
      </c>
      <c r="D30" s="2769"/>
      <c r="E30" s="2751"/>
      <c r="F30" s="2751"/>
      <c r="G30" s="2771"/>
      <c r="H30" s="2771"/>
      <c r="I30" s="2771"/>
      <c r="J30" s="2771"/>
      <c r="K30" s="2031" t="s">
        <v>702</v>
      </c>
      <c r="L30" s="2773" t="str">
        <f t="shared" si="2"/>
        <v>2n</v>
      </c>
      <c r="M30" s="335"/>
      <c r="N30" s="2775"/>
      <c r="O30" s="2990"/>
      <c r="P30" s="3011" t="s">
        <v>3676</v>
      </c>
      <c r="Q30" s="2991"/>
      <c r="R30" s="2979">
        <f t="shared" si="1"/>
        <v>0</v>
      </c>
      <c r="S30" s="2971"/>
      <c r="T30" s="2972"/>
      <c r="U30" s="2972"/>
      <c r="V30" s="2976"/>
      <c r="W30" s="2972"/>
      <c r="X30" s="2972"/>
      <c r="Y30" s="2972"/>
      <c r="Z30" s="2972"/>
      <c r="AA30" s="2972"/>
      <c r="AB30" s="2972"/>
      <c r="AC30" s="2972"/>
      <c r="AD30" s="2972"/>
      <c r="AE30" s="2972"/>
      <c r="AF30" s="2998"/>
    </row>
    <row r="31" spans="1:34" ht="15" customHeight="1">
      <c r="A31" s="139"/>
      <c r="B31" s="2768" t="s">
        <v>840</v>
      </c>
      <c r="C31" s="2769" t="s">
        <v>3677</v>
      </c>
      <c r="D31" s="2769"/>
      <c r="E31" s="2751"/>
      <c r="F31" s="2751"/>
      <c r="G31" s="2771"/>
      <c r="H31" s="2771"/>
      <c r="I31" s="2771"/>
      <c r="J31" s="2771"/>
      <c r="K31" s="2031" t="s">
        <v>590</v>
      </c>
      <c r="L31" s="2773" t="str">
        <f t="shared" si="2"/>
        <v>2o</v>
      </c>
      <c r="M31" s="335"/>
      <c r="N31" s="2775"/>
      <c r="O31" s="2990"/>
      <c r="P31" s="3011" t="str">
        <f>TEXT(P20,"$0,000")&amp;" or more, include an additional"</f>
        <v>$1,174,350 or more, include an additional</v>
      </c>
      <c r="Q31" s="2991"/>
      <c r="R31" s="2979">
        <f t="shared" si="1"/>
        <v>0</v>
      </c>
      <c r="S31" s="2971"/>
      <c r="T31" s="2972"/>
      <c r="U31" s="3000" t="s">
        <v>198</v>
      </c>
      <c r="V31" s="2982" t="s">
        <v>3678</v>
      </c>
      <c r="W31" s="2972"/>
      <c r="X31" s="2972"/>
      <c r="Y31" s="2972"/>
      <c r="Z31" s="2972"/>
      <c r="AA31" s="2972"/>
      <c r="AB31" s="2972"/>
      <c r="AC31" s="2972"/>
      <c r="AD31" s="2972"/>
      <c r="AE31" s="2972"/>
      <c r="AF31" s="2998"/>
    </row>
    <row r="32" spans="1:34" ht="15" customHeight="1" thickBot="1">
      <c r="A32" s="139"/>
      <c r="B32" s="2768" t="s">
        <v>844</v>
      </c>
      <c r="C32" s="2769" t="s">
        <v>3679</v>
      </c>
      <c r="D32" s="2769"/>
      <c r="E32" s="2751"/>
      <c r="F32" s="2751"/>
      <c r="G32" s="2771"/>
      <c r="H32" s="2771"/>
      <c r="I32" s="2771"/>
      <c r="J32" s="2771"/>
      <c r="K32" s="2031" t="s">
        <v>676</v>
      </c>
      <c r="L32" s="2773" t="str">
        <f t="shared" si="2"/>
        <v>2p</v>
      </c>
      <c r="M32" s="335"/>
      <c r="N32" s="2775"/>
      <c r="O32" s="2990"/>
      <c r="P32" s="3011" t="str">
        <f>TEXT(P21,"$0,000")&amp;". Otherwise, include "&amp;TEXT(P22,"0%")&amp;" of the"</f>
        <v>$68,500. Otherwise, include 25% of the</v>
      </c>
      <c r="Q32" s="2991"/>
      <c r="R32" s="2979">
        <f t="shared" si="1"/>
        <v>0</v>
      </c>
      <c r="S32" s="2971"/>
      <c r="T32" s="2972"/>
      <c r="U32" s="2972"/>
      <c r="V32" s="2976"/>
      <c r="W32" s="2972"/>
      <c r="X32" s="2972"/>
      <c r="Y32" s="2972"/>
      <c r="Z32" s="2972"/>
      <c r="AA32" s="2972"/>
      <c r="AB32" s="2972"/>
      <c r="AC32" s="2972"/>
      <c r="AD32" s="2972"/>
      <c r="AE32" s="2972"/>
      <c r="AF32" s="2998"/>
    </row>
    <row r="33" spans="1:32" ht="15" customHeight="1" thickBot="1">
      <c r="A33" s="139"/>
      <c r="B33" s="2768" t="s">
        <v>847</v>
      </c>
      <c r="C33" s="2769" t="s">
        <v>3680</v>
      </c>
      <c r="D33" s="2769"/>
      <c r="E33" s="2751"/>
      <c r="F33" s="2751"/>
      <c r="G33" s="2771"/>
      <c r="H33" s="2771"/>
      <c r="I33" s="2771"/>
      <c r="J33" s="2771"/>
      <c r="K33" s="2031" t="s">
        <v>597</v>
      </c>
      <c r="L33" s="2773" t="str">
        <f t="shared" si="2"/>
        <v>2q</v>
      </c>
      <c r="M33" s="335"/>
      <c r="N33" s="2775"/>
      <c r="O33" s="2990"/>
      <c r="P33" s="3011" t="s">
        <v>3681</v>
      </c>
      <c r="Q33" s="2991"/>
      <c r="R33" s="2979">
        <f t="shared" si="1"/>
        <v>0</v>
      </c>
      <c r="S33" s="2971"/>
      <c r="T33" s="2972"/>
      <c r="U33" s="2980" t="str">
        <f>IF(AC24&gt;AC27,"","X")</f>
        <v>X</v>
      </c>
      <c r="V33" s="2981" t="s">
        <v>936</v>
      </c>
      <c r="W33" s="2982" t="s">
        <v>3682</v>
      </c>
      <c r="X33" s="2972"/>
      <c r="Y33" s="2972"/>
      <c r="Z33" s="2972"/>
      <c r="AA33" s="2972"/>
      <c r="AB33" s="2972"/>
      <c r="AC33" s="2972"/>
      <c r="AD33" s="2972"/>
      <c r="AE33" s="2972"/>
      <c r="AF33" s="2998"/>
    </row>
    <row r="34" spans="1:32" ht="15" customHeight="1" thickBot="1">
      <c r="A34" s="139"/>
      <c r="B34" s="2768" t="s">
        <v>850</v>
      </c>
      <c r="C34" s="2769" t="s">
        <v>3683</v>
      </c>
      <c r="D34" s="2769"/>
      <c r="E34" s="2751"/>
      <c r="F34" s="2751"/>
      <c r="G34" s="2771"/>
      <c r="H34" s="2771"/>
      <c r="I34" s="2771"/>
      <c r="J34" s="2771"/>
      <c r="K34" s="2031" t="s">
        <v>670</v>
      </c>
      <c r="L34" s="2773" t="str">
        <f t="shared" si="2"/>
        <v>2r</v>
      </c>
      <c r="M34" s="335"/>
      <c r="N34" s="2775"/>
      <c r="O34" s="2990"/>
      <c r="P34" s="3011" t="str">
        <f>TEXT(P19,"$0,000")&amp;". For example, if the amount"</f>
        <v>$900,350. For example, if the amount</v>
      </c>
      <c r="Q34" s="2991"/>
      <c r="R34" s="2979">
        <f t="shared" si="1"/>
        <v>0</v>
      </c>
      <c r="S34" s="2971"/>
      <c r="T34" s="2972"/>
      <c r="U34" s="3014"/>
      <c r="V34" s="2982"/>
      <c r="W34" s="3015" t="s">
        <v>3684</v>
      </c>
      <c r="X34" s="2972"/>
      <c r="Y34" s="2972"/>
      <c r="Z34" s="2972"/>
      <c r="AA34" s="2972"/>
      <c r="AB34" s="2972"/>
      <c r="AC34" s="2972"/>
      <c r="AD34" s="2972"/>
      <c r="AE34" s="2972"/>
      <c r="AF34" s="2998"/>
    </row>
    <row r="35" spans="1:32" ht="15" customHeight="1" thickBot="1">
      <c r="A35" s="139"/>
      <c r="B35" s="2768" t="s">
        <v>853</v>
      </c>
      <c r="C35" s="2769" t="s">
        <v>3685</v>
      </c>
      <c r="D35" s="2769"/>
      <c r="E35" s="2751"/>
      <c r="F35" s="2751"/>
      <c r="G35" s="2771"/>
      <c r="H35" s="2771"/>
      <c r="I35" s="2075"/>
      <c r="J35" s="2771"/>
      <c r="K35" s="2075" t="str">
        <f>IF($M$35&gt;0,"(Enter as negative amount)",".   .   .   .   .   .   .   .   .   .   .   .   .   .   .   . ")</f>
        <v xml:space="preserve">.   .   .   .   .   .   .   .   .   .   .   .   .   .   .   . </v>
      </c>
      <c r="L35" s="2773" t="str">
        <f t="shared" si="2"/>
        <v>2s</v>
      </c>
      <c r="M35" s="335"/>
      <c r="N35" s="2775"/>
      <c r="O35" s="2990"/>
      <c r="P35" s="3011" t="str">
        <f>"on line 4 is "&amp;TEXT(P16,"$0,000")&amp;", enter "&amp;TEXT(R16,"$0,000")</f>
        <v>on line 4 is $920,350, enter $915,350</v>
      </c>
      <c r="Q35" s="2991"/>
      <c r="R35" s="2979">
        <f t="shared" si="1"/>
        <v>0</v>
      </c>
      <c r="S35" s="2971"/>
      <c r="T35" s="2972"/>
      <c r="U35" s="2980" t="str">
        <f>IF(AC24&gt;AC27,"X","")</f>
        <v/>
      </c>
      <c r="V35" s="2981" t="s">
        <v>938</v>
      </c>
      <c r="W35" s="2982" t="s">
        <v>3686</v>
      </c>
      <c r="X35" s="2972"/>
      <c r="Y35" s="2972"/>
      <c r="Z35" s="2972"/>
      <c r="AA35" s="2992" t="s">
        <v>1888</v>
      </c>
      <c r="AB35" s="2993" t="s">
        <v>198</v>
      </c>
      <c r="AC35" s="2943" t="str">
        <f>IF(U33="X","",SUM(AC24,-AC27))</f>
        <v/>
      </c>
      <c r="AD35" s="2972"/>
      <c r="AE35" s="2972"/>
      <c r="AF35" s="2998"/>
    </row>
    <row r="36" spans="1:32" ht="15" customHeight="1">
      <c r="A36" s="139"/>
      <c r="B36" s="2768" t="s">
        <v>855</v>
      </c>
      <c r="C36" s="2769" t="s">
        <v>3687</v>
      </c>
      <c r="D36" s="2769"/>
      <c r="E36" s="2751"/>
      <c r="F36" s="2751"/>
      <c r="G36" s="2771"/>
      <c r="H36" s="2771"/>
      <c r="I36" s="2771"/>
      <c r="J36" s="2771"/>
      <c r="K36" s="2031" t="s">
        <v>677</v>
      </c>
      <c r="L36" s="2773" t="str">
        <f t="shared" si="2"/>
        <v>2t</v>
      </c>
      <c r="M36" s="335"/>
      <c r="N36" s="2775"/>
      <c r="O36" s="2990"/>
      <c r="P36" s="3011" t="str">
        <f>"instead—the additional "&amp;TEXT(SUM(P16,-R16),"$0,000")&amp;" is "&amp;TEXT(P22,"0%")</f>
        <v>instead—the additional $5,000 is 25%</v>
      </c>
      <c r="Q36" s="2991"/>
      <c r="R36" s="2979">
        <f t="shared" si="1"/>
        <v>0</v>
      </c>
      <c r="S36" s="2971"/>
      <c r="T36" s="2972"/>
      <c r="U36" s="2972"/>
      <c r="V36" s="2976"/>
      <c r="W36" s="2972"/>
      <c r="X36" s="2972"/>
      <c r="Y36" s="2972"/>
      <c r="Z36" s="2972"/>
      <c r="AA36" s="2972"/>
      <c r="AB36" s="2972"/>
      <c r="AC36" s="2972"/>
      <c r="AD36" s="2972"/>
      <c r="AE36" s="2972"/>
      <c r="AF36" s="2998"/>
    </row>
    <row r="37" spans="1:32" ht="15" customHeight="1">
      <c r="A37" s="139"/>
      <c r="B37" s="2984">
        <v>3</v>
      </c>
      <c r="C37" s="2769" t="s">
        <v>3688</v>
      </c>
      <c r="D37" s="2769"/>
      <c r="E37" s="2751"/>
      <c r="F37" s="2751"/>
      <c r="G37" s="2771"/>
      <c r="H37" s="2771"/>
      <c r="I37" s="2771"/>
      <c r="J37" s="2771"/>
      <c r="K37" s="2031" t="s">
        <v>608</v>
      </c>
      <c r="L37" s="2773">
        <f>B37</f>
        <v>3</v>
      </c>
      <c r="M37" s="335"/>
      <c r="N37" s="2775"/>
      <c r="O37" s="2990"/>
      <c r="P37" s="3011" t="str">
        <f>"of "&amp;TEXT(SUM(P16,-P19),"$0,000")&amp;" ("&amp;TEXT(P16,"$0,000")&amp;" minus "&amp;TEXT(P19,"$0,000")&amp;")."</f>
        <v>of $20,000 ($920,350 minus $900,350).</v>
      </c>
      <c r="Q37" s="2991"/>
      <c r="R37" s="2979">
        <f t="shared" si="1"/>
        <v>0</v>
      </c>
      <c r="S37" s="2971"/>
      <c r="T37" s="2972"/>
      <c r="U37" s="3000" t="s">
        <v>200</v>
      </c>
      <c r="V37" s="2982" t="s">
        <v>1046</v>
      </c>
      <c r="W37" s="2972"/>
      <c r="X37" s="2972"/>
      <c r="Y37" s="2972"/>
      <c r="Z37" s="2972"/>
      <c r="AA37" s="2972"/>
      <c r="AB37" s="2972"/>
      <c r="AC37" s="2972"/>
      <c r="AD37" s="2972"/>
      <c r="AE37" s="2972"/>
      <c r="AF37" s="2998"/>
    </row>
    <row r="38" spans="1:32" ht="15" customHeight="1">
      <c r="A38" s="139"/>
      <c r="B38" s="2984">
        <f>B37+1</f>
        <v>4</v>
      </c>
      <c r="C38" s="2826" t="s">
        <v>6449</v>
      </c>
      <c r="D38" s="2995"/>
      <c r="E38" s="2751"/>
      <c r="F38" s="2751"/>
      <c r="G38" s="2771"/>
      <c r="H38" s="2771"/>
      <c r="I38" s="2771"/>
      <c r="J38" s="2771"/>
      <c r="K38" s="3016"/>
      <c r="L38" s="2805"/>
      <c r="M38" s="3017">
        <f>SUM(R15,R17:R37)</f>
        <v>0</v>
      </c>
      <c r="N38" s="2783"/>
      <c r="O38" s="2990"/>
      <c r="P38" s="3018" t="str">
        <f>IF(File_Marr_Sep="","",IF(NOT(R39),0,IF(M38&gt;P20,P21,ROUND(P22*(SUM(M38,-P19)),0))))</f>
        <v/>
      </c>
      <c r="Q38" s="10336" t="str">
        <f>IF(R39,"&lt;&lt;&lt;  Amount added","")</f>
        <v/>
      </c>
      <c r="R38" s="10337"/>
      <c r="S38" s="2971"/>
      <c r="T38" s="2972"/>
      <c r="U38" s="2976" t="s">
        <v>3672</v>
      </c>
      <c r="V38" s="2982" t="str">
        <f>"Single or head of household -- "&amp;TEXT(G43,"$0,000")</f>
        <v>Single or head of household -- $626,350</v>
      </c>
      <c r="W38" s="2972"/>
      <c r="X38" s="2972"/>
      <c r="Y38" s="2972"/>
      <c r="Z38" s="2972"/>
      <c r="AA38" s="3013"/>
      <c r="AB38" s="2972"/>
      <c r="AC38" s="2972"/>
      <c r="AD38" s="2972"/>
      <c r="AE38" s="2972"/>
      <c r="AF38" s="2998"/>
    </row>
    <row r="39" spans="1:32" ht="15" customHeight="1">
      <c r="A39" s="139"/>
      <c r="B39" s="2768"/>
      <c r="C39" s="3019" t="str">
        <f>"is more than "&amp;TEXT(P19,"$0,000")&amp;", see instructions.)"</f>
        <v>is more than $900,350, see instructions.)</v>
      </c>
      <c r="D39" s="2769"/>
      <c r="E39" s="2751"/>
      <c r="F39" s="2751"/>
      <c r="G39" s="2771"/>
      <c r="H39" s="2771"/>
      <c r="I39" s="2771"/>
      <c r="J39" s="2771"/>
      <c r="K39" s="2031" t="s">
        <v>617</v>
      </c>
      <c r="L39" s="2805">
        <f>B38</f>
        <v>4</v>
      </c>
      <c r="M39" s="2774" t="str">
        <f>IF(P39&lt;&gt;"",ROUND(P39,0),IF(NOT(F6251_Needed),"",SUM(M38,P38)))</f>
        <v/>
      </c>
      <c r="N39" s="2783"/>
      <c r="O39" s="2990"/>
      <c r="P39" s="118"/>
      <c r="Q39" s="2991"/>
      <c r="R39" s="3020" t="b">
        <f>AND(File_Marr_Sep&lt;&gt;"",M38&gt;P19)</f>
        <v>0</v>
      </c>
      <c r="S39" s="2971"/>
      <c r="T39" s="2972"/>
      <c r="U39" s="2976" t="s">
        <v>3672</v>
      </c>
      <c r="V39" s="2982" t="str">
        <f>"Married filing jointly or qualifying widow(er) -- "&amp;TEXT(G44,"$0,000")</f>
        <v>Married filing jointly or qualifying widow(er) -- $1,252,700</v>
      </c>
      <c r="W39" s="2972"/>
      <c r="X39" s="2972"/>
      <c r="Y39" s="2972"/>
      <c r="Z39" s="2972"/>
      <c r="AA39" s="3021" t="s">
        <v>842</v>
      </c>
      <c r="AB39" s="2993" t="s">
        <v>200</v>
      </c>
      <c r="AC39" s="2943" t="str">
        <f>IF(U33="X","",IF(OR(File_Single&lt;&gt;"",File_Head&lt;&gt;""),G43,IF(OR(File_Marr_Joint&lt;&gt;"",File_Qual_Widow&lt;&gt;""),G44,IF(File_Marr_Sep&lt;&gt;"",G45,"Filing status?"))))</f>
        <v/>
      </c>
      <c r="AD39" s="2972"/>
      <c r="AE39" s="2972"/>
      <c r="AF39" s="2998"/>
    </row>
    <row r="40" spans="1:32" ht="15" customHeight="1">
      <c r="A40" s="139"/>
      <c r="B40" s="3022" t="s">
        <v>868</v>
      </c>
      <c r="C40" s="10303" t="s">
        <v>3689</v>
      </c>
      <c r="D40" s="10303"/>
      <c r="E40" s="10304"/>
      <c r="F40" s="10304"/>
      <c r="G40" s="10304"/>
      <c r="H40" s="10304"/>
      <c r="I40" s="10304"/>
      <c r="J40" s="10304"/>
      <c r="K40" s="10304"/>
      <c r="L40" s="10304"/>
      <c r="M40" s="10304"/>
      <c r="N40" s="2794"/>
      <c r="O40" s="3023"/>
      <c r="P40" s="3024"/>
      <c r="Q40" s="6545"/>
      <c r="R40" s="3025"/>
      <c r="S40" s="2971"/>
      <c r="T40" s="2972"/>
      <c r="U40" s="2976" t="s">
        <v>3672</v>
      </c>
      <c r="V40" s="2982" t="str">
        <f>"Married filing separately -- "&amp;TEXT(G45,"$0,000")</f>
        <v>Married filing separately -- $626,350</v>
      </c>
      <c r="W40" s="2972"/>
      <c r="X40" s="2972"/>
      <c r="Y40" s="2972"/>
      <c r="Z40" s="2972"/>
      <c r="AA40" s="3013"/>
      <c r="AB40" s="2972"/>
      <c r="AC40" s="2972"/>
      <c r="AD40" s="2972"/>
      <c r="AE40" s="2972"/>
      <c r="AF40" s="2998"/>
    </row>
    <row r="41" spans="1:32" ht="15" customHeight="1">
      <c r="A41" s="139"/>
      <c r="B41" s="2984">
        <f>B38+1</f>
        <v>5</v>
      </c>
      <c r="C41" s="2769" t="s">
        <v>3690</v>
      </c>
      <c r="D41" s="2769"/>
      <c r="E41" s="2751"/>
      <c r="F41" s="2751"/>
      <c r="G41" s="2771"/>
      <c r="H41" s="2771"/>
      <c r="I41" s="2771"/>
      <c r="J41" s="2771"/>
      <c r="K41" s="2031"/>
      <c r="L41" s="3026"/>
      <c r="M41" s="3027"/>
      <c r="N41" s="3028"/>
      <c r="O41" s="2990"/>
      <c r="P41" s="3024"/>
      <c r="Q41" s="3258"/>
      <c r="R41" s="3025"/>
      <c r="S41" s="2971"/>
      <c r="T41" s="2972"/>
      <c r="U41" s="2972"/>
      <c r="V41" s="2976"/>
      <c r="W41" s="2972"/>
      <c r="X41" s="2972"/>
      <c r="Y41" s="2972"/>
      <c r="Z41" s="2972"/>
      <c r="AA41" s="3013"/>
      <c r="AB41" s="2972"/>
      <c r="AC41" s="2972"/>
      <c r="AD41" s="2972"/>
      <c r="AE41" s="2972"/>
      <c r="AF41" s="2998"/>
    </row>
    <row r="42" spans="1:32" ht="15" customHeight="1">
      <c r="A42" s="139"/>
      <c r="B42" s="2768"/>
      <c r="C42" s="2826" t="s">
        <v>3691</v>
      </c>
      <c r="D42" s="2769"/>
      <c r="E42" s="2751"/>
      <c r="F42" s="2751"/>
      <c r="G42" s="3029" t="s">
        <v>3692</v>
      </c>
      <c r="H42" s="2771"/>
      <c r="I42" s="3029" t="s">
        <v>3693</v>
      </c>
      <c r="J42" s="2771"/>
      <c r="K42" s="2031"/>
      <c r="L42" s="3030"/>
      <c r="M42" s="3027" t="s">
        <v>1892</v>
      </c>
      <c r="N42" s="3028"/>
      <c r="O42" s="2990"/>
      <c r="P42" s="3024"/>
      <c r="Q42" s="2703"/>
      <c r="R42" s="3031"/>
      <c r="S42" s="2971"/>
      <c r="T42" s="2972"/>
      <c r="U42" s="3000" t="s">
        <v>205</v>
      </c>
      <c r="V42" s="2982" t="s">
        <v>3694</v>
      </c>
      <c r="W42" s="2972"/>
      <c r="X42" s="2972"/>
      <c r="Y42" s="2972"/>
      <c r="Z42" s="2972"/>
      <c r="AA42" s="2972"/>
      <c r="AB42" s="2972"/>
      <c r="AC42" s="2972"/>
      <c r="AD42" s="2972"/>
      <c r="AE42" s="2972"/>
      <c r="AF42" s="2998"/>
    </row>
    <row r="43" spans="1:32" ht="15" customHeight="1" thickBot="1">
      <c r="A43" s="139"/>
      <c r="B43" s="2768"/>
      <c r="C43" s="2769" t="s">
        <v>3695</v>
      </c>
      <c r="D43" s="2769"/>
      <c r="E43" s="2751"/>
      <c r="F43" s="2751"/>
      <c r="G43" s="3032">
        <v>626350</v>
      </c>
      <c r="H43" s="2075" t="str">
        <f>".   .   .   .   ."</f>
        <v>.   .   .   .   .</v>
      </c>
      <c r="I43" s="3033">
        <v>88100</v>
      </c>
      <c r="J43" s="2771"/>
      <c r="K43" s="2031"/>
      <c r="L43" s="3030"/>
      <c r="M43" s="3027"/>
      <c r="N43" s="3028"/>
      <c r="O43" s="2990"/>
      <c r="P43" s="3024"/>
      <c r="Q43" s="3258"/>
      <c r="R43" s="3025"/>
      <c r="S43" s="2971"/>
      <c r="T43" s="2972"/>
      <c r="U43" s="2972"/>
      <c r="V43" s="2976"/>
      <c r="W43" s="2972"/>
      <c r="X43" s="2972"/>
      <c r="Y43" s="2972"/>
      <c r="Z43" s="2972"/>
      <c r="AA43" s="2972"/>
      <c r="AB43" s="2972"/>
      <c r="AC43" s="2972"/>
      <c r="AD43" s="2972"/>
      <c r="AE43" s="2972"/>
      <c r="AF43" s="2998"/>
    </row>
    <row r="44" spans="1:32" ht="12" customHeight="1" thickBot="1">
      <c r="A44" s="139"/>
      <c r="B44" s="2768"/>
      <c r="C44" s="2769" t="s">
        <v>3696</v>
      </c>
      <c r="D44" s="2769"/>
      <c r="E44" s="2751"/>
      <c r="F44" s="2751"/>
      <c r="G44" s="3034">
        <v>1252700</v>
      </c>
      <c r="H44" s="2075" t="str">
        <f>".   .   .   .   ."</f>
        <v>.   .   .   .   .</v>
      </c>
      <c r="I44" s="3035">
        <v>137000</v>
      </c>
      <c r="J44" s="2771"/>
      <c r="K44" s="2031"/>
      <c r="L44" s="3030"/>
      <c r="M44" s="3027"/>
      <c r="N44" s="3028"/>
      <c r="O44" s="2990"/>
      <c r="P44" s="962"/>
      <c r="Q44" s="3258"/>
      <c r="R44" s="3025"/>
      <c r="S44" s="2971"/>
      <c r="T44" s="2972"/>
      <c r="U44" s="2980" t="str">
        <f>IF(U33="X","",IF(AC24&gt;AC39,"","X"))</f>
        <v/>
      </c>
      <c r="V44" s="2981" t="s">
        <v>936</v>
      </c>
      <c r="W44" s="2982" t="s">
        <v>3697</v>
      </c>
      <c r="X44" s="2972"/>
      <c r="Y44" s="2972"/>
      <c r="Z44" s="2972"/>
      <c r="AA44" s="2972"/>
      <c r="AB44" s="2972"/>
      <c r="AC44" s="2983" t="str">
        <f>IF(U44="X","Go to Line 12.","")</f>
        <v/>
      </c>
      <c r="AD44" s="2972"/>
      <c r="AE44" s="2972"/>
      <c r="AF44" s="2998"/>
    </row>
    <row r="45" spans="1:32" ht="13.5" thickBot="1">
      <c r="A45" s="139"/>
      <c r="B45" s="2768"/>
      <c r="C45" s="2769" t="s">
        <v>3698</v>
      </c>
      <c r="D45" s="2769"/>
      <c r="E45" s="2751"/>
      <c r="F45" s="2826" t="s">
        <v>3699</v>
      </c>
      <c r="G45" s="3034">
        <f>G43</f>
        <v>626350</v>
      </c>
      <c r="H45" s="2075" t="str">
        <f>".   .   .   .   ."</f>
        <v>.   .   .   .   .</v>
      </c>
      <c r="I45" s="3035">
        <v>68500</v>
      </c>
      <c r="J45" s="2771"/>
      <c r="K45" s="2031"/>
      <c r="L45" s="3030"/>
      <c r="M45" s="3027"/>
      <c r="N45" s="3028"/>
      <c r="O45" s="3036"/>
      <c r="P45" s="3037" t="str">
        <f>IF(NOT(P1),"",IF(NOT(AMTExemptionFlag),"You AMT exemption is zero.","Go to Line 6."))</f>
        <v/>
      </c>
      <c r="Q45" s="3258"/>
      <c r="R45" s="382"/>
      <c r="S45" s="2971"/>
      <c r="T45" s="2972"/>
      <c r="U45" s="2972"/>
      <c r="V45" s="2976"/>
      <c r="W45" s="2972"/>
      <c r="X45" s="2972"/>
      <c r="Y45" s="2972"/>
      <c r="Z45" s="2972"/>
      <c r="AA45" s="2972"/>
      <c r="AB45" s="2972"/>
      <c r="AC45" s="2972"/>
      <c r="AD45" s="2972"/>
      <c r="AE45" s="2972"/>
      <c r="AF45" s="2998"/>
    </row>
    <row r="46" spans="1:32" ht="13.5" customHeight="1" thickBot="1">
      <c r="A46" s="139"/>
      <c r="B46" s="2768"/>
      <c r="C46" s="2769" t="s">
        <v>3700</v>
      </c>
      <c r="D46" s="2769"/>
      <c r="E46" s="2751"/>
      <c r="F46" s="2751"/>
      <c r="G46" s="2771"/>
      <c r="H46" s="2771"/>
      <c r="I46" s="2771"/>
      <c r="J46" s="2771"/>
      <c r="K46" s="3038" t="s">
        <v>627</v>
      </c>
      <c r="L46" s="3039">
        <f>B41</f>
        <v>5</v>
      </c>
      <c r="M46" s="2774" t="str">
        <f>IF(P46&lt;&gt;"",ROUND(P46,0),IF(OR(NumFileStatusBoxes=0,NOT(AMTExemptionFlag)),"",IF(AND(OR(File_Single&lt;&gt;"",File_Head&lt;&gt;""),AltMinTaxInc&lt;=G43),I43,IF(AND(OR(File_Marr_Joint&lt;&gt;"",File_Qual_Widow&lt;&gt;""),AltMinTaxInc&lt;=G44),I44,IF(AND(File_Marr_Sep&lt;&gt;"",AltMinTaxInc&lt;=G45),I45,IF(AC94="",0,AC94))))))</f>
        <v/>
      </c>
      <c r="N46" s="3028"/>
      <c r="O46" s="2990"/>
      <c r="P46" s="118"/>
      <c r="Q46" s="3258"/>
      <c r="R46" s="3040" t="str">
        <f>IF(M46&lt;&gt;"",MAX(0,SUM(AltMinTaxInc,-M46)),AltMinTaxInc)</f>
        <v/>
      </c>
      <c r="S46" s="2971"/>
      <c r="T46" s="2972"/>
      <c r="U46" s="2980" t="str">
        <f>IF(U33="X","",IF(AC24&gt;AC39,"X",""))</f>
        <v/>
      </c>
      <c r="V46" s="2981" t="s">
        <v>938</v>
      </c>
      <c r="W46" s="2982" t="s">
        <v>3701</v>
      </c>
      <c r="X46" s="2972"/>
      <c r="Y46" s="2972"/>
      <c r="Z46" s="2972"/>
      <c r="AA46" s="2992" t="s">
        <v>787</v>
      </c>
      <c r="AB46" s="2993" t="s">
        <v>205</v>
      </c>
      <c r="AC46" s="2943" t="str">
        <f>IF(OR(U33="X",U44="X"),"",SUM(AC24,-AC39))</f>
        <v/>
      </c>
      <c r="AD46" s="2972"/>
      <c r="AE46" s="2972"/>
      <c r="AF46" s="2998"/>
    </row>
    <row r="47" spans="1:32" ht="13.5" customHeight="1">
      <c r="A47" s="139"/>
      <c r="B47" s="2984">
        <f>B41+1</f>
        <v>6</v>
      </c>
      <c r="C47" s="2769" t="s">
        <v>6439</v>
      </c>
      <c r="D47" s="2769"/>
      <c r="E47" s="2751"/>
      <c r="F47" s="2751"/>
      <c r="G47" s="2771"/>
      <c r="H47" s="2771"/>
      <c r="I47" s="2771"/>
      <c r="J47" s="2771"/>
      <c r="K47" s="3041"/>
      <c r="L47" s="2768"/>
      <c r="M47" s="3027"/>
      <c r="N47" s="2775"/>
      <c r="O47" s="2990"/>
      <c r="P47" s="3037" t="str">
        <f>IF(NOT(P1),"",IF(R47,"Go to Line 10.","Go to Line 7."))</f>
        <v/>
      </c>
      <c r="Q47" s="2991"/>
      <c r="R47" s="3040" t="b">
        <f>R46&lt;=0</f>
        <v>0</v>
      </c>
      <c r="S47" s="2971"/>
      <c r="T47" s="2972"/>
      <c r="U47" s="2972"/>
      <c r="V47" s="2976"/>
      <c r="W47" s="2972"/>
      <c r="X47" s="2972"/>
      <c r="Y47" s="2972"/>
      <c r="Z47" s="2972"/>
      <c r="AA47" s="2972"/>
      <c r="AB47" s="2972"/>
      <c r="AC47" s="2972"/>
      <c r="AD47" s="2972"/>
      <c r="AE47" s="2972"/>
      <c r="AF47" s="2998"/>
    </row>
    <row r="48" spans="1:32" ht="13.5" customHeight="1">
      <c r="A48" s="139"/>
      <c r="B48" s="2768"/>
      <c r="C48" s="2769" t="s">
        <v>6440</v>
      </c>
      <c r="D48" s="2769"/>
      <c r="E48" s="2751"/>
      <c r="F48" s="2751"/>
      <c r="G48" s="2771"/>
      <c r="H48" s="2771"/>
      <c r="I48" s="2771"/>
      <c r="J48" s="2771"/>
      <c r="K48" s="2031" t="s">
        <v>668</v>
      </c>
      <c r="L48" s="2802">
        <f>B47</f>
        <v>6</v>
      </c>
      <c r="M48" s="2774" t="str">
        <f>IF(P48&lt;&gt;"",ROUND(P48,0),IF(OR(NumFileStatusBoxes=0,R47),"",IF(NOT(AMTExemptionFlag),AltMinTaxInc,R46)))</f>
        <v/>
      </c>
      <c r="N48" s="2775"/>
      <c r="O48" s="3036"/>
      <c r="P48" s="118"/>
      <c r="Q48" s="2991"/>
      <c r="R48" s="2385"/>
      <c r="S48" s="2971"/>
      <c r="T48" s="2972"/>
      <c r="U48" s="3000" t="s">
        <v>210</v>
      </c>
      <c r="V48" s="2982" t="str">
        <f>" Multiply line 9 by "&amp;TEXT(AH54,"0%")&amp;" ("&amp;TEXT(AH54,".00")&amp;") and enter the smaller of the result or line 6"</f>
        <v xml:space="preserve"> Multiply line 9 by 25% (.25) and enter the smaller of the result or line 6</v>
      </c>
      <c r="W48" s="2972"/>
      <c r="X48" s="2972"/>
      <c r="Y48" s="2972"/>
      <c r="Z48" s="2972"/>
      <c r="AA48" s="2992" t="s">
        <v>816</v>
      </c>
      <c r="AB48" s="2993" t="s">
        <v>210</v>
      </c>
      <c r="AC48" s="2943" t="str">
        <f>IF(OR(U44="X",U33="X"),"",MIN(ROUND(AH54*AC46,0),AC27))</f>
        <v/>
      </c>
      <c r="AD48" s="2972"/>
      <c r="AE48" s="2972"/>
      <c r="AF48" s="2998"/>
    </row>
    <row r="49" spans="1:34" ht="13.5" customHeight="1">
      <c r="A49" s="139"/>
      <c r="B49" s="2984">
        <f>B47+1</f>
        <v>7</v>
      </c>
      <c r="C49" s="3042" t="s">
        <v>830</v>
      </c>
      <c r="D49" s="2769" t="s">
        <v>3702</v>
      </c>
      <c r="E49" s="2751"/>
      <c r="F49" s="2751"/>
      <c r="G49" s="2771"/>
      <c r="H49" s="2771"/>
      <c r="I49" s="2771"/>
      <c r="J49" s="2771"/>
      <c r="K49" s="3043"/>
      <c r="L49" s="3026"/>
      <c r="M49" s="3044"/>
      <c r="N49" s="3028"/>
      <c r="O49" s="2990"/>
      <c r="P49" s="3045" t="str">
        <f>IF(AND(P1,Form2555_Used),"Form 2555 is used.","")</f>
        <v/>
      </c>
      <c r="Q49" s="3258"/>
      <c r="R49" s="854" t="b">
        <f>Form2555_Used</f>
        <v>0</v>
      </c>
      <c r="S49" s="2971"/>
      <c r="T49" s="2972"/>
      <c r="U49" s="2972"/>
      <c r="V49" s="2976"/>
      <c r="W49" s="2972"/>
      <c r="X49" s="2972"/>
      <c r="Y49" s="2972"/>
      <c r="Z49" s="2972"/>
      <c r="AA49" s="2972"/>
      <c r="AB49" s="2972"/>
      <c r="AC49" s="2972"/>
      <c r="AD49" s="2972"/>
      <c r="AE49" s="3046"/>
      <c r="AF49" s="2998"/>
      <c r="AH49" s="2887"/>
    </row>
    <row r="50" spans="1:34" ht="13.5" customHeight="1">
      <c r="A50" s="139"/>
      <c r="B50" s="2768"/>
      <c r="C50" s="3042" t="s">
        <v>830</v>
      </c>
      <c r="D50" s="2769" t="s">
        <v>3703</v>
      </c>
      <c r="E50" s="2751"/>
      <c r="F50" s="2751"/>
      <c r="G50" s="2771"/>
      <c r="H50" s="2771"/>
      <c r="I50" s="2771"/>
      <c r="J50" s="2771"/>
      <c r="K50" s="3043"/>
      <c r="L50" s="3030"/>
      <c r="M50" s="3047"/>
      <c r="N50" s="3028"/>
      <c r="O50" s="2990"/>
      <c r="P50" s="3045"/>
      <c r="Q50" s="3258"/>
      <c r="R50" s="6547" t="b">
        <f>AND(SchD_NotReqd,CapitalGains&lt;&gt;"",CapitalGains&gt;0)</f>
        <v>0</v>
      </c>
      <c r="S50" s="2971"/>
      <c r="T50" s="2972"/>
      <c r="U50" s="3000" t="s">
        <v>212</v>
      </c>
      <c r="V50" s="2982" t="s">
        <v>3704</v>
      </c>
      <c r="W50" s="2972"/>
      <c r="X50" s="2972"/>
      <c r="Y50" s="2972"/>
      <c r="Z50" s="2972"/>
      <c r="AA50" s="2992" t="s">
        <v>1155</v>
      </c>
      <c r="AB50" s="2993" t="s">
        <v>212</v>
      </c>
      <c r="AC50" s="2943" t="str">
        <f>IF(U33="X","",IF(U44="X",AC35,SUM(AC35,AC48)))</f>
        <v/>
      </c>
      <c r="AD50" s="2972"/>
      <c r="AE50" s="3048"/>
      <c r="AF50" s="2998"/>
      <c r="AH50" s="3049"/>
    </row>
    <row r="51" spans="1:34" ht="15" customHeight="1">
      <c r="A51" s="139"/>
      <c r="B51" s="2768"/>
      <c r="C51" s="2770"/>
      <c r="D51" s="2769" t="s">
        <v>6441</v>
      </c>
      <c r="E51" s="2751"/>
      <c r="F51" s="2751"/>
      <c r="G51" s="2771"/>
      <c r="H51" s="2771"/>
      <c r="I51" s="3029"/>
      <c r="J51" s="3029"/>
      <c r="K51" s="3050"/>
      <c r="L51" s="3051"/>
      <c r="M51" s="3047"/>
      <c r="N51" s="2783"/>
      <c r="O51" s="2990"/>
      <c r="P51" s="962"/>
      <c r="Q51" s="3258"/>
      <c r="R51" s="6547" t="b">
        <f>AND(Qualified_Dividends&lt;&gt;"",Qualified_Dividends&gt;0)</f>
        <v>0</v>
      </c>
      <c r="S51" s="2971"/>
      <c r="T51" s="2972"/>
      <c r="U51" s="2972"/>
      <c r="V51" s="2976"/>
      <c r="W51" s="2972"/>
      <c r="X51" s="2972"/>
      <c r="Y51" s="2972"/>
      <c r="Z51" s="2972"/>
      <c r="AA51" s="2972"/>
      <c r="AB51" s="2972"/>
      <c r="AC51" s="2972"/>
      <c r="AD51" s="2972"/>
      <c r="AE51" s="2977"/>
      <c r="AF51" s="2998"/>
      <c r="AH51" s="3052"/>
    </row>
    <row r="52" spans="1:34" ht="13.5" customHeight="1">
      <c r="A52" s="139"/>
      <c r="B52" s="2768"/>
      <c r="C52" s="2770"/>
      <c r="D52" s="2769" t="s">
        <v>3705</v>
      </c>
      <c r="E52" s="2751"/>
      <c r="F52" s="2751"/>
      <c r="G52" s="2771"/>
      <c r="H52" s="2771"/>
      <c r="I52" s="3029"/>
      <c r="J52" s="3029"/>
      <c r="K52" s="3050"/>
      <c r="L52" s="3051"/>
      <c r="M52" s="3047"/>
      <c r="N52" s="2783"/>
      <c r="O52" s="2990"/>
      <c r="P52" s="962"/>
      <c r="Q52" s="3258"/>
      <c r="R52" s="6547" t="b">
        <f>AND(SchDLine15&lt;&gt;"",SchDLine15&gt;0,SchDLine16&lt;&gt;"",SchDLine16&gt;0)</f>
        <v>0</v>
      </c>
      <c r="S52" s="2971"/>
      <c r="T52" s="2972"/>
      <c r="U52" s="3000" t="s">
        <v>1366</v>
      </c>
      <c r="V52" s="2982" t="str">
        <f>" Is the amount on line 11 more than "&amp;TEXT(R60,"$0,000")&amp;" ("&amp;TEXT(R61,"$0,000")&amp;" if married filing separately)?"</f>
        <v xml:space="preserve"> Is the amount on line 11 more than $239,100 ($119,550 if married filing separately)?</v>
      </c>
      <c r="W52" s="2972"/>
      <c r="X52" s="2972"/>
      <c r="Y52" s="2972"/>
      <c r="Z52" s="2972"/>
      <c r="AA52" s="2972"/>
      <c r="AB52" s="2972"/>
      <c r="AC52" s="2972"/>
      <c r="AD52" s="2972"/>
      <c r="AE52" s="2977"/>
      <c r="AF52" s="2998"/>
      <c r="AH52" s="382">
        <f>IF(File_Marr_Sep&lt;&gt;"",R61,R60)</f>
        <v>239100</v>
      </c>
    </row>
    <row r="53" spans="1:34" ht="13.5" customHeight="1" thickBot="1">
      <c r="A53" s="139"/>
      <c r="B53" s="2768"/>
      <c r="C53" s="2770"/>
      <c r="D53" s="2769" t="s">
        <v>3706</v>
      </c>
      <c r="E53" s="2751"/>
      <c r="F53" s="2751"/>
      <c r="G53" s="2771"/>
      <c r="H53" s="2771"/>
      <c r="I53" s="3029"/>
      <c r="J53" s="3029"/>
      <c r="K53" s="2031" t="s">
        <v>2390</v>
      </c>
      <c r="L53" s="3039">
        <f>B49</f>
        <v>7</v>
      </c>
      <c r="M53" s="2774" t="str">
        <f>IF(P53&lt;&gt;"",ROUND(P53,0),IF(NOT(P1),"",IF(R47,0,IF(Form2555_Used,AC122,IF(F6251_PIII,M126,IF(M48&lt;=R63,M48*R68,SUM((M48*R69),-R67)))))))</f>
        <v/>
      </c>
      <c r="N53" s="2783"/>
      <c r="O53" s="2990"/>
      <c r="P53" s="118"/>
      <c r="Q53" s="3258"/>
      <c r="R53" s="854" t="b">
        <f>OR(R50,R51,R52)</f>
        <v>0</v>
      </c>
      <c r="S53" s="2971"/>
      <c r="T53" s="2972"/>
      <c r="U53" s="2972"/>
      <c r="V53" s="2976"/>
      <c r="W53" s="2972"/>
      <c r="X53" s="2972"/>
      <c r="Y53" s="2972"/>
      <c r="Z53" s="2972"/>
      <c r="AA53" s="2972"/>
      <c r="AB53" s="2972"/>
      <c r="AC53" s="2972"/>
      <c r="AD53" s="2972"/>
      <c r="AE53" s="3048"/>
      <c r="AF53" s="2998"/>
    </row>
    <row r="54" spans="1:34" ht="13.5" thickBot="1">
      <c r="A54" s="139"/>
      <c r="B54" s="2768"/>
      <c r="C54" s="2751" t="s">
        <v>3707</v>
      </c>
      <c r="D54" s="2826" t="s">
        <v>3708</v>
      </c>
      <c r="E54" s="2769" t="str">
        <f>"If line "&amp;L48&amp;" is "&amp;TEXT(R60,"$0,000")&amp;" or less ("&amp;TEXT(R61,"$0,000")&amp;" or less if married filing separately), multiply"</f>
        <v>If line 6 is $239,100 or less ($119,550 or less if married filing separately), multiply</v>
      </c>
      <c r="F54" s="2751"/>
      <c r="G54" s="2771"/>
      <c r="H54" s="2771"/>
      <c r="I54" s="2771"/>
      <c r="J54" s="2771"/>
      <c r="K54" s="3043"/>
      <c r="L54" s="3051"/>
      <c r="M54" s="3053"/>
      <c r="N54" s="3028"/>
      <c r="O54" s="497"/>
      <c r="P54" s="2510"/>
      <c r="Q54" s="3258"/>
      <c r="R54" s="854" t="b">
        <f>AND(F6251_Needed,OR(Q70&lt;&gt;"",R53))</f>
        <v>0</v>
      </c>
      <c r="S54" s="2971"/>
      <c r="T54" s="2972"/>
      <c r="U54" s="2980" t="str">
        <f>IF(U33="X","",IF(AC50&gt;AH52,"X",""))</f>
        <v/>
      </c>
      <c r="V54" s="2981" t="s">
        <v>938</v>
      </c>
      <c r="W54" s="2982" t="s">
        <v>3709</v>
      </c>
      <c r="X54" s="2972"/>
      <c r="Y54" s="2972"/>
      <c r="Z54" s="2972"/>
      <c r="AA54" s="2972"/>
      <c r="AB54" s="2972"/>
      <c r="AC54" s="2972"/>
      <c r="AD54" s="2972"/>
      <c r="AE54" s="3048"/>
      <c r="AF54" s="2998"/>
      <c r="AH54" s="382">
        <v>0.25</v>
      </c>
    </row>
    <row r="55" spans="1:34" ht="12" customHeight="1" thickBot="1">
      <c r="A55" s="139"/>
      <c r="B55" s="2768"/>
      <c r="C55" s="3054"/>
      <c r="D55" s="3019" t="str">
        <f>"line "&amp;L48&amp;" by "&amp;TEXT(R68,"0%")&amp;" ("&amp;TEXT(R68,"0.00")&amp;"). Otherwise, multiply line "&amp;L48&amp;" by "&amp;TEXT(R69,"0%")&amp;" ("&amp;TEXT(R69,"0.00")&amp;") and subtract "&amp;TEXT(R65,"$0,000")&amp;" ("&amp;TEXT(R66,"$0,000")&amp;" if"</f>
        <v>line 6 by 26% (0.26). Otherwise, multiply line 6 by 28% (0.28) and subtract $4,782 ($2,391 if</v>
      </c>
      <c r="E55" s="2751"/>
      <c r="F55" s="2751"/>
      <c r="G55" s="2771"/>
      <c r="H55" s="2771"/>
      <c r="I55" s="3029"/>
      <c r="J55" s="3029"/>
      <c r="K55" s="3050"/>
      <c r="L55" s="3051"/>
      <c r="M55" s="6544"/>
      <c r="N55" s="2783"/>
      <c r="O55" s="2990"/>
      <c r="P55" s="2510"/>
      <c r="Q55" s="3258"/>
      <c r="R55" s="6548"/>
      <c r="S55" s="2971"/>
      <c r="T55" s="2972"/>
      <c r="U55" s="2972"/>
      <c r="V55" s="2982"/>
      <c r="W55" s="3014"/>
      <c r="X55" s="2972"/>
      <c r="Y55" s="2972"/>
      <c r="Z55" s="2972"/>
      <c r="AA55" s="2972"/>
      <c r="AB55" s="2972"/>
      <c r="AC55" s="2972"/>
      <c r="AD55" s="2972"/>
      <c r="AE55" s="3048"/>
      <c r="AF55" s="2998"/>
    </row>
    <row r="56" spans="1:34" ht="12.75" customHeight="1" thickBot="1">
      <c r="A56" s="139"/>
      <c r="B56" s="2768"/>
      <c r="C56" s="3054"/>
      <c r="D56" s="3019" t="s">
        <v>3710</v>
      </c>
      <c r="E56" s="2751"/>
      <c r="F56" s="2751"/>
      <c r="G56" s="2771"/>
      <c r="H56" s="2771"/>
      <c r="I56" s="3029"/>
      <c r="J56" s="3029"/>
      <c r="K56" s="3050"/>
      <c r="L56" s="3051"/>
      <c r="M56" s="3053"/>
      <c r="N56" s="2783"/>
      <c r="O56" s="2990"/>
      <c r="P56" s="2510"/>
      <c r="Q56" s="3258"/>
      <c r="R56" s="5134"/>
      <c r="S56" s="2971"/>
      <c r="T56" s="2972"/>
      <c r="U56" s="2980" t="str">
        <f>IF(U33="X","",IF(AC50&gt;AH52,"","X"))</f>
        <v/>
      </c>
      <c r="V56" s="2981" t="s">
        <v>936</v>
      </c>
      <c r="W56" s="2982" t="str">
        <f>"Multiply line 11 by "&amp;TEXT(AH61,"0%")&amp;" ("&amp;TEXT(AH61,".00")&amp;")"</f>
        <v>Multiply line 11 by 26% (.26)</v>
      </c>
      <c r="X56" s="2972"/>
      <c r="Y56" s="2972"/>
      <c r="Z56" s="2972"/>
      <c r="AA56" s="2992" t="s">
        <v>787</v>
      </c>
      <c r="AB56" s="2993" t="s">
        <v>1366</v>
      </c>
      <c r="AC56" s="2943" t="str">
        <f>IF(OR(U54="X",U33="X"),"",ROUND(AC50*AH61,0))</f>
        <v/>
      </c>
      <c r="AD56" s="2972"/>
      <c r="AE56" s="3048"/>
      <c r="AF56" s="2998"/>
    </row>
    <row r="57" spans="1:34">
      <c r="A57" s="139"/>
      <c r="B57" s="2984">
        <f>B49+1</f>
        <v>8</v>
      </c>
      <c r="C57" s="2769" t="s">
        <v>3711</v>
      </c>
      <c r="D57" s="2769"/>
      <c r="E57" s="2751"/>
      <c r="F57" s="2751"/>
      <c r="G57" s="2771"/>
      <c r="H57" s="2771"/>
      <c r="I57" s="2771"/>
      <c r="J57" s="2771"/>
      <c r="K57" s="2031" t="s">
        <v>590</v>
      </c>
      <c r="L57" s="3039">
        <f>B57</f>
        <v>8</v>
      </c>
      <c r="M57" s="2816" t="str">
        <f>IF(P57&lt;&gt;"",ROUND(P57,0),IF(NOT(P1),"",Foreign_Tax_Credit))</f>
        <v/>
      </c>
      <c r="N57" s="2775"/>
      <c r="O57" s="2990"/>
      <c r="P57" s="118"/>
      <c r="Q57" s="2991"/>
      <c r="R57" s="6548"/>
      <c r="S57" s="2971"/>
      <c r="T57" s="2972"/>
      <c r="U57" s="2972"/>
      <c r="V57" s="2976"/>
      <c r="W57" s="2972"/>
      <c r="X57" s="2972"/>
      <c r="Y57" s="2972"/>
      <c r="Z57" s="2972"/>
      <c r="AA57" s="2972"/>
      <c r="AB57" s="2972"/>
      <c r="AC57" s="2972"/>
      <c r="AD57" s="2972"/>
      <c r="AE57" s="2972"/>
      <c r="AF57" s="2998"/>
      <c r="AH57" s="3055" t="s">
        <v>979</v>
      </c>
    </row>
    <row r="58" spans="1:34" ht="13.5" thickBot="1">
      <c r="A58" s="139"/>
      <c r="B58" s="2984">
        <f>B57+1</f>
        <v>9</v>
      </c>
      <c r="C58" s="2769" t="str">
        <f>"Tentative minimum tax. Subtract line "&amp;L57&amp;" from line "&amp;L53</f>
        <v>Tentative minimum tax. Subtract line 8 from line 7</v>
      </c>
      <c r="D58" s="2769"/>
      <c r="E58" s="2751"/>
      <c r="F58" s="2751"/>
      <c r="G58" s="2771"/>
      <c r="H58" s="2771"/>
      <c r="I58" s="2771"/>
      <c r="J58" s="2771"/>
      <c r="K58" s="2031" t="s">
        <v>2186</v>
      </c>
      <c r="L58" s="3056">
        <f>B58</f>
        <v>9</v>
      </c>
      <c r="M58" s="2774" t="str">
        <f>IF(P58&lt;&gt;"",ROUND(P58,0),IF(NumFileStatusBoxes=0,"",IF(R47,"",IF(M57="",M53,SUM(M53,-M57)))))</f>
        <v/>
      </c>
      <c r="N58" s="2775"/>
      <c r="O58" s="3057"/>
      <c r="P58" s="118"/>
      <c r="Q58" s="2991"/>
      <c r="R58" s="6548"/>
      <c r="S58" s="2971"/>
      <c r="T58" s="2972"/>
      <c r="U58" s="3000" t="s">
        <v>1368</v>
      </c>
      <c r="V58" s="2982" t="s">
        <v>3712</v>
      </c>
      <c r="W58" s="2972"/>
      <c r="X58" s="2972"/>
      <c r="Y58" s="2972"/>
      <c r="Z58" s="2972"/>
      <c r="AA58" s="2972"/>
      <c r="AB58" s="2972"/>
      <c r="AC58" s="2972"/>
      <c r="AD58" s="2972"/>
      <c r="AE58" s="2972"/>
      <c r="AF58" s="2998"/>
      <c r="AH58" s="3055" t="s">
        <v>771</v>
      </c>
    </row>
    <row r="59" spans="1:34" ht="15" customHeight="1" thickBot="1">
      <c r="A59" s="139"/>
      <c r="B59" s="2984">
        <f>B58+1</f>
        <v>10</v>
      </c>
      <c r="C59" s="2769" t="s">
        <v>6442</v>
      </c>
      <c r="D59" s="2770"/>
      <c r="E59" s="2751"/>
      <c r="F59" s="2751"/>
      <c r="G59" s="2771"/>
      <c r="H59" s="2771"/>
      <c r="I59" s="2771"/>
      <c r="J59" s="2771"/>
      <c r="K59" s="3058"/>
      <c r="L59" s="3051"/>
      <c r="M59" s="2989">
        <f>IF(Tax_SubTotal="",0,Tax_SubTotal)</f>
        <v>0</v>
      </c>
      <c r="N59" s="2775"/>
      <c r="O59" s="3059"/>
      <c r="P59" s="3060" t="s">
        <v>3714</v>
      </c>
      <c r="Q59" s="2991"/>
      <c r="R59" s="6548"/>
      <c r="S59" s="2971"/>
      <c r="T59" s="2972"/>
      <c r="U59" s="3014"/>
      <c r="V59" s="2982" t="s">
        <v>3715</v>
      </c>
      <c r="W59" s="2972"/>
      <c r="X59" s="2972"/>
      <c r="Y59" s="2972"/>
      <c r="Z59" s="2972"/>
      <c r="AA59" s="2972"/>
      <c r="AB59" s="2972"/>
      <c r="AC59" s="2972"/>
      <c r="AD59" s="2972"/>
      <c r="AE59" s="3048"/>
      <c r="AF59" s="2998"/>
      <c r="AH59" s="845"/>
    </row>
    <row r="60" spans="1:34" ht="13.5" thickBot="1">
      <c r="A60" s="139"/>
      <c r="B60" s="2984"/>
      <c r="C60" s="2769" t="s">
        <v>3716</v>
      </c>
      <c r="D60" s="2770"/>
      <c r="E60" s="2751"/>
      <c r="F60" s="2751"/>
      <c r="G60" s="2771"/>
      <c r="H60" s="2771"/>
      <c r="I60" s="2771"/>
      <c r="J60" s="2771"/>
      <c r="K60" s="3061"/>
      <c r="L60" s="3030"/>
      <c r="M60" s="2989">
        <f>IF(P60="",0,ROUND(P60,0))</f>
        <v>0</v>
      </c>
      <c r="N60" s="2775"/>
      <c r="O60" s="3059"/>
      <c r="P60" s="355"/>
      <c r="Q60" s="2991"/>
      <c r="R60" s="3025">
        <v>239100</v>
      </c>
      <c r="S60" s="2971"/>
      <c r="T60" s="2972"/>
      <c r="U60" s="3014"/>
      <c r="V60" s="2982" t="s">
        <v>3717</v>
      </c>
      <c r="W60" s="2972"/>
      <c r="X60" s="2972"/>
      <c r="Y60" s="2972"/>
      <c r="Z60" s="2992" t="s">
        <v>824</v>
      </c>
      <c r="AA60" s="352"/>
      <c r="AB60" s="2993" t="s">
        <v>1368</v>
      </c>
      <c r="AC60" s="1339" t="str">
        <f>IF(AH59&lt;&gt;"",ROUND(AH59,0),IF(OR(U54="X",U33="X"),"",IF(AA60="",SUM(Tax_SubTotal,PTC_ExcessAdv),SUM(Tax_SubTotal,PTC_ExcessAdv,-AA60))))</f>
        <v/>
      </c>
      <c r="AD60" s="2972"/>
      <c r="AE60" s="3062" t="str">
        <f>IF(OR(U54="X",U33="X"),"",IF(AA60="",SUM(Tax,PTC_ExcessAdv),SUM(Tax,PTC_ExcessAdv,-AA60)))</f>
        <v/>
      </c>
      <c r="AF60" s="2998"/>
    </row>
    <row r="61" spans="1:34">
      <c r="A61" s="139"/>
      <c r="B61" s="2984"/>
      <c r="C61" s="3019" t="s">
        <v>3718</v>
      </c>
      <c r="D61" s="2770"/>
      <c r="E61" s="2751"/>
      <c r="F61" s="2751"/>
      <c r="G61" s="2771"/>
      <c r="H61" s="2771"/>
      <c r="I61" s="2771"/>
      <c r="J61" s="2771"/>
      <c r="K61" s="2031"/>
      <c r="L61" s="2802"/>
      <c r="M61" s="2989">
        <f>IF(Sch2_Line1z="",0,Sch2_Line1z)</f>
        <v>0</v>
      </c>
      <c r="N61" s="2775"/>
      <c r="O61" s="3036"/>
      <c r="P61" s="3060" t="s">
        <v>6469</v>
      </c>
      <c r="Q61" s="2991"/>
      <c r="R61" s="3025">
        <v>119550</v>
      </c>
      <c r="S61" s="2971"/>
      <c r="T61" s="2972"/>
      <c r="U61" s="2972"/>
      <c r="V61" s="2976"/>
      <c r="W61" s="2972"/>
      <c r="X61" s="2972"/>
      <c r="Y61" s="2972"/>
      <c r="Z61" s="2972"/>
      <c r="AA61" s="3063" t="s">
        <v>3719</v>
      </c>
      <c r="AB61" s="2972"/>
      <c r="AC61" s="3063"/>
      <c r="AD61" s="2972"/>
      <c r="AE61" s="3048"/>
      <c r="AF61" s="2998"/>
      <c r="AH61" s="382">
        <v>0.26</v>
      </c>
    </row>
    <row r="62" spans="1:34" ht="13.5" thickBot="1">
      <c r="A62" s="139"/>
      <c r="B62" s="2984"/>
      <c r="C62" s="2769" t="s">
        <v>3720</v>
      </c>
      <c r="D62" s="2770"/>
      <c r="E62" s="2751"/>
      <c r="F62" s="2751"/>
      <c r="G62" s="2771"/>
      <c r="H62" s="2771"/>
      <c r="I62" s="2771"/>
      <c r="J62" s="2771"/>
      <c r="K62" s="2031"/>
      <c r="L62" s="2802"/>
      <c r="M62" s="2989">
        <f>IF(Foreign_Tax_Credit="",0,Foreign_Tax_Credit)</f>
        <v>0</v>
      </c>
      <c r="N62" s="2775"/>
      <c r="O62" s="3036"/>
      <c r="P62" s="355"/>
      <c r="Q62" s="2991"/>
      <c r="R62" s="3025"/>
      <c r="S62" s="3064"/>
      <c r="T62" s="2972"/>
      <c r="U62" s="2982"/>
      <c r="V62" s="2976"/>
      <c r="W62" s="2972"/>
      <c r="X62" s="2972"/>
      <c r="Y62" s="2972"/>
      <c r="Z62" s="2972"/>
      <c r="AA62" s="2972"/>
      <c r="AB62" s="2972"/>
      <c r="AC62" s="2972"/>
      <c r="AD62" s="2972"/>
      <c r="AE62" s="3048"/>
      <c r="AF62" s="2998"/>
    </row>
    <row r="63" spans="1:34">
      <c r="A63" s="139"/>
      <c r="B63" s="2984"/>
      <c r="C63" s="2769" t="s">
        <v>1872</v>
      </c>
      <c r="D63" s="2770"/>
      <c r="E63" s="2751"/>
      <c r="F63" s="2751"/>
      <c r="G63" s="2771"/>
      <c r="H63" s="2771"/>
      <c r="I63" s="2771"/>
      <c r="J63" s="2771"/>
      <c r="K63" s="2031" t="s">
        <v>3721</v>
      </c>
      <c r="L63" s="3039">
        <f>B59</f>
        <v>10</v>
      </c>
      <c r="M63" s="2774" t="str">
        <f>IF(P63&lt;&gt;"",ROUND(P63,0),IF(OR(NOT(P1),NumFileStatusBoxes=0),"",MAX(0,SUM(SUM(M59,-M60,M61),-SUM(M62,-ROUND(P62,0))))))</f>
        <v/>
      </c>
      <c r="N63" s="2775"/>
      <c r="O63" s="3036"/>
      <c r="P63" s="118"/>
      <c r="Q63" s="2991"/>
      <c r="R63" s="3025">
        <f>IF(File_Marr_Sep&lt;&gt;"",R61,R60)</f>
        <v>239100</v>
      </c>
      <c r="S63" s="3064"/>
      <c r="T63" s="2972"/>
      <c r="U63" s="2982" t="s">
        <v>3722</v>
      </c>
      <c r="V63" s="2976"/>
      <c r="W63" s="2972"/>
      <c r="X63" s="2972"/>
      <c r="Y63" s="2972"/>
      <c r="Z63" s="2972"/>
      <c r="AA63" s="2972"/>
      <c r="AB63" s="2972"/>
      <c r="AC63" s="2972"/>
      <c r="AD63" s="2972"/>
      <c r="AE63" s="3048"/>
      <c r="AF63" s="2998"/>
      <c r="AH63" s="304"/>
    </row>
    <row r="64" spans="1:34" ht="15" customHeight="1" thickBot="1">
      <c r="A64" s="139"/>
      <c r="B64" s="2984">
        <v>11</v>
      </c>
      <c r="C64" s="2769" t="s">
        <v>5858</v>
      </c>
      <c r="D64" s="2769"/>
      <c r="E64" s="3065"/>
      <c r="F64" s="3065"/>
      <c r="G64" s="3065"/>
      <c r="H64" s="3065"/>
      <c r="I64" s="3065"/>
      <c r="J64" s="3065"/>
      <c r="K64" s="2031"/>
      <c r="L64" s="3066" t="s">
        <v>248</v>
      </c>
      <c r="M64" s="3067" t="str">
        <f>IF(P64&lt;&gt;"",ROUND(P64,0),IF(OR(NOT(P1),NumFileStatusBoxes=0),"",IF(OR(R47,M48=0),0,MAX(0,SUM(M58,-M63)))))</f>
        <v/>
      </c>
      <c r="N64" s="2783"/>
      <c r="O64" s="3036"/>
      <c r="P64" s="118"/>
      <c r="Q64" s="6546"/>
      <c r="R64" s="3025">
        <f>IF(M64="",0,M64)</f>
        <v>0</v>
      </c>
      <c r="S64" s="3064"/>
      <c r="T64" s="2972"/>
      <c r="U64" s="2972"/>
      <c r="V64" s="2976"/>
      <c r="W64" s="2972"/>
      <c r="X64" s="2972"/>
      <c r="Y64" s="2972"/>
      <c r="Z64" s="2972"/>
      <c r="AA64" s="2972"/>
      <c r="AB64" s="2972"/>
      <c r="AC64" s="2972"/>
      <c r="AD64" s="2972"/>
      <c r="AE64" s="3048"/>
      <c r="AF64" s="2998"/>
      <c r="AH64" s="304"/>
    </row>
    <row r="65" spans="1:35" ht="15" customHeight="1" thickBot="1">
      <c r="A65" s="139"/>
      <c r="B65" s="2827" t="s">
        <v>865</v>
      </c>
      <c r="C65" s="2828"/>
      <c r="D65" s="2828"/>
      <c r="E65" s="2828"/>
      <c r="F65" s="2828"/>
      <c r="G65" s="2829"/>
      <c r="H65" s="2830" t="s">
        <v>3724</v>
      </c>
      <c r="I65" s="2506"/>
      <c r="J65" s="6525" t="s">
        <v>3725</v>
      </c>
      <c r="K65" s="6524"/>
      <c r="L65" s="3068"/>
      <c r="M65" s="6523" t="str">
        <f>"("&amp;TaxYear&amp;")  Created 9/17/25"</f>
        <v>(2025)  Created 9/17/25</v>
      </c>
      <c r="N65" s="3069"/>
      <c r="O65" s="2990"/>
      <c r="P65" s="962"/>
      <c r="Q65" s="3258"/>
      <c r="R65" s="3025">
        <f>0.02*R60</f>
        <v>4782</v>
      </c>
      <c r="S65" s="3064"/>
      <c r="T65" s="2972"/>
      <c r="U65" s="2980" t="str">
        <f>IF(OR(U54="X",U33="X"),"",IF(AC56&gt;AC60,"X",""))</f>
        <v/>
      </c>
      <c r="V65" s="2981" t="s">
        <v>938</v>
      </c>
      <c r="W65" s="2982" t="s">
        <v>3726</v>
      </c>
      <c r="X65" s="2972"/>
      <c r="Y65" s="2972"/>
      <c r="Z65" s="2972"/>
      <c r="AA65" s="2972"/>
      <c r="AB65" s="2972"/>
      <c r="AC65" s="2972"/>
      <c r="AD65" s="2972"/>
      <c r="AE65" s="3070"/>
      <c r="AF65" s="2998"/>
      <c r="AH65" s="304"/>
    </row>
    <row r="66" spans="1:35" ht="13.5" thickBot="1">
      <c r="A66" s="139"/>
      <c r="B66" s="2754"/>
      <c r="C66" s="3071"/>
      <c r="D66" s="3071"/>
      <c r="E66" s="3071"/>
      <c r="F66" s="3071"/>
      <c r="G66" s="3072"/>
      <c r="H66" s="3073"/>
      <c r="I66" s="3072"/>
      <c r="J66" s="3072"/>
      <c r="K66" s="3072"/>
      <c r="L66" s="3004"/>
      <c r="M66" s="3074"/>
      <c r="N66" s="3069"/>
      <c r="O66" s="3075"/>
      <c r="P66" s="962"/>
      <c r="Q66" s="3258"/>
      <c r="R66" s="3025">
        <f>0.02*R61</f>
        <v>2391</v>
      </c>
      <c r="S66" s="3064"/>
      <c r="T66" s="2972"/>
      <c r="U66" s="2972"/>
      <c r="V66" s="2976"/>
      <c r="W66" s="2972"/>
      <c r="X66" s="2972"/>
      <c r="Y66" s="2972"/>
      <c r="Z66" s="2972"/>
      <c r="AA66" s="2972"/>
      <c r="AB66" s="2972"/>
      <c r="AC66" s="2972"/>
      <c r="AD66" s="2972"/>
      <c r="AE66" s="3070"/>
      <c r="AF66" s="2998"/>
      <c r="AH66" s="304"/>
    </row>
    <row r="67" spans="1:35" ht="14.25" customHeight="1" thickBot="1">
      <c r="A67" s="139"/>
      <c r="B67" s="3076" t="str">
        <f>"Form 6251  ("&amp;TaxYear&amp;")"</f>
        <v>Form 6251  (2025)</v>
      </c>
      <c r="C67" s="3077"/>
      <c r="D67" s="3077"/>
      <c r="E67" s="3077"/>
      <c r="F67" s="3077"/>
      <c r="G67" s="3078"/>
      <c r="H67" s="3078"/>
      <c r="I67" s="3078"/>
      <c r="J67" s="3078"/>
      <c r="K67" s="3079"/>
      <c r="L67" s="3080"/>
      <c r="M67" s="3081" t="s">
        <v>3727</v>
      </c>
      <c r="N67" s="3082"/>
      <c r="O67" s="2987"/>
      <c r="P67" s="962"/>
      <c r="Q67" s="3258"/>
      <c r="R67" s="3025">
        <f>IF(File_Marr_Sep&lt;&gt;"",R66,R65)</f>
        <v>4782</v>
      </c>
      <c r="S67" s="3064"/>
      <c r="T67" s="3083"/>
      <c r="U67" s="2980" t="str">
        <f>IF(OR(U54="X",U33="X"),"",IF(AC56&gt;AC60,"","X"))</f>
        <v/>
      </c>
      <c r="V67" s="2981" t="s">
        <v>936</v>
      </c>
      <c r="W67" s="2982" t="s">
        <v>5859</v>
      </c>
      <c r="X67" s="2972"/>
      <c r="Y67" s="2972"/>
      <c r="Z67" s="2972"/>
      <c r="AA67" s="2972"/>
      <c r="AB67" s="2972"/>
      <c r="AC67" s="2972"/>
      <c r="AD67" s="2972"/>
      <c r="AE67" s="3070"/>
      <c r="AF67" s="2998"/>
      <c r="AH67" s="304"/>
    </row>
    <row r="68" spans="1:35" ht="8.25" customHeight="1" thickBot="1">
      <c r="A68" s="139"/>
      <c r="B68" s="3084"/>
      <c r="C68" s="2828"/>
      <c r="D68" s="2828"/>
      <c r="E68" s="2828"/>
      <c r="F68" s="2828"/>
      <c r="G68" s="2829"/>
      <c r="H68" s="2829"/>
      <c r="I68" s="2829"/>
      <c r="J68" s="2829"/>
      <c r="K68" s="3085"/>
      <c r="L68" s="3086"/>
      <c r="M68" s="2832"/>
      <c r="N68" s="3082"/>
      <c r="O68" s="2990"/>
      <c r="P68" s="962"/>
      <c r="Q68" s="3258"/>
      <c r="R68" s="3087">
        <v>0.26</v>
      </c>
      <c r="S68" s="3088"/>
      <c r="T68" s="3089"/>
      <c r="U68" s="3090"/>
      <c r="V68" s="3091"/>
      <c r="W68" s="3092"/>
      <c r="X68" s="3092"/>
      <c r="Y68" s="3092"/>
      <c r="Z68" s="3092"/>
      <c r="AA68" s="3092"/>
      <c r="AB68" s="3092"/>
      <c r="AC68" s="3092"/>
      <c r="AD68" s="3092"/>
      <c r="AE68" s="3093"/>
      <c r="AF68" s="3094"/>
    </row>
    <row r="69" spans="1:35" ht="18.75" thickBot="1">
      <c r="A69" s="139"/>
      <c r="B69" s="3095" t="s">
        <v>1938</v>
      </c>
      <c r="C69" s="3096" t="s">
        <v>3728</v>
      </c>
      <c r="D69" s="3097"/>
      <c r="E69" s="3098"/>
      <c r="F69" s="3098"/>
      <c r="G69" s="3099"/>
      <c r="H69" s="3099"/>
      <c r="I69" s="3099"/>
      <c r="J69" s="3099"/>
      <c r="K69" s="3099"/>
      <c r="L69" s="3099"/>
      <c r="M69" s="3100"/>
      <c r="N69" s="3101"/>
      <c r="O69" s="2990"/>
      <c r="P69" s="1562" t="str">
        <f>IF(NOT(F6251_Needed),"",IF(F6251_PIII,"Part III is used","Part III is NOT used."))</f>
        <v/>
      </c>
      <c r="Q69" s="6546"/>
      <c r="R69" s="3087">
        <v>0.28000000000000003</v>
      </c>
      <c r="S69" s="3102"/>
      <c r="T69" s="3103"/>
      <c r="U69" s="3104"/>
      <c r="V69" s="3105"/>
      <c r="W69" s="688"/>
      <c r="X69" s="688"/>
      <c r="Y69" s="688"/>
      <c r="Z69" s="688"/>
      <c r="AA69" s="688"/>
      <c r="AB69" s="688"/>
      <c r="AC69" s="688"/>
      <c r="AD69" s="688"/>
      <c r="AE69" s="3106"/>
      <c r="AF69" s="3106"/>
    </row>
    <row r="70" spans="1:35" ht="12.75" customHeight="1" thickBot="1">
      <c r="A70" s="139"/>
      <c r="B70" s="3107"/>
      <c r="C70" s="3108"/>
      <c r="D70" s="3109" t="s">
        <v>3729</v>
      </c>
      <c r="E70" s="3110"/>
      <c r="F70" s="3110"/>
      <c r="G70" s="3111"/>
      <c r="H70" s="3111"/>
      <c r="I70" s="3111"/>
      <c r="J70" s="3111"/>
      <c r="K70" s="3111"/>
      <c r="L70" s="3111"/>
      <c r="M70" s="3112"/>
      <c r="N70" s="3101"/>
      <c r="O70" s="2990"/>
      <c r="P70" s="3113" t="str">
        <f>IF(OR(NOT(F6251_Needed),F6251_PIII),"",IF(F6251_PIII,"OVERRIDE","Place 'X' to override --&gt;"))</f>
        <v/>
      </c>
      <c r="Q70" s="327"/>
      <c r="R70" s="5062"/>
      <c r="S70" s="3102"/>
      <c r="T70" s="3103"/>
      <c r="U70" s="3104"/>
      <c r="V70" s="3105"/>
      <c r="W70" s="688"/>
      <c r="X70" s="688"/>
      <c r="Y70" s="688"/>
      <c r="Z70" s="688"/>
      <c r="AA70" s="688"/>
      <c r="AB70" s="688"/>
      <c r="AC70" s="688"/>
      <c r="AD70" s="688"/>
      <c r="AE70" s="3106"/>
      <c r="AF70" s="3533"/>
    </row>
    <row r="71" spans="1:35" ht="12.75" customHeight="1" thickBot="1">
      <c r="A71" s="139"/>
      <c r="B71" s="4566" t="s">
        <v>1020</v>
      </c>
      <c r="C71" s="2769" t="str">
        <f>"Enter the amount from Form 6251, line "&amp;L48&amp;". If you are filing Form 2555, enter the amount from line 3 of the"</f>
        <v>Enter the amount from Form 6251, line 6. If you are filing Form 2555, enter the amount from line 3 of the</v>
      </c>
      <c r="D71" s="3114"/>
      <c r="E71" s="2751"/>
      <c r="F71" s="2751"/>
      <c r="G71" s="2771"/>
      <c r="H71" s="2771"/>
      <c r="I71" s="3029"/>
      <c r="J71" s="3029"/>
      <c r="K71" s="3050"/>
      <c r="L71" s="3115"/>
      <c r="M71" s="3116"/>
      <c r="N71" s="2783"/>
      <c r="O71" s="2990"/>
      <c r="P71" s="3117"/>
      <c r="Q71" s="229"/>
      <c r="R71" s="3534"/>
      <c r="S71" s="3102"/>
      <c r="T71" s="3103"/>
      <c r="U71" s="3104"/>
      <c r="V71" s="3118"/>
      <c r="W71" s="3119"/>
      <c r="X71" s="3119"/>
      <c r="Y71" s="3119"/>
      <c r="Z71" s="3119"/>
      <c r="AA71" s="3119"/>
      <c r="AB71" s="3119"/>
      <c r="AC71" s="699" t="s">
        <v>3730</v>
      </c>
      <c r="AD71" s="3119"/>
      <c r="AE71" s="3106"/>
      <c r="AF71" s="3533"/>
    </row>
    <row r="72" spans="1:35" ht="12.75" customHeight="1">
      <c r="A72" s="139"/>
      <c r="B72" s="2984"/>
      <c r="C72" s="2769" t="s">
        <v>3731</v>
      </c>
      <c r="D72" s="2769"/>
      <c r="E72" s="2751"/>
      <c r="F72" s="2751"/>
      <c r="G72" s="2771"/>
      <c r="H72" s="2771"/>
      <c r="I72" s="2771"/>
      <c r="J72" s="2771"/>
      <c r="K72" s="2031" t="s">
        <v>612</v>
      </c>
      <c r="L72" s="3039" t="str">
        <f>B71</f>
        <v>12</v>
      </c>
      <c r="M72" s="2774" t="str">
        <f>IF(P72&lt;&gt;"",P72,IF(AND(Form2555_Used,R53),AC108,IF(AND(F6251_PIII,M48=""),0,IF(F6251_PIII,M48,""))))</f>
        <v/>
      </c>
      <c r="N72" s="2775"/>
      <c r="O72" s="2990"/>
      <c r="P72" s="118"/>
      <c r="Q72" s="229"/>
      <c r="R72" s="3534"/>
      <c r="S72" s="3102"/>
      <c r="T72" s="3103"/>
      <c r="U72" s="3104"/>
      <c r="V72" s="10332" t="s">
        <v>3732</v>
      </c>
      <c r="W72" s="10333"/>
      <c r="X72" s="10307"/>
      <c r="Y72" s="10307"/>
      <c r="Z72" s="10307"/>
      <c r="AA72" s="3120"/>
      <c r="AB72" s="3120"/>
      <c r="AC72" s="3120"/>
      <c r="AD72" s="3121"/>
      <c r="AE72" s="3106"/>
      <c r="AF72" s="3533"/>
    </row>
    <row r="73" spans="1:35" ht="15" customHeight="1">
      <c r="A73" s="139"/>
      <c r="B73" s="2984">
        <f>B71+1</f>
        <v>13</v>
      </c>
      <c r="C73" s="2769" t="s">
        <v>3733</v>
      </c>
      <c r="D73" s="2769"/>
      <c r="E73" s="2751"/>
      <c r="F73" s="2751"/>
      <c r="G73" s="2771"/>
      <c r="H73" s="2768"/>
      <c r="I73" s="2768"/>
      <c r="J73" s="2771"/>
      <c r="K73" s="2031"/>
      <c r="L73" s="3122"/>
      <c r="M73" s="2791"/>
      <c r="N73" s="2775"/>
      <c r="O73" s="2990"/>
      <c r="P73" s="962"/>
      <c r="Q73" s="229"/>
      <c r="R73" s="5059"/>
      <c r="S73" s="3102"/>
      <c r="T73" s="3103"/>
      <c r="U73" s="3104"/>
      <c r="V73" s="10334"/>
      <c r="W73" s="7925"/>
      <c r="X73" s="10308"/>
      <c r="Y73" s="10308"/>
      <c r="Z73" s="10308"/>
      <c r="AA73" s="3123"/>
      <c r="AB73" s="3123"/>
      <c r="AC73" s="3123"/>
      <c r="AD73" s="3124"/>
      <c r="AE73" s="3106"/>
      <c r="AF73" s="3106"/>
    </row>
    <row r="74" spans="1:35" ht="15" customHeight="1" thickBot="1">
      <c r="A74" s="139"/>
      <c r="B74" s="2984"/>
      <c r="C74" s="3019" t="s">
        <v>3734</v>
      </c>
      <c r="D74" s="2769"/>
      <c r="E74" s="2751"/>
      <c r="F74" s="2751"/>
      <c r="G74" s="2771"/>
      <c r="H74" s="2768"/>
      <c r="I74" s="2768"/>
      <c r="J74" s="2771"/>
      <c r="K74" s="2031"/>
      <c r="L74" s="2781"/>
      <c r="M74" s="2791"/>
      <c r="N74" s="2775"/>
      <c r="O74" s="2990"/>
      <c r="P74" s="962"/>
      <c r="Q74" s="229"/>
      <c r="R74" s="3534"/>
      <c r="S74" s="3102"/>
      <c r="T74" s="3103"/>
      <c r="U74" s="3104"/>
      <c r="V74" s="10335"/>
      <c r="W74" s="7926"/>
      <c r="X74" s="10309"/>
      <c r="Y74" s="10309"/>
      <c r="Z74" s="10309"/>
      <c r="AA74" s="3125" t="s">
        <v>3735</v>
      </c>
      <c r="AB74" s="3125"/>
      <c r="AC74" s="3125"/>
      <c r="AD74" s="3126"/>
      <c r="AE74" s="3106"/>
      <c r="AF74" s="3106"/>
      <c r="AH74" s="688"/>
    </row>
    <row r="75" spans="1:35" ht="15" customHeight="1">
      <c r="A75" s="139"/>
      <c r="B75" s="2984"/>
      <c r="C75" s="3019" t="s">
        <v>3736</v>
      </c>
      <c r="D75" s="2769"/>
      <c r="E75" s="2751"/>
      <c r="F75" s="2751"/>
      <c r="G75" s="2771"/>
      <c r="H75" s="2768"/>
      <c r="I75" s="2768"/>
      <c r="J75" s="2771"/>
      <c r="K75" s="2031"/>
      <c r="L75" s="2781"/>
      <c r="M75" s="2791"/>
      <c r="N75" s="2775"/>
      <c r="O75" s="497"/>
      <c r="P75" s="2551" t="str">
        <f>IF(Form2555_Used,"&lt;&lt; Hide highlighting.","")</f>
        <v/>
      </c>
      <c r="Q75" s="229"/>
      <c r="R75" s="5059"/>
      <c r="S75" s="3102"/>
      <c r="T75" s="3103"/>
      <c r="U75" s="3104"/>
      <c r="V75" s="3127" t="s">
        <v>947</v>
      </c>
      <c r="W75" s="3128" t="str">
        <f>"If Form 6251, line 4, is equal to or more than: "&amp;TEXT($AH$76,"$0,000")&amp;" if single or head of household; "</f>
        <v xml:space="preserve">If Form 6251, line 4, is equal to or more than: $978,750 if single or head of household; </v>
      </c>
      <c r="X75" s="3128"/>
      <c r="Y75" s="3128"/>
      <c r="Z75" s="3128"/>
      <c r="AA75" s="3128"/>
      <c r="AB75" s="3128"/>
      <c r="AC75" s="3128"/>
      <c r="AD75" s="3129"/>
      <c r="AE75" s="3106"/>
      <c r="AF75" s="6526"/>
      <c r="AG75" s="6527"/>
      <c r="AH75" s="6528">
        <v>2025</v>
      </c>
      <c r="AI75" s="6527"/>
    </row>
    <row r="76" spans="1:35" ht="15" customHeight="1">
      <c r="A76" s="139"/>
      <c r="B76" s="2984"/>
      <c r="C76" s="2769" t="s">
        <v>3737</v>
      </c>
      <c r="D76" s="2769"/>
      <c r="E76" s="2769"/>
      <c r="F76" s="2751"/>
      <c r="G76" s="2771"/>
      <c r="H76" s="2768"/>
      <c r="I76" s="2075"/>
      <c r="J76" s="2771"/>
      <c r="K76" s="2031" t="s">
        <v>624</v>
      </c>
      <c r="L76" s="3039">
        <f>B73</f>
        <v>13</v>
      </c>
      <c r="M76" s="2774" t="str">
        <f>IF(P76&lt;&gt;"",ROUND(P76,0),IF(NOT(F6251_PIII),"",IF(AND(SchDTW_Used,NOT(CGTW)),'Sch. D WS'!R88,IF(CGTW,'Line 16 (QDCG Tax)'!J40,0))))</f>
        <v/>
      </c>
      <c r="N76" s="2775"/>
      <c r="O76" s="2990"/>
      <c r="P76" s="118"/>
      <c r="Q76" s="229"/>
      <c r="R76" s="3534"/>
      <c r="S76" s="3102"/>
      <c r="T76" s="3103"/>
      <c r="U76" s="3104"/>
      <c r="V76" s="10323" t="str">
        <f>"  "&amp;TEXT($AH$77,"$0,000")&amp;" if married filing jointly or qualifying surviving spouse; or "&amp;TEXT($AH$78,"$0,000")&amp;" if married filing separately;"</f>
        <v xml:space="preserve">  $1,800,700 if married filing jointly or qualifying surviving spouse; or $900,350 if married filing separately;</v>
      </c>
      <c r="W76" s="10324"/>
      <c r="X76" s="10324"/>
      <c r="Y76" s="10324"/>
      <c r="Z76" s="10324"/>
      <c r="AA76" s="10324"/>
      <c r="AB76" s="10324"/>
      <c r="AC76" s="10324"/>
      <c r="AD76" s="10325"/>
      <c r="AE76" s="3106"/>
      <c r="AF76" s="6529" t="s">
        <v>5418</v>
      </c>
      <c r="AG76" s="6527"/>
      <c r="AH76" s="6530">
        <v>978750</v>
      </c>
      <c r="AI76" s="6527"/>
    </row>
    <row r="77" spans="1:35" ht="15" customHeight="1">
      <c r="A77" s="139"/>
      <c r="B77" s="2984">
        <f>B73+1</f>
        <v>14</v>
      </c>
      <c r="C77" s="2769" t="s">
        <v>6443</v>
      </c>
      <c r="D77" s="2769"/>
      <c r="E77" s="2751"/>
      <c r="F77" s="2751"/>
      <c r="G77" s="2771"/>
      <c r="H77" s="2768"/>
      <c r="I77" s="2768"/>
      <c r="J77" s="2771"/>
      <c r="K77" s="2031"/>
      <c r="L77" s="2781"/>
      <c r="M77" s="2791"/>
      <c r="N77" s="2775"/>
      <c r="O77" s="2990"/>
      <c r="P77" s="962"/>
      <c r="Q77" s="229"/>
      <c r="R77" s="5059"/>
      <c r="S77" s="3102"/>
      <c r="T77" s="3103"/>
      <c r="U77" s="3104"/>
      <c r="V77" s="10323" t="s">
        <v>3738</v>
      </c>
      <c r="W77" s="10324"/>
      <c r="X77" s="10324"/>
      <c r="Y77" s="10324"/>
      <c r="Z77" s="10324"/>
      <c r="AA77" s="10324"/>
      <c r="AB77" s="10324"/>
      <c r="AC77" s="10324"/>
      <c r="AD77" s="10325"/>
      <c r="AE77" s="3106"/>
      <c r="AF77" s="6529" t="s">
        <v>5419</v>
      </c>
      <c r="AG77" s="6527"/>
      <c r="AH77" s="6530">
        <v>1800700</v>
      </c>
      <c r="AI77" s="6527"/>
    </row>
    <row r="78" spans="1:35" ht="15" customHeight="1" thickBot="1">
      <c r="A78" s="139"/>
      <c r="B78" s="2984"/>
      <c r="C78" s="2769" t="s">
        <v>6444</v>
      </c>
      <c r="D78" s="2769"/>
      <c r="E78" s="2751"/>
      <c r="F78" s="2751"/>
      <c r="G78" s="2771"/>
      <c r="H78" s="2768"/>
      <c r="I78" s="2768"/>
      <c r="J78" s="2771"/>
      <c r="K78" s="2031" t="s">
        <v>702</v>
      </c>
      <c r="L78" s="3039">
        <f>B77</f>
        <v>14</v>
      </c>
      <c r="M78" s="2774" t="str">
        <f>IF(P78&lt;&gt;"",P78,IF(NOT(F6251_PIII),"",IF(SchDLine19&lt;&gt;"",SchDLine19,0)))</f>
        <v/>
      </c>
      <c r="N78" s="2775"/>
      <c r="O78" s="2990"/>
      <c r="P78" s="118"/>
      <c r="Q78" s="229"/>
      <c r="R78" s="5061"/>
      <c r="S78" s="3102"/>
      <c r="T78" s="3103"/>
      <c r="U78" s="3104"/>
      <c r="V78" s="10326" t="s">
        <v>3739</v>
      </c>
      <c r="W78" s="10327"/>
      <c r="X78" s="10327"/>
      <c r="Y78" s="10327"/>
      <c r="Z78" s="10327"/>
      <c r="AA78" s="10327"/>
      <c r="AB78" s="10327"/>
      <c r="AC78" s="10327"/>
      <c r="AD78" s="10328"/>
      <c r="AE78" s="3106"/>
      <c r="AF78" s="6529" t="s">
        <v>21</v>
      </c>
      <c r="AG78" s="6527"/>
      <c r="AH78" s="6530">
        <v>900350</v>
      </c>
      <c r="AI78" s="6527"/>
    </row>
    <row r="79" spans="1:35" ht="15" customHeight="1">
      <c r="A79" s="139"/>
      <c r="B79" s="2984">
        <f>B77+1</f>
        <v>15</v>
      </c>
      <c r="C79" s="2769" t="s">
        <v>6445</v>
      </c>
      <c r="D79" s="2769"/>
      <c r="E79" s="2751"/>
      <c r="F79" s="2751"/>
      <c r="G79" s="2771"/>
      <c r="H79" s="2768"/>
      <c r="I79" s="2768"/>
      <c r="J79" s="2771"/>
      <c r="K79" s="2031"/>
      <c r="L79" s="2781"/>
      <c r="M79" s="2791"/>
      <c r="N79" s="2775"/>
      <c r="O79" s="2990"/>
      <c r="P79" s="962"/>
      <c r="Q79" s="229"/>
      <c r="R79" s="5061"/>
      <c r="S79" s="3102"/>
      <c r="T79" s="3103"/>
      <c r="U79" s="3104"/>
      <c r="V79" s="10311" t="str">
        <f>IF(AND(P1,NOT(AMTExemptionFlag)),"Your AMT Exemption is zero.  See NOTE above.","")</f>
        <v/>
      </c>
      <c r="W79" s="10312"/>
      <c r="X79" s="10312"/>
      <c r="Y79" s="10312"/>
      <c r="Z79" s="10312"/>
      <c r="AA79" s="10312"/>
      <c r="AB79" s="10312"/>
      <c r="AC79" s="10312"/>
      <c r="AD79" s="10313"/>
      <c r="AE79" s="3106"/>
      <c r="AF79" s="6526"/>
      <c r="AG79" s="6527"/>
      <c r="AH79" s="6526"/>
      <c r="AI79" s="6527"/>
    </row>
    <row r="80" spans="1:35" ht="15" customHeight="1">
      <c r="A80" s="139"/>
      <c r="B80" s="2984"/>
      <c r="C80" s="2769" t="s">
        <v>6446</v>
      </c>
      <c r="D80" s="2769"/>
      <c r="E80" s="2751"/>
      <c r="F80" s="2751"/>
      <c r="G80" s="2771"/>
      <c r="H80" s="2768"/>
      <c r="I80" s="2768"/>
      <c r="J80" s="2771"/>
      <c r="K80" s="2031"/>
      <c r="L80" s="2781"/>
      <c r="M80" s="2791"/>
      <c r="N80" s="2775"/>
      <c r="O80" s="2990"/>
      <c r="P80" s="962"/>
      <c r="Q80" s="229"/>
      <c r="R80" s="5061"/>
      <c r="S80" s="3102"/>
      <c r="T80" s="3103"/>
      <c r="U80" s="3104"/>
      <c r="V80" s="3130">
        <v>1</v>
      </c>
      <c r="W80" s="3131" t="str">
        <f>"Enter: "&amp;TEXT(I43,"$0,000")&amp;" if single or head of household; "&amp;TEXT(I44,"$0,000")&amp;" if married"</f>
        <v>Enter: $88,100 if single or head of household; $137,000 if married</v>
      </c>
      <c r="X80" s="3048"/>
      <c r="Y80" s="3048"/>
      <c r="Z80" s="3132"/>
      <c r="AA80" s="3133"/>
      <c r="AB80" s="3134"/>
      <c r="AC80" s="3135"/>
      <c r="AD80" s="3136"/>
      <c r="AE80" s="3106"/>
      <c r="AF80" s="3106"/>
      <c r="AH80" s="382" t="b">
        <f>OR(AND(OR(File_Single&lt;&gt;"",File_Head&lt;&gt;""),AltMinTaxInc&lt;$AH$76),AND(OR(File_Marr_Joint&lt;&gt;"",File_Qual_Widow&lt;&gt;""),AltMinTaxInc&lt;$AH$77),AND(File_Marr_Sep&lt;&gt;"",AltMinTaxInc&lt;$AH$78))</f>
        <v>0</v>
      </c>
    </row>
    <row r="81" spans="1:34" ht="15" customHeight="1">
      <c r="A81" s="139"/>
      <c r="B81" s="2984"/>
      <c r="C81" s="2769" t="s">
        <v>6447</v>
      </c>
      <c r="D81" s="2769"/>
      <c r="E81" s="2751"/>
      <c r="F81" s="2751"/>
      <c r="G81" s="2771"/>
      <c r="H81" s="2768"/>
      <c r="I81" s="2768"/>
      <c r="J81" s="2771"/>
      <c r="K81" s="2031"/>
      <c r="L81" s="2781"/>
      <c r="M81" s="2791"/>
      <c r="N81" s="2775"/>
      <c r="O81" s="2990"/>
      <c r="P81" s="962"/>
      <c r="Q81" s="229"/>
      <c r="R81" s="5061"/>
      <c r="S81" s="3102"/>
      <c r="T81" s="3103"/>
      <c r="U81" s="3104"/>
      <c r="V81" s="3137"/>
      <c r="W81" s="3131" t="str">
        <f>"filing jointly or qualifying surviving spouse; "&amp;TEXT(I45,"$0,000")&amp;" if married filing"</f>
        <v>filing jointly or qualifying surviving spouse; $68,500 if married filing</v>
      </c>
      <c r="X81" s="3048"/>
      <c r="Y81" s="3048"/>
      <c r="Z81" s="3132"/>
      <c r="AA81" s="3133"/>
      <c r="AB81" s="3133"/>
      <c r="AC81" s="3133"/>
      <c r="AD81" s="3136"/>
      <c r="AE81" s="3106"/>
      <c r="AF81" s="3106"/>
      <c r="AH81" s="1224"/>
    </row>
    <row r="82" spans="1:34" ht="15" customHeight="1">
      <c r="A82" s="139"/>
      <c r="B82" s="2984"/>
      <c r="C82" s="2769" t="s">
        <v>6448</v>
      </c>
      <c r="D82" s="2769"/>
      <c r="E82" s="2751"/>
      <c r="F82" s="2751"/>
      <c r="G82" s="2771"/>
      <c r="H82" s="2768"/>
      <c r="I82" s="2768"/>
      <c r="J82" s="2771"/>
      <c r="K82" s="2031" t="s">
        <v>691</v>
      </c>
      <c r="L82" s="3039">
        <f>B79</f>
        <v>15</v>
      </c>
      <c r="M82" s="2774" t="str">
        <f>IF(P82&lt;&gt;"",P82,IF(NOT(F6251_PIII),"",IF(NOT(SchDTW_Used),M76,MIN(SUM(M76,M78),'Sch. D WS'!L85))))</f>
        <v/>
      </c>
      <c r="N82" s="2775"/>
      <c r="O82" s="2990"/>
      <c r="P82" s="118"/>
      <c r="Q82" s="229"/>
      <c r="R82" s="5061"/>
      <c r="S82" s="3102"/>
      <c r="T82" s="3103"/>
      <c r="U82" s="3104"/>
      <c r="V82" s="3137"/>
      <c r="W82" s="3131" t="s">
        <v>2625</v>
      </c>
      <c r="X82" s="3048"/>
      <c r="Y82" s="3048"/>
      <c r="Z82" s="3132"/>
      <c r="AA82" s="3138" t="s">
        <v>3740</v>
      </c>
      <c r="AB82" s="3139">
        <f>V80</f>
        <v>1</v>
      </c>
      <c r="AC82" s="3140" t="str">
        <f>IF(NOT(AMTExemptionFlag),"",IF(OR(File_Single&lt;&gt;"",File_Head&lt;&gt;""),I43,IF(OR(File_Marr_Joint&lt;&gt;"",File_Qual_Widow&lt;&gt;""),I44,IF(File_Marr_Sep&lt;&gt;"",I45,""))))</f>
        <v/>
      </c>
      <c r="AD82" s="3136"/>
      <c r="AE82" s="3106"/>
      <c r="AF82" s="3106"/>
      <c r="AH82" s="1224"/>
    </row>
    <row r="83" spans="1:34" ht="15" customHeight="1">
      <c r="A83" s="139"/>
      <c r="B83" s="2984">
        <f>B79+1</f>
        <v>16</v>
      </c>
      <c r="C83" s="2769" t="s">
        <v>3741</v>
      </c>
      <c r="D83" s="2769"/>
      <c r="E83" s="2751"/>
      <c r="F83" s="2751"/>
      <c r="G83" s="2771"/>
      <c r="H83" s="2771"/>
      <c r="I83" s="2771"/>
      <c r="J83" s="2771"/>
      <c r="K83" s="2031" t="s">
        <v>677</v>
      </c>
      <c r="L83" s="3039">
        <f>B83</f>
        <v>16</v>
      </c>
      <c r="M83" s="2774" t="str">
        <f>IF(NOT(F6251_PIII),"",MIN(M72,M82))</f>
        <v/>
      </c>
      <c r="N83" s="2775"/>
      <c r="O83" s="2990"/>
      <c r="P83" s="962"/>
      <c r="Q83" s="2988"/>
      <c r="R83" s="5061"/>
      <c r="S83" s="3102"/>
      <c r="T83" s="3103"/>
      <c r="U83" s="3104"/>
      <c r="V83" s="3130">
        <v>2</v>
      </c>
      <c r="W83" s="2956" t="s">
        <v>3742</v>
      </c>
      <c r="X83" s="3048"/>
      <c r="Y83" s="3048"/>
      <c r="Z83" s="3134"/>
      <c r="AA83" s="3133"/>
      <c r="AB83" s="3134"/>
      <c r="AC83" s="3135"/>
      <c r="AD83" s="3136"/>
      <c r="AE83" s="3106"/>
      <c r="AF83" s="3106"/>
      <c r="AH83" s="1224"/>
    </row>
    <row r="84" spans="1:34" ht="15" customHeight="1">
      <c r="A84" s="139"/>
      <c r="B84" s="2984">
        <f>B83+1</f>
        <v>17</v>
      </c>
      <c r="C84" s="2769" t="str">
        <f>"Subtract line "&amp;L83&amp;" from line "&amp;L72</f>
        <v>Subtract line 16 from line 12</v>
      </c>
      <c r="D84" s="2769"/>
      <c r="E84" s="2751"/>
      <c r="F84" s="2751"/>
      <c r="G84" s="2771"/>
      <c r="H84" s="2771"/>
      <c r="I84" s="2771"/>
      <c r="J84" s="2771"/>
      <c r="K84" s="2031" t="s">
        <v>668</v>
      </c>
      <c r="L84" s="3039">
        <f>B84</f>
        <v>17</v>
      </c>
      <c r="M84" s="2774" t="str">
        <f>IF(P84&lt;&gt;"",P84,IF(NOT(F6251_PIII),"",SUM(M72,-M83)))</f>
        <v/>
      </c>
      <c r="N84" s="2775"/>
      <c r="O84" s="2990"/>
      <c r="P84" s="118"/>
      <c r="Q84" s="2988"/>
      <c r="R84" s="5061"/>
      <c r="S84" s="3102"/>
      <c r="T84" s="3103"/>
      <c r="U84" s="3104"/>
      <c r="V84" s="3141"/>
      <c r="W84" s="2970" t="s">
        <v>3743</v>
      </c>
      <c r="X84" s="3142"/>
      <c r="Y84" s="3143" t="s">
        <v>911</v>
      </c>
      <c r="Z84" s="3144">
        <f>V83</f>
        <v>2</v>
      </c>
      <c r="AA84" s="3140" t="str">
        <f>IF(NOT(AMTExemptionFlag),"",AltMinTaxInc)</f>
        <v/>
      </c>
      <c r="AB84" s="3143"/>
      <c r="AC84" s="3145"/>
      <c r="AD84" s="3146"/>
      <c r="AE84" s="3106"/>
      <c r="AF84" s="3106"/>
      <c r="AH84" s="1224"/>
    </row>
    <row r="85" spans="1:34" ht="15" customHeight="1">
      <c r="A85" s="139"/>
      <c r="B85" s="2984">
        <f>B84+1</f>
        <v>18</v>
      </c>
      <c r="C85" s="2769" t="str">
        <f>"If  line "&amp;L84&amp;" is "&amp;TEXT(R60,"$0,000")&amp;" or  less  ("&amp;TEXT(R61,"$0,000")&amp;" or less if married filing separately),"</f>
        <v>If  line 17 is $239,100 or  less  ($119,550 or less if married filing separately),</v>
      </c>
      <c r="D85" s="2770"/>
      <c r="E85" s="2751"/>
      <c r="F85" s="2751"/>
      <c r="G85" s="2771"/>
      <c r="H85" s="3002"/>
      <c r="I85" s="3003" t="str">
        <f>"multiply line "&amp;L84&amp;" by "&amp;TEXT(R68,"0%")&amp;" ("&amp;TEXT(R68,"0.00")&amp;")."</f>
        <v>multiply line 17 by 26% (0.26).</v>
      </c>
      <c r="J85" s="2771"/>
      <c r="K85" s="2768"/>
      <c r="L85" s="2802"/>
      <c r="M85" s="2986"/>
      <c r="N85" s="2783"/>
      <c r="O85" s="2990"/>
      <c r="P85" s="962"/>
      <c r="Q85" s="2988"/>
      <c r="R85" s="5061"/>
      <c r="S85" s="3102"/>
      <c r="T85" s="3103"/>
      <c r="U85" s="3104"/>
      <c r="V85" s="3147"/>
      <c r="W85" s="3148"/>
      <c r="X85" s="3048"/>
      <c r="Y85" s="3048"/>
      <c r="Z85" s="3149"/>
      <c r="AA85" s="3135"/>
      <c r="AB85" s="3150"/>
      <c r="AC85" s="3135"/>
      <c r="AD85" s="3136"/>
      <c r="AE85" s="3106"/>
      <c r="AF85" s="3106"/>
      <c r="AH85" s="1224"/>
    </row>
    <row r="86" spans="1:34" ht="15" customHeight="1">
      <c r="A86" s="139"/>
      <c r="B86" s="2984"/>
      <c r="C86" s="3019" t="str">
        <f>"Otherwise, multiply line "&amp;L84&amp;" by "&amp;TEXT(R69,"0%")&amp;" ("&amp;TEXT(R69,"0.00")&amp;") and subtract "&amp;TEXT(R65,"$0,000")&amp;" ("&amp;TEXT(R66,"$0,000")&amp;" if married filing separate) from result"</f>
        <v>Otherwise, multiply line 17 by 28% (0.28) and subtract $4,782 ($2,391 if married filing separate) from result</v>
      </c>
      <c r="D86" s="2770"/>
      <c r="E86" s="2751"/>
      <c r="F86" s="2751"/>
      <c r="G86" s="2771"/>
      <c r="H86" s="2771"/>
      <c r="I86" s="2771"/>
      <c r="J86" s="2771"/>
      <c r="K86" s="3151"/>
      <c r="L86" s="3039">
        <f>B85</f>
        <v>18</v>
      </c>
      <c r="M86" s="2774" t="str">
        <f>IF(P86&lt;&gt;"",P86,IF(NOT(F6251_PIII),"",IF(M84&lt;=R63,ROUND(M84*R68,0),ROUND((M84*R69)-R67,0))))</f>
        <v/>
      </c>
      <c r="N86" s="2783"/>
      <c r="O86" s="2990"/>
      <c r="P86" s="118"/>
      <c r="Q86" s="2988"/>
      <c r="R86" s="5061"/>
      <c r="S86" s="3102"/>
      <c r="T86" s="3103"/>
      <c r="U86" s="3104"/>
      <c r="V86" s="3130">
        <v>3</v>
      </c>
      <c r="W86" s="3131" t="str">
        <f>"Enter: "&amp;TEXT(G43,"$0,000")&amp;" if single or head of household;"</f>
        <v>Enter: $626,350 if single or head of household;</v>
      </c>
      <c r="X86" s="3048"/>
      <c r="Y86" s="3048"/>
      <c r="Z86" s="3134"/>
      <c r="AA86" s="3133"/>
      <c r="AB86" s="3134"/>
      <c r="AC86" s="3135"/>
      <c r="AD86" s="3136"/>
      <c r="AE86" s="3106"/>
      <c r="AF86" s="3106"/>
      <c r="AH86" s="5061"/>
    </row>
    <row r="87" spans="1:34" ht="15" customHeight="1">
      <c r="A87" s="139"/>
      <c r="B87" s="2984">
        <f>B85+1</f>
        <v>19</v>
      </c>
      <c r="C87" s="2769" t="s">
        <v>2644</v>
      </c>
      <c r="D87" s="2770"/>
      <c r="E87" s="2751"/>
      <c r="F87" s="2751"/>
      <c r="G87" s="2771"/>
      <c r="H87" s="2771"/>
      <c r="I87" s="2771"/>
      <c r="J87" s="2771"/>
      <c r="K87" s="2031"/>
      <c r="L87" s="3122"/>
      <c r="M87" s="2792"/>
      <c r="N87" s="2783"/>
      <c r="O87" s="2990"/>
      <c r="P87" s="962"/>
      <c r="Q87" s="2988"/>
      <c r="R87" s="5061"/>
      <c r="S87" s="3102"/>
      <c r="T87" s="3103"/>
      <c r="U87" s="3104"/>
      <c r="V87" s="3152"/>
      <c r="W87" s="3131" t="str">
        <f>TEXT(G44,"$0,000")&amp;" if married filing jointly or surviving spouse; "</f>
        <v xml:space="preserve">$1,252,700 if married filing jointly or surviving spouse; </v>
      </c>
      <c r="X87" s="3048"/>
      <c r="Y87" s="3048"/>
      <c r="Z87" s="3134"/>
      <c r="AA87" s="3133"/>
      <c r="AB87" s="3134"/>
      <c r="AC87" s="3135"/>
      <c r="AD87" s="3136"/>
      <c r="AE87" s="3106"/>
      <c r="AF87" s="3106"/>
      <c r="AH87" s="5061"/>
    </row>
    <row r="88" spans="1:34" ht="13.5" customHeight="1">
      <c r="A88" s="139"/>
      <c r="B88" s="2984"/>
      <c r="C88" s="3153" t="s">
        <v>830</v>
      </c>
      <c r="D88" s="2769" t="str">
        <f>TEXT(R88,"$0,000")&amp;" if married filing jointly or qualifying spouse,"</f>
        <v>$96,700 if married filing jointly or qualifying spouse,</v>
      </c>
      <c r="E88" s="2751"/>
      <c r="F88" s="2751"/>
      <c r="G88" s="2771"/>
      <c r="H88" s="2771"/>
      <c r="I88" s="2771"/>
      <c r="J88" s="2771"/>
      <c r="K88" s="2031"/>
      <c r="L88" s="2781"/>
      <c r="M88" s="2792"/>
      <c r="N88" s="2783"/>
      <c r="O88" s="2990"/>
      <c r="P88" s="962"/>
      <c r="Q88" s="2988"/>
      <c r="R88" s="5368">
        <v>96700</v>
      </c>
      <c r="S88" s="506"/>
      <c r="T88" s="3103"/>
      <c r="U88" s="688"/>
      <c r="V88" s="3154"/>
      <c r="W88" s="2970" t="str">
        <f>TEXT(G45,"$0,000")&amp;" if married filing separately"</f>
        <v>$626,350 if married filing separately</v>
      </c>
      <c r="X88" s="3142"/>
      <c r="Y88" s="3143" t="s">
        <v>1948</v>
      </c>
      <c r="Z88" s="3144">
        <f>V86</f>
        <v>3</v>
      </c>
      <c r="AA88" s="3140" t="str">
        <f>IF(NOT(AMTExemptionFlag),"",IF(OR(File_Single&lt;&gt;"",File_Head&lt;&gt;""),G43,IF(OR(File_Marr_Joint&lt;&gt;"",File_Qual_Widow&lt;&gt;""),G44,IF(File_Marr_Sep&lt;&gt;"",G45,""))))</f>
        <v/>
      </c>
      <c r="AB88" s="3155"/>
      <c r="AC88" s="3145"/>
      <c r="AD88" s="3146"/>
      <c r="AE88" s="3106"/>
      <c r="AF88" s="3106"/>
      <c r="AH88" s="5061"/>
    </row>
    <row r="89" spans="1:34" ht="14.25" customHeight="1">
      <c r="A89" s="139"/>
      <c r="B89" s="2984"/>
      <c r="C89" s="3153" t="s">
        <v>830</v>
      </c>
      <c r="D89" s="2769" t="str">
        <f>TEXT(R89,"$0,000")&amp;" if single or married filing separately, or"</f>
        <v>$48,350 if single or married filing separately, or</v>
      </c>
      <c r="E89" s="2751"/>
      <c r="F89" s="2751"/>
      <c r="G89" s="2771"/>
      <c r="H89" s="2771"/>
      <c r="I89" s="2768"/>
      <c r="J89" s="2771"/>
      <c r="K89" s="2031" t="s">
        <v>702</v>
      </c>
      <c r="L89" s="3039">
        <f>B87</f>
        <v>19</v>
      </c>
      <c r="M89" s="2774" t="str">
        <f>IF(NOT(F6251_PIII),"",IF(OR(File_Marr_Joint&lt;&gt;"",File_Qual_Widow&lt;&gt;""),R88,IF(OR(File_Single&lt;&gt;"",File_Marr_Sep&lt;&gt;""),R89,IF(File_Head&lt;&gt;"",R90,"Filing Status?"))))</f>
        <v/>
      </c>
      <c r="N89" s="2783"/>
      <c r="O89" s="2990"/>
      <c r="P89" s="962"/>
      <c r="Q89" s="2988"/>
      <c r="R89" s="5368">
        <v>48350</v>
      </c>
      <c r="S89" s="3"/>
      <c r="T89" s="3102"/>
      <c r="U89" s="688"/>
      <c r="V89" s="3130">
        <v>4</v>
      </c>
      <c r="W89" s="2956" t="s">
        <v>3744</v>
      </c>
      <c r="X89" s="3048"/>
      <c r="Y89" s="3048"/>
      <c r="Z89" s="3134"/>
      <c r="AA89" s="3133"/>
      <c r="AB89" s="3134"/>
      <c r="AC89" s="3135"/>
      <c r="AD89" s="3136"/>
      <c r="AE89" s="3106"/>
      <c r="AF89" s="3106"/>
      <c r="AH89" s="1305" t="str">
        <f>IF(OR(File_Single&lt;&gt;"",File_Head&lt;&gt;""),AH76,IF(File_Marr_Joint&lt;&gt;"",AH77,IF(File_Marr_Sep&lt;&gt;"",AH78,"Filing status?")))</f>
        <v>Filing status?</v>
      </c>
    </row>
    <row r="90" spans="1:34">
      <c r="A90" s="139"/>
      <c r="B90" s="2984"/>
      <c r="C90" s="3153" t="s">
        <v>830</v>
      </c>
      <c r="D90" s="2769" t="str">
        <f>TEXT(R90,"$0,000")&amp;" if head of household."</f>
        <v>$64,750 if head of household.</v>
      </c>
      <c r="E90" s="2751"/>
      <c r="F90" s="2751"/>
      <c r="G90" s="2771"/>
      <c r="H90" s="2771"/>
      <c r="I90" s="2771"/>
      <c r="J90" s="2771"/>
      <c r="K90" s="2031"/>
      <c r="L90" s="3156"/>
      <c r="M90" s="2989"/>
      <c r="N90" s="2783"/>
      <c r="O90" s="2990"/>
      <c r="P90" s="962"/>
      <c r="Q90" s="229"/>
      <c r="R90" s="5368">
        <v>64750</v>
      </c>
      <c r="S90" s="3"/>
      <c r="T90" s="3157"/>
      <c r="U90" s="3158"/>
      <c r="V90" s="3147"/>
      <c r="W90" s="3131" t="s">
        <v>3745</v>
      </c>
      <c r="X90" s="3048"/>
      <c r="Y90" s="3150" t="s">
        <v>3746</v>
      </c>
      <c r="Z90" s="3149">
        <f>V89</f>
        <v>4</v>
      </c>
      <c r="AA90" s="3140" t="str">
        <f>IF(OR(NOT(AMTExemptionFlag),AA88=""),"",IF(AA84-AA88&lt;=0,0,AA84-AA88))</f>
        <v/>
      </c>
      <c r="AB90" s="3150"/>
      <c r="AC90" s="3135"/>
      <c r="AD90" s="3136"/>
      <c r="AE90" s="3106"/>
      <c r="AF90" s="3106"/>
      <c r="AH90" s="2157" t="b">
        <f>AND(P1,AltMinTaxInc&gt;=AH89)</f>
        <v>0</v>
      </c>
    </row>
    <row r="91" spans="1:34" ht="12.75" customHeight="1">
      <c r="A91" s="139"/>
      <c r="B91" s="2984">
        <f>B87+1</f>
        <v>20</v>
      </c>
      <c r="C91" s="2769" t="s">
        <v>3747</v>
      </c>
      <c r="D91" s="2769"/>
      <c r="E91" s="2751"/>
      <c r="F91" s="2751"/>
      <c r="G91" s="2771"/>
      <c r="H91" s="2768"/>
      <c r="I91" s="2768"/>
      <c r="J91" s="2771"/>
      <c r="K91" s="2031"/>
      <c r="L91" s="3156"/>
      <c r="M91" s="3159"/>
      <c r="N91" s="2775"/>
      <c r="O91" s="2990"/>
      <c r="P91" s="962"/>
      <c r="Q91" s="229"/>
      <c r="R91" s="3160" t="b">
        <f>OR(SchDTW_Used,CGTW)</f>
        <v>0</v>
      </c>
      <c r="S91" s="688"/>
      <c r="T91" s="506"/>
      <c r="U91" s="3161"/>
      <c r="V91" s="3130">
        <v>5</v>
      </c>
      <c r="W91" s="2956" t="str">
        <f>"Multiply line 4 by "&amp;TEXT(AF107,"0%")&amp;" ("&amp;TEXT(AF107,"0.00")&amp;")"</f>
        <v>Multiply line 4 by 25% (0.25)</v>
      </c>
      <c r="X91" s="2956"/>
      <c r="Y91" s="2956"/>
      <c r="Z91" s="3132"/>
      <c r="AA91" s="3138" t="s">
        <v>2186</v>
      </c>
      <c r="AB91" s="3139">
        <f>V91</f>
        <v>5</v>
      </c>
      <c r="AC91" s="3140" t="str">
        <f>IF(OR(NOT(AMTExemptionFlag),AA88=""),"",ROUND(AF107*AA90,0))</f>
        <v/>
      </c>
      <c r="AD91" s="3136"/>
      <c r="AE91" s="3106"/>
      <c r="AF91" s="3106"/>
    </row>
    <row r="92" spans="1:34" ht="14.25" customHeight="1">
      <c r="A92" s="139"/>
      <c r="B92" s="2984"/>
      <c r="C92" s="3019" t="s">
        <v>3748</v>
      </c>
      <c r="D92" s="2769"/>
      <c r="E92" s="2751"/>
      <c r="F92" s="2751"/>
      <c r="G92" s="2771"/>
      <c r="H92" s="2768"/>
      <c r="I92" s="2768"/>
      <c r="J92" s="2771"/>
      <c r="K92" s="2031"/>
      <c r="L92" s="3156"/>
      <c r="M92" s="3159"/>
      <c r="N92" s="2775"/>
      <c r="O92" s="2990"/>
      <c r="P92" s="3162" t="str">
        <f>IF(AND(P1,OR(P94&lt;&gt;"",$R$92,F6251_PIII)),"Line "&amp;L94&amp;" Source:","")</f>
        <v/>
      </c>
      <c r="Q92" s="229"/>
      <c r="R92" s="3160" t="b">
        <f>AND(Form2555_Used,NOT(R91))</f>
        <v>0</v>
      </c>
      <c r="S92" s="688"/>
      <c r="T92" s="506"/>
      <c r="U92" s="3161"/>
      <c r="V92" s="3130">
        <v>6</v>
      </c>
      <c r="W92" s="2956" t="s">
        <v>3749</v>
      </c>
      <c r="X92" s="2956"/>
      <c r="Y92" s="2956"/>
      <c r="Z92" s="2956"/>
      <c r="AA92" s="3163"/>
      <c r="AB92" s="3134"/>
      <c r="AC92" s="3164"/>
      <c r="AD92" s="3136"/>
      <c r="AE92" s="3106"/>
      <c r="AF92" s="3106"/>
    </row>
    <row r="93" spans="1:34" ht="14.25" customHeight="1">
      <c r="A93" s="139"/>
      <c r="B93" s="2984"/>
      <c r="C93" s="3019" t="s">
        <v>3750</v>
      </c>
      <c r="D93" s="2769"/>
      <c r="E93" s="2751"/>
      <c r="F93" s="2751"/>
      <c r="G93" s="2771"/>
      <c r="H93" s="2768"/>
      <c r="I93" s="2768"/>
      <c r="J93" s="2771"/>
      <c r="K93" s="2031"/>
      <c r="L93" s="3156"/>
      <c r="M93" s="2791"/>
      <c r="N93" s="2775"/>
      <c r="O93" s="2990"/>
      <c r="P93" s="3162" t="str">
        <f>IF(NOT(P1),"",IF(P94&lt;&gt;"","Manual override",IF($R$92,"Foreign Income Tax Workseet",IF(NOT(F6251_PIII),"",IF(SchDTW_Used,"Sch. D Tax WS",IF(CGTW,"Sch. D WS",IF(Taxable_Inc&gt;0,"Form 1040, line "&amp;TaxLine_1040)))))))</f>
        <v/>
      </c>
      <c r="Q93" s="229"/>
      <c r="R93" s="1201"/>
      <c r="S93" s="3"/>
      <c r="T93" s="3"/>
      <c r="U93" s="688"/>
      <c r="V93" s="3165"/>
      <c r="W93" s="3131" t="s">
        <v>3751</v>
      </c>
      <c r="X93" s="2956"/>
      <c r="Y93" s="2956"/>
      <c r="Z93" s="2956"/>
      <c r="AA93" s="3163"/>
      <c r="AB93" s="3134"/>
      <c r="AC93" s="3166"/>
      <c r="AD93" s="3136"/>
      <c r="AE93" s="3106"/>
      <c r="AF93" s="3106"/>
    </row>
    <row r="94" spans="1:34" ht="14.25" customHeight="1">
      <c r="A94" s="139"/>
      <c r="B94" s="2984"/>
      <c r="C94" s="3019" t="s">
        <v>5527</v>
      </c>
      <c r="D94" s="2769"/>
      <c r="E94" s="2751"/>
      <c r="F94" s="2769"/>
      <c r="G94" s="2771"/>
      <c r="H94" s="2768"/>
      <c r="I94" s="2075"/>
      <c r="J94" s="2771"/>
      <c r="K94" s="2031" t="s">
        <v>708</v>
      </c>
      <c r="L94" s="3039">
        <f>B91</f>
        <v>20</v>
      </c>
      <c r="M94" s="2774" t="str">
        <f>IF(P94&lt;&gt;"",ROUND(P94,0),IF($R$92,$AC$122,IF(OR(NOT(P1),NOT(F6251_PIII)),"",IF(SchDTW_Used,'Sch. D WS'!R89,IF(CGTW,CGTW_Line5,IF(Taxable_Inc&gt;0,Taxable_Inc,0))))))</f>
        <v/>
      </c>
      <c r="N94" s="2775"/>
      <c r="O94" s="2990"/>
      <c r="P94" s="118"/>
      <c r="Q94" s="229"/>
      <c r="R94" s="1201"/>
      <c r="S94" s="3"/>
      <c r="T94" s="3"/>
      <c r="U94" s="688"/>
      <c r="V94" s="3152"/>
      <c r="W94" s="10314" t="s">
        <v>5055</v>
      </c>
      <c r="X94" s="10315"/>
      <c r="Y94" s="10315"/>
      <c r="Z94" s="10315"/>
      <c r="AA94" s="10315"/>
      <c r="AB94" s="3139">
        <f>V92</f>
        <v>6</v>
      </c>
      <c r="AC94" s="3140" t="str">
        <f>IF(OR(NOT(AMTExemptionFlag),AA88=""),"",MAX(0,AC82-AC91))</f>
        <v/>
      </c>
      <c r="AD94" s="3136"/>
      <c r="AE94" s="3106"/>
      <c r="AF94" s="3106"/>
    </row>
    <row r="95" spans="1:34" ht="14.25" customHeight="1" thickBot="1">
      <c r="A95" s="139"/>
      <c r="B95" s="2984">
        <f>B91+1</f>
        <v>21</v>
      </c>
      <c r="C95" s="2769" t="s">
        <v>3754</v>
      </c>
      <c r="D95" s="2769"/>
      <c r="E95" s="2751"/>
      <c r="F95" s="2751"/>
      <c r="G95" s="2771"/>
      <c r="H95" s="2768"/>
      <c r="I95" s="2768"/>
      <c r="J95" s="2771"/>
      <c r="K95" s="2031" t="s">
        <v>650</v>
      </c>
      <c r="L95" s="3039">
        <f>B95</f>
        <v>21</v>
      </c>
      <c r="M95" s="2774" t="str">
        <f>IF(NOT(F6251_PIII),"",IF(ISERROR(SUM(M89,-M94)),M89,IF(SUM(M89,-M94)&lt;0,0,SUM(M89,-M94))))</f>
        <v/>
      </c>
      <c r="N95" s="2775"/>
      <c r="O95" s="2990"/>
      <c r="P95" s="962"/>
      <c r="Q95" s="229"/>
      <c r="R95" s="1201"/>
      <c r="S95" s="3"/>
      <c r="T95" s="688"/>
      <c r="U95" s="688"/>
      <c r="V95" s="3167"/>
      <c r="W95" s="3168"/>
      <c r="X95" s="3169"/>
      <c r="Y95" s="3169"/>
      <c r="Z95" s="3170"/>
      <c r="AA95" s="3171"/>
      <c r="AB95" s="3172"/>
      <c r="AC95" s="3173"/>
      <c r="AD95" s="3174"/>
      <c r="AE95" s="3106"/>
      <c r="AF95" s="3106"/>
    </row>
    <row r="96" spans="1:34" ht="14.25" customHeight="1" thickBot="1">
      <c r="A96" s="139"/>
      <c r="B96" s="2984">
        <f>B95+1</f>
        <v>22</v>
      </c>
      <c r="C96" s="2769" t="s">
        <v>3755</v>
      </c>
      <c r="D96" s="2769"/>
      <c r="E96" s="2751"/>
      <c r="F96" s="2751"/>
      <c r="G96" s="2771"/>
      <c r="H96" s="2768"/>
      <c r="I96" s="2768"/>
      <c r="J96" s="2771"/>
      <c r="K96" s="2031" t="s">
        <v>691</v>
      </c>
      <c r="L96" s="3039">
        <f t="shared" ref="L96:L104" si="3">B96</f>
        <v>22</v>
      </c>
      <c r="M96" s="2774" t="str">
        <f>IF(NOT(F6251_PIII),"",MIN(M72,M76))</f>
        <v/>
      </c>
      <c r="N96" s="2775"/>
      <c r="O96" s="2990"/>
      <c r="P96" s="2733"/>
      <c r="Q96" s="229"/>
      <c r="R96" s="1201"/>
      <c r="S96" s="3"/>
      <c r="T96" s="3"/>
      <c r="U96" s="688"/>
      <c r="V96" s="3105"/>
      <c r="W96" s="688"/>
      <c r="X96" s="688"/>
      <c r="Y96" s="688"/>
      <c r="Z96" s="688"/>
      <c r="AA96" s="688"/>
      <c r="AB96" s="688"/>
      <c r="AC96" s="688"/>
      <c r="AD96" s="688"/>
      <c r="AE96" s="3106"/>
      <c r="AF96" s="3106"/>
    </row>
    <row r="97" spans="1:32" ht="14.25" customHeight="1">
      <c r="A97" s="139"/>
      <c r="B97" s="2984">
        <f>B96+1</f>
        <v>23</v>
      </c>
      <c r="C97" s="2769" t="s">
        <v>3756</v>
      </c>
      <c r="D97" s="2769"/>
      <c r="E97" s="2751"/>
      <c r="F97" s="2751"/>
      <c r="G97" s="2771"/>
      <c r="H97" s="2768"/>
      <c r="I97" s="2768"/>
      <c r="J97" s="2771"/>
      <c r="K97" s="2031" t="s">
        <v>594</v>
      </c>
      <c r="L97" s="3039">
        <f t="shared" si="3"/>
        <v>23</v>
      </c>
      <c r="M97" s="2774" t="str">
        <f>IF(NOT(F6251_PIII),"",MIN(M95,M96))</f>
        <v/>
      </c>
      <c r="N97" s="2775"/>
      <c r="O97" s="2990"/>
      <c r="P97" s="2733"/>
      <c r="Q97" s="229"/>
      <c r="R97" s="1201"/>
      <c r="S97" s="3"/>
      <c r="T97" s="3"/>
      <c r="U97" s="688"/>
      <c r="V97" s="3175"/>
      <c r="W97" s="3176"/>
      <c r="X97" s="10284"/>
      <c r="Y97" s="8998"/>
      <c r="Z97" s="8998"/>
      <c r="AA97" s="3120"/>
      <c r="AB97" s="3120"/>
      <c r="AC97" s="3120"/>
      <c r="AD97" s="3121"/>
      <c r="AF97" s="3106"/>
    </row>
    <row r="98" spans="1:32" ht="14.25" customHeight="1">
      <c r="A98" s="139"/>
      <c r="B98" s="2984">
        <f>B97+1</f>
        <v>24</v>
      </c>
      <c r="C98" s="2769" t="s">
        <v>3757</v>
      </c>
      <c r="D98" s="2769"/>
      <c r="E98" s="2751"/>
      <c r="F98" s="2751"/>
      <c r="G98" s="2771"/>
      <c r="H98" s="2768"/>
      <c r="I98" s="2768"/>
      <c r="J98" s="2771"/>
      <c r="K98" s="2031" t="s">
        <v>3758</v>
      </c>
      <c r="L98" s="3039">
        <f t="shared" si="3"/>
        <v>24</v>
      </c>
      <c r="M98" s="3177" t="str">
        <f>IF(NOT(F6251_PIII),"",SUM(M96,-M97))</f>
        <v/>
      </c>
      <c r="N98" s="2775"/>
      <c r="O98" s="2990"/>
      <c r="P98" s="2733"/>
      <c r="Q98" s="229"/>
      <c r="R98" s="1201"/>
      <c r="S98" s="3"/>
      <c r="T98" s="3"/>
      <c r="U98" s="688"/>
      <c r="V98" s="3178" t="s">
        <v>3759</v>
      </c>
      <c r="W98" s="3179"/>
      <c r="X98" s="3179"/>
      <c r="Y98" s="3123"/>
      <c r="Z98" s="3123"/>
      <c r="AA98" s="3123"/>
      <c r="AB98" s="3123"/>
      <c r="AC98" s="3123"/>
      <c r="AD98" s="3124"/>
      <c r="AF98" s="3106"/>
    </row>
    <row r="99" spans="1:32" ht="14.25" customHeight="1" thickBot="1">
      <c r="A99" s="139"/>
      <c r="B99" s="2984">
        <f>B98+1</f>
        <v>25</v>
      </c>
      <c r="C99" s="2769" t="s">
        <v>2644</v>
      </c>
      <c r="D99" s="2769"/>
      <c r="E99" s="2751"/>
      <c r="F99" s="2751"/>
      <c r="G99" s="2771"/>
      <c r="H99" s="2768"/>
      <c r="I99" s="2768"/>
      <c r="J99" s="2771"/>
      <c r="K99" s="2031"/>
      <c r="L99" s="2781"/>
      <c r="M99" s="2792"/>
      <c r="N99" s="2775"/>
      <c r="O99" s="2990"/>
      <c r="P99" s="2733"/>
      <c r="Q99" s="229"/>
      <c r="R99" s="3535"/>
      <c r="S99" s="3"/>
      <c r="T99" s="3"/>
      <c r="U99" s="688"/>
      <c r="V99" s="3180"/>
      <c r="W99" s="3181"/>
      <c r="X99" s="3181"/>
      <c r="Y99" s="3125"/>
      <c r="Z99" s="3125"/>
      <c r="AA99" s="3125"/>
      <c r="AB99" s="3182" t="s">
        <v>926</v>
      </c>
      <c r="AC99" s="3182"/>
      <c r="AD99" s="3126"/>
      <c r="AF99" s="3106"/>
    </row>
    <row r="100" spans="1:32" ht="14.25" customHeight="1">
      <c r="A100" s="139"/>
      <c r="B100" s="2984"/>
      <c r="C100" s="3183" t="s">
        <v>830</v>
      </c>
      <c r="D100" s="2769" t="str">
        <f>TEXT(R100,"$0,000")&amp;" if single,"</f>
        <v>$533,400 if single,</v>
      </c>
      <c r="E100" s="2751"/>
      <c r="F100" s="2751"/>
      <c r="G100" s="2771"/>
      <c r="H100" s="2771"/>
      <c r="I100" s="2771"/>
      <c r="J100" s="2771"/>
      <c r="K100" s="2031"/>
      <c r="L100" s="2781"/>
      <c r="M100" s="2792"/>
      <c r="N100" s="2783"/>
      <c r="O100" s="2990"/>
      <c r="P100" s="962"/>
      <c r="Q100" s="2988"/>
      <c r="R100" s="5368">
        <v>533400</v>
      </c>
      <c r="S100" s="3"/>
      <c r="T100" s="3"/>
      <c r="U100" s="688"/>
      <c r="V100" s="3184" t="s">
        <v>3760</v>
      </c>
      <c r="W100" s="3185"/>
      <c r="X100" s="2950" t="s">
        <v>3761</v>
      </c>
      <c r="Y100" s="3185"/>
      <c r="Z100" s="3185"/>
      <c r="AA100" s="3185"/>
      <c r="AB100" s="3185"/>
      <c r="AC100" s="3186" t="b">
        <f>OR(M48=0,M48="")</f>
        <v>1</v>
      </c>
      <c r="AD100" s="3187"/>
      <c r="AF100" s="3106"/>
    </row>
    <row r="101" spans="1:32" ht="14.25" customHeight="1">
      <c r="A101" s="139"/>
      <c r="B101" s="2984"/>
      <c r="C101" s="3183" t="s">
        <v>830</v>
      </c>
      <c r="D101" s="2769" t="str">
        <f>TEXT(R101,"$0,000")&amp;" if married filing separately"</f>
        <v>$300,000 if married filing separately</v>
      </c>
      <c r="E101" s="2751"/>
      <c r="F101" s="2751"/>
      <c r="G101" s="2771"/>
      <c r="H101" s="2771"/>
      <c r="I101" s="2771"/>
      <c r="J101" s="2771"/>
      <c r="K101" s="2031"/>
      <c r="L101" s="2781"/>
      <c r="M101" s="2792"/>
      <c r="N101" s="2783"/>
      <c r="O101" s="2990"/>
      <c r="P101" s="962"/>
      <c r="Q101" s="2988"/>
      <c r="R101" s="5368">
        <v>300000</v>
      </c>
      <c r="S101" s="3"/>
      <c r="T101" s="3"/>
      <c r="U101" s="688"/>
      <c r="V101" s="3188"/>
      <c r="W101" s="3189"/>
      <c r="X101" s="3189"/>
      <c r="Y101" s="3189"/>
      <c r="Z101" s="3189"/>
      <c r="AA101" s="3189"/>
      <c r="AB101" s="3189"/>
      <c r="AC101" s="4967" t="b">
        <f>OR(AC100,NOT(F6251_Needed))</f>
        <v>1</v>
      </c>
      <c r="AD101" s="3190"/>
      <c r="AF101" s="3106"/>
    </row>
    <row r="102" spans="1:32" ht="14.25" customHeight="1">
      <c r="A102" s="139"/>
      <c r="B102" s="2984"/>
      <c r="C102" s="3183" t="s">
        <v>830</v>
      </c>
      <c r="D102" s="2769" t="str">
        <f>TEXT(R102,"$0,000")&amp;" if married filing jointly or qualifying spouse"</f>
        <v>$600,050 if married filing jointly or qualifying spouse</v>
      </c>
      <c r="E102" s="2751"/>
      <c r="F102" s="2751"/>
      <c r="G102" s="2771"/>
      <c r="H102" s="2771"/>
      <c r="I102" s="2768"/>
      <c r="J102" s="2771"/>
      <c r="K102" s="2031" t="s">
        <v>648</v>
      </c>
      <c r="L102" s="3039">
        <f>B99</f>
        <v>25</v>
      </c>
      <c r="M102" s="2774" t="str">
        <f>IF(P102&lt;&gt;"",P102,IF(NOT(F6251_PIII),"",IF(File_Single&lt;&gt;"",R100,IF(File_Marr_Sep&lt;&gt;"",R101,IF(OR(File_Marr_Joint&lt;&gt;"",File_Qual_Widow&lt;&gt;""),R102,IF(File_Head&lt;&gt;"",R103,"Filing Status?"))))))</f>
        <v/>
      </c>
      <c r="N102" s="2783"/>
      <c r="O102" s="2990"/>
      <c r="P102" s="118"/>
      <c r="Q102" s="2988"/>
      <c r="R102" s="5368">
        <v>600050</v>
      </c>
      <c r="S102" s="3"/>
      <c r="T102" s="3"/>
      <c r="U102" s="688"/>
      <c r="V102" s="3191" t="str">
        <f>"1."</f>
        <v>1.</v>
      </c>
      <c r="W102" s="3192" t="s">
        <v>3762</v>
      </c>
      <c r="X102" s="3048"/>
      <c r="Y102" s="3048"/>
      <c r="Z102" s="3048"/>
      <c r="AA102" s="3138" t="s">
        <v>650</v>
      </c>
      <c r="AB102" s="3063" t="str">
        <f>"1."</f>
        <v>1.</v>
      </c>
      <c r="AC102" s="3193" t="str">
        <f>IF(AC101,"",M48)</f>
        <v/>
      </c>
      <c r="AD102" s="3194"/>
      <c r="AF102" s="3106"/>
    </row>
    <row r="103" spans="1:32" ht="14.25" customHeight="1">
      <c r="A103" s="139"/>
      <c r="B103" s="2984"/>
      <c r="C103" s="3183" t="s">
        <v>830</v>
      </c>
      <c r="D103" s="2769" t="str">
        <f>TEXT(R103,"$0,000")&amp;" if head of household"</f>
        <v>$566,700 if head of household</v>
      </c>
      <c r="E103" s="2751"/>
      <c r="F103" s="2751"/>
      <c r="G103" s="2771"/>
      <c r="H103" s="2771"/>
      <c r="I103" s="2771"/>
      <c r="J103" s="2771"/>
      <c r="K103" s="2031"/>
      <c r="L103" s="3156"/>
      <c r="M103" s="2792"/>
      <c r="N103" s="2783"/>
      <c r="O103" s="2990"/>
      <c r="P103" s="962"/>
      <c r="Q103" s="229"/>
      <c r="R103" s="5368">
        <v>566700</v>
      </c>
      <c r="S103" s="3"/>
      <c r="T103" s="3"/>
      <c r="U103" s="688"/>
      <c r="V103" s="3191" t="str">
        <f>"2a."</f>
        <v>2a.</v>
      </c>
      <c r="W103" s="3192" t="s">
        <v>3763</v>
      </c>
      <c r="X103" s="3048"/>
      <c r="Y103" s="3048"/>
      <c r="Z103" s="3048"/>
      <c r="AA103" s="3048"/>
      <c r="AB103" s="3048"/>
      <c r="AC103" s="3048"/>
      <c r="AD103" s="3194"/>
      <c r="AF103" s="3106"/>
    </row>
    <row r="104" spans="1:32" ht="14.25" customHeight="1">
      <c r="A104" s="139"/>
      <c r="B104" s="2984">
        <f>B99+1</f>
        <v>26</v>
      </c>
      <c r="C104" s="2769" t="s">
        <v>3764</v>
      </c>
      <c r="D104" s="2769"/>
      <c r="E104" s="2751"/>
      <c r="F104" s="2751"/>
      <c r="G104" s="2771"/>
      <c r="H104" s="2768"/>
      <c r="I104" s="2768"/>
      <c r="J104" s="2771"/>
      <c r="K104" s="2031" t="s">
        <v>3765</v>
      </c>
      <c r="L104" s="3039">
        <f t="shared" si="3"/>
        <v>26</v>
      </c>
      <c r="M104" s="2774" t="str">
        <f>IF(NOT(F6251_PIII),"",M95)</f>
        <v/>
      </c>
      <c r="N104" s="2775"/>
      <c r="O104" s="2990"/>
      <c r="P104" s="2733"/>
      <c r="Q104" s="229"/>
      <c r="R104" s="5061"/>
      <c r="S104" s="3"/>
      <c r="T104" s="3"/>
      <c r="U104" s="688"/>
      <c r="V104" s="3191"/>
      <c r="W104" s="3192" t="s">
        <v>3766</v>
      </c>
      <c r="X104" s="3048"/>
      <c r="Y104" s="3138" t="s">
        <v>676</v>
      </c>
      <c r="Z104" s="3063" t="str">
        <f>"2a."</f>
        <v>2a.</v>
      </c>
      <c r="AA104" s="2944" t="str">
        <f>IF(AC101,"",SUM(F2555_Line45_Total,ForeignHousingDeductionTotal))</f>
        <v/>
      </c>
      <c r="AB104" s="3048"/>
      <c r="AC104" s="3048"/>
      <c r="AD104" s="3194"/>
      <c r="AF104" s="3106"/>
    </row>
    <row r="105" spans="1:32" ht="14.25" customHeight="1">
      <c r="A105" s="139"/>
      <c r="B105" s="2984">
        <v>27</v>
      </c>
      <c r="C105" s="2769" t="s">
        <v>3767</v>
      </c>
      <c r="D105" s="2769"/>
      <c r="E105" s="2751"/>
      <c r="F105" s="2751"/>
      <c r="G105" s="2771"/>
      <c r="H105" s="2768"/>
      <c r="I105" s="2768"/>
      <c r="J105" s="2768"/>
      <c r="K105" s="2768"/>
      <c r="L105" s="3195"/>
      <c r="M105" s="3196"/>
      <c r="N105" s="2775"/>
      <c r="O105" s="2990"/>
      <c r="P105" s="2733"/>
      <c r="Q105" s="229"/>
      <c r="R105" s="5061"/>
      <c r="S105" s="688"/>
      <c r="T105" s="3"/>
      <c r="U105" s="688"/>
      <c r="V105" s="3191" t="s">
        <v>1181</v>
      </c>
      <c r="W105" s="3192" t="s">
        <v>3768</v>
      </c>
      <c r="X105" s="3048"/>
      <c r="Y105" s="3048"/>
      <c r="Z105" s="3048"/>
      <c r="AA105" s="3048"/>
      <c r="AB105" s="3048"/>
      <c r="AC105" s="3048"/>
      <c r="AD105" s="3194"/>
      <c r="AF105" s="3106"/>
    </row>
    <row r="106" spans="1:32" ht="14.25" customHeight="1">
      <c r="A106" s="139"/>
      <c r="B106" s="2984"/>
      <c r="C106" s="2769" t="s">
        <v>3769</v>
      </c>
      <c r="D106" s="2769"/>
      <c r="E106" s="2751"/>
      <c r="F106" s="2751"/>
      <c r="G106" s="2771"/>
      <c r="H106" s="2768"/>
      <c r="I106" s="2768"/>
      <c r="J106" s="2768"/>
      <c r="K106" s="2768"/>
      <c r="L106" s="3195"/>
      <c r="M106" s="3196"/>
      <c r="N106" s="2775"/>
      <c r="O106" s="2990"/>
      <c r="P106" s="2733"/>
      <c r="Q106" s="229"/>
      <c r="R106" s="5061"/>
      <c r="S106" s="688"/>
      <c r="T106" s="3"/>
      <c r="U106" s="688"/>
      <c r="V106" s="3191"/>
      <c r="W106" s="3192" t="s">
        <v>3770</v>
      </c>
      <c r="X106" s="3048"/>
      <c r="Y106" s="3138" t="s">
        <v>643</v>
      </c>
      <c r="Z106" s="3063" t="str">
        <f>"2b."</f>
        <v>2b.</v>
      </c>
      <c r="AA106" s="450"/>
      <c r="AB106" s="3048"/>
      <c r="AC106" s="3048"/>
      <c r="AD106" s="3194"/>
      <c r="AF106" s="3106"/>
    </row>
    <row r="107" spans="1:32" ht="14.25" customHeight="1">
      <c r="A107" s="139"/>
      <c r="B107" s="2984"/>
      <c r="C107" s="2769" t="s">
        <v>3750</v>
      </c>
      <c r="D107" s="2769"/>
      <c r="E107" s="2751"/>
      <c r="F107" s="2751"/>
      <c r="G107" s="2771"/>
      <c r="H107" s="2768"/>
      <c r="I107" s="2768"/>
      <c r="J107" s="2768"/>
      <c r="K107" s="2768"/>
      <c r="L107" s="3195"/>
      <c r="M107" s="3196"/>
      <c r="N107" s="2775"/>
      <c r="O107" s="2990"/>
      <c r="P107" s="2733"/>
      <c r="Q107" s="229"/>
      <c r="R107" s="5061"/>
      <c r="S107" s="214"/>
      <c r="T107" s="3"/>
      <c r="U107" s="688"/>
      <c r="V107" s="3191" t="s">
        <v>1196</v>
      </c>
      <c r="W107" s="3192" t="s">
        <v>1454</v>
      </c>
      <c r="X107" s="3048"/>
      <c r="Y107" s="3048"/>
      <c r="Z107" s="3048"/>
      <c r="AA107" s="3138" t="s">
        <v>590</v>
      </c>
      <c r="AB107" s="3063" t="str">
        <f>"2c."</f>
        <v>2c.</v>
      </c>
      <c r="AC107" s="2944" t="str">
        <f>IF(AC101,"",SUM(AA104,-AA106))</f>
        <v/>
      </c>
      <c r="AD107" s="3194"/>
      <c r="AF107" s="382">
        <v>0.25</v>
      </c>
    </row>
    <row r="108" spans="1:32" ht="14.25" customHeight="1">
      <c r="A108" s="139"/>
      <c r="B108" s="2984"/>
      <c r="C108" s="2769" t="s">
        <v>3771</v>
      </c>
      <c r="D108" s="2769"/>
      <c r="E108" s="2751"/>
      <c r="F108" s="2751"/>
      <c r="G108" s="2771"/>
      <c r="H108" s="2768"/>
      <c r="I108" s="2768"/>
      <c r="J108" s="2768"/>
      <c r="K108" s="2768"/>
      <c r="L108" s="3195"/>
      <c r="M108" s="3196"/>
      <c r="N108" s="2775"/>
      <c r="O108" s="2990"/>
      <c r="P108" s="2733"/>
      <c r="Q108" s="229"/>
      <c r="R108" s="5061"/>
      <c r="S108" s="214"/>
      <c r="T108" s="3"/>
      <c r="U108" s="688"/>
      <c r="V108" s="3191" t="str">
        <f>"3."</f>
        <v>3.</v>
      </c>
      <c r="W108" s="3192" t="s">
        <v>1456</v>
      </c>
      <c r="X108" s="3048"/>
      <c r="Y108" s="3048"/>
      <c r="Z108" s="3048"/>
      <c r="AA108" s="3138" t="s">
        <v>653</v>
      </c>
      <c r="AB108" s="3063" t="str">
        <f>"3."</f>
        <v>3.</v>
      </c>
      <c r="AC108" s="3193" t="str">
        <f>IF(AC101,"",SUM(AC102,AC107))</f>
        <v/>
      </c>
      <c r="AD108" s="3194"/>
      <c r="AF108"/>
    </row>
    <row r="109" spans="1:32" ht="14.25" customHeight="1">
      <c r="A109" s="139"/>
      <c r="B109" s="2984"/>
      <c r="C109" s="2769" t="s">
        <v>3752</v>
      </c>
      <c r="D109" s="2769"/>
      <c r="E109" s="2751"/>
      <c r="F109" s="2769" t="s">
        <v>3753</v>
      </c>
      <c r="G109" s="2771"/>
      <c r="H109" s="2768"/>
      <c r="I109" s="3197"/>
      <c r="J109" s="3197"/>
      <c r="K109" s="2031" t="s">
        <v>708</v>
      </c>
      <c r="L109" s="3039">
        <f>B105</f>
        <v>27</v>
      </c>
      <c r="M109" s="2774" t="str">
        <f>IF(P109&lt;&gt;"",ROUND(P109,0),IF(OR(NOT(P1),NOT(F6251_PIII)),"",IF(R92,M94,IF(SchDTW_Used,SchDTW_Line21,IF(CGTW,CGTW_Line5,IF(Taxable_Inc&gt;0,Taxable_Inc,0))))))</f>
        <v/>
      </c>
      <c r="N109" s="2783"/>
      <c r="O109" s="2987" t="b">
        <f>IF(NOT(F6251_PIII),FALSE,IF(M72=M110,TRUE,FALSE))</f>
        <v>0</v>
      </c>
      <c r="P109" s="118"/>
      <c r="Q109" s="229"/>
      <c r="R109" s="5061"/>
      <c r="S109" s="214"/>
      <c r="T109" s="3"/>
      <c r="U109" s="688"/>
      <c r="V109" s="3191" t="str">
        <f>"4."</f>
        <v>4.</v>
      </c>
      <c r="W109" s="3198" t="s">
        <v>3073</v>
      </c>
      <c r="X109" s="3048"/>
      <c r="Y109" s="3048"/>
      <c r="Z109" s="3048"/>
      <c r="AA109" s="3048"/>
      <c r="AB109" s="3048"/>
      <c r="AC109" s="3203"/>
      <c r="AD109" s="3194"/>
      <c r="AF109"/>
    </row>
    <row r="110" spans="1:32" ht="13.5" customHeight="1">
      <c r="A110" s="139"/>
      <c r="B110" s="2984">
        <f>B105+1</f>
        <v>28</v>
      </c>
      <c r="C110" s="2769" t="s">
        <v>3772</v>
      </c>
      <c r="D110" s="2769"/>
      <c r="E110" s="2751"/>
      <c r="F110" s="2751"/>
      <c r="G110" s="2771"/>
      <c r="H110" s="2768"/>
      <c r="I110" s="2768"/>
      <c r="J110" s="3197"/>
      <c r="K110" s="2031" t="s">
        <v>2167</v>
      </c>
      <c r="L110" s="3039">
        <v>28</v>
      </c>
      <c r="M110" s="2774" t="str">
        <f>IF(OR(NOT(P1),NOT(F6251_PIII)),"",SUM(M104,M109))</f>
        <v/>
      </c>
      <c r="N110" s="2775"/>
      <c r="O110" s="2987">
        <v>0.15</v>
      </c>
      <c r="P110" s="962"/>
      <c r="Q110" s="229"/>
      <c r="R110" s="5061"/>
      <c r="S110" s="214"/>
      <c r="T110" s="3"/>
      <c r="U110" s="688"/>
      <c r="V110" s="3199" t="s">
        <v>830</v>
      </c>
      <c r="W110" s="3048" t="s">
        <v>6450</v>
      </c>
      <c r="X110" s="3048"/>
      <c r="Y110" s="3048"/>
      <c r="Z110" s="3048"/>
      <c r="AA110" s="3048"/>
      <c r="AB110" s="3048"/>
      <c r="AC110" s="3203"/>
      <c r="AD110" s="3194"/>
      <c r="AE110" s="688"/>
      <c r="AF110" s="329"/>
    </row>
    <row r="111" spans="1:32" ht="12.75" customHeight="1">
      <c r="A111" s="139"/>
      <c r="B111" s="2984">
        <f>B110+1</f>
        <v>29</v>
      </c>
      <c r="C111" s="2769" t="s">
        <v>3773</v>
      </c>
      <c r="D111" s="2769"/>
      <c r="E111" s="2751"/>
      <c r="F111" s="2751"/>
      <c r="G111" s="2771"/>
      <c r="H111" s="2768"/>
      <c r="I111" s="2768"/>
      <c r="J111" s="3197"/>
      <c r="K111" s="2768" t="s">
        <v>2186</v>
      </c>
      <c r="L111" s="3039">
        <f>B111</f>
        <v>29</v>
      </c>
      <c r="M111" s="2774" t="str">
        <f>IF(NOT(F6251_PIII),"",IF(M110="",M102,IF(SUM(M102,-M110)&lt;0,0,SUM(M102,-M110))))</f>
        <v/>
      </c>
      <c r="N111" s="2775"/>
      <c r="O111" s="2987" t="b">
        <f>IF(NOT(F6251_PIII),FALSE,IF(OR(M78=0,M78=""),TRUE,FALSE))</f>
        <v>0</v>
      </c>
      <c r="P111" s="2733"/>
      <c r="Q111" s="229"/>
      <c r="R111" s="5061"/>
      <c r="S111" s="214"/>
      <c r="T111" s="3"/>
      <c r="U111" s="688"/>
      <c r="V111" s="3191"/>
      <c r="W111" s="2976" t="s">
        <v>3774</v>
      </c>
      <c r="X111" s="3048"/>
      <c r="Y111" s="3048"/>
      <c r="Z111" s="3048"/>
      <c r="AA111" s="3048"/>
      <c r="AB111" s="3048"/>
      <c r="AC111" s="3203"/>
      <c r="AD111" s="3194"/>
      <c r="AE111" s="3"/>
      <c r="AF111" s="329"/>
    </row>
    <row r="112" spans="1:32" ht="14.25" customHeight="1">
      <c r="A112" s="139"/>
      <c r="B112" s="2984">
        <f>B111+1</f>
        <v>30</v>
      </c>
      <c r="C112" s="2769" t="s">
        <v>3775</v>
      </c>
      <c r="D112" s="2769"/>
      <c r="E112" s="2751"/>
      <c r="F112" s="2751"/>
      <c r="G112" s="2771"/>
      <c r="H112" s="2768"/>
      <c r="I112" s="3200"/>
      <c r="J112" s="3197"/>
      <c r="K112" s="2768" t="s">
        <v>691</v>
      </c>
      <c r="L112" s="3039">
        <f>B112</f>
        <v>30</v>
      </c>
      <c r="M112" s="2774" t="str">
        <f>IF(P112&lt;&gt;"",P112,IF(NOT(F6251_PIII),"",MIN(M98,M111)))</f>
        <v/>
      </c>
      <c r="N112" s="2783"/>
      <c r="O112" s="2990"/>
      <c r="P112" s="118"/>
      <c r="Q112" s="229"/>
      <c r="R112" s="5061"/>
      <c r="S112" s="214"/>
      <c r="T112" s="688"/>
      <c r="U112" s="688"/>
      <c r="V112" s="3191"/>
      <c r="W112" s="2976" t="s">
        <v>3776</v>
      </c>
      <c r="X112" s="3048"/>
      <c r="Y112" s="3048"/>
      <c r="Z112" s="3048"/>
      <c r="AA112" s="3048"/>
      <c r="AB112" s="3048"/>
      <c r="AC112" s="3203"/>
      <c r="AD112" s="3194"/>
      <c r="AE112" s="3106"/>
      <c r="AF112" s="329"/>
    </row>
    <row r="113" spans="1:32" ht="12" customHeight="1">
      <c r="A113" s="139"/>
      <c r="B113" s="2984">
        <f>B112+1</f>
        <v>31</v>
      </c>
      <c r="C113" s="2769" t="str">
        <f>"Multiply line 30 by "&amp;TEXT(O110,"0%")&amp;" ("&amp;TEXT(O110,"0.00")&amp;")"</f>
        <v>Multiply line 30 by 15% (0.15)</v>
      </c>
      <c r="D113" s="2769"/>
      <c r="E113" s="2751"/>
      <c r="F113" s="2751"/>
      <c r="G113" s="2771"/>
      <c r="H113" s="2768"/>
      <c r="I113" s="3197"/>
      <c r="J113" s="3197"/>
      <c r="K113" s="2031" t="s">
        <v>1877</v>
      </c>
      <c r="L113" s="3039">
        <f>B113</f>
        <v>31</v>
      </c>
      <c r="M113" s="2774" t="str">
        <f>IF(P113&lt;&gt;"",P113,IF(NOT(F6251_PIII),"",ROUND(O110*M112,0)))</f>
        <v/>
      </c>
      <c r="N113" s="2783"/>
      <c r="O113" s="2990"/>
      <c r="P113" s="118"/>
      <c r="Q113" s="229"/>
      <c r="R113" s="5061"/>
      <c r="S113" s="214"/>
      <c r="T113" s="214"/>
      <c r="U113" s="688"/>
      <c r="V113" s="3191"/>
      <c r="W113" s="2976" t="s">
        <v>3777</v>
      </c>
      <c r="X113" s="3048"/>
      <c r="Y113" s="3048"/>
      <c r="Z113" s="3048"/>
      <c r="AA113" s="3048"/>
      <c r="AB113" s="3048"/>
      <c r="AC113" s="3203"/>
      <c r="AD113" s="3194"/>
      <c r="AE113" s="3106"/>
      <c r="AF113" s="329"/>
    </row>
    <row r="114" spans="1:32" ht="14.25" customHeight="1">
      <c r="A114" s="139"/>
      <c r="B114" s="2984">
        <f>B113+1</f>
        <v>32</v>
      </c>
      <c r="C114" s="2769" t="s">
        <v>3778</v>
      </c>
      <c r="D114" s="2769"/>
      <c r="E114" s="2751"/>
      <c r="F114" s="2751"/>
      <c r="G114" s="2771"/>
      <c r="H114" s="2768"/>
      <c r="I114" s="2768"/>
      <c r="J114" s="2768"/>
      <c r="K114" s="2768" t="s">
        <v>1895</v>
      </c>
      <c r="L114" s="3039">
        <f>B114</f>
        <v>32</v>
      </c>
      <c r="M114" s="2774" t="str">
        <f>IF(NOT(F6251_PIII),"",SUM(M97,M112))</f>
        <v/>
      </c>
      <c r="N114" s="2775"/>
      <c r="O114" s="3201"/>
      <c r="P114" s="962"/>
      <c r="Q114" s="229"/>
      <c r="R114" s="5061"/>
      <c r="S114" s="214"/>
      <c r="T114" s="214"/>
      <c r="U114" s="688"/>
      <c r="V114" s="3191"/>
      <c r="W114" s="2976" t="s">
        <v>6451</v>
      </c>
      <c r="X114" s="3048"/>
      <c r="Y114" s="3048"/>
      <c r="Z114" s="3048"/>
      <c r="AA114" s="3048"/>
      <c r="AB114" s="3063" t="str">
        <f>"4."</f>
        <v>4.</v>
      </c>
      <c r="AC114" s="3193" t="str">
        <f>IF(AC101,"",IF(R53,M126,IF(File_Marr_Sep&lt;&gt;"",AE115,AE114)))</f>
        <v/>
      </c>
      <c r="AD114" s="3194"/>
      <c r="AE114" s="382" t="str">
        <f>IF(AC100,"---",IF(AC108&lt;=R60,ROUND((AC108*R68),0),SUM(ROUND((AC108*R69),0),-R65)))</f>
        <v>---</v>
      </c>
    </row>
    <row r="115" spans="1:32" ht="14.25" customHeight="1">
      <c r="A115" s="139"/>
      <c r="B115" s="2984"/>
      <c r="C115" s="2826" t="s">
        <v>3779</v>
      </c>
      <c r="D115" s="2769"/>
      <c r="E115" s="2751"/>
      <c r="F115" s="2751"/>
      <c r="G115" s="2771"/>
      <c r="H115" s="3007"/>
      <c r="I115" s="2771"/>
      <c r="J115" s="3197"/>
      <c r="K115" s="2772"/>
      <c r="L115" s="3030"/>
      <c r="M115" s="3116"/>
      <c r="N115" s="2783"/>
      <c r="O115" s="2987" t="b">
        <f>IF(NOT(F6251_PIII),FALSE,IF(M72=M114,TRUE,FALSE))</f>
        <v>0</v>
      </c>
      <c r="P115" s="3202" t="str">
        <f>IF(NOT(F6251_PIII),"",IF(O115,"Go to line 38.","Go to line 33."))</f>
        <v/>
      </c>
      <c r="Q115" s="229"/>
      <c r="R115" s="5061"/>
      <c r="S115" s="214"/>
      <c r="T115" s="214"/>
      <c r="U115" s="688"/>
      <c r="V115" s="3191"/>
      <c r="W115" s="2976" t="s">
        <v>6452</v>
      </c>
      <c r="X115" s="3048"/>
      <c r="Y115" s="3048"/>
      <c r="Z115" s="3048"/>
      <c r="AA115" s="3048"/>
      <c r="AB115" s="3048"/>
      <c r="AC115" s="3203"/>
      <c r="AD115" s="3194"/>
      <c r="AE115" s="382" t="str">
        <f>IF(AC100,"---",IF(AC108&lt;=R61,ROUND((AC108*R68),0),SUM(ROUND((AC108*R69),0),-R66)))</f>
        <v>---</v>
      </c>
    </row>
    <row r="116" spans="1:32" ht="14.25" customHeight="1">
      <c r="A116" s="139"/>
      <c r="B116" s="2984">
        <f>B114+1</f>
        <v>33</v>
      </c>
      <c r="C116" s="2769" t="s">
        <v>3780</v>
      </c>
      <c r="D116" s="2769"/>
      <c r="E116" s="2751"/>
      <c r="F116" s="2751"/>
      <c r="G116" s="2771"/>
      <c r="H116" s="2768"/>
      <c r="I116" s="2768"/>
      <c r="J116" s="2768"/>
      <c r="K116" s="2768" t="s">
        <v>1868</v>
      </c>
      <c r="L116" s="3039">
        <f>B116</f>
        <v>33</v>
      </c>
      <c r="M116" s="2774" t="str">
        <f>IF(NOT(F6251_PIII),"",IF(O115,"",SUM(M96,-M114)))</f>
        <v/>
      </c>
      <c r="N116" s="2775"/>
      <c r="O116" s="3204">
        <v>0.2</v>
      </c>
      <c r="P116" s="962"/>
      <c r="Q116" s="229"/>
      <c r="R116" s="5061"/>
      <c r="S116" s="214"/>
      <c r="T116" s="214"/>
      <c r="U116" s="688"/>
      <c r="V116" s="3199" t="s">
        <v>830</v>
      </c>
      <c r="W116" s="3048" t="str">
        <f>"All others: If line 3 is "&amp;TEXT(R60,"$0,000")&amp;" or less ("&amp;TEXT(R61,"$0,000")&amp;" or less if married filing separately), multiply line 3 by"</f>
        <v>All others: If line 3 is $239,100 or less ($119,550 or less if married filing separately), multiply line 3 by</v>
      </c>
      <c r="X116" s="3048"/>
      <c r="Y116" s="3048"/>
      <c r="Z116" s="3048"/>
      <c r="AA116" s="3048"/>
      <c r="AB116" s="3048"/>
      <c r="AC116" s="3203"/>
      <c r="AD116" s="3194"/>
      <c r="AE116" s="382"/>
    </row>
    <row r="117" spans="1:32" ht="14.25" customHeight="1">
      <c r="A117" s="139"/>
      <c r="B117" s="2984">
        <f>B116+1</f>
        <v>34</v>
      </c>
      <c r="C117" s="2769" t="str">
        <f>"Multiply line 33 by "&amp;TEXT(O116,"0%")&amp;" ("&amp;TEXT(O116,"0.00")&amp;")"</f>
        <v>Multiply line 33 by 20% (0.20)</v>
      </c>
      <c r="D117" s="2769"/>
      <c r="E117" s="2751"/>
      <c r="F117" s="2751"/>
      <c r="G117" s="2771"/>
      <c r="H117" s="2771"/>
      <c r="I117" s="2771"/>
      <c r="J117" s="2771"/>
      <c r="K117" s="2031" t="s">
        <v>871</v>
      </c>
      <c r="L117" s="3039">
        <f>B117</f>
        <v>34</v>
      </c>
      <c r="M117" s="2774" t="str">
        <f>IF(P117&lt;&gt;"",P117,IF(OR(NOT(F6251_PIII),O115),"",ROUND(M116*O116,0)))</f>
        <v/>
      </c>
      <c r="N117" s="2775"/>
      <c r="O117" s="3205"/>
      <c r="P117" s="118"/>
      <c r="Q117" s="229"/>
      <c r="R117" s="5060"/>
      <c r="S117" s="214"/>
      <c r="T117" s="214"/>
      <c r="U117" s="688"/>
      <c r="V117" s="3191"/>
      <c r="W117" s="2976" t="str">
        <f>TEXT(R68,"0%")&amp;" ("&amp;TEXT(R68,"0.00")&amp;"). Otherwise, multiply line 3 by "&amp;TEXT(R69,"0%")&amp;" ("&amp;TEXT(R69,"0.00")&amp;") and subtract "&amp;TEXT(R65,"$0,000")&amp;" ("&amp;TEXT(R66,"$0,000")&amp;" if married filing"</f>
        <v>26% (0.26). Otherwise, multiply line 3 by 28% (0.28) and subtract $4,782 ($2,391 if married filing</v>
      </c>
      <c r="X117" s="3048"/>
      <c r="Y117" s="3048"/>
      <c r="Z117" s="3048"/>
      <c r="AA117" s="3048"/>
      <c r="AB117" s="3048"/>
      <c r="AC117" s="3206"/>
      <c r="AD117" s="3194"/>
      <c r="AE117" s="382"/>
    </row>
    <row r="118" spans="1:32" ht="14.25" customHeight="1">
      <c r="A118" s="139"/>
      <c r="B118" s="2984"/>
      <c r="C118" s="2826" t="s">
        <v>3781</v>
      </c>
      <c r="D118" s="2769"/>
      <c r="E118" s="2751"/>
      <c r="F118" s="2751"/>
      <c r="G118" s="2771"/>
      <c r="H118" s="3007"/>
      <c r="I118" s="2771"/>
      <c r="J118" s="3197"/>
      <c r="K118" s="2772"/>
      <c r="L118" s="3030"/>
      <c r="M118" s="3116"/>
      <c r="N118" s="2783"/>
      <c r="O118" s="2987" t="b">
        <f>IF(NOT(F6251_PIII),FALSE,IF(OR(M78=0,M78=""),TRUE,FALSE))</f>
        <v>0</v>
      </c>
      <c r="P118" s="3202" t="str">
        <f>IF(NOT(F6251_PIII),"",IF(O115,"",IF(O118,"Go to line 38.","Go to line 35.")))</f>
        <v/>
      </c>
      <c r="Q118" s="229"/>
      <c r="R118" s="5060"/>
      <c r="S118" s="3"/>
      <c r="T118" s="214"/>
      <c r="U118" s="688"/>
      <c r="V118" s="3191"/>
      <c r="W118" s="2976" t="s">
        <v>3782</v>
      </c>
      <c r="X118" s="3048"/>
      <c r="Y118" s="3048"/>
      <c r="Z118" s="3048"/>
      <c r="AA118" s="3048"/>
      <c r="AB118" s="3048"/>
      <c r="AC118" s="3206"/>
      <c r="AD118" s="3194"/>
      <c r="AE118" s="382"/>
    </row>
    <row r="119" spans="1:32" ht="15" customHeight="1">
      <c r="A119" s="139"/>
      <c r="B119" s="2984">
        <f>B117+1</f>
        <v>35</v>
      </c>
      <c r="C119" s="2769" t="s">
        <v>3783</v>
      </c>
      <c r="D119" s="2769"/>
      <c r="E119" s="2751"/>
      <c r="F119" s="2751"/>
      <c r="G119" s="2771"/>
      <c r="H119" s="2771"/>
      <c r="I119" s="2771"/>
      <c r="J119" s="2771"/>
      <c r="K119" s="2031" t="s">
        <v>3784</v>
      </c>
      <c r="L119" s="3056">
        <f>B119</f>
        <v>35</v>
      </c>
      <c r="M119" s="2774" t="str">
        <f>IF(P119&lt;&gt;"",P119,IF(OR(NOT(F6251_PIII),O115,O118),"",SUM(M84,M114,M116)))</f>
        <v/>
      </c>
      <c r="N119" s="2775"/>
      <c r="O119" s="3207"/>
      <c r="P119" s="118"/>
      <c r="Q119" s="229"/>
      <c r="R119" s="5060"/>
      <c r="S119" s="3"/>
      <c r="T119" s="214"/>
      <c r="U119" s="688"/>
      <c r="V119" s="3191" t="str">
        <f>"5."</f>
        <v>5.</v>
      </c>
      <c r="W119" s="2981" t="str">
        <f>"Tax on amount on line 2c."</f>
        <v>Tax on amount on line 2c.</v>
      </c>
      <c r="X119" s="3048"/>
      <c r="Y119" s="3048"/>
      <c r="Z119" s="3048"/>
      <c r="AA119" s="3063"/>
      <c r="AB119" s="3063" t="str">
        <f>"If line 2c is "&amp;TEXT($R$60,"$0,000")&amp;" or less ("&amp;TEXT($R$61,"$0,000")&amp;" or less if married filing separately),    "</f>
        <v xml:space="preserve">If line 2c is $239,100 or less ($119,550 or less if married filing separately),    </v>
      </c>
      <c r="AC119" s="3203"/>
      <c r="AD119" s="3194"/>
      <c r="AE119" s="382"/>
    </row>
    <row r="120" spans="1:32" ht="15.75" customHeight="1">
      <c r="A120" s="139"/>
      <c r="B120" s="2984">
        <f>B119+1</f>
        <v>36</v>
      </c>
      <c r="C120" s="2769" t="s">
        <v>3785</v>
      </c>
      <c r="D120" s="2769"/>
      <c r="E120" s="2751"/>
      <c r="F120" s="2751"/>
      <c r="G120" s="2771"/>
      <c r="H120" s="2768"/>
      <c r="I120" s="2768"/>
      <c r="J120" s="2771"/>
      <c r="K120" s="2031" t="s">
        <v>1877</v>
      </c>
      <c r="L120" s="3039">
        <f>B120</f>
        <v>36</v>
      </c>
      <c r="M120" s="3177" t="str">
        <f>IF(OR(NOT(F6251_PIII),O115,O118),"",SUM(M72,-M119))</f>
        <v/>
      </c>
      <c r="N120" s="2775"/>
      <c r="O120" s="2990"/>
      <c r="P120" s="2733"/>
      <c r="Q120" s="229"/>
      <c r="R120" s="5060"/>
      <c r="S120" s="3102"/>
      <c r="T120" s="3103"/>
      <c r="U120" s="3104"/>
      <c r="V120" s="3191"/>
      <c r="W120" s="2976" t="str">
        <f>"multiply line 2c by "&amp;TEXT(R68,"0%")&amp;" ("&amp;TEXT(R68,"0.00")&amp;"). Otherwise, multiply line 2c by "&amp;TEXT(R69,"0%")&amp;" ("&amp;TEXT(R69,"0.00")&amp;") and subtract "&amp;TEXT(R65,"$0,000")&amp;" ("&amp;TEXT(R66,"$0,000")&amp;" if"</f>
        <v>multiply line 2c by 26% (0.26). Otherwise, multiply line 2c by 28% (0.28) and subtract $4,782 ($2,391 if</v>
      </c>
      <c r="X120" s="3048"/>
      <c r="Y120" s="3048"/>
      <c r="Z120" s="3048"/>
      <c r="AA120" s="3048"/>
      <c r="AB120" s="3048"/>
      <c r="AC120" s="3203"/>
      <c r="AD120" s="3194"/>
      <c r="AE120" s="382"/>
    </row>
    <row r="121" spans="1:32" ht="15.75" customHeight="1">
      <c r="A121" s="139"/>
      <c r="B121" s="2984">
        <f>B120+1</f>
        <v>37</v>
      </c>
      <c r="C121" s="2769" t="str">
        <f>"Multiply line 36 by "&amp;TEXT(O121,"0%")&amp;" ("&amp;TEXT(O121,"0.00")&amp;")"</f>
        <v>Multiply line 36 by 25% (0.25)</v>
      </c>
      <c r="D121" s="2769"/>
      <c r="E121" s="2751"/>
      <c r="F121" s="2751"/>
      <c r="G121" s="2771"/>
      <c r="H121" s="2771"/>
      <c r="I121" s="2771"/>
      <c r="J121" s="2771"/>
      <c r="K121" s="2031" t="s">
        <v>1877</v>
      </c>
      <c r="L121" s="3039">
        <f>B121</f>
        <v>37</v>
      </c>
      <c r="M121" s="2774" t="str">
        <f>IF(P119&lt;&gt;"",P119,IF(OR(NOT(F6251_PIII),O115,O118),"",M120*O121))</f>
        <v/>
      </c>
      <c r="N121" s="2775"/>
      <c r="O121" s="3204">
        <v>0.25</v>
      </c>
      <c r="P121" s="118"/>
      <c r="Q121" s="229"/>
      <c r="R121" s="5060"/>
      <c r="S121" s="3102"/>
      <c r="T121" s="3103"/>
      <c r="U121" s="3104"/>
      <c r="V121" s="3191"/>
      <c r="W121" s="2976" t="s">
        <v>3786</v>
      </c>
      <c r="X121" s="3048"/>
      <c r="Y121" s="3048"/>
      <c r="Z121" s="3048"/>
      <c r="AA121" s="3138" t="s">
        <v>617</v>
      </c>
      <c r="AB121" s="3063" t="str">
        <f>"5."</f>
        <v>5.</v>
      </c>
      <c r="AC121" s="3193" t="str">
        <f>IF(AC101,"",IF(File_Marr_Sep&lt;&gt;"",AE122,AE121))</f>
        <v/>
      </c>
      <c r="AD121" s="3194"/>
      <c r="AE121" s="382" t="str">
        <f>IF(AC100,"---",IF(AC107&lt;=R60,ROUND((AC107*R68),0),SUM(ROUND((AC107*R69),0),-R65)))</f>
        <v>---</v>
      </c>
    </row>
    <row r="122" spans="1:32" ht="15" customHeight="1">
      <c r="A122" s="139"/>
      <c r="B122" s="2984">
        <f>B121+1</f>
        <v>38</v>
      </c>
      <c r="C122" s="2769" t="s">
        <v>3787</v>
      </c>
      <c r="D122" s="2769"/>
      <c r="E122" s="2751"/>
      <c r="F122" s="2751"/>
      <c r="G122" s="2771"/>
      <c r="H122" s="2771"/>
      <c r="I122" s="2771"/>
      <c r="J122" s="2771"/>
      <c r="K122" s="2031" t="s">
        <v>668</v>
      </c>
      <c r="L122" s="3056">
        <f>B122</f>
        <v>38</v>
      </c>
      <c r="M122" s="2774" t="str">
        <f>IF(P122&lt;&gt;"",P122,IF(NOT(F6251_PIII),"",SUM(M86,M113,M117,M121)))</f>
        <v/>
      </c>
      <c r="N122" s="2775"/>
      <c r="O122" s="3207"/>
      <c r="P122" s="118"/>
      <c r="Q122" s="229"/>
      <c r="R122" s="5061"/>
      <c r="S122" s="3102"/>
      <c r="T122" s="3103"/>
      <c r="U122" s="3104"/>
      <c r="V122" s="3191" t="str">
        <f>"6."</f>
        <v>6.</v>
      </c>
      <c r="W122" s="2976" t="s">
        <v>3788</v>
      </c>
      <c r="X122" s="3048"/>
      <c r="Y122" s="3048"/>
      <c r="Z122" s="3048"/>
      <c r="AA122" s="3138" t="s">
        <v>601</v>
      </c>
      <c r="AB122" s="3063" t="str">
        <f>"6."</f>
        <v>6.</v>
      </c>
      <c r="AC122" s="3193" t="str">
        <f>IF(AC101,"",IF(AC121="",AC114,SUM(AC114,-AC121)))</f>
        <v/>
      </c>
      <c r="AD122" s="3194"/>
      <c r="AE122" s="382" t="str">
        <f>IF(AC100,"---",IF(AC107&lt;=R61,ROUND((AC107*R68),0),SUM(ROUND((AC107*R69),0),-R66)))</f>
        <v>---</v>
      </c>
    </row>
    <row r="123" spans="1:32" ht="13.5" thickBot="1">
      <c r="A123" s="139"/>
      <c r="B123" s="2984">
        <f>B122+1</f>
        <v>39</v>
      </c>
      <c r="C123" s="2769" t="str">
        <f>"If line "&amp;B71&amp;" is "&amp;TEXT(R60,"$0,000")&amp;" or less ("&amp;TEXT(R61,"$0,000")&amp;" or less if married filing separately), multiply line "&amp;B71&amp;" by "&amp;TEXT(R68,"0%")&amp;" ("&amp;TEXT(R68,"0.00")&amp;")."</f>
        <v>If line 12 is $239,100 or less ($119,550 or less if married filing separately), multiply line 12 by 26% (0.26).</v>
      </c>
      <c r="D123" s="2770"/>
      <c r="E123" s="2751"/>
      <c r="F123" s="2751"/>
      <c r="G123" s="2771"/>
      <c r="H123" s="2771"/>
      <c r="I123" s="2771"/>
      <c r="J123" s="2771"/>
      <c r="K123" s="3208"/>
      <c r="L123" s="3209"/>
      <c r="M123" s="3017">
        <f>IF(File_Marr_Sep&lt;&gt;"",R61,R60)</f>
        <v>239100</v>
      </c>
      <c r="N123" s="2783"/>
      <c r="O123" s="3210"/>
      <c r="P123" s="962"/>
      <c r="Q123" s="229"/>
      <c r="R123" s="5061"/>
      <c r="S123" s="3102"/>
      <c r="T123" s="3103"/>
      <c r="U123" s="3104"/>
      <c r="V123" s="3211"/>
      <c r="W123" s="3212"/>
      <c r="X123" s="3169"/>
      <c r="Y123" s="3169"/>
      <c r="Z123" s="3169"/>
      <c r="AA123" s="3169"/>
      <c r="AB123" s="3169"/>
      <c r="AC123" s="3169"/>
      <c r="AD123" s="3213"/>
    </row>
    <row r="124" spans="1:32">
      <c r="A124" s="139"/>
      <c r="B124" s="2984"/>
      <c r="C124" s="3214" t="str">
        <f>"Otherwise, multiply line "&amp;B71&amp;" by "&amp;TEXT(R69,"0%")&amp;" ("&amp;TEXT(R69,".00")&amp;") and subtract "&amp;TEXT(R65,"$0,000")&amp;" ("&amp;TEXT(R66,"$0,000")&amp;" if married filing separately) from result"</f>
        <v>Otherwise, multiply line 12 by 28% (.28) and subtract $4,782 ($2,391 if married filing separately) from result</v>
      </c>
      <c r="D124" s="2770"/>
      <c r="E124" s="2751"/>
      <c r="F124" s="2751"/>
      <c r="G124" s="2771"/>
      <c r="H124" s="2771"/>
      <c r="I124" s="2771"/>
      <c r="J124" s="2771"/>
      <c r="K124" s="2031"/>
      <c r="L124" s="3039">
        <f>B123</f>
        <v>39</v>
      </c>
      <c r="M124" s="2774" t="str">
        <f>IF(P124&lt;&gt;"",P124,IF(NOT(F6251_PIII),"",IF(M72&lt;=M123,ROUND(M72*R68,0),ROUND((M72*R69)-M125,0))))</f>
        <v/>
      </c>
      <c r="N124" s="2783"/>
      <c r="O124" s="3210"/>
      <c r="P124" s="118"/>
      <c r="Q124" s="229"/>
      <c r="R124" s="5061"/>
      <c r="S124" s="3102"/>
      <c r="T124" s="3103"/>
      <c r="U124" s="3104"/>
      <c r="V124" s="3105"/>
      <c r="W124" s="688"/>
      <c r="X124" s="688"/>
      <c r="Y124" s="688"/>
      <c r="Z124" s="688"/>
      <c r="AA124" s="688"/>
      <c r="AB124" s="688"/>
      <c r="AC124" s="688"/>
      <c r="AD124" s="688"/>
    </row>
    <row r="125" spans="1:32" ht="15" customHeight="1">
      <c r="A125" s="139"/>
      <c r="B125" s="2984">
        <f>B123+1</f>
        <v>40</v>
      </c>
      <c r="C125" s="2769" t="s">
        <v>3789</v>
      </c>
      <c r="D125" s="2770"/>
      <c r="E125" s="2751"/>
      <c r="F125" s="2751"/>
      <c r="G125" s="2771"/>
      <c r="H125" s="2771"/>
      <c r="I125" s="2771"/>
      <c r="J125" s="2771"/>
      <c r="K125" s="2768"/>
      <c r="L125" s="3215"/>
      <c r="M125" s="3017">
        <f>IF(File_Marr_Sep&lt;&gt;"",R66,R65)</f>
        <v>4782</v>
      </c>
      <c r="N125" s="2783"/>
      <c r="O125" s="3210"/>
      <c r="P125" s="962"/>
      <c r="Q125" s="2988"/>
      <c r="R125" s="5061"/>
      <c r="S125" s="3102"/>
      <c r="T125" s="3103"/>
      <c r="U125" s="3104"/>
      <c r="V125" s="3216"/>
      <c r="W125" s="3216"/>
      <c r="X125" s="3216"/>
      <c r="Y125" s="3216"/>
      <c r="Z125" s="3216"/>
      <c r="AA125" s="3216"/>
      <c r="AB125" s="3216"/>
      <c r="AC125" s="3216"/>
      <c r="AD125" s="3216"/>
    </row>
    <row r="126" spans="1:32" ht="13.5" thickBot="1">
      <c r="A126" s="139"/>
      <c r="B126" s="2984"/>
      <c r="C126" s="2769" t="s">
        <v>3790</v>
      </c>
      <c r="D126" s="2769"/>
      <c r="E126" s="2751"/>
      <c r="F126" s="2751"/>
      <c r="G126" s="2771"/>
      <c r="H126" s="2771"/>
      <c r="I126" s="2771"/>
      <c r="J126" s="2771"/>
      <c r="K126" s="2031" t="s">
        <v>631</v>
      </c>
      <c r="L126" s="3039">
        <f>B125</f>
        <v>40</v>
      </c>
      <c r="M126" s="2774" t="str">
        <f>IF(P126&lt;&gt;"",P126,IF(NOT(F6251_PIII),"",MIN(M122,M124)))</f>
        <v/>
      </c>
      <c r="N126" s="2775"/>
      <c r="O126" s="730"/>
      <c r="P126" s="118"/>
      <c r="Q126" s="2988"/>
      <c r="S126" s="3102"/>
      <c r="T126" s="3103"/>
      <c r="U126" s="3104"/>
      <c r="V126" s="3105"/>
      <c r="W126" s="688"/>
      <c r="X126" s="688"/>
      <c r="Y126" s="688"/>
      <c r="Z126" s="688"/>
      <c r="AA126" s="688"/>
      <c r="AB126" s="688"/>
      <c r="AC126" s="688"/>
      <c r="AD126" s="688"/>
    </row>
    <row r="127" spans="1:32" ht="15.75">
      <c r="A127" s="139"/>
      <c r="B127" s="2827"/>
      <c r="C127" s="2828"/>
      <c r="D127" s="2828"/>
      <c r="E127" s="2828"/>
      <c r="F127" s="2828"/>
      <c r="G127" s="2829"/>
      <c r="H127" s="2830"/>
      <c r="I127" s="2829"/>
      <c r="J127" s="2829"/>
      <c r="K127" s="2829"/>
      <c r="L127" s="2832" t="s">
        <v>3791</v>
      </c>
      <c r="M127" s="2833" t="str">
        <f>"  ("&amp;TaxYear&amp;")"</f>
        <v xml:space="preserve">  (2025)</v>
      </c>
      <c r="N127" s="2834"/>
      <c r="O127" s="730"/>
      <c r="P127" s="962"/>
      <c r="Q127" s="2988"/>
      <c r="S127" s="3102"/>
      <c r="T127" s="3103"/>
      <c r="U127" s="3104"/>
      <c r="V127" s="3105"/>
      <c r="W127" s="688"/>
      <c r="X127" s="688"/>
      <c r="Y127" s="688"/>
      <c r="Z127" s="688"/>
      <c r="AA127" s="688"/>
      <c r="AB127" s="688"/>
      <c r="AC127" s="688"/>
      <c r="AD127" s="688"/>
    </row>
    <row r="128" spans="1:32">
      <c r="A128" s="139"/>
      <c r="B128" s="148"/>
      <c r="C128" s="2733"/>
      <c r="D128" s="2733"/>
      <c r="E128" s="139"/>
      <c r="F128" s="139"/>
      <c r="G128" s="139"/>
      <c r="H128" s="139"/>
      <c r="I128" s="139"/>
      <c r="J128" s="150"/>
      <c r="K128" s="150"/>
      <c r="L128" s="150"/>
      <c r="M128" s="150"/>
      <c r="N128" s="2836"/>
      <c r="O128" s="730"/>
      <c r="P128" s="962"/>
      <c r="Q128" s="1879"/>
      <c r="S128" s="3102"/>
      <c r="T128" s="3103"/>
      <c r="U128" s="3104"/>
      <c r="V128" s="3105"/>
      <c r="W128" s="688"/>
      <c r="X128" s="688"/>
      <c r="Y128" s="688"/>
      <c r="Z128" s="688"/>
      <c r="AA128" s="688"/>
      <c r="AB128" s="688"/>
      <c r="AC128" s="688"/>
      <c r="AD128" s="688"/>
    </row>
    <row r="129" spans="2:30" ht="12.75" customHeight="1">
      <c r="B129" s="1"/>
      <c r="C129" s="12"/>
      <c r="D129" s="12"/>
      <c r="J129" s="4"/>
      <c r="K129" s="4"/>
      <c r="L129" s="4"/>
      <c r="M129" s="4"/>
      <c r="N129" s="2838"/>
      <c r="P129" s="2839"/>
      <c r="Q129" s="2839"/>
      <c r="S129" s="3102"/>
      <c r="T129" s="3103"/>
      <c r="U129" s="3104"/>
      <c r="V129" s="3105"/>
      <c r="W129" s="688"/>
      <c r="X129" s="688"/>
      <c r="Y129" s="688"/>
      <c r="Z129" s="688"/>
      <c r="AA129" s="688"/>
      <c r="AB129" s="688"/>
      <c r="AC129" s="688"/>
      <c r="AD129" s="688"/>
    </row>
    <row r="130" spans="2:30" ht="13.5" thickBot="1">
      <c r="B130" s="1"/>
      <c r="C130" s="12"/>
      <c r="D130" s="12"/>
      <c r="J130" s="4"/>
      <c r="K130" s="4"/>
      <c r="L130" s="4"/>
      <c r="M130" s="4"/>
      <c r="N130" s="2838"/>
      <c r="S130" s="3102"/>
      <c r="T130" s="3103"/>
      <c r="U130" s="3104"/>
      <c r="V130" s="3105"/>
      <c r="W130" s="688"/>
      <c r="X130" s="688"/>
      <c r="Y130" s="688"/>
      <c r="Z130" s="688"/>
      <c r="AA130" s="688"/>
      <c r="AB130" s="688"/>
      <c r="AC130" s="688"/>
      <c r="AD130" s="688"/>
    </row>
    <row r="131" spans="2:30" ht="12.75" customHeight="1" thickTop="1" thickBot="1">
      <c r="B131" s="1"/>
      <c r="C131" s="7255" t="s">
        <v>3792</v>
      </c>
      <c r="D131" s="8101"/>
      <c r="E131" s="8101"/>
      <c r="F131" s="8101"/>
      <c r="G131" s="8102"/>
      <c r="H131" s="4"/>
      <c r="I131" s="4"/>
      <c r="L131" s="4"/>
      <c r="M131" s="4"/>
      <c r="N131" s="4"/>
      <c r="P131" s="329"/>
      <c r="Q131" s="3"/>
      <c r="S131" s="3102"/>
      <c r="T131" s="3103"/>
      <c r="U131" s="3104"/>
      <c r="V131" s="3105"/>
      <c r="W131" s="688"/>
      <c r="X131" s="688"/>
      <c r="Y131" s="688"/>
      <c r="Z131" s="688"/>
      <c r="AA131" s="688"/>
      <c r="AB131" s="688"/>
      <c r="AC131" s="688"/>
      <c r="AD131" s="688"/>
    </row>
    <row r="132" spans="2:30" ht="12.75" customHeight="1" thickTop="1" thickBot="1">
      <c r="B132" s="1"/>
      <c r="C132" s="12"/>
      <c r="D132" s="12"/>
      <c r="G132" s="4"/>
      <c r="H132" s="4"/>
      <c r="I132" s="4"/>
      <c r="L132" s="4"/>
      <c r="M132" s="4"/>
      <c r="N132" s="4"/>
      <c r="P132" s="329"/>
      <c r="Q132" s="3"/>
      <c r="S132" s="3102"/>
      <c r="T132" s="3103"/>
      <c r="U132" s="3104"/>
      <c r="V132" s="3105"/>
      <c r="W132" s="688"/>
      <c r="X132" s="688"/>
      <c r="Y132" s="688"/>
      <c r="Z132" s="688"/>
      <c r="AA132" s="688"/>
      <c r="AB132" s="688"/>
      <c r="AC132" s="688"/>
      <c r="AD132" s="688"/>
    </row>
    <row r="133" spans="2:30" ht="12.75" customHeight="1" thickTop="1" thickBot="1">
      <c r="B133" s="1"/>
      <c r="C133" s="7255" t="s">
        <v>3793</v>
      </c>
      <c r="D133" s="8101"/>
      <c r="E133" s="8101"/>
      <c r="F133" s="8101"/>
      <c r="G133" s="8102"/>
      <c r="H133" s="4"/>
      <c r="I133" s="4"/>
      <c r="L133" s="4"/>
      <c r="M133" s="4"/>
      <c r="N133" s="4"/>
      <c r="P133" s="329"/>
      <c r="Q133" s="329"/>
      <c r="S133" s="3102"/>
      <c r="T133" s="3103"/>
      <c r="U133" s="3104"/>
      <c r="V133" s="3105"/>
      <c r="W133" s="688"/>
      <c r="X133" s="688"/>
      <c r="Y133" s="688"/>
      <c r="Z133" s="688"/>
      <c r="AA133" s="688"/>
      <c r="AB133" s="688"/>
      <c r="AC133" s="688"/>
      <c r="AD133" s="688"/>
    </row>
    <row r="134" spans="2:30" ht="13.5" thickTop="1">
      <c r="Q134" s="329"/>
      <c r="S134" s="3102"/>
      <c r="T134" s="3103"/>
      <c r="U134" s="3104"/>
      <c r="V134" s="3105"/>
      <c r="W134" s="688"/>
      <c r="X134" s="688"/>
      <c r="Y134" s="688"/>
      <c r="Z134" s="688"/>
      <c r="AA134" s="688"/>
      <c r="AB134" s="688"/>
      <c r="AC134" s="688"/>
      <c r="AD134" s="688"/>
    </row>
    <row r="135" spans="2:30" ht="10.5" customHeight="1">
      <c r="Q135" s="329"/>
      <c r="S135" s="3102"/>
      <c r="T135" s="3103"/>
      <c r="U135" s="3104"/>
      <c r="V135" s="3105"/>
      <c r="W135" s="688"/>
      <c r="X135" s="688"/>
      <c r="Y135" s="688"/>
      <c r="Z135" s="688"/>
      <c r="AA135" s="688"/>
      <c r="AB135" s="688"/>
      <c r="AC135" s="688"/>
      <c r="AD135" s="688"/>
    </row>
    <row r="136" spans="2:30" ht="10.5" customHeight="1">
      <c r="S136" s="3102"/>
      <c r="T136" s="3103"/>
      <c r="U136" s="3104"/>
      <c r="V136" s="3105"/>
      <c r="W136" s="688"/>
      <c r="X136" s="688"/>
      <c r="Y136" s="688"/>
      <c r="Z136" s="688"/>
      <c r="AA136" s="688"/>
      <c r="AB136" s="688"/>
      <c r="AC136" s="688"/>
      <c r="AD136" s="688"/>
    </row>
    <row r="137" spans="2:30" ht="10.5" customHeight="1">
      <c r="S137" s="3216"/>
      <c r="T137" s="3216"/>
      <c r="U137" s="3216"/>
      <c r="V137" s="3105"/>
      <c r="W137" s="688"/>
      <c r="X137" s="688"/>
      <c r="Y137" s="688"/>
      <c r="Z137" s="688"/>
      <c r="AA137" s="688"/>
      <c r="AB137" s="688"/>
      <c r="AC137" s="688"/>
      <c r="AD137" s="688"/>
    </row>
    <row r="138" spans="2:30" ht="10.5" customHeight="1">
      <c r="S138" s="506"/>
      <c r="T138" s="3103"/>
      <c r="U138" s="688"/>
      <c r="V138" s="3105"/>
      <c r="W138" s="688"/>
      <c r="X138" s="688"/>
      <c r="Y138" s="688"/>
      <c r="Z138" s="688"/>
      <c r="AA138" s="688"/>
      <c r="AB138" s="688"/>
      <c r="AC138" s="688"/>
      <c r="AD138" s="688"/>
    </row>
    <row r="139" spans="2:30" ht="10.5" customHeight="1">
      <c r="S139" s="3"/>
      <c r="T139" s="3102"/>
      <c r="U139" s="688"/>
      <c r="V139" s="3105"/>
      <c r="W139" s="688"/>
      <c r="X139" s="688"/>
      <c r="Y139" s="688"/>
      <c r="Z139" s="688"/>
      <c r="AA139" s="688"/>
      <c r="AB139" s="688"/>
      <c r="AC139" s="688"/>
      <c r="AD139" s="688"/>
    </row>
    <row r="140" spans="2:30" ht="12" customHeight="1">
      <c r="S140" s="3"/>
      <c r="T140" s="3157"/>
      <c r="U140" s="3158"/>
      <c r="V140" s="3105"/>
      <c r="W140" s="688"/>
      <c r="X140" s="688"/>
      <c r="Y140" s="688"/>
      <c r="Z140" s="688"/>
      <c r="AA140" s="688"/>
      <c r="AB140" s="688"/>
      <c r="AC140" s="688"/>
      <c r="AD140" s="688"/>
    </row>
    <row r="141" spans="2:30" ht="12" customHeight="1">
      <c r="S141" s="688"/>
      <c r="T141" s="506"/>
      <c r="U141" s="3161"/>
      <c r="V141" s="3105"/>
      <c r="W141" s="688"/>
      <c r="X141" s="688"/>
      <c r="Y141" s="688"/>
      <c r="Z141" s="688"/>
      <c r="AA141" s="688"/>
      <c r="AB141" s="688"/>
      <c r="AC141" s="688"/>
      <c r="AD141" s="688"/>
    </row>
    <row r="142" spans="2:30" ht="12" customHeight="1">
      <c r="S142" s="688"/>
      <c r="T142" s="506"/>
      <c r="U142" s="3161"/>
      <c r="V142" s="3216"/>
      <c r="W142" s="3216"/>
      <c r="X142" s="3216"/>
      <c r="Y142" s="3216"/>
      <c r="Z142" s="3216"/>
      <c r="AA142" s="3216"/>
      <c r="AB142" s="3216"/>
      <c r="AC142" s="3216"/>
      <c r="AD142" s="3216"/>
    </row>
    <row r="143" spans="2:30" ht="18">
      <c r="S143" s="3"/>
      <c r="T143" s="3"/>
      <c r="U143" s="688"/>
      <c r="V143" s="3216"/>
      <c r="W143" s="3216"/>
      <c r="X143" s="3216"/>
      <c r="Y143" s="3216"/>
      <c r="Z143" s="3216"/>
      <c r="AA143" s="3216"/>
      <c r="AB143" s="3216"/>
      <c r="AC143" s="3216"/>
      <c r="AD143" s="3216"/>
    </row>
    <row r="144" spans="2:30" ht="18">
      <c r="S144" s="3"/>
      <c r="T144" s="3"/>
      <c r="U144" s="688"/>
      <c r="V144" s="3216"/>
      <c r="W144" s="3216"/>
      <c r="X144" s="3216"/>
      <c r="Y144" s="3216"/>
      <c r="Z144" s="3216"/>
      <c r="AA144" s="3216"/>
      <c r="AB144" s="3216"/>
      <c r="AC144" s="3216"/>
      <c r="AD144" s="3216"/>
    </row>
    <row r="145" spans="19:30" ht="18">
      <c r="S145" s="3"/>
      <c r="T145" s="3"/>
      <c r="U145" s="688"/>
      <c r="V145" s="3216"/>
      <c r="W145" s="3216"/>
      <c r="X145" s="3216"/>
      <c r="Y145" s="3216"/>
      <c r="Z145" s="3216"/>
      <c r="AA145" s="3216"/>
      <c r="AB145" s="3216"/>
      <c r="AC145" s="3216"/>
      <c r="AD145" s="3216"/>
    </row>
    <row r="146" spans="19:30" ht="18">
      <c r="S146" s="3"/>
      <c r="T146" s="688"/>
      <c r="U146" s="688"/>
      <c r="V146" s="3216"/>
      <c r="W146" s="3216"/>
      <c r="X146" s="3216"/>
      <c r="Y146" s="3216"/>
      <c r="Z146" s="3216"/>
      <c r="AA146" s="3216"/>
      <c r="AB146" s="3216"/>
      <c r="AC146" s="3216"/>
      <c r="AD146" s="3216"/>
    </row>
    <row r="147" spans="19:30" ht="18">
      <c r="S147" s="3"/>
      <c r="T147" s="3"/>
      <c r="U147" s="688"/>
      <c r="V147" s="3216"/>
      <c r="W147" s="3216"/>
      <c r="X147" s="3216"/>
      <c r="Y147" s="3216"/>
      <c r="Z147" s="3216"/>
      <c r="AA147" s="3216"/>
      <c r="AB147" s="3216"/>
      <c r="AC147" s="3216"/>
      <c r="AD147" s="3216"/>
    </row>
    <row r="148" spans="19:30" ht="18">
      <c r="S148" s="3"/>
      <c r="T148" s="3"/>
      <c r="U148" s="688"/>
      <c r="V148" s="3216"/>
      <c r="W148" s="3216"/>
      <c r="X148" s="3216"/>
      <c r="Y148" s="3216"/>
      <c r="Z148" s="3216"/>
      <c r="AA148" s="3216"/>
      <c r="AB148" s="3216"/>
      <c r="AC148" s="3216"/>
      <c r="AD148" s="3216"/>
    </row>
    <row r="149" spans="19:30" ht="18">
      <c r="S149" s="3"/>
      <c r="T149" s="3"/>
      <c r="U149" s="688"/>
      <c r="V149" s="3216"/>
      <c r="W149" s="3216"/>
      <c r="X149" s="3216"/>
      <c r="Y149" s="3216"/>
      <c r="Z149" s="3216"/>
      <c r="AA149" s="3216"/>
      <c r="AB149" s="3216"/>
      <c r="AC149" s="3216"/>
      <c r="AD149" s="3216"/>
    </row>
    <row r="150" spans="19:30" ht="18">
      <c r="S150" s="3"/>
      <c r="T150" s="3"/>
      <c r="U150" s="688"/>
      <c r="V150" s="3216"/>
      <c r="W150" s="3216"/>
      <c r="X150" s="3216"/>
      <c r="Y150" s="3216"/>
      <c r="Z150" s="3216"/>
      <c r="AA150" s="3216"/>
      <c r="AB150" s="3216"/>
      <c r="AC150" s="3216"/>
      <c r="AD150" s="3216"/>
    </row>
    <row r="151" spans="19:30" ht="18">
      <c r="S151" s="3"/>
      <c r="T151" s="3"/>
      <c r="U151" s="688"/>
      <c r="V151" s="3216"/>
      <c r="W151" s="3216"/>
      <c r="X151" s="3216"/>
      <c r="Y151" s="3216"/>
      <c r="Z151" s="3216"/>
      <c r="AA151" s="3216"/>
      <c r="AB151" s="3216"/>
      <c r="AC151" s="3216"/>
      <c r="AD151" s="3216"/>
    </row>
    <row r="152" spans="19:30" ht="18">
      <c r="S152" s="3"/>
      <c r="T152" s="3"/>
      <c r="U152" s="688"/>
      <c r="V152" s="3216"/>
      <c r="W152" s="3216"/>
      <c r="X152" s="3216"/>
      <c r="Y152" s="3216"/>
      <c r="Z152" s="3216"/>
      <c r="AA152" s="3216"/>
      <c r="AB152" s="3216"/>
      <c r="AC152" s="3216"/>
      <c r="AD152" s="3216"/>
    </row>
    <row r="153" spans="19:30" ht="18">
      <c r="S153" s="3"/>
      <c r="T153" s="3"/>
      <c r="U153" s="688"/>
      <c r="V153" s="3216"/>
      <c r="W153" s="3216"/>
      <c r="X153" s="3216"/>
      <c r="Y153" s="3216"/>
      <c r="Z153" s="3216"/>
      <c r="AA153" s="3216"/>
      <c r="AB153" s="3216"/>
      <c r="AC153" s="3216"/>
      <c r="AD153" s="3216"/>
    </row>
    <row r="154" spans="19:30" ht="18">
      <c r="S154" s="3"/>
      <c r="T154" s="3"/>
      <c r="U154" s="688"/>
      <c r="V154" s="3216"/>
      <c r="W154" s="3216"/>
      <c r="X154" s="3216"/>
      <c r="Y154" s="3216"/>
      <c r="Z154" s="3216"/>
      <c r="AA154" s="3216"/>
      <c r="AB154" s="3216"/>
      <c r="AC154" s="3216"/>
      <c r="AD154" s="3216"/>
    </row>
    <row r="155" spans="19:30" ht="18">
      <c r="S155" s="3"/>
      <c r="T155" s="3"/>
      <c r="U155" s="688"/>
      <c r="V155" s="3216"/>
      <c r="W155" s="3216"/>
      <c r="X155" s="3216"/>
      <c r="Y155" s="3216"/>
      <c r="Z155" s="3216"/>
      <c r="AA155" s="3216"/>
      <c r="AB155" s="3216"/>
      <c r="AC155" s="3216"/>
      <c r="AD155" s="3216"/>
    </row>
    <row r="156" spans="19:30" ht="18">
      <c r="S156" s="3"/>
      <c r="T156" s="3"/>
      <c r="U156" s="688"/>
      <c r="V156" s="3216"/>
      <c r="W156" s="3216"/>
      <c r="X156" s="3216"/>
      <c r="Y156" s="3216"/>
      <c r="Z156" s="3216"/>
      <c r="AA156" s="3216"/>
      <c r="AB156" s="3216"/>
      <c r="AC156" s="3216"/>
      <c r="AD156" s="3216"/>
    </row>
    <row r="157" spans="19:30" ht="18">
      <c r="S157" s="3"/>
      <c r="T157" s="3"/>
      <c r="U157" s="688"/>
      <c r="V157" s="3216"/>
      <c r="W157" s="3216"/>
      <c r="X157" s="3216"/>
      <c r="Y157" s="3216"/>
      <c r="Z157" s="3216"/>
      <c r="AA157" s="3216"/>
      <c r="AB157" s="3216"/>
      <c r="AC157" s="3216"/>
      <c r="AD157" s="3216"/>
    </row>
    <row r="158" spans="19:30" ht="18">
      <c r="S158" s="3"/>
      <c r="T158" s="3"/>
      <c r="U158" s="688"/>
      <c r="V158" s="3216"/>
      <c r="W158" s="3216"/>
      <c r="X158" s="3216"/>
      <c r="Y158" s="3216"/>
      <c r="Z158" s="3216"/>
      <c r="AA158" s="3216"/>
      <c r="AB158" s="3216"/>
      <c r="AC158" s="3216"/>
      <c r="AD158" s="3216"/>
    </row>
    <row r="159" spans="19:30" ht="18">
      <c r="S159" s="3"/>
      <c r="T159" s="3"/>
      <c r="U159" s="688"/>
      <c r="V159" s="3216"/>
      <c r="W159" s="3216"/>
      <c r="X159" s="3216"/>
      <c r="Y159" s="3216"/>
      <c r="Z159" s="3216"/>
      <c r="AA159" s="3216"/>
      <c r="AB159" s="3216"/>
      <c r="AC159" s="3216"/>
      <c r="AD159" s="3216"/>
    </row>
    <row r="160" spans="19:30" ht="18">
      <c r="S160" s="3"/>
      <c r="T160" s="3"/>
      <c r="U160" s="688"/>
      <c r="V160" s="3216"/>
      <c r="W160" s="3216"/>
      <c r="X160" s="3216"/>
      <c r="Y160" s="3216"/>
      <c r="Z160" s="3216"/>
      <c r="AA160" s="3216"/>
      <c r="AB160" s="3216"/>
      <c r="AC160" s="3216"/>
      <c r="AD160" s="3216"/>
    </row>
    <row r="161" spans="19:30" ht="18">
      <c r="S161" s="3"/>
      <c r="T161" s="3"/>
      <c r="U161" s="688"/>
      <c r="V161" s="3216"/>
      <c r="W161" s="3216"/>
      <c r="X161" s="3216"/>
      <c r="Y161" s="3216"/>
      <c r="Z161" s="3216"/>
      <c r="AA161" s="3216"/>
      <c r="AB161" s="3216"/>
      <c r="AC161" s="3216"/>
      <c r="AD161" s="3216"/>
    </row>
    <row r="162" spans="19:30" ht="18">
      <c r="S162" s="3"/>
      <c r="T162" s="3"/>
      <c r="U162" s="688"/>
      <c r="V162" s="3216"/>
      <c r="W162" s="3216"/>
      <c r="X162" s="3216"/>
      <c r="Y162" s="3216"/>
      <c r="Z162" s="3216"/>
      <c r="AA162" s="3216"/>
      <c r="AB162" s="3216"/>
      <c r="AC162" s="3216"/>
      <c r="AD162" s="3216"/>
    </row>
    <row r="163" spans="19:30" ht="18">
      <c r="S163" s="3"/>
      <c r="T163" s="3"/>
      <c r="U163" s="688"/>
      <c r="V163" s="3216"/>
      <c r="W163" s="3216"/>
      <c r="X163" s="3216"/>
      <c r="Y163" s="3216"/>
      <c r="Z163" s="3216"/>
      <c r="AA163" s="3216"/>
      <c r="AB163" s="3216"/>
      <c r="AC163" s="3216"/>
      <c r="AD163" s="3216"/>
    </row>
    <row r="164" spans="19:30" ht="18">
      <c r="S164" s="3"/>
      <c r="T164" s="3"/>
      <c r="U164" s="688"/>
      <c r="V164" s="3216"/>
      <c r="W164" s="3216"/>
      <c r="X164" s="3216"/>
      <c r="Y164" s="3216"/>
      <c r="Z164" s="3216"/>
      <c r="AA164" s="3216"/>
      <c r="AB164" s="3216"/>
      <c r="AC164" s="3216"/>
      <c r="AD164" s="3216"/>
    </row>
    <row r="165" spans="19:30" ht="18">
      <c r="S165" s="3"/>
      <c r="T165" s="3"/>
      <c r="U165" s="688"/>
      <c r="V165" s="3216"/>
      <c r="W165" s="3216"/>
      <c r="X165" s="3216"/>
      <c r="Y165" s="3216"/>
      <c r="Z165" s="3216"/>
      <c r="AA165" s="3216"/>
      <c r="AB165" s="3216"/>
      <c r="AC165" s="3216"/>
      <c r="AD165" s="3216"/>
    </row>
    <row r="166" spans="19:30" ht="18">
      <c r="S166" s="3"/>
      <c r="T166" s="3"/>
      <c r="U166" s="688"/>
      <c r="V166" s="3216"/>
      <c r="W166" s="3216"/>
      <c r="X166" s="3216"/>
      <c r="Y166" s="3216"/>
      <c r="Z166" s="3216"/>
      <c r="AA166" s="3216"/>
      <c r="AB166" s="3216"/>
      <c r="AC166" s="3216"/>
      <c r="AD166" s="3216"/>
    </row>
    <row r="167" spans="19:30" ht="18">
      <c r="S167" s="3"/>
      <c r="T167" s="3"/>
      <c r="U167" s="688"/>
      <c r="V167" s="3216"/>
      <c r="W167" s="3216"/>
      <c r="X167" s="3216"/>
      <c r="Y167" s="3216"/>
      <c r="Z167" s="3216"/>
      <c r="AA167" s="3216"/>
      <c r="AB167" s="3216"/>
      <c r="AC167" s="3216"/>
      <c r="AD167" s="3216"/>
    </row>
    <row r="168" spans="19:30" ht="18">
      <c r="S168" s="3"/>
      <c r="T168" s="3"/>
      <c r="U168" s="688"/>
      <c r="V168" s="3216"/>
      <c r="W168" s="3216"/>
      <c r="X168" s="3216"/>
      <c r="Y168" s="3216"/>
      <c r="Z168" s="3216"/>
      <c r="AA168" s="3216"/>
      <c r="AB168" s="3216"/>
      <c r="AC168" s="3216"/>
      <c r="AD168" s="3216"/>
    </row>
    <row r="169" spans="19:30" ht="18">
      <c r="S169" s="3"/>
      <c r="T169" s="3"/>
      <c r="U169" s="688"/>
      <c r="V169" s="3216"/>
      <c r="W169" s="3216"/>
      <c r="X169" s="3216"/>
      <c r="Y169" s="3216"/>
      <c r="Z169" s="3216"/>
      <c r="AA169" s="3216"/>
      <c r="AB169" s="3216"/>
      <c r="AC169" s="3216"/>
      <c r="AD169" s="3216"/>
    </row>
    <row r="170" spans="19:30" ht="18">
      <c r="S170" s="3"/>
      <c r="T170" s="3"/>
      <c r="U170" s="688"/>
      <c r="V170" s="3216"/>
      <c r="W170" s="3216"/>
      <c r="X170" s="3216"/>
      <c r="Y170" s="3216"/>
      <c r="Z170" s="3216"/>
      <c r="AA170" s="3216"/>
      <c r="AB170" s="3216"/>
      <c r="AC170" s="3216"/>
      <c r="AD170" s="3216"/>
    </row>
    <row r="171" spans="19:30" ht="18">
      <c r="S171" s="3"/>
      <c r="T171" s="3"/>
      <c r="U171" s="688"/>
      <c r="V171" s="3216"/>
      <c r="W171" s="3216"/>
      <c r="X171" s="3216"/>
      <c r="Y171" s="3216"/>
      <c r="Z171" s="3216"/>
      <c r="AA171" s="3216"/>
      <c r="AB171" s="3216"/>
      <c r="AC171" s="3216"/>
      <c r="AD171" s="3216"/>
    </row>
    <row r="172" spans="19:30" ht="18">
      <c r="S172" s="3"/>
      <c r="T172" s="3"/>
      <c r="U172" s="688"/>
      <c r="V172" s="3216"/>
      <c r="W172" s="3216"/>
      <c r="X172" s="3216"/>
      <c r="Y172" s="3216"/>
      <c r="Z172" s="3216"/>
      <c r="AA172" s="3216"/>
      <c r="AB172" s="3216"/>
      <c r="AC172" s="3216"/>
      <c r="AD172" s="3216"/>
    </row>
    <row r="173" spans="19:30" ht="18">
      <c r="S173" s="3"/>
      <c r="T173" s="3"/>
      <c r="U173" s="688"/>
      <c r="V173" s="3216"/>
      <c r="W173" s="3216"/>
      <c r="X173" s="3216"/>
      <c r="Y173" s="3216"/>
      <c r="Z173" s="3216"/>
      <c r="AA173" s="3216"/>
      <c r="AB173" s="3216"/>
      <c r="AC173" s="3216"/>
      <c r="AD173" s="3216"/>
    </row>
    <row r="174" spans="19:30" ht="18">
      <c r="S174" s="3"/>
      <c r="T174" s="3"/>
      <c r="U174" s="688"/>
      <c r="V174" s="3216"/>
      <c r="W174" s="3216"/>
      <c r="X174" s="3216"/>
      <c r="Y174" s="3216"/>
      <c r="Z174" s="3216"/>
      <c r="AA174" s="3216"/>
      <c r="AB174" s="3216"/>
      <c r="AC174" s="3216"/>
      <c r="AD174" s="3216"/>
    </row>
    <row r="175" spans="19:30" ht="18">
      <c r="S175" s="3"/>
      <c r="T175" s="3"/>
      <c r="U175" s="688"/>
      <c r="V175" s="3216"/>
      <c r="W175" s="3216"/>
      <c r="X175" s="3216"/>
      <c r="Y175" s="3216"/>
      <c r="Z175" s="3216"/>
      <c r="AA175" s="3216"/>
      <c r="AB175" s="3216"/>
      <c r="AC175" s="3216"/>
      <c r="AD175" s="3216"/>
    </row>
    <row r="176" spans="19:30" ht="18">
      <c r="S176" s="3"/>
      <c r="T176" s="3"/>
      <c r="U176" s="688"/>
      <c r="V176" s="3216"/>
      <c r="W176" s="3216"/>
      <c r="X176" s="3216"/>
      <c r="Y176" s="3216"/>
      <c r="Z176" s="3216"/>
      <c r="AA176" s="3216"/>
      <c r="AB176" s="3216"/>
      <c r="AC176" s="3216"/>
      <c r="AD176" s="3216"/>
    </row>
    <row r="177" spans="19:30" ht="18">
      <c r="S177" s="3"/>
      <c r="T177" s="3"/>
      <c r="U177" s="688"/>
      <c r="V177" s="3216"/>
      <c r="W177" s="3216"/>
      <c r="X177" s="3216"/>
      <c r="Y177" s="3216"/>
      <c r="Z177" s="3216"/>
      <c r="AA177" s="3216"/>
      <c r="AB177" s="3216"/>
      <c r="AC177" s="3216"/>
      <c r="AD177" s="3216"/>
    </row>
    <row r="178" spans="19:30" ht="18">
      <c r="S178" s="3"/>
      <c r="T178" s="3"/>
      <c r="U178" s="688"/>
      <c r="V178" s="3216"/>
      <c r="W178" s="3216"/>
      <c r="X178" s="3216"/>
      <c r="Y178" s="3216"/>
      <c r="Z178" s="3216"/>
      <c r="AA178" s="3216"/>
      <c r="AB178" s="3216"/>
      <c r="AC178" s="3216"/>
      <c r="AD178" s="3216"/>
    </row>
    <row r="179" spans="19:30" ht="18">
      <c r="S179" s="3"/>
      <c r="T179" s="3"/>
      <c r="U179" s="688"/>
      <c r="V179" s="3216"/>
      <c r="W179" s="3216"/>
      <c r="X179" s="3216"/>
      <c r="Y179" s="3216"/>
      <c r="Z179" s="3216"/>
      <c r="AA179" s="3216"/>
      <c r="AB179" s="3216"/>
      <c r="AC179" s="3216"/>
      <c r="AD179" s="3216"/>
    </row>
    <row r="180" spans="19:30" ht="18">
      <c r="S180" s="3"/>
      <c r="T180" s="3"/>
      <c r="U180" s="688"/>
      <c r="V180" s="3216"/>
      <c r="W180" s="3216"/>
      <c r="X180" s="3216"/>
      <c r="Y180" s="3216"/>
      <c r="Z180" s="3216"/>
      <c r="AA180" s="3216"/>
      <c r="AB180" s="3216"/>
      <c r="AC180" s="3216"/>
      <c r="AD180" s="3216"/>
    </row>
    <row r="181" spans="19:30" ht="18">
      <c r="S181" s="3"/>
      <c r="T181" s="3"/>
      <c r="U181" s="688"/>
      <c r="V181" s="3216"/>
      <c r="W181" s="3216"/>
      <c r="X181" s="3216"/>
      <c r="Y181" s="3216"/>
      <c r="Z181" s="3216"/>
      <c r="AA181" s="3216"/>
      <c r="AB181" s="3216"/>
      <c r="AC181" s="3216"/>
      <c r="AD181" s="3216"/>
    </row>
    <row r="182" spans="19:30" ht="18">
      <c r="S182" s="3"/>
      <c r="T182" s="3"/>
      <c r="U182" s="688"/>
      <c r="V182" s="3216"/>
      <c r="W182" s="3216"/>
      <c r="X182" s="3216"/>
      <c r="Y182" s="3216"/>
      <c r="Z182" s="3216"/>
      <c r="AA182" s="3216"/>
      <c r="AB182" s="3216"/>
      <c r="AC182" s="3216"/>
      <c r="AD182" s="3216"/>
    </row>
    <row r="183" spans="19:30" ht="18">
      <c r="S183" s="3"/>
      <c r="T183" s="3"/>
      <c r="U183" s="688"/>
      <c r="V183" s="3216"/>
      <c r="W183" s="3216"/>
      <c r="X183" s="3216"/>
      <c r="Y183" s="3216"/>
      <c r="Z183" s="3216"/>
      <c r="AA183" s="3216"/>
      <c r="AB183" s="3216"/>
      <c r="AC183" s="3216"/>
      <c r="AD183" s="3216"/>
    </row>
    <row r="184" spans="19:30" ht="18">
      <c r="S184" s="3"/>
      <c r="T184" s="3"/>
      <c r="U184" s="688"/>
      <c r="V184" s="3216"/>
      <c r="W184" s="3216"/>
      <c r="X184" s="3216"/>
      <c r="Y184" s="3216"/>
      <c r="Z184" s="3216"/>
      <c r="AA184" s="3216"/>
      <c r="AB184" s="3216"/>
      <c r="AC184" s="3216"/>
      <c r="AD184" s="3216"/>
    </row>
    <row r="185" spans="19:30" ht="18">
      <c r="S185" s="3"/>
      <c r="T185" s="3"/>
      <c r="U185" s="688"/>
      <c r="V185" s="3216"/>
      <c r="W185" s="3216"/>
      <c r="X185" s="3216"/>
      <c r="Y185" s="3216"/>
      <c r="Z185" s="3216"/>
      <c r="AA185" s="3216"/>
      <c r="AB185" s="3216"/>
      <c r="AC185" s="3216"/>
      <c r="AD185" s="3216"/>
    </row>
    <row r="186" spans="19:30" ht="18">
      <c r="S186" s="3"/>
      <c r="T186" s="3"/>
      <c r="U186" s="688"/>
      <c r="V186" s="3216"/>
      <c r="W186" s="3216"/>
      <c r="X186" s="3216"/>
      <c r="Y186" s="3216"/>
      <c r="Z186" s="3216"/>
      <c r="AA186" s="3216"/>
      <c r="AB186" s="3216"/>
      <c r="AC186" s="3216"/>
      <c r="AD186" s="3216"/>
    </row>
    <row r="187" spans="19:30" ht="18">
      <c r="S187" s="3"/>
      <c r="T187" s="3"/>
      <c r="U187" s="688"/>
      <c r="V187" s="3216"/>
      <c r="W187" s="3216"/>
      <c r="X187" s="3216"/>
      <c r="Y187" s="3216"/>
      <c r="Z187" s="3216"/>
      <c r="AA187" s="3216"/>
      <c r="AB187" s="3216"/>
      <c r="AC187" s="3216"/>
      <c r="AD187" s="3216"/>
    </row>
    <row r="188" spans="19:30" ht="18">
      <c r="S188" s="3"/>
      <c r="T188" s="3"/>
      <c r="U188" s="688"/>
      <c r="V188" s="3216"/>
      <c r="W188" s="3216"/>
      <c r="X188" s="3216"/>
      <c r="Y188" s="3216"/>
      <c r="Z188" s="3216"/>
      <c r="AA188" s="3216"/>
      <c r="AB188" s="3216"/>
      <c r="AC188" s="3216"/>
      <c r="AD188" s="3216"/>
    </row>
    <row r="189" spans="19:30" ht="18">
      <c r="S189" s="3"/>
      <c r="T189" s="3"/>
      <c r="U189" s="688"/>
      <c r="V189" s="3216"/>
      <c r="W189" s="3216"/>
      <c r="X189" s="3216"/>
      <c r="Y189" s="3216"/>
      <c r="Z189" s="3216"/>
      <c r="AA189" s="3216"/>
      <c r="AB189" s="3216"/>
      <c r="AC189" s="3216"/>
      <c r="AD189" s="3216"/>
    </row>
    <row r="190" spans="19:30" ht="18">
      <c r="S190" s="3"/>
      <c r="T190" s="3"/>
      <c r="U190" s="688"/>
      <c r="V190" s="3216"/>
      <c r="W190" s="3216"/>
      <c r="X190" s="3216"/>
      <c r="Y190" s="3216"/>
      <c r="Z190" s="3216"/>
      <c r="AA190" s="3216"/>
      <c r="AB190" s="3216"/>
      <c r="AC190" s="3216"/>
      <c r="AD190" s="3216"/>
    </row>
    <row r="191" spans="19:30" ht="18">
      <c r="S191" s="3"/>
      <c r="T191" s="3"/>
      <c r="U191" s="688"/>
      <c r="V191" s="3216"/>
      <c r="W191" s="3216"/>
      <c r="X191" s="3216"/>
      <c r="Y191" s="3216"/>
      <c r="Z191" s="3216"/>
      <c r="AA191" s="3216"/>
      <c r="AB191" s="3216"/>
      <c r="AC191" s="3216"/>
      <c r="AD191" s="3216"/>
    </row>
    <row r="192" spans="19:30" ht="18">
      <c r="S192" s="3"/>
      <c r="T192" s="3"/>
      <c r="U192" s="688"/>
      <c r="V192" s="3216"/>
      <c r="W192" s="3216"/>
      <c r="X192" s="3216"/>
      <c r="Y192" s="3216"/>
      <c r="Z192" s="3216"/>
      <c r="AA192" s="3216"/>
      <c r="AB192" s="3216"/>
      <c r="AC192" s="3216"/>
      <c r="AD192" s="3216"/>
    </row>
    <row r="193" spans="19:30" ht="18">
      <c r="S193" s="3"/>
      <c r="T193" s="3"/>
      <c r="U193" s="688"/>
      <c r="V193" s="3216"/>
      <c r="W193" s="3216"/>
      <c r="X193" s="3216"/>
      <c r="Y193" s="3216"/>
      <c r="Z193" s="3216"/>
      <c r="AA193" s="3216"/>
      <c r="AB193" s="3216"/>
      <c r="AC193" s="3216"/>
      <c r="AD193" s="3216"/>
    </row>
    <row r="194" spans="19:30" ht="18">
      <c r="S194" s="3"/>
      <c r="T194" s="3"/>
      <c r="U194" s="688"/>
      <c r="V194" s="3216"/>
      <c r="W194" s="3216"/>
      <c r="X194" s="3216"/>
      <c r="Y194" s="3216"/>
      <c r="Z194" s="3216"/>
      <c r="AA194" s="3216"/>
      <c r="AB194" s="3216"/>
      <c r="AC194" s="3216"/>
      <c r="AD194" s="3216"/>
    </row>
    <row r="195" spans="19:30" ht="18">
      <c r="S195" s="3"/>
      <c r="T195" s="3"/>
      <c r="U195" s="688"/>
      <c r="V195" s="3216"/>
      <c r="W195" s="3216"/>
      <c r="X195" s="3216"/>
      <c r="Y195" s="3216"/>
      <c r="Z195" s="3216"/>
      <c r="AA195" s="3216"/>
      <c r="AB195" s="3216"/>
      <c r="AC195" s="3216"/>
      <c r="AD195" s="3216"/>
    </row>
    <row r="196" spans="19:30" ht="18">
      <c r="S196" s="3"/>
      <c r="T196" s="3"/>
      <c r="U196" s="688"/>
      <c r="V196" s="3216"/>
      <c r="W196" s="3216"/>
      <c r="X196" s="3216"/>
      <c r="Y196" s="3216"/>
      <c r="Z196" s="3216"/>
      <c r="AA196" s="3216"/>
      <c r="AB196" s="3216"/>
      <c r="AC196" s="3216"/>
      <c r="AD196" s="3216"/>
    </row>
    <row r="197" spans="19:30" ht="18">
      <c r="S197" s="3"/>
      <c r="T197" s="3"/>
      <c r="U197" s="688"/>
      <c r="V197" s="3216"/>
      <c r="W197" s="3216"/>
      <c r="X197" s="3216"/>
      <c r="Y197" s="3216"/>
      <c r="Z197" s="3216"/>
      <c r="AA197" s="3216"/>
      <c r="AB197" s="3216"/>
      <c r="AC197" s="3216"/>
      <c r="AD197" s="3216"/>
    </row>
    <row r="198" spans="19:30" ht="18">
      <c r="S198" s="3"/>
      <c r="T198" s="3"/>
      <c r="U198" s="688"/>
      <c r="V198" s="3216"/>
      <c r="W198" s="3216"/>
      <c r="X198" s="3216"/>
      <c r="Y198" s="3216"/>
      <c r="Z198" s="3216"/>
      <c r="AA198" s="3216"/>
      <c r="AB198" s="3216"/>
      <c r="AC198" s="3216"/>
      <c r="AD198" s="3216"/>
    </row>
    <row r="199" spans="19:30" ht="18">
      <c r="S199" s="3"/>
      <c r="T199" s="3"/>
      <c r="U199" s="688"/>
      <c r="V199" s="3216"/>
      <c r="W199" s="3216"/>
      <c r="X199" s="3216"/>
      <c r="Y199" s="3216"/>
      <c r="Z199" s="3216"/>
      <c r="AA199" s="3216"/>
      <c r="AB199" s="3216"/>
      <c r="AC199" s="3216"/>
      <c r="AD199" s="3216"/>
    </row>
    <row r="200" spans="19:30" ht="18">
      <c r="S200" s="3"/>
      <c r="T200" s="3"/>
      <c r="U200" s="688"/>
      <c r="V200" s="3216"/>
      <c r="W200" s="3216"/>
      <c r="X200" s="3216"/>
      <c r="Y200" s="3216"/>
      <c r="Z200" s="3216"/>
      <c r="AA200" s="3216"/>
      <c r="AB200" s="3216"/>
      <c r="AC200" s="3216"/>
      <c r="AD200" s="3216"/>
    </row>
    <row r="201" spans="19:30" ht="18">
      <c r="S201" s="3"/>
      <c r="T201" s="3"/>
      <c r="U201" s="688"/>
      <c r="V201" s="3216"/>
      <c r="W201" s="3216"/>
      <c r="X201" s="3216"/>
      <c r="Y201" s="3216"/>
      <c r="Z201" s="3216"/>
      <c r="AA201" s="3216"/>
      <c r="AB201" s="3216"/>
      <c r="AC201" s="3216"/>
      <c r="AD201" s="3216"/>
    </row>
    <row r="202" spans="19:30" ht="18">
      <c r="S202" s="3"/>
      <c r="T202" s="3"/>
      <c r="U202" s="688"/>
      <c r="V202" s="3216"/>
      <c r="W202" s="3216"/>
      <c r="X202" s="3216"/>
      <c r="Y202" s="3216"/>
      <c r="Z202" s="3216"/>
      <c r="AA202" s="3216"/>
      <c r="AB202" s="3216"/>
      <c r="AC202" s="3216"/>
      <c r="AD202" s="3216"/>
    </row>
    <row r="203" spans="19:30" ht="18">
      <c r="S203" s="3"/>
      <c r="T203" s="3"/>
      <c r="U203" s="688"/>
      <c r="V203" s="3216"/>
      <c r="W203" s="3216"/>
      <c r="X203" s="3216"/>
      <c r="Y203" s="3216"/>
      <c r="Z203" s="3216"/>
      <c r="AA203" s="3216"/>
      <c r="AB203" s="3216"/>
      <c r="AC203" s="3216"/>
      <c r="AD203" s="3216"/>
    </row>
    <row r="204" spans="19:30" ht="18">
      <c r="S204" s="3"/>
      <c r="T204" s="3"/>
      <c r="U204" s="688"/>
      <c r="V204" s="3216"/>
      <c r="W204" s="3216"/>
      <c r="X204" s="3216"/>
      <c r="Y204" s="3216"/>
      <c r="Z204" s="3216"/>
      <c r="AA204" s="3216"/>
      <c r="AB204" s="3216"/>
      <c r="AC204" s="3216"/>
      <c r="AD204" s="3216"/>
    </row>
    <row r="205" spans="19:30" ht="18">
      <c r="S205" s="3"/>
      <c r="T205" s="3"/>
      <c r="U205" s="688"/>
      <c r="V205" s="3216"/>
      <c r="W205" s="3216"/>
      <c r="X205" s="3216"/>
      <c r="Y205" s="3216"/>
      <c r="Z205" s="3216"/>
      <c r="AA205" s="3216"/>
      <c r="AB205" s="3216"/>
      <c r="AC205" s="3216"/>
      <c r="AD205" s="3216"/>
    </row>
    <row r="206" spans="19:30" ht="18">
      <c r="S206" s="3"/>
      <c r="T206" s="3"/>
      <c r="U206" s="688"/>
      <c r="V206" s="3216"/>
      <c r="W206" s="3216"/>
      <c r="X206" s="3216"/>
      <c r="Y206" s="3216"/>
      <c r="Z206" s="3216"/>
      <c r="AA206" s="3216"/>
      <c r="AB206" s="3216"/>
      <c r="AC206" s="3216"/>
      <c r="AD206" s="3216"/>
    </row>
    <row r="207" spans="19:30" ht="18">
      <c r="S207" s="3"/>
      <c r="T207" s="3"/>
      <c r="U207" s="688"/>
      <c r="V207" s="3216"/>
      <c r="W207" s="3216"/>
      <c r="X207" s="3216"/>
      <c r="Y207" s="3216"/>
      <c r="Z207" s="3216"/>
      <c r="AA207" s="3216"/>
      <c r="AB207" s="3216"/>
      <c r="AC207" s="3216"/>
      <c r="AD207" s="3216"/>
    </row>
    <row r="208" spans="19:30" ht="18">
      <c r="S208" s="3"/>
      <c r="T208" s="3"/>
      <c r="U208" s="688"/>
      <c r="V208" s="3216"/>
      <c r="W208" s="3216"/>
      <c r="X208" s="3216"/>
      <c r="Y208" s="3216"/>
      <c r="Z208" s="3216"/>
      <c r="AA208" s="3216"/>
      <c r="AB208" s="3216"/>
      <c r="AC208" s="3216"/>
      <c r="AD208" s="3216"/>
    </row>
    <row r="209" spans="19:30" ht="18">
      <c r="S209" s="3"/>
      <c r="T209" s="3"/>
      <c r="U209" s="688"/>
      <c r="V209" s="3216"/>
      <c r="W209" s="3216"/>
      <c r="X209" s="3216"/>
      <c r="Y209" s="3216"/>
      <c r="Z209" s="3216"/>
      <c r="AA209" s="3216"/>
      <c r="AB209" s="3216"/>
      <c r="AC209" s="3216"/>
      <c r="AD209" s="3216"/>
    </row>
    <row r="210" spans="19:30" ht="18">
      <c r="S210" s="3"/>
      <c r="T210" s="3"/>
      <c r="U210" s="688"/>
      <c r="V210" s="3216"/>
      <c r="W210" s="3216"/>
      <c r="X210" s="3216"/>
      <c r="Y210" s="3216"/>
      <c r="Z210" s="3216"/>
      <c r="AA210" s="3216"/>
      <c r="AB210" s="3216"/>
      <c r="AC210" s="3216"/>
      <c r="AD210" s="3216"/>
    </row>
    <row r="211" spans="19:30" ht="18">
      <c r="S211" s="3"/>
      <c r="T211" s="3"/>
      <c r="U211" s="688"/>
      <c r="V211" s="3216"/>
      <c r="W211" s="3216"/>
      <c r="X211" s="3216"/>
      <c r="Y211" s="3216"/>
      <c r="Z211" s="3216"/>
      <c r="AA211" s="3216"/>
      <c r="AB211" s="3216"/>
      <c r="AC211" s="3216"/>
      <c r="AD211" s="3216"/>
    </row>
    <row r="212" spans="19:30" ht="18">
      <c r="S212" s="3"/>
      <c r="T212" s="3"/>
      <c r="U212" s="688"/>
      <c r="V212" s="3216"/>
      <c r="W212" s="3216"/>
      <c r="X212" s="3216"/>
      <c r="Y212" s="3216"/>
      <c r="Z212" s="3216"/>
      <c r="AA212" s="3216"/>
      <c r="AB212" s="3216"/>
      <c r="AC212" s="3216"/>
      <c r="AD212" s="3216"/>
    </row>
    <row r="213" spans="19:30" ht="18">
      <c r="S213" s="3"/>
      <c r="T213" s="3"/>
      <c r="U213" s="688"/>
      <c r="V213" s="3216"/>
      <c r="W213" s="3216"/>
      <c r="X213" s="3216"/>
      <c r="Y213" s="3216"/>
      <c r="Z213" s="3216"/>
      <c r="AA213" s="3216"/>
      <c r="AB213" s="3216"/>
      <c r="AC213" s="3216"/>
      <c r="AD213" s="3216"/>
    </row>
    <row r="214" spans="19:30" ht="18">
      <c r="S214" s="3"/>
      <c r="T214" s="3"/>
      <c r="U214" s="688"/>
      <c r="V214" s="3216"/>
      <c r="W214" s="3216"/>
      <c r="X214" s="3216"/>
      <c r="Y214" s="3216"/>
      <c r="Z214" s="3216"/>
      <c r="AA214" s="3216"/>
      <c r="AB214" s="3216"/>
      <c r="AC214" s="3216"/>
      <c r="AD214" s="3216"/>
    </row>
    <row r="215" spans="19:30" ht="18">
      <c r="S215" s="3"/>
      <c r="T215" s="3"/>
      <c r="U215" s="688"/>
      <c r="V215" s="3216"/>
      <c r="W215" s="3216"/>
      <c r="X215" s="3216"/>
      <c r="Y215" s="3216"/>
      <c r="Z215" s="3216"/>
      <c r="AA215" s="3216"/>
      <c r="AB215" s="3216"/>
      <c r="AC215" s="3216"/>
      <c r="AD215" s="3216"/>
    </row>
    <row r="216" spans="19:30" ht="18">
      <c r="S216" s="3"/>
      <c r="T216" s="3"/>
      <c r="U216" s="688"/>
      <c r="V216" s="3216"/>
      <c r="W216" s="3216"/>
      <c r="X216" s="3216"/>
      <c r="Y216" s="3216"/>
      <c r="Z216" s="3216"/>
      <c r="AA216" s="3216"/>
      <c r="AB216" s="3216"/>
      <c r="AC216" s="3216"/>
      <c r="AD216" s="3216"/>
    </row>
    <row r="217" spans="19:30" ht="18">
      <c r="S217" s="3"/>
      <c r="T217" s="3"/>
      <c r="U217" s="688"/>
      <c r="V217" s="3216"/>
      <c r="W217" s="3216"/>
      <c r="X217" s="3216"/>
      <c r="Y217" s="3216"/>
      <c r="Z217" s="3216"/>
      <c r="AA217" s="3216"/>
      <c r="AB217" s="3216"/>
      <c r="AC217" s="3216"/>
      <c r="AD217" s="3216"/>
    </row>
    <row r="218" spans="19:30" ht="18">
      <c r="S218" s="3"/>
      <c r="T218" s="3"/>
      <c r="U218" s="688"/>
      <c r="V218" s="3216"/>
      <c r="W218" s="3216"/>
      <c r="X218" s="3216"/>
      <c r="Y218" s="3216"/>
      <c r="Z218" s="3216"/>
      <c r="AA218" s="3216"/>
      <c r="AB218" s="3216"/>
      <c r="AC218" s="3216"/>
      <c r="AD218" s="3216"/>
    </row>
    <row r="219" spans="19:30" ht="18">
      <c r="S219" s="3"/>
      <c r="T219" s="3"/>
      <c r="U219" s="688"/>
      <c r="V219" s="3216"/>
      <c r="W219" s="3216"/>
      <c r="X219" s="3216"/>
      <c r="Y219" s="3216"/>
      <c r="Z219" s="3216"/>
      <c r="AA219" s="3216"/>
      <c r="AB219" s="3216"/>
      <c r="AC219" s="3216"/>
      <c r="AD219" s="3216"/>
    </row>
    <row r="220" spans="19:30" ht="18">
      <c r="S220" s="3"/>
      <c r="T220" s="3"/>
      <c r="U220" s="688"/>
      <c r="V220" s="3216"/>
      <c r="W220" s="3216"/>
      <c r="X220" s="3216"/>
      <c r="Y220" s="3216"/>
      <c r="Z220" s="3216"/>
      <c r="AA220" s="3216"/>
      <c r="AB220" s="3216"/>
      <c r="AC220" s="3216"/>
      <c r="AD220" s="3216"/>
    </row>
    <row r="221" spans="19:30" ht="18">
      <c r="S221" s="3"/>
      <c r="T221" s="3"/>
      <c r="U221" s="688"/>
      <c r="V221" s="3216"/>
      <c r="W221" s="3216"/>
      <c r="X221" s="3216"/>
      <c r="Y221" s="3216"/>
      <c r="Z221" s="3216"/>
      <c r="AA221" s="3216"/>
      <c r="AB221" s="3216"/>
      <c r="AC221" s="3216"/>
      <c r="AD221" s="3216"/>
    </row>
    <row r="222" spans="19:30" ht="18">
      <c r="S222" s="3"/>
      <c r="T222" s="3"/>
      <c r="U222" s="688"/>
      <c r="V222" s="3216"/>
      <c r="W222" s="3216"/>
      <c r="X222" s="3216"/>
      <c r="Y222" s="3216"/>
      <c r="Z222" s="3216"/>
      <c r="AA222" s="3216"/>
      <c r="AB222" s="3216"/>
      <c r="AC222" s="3216"/>
      <c r="AD222" s="3216"/>
    </row>
    <row r="223" spans="19:30" ht="18">
      <c r="S223" s="3"/>
      <c r="T223" s="3"/>
      <c r="U223" s="688"/>
      <c r="V223" s="3216"/>
      <c r="W223" s="3216"/>
      <c r="X223" s="3216"/>
      <c r="Y223" s="3216"/>
      <c r="Z223" s="3216"/>
      <c r="AA223" s="3216"/>
      <c r="AB223" s="3216"/>
      <c r="AC223" s="3216"/>
      <c r="AD223" s="3216"/>
    </row>
    <row r="224" spans="19:30" ht="18">
      <c r="S224" s="3"/>
      <c r="T224" s="3"/>
      <c r="U224" s="688"/>
      <c r="V224" s="3216"/>
      <c r="W224" s="3216"/>
      <c r="X224" s="3216"/>
      <c r="Y224" s="3216"/>
      <c r="Z224" s="3216"/>
      <c r="AA224" s="3216"/>
      <c r="AB224" s="3216"/>
      <c r="AC224" s="3216"/>
      <c r="AD224" s="3216"/>
    </row>
    <row r="225" spans="19:30" ht="18">
      <c r="S225" s="3"/>
      <c r="T225" s="3"/>
      <c r="U225" s="688"/>
      <c r="V225" s="3216"/>
      <c r="W225" s="3216"/>
      <c r="X225" s="3216"/>
      <c r="Y225" s="3216"/>
      <c r="Z225" s="3216"/>
      <c r="AA225" s="3216"/>
      <c r="AB225" s="3216"/>
      <c r="AC225" s="3216"/>
      <c r="AD225" s="3216"/>
    </row>
    <row r="226" spans="19:30" ht="18">
      <c r="S226" s="3"/>
      <c r="T226" s="3"/>
      <c r="U226" s="688"/>
      <c r="V226" s="3216"/>
      <c r="W226" s="3216"/>
      <c r="X226" s="3216"/>
      <c r="Y226" s="3216"/>
      <c r="Z226" s="3216"/>
      <c r="AA226" s="3216"/>
      <c r="AB226" s="3216"/>
      <c r="AC226" s="3216"/>
      <c r="AD226" s="3216"/>
    </row>
    <row r="227" spans="19:30" ht="18">
      <c r="S227" s="3"/>
      <c r="T227" s="3"/>
      <c r="U227" s="688"/>
      <c r="V227" s="3216"/>
      <c r="W227" s="3216"/>
      <c r="X227" s="3216"/>
      <c r="Y227" s="3216"/>
      <c r="Z227" s="3216"/>
      <c r="AA227" s="3216"/>
      <c r="AB227" s="3216"/>
      <c r="AC227" s="3216"/>
      <c r="AD227" s="3216"/>
    </row>
    <row r="228" spans="19:30" ht="18">
      <c r="S228" s="3"/>
      <c r="T228" s="3"/>
      <c r="U228" s="688"/>
      <c r="V228" s="3216"/>
      <c r="W228" s="3216"/>
      <c r="X228" s="3216"/>
      <c r="Y228" s="3216"/>
      <c r="Z228" s="3216"/>
      <c r="AA228" s="3216"/>
      <c r="AB228" s="3216"/>
      <c r="AC228" s="3216"/>
      <c r="AD228" s="3216"/>
    </row>
    <row r="229" spans="19:30" ht="18">
      <c r="S229" s="3"/>
      <c r="T229" s="3"/>
      <c r="U229" s="688"/>
      <c r="V229" s="3216"/>
      <c r="W229" s="3216"/>
      <c r="X229" s="3216"/>
      <c r="Y229" s="3216"/>
      <c r="Z229" s="3216"/>
      <c r="AA229" s="3216"/>
      <c r="AB229" s="3216"/>
      <c r="AC229" s="3216"/>
      <c r="AD229" s="3216"/>
    </row>
    <row r="230" spans="19:30" ht="18">
      <c r="S230" s="3"/>
      <c r="T230" s="3"/>
      <c r="U230" s="688"/>
      <c r="V230" s="3216"/>
      <c r="W230" s="3216"/>
      <c r="X230" s="3216"/>
      <c r="Y230" s="3216"/>
      <c r="Z230" s="3216"/>
      <c r="AA230" s="3216"/>
      <c r="AB230" s="3216"/>
      <c r="AC230" s="3216"/>
      <c r="AD230" s="3216"/>
    </row>
    <row r="231" spans="19:30" ht="18">
      <c r="S231" s="3"/>
      <c r="T231" s="3"/>
      <c r="U231" s="688"/>
      <c r="V231" s="3216"/>
      <c r="W231" s="3216"/>
      <c r="X231" s="3216"/>
      <c r="Y231" s="3216"/>
      <c r="Z231" s="3216"/>
      <c r="AA231" s="3216"/>
      <c r="AB231" s="3216"/>
      <c r="AC231" s="3216"/>
      <c r="AD231" s="3216"/>
    </row>
    <row r="232" spans="19:30" ht="18">
      <c r="S232" s="3"/>
      <c r="T232" s="3"/>
      <c r="U232" s="688"/>
      <c r="V232" s="3216"/>
      <c r="W232" s="3216"/>
      <c r="X232" s="3216"/>
      <c r="Y232" s="3216"/>
      <c r="Z232" s="3216"/>
      <c r="AA232" s="3216"/>
      <c r="AB232" s="3216"/>
      <c r="AC232" s="3216"/>
      <c r="AD232" s="3216"/>
    </row>
    <row r="233" spans="19:30" ht="18">
      <c r="S233" s="3"/>
      <c r="T233" s="3"/>
      <c r="U233" s="688"/>
      <c r="V233" s="3216"/>
      <c r="W233" s="3216"/>
      <c r="X233" s="3216"/>
      <c r="Y233" s="3216"/>
      <c r="Z233" s="3216"/>
      <c r="AA233" s="3216"/>
      <c r="AB233" s="3216"/>
      <c r="AC233" s="3216"/>
      <c r="AD233" s="3216"/>
    </row>
    <row r="234" spans="19:30" ht="18">
      <c r="S234" s="3"/>
      <c r="T234" s="3"/>
      <c r="U234" s="688"/>
      <c r="V234" s="3216"/>
      <c r="W234" s="3216"/>
      <c r="X234" s="3216"/>
      <c r="Y234" s="3216"/>
      <c r="Z234" s="3216"/>
      <c r="AA234" s="3216"/>
      <c r="AB234" s="3216"/>
      <c r="AC234" s="3216"/>
      <c r="AD234" s="3216"/>
    </row>
    <row r="235" spans="19:30" ht="18">
      <c r="S235" s="3"/>
      <c r="T235" s="3"/>
      <c r="U235" s="688"/>
      <c r="V235" s="3216"/>
      <c r="W235" s="3216"/>
      <c r="X235" s="3216"/>
      <c r="Y235" s="3216"/>
      <c r="Z235" s="3216"/>
      <c r="AA235" s="3216"/>
      <c r="AB235" s="3216"/>
      <c r="AC235" s="3216"/>
      <c r="AD235" s="3216"/>
    </row>
    <row r="236" spans="19:30" ht="18">
      <c r="S236" s="3"/>
      <c r="T236" s="3"/>
      <c r="U236" s="688"/>
      <c r="V236" s="3216"/>
      <c r="W236" s="3216"/>
      <c r="X236" s="3216"/>
      <c r="Y236" s="3216"/>
      <c r="Z236" s="3216"/>
      <c r="AA236" s="3216"/>
      <c r="AB236" s="3216"/>
      <c r="AC236" s="3216"/>
      <c r="AD236" s="3216"/>
    </row>
    <row r="237" spans="19:30" ht="18">
      <c r="S237" s="3"/>
      <c r="T237" s="3"/>
      <c r="U237" s="688"/>
      <c r="V237" s="3216"/>
      <c r="W237" s="3216"/>
      <c r="X237" s="3216"/>
      <c r="Y237" s="3216"/>
      <c r="Z237" s="3216"/>
      <c r="AA237" s="3216"/>
      <c r="AB237" s="3216"/>
      <c r="AC237" s="3216"/>
      <c r="AD237" s="3216"/>
    </row>
    <row r="238" spans="19:30" ht="18">
      <c r="S238" s="3"/>
      <c r="T238" s="3"/>
      <c r="U238" s="688"/>
      <c r="V238" s="3216"/>
      <c r="W238" s="3216"/>
      <c r="X238" s="3216"/>
      <c r="Y238" s="3216"/>
      <c r="Z238" s="3216"/>
      <c r="AA238" s="3216"/>
      <c r="AB238" s="3216"/>
      <c r="AC238" s="3216"/>
      <c r="AD238" s="3216"/>
    </row>
    <row r="239" spans="19:30" ht="18">
      <c r="S239" s="3"/>
      <c r="T239" s="3"/>
      <c r="U239" s="688"/>
      <c r="V239" s="3216"/>
      <c r="W239" s="3216"/>
      <c r="X239" s="3216"/>
      <c r="Y239" s="3216"/>
      <c r="Z239" s="3216"/>
      <c r="AA239" s="3216"/>
      <c r="AB239" s="3216"/>
      <c r="AC239" s="3216"/>
      <c r="AD239" s="3216"/>
    </row>
    <row r="240" spans="19:30" ht="18">
      <c r="S240" s="3"/>
      <c r="T240" s="3"/>
      <c r="U240" s="688"/>
      <c r="V240" s="3216"/>
      <c r="W240" s="3216"/>
      <c r="X240" s="3216"/>
      <c r="Y240" s="3216"/>
      <c r="Z240" s="3216"/>
      <c r="AA240" s="3216"/>
      <c r="AB240" s="3216"/>
      <c r="AC240" s="3216"/>
      <c r="AD240" s="3216"/>
    </row>
    <row r="241" spans="19:30" ht="18">
      <c r="S241" s="3"/>
      <c r="T241" s="3"/>
      <c r="U241" s="688"/>
      <c r="V241" s="3216"/>
      <c r="W241" s="3216"/>
      <c r="X241" s="3216"/>
      <c r="Y241" s="3216"/>
      <c r="Z241" s="3216"/>
      <c r="AA241" s="3216"/>
      <c r="AB241" s="3216"/>
      <c r="AC241" s="3216"/>
      <c r="AD241" s="3216"/>
    </row>
    <row r="242" spans="19:30" ht="18">
      <c r="S242" s="3"/>
      <c r="T242" s="3"/>
      <c r="U242" s="688"/>
      <c r="V242" s="3216"/>
      <c r="W242" s="3216"/>
      <c r="X242" s="3216"/>
      <c r="Y242" s="3216"/>
      <c r="Z242" s="3216"/>
      <c r="AA242" s="3216"/>
      <c r="AB242" s="3216"/>
      <c r="AC242" s="3216"/>
      <c r="AD242" s="3216"/>
    </row>
    <row r="243" spans="19:30" ht="18">
      <c r="S243" s="3"/>
      <c r="T243" s="3"/>
      <c r="U243" s="688"/>
      <c r="V243" s="3216"/>
      <c r="W243" s="3216"/>
      <c r="X243" s="3216"/>
      <c r="Y243" s="3216"/>
      <c r="Z243" s="3216"/>
      <c r="AA243" s="3216"/>
      <c r="AB243" s="3216"/>
      <c r="AC243" s="3216"/>
      <c r="AD243" s="3216"/>
    </row>
    <row r="244" spans="19:30" ht="18">
      <c r="S244" s="3"/>
      <c r="T244" s="3"/>
      <c r="U244" s="688"/>
      <c r="V244" s="3216"/>
      <c r="W244" s="3216"/>
      <c r="X244" s="3216"/>
      <c r="Y244" s="3216"/>
      <c r="Z244" s="3216"/>
      <c r="AA244" s="3216"/>
      <c r="AB244" s="3216"/>
      <c r="AC244" s="3216"/>
      <c r="AD244" s="3216"/>
    </row>
    <row r="245" spans="19:30" ht="18">
      <c r="S245" s="3"/>
      <c r="T245" s="3"/>
      <c r="U245" s="688"/>
      <c r="V245" s="3216"/>
      <c r="W245" s="3216"/>
      <c r="X245" s="3216"/>
      <c r="Y245" s="3216"/>
      <c r="Z245" s="3216"/>
      <c r="AA245" s="3216"/>
      <c r="AB245" s="3216"/>
      <c r="AC245" s="3216"/>
      <c r="AD245" s="3216"/>
    </row>
    <row r="246" spans="19:30" ht="18">
      <c r="S246" s="3"/>
      <c r="T246" s="3"/>
      <c r="U246" s="688"/>
      <c r="V246" s="3216"/>
      <c r="W246" s="3216"/>
      <c r="X246" s="3216"/>
      <c r="Y246" s="3216"/>
      <c r="Z246" s="3216"/>
      <c r="AA246" s="3216"/>
      <c r="AB246" s="3216"/>
      <c r="AC246" s="3216"/>
      <c r="AD246" s="3216"/>
    </row>
    <row r="247" spans="19:30" ht="18">
      <c r="S247" s="3"/>
      <c r="T247" s="3"/>
      <c r="U247" s="688"/>
      <c r="V247" s="3216"/>
      <c r="W247" s="3216"/>
      <c r="X247" s="3216"/>
      <c r="Y247" s="3216"/>
      <c r="Z247" s="3216"/>
      <c r="AA247" s="3216"/>
      <c r="AB247" s="3216"/>
      <c r="AC247" s="3216"/>
      <c r="AD247" s="3216"/>
    </row>
    <row r="248" spans="19:30" ht="18">
      <c r="S248" s="3"/>
      <c r="T248" s="3"/>
      <c r="U248" s="688"/>
      <c r="V248" s="3216"/>
      <c r="W248" s="3216"/>
      <c r="X248" s="3216"/>
      <c r="Y248" s="3216"/>
      <c r="Z248" s="3216"/>
      <c r="AA248" s="3216"/>
      <c r="AB248" s="3216"/>
      <c r="AC248" s="3216"/>
      <c r="AD248" s="3216"/>
    </row>
    <row r="249" spans="19:30" ht="18">
      <c r="S249" s="3"/>
      <c r="T249" s="3"/>
      <c r="U249" s="688"/>
      <c r="V249" s="3216"/>
      <c r="W249" s="3216"/>
      <c r="X249" s="3216"/>
      <c r="Y249" s="3216"/>
      <c r="Z249" s="3216"/>
      <c r="AA249" s="3216"/>
      <c r="AB249" s="3216"/>
      <c r="AC249" s="3216"/>
      <c r="AD249" s="3216"/>
    </row>
    <row r="250" spans="19:30" ht="18">
      <c r="S250" s="3"/>
      <c r="T250" s="3"/>
      <c r="U250" s="688"/>
      <c r="V250" s="3216"/>
      <c r="W250" s="3216"/>
      <c r="X250" s="3216"/>
      <c r="Y250" s="3216"/>
      <c r="Z250" s="3216"/>
      <c r="AA250" s="3216"/>
      <c r="AB250" s="3216"/>
      <c r="AC250" s="3216"/>
      <c r="AD250" s="3216"/>
    </row>
    <row r="251" spans="19:30" ht="18">
      <c r="S251" s="3"/>
      <c r="T251" s="3"/>
      <c r="U251" s="688"/>
      <c r="V251" s="3216"/>
      <c r="W251" s="3216"/>
      <c r="X251" s="3216"/>
      <c r="Y251" s="3216"/>
      <c r="Z251" s="3216"/>
      <c r="AA251" s="3216"/>
      <c r="AB251" s="3216"/>
      <c r="AC251" s="3216"/>
      <c r="AD251" s="3216"/>
    </row>
    <row r="252" spans="19:30" ht="18">
      <c r="S252" s="3"/>
      <c r="T252" s="3"/>
      <c r="U252" s="688"/>
      <c r="V252" s="3216"/>
      <c r="W252" s="3216"/>
      <c r="X252" s="3216"/>
      <c r="Y252" s="3216"/>
      <c r="Z252" s="3216"/>
      <c r="AA252" s="3216"/>
      <c r="AB252" s="3216"/>
      <c r="AC252" s="3216"/>
      <c r="AD252" s="3216"/>
    </row>
    <row r="253" spans="19:30" ht="18">
      <c r="S253" s="3"/>
      <c r="T253" s="3"/>
      <c r="U253" s="688"/>
      <c r="V253" s="3216"/>
      <c r="W253" s="3216"/>
      <c r="X253" s="3216"/>
      <c r="Y253" s="3216"/>
      <c r="Z253" s="3216"/>
      <c r="AA253" s="3216"/>
      <c r="AB253" s="3216"/>
      <c r="AC253" s="3216"/>
      <c r="AD253" s="3216"/>
    </row>
    <row r="254" spans="19:30" ht="18">
      <c r="S254" s="3"/>
      <c r="T254" s="3"/>
      <c r="U254" s="688"/>
      <c r="V254" s="3216"/>
      <c r="W254" s="3216"/>
      <c r="X254" s="3216"/>
      <c r="Y254" s="3216"/>
      <c r="Z254" s="3216"/>
      <c r="AA254" s="3216"/>
      <c r="AB254" s="3216"/>
      <c r="AC254" s="3216"/>
      <c r="AD254" s="3216"/>
    </row>
    <row r="255" spans="19:30" ht="18">
      <c r="S255" s="3"/>
      <c r="T255" s="3"/>
      <c r="U255" s="688"/>
      <c r="V255" s="3216"/>
      <c r="W255" s="3216"/>
      <c r="X255" s="3216"/>
      <c r="Y255" s="3216"/>
      <c r="Z255" s="3216"/>
      <c r="AA255" s="3216"/>
      <c r="AB255" s="3216"/>
      <c r="AC255" s="3216"/>
      <c r="AD255" s="3216"/>
    </row>
    <row r="256" spans="19:30" ht="18">
      <c r="S256" s="3"/>
      <c r="T256" s="3"/>
      <c r="U256" s="688"/>
      <c r="V256" s="3216"/>
      <c r="W256" s="3216"/>
      <c r="X256" s="3216"/>
      <c r="Y256" s="3216"/>
      <c r="Z256" s="3216"/>
      <c r="AA256" s="3216"/>
      <c r="AB256" s="3216"/>
      <c r="AC256" s="3216"/>
      <c r="AD256" s="3216"/>
    </row>
    <row r="257" spans="19:30" ht="18">
      <c r="S257" s="3"/>
      <c r="T257" s="3"/>
      <c r="U257" s="688"/>
      <c r="V257" s="3216"/>
      <c r="W257" s="3216"/>
      <c r="X257" s="3216"/>
      <c r="Y257" s="3216"/>
      <c r="Z257" s="3216"/>
      <c r="AA257" s="3216"/>
      <c r="AB257" s="3216"/>
      <c r="AC257" s="3216"/>
      <c r="AD257" s="3216"/>
    </row>
    <row r="258" spans="19:30" ht="18">
      <c r="S258" s="3"/>
      <c r="T258" s="3"/>
      <c r="U258" s="688"/>
      <c r="V258" s="3216"/>
      <c r="W258" s="3216"/>
      <c r="X258" s="3216"/>
      <c r="Y258" s="3216"/>
      <c r="Z258" s="3216"/>
      <c r="AA258" s="3216"/>
      <c r="AB258" s="3216"/>
      <c r="AC258" s="3216"/>
      <c r="AD258" s="3216"/>
    </row>
    <row r="259" spans="19:30" ht="18">
      <c r="S259" s="3"/>
      <c r="T259" s="3"/>
      <c r="U259" s="688"/>
      <c r="V259" s="3216"/>
      <c r="W259" s="3216"/>
      <c r="X259" s="3216"/>
      <c r="Y259" s="3216"/>
      <c r="Z259" s="3216"/>
      <c r="AA259" s="3216"/>
      <c r="AB259" s="3216"/>
      <c r="AC259" s="3216"/>
      <c r="AD259" s="3216"/>
    </row>
    <row r="260" spans="19:30" ht="18">
      <c r="S260" s="3"/>
      <c r="T260" s="3"/>
      <c r="U260" s="688"/>
      <c r="V260" s="3216"/>
      <c r="W260" s="3216"/>
      <c r="X260" s="3216"/>
      <c r="Y260" s="3216"/>
      <c r="Z260" s="3216"/>
      <c r="AA260" s="3216"/>
      <c r="AB260" s="3216"/>
      <c r="AC260" s="3216"/>
      <c r="AD260" s="3216"/>
    </row>
    <row r="261" spans="19:30" ht="18">
      <c r="S261" s="3"/>
      <c r="T261" s="3"/>
      <c r="U261" s="688"/>
      <c r="V261" s="3216"/>
      <c r="W261" s="3216"/>
      <c r="X261" s="3216"/>
      <c r="Y261" s="3216"/>
      <c r="Z261" s="3216"/>
      <c r="AA261" s="3216"/>
      <c r="AB261" s="3216"/>
      <c r="AC261" s="3216"/>
      <c r="AD261" s="3216"/>
    </row>
    <row r="262" spans="19:30" ht="18">
      <c r="S262" s="3"/>
      <c r="T262" s="3"/>
      <c r="U262" s="688"/>
      <c r="V262" s="3216"/>
      <c r="W262" s="3216"/>
      <c r="X262" s="3216"/>
      <c r="Y262" s="3216"/>
      <c r="Z262" s="3216"/>
      <c r="AA262" s="3216"/>
      <c r="AB262" s="3216"/>
      <c r="AC262" s="3216"/>
      <c r="AD262" s="3216"/>
    </row>
    <row r="263" spans="19:30" ht="18">
      <c r="S263" s="3"/>
      <c r="T263" s="3"/>
      <c r="U263" s="688"/>
      <c r="V263" s="3216"/>
      <c r="W263" s="3216"/>
      <c r="X263" s="3216"/>
      <c r="Y263" s="3216"/>
      <c r="Z263" s="3216"/>
      <c r="AA263" s="3216"/>
      <c r="AB263" s="3216"/>
      <c r="AC263" s="3216"/>
      <c r="AD263" s="3216"/>
    </row>
    <row r="264" spans="19:30" ht="18">
      <c r="S264" s="3"/>
      <c r="T264" s="3"/>
      <c r="U264" s="688"/>
      <c r="V264" s="3216"/>
      <c r="W264" s="3216"/>
      <c r="X264" s="3216"/>
      <c r="Y264" s="3216"/>
      <c r="Z264" s="3216"/>
      <c r="AA264" s="3216"/>
      <c r="AB264" s="3216"/>
      <c r="AC264" s="3216"/>
      <c r="AD264" s="3216"/>
    </row>
    <row r="265" spans="19:30">
      <c r="S265" s="3"/>
      <c r="T265" s="3"/>
      <c r="U265" s="688"/>
    </row>
    <row r="266" spans="19:30">
      <c r="S266" s="3"/>
      <c r="T266" s="3"/>
      <c r="U266" s="688"/>
    </row>
    <row r="267" spans="19:30">
      <c r="S267" s="3"/>
      <c r="T267" s="3"/>
      <c r="U267" s="688"/>
    </row>
    <row r="268" spans="19:30">
      <c r="S268" s="3"/>
      <c r="T268" s="3"/>
      <c r="U268" s="688"/>
    </row>
    <row r="269" spans="19:30">
      <c r="S269" s="3"/>
      <c r="T269" s="3"/>
      <c r="U269" s="688"/>
    </row>
    <row r="270" spans="19:30">
      <c r="S270" s="3"/>
      <c r="T270" s="3"/>
      <c r="U270" s="688"/>
    </row>
    <row r="271" spans="19:30">
      <c r="S271" s="3"/>
      <c r="T271" s="3"/>
      <c r="U271" s="688"/>
    </row>
    <row r="272" spans="19:30">
      <c r="S272" s="3"/>
      <c r="T272" s="3"/>
      <c r="U272" s="688"/>
    </row>
  </sheetData>
  <sheetProtection algorithmName="SHA-512" hashValue="yVaQpKQivVEZkvYSXt5025d6VXmj56AyIrP29rjLi8mjERQzL6HFkjZT+I1ku+m1hG+8mKzdzhpAt2ONivkY8Q==" saltValue="kKCHlWVDYTWs3Zgwd7q5qg==" spinCount="100000" sheet="1" objects="1" scenarios="1" formatCells="0" formatColumns="0" formatRows="0"/>
  <mergeCells count="28">
    <mergeCell ref="B5:B6"/>
    <mergeCell ref="V79:AD79"/>
    <mergeCell ref="W94:AA94"/>
    <mergeCell ref="C5:D6"/>
    <mergeCell ref="B10:J10"/>
    <mergeCell ref="V76:AD76"/>
    <mergeCell ref="V77:AD77"/>
    <mergeCell ref="V78:AD78"/>
    <mergeCell ref="B7:D8"/>
    <mergeCell ref="V72:W74"/>
    <mergeCell ref="Q38:R38"/>
    <mergeCell ref="H18:K18"/>
    <mergeCell ref="X97:Z97"/>
    <mergeCell ref="C133:G133"/>
    <mergeCell ref="L8:M8"/>
    <mergeCell ref="L4:M4"/>
    <mergeCell ref="L5:M6"/>
    <mergeCell ref="C11:M11"/>
    <mergeCell ref="L7:M7"/>
    <mergeCell ref="E8:K8"/>
    <mergeCell ref="E7:K7"/>
    <mergeCell ref="E5:K5"/>
    <mergeCell ref="E6:K6"/>
    <mergeCell ref="K10:M10"/>
    <mergeCell ref="C40:M40"/>
    <mergeCell ref="K9:M9"/>
    <mergeCell ref="C131:G131"/>
    <mergeCell ref="X72:Z74"/>
  </mergeCells>
  <phoneticPr fontId="13" type="noConversion"/>
  <conditionalFormatting sqref="C76">
    <cfRule type="expression" dxfId="1314" priority="16">
      <formula>AND(Form2555_Used,$O$75="")</formula>
    </cfRule>
  </conditionalFormatting>
  <conditionalFormatting sqref="E76">
    <cfRule type="expression" dxfId="1313" priority="22">
      <formula>AND(Form2555_Used,$O$75="")</formula>
    </cfRule>
  </conditionalFormatting>
  <conditionalFormatting sqref="F39">
    <cfRule type="expression" dxfId="1312" priority="243" stopIfTrue="1">
      <formula>IF(File_Marr_Sep&lt;&gt;"",M38&gt;191000)</formula>
    </cfRule>
  </conditionalFormatting>
  <conditionalFormatting sqref="F94">
    <cfRule type="expression" dxfId="1311" priority="18">
      <formula>AND(Form2555_Used,$O$75="")</formula>
    </cfRule>
  </conditionalFormatting>
  <conditionalFormatting sqref="F109">
    <cfRule type="expression" dxfId="1310" priority="17">
      <formula>AND(Form2555_Used,$O$75="")</formula>
    </cfRule>
  </conditionalFormatting>
  <conditionalFormatting sqref="G22">
    <cfRule type="expression" dxfId="1309" priority="40" stopIfTrue="1">
      <formula>IF(AND($M$22&lt;&gt;"",$M$22&gt;0),1,0)</formula>
    </cfRule>
  </conditionalFormatting>
  <conditionalFormatting sqref="H18">
    <cfRule type="expression" dxfId="1308" priority="32" stopIfTrue="1">
      <formula>AND($M$18&lt;&gt;"",$M$18&gt;0)</formula>
    </cfRule>
  </conditionalFormatting>
  <conditionalFormatting sqref="H21">
    <cfRule type="expression" dxfId="1307" priority="6" stopIfTrue="1">
      <formula>$M$21&lt;0</formula>
    </cfRule>
  </conditionalFormatting>
  <conditionalFormatting sqref="I13:I14 J14:K14">
    <cfRule type="expression" dxfId="1306" priority="2" stopIfTrue="1">
      <formula>AND($M$22&lt;&gt;"",$M$22&gt;0)</formula>
    </cfRule>
  </conditionalFormatting>
  <conditionalFormatting sqref="I21">
    <cfRule type="expression" dxfId="1305" priority="31" stopIfTrue="1">
      <formula>IF($M$21&lt;0,1,0)</formula>
    </cfRule>
  </conditionalFormatting>
  <conditionalFormatting sqref="I35">
    <cfRule type="expression" dxfId="1304" priority="254" stopIfTrue="1">
      <formula>IF(AND($M$35&lt;&gt;"",$M$35&lt;=0),1,0)</formula>
    </cfRule>
    <cfRule type="expression" dxfId="1303" priority="253" stopIfTrue="1">
      <formula>IF($M$35&gt;0,1,0)</formula>
    </cfRule>
  </conditionalFormatting>
  <conditionalFormatting sqref="J21:K21">
    <cfRule type="expression" dxfId="1302" priority="26" stopIfTrue="1">
      <formula>$M$21&lt;0</formula>
    </cfRule>
  </conditionalFormatting>
  <conditionalFormatting sqref="K13">
    <cfRule type="expression" dxfId="1301" priority="3">
      <formula>NoColor</formula>
    </cfRule>
  </conditionalFormatting>
  <conditionalFormatting sqref="K22">
    <cfRule type="expression" dxfId="1300" priority="27" stopIfTrue="1">
      <formula>AND($M$22&lt;&gt;"",$M$22&gt;0)</formula>
    </cfRule>
  </conditionalFormatting>
  <conditionalFormatting sqref="K35">
    <cfRule type="expression" dxfId="1299" priority="240" stopIfTrue="1">
      <formula>IF(AND($M$35&lt;&gt;"",$M$35&lt;=0),1,0)</formula>
    </cfRule>
    <cfRule type="expression" dxfId="1298" priority="239" stopIfTrue="1">
      <formula>IF($M$35&gt;0,1,0)</formula>
    </cfRule>
  </conditionalFormatting>
  <conditionalFormatting sqref="K47">
    <cfRule type="expression" dxfId="1297" priority="797" stopIfTrue="1">
      <formula>AltMinTaxInc-#REF!&lt;0</formula>
    </cfRule>
  </conditionalFormatting>
  <conditionalFormatting sqref="M17:M37">
    <cfRule type="expression" dxfId="1296" priority="14">
      <formula>IF(NoColor,1,0)</formula>
    </cfRule>
  </conditionalFormatting>
  <conditionalFormatting sqref="M39">
    <cfRule type="expression" dxfId="1295" priority="9">
      <formula>IF(NoColor,1,0)</formula>
    </cfRule>
  </conditionalFormatting>
  <conditionalFormatting sqref="M41:M48">
    <cfRule type="expression" dxfId="1294" priority="174">
      <formula>IF(NoColor,1,0)</formula>
    </cfRule>
  </conditionalFormatting>
  <conditionalFormatting sqref="M53">
    <cfRule type="expression" dxfId="1293" priority="215">
      <formula>IF(NoColor,1,0)</formula>
    </cfRule>
  </conditionalFormatting>
  <conditionalFormatting sqref="M57:M58">
    <cfRule type="expression" dxfId="1292" priority="214">
      <formula>IF(NoColor,1,0)</formula>
    </cfRule>
  </conditionalFormatting>
  <conditionalFormatting sqref="M72">
    <cfRule type="expression" dxfId="1291" priority="212">
      <formula>IF(NoColor,1,0)</formula>
    </cfRule>
  </conditionalFormatting>
  <conditionalFormatting sqref="M76">
    <cfRule type="expression" dxfId="1290" priority="166">
      <formula>IF(NoColor,1,0)</formula>
    </cfRule>
  </conditionalFormatting>
  <conditionalFormatting sqref="M78">
    <cfRule type="expression" dxfId="1289" priority="165">
      <formula>IF(NoColor,1,0)</formula>
    </cfRule>
  </conditionalFormatting>
  <conditionalFormatting sqref="M82:M84">
    <cfRule type="expression" dxfId="1288" priority="164">
      <formula>IF(NoColor,1,0)</formula>
    </cfRule>
  </conditionalFormatting>
  <conditionalFormatting sqref="M86">
    <cfRule type="expression" dxfId="1287" priority="206">
      <formula>IF(NoColor,1,0)</formula>
    </cfRule>
  </conditionalFormatting>
  <conditionalFormatting sqref="M89">
    <cfRule type="expression" dxfId="1286" priority="163">
      <formula>IF(NoColor,1,0)</formula>
    </cfRule>
  </conditionalFormatting>
  <conditionalFormatting sqref="M94:M98">
    <cfRule type="expression" dxfId="1285" priority="169">
      <formula>IF(NoColor,1,0)</formula>
    </cfRule>
  </conditionalFormatting>
  <conditionalFormatting sqref="M102">
    <cfRule type="expression" dxfId="1284" priority="122">
      <formula>IF(NoColor,1,0)</formula>
    </cfRule>
  </conditionalFormatting>
  <conditionalFormatting sqref="M104">
    <cfRule type="expression" dxfId="1283" priority="167">
      <formula>IF(NoColor,1,0)</formula>
    </cfRule>
  </conditionalFormatting>
  <conditionalFormatting sqref="M109:M114">
    <cfRule type="expression" dxfId="1282" priority="36">
      <formula>IF(NoColor,1,0)</formula>
    </cfRule>
  </conditionalFormatting>
  <conditionalFormatting sqref="M116:M117">
    <cfRule type="expression" dxfId="1281" priority="37">
      <formula>IF(NoColor,1,0)</formula>
    </cfRule>
  </conditionalFormatting>
  <conditionalFormatting sqref="M119:M122">
    <cfRule type="expression" dxfId="1280" priority="160">
      <formula>IF(NoColor,1,0)</formula>
    </cfRule>
  </conditionalFormatting>
  <conditionalFormatting sqref="M124">
    <cfRule type="expression" dxfId="1279" priority="195">
      <formula>IF(NoColor,1,0)</formula>
    </cfRule>
  </conditionalFormatting>
  <conditionalFormatting sqref="M126">
    <cfRule type="expression" dxfId="1278" priority="194">
      <formula>IF(NoColor,1,0)</formula>
    </cfRule>
  </conditionalFormatting>
  <conditionalFormatting sqref="O2">
    <cfRule type="expression" dxfId="1277" priority="4673">
      <formula>OR(O2&lt;&gt;"",NOT(P1))</formula>
    </cfRule>
  </conditionalFormatting>
  <conditionalFormatting sqref="O54">
    <cfRule type="expression" dxfId="1275" priority="45">
      <formula>IF(AND($M$57&gt;0,AMT&gt;0),1,0)</formula>
    </cfRule>
  </conditionalFormatting>
  <conditionalFormatting sqref="O75">
    <cfRule type="expression" dxfId="1274" priority="21">
      <formula>Form2555_Used</formula>
    </cfRule>
  </conditionalFormatting>
  <conditionalFormatting sqref="P24">
    <cfRule type="expression" dxfId="1273" priority="10">
      <formula>$R$39</formula>
    </cfRule>
  </conditionalFormatting>
  <conditionalFormatting sqref="P25:P37">
    <cfRule type="expression" dxfId="1272" priority="13">
      <formula>$R$39</formula>
    </cfRule>
  </conditionalFormatting>
  <conditionalFormatting sqref="P38">
    <cfRule type="expression" dxfId="1271" priority="11">
      <formula>IF(File_Mar_Sep&lt;&gt;"",1,0)</formula>
    </cfRule>
  </conditionalFormatting>
  <conditionalFormatting sqref="P61">
    <cfRule type="expression" dxfId="1270" priority="1">
      <formula>$P$62&gt;0</formula>
    </cfRule>
  </conditionalFormatting>
  <conditionalFormatting sqref="P75">
    <cfRule type="expression" dxfId="1269" priority="20">
      <formula>Form2555_Used</formula>
    </cfRule>
  </conditionalFormatting>
  <conditionalFormatting sqref="P38:Q38">
    <cfRule type="expression" dxfId="1268" priority="12">
      <formula>IF(File_Marr_Sep&lt;&gt;"",1,0)</formula>
    </cfRule>
  </conditionalFormatting>
  <conditionalFormatting sqref="Q70">
    <cfRule type="expression" dxfId="1267" priority="23">
      <formula>OR(NOT($P$1),$R$54)</formula>
    </cfRule>
  </conditionalFormatting>
  <conditionalFormatting sqref="S17">
    <cfRule type="expression" dxfId="1266" priority="190">
      <formula>IF(AND(P16&lt;&gt;"",you_over_64="",sp_over_64=""),1,0)</formula>
    </cfRule>
  </conditionalFormatting>
  <conditionalFormatting sqref="V72 X72 AA72:AD74">
    <cfRule type="expression" dxfId="1265" priority="79">
      <formula>IF(NoColor,1,0)</formula>
    </cfRule>
  </conditionalFormatting>
  <conditionalFormatting sqref="V78:V79">
    <cfRule type="expression" dxfId="1264" priority="94" stopIfTrue="1">
      <formula>$AH$90</formula>
    </cfRule>
  </conditionalFormatting>
  <conditionalFormatting sqref="V100">
    <cfRule type="expression" dxfId="1263" priority="89">
      <formula>IF($AQ$81,1,0)</formula>
    </cfRule>
  </conditionalFormatting>
  <conditionalFormatting sqref="V97:X97">
    <cfRule type="expression" dxfId="1262" priority="30">
      <formula>IF(NoColor,1,0)</formula>
    </cfRule>
  </conditionalFormatting>
  <conditionalFormatting sqref="V75:AD95 S5:AF68 B10:M10 M15 M63:M64">
    <cfRule type="expression" dxfId="1261" priority="223">
      <formula>NoColor</formula>
    </cfRule>
  </conditionalFormatting>
  <conditionalFormatting sqref="V76:AD76">
    <cfRule type="expression" dxfId="1260" priority="8">
      <formula>AH90</formula>
    </cfRule>
  </conditionalFormatting>
  <conditionalFormatting sqref="V77:AD77">
    <cfRule type="expression" dxfId="1259" priority="29">
      <formula>$AH$90</formula>
    </cfRule>
  </conditionalFormatting>
  <conditionalFormatting sqref="W33:W34">
    <cfRule type="expression" dxfId="1258" priority="34">
      <formula>IF($U$33="X",1,0)</formula>
    </cfRule>
  </conditionalFormatting>
  <conditionalFormatting sqref="W34">
    <cfRule type="expression" dxfId="1257" priority="35">
      <formula>IF(U34="X",1,0)</formula>
    </cfRule>
  </conditionalFormatting>
  <conditionalFormatting sqref="W75">
    <cfRule type="expression" dxfId="1256" priority="7">
      <formula>AH90</formula>
    </cfRule>
  </conditionalFormatting>
  <conditionalFormatting sqref="Z92:Z93">
    <cfRule type="expression" dxfId="1255" priority="92" stopIfTrue="1">
      <formula>IF($O$42&lt;&gt;"",1,0)</formula>
    </cfRule>
  </conditionalFormatting>
  <conditionalFormatting sqref="AA97:AD97 V98:AD123">
    <cfRule type="expression" dxfId="1254" priority="78">
      <formula>IF(NoColor,1,0)</formula>
    </cfRule>
  </conditionalFormatting>
  <hyperlinks>
    <hyperlink ref="C131:G131" r:id="rId1" display="Download Form 6251" xr:uid="{00000000-0004-0000-2C00-000000000000}"/>
    <hyperlink ref="C133:G133" r:id="rId2" display="Download Form 6251 Instructions" xr:uid="{00000000-0004-0000-2C00-000001000000}"/>
    <hyperlink ref="AC71" r:id="rId3" xr:uid="{00000000-0004-0000-2C00-000002000000}"/>
  </hyperlinks>
  <pageMargins left="0.75" right="0.25" top="0.36" bottom="0.28999999999999998" header="0.36" footer="0.21"/>
  <pageSetup scale="82" fitToHeight="0" orientation="portrait" r:id="rId4"/>
  <rowBreaks count="2" manualBreakCount="2">
    <brk id="66" min="1" max="12" man="1"/>
    <brk id="127" min="1" max="12" man="1"/>
  </rowBreaks>
  <drawing r:id="rId5"/>
  <extLst>
    <ext xmlns:x14="http://schemas.microsoft.com/office/spreadsheetml/2009/9/main" uri="{78C0D931-6437-407d-A8EE-F0AAD7539E65}">
      <x14:conditionalFormattings>
        <x14:conditionalFormatting xmlns:xm="http://schemas.microsoft.com/office/excel/2006/main">
          <x14:cfRule type="expression" priority="4" id="{2996F1A7-CA26-4A86-BD3C-921D9728ACC5}">
            <xm:f>'Table of Contents'!A50="D"</xm:f>
            <x14:dxf>
              <fill>
                <patternFill>
                  <bgColor theme="0"/>
                </patternFill>
              </fill>
              <border>
                <right style="thin">
                  <color auto="1"/>
                </right>
                <top style="thin">
                  <color auto="1"/>
                </top>
                <bottom style="thin">
                  <color auto="1"/>
                </bottom>
                <vertical/>
                <horizontal/>
              </border>
            </x14:dxf>
          </x14:cfRule>
          <xm:sqref>O4</xm:sqref>
        </x14:conditionalFormatting>
      </x14:conditionalFormatting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pageSetUpPr fitToPage="1"/>
  </sheetPr>
  <dimension ref="A1:BO133"/>
  <sheetViews>
    <sheetView zoomScaleNormal="100" zoomScaleSheetLayoutView="100" workbookViewId="0"/>
  </sheetViews>
  <sheetFormatPr defaultColWidth="9.140625" defaultRowHeight="12.75"/>
  <cols>
    <col min="1" max="1" width="2.7109375" style="1682" customWidth="1"/>
    <col min="2" max="12" width="3.42578125" style="1682" customWidth="1"/>
    <col min="13" max="29" width="2.7109375" style="1682" customWidth="1"/>
    <col min="30" max="36" width="3.42578125" style="1682" customWidth="1"/>
    <col min="37" max="37" width="6.140625" style="1682" customWidth="1"/>
    <col min="38" max="55" width="3.42578125" style="1682" customWidth="1"/>
    <col min="56" max="66" width="9.140625" style="1783" customWidth="1"/>
    <col min="67" max="16384" width="9.140625" style="1682"/>
  </cols>
  <sheetData>
    <row r="1" spans="1:66" ht="15">
      <c r="A1" s="1681"/>
      <c r="B1" s="1681"/>
      <c r="C1" s="1681"/>
      <c r="D1" s="1681"/>
      <c r="E1" s="1681"/>
      <c r="F1" s="1681"/>
      <c r="G1" s="1681"/>
      <c r="H1" s="1681"/>
      <c r="I1" s="1681"/>
      <c r="J1" s="1681"/>
      <c r="K1" s="1681"/>
      <c r="L1" s="1681"/>
      <c r="M1" s="1681"/>
      <c r="N1" s="1681"/>
      <c r="O1" s="1681"/>
      <c r="P1" s="1681"/>
      <c r="Q1" s="1681"/>
      <c r="R1" s="1681"/>
      <c r="S1" s="1681"/>
      <c r="T1" s="1681"/>
      <c r="U1" s="1681"/>
      <c r="V1" s="1681"/>
      <c r="W1" s="1681"/>
      <c r="X1" s="1681"/>
      <c r="Y1" s="1681"/>
      <c r="Z1" s="1681"/>
      <c r="AA1" s="1681"/>
      <c r="AB1" s="1681"/>
      <c r="AC1" s="1681"/>
      <c r="AD1" s="1681"/>
      <c r="AE1" s="1681"/>
      <c r="AF1" s="1681"/>
      <c r="AG1" s="1681"/>
      <c r="AH1" s="1681"/>
      <c r="AI1" s="1681"/>
      <c r="AJ1" s="1681"/>
      <c r="AK1" s="1681"/>
      <c r="AL1" s="1681"/>
      <c r="AM1" s="1681"/>
      <c r="AN1" s="1681"/>
      <c r="AO1" s="1681"/>
      <c r="AP1" s="1681"/>
      <c r="BD1" s="1683" t="s">
        <v>223</v>
      </c>
      <c r="BE1" s="1684"/>
      <c r="BF1" s="1684"/>
      <c r="BG1" s="1684"/>
      <c r="BH1" s="1684"/>
      <c r="BI1" s="1684"/>
      <c r="BJ1" s="1684"/>
      <c r="BK1" s="1684"/>
      <c r="BL1" s="1684"/>
      <c r="BM1" s="1684"/>
      <c r="BN1" s="1684"/>
    </row>
    <row r="2" spans="1:66">
      <c r="A2" s="1681"/>
      <c r="B2" s="475"/>
      <c r="C2" s="475"/>
      <c r="D2" s="475"/>
      <c r="E2" s="475"/>
      <c r="F2" s="475"/>
      <c r="G2" s="475"/>
      <c r="H2" s="475"/>
      <c r="I2" s="475"/>
      <c r="J2" s="475"/>
      <c r="K2" s="475"/>
      <c r="L2" s="475"/>
      <c r="M2" s="475"/>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1681"/>
      <c r="BD2" s="1684"/>
      <c r="BE2" s="1684"/>
      <c r="BF2" s="1684"/>
      <c r="BG2" s="1684"/>
      <c r="BH2" s="1684"/>
      <c r="BI2" s="1684"/>
      <c r="BJ2" s="1684"/>
      <c r="BK2" s="1684"/>
      <c r="BL2" s="1684"/>
      <c r="BM2" s="1684"/>
      <c r="BN2" s="1684"/>
    </row>
    <row r="3" spans="1:66" ht="27.75">
      <c r="A3" s="1681"/>
      <c r="B3" s="475" t="s">
        <v>3794</v>
      </c>
      <c r="C3" s="475"/>
      <c r="D3" s="475"/>
      <c r="E3" s="475"/>
      <c r="F3" s="475"/>
      <c r="G3" s="475"/>
      <c r="H3" s="474"/>
      <c r="I3" s="475"/>
      <c r="J3" s="475"/>
      <c r="K3" s="475"/>
      <c r="L3" s="475"/>
      <c r="M3" s="1685" t="s">
        <v>3795</v>
      </c>
      <c r="N3" s="475"/>
      <c r="O3" s="475"/>
      <c r="P3" s="475"/>
      <c r="Q3" s="475"/>
      <c r="R3" s="475"/>
      <c r="S3" s="475"/>
      <c r="T3" s="475"/>
      <c r="U3" s="475"/>
      <c r="V3" s="475"/>
      <c r="W3" s="475"/>
      <c r="X3" s="475"/>
      <c r="Y3" s="475"/>
      <c r="Z3" s="475"/>
      <c r="AA3" s="475"/>
      <c r="AB3" s="475"/>
      <c r="AC3" s="475"/>
      <c r="AD3" s="475"/>
      <c r="AE3" s="475"/>
      <c r="AF3" s="475"/>
      <c r="AG3" s="475"/>
      <c r="AH3" s="475"/>
      <c r="AI3" s="10340" t="s">
        <v>543</v>
      </c>
      <c r="AJ3" s="10341"/>
      <c r="AK3" s="10341"/>
      <c r="AL3" s="10341"/>
      <c r="AM3" s="10341"/>
      <c r="AN3" s="10341"/>
      <c r="AO3" s="10341"/>
      <c r="AP3" s="1681"/>
      <c r="BD3" s="1684"/>
      <c r="BE3" s="1684"/>
      <c r="BF3" s="1684"/>
      <c r="BG3" s="1684"/>
      <c r="BH3" s="1684"/>
      <c r="BI3" s="1684"/>
      <c r="BJ3" s="1684"/>
      <c r="BK3" s="1684"/>
      <c r="BL3" s="1684"/>
      <c r="BM3" s="1684"/>
      <c r="BN3" s="1684"/>
    </row>
    <row r="4" spans="1:66">
      <c r="A4" s="1681"/>
      <c r="B4" s="1686" t="s">
        <v>5114</v>
      </c>
      <c r="C4" s="475"/>
      <c r="D4" s="475"/>
      <c r="E4" s="475"/>
      <c r="F4" s="475"/>
      <c r="G4" s="475"/>
      <c r="H4" s="10342" t="s">
        <v>3796</v>
      </c>
      <c r="I4" s="10343"/>
      <c r="J4" s="10343"/>
      <c r="K4" s="10343"/>
      <c r="L4" s="10343"/>
      <c r="M4" s="10343"/>
      <c r="N4" s="10343"/>
      <c r="O4" s="10343"/>
      <c r="P4" s="10343"/>
      <c r="Q4" s="10343"/>
      <c r="R4" s="10343"/>
      <c r="S4" s="10343"/>
      <c r="T4" s="10343"/>
      <c r="U4" s="10343"/>
      <c r="V4" s="10343"/>
      <c r="W4" s="10343"/>
      <c r="X4" s="10343"/>
      <c r="Y4" s="10343"/>
      <c r="Z4" s="10343"/>
      <c r="AA4" s="10343"/>
      <c r="AB4" s="10343"/>
      <c r="AC4" s="10343"/>
      <c r="AD4" s="10343"/>
      <c r="AE4" s="10343"/>
      <c r="AF4" s="10343"/>
      <c r="AG4" s="10343"/>
      <c r="AH4" s="10344"/>
      <c r="AI4" s="10345" t="s">
        <v>2320</v>
      </c>
      <c r="AJ4" s="10346"/>
      <c r="AK4" s="10346"/>
      <c r="AL4" s="10346"/>
      <c r="AM4" s="10346"/>
      <c r="AN4" s="10351">
        <v>155</v>
      </c>
      <c r="AO4" s="10351"/>
      <c r="AP4" s="1681"/>
      <c r="BD4" s="1684"/>
      <c r="BE4" s="1684"/>
      <c r="BF4" s="1684"/>
      <c r="BG4" s="1684"/>
      <c r="BH4" s="1684"/>
      <c r="BI4" s="1684"/>
      <c r="BJ4" s="1684"/>
      <c r="BK4" s="1684"/>
      <c r="BL4" s="1684"/>
      <c r="BM4" s="1684"/>
      <c r="BN4" s="1684"/>
    </row>
    <row r="5" spans="1:66">
      <c r="A5" s="1681"/>
      <c r="B5" s="10354" t="s">
        <v>2318</v>
      </c>
      <c r="C5" s="10355"/>
      <c r="D5" s="10355"/>
      <c r="E5" s="10355"/>
      <c r="F5" s="10355"/>
      <c r="G5" s="10356"/>
      <c r="H5" s="474"/>
      <c r="I5" s="475"/>
      <c r="J5" s="475"/>
      <c r="K5" s="475"/>
      <c r="L5" s="475"/>
      <c r="M5" s="475"/>
      <c r="N5" s="475"/>
      <c r="O5" s="475" t="s">
        <v>3797</v>
      </c>
      <c r="P5" s="475"/>
      <c r="Q5" s="475"/>
      <c r="R5" s="475"/>
      <c r="S5" s="475"/>
      <c r="T5" s="475"/>
      <c r="U5" s="475"/>
      <c r="V5" s="475"/>
      <c r="W5" s="475"/>
      <c r="X5" s="475"/>
      <c r="Y5" s="475"/>
      <c r="Z5" s="475"/>
      <c r="AA5" s="475"/>
      <c r="AB5" s="475"/>
      <c r="AC5" s="475"/>
      <c r="AD5" s="475"/>
      <c r="AE5" s="475"/>
      <c r="AF5" s="475"/>
      <c r="AG5" s="475"/>
      <c r="AH5" s="475"/>
      <c r="AI5" s="10347"/>
      <c r="AJ5" s="10348"/>
      <c r="AK5" s="10348"/>
      <c r="AL5" s="10348"/>
      <c r="AM5" s="10348"/>
      <c r="AN5" s="10352"/>
      <c r="AO5" s="10352"/>
      <c r="AP5" s="1681"/>
      <c r="BD5" s="1684"/>
      <c r="BE5" s="1684"/>
      <c r="BF5" s="1684"/>
      <c r="BG5" s="1684"/>
      <c r="BH5" s="1684"/>
      <c r="BI5" s="1684"/>
      <c r="BJ5" s="1684"/>
      <c r="BK5" s="1684"/>
      <c r="BL5" s="1684"/>
      <c r="BM5" s="1684"/>
      <c r="BN5" s="1684"/>
    </row>
    <row r="6" spans="1:66" ht="13.5" thickBot="1">
      <c r="A6" s="1681"/>
      <c r="B6" s="10357"/>
      <c r="C6" s="10357"/>
      <c r="D6" s="10357"/>
      <c r="E6" s="10357"/>
      <c r="F6" s="10357"/>
      <c r="G6" s="10358"/>
      <c r="H6" s="1687"/>
      <c r="I6" s="1037"/>
      <c r="J6" s="1037"/>
      <c r="K6" s="1037"/>
      <c r="L6" s="1037"/>
      <c r="M6" s="1037"/>
      <c r="N6" s="1037"/>
      <c r="O6" s="1037"/>
      <c r="P6" s="1037"/>
      <c r="Q6" s="1037"/>
      <c r="R6" s="1037"/>
      <c r="S6" s="1037"/>
      <c r="T6" s="477" t="s">
        <v>3798</v>
      </c>
      <c r="U6" s="1037"/>
      <c r="V6" s="1037"/>
      <c r="W6" s="1037"/>
      <c r="X6" s="1037"/>
      <c r="Y6" s="1037"/>
      <c r="Z6" s="1037"/>
      <c r="AA6" s="1037"/>
      <c r="AB6" s="1037"/>
      <c r="AC6" s="1037"/>
      <c r="AD6" s="1037"/>
      <c r="AE6" s="1037"/>
      <c r="AF6" s="1037"/>
      <c r="AG6" s="1037"/>
      <c r="AH6" s="1037"/>
      <c r="AI6" s="10349"/>
      <c r="AJ6" s="10350"/>
      <c r="AK6" s="10350"/>
      <c r="AL6" s="10350"/>
      <c r="AM6" s="10350"/>
      <c r="AN6" s="10353"/>
      <c r="AO6" s="10353"/>
      <c r="AP6" s="1681"/>
      <c r="BD6" s="1684"/>
      <c r="BE6" s="1684"/>
      <c r="BF6" s="1684"/>
      <c r="BG6" s="1684"/>
      <c r="BH6" s="1684"/>
      <c r="BI6" s="1684"/>
      <c r="BJ6" s="1684"/>
      <c r="BK6" s="1684"/>
      <c r="BL6" s="1684"/>
      <c r="BM6" s="1684"/>
      <c r="BN6" s="1684"/>
    </row>
    <row r="7" spans="1:66">
      <c r="A7" s="1681"/>
      <c r="B7" s="475" t="s">
        <v>3799</v>
      </c>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1688" t="s">
        <v>2927</v>
      </c>
      <c r="AJ7" s="1228"/>
      <c r="AK7" s="1228"/>
      <c r="AL7" s="1228"/>
      <c r="AM7" s="1228"/>
      <c r="AN7" s="1228"/>
      <c r="AO7" s="1228"/>
      <c r="AP7" s="1681"/>
      <c r="BD7" s="1684"/>
      <c r="BE7" s="1684"/>
      <c r="BF7" s="1684"/>
      <c r="BG7" s="1684"/>
      <c r="BH7" s="1684"/>
      <c r="BI7" s="1684"/>
      <c r="BJ7" s="1684"/>
      <c r="BK7" s="1684"/>
      <c r="BL7" s="1684"/>
      <c r="BM7" s="1684"/>
      <c r="BN7" s="1684"/>
    </row>
    <row r="8" spans="1:66" ht="9.75" customHeight="1">
      <c r="A8" s="1681"/>
      <c r="B8" s="10359" t="str">
        <f>Names</f>
        <v/>
      </c>
      <c r="C8" s="10359"/>
      <c r="D8" s="10359"/>
      <c r="E8" s="10359"/>
      <c r="F8" s="10359"/>
      <c r="G8" s="10359"/>
      <c r="H8" s="10359"/>
      <c r="I8" s="10359"/>
      <c r="J8" s="10359"/>
      <c r="K8" s="10359"/>
      <c r="L8" s="10359"/>
      <c r="M8" s="10359"/>
      <c r="N8" s="10359"/>
      <c r="O8" s="10359"/>
      <c r="P8" s="10359"/>
      <c r="Q8" s="10359"/>
      <c r="R8" s="10359"/>
      <c r="S8" s="10359"/>
      <c r="T8" s="10359"/>
      <c r="U8" s="10359"/>
      <c r="V8" s="10359"/>
      <c r="W8" s="10359"/>
      <c r="X8" s="10359"/>
      <c r="Y8" s="10359"/>
      <c r="Z8" s="10359"/>
      <c r="AA8" s="10359"/>
      <c r="AB8" s="10359"/>
      <c r="AC8" s="10359"/>
      <c r="AD8" s="10359"/>
      <c r="AE8" s="10359"/>
      <c r="AF8" s="10359"/>
      <c r="AG8" s="10359"/>
      <c r="AH8" s="10359"/>
      <c r="AI8" s="10360"/>
      <c r="AJ8" s="10361"/>
      <c r="AK8" s="10361"/>
      <c r="AL8" s="10361"/>
      <c r="AM8" s="10361"/>
      <c r="AN8" s="10361"/>
      <c r="AO8" s="10361"/>
      <c r="AP8" s="1681"/>
      <c r="BD8" s="1684"/>
      <c r="BE8" s="1684"/>
      <c r="BF8" s="1684"/>
      <c r="BG8" s="1684"/>
      <c r="BH8" s="1684"/>
      <c r="BI8" s="1684"/>
      <c r="BJ8" s="1684"/>
      <c r="BK8" s="1684"/>
      <c r="BL8" s="1684"/>
      <c r="BM8" s="1684"/>
      <c r="BN8" s="1684"/>
    </row>
    <row r="9" spans="1:66" ht="9.75" customHeight="1">
      <c r="A9" s="1681"/>
      <c r="B9" s="10359"/>
      <c r="C9" s="10359"/>
      <c r="D9" s="10359"/>
      <c r="E9" s="10359"/>
      <c r="F9" s="10359"/>
      <c r="G9" s="10359"/>
      <c r="H9" s="10359"/>
      <c r="I9" s="10359"/>
      <c r="J9" s="10359"/>
      <c r="K9" s="10359"/>
      <c r="L9" s="10359"/>
      <c r="M9" s="10359"/>
      <c r="N9" s="10359"/>
      <c r="O9" s="10359"/>
      <c r="P9" s="10359"/>
      <c r="Q9" s="10359"/>
      <c r="R9" s="10359"/>
      <c r="S9" s="10359"/>
      <c r="T9" s="10359"/>
      <c r="U9" s="10359"/>
      <c r="V9" s="10359"/>
      <c r="W9" s="10359"/>
      <c r="X9" s="10359"/>
      <c r="Y9" s="10359"/>
      <c r="Z9" s="10359"/>
      <c r="AA9" s="10359"/>
      <c r="AB9" s="10359"/>
      <c r="AC9" s="10359"/>
      <c r="AD9" s="10359"/>
      <c r="AE9" s="10359"/>
      <c r="AF9" s="10359"/>
      <c r="AG9" s="10359"/>
      <c r="AH9" s="10359"/>
      <c r="AI9" s="10362"/>
      <c r="AJ9" s="10363"/>
      <c r="AK9" s="10363"/>
      <c r="AL9" s="10363"/>
      <c r="AM9" s="10363"/>
      <c r="AN9" s="10363"/>
      <c r="AO9" s="10363"/>
      <c r="AP9" s="1681"/>
      <c r="BD9" s="1684"/>
      <c r="BE9" s="1684"/>
      <c r="BF9" s="1684"/>
      <c r="BG9" s="1684"/>
      <c r="BH9" s="1684"/>
      <c r="BI9" s="1684"/>
      <c r="BJ9" s="1684"/>
      <c r="BK9" s="1684"/>
      <c r="BL9" s="1684"/>
      <c r="BM9" s="1684"/>
      <c r="BN9" s="1684"/>
    </row>
    <row r="10" spans="1:66" ht="15">
      <c r="A10" s="1681"/>
      <c r="B10" s="1689" t="s">
        <v>3800</v>
      </c>
      <c r="C10" s="1690"/>
      <c r="D10" s="1689" t="s">
        <v>3801</v>
      </c>
      <c r="E10" s="1690"/>
      <c r="F10" s="1690"/>
      <c r="G10" s="1690"/>
      <c r="H10" s="1690"/>
      <c r="I10" s="1690"/>
      <c r="J10" s="1690"/>
      <c r="K10" s="1690"/>
      <c r="L10" s="1690"/>
      <c r="M10" s="1690"/>
      <c r="N10" s="1690"/>
      <c r="O10" s="1690"/>
      <c r="P10" s="1690"/>
      <c r="Q10" s="1690"/>
      <c r="R10" s="1690"/>
      <c r="S10" s="1690"/>
      <c r="T10" s="1690"/>
      <c r="U10" s="1690"/>
      <c r="V10" s="1690"/>
      <c r="W10" s="1690"/>
      <c r="X10" s="1690"/>
      <c r="Y10" s="1690"/>
      <c r="Z10" s="1690"/>
      <c r="AA10" s="1690"/>
      <c r="AB10" s="1690"/>
      <c r="AC10" s="1690"/>
      <c r="AD10" s="1690"/>
      <c r="AE10" s="1690"/>
      <c r="AF10" s="1690"/>
      <c r="AG10" s="1690"/>
      <c r="AH10" s="1690"/>
      <c r="AI10" s="1690"/>
      <c r="AJ10" s="1690"/>
      <c r="AK10" s="1690"/>
      <c r="AL10" s="1690"/>
      <c r="AM10" s="1690"/>
      <c r="AN10" s="1690"/>
      <c r="AO10" s="1690"/>
      <c r="AP10" s="1681"/>
      <c r="BD10" s="1684"/>
      <c r="BE10" s="1684"/>
      <c r="BF10" s="1684"/>
      <c r="BG10" s="1684"/>
      <c r="BH10" s="1684"/>
      <c r="BI10" s="1684"/>
      <c r="BJ10" s="1684"/>
      <c r="BK10" s="1684"/>
      <c r="BL10" s="1684"/>
      <c r="BM10" s="1684"/>
      <c r="BN10" s="1684"/>
    </row>
    <row r="11" spans="1:66" ht="16.5">
      <c r="A11" s="1681"/>
      <c r="B11" s="1691" t="s">
        <v>3802</v>
      </c>
      <c r="C11" s="475"/>
      <c r="D11" s="475"/>
      <c r="E11" s="475"/>
      <c r="F11" s="1692" t="s">
        <v>3803</v>
      </c>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1681"/>
      <c r="BD11" s="1684"/>
      <c r="BE11" s="1684"/>
      <c r="BF11" s="1684"/>
      <c r="BG11" s="1684"/>
      <c r="BH11" s="1684"/>
      <c r="BI11" s="1684"/>
      <c r="BJ11" s="1684"/>
      <c r="BK11" s="1684"/>
      <c r="BL11" s="1684"/>
      <c r="BM11" s="1684"/>
      <c r="BN11" s="1684"/>
    </row>
    <row r="12" spans="1:66" ht="13.5" customHeight="1">
      <c r="A12" s="1681"/>
      <c r="B12" s="475"/>
      <c r="C12" s="475"/>
      <c r="D12" s="475"/>
      <c r="E12" s="475"/>
      <c r="F12" s="1692" t="s">
        <v>3804</v>
      </c>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1681"/>
      <c r="BD12" s="1684"/>
      <c r="BE12" s="1684"/>
      <c r="BF12" s="1684"/>
      <c r="BG12" s="1684"/>
      <c r="BH12" s="1684"/>
      <c r="BI12" s="1684"/>
      <c r="BJ12" s="1684"/>
      <c r="BK12" s="1684"/>
      <c r="BL12" s="1684"/>
      <c r="BM12" s="1684"/>
      <c r="BN12" s="1684"/>
    </row>
    <row r="13" spans="1:66" ht="13.5" customHeight="1">
      <c r="A13" s="1681"/>
      <c r="B13" s="475"/>
      <c r="C13" s="475"/>
      <c r="D13" s="475"/>
      <c r="E13" s="475"/>
      <c r="F13" s="1692" t="s">
        <v>3805</v>
      </c>
      <c r="G13" s="475"/>
      <c r="H13" s="475"/>
      <c r="I13" s="475"/>
      <c r="J13" s="475"/>
      <c r="K13" s="475"/>
      <c r="L13" s="475"/>
      <c r="M13" s="475"/>
      <c r="N13" s="475"/>
      <c r="O13" s="475"/>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1681"/>
      <c r="BD13" s="1684"/>
      <c r="BE13" s="1684"/>
      <c r="BF13" s="1684"/>
      <c r="BG13" s="1684"/>
      <c r="BH13" s="1684"/>
      <c r="BI13" s="1684"/>
      <c r="BJ13" s="1684"/>
      <c r="BK13" s="1684"/>
      <c r="BL13" s="1684"/>
      <c r="BM13" s="1684"/>
      <c r="BN13" s="1684"/>
    </row>
    <row r="14" spans="1:66" s="1695" customFormat="1" ht="15.75">
      <c r="A14" s="1693"/>
      <c r="B14" s="10382" t="s">
        <v>780</v>
      </c>
      <c r="C14" s="10382"/>
      <c r="D14" s="10383"/>
      <c r="E14" s="1694"/>
      <c r="F14" s="1694" t="s">
        <v>3806</v>
      </c>
      <c r="G14" s="1694"/>
      <c r="H14" s="1694"/>
      <c r="I14" s="1694"/>
      <c r="J14" s="1694"/>
      <c r="K14" s="1694"/>
      <c r="L14" s="1694"/>
      <c r="M14" s="1694"/>
      <c r="N14" s="1694"/>
      <c r="O14" s="1694"/>
      <c r="P14" s="1694"/>
      <c r="Q14" s="1694"/>
      <c r="R14" s="1694"/>
      <c r="S14" s="1694"/>
      <c r="T14" s="1694"/>
      <c r="U14" s="1694"/>
      <c r="V14" s="1694"/>
      <c r="W14" s="1694"/>
      <c r="X14" s="1694"/>
      <c r="Y14" s="1694"/>
      <c r="Z14" s="1694"/>
      <c r="AA14" s="1694"/>
      <c r="AB14" s="1694"/>
      <c r="AC14" s="1694"/>
      <c r="AD14" s="1694"/>
      <c r="AE14" s="1694"/>
      <c r="AF14" s="1694"/>
      <c r="AG14" s="1694"/>
      <c r="AH14" s="1694"/>
      <c r="AI14" s="1694"/>
      <c r="AJ14" s="1694"/>
      <c r="AK14" s="1694"/>
      <c r="AL14" s="1694"/>
      <c r="AM14" s="1694"/>
      <c r="AN14" s="1694"/>
      <c r="AO14" s="1694"/>
      <c r="AP14" s="1681"/>
      <c r="BD14" s="1684"/>
      <c r="BE14" s="1684"/>
      <c r="BF14" s="1684"/>
      <c r="BG14" s="1684"/>
      <c r="BH14" s="1684"/>
      <c r="BI14" s="1684"/>
      <c r="BJ14" s="1684"/>
      <c r="BK14" s="1684"/>
      <c r="BL14" s="1684"/>
      <c r="BM14" s="1684"/>
      <c r="BN14" s="1684"/>
    </row>
    <row r="15" spans="1:66">
      <c r="A15" s="1681"/>
      <c r="B15" s="10384">
        <v>1</v>
      </c>
      <c r="C15" s="10384"/>
      <c r="D15" s="10384"/>
      <c r="E15" s="10387" t="s">
        <v>3807</v>
      </c>
      <c r="F15" s="10388"/>
      <c r="G15" s="10388"/>
      <c r="H15" s="10388"/>
      <c r="I15" s="10388"/>
      <c r="J15" s="10388"/>
      <c r="K15" s="10388"/>
      <c r="L15" s="10389"/>
      <c r="M15" s="10394" t="s">
        <v>3808</v>
      </c>
      <c r="N15" s="10388"/>
      <c r="O15" s="10388"/>
      <c r="P15" s="10388"/>
      <c r="Q15" s="10388"/>
      <c r="R15" s="10388"/>
      <c r="S15" s="10388"/>
      <c r="T15" s="10388"/>
      <c r="U15" s="10388"/>
      <c r="V15" s="10388"/>
      <c r="W15" s="10388"/>
      <c r="X15" s="10388"/>
      <c r="Y15" s="10388"/>
      <c r="Z15" s="10388"/>
      <c r="AA15" s="10388"/>
      <c r="AB15" s="10388"/>
      <c r="AC15" s="10389"/>
      <c r="AD15" s="10394" t="s">
        <v>3809</v>
      </c>
      <c r="AE15" s="10388"/>
      <c r="AF15" s="10388"/>
      <c r="AG15" s="10388"/>
      <c r="AH15" s="10388"/>
      <c r="AI15" s="10388"/>
      <c r="AJ15" s="10388"/>
      <c r="AK15" s="10388"/>
      <c r="AL15" s="10388"/>
      <c r="AM15" s="10388"/>
      <c r="AN15" s="10388"/>
      <c r="AO15" s="10388"/>
      <c r="AP15" s="1681"/>
      <c r="BD15" s="1684"/>
      <c r="BE15" s="1684"/>
      <c r="BF15" s="1684"/>
      <c r="BG15" s="1684"/>
      <c r="BH15" s="1684"/>
      <c r="BI15" s="1684"/>
      <c r="BJ15" s="1684"/>
      <c r="BK15" s="1684"/>
      <c r="BL15" s="1684"/>
      <c r="BM15" s="1684"/>
      <c r="BN15" s="1684"/>
    </row>
    <row r="16" spans="1:66">
      <c r="A16" s="1681"/>
      <c r="B16" s="10385"/>
      <c r="C16" s="10385"/>
      <c r="D16" s="10385"/>
      <c r="E16" s="10390"/>
      <c r="F16" s="10390"/>
      <c r="G16" s="10390"/>
      <c r="H16" s="10390"/>
      <c r="I16" s="10390"/>
      <c r="J16" s="10390"/>
      <c r="K16" s="10390"/>
      <c r="L16" s="10391"/>
      <c r="M16" s="10395"/>
      <c r="N16" s="10390"/>
      <c r="O16" s="10390"/>
      <c r="P16" s="10390"/>
      <c r="Q16" s="10390"/>
      <c r="R16" s="10390"/>
      <c r="S16" s="10390"/>
      <c r="T16" s="10390"/>
      <c r="U16" s="10390"/>
      <c r="V16" s="10390"/>
      <c r="W16" s="10390"/>
      <c r="X16" s="10390"/>
      <c r="Y16" s="10390"/>
      <c r="Z16" s="10390"/>
      <c r="AA16" s="10390"/>
      <c r="AB16" s="10390"/>
      <c r="AC16" s="10391"/>
      <c r="AD16" s="10395"/>
      <c r="AE16" s="10390"/>
      <c r="AF16" s="10390"/>
      <c r="AG16" s="10390"/>
      <c r="AH16" s="10390"/>
      <c r="AI16" s="10390"/>
      <c r="AJ16" s="10390"/>
      <c r="AK16" s="10390"/>
      <c r="AL16" s="10390"/>
      <c r="AM16" s="10390"/>
      <c r="AN16" s="10390"/>
      <c r="AO16" s="10390"/>
      <c r="AP16" s="1681"/>
      <c r="BD16" s="1684"/>
      <c r="BE16" s="1684"/>
      <c r="BF16" s="1684"/>
      <c r="BG16" s="1684"/>
      <c r="BH16" s="1684"/>
      <c r="BI16" s="1684"/>
      <c r="BJ16" s="1684"/>
      <c r="BK16" s="1684"/>
      <c r="BL16" s="1684"/>
      <c r="BM16" s="1684"/>
      <c r="BN16" s="1684"/>
    </row>
    <row r="17" spans="1:66">
      <c r="A17" s="1681"/>
      <c r="B17" s="10385"/>
      <c r="C17" s="10385"/>
      <c r="D17" s="10385"/>
      <c r="E17" s="10390"/>
      <c r="F17" s="10390"/>
      <c r="G17" s="10390"/>
      <c r="H17" s="10390"/>
      <c r="I17" s="10390"/>
      <c r="J17" s="10390"/>
      <c r="K17" s="10390"/>
      <c r="L17" s="10391"/>
      <c r="M17" s="10395"/>
      <c r="N17" s="10390"/>
      <c r="O17" s="10390"/>
      <c r="P17" s="10390"/>
      <c r="Q17" s="10390"/>
      <c r="R17" s="10390"/>
      <c r="S17" s="10390"/>
      <c r="T17" s="10390"/>
      <c r="U17" s="10390"/>
      <c r="V17" s="10390"/>
      <c r="W17" s="10390"/>
      <c r="X17" s="10390"/>
      <c r="Y17" s="10390"/>
      <c r="Z17" s="10390"/>
      <c r="AA17" s="10390"/>
      <c r="AB17" s="10390"/>
      <c r="AC17" s="10391"/>
      <c r="AD17" s="10395"/>
      <c r="AE17" s="10390"/>
      <c r="AF17" s="10390"/>
      <c r="AG17" s="10390"/>
      <c r="AH17" s="10390"/>
      <c r="AI17" s="10390"/>
      <c r="AJ17" s="10390"/>
      <c r="AK17" s="10390"/>
      <c r="AL17" s="10390"/>
      <c r="AM17" s="10390"/>
      <c r="AN17" s="10390"/>
      <c r="AO17" s="10390"/>
      <c r="AP17" s="1681"/>
      <c r="BD17" s="1684"/>
      <c r="BE17" s="1684"/>
      <c r="BF17" s="1684"/>
      <c r="BG17" s="1684"/>
      <c r="BH17" s="1684"/>
      <c r="BI17" s="1684"/>
      <c r="BJ17" s="1684"/>
      <c r="BK17" s="1684"/>
      <c r="BL17" s="1684"/>
      <c r="BM17" s="1684"/>
      <c r="BN17" s="1684"/>
    </row>
    <row r="18" spans="1:66">
      <c r="A18" s="1681"/>
      <c r="B18" s="10386"/>
      <c r="C18" s="10386"/>
      <c r="D18" s="10386"/>
      <c r="E18" s="10392"/>
      <c r="F18" s="10392"/>
      <c r="G18" s="10392"/>
      <c r="H18" s="10392"/>
      <c r="I18" s="10392"/>
      <c r="J18" s="10392"/>
      <c r="K18" s="10392"/>
      <c r="L18" s="10393"/>
      <c r="M18" s="10396"/>
      <c r="N18" s="10392"/>
      <c r="O18" s="10392"/>
      <c r="P18" s="10392"/>
      <c r="Q18" s="10392"/>
      <c r="R18" s="10392"/>
      <c r="S18" s="10392"/>
      <c r="T18" s="10392"/>
      <c r="U18" s="10392"/>
      <c r="V18" s="10392"/>
      <c r="W18" s="10392"/>
      <c r="X18" s="10392"/>
      <c r="Y18" s="10392"/>
      <c r="Z18" s="10392"/>
      <c r="AA18" s="10392"/>
      <c r="AB18" s="10392"/>
      <c r="AC18" s="10393"/>
      <c r="AD18" s="10396"/>
      <c r="AE18" s="10392"/>
      <c r="AF18" s="10392"/>
      <c r="AG18" s="10392"/>
      <c r="AH18" s="10392"/>
      <c r="AI18" s="10392"/>
      <c r="AJ18" s="10392"/>
      <c r="AK18" s="10392"/>
      <c r="AL18" s="10392"/>
      <c r="AM18" s="10392"/>
      <c r="AN18" s="10392"/>
      <c r="AO18" s="10392"/>
      <c r="AP18" s="1681"/>
      <c r="AQ18" s="1681"/>
      <c r="AR18" s="1681"/>
      <c r="AS18" s="1681"/>
      <c r="AT18" s="1681"/>
      <c r="AU18" s="1681"/>
      <c r="AV18" s="1681"/>
      <c r="AW18" s="1681"/>
      <c r="AX18" s="1681"/>
      <c r="AY18" s="1681"/>
      <c r="AZ18" s="1681"/>
      <c r="BA18" s="1681"/>
      <c r="BB18" s="1681"/>
      <c r="BD18" s="1684"/>
      <c r="BE18" s="1684"/>
      <c r="BF18" s="1684"/>
      <c r="BG18" s="1684"/>
      <c r="BH18" s="1684"/>
      <c r="BI18" s="1684"/>
      <c r="BJ18" s="1684"/>
      <c r="BK18" s="1684"/>
      <c r="BL18" s="1684"/>
      <c r="BM18" s="1684"/>
      <c r="BN18" s="1684"/>
    </row>
    <row r="19" spans="1:66" ht="3.75" customHeight="1">
      <c r="A19" s="1681"/>
      <c r="B19" s="10364" t="s">
        <v>510</v>
      </c>
      <c r="C19" s="10365"/>
      <c r="D19" s="10368"/>
      <c r="E19" s="10369"/>
      <c r="F19" s="10369"/>
      <c r="G19" s="10369"/>
      <c r="H19" s="10369"/>
      <c r="I19" s="10369"/>
      <c r="J19" s="10369"/>
      <c r="K19" s="10369"/>
      <c r="L19" s="10370"/>
      <c r="M19" s="1701"/>
      <c r="N19" s="1696"/>
      <c r="O19" s="1696"/>
      <c r="P19" s="1696"/>
      <c r="Q19" s="1696"/>
      <c r="R19" s="1696"/>
      <c r="S19" s="1696"/>
      <c r="T19" s="1696"/>
      <c r="U19" s="1696"/>
      <c r="V19" s="1696"/>
      <c r="W19" s="1696"/>
      <c r="X19" s="1696"/>
      <c r="Y19" s="1696"/>
      <c r="Z19" s="1696"/>
      <c r="AA19" s="1696"/>
      <c r="AB19" s="1696"/>
      <c r="AC19" s="1697"/>
      <c r="AD19" s="10368"/>
      <c r="AE19" s="10377"/>
      <c r="AF19" s="10377"/>
      <c r="AG19" s="10377"/>
      <c r="AH19" s="10377"/>
      <c r="AI19" s="10377"/>
      <c r="AJ19" s="10377"/>
      <c r="AK19" s="10377"/>
      <c r="AL19" s="10377"/>
      <c r="AM19" s="10377"/>
      <c r="AN19" s="10377"/>
      <c r="AO19" s="10377"/>
      <c r="AP19" s="1681"/>
      <c r="AQ19" s="1681"/>
      <c r="AR19" s="1681"/>
      <c r="AS19" s="1681"/>
      <c r="AT19" s="1681"/>
      <c r="AU19" s="1681"/>
      <c r="AV19" s="1681"/>
      <c r="AW19" s="1681"/>
      <c r="AX19" s="1681"/>
      <c r="AY19" s="1681"/>
      <c r="AZ19" s="1681"/>
      <c r="BA19" s="1681"/>
      <c r="BB19" s="1681"/>
      <c r="BD19" s="1684"/>
      <c r="BE19" s="1684"/>
      <c r="BF19" s="1684"/>
      <c r="BG19" s="1684"/>
      <c r="BH19" s="1684"/>
      <c r="BI19" s="1684"/>
      <c r="BJ19" s="1684"/>
      <c r="BK19" s="1684"/>
      <c r="BL19" s="1684"/>
      <c r="BM19" s="1684"/>
      <c r="BN19" s="1684"/>
    </row>
    <row r="20" spans="1:66" ht="14.25" customHeight="1" thickBot="1">
      <c r="A20" s="1681"/>
      <c r="B20" s="10366"/>
      <c r="C20" s="10366"/>
      <c r="D20" s="10371"/>
      <c r="E20" s="10372"/>
      <c r="F20" s="10372"/>
      <c r="G20" s="10372"/>
      <c r="H20" s="10372"/>
      <c r="I20" s="10372"/>
      <c r="J20" s="10372"/>
      <c r="K20" s="10372"/>
      <c r="L20" s="10373"/>
      <c r="M20" s="1702"/>
      <c r="N20" s="475"/>
      <c r="O20" s="475"/>
      <c r="P20" s="475"/>
      <c r="Q20" s="475"/>
      <c r="R20" s="475"/>
      <c r="S20" s="475"/>
      <c r="T20" s="1703"/>
      <c r="U20" s="475"/>
      <c r="V20" s="475"/>
      <c r="W20" s="475"/>
      <c r="X20" s="475"/>
      <c r="Y20" s="475"/>
      <c r="Z20" s="475"/>
      <c r="AA20" s="475"/>
      <c r="AB20" s="475"/>
      <c r="AC20" s="1704"/>
      <c r="AD20" s="10378"/>
      <c r="AE20" s="10379"/>
      <c r="AF20" s="10379"/>
      <c r="AG20" s="10379"/>
      <c r="AH20" s="10379"/>
      <c r="AI20" s="10379"/>
      <c r="AJ20" s="10379"/>
      <c r="AK20" s="10379"/>
      <c r="AL20" s="10379"/>
      <c r="AM20" s="10379"/>
      <c r="AN20" s="10379"/>
      <c r="AO20" s="10379"/>
      <c r="AP20" s="1681"/>
      <c r="AQ20" s="1705" t="s">
        <v>3810</v>
      </c>
      <c r="AR20" s="475"/>
      <c r="AS20" s="475"/>
      <c r="AT20" s="475"/>
      <c r="AU20" s="475"/>
      <c r="AV20" s="475"/>
      <c r="AW20" s="475"/>
      <c r="AX20" s="475"/>
      <c r="AY20" s="475"/>
      <c r="AZ20" s="475"/>
      <c r="BA20" s="475"/>
      <c r="BB20" s="1681"/>
      <c r="BD20" s="1684"/>
      <c r="BE20" s="1684"/>
      <c r="BF20" s="1684"/>
      <c r="BG20" s="1684"/>
      <c r="BH20" s="1684"/>
      <c r="BI20" s="1684"/>
      <c r="BJ20" s="1684"/>
      <c r="BK20" s="1684"/>
      <c r="BL20" s="1684"/>
      <c r="BM20" s="1684"/>
      <c r="BN20" s="1684"/>
    </row>
    <row r="21" spans="1:66" ht="14.25" customHeight="1" thickTop="1" thickBot="1">
      <c r="A21" s="1681"/>
      <c r="B21" s="10367"/>
      <c r="C21" s="10367"/>
      <c r="D21" s="10374"/>
      <c r="E21" s="10375"/>
      <c r="F21" s="10375"/>
      <c r="G21" s="10375"/>
      <c r="H21" s="10375"/>
      <c r="I21" s="10375"/>
      <c r="J21" s="10375"/>
      <c r="K21" s="10375"/>
      <c r="L21" s="10375"/>
      <c r="M21" s="1706"/>
      <c r="N21" s="1706"/>
      <c r="O21" s="1706"/>
      <c r="P21" s="1706"/>
      <c r="Q21" s="1706"/>
      <c r="R21" s="1706"/>
      <c r="S21" s="1706"/>
      <c r="T21" s="1706"/>
      <c r="U21" s="1706"/>
      <c r="V21" s="1706"/>
      <c r="W21" s="1706"/>
      <c r="X21" s="1706"/>
      <c r="Y21" s="1706"/>
      <c r="Z21" s="1706"/>
      <c r="AA21" s="1706"/>
      <c r="AB21" s="1706"/>
      <c r="AC21" s="1706"/>
      <c r="AD21" s="10381"/>
      <c r="AE21" s="10381"/>
      <c r="AF21" s="10381"/>
      <c r="AG21" s="10381"/>
      <c r="AH21" s="10381"/>
      <c r="AI21" s="10381"/>
      <c r="AJ21" s="10381"/>
      <c r="AK21" s="10381"/>
      <c r="AL21" s="10381"/>
      <c r="AM21" s="10381"/>
      <c r="AN21" s="10381"/>
      <c r="AO21" s="10381"/>
      <c r="AP21" s="1681"/>
      <c r="AQ21" s="1681"/>
      <c r="AR21" s="1681"/>
      <c r="AS21" s="1681"/>
      <c r="AT21" s="1681"/>
      <c r="AU21" s="1681"/>
      <c r="AV21" s="1681"/>
      <c r="AW21" s="1681"/>
      <c r="AX21" s="1681"/>
      <c r="AY21" s="1681"/>
      <c r="AZ21" s="1681"/>
      <c r="BA21" s="1681"/>
      <c r="BB21" s="1681"/>
      <c r="BD21" s="1684"/>
      <c r="BE21" s="1684"/>
      <c r="BF21" s="1684"/>
      <c r="BG21" s="1684"/>
      <c r="BH21" s="1684"/>
      <c r="BI21" s="1684"/>
      <c r="BJ21" s="1684"/>
      <c r="BK21" s="1684"/>
      <c r="BL21" s="1684"/>
      <c r="BM21" s="1684"/>
      <c r="BN21" s="1684"/>
    </row>
    <row r="22" spans="1:66" ht="3.75" customHeight="1" thickTop="1">
      <c r="A22" s="1681"/>
      <c r="B22" s="10364" t="s">
        <v>516</v>
      </c>
      <c r="C22" s="10365"/>
      <c r="D22" s="10368"/>
      <c r="E22" s="10369"/>
      <c r="F22" s="10369"/>
      <c r="G22" s="10369"/>
      <c r="H22" s="10369"/>
      <c r="I22" s="10369"/>
      <c r="J22" s="10369"/>
      <c r="K22" s="10369"/>
      <c r="L22" s="10370"/>
      <c r="M22" s="1700"/>
      <c r="N22" s="1698"/>
      <c r="O22" s="1698"/>
      <c r="P22" s="1698"/>
      <c r="Q22" s="1698"/>
      <c r="R22" s="1698"/>
      <c r="S22" s="1698"/>
      <c r="T22" s="1698"/>
      <c r="U22" s="1698"/>
      <c r="V22" s="1698"/>
      <c r="W22" s="1698"/>
      <c r="X22" s="1698"/>
      <c r="Y22" s="1698"/>
      <c r="Z22" s="1698"/>
      <c r="AA22" s="1698"/>
      <c r="AB22" s="1698"/>
      <c r="AC22" s="1699"/>
      <c r="AD22" s="10368"/>
      <c r="AE22" s="10377"/>
      <c r="AF22" s="10377"/>
      <c r="AG22" s="10377"/>
      <c r="AH22" s="10377"/>
      <c r="AI22" s="10377"/>
      <c r="AJ22" s="10377"/>
      <c r="AK22" s="10377"/>
      <c r="AL22" s="10377"/>
      <c r="AM22" s="10377"/>
      <c r="AN22" s="10377"/>
      <c r="AO22" s="10377"/>
      <c r="AP22" s="1681"/>
      <c r="AQ22" s="1681"/>
      <c r="AR22" s="1681"/>
      <c r="AS22" s="1681"/>
      <c r="AT22" s="1681"/>
      <c r="AU22" s="1681"/>
      <c r="AV22" s="1681"/>
      <c r="AW22" s="1681"/>
      <c r="AX22" s="1681"/>
      <c r="AY22" s="1681"/>
      <c r="AZ22" s="1681"/>
      <c r="BA22" s="1681"/>
      <c r="BB22" s="1681"/>
      <c r="BD22" s="1684"/>
      <c r="BE22" s="1684"/>
      <c r="BF22" s="1684"/>
      <c r="BG22" s="1684"/>
      <c r="BH22" s="1684"/>
      <c r="BI22" s="1684"/>
      <c r="BJ22" s="1684"/>
      <c r="BK22" s="1684"/>
      <c r="BL22" s="1684"/>
      <c r="BM22" s="1684"/>
      <c r="BN22" s="1684"/>
    </row>
    <row r="23" spans="1:66" ht="14.25" customHeight="1" thickBot="1">
      <c r="A23" s="1681"/>
      <c r="B23" s="10366"/>
      <c r="C23" s="10366"/>
      <c r="D23" s="10371"/>
      <c r="E23" s="10372"/>
      <c r="F23" s="10372"/>
      <c r="G23" s="10372"/>
      <c r="H23" s="10372"/>
      <c r="I23" s="10372"/>
      <c r="J23" s="10372"/>
      <c r="K23" s="10372"/>
      <c r="L23" s="10373"/>
      <c r="M23" s="1702"/>
      <c r="N23" s="475"/>
      <c r="O23" s="475"/>
      <c r="P23" s="475"/>
      <c r="Q23" s="475"/>
      <c r="R23" s="475"/>
      <c r="S23" s="475"/>
      <c r="T23" s="1703"/>
      <c r="U23" s="475"/>
      <c r="V23" s="475"/>
      <c r="W23" s="475"/>
      <c r="X23" s="475"/>
      <c r="Y23" s="475"/>
      <c r="Z23" s="475"/>
      <c r="AA23" s="475"/>
      <c r="AB23" s="475"/>
      <c r="AC23" s="1704"/>
      <c r="AD23" s="10378"/>
      <c r="AE23" s="10379"/>
      <c r="AF23" s="10379"/>
      <c r="AG23" s="10379"/>
      <c r="AH23" s="10379"/>
      <c r="AI23" s="10379"/>
      <c r="AJ23" s="10379"/>
      <c r="AK23" s="10379"/>
      <c r="AL23" s="10379"/>
      <c r="AM23" s="10379"/>
      <c r="AN23" s="10379"/>
      <c r="AO23" s="10379"/>
      <c r="AP23" s="1681"/>
      <c r="BD23" s="1684"/>
      <c r="BE23" s="1684"/>
      <c r="BF23" s="1684"/>
      <c r="BG23" s="1684"/>
      <c r="BH23" s="1684"/>
      <c r="BI23" s="1684"/>
      <c r="BJ23" s="1684"/>
      <c r="BK23" s="1684"/>
      <c r="BL23" s="1684"/>
      <c r="BM23" s="1684"/>
      <c r="BN23" s="1684"/>
    </row>
    <row r="24" spans="1:66" ht="14.25" customHeight="1" thickTop="1" thickBot="1">
      <c r="A24" s="1681"/>
      <c r="B24" s="10367"/>
      <c r="C24" s="10367"/>
      <c r="D24" s="10374"/>
      <c r="E24" s="10375"/>
      <c r="F24" s="10375"/>
      <c r="G24" s="10375"/>
      <c r="H24" s="10375"/>
      <c r="I24" s="10375"/>
      <c r="J24" s="10375"/>
      <c r="K24" s="10375"/>
      <c r="L24" s="10376"/>
      <c r="M24" s="1706"/>
      <c r="N24" s="1706"/>
      <c r="O24" s="1706"/>
      <c r="P24" s="1706"/>
      <c r="Q24" s="1706"/>
      <c r="R24" s="1706"/>
      <c r="S24" s="1706"/>
      <c r="T24" s="1706"/>
      <c r="U24" s="1706"/>
      <c r="V24" s="1706"/>
      <c r="W24" s="1706"/>
      <c r="X24" s="1706"/>
      <c r="Y24" s="1706"/>
      <c r="Z24" s="1706"/>
      <c r="AA24" s="1706"/>
      <c r="AB24" s="1706"/>
      <c r="AC24" s="1706"/>
      <c r="AD24" s="10380"/>
      <c r="AE24" s="10381"/>
      <c r="AF24" s="10381"/>
      <c r="AG24" s="10381"/>
      <c r="AH24" s="10381"/>
      <c r="AI24" s="10381"/>
      <c r="AJ24" s="10381"/>
      <c r="AK24" s="10381"/>
      <c r="AL24" s="10381"/>
      <c r="AM24" s="10381"/>
      <c r="AN24" s="10381"/>
      <c r="AO24" s="10381"/>
      <c r="AP24" s="1681"/>
      <c r="BD24" s="1684"/>
      <c r="BE24" s="1684"/>
      <c r="BF24" s="1684"/>
      <c r="BG24" s="1684"/>
      <c r="BH24" s="1684"/>
      <c r="BI24" s="1684"/>
      <c r="BJ24" s="1684"/>
      <c r="BK24" s="1684"/>
      <c r="BL24" s="1684"/>
      <c r="BM24" s="1684"/>
      <c r="BN24" s="1684"/>
    </row>
    <row r="25" spans="1:66" ht="3.75" customHeight="1" thickTop="1">
      <c r="A25" s="1681"/>
      <c r="B25" s="10364" t="s">
        <v>518</v>
      </c>
      <c r="C25" s="10365"/>
      <c r="D25" s="10368"/>
      <c r="E25" s="10369"/>
      <c r="F25" s="10369"/>
      <c r="G25" s="10369"/>
      <c r="H25" s="10369"/>
      <c r="I25" s="10369"/>
      <c r="J25" s="10369"/>
      <c r="K25" s="10369"/>
      <c r="L25" s="10370"/>
      <c r="M25" s="1701"/>
      <c r="N25" s="1696"/>
      <c r="O25" s="1696"/>
      <c r="P25" s="1696"/>
      <c r="Q25" s="1696"/>
      <c r="R25" s="1696"/>
      <c r="S25" s="1696"/>
      <c r="T25" s="1696"/>
      <c r="U25" s="1696"/>
      <c r="V25" s="1696"/>
      <c r="W25" s="1696"/>
      <c r="X25" s="1696"/>
      <c r="Y25" s="1696"/>
      <c r="Z25" s="1696"/>
      <c r="AA25" s="1696"/>
      <c r="AB25" s="1696"/>
      <c r="AC25" s="1697"/>
      <c r="AD25" s="10368"/>
      <c r="AE25" s="10377"/>
      <c r="AF25" s="10377"/>
      <c r="AG25" s="10377"/>
      <c r="AH25" s="10377"/>
      <c r="AI25" s="10377"/>
      <c r="AJ25" s="10377"/>
      <c r="AK25" s="10377"/>
      <c r="AL25" s="10377"/>
      <c r="AM25" s="10377"/>
      <c r="AN25" s="10377"/>
      <c r="AO25" s="10377"/>
      <c r="AP25" s="1681"/>
      <c r="BD25" s="1684"/>
      <c r="BE25" s="1684"/>
      <c r="BF25" s="1684"/>
      <c r="BG25" s="1684"/>
      <c r="BH25" s="1684"/>
      <c r="BI25" s="1684"/>
      <c r="BJ25" s="1684"/>
      <c r="BK25" s="1684"/>
      <c r="BL25" s="1684"/>
      <c r="BM25" s="1684"/>
      <c r="BN25" s="1684"/>
    </row>
    <row r="26" spans="1:66" ht="14.25" customHeight="1" thickBot="1">
      <c r="A26" s="1681"/>
      <c r="B26" s="10366"/>
      <c r="C26" s="10366"/>
      <c r="D26" s="10371"/>
      <c r="E26" s="10372"/>
      <c r="F26" s="10372"/>
      <c r="G26" s="10372"/>
      <c r="H26" s="10372"/>
      <c r="I26" s="10372"/>
      <c r="J26" s="10372"/>
      <c r="K26" s="10372"/>
      <c r="L26" s="10373"/>
      <c r="M26" s="1702"/>
      <c r="N26" s="475"/>
      <c r="O26" s="475"/>
      <c r="P26" s="475"/>
      <c r="Q26" s="475"/>
      <c r="R26" s="475"/>
      <c r="S26" s="475"/>
      <c r="T26" s="1703"/>
      <c r="U26" s="475"/>
      <c r="V26" s="475"/>
      <c r="W26" s="475"/>
      <c r="X26" s="475"/>
      <c r="Y26" s="475"/>
      <c r="Z26" s="475"/>
      <c r="AA26" s="475"/>
      <c r="AB26" s="475"/>
      <c r="AC26" s="1704"/>
      <c r="AD26" s="10378"/>
      <c r="AE26" s="10379"/>
      <c r="AF26" s="10379"/>
      <c r="AG26" s="10379"/>
      <c r="AH26" s="10379"/>
      <c r="AI26" s="10379"/>
      <c r="AJ26" s="10379"/>
      <c r="AK26" s="10379"/>
      <c r="AL26" s="10379"/>
      <c r="AM26" s="10379"/>
      <c r="AN26" s="10379"/>
      <c r="AO26" s="10379"/>
      <c r="AP26" s="1681"/>
      <c r="BD26" s="1684"/>
      <c r="BE26" s="1684"/>
      <c r="BF26" s="1684"/>
      <c r="BG26" s="1684"/>
      <c r="BH26" s="1684"/>
      <c r="BI26" s="1684"/>
      <c r="BJ26" s="1684"/>
      <c r="BK26" s="1684"/>
      <c r="BL26" s="1684"/>
      <c r="BM26" s="1684"/>
      <c r="BN26" s="1684"/>
    </row>
    <row r="27" spans="1:66" ht="14.25" customHeight="1" thickTop="1" thickBot="1">
      <c r="A27" s="1681"/>
      <c r="B27" s="10367"/>
      <c r="C27" s="10367"/>
      <c r="D27" s="10374"/>
      <c r="E27" s="10375"/>
      <c r="F27" s="10375"/>
      <c r="G27" s="10375"/>
      <c r="H27" s="10375"/>
      <c r="I27" s="10375"/>
      <c r="J27" s="10375"/>
      <c r="K27" s="10375"/>
      <c r="L27" s="10376"/>
      <c r="M27" s="1706"/>
      <c r="N27" s="1706"/>
      <c r="O27" s="1706"/>
      <c r="P27" s="1706"/>
      <c r="Q27" s="1706"/>
      <c r="R27" s="1706"/>
      <c r="S27" s="1706"/>
      <c r="T27" s="1706"/>
      <c r="U27" s="1706"/>
      <c r="V27" s="1706"/>
      <c r="W27" s="1706"/>
      <c r="X27" s="1706"/>
      <c r="Y27" s="1706"/>
      <c r="Z27" s="1706"/>
      <c r="AA27" s="1706"/>
      <c r="AB27" s="1706"/>
      <c r="AC27" s="1706"/>
      <c r="AD27" s="10380"/>
      <c r="AE27" s="10381"/>
      <c r="AF27" s="10381"/>
      <c r="AG27" s="10381"/>
      <c r="AH27" s="10381"/>
      <c r="AI27" s="10381"/>
      <c r="AJ27" s="10381"/>
      <c r="AK27" s="10381"/>
      <c r="AL27" s="10381"/>
      <c r="AM27" s="10381"/>
      <c r="AN27" s="10381"/>
      <c r="AO27" s="10381"/>
      <c r="AP27" s="1681"/>
      <c r="BD27" s="1684"/>
      <c r="BE27" s="1684"/>
      <c r="BF27" s="1684"/>
      <c r="BG27" s="1684"/>
      <c r="BH27" s="1684"/>
      <c r="BI27" s="1684"/>
      <c r="BJ27" s="1684"/>
      <c r="BK27" s="1684"/>
      <c r="BL27" s="1684"/>
      <c r="BM27" s="1684"/>
      <c r="BN27" s="1684"/>
    </row>
    <row r="28" spans="1:66" ht="3.75" customHeight="1" thickTop="1">
      <c r="A28" s="1681"/>
      <c r="B28" s="10364" t="s">
        <v>521</v>
      </c>
      <c r="C28" s="10365"/>
      <c r="D28" s="10368"/>
      <c r="E28" s="10369"/>
      <c r="F28" s="10369"/>
      <c r="G28" s="10369"/>
      <c r="H28" s="10369"/>
      <c r="I28" s="10369"/>
      <c r="J28" s="10369"/>
      <c r="K28" s="10369"/>
      <c r="L28" s="10370"/>
      <c r="M28" s="1701"/>
      <c r="N28" s="1696"/>
      <c r="O28" s="1696"/>
      <c r="P28" s="1696"/>
      <c r="Q28" s="1696"/>
      <c r="R28" s="1696"/>
      <c r="S28" s="1696"/>
      <c r="T28" s="1696"/>
      <c r="U28" s="1696"/>
      <c r="V28" s="1696"/>
      <c r="W28" s="1696"/>
      <c r="X28" s="1696"/>
      <c r="Y28" s="1696"/>
      <c r="Z28" s="1696"/>
      <c r="AA28" s="1696"/>
      <c r="AB28" s="1696"/>
      <c r="AC28" s="1697"/>
      <c r="AD28" s="10368"/>
      <c r="AE28" s="10377"/>
      <c r="AF28" s="10377"/>
      <c r="AG28" s="10377"/>
      <c r="AH28" s="10377"/>
      <c r="AI28" s="10377"/>
      <c r="AJ28" s="10377"/>
      <c r="AK28" s="10377"/>
      <c r="AL28" s="10377"/>
      <c r="AM28" s="10377"/>
      <c r="AN28" s="10377"/>
      <c r="AO28" s="10377"/>
      <c r="AP28" s="1681"/>
      <c r="BD28" s="1684"/>
      <c r="BE28" s="1684"/>
      <c r="BF28" s="1684"/>
      <c r="BG28" s="1684"/>
      <c r="BH28" s="1684"/>
      <c r="BI28" s="1684"/>
      <c r="BJ28" s="1684"/>
      <c r="BK28" s="1684"/>
      <c r="BL28" s="1684"/>
      <c r="BM28" s="1684"/>
      <c r="BN28" s="1684"/>
    </row>
    <row r="29" spans="1:66" ht="14.25" customHeight="1" thickBot="1">
      <c r="A29" s="1681"/>
      <c r="B29" s="10366"/>
      <c r="C29" s="10366"/>
      <c r="D29" s="10371"/>
      <c r="E29" s="10372"/>
      <c r="F29" s="10372"/>
      <c r="G29" s="10372"/>
      <c r="H29" s="10372"/>
      <c r="I29" s="10372"/>
      <c r="J29" s="10372"/>
      <c r="K29" s="10372"/>
      <c r="L29" s="10373"/>
      <c r="M29" s="1702"/>
      <c r="N29" s="475"/>
      <c r="O29" s="475"/>
      <c r="P29" s="475"/>
      <c r="Q29" s="475"/>
      <c r="R29" s="475"/>
      <c r="S29" s="475"/>
      <c r="T29" s="1703"/>
      <c r="U29" s="475"/>
      <c r="V29" s="475"/>
      <c r="W29" s="475"/>
      <c r="X29" s="475"/>
      <c r="Y29" s="475"/>
      <c r="Z29" s="475"/>
      <c r="AA29" s="475"/>
      <c r="AB29" s="475"/>
      <c r="AC29" s="1704"/>
      <c r="AD29" s="10378"/>
      <c r="AE29" s="10379"/>
      <c r="AF29" s="10379"/>
      <c r="AG29" s="10379"/>
      <c r="AH29" s="10379"/>
      <c r="AI29" s="10379"/>
      <c r="AJ29" s="10379"/>
      <c r="AK29" s="10379"/>
      <c r="AL29" s="10379"/>
      <c r="AM29" s="10379"/>
      <c r="AN29" s="10379"/>
      <c r="AO29" s="10379"/>
      <c r="AP29" s="1681"/>
      <c r="BD29" s="1684"/>
      <c r="BE29" s="1684"/>
      <c r="BF29" s="1684"/>
      <c r="BG29" s="1684"/>
      <c r="BH29" s="1684"/>
      <c r="BI29" s="1684"/>
      <c r="BJ29" s="1684"/>
      <c r="BK29" s="1684"/>
      <c r="BL29" s="1684"/>
      <c r="BM29" s="1684"/>
      <c r="BN29" s="1684"/>
    </row>
    <row r="30" spans="1:66" ht="14.25" customHeight="1" thickTop="1" thickBot="1">
      <c r="A30" s="1681"/>
      <c r="B30" s="10367"/>
      <c r="C30" s="10367"/>
      <c r="D30" s="10374"/>
      <c r="E30" s="10375"/>
      <c r="F30" s="10375"/>
      <c r="G30" s="10375"/>
      <c r="H30" s="10375"/>
      <c r="I30" s="10375"/>
      <c r="J30" s="10375"/>
      <c r="K30" s="10375"/>
      <c r="L30" s="10376"/>
      <c r="M30" s="1706"/>
      <c r="N30" s="1706"/>
      <c r="O30" s="1706"/>
      <c r="P30" s="1706"/>
      <c r="Q30" s="1706"/>
      <c r="R30" s="1706"/>
      <c r="S30" s="1706"/>
      <c r="T30" s="1706"/>
      <c r="U30" s="1706"/>
      <c r="V30" s="1706"/>
      <c r="W30" s="1706"/>
      <c r="X30" s="1706"/>
      <c r="Y30" s="1706"/>
      <c r="Z30" s="1706"/>
      <c r="AA30" s="1706"/>
      <c r="AB30" s="1706"/>
      <c r="AC30" s="1706"/>
      <c r="AD30" s="10380"/>
      <c r="AE30" s="10381"/>
      <c r="AF30" s="10381"/>
      <c r="AG30" s="10381"/>
      <c r="AH30" s="10381"/>
      <c r="AI30" s="10381"/>
      <c r="AJ30" s="10381"/>
      <c r="AK30" s="10381"/>
      <c r="AL30" s="10381"/>
      <c r="AM30" s="10381"/>
      <c r="AN30" s="10381"/>
      <c r="AO30" s="10381"/>
      <c r="AP30" s="1681"/>
      <c r="BD30" s="1684"/>
      <c r="BE30" s="1684"/>
      <c r="BF30" s="1684"/>
      <c r="BG30" s="1684"/>
      <c r="BH30" s="1684"/>
      <c r="BI30" s="1684"/>
      <c r="BJ30" s="1684"/>
      <c r="BK30" s="1684"/>
      <c r="BL30" s="1684"/>
      <c r="BM30" s="1684"/>
      <c r="BN30" s="1684"/>
    </row>
    <row r="31" spans="1:66" ht="3.75" customHeight="1" thickTop="1">
      <c r="A31" s="1681"/>
      <c r="B31" s="10364" t="s">
        <v>524</v>
      </c>
      <c r="C31" s="10365"/>
      <c r="D31" s="10368"/>
      <c r="E31" s="10369"/>
      <c r="F31" s="10369"/>
      <c r="G31" s="10369"/>
      <c r="H31" s="10369"/>
      <c r="I31" s="10369"/>
      <c r="J31" s="10369"/>
      <c r="K31" s="10369"/>
      <c r="L31" s="10370"/>
      <c r="M31" s="1701"/>
      <c r="N31" s="1696"/>
      <c r="O31" s="1696"/>
      <c r="P31" s="1696"/>
      <c r="Q31" s="1696"/>
      <c r="R31" s="1696"/>
      <c r="S31" s="1696"/>
      <c r="T31" s="1696"/>
      <c r="U31" s="1696"/>
      <c r="V31" s="1696"/>
      <c r="W31" s="1696"/>
      <c r="X31" s="1696"/>
      <c r="Y31" s="1696"/>
      <c r="Z31" s="1696"/>
      <c r="AA31" s="1696"/>
      <c r="AB31" s="1696"/>
      <c r="AC31" s="1697"/>
      <c r="AD31" s="10368"/>
      <c r="AE31" s="10377"/>
      <c r="AF31" s="10377"/>
      <c r="AG31" s="10377"/>
      <c r="AH31" s="10377"/>
      <c r="AI31" s="10377"/>
      <c r="AJ31" s="10377"/>
      <c r="AK31" s="10377"/>
      <c r="AL31" s="10377"/>
      <c r="AM31" s="10377"/>
      <c r="AN31" s="10377"/>
      <c r="AO31" s="10377"/>
      <c r="AP31" s="1681"/>
      <c r="BD31" s="1684"/>
      <c r="BE31" s="1684"/>
      <c r="BF31" s="1684"/>
      <c r="BG31" s="1684"/>
      <c r="BH31" s="1684"/>
      <c r="BI31" s="1684"/>
      <c r="BJ31" s="1684"/>
      <c r="BK31" s="1684"/>
      <c r="BL31" s="1684"/>
      <c r="BM31" s="1684"/>
      <c r="BN31" s="1684"/>
    </row>
    <row r="32" spans="1:66" ht="14.25" customHeight="1" thickBot="1">
      <c r="A32" s="1681"/>
      <c r="B32" s="10366"/>
      <c r="C32" s="10366"/>
      <c r="D32" s="10371"/>
      <c r="E32" s="10372"/>
      <c r="F32" s="10372"/>
      <c r="G32" s="10372"/>
      <c r="H32" s="10372"/>
      <c r="I32" s="10372"/>
      <c r="J32" s="10372"/>
      <c r="K32" s="10372"/>
      <c r="L32" s="10373"/>
      <c r="M32" s="1702"/>
      <c r="N32" s="475"/>
      <c r="O32" s="475"/>
      <c r="P32" s="475"/>
      <c r="Q32" s="475"/>
      <c r="R32" s="475"/>
      <c r="S32" s="475"/>
      <c r="T32" s="1703"/>
      <c r="U32" s="475"/>
      <c r="V32" s="475"/>
      <c r="W32" s="475"/>
      <c r="X32" s="475"/>
      <c r="Y32" s="475"/>
      <c r="Z32" s="475"/>
      <c r="AA32" s="475"/>
      <c r="AB32" s="475"/>
      <c r="AC32" s="1704"/>
      <c r="AD32" s="10378"/>
      <c r="AE32" s="10379"/>
      <c r="AF32" s="10379"/>
      <c r="AG32" s="10379"/>
      <c r="AH32" s="10379"/>
      <c r="AI32" s="10379"/>
      <c r="AJ32" s="10379"/>
      <c r="AK32" s="10379"/>
      <c r="AL32" s="10379"/>
      <c r="AM32" s="10379"/>
      <c r="AN32" s="10379"/>
      <c r="AO32" s="10379"/>
      <c r="AP32" s="1681"/>
      <c r="BD32" s="1684"/>
      <c r="BE32" s="1684"/>
      <c r="BF32" s="1684"/>
      <c r="BG32" s="1684"/>
      <c r="BH32" s="1684"/>
      <c r="BI32" s="1684"/>
      <c r="BJ32" s="1684"/>
      <c r="BK32" s="1684"/>
      <c r="BL32" s="1684"/>
      <c r="BM32" s="1684"/>
      <c r="BN32" s="1684"/>
    </row>
    <row r="33" spans="1:66" ht="14.25" customHeight="1" thickTop="1" thickBot="1">
      <c r="A33" s="1681"/>
      <c r="B33" s="10367"/>
      <c r="C33" s="10367"/>
      <c r="D33" s="10374"/>
      <c r="E33" s="10375"/>
      <c r="F33" s="10375"/>
      <c r="G33" s="10375"/>
      <c r="H33" s="10375"/>
      <c r="I33" s="10375"/>
      <c r="J33" s="10375"/>
      <c r="K33" s="10375"/>
      <c r="L33" s="10376"/>
      <c r="M33" s="1706"/>
      <c r="N33" s="1706"/>
      <c r="O33" s="1706"/>
      <c r="P33" s="1706"/>
      <c r="Q33" s="1706"/>
      <c r="R33" s="1706"/>
      <c r="S33" s="1706"/>
      <c r="T33" s="1706"/>
      <c r="U33" s="1706"/>
      <c r="V33" s="1706"/>
      <c r="W33" s="1706"/>
      <c r="X33" s="1706"/>
      <c r="Y33" s="1706"/>
      <c r="Z33" s="1706"/>
      <c r="AA33" s="1706"/>
      <c r="AB33" s="1706"/>
      <c r="AC33" s="1706"/>
      <c r="AD33" s="10380"/>
      <c r="AE33" s="10381"/>
      <c r="AF33" s="10381"/>
      <c r="AG33" s="10381"/>
      <c r="AH33" s="10381"/>
      <c r="AI33" s="10381"/>
      <c r="AJ33" s="10381"/>
      <c r="AK33" s="10381"/>
      <c r="AL33" s="10381"/>
      <c r="AM33" s="10381"/>
      <c r="AN33" s="10381"/>
      <c r="AO33" s="10381"/>
      <c r="AP33" s="1681"/>
      <c r="BD33" s="1684"/>
      <c r="BE33" s="1684"/>
      <c r="BF33" s="1684"/>
      <c r="BG33" s="1684"/>
      <c r="BH33" s="1684"/>
      <c r="BI33" s="1684"/>
      <c r="BJ33" s="1684"/>
      <c r="BK33" s="1684"/>
      <c r="BL33" s="1684"/>
      <c r="BM33" s="1684"/>
      <c r="BN33" s="1684"/>
    </row>
    <row r="34" spans="1:66" s="1710" customFormat="1" ht="18.75" customHeight="1" thickTop="1">
      <c r="A34" s="1707"/>
      <c r="B34" s="1708" t="s">
        <v>947</v>
      </c>
      <c r="C34" s="1709"/>
      <c r="D34" s="1709" t="s">
        <v>3811</v>
      </c>
      <c r="E34" s="1709"/>
      <c r="F34" s="1709"/>
      <c r="G34" s="1709"/>
      <c r="H34" s="1709"/>
      <c r="I34" s="1709"/>
      <c r="J34" s="1709"/>
      <c r="K34" s="1709"/>
      <c r="L34" s="1709"/>
      <c r="M34" s="1709"/>
      <c r="N34" s="1709"/>
      <c r="O34" s="1709"/>
      <c r="P34" s="1709"/>
      <c r="Q34" s="1709"/>
      <c r="R34" s="1709"/>
      <c r="S34" s="1709"/>
      <c r="T34" s="1709"/>
      <c r="U34" s="1709"/>
      <c r="V34" s="1709"/>
      <c r="W34" s="1709"/>
      <c r="X34" s="1709"/>
      <c r="Y34" s="1709"/>
      <c r="Z34" s="1709"/>
      <c r="AA34" s="1709"/>
      <c r="AB34" s="1709"/>
      <c r="AC34" s="1709"/>
      <c r="AD34" s="1709"/>
      <c r="AE34" s="1709"/>
      <c r="AF34" s="1709"/>
      <c r="AG34" s="1709"/>
      <c r="AH34" s="1709"/>
      <c r="AI34" s="1709"/>
      <c r="AJ34" s="1709"/>
      <c r="AK34" s="1709"/>
      <c r="AL34" s="1709"/>
      <c r="AM34" s="1709"/>
      <c r="AN34" s="1709"/>
      <c r="AO34" s="1709"/>
      <c r="AP34" s="1707"/>
      <c r="BD34" s="1711"/>
      <c r="BE34" s="1711"/>
      <c r="BF34" s="1711"/>
      <c r="BG34" s="1711"/>
      <c r="BH34" s="1711"/>
      <c r="BI34" s="1711"/>
      <c r="BJ34" s="1711"/>
      <c r="BK34" s="1711"/>
      <c r="BL34" s="1711"/>
      <c r="BM34" s="1711"/>
      <c r="BN34" s="1711"/>
    </row>
    <row r="35" spans="1:66" ht="15" customHeight="1">
      <c r="A35" s="1681"/>
      <c r="B35" s="1712"/>
      <c r="C35" s="1713"/>
      <c r="D35" s="10397" t="s">
        <v>3812</v>
      </c>
      <c r="E35" s="10398"/>
      <c r="F35" s="10398"/>
      <c r="G35" s="10399"/>
      <c r="H35" s="10397" t="s">
        <v>3813</v>
      </c>
      <c r="I35" s="10398"/>
      <c r="J35" s="10398"/>
      <c r="K35" s="10398"/>
      <c r="L35" s="10403"/>
      <c r="M35" s="10397" t="s">
        <v>3814</v>
      </c>
      <c r="N35" s="10398"/>
      <c r="O35" s="10398"/>
      <c r="P35" s="10398"/>
      <c r="Q35" s="10398"/>
      <c r="R35" s="10398"/>
      <c r="S35" s="10399"/>
      <c r="T35" s="10397" t="s">
        <v>3815</v>
      </c>
      <c r="U35" s="10405"/>
      <c r="V35" s="10405"/>
      <c r="W35" s="10405"/>
      <c r="X35" s="10405"/>
      <c r="Y35" s="10405"/>
      <c r="Z35" s="10406"/>
      <c r="AA35" s="10397" t="s">
        <v>3816</v>
      </c>
      <c r="AB35" s="10410"/>
      <c r="AC35" s="10410"/>
      <c r="AD35" s="10410"/>
      <c r="AE35" s="10410"/>
      <c r="AF35" s="10410"/>
      <c r="AG35" s="10411"/>
      <c r="AH35" s="10397" t="s">
        <v>3817</v>
      </c>
      <c r="AI35" s="10410"/>
      <c r="AJ35" s="10410"/>
      <c r="AK35" s="10410"/>
      <c r="AL35" s="10410"/>
      <c r="AM35" s="10410"/>
      <c r="AN35" s="10410"/>
      <c r="AO35" s="10410"/>
      <c r="AP35" s="1681"/>
      <c r="BD35" s="1684"/>
      <c r="BE35" s="1684"/>
      <c r="BF35" s="1684"/>
      <c r="BG35" s="1684"/>
      <c r="BH35" s="1684"/>
      <c r="BI35" s="1684"/>
      <c r="BJ35" s="1684"/>
      <c r="BK35" s="1684"/>
      <c r="BL35" s="1684"/>
      <c r="BM35" s="1684"/>
      <c r="BN35" s="1684"/>
    </row>
    <row r="36" spans="1:66" ht="15" customHeight="1">
      <c r="A36" s="1681"/>
      <c r="B36" s="1714"/>
      <c r="C36" s="1715"/>
      <c r="D36" s="10400"/>
      <c r="E36" s="10401"/>
      <c r="F36" s="10401"/>
      <c r="G36" s="10402"/>
      <c r="H36" s="10400"/>
      <c r="I36" s="10401"/>
      <c r="J36" s="10401"/>
      <c r="K36" s="10401"/>
      <c r="L36" s="10404"/>
      <c r="M36" s="10400"/>
      <c r="N36" s="10401"/>
      <c r="O36" s="10401"/>
      <c r="P36" s="10401"/>
      <c r="Q36" s="10401"/>
      <c r="R36" s="10401"/>
      <c r="S36" s="10402"/>
      <c r="T36" s="10407"/>
      <c r="U36" s="10408"/>
      <c r="V36" s="10408"/>
      <c r="W36" s="10408"/>
      <c r="X36" s="10408"/>
      <c r="Y36" s="10408"/>
      <c r="Z36" s="10409"/>
      <c r="AA36" s="10412"/>
      <c r="AB36" s="10413"/>
      <c r="AC36" s="10413"/>
      <c r="AD36" s="10413"/>
      <c r="AE36" s="10413"/>
      <c r="AF36" s="10413"/>
      <c r="AG36" s="10414"/>
      <c r="AH36" s="10412"/>
      <c r="AI36" s="10413"/>
      <c r="AJ36" s="10413"/>
      <c r="AK36" s="10413"/>
      <c r="AL36" s="10413"/>
      <c r="AM36" s="10413"/>
      <c r="AN36" s="10413"/>
      <c r="AO36" s="10413"/>
      <c r="AP36" s="1681"/>
      <c r="BD36" s="1684"/>
      <c r="BE36" s="1684"/>
      <c r="BF36" s="1684"/>
      <c r="BG36" s="1684"/>
      <c r="BH36" s="1684"/>
      <c r="BI36" s="1684"/>
      <c r="BJ36" s="1684"/>
      <c r="BK36" s="1684"/>
      <c r="BL36" s="1684"/>
      <c r="BM36" s="1684"/>
      <c r="BN36" s="1684"/>
    </row>
    <row r="37" spans="1:66" ht="17.25" customHeight="1">
      <c r="A37" s="1681"/>
      <c r="B37" s="10417" t="s">
        <v>510</v>
      </c>
      <c r="C37" s="10418"/>
      <c r="D37" s="10419"/>
      <c r="E37" s="10420"/>
      <c r="F37" s="10420"/>
      <c r="G37" s="10421"/>
      <c r="H37" s="10422"/>
      <c r="I37" s="10423"/>
      <c r="J37" s="10423"/>
      <c r="K37" s="10423"/>
      <c r="L37" s="10424"/>
      <c r="M37" s="10415"/>
      <c r="N37" s="10416"/>
      <c r="O37" s="10416"/>
      <c r="P37" s="10416"/>
      <c r="Q37" s="10416"/>
      <c r="R37" s="10416"/>
      <c r="S37" s="10425"/>
      <c r="T37" s="10426"/>
      <c r="U37" s="10427"/>
      <c r="V37" s="10427"/>
      <c r="W37" s="10427"/>
      <c r="X37" s="10427"/>
      <c r="Y37" s="10427"/>
      <c r="Z37" s="10428"/>
      <c r="AA37" s="10426"/>
      <c r="AB37" s="10427"/>
      <c r="AC37" s="10427"/>
      <c r="AD37" s="10427"/>
      <c r="AE37" s="10427"/>
      <c r="AF37" s="10427"/>
      <c r="AG37" s="10428"/>
      <c r="AH37" s="10415"/>
      <c r="AI37" s="10416"/>
      <c r="AJ37" s="10416"/>
      <c r="AK37" s="10416"/>
      <c r="AL37" s="10416"/>
      <c r="AM37" s="10416"/>
      <c r="AN37" s="10416"/>
      <c r="AO37" s="10416"/>
      <c r="AP37" s="1681"/>
      <c r="BD37" s="1684"/>
      <c r="BE37" s="1684"/>
      <c r="BF37" s="1684"/>
      <c r="BG37" s="1684"/>
      <c r="BH37" s="1684"/>
      <c r="BI37" s="1684"/>
      <c r="BJ37" s="1684"/>
      <c r="BK37" s="1684"/>
      <c r="BL37" s="1684"/>
      <c r="BM37" s="1684"/>
      <c r="BN37" s="1684"/>
    </row>
    <row r="38" spans="1:66" ht="17.25" customHeight="1">
      <c r="A38" s="1681"/>
      <c r="B38" s="10417" t="s">
        <v>516</v>
      </c>
      <c r="C38" s="10418"/>
      <c r="D38" s="10419"/>
      <c r="E38" s="10420"/>
      <c r="F38" s="10420"/>
      <c r="G38" s="10421"/>
      <c r="H38" s="10422"/>
      <c r="I38" s="10423"/>
      <c r="J38" s="10423"/>
      <c r="K38" s="10423"/>
      <c r="L38" s="10424"/>
      <c r="M38" s="10415"/>
      <c r="N38" s="10416"/>
      <c r="O38" s="10416"/>
      <c r="P38" s="10416"/>
      <c r="Q38" s="10416"/>
      <c r="R38" s="10416"/>
      <c r="S38" s="10425"/>
      <c r="T38" s="10426"/>
      <c r="U38" s="10427"/>
      <c r="V38" s="10427"/>
      <c r="W38" s="10427"/>
      <c r="X38" s="10427"/>
      <c r="Y38" s="10427"/>
      <c r="Z38" s="10428"/>
      <c r="AA38" s="10426"/>
      <c r="AB38" s="10427"/>
      <c r="AC38" s="10427"/>
      <c r="AD38" s="10427"/>
      <c r="AE38" s="10427"/>
      <c r="AF38" s="10427"/>
      <c r="AG38" s="10428"/>
      <c r="AH38" s="10415"/>
      <c r="AI38" s="10416"/>
      <c r="AJ38" s="10416"/>
      <c r="AK38" s="10416"/>
      <c r="AL38" s="10416"/>
      <c r="AM38" s="10416"/>
      <c r="AN38" s="10416"/>
      <c r="AO38" s="10416"/>
      <c r="AP38" s="1681"/>
      <c r="BD38" s="1684"/>
      <c r="BE38" s="1684"/>
      <c r="BF38" s="1684"/>
      <c r="BG38" s="1684"/>
      <c r="BH38" s="1684"/>
      <c r="BI38" s="1684"/>
      <c r="BJ38" s="1684"/>
      <c r="BK38" s="1684"/>
      <c r="BL38" s="1684"/>
      <c r="BM38" s="1684"/>
      <c r="BN38" s="1684"/>
    </row>
    <row r="39" spans="1:66" ht="17.25" customHeight="1">
      <c r="A39" s="1681"/>
      <c r="B39" s="10417" t="s">
        <v>518</v>
      </c>
      <c r="C39" s="10418"/>
      <c r="D39" s="10419"/>
      <c r="E39" s="10420"/>
      <c r="F39" s="10420"/>
      <c r="G39" s="10421"/>
      <c r="H39" s="10422"/>
      <c r="I39" s="10423"/>
      <c r="J39" s="10423"/>
      <c r="K39" s="10423"/>
      <c r="L39" s="10424"/>
      <c r="M39" s="10415"/>
      <c r="N39" s="10416"/>
      <c r="O39" s="10416"/>
      <c r="P39" s="10416"/>
      <c r="Q39" s="10416"/>
      <c r="R39" s="10416"/>
      <c r="S39" s="10425"/>
      <c r="T39" s="10426"/>
      <c r="U39" s="10427"/>
      <c r="V39" s="10427"/>
      <c r="W39" s="10427"/>
      <c r="X39" s="10427"/>
      <c r="Y39" s="10427"/>
      <c r="Z39" s="10428"/>
      <c r="AA39" s="10426"/>
      <c r="AB39" s="10427"/>
      <c r="AC39" s="10427"/>
      <c r="AD39" s="10427"/>
      <c r="AE39" s="10427"/>
      <c r="AF39" s="10427"/>
      <c r="AG39" s="10428"/>
      <c r="AH39" s="10415"/>
      <c r="AI39" s="10416"/>
      <c r="AJ39" s="10416"/>
      <c r="AK39" s="10416"/>
      <c r="AL39" s="10416"/>
      <c r="AM39" s="10416"/>
      <c r="AN39" s="10416"/>
      <c r="AO39" s="10416"/>
      <c r="AP39" s="1681"/>
      <c r="BD39" s="1684"/>
      <c r="BE39" s="1684"/>
      <c r="BF39" s="1684"/>
      <c r="BG39" s="1684"/>
      <c r="BH39" s="1684"/>
      <c r="BI39" s="1684"/>
      <c r="BJ39" s="1684"/>
      <c r="BK39" s="1684"/>
      <c r="BL39" s="1684"/>
      <c r="BM39" s="1684"/>
      <c r="BN39" s="1684"/>
    </row>
    <row r="40" spans="1:66" ht="17.25" customHeight="1">
      <c r="A40" s="1681"/>
      <c r="B40" s="10417" t="s">
        <v>521</v>
      </c>
      <c r="C40" s="10418"/>
      <c r="D40" s="10419"/>
      <c r="E40" s="10420"/>
      <c r="F40" s="10420"/>
      <c r="G40" s="10421"/>
      <c r="H40" s="10422"/>
      <c r="I40" s="10423"/>
      <c r="J40" s="10423"/>
      <c r="K40" s="10423"/>
      <c r="L40" s="10424"/>
      <c r="M40" s="10415"/>
      <c r="N40" s="10416"/>
      <c r="O40" s="10416"/>
      <c r="P40" s="10416"/>
      <c r="Q40" s="10416"/>
      <c r="R40" s="10416"/>
      <c r="S40" s="10425"/>
      <c r="T40" s="10426"/>
      <c r="U40" s="10427"/>
      <c r="V40" s="10427"/>
      <c r="W40" s="10427"/>
      <c r="X40" s="10427"/>
      <c r="Y40" s="10427"/>
      <c r="Z40" s="10428"/>
      <c r="AA40" s="10426"/>
      <c r="AB40" s="10427"/>
      <c r="AC40" s="10427"/>
      <c r="AD40" s="10427"/>
      <c r="AE40" s="10427"/>
      <c r="AF40" s="10427"/>
      <c r="AG40" s="10428"/>
      <c r="AH40" s="10415"/>
      <c r="AI40" s="10416"/>
      <c r="AJ40" s="10416"/>
      <c r="AK40" s="10416"/>
      <c r="AL40" s="10416"/>
      <c r="AM40" s="10416"/>
      <c r="AN40" s="10416"/>
      <c r="AO40" s="10416"/>
      <c r="AP40" s="1681"/>
      <c r="BD40" s="1684"/>
      <c r="BE40" s="1684"/>
      <c r="BF40" s="1684"/>
      <c r="BG40" s="1684"/>
      <c r="BH40" s="1684"/>
      <c r="BI40" s="1684"/>
      <c r="BJ40" s="1684"/>
      <c r="BK40" s="1684"/>
      <c r="BL40" s="1684"/>
      <c r="BM40" s="1684"/>
      <c r="BN40" s="1684"/>
    </row>
    <row r="41" spans="1:66" ht="17.25" customHeight="1" thickBot="1">
      <c r="A41" s="1681"/>
      <c r="B41" s="10435" t="s">
        <v>524</v>
      </c>
      <c r="C41" s="10436"/>
      <c r="D41" s="10437"/>
      <c r="E41" s="10438"/>
      <c r="F41" s="10438"/>
      <c r="G41" s="10439"/>
      <c r="H41" s="10440"/>
      <c r="I41" s="10441"/>
      <c r="J41" s="10441"/>
      <c r="K41" s="10441"/>
      <c r="L41" s="10442"/>
      <c r="M41" s="10429"/>
      <c r="N41" s="10430"/>
      <c r="O41" s="10430"/>
      <c r="P41" s="10430"/>
      <c r="Q41" s="10430"/>
      <c r="R41" s="10430"/>
      <c r="S41" s="10443"/>
      <c r="T41" s="10444"/>
      <c r="U41" s="10445"/>
      <c r="V41" s="10445"/>
      <c r="W41" s="10445"/>
      <c r="X41" s="10445"/>
      <c r="Y41" s="10445"/>
      <c r="Z41" s="10446"/>
      <c r="AA41" s="10444"/>
      <c r="AB41" s="10445"/>
      <c r="AC41" s="10445"/>
      <c r="AD41" s="10445"/>
      <c r="AE41" s="10445"/>
      <c r="AF41" s="10445"/>
      <c r="AG41" s="10446"/>
      <c r="AH41" s="10429"/>
      <c r="AI41" s="10430"/>
      <c r="AJ41" s="10430"/>
      <c r="AK41" s="10430"/>
      <c r="AL41" s="10430"/>
      <c r="AM41" s="10430"/>
      <c r="AN41" s="10430"/>
      <c r="AO41" s="10430"/>
      <c r="AP41" s="1681"/>
      <c r="BD41" s="1684"/>
      <c r="BE41" s="1684"/>
      <c r="BF41" s="1684"/>
      <c r="BG41" s="1684"/>
      <c r="BH41" s="1684"/>
      <c r="BI41" s="1684"/>
      <c r="BJ41" s="1684"/>
      <c r="BK41" s="1684"/>
      <c r="BL41" s="1684"/>
      <c r="BM41" s="1684"/>
      <c r="BN41" s="1684"/>
    </row>
    <row r="42" spans="1:66" ht="17.25" customHeight="1">
      <c r="A42" s="1681"/>
      <c r="B42" s="1691" t="s">
        <v>3818</v>
      </c>
      <c r="C42" s="475"/>
      <c r="D42" s="475"/>
      <c r="E42" s="475"/>
      <c r="F42" s="1717" t="s">
        <v>3819</v>
      </c>
      <c r="G42" s="475"/>
      <c r="H42" s="475"/>
      <c r="I42" s="475"/>
      <c r="J42" s="475"/>
      <c r="K42" s="475"/>
      <c r="L42" s="475"/>
      <c r="M42" s="475"/>
      <c r="N42" s="475"/>
      <c r="O42" s="475"/>
      <c r="P42" s="475"/>
      <c r="Q42" s="475"/>
      <c r="R42" s="475"/>
      <c r="S42" s="475"/>
      <c r="T42" s="475"/>
      <c r="U42" s="475"/>
      <c r="V42" s="475"/>
      <c r="W42" s="475"/>
      <c r="X42" s="475"/>
      <c r="Y42" s="475"/>
      <c r="Z42" s="475"/>
      <c r="AA42" s="475"/>
      <c r="AB42" s="475"/>
      <c r="AC42" s="475"/>
      <c r="AD42" s="475"/>
      <c r="AE42" s="475"/>
      <c r="AF42" s="475"/>
      <c r="AG42" s="475"/>
      <c r="AH42" s="475"/>
      <c r="AI42" s="475"/>
      <c r="AJ42" s="475"/>
      <c r="AK42" s="475"/>
      <c r="AL42" s="475"/>
      <c r="AM42" s="475"/>
      <c r="AN42" s="475"/>
      <c r="AO42" s="475"/>
      <c r="AP42" s="1681"/>
      <c r="BD42" s="1684"/>
      <c r="BE42" s="1684"/>
      <c r="BF42" s="1684"/>
      <c r="BG42" s="1684"/>
      <c r="BH42" s="1684"/>
      <c r="BI42" s="1684"/>
      <c r="BJ42" s="1684"/>
      <c r="BK42" s="1684"/>
      <c r="BL42" s="1684"/>
      <c r="BM42" s="1684"/>
      <c r="BN42" s="1684"/>
    </row>
    <row r="43" spans="1:66" ht="12.75" customHeight="1">
      <c r="A43" s="1681"/>
      <c r="B43" s="475"/>
      <c r="C43" s="475"/>
      <c r="D43" s="475"/>
      <c r="E43" s="475"/>
      <c r="F43" s="1717" t="s">
        <v>5115</v>
      </c>
      <c r="G43" s="475"/>
      <c r="H43" s="475"/>
      <c r="I43" s="475"/>
      <c r="J43" s="475"/>
      <c r="K43" s="475"/>
      <c r="L43" s="475"/>
      <c r="M43" s="475"/>
      <c r="N43" s="475"/>
      <c r="O43" s="475"/>
      <c r="P43" s="475"/>
      <c r="Q43" s="475"/>
      <c r="R43" s="475"/>
      <c r="S43" s="475"/>
      <c r="T43" s="475"/>
      <c r="U43" s="475"/>
      <c r="V43" s="475"/>
      <c r="W43" s="475"/>
      <c r="X43" s="475"/>
      <c r="Y43" s="475"/>
      <c r="Z43" s="475"/>
      <c r="AA43" s="475"/>
      <c r="AB43" s="475"/>
      <c r="AC43" s="475"/>
      <c r="AD43" s="475"/>
      <c r="AE43" s="475"/>
      <c r="AF43" s="475"/>
      <c r="AG43" s="475"/>
      <c r="AH43" s="475"/>
      <c r="AI43" s="475"/>
      <c r="AJ43" s="475"/>
      <c r="AK43" s="475"/>
      <c r="AL43" s="475"/>
      <c r="AM43" s="475"/>
      <c r="AN43" s="475"/>
      <c r="AO43" s="475"/>
      <c r="AP43" s="1681"/>
      <c r="BD43" s="1684"/>
      <c r="BE43" s="1684"/>
      <c r="BF43" s="1684"/>
      <c r="BG43" s="1684"/>
      <c r="BH43" s="1684"/>
      <c r="BI43" s="1684"/>
      <c r="BJ43" s="1684"/>
      <c r="BK43" s="1684"/>
      <c r="BL43" s="1684"/>
      <c r="BM43" s="1684"/>
      <c r="BN43" s="1684"/>
    </row>
    <row r="44" spans="1:66" ht="12.75" customHeight="1">
      <c r="A44" s="1681"/>
      <c r="B44" s="475"/>
      <c r="C44" s="475"/>
      <c r="D44" s="475"/>
      <c r="E44" s="475"/>
      <c r="F44" s="1718" t="s">
        <v>5116</v>
      </c>
      <c r="G44" s="475"/>
      <c r="H44" s="475"/>
      <c r="I44" s="475"/>
      <c r="J44" s="475"/>
      <c r="K44" s="475"/>
      <c r="L44" s="475"/>
      <c r="M44" s="475"/>
      <c r="N44" s="475"/>
      <c r="O44" s="475"/>
      <c r="P44" s="475"/>
      <c r="Q44" s="475"/>
      <c r="R44" s="475"/>
      <c r="S44" s="475"/>
      <c r="T44" s="475"/>
      <c r="U44" s="475"/>
      <c r="V44" s="475"/>
      <c r="W44" s="475"/>
      <c r="X44" s="475"/>
      <c r="Y44" s="475"/>
      <c r="Z44" s="475"/>
      <c r="AA44" s="475"/>
      <c r="AB44" s="475"/>
      <c r="AC44" s="475"/>
      <c r="AD44" s="475"/>
      <c r="AE44" s="475"/>
      <c r="AF44" s="475"/>
      <c r="AG44" s="475"/>
      <c r="AH44" s="475"/>
      <c r="AI44" s="475"/>
      <c r="AJ44" s="475"/>
      <c r="AK44" s="475"/>
      <c r="AL44" s="475"/>
      <c r="AM44" s="475"/>
      <c r="AN44" s="475"/>
      <c r="AO44" s="475"/>
      <c r="AP44" s="1681"/>
      <c r="BD44" s="1684"/>
      <c r="BE44" s="1684"/>
      <c r="BF44" s="1684"/>
      <c r="BG44" s="1684"/>
      <c r="BH44" s="1684"/>
      <c r="BI44" s="1684"/>
      <c r="BJ44" s="1684"/>
      <c r="BK44" s="1684"/>
      <c r="BL44" s="1684"/>
      <c r="BM44" s="1684"/>
      <c r="BN44" s="1684"/>
    </row>
    <row r="45" spans="1:66" ht="12.75" customHeight="1">
      <c r="A45" s="1681"/>
      <c r="B45" s="475"/>
      <c r="C45" s="475"/>
      <c r="D45" s="475"/>
      <c r="E45" s="475"/>
      <c r="F45" s="1718" t="s">
        <v>5117</v>
      </c>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c r="AD45" s="475"/>
      <c r="AE45" s="475"/>
      <c r="AF45" s="475"/>
      <c r="AG45" s="475"/>
      <c r="AH45" s="475"/>
      <c r="AI45" s="475"/>
      <c r="AJ45" s="475"/>
      <c r="AK45" s="475"/>
      <c r="AL45" s="475"/>
      <c r="AM45" s="475"/>
      <c r="AN45" s="475"/>
      <c r="AO45" s="475"/>
      <c r="AP45" s="1681"/>
      <c r="BD45" s="1684"/>
      <c r="BE45" s="1684"/>
      <c r="BF45" s="1684"/>
      <c r="BG45" s="1684"/>
      <c r="BH45" s="1684"/>
      <c r="BI45" s="1684"/>
      <c r="BJ45" s="1684"/>
      <c r="BK45" s="1684"/>
      <c r="BL45" s="1684"/>
      <c r="BM45" s="1684"/>
      <c r="BN45" s="1684"/>
    </row>
    <row r="46" spans="1:66" ht="12.75" customHeight="1">
      <c r="A46" s="1681"/>
      <c r="B46" s="475"/>
      <c r="C46" s="475"/>
      <c r="D46" s="475"/>
      <c r="E46" s="475"/>
      <c r="F46" s="1718" t="s">
        <v>5118</v>
      </c>
      <c r="G46" s="475"/>
      <c r="H46" s="475"/>
      <c r="I46" s="475"/>
      <c r="J46" s="475"/>
      <c r="K46" s="475"/>
      <c r="L46" s="475"/>
      <c r="M46" s="475"/>
      <c r="N46" s="475"/>
      <c r="O46" s="475"/>
      <c r="P46" s="475"/>
      <c r="Q46" s="475"/>
      <c r="R46" s="475"/>
      <c r="S46" s="475"/>
      <c r="T46" s="475"/>
      <c r="U46" s="475"/>
      <c r="V46" s="475"/>
      <c r="W46" s="475"/>
      <c r="X46" s="475"/>
      <c r="Y46" s="475"/>
      <c r="Z46" s="475"/>
      <c r="AA46" s="475"/>
      <c r="AB46" s="475"/>
      <c r="AC46" s="475"/>
      <c r="AD46" s="475"/>
      <c r="AE46" s="475"/>
      <c r="AF46" s="475"/>
      <c r="AG46" s="475"/>
      <c r="AH46" s="475"/>
      <c r="AI46" s="475"/>
      <c r="AJ46" s="475"/>
      <c r="AK46" s="475"/>
      <c r="AL46" s="475"/>
      <c r="AM46" s="475"/>
      <c r="AN46" s="475"/>
      <c r="AO46" s="475"/>
      <c r="AP46" s="1681"/>
      <c r="BD46" s="1684"/>
      <c r="BE46" s="1684"/>
      <c r="BF46" s="1684"/>
      <c r="BG46" s="1684"/>
      <c r="BH46" s="1684"/>
      <c r="BI46" s="1684"/>
      <c r="BJ46" s="1684"/>
      <c r="BK46" s="1684"/>
      <c r="BL46" s="1684"/>
      <c r="BM46" s="1684"/>
      <c r="BN46" s="1684"/>
    </row>
    <row r="47" spans="1:66" s="1695" customFormat="1" ht="18.75" customHeight="1">
      <c r="A47" s="1693"/>
      <c r="B47" s="10431" t="s">
        <v>780</v>
      </c>
      <c r="C47" s="10431"/>
      <c r="D47" s="10432"/>
      <c r="E47" s="1694"/>
      <c r="F47" s="1719" t="s">
        <v>3820</v>
      </c>
      <c r="G47" s="1694"/>
      <c r="H47" s="1694"/>
      <c r="I47" s="1694"/>
      <c r="J47" s="1694"/>
      <c r="K47" s="1694"/>
      <c r="L47" s="1694"/>
      <c r="M47" s="1694"/>
      <c r="N47" s="1694"/>
      <c r="O47" s="1694"/>
      <c r="P47" s="1694"/>
      <c r="Q47" s="1694"/>
      <c r="R47" s="1694"/>
      <c r="S47" s="1694"/>
      <c r="T47" s="1694"/>
      <c r="U47" s="1694"/>
      <c r="V47" s="1694"/>
      <c r="W47" s="1694"/>
      <c r="X47" s="1694"/>
      <c r="Y47" s="1694"/>
      <c r="Z47" s="1694"/>
      <c r="AA47" s="1694"/>
      <c r="AB47" s="1694"/>
      <c r="AC47" s="1694"/>
      <c r="AD47" s="1694"/>
      <c r="AE47" s="1694"/>
      <c r="AF47" s="1694"/>
      <c r="AG47" s="1694"/>
      <c r="AH47" s="1694"/>
      <c r="AI47" s="1694"/>
      <c r="AJ47" s="1694"/>
      <c r="AK47" s="1694"/>
      <c r="AL47" s="1694"/>
      <c r="AM47" s="1694"/>
      <c r="AN47" s="1694"/>
      <c r="AO47" s="1694"/>
      <c r="AP47" s="1681"/>
      <c r="BD47" s="1684"/>
      <c r="BE47" s="1684"/>
      <c r="BF47" s="1684"/>
      <c r="BG47" s="1684"/>
      <c r="BH47" s="1684"/>
      <c r="BI47" s="1684"/>
      <c r="BJ47" s="1684"/>
      <c r="BK47" s="1684"/>
      <c r="BL47" s="1684"/>
      <c r="BM47" s="1684"/>
      <c r="BN47" s="1684"/>
    </row>
    <row r="48" spans="1:66" ht="15">
      <c r="A48" s="1681"/>
      <c r="B48" s="10433">
        <v>2</v>
      </c>
      <c r="C48" s="10434"/>
      <c r="D48" s="1718" t="s">
        <v>5119</v>
      </c>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c r="AF48" s="475"/>
      <c r="AG48" s="475"/>
      <c r="AH48" s="475"/>
      <c r="AI48" s="475"/>
      <c r="AJ48" s="475"/>
      <c r="AK48" s="475"/>
      <c r="AL48" s="475"/>
      <c r="AM48" s="475"/>
      <c r="AN48" s="475"/>
      <c r="AO48" s="475"/>
      <c r="AP48" s="1681"/>
      <c r="BD48" s="1684"/>
      <c r="BE48" s="1684"/>
      <c r="BF48" s="1684"/>
      <c r="BG48" s="1684"/>
      <c r="BH48" s="1684"/>
      <c r="BI48" s="1684"/>
      <c r="BJ48" s="1684"/>
      <c r="BK48" s="1684"/>
      <c r="BL48" s="1684"/>
      <c r="BM48" s="1684"/>
      <c r="BN48" s="1684"/>
    </row>
    <row r="49" spans="1:66" ht="6" customHeight="1">
      <c r="A49" s="1681"/>
      <c r="B49" s="1720"/>
      <c r="C49" s="1721"/>
      <c r="D49" s="1718"/>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c r="AF49" s="475"/>
      <c r="AG49" s="475"/>
      <c r="AH49" s="475"/>
      <c r="AI49" s="475"/>
      <c r="AJ49" s="475"/>
      <c r="AK49" s="475"/>
      <c r="AL49" s="475"/>
      <c r="AM49" s="475"/>
      <c r="AN49" s="475"/>
      <c r="AO49" s="475"/>
      <c r="AP49" s="1681"/>
      <c r="BD49" s="1684"/>
      <c r="BE49" s="1684"/>
      <c r="BF49" s="1684"/>
      <c r="BG49" s="1684"/>
      <c r="BH49" s="1684"/>
      <c r="BI49" s="1684"/>
      <c r="BJ49" s="1684"/>
      <c r="BK49" s="1684"/>
      <c r="BL49" s="1684"/>
      <c r="BM49" s="1684"/>
      <c r="BN49" s="1684"/>
    </row>
    <row r="50" spans="1:66" ht="15">
      <c r="A50" s="1681"/>
      <c r="B50" s="10433"/>
      <c r="C50" s="10434"/>
      <c r="D50" s="1722" t="s">
        <v>588</v>
      </c>
      <c r="E50" s="1723"/>
      <c r="F50" s="1724" t="s">
        <v>5120</v>
      </c>
      <c r="G50" s="475"/>
      <c r="H50" s="475"/>
      <c r="I50" s="475"/>
      <c r="J50" s="475"/>
      <c r="K50" s="475"/>
      <c r="L50" s="475"/>
      <c r="M50" s="475"/>
      <c r="N50" s="475"/>
      <c r="O50" s="475"/>
      <c r="P50" s="1722" t="s">
        <v>603</v>
      </c>
      <c r="Q50" s="1723"/>
      <c r="R50" s="1724" t="s">
        <v>3821</v>
      </c>
      <c r="S50" s="475"/>
      <c r="T50" s="475"/>
      <c r="U50" s="475"/>
      <c r="V50" s="475"/>
      <c r="W50" s="475"/>
      <c r="X50" s="475"/>
      <c r="Y50" s="475"/>
      <c r="Z50" s="475"/>
      <c r="AA50" s="475"/>
      <c r="AB50" s="475"/>
      <c r="AC50" s="475"/>
      <c r="AD50" s="1722" t="s">
        <v>619</v>
      </c>
      <c r="AE50" s="1723"/>
      <c r="AF50" s="1724" t="s">
        <v>3822</v>
      </c>
      <c r="AG50" s="475"/>
      <c r="AH50" s="475"/>
      <c r="AI50" s="475"/>
      <c r="AJ50" s="475"/>
      <c r="AK50" s="475"/>
      <c r="AL50" s="475"/>
      <c r="AM50" s="475"/>
      <c r="AN50" s="475"/>
      <c r="AO50" s="475"/>
      <c r="AP50" s="1681"/>
      <c r="BD50" s="1684"/>
      <c r="BE50" s="1684"/>
      <c r="BF50" s="1684"/>
      <c r="BG50" s="1684"/>
      <c r="BH50" s="1684"/>
      <c r="BI50" s="1684"/>
      <c r="BJ50" s="1684"/>
      <c r="BK50" s="1684"/>
      <c r="BL50" s="1684"/>
      <c r="BM50" s="1684"/>
      <c r="BN50" s="1684"/>
    </row>
    <row r="51" spans="1:66" ht="6" customHeight="1">
      <c r="A51" s="1681"/>
      <c r="B51" s="1720"/>
      <c r="C51" s="1721"/>
      <c r="D51" s="1718"/>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c r="AC51" s="475"/>
      <c r="AD51" s="475"/>
      <c r="AE51" s="475"/>
      <c r="AF51" s="475"/>
      <c r="AG51" s="475"/>
      <c r="AH51" s="475"/>
      <c r="AI51" s="475"/>
      <c r="AJ51" s="475"/>
      <c r="AK51" s="475"/>
      <c r="AL51" s="475"/>
      <c r="AM51" s="475"/>
      <c r="AN51" s="475"/>
      <c r="AO51" s="475"/>
      <c r="AP51" s="1681"/>
      <c r="BD51" s="1684"/>
      <c r="BE51" s="1684"/>
      <c r="BF51" s="1684"/>
      <c r="BG51" s="1684"/>
      <c r="BH51" s="1684"/>
      <c r="BI51" s="1684"/>
      <c r="BJ51" s="1684"/>
      <c r="BK51" s="1684"/>
      <c r="BL51" s="1684"/>
      <c r="BM51" s="1684"/>
      <c r="BN51" s="1684"/>
    </row>
    <row r="52" spans="1:66" ht="15">
      <c r="A52" s="1681"/>
      <c r="B52" s="10433"/>
      <c r="C52" s="10434"/>
      <c r="D52" s="1722" t="s">
        <v>592</v>
      </c>
      <c r="E52" s="1723"/>
      <c r="F52" s="1724" t="s">
        <v>3823</v>
      </c>
      <c r="G52" s="475"/>
      <c r="H52" s="475"/>
      <c r="I52" s="475"/>
      <c r="J52" s="475"/>
      <c r="K52" s="475"/>
      <c r="L52" s="475"/>
      <c r="M52" s="475"/>
      <c r="N52" s="475"/>
      <c r="O52" s="475"/>
      <c r="P52" s="1722" t="s">
        <v>606</v>
      </c>
      <c r="Q52" s="1723"/>
      <c r="R52" s="1724" t="s">
        <v>3824</v>
      </c>
      <c r="S52" s="475"/>
      <c r="T52" s="475"/>
      <c r="U52" s="475"/>
      <c r="V52" s="475"/>
      <c r="W52" s="475"/>
      <c r="X52" s="475"/>
      <c r="Y52" s="475"/>
      <c r="Z52" s="475"/>
      <c r="AA52" s="475"/>
      <c r="AB52" s="475"/>
      <c r="AC52" s="475"/>
      <c r="AD52" s="1722" t="s">
        <v>822</v>
      </c>
      <c r="AE52" s="1723"/>
      <c r="AF52" s="1724" t="s">
        <v>5121</v>
      </c>
      <c r="AG52" s="475"/>
      <c r="AH52" s="475"/>
      <c r="AI52" s="475"/>
      <c r="AJ52" s="475"/>
      <c r="AK52" s="475"/>
      <c r="AL52" s="475"/>
      <c r="AM52" s="475"/>
      <c r="AN52" s="475"/>
      <c r="AO52" s="475"/>
      <c r="AP52" s="1681"/>
      <c r="BD52" s="1684"/>
      <c r="BE52" s="1684"/>
      <c r="BF52" s="1684"/>
      <c r="BG52" s="1684"/>
      <c r="BH52" s="1684"/>
      <c r="BI52" s="1684"/>
      <c r="BJ52" s="1684"/>
      <c r="BK52" s="1684"/>
      <c r="BL52" s="1684"/>
      <c r="BM52" s="1684"/>
      <c r="BN52" s="1684"/>
    </row>
    <row r="53" spans="1:66" ht="6" customHeight="1">
      <c r="A53" s="1681"/>
      <c r="B53" s="1720"/>
      <c r="C53" s="1721"/>
      <c r="D53" s="1718"/>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c r="AC53" s="475"/>
      <c r="AD53" s="475"/>
      <c r="AE53" s="475"/>
      <c r="AF53" s="475"/>
      <c r="AG53" s="475"/>
      <c r="AH53" s="475"/>
      <c r="AI53" s="475"/>
      <c r="AJ53" s="475"/>
      <c r="AK53" s="475"/>
      <c r="AL53" s="475"/>
      <c r="AM53" s="475"/>
      <c r="AN53" s="475"/>
      <c r="AO53" s="475"/>
      <c r="AP53" s="1681"/>
      <c r="BD53" s="1684"/>
      <c r="BE53" s="1684"/>
      <c r="BF53" s="1684"/>
      <c r="BG53" s="1684"/>
      <c r="BH53" s="1684"/>
      <c r="BI53" s="1684"/>
      <c r="BJ53" s="1684"/>
      <c r="BK53" s="1684"/>
      <c r="BL53" s="1684"/>
      <c r="BM53" s="1684"/>
      <c r="BN53" s="1684"/>
    </row>
    <row r="54" spans="1:66" ht="15">
      <c r="A54" s="1681"/>
      <c r="B54" s="10433"/>
      <c r="C54" s="10434"/>
      <c r="D54" s="1722" t="s">
        <v>595</v>
      </c>
      <c r="E54" s="1723"/>
      <c r="F54" s="1724" t="s">
        <v>3825</v>
      </c>
      <c r="G54" s="475"/>
      <c r="H54" s="475"/>
      <c r="I54" s="475"/>
      <c r="J54" s="475"/>
      <c r="K54" s="475"/>
      <c r="L54" s="475"/>
      <c r="M54" s="475"/>
      <c r="N54" s="475"/>
      <c r="O54" s="475"/>
      <c r="P54" s="1722" t="s">
        <v>610</v>
      </c>
      <c r="Q54" s="1723"/>
      <c r="R54" s="1724" t="s">
        <v>5122</v>
      </c>
      <c r="S54" s="475"/>
      <c r="T54" s="475"/>
      <c r="U54" s="475"/>
      <c r="V54" s="475"/>
      <c r="W54" s="475"/>
      <c r="X54" s="475"/>
      <c r="Y54" s="475"/>
      <c r="Z54" s="475"/>
      <c r="AA54" s="475"/>
      <c r="AB54" s="475"/>
      <c r="AC54" s="475"/>
      <c r="AD54" s="1722" t="s">
        <v>826</v>
      </c>
      <c r="AE54" s="1723"/>
      <c r="AF54" s="1724" t="s">
        <v>3826</v>
      </c>
      <c r="AG54" s="475"/>
      <c r="AH54" s="475"/>
      <c r="AI54" s="475"/>
      <c r="AJ54" s="475"/>
      <c r="AK54" s="475"/>
      <c r="AL54" s="475"/>
      <c r="AM54" s="475"/>
      <c r="AN54" s="475"/>
      <c r="AO54" s="475"/>
      <c r="AP54" s="1681"/>
      <c r="BD54" s="1684"/>
      <c r="BE54" s="1684"/>
      <c r="BF54" s="1684"/>
      <c r="BG54" s="1684"/>
      <c r="BH54" s="1684"/>
      <c r="BI54" s="1684"/>
      <c r="BJ54" s="1684"/>
      <c r="BK54" s="1684"/>
      <c r="BL54" s="1684"/>
      <c r="BM54" s="1684"/>
      <c r="BN54" s="1684"/>
    </row>
    <row r="55" spans="1:66" ht="6" customHeight="1">
      <c r="A55" s="1681"/>
      <c r="B55" s="1720"/>
      <c r="C55" s="1721"/>
      <c r="D55" s="1718"/>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c r="AC55" s="475"/>
      <c r="AD55" s="475"/>
      <c r="AE55" s="475"/>
      <c r="AF55" s="475"/>
      <c r="AG55" s="475"/>
      <c r="AH55" s="475"/>
      <c r="AI55" s="475"/>
      <c r="AJ55" s="475"/>
      <c r="AK55" s="475"/>
      <c r="AL55" s="475"/>
      <c r="AM55" s="475"/>
      <c r="AN55" s="475"/>
      <c r="AO55" s="475"/>
      <c r="AP55" s="1681"/>
      <c r="BD55" s="1684"/>
      <c r="BE55" s="1684"/>
      <c r="BF55" s="1684"/>
      <c r="BG55" s="1684"/>
      <c r="BH55" s="1684"/>
      <c r="BI55" s="1684"/>
      <c r="BJ55" s="1684"/>
      <c r="BK55" s="1684"/>
      <c r="BL55" s="1684"/>
      <c r="BM55" s="1684"/>
      <c r="BN55" s="1684"/>
    </row>
    <row r="56" spans="1:66" ht="15">
      <c r="A56" s="1681"/>
      <c r="B56" s="10433"/>
      <c r="C56" s="10434"/>
      <c r="D56" s="1722" t="s">
        <v>599</v>
      </c>
      <c r="E56" s="1723"/>
      <c r="F56" s="1724" t="s">
        <v>3827</v>
      </c>
      <c r="G56" s="475"/>
      <c r="H56" s="475"/>
      <c r="I56" s="475"/>
      <c r="J56" s="475"/>
      <c r="K56" s="475"/>
      <c r="L56" s="475"/>
      <c r="M56" s="475"/>
      <c r="N56" s="475"/>
      <c r="O56" s="475"/>
      <c r="P56" s="1722" t="s">
        <v>615</v>
      </c>
      <c r="Q56" s="1723"/>
      <c r="R56" s="1724" t="s">
        <v>3828</v>
      </c>
      <c r="S56" s="475"/>
      <c r="T56" s="475"/>
      <c r="U56" s="475"/>
      <c r="V56" s="475"/>
      <c r="W56" s="475"/>
      <c r="X56" s="475"/>
      <c r="Y56" s="475"/>
      <c r="Z56" s="475"/>
      <c r="AA56" s="475"/>
      <c r="AB56" s="475"/>
      <c r="AC56" s="475"/>
      <c r="AD56" s="475"/>
      <c r="AE56" s="475"/>
      <c r="AF56" s="475"/>
      <c r="AG56" s="475"/>
      <c r="AH56" s="475"/>
      <c r="AI56" s="475"/>
      <c r="AJ56" s="475"/>
      <c r="AK56" s="475"/>
      <c r="AL56" s="475"/>
      <c r="AM56" s="475"/>
      <c r="AN56" s="475"/>
      <c r="AO56" s="475"/>
      <c r="AP56" s="1681"/>
      <c r="BD56" s="1684"/>
      <c r="BE56" s="1684"/>
      <c r="BF56" s="1684"/>
      <c r="BG56" s="1684"/>
      <c r="BH56" s="1684"/>
      <c r="BI56" s="1684"/>
      <c r="BJ56" s="1684"/>
      <c r="BK56" s="1684"/>
      <c r="BL56" s="1684"/>
      <c r="BM56" s="1684"/>
      <c r="BN56" s="1684"/>
    </row>
    <row r="57" spans="1:66">
      <c r="A57" s="1681"/>
      <c r="B57" s="475"/>
      <c r="C57" s="1725" t="s">
        <v>5123</v>
      </c>
      <c r="D57" s="1686"/>
      <c r="E57" s="475"/>
      <c r="F57" s="475"/>
      <c r="G57" s="475"/>
      <c r="H57" s="475"/>
      <c r="I57" s="475"/>
      <c r="J57" s="475"/>
      <c r="K57" s="475"/>
      <c r="L57" s="475"/>
      <c r="M57" s="475"/>
      <c r="N57" s="475"/>
      <c r="O57" s="475"/>
      <c r="P57" s="475"/>
      <c r="Q57" s="475"/>
      <c r="R57" s="475"/>
      <c r="S57" s="475"/>
      <c r="T57" s="1726"/>
      <c r="U57" s="475"/>
      <c r="V57" s="475"/>
      <c r="W57" s="475"/>
      <c r="X57" s="475"/>
      <c r="Y57" s="475"/>
      <c r="Z57" s="475"/>
      <c r="AA57" s="475"/>
      <c r="AB57" s="475"/>
      <c r="AC57" s="475"/>
      <c r="AD57" s="475"/>
      <c r="AE57" s="475"/>
      <c r="AF57" s="475"/>
      <c r="AG57" s="475"/>
      <c r="AH57" s="475"/>
      <c r="AI57" s="475"/>
      <c r="AJ57" s="475"/>
      <c r="AK57" s="475"/>
      <c r="AL57" s="475"/>
      <c r="AM57" s="475"/>
      <c r="AN57" s="475"/>
      <c r="AO57" s="475"/>
      <c r="AP57" s="1681"/>
      <c r="BD57" s="1684"/>
      <c r="BE57" s="1684"/>
      <c r="BF57" s="1684"/>
      <c r="BG57" s="1684"/>
      <c r="BH57" s="1684"/>
      <c r="BI57" s="1684"/>
      <c r="BJ57" s="1684"/>
      <c r="BK57" s="1684"/>
      <c r="BL57" s="1684"/>
      <c r="BM57" s="1684"/>
      <c r="BN57" s="1684"/>
    </row>
    <row r="58" spans="1:66">
      <c r="A58" s="1681"/>
      <c r="B58" s="475"/>
      <c r="C58" s="1725" t="s">
        <v>5124</v>
      </c>
      <c r="D58" s="475"/>
      <c r="E58" s="475"/>
      <c r="F58" s="475"/>
      <c r="G58" s="475"/>
      <c r="H58" s="475"/>
      <c r="I58" s="475"/>
      <c r="J58" s="475"/>
      <c r="K58" s="475"/>
      <c r="L58" s="475"/>
      <c r="M58" s="475"/>
      <c r="N58" s="475"/>
      <c r="O58" s="475"/>
      <c r="P58" s="475"/>
      <c r="Q58" s="475"/>
      <c r="R58" s="475"/>
      <c r="S58" s="475"/>
      <c r="T58" s="1726"/>
      <c r="U58" s="475"/>
      <c r="V58" s="475"/>
      <c r="W58" s="475"/>
      <c r="X58" s="475"/>
      <c r="Y58" s="475"/>
      <c r="Z58" s="475"/>
      <c r="AA58" s="475"/>
      <c r="AB58" s="475"/>
      <c r="AC58" s="475"/>
      <c r="AD58" s="475"/>
      <c r="AE58" s="475"/>
      <c r="AF58" s="475"/>
      <c r="AG58" s="475"/>
      <c r="AH58" s="475"/>
      <c r="AI58" s="475"/>
      <c r="AJ58" s="475"/>
      <c r="AK58" s="475"/>
      <c r="AL58" s="475"/>
      <c r="AM58" s="475"/>
      <c r="AN58" s="475"/>
      <c r="AO58" s="475"/>
      <c r="AP58" s="1681"/>
      <c r="BD58" s="1684"/>
      <c r="BE58" s="1684"/>
      <c r="BF58" s="1684"/>
      <c r="BG58" s="1684"/>
      <c r="BH58" s="1684"/>
      <c r="BI58" s="1684"/>
      <c r="BJ58" s="1684"/>
      <c r="BK58" s="1684"/>
      <c r="BL58" s="1684"/>
      <c r="BM58" s="1684"/>
      <c r="BN58" s="1684"/>
    </row>
    <row r="59" spans="1:66">
      <c r="A59" s="1681"/>
      <c r="B59" s="475"/>
      <c r="C59" s="1725" t="s">
        <v>5125</v>
      </c>
      <c r="D59" s="475"/>
      <c r="E59" s="475"/>
      <c r="F59" s="475"/>
      <c r="G59" s="475"/>
      <c r="H59" s="475"/>
      <c r="I59" s="475"/>
      <c r="J59" s="475"/>
      <c r="K59" s="475"/>
      <c r="L59" s="475"/>
      <c r="M59" s="475"/>
      <c r="N59" s="475"/>
      <c r="O59" s="475"/>
      <c r="P59" s="475"/>
      <c r="Q59" s="475"/>
      <c r="R59" s="475"/>
      <c r="S59" s="475"/>
      <c r="T59" s="1726"/>
      <c r="U59" s="475"/>
      <c r="V59" s="475"/>
      <c r="W59" s="475"/>
      <c r="X59" s="475"/>
      <c r="Y59" s="475"/>
      <c r="Z59" s="475"/>
      <c r="AA59" s="475"/>
      <c r="AB59" s="475"/>
      <c r="AC59" s="475"/>
      <c r="AD59" s="475"/>
      <c r="AE59" s="475"/>
      <c r="AF59" s="475"/>
      <c r="AG59" s="475"/>
      <c r="AH59" s="475"/>
      <c r="AI59" s="475"/>
      <c r="AJ59" s="475"/>
      <c r="AK59" s="475"/>
      <c r="AL59" s="475"/>
      <c r="AM59" s="475"/>
      <c r="AN59" s="475"/>
      <c r="AO59" s="475"/>
      <c r="AP59" s="1681"/>
      <c r="BD59" s="1684"/>
      <c r="BE59" s="1684"/>
      <c r="BF59" s="1684"/>
      <c r="BG59" s="1684"/>
      <c r="BH59" s="1684"/>
      <c r="BI59" s="1684"/>
      <c r="BJ59" s="1684"/>
      <c r="BK59" s="1684"/>
      <c r="BL59" s="1684"/>
      <c r="BM59" s="1684"/>
      <c r="BN59" s="1684"/>
    </row>
    <row r="60" spans="1:66" s="1710" customFormat="1" ht="18" customHeight="1">
      <c r="A60" s="1707"/>
      <c r="B60" s="1727" t="s">
        <v>5126</v>
      </c>
      <c r="C60" s="1728"/>
      <c r="D60" s="1728"/>
      <c r="E60" s="1728"/>
      <c r="F60" s="1728"/>
      <c r="G60" s="1728"/>
      <c r="H60" s="1728"/>
      <c r="I60" s="1728"/>
      <c r="J60" s="1728"/>
      <c r="K60" s="1728"/>
      <c r="L60" s="1728"/>
      <c r="M60" s="1728"/>
      <c r="N60" s="1728"/>
      <c r="O60" s="1728"/>
      <c r="P60" s="1728"/>
      <c r="Q60" s="1728"/>
      <c r="R60" s="1728"/>
      <c r="S60" s="1728"/>
      <c r="T60" s="1729"/>
      <c r="U60" s="1728"/>
      <c r="V60" s="1728"/>
      <c r="W60" s="1728"/>
      <c r="X60" s="1728"/>
      <c r="Y60" s="1728"/>
      <c r="Z60" s="1728"/>
      <c r="AA60" s="1728"/>
      <c r="AB60" s="1728"/>
      <c r="AC60" s="1728"/>
      <c r="AD60" s="1728"/>
      <c r="AE60" s="1728"/>
      <c r="AF60" s="1728"/>
      <c r="AG60" s="1728"/>
      <c r="AH60" s="1728"/>
      <c r="AI60" s="1728"/>
      <c r="AJ60" s="1728"/>
      <c r="AK60" s="1728"/>
      <c r="AL60" s="1728"/>
      <c r="AM60" s="1728"/>
      <c r="AN60" s="1728"/>
      <c r="AO60" s="1728"/>
      <c r="AP60" s="1707"/>
      <c r="BD60" s="1711"/>
      <c r="BE60" s="1711"/>
      <c r="BF60" s="1711"/>
      <c r="BG60" s="1711"/>
      <c r="BH60" s="1711"/>
      <c r="BI60" s="1711"/>
      <c r="BJ60" s="1711"/>
      <c r="BK60" s="1711"/>
      <c r="BL60" s="1711"/>
      <c r="BM60" s="1711"/>
      <c r="BN60" s="1711"/>
    </row>
    <row r="61" spans="1:66" ht="7.5" customHeight="1">
      <c r="A61" s="1681"/>
      <c r="B61" s="10384">
        <v>3</v>
      </c>
      <c r="C61" s="10365"/>
      <c r="D61" s="10387" t="s">
        <v>3829</v>
      </c>
      <c r="E61" s="10365"/>
      <c r="F61" s="10365"/>
      <c r="G61" s="10365"/>
      <c r="H61" s="10365"/>
      <c r="I61" s="10365"/>
      <c r="J61" s="10365"/>
      <c r="K61" s="10365"/>
      <c r="L61" s="10365"/>
      <c r="M61" s="10365"/>
      <c r="N61" s="10365"/>
      <c r="O61" s="10454"/>
      <c r="P61" s="10394" t="s">
        <v>3830</v>
      </c>
      <c r="Q61" s="10457"/>
      <c r="R61" s="10457"/>
      <c r="S61" s="10457"/>
      <c r="T61" s="10457"/>
      <c r="U61" s="10457"/>
      <c r="V61" s="10457"/>
      <c r="W61" s="10457"/>
      <c r="X61" s="10457"/>
      <c r="Y61" s="10457"/>
      <c r="Z61" s="10457"/>
      <c r="AA61" s="10457"/>
      <c r="AB61" s="10457"/>
      <c r="AC61" s="10457"/>
      <c r="AD61" s="10457"/>
      <c r="AE61" s="10457"/>
      <c r="AF61" s="10457"/>
      <c r="AG61" s="10457"/>
      <c r="AH61" s="10457"/>
      <c r="AI61" s="10457"/>
      <c r="AJ61" s="10458"/>
      <c r="AK61" s="10465" t="s">
        <v>3831</v>
      </c>
      <c r="AL61" s="10388"/>
      <c r="AM61" s="10388"/>
      <c r="AN61" s="10388"/>
      <c r="AO61" s="10388"/>
      <c r="AP61" s="1681"/>
      <c r="BD61" s="1684"/>
      <c r="BE61" s="1684"/>
      <c r="BF61" s="1684"/>
      <c r="BG61" s="1684"/>
      <c r="BH61" s="1684"/>
      <c r="BI61" s="1684"/>
      <c r="BJ61" s="1684"/>
      <c r="BK61" s="1684"/>
      <c r="BL61" s="1684"/>
      <c r="BM61" s="1684"/>
      <c r="BN61" s="1684"/>
    </row>
    <row r="62" spans="1:66">
      <c r="A62" s="1681"/>
      <c r="B62" s="10366"/>
      <c r="C62" s="10366"/>
      <c r="D62" s="10366"/>
      <c r="E62" s="10366"/>
      <c r="F62" s="10366"/>
      <c r="G62" s="10366"/>
      <c r="H62" s="10366"/>
      <c r="I62" s="10366"/>
      <c r="J62" s="10366"/>
      <c r="K62" s="10366"/>
      <c r="L62" s="10366"/>
      <c r="M62" s="10366"/>
      <c r="N62" s="10366"/>
      <c r="O62" s="10455"/>
      <c r="P62" s="10459"/>
      <c r="Q62" s="10460"/>
      <c r="R62" s="10460"/>
      <c r="S62" s="10460"/>
      <c r="T62" s="10460"/>
      <c r="U62" s="10460"/>
      <c r="V62" s="10460"/>
      <c r="W62" s="10460"/>
      <c r="X62" s="10460"/>
      <c r="Y62" s="10460"/>
      <c r="Z62" s="10460"/>
      <c r="AA62" s="10460"/>
      <c r="AB62" s="10460"/>
      <c r="AC62" s="10460"/>
      <c r="AD62" s="10460"/>
      <c r="AE62" s="10460"/>
      <c r="AF62" s="10460"/>
      <c r="AG62" s="10460"/>
      <c r="AH62" s="10460"/>
      <c r="AI62" s="10460"/>
      <c r="AJ62" s="10461"/>
      <c r="AK62" s="10395"/>
      <c r="AL62" s="10390"/>
      <c r="AM62" s="10390"/>
      <c r="AN62" s="10390"/>
      <c r="AO62" s="10390"/>
      <c r="AP62" s="1681"/>
      <c r="BD62" s="1684"/>
      <c r="BE62" s="1684"/>
      <c r="BF62" s="1684"/>
      <c r="BG62" s="1684"/>
      <c r="BH62" s="1684"/>
      <c r="BI62" s="1684"/>
      <c r="BJ62" s="1684"/>
      <c r="BK62" s="1684"/>
      <c r="BL62" s="1684"/>
      <c r="BM62" s="1684"/>
      <c r="BN62" s="1684"/>
    </row>
    <row r="63" spans="1:66">
      <c r="A63" s="1681"/>
      <c r="B63" s="10366"/>
      <c r="C63" s="10366"/>
      <c r="D63" s="10366"/>
      <c r="E63" s="10366"/>
      <c r="F63" s="10366"/>
      <c r="G63" s="10366"/>
      <c r="H63" s="10366"/>
      <c r="I63" s="10366"/>
      <c r="J63" s="10366"/>
      <c r="K63" s="10366"/>
      <c r="L63" s="10366"/>
      <c r="M63" s="10366"/>
      <c r="N63" s="10366"/>
      <c r="O63" s="10455"/>
      <c r="P63" s="10459"/>
      <c r="Q63" s="10460"/>
      <c r="R63" s="10460"/>
      <c r="S63" s="10460"/>
      <c r="T63" s="10460"/>
      <c r="U63" s="10460"/>
      <c r="V63" s="10460"/>
      <c r="W63" s="10460"/>
      <c r="X63" s="10460"/>
      <c r="Y63" s="10460"/>
      <c r="Z63" s="10460"/>
      <c r="AA63" s="10460"/>
      <c r="AB63" s="10460"/>
      <c r="AC63" s="10460"/>
      <c r="AD63" s="10460"/>
      <c r="AE63" s="10460"/>
      <c r="AF63" s="10460"/>
      <c r="AG63" s="10460"/>
      <c r="AH63" s="10460"/>
      <c r="AI63" s="10460"/>
      <c r="AJ63" s="10461"/>
      <c r="AK63" s="10395"/>
      <c r="AL63" s="10390"/>
      <c r="AM63" s="10390"/>
      <c r="AN63" s="10390"/>
      <c r="AO63" s="10390"/>
      <c r="AP63" s="1681"/>
      <c r="AQ63" s="1681"/>
      <c r="AR63" s="1681"/>
      <c r="AS63" s="1681"/>
      <c r="AT63" s="1681"/>
      <c r="AU63" s="1681"/>
      <c r="AV63" s="1681"/>
      <c r="AW63" s="1681"/>
      <c r="AX63" s="1681"/>
      <c r="AY63" s="1681"/>
      <c r="AZ63" s="1681"/>
      <c r="BA63" s="1681"/>
      <c r="BB63" s="1681"/>
      <c r="BD63" s="1684"/>
      <c r="BE63" s="1684"/>
      <c r="BF63" s="1684"/>
      <c r="BG63" s="1684"/>
      <c r="BH63" s="1684"/>
      <c r="BI63" s="1684"/>
      <c r="BJ63" s="1684"/>
      <c r="BK63" s="1684"/>
      <c r="BL63" s="1684"/>
      <c r="BM63" s="1684"/>
      <c r="BN63" s="1684"/>
    </row>
    <row r="64" spans="1:66" ht="6" customHeight="1">
      <c r="A64" s="1681"/>
      <c r="B64" s="10367"/>
      <c r="C64" s="10367"/>
      <c r="D64" s="10367"/>
      <c r="E64" s="10367"/>
      <c r="F64" s="10367"/>
      <c r="G64" s="10367"/>
      <c r="H64" s="10367"/>
      <c r="I64" s="10367"/>
      <c r="J64" s="10367"/>
      <c r="K64" s="10367"/>
      <c r="L64" s="10367"/>
      <c r="M64" s="10367"/>
      <c r="N64" s="10367"/>
      <c r="O64" s="10456"/>
      <c r="P64" s="10462"/>
      <c r="Q64" s="10463"/>
      <c r="R64" s="10463"/>
      <c r="S64" s="10463"/>
      <c r="T64" s="10463"/>
      <c r="U64" s="10463"/>
      <c r="V64" s="10463"/>
      <c r="W64" s="10463"/>
      <c r="X64" s="10463"/>
      <c r="Y64" s="10463"/>
      <c r="Z64" s="10463"/>
      <c r="AA64" s="10463"/>
      <c r="AB64" s="10463"/>
      <c r="AC64" s="10463"/>
      <c r="AD64" s="10463"/>
      <c r="AE64" s="10463"/>
      <c r="AF64" s="10463"/>
      <c r="AG64" s="10463"/>
      <c r="AH64" s="10463"/>
      <c r="AI64" s="10463"/>
      <c r="AJ64" s="10464"/>
      <c r="AK64" s="10396"/>
      <c r="AL64" s="10392"/>
      <c r="AM64" s="10392"/>
      <c r="AN64" s="10392"/>
      <c r="AO64" s="10392"/>
      <c r="AP64" s="1681"/>
      <c r="AQ64" s="1681"/>
      <c r="AR64" s="1681"/>
      <c r="AS64" s="1681"/>
      <c r="AT64" s="1681"/>
      <c r="AU64" s="1681"/>
      <c r="AV64" s="1681"/>
      <c r="AW64" s="1681"/>
      <c r="AX64" s="1681"/>
      <c r="AY64" s="1681"/>
      <c r="AZ64" s="1681"/>
      <c r="BA64" s="1681"/>
      <c r="BB64" s="1681"/>
      <c r="BD64" s="1684"/>
      <c r="BE64" s="1684"/>
      <c r="BF64" s="1684"/>
      <c r="BG64" s="1684"/>
      <c r="BH64" s="1684"/>
      <c r="BI64" s="1684"/>
      <c r="BJ64" s="1684"/>
      <c r="BK64" s="1684"/>
      <c r="BL64" s="1684"/>
      <c r="BM64" s="1684"/>
      <c r="BN64" s="1684"/>
    </row>
    <row r="65" spans="1:67" ht="18" customHeight="1">
      <c r="A65" s="1681"/>
      <c r="B65" s="1716" t="s">
        <v>510</v>
      </c>
      <c r="C65" s="10447"/>
      <c r="D65" s="10448"/>
      <c r="E65" s="10448"/>
      <c r="F65" s="10448"/>
      <c r="G65" s="10448"/>
      <c r="H65" s="10448"/>
      <c r="I65" s="10448"/>
      <c r="J65" s="10448"/>
      <c r="K65" s="10448"/>
      <c r="L65" s="10448"/>
      <c r="M65" s="10448"/>
      <c r="N65" s="10448"/>
      <c r="O65" s="10449"/>
      <c r="P65" s="10450"/>
      <c r="Q65" s="10451"/>
      <c r="R65" s="10451"/>
      <c r="S65" s="10451"/>
      <c r="T65" s="10451"/>
      <c r="U65" s="10451"/>
      <c r="V65" s="10451"/>
      <c r="W65" s="10451"/>
      <c r="X65" s="10451"/>
      <c r="Y65" s="10451"/>
      <c r="Z65" s="10451"/>
      <c r="AA65" s="10451"/>
      <c r="AB65" s="10451"/>
      <c r="AC65" s="10451"/>
      <c r="AD65" s="10451"/>
      <c r="AE65" s="10451"/>
      <c r="AF65" s="10451"/>
      <c r="AG65" s="10451"/>
      <c r="AH65" s="10451"/>
      <c r="AI65" s="10451"/>
      <c r="AJ65" s="10452"/>
      <c r="AK65" s="10426"/>
      <c r="AL65" s="10453"/>
      <c r="AM65" s="10453"/>
      <c r="AN65" s="10453"/>
      <c r="AO65" s="10453"/>
      <c r="AP65" s="1681"/>
      <c r="AQ65" s="1730" t="s">
        <v>3810</v>
      </c>
      <c r="AR65" s="475"/>
      <c r="AS65" s="475"/>
      <c r="AT65" s="475"/>
      <c r="AU65" s="475"/>
      <c r="AV65" s="475"/>
      <c r="AW65" s="475"/>
      <c r="AX65" s="475"/>
      <c r="AY65" s="475"/>
      <c r="AZ65" s="475"/>
      <c r="BA65" s="475"/>
      <c r="BB65" s="1681"/>
      <c r="BD65" s="1684"/>
      <c r="BE65" s="1684"/>
      <c r="BF65" s="1684"/>
      <c r="BG65" s="1684"/>
      <c r="BH65" s="1684"/>
      <c r="BI65" s="1684"/>
      <c r="BJ65" s="1684"/>
      <c r="BK65" s="1684"/>
      <c r="BL65" s="1684"/>
      <c r="BM65" s="1684"/>
      <c r="BN65" s="1684"/>
    </row>
    <row r="66" spans="1:67" ht="18" customHeight="1">
      <c r="A66" s="1681"/>
      <c r="B66" s="1716" t="s">
        <v>516</v>
      </c>
      <c r="C66" s="10447"/>
      <c r="D66" s="10448"/>
      <c r="E66" s="10448"/>
      <c r="F66" s="10448"/>
      <c r="G66" s="10448"/>
      <c r="H66" s="10448"/>
      <c r="I66" s="10448"/>
      <c r="J66" s="10448"/>
      <c r="K66" s="10448"/>
      <c r="L66" s="10448"/>
      <c r="M66" s="10448"/>
      <c r="N66" s="10448"/>
      <c r="O66" s="10449"/>
      <c r="P66" s="10450"/>
      <c r="Q66" s="10451"/>
      <c r="R66" s="10451"/>
      <c r="S66" s="10451"/>
      <c r="T66" s="10451"/>
      <c r="U66" s="10451"/>
      <c r="V66" s="10451"/>
      <c r="W66" s="10451"/>
      <c r="X66" s="10451"/>
      <c r="Y66" s="10451"/>
      <c r="Z66" s="10451"/>
      <c r="AA66" s="10451"/>
      <c r="AB66" s="10451"/>
      <c r="AC66" s="10451"/>
      <c r="AD66" s="10451"/>
      <c r="AE66" s="10451"/>
      <c r="AF66" s="10451"/>
      <c r="AG66" s="10451"/>
      <c r="AH66" s="10451"/>
      <c r="AI66" s="10451"/>
      <c r="AJ66" s="10452"/>
      <c r="AK66" s="10426"/>
      <c r="AL66" s="10453"/>
      <c r="AM66" s="10453"/>
      <c r="AN66" s="10453"/>
      <c r="AO66" s="10453"/>
      <c r="AP66" s="1681"/>
      <c r="AQ66" s="1681"/>
      <c r="AR66" s="1681"/>
      <c r="AS66" s="1681"/>
      <c r="AT66" s="1681"/>
      <c r="AU66" s="1681"/>
      <c r="AV66" s="1681"/>
      <c r="AW66" s="1681"/>
      <c r="AX66" s="1681"/>
      <c r="AY66" s="1681"/>
      <c r="AZ66" s="1681"/>
      <c r="BA66" s="1681"/>
      <c r="BB66" s="1681"/>
      <c r="BD66" s="1684"/>
      <c r="BE66" s="1684"/>
      <c r="BF66" s="1684"/>
      <c r="BG66" s="1684"/>
      <c r="BH66" s="1684"/>
      <c r="BI66" s="1684"/>
      <c r="BJ66" s="1684"/>
      <c r="BK66" s="1684"/>
      <c r="BL66" s="1684"/>
      <c r="BM66" s="1684"/>
      <c r="BN66" s="1684"/>
    </row>
    <row r="67" spans="1:67" ht="18" customHeight="1">
      <c r="A67" s="1681"/>
      <c r="B67" s="1716" t="s">
        <v>518</v>
      </c>
      <c r="C67" s="10447"/>
      <c r="D67" s="10448"/>
      <c r="E67" s="10448"/>
      <c r="F67" s="10448"/>
      <c r="G67" s="10448"/>
      <c r="H67" s="10448"/>
      <c r="I67" s="10448"/>
      <c r="J67" s="10448"/>
      <c r="K67" s="10448"/>
      <c r="L67" s="10448"/>
      <c r="M67" s="10448"/>
      <c r="N67" s="10448"/>
      <c r="O67" s="10449"/>
      <c r="P67" s="10450"/>
      <c r="Q67" s="10451"/>
      <c r="R67" s="10451"/>
      <c r="S67" s="10451"/>
      <c r="T67" s="10451"/>
      <c r="U67" s="10451"/>
      <c r="V67" s="10451"/>
      <c r="W67" s="10451"/>
      <c r="X67" s="10451"/>
      <c r="Y67" s="10451"/>
      <c r="Z67" s="10451"/>
      <c r="AA67" s="10451"/>
      <c r="AB67" s="10451"/>
      <c r="AC67" s="10451"/>
      <c r="AD67" s="10451"/>
      <c r="AE67" s="10451"/>
      <c r="AF67" s="10451"/>
      <c r="AG67" s="10451"/>
      <c r="AH67" s="10451"/>
      <c r="AI67" s="10451"/>
      <c r="AJ67" s="10452"/>
      <c r="AK67" s="10426"/>
      <c r="AL67" s="10453"/>
      <c r="AM67" s="10453"/>
      <c r="AN67" s="10453"/>
      <c r="AO67" s="10453"/>
      <c r="AP67" s="1681"/>
      <c r="BD67" s="1684"/>
      <c r="BE67" s="1684"/>
      <c r="BF67" s="1684"/>
      <c r="BG67" s="1684"/>
      <c r="BH67" s="1684"/>
      <c r="BI67" s="1684"/>
      <c r="BJ67" s="1684"/>
      <c r="BK67" s="1684"/>
      <c r="BL67" s="1684"/>
      <c r="BM67" s="1684"/>
      <c r="BN67" s="1684"/>
    </row>
    <row r="68" spans="1:67" s="1734" customFormat="1" ht="16.5" customHeight="1">
      <c r="A68" s="1731"/>
      <c r="B68" s="1732"/>
      <c r="C68" s="10394" t="s">
        <v>3832</v>
      </c>
      <c r="D68" s="10474"/>
      <c r="E68" s="10474"/>
      <c r="F68" s="10474"/>
      <c r="G68" s="10474"/>
      <c r="H68" s="10477" t="s">
        <v>3833</v>
      </c>
      <c r="I68" s="10474"/>
      <c r="J68" s="10474"/>
      <c r="K68" s="10474"/>
      <c r="L68" s="10474"/>
      <c r="M68" s="10474"/>
      <c r="N68" s="10474"/>
      <c r="O68" s="10478"/>
      <c r="P68" s="10394" t="s">
        <v>3834</v>
      </c>
      <c r="Q68" s="10480"/>
      <c r="R68" s="10480"/>
      <c r="S68" s="10480"/>
      <c r="T68" s="10480"/>
      <c r="U68" s="10480"/>
      <c r="V68" s="10480"/>
      <c r="W68" s="10394" t="s">
        <v>3835</v>
      </c>
      <c r="X68" s="10480"/>
      <c r="Y68" s="10480"/>
      <c r="Z68" s="10480"/>
      <c r="AA68" s="10480"/>
      <c r="AB68" s="10480"/>
      <c r="AC68" s="10480"/>
      <c r="AD68" s="10483"/>
      <c r="AE68" s="10397" t="s">
        <v>3836</v>
      </c>
      <c r="AF68" s="10398"/>
      <c r="AG68" s="10398"/>
      <c r="AH68" s="10398"/>
      <c r="AI68" s="10398"/>
      <c r="AJ68" s="10398"/>
      <c r="AK68" s="10397" t="s">
        <v>3837</v>
      </c>
      <c r="AL68" s="10398"/>
      <c r="AM68" s="10398"/>
      <c r="AN68" s="10398"/>
      <c r="AO68" s="10398"/>
      <c r="AP68" s="1681"/>
      <c r="AQ68" s="1682"/>
      <c r="AR68" s="1682"/>
      <c r="AS68" s="1682"/>
      <c r="AT68" s="1682"/>
      <c r="AU68" s="1682"/>
      <c r="AV68" s="1682"/>
      <c r="AW68" s="1682"/>
      <c r="AX68" s="1682"/>
      <c r="AY68" s="1682"/>
      <c r="AZ68" s="1682"/>
      <c r="BA68" s="1682"/>
      <c r="BB68" s="1682"/>
      <c r="BC68" s="1682"/>
      <c r="BD68" s="1684"/>
      <c r="BE68" s="1733"/>
      <c r="BF68" s="1733"/>
      <c r="BG68" s="1733"/>
      <c r="BH68" s="1733"/>
      <c r="BI68" s="1733"/>
      <c r="BJ68" s="1733"/>
      <c r="BK68" s="1733"/>
      <c r="BL68" s="1733"/>
      <c r="BM68" s="1733"/>
      <c r="BN68" s="1733"/>
    </row>
    <row r="69" spans="1:67" s="1734" customFormat="1" ht="23.25" customHeight="1">
      <c r="A69" s="1731"/>
      <c r="B69" s="1735"/>
      <c r="C69" s="10475"/>
      <c r="D69" s="10476"/>
      <c r="E69" s="10476"/>
      <c r="F69" s="10476"/>
      <c r="G69" s="10476"/>
      <c r="H69" s="10475"/>
      <c r="I69" s="10476"/>
      <c r="J69" s="10476"/>
      <c r="K69" s="10476"/>
      <c r="L69" s="10476"/>
      <c r="M69" s="10476"/>
      <c r="N69" s="10476"/>
      <c r="O69" s="10479"/>
      <c r="P69" s="10481"/>
      <c r="Q69" s="10482"/>
      <c r="R69" s="10482"/>
      <c r="S69" s="10482"/>
      <c r="T69" s="10482"/>
      <c r="U69" s="10482"/>
      <c r="V69" s="10482"/>
      <c r="W69" s="10481"/>
      <c r="X69" s="10482"/>
      <c r="Y69" s="10482"/>
      <c r="Z69" s="10482"/>
      <c r="AA69" s="10482"/>
      <c r="AB69" s="10482"/>
      <c r="AC69" s="10482"/>
      <c r="AD69" s="10484"/>
      <c r="AE69" s="10400"/>
      <c r="AF69" s="10401"/>
      <c r="AG69" s="10401"/>
      <c r="AH69" s="10401"/>
      <c r="AI69" s="10401"/>
      <c r="AJ69" s="10401"/>
      <c r="AK69" s="10400"/>
      <c r="AL69" s="10401"/>
      <c r="AM69" s="10401"/>
      <c r="AN69" s="10401"/>
      <c r="AO69" s="10401"/>
      <c r="AP69" s="1681"/>
      <c r="AQ69" s="1682"/>
      <c r="AR69" s="1682"/>
      <c r="AS69" s="1682"/>
      <c r="AT69" s="1682"/>
      <c r="AU69" s="1682"/>
      <c r="AV69" s="1682"/>
      <c r="AW69" s="1682"/>
      <c r="AX69" s="1682"/>
      <c r="AY69" s="1682"/>
      <c r="AZ69" s="1682"/>
      <c r="BA69" s="1682"/>
      <c r="BB69" s="1682"/>
      <c r="BC69" s="1682"/>
      <c r="BD69" s="1684"/>
      <c r="BE69" s="1733"/>
      <c r="BF69" s="1733"/>
      <c r="BG69" s="1733"/>
      <c r="BH69" s="1733"/>
      <c r="BI69" s="1733"/>
      <c r="BJ69" s="1733"/>
      <c r="BK69" s="1733"/>
      <c r="BL69" s="1733"/>
      <c r="BM69" s="1733"/>
      <c r="BN69" s="1733"/>
      <c r="BO69" s="1733"/>
    </row>
    <row r="70" spans="1:67" ht="18" customHeight="1">
      <c r="A70" s="1681"/>
      <c r="B70" s="1716" t="s">
        <v>510</v>
      </c>
      <c r="C70" s="10419"/>
      <c r="D70" s="10420"/>
      <c r="E70" s="10420"/>
      <c r="F70" s="10420"/>
      <c r="G70" s="10466"/>
      <c r="H70" s="10467"/>
      <c r="I70" s="10468"/>
      <c r="J70" s="10468"/>
      <c r="K70" s="10468"/>
      <c r="L70" s="10469"/>
      <c r="M70" s="10470"/>
      <c r="N70" s="10470"/>
      <c r="O70" s="10471"/>
      <c r="P70" s="10426"/>
      <c r="Q70" s="10472"/>
      <c r="R70" s="10472"/>
      <c r="S70" s="10472"/>
      <c r="T70" s="10472"/>
      <c r="U70" s="10472"/>
      <c r="V70" s="10473"/>
      <c r="W70" s="10426"/>
      <c r="X70" s="10427"/>
      <c r="Y70" s="10427"/>
      <c r="Z70" s="10427"/>
      <c r="AA70" s="10453"/>
      <c r="AB70" s="10472"/>
      <c r="AC70" s="10472"/>
      <c r="AD70" s="10473"/>
      <c r="AE70" s="10426"/>
      <c r="AF70" s="10427"/>
      <c r="AG70" s="10427"/>
      <c r="AH70" s="10427"/>
      <c r="AI70" s="10453"/>
      <c r="AJ70" s="10472"/>
      <c r="AK70" s="10419"/>
      <c r="AL70" s="10420"/>
      <c r="AM70" s="10420"/>
      <c r="AN70" s="10420"/>
      <c r="AO70" s="10466"/>
      <c r="AP70" s="1681"/>
      <c r="BD70" s="1684"/>
      <c r="BE70" s="1684"/>
      <c r="BF70" s="1684"/>
      <c r="BG70" s="1684"/>
      <c r="BH70" s="1684"/>
      <c r="BI70" s="1684"/>
      <c r="BJ70" s="1684"/>
      <c r="BK70" s="1684"/>
      <c r="BL70" s="1684"/>
      <c r="BM70" s="1684"/>
      <c r="BN70" s="1684"/>
    </row>
    <row r="71" spans="1:67" ht="18" customHeight="1">
      <c r="A71" s="1681"/>
      <c r="B71" s="1716" t="s">
        <v>516</v>
      </c>
      <c r="C71" s="10419"/>
      <c r="D71" s="10420"/>
      <c r="E71" s="10420"/>
      <c r="F71" s="10420"/>
      <c r="G71" s="10466"/>
      <c r="H71" s="10467"/>
      <c r="I71" s="10468"/>
      <c r="J71" s="10468"/>
      <c r="K71" s="10468"/>
      <c r="L71" s="10469"/>
      <c r="M71" s="10470"/>
      <c r="N71" s="10470"/>
      <c r="O71" s="10471"/>
      <c r="P71" s="10426"/>
      <c r="Q71" s="10472"/>
      <c r="R71" s="10472"/>
      <c r="S71" s="10472"/>
      <c r="T71" s="10472"/>
      <c r="U71" s="10472"/>
      <c r="V71" s="10473"/>
      <c r="W71" s="10426"/>
      <c r="X71" s="10427"/>
      <c r="Y71" s="10427"/>
      <c r="Z71" s="10427"/>
      <c r="AA71" s="10453"/>
      <c r="AB71" s="10472"/>
      <c r="AC71" s="10472"/>
      <c r="AD71" s="10473"/>
      <c r="AE71" s="10426"/>
      <c r="AF71" s="10427"/>
      <c r="AG71" s="10427"/>
      <c r="AH71" s="10427"/>
      <c r="AI71" s="10453"/>
      <c r="AJ71" s="10472"/>
      <c r="AK71" s="10419"/>
      <c r="AL71" s="10420"/>
      <c r="AM71" s="10420"/>
      <c r="AN71" s="10420"/>
      <c r="AO71" s="10466"/>
      <c r="AP71" s="1681"/>
      <c r="BD71" s="1684"/>
      <c r="BE71" s="1684"/>
      <c r="BF71" s="1684"/>
      <c r="BG71" s="1684"/>
      <c r="BH71" s="1684"/>
      <c r="BI71" s="1684"/>
      <c r="BJ71" s="1684"/>
      <c r="BK71" s="1684"/>
      <c r="BL71" s="1684"/>
      <c r="BM71" s="1684"/>
      <c r="BN71" s="1684"/>
    </row>
    <row r="72" spans="1:67" ht="18" customHeight="1">
      <c r="A72" s="1681"/>
      <c r="B72" s="1716" t="s">
        <v>518</v>
      </c>
      <c r="C72" s="10419"/>
      <c r="D72" s="10420"/>
      <c r="E72" s="10420"/>
      <c r="F72" s="10420"/>
      <c r="G72" s="10466"/>
      <c r="H72" s="10467"/>
      <c r="I72" s="10468"/>
      <c r="J72" s="10468"/>
      <c r="K72" s="10468"/>
      <c r="L72" s="10469"/>
      <c r="M72" s="10470"/>
      <c r="N72" s="10470"/>
      <c r="O72" s="10471"/>
      <c r="P72" s="10426"/>
      <c r="Q72" s="10472"/>
      <c r="R72" s="10472"/>
      <c r="S72" s="10472"/>
      <c r="T72" s="10472"/>
      <c r="U72" s="10472"/>
      <c r="V72" s="10473"/>
      <c r="W72" s="10426"/>
      <c r="X72" s="10427"/>
      <c r="Y72" s="10427"/>
      <c r="Z72" s="10427"/>
      <c r="AA72" s="10453"/>
      <c r="AB72" s="10472"/>
      <c r="AC72" s="10472"/>
      <c r="AD72" s="10473"/>
      <c r="AE72" s="10426"/>
      <c r="AF72" s="10427"/>
      <c r="AG72" s="10427"/>
      <c r="AH72" s="10427"/>
      <c r="AI72" s="10453"/>
      <c r="AJ72" s="10472"/>
      <c r="AK72" s="10419"/>
      <c r="AL72" s="10420"/>
      <c r="AM72" s="10420"/>
      <c r="AN72" s="10420"/>
      <c r="AO72" s="10466"/>
      <c r="AP72" s="1681"/>
      <c r="BD72" s="1684"/>
      <c r="BE72" s="1684"/>
      <c r="BF72" s="1684"/>
      <c r="BG72" s="1684"/>
      <c r="BH72" s="1684"/>
      <c r="BI72" s="1684"/>
      <c r="BJ72" s="1684"/>
      <c r="BK72" s="1684"/>
      <c r="BL72" s="1684"/>
      <c r="BM72" s="1684"/>
      <c r="BN72" s="1684"/>
    </row>
    <row r="73" spans="1:67" ht="18">
      <c r="A73" s="1681"/>
      <c r="B73" s="1736" t="s">
        <v>2990</v>
      </c>
      <c r="C73" s="1737"/>
      <c r="D73" s="1728"/>
      <c r="E73" s="1728"/>
      <c r="F73" s="1728"/>
      <c r="G73" s="1728"/>
      <c r="H73" s="1728"/>
      <c r="I73" s="1728"/>
      <c r="J73" s="1728"/>
      <c r="K73" s="1728"/>
      <c r="L73" s="1728"/>
      <c r="M73" s="1728"/>
      <c r="N73" s="1728"/>
      <c r="O73" s="1728"/>
      <c r="P73" s="1728"/>
      <c r="Q73" s="1728"/>
      <c r="R73" s="1728"/>
      <c r="S73" s="1728"/>
      <c r="T73" s="1728"/>
      <c r="U73" s="1728"/>
      <c r="V73" s="1728"/>
      <c r="W73" s="1728"/>
      <c r="X73" s="1728" t="s">
        <v>3838</v>
      </c>
      <c r="Y73" s="1728"/>
      <c r="Z73" s="1728"/>
      <c r="AA73" s="1728"/>
      <c r="AB73" s="1728"/>
      <c r="AC73" s="1728"/>
      <c r="AD73" s="1728"/>
      <c r="AE73" s="1728"/>
      <c r="AF73" s="1728"/>
      <c r="AG73" s="1728"/>
      <c r="AH73" s="1728"/>
      <c r="AI73" s="1728"/>
      <c r="AJ73" s="1728"/>
      <c r="AK73" s="1737" t="s">
        <v>3839</v>
      </c>
      <c r="AL73" s="1728"/>
      <c r="AM73" s="1728"/>
      <c r="AN73" s="1728"/>
      <c r="AO73" s="1737" t="s">
        <v>5127</v>
      </c>
      <c r="AP73" s="1681"/>
      <c r="BD73" s="1684"/>
      <c r="BE73" s="1684"/>
      <c r="BF73" s="1684"/>
      <c r="BG73" s="1684"/>
      <c r="BH73" s="1684"/>
      <c r="BI73" s="1684"/>
      <c r="BJ73" s="1684"/>
      <c r="BK73" s="1684"/>
      <c r="BL73" s="1684"/>
      <c r="BM73" s="1684"/>
      <c r="BN73" s="1684"/>
    </row>
    <row r="74" spans="1:67" ht="18.75" customHeight="1" thickBot="1">
      <c r="A74" s="1681"/>
      <c r="B74" s="1037" t="s">
        <v>5128</v>
      </c>
      <c r="C74" s="1037"/>
      <c r="D74" s="1037"/>
      <c r="E74" s="1037"/>
      <c r="F74" s="1037"/>
      <c r="G74" s="1037"/>
      <c r="H74" s="1037"/>
      <c r="I74" s="1037"/>
      <c r="J74" s="1037"/>
      <c r="K74" s="1037"/>
      <c r="L74" s="1037"/>
      <c r="M74" s="1037"/>
      <c r="N74" s="1037"/>
      <c r="O74" s="1037"/>
      <c r="P74" s="1037"/>
      <c r="Q74" s="1037"/>
      <c r="R74" s="1037"/>
      <c r="S74" s="1037"/>
      <c r="T74" s="1037"/>
      <c r="U74" s="1037"/>
      <c r="V74" s="1037"/>
      <c r="W74" s="1037"/>
      <c r="X74" s="1037"/>
      <c r="Y74" s="1037"/>
      <c r="Z74" s="1037"/>
      <c r="AA74" s="1037"/>
      <c r="AB74" s="1037"/>
      <c r="AC74" s="1037"/>
      <c r="AD74" s="1037"/>
      <c r="AE74" s="1037"/>
      <c r="AF74" s="1037"/>
      <c r="AG74" s="1037"/>
      <c r="AH74" s="1037"/>
      <c r="AI74" s="1037"/>
      <c r="AJ74" s="1037"/>
      <c r="AK74" s="1037"/>
      <c r="AL74" s="1037"/>
      <c r="AM74" s="1037"/>
      <c r="AN74" s="1037"/>
      <c r="AO74" s="1738" t="s">
        <v>867</v>
      </c>
      <c r="AP74" s="1681"/>
      <c r="BD74" s="1684"/>
      <c r="BE74" s="1684"/>
      <c r="BF74" s="1684"/>
      <c r="BG74" s="1684"/>
      <c r="BH74" s="1684"/>
      <c r="BI74" s="1684"/>
      <c r="BJ74" s="1684"/>
      <c r="BK74" s="1684"/>
      <c r="BL74" s="1684"/>
      <c r="BM74" s="1684"/>
      <c r="BN74" s="1684"/>
    </row>
    <row r="75" spans="1:67">
      <c r="A75" s="1681"/>
      <c r="B75" s="475" t="s">
        <v>3799</v>
      </c>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c r="AC75" s="475"/>
      <c r="AD75" s="475"/>
      <c r="AE75" s="475"/>
      <c r="AF75" s="475"/>
      <c r="AG75" s="475"/>
      <c r="AH75" s="475"/>
      <c r="AI75" s="1739" t="s">
        <v>2927</v>
      </c>
      <c r="AJ75" s="1228"/>
      <c r="AK75" s="1228"/>
      <c r="AL75" s="1228"/>
      <c r="AM75" s="1228"/>
      <c r="AN75" s="1228"/>
      <c r="AO75" s="1228"/>
      <c r="AP75" s="1681"/>
      <c r="BD75" s="1684"/>
      <c r="BE75" s="1684"/>
      <c r="BF75" s="1684"/>
      <c r="BG75" s="1684"/>
      <c r="BH75" s="1684"/>
      <c r="BI75" s="1684"/>
      <c r="BJ75" s="1684"/>
      <c r="BK75" s="1684"/>
      <c r="BL75" s="1684"/>
      <c r="BM75" s="1684"/>
      <c r="BN75" s="1684"/>
    </row>
    <row r="76" spans="1:67" ht="8.25" customHeight="1">
      <c r="A76" s="1681"/>
      <c r="B76" s="10359" t="str">
        <f>Names</f>
        <v/>
      </c>
      <c r="C76" s="10359"/>
      <c r="D76" s="10359"/>
      <c r="E76" s="10359"/>
      <c r="F76" s="10359"/>
      <c r="G76" s="10359"/>
      <c r="H76" s="10359"/>
      <c r="I76" s="10359"/>
      <c r="J76" s="10359"/>
      <c r="K76" s="10359"/>
      <c r="L76" s="10359"/>
      <c r="M76" s="10359"/>
      <c r="N76" s="10359"/>
      <c r="O76" s="10359"/>
      <c r="P76" s="10359"/>
      <c r="Q76" s="10359"/>
      <c r="R76" s="10359"/>
      <c r="S76" s="10359"/>
      <c r="T76" s="10359"/>
      <c r="U76" s="10359"/>
      <c r="V76" s="10359"/>
      <c r="W76" s="10359"/>
      <c r="X76" s="10359"/>
      <c r="Y76" s="10359"/>
      <c r="Z76" s="10359"/>
      <c r="AA76" s="10359"/>
      <c r="AB76" s="10359"/>
      <c r="AC76" s="10359"/>
      <c r="AD76" s="10359"/>
      <c r="AE76" s="10359"/>
      <c r="AF76" s="10359"/>
      <c r="AG76" s="10359"/>
      <c r="AH76" s="10489"/>
      <c r="AI76" s="10360"/>
      <c r="AJ76" s="10361"/>
      <c r="AK76" s="10361"/>
      <c r="AL76" s="10361"/>
      <c r="AM76" s="10361"/>
      <c r="AN76" s="10361"/>
      <c r="AO76" s="10361"/>
      <c r="AP76" s="1681"/>
      <c r="BD76" s="1684"/>
      <c r="BE76" s="1684"/>
      <c r="BF76" s="1684"/>
      <c r="BG76" s="1684"/>
      <c r="BH76" s="1684"/>
      <c r="BI76" s="1684"/>
      <c r="BJ76" s="1684"/>
      <c r="BK76" s="1684"/>
      <c r="BL76" s="1684"/>
      <c r="BM76" s="1684"/>
      <c r="BN76" s="1684"/>
    </row>
    <row r="77" spans="1:67" ht="8.25" customHeight="1">
      <c r="A77" s="1681"/>
      <c r="B77" s="10490"/>
      <c r="C77" s="10490"/>
      <c r="D77" s="10490"/>
      <c r="E77" s="10490"/>
      <c r="F77" s="10490"/>
      <c r="G77" s="10490"/>
      <c r="H77" s="10490"/>
      <c r="I77" s="10490"/>
      <c r="J77" s="10490"/>
      <c r="K77" s="10490"/>
      <c r="L77" s="10490"/>
      <c r="M77" s="10490"/>
      <c r="N77" s="10490"/>
      <c r="O77" s="10490"/>
      <c r="P77" s="10490"/>
      <c r="Q77" s="10490"/>
      <c r="R77" s="10490"/>
      <c r="S77" s="10490"/>
      <c r="T77" s="10490"/>
      <c r="U77" s="10490"/>
      <c r="V77" s="10490"/>
      <c r="W77" s="10490"/>
      <c r="X77" s="10490"/>
      <c r="Y77" s="10490"/>
      <c r="Z77" s="10490"/>
      <c r="AA77" s="10490"/>
      <c r="AB77" s="10490"/>
      <c r="AC77" s="10490"/>
      <c r="AD77" s="10490"/>
      <c r="AE77" s="10490"/>
      <c r="AF77" s="10490"/>
      <c r="AG77" s="10490"/>
      <c r="AH77" s="10491"/>
      <c r="AI77" s="10362"/>
      <c r="AJ77" s="10363"/>
      <c r="AK77" s="10363"/>
      <c r="AL77" s="10363"/>
      <c r="AM77" s="10363"/>
      <c r="AN77" s="10363"/>
      <c r="AO77" s="10363"/>
      <c r="AP77" s="1681"/>
      <c r="BD77" s="1684"/>
      <c r="BE77" s="1684"/>
      <c r="BF77" s="1684"/>
      <c r="BG77" s="1684"/>
      <c r="BH77" s="1684"/>
      <c r="BI77" s="1684"/>
      <c r="BJ77" s="1684"/>
      <c r="BK77" s="1684"/>
      <c r="BL77" s="1684"/>
      <c r="BM77" s="1684"/>
      <c r="BN77" s="1684"/>
    </row>
    <row r="78" spans="1:67" s="1695" customFormat="1" ht="15.75">
      <c r="A78" s="1693"/>
      <c r="B78" s="10492" t="s">
        <v>868</v>
      </c>
      <c r="C78" s="10492"/>
      <c r="D78" s="10493"/>
      <c r="E78" s="1740"/>
      <c r="F78" s="1741" t="s">
        <v>3840</v>
      </c>
      <c r="G78" s="1740"/>
      <c r="H78" s="1740"/>
      <c r="I78" s="1740"/>
      <c r="J78" s="1740"/>
      <c r="K78" s="1740"/>
      <c r="L78" s="1740"/>
      <c r="M78" s="1740"/>
      <c r="N78" s="1740"/>
      <c r="O78" s="1740"/>
      <c r="P78" s="1740"/>
      <c r="Q78" s="1740"/>
      <c r="R78" s="1740"/>
      <c r="S78" s="1740"/>
      <c r="T78" s="1740"/>
      <c r="U78" s="1740"/>
      <c r="V78" s="1740"/>
      <c r="W78" s="1740"/>
      <c r="X78" s="1740"/>
      <c r="Y78" s="1740"/>
      <c r="Z78" s="1740"/>
      <c r="AA78" s="1740"/>
      <c r="AB78" s="1740"/>
      <c r="AC78" s="1740"/>
      <c r="AD78" s="1740"/>
      <c r="AE78" s="1740"/>
      <c r="AF78" s="1740"/>
      <c r="AG78" s="1740"/>
      <c r="AH78" s="1740"/>
      <c r="AI78" s="1740"/>
      <c r="AJ78" s="1740"/>
      <c r="AK78" s="1740"/>
      <c r="AL78" s="1740"/>
      <c r="AM78" s="1740"/>
      <c r="AN78" s="1740"/>
      <c r="AO78" s="1740"/>
      <c r="AP78" s="1681"/>
      <c r="BD78" s="1684"/>
      <c r="BE78" s="1684"/>
      <c r="BF78" s="1684"/>
      <c r="BG78" s="1684"/>
      <c r="BH78" s="1684"/>
      <c r="BI78" s="1684"/>
      <c r="BJ78" s="1684"/>
      <c r="BK78" s="1684"/>
      <c r="BL78" s="1684"/>
      <c r="BM78" s="1684"/>
      <c r="BN78" s="1684"/>
    </row>
    <row r="79" spans="1:67" s="1695" customFormat="1" ht="15">
      <c r="A79" s="1693"/>
      <c r="B79" s="475"/>
      <c r="C79" s="475"/>
      <c r="D79" s="475"/>
      <c r="E79" s="1692"/>
      <c r="F79" s="1692" t="s">
        <v>3841</v>
      </c>
      <c r="G79" s="1692"/>
      <c r="H79" s="1692"/>
      <c r="I79" s="1692"/>
      <c r="J79" s="1692"/>
      <c r="K79" s="1692"/>
      <c r="L79" s="1692"/>
      <c r="M79" s="1692"/>
      <c r="N79" s="1692"/>
      <c r="O79" s="1692"/>
      <c r="P79" s="1692"/>
      <c r="Q79" s="1692"/>
      <c r="R79" s="1692"/>
      <c r="S79" s="1692"/>
      <c r="T79" s="1692"/>
      <c r="U79" s="1692"/>
      <c r="V79" s="1692"/>
      <c r="W79" s="1692"/>
      <c r="X79" s="1692"/>
      <c r="Y79" s="1692"/>
      <c r="Z79" s="1692"/>
      <c r="AA79" s="1692"/>
      <c r="AB79" s="1692"/>
      <c r="AC79" s="1692"/>
      <c r="AD79" s="1692"/>
      <c r="AE79" s="1692"/>
      <c r="AF79" s="1692"/>
      <c r="AG79" s="1692"/>
      <c r="AH79" s="1692"/>
      <c r="AI79" s="1692"/>
      <c r="AJ79" s="1692"/>
      <c r="AK79" s="1692"/>
      <c r="AL79" s="1692"/>
      <c r="AM79" s="1692"/>
      <c r="AN79" s="1692"/>
      <c r="AO79" s="1692"/>
      <c r="AP79" s="1681"/>
      <c r="BD79" s="1684"/>
      <c r="BE79" s="1684"/>
      <c r="BF79" s="1684"/>
      <c r="BG79" s="1684"/>
      <c r="BH79" s="1684"/>
      <c r="BI79" s="1684"/>
      <c r="BJ79" s="1684"/>
      <c r="BK79" s="1684"/>
      <c r="BL79" s="1684"/>
      <c r="BM79" s="1684"/>
      <c r="BN79" s="1684"/>
    </row>
    <row r="80" spans="1:67" ht="13.5" customHeight="1">
      <c r="A80" s="1681"/>
      <c r="B80" s="475"/>
      <c r="C80" s="475"/>
      <c r="D80" s="475"/>
      <c r="E80" s="475"/>
      <c r="F80" s="1692" t="s">
        <v>3842</v>
      </c>
      <c r="G80" s="475"/>
      <c r="H80" s="475"/>
      <c r="I80" s="475"/>
      <c r="J80" s="475"/>
      <c r="K80" s="475"/>
      <c r="L80" s="475"/>
      <c r="M80" s="475"/>
      <c r="N80" s="475"/>
      <c r="O80" s="475"/>
      <c r="P80" s="475"/>
      <c r="Q80" s="475"/>
      <c r="R80" s="475"/>
      <c r="S80" s="475"/>
      <c r="T80" s="475"/>
      <c r="U80" s="475"/>
      <c r="V80" s="475"/>
      <c r="W80" s="475"/>
      <c r="X80" s="475"/>
      <c r="Y80" s="475"/>
      <c r="Z80" s="475"/>
      <c r="AA80" s="475"/>
      <c r="AB80" s="475"/>
      <c r="AC80" s="475"/>
      <c r="AD80" s="475"/>
      <c r="AE80" s="475"/>
      <c r="AF80" s="475"/>
      <c r="AG80" s="475"/>
      <c r="AH80" s="475"/>
      <c r="AI80" s="475"/>
      <c r="AJ80" s="475"/>
      <c r="AK80" s="475"/>
      <c r="AL80" s="475"/>
      <c r="AM80" s="475"/>
      <c r="AN80" s="475"/>
      <c r="AO80" s="475"/>
      <c r="AP80" s="1681"/>
      <c r="BD80" s="1684"/>
      <c r="BE80" s="1684"/>
      <c r="BF80" s="1684"/>
      <c r="BG80" s="1684"/>
      <c r="BH80" s="1684"/>
      <c r="BI80" s="1684"/>
      <c r="BJ80" s="1684"/>
      <c r="BK80" s="1684"/>
      <c r="BL80" s="1684"/>
      <c r="BM80" s="1684"/>
      <c r="BN80" s="1684"/>
    </row>
    <row r="81" spans="1:66" ht="13.5" customHeight="1">
      <c r="A81" s="1681"/>
      <c r="B81" s="1742"/>
      <c r="C81" s="1742"/>
      <c r="D81" s="1742"/>
      <c r="E81" s="1742"/>
      <c r="F81" s="1743" t="s">
        <v>3843</v>
      </c>
      <c r="G81" s="1742"/>
      <c r="H81" s="1742"/>
      <c r="I81" s="1742"/>
      <c r="J81" s="1742"/>
      <c r="K81" s="1742"/>
      <c r="L81" s="1742"/>
      <c r="M81" s="1742"/>
      <c r="N81" s="1742"/>
      <c r="O81" s="1742"/>
      <c r="P81" s="1742"/>
      <c r="Q81" s="1742"/>
      <c r="R81" s="1742"/>
      <c r="S81" s="1742"/>
      <c r="T81" s="1742"/>
      <c r="U81" s="1742"/>
      <c r="V81" s="1742"/>
      <c r="W81" s="1742"/>
      <c r="X81" s="1742"/>
      <c r="Y81" s="1742"/>
      <c r="Z81" s="1742"/>
      <c r="AA81" s="1742"/>
      <c r="AB81" s="1742"/>
      <c r="AC81" s="1742"/>
      <c r="AD81" s="1742"/>
      <c r="AE81" s="1742"/>
      <c r="AF81" s="1742"/>
      <c r="AG81" s="1742"/>
      <c r="AH81" s="1742"/>
      <c r="AI81" s="1742"/>
      <c r="AJ81" s="1742"/>
      <c r="AK81" s="1742"/>
      <c r="AL81" s="1742"/>
      <c r="AM81" s="1742"/>
      <c r="AN81" s="1742"/>
      <c r="AO81" s="1742"/>
      <c r="AP81" s="1681"/>
      <c r="BD81" s="1684"/>
      <c r="BE81" s="1684"/>
      <c r="BF81" s="1684"/>
      <c r="BG81" s="1684"/>
      <c r="BH81" s="1684"/>
      <c r="BI81" s="1684"/>
      <c r="BJ81" s="1684"/>
      <c r="BK81" s="1684"/>
      <c r="BL81" s="1684"/>
      <c r="BM81" s="1684"/>
      <c r="BN81" s="1684"/>
    </row>
    <row r="82" spans="1:66" ht="15">
      <c r="A82" s="1681"/>
      <c r="B82" s="10494" t="s">
        <v>591</v>
      </c>
      <c r="C82" s="10495"/>
      <c r="D82" s="1718" t="s">
        <v>3844</v>
      </c>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c r="AC82" s="475"/>
      <c r="AD82" s="475"/>
      <c r="AE82" s="475"/>
      <c r="AF82" s="475"/>
      <c r="AG82" s="475"/>
      <c r="AH82" s="475"/>
      <c r="AI82" s="475"/>
      <c r="AJ82" s="475"/>
      <c r="AK82" s="475"/>
      <c r="AL82" s="475"/>
      <c r="AM82" s="10485"/>
      <c r="AN82" s="10485"/>
      <c r="AO82" s="10485"/>
      <c r="AP82" s="1681"/>
      <c r="BD82" s="1684"/>
      <c r="BE82" s="1684"/>
      <c r="BF82" s="1684"/>
      <c r="BG82" s="1684"/>
      <c r="BH82" s="1684"/>
      <c r="BI82" s="1684"/>
      <c r="BJ82" s="1684"/>
      <c r="BK82" s="1684"/>
      <c r="BL82" s="1684"/>
      <c r="BM82" s="1684"/>
      <c r="BN82" s="1684"/>
    </row>
    <row r="83" spans="1:66" ht="14.25">
      <c r="A83" s="1681"/>
      <c r="B83" s="1744"/>
      <c r="C83" s="1744"/>
      <c r="D83" s="1718" t="s">
        <v>3845</v>
      </c>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c r="AC83" s="475"/>
      <c r="AD83" s="475"/>
      <c r="AE83" s="475"/>
      <c r="AF83" s="475"/>
      <c r="AG83" s="475"/>
      <c r="AH83" s="475"/>
      <c r="AI83" s="475"/>
      <c r="AJ83" s="475"/>
      <c r="AK83" s="475"/>
      <c r="AL83" s="475"/>
      <c r="AM83" s="475"/>
      <c r="AN83" s="475"/>
      <c r="AO83" s="475"/>
      <c r="AP83" s="1681"/>
      <c r="BD83" s="1684"/>
      <c r="BE83" s="1684"/>
      <c r="BF83" s="1684"/>
      <c r="BG83" s="1684"/>
      <c r="BH83" s="1684"/>
      <c r="BI83" s="1684"/>
      <c r="BJ83" s="1684"/>
      <c r="BK83" s="1684"/>
      <c r="BL83" s="1684"/>
      <c r="BM83" s="1684"/>
      <c r="BN83" s="1684"/>
    </row>
    <row r="84" spans="1:66" ht="15">
      <c r="A84" s="1681"/>
      <c r="B84" s="10433" t="s">
        <v>592</v>
      </c>
      <c r="C84" s="10433"/>
      <c r="D84" s="1718" t="s">
        <v>3846</v>
      </c>
      <c r="E84" s="475"/>
      <c r="F84" s="475"/>
      <c r="G84" s="475"/>
      <c r="H84" s="475"/>
      <c r="I84" s="475"/>
      <c r="J84" s="475"/>
      <c r="K84" s="475"/>
      <c r="L84" s="475"/>
      <c r="M84" s="475"/>
      <c r="N84" s="475"/>
      <c r="O84" s="475"/>
      <c r="P84" s="475"/>
      <c r="Q84" s="475"/>
      <c r="R84" s="475"/>
      <c r="S84" s="475"/>
      <c r="T84" s="475"/>
      <c r="U84" s="475"/>
      <c r="V84" s="475"/>
      <c r="W84" s="475"/>
      <c r="X84" s="475"/>
      <c r="Y84" s="475"/>
      <c r="Z84" s="1745" t="s">
        <v>3847</v>
      </c>
      <c r="AA84" s="1718" t="s">
        <v>3848</v>
      </c>
      <c r="AB84" s="1718"/>
      <c r="AC84" s="475"/>
      <c r="AD84" s="475"/>
      <c r="AE84" s="475"/>
      <c r="AF84" s="475"/>
      <c r="AG84" s="475"/>
      <c r="AH84" s="475"/>
      <c r="AI84" s="10496"/>
      <c r="AJ84" s="10496"/>
      <c r="AK84" s="10496"/>
      <c r="AL84" s="10496"/>
      <c r="AM84" s="10496"/>
      <c r="AN84" s="10496"/>
      <c r="AO84" s="10496"/>
      <c r="AP84" s="1681"/>
      <c r="BD84" s="1684"/>
      <c r="BE84" s="1684"/>
      <c r="BF84" s="1684"/>
      <c r="BG84" s="1684"/>
      <c r="BH84" s="1684"/>
      <c r="BI84" s="1684"/>
      <c r="BJ84" s="1684"/>
      <c r="BK84" s="1684"/>
      <c r="BL84" s="1684"/>
      <c r="BM84" s="1684"/>
      <c r="BN84" s="1684"/>
    </row>
    <row r="85" spans="1:66" ht="15">
      <c r="A85" s="1681"/>
      <c r="B85" s="10433"/>
      <c r="C85" s="10433"/>
      <c r="D85" s="1718"/>
      <c r="E85" s="475"/>
      <c r="F85" s="475"/>
      <c r="G85" s="475"/>
      <c r="H85" s="475"/>
      <c r="I85" s="475"/>
      <c r="J85" s="475"/>
      <c r="K85" s="475"/>
      <c r="L85" s="475"/>
      <c r="M85" s="475"/>
      <c r="N85" s="475"/>
      <c r="O85" s="475"/>
      <c r="P85" s="475"/>
      <c r="Q85" s="475"/>
      <c r="R85" s="475"/>
      <c r="S85" s="475"/>
      <c r="T85" s="475"/>
      <c r="U85" s="475"/>
      <c r="V85" s="475"/>
      <c r="W85" s="475"/>
      <c r="X85" s="475"/>
      <c r="Y85" s="475"/>
      <c r="Z85" s="1745" t="s">
        <v>3849</v>
      </c>
      <c r="AA85" s="1718" t="s">
        <v>3850</v>
      </c>
      <c r="AB85" s="1718"/>
      <c r="AC85" s="475"/>
      <c r="AD85" s="475"/>
      <c r="AE85" s="475"/>
      <c r="AF85" s="475"/>
      <c r="AG85" s="475"/>
      <c r="AH85" s="475"/>
      <c r="AI85" s="10485"/>
      <c r="AJ85" s="10485"/>
      <c r="AK85" s="10485"/>
      <c r="AL85" s="10485"/>
      <c r="AM85" s="10485"/>
      <c r="AN85" s="10485"/>
      <c r="AO85" s="10485"/>
      <c r="AP85" s="1681"/>
      <c r="BD85" s="1684"/>
      <c r="BE85" s="1684"/>
      <c r="BF85" s="1684"/>
      <c r="BG85" s="1684"/>
      <c r="BH85" s="1684"/>
      <c r="BI85" s="1684"/>
      <c r="BJ85" s="1684"/>
      <c r="BK85" s="1684"/>
      <c r="BL85" s="1684"/>
      <c r="BM85" s="1684"/>
      <c r="BN85" s="1684"/>
    </row>
    <row r="86" spans="1:66" ht="15">
      <c r="A86" s="1681"/>
      <c r="B86" s="10433" t="s">
        <v>595</v>
      </c>
      <c r="C86" s="10433"/>
      <c r="D86" s="1718" t="s">
        <v>3851</v>
      </c>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c r="AC86" s="475"/>
      <c r="AD86" s="475"/>
      <c r="AE86" s="475"/>
      <c r="AF86" s="475"/>
      <c r="AG86" s="475"/>
      <c r="AH86" s="475"/>
      <c r="AI86" s="475"/>
      <c r="AJ86" s="475"/>
      <c r="AK86" s="475"/>
      <c r="AL86" s="475"/>
      <c r="AM86" s="475"/>
      <c r="AN86" s="475"/>
      <c r="AO86" s="475"/>
      <c r="AP86" s="1681"/>
      <c r="BD86" s="1684"/>
      <c r="BE86" s="1684"/>
      <c r="BF86" s="1684"/>
      <c r="BG86" s="1684"/>
      <c r="BH86" s="1684"/>
      <c r="BI86" s="1684"/>
      <c r="BJ86" s="1684"/>
      <c r="BK86" s="1684"/>
      <c r="BL86" s="1684"/>
      <c r="BM86" s="1684"/>
      <c r="BN86" s="1684"/>
    </row>
    <row r="87" spans="1:66" ht="14.25">
      <c r="A87" s="1681"/>
      <c r="B87" s="1744"/>
      <c r="C87" s="1744"/>
      <c r="D87" s="1718" t="s">
        <v>3852</v>
      </c>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c r="AC87" s="475"/>
      <c r="AD87" s="475"/>
      <c r="AE87" s="475"/>
      <c r="AF87" s="475"/>
      <c r="AG87" s="475"/>
      <c r="AH87" s="475"/>
      <c r="AI87" s="475"/>
      <c r="AJ87" s="475"/>
      <c r="AK87" s="475"/>
      <c r="AL87" s="475"/>
      <c r="AM87" s="475"/>
      <c r="AN87" s="475"/>
      <c r="AO87" s="475"/>
      <c r="AP87" s="1681"/>
      <c r="BD87" s="1684"/>
      <c r="BE87" s="1684"/>
      <c r="BF87" s="1684"/>
      <c r="BG87" s="1684"/>
      <c r="BH87" s="1684"/>
      <c r="BI87" s="1684"/>
      <c r="BJ87" s="1684"/>
      <c r="BK87" s="1684"/>
      <c r="BL87" s="1684"/>
      <c r="BM87" s="1684"/>
      <c r="BN87" s="1684"/>
    </row>
    <row r="88" spans="1:66">
      <c r="A88" s="1681"/>
      <c r="B88" s="1744"/>
      <c r="C88" s="1744"/>
      <c r="D88" s="475" t="s">
        <v>3853</v>
      </c>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c r="AC88" s="475"/>
      <c r="AD88" s="475"/>
      <c r="AE88" s="475"/>
      <c r="AF88" s="475"/>
      <c r="AG88" s="475"/>
      <c r="AH88" s="475"/>
      <c r="AI88" s="475"/>
      <c r="AJ88" s="475"/>
      <c r="AK88" s="475"/>
      <c r="AL88" s="475"/>
      <c r="AM88" s="475"/>
      <c r="AN88" s="475"/>
      <c r="AO88" s="475"/>
      <c r="AP88" s="1681"/>
      <c r="BD88" s="1684"/>
      <c r="BE88" s="1684"/>
      <c r="BF88" s="1684"/>
      <c r="BG88" s="1684"/>
      <c r="BH88" s="1684"/>
      <c r="BI88" s="1684"/>
      <c r="BJ88" s="1684"/>
      <c r="BK88" s="1684"/>
      <c r="BL88" s="1684"/>
      <c r="BM88" s="1684"/>
      <c r="BN88" s="1684"/>
    </row>
    <row r="89" spans="1:66" ht="16.5" customHeight="1">
      <c r="A89" s="1681"/>
      <c r="B89" s="1744"/>
      <c r="C89" s="1744"/>
      <c r="D89" s="10486"/>
      <c r="E89" s="10487"/>
      <c r="F89" s="10487"/>
      <c r="G89" s="10487"/>
      <c r="H89" s="10487"/>
      <c r="I89" s="10487"/>
      <c r="J89" s="10487"/>
      <c r="K89" s="10487"/>
      <c r="L89" s="10487"/>
      <c r="M89" s="10487"/>
      <c r="N89" s="10487"/>
      <c r="O89" s="10487"/>
      <c r="P89" s="10487"/>
      <c r="Q89" s="10487"/>
      <c r="R89" s="10487"/>
      <c r="S89" s="10487"/>
      <c r="T89" s="10487"/>
      <c r="U89" s="10487"/>
      <c r="V89" s="10487"/>
      <c r="W89" s="10487"/>
      <c r="X89" s="10487"/>
      <c r="Y89" s="10487"/>
      <c r="Z89" s="10487"/>
      <c r="AA89" s="10487"/>
      <c r="AB89" s="10487"/>
      <c r="AC89" s="10487"/>
      <c r="AD89" s="10487"/>
      <c r="AE89" s="10487"/>
      <c r="AF89" s="10487"/>
      <c r="AG89" s="10487"/>
      <c r="AH89" s="10487"/>
      <c r="AI89" s="10487"/>
      <c r="AJ89" s="10487"/>
      <c r="AK89" s="10487"/>
      <c r="AL89" s="10487"/>
      <c r="AM89" s="10487"/>
      <c r="AN89" s="10487"/>
      <c r="AO89" s="10487"/>
      <c r="AP89" s="1681"/>
      <c r="BD89" s="1684"/>
      <c r="BE89" s="1684"/>
      <c r="BF89" s="1684"/>
      <c r="BG89" s="1684"/>
      <c r="BH89" s="1684"/>
      <c r="BI89" s="1684"/>
      <c r="BJ89" s="1684"/>
      <c r="BK89" s="1684"/>
      <c r="BL89" s="1684"/>
      <c r="BM89" s="1684"/>
      <c r="BN89" s="1684"/>
    </row>
    <row r="90" spans="1:66">
      <c r="A90" s="1681"/>
      <c r="B90" s="1744"/>
      <c r="C90" s="1744"/>
      <c r="D90" s="475" t="s">
        <v>3854</v>
      </c>
      <c r="E90" s="475"/>
      <c r="F90" s="475"/>
      <c r="G90" s="475"/>
      <c r="H90" s="475"/>
      <c r="I90" s="475"/>
      <c r="J90" s="475"/>
      <c r="K90" s="475"/>
      <c r="L90" s="475"/>
      <c r="M90" s="475"/>
      <c r="N90" s="475"/>
      <c r="O90" s="475"/>
      <c r="P90" s="475"/>
      <c r="Q90" s="475"/>
      <c r="R90" s="475"/>
      <c r="S90" s="475"/>
      <c r="T90" s="475"/>
      <c r="U90" s="475"/>
      <c r="V90" s="475"/>
      <c r="W90" s="1746"/>
      <c r="X90" s="475" t="s">
        <v>3855</v>
      </c>
      <c r="Y90" s="475"/>
      <c r="Z90" s="475"/>
      <c r="AA90" s="475"/>
      <c r="AB90" s="475"/>
      <c r="AC90" s="475"/>
      <c r="AD90" s="475"/>
      <c r="AE90" s="475"/>
      <c r="AF90" s="475"/>
      <c r="AG90" s="475"/>
      <c r="AH90" s="475"/>
      <c r="AI90" s="475"/>
      <c r="AJ90" s="475"/>
      <c r="AK90" s="475"/>
      <c r="AL90" s="475"/>
      <c r="AM90" s="475"/>
      <c r="AN90" s="475"/>
      <c r="AO90" s="475"/>
      <c r="AP90" s="1681"/>
      <c r="BD90" s="1684"/>
      <c r="BE90" s="1684"/>
      <c r="BF90" s="1684"/>
      <c r="BG90" s="1684"/>
      <c r="BH90" s="1684"/>
      <c r="BI90" s="1684"/>
      <c r="BJ90" s="1684"/>
      <c r="BK90" s="1684"/>
      <c r="BL90" s="1684"/>
      <c r="BM90" s="1684"/>
      <c r="BN90" s="1684"/>
    </row>
    <row r="91" spans="1:66" ht="16.5" customHeight="1">
      <c r="A91" s="1681"/>
      <c r="B91" s="1744"/>
      <c r="C91" s="1744"/>
      <c r="D91" s="10486"/>
      <c r="E91" s="10486"/>
      <c r="F91" s="10486"/>
      <c r="G91" s="10486"/>
      <c r="H91" s="10486"/>
      <c r="I91" s="10486"/>
      <c r="J91" s="10486"/>
      <c r="K91" s="10486"/>
      <c r="L91" s="10486"/>
      <c r="M91" s="10486"/>
      <c r="N91" s="10486"/>
      <c r="O91" s="10486"/>
      <c r="P91" s="10486"/>
      <c r="Q91" s="10486"/>
      <c r="R91" s="10486"/>
      <c r="S91" s="10486"/>
      <c r="T91" s="10486"/>
      <c r="U91" s="10486"/>
      <c r="V91" s="10486"/>
      <c r="W91" s="10488"/>
      <c r="X91" s="10486"/>
      <c r="Y91" s="10486"/>
      <c r="Z91" s="10486"/>
      <c r="AA91" s="10486"/>
      <c r="AB91" s="10486"/>
      <c r="AC91" s="10486"/>
      <c r="AD91" s="10486"/>
      <c r="AE91" s="10486"/>
      <c r="AF91" s="10486"/>
      <c r="AG91" s="10486"/>
      <c r="AH91" s="10486"/>
      <c r="AI91" s="10486"/>
      <c r="AJ91" s="10486"/>
      <c r="AK91" s="10486"/>
      <c r="AL91" s="10486"/>
      <c r="AM91" s="10486"/>
      <c r="AN91" s="10486"/>
      <c r="AO91" s="10486"/>
      <c r="AP91" s="1681"/>
      <c r="BD91" s="1684"/>
      <c r="BE91" s="1684"/>
      <c r="BF91" s="1684"/>
      <c r="BG91" s="1684"/>
      <c r="BH91" s="1684"/>
      <c r="BI91" s="1684"/>
      <c r="BJ91" s="1684"/>
      <c r="BK91" s="1684"/>
      <c r="BL91" s="1684"/>
      <c r="BM91" s="1684"/>
      <c r="BN91" s="1684"/>
    </row>
    <row r="92" spans="1:66" ht="15">
      <c r="A92" s="1681"/>
      <c r="B92" s="10433" t="s">
        <v>599</v>
      </c>
      <c r="C92" s="10433"/>
      <c r="D92" s="1718" t="s">
        <v>3856</v>
      </c>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10503"/>
      <c r="AD92" s="10503"/>
      <c r="AE92" s="10503"/>
      <c r="AF92" s="10503"/>
      <c r="AG92" s="10503"/>
      <c r="AH92" s="10503"/>
      <c r="AI92" s="10503"/>
      <c r="AJ92" s="10503"/>
      <c r="AK92" s="10503"/>
      <c r="AL92" s="10503"/>
      <c r="AM92" s="10503"/>
      <c r="AN92" s="10503"/>
      <c r="AO92" s="10503"/>
      <c r="AP92" s="1681"/>
      <c r="BD92" s="1684"/>
      <c r="BE92" s="1684"/>
      <c r="BF92" s="1684"/>
      <c r="BG92" s="1684"/>
      <c r="BH92" s="1684"/>
      <c r="BI92" s="1684"/>
      <c r="BJ92" s="1684"/>
      <c r="BK92" s="1684"/>
      <c r="BL92" s="1684"/>
      <c r="BM92" s="1684"/>
      <c r="BN92" s="1684"/>
    </row>
    <row r="93" spans="1:66" ht="15">
      <c r="A93" s="1681"/>
      <c r="B93" s="10433" t="s">
        <v>603</v>
      </c>
      <c r="C93" s="10433"/>
      <c r="D93" s="1718" t="s">
        <v>3857</v>
      </c>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c r="AF93" s="475"/>
      <c r="AG93" s="475"/>
      <c r="AH93" s="475"/>
      <c r="AI93" s="10503"/>
      <c r="AJ93" s="10503"/>
      <c r="AK93" s="10503"/>
      <c r="AL93" s="10503"/>
      <c r="AM93" s="10503"/>
      <c r="AN93" s="10503"/>
      <c r="AO93" s="10503"/>
      <c r="AP93" s="1681"/>
      <c r="BD93" s="1684"/>
      <c r="BE93" s="1684"/>
      <c r="BF93" s="1684"/>
      <c r="BG93" s="1684"/>
      <c r="BH93" s="1684"/>
      <c r="BI93" s="1684"/>
      <c r="BJ93" s="1684"/>
      <c r="BK93" s="1684"/>
      <c r="BL93" s="1684"/>
      <c r="BM93" s="1684"/>
      <c r="BN93" s="1684"/>
    </row>
    <row r="94" spans="1:66" ht="16.5" customHeight="1">
      <c r="A94" s="1681"/>
      <c r="B94" s="1744"/>
      <c r="C94" s="1744"/>
      <c r="D94" s="10486"/>
      <c r="E94" s="10487"/>
      <c r="F94" s="10487"/>
      <c r="G94" s="10487"/>
      <c r="H94" s="10487"/>
      <c r="I94" s="10487"/>
      <c r="J94" s="10487"/>
      <c r="K94" s="10487"/>
      <c r="L94" s="10487"/>
      <c r="M94" s="10487"/>
      <c r="N94" s="10487"/>
      <c r="O94" s="10487"/>
      <c r="P94" s="10487"/>
      <c r="Q94" s="10487"/>
      <c r="R94" s="10487"/>
      <c r="S94" s="10487"/>
      <c r="T94" s="10487"/>
      <c r="U94" s="10487"/>
      <c r="V94" s="10487"/>
      <c r="W94" s="10487"/>
      <c r="X94" s="10487"/>
      <c r="Y94" s="10487"/>
      <c r="Z94" s="10487"/>
      <c r="AA94" s="10487"/>
      <c r="AB94" s="10487"/>
      <c r="AC94" s="10487"/>
      <c r="AD94" s="10487"/>
      <c r="AE94" s="10487"/>
      <c r="AF94" s="10487"/>
      <c r="AG94" s="10487"/>
      <c r="AH94" s="10487"/>
      <c r="AI94" s="10487"/>
      <c r="AJ94" s="10487"/>
      <c r="AK94" s="10487"/>
      <c r="AL94" s="10487"/>
      <c r="AM94" s="10487"/>
      <c r="AN94" s="10487"/>
      <c r="AO94" s="10487"/>
      <c r="AP94" s="1681"/>
      <c r="BD94" s="1684"/>
      <c r="BE94" s="1684"/>
      <c r="BF94" s="1684"/>
      <c r="BG94" s="1684"/>
      <c r="BH94" s="1684"/>
      <c r="BI94" s="1684"/>
      <c r="BJ94" s="1684"/>
      <c r="BK94" s="1684"/>
      <c r="BL94" s="1684"/>
      <c r="BM94" s="1684"/>
      <c r="BN94" s="1684"/>
    </row>
    <row r="95" spans="1:66" ht="15">
      <c r="A95" s="1681"/>
      <c r="B95" s="10433"/>
      <c r="C95" s="10433"/>
      <c r="D95" s="1718"/>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c r="AF95" s="475"/>
      <c r="AG95" s="475"/>
      <c r="AH95" s="475"/>
      <c r="AI95" s="475"/>
      <c r="AJ95" s="475"/>
      <c r="AK95" s="475"/>
      <c r="AL95" s="10504" t="s">
        <v>568</v>
      </c>
      <c r="AM95" s="10505"/>
      <c r="AN95" s="10504" t="s">
        <v>569</v>
      </c>
      <c r="AO95" s="10506"/>
      <c r="AP95" s="1681"/>
      <c r="BD95" s="1684"/>
      <c r="BE95" s="1684"/>
      <c r="BF95" s="1684"/>
      <c r="BG95" s="1684"/>
      <c r="BH95" s="1684"/>
      <c r="BI95" s="1684"/>
      <c r="BJ95" s="1684"/>
      <c r="BK95" s="1684"/>
      <c r="BL95" s="1684"/>
      <c r="BM95" s="1684"/>
      <c r="BN95" s="1684"/>
    </row>
    <row r="96" spans="1:66" ht="15.75" customHeight="1">
      <c r="A96" s="1681"/>
      <c r="B96" s="10433" t="s">
        <v>629</v>
      </c>
      <c r="C96" s="10433"/>
      <c r="D96" s="475" t="s">
        <v>3858</v>
      </c>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c r="AC96" s="475"/>
      <c r="AD96" s="475"/>
      <c r="AE96" s="475"/>
      <c r="AF96" s="475"/>
      <c r="AG96" s="475"/>
      <c r="AH96" s="475"/>
      <c r="AI96" s="475"/>
      <c r="AJ96" s="475"/>
      <c r="AK96" s="1747"/>
      <c r="AL96" s="10497"/>
      <c r="AM96" s="10498"/>
      <c r="AN96" s="10497"/>
      <c r="AO96" s="10499"/>
      <c r="AP96" s="1681"/>
      <c r="BD96" s="1684"/>
      <c r="BE96" s="1684"/>
      <c r="BF96" s="1684"/>
      <c r="BG96" s="1684"/>
      <c r="BH96" s="1684"/>
      <c r="BI96" s="1684"/>
      <c r="BJ96" s="1684"/>
      <c r="BK96" s="1684"/>
      <c r="BL96" s="1684"/>
      <c r="BM96" s="1684"/>
      <c r="BN96" s="1684"/>
    </row>
    <row r="97" spans="1:66" ht="15">
      <c r="A97" s="1681"/>
      <c r="B97" s="10433" t="s">
        <v>592</v>
      </c>
      <c r="C97" s="10433"/>
      <c r="D97" s="1718" t="s">
        <v>3859</v>
      </c>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c r="AC97" s="475"/>
      <c r="AD97" s="475"/>
      <c r="AE97" s="475"/>
      <c r="AF97" s="475"/>
      <c r="AG97" s="475"/>
      <c r="AH97" s="475"/>
      <c r="AI97" s="475"/>
      <c r="AJ97" s="475"/>
      <c r="AK97" s="1704"/>
      <c r="AL97" s="1748"/>
      <c r="AM97" s="1749"/>
      <c r="AN97" s="1748"/>
      <c r="AO97" s="1750"/>
      <c r="AP97" s="1681"/>
      <c r="BD97" s="1684"/>
      <c r="BE97" s="1684"/>
      <c r="BF97" s="1684"/>
      <c r="BG97" s="1684"/>
      <c r="BH97" s="1684"/>
      <c r="BI97" s="1684"/>
      <c r="BJ97" s="1684"/>
      <c r="BK97" s="1684"/>
      <c r="BL97" s="1684"/>
      <c r="BM97" s="1684"/>
      <c r="BN97" s="1684"/>
    </row>
    <row r="98" spans="1:66" ht="15">
      <c r="A98" s="1681"/>
      <c r="B98" s="1720"/>
      <c r="C98" s="1720"/>
      <c r="D98" s="475" t="s">
        <v>3860</v>
      </c>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c r="AC98" s="475"/>
      <c r="AD98" s="475"/>
      <c r="AE98" s="475"/>
      <c r="AF98" s="475"/>
      <c r="AG98" s="475"/>
      <c r="AH98" s="475"/>
      <c r="AI98" s="475"/>
      <c r="AJ98" s="475"/>
      <c r="AK98" s="475"/>
      <c r="AL98" s="1751"/>
      <c r="AM98" s="1752"/>
      <c r="AN98" s="1751"/>
      <c r="AO98" s="1753"/>
      <c r="AP98" s="1681"/>
      <c r="BD98" s="1684"/>
      <c r="BE98" s="1684"/>
      <c r="BF98" s="1684"/>
      <c r="BG98" s="1684"/>
      <c r="BH98" s="1684"/>
      <c r="BI98" s="1684"/>
      <c r="BJ98" s="1684"/>
      <c r="BK98" s="1684"/>
      <c r="BL98" s="1684"/>
      <c r="BM98" s="1684"/>
      <c r="BN98" s="1684"/>
    </row>
    <row r="99" spans="1:66" ht="15">
      <c r="A99" s="1681"/>
      <c r="B99" s="1720"/>
      <c r="C99" s="1720"/>
      <c r="D99" s="1718" t="s">
        <v>3861</v>
      </c>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c r="AC99" s="475"/>
      <c r="AD99" s="475"/>
      <c r="AE99" s="475"/>
      <c r="AF99" s="475"/>
      <c r="AG99" s="475"/>
      <c r="AH99" s="475"/>
      <c r="AI99" s="475"/>
      <c r="AJ99" s="475"/>
      <c r="AK99" s="475"/>
      <c r="AL99" s="1751"/>
      <c r="AM99" s="1752"/>
      <c r="AN99" s="1751"/>
      <c r="AO99" s="1753"/>
      <c r="AP99" s="1681"/>
      <c r="BD99" s="1684"/>
      <c r="BE99" s="1684"/>
      <c r="BF99" s="1684"/>
      <c r="BG99" s="1684"/>
      <c r="BH99" s="1684"/>
      <c r="BI99" s="1684"/>
      <c r="BJ99" s="1684"/>
      <c r="BK99" s="1684"/>
      <c r="BL99" s="1684"/>
      <c r="BM99" s="1684"/>
      <c r="BN99" s="1684"/>
    </row>
    <row r="100" spans="1:66" ht="15.75">
      <c r="A100" s="1681"/>
      <c r="B100" s="1720"/>
      <c r="C100" s="1720"/>
      <c r="D100" s="1718" t="s">
        <v>3862</v>
      </c>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c r="AC100" s="475"/>
      <c r="AD100" s="475"/>
      <c r="AE100" s="475"/>
      <c r="AF100" s="475"/>
      <c r="AG100" s="475"/>
      <c r="AH100" s="475"/>
      <c r="AI100" s="475"/>
      <c r="AJ100" s="475"/>
      <c r="AK100" s="1754" t="s">
        <v>648</v>
      </c>
      <c r="AL100" s="10500"/>
      <c r="AM100" s="10501"/>
      <c r="AN100" s="10500"/>
      <c r="AO100" s="10502"/>
      <c r="AP100" s="1681"/>
      <c r="BD100" s="1684"/>
      <c r="BE100" s="1684"/>
      <c r="BF100" s="1684"/>
      <c r="BG100" s="1684"/>
      <c r="BH100" s="1684"/>
      <c r="BI100" s="1684"/>
      <c r="BJ100" s="1684"/>
      <c r="BK100" s="1684"/>
      <c r="BL100" s="1684"/>
      <c r="BM100" s="1684"/>
      <c r="BN100" s="1684"/>
    </row>
    <row r="101" spans="1:66" ht="16.5" thickBot="1">
      <c r="A101" s="1681"/>
      <c r="B101" s="10516" t="s">
        <v>595</v>
      </c>
      <c r="C101" s="10516"/>
      <c r="D101" s="1755" t="s">
        <v>3863</v>
      </c>
      <c r="E101" s="1037"/>
      <c r="F101" s="1037"/>
      <c r="G101" s="1037"/>
      <c r="H101" s="1037"/>
      <c r="I101" s="1037"/>
      <c r="J101" s="1037"/>
      <c r="K101" s="1037"/>
      <c r="L101" s="1037"/>
      <c r="M101" s="1037"/>
      <c r="N101" s="1037"/>
      <c r="O101" s="1037"/>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756" t="s">
        <v>608</v>
      </c>
      <c r="AL101" s="10517"/>
      <c r="AM101" s="10518"/>
      <c r="AN101" s="10517"/>
      <c r="AO101" s="10519"/>
      <c r="AP101" s="1681"/>
      <c r="BD101" s="1684"/>
      <c r="BE101" s="1684"/>
      <c r="BF101" s="1684"/>
      <c r="BG101" s="1684"/>
      <c r="BH101" s="1684"/>
      <c r="BI101" s="1684"/>
      <c r="BJ101" s="1684"/>
      <c r="BK101" s="1684"/>
      <c r="BL101" s="1684"/>
      <c r="BM101" s="1684"/>
      <c r="BN101" s="1684"/>
    </row>
    <row r="102" spans="1:66" s="1695" customFormat="1" ht="15.75">
      <c r="A102" s="1693"/>
      <c r="B102" s="10492" t="s">
        <v>1938</v>
      </c>
      <c r="C102" s="10492"/>
      <c r="D102" s="10493"/>
      <c r="E102" s="1740"/>
      <c r="F102" s="1741" t="s">
        <v>3864</v>
      </c>
      <c r="G102" s="1740"/>
      <c r="H102" s="1740"/>
      <c r="I102" s="1740"/>
      <c r="J102" s="1740"/>
      <c r="K102" s="1740"/>
      <c r="L102" s="1740"/>
      <c r="M102" s="1740"/>
      <c r="N102" s="1740"/>
      <c r="O102" s="1740"/>
      <c r="P102" s="1740"/>
      <c r="Q102" s="1740"/>
      <c r="R102" s="1740"/>
      <c r="S102" s="1740"/>
      <c r="T102" s="1740"/>
      <c r="U102" s="1740"/>
      <c r="V102" s="1740"/>
      <c r="W102" s="1740"/>
      <c r="X102" s="1740"/>
      <c r="Y102" s="1740"/>
      <c r="Z102" s="1740"/>
      <c r="AA102" s="1740"/>
      <c r="AB102" s="1740"/>
      <c r="AC102" s="1740"/>
      <c r="AD102" s="1740"/>
      <c r="AE102" s="1740"/>
      <c r="AF102" s="1740"/>
      <c r="AG102" s="1740"/>
      <c r="AH102" s="1740"/>
      <c r="AI102" s="1740"/>
      <c r="AJ102" s="1740"/>
      <c r="AK102" s="1740"/>
      <c r="AL102" s="1740"/>
      <c r="AM102" s="1740"/>
      <c r="AN102" s="1740"/>
      <c r="AO102" s="1740"/>
      <c r="AP102" s="1681"/>
      <c r="BD102" s="1684"/>
      <c r="BE102" s="1684"/>
      <c r="BF102" s="1684"/>
      <c r="BG102" s="1684"/>
      <c r="BH102" s="1684"/>
      <c r="BI102" s="1684"/>
      <c r="BJ102" s="1684"/>
      <c r="BK102" s="1684"/>
      <c r="BL102" s="1684"/>
      <c r="BM102" s="1684"/>
      <c r="BN102" s="1684"/>
    </row>
    <row r="103" spans="1:66" ht="15">
      <c r="A103" s="1681"/>
      <c r="B103" s="1742"/>
      <c r="C103" s="1742"/>
      <c r="D103" s="1742"/>
      <c r="E103" s="1742"/>
      <c r="F103" s="1757" t="s">
        <v>3865</v>
      </c>
      <c r="G103" s="1742"/>
      <c r="H103" s="1742"/>
      <c r="I103" s="1742"/>
      <c r="J103" s="1742"/>
      <c r="K103" s="1742"/>
      <c r="L103" s="1742"/>
      <c r="M103" s="1742"/>
      <c r="N103" s="1742"/>
      <c r="O103" s="1742"/>
      <c r="P103" s="1742"/>
      <c r="Q103" s="1742"/>
      <c r="R103" s="1742"/>
      <c r="S103" s="1742"/>
      <c r="T103" s="1758"/>
      <c r="U103" s="1742"/>
      <c r="V103" s="1742"/>
      <c r="W103" s="1742"/>
      <c r="X103" s="1742"/>
      <c r="Y103" s="1742"/>
      <c r="Z103" s="1742"/>
      <c r="AA103" s="1742"/>
      <c r="AB103" s="1742"/>
      <c r="AC103" s="1742"/>
      <c r="AD103" s="1742"/>
      <c r="AE103" s="1742"/>
      <c r="AF103" s="1742"/>
      <c r="AG103" s="1742"/>
      <c r="AH103" s="1742"/>
      <c r="AI103" s="1742"/>
      <c r="AJ103" s="1742"/>
      <c r="AK103" s="1742"/>
      <c r="AL103" s="1742"/>
      <c r="AM103" s="1742"/>
      <c r="AN103" s="1742"/>
      <c r="AO103" s="1742"/>
      <c r="AP103" s="1681"/>
      <c r="BD103" s="1684"/>
      <c r="BE103" s="1684"/>
      <c r="BF103" s="1684"/>
      <c r="BG103" s="1684"/>
      <c r="BH103" s="1684"/>
      <c r="BI103" s="1684"/>
      <c r="BJ103" s="1684"/>
      <c r="BK103" s="1684"/>
      <c r="BL103" s="1684"/>
      <c r="BM103" s="1684"/>
      <c r="BN103" s="1684"/>
    </row>
    <row r="104" spans="1:66" ht="14.25">
      <c r="A104" s="1681"/>
      <c r="B104" s="1718" t="s">
        <v>3866</v>
      </c>
      <c r="C104" s="475"/>
      <c r="D104" s="475"/>
      <c r="E104" s="475"/>
      <c r="F104" s="475"/>
      <c r="G104" s="475"/>
      <c r="H104" s="475"/>
      <c r="I104" s="475"/>
      <c r="J104" s="475"/>
      <c r="K104" s="475"/>
      <c r="L104" s="475"/>
      <c r="M104" s="475"/>
      <c r="N104" s="475"/>
      <c r="O104" s="475"/>
      <c r="P104" s="475"/>
      <c r="Q104" s="475"/>
      <c r="R104" s="475"/>
      <c r="S104" s="475"/>
      <c r="T104" s="1726"/>
      <c r="U104" s="475"/>
      <c r="V104" s="475"/>
      <c r="W104" s="475"/>
      <c r="X104" s="475"/>
      <c r="Y104" s="475"/>
      <c r="Z104" s="475"/>
      <c r="AA104" s="475"/>
      <c r="AB104" s="475"/>
      <c r="AC104" s="475"/>
      <c r="AD104" s="475"/>
      <c r="AE104" s="475"/>
      <c r="AF104" s="475"/>
      <c r="AG104" s="475"/>
      <c r="AH104" s="475"/>
      <c r="AI104" s="475"/>
      <c r="AJ104" s="475"/>
      <c r="AK104" s="475"/>
      <c r="AL104" s="475"/>
      <c r="AM104" s="475"/>
      <c r="AN104" s="475"/>
      <c r="AO104" s="475"/>
      <c r="AP104" s="1681"/>
      <c r="BD104" s="1684"/>
      <c r="BE104" s="1684"/>
      <c r="BF104" s="1684"/>
      <c r="BG104" s="1684"/>
      <c r="BH104" s="1684"/>
      <c r="BI104" s="1684"/>
      <c r="BJ104" s="1684"/>
      <c r="BK104" s="1684"/>
      <c r="BL104" s="1684"/>
      <c r="BM104" s="1684"/>
      <c r="BN104" s="1684"/>
    </row>
    <row r="105" spans="1:66" ht="14.25">
      <c r="A105" s="1681"/>
      <c r="B105" s="1718" t="s">
        <v>3867</v>
      </c>
      <c r="C105" s="475"/>
      <c r="D105" s="475"/>
      <c r="E105" s="475"/>
      <c r="F105" s="475"/>
      <c r="G105" s="475"/>
      <c r="H105" s="475"/>
      <c r="I105" s="475"/>
      <c r="J105" s="475"/>
      <c r="K105" s="475"/>
      <c r="L105" s="475"/>
      <c r="M105" s="475"/>
      <c r="N105" s="475"/>
      <c r="O105" s="475"/>
      <c r="P105" s="475"/>
      <c r="Q105" s="475"/>
      <c r="R105" s="475"/>
      <c r="S105" s="475"/>
      <c r="T105" s="1726"/>
      <c r="U105" s="475"/>
      <c r="V105" s="475"/>
      <c r="W105" s="475"/>
      <c r="X105" s="475"/>
      <c r="Y105" s="475"/>
      <c r="Z105" s="475"/>
      <c r="AA105" s="475"/>
      <c r="AB105" s="475"/>
      <c r="AC105" s="475"/>
      <c r="AD105" s="475"/>
      <c r="AE105" s="1759"/>
      <c r="AF105" s="1759"/>
      <c r="AG105" s="1759"/>
      <c r="AH105" s="1759"/>
      <c r="AI105" s="1759"/>
      <c r="AJ105" s="1759"/>
      <c r="AK105" s="1759"/>
      <c r="AL105" s="1759"/>
      <c r="AM105" s="1759"/>
      <c r="AN105" s="1759"/>
      <c r="AO105" s="1759"/>
      <c r="AP105" s="1681"/>
      <c r="BD105" s="1684"/>
      <c r="BE105" s="1684"/>
      <c r="BF105" s="1684"/>
      <c r="BG105" s="1684"/>
      <c r="BH105" s="1684"/>
      <c r="BI105" s="1684"/>
      <c r="BJ105" s="1684"/>
      <c r="BK105" s="1684"/>
      <c r="BL105" s="1684"/>
      <c r="BM105" s="1684"/>
      <c r="BN105" s="1684"/>
    </row>
    <row r="106" spans="1:66" ht="12.75" customHeight="1">
      <c r="A106" s="1681"/>
      <c r="B106" s="475"/>
      <c r="C106" s="10520"/>
      <c r="D106" s="10520"/>
      <c r="E106" s="10520"/>
      <c r="F106" s="10520"/>
      <c r="G106" s="10520"/>
      <c r="H106" s="10520"/>
      <c r="I106" s="10520"/>
      <c r="J106" s="10520"/>
      <c r="K106" s="10520"/>
      <c r="L106" s="10520"/>
      <c r="M106" s="10520"/>
      <c r="N106" s="10520"/>
      <c r="O106" s="10520"/>
      <c r="P106" s="10520"/>
      <c r="Q106" s="10520"/>
      <c r="R106" s="10520"/>
      <c r="S106" s="10520"/>
      <c r="T106" s="10520"/>
      <c r="U106" s="10520"/>
      <c r="V106" s="10520"/>
      <c r="W106" s="10520"/>
      <c r="X106" s="10520"/>
      <c r="Y106" s="10520"/>
      <c r="Z106" s="10520"/>
      <c r="AA106" s="10520"/>
      <c r="AB106" s="10520"/>
      <c r="AC106" s="10520"/>
      <c r="AD106" s="10520"/>
      <c r="AE106" s="10520"/>
      <c r="AF106" s="10520"/>
      <c r="AG106" s="10520"/>
      <c r="AH106" s="10520"/>
      <c r="AI106" s="10520"/>
      <c r="AJ106" s="10520"/>
      <c r="AK106" s="10520"/>
      <c r="AL106" s="10520"/>
      <c r="AM106" s="10520"/>
      <c r="AN106" s="10520"/>
      <c r="AO106" s="10520"/>
      <c r="AP106" s="1681"/>
      <c r="BD106" s="1684"/>
      <c r="BE106" s="1684"/>
      <c r="BF106" s="1684"/>
      <c r="BG106" s="1684"/>
      <c r="BH106" s="1684"/>
      <c r="BI106" s="1684"/>
      <c r="BJ106" s="1684"/>
      <c r="BK106" s="1684"/>
      <c r="BL106" s="1684"/>
      <c r="BM106" s="1684"/>
      <c r="BN106" s="1684"/>
    </row>
    <row r="107" spans="1:66" ht="24.75" customHeight="1">
      <c r="A107" s="1681"/>
      <c r="B107" s="10521" t="s">
        <v>3868</v>
      </c>
      <c r="C107" s="10521"/>
      <c r="D107" s="10521"/>
      <c r="E107" s="10521"/>
      <c r="F107" s="10521"/>
      <c r="G107" s="10522"/>
      <c r="H107" s="10522"/>
      <c r="I107" s="10522"/>
      <c r="J107" s="10522"/>
      <c r="K107" s="10522"/>
      <c r="L107" s="10522"/>
      <c r="M107" s="10522"/>
      <c r="N107" s="10522"/>
      <c r="O107" s="10522"/>
      <c r="P107" s="10522"/>
      <c r="Q107" s="10522"/>
      <c r="R107" s="10522"/>
      <c r="S107" s="10522"/>
      <c r="T107" s="10522"/>
      <c r="U107" s="10522"/>
      <c r="V107" s="10522"/>
      <c r="W107" s="10522"/>
      <c r="X107" s="10522"/>
      <c r="Y107" s="10522"/>
      <c r="Z107" s="10522"/>
      <c r="AA107" s="10522"/>
      <c r="AB107" s="10522"/>
      <c r="AC107" s="10522"/>
      <c r="AD107" s="10522"/>
      <c r="AE107" s="10522"/>
      <c r="AF107" s="10522"/>
      <c r="AG107" s="1760" t="s">
        <v>227</v>
      </c>
      <c r="AH107" s="1761"/>
      <c r="AI107" s="10523"/>
      <c r="AJ107" s="10523"/>
      <c r="AK107" s="10523"/>
      <c r="AL107" s="10523"/>
      <c r="AM107" s="10523"/>
      <c r="AN107" s="10523"/>
      <c r="AO107" s="10523"/>
      <c r="AP107" s="1681"/>
      <c r="BD107" s="1684"/>
      <c r="BE107" s="1684"/>
      <c r="BF107" s="1684"/>
      <c r="BG107" s="1684"/>
      <c r="BH107" s="1684"/>
      <c r="BI107" s="1684"/>
      <c r="BJ107" s="1684"/>
      <c r="BK107" s="1684"/>
      <c r="BL107" s="1684"/>
      <c r="BM107" s="1684"/>
      <c r="BN107" s="1684"/>
    </row>
    <row r="108" spans="1:66" s="1695" customFormat="1" ht="16.5" customHeight="1">
      <c r="A108" s="1693"/>
      <c r="B108" s="10382" t="s">
        <v>2102</v>
      </c>
      <c r="C108" s="10382"/>
      <c r="D108" s="10383"/>
      <c r="E108" s="1694"/>
      <c r="F108" s="1762" t="s">
        <v>3869</v>
      </c>
      <c r="G108" s="1694"/>
      <c r="H108" s="1694"/>
      <c r="I108" s="1694"/>
      <c r="J108" s="1694"/>
      <c r="K108" s="1694"/>
      <c r="L108" s="1694"/>
      <c r="M108" s="1694"/>
      <c r="N108" s="1694"/>
      <c r="O108" s="1694"/>
      <c r="P108" s="1694"/>
      <c r="Q108" s="1694"/>
      <c r="R108" s="1694"/>
      <c r="S108" s="1694"/>
      <c r="T108" s="1694"/>
      <c r="U108" s="1694"/>
      <c r="V108" s="1694"/>
      <c r="W108" s="1694"/>
      <c r="X108" s="1694"/>
      <c r="Y108" s="1694"/>
      <c r="Z108" s="1694"/>
      <c r="AA108" s="1694"/>
      <c r="AB108" s="1694"/>
      <c r="AC108" s="1694"/>
      <c r="AD108" s="1694"/>
      <c r="AE108" s="1694"/>
      <c r="AF108" s="1694"/>
      <c r="AG108" s="1694"/>
      <c r="AH108" s="1694"/>
      <c r="AI108" s="1694"/>
      <c r="AJ108" s="1694"/>
      <c r="AK108" s="1694"/>
      <c r="AL108" s="1694"/>
      <c r="AM108" s="1694"/>
      <c r="AN108" s="1694"/>
      <c r="AO108" s="1694"/>
      <c r="AP108" s="1681"/>
      <c r="BD108" s="1684"/>
      <c r="BE108" s="1684"/>
      <c r="BF108" s="1684"/>
      <c r="BG108" s="1684"/>
      <c r="BH108" s="1684"/>
      <c r="BI108" s="1684"/>
      <c r="BJ108" s="1684"/>
      <c r="BK108" s="1684"/>
      <c r="BL108" s="1684"/>
      <c r="BM108" s="1684"/>
      <c r="BN108" s="1684"/>
    </row>
    <row r="109" spans="1:66" s="1764" customFormat="1" ht="35.25" customHeight="1">
      <c r="A109" s="1763"/>
      <c r="B109" s="10507" t="s">
        <v>3870</v>
      </c>
      <c r="C109" s="10508"/>
      <c r="D109" s="10508"/>
      <c r="E109" s="10508"/>
      <c r="F109" s="10508"/>
      <c r="G109" s="10508"/>
      <c r="H109" s="10508"/>
      <c r="I109" s="10508"/>
      <c r="J109" s="10508"/>
      <c r="K109" s="10508"/>
      <c r="L109" s="10508"/>
      <c r="M109" s="10508"/>
      <c r="N109" s="10508"/>
      <c r="O109" s="10508"/>
      <c r="P109" s="10508"/>
      <c r="Q109" s="10508"/>
      <c r="R109" s="10508"/>
      <c r="S109" s="10508"/>
      <c r="T109" s="10508"/>
      <c r="U109" s="10508"/>
      <c r="V109" s="10508"/>
      <c r="W109" s="10508"/>
      <c r="X109" s="10508"/>
      <c r="Y109" s="10508"/>
      <c r="Z109" s="10508"/>
      <c r="AA109" s="10508"/>
      <c r="AB109" s="10508"/>
      <c r="AC109" s="10508"/>
      <c r="AD109" s="10508"/>
      <c r="AE109" s="10508"/>
      <c r="AF109" s="10508"/>
      <c r="AG109" s="10508"/>
      <c r="AH109" s="10508"/>
      <c r="AI109" s="10508"/>
      <c r="AJ109" s="10508"/>
      <c r="AK109" s="10508"/>
      <c r="AL109" s="10508"/>
      <c r="AM109" s="10508"/>
      <c r="AN109" s="10508"/>
      <c r="AO109" s="10508"/>
      <c r="AP109" s="1763"/>
      <c r="BD109" s="1765"/>
      <c r="BE109" s="1765"/>
      <c r="BF109" s="1765"/>
      <c r="BG109" s="1765"/>
      <c r="BH109" s="1765"/>
      <c r="BI109" s="1765"/>
      <c r="BJ109" s="1765"/>
      <c r="BK109" s="1765"/>
      <c r="BL109" s="1765"/>
      <c r="BM109" s="1765"/>
      <c r="BN109" s="1765"/>
    </row>
    <row r="110" spans="1:66" ht="78" customHeight="1">
      <c r="A110" s="1681"/>
      <c r="B110" s="10507" t="s">
        <v>5129</v>
      </c>
      <c r="C110" s="10508"/>
      <c r="D110" s="10508"/>
      <c r="E110" s="10508"/>
      <c r="F110" s="10508"/>
      <c r="G110" s="10508"/>
      <c r="H110" s="10508"/>
      <c r="I110" s="10508"/>
      <c r="J110" s="10508"/>
      <c r="K110" s="10508"/>
      <c r="L110" s="10508"/>
      <c r="M110" s="10508"/>
      <c r="N110" s="10508"/>
      <c r="O110" s="10508"/>
      <c r="P110" s="10508"/>
      <c r="Q110" s="10508"/>
      <c r="R110" s="10508"/>
      <c r="S110" s="10508"/>
      <c r="T110" s="10508"/>
      <c r="U110" s="10508"/>
      <c r="V110" s="10508"/>
      <c r="W110" s="10508"/>
      <c r="X110" s="10508"/>
      <c r="Y110" s="10508"/>
      <c r="Z110" s="10508"/>
      <c r="AA110" s="10508"/>
      <c r="AB110" s="10508"/>
      <c r="AC110" s="10508"/>
      <c r="AD110" s="10508"/>
      <c r="AE110" s="10508"/>
      <c r="AF110" s="10508"/>
      <c r="AG110" s="10508"/>
      <c r="AH110" s="10508"/>
      <c r="AI110" s="10508"/>
      <c r="AJ110" s="10508"/>
      <c r="AK110" s="10508"/>
      <c r="AL110" s="10508"/>
      <c r="AM110" s="10508"/>
      <c r="AN110" s="10508"/>
      <c r="AO110" s="10508"/>
      <c r="AP110" s="1681"/>
      <c r="BD110" s="1684"/>
      <c r="BE110" s="1684"/>
      <c r="BF110" s="1684"/>
      <c r="BG110" s="1684"/>
      <c r="BH110" s="1684"/>
      <c r="BI110" s="1684"/>
      <c r="BJ110" s="1684"/>
      <c r="BK110" s="1684"/>
      <c r="BL110" s="1684"/>
      <c r="BM110" s="1684"/>
      <c r="BN110" s="1684"/>
    </row>
    <row r="111" spans="1:66" ht="13.5" customHeight="1">
      <c r="A111" s="1681"/>
      <c r="B111" s="10509" t="s">
        <v>3871</v>
      </c>
      <c r="C111" s="10510"/>
      <c r="D111" s="1702"/>
      <c r="E111" s="475"/>
      <c r="F111" s="475"/>
      <c r="G111" s="475"/>
      <c r="H111" s="475"/>
      <c r="I111" s="475"/>
      <c r="J111" s="475"/>
      <c r="K111" s="475"/>
      <c r="L111" s="475"/>
      <c r="M111" s="475"/>
      <c r="N111" s="475"/>
      <c r="O111" s="475"/>
      <c r="P111" s="475"/>
      <c r="Q111" s="475"/>
      <c r="R111" s="475"/>
      <c r="S111" s="475"/>
      <c r="T111" s="1726"/>
      <c r="U111" s="1726"/>
      <c r="V111" s="1726"/>
      <c r="W111" s="1726"/>
      <c r="X111" s="1726"/>
      <c r="Y111" s="1726"/>
      <c r="Z111" s="1726"/>
      <c r="AA111" s="1726"/>
      <c r="AB111" s="1726"/>
      <c r="AC111" s="1726"/>
      <c r="AD111" s="1726"/>
      <c r="AE111" s="1726"/>
      <c r="AF111" s="1726"/>
      <c r="AG111" s="475"/>
      <c r="AH111" s="475"/>
      <c r="AI111" s="475"/>
      <c r="AJ111" s="475"/>
      <c r="AK111" s="475"/>
      <c r="AL111" s="475"/>
      <c r="AM111" s="475"/>
      <c r="AN111" s="475"/>
      <c r="AO111" s="475"/>
      <c r="AP111" s="1681"/>
      <c r="BD111" s="1684"/>
      <c r="BE111" s="1684"/>
      <c r="BF111" s="1684"/>
      <c r="BG111" s="1684"/>
      <c r="BH111" s="1684"/>
      <c r="BI111" s="1684"/>
      <c r="BJ111" s="1684"/>
      <c r="BK111" s="1684"/>
      <c r="BL111" s="1684"/>
      <c r="BM111" s="1684"/>
      <c r="BN111" s="1684"/>
    </row>
    <row r="112" spans="1:66" ht="13.5" customHeight="1">
      <c r="A112" s="1681"/>
      <c r="B112" s="10509"/>
      <c r="C112" s="10510"/>
      <c r="D112" s="1766" t="s">
        <v>3872</v>
      </c>
      <c r="E112" s="1742"/>
      <c r="F112" s="1742"/>
      <c r="G112" s="10513"/>
      <c r="H112" s="10513"/>
      <c r="I112" s="10513"/>
      <c r="J112" s="10513"/>
      <c r="K112" s="10513"/>
      <c r="L112" s="10513"/>
      <c r="M112" s="10513"/>
      <c r="N112" s="10513"/>
      <c r="O112" s="10513"/>
      <c r="P112" s="10513"/>
      <c r="Q112" s="10513"/>
      <c r="R112" s="10513"/>
      <c r="S112" s="10513"/>
      <c r="T112" s="10513"/>
      <c r="U112" s="10513"/>
      <c r="V112" s="10513"/>
      <c r="W112" s="10513"/>
      <c r="X112" s="10513"/>
      <c r="Y112" s="10513"/>
      <c r="Z112" s="10513"/>
      <c r="AA112" s="10513"/>
      <c r="AB112" s="10513"/>
      <c r="AC112" s="10513"/>
      <c r="AD112" s="10513"/>
      <c r="AE112" s="10513"/>
      <c r="AF112" s="10513"/>
      <c r="AG112" s="1742"/>
      <c r="AH112" s="1767" t="s">
        <v>227</v>
      </c>
      <c r="AI112" s="475"/>
      <c r="AJ112" s="10514"/>
      <c r="AK112" s="10515"/>
      <c r="AL112" s="10515"/>
      <c r="AM112" s="10515"/>
      <c r="AN112" s="10515"/>
      <c r="AO112" s="10515"/>
      <c r="AP112" s="1681"/>
      <c r="BD112" s="1684"/>
      <c r="BE112" s="1684"/>
      <c r="BF112" s="1684"/>
      <c r="BG112" s="1684"/>
      <c r="BH112" s="1684"/>
      <c r="BI112" s="1684"/>
      <c r="BJ112" s="1684"/>
      <c r="BK112" s="1684"/>
      <c r="BL112" s="1684"/>
      <c r="BM112" s="1684"/>
      <c r="BN112" s="1684"/>
    </row>
    <row r="113" spans="1:66">
      <c r="A113" s="1681"/>
      <c r="B113" s="10511"/>
      <c r="C113" s="10512"/>
      <c r="D113" s="1768" t="s">
        <v>3873</v>
      </c>
      <c r="E113" s="1690"/>
      <c r="F113" s="1690"/>
      <c r="G113" s="1690"/>
      <c r="H113" s="1690"/>
      <c r="I113" s="1690"/>
      <c r="J113" s="1690"/>
      <c r="K113" s="1690"/>
      <c r="L113" s="1690"/>
      <c r="M113" s="1690"/>
      <c r="N113" s="1690"/>
      <c r="O113" s="1690"/>
      <c r="P113" s="1690"/>
      <c r="Q113" s="1690"/>
      <c r="R113" s="1690"/>
      <c r="S113" s="1769"/>
      <c r="T113" s="1770"/>
      <c r="U113" s="1771" t="s">
        <v>3874</v>
      </c>
      <c r="V113" s="1690"/>
      <c r="W113" s="1690"/>
      <c r="X113" s="1690"/>
      <c r="Y113" s="1690"/>
      <c r="Z113" s="1690"/>
      <c r="AA113" s="1690"/>
      <c r="AB113" s="1690"/>
      <c r="AC113" s="1690"/>
      <c r="AD113" s="1690"/>
      <c r="AE113" s="1690"/>
      <c r="AF113" s="1690"/>
      <c r="AG113" s="1690"/>
      <c r="AH113" s="1690"/>
      <c r="AI113" s="1690"/>
      <c r="AJ113" s="1690"/>
      <c r="AK113" s="1690"/>
      <c r="AL113" s="1772"/>
      <c r="AM113" s="1772"/>
      <c r="AN113" s="1772"/>
      <c r="AO113" s="1772"/>
      <c r="AP113" s="1681"/>
      <c r="BD113" s="1684"/>
      <c r="BE113" s="1684"/>
      <c r="BF113" s="1684"/>
      <c r="BG113" s="1684"/>
      <c r="BH113" s="1684"/>
      <c r="BI113" s="1684"/>
      <c r="BJ113" s="1684"/>
      <c r="BK113" s="1684"/>
      <c r="BL113" s="1684"/>
      <c r="BM113" s="1684"/>
      <c r="BN113" s="1684"/>
    </row>
    <row r="114" spans="1:66">
      <c r="A114" s="1681"/>
      <c r="B114" s="475" t="s">
        <v>3875</v>
      </c>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c r="AC114" s="475"/>
      <c r="AD114" s="475"/>
      <c r="AE114" s="475"/>
      <c r="AF114" s="475"/>
      <c r="AG114" s="475"/>
      <c r="AH114" s="475"/>
      <c r="AI114" s="1773" t="s">
        <v>2927</v>
      </c>
      <c r="AJ114" s="1772"/>
      <c r="AK114" s="1772"/>
      <c r="AL114" s="1772"/>
      <c r="AM114" s="1772"/>
      <c r="AN114" s="1772"/>
      <c r="AO114" s="1772"/>
      <c r="AP114" s="1681"/>
      <c r="BD114" s="1684"/>
      <c r="BE114" s="1684"/>
      <c r="BF114" s="1684"/>
      <c r="BG114" s="1684"/>
      <c r="BH114" s="1684"/>
      <c r="BI114" s="1684"/>
      <c r="BJ114" s="1684"/>
      <c r="BK114" s="1684"/>
      <c r="BL114" s="1684"/>
      <c r="BM114" s="1684"/>
      <c r="BN114" s="1684"/>
    </row>
    <row r="115" spans="1:66" ht="16.5" customHeight="1">
      <c r="A115" s="1681"/>
      <c r="B115" s="10533"/>
      <c r="C115" s="10534"/>
      <c r="D115" s="10534"/>
      <c r="E115" s="10534"/>
      <c r="F115" s="10534"/>
      <c r="G115" s="10534"/>
      <c r="H115" s="10534"/>
      <c r="I115" s="10534"/>
      <c r="J115" s="10534"/>
      <c r="K115" s="10534"/>
      <c r="L115" s="10534"/>
      <c r="M115" s="10534"/>
      <c r="N115" s="10534"/>
      <c r="O115" s="10534"/>
      <c r="P115" s="10534"/>
      <c r="Q115" s="10534"/>
      <c r="R115" s="10534"/>
      <c r="S115" s="10534"/>
      <c r="T115" s="10534"/>
      <c r="U115" s="10534"/>
      <c r="V115" s="10534"/>
      <c r="W115" s="10534"/>
      <c r="X115" s="10534"/>
      <c r="Y115" s="10534"/>
      <c r="Z115" s="10534"/>
      <c r="AA115" s="10534"/>
      <c r="AB115" s="10534"/>
      <c r="AC115" s="10534"/>
      <c r="AD115" s="10534"/>
      <c r="AE115" s="10534"/>
      <c r="AF115" s="10534"/>
      <c r="AG115" s="10534"/>
      <c r="AH115" s="10535"/>
      <c r="AI115" s="10536"/>
      <c r="AJ115" s="10363"/>
      <c r="AK115" s="10363"/>
      <c r="AL115" s="10363"/>
      <c r="AM115" s="10363"/>
      <c r="AN115" s="10363"/>
      <c r="AO115" s="10363"/>
      <c r="AP115" s="1681"/>
      <c r="BD115" s="1684"/>
      <c r="BE115" s="1684"/>
      <c r="BF115" s="1684"/>
      <c r="BG115" s="1684"/>
      <c r="BH115" s="1684"/>
      <c r="BI115" s="1684"/>
      <c r="BJ115" s="1684"/>
      <c r="BK115" s="1684"/>
      <c r="BL115" s="1684"/>
      <c r="BM115" s="1684"/>
      <c r="BN115" s="1684"/>
    </row>
    <row r="116" spans="1:66">
      <c r="A116" s="1681"/>
      <c r="B116" s="475" t="s">
        <v>3855</v>
      </c>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c r="AC116" s="475"/>
      <c r="AD116" s="475"/>
      <c r="AE116" s="475"/>
      <c r="AF116" s="475"/>
      <c r="AG116" s="475"/>
      <c r="AH116" s="475"/>
      <c r="AI116" s="475"/>
      <c r="AJ116" s="475"/>
      <c r="AK116" s="475"/>
      <c r="AL116" s="475"/>
      <c r="AM116" s="475"/>
      <c r="AN116" s="475"/>
      <c r="AO116" s="475"/>
      <c r="AP116" s="1681"/>
      <c r="BD116" s="1684"/>
      <c r="BE116" s="1684"/>
      <c r="BF116" s="1684"/>
      <c r="BG116" s="1684"/>
      <c r="BH116" s="1684"/>
      <c r="BI116" s="1684"/>
      <c r="BJ116" s="1684"/>
      <c r="BK116" s="1684"/>
      <c r="BL116" s="1684"/>
      <c r="BM116" s="1684"/>
      <c r="BN116" s="1684"/>
    </row>
    <row r="117" spans="1:66" ht="15" customHeight="1">
      <c r="A117" s="1681"/>
      <c r="B117" s="10537"/>
      <c r="C117" s="10538"/>
      <c r="D117" s="10538"/>
      <c r="E117" s="10538"/>
      <c r="F117" s="10538"/>
      <c r="G117" s="10538"/>
      <c r="H117" s="10538"/>
      <c r="I117" s="10538"/>
      <c r="J117" s="10538"/>
      <c r="K117" s="10538"/>
      <c r="L117" s="10538"/>
      <c r="M117" s="10538"/>
      <c r="N117" s="10538"/>
      <c r="O117" s="10538"/>
      <c r="P117" s="10538"/>
      <c r="Q117" s="10538"/>
      <c r="R117" s="10538"/>
      <c r="S117" s="10538"/>
      <c r="T117" s="10538"/>
      <c r="U117" s="10538"/>
      <c r="V117" s="10538"/>
      <c r="W117" s="10538"/>
      <c r="X117" s="10538"/>
      <c r="Y117" s="10538"/>
      <c r="Z117" s="10538"/>
      <c r="AA117" s="10538"/>
      <c r="AB117" s="10538"/>
      <c r="AC117" s="10538"/>
      <c r="AD117" s="10538"/>
      <c r="AE117" s="10538"/>
      <c r="AF117" s="10538"/>
      <c r="AG117" s="10538"/>
      <c r="AH117" s="10538"/>
      <c r="AI117" s="10538"/>
      <c r="AJ117" s="10538"/>
      <c r="AK117" s="10538"/>
      <c r="AL117" s="10538"/>
      <c r="AM117" s="10538"/>
      <c r="AN117" s="10538"/>
      <c r="AO117" s="10538"/>
      <c r="AP117" s="1681"/>
      <c r="BD117" s="1684"/>
      <c r="BE117" s="1684"/>
      <c r="BF117" s="1684"/>
      <c r="BG117" s="1684"/>
      <c r="BH117" s="1684"/>
      <c r="BI117" s="1684"/>
      <c r="BJ117" s="1684"/>
      <c r="BK117" s="1684"/>
      <c r="BL117" s="1684"/>
      <c r="BM117" s="1684"/>
      <c r="BN117" s="1684"/>
    </row>
    <row r="118" spans="1:66" s="1695" customFormat="1" ht="16.5" customHeight="1">
      <c r="A118" s="1693"/>
      <c r="B118" s="10382" t="s">
        <v>2117</v>
      </c>
      <c r="C118" s="10382"/>
      <c r="D118" s="10383"/>
      <c r="E118" s="1694"/>
      <c r="F118" s="1762" t="s">
        <v>3876</v>
      </c>
      <c r="G118" s="1694"/>
      <c r="H118" s="1694"/>
      <c r="I118" s="1694"/>
      <c r="J118" s="1694"/>
      <c r="K118" s="1694"/>
      <c r="L118" s="1694"/>
      <c r="M118" s="1694"/>
      <c r="N118" s="1694"/>
      <c r="O118" s="1694"/>
      <c r="P118" s="1694"/>
      <c r="Q118" s="1694"/>
      <c r="R118" s="1694"/>
      <c r="S118" s="1694"/>
      <c r="T118" s="1694"/>
      <c r="U118" s="1694"/>
      <c r="V118" s="1694"/>
      <c r="W118" s="1694"/>
      <c r="X118" s="1694"/>
      <c r="Y118" s="1694"/>
      <c r="Z118" s="1694"/>
      <c r="AA118" s="1694"/>
      <c r="AB118" s="1694"/>
      <c r="AC118" s="1694"/>
      <c r="AD118" s="1694"/>
      <c r="AE118" s="1694"/>
      <c r="AF118" s="1694"/>
      <c r="AG118" s="1694"/>
      <c r="AH118" s="1694"/>
      <c r="AI118" s="1694"/>
      <c r="AJ118" s="1694"/>
      <c r="AK118" s="1694"/>
      <c r="AL118" s="1694"/>
      <c r="AM118" s="1694"/>
      <c r="AN118" s="1694"/>
      <c r="AO118" s="1694"/>
      <c r="AP118" s="1681"/>
      <c r="BD118" s="1684"/>
      <c r="BE118" s="1684"/>
      <c r="BF118" s="1684"/>
      <c r="BG118" s="1684"/>
      <c r="BH118" s="1684"/>
      <c r="BI118" s="1684"/>
      <c r="BJ118" s="1684"/>
      <c r="BK118" s="1684"/>
      <c r="BL118" s="1684"/>
      <c r="BM118" s="1684"/>
      <c r="BN118" s="1684"/>
    </row>
    <row r="119" spans="1:66">
      <c r="A119" s="1681"/>
      <c r="B119" s="475" t="s">
        <v>3877</v>
      </c>
      <c r="C119" s="475"/>
      <c r="D119" s="475"/>
      <c r="E119" s="475"/>
      <c r="F119" s="475"/>
      <c r="G119" s="475"/>
      <c r="H119" s="475"/>
      <c r="I119" s="475"/>
      <c r="J119" s="475"/>
      <c r="K119" s="475"/>
      <c r="L119" s="475"/>
      <c r="M119" s="475"/>
      <c r="N119" s="475"/>
      <c r="O119" s="475"/>
      <c r="P119" s="475"/>
      <c r="Q119" s="475"/>
      <c r="R119" s="475"/>
      <c r="S119" s="475"/>
      <c r="T119" s="1726"/>
      <c r="U119" s="475"/>
      <c r="V119" s="475"/>
      <c r="W119" s="475"/>
      <c r="X119" s="475"/>
      <c r="Y119" s="475"/>
      <c r="Z119" s="475"/>
      <c r="AA119" s="475"/>
      <c r="AB119" s="475"/>
      <c r="AC119" s="475"/>
      <c r="AD119" s="475"/>
      <c r="AE119" s="475"/>
      <c r="AF119" s="475"/>
      <c r="AG119" s="475"/>
      <c r="AH119" s="475"/>
      <c r="AI119" s="475"/>
      <c r="AJ119" s="475"/>
      <c r="AK119" s="475"/>
      <c r="AL119" s="475"/>
      <c r="AM119" s="475"/>
      <c r="AN119" s="475"/>
      <c r="AO119" s="475"/>
      <c r="AP119" s="1681"/>
      <c r="BD119" s="1684"/>
      <c r="BE119" s="1684"/>
      <c r="BF119" s="1684"/>
      <c r="BG119" s="1684"/>
      <c r="BH119" s="1684"/>
      <c r="BI119" s="1684"/>
      <c r="BJ119" s="1684"/>
      <c r="BK119" s="1684"/>
      <c r="BL119" s="1684"/>
      <c r="BM119" s="1684"/>
      <c r="BN119" s="1684"/>
    </row>
    <row r="120" spans="1:66" ht="14.25" customHeight="1">
      <c r="A120" s="1681"/>
      <c r="B120" s="1774" t="s">
        <v>3878</v>
      </c>
      <c r="C120" s="475"/>
      <c r="D120" s="475"/>
      <c r="E120" s="475"/>
      <c r="F120" s="475"/>
      <c r="G120" s="475"/>
      <c r="H120" s="475"/>
      <c r="I120" s="475"/>
      <c r="J120" s="475"/>
      <c r="K120" s="475"/>
      <c r="L120" s="475"/>
      <c r="M120" s="475"/>
      <c r="N120" s="475"/>
      <c r="O120" s="475"/>
      <c r="P120" s="475"/>
      <c r="Q120" s="475"/>
      <c r="R120" s="475"/>
      <c r="S120" s="475"/>
      <c r="T120" s="10539"/>
      <c r="U120" s="10539"/>
      <c r="V120" s="10539"/>
      <c r="W120" s="10539"/>
      <c r="X120" s="10539"/>
      <c r="Y120" s="10539"/>
      <c r="Z120" s="10539"/>
      <c r="AA120" s="10539"/>
      <c r="AB120" s="10539"/>
      <c r="AC120" s="10539"/>
      <c r="AD120" s="10539"/>
      <c r="AE120" s="10539"/>
      <c r="AF120" s="10539"/>
      <c r="AG120" s="10539"/>
      <c r="AH120" s="10539"/>
      <c r="AI120" s="10539"/>
      <c r="AJ120" s="475"/>
      <c r="AK120" s="475"/>
      <c r="AL120" s="475"/>
      <c r="AM120" s="475"/>
      <c r="AN120" s="475"/>
      <c r="AO120" s="475"/>
      <c r="AP120" s="1681"/>
      <c r="BD120" s="1684"/>
      <c r="BE120" s="1684"/>
      <c r="BF120" s="1684"/>
      <c r="BG120" s="1684"/>
      <c r="BH120" s="1684"/>
      <c r="BI120" s="1684"/>
      <c r="BJ120" s="1684"/>
      <c r="BK120" s="1684"/>
      <c r="BL120" s="1684"/>
      <c r="BM120" s="1684"/>
      <c r="BN120" s="1684"/>
    </row>
    <row r="121" spans="1:66" ht="11.25" customHeight="1">
      <c r="A121" s="1681"/>
      <c r="B121" s="475" t="s">
        <v>5130</v>
      </c>
      <c r="C121" s="475"/>
      <c r="D121" s="475"/>
      <c r="E121" s="475"/>
      <c r="F121" s="475"/>
      <c r="G121" s="475"/>
      <c r="H121" s="475"/>
      <c r="I121" s="475"/>
      <c r="J121" s="475"/>
      <c r="K121" s="475"/>
      <c r="L121" s="475"/>
      <c r="M121" s="475"/>
      <c r="N121" s="475"/>
      <c r="O121" s="475"/>
      <c r="P121" s="475"/>
      <c r="Q121" s="475"/>
      <c r="R121" s="475"/>
      <c r="S121" s="475"/>
      <c r="T121" s="1726"/>
      <c r="U121" s="475"/>
      <c r="V121" s="475"/>
      <c r="W121" s="475"/>
      <c r="X121" s="475"/>
      <c r="Y121" s="475"/>
      <c r="Z121" s="475"/>
      <c r="AA121" s="475"/>
      <c r="AB121" s="475"/>
      <c r="AC121" s="475"/>
      <c r="AD121" s="475"/>
      <c r="AE121" s="475"/>
      <c r="AF121" s="475"/>
      <c r="AG121" s="475"/>
      <c r="AH121" s="475"/>
      <c r="AI121" s="475"/>
      <c r="AJ121" s="475"/>
      <c r="AK121" s="475"/>
      <c r="AL121" s="475"/>
      <c r="AM121" s="475"/>
      <c r="AN121" s="475"/>
      <c r="AO121" s="475"/>
      <c r="AP121" s="1681"/>
      <c r="BD121" s="1684"/>
      <c r="BE121" s="1684"/>
      <c r="BF121" s="1684"/>
      <c r="BG121" s="1684"/>
      <c r="BH121" s="1684"/>
      <c r="BI121" s="1684"/>
      <c r="BJ121" s="1684"/>
      <c r="BK121" s="1684"/>
      <c r="BL121" s="1684"/>
      <c r="BM121" s="1684"/>
      <c r="BN121" s="1684"/>
    </row>
    <row r="122" spans="1:66" ht="11.25" customHeight="1">
      <c r="A122" s="1681"/>
      <c r="B122" s="475" t="s">
        <v>5131</v>
      </c>
      <c r="C122" s="475"/>
      <c r="D122" s="475"/>
      <c r="E122" s="475"/>
      <c r="F122" s="475"/>
      <c r="G122" s="475"/>
      <c r="H122" s="475"/>
      <c r="I122" s="475"/>
      <c r="J122" s="475"/>
      <c r="K122" s="475"/>
      <c r="L122" s="475"/>
      <c r="M122" s="475"/>
      <c r="N122" s="475"/>
      <c r="O122" s="475"/>
      <c r="P122" s="475"/>
      <c r="Q122" s="475"/>
      <c r="R122" s="475"/>
      <c r="S122" s="475"/>
      <c r="T122" s="1726"/>
      <c r="U122" s="475"/>
      <c r="V122" s="475"/>
      <c r="W122" s="475"/>
      <c r="X122" s="475"/>
      <c r="Y122" s="475"/>
      <c r="Z122" s="475"/>
      <c r="AA122" s="475"/>
      <c r="AB122" s="475"/>
      <c r="AC122" s="475"/>
      <c r="AD122" s="475"/>
      <c r="AE122" s="475"/>
      <c r="AF122" s="475"/>
      <c r="AG122" s="475"/>
      <c r="AH122" s="475"/>
      <c r="AI122" s="475"/>
      <c r="AJ122" s="475"/>
      <c r="AK122" s="475"/>
      <c r="AL122" s="475"/>
      <c r="AM122" s="475"/>
      <c r="AN122" s="475"/>
      <c r="AO122" s="475"/>
      <c r="AP122" s="1681"/>
      <c r="BD122" s="1684"/>
      <c r="BE122" s="1684"/>
      <c r="BF122" s="1684"/>
      <c r="BG122" s="1684"/>
      <c r="BH122" s="1684"/>
      <c r="BI122" s="1684"/>
      <c r="BJ122" s="1684"/>
      <c r="BK122" s="1684"/>
      <c r="BL122" s="1684"/>
      <c r="BM122" s="1684"/>
      <c r="BN122" s="1684"/>
    </row>
    <row r="123" spans="1:66" ht="11.25" customHeight="1">
      <c r="A123" s="1681"/>
      <c r="B123" s="475" t="s">
        <v>5132</v>
      </c>
      <c r="C123" s="475"/>
      <c r="D123" s="475"/>
      <c r="E123" s="475"/>
      <c r="F123" s="475"/>
      <c r="G123" s="475"/>
      <c r="H123" s="475"/>
      <c r="I123" s="475"/>
      <c r="J123" s="475"/>
      <c r="K123" s="475"/>
      <c r="L123" s="475"/>
      <c r="M123" s="475"/>
      <c r="N123" s="475"/>
      <c r="O123" s="475"/>
      <c r="P123" s="475"/>
      <c r="Q123" s="475"/>
      <c r="R123" s="475"/>
      <c r="S123" s="475"/>
      <c r="T123" s="1726"/>
      <c r="U123" s="475"/>
      <c r="V123" s="475"/>
      <c r="W123" s="475"/>
      <c r="X123" s="475"/>
      <c r="Y123" s="475"/>
      <c r="Z123" s="475"/>
      <c r="AA123" s="475"/>
      <c r="AB123" s="475"/>
      <c r="AC123" s="475"/>
      <c r="AD123" s="475"/>
      <c r="AE123" s="475"/>
      <c r="AF123" s="475"/>
      <c r="AG123" s="475"/>
      <c r="AH123" s="475"/>
      <c r="AI123" s="475"/>
      <c r="AJ123" s="475"/>
      <c r="AK123" s="1775" t="str">
        <f>IF(SUM(AK124,AL124)=2,"Check only one.",IF(SUM(AK124,AL124)=0,"Check one box.",""))</f>
        <v>Check one box.</v>
      </c>
      <c r="AL123" s="475"/>
      <c r="AM123" s="475"/>
      <c r="AN123" s="475"/>
      <c r="AO123" s="475"/>
      <c r="AP123" s="1681"/>
      <c r="BD123" s="1684"/>
      <c r="BE123" s="1684"/>
      <c r="BF123" s="1684"/>
      <c r="BG123" s="1684"/>
      <c r="BH123" s="1684"/>
      <c r="BI123" s="1684"/>
      <c r="BJ123" s="1684"/>
      <c r="BK123" s="1684"/>
      <c r="BL123" s="1684"/>
      <c r="BM123" s="1684"/>
      <c r="BN123" s="1684"/>
    </row>
    <row r="124" spans="1:66" ht="11.25" customHeight="1">
      <c r="A124" s="1681"/>
      <c r="B124" s="475" t="s">
        <v>3879</v>
      </c>
      <c r="C124" s="475"/>
      <c r="D124" s="475"/>
      <c r="E124" s="475"/>
      <c r="F124" s="475"/>
      <c r="G124" s="475"/>
      <c r="H124" s="475"/>
      <c r="I124" s="475"/>
      <c r="J124" s="475"/>
      <c r="K124" s="475"/>
      <c r="L124" s="475"/>
      <c r="M124" s="475"/>
      <c r="N124" s="475"/>
      <c r="O124" s="475"/>
      <c r="P124" s="475"/>
      <c r="Q124" s="475"/>
      <c r="R124" s="475"/>
      <c r="S124" s="475"/>
      <c r="T124" s="1726"/>
      <c r="U124" s="475"/>
      <c r="V124" s="475"/>
      <c r="W124" s="475"/>
      <c r="X124" s="475"/>
      <c r="Y124" s="475"/>
      <c r="Z124" s="475"/>
      <c r="AA124" s="475"/>
      <c r="AB124" s="475"/>
      <c r="AC124" s="475"/>
      <c r="AD124" s="475"/>
      <c r="AE124" s="475"/>
      <c r="AF124" s="475"/>
      <c r="AG124" s="475"/>
      <c r="AH124" s="1776"/>
      <c r="AI124" s="1777" t="s">
        <v>568</v>
      </c>
      <c r="AJ124" s="475"/>
      <c r="AK124" s="1778">
        <f>IF(AH124&lt;&gt;"",1,0)</f>
        <v>0</v>
      </c>
      <c r="AL124" s="1779">
        <f>IF(AM124&lt;&gt;"",1,0)</f>
        <v>0</v>
      </c>
      <c r="AM124" s="1776"/>
      <c r="AN124" s="1777" t="s">
        <v>569</v>
      </c>
      <c r="AO124" s="475"/>
      <c r="AP124" s="1681"/>
      <c r="BD124" s="1684"/>
      <c r="BE124" s="1684"/>
      <c r="BF124" s="1684"/>
      <c r="BG124" s="1684"/>
      <c r="BH124" s="1684"/>
      <c r="BI124" s="1684"/>
      <c r="BJ124" s="1684"/>
      <c r="BK124" s="1684"/>
      <c r="BL124" s="1684"/>
      <c r="BM124" s="1684"/>
      <c r="BN124" s="1684"/>
    </row>
    <row r="125" spans="1:66" ht="5.25" customHeight="1">
      <c r="A125" s="1681"/>
      <c r="B125" s="1780"/>
      <c r="C125" s="1742"/>
      <c r="D125" s="1742"/>
      <c r="E125" s="1742"/>
      <c r="F125" s="1742"/>
      <c r="G125" s="1742"/>
      <c r="H125" s="1742"/>
      <c r="I125" s="1742"/>
      <c r="J125" s="1742"/>
      <c r="K125" s="1742"/>
      <c r="L125" s="1742"/>
      <c r="M125" s="1742"/>
      <c r="N125" s="1742"/>
      <c r="O125" s="1742"/>
      <c r="P125" s="1742"/>
      <c r="Q125" s="1742"/>
      <c r="R125" s="1742"/>
      <c r="S125" s="1742"/>
      <c r="T125" s="1742"/>
      <c r="U125" s="1742"/>
      <c r="V125" s="1742"/>
      <c r="W125" s="1742"/>
      <c r="X125" s="1742"/>
      <c r="Y125" s="1742"/>
      <c r="Z125" s="1742"/>
      <c r="AA125" s="1742"/>
      <c r="AB125" s="1742"/>
      <c r="AC125" s="1742"/>
      <c r="AD125" s="1742"/>
      <c r="AE125" s="1742"/>
      <c r="AF125" s="1742"/>
      <c r="AG125" s="1742"/>
      <c r="AH125" s="1742"/>
      <c r="AI125" s="1742"/>
      <c r="AJ125" s="1742"/>
      <c r="AK125" s="1742"/>
      <c r="AL125" s="1742"/>
      <c r="AM125" s="1742"/>
      <c r="AN125" s="1742"/>
      <c r="AO125" s="1742"/>
      <c r="AP125" s="1681"/>
      <c r="BD125" s="1684"/>
      <c r="BE125" s="1684"/>
      <c r="BF125" s="1684"/>
      <c r="BG125" s="1684"/>
      <c r="BH125" s="1684"/>
      <c r="BI125" s="1684"/>
      <c r="BJ125" s="1684"/>
      <c r="BK125" s="1684"/>
      <c r="BL125" s="1684"/>
      <c r="BM125" s="1684"/>
      <c r="BN125" s="1684"/>
    </row>
    <row r="126" spans="1:66">
      <c r="A126" s="1681"/>
      <c r="B126" s="1725" t="s">
        <v>3853</v>
      </c>
      <c r="C126" s="475"/>
      <c r="D126" s="475"/>
      <c r="E126" s="475"/>
      <c r="F126" s="475"/>
      <c r="G126" s="475"/>
      <c r="H126" s="475"/>
      <c r="I126" s="475"/>
      <c r="J126" s="475"/>
      <c r="K126" s="475"/>
      <c r="L126" s="475"/>
      <c r="M126" s="475"/>
      <c r="N126" s="475"/>
      <c r="O126" s="475"/>
      <c r="P126" s="475"/>
      <c r="Q126" s="475"/>
      <c r="R126" s="475"/>
      <c r="S126" s="475"/>
      <c r="T126" s="1726"/>
      <c r="U126" s="475"/>
      <c r="V126" s="1781" t="s">
        <v>3880</v>
      </c>
      <c r="W126" s="475"/>
      <c r="X126" s="475"/>
      <c r="Y126" s="475"/>
      <c r="Z126" s="475"/>
      <c r="AA126" s="475"/>
      <c r="AB126" s="475"/>
      <c r="AC126" s="475"/>
      <c r="AD126" s="475"/>
      <c r="AE126" s="475"/>
      <c r="AF126" s="475"/>
      <c r="AG126" s="475"/>
      <c r="AH126" s="475"/>
      <c r="AI126" s="475"/>
      <c r="AJ126" s="475"/>
      <c r="AK126" s="475"/>
      <c r="AL126" s="475"/>
      <c r="AM126" s="475"/>
      <c r="AN126" s="475"/>
      <c r="AO126" s="475"/>
      <c r="AP126" s="1681"/>
      <c r="BD126" s="1684"/>
      <c r="BE126" s="1684"/>
      <c r="BF126" s="1684"/>
      <c r="BG126" s="1684"/>
      <c r="BH126" s="1684"/>
      <c r="BI126" s="1684"/>
      <c r="BJ126" s="1684"/>
      <c r="BK126" s="1684"/>
      <c r="BL126" s="1684"/>
      <c r="BM126" s="1684"/>
      <c r="BN126" s="1684"/>
    </row>
    <row r="127" spans="1:66" ht="12.75" customHeight="1">
      <c r="A127" s="1681"/>
      <c r="B127" s="10524"/>
      <c r="C127" s="10524"/>
      <c r="D127" s="10524"/>
      <c r="E127" s="10524"/>
      <c r="F127" s="10524"/>
      <c r="G127" s="10524"/>
      <c r="H127" s="10524"/>
      <c r="I127" s="10524"/>
      <c r="J127" s="10524"/>
      <c r="K127" s="10524"/>
      <c r="L127" s="10524"/>
      <c r="M127" s="10524"/>
      <c r="N127" s="10524"/>
      <c r="O127" s="10524"/>
      <c r="P127" s="10524"/>
      <c r="Q127" s="10524"/>
      <c r="R127" s="10524"/>
      <c r="S127" s="10524"/>
      <c r="T127" s="10524"/>
      <c r="U127" s="10525"/>
      <c r="V127" s="10526"/>
      <c r="W127" s="10524"/>
      <c r="X127" s="10524"/>
      <c r="Y127" s="10524"/>
      <c r="Z127" s="10524"/>
      <c r="AA127" s="10524"/>
      <c r="AB127" s="10524"/>
      <c r="AC127" s="10524"/>
      <c r="AD127" s="10524"/>
      <c r="AE127" s="10524"/>
      <c r="AF127" s="10524"/>
      <c r="AG127" s="10524"/>
      <c r="AH127" s="10524"/>
      <c r="AI127" s="10524"/>
      <c r="AJ127" s="10524"/>
      <c r="AK127" s="10524"/>
      <c r="AL127" s="10524"/>
      <c r="AM127" s="10524"/>
      <c r="AN127" s="10524"/>
      <c r="AO127" s="10524"/>
      <c r="AP127" s="1681"/>
      <c r="BD127" s="1684"/>
      <c r="BE127" s="1684"/>
      <c r="BF127" s="1684"/>
      <c r="BG127" s="1684"/>
      <c r="BH127" s="1684"/>
      <c r="BI127" s="1684"/>
      <c r="BJ127" s="1684"/>
      <c r="BK127" s="1684"/>
      <c r="BL127" s="1684"/>
      <c r="BM127" s="1684"/>
      <c r="BN127" s="1684"/>
    </row>
    <row r="128" spans="1:66">
      <c r="A128" s="1681"/>
      <c r="B128" s="1725" t="s">
        <v>3854</v>
      </c>
      <c r="C128" s="475"/>
      <c r="D128" s="475"/>
      <c r="E128" s="475"/>
      <c r="F128" s="475"/>
      <c r="G128" s="475"/>
      <c r="H128" s="475"/>
      <c r="I128" s="475"/>
      <c r="J128" s="475"/>
      <c r="K128" s="475"/>
      <c r="L128" s="475"/>
      <c r="M128" s="475"/>
      <c r="N128" s="475"/>
      <c r="O128" s="475"/>
      <c r="P128" s="475"/>
      <c r="Q128" s="475"/>
      <c r="R128" s="475"/>
      <c r="S128" s="475"/>
      <c r="T128" s="1726"/>
      <c r="U128" s="475"/>
      <c r="V128" s="1782" t="s">
        <v>3855</v>
      </c>
      <c r="W128" s="475"/>
      <c r="X128" s="475"/>
      <c r="Y128" s="475"/>
      <c r="Z128" s="475"/>
      <c r="AA128" s="475"/>
      <c r="AB128" s="475"/>
      <c r="AC128" s="475"/>
      <c r="AD128" s="475"/>
      <c r="AE128" s="475"/>
      <c r="AF128" s="475"/>
      <c r="AG128" s="475"/>
      <c r="AH128" s="475"/>
      <c r="AI128" s="475"/>
      <c r="AJ128" s="475"/>
      <c r="AK128" s="475"/>
      <c r="AL128" s="475"/>
      <c r="AM128" s="475"/>
      <c r="AN128" s="475"/>
      <c r="AO128" s="475"/>
      <c r="AP128" s="1681"/>
      <c r="BD128" s="1684"/>
      <c r="BE128" s="1684"/>
      <c r="BF128" s="1684"/>
      <c r="BG128" s="1684"/>
      <c r="BH128" s="1684"/>
      <c r="BI128" s="1684"/>
      <c r="BJ128" s="1684"/>
      <c r="BK128" s="1684"/>
      <c r="BL128" s="1684"/>
      <c r="BM128" s="1684"/>
      <c r="BN128" s="1684"/>
    </row>
    <row r="129" spans="1:66" ht="13.5" customHeight="1">
      <c r="A129" s="1681"/>
      <c r="B129" s="10524"/>
      <c r="C129" s="10524"/>
      <c r="D129" s="10524"/>
      <c r="E129" s="10524"/>
      <c r="F129" s="10524"/>
      <c r="G129" s="10524"/>
      <c r="H129" s="10524"/>
      <c r="I129" s="10524"/>
      <c r="J129" s="10524"/>
      <c r="K129" s="10524"/>
      <c r="L129" s="10524"/>
      <c r="M129" s="10524"/>
      <c r="N129" s="10524"/>
      <c r="O129" s="10524"/>
      <c r="P129" s="10524"/>
      <c r="Q129" s="10524"/>
      <c r="R129" s="10524"/>
      <c r="S129" s="10524"/>
      <c r="T129" s="10524"/>
      <c r="U129" s="10525"/>
      <c r="V129" s="10526"/>
      <c r="W129" s="10524"/>
      <c r="X129" s="10524"/>
      <c r="Y129" s="10524"/>
      <c r="Z129" s="10524"/>
      <c r="AA129" s="10524"/>
      <c r="AB129" s="10524"/>
      <c r="AC129" s="10524"/>
      <c r="AD129" s="10524"/>
      <c r="AE129" s="10524"/>
      <c r="AF129" s="10524"/>
      <c r="AG129" s="10524"/>
      <c r="AH129" s="10524"/>
      <c r="AI129" s="10524"/>
      <c r="AJ129" s="10524"/>
      <c r="AK129" s="10524"/>
      <c r="AL129" s="10524"/>
      <c r="AM129" s="10524"/>
      <c r="AN129" s="10524"/>
      <c r="AO129" s="10524"/>
      <c r="AP129" s="1681"/>
      <c r="BD129" s="1684"/>
      <c r="BE129" s="1684"/>
      <c r="BF129" s="1684"/>
      <c r="BG129" s="1684"/>
      <c r="BH129" s="1684"/>
      <c r="BI129" s="1684"/>
      <c r="BJ129" s="1684"/>
      <c r="BK129" s="1684"/>
      <c r="BL129" s="1684"/>
      <c r="BM129" s="1684"/>
      <c r="BN129" s="1684"/>
    </row>
    <row r="130" spans="1:66">
      <c r="A130" s="1681"/>
      <c r="B130" s="1725" t="s">
        <v>3881</v>
      </c>
      <c r="C130" s="475"/>
      <c r="D130" s="475"/>
      <c r="E130" s="475"/>
      <c r="F130" s="475"/>
      <c r="G130" s="475"/>
      <c r="H130" s="475"/>
      <c r="I130" s="475"/>
      <c r="J130" s="475"/>
      <c r="K130" s="475"/>
      <c r="L130" s="475"/>
      <c r="M130" s="475"/>
      <c r="N130" s="475"/>
      <c r="O130" s="475"/>
      <c r="P130" s="475"/>
      <c r="Q130" s="475"/>
      <c r="R130" s="475"/>
      <c r="S130" s="475"/>
      <c r="T130" s="1726"/>
      <c r="U130" s="1746"/>
      <c r="V130" s="475" t="s">
        <v>3874</v>
      </c>
      <c r="W130" s="475"/>
      <c r="X130" s="475"/>
      <c r="Y130" s="475"/>
      <c r="Z130" s="475"/>
      <c r="AA130" s="475"/>
      <c r="AB130" s="475"/>
      <c r="AC130" s="475"/>
      <c r="AD130" s="475"/>
      <c r="AE130" s="475"/>
      <c r="AF130" s="475"/>
      <c r="AG130" s="475"/>
      <c r="AH130" s="475"/>
      <c r="AI130" s="1782" t="s">
        <v>227</v>
      </c>
      <c r="AJ130" s="475"/>
      <c r="AK130" s="475"/>
      <c r="AL130" s="475"/>
      <c r="AM130" s="475"/>
      <c r="AN130" s="475"/>
      <c r="AO130" s="475"/>
      <c r="AP130" s="1681"/>
      <c r="BD130" s="1684"/>
      <c r="BE130" s="1684"/>
      <c r="BF130" s="1684"/>
      <c r="BG130" s="1684"/>
      <c r="BH130" s="1684"/>
      <c r="BI130" s="1684"/>
      <c r="BJ130" s="1684"/>
      <c r="BK130" s="1684"/>
      <c r="BL130" s="1684"/>
      <c r="BM130" s="1684"/>
      <c r="BN130" s="1684"/>
    </row>
    <row r="131" spans="1:66" ht="13.5" customHeight="1">
      <c r="A131" s="1681"/>
      <c r="B131" s="10527"/>
      <c r="C131" s="10527"/>
      <c r="D131" s="10527"/>
      <c r="E131" s="10527"/>
      <c r="F131" s="10527"/>
      <c r="G131" s="10527"/>
      <c r="H131" s="10527"/>
      <c r="I131" s="10527"/>
      <c r="J131" s="10527"/>
      <c r="K131" s="10527"/>
      <c r="L131" s="10527"/>
      <c r="M131" s="10527"/>
      <c r="N131" s="10527"/>
      <c r="O131" s="10527"/>
      <c r="P131" s="10527"/>
      <c r="Q131" s="10527"/>
      <c r="R131" s="10527"/>
      <c r="S131" s="10527"/>
      <c r="T131" s="10527"/>
      <c r="U131" s="10528"/>
      <c r="V131" s="10526"/>
      <c r="W131" s="10529"/>
      <c r="X131" s="10529"/>
      <c r="Y131" s="10529"/>
      <c r="Z131" s="10529"/>
      <c r="AA131" s="10529"/>
      <c r="AB131" s="10529"/>
      <c r="AC131" s="10529"/>
      <c r="AD131" s="10529"/>
      <c r="AE131" s="10529"/>
      <c r="AF131" s="10529"/>
      <c r="AG131" s="10529"/>
      <c r="AH131" s="10530"/>
      <c r="AI131" s="10531"/>
      <c r="AJ131" s="10532"/>
      <c r="AK131" s="10532"/>
      <c r="AL131" s="10532"/>
      <c r="AM131" s="10532"/>
      <c r="AN131" s="10532"/>
      <c r="AO131" s="10532"/>
      <c r="AP131" s="1681"/>
      <c r="BD131" s="1684"/>
      <c r="BE131" s="1684"/>
      <c r="BF131" s="1684"/>
      <c r="BG131" s="1684"/>
      <c r="BH131" s="1684"/>
      <c r="BI131" s="1684"/>
      <c r="BJ131" s="1684"/>
      <c r="BK131" s="1684"/>
      <c r="BL131" s="1684"/>
      <c r="BM131" s="1684"/>
      <c r="BN131" s="1684"/>
    </row>
    <row r="132" spans="1:66" ht="18">
      <c r="A132" s="1681"/>
      <c r="B132" s="1777"/>
      <c r="C132" s="1744"/>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c r="AC132" s="475"/>
      <c r="AD132" s="475"/>
      <c r="AE132" s="475"/>
      <c r="AF132" s="475"/>
      <c r="AG132" s="475"/>
      <c r="AH132" s="475"/>
      <c r="AI132" s="475"/>
      <c r="AJ132" s="475"/>
      <c r="AK132" s="476" t="s">
        <v>3839</v>
      </c>
      <c r="AL132" s="475"/>
      <c r="AM132" s="475"/>
      <c r="AN132" s="475"/>
      <c r="AO132" s="476" t="str">
        <f>AO73</f>
        <v>(Rev. 11-2022)</v>
      </c>
      <c r="AP132" s="1681"/>
      <c r="BD132" s="1684"/>
      <c r="BE132" s="1684"/>
      <c r="BF132" s="1684"/>
      <c r="BG132" s="1684"/>
      <c r="BH132" s="1684"/>
      <c r="BI132" s="1684"/>
      <c r="BJ132" s="1684"/>
      <c r="BK132" s="1684"/>
      <c r="BL132" s="1684"/>
      <c r="BM132" s="1684"/>
      <c r="BN132" s="1684"/>
    </row>
    <row r="133" spans="1:66">
      <c r="A133" s="1681"/>
      <c r="B133" s="1681"/>
      <c r="C133" s="1681"/>
      <c r="D133" s="1681"/>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681"/>
      <c r="AB133" s="1681"/>
      <c r="AC133" s="1681"/>
      <c r="AD133" s="1681"/>
      <c r="AE133" s="1681"/>
      <c r="AF133" s="1681"/>
      <c r="AG133" s="1681"/>
      <c r="AH133" s="1681"/>
      <c r="AI133" s="1681"/>
      <c r="AJ133" s="1681"/>
      <c r="AK133" s="1681"/>
      <c r="AL133" s="1681"/>
      <c r="AM133" s="1681"/>
      <c r="AN133" s="1681"/>
      <c r="AO133" s="1681"/>
      <c r="AP133" s="1681"/>
      <c r="BD133" s="1684"/>
      <c r="BE133" s="1684"/>
      <c r="BF133" s="1684"/>
      <c r="BG133" s="1684"/>
      <c r="BH133" s="1684"/>
      <c r="BI133" s="1684"/>
      <c r="BJ133" s="1684"/>
      <c r="BK133" s="1684"/>
      <c r="BL133" s="1684"/>
      <c r="BM133" s="1684"/>
      <c r="BN133" s="1684"/>
    </row>
  </sheetData>
  <sheetProtection algorithmName="SHA-512" hashValue="RnqfgAazYM0twQBrrjo4FW0JHlBUBHe+P0DBDksSyRS+qyHUQ7EFqPco4eKgbe/RsLks5feDotuFdXUmZv6cow==" saltValue="zzoo2gxw4EN7s/Yy67eUDQ==" spinCount="100000" sheet="1" objects="1" scenarios="1"/>
  <mergeCells count="164">
    <mergeCell ref="B129:U129"/>
    <mergeCell ref="V129:AO129"/>
    <mergeCell ref="B131:U131"/>
    <mergeCell ref="V131:AH131"/>
    <mergeCell ref="AI131:AO131"/>
    <mergeCell ref="B115:AH115"/>
    <mergeCell ref="AI115:AO115"/>
    <mergeCell ref="B117:AO117"/>
    <mergeCell ref="B118:D118"/>
    <mergeCell ref="T120:AI120"/>
    <mergeCell ref="B127:U127"/>
    <mergeCell ref="V127:AO127"/>
    <mergeCell ref="B108:D108"/>
    <mergeCell ref="B109:AO109"/>
    <mergeCell ref="B110:AO110"/>
    <mergeCell ref="B111:C113"/>
    <mergeCell ref="G112:AF112"/>
    <mergeCell ref="AJ112:AO112"/>
    <mergeCell ref="B101:C101"/>
    <mergeCell ref="AL101:AM101"/>
    <mergeCell ref="AN101:AO101"/>
    <mergeCell ref="B102:D102"/>
    <mergeCell ref="C106:AO106"/>
    <mergeCell ref="B107:F107"/>
    <mergeCell ref="G107:AF107"/>
    <mergeCell ref="AI107:AO107"/>
    <mergeCell ref="B96:C96"/>
    <mergeCell ref="AL96:AM96"/>
    <mergeCell ref="AN96:AO96"/>
    <mergeCell ref="B97:C97"/>
    <mergeCell ref="AL100:AM100"/>
    <mergeCell ref="AN100:AO100"/>
    <mergeCell ref="B92:C92"/>
    <mergeCell ref="AC92:AO92"/>
    <mergeCell ref="B93:C93"/>
    <mergeCell ref="AI93:AO93"/>
    <mergeCell ref="D94:AO94"/>
    <mergeCell ref="B95:C95"/>
    <mergeCell ref="AL95:AM95"/>
    <mergeCell ref="AN95:AO95"/>
    <mergeCell ref="B85:C85"/>
    <mergeCell ref="AI85:AO85"/>
    <mergeCell ref="B86:C86"/>
    <mergeCell ref="D89:AO89"/>
    <mergeCell ref="D91:W91"/>
    <mergeCell ref="X91:AO91"/>
    <mergeCell ref="B76:AH77"/>
    <mergeCell ref="AI76:AO77"/>
    <mergeCell ref="B78:D78"/>
    <mergeCell ref="B82:C82"/>
    <mergeCell ref="AM82:AO82"/>
    <mergeCell ref="B84:C84"/>
    <mergeCell ref="AI84:AO84"/>
    <mergeCell ref="C72:G72"/>
    <mergeCell ref="H72:O72"/>
    <mergeCell ref="P72:V72"/>
    <mergeCell ref="W72:AD72"/>
    <mergeCell ref="AE72:AJ72"/>
    <mergeCell ref="AK72:AO72"/>
    <mergeCell ref="C71:G71"/>
    <mergeCell ref="H71:O71"/>
    <mergeCell ref="P71:V71"/>
    <mergeCell ref="W71:AD71"/>
    <mergeCell ref="AE71:AJ71"/>
    <mergeCell ref="AK71:AO71"/>
    <mergeCell ref="C70:G70"/>
    <mergeCell ref="H70:O70"/>
    <mergeCell ref="P70:V70"/>
    <mergeCell ref="W70:AD70"/>
    <mergeCell ref="AE70:AJ70"/>
    <mergeCell ref="AK70:AO70"/>
    <mergeCell ref="C68:G69"/>
    <mergeCell ref="H68:O69"/>
    <mergeCell ref="P68:V69"/>
    <mergeCell ref="W68:AD69"/>
    <mergeCell ref="AE68:AJ69"/>
    <mergeCell ref="AK68:AO69"/>
    <mergeCell ref="C66:O66"/>
    <mergeCell ref="P66:AJ66"/>
    <mergeCell ref="AK66:AO66"/>
    <mergeCell ref="C67:O67"/>
    <mergeCell ref="P67:AJ67"/>
    <mergeCell ref="AK67:AO67"/>
    <mergeCell ref="B56:C56"/>
    <mergeCell ref="B61:C64"/>
    <mergeCell ref="D61:O64"/>
    <mergeCell ref="P61:AJ64"/>
    <mergeCell ref="AK61:AO64"/>
    <mergeCell ref="C65:O65"/>
    <mergeCell ref="P65:AJ65"/>
    <mergeCell ref="AK65:AO65"/>
    <mergeCell ref="AH41:AO41"/>
    <mergeCell ref="B47:D47"/>
    <mergeCell ref="B48:C48"/>
    <mergeCell ref="B50:C50"/>
    <mergeCell ref="B52:C52"/>
    <mergeCell ref="B54:C54"/>
    <mergeCell ref="B41:C41"/>
    <mergeCell ref="D41:G41"/>
    <mergeCell ref="H41:L41"/>
    <mergeCell ref="M41:S41"/>
    <mergeCell ref="T41:Z41"/>
    <mergeCell ref="AA41:AG41"/>
    <mergeCell ref="AH39:AO39"/>
    <mergeCell ref="B40:C40"/>
    <mergeCell ref="D40:G40"/>
    <mergeCell ref="H40:L40"/>
    <mergeCell ref="M40:S40"/>
    <mergeCell ref="T40:Z40"/>
    <mergeCell ref="AA40:AG40"/>
    <mergeCell ref="AH40:AO40"/>
    <mergeCell ref="B39:C39"/>
    <mergeCell ref="D39:G39"/>
    <mergeCell ref="H39:L39"/>
    <mergeCell ref="M39:S39"/>
    <mergeCell ref="T39:Z39"/>
    <mergeCell ref="AA39:AG39"/>
    <mergeCell ref="AH37:AO37"/>
    <mergeCell ref="B38:C38"/>
    <mergeCell ref="D38:G38"/>
    <mergeCell ref="H38:L38"/>
    <mergeCell ref="M38:S38"/>
    <mergeCell ref="T38:Z38"/>
    <mergeCell ref="AA38:AG38"/>
    <mergeCell ref="AH38:AO38"/>
    <mergeCell ref="B37:C37"/>
    <mergeCell ref="D37:G37"/>
    <mergeCell ref="H37:L37"/>
    <mergeCell ref="M37:S37"/>
    <mergeCell ref="T37:Z37"/>
    <mergeCell ref="AA37:AG37"/>
    <mergeCell ref="D35:G36"/>
    <mergeCell ref="H35:L36"/>
    <mergeCell ref="M35:S36"/>
    <mergeCell ref="T35:Z36"/>
    <mergeCell ref="AA35:AG36"/>
    <mergeCell ref="AH35:AO36"/>
    <mergeCell ref="B28:C30"/>
    <mergeCell ref="D28:L30"/>
    <mergeCell ref="AD28:AO30"/>
    <mergeCell ref="B31:C33"/>
    <mergeCell ref="D31:L33"/>
    <mergeCell ref="AD31:AO33"/>
    <mergeCell ref="B25:C27"/>
    <mergeCell ref="D25:L27"/>
    <mergeCell ref="AD25:AO27"/>
    <mergeCell ref="B14:D14"/>
    <mergeCell ref="B15:D18"/>
    <mergeCell ref="E15:L18"/>
    <mergeCell ref="M15:AC18"/>
    <mergeCell ref="AD15:AO18"/>
    <mergeCell ref="B19:C21"/>
    <mergeCell ref="D19:L21"/>
    <mergeCell ref="AD19:AO21"/>
    <mergeCell ref="AI3:AO3"/>
    <mergeCell ref="H4:AH4"/>
    <mergeCell ref="AI4:AM6"/>
    <mergeCell ref="AN4:AO6"/>
    <mergeCell ref="B5:G6"/>
    <mergeCell ref="B8:AH9"/>
    <mergeCell ref="AI8:AO9"/>
    <mergeCell ref="B22:C24"/>
    <mergeCell ref="D22:L24"/>
    <mergeCell ref="AD22:AO24"/>
  </mergeCells>
  <conditionalFormatting sqref="B115 AI115:AO115 B117">
    <cfRule type="expression" dxfId="1253" priority="52">
      <formula>NoColor</formula>
    </cfRule>
  </conditionalFormatting>
  <conditionalFormatting sqref="B8:AO9">
    <cfRule type="expression" dxfId="1252" priority="51">
      <formula>NoColor</formula>
    </cfRule>
  </conditionalFormatting>
  <conditionalFormatting sqref="B76:AO77">
    <cfRule type="expression" dxfId="1251" priority="33">
      <formula>NoColor</formula>
    </cfRule>
  </conditionalFormatting>
  <conditionalFormatting sqref="B127:AO127">
    <cfRule type="expression" dxfId="1250" priority="17">
      <formula>NoColor</formula>
    </cfRule>
  </conditionalFormatting>
  <conditionalFormatting sqref="B129:AO129">
    <cfRule type="expression" dxfId="1249" priority="16">
      <formula>NoColor</formula>
    </cfRule>
  </conditionalFormatting>
  <conditionalFormatting sqref="B131:AO131">
    <cfRule type="expression" dxfId="1248" priority="15">
      <formula>NoColor</formula>
    </cfRule>
  </conditionalFormatting>
  <conditionalFormatting sqref="C65:P67">
    <cfRule type="expression" dxfId="1247" priority="25">
      <formula>NoColor</formula>
    </cfRule>
  </conditionalFormatting>
  <conditionalFormatting sqref="C70:P72">
    <cfRule type="expression" dxfId="1246" priority="22">
      <formula>NoColor</formula>
    </cfRule>
  </conditionalFormatting>
  <conditionalFormatting sqref="C106:AO106">
    <cfRule type="expression" dxfId="1245" priority="10">
      <formula>NoColor</formula>
    </cfRule>
  </conditionalFormatting>
  <conditionalFormatting sqref="D91 X91">
    <cfRule type="expression" dxfId="1244" priority="39">
      <formula>NoColor</formula>
    </cfRule>
  </conditionalFormatting>
  <conditionalFormatting sqref="D19:L33">
    <cfRule type="expression" dxfId="1243" priority="50">
      <formula>NoColor</formula>
    </cfRule>
  </conditionalFormatting>
  <conditionalFormatting sqref="D37:AO41">
    <cfRule type="expression" dxfId="1242" priority="42">
      <formula>NoColor</formula>
    </cfRule>
  </conditionalFormatting>
  <conditionalFormatting sqref="D89:AO89">
    <cfRule type="expression" dxfId="1241" priority="40">
      <formula>NoColor</formula>
    </cfRule>
  </conditionalFormatting>
  <conditionalFormatting sqref="D94:AO94">
    <cfRule type="expression" dxfId="1240" priority="38">
      <formula>NoColor</formula>
    </cfRule>
  </conditionalFormatting>
  <conditionalFormatting sqref="E50">
    <cfRule type="expression" dxfId="1239" priority="32">
      <formula>NoColor</formula>
    </cfRule>
  </conditionalFormatting>
  <conditionalFormatting sqref="E52">
    <cfRule type="expression" dxfId="1238" priority="31">
      <formula>NoColor</formula>
    </cfRule>
  </conditionalFormatting>
  <conditionalFormatting sqref="E54">
    <cfRule type="expression" dxfId="1237" priority="30">
      <formula>NoColor</formula>
    </cfRule>
  </conditionalFormatting>
  <conditionalFormatting sqref="E56">
    <cfRule type="expression" dxfId="1236" priority="8">
      <formula>NoColor</formula>
    </cfRule>
  </conditionalFormatting>
  <conditionalFormatting sqref="G112">
    <cfRule type="expression" dxfId="1235" priority="13">
      <formula>NoColor</formula>
    </cfRule>
  </conditionalFormatting>
  <conditionalFormatting sqref="M21:AC21">
    <cfRule type="expression" dxfId="1234" priority="49">
      <formula>NoColor</formula>
    </cfRule>
  </conditionalFormatting>
  <conditionalFormatting sqref="M24:AC24">
    <cfRule type="expression" dxfId="1233" priority="4">
      <formula>NoColor</formula>
    </cfRule>
  </conditionalFormatting>
  <conditionalFormatting sqref="M27:AC27">
    <cfRule type="expression" dxfId="1232" priority="3">
      <formula>NoColor</formula>
    </cfRule>
  </conditionalFormatting>
  <conditionalFormatting sqref="M30:AC30">
    <cfRule type="expression" dxfId="1231" priority="2">
      <formula>NoColor</formula>
    </cfRule>
  </conditionalFormatting>
  <conditionalFormatting sqref="M33:AC33">
    <cfRule type="expression" dxfId="1230" priority="1">
      <formula>NoColor</formula>
    </cfRule>
  </conditionalFormatting>
  <conditionalFormatting sqref="Q50">
    <cfRule type="expression" dxfId="1229" priority="29">
      <formula>NoColor</formula>
    </cfRule>
  </conditionalFormatting>
  <conditionalFormatting sqref="Q52">
    <cfRule type="expression" dxfId="1228" priority="6">
      <formula>NoColor</formula>
    </cfRule>
  </conditionalFormatting>
  <conditionalFormatting sqref="Q54">
    <cfRule type="expression" dxfId="1227" priority="5">
      <formula>NoColor</formula>
    </cfRule>
  </conditionalFormatting>
  <conditionalFormatting sqref="Q56">
    <cfRule type="expression" dxfId="1226" priority="7">
      <formula>NoColor</formula>
    </cfRule>
  </conditionalFormatting>
  <conditionalFormatting sqref="T20">
    <cfRule type="expression" dxfId="1225" priority="48">
      <formula>NoColor</formula>
    </cfRule>
  </conditionalFormatting>
  <conditionalFormatting sqref="T23">
    <cfRule type="expression" dxfId="1224" priority="47">
      <formula>NoColor</formula>
    </cfRule>
  </conditionalFormatting>
  <conditionalFormatting sqref="T26">
    <cfRule type="expression" dxfId="1223" priority="46">
      <formula>NoColor</formula>
    </cfRule>
  </conditionalFormatting>
  <conditionalFormatting sqref="T29">
    <cfRule type="expression" dxfId="1222" priority="45">
      <formula>NoColor</formula>
    </cfRule>
  </conditionalFormatting>
  <conditionalFormatting sqref="T32">
    <cfRule type="expression" dxfId="1221" priority="44">
      <formula>NoColor</formula>
    </cfRule>
  </conditionalFormatting>
  <conditionalFormatting sqref="T120:AI120">
    <cfRule type="expression" dxfId="1220" priority="19">
      <formula>NoColor</formula>
    </cfRule>
  </conditionalFormatting>
  <conditionalFormatting sqref="W70:AO72">
    <cfRule type="expression" dxfId="1219" priority="23">
      <formula>NoColor</formula>
    </cfRule>
  </conditionalFormatting>
  <conditionalFormatting sqref="AC92:AO92">
    <cfRule type="expression" dxfId="1218" priority="37">
      <formula>NoColor</formula>
    </cfRule>
  </conditionalFormatting>
  <conditionalFormatting sqref="AD19:AO33">
    <cfRule type="expression" dxfId="1217" priority="43">
      <formula>NoColor</formula>
    </cfRule>
  </conditionalFormatting>
  <conditionalFormatting sqref="AE50">
    <cfRule type="expression" dxfId="1216" priority="28">
      <formula>NoColor</formula>
    </cfRule>
  </conditionalFormatting>
  <conditionalFormatting sqref="AE52">
    <cfRule type="expression" dxfId="1215" priority="27">
      <formula>NoColor</formula>
    </cfRule>
  </conditionalFormatting>
  <conditionalFormatting sqref="AE54">
    <cfRule type="expression" dxfId="1214" priority="26">
      <formula>NoColor</formula>
    </cfRule>
  </conditionalFormatting>
  <conditionalFormatting sqref="AE105:AO105">
    <cfRule type="expression" dxfId="1213" priority="20">
      <formula>NoColor</formula>
    </cfRule>
  </conditionalFormatting>
  <conditionalFormatting sqref="AH124">
    <cfRule type="expression" dxfId="1212" priority="18">
      <formula>NoColor</formula>
    </cfRule>
  </conditionalFormatting>
  <conditionalFormatting sqref="AI8:AO9">
    <cfRule type="expression" dxfId="1211" priority="12">
      <formula>NoSSN</formula>
    </cfRule>
    <cfRule type="expression" dxfId="1210" priority="11">
      <formula>AND(NoSSN,NoColor)</formula>
    </cfRule>
  </conditionalFormatting>
  <conditionalFormatting sqref="AI84:AO85">
    <cfRule type="expression" dxfId="1209" priority="41">
      <formula>NoColor</formula>
    </cfRule>
  </conditionalFormatting>
  <conditionalFormatting sqref="AI93:AO93">
    <cfRule type="expression" dxfId="1208" priority="36">
      <formula>NoColor</formula>
    </cfRule>
  </conditionalFormatting>
  <conditionalFormatting sqref="AI107:AO107">
    <cfRule type="expression" dxfId="1207" priority="9">
      <formula>NoColor</formula>
    </cfRule>
  </conditionalFormatting>
  <conditionalFormatting sqref="AJ112">
    <cfRule type="expression" dxfId="1206" priority="21">
      <formula>NoColor</formula>
    </cfRule>
  </conditionalFormatting>
  <conditionalFormatting sqref="AK65:AK67">
    <cfRule type="expression" dxfId="1205" priority="24">
      <formula>NoColor</formula>
    </cfRule>
  </conditionalFormatting>
  <conditionalFormatting sqref="AL96:AO96">
    <cfRule type="expression" dxfId="1204" priority="35">
      <formula>NoColor</formula>
    </cfRule>
  </conditionalFormatting>
  <conditionalFormatting sqref="AL100:AO101">
    <cfRule type="expression" dxfId="1203" priority="34">
      <formula>NoColor</formula>
    </cfRule>
  </conditionalFormatting>
  <conditionalFormatting sqref="AM124">
    <cfRule type="expression" dxfId="1202" priority="14">
      <formula>NoColor</formula>
    </cfRule>
  </conditionalFormatting>
  <pageMargins left="0.75" right="0.25" top="0.36" bottom="0.28999999999999998" header="0.36" footer="0.21"/>
  <pageSetup scale="76" fitToHeight="0" orientation="portrait" r:id="rId1"/>
  <rowBreaks count="1" manualBreakCount="1">
    <brk id="73" min="1" max="40" man="1"/>
  </rowBreaks>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pageSetUpPr fitToPage="1"/>
  </sheetPr>
  <dimension ref="A1:BJ142"/>
  <sheetViews>
    <sheetView zoomScaleNormal="100" zoomScaleSheetLayoutView="85" workbookViewId="0"/>
  </sheetViews>
  <sheetFormatPr defaultColWidth="9.140625" defaultRowHeight="12.75"/>
  <cols>
    <col min="1" max="1" width="2.7109375" customWidth="1"/>
    <col min="2" max="2" width="4.140625" customWidth="1"/>
    <col min="3" max="3" width="7" style="84" customWidth="1"/>
    <col min="4" max="4" width="3.140625" customWidth="1"/>
    <col min="5" max="6" width="3.7109375" customWidth="1"/>
    <col min="7" max="7" width="5.140625" customWidth="1"/>
    <col min="8" max="8" width="2.7109375" customWidth="1"/>
    <col min="9" max="9" width="3.7109375" customWidth="1"/>
    <col min="10" max="10" width="4.5703125" customWidth="1"/>
    <col min="11" max="11" width="5.42578125" customWidth="1"/>
    <col min="12" max="12" width="6.42578125" customWidth="1"/>
    <col min="13" max="13" width="4.42578125" customWidth="1"/>
    <col min="14" max="21" width="5.140625" customWidth="1"/>
    <col min="22" max="22" width="4.42578125" customWidth="1"/>
    <col min="23" max="23" width="4.5703125" customWidth="1"/>
    <col min="24" max="24" width="2.140625" customWidth="1"/>
    <col min="25" max="28" width="4.140625" customWidth="1"/>
    <col min="29" max="29" width="2.5703125" customWidth="1"/>
    <col min="30" max="30" width="4.7109375" customWidth="1"/>
    <col min="31" max="31" width="3.5703125" customWidth="1"/>
    <col min="32" max="32" width="5.140625" customWidth="1"/>
    <col min="33" max="36" width="3.5703125" customWidth="1"/>
    <col min="38" max="38" width="2.85546875" customWidth="1"/>
    <col min="39" max="39" width="14.42578125" customWidth="1"/>
    <col min="40" max="40" width="3.28515625" customWidth="1"/>
    <col min="41" max="41" width="11.7109375" style="1224" hidden="1" customWidth="1"/>
    <col min="42" max="42" width="3.85546875" style="1224" customWidth="1"/>
    <col min="43" max="44" width="2.28515625" customWidth="1"/>
    <col min="45" max="45" width="41.28515625" customWidth="1"/>
    <col min="46" max="47" width="15.7109375" customWidth="1"/>
    <col min="48" max="48" width="5.85546875" customWidth="1"/>
    <col min="49" max="49" width="3.7109375" customWidth="1"/>
    <col min="50" max="50" width="13.28515625" style="1640" customWidth="1"/>
    <col min="51" max="58" width="10.7109375" style="658" customWidth="1"/>
    <col min="59" max="59" width="4.140625" style="658" customWidth="1"/>
    <col min="62" max="62" width="10" customWidth="1"/>
    <col min="67" max="67" width="9.140625" customWidth="1"/>
  </cols>
  <sheetData>
    <row r="1" spans="1:61">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2013"/>
      <c r="AD1" s="2013"/>
      <c r="AE1" s="2013"/>
      <c r="AF1" s="2013"/>
      <c r="AG1" s="2013"/>
      <c r="AH1" s="2013"/>
      <c r="AI1" s="2013"/>
      <c r="AJ1" s="2013"/>
      <c r="AK1" s="2013"/>
      <c r="AL1" s="253"/>
      <c r="AM1" s="253"/>
      <c r="AN1" s="253"/>
      <c r="AO1" s="724"/>
      <c r="AP1" s="724"/>
      <c r="AQ1" s="253"/>
      <c r="AR1" s="253"/>
      <c r="AS1" s="253"/>
      <c r="AT1" s="253"/>
      <c r="AU1" s="253"/>
      <c r="AV1" s="253"/>
      <c r="AW1" s="253"/>
    </row>
    <row r="2" spans="1:61" s="815" customFormat="1" ht="17.25" customHeight="1">
      <c r="A2" s="2013"/>
      <c r="B2" s="253"/>
      <c r="C2" s="416"/>
      <c r="D2" s="10685">
        <v>8582</v>
      </c>
      <c r="E2" s="10685"/>
      <c r="F2" s="10685"/>
      <c r="G2" s="10685"/>
      <c r="H2" s="10686"/>
      <c r="I2" s="10668" t="s">
        <v>3882</v>
      </c>
      <c r="J2" s="10669"/>
      <c r="K2" s="10669"/>
      <c r="L2" s="10669"/>
      <c r="M2" s="10669"/>
      <c r="N2" s="10669"/>
      <c r="O2" s="10669"/>
      <c r="P2" s="10669"/>
      <c r="Q2" s="10669"/>
      <c r="R2" s="10669"/>
      <c r="S2" s="10669"/>
      <c r="T2" s="10669"/>
      <c r="U2" s="10669"/>
      <c r="V2" s="10669"/>
      <c r="W2" s="10669"/>
      <c r="X2" s="10669"/>
      <c r="Y2" s="10669"/>
      <c r="Z2" s="10669"/>
      <c r="AA2" s="10669"/>
      <c r="AB2" s="10669"/>
      <c r="AC2" s="10234" t="s">
        <v>5001</v>
      </c>
      <c r="AD2" s="7587"/>
      <c r="AE2" s="7587"/>
      <c r="AF2" s="7587"/>
      <c r="AG2" s="7587"/>
      <c r="AH2" s="7587"/>
      <c r="AI2" s="7587"/>
      <c r="AJ2" s="7587"/>
      <c r="AK2" s="2013"/>
      <c r="AL2" s="253"/>
      <c r="AM2" s="253"/>
      <c r="AN2" s="253"/>
      <c r="AO2" s="724"/>
      <c r="AP2" s="724"/>
      <c r="AQ2" s="253"/>
      <c r="AR2" s="253"/>
      <c r="AS2" s="253"/>
      <c r="AT2" s="253"/>
      <c r="AU2" s="253"/>
      <c r="AV2" s="253"/>
      <c r="AW2" s="253"/>
      <c r="AX2" s="1640"/>
      <c r="AY2" s="658"/>
      <c r="AZ2" s="658"/>
      <c r="BA2" s="658"/>
      <c r="BB2" s="658"/>
      <c r="BC2" s="658"/>
      <c r="BD2" s="658"/>
      <c r="BE2" s="658"/>
      <c r="BF2" s="658"/>
      <c r="BG2" s="658"/>
      <c r="BH2"/>
      <c r="BI2"/>
    </row>
    <row r="3" spans="1:61" s="815" customFormat="1" ht="24" customHeight="1">
      <c r="A3" s="2013"/>
      <c r="B3" s="9825" t="s">
        <v>46</v>
      </c>
      <c r="C3" s="9617"/>
      <c r="D3" s="10685"/>
      <c r="E3" s="10685"/>
      <c r="F3" s="10685"/>
      <c r="G3" s="10685"/>
      <c r="H3" s="10686"/>
      <c r="I3" s="10669"/>
      <c r="J3" s="10669"/>
      <c r="K3" s="10669"/>
      <c r="L3" s="10669"/>
      <c r="M3" s="10669"/>
      <c r="N3" s="10669"/>
      <c r="O3" s="10669"/>
      <c r="P3" s="10669"/>
      <c r="Q3" s="10669"/>
      <c r="R3" s="10669"/>
      <c r="S3" s="10669"/>
      <c r="T3" s="10669"/>
      <c r="U3" s="10669"/>
      <c r="V3" s="10669"/>
      <c r="W3" s="10669"/>
      <c r="X3" s="10669"/>
      <c r="Y3" s="10669"/>
      <c r="Z3" s="10669"/>
      <c r="AA3" s="10669"/>
      <c r="AB3" s="10669"/>
      <c r="AC3" s="10670">
        <f>TaxYear</f>
        <v>2025</v>
      </c>
      <c r="AD3" s="10671"/>
      <c r="AE3" s="10671"/>
      <c r="AF3" s="10671"/>
      <c r="AG3" s="10671"/>
      <c r="AH3" s="10671"/>
      <c r="AI3" s="10671"/>
      <c r="AJ3" s="10671"/>
      <c r="AK3" s="2013"/>
      <c r="AL3" s="253"/>
      <c r="AM3" s="253"/>
      <c r="AN3" s="253"/>
      <c r="AO3" s="724"/>
      <c r="AP3" s="724"/>
      <c r="AQ3" s="253"/>
      <c r="AR3" s="253"/>
      <c r="AS3" s="253"/>
      <c r="AT3" s="253"/>
      <c r="AU3" s="253"/>
      <c r="AV3" s="253"/>
      <c r="AW3" s="253"/>
      <c r="AX3" s="1640"/>
      <c r="AY3" s="658"/>
      <c r="AZ3" s="658"/>
      <c r="BA3" s="658"/>
      <c r="BB3" s="658"/>
      <c r="BC3" s="658"/>
      <c r="BD3" s="658"/>
      <c r="BE3" s="658"/>
      <c r="BF3" s="658"/>
      <c r="BG3" s="658"/>
      <c r="BH3"/>
      <c r="BI3"/>
    </row>
    <row r="4" spans="1:61" s="815" customFormat="1" ht="12" customHeight="1">
      <c r="A4" s="2013"/>
      <c r="B4" s="253"/>
      <c r="C4" s="416"/>
      <c r="D4" s="253"/>
      <c r="E4" s="253"/>
      <c r="F4" s="253"/>
      <c r="G4" s="253"/>
      <c r="H4" s="719"/>
      <c r="I4" s="10687" t="s">
        <v>3883</v>
      </c>
      <c r="J4" s="7706"/>
      <c r="K4" s="7706"/>
      <c r="L4" s="7706"/>
      <c r="M4" s="7706"/>
      <c r="N4" s="7706"/>
      <c r="O4" s="7706"/>
      <c r="P4" s="7706"/>
      <c r="Q4" s="7706"/>
      <c r="R4" s="7706"/>
      <c r="S4" s="7706"/>
      <c r="T4" s="7706"/>
      <c r="U4" s="7706"/>
      <c r="V4" s="7706"/>
      <c r="W4" s="7706"/>
      <c r="X4" s="7706"/>
      <c r="Y4" s="7706"/>
      <c r="Z4" s="7706"/>
      <c r="AA4" s="7706"/>
      <c r="AB4" s="10688"/>
      <c r="AC4" s="10672"/>
      <c r="AD4" s="10672"/>
      <c r="AE4" s="10672"/>
      <c r="AF4" s="10672"/>
      <c r="AG4" s="10672"/>
      <c r="AH4" s="10672"/>
      <c r="AI4" s="10672"/>
      <c r="AJ4" s="10672"/>
      <c r="AK4" s="2013"/>
      <c r="AL4" s="349" t="s">
        <v>3885</v>
      </c>
      <c r="AM4" s="253"/>
      <c r="AN4" s="253"/>
      <c r="AO4" s="724"/>
      <c r="AP4" s="724"/>
      <c r="AQ4" s="253"/>
      <c r="AR4" s="253"/>
      <c r="AS4" s="253"/>
      <c r="AT4" s="253"/>
      <c r="AU4" s="253"/>
      <c r="AV4" s="253"/>
      <c r="AW4" s="253"/>
      <c r="AX4" s="1640"/>
      <c r="AY4" s="658"/>
      <c r="AZ4" s="658"/>
      <c r="BA4" s="658"/>
      <c r="BB4" s="658"/>
      <c r="BC4" s="658"/>
      <c r="BD4" s="658"/>
      <c r="BE4" s="658"/>
      <c r="BF4" s="658"/>
      <c r="BG4" s="658"/>
      <c r="BH4"/>
      <c r="BI4"/>
    </row>
    <row r="5" spans="1:61" s="815" customFormat="1" ht="12.75" customHeight="1" thickBot="1">
      <c r="A5" s="2013"/>
      <c r="B5" s="253" t="s">
        <v>503</v>
      </c>
      <c r="C5" s="416"/>
      <c r="D5" s="253"/>
      <c r="E5" s="253"/>
      <c r="F5" s="253"/>
      <c r="G5" s="253"/>
      <c r="H5" s="719"/>
      <c r="I5" s="10687" t="s">
        <v>3884</v>
      </c>
      <c r="J5" s="7706"/>
      <c r="K5" s="7706"/>
      <c r="L5" s="7706"/>
      <c r="M5" s="7706"/>
      <c r="N5" s="7706"/>
      <c r="O5" s="7706"/>
      <c r="P5" s="7706"/>
      <c r="Q5" s="7706"/>
      <c r="R5" s="7706"/>
      <c r="S5" s="7706"/>
      <c r="T5" s="7706"/>
      <c r="U5" s="7706"/>
      <c r="V5" s="7706"/>
      <c r="W5" s="7706"/>
      <c r="X5" s="7706"/>
      <c r="Y5" s="7706"/>
      <c r="Z5" s="7706"/>
      <c r="AA5" s="7706"/>
      <c r="AB5" s="10688"/>
      <c r="AC5" s="253"/>
      <c r="AD5" s="9515" t="s">
        <v>3475</v>
      </c>
      <c r="AE5" s="7844"/>
      <c r="AF5" s="7844"/>
      <c r="AG5" s="7844"/>
      <c r="AH5" s="7877">
        <v>858</v>
      </c>
      <c r="AI5" s="7877"/>
      <c r="AJ5" s="253"/>
      <c r="AK5" s="2013"/>
      <c r="AL5" s="349" t="s">
        <v>4854</v>
      </c>
      <c r="AM5" s="253"/>
      <c r="AN5" s="253"/>
      <c r="AO5" s="724"/>
      <c r="AP5" s="724"/>
      <c r="AQ5" s="253"/>
      <c r="AR5" s="253"/>
      <c r="AS5" s="253"/>
      <c r="AT5" s="253"/>
      <c r="AU5" s="253"/>
      <c r="AV5" s="253"/>
      <c r="AW5" s="253"/>
      <c r="AX5" s="1640"/>
      <c r="AY5" s="658"/>
      <c r="AZ5" s="658"/>
      <c r="BA5" s="658"/>
      <c r="BB5" s="658"/>
      <c r="BC5" s="658"/>
      <c r="BD5" s="658"/>
      <c r="BE5" s="658"/>
      <c r="BF5" s="658"/>
      <c r="BG5" s="658"/>
      <c r="BH5"/>
      <c r="BI5"/>
    </row>
    <row r="6" spans="1:61" s="815" customFormat="1" ht="18" customHeight="1" thickBot="1">
      <c r="A6" s="2013"/>
      <c r="B6" s="981" t="s">
        <v>505</v>
      </c>
      <c r="C6" s="4225"/>
      <c r="D6" s="380"/>
      <c r="E6" s="380"/>
      <c r="F6" s="380"/>
      <c r="G6" s="380"/>
      <c r="H6" s="4469"/>
      <c r="I6" s="10674" t="s">
        <v>3886</v>
      </c>
      <c r="J6" s="10675"/>
      <c r="K6" s="10675"/>
      <c r="L6" s="10675"/>
      <c r="M6" s="10675"/>
      <c r="N6" s="10675"/>
      <c r="O6" s="10675"/>
      <c r="P6" s="10675"/>
      <c r="Q6" s="10675"/>
      <c r="R6" s="10675"/>
      <c r="S6" s="10675"/>
      <c r="T6" s="10675"/>
      <c r="U6" s="10675"/>
      <c r="V6" s="10675"/>
      <c r="W6" s="10675"/>
      <c r="X6" s="10675"/>
      <c r="Y6" s="10675"/>
      <c r="Z6" s="10675"/>
      <c r="AA6" s="10675"/>
      <c r="AB6" s="10675"/>
      <c r="AC6" s="498"/>
      <c r="AD6" s="10676" t="s">
        <v>3488</v>
      </c>
      <c r="AE6" s="10677"/>
      <c r="AF6" s="10677"/>
      <c r="AG6" s="10677"/>
      <c r="AH6" s="10673"/>
      <c r="AI6" s="10673"/>
      <c r="AJ6" s="380"/>
      <c r="AK6" s="2013"/>
      <c r="AL6" s="277" t="s">
        <v>1962</v>
      </c>
      <c r="AM6" s="344" t="s">
        <v>566</v>
      </c>
      <c r="AN6" s="253"/>
      <c r="AO6" s="724"/>
      <c r="AP6" s="724"/>
      <c r="AQ6" s="405"/>
      <c r="AR6" s="406"/>
      <c r="AS6" s="406"/>
      <c r="AT6" s="406"/>
      <c r="AU6" s="406"/>
      <c r="AV6" s="4968"/>
      <c r="AW6" s="253"/>
      <c r="AX6" s="1640"/>
      <c r="AY6" s="658"/>
      <c r="AZ6" s="658"/>
      <c r="BA6" s="658"/>
      <c r="BB6" s="658"/>
      <c r="BC6" s="658"/>
      <c r="BD6" s="658"/>
      <c r="BE6" s="658"/>
      <c r="BF6" s="658"/>
      <c r="BG6" s="658"/>
      <c r="BH6"/>
      <c r="BI6"/>
    </row>
    <row r="7" spans="1:61" s="815" customFormat="1" ht="16.5" thickBot="1">
      <c r="A7" s="2013"/>
      <c r="B7" s="339" t="s">
        <v>3887</v>
      </c>
      <c r="C7" s="4470"/>
      <c r="D7" s="339"/>
      <c r="E7" s="339"/>
      <c r="F7" s="339"/>
      <c r="G7" s="339"/>
      <c r="H7" s="339"/>
      <c r="I7" s="339"/>
      <c r="J7" s="339"/>
      <c r="K7" s="339"/>
      <c r="L7" s="339"/>
      <c r="M7" s="339"/>
      <c r="N7" s="339"/>
      <c r="O7" s="339"/>
      <c r="P7" s="339"/>
      <c r="Q7" s="339"/>
      <c r="R7" s="339"/>
      <c r="S7" s="339"/>
      <c r="T7" s="339"/>
      <c r="U7" s="339"/>
      <c r="V7" s="339"/>
      <c r="W7" s="339"/>
      <c r="X7" s="339"/>
      <c r="Y7" s="2913" t="s">
        <v>2927</v>
      </c>
      <c r="Z7" s="377"/>
      <c r="AA7" s="377"/>
      <c r="AB7" s="377"/>
      <c r="AC7" s="408"/>
      <c r="AD7" s="2019"/>
      <c r="AE7" s="2019"/>
      <c r="AF7" s="2019"/>
      <c r="AG7" s="2019"/>
      <c r="AH7" s="2019"/>
      <c r="AI7" s="2019"/>
      <c r="AJ7" s="2019"/>
      <c r="AK7" s="2013"/>
      <c r="AL7" s="277"/>
      <c r="AM7" s="344" t="s">
        <v>567</v>
      </c>
      <c r="AN7" s="253"/>
      <c r="AO7" s="724"/>
      <c r="AP7" s="724"/>
      <c r="AQ7" s="408"/>
      <c r="AR7" s="253"/>
      <c r="AS7" s="4969" t="s">
        <v>4866</v>
      </c>
      <c r="AT7" s="4969"/>
      <c r="AU7" s="253"/>
      <c r="AV7" s="409"/>
      <c r="AW7" s="253"/>
      <c r="AX7" s="1640"/>
      <c r="AY7" s="658"/>
      <c r="AZ7" s="658"/>
      <c r="BA7" s="658"/>
      <c r="BB7" s="658"/>
      <c r="BC7" s="658"/>
      <c r="BD7" s="658"/>
      <c r="BE7" s="658"/>
      <c r="BF7" s="658"/>
      <c r="BG7" s="658"/>
      <c r="BH7"/>
      <c r="BI7"/>
    </row>
    <row r="8" spans="1:61" s="815" customFormat="1" ht="25.5" customHeight="1">
      <c r="A8" s="2013"/>
      <c r="B8" s="10660" t="str">
        <f>IF(AND(AL6&lt;&gt;"",AL7&lt;&gt;""),Names,IF(AL7&lt;&gt;"",NameSpouse,IF(AL6&lt;&gt;"",NameYours,"")))</f>
        <v xml:space="preserve"> </v>
      </c>
      <c r="C8" s="10660"/>
      <c r="D8" s="10660"/>
      <c r="E8" s="10660"/>
      <c r="F8" s="10660"/>
      <c r="G8" s="10660"/>
      <c r="H8" s="10660"/>
      <c r="I8" s="10660"/>
      <c r="J8" s="10660"/>
      <c r="K8" s="10660"/>
      <c r="L8" s="10660"/>
      <c r="M8" s="10660"/>
      <c r="N8" s="10660"/>
      <c r="O8" s="10660"/>
      <c r="P8" s="10660"/>
      <c r="Q8" s="10660"/>
      <c r="R8" s="10660"/>
      <c r="S8" s="10660"/>
      <c r="T8" s="10660"/>
      <c r="U8" s="10660"/>
      <c r="V8" s="10660"/>
      <c r="W8" s="10660"/>
      <c r="X8" s="10661"/>
      <c r="Y8" s="10709">
        <f>IF(AND(NOT(NoSSN),SS_Yours&lt;&gt;"",OR(AL6&lt;&gt;"",AND(AL6&lt;&gt;"",AL7&lt;&gt;""))),SS_Yours,IF(AND(NOT(NoSSN),SS_Spouse&lt;&gt;"",AL7&lt;&gt;""),SS_Spouse,""))</f>
        <v>1010001</v>
      </c>
      <c r="Z8" s="10710"/>
      <c r="AA8" s="10710"/>
      <c r="AB8" s="10710"/>
      <c r="AC8" s="10710"/>
      <c r="AD8" s="10710"/>
      <c r="AE8" s="10710"/>
      <c r="AF8" s="10710"/>
      <c r="AG8" s="10710"/>
      <c r="AH8" s="10710"/>
      <c r="AI8" s="10710"/>
      <c r="AJ8" s="10710"/>
      <c r="AK8" s="2013"/>
      <c r="AL8" s="253"/>
      <c r="AM8" s="512"/>
      <c r="AN8" s="253"/>
      <c r="AO8" s="724"/>
      <c r="AP8" s="724"/>
      <c r="AQ8" s="408"/>
      <c r="AR8" s="253"/>
      <c r="AS8" s="253"/>
      <c r="AT8" s="253"/>
      <c r="AU8" s="253"/>
      <c r="AV8" s="409"/>
      <c r="AW8" s="253"/>
      <c r="AX8" s="1640"/>
      <c r="AY8" s="658"/>
      <c r="AZ8" s="658"/>
      <c r="BA8" s="658"/>
      <c r="BB8" s="658"/>
      <c r="BC8" s="658"/>
      <c r="BD8" s="658"/>
      <c r="BE8" s="658"/>
      <c r="BF8" s="658"/>
      <c r="BG8" s="658"/>
      <c r="BH8"/>
      <c r="BI8"/>
    </row>
    <row r="9" spans="1:61" s="815" customFormat="1" ht="19.5" customHeight="1">
      <c r="A9" s="2013"/>
      <c r="B9" s="7934" t="s">
        <v>780</v>
      </c>
      <c r="C9" s="7934"/>
      <c r="D9" s="4472"/>
      <c r="E9" s="10682" t="str">
        <f>TaxYear&amp;" Passive Activity Loss"</f>
        <v>2025 Passive Activity Loss</v>
      </c>
      <c r="F9" s="10682"/>
      <c r="G9" s="10682"/>
      <c r="H9" s="10682"/>
      <c r="I9" s="10682"/>
      <c r="J9" s="10682"/>
      <c r="K9" s="10682"/>
      <c r="L9" s="10682"/>
      <c r="M9" s="10682"/>
      <c r="N9" s="10682"/>
      <c r="O9" s="10682"/>
      <c r="P9" s="10682"/>
      <c r="Q9" s="10682"/>
      <c r="R9" s="10682"/>
      <c r="S9" s="10682"/>
      <c r="T9" s="10682"/>
      <c r="U9" s="10682"/>
      <c r="V9" s="10682"/>
      <c r="W9" s="10682"/>
      <c r="X9" s="10682"/>
      <c r="Y9" s="10682"/>
      <c r="Z9" s="10682"/>
      <c r="AA9" s="10682"/>
      <c r="AB9" s="10682"/>
      <c r="AC9" s="10682"/>
      <c r="AD9" s="10682"/>
      <c r="AE9" s="10682"/>
      <c r="AF9" s="10682"/>
      <c r="AG9" s="10682"/>
      <c r="AH9" s="10682"/>
      <c r="AI9" s="10682"/>
      <c r="AJ9" s="10682"/>
      <c r="AK9" s="2013"/>
      <c r="AL9" s="253"/>
      <c r="AM9" s="253"/>
      <c r="AN9" s="253"/>
      <c r="AO9" s="724"/>
      <c r="AP9" s="724"/>
      <c r="AQ9" s="408"/>
      <c r="AR9" s="253"/>
      <c r="AS9" s="344" t="s">
        <v>4843</v>
      </c>
      <c r="AT9" s="344"/>
      <c r="AU9" s="1644" t="str">
        <f>IF(NOT(AO32),"",Adj_Gross_Inc)</f>
        <v/>
      </c>
      <c r="AV9" s="409"/>
      <c r="AW9" s="253"/>
      <c r="AX9" s="1640"/>
      <c r="AY9" s="1114"/>
      <c r="AZ9" s="658"/>
      <c r="BA9" s="658"/>
      <c r="BB9" s="658"/>
      <c r="BC9" s="658"/>
      <c r="BD9" s="658"/>
      <c r="BE9" s="658"/>
      <c r="BF9" s="658"/>
      <c r="BG9" s="658"/>
      <c r="BH9"/>
      <c r="BI9"/>
    </row>
    <row r="10" spans="1:61" s="815" customFormat="1" ht="16.5" customHeight="1">
      <c r="A10" s="2013"/>
      <c r="B10" s="413"/>
      <c r="C10" s="368"/>
      <c r="D10" s="413"/>
      <c r="E10" s="4937" t="s">
        <v>3888</v>
      </c>
      <c r="F10" s="413"/>
      <c r="G10" s="413"/>
      <c r="H10" s="413"/>
      <c r="I10" s="413"/>
      <c r="J10" s="413"/>
      <c r="K10" s="413"/>
      <c r="L10" s="413"/>
      <c r="M10" s="413"/>
      <c r="N10" s="413"/>
      <c r="O10" s="413"/>
      <c r="P10" s="413"/>
      <c r="Q10" s="413"/>
      <c r="R10" s="413"/>
      <c r="S10" s="413"/>
      <c r="T10" s="413"/>
      <c r="U10" s="413"/>
      <c r="V10" s="413"/>
      <c r="W10" s="413"/>
      <c r="X10" s="413"/>
      <c r="Y10" s="413"/>
      <c r="Z10" s="413"/>
      <c r="AA10" s="413"/>
      <c r="AB10" s="413"/>
      <c r="AC10" s="413"/>
      <c r="AD10" s="413"/>
      <c r="AE10" s="413"/>
      <c r="AF10" s="413"/>
      <c r="AG10" s="413"/>
      <c r="AH10" s="413"/>
      <c r="AI10" s="413"/>
      <c r="AJ10" s="413"/>
      <c r="AK10" s="2013"/>
      <c r="AL10" s="253"/>
      <c r="AM10" s="253"/>
      <c r="AN10" s="253"/>
      <c r="AO10" s="724"/>
      <c r="AP10" s="724"/>
      <c r="AQ10" s="408"/>
      <c r="AR10" s="253"/>
      <c r="AS10" s="4970" t="s">
        <v>4853</v>
      </c>
      <c r="AT10" s="253"/>
      <c r="AU10" s="851"/>
      <c r="AV10" s="409"/>
      <c r="AW10" s="253"/>
      <c r="AX10" s="1640"/>
      <c r="AY10" s="1114"/>
      <c r="AZ10" s="658"/>
      <c r="BA10" s="658"/>
      <c r="BB10" s="658"/>
      <c r="BC10" s="658"/>
      <c r="BD10" s="658"/>
      <c r="BE10" s="658"/>
      <c r="BF10" s="658"/>
      <c r="BG10" s="658"/>
      <c r="BH10"/>
      <c r="BI10"/>
    </row>
    <row r="11" spans="1:61" s="815" customFormat="1" ht="15" customHeight="1">
      <c r="A11" s="2013"/>
      <c r="B11" s="514" t="s">
        <v>3889</v>
      </c>
      <c r="C11" s="2022"/>
      <c r="D11" s="511"/>
      <c r="E11" s="873"/>
      <c r="F11" s="511"/>
      <c r="G11" s="253"/>
      <c r="H11" s="253"/>
      <c r="I11" s="253"/>
      <c r="J11" s="253"/>
      <c r="K11" s="253"/>
      <c r="L11" s="253"/>
      <c r="M11" s="253"/>
      <c r="N11" s="253"/>
      <c r="O11" s="253"/>
      <c r="P11" s="511"/>
      <c r="Q11" s="1323" t="s">
        <v>4840</v>
      </c>
      <c r="R11" s="253"/>
      <c r="S11" s="253"/>
      <c r="T11" s="253"/>
      <c r="U11" s="253"/>
      <c r="V11" s="253"/>
      <c r="W11" s="253"/>
      <c r="X11" s="253"/>
      <c r="Y11" s="253"/>
      <c r="Z11" s="4971"/>
      <c r="AA11" s="253"/>
      <c r="AB11" s="253"/>
      <c r="AC11" s="253"/>
      <c r="AD11" s="2924"/>
      <c r="AE11" s="512"/>
      <c r="AF11" s="512"/>
      <c r="AG11" s="512"/>
      <c r="AH11" s="512"/>
      <c r="AI11" s="512"/>
      <c r="AJ11" s="512"/>
      <c r="AK11" s="2013"/>
      <c r="AL11" s="253"/>
      <c r="AM11" s="253"/>
      <c r="AN11" s="253"/>
      <c r="AO11" s="724"/>
      <c r="AP11" s="724"/>
      <c r="AQ11" s="410"/>
      <c r="AR11" s="253"/>
      <c r="AS11" s="10733" t="s">
        <v>4852</v>
      </c>
      <c r="AT11" s="253"/>
      <c r="AU11" s="851"/>
      <c r="AV11" s="409"/>
      <c r="AW11" s="253"/>
      <c r="AX11" s="1640"/>
      <c r="AY11" s="1114"/>
      <c r="AZ11" s="658"/>
      <c r="BA11" s="658"/>
      <c r="BB11" s="658"/>
      <c r="BC11" s="658"/>
      <c r="BD11" s="658"/>
      <c r="BE11" s="658"/>
      <c r="BF11" s="658"/>
      <c r="BG11" s="658"/>
      <c r="BH11"/>
      <c r="BI11"/>
    </row>
    <row r="12" spans="1:61" s="1239" customFormat="1" ht="18.75" customHeight="1">
      <c r="A12" s="2306"/>
      <c r="B12" s="2311" t="s">
        <v>4834</v>
      </c>
      <c r="C12" s="3808"/>
      <c r="D12" s="1672"/>
      <c r="E12" s="873"/>
      <c r="F12" s="1672"/>
      <c r="G12" s="411"/>
      <c r="H12" s="411"/>
      <c r="I12" s="411"/>
      <c r="J12" s="411"/>
      <c r="K12" s="411"/>
      <c r="L12" s="411"/>
      <c r="M12" s="411"/>
      <c r="N12" s="411"/>
      <c r="O12" s="411"/>
      <c r="P12" s="411"/>
      <c r="Q12" s="411"/>
      <c r="R12" s="411"/>
      <c r="S12" s="411"/>
      <c r="T12" s="411"/>
      <c r="U12" s="411"/>
      <c r="V12" s="411"/>
      <c r="W12" s="411"/>
      <c r="X12" s="411"/>
      <c r="Y12" s="411"/>
      <c r="Z12" s="411"/>
      <c r="AA12" s="411"/>
      <c r="AB12" s="411"/>
      <c r="AC12" s="411"/>
      <c r="AD12" s="4972"/>
      <c r="AE12" s="2158"/>
      <c r="AF12" s="2158"/>
      <c r="AG12" s="2158"/>
      <c r="AH12" s="2158"/>
      <c r="AI12" s="2158"/>
      <c r="AJ12" s="2158"/>
      <c r="AK12" s="2306"/>
      <c r="AL12" s="411"/>
      <c r="AM12" s="411"/>
      <c r="AN12" s="411"/>
      <c r="AO12" s="2201"/>
      <c r="AP12" s="2201"/>
      <c r="AQ12" s="408"/>
      <c r="AR12" s="253"/>
      <c r="AS12" s="10733"/>
      <c r="AT12" s="1639" t="str">
        <f>IF(NOT(AO32),"",PassiveIncomeLoss)</f>
        <v/>
      </c>
      <c r="AU12" s="851"/>
      <c r="AV12" s="409"/>
      <c r="AW12" s="411"/>
      <c r="AX12" s="1641"/>
      <c r="AY12" s="1637"/>
      <c r="AZ12" s="665"/>
      <c r="BA12" s="665"/>
      <c r="BB12" s="665"/>
      <c r="BC12" s="665"/>
      <c r="BD12" s="665"/>
      <c r="BE12" s="665"/>
      <c r="BF12" s="665"/>
      <c r="BG12" s="665"/>
      <c r="BH12" s="141"/>
      <c r="BI12" s="141"/>
    </row>
    <row r="13" spans="1:61" s="815" customFormat="1" ht="23.25" customHeight="1">
      <c r="A13" s="2013"/>
      <c r="B13" s="253"/>
      <c r="C13" s="2917" t="s">
        <v>333</v>
      </c>
      <c r="D13" s="1323" t="s">
        <v>3890</v>
      </c>
      <c r="E13" s="253"/>
      <c r="F13" s="511"/>
      <c r="G13" s="511"/>
      <c r="H13" s="253"/>
      <c r="I13" s="253"/>
      <c r="J13" s="253"/>
      <c r="K13" s="253"/>
      <c r="L13" s="253"/>
      <c r="M13" s="253"/>
      <c r="N13" s="253"/>
      <c r="O13" s="253"/>
      <c r="P13" s="253"/>
      <c r="Q13" s="253"/>
      <c r="R13" s="253"/>
      <c r="S13" s="253"/>
      <c r="T13" s="253"/>
      <c r="U13" s="253"/>
      <c r="V13" s="1657" t="s">
        <v>708</v>
      </c>
      <c r="W13" s="4448" t="s">
        <v>333</v>
      </c>
      <c r="X13" s="10689" t="str">
        <f>N55</f>
        <v/>
      </c>
      <c r="Y13" s="10690"/>
      <c r="Z13" s="10690"/>
      <c r="AA13" s="10690"/>
      <c r="AB13" s="10690"/>
      <c r="AC13" s="10691"/>
      <c r="AD13" s="2924"/>
      <c r="AE13" s="10722">
        <f>IF(X13="",0,X13)</f>
        <v>0</v>
      </c>
      <c r="AF13" s="10723"/>
      <c r="AG13" s="10723"/>
      <c r="AH13" s="10723"/>
      <c r="AI13" s="10723"/>
      <c r="AJ13" s="10723"/>
      <c r="AK13" s="2013"/>
      <c r="AL13" s="253"/>
      <c r="AM13" s="253"/>
      <c r="AN13" s="253"/>
      <c r="AO13" s="724"/>
      <c r="AP13" s="724"/>
      <c r="AQ13" s="408"/>
      <c r="AR13" s="253"/>
      <c r="AS13" s="10733" t="s">
        <v>4851</v>
      </c>
      <c r="AT13" s="253"/>
      <c r="AU13" s="851"/>
      <c r="AV13" s="409"/>
      <c r="AW13" s="253"/>
      <c r="AX13" s="1640"/>
      <c r="AY13" s="658"/>
      <c r="AZ13" s="658"/>
      <c r="BA13" s="658"/>
      <c r="BB13" s="658"/>
      <c r="BC13" s="658"/>
      <c r="BD13" s="658"/>
      <c r="BE13" s="658"/>
      <c r="BF13" s="658"/>
      <c r="BG13" s="658"/>
      <c r="BH13"/>
      <c r="BI13"/>
    </row>
    <row r="14" spans="1:61" s="815" customFormat="1" ht="18">
      <c r="A14" s="2013"/>
      <c r="B14" s="253"/>
      <c r="C14" s="4973" t="s">
        <v>3891</v>
      </c>
      <c r="D14" s="1323" t="s">
        <v>3892</v>
      </c>
      <c r="E14" s="253"/>
      <c r="F14" s="511"/>
      <c r="G14" s="511"/>
      <c r="H14" s="253"/>
      <c r="I14" s="253"/>
      <c r="J14" s="253"/>
      <c r="K14" s="253"/>
      <c r="L14" s="253"/>
      <c r="M14" s="253"/>
      <c r="N14" s="253"/>
      <c r="O14" s="253"/>
      <c r="P14" s="253"/>
      <c r="Q14" s="253"/>
      <c r="R14" s="253"/>
      <c r="S14" s="253"/>
      <c r="T14" s="253"/>
      <c r="U14" s="253"/>
      <c r="V14" s="1657" t="s">
        <v>631</v>
      </c>
      <c r="W14" s="4448" t="s">
        <v>335</v>
      </c>
      <c r="X14" s="4974" t="s">
        <v>799</v>
      </c>
      <c r="Y14" s="10638" t="str">
        <f>R55</f>
        <v/>
      </c>
      <c r="Z14" s="10638"/>
      <c r="AA14" s="10638"/>
      <c r="AB14" s="10638"/>
      <c r="AC14" s="4975" t="s">
        <v>800</v>
      </c>
      <c r="AD14" s="2924"/>
      <c r="AE14" s="10722">
        <f>IF(Y14="",0,Y14)</f>
        <v>0</v>
      </c>
      <c r="AF14" s="10723"/>
      <c r="AG14" s="10723"/>
      <c r="AH14" s="10723"/>
      <c r="AI14" s="10723"/>
      <c r="AJ14" s="10723"/>
      <c r="AK14" s="2013"/>
      <c r="AL14" s="253"/>
      <c r="AM14" s="226" t="s">
        <v>979</v>
      </c>
      <c r="AN14" s="253"/>
      <c r="AO14" s="724"/>
      <c r="AP14" s="724"/>
      <c r="AQ14" s="408"/>
      <c r="AR14" s="253"/>
      <c r="AS14" s="10733"/>
      <c r="AT14" s="1639"/>
      <c r="AU14" s="851"/>
      <c r="AV14" s="409"/>
      <c r="AW14" s="253"/>
      <c r="AX14" s="1640"/>
      <c r="AY14" s="658"/>
      <c r="AZ14" s="658"/>
      <c r="BA14" s="658"/>
      <c r="BB14" s="658"/>
      <c r="BC14" s="658"/>
      <c r="BD14" s="658"/>
      <c r="BE14" s="658"/>
      <c r="BF14" s="658"/>
      <c r="BG14" s="658"/>
      <c r="BH14"/>
      <c r="BI14"/>
    </row>
    <row r="15" spans="1:61" s="815" customFormat="1" ht="18.75" thickBot="1">
      <c r="A15" s="2013"/>
      <c r="B15" s="253"/>
      <c r="C15" s="4973" t="s">
        <v>3893</v>
      </c>
      <c r="D15" s="1323" t="s">
        <v>3894</v>
      </c>
      <c r="E15" s="253"/>
      <c r="F15" s="511"/>
      <c r="G15" s="511"/>
      <c r="H15" s="253"/>
      <c r="I15" s="253"/>
      <c r="J15" s="253"/>
      <c r="K15" s="253"/>
      <c r="L15" s="253"/>
      <c r="M15" s="253"/>
      <c r="N15" s="253"/>
      <c r="O15" s="253"/>
      <c r="P15" s="253"/>
      <c r="Q15" s="253"/>
      <c r="R15" s="253"/>
      <c r="S15" s="253"/>
      <c r="T15" s="253"/>
      <c r="U15" s="253"/>
      <c r="V15" s="1657" t="s">
        <v>627</v>
      </c>
      <c r="W15" s="4448" t="s">
        <v>598</v>
      </c>
      <c r="X15" s="4974" t="s">
        <v>799</v>
      </c>
      <c r="Y15" s="10638" t="str">
        <f>V55</f>
        <v/>
      </c>
      <c r="Z15" s="10638"/>
      <c r="AA15" s="10638"/>
      <c r="AB15" s="10638"/>
      <c r="AC15" s="4975" t="s">
        <v>800</v>
      </c>
      <c r="AD15" s="2924"/>
      <c r="AE15" s="10722">
        <f>IF(Y15="",0,Y15)</f>
        <v>0</v>
      </c>
      <c r="AF15" s="10723"/>
      <c r="AG15" s="10723"/>
      <c r="AH15" s="10723"/>
      <c r="AI15" s="10723"/>
      <c r="AJ15" s="10723"/>
      <c r="AK15" s="2013"/>
      <c r="AL15" s="253"/>
      <c r="AM15" s="226" t="s">
        <v>931</v>
      </c>
      <c r="AN15" s="253"/>
      <c r="AO15" s="724"/>
      <c r="AP15" s="724"/>
      <c r="AQ15" s="408"/>
      <c r="AR15" s="253"/>
      <c r="AS15" s="253"/>
      <c r="AT15" s="253"/>
      <c r="AU15" s="253"/>
      <c r="AV15" s="409"/>
      <c r="AW15" s="253"/>
      <c r="AX15" s="1640"/>
      <c r="AY15" s="658"/>
      <c r="AZ15" s="658"/>
      <c r="BA15" s="658"/>
      <c r="BB15" s="658"/>
      <c r="BC15" s="658"/>
      <c r="BD15" s="658"/>
      <c r="BE15" s="658"/>
      <c r="BF15" s="658"/>
      <c r="BG15" s="658"/>
      <c r="BH15"/>
      <c r="BI15"/>
    </row>
    <row r="16" spans="1:61" s="815" customFormat="1" ht="16.5" customHeight="1" thickBot="1">
      <c r="A16" s="2013"/>
      <c r="B16" s="413"/>
      <c r="C16" s="4976" t="s">
        <v>3895</v>
      </c>
      <c r="D16" s="1998" t="s">
        <v>3896</v>
      </c>
      <c r="E16" s="3810"/>
      <c r="F16" s="1996"/>
      <c r="G16" s="1996"/>
      <c r="H16" s="413"/>
      <c r="I16" s="413"/>
      <c r="J16" s="413"/>
      <c r="K16" s="413"/>
      <c r="L16" s="413"/>
      <c r="M16" s="413"/>
      <c r="N16" s="413"/>
      <c r="O16" s="413"/>
      <c r="P16" s="413"/>
      <c r="Q16" s="413"/>
      <c r="R16" s="413"/>
      <c r="S16" s="413"/>
      <c r="T16" s="413"/>
      <c r="U16" s="413"/>
      <c r="V16" s="413"/>
      <c r="W16" s="413"/>
      <c r="X16" s="413"/>
      <c r="Y16" s="413"/>
      <c r="Z16" s="413"/>
      <c r="AA16" s="413"/>
      <c r="AB16" s="413"/>
      <c r="AC16" s="414"/>
      <c r="AD16" s="4448" t="s">
        <v>602</v>
      </c>
      <c r="AE16" s="10680" t="str">
        <f>IF(AM16&lt;&gt;"",ROUND(AM16,0),IF(AND(X13="",Y14="",Y15=""),"",SUM(AE13,-AE14,-AE15)))</f>
        <v/>
      </c>
      <c r="AF16" s="10681"/>
      <c r="AG16" s="10681"/>
      <c r="AH16" s="10681"/>
      <c r="AI16" s="10681"/>
      <c r="AJ16" s="10681"/>
      <c r="AK16" s="2013"/>
      <c r="AL16" s="253"/>
      <c r="AM16" s="1638"/>
      <c r="AN16" s="253"/>
      <c r="AO16" s="2741" t="b">
        <f>AND(X13="",Y14="",Y15="")</f>
        <v>1</v>
      </c>
      <c r="AP16" s="724"/>
      <c r="AQ16" s="408"/>
      <c r="AR16" s="253"/>
      <c r="AS16" s="4977" t="s">
        <v>4844</v>
      </c>
      <c r="AT16" s="1639"/>
      <c r="AU16" s="851"/>
      <c r="AV16" s="409"/>
      <c r="AW16" s="253"/>
      <c r="AX16" s="1640"/>
      <c r="AY16" s="658"/>
      <c r="AZ16" s="658"/>
      <c r="BA16" s="658"/>
      <c r="BB16" s="658"/>
      <c r="BC16" s="658"/>
      <c r="BD16" s="658"/>
      <c r="BE16" s="658"/>
      <c r="BF16" s="658"/>
      <c r="BG16" s="658"/>
      <c r="BH16"/>
      <c r="BI16"/>
    </row>
    <row r="17" spans="1:61" s="815" customFormat="1" ht="24" customHeight="1">
      <c r="A17" s="2013"/>
      <c r="B17" s="342" t="s">
        <v>3897</v>
      </c>
      <c r="C17" s="4973"/>
      <c r="D17" s="511"/>
      <c r="E17" s="873"/>
      <c r="F17" s="511"/>
      <c r="G17" s="511"/>
      <c r="H17" s="253"/>
      <c r="I17" s="253"/>
      <c r="J17" s="253"/>
      <c r="K17" s="253"/>
      <c r="L17" s="253"/>
      <c r="M17" s="253"/>
      <c r="N17" s="253"/>
      <c r="O17" s="253"/>
      <c r="P17" s="253"/>
      <c r="Q17" s="253"/>
      <c r="R17" s="253"/>
      <c r="S17" s="253"/>
      <c r="T17" s="253"/>
      <c r="U17" s="253"/>
      <c r="V17" s="253"/>
      <c r="W17" s="253"/>
      <c r="X17" s="253"/>
      <c r="Y17" s="253"/>
      <c r="Z17" s="253"/>
      <c r="AA17" s="253"/>
      <c r="AB17" s="253"/>
      <c r="AC17" s="253"/>
      <c r="AD17" s="2924"/>
      <c r="AE17" s="7889">
        <f>IF(AE16&lt;0,ABS(AE16),0)</f>
        <v>0</v>
      </c>
      <c r="AF17" s="7890"/>
      <c r="AG17" s="7890"/>
      <c r="AH17" s="7890"/>
      <c r="AI17" s="7890"/>
      <c r="AJ17" s="7890"/>
      <c r="AK17" s="2013"/>
      <c r="AL17" s="253"/>
      <c r="AM17" s="253"/>
      <c r="AN17" s="253"/>
      <c r="AO17" s="724"/>
      <c r="AP17" s="724"/>
      <c r="AQ17" s="408"/>
      <c r="AR17" s="253"/>
      <c r="AS17" s="10736" t="s">
        <v>4850</v>
      </c>
      <c r="AT17" s="253"/>
      <c r="AU17" s="851"/>
      <c r="AV17" s="4978"/>
      <c r="AW17" s="253"/>
      <c r="AX17" s="1640"/>
      <c r="AY17" s="658"/>
      <c r="AZ17" s="658"/>
      <c r="BA17" s="658"/>
      <c r="BB17" s="658"/>
      <c r="BC17" s="658"/>
      <c r="BD17" s="658"/>
      <c r="BE17" s="658"/>
      <c r="BF17" s="658"/>
      <c r="BG17" s="658"/>
      <c r="BH17"/>
      <c r="BI17"/>
    </row>
    <row r="18" spans="1:61" s="815" customFormat="1" ht="18" customHeight="1">
      <c r="A18" s="2013"/>
      <c r="B18" s="253"/>
      <c r="C18" s="2917" t="s">
        <v>337</v>
      </c>
      <c r="D18" s="1323" t="s">
        <v>3898</v>
      </c>
      <c r="E18" s="253"/>
      <c r="F18" s="511"/>
      <c r="G18" s="511"/>
      <c r="H18" s="253"/>
      <c r="I18" s="253"/>
      <c r="J18" s="253"/>
      <c r="K18" s="253"/>
      <c r="L18" s="253"/>
      <c r="M18" s="253"/>
      <c r="N18" s="253"/>
      <c r="O18" s="253"/>
      <c r="P18" s="253"/>
      <c r="Q18" s="253"/>
      <c r="R18" s="253"/>
      <c r="S18" s="253"/>
      <c r="T18" s="253"/>
      <c r="U18" s="253"/>
      <c r="V18" s="253"/>
      <c r="W18" s="4448" t="s">
        <v>337</v>
      </c>
      <c r="X18" s="10689" t="str">
        <f>N69</f>
        <v/>
      </c>
      <c r="Y18" s="10690"/>
      <c r="Z18" s="10690"/>
      <c r="AA18" s="10690"/>
      <c r="AB18" s="10690"/>
      <c r="AC18" s="10691"/>
      <c r="AD18" s="2924"/>
      <c r="AE18" s="10722">
        <f>IF(X18="",0,X18)</f>
        <v>0</v>
      </c>
      <c r="AF18" s="10723"/>
      <c r="AG18" s="10723"/>
      <c r="AH18" s="10723"/>
      <c r="AI18" s="10723"/>
      <c r="AJ18" s="10723"/>
      <c r="AK18" s="2013"/>
      <c r="AL18" s="253"/>
      <c r="AM18" s="253"/>
      <c r="AN18" s="253"/>
      <c r="AO18" s="724"/>
      <c r="AP18" s="724"/>
      <c r="AQ18" s="408"/>
      <c r="AR18" s="253"/>
      <c r="AS18" s="10736"/>
      <c r="AT18" s="1639" t="str">
        <f>IF(NOT(AO32),"",SocSecBenefits_Taxable)</f>
        <v/>
      </c>
      <c r="AU18" s="851"/>
      <c r="AV18" s="409"/>
      <c r="AW18" s="253"/>
      <c r="AX18" s="1640"/>
      <c r="AY18" s="658"/>
      <c r="AZ18" s="658"/>
      <c r="BA18" s="658"/>
      <c r="BB18" s="658"/>
      <c r="BC18" s="658"/>
      <c r="BD18" s="658"/>
      <c r="BE18" s="658"/>
      <c r="BF18" s="658"/>
      <c r="BG18" s="658"/>
      <c r="BH18"/>
      <c r="BI18"/>
    </row>
    <row r="19" spans="1:61" s="815" customFormat="1" ht="18" customHeight="1">
      <c r="A19" s="2013"/>
      <c r="B19" s="253"/>
      <c r="C19" s="4973" t="s">
        <v>3891</v>
      </c>
      <c r="D19" s="1323" t="s">
        <v>3899</v>
      </c>
      <c r="E19" s="253"/>
      <c r="F19" s="253"/>
      <c r="G19" s="253"/>
      <c r="H19" s="253"/>
      <c r="I19" s="253"/>
      <c r="J19" s="253"/>
      <c r="K19" s="253"/>
      <c r="L19" s="253"/>
      <c r="M19" s="253"/>
      <c r="N19" s="253"/>
      <c r="O19" s="253"/>
      <c r="P19" s="253"/>
      <c r="Q19" s="253"/>
      <c r="R19" s="253"/>
      <c r="S19" s="253"/>
      <c r="T19" s="253"/>
      <c r="U19" s="253"/>
      <c r="V19" s="253"/>
      <c r="W19" s="4448" t="s">
        <v>339</v>
      </c>
      <c r="X19" s="4974" t="s">
        <v>799</v>
      </c>
      <c r="Y19" s="10638" t="str">
        <f>R69</f>
        <v/>
      </c>
      <c r="Z19" s="10638"/>
      <c r="AA19" s="10638"/>
      <c r="AB19" s="10638"/>
      <c r="AC19" s="4975" t="s">
        <v>800</v>
      </c>
      <c r="AD19" s="2924"/>
      <c r="AE19" s="10722">
        <f>IF(Y19="",0,Y19)</f>
        <v>0</v>
      </c>
      <c r="AF19" s="10723"/>
      <c r="AG19" s="10723"/>
      <c r="AH19" s="10723"/>
      <c r="AI19" s="10723"/>
      <c r="AJ19" s="10723"/>
      <c r="AK19" s="2013"/>
      <c r="AL19" s="253"/>
      <c r="AM19" s="226" t="s">
        <v>979</v>
      </c>
      <c r="AN19" s="253"/>
      <c r="AO19" s="724"/>
      <c r="AP19" s="724"/>
      <c r="AQ19" s="408"/>
      <c r="AR19" s="253"/>
      <c r="AS19" s="10737" t="s">
        <v>4846</v>
      </c>
      <c r="AT19" s="253"/>
      <c r="AU19" s="851"/>
      <c r="AV19" s="409"/>
      <c r="AW19" s="253"/>
      <c r="AX19" s="1640"/>
      <c r="AY19" s="658"/>
      <c r="AZ19" s="658"/>
      <c r="BA19" s="658"/>
      <c r="BB19" s="658"/>
      <c r="BC19" s="658"/>
      <c r="BD19" s="658"/>
      <c r="BE19" s="658"/>
      <c r="BF19" s="658"/>
      <c r="BG19" s="658"/>
      <c r="BH19"/>
      <c r="BI19"/>
    </row>
    <row r="20" spans="1:61" s="815" customFormat="1" ht="18" customHeight="1" thickBot="1">
      <c r="A20" s="2013"/>
      <c r="B20" s="253"/>
      <c r="C20" s="4973" t="s">
        <v>3893</v>
      </c>
      <c r="D20" s="1323" t="s">
        <v>3894</v>
      </c>
      <c r="E20" s="253"/>
      <c r="F20" s="253"/>
      <c r="G20" s="253"/>
      <c r="H20" s="253"/>
      <c r="I20" s="253"/>
      <c r="J20" s="253"/>
      <c r="K20" s="253"/>
      <c r="L20" s="253"/>
      <c r="M20" s="253"/>
      <c r="N20" s="253"/>
      <c r="O20" s="253"/>
      <c r="P20" s="253"/>
      <c r="Q20" s="253"/>
      <c r="R20" s="253"/>
      <c r="S20" s="253"/>
      <c r="T20" s="253"/>
      <c r="U20" s="253"/>
      <c r="V20" s="253"/>
      <c r="W20" s="4448" t="s">
        <v>341</v>
      </c>
      <c r="X20" s="4974" t="s">
        <v>799</v>
      </c>
      <c r="Y20" s="10638" t="str">
        <f>V69</f>
        <v/>
      </c>
      <c r="Z20" s="10638"/>
      <c r="AA20" s="10638"/>
      <c r="AB20" s="10638"/>
      <c r="AC20" s="4975" t="s">
        <v>800</v>
      </c>
      <c r="AD20" s="2924"/>
      <c r="AE20" s="10722">
        <f>IF(Y20="",0,Y20)</f>
        <v>0</v>
      </c>
      <c r="AF20" s="10723"/>
      <c r="AG20" s="10723"/>
      <c r="AH20" s="10723"/>
      <c r="AI20" s="10723"/>
      <c r="AJ20" s="10723"/>
      <c r="AK20" s="2013"/>
      <c r="AL20" s="817"/>
      <c r="AM20" s="226" t="s">
        <v>931</v>
      </c>
      <c r="AN20" s="253"/>
      <c r="AO20" s="2741" t="b">
        <f>AND(Y18="",Y19="",Y20="")</f>
        <v>1</v>
      </c>
      <c r="AP20" s="724"/>
      <c r="AQ20" s="408"/>
      <c r="AR20" s="253"/>
      <c r="AS20" s="10737"/>
      <c r="AT20" s="1639"/>
      <c r="AU20" s="851"/>
      <c r="AV20" s="4978"/>
      <c r="AW20" s="253"/>
      <c r="AX20" s="1640"/>
      <c r="AY20" s="658"/>
      <c r="AZ20" s="658"/>
      <c r="BA20" s="658"/>
      <c r="BB20" s="658"/>
      <c r="BC20" s="658"/>
      <c r="BD20" s="658"/>
      <c r="BE20" s="658"/>
      <c r="BF20" s="658"/>
      <c r="BG20" s="658"/>
      <c r="BH20"/>
      <c r="BI20"/>
    </row>
    <row r="21" spans="1:61" s="815" customFormat="1" ht="16.5" customHeight="1" thickBot="1">
      <c r="A21" s="2013"/>
      <c r="B21" s="413"/>
      <c r="C21" s="4976" t="s">
        <v>3895</v>
      </c>
      <c r="D21" s="1998" t="s">
        <v>4837</v>
      </c>
      <c r="E21" s="3810"/>
      <c r="F21" s="1996"/>
      <c r="G21" s="1996"/>
      <c r="H21" s="413"/>
      <c r="I21" s="413"/>
      <c r="J21" s="413"/>
      <c r="K21" s="413"/>
      <c r="L21" s="413"/>
      <c r="M21" s="413"/>
      <c r="N21" s="413"/>
      <c r="O21" s="413"/>
      <c r="P21" s="413"/>
      <c r="Q21" s="413"/>
      <c r="R21" s="413"/>
      <c r="S21" s="413"/>
      <c r="T21" s="413"/>
      <c r="U21" s="413"/>
      <c r="V21" s="413"/>
      <c r="W21" s="413"/>
      <c r="X21" s="413"/>
      <c r="Y21" s="413"/>
      <c r="Z21" s="413"/>
      <c r="AA21" s="413"/>
      <c r="AB21" s="413"/>
      <c r="AC21" s="414"/>
      <c r="AD21" s="4448" t="s">
        <v>343</v>
      </c>
      <c r="AE21" s="10680" t="str">
        <f>IF(AM21&lt;&gt;"",ROUND(AM21,0),IF(AND(X18="",Y19="",Y20=""),"",SUM(AE18,-AE19,-AE20)))</f>
        <v/>
      </c>
      <c r="AF21" s="10681"/>
      <c r="AG21" s="10681"/>
      <c r="AH21" s="10681"/>
      <c r="AI21" s="10681"/>
      <c r="AJ21" s="10681"/>
      <c r="AK21" s="2013"/>
      <c r="AL21" s="817"/>
      <c r="AM21" s="1638"/>
      <c r="AN21" s="253"/>
      <c r="AO21" s="2741" t="b">
        <f>AND(AO16,AO20)</f>
        <v>1</v>
      </c>
      <c r="AP21" s="724"/>
      <c r="AQ21" s="408"/>
      <c r="AR21" s="253"/>
      <c r="AS21" s="10736" t="s">
        <v>4845</v>
      </c>
      <c r="AT21" s="253"/>
      <c r="AU21" s="851"/>
      <c r="AV21" s="4978"/>
      <c r="AW21" s="253"/>
      <c r="AX21" s="1640"/>
      <c r="AY21" s="658"/>
      <c r="AZ21" s="658"/>
      <c r="BA21" s="658"/>
      <c r="BB21" s="658"/>
      <c r="BC21" s="658"/>
      <c r="BD21" s="658"/>
      <c r="BE21" s="658"/>
      <c r="BF21" s="658"/>
      <c r="BG21" s="658"/>
      <c r="BH21"/>
      <c r="BI21"/>
    </row>
    <row r="22" spans="1:61" s="815" customFormat="1" ht="20.25" customHeight="1" thickBot="1">
      <c r="A22" s="2013"/>
      <c r="B22" s="253"/>
      <c r="C22" s="2917" t="s">
        <v>232</v>
      </c>
      <c r="D22" s="1323" t="s">
        <v>5002</v>
      </c>
      <c r="E22" s="253"/>
      <c r="F22" s="253"/>
      <c r="G22" s="253"/>
      <c r="H22" s="253"/>
      <c r="I22" s="253"/>
      <c r="J22" s="253"/>
      <c r="K22" s="253"/>
      <c r="L22" s="253"/>
      <c r="M22" s="253"/>
      <c r="N22" s="253"/>
      <c r="O22" s="253"/>
      <c r="P22" s="4979"/>
      <c r="Q22" s="253"/>
      <c r="R22" s="1323"/>
      <c r="S22" s="1323"/>
      <c r="T22" s="253"/>
      <c r="U22" s="253"/>
      <c r="V22" s="253"/>
      <c r="W22" s="253"/>
      <c r="X22" s="253"/>
      <c r="Y22" s="253"/>
      <c r="Z22" s="253"/>
      <c r="AA22" s="253"/>
      <c r="AB22" s="253"/>
      <c r="AC22" s="1657"/>
      <c r="AD22" s="2898"/>
      <c r="AE22" s="7889">
        <f>IF(AE21&lt;0,ABS(AE21),0)</f>
        <v>0</v>
      </c>
      <c r="AF22" s="7890"/>
      <c r="AG22" s="7890"/>
      <c r="AH22" s="7890"/>
      <c r="AI22" s="7890"/>
      <c r="AJ22" s="7890"/>
      <c r="AK22" s="2013"/>
      <c r="AL22" s="2741"/>
      <c r="AM22" s="4980" t="str">
        <f>TaxYear-1&amp;" Unallowed CRD"</f>
        <v>2024 Unallowed CRD</v>
      </c>
      <c r="AN22" s="2741"/>
      <c r="AO22" s="4981" t="b">
        <f>AND(NOT(AO21),AE24&gt;=0)</f>
        <v>0</v>
      </c>
      <c r="AP22" s="2741"/>
      <c r="AQ22" s="408"/>
      <c r="AR22" s="711"/>
      <c r="AS22" s="10736"/>
      <c r="AT22" s="1639" t="str">
        <f>IF(NOT(AO32),"",IF(AND(AL6&lt;&gt;"",AL7&lt;&gt;""),SchSE_Deduction_Both,IF(AL6&lt;&gt;"",SchSE_Deduction_You,SchSE_Deduction_Sp)))</f>
        <v/>
      </c>
      <c r="AU22" s="851"/>
      <c r="AV22" s="409"/>
      <c r="AW22" s="4982"/>
      <c r="AX22" s="1640"/>
      <c r="AY22" s="658"/>
      <c r="AZ22" s="658"/>
      <c r="BA22" s="658"/>
      <c r="BB22" s="658"/>
      <c r="BC22" s="658"/>
      <c r="BD22" s="658"/>
      <c r="BE22" s="658"/>
      <c r="BF22" s="658"/>
      <c r="BG22" s="658"/>
      <c r="BH22"/>
      <c r="BI22"/>
    </row>
    <row r="23" spans="1:61" s="815" customFormat="1" ht="18" customHeight="1" thickBot="1">
      <c r="A23" s="2013"/>
      <c r="B23" s="253"/>
      <c r="C23" s="253"/>
      <c r="D23" s="2311" t="s">
        <v>5004</v>
      </c>
      <c r="E23" s="253"/>
      <c r="F23" s="253"/>
      <c r="G23" s="253"/>
      <c r="H23" s="10552" t="str">
        <f>IF(AO22,"STOP HERE,","stop here,")</f>
        <v>stop here,</v>
      </c>
      <c r="I23" s="10552"/>
      <c r="J23" s="10552"/>
      <c r="K23" s="10552"/>
      <c r="L23" s="2311" t="s">
        <v>5005</v>
      </c>
      <c r="M23" s="253"/>
      <c r="N23" s="253"/>
      <c r="O23" s="253"/>
      <c r="P23" s="253"/>
      <c r="Q23" s="253"/>
      <c r="R23" s="253"/>
      <c r="S23" s="253"/>
      <c r="T23" s="253"/>
      <c r="U23" s="253"/>
      <c r="V23" s="253"/>
      <c r="W23" s="253"/>
      <c r="X23" s="253"/>
      <c r="Y23" s="253"/>
      <c r="Z23" s="253"/>
      <c r="AA23" s="253"/>
      <c r="AB23" s="253"/>
      <c r="AC23" s="409"/>
      <c r="AD23" s="2921"/>
      <c r="AE23" s="512"/>
      <c r="AF23" s="512"/>
      <c r="AG23" s="512"/>
      <c r="AH23" s="512"/>
      <c r="AI23" s="512"/>
      <c r="AJ23" s="512"/>
      <c r="AK23" s="2013"/>
      <c r="AL23" s="817"/>
      <c r="AM23" s="1638"/>
      <c r="AN23" s="253"/>
      <c r="AO23" s="724"/>
      <c r="AP23" s="724"/>
      <c r="AQ23" s="408"/>
      <c r="AR23" s="711"/>
      <c r="AS23" s="7034" t="s">
        <v>4876</v>
      </c>
      <c r="AT23" s="711"/>
      <c r="AU23" s="4983"/>
      <c r="AV23" s="409"/>
      <c r="AW23" s="253"/>
      <c r="AX23" s="1640"/>
      <c r="AY23" s="658"/>
      <c r="AZ23" s="658"/>
      <c r="BA23" s="658"/>
      <c r="BB23" s="658"/>
      <c r="BC23" s="658"/>
      <c r="BD23" s="658"/>
      <c r="BE23" s="658"/>
      <c r="BF23" s="658"/>
      <c r="BG23" s="658"/>
      <c r="BH23"/>
      <c r="BI23"/>
    </row>
    <row r="24" spans="1:61" s="815" customFormat="1" ht="15.75" customHeight="1" thickBot="1">
      <c r="A24" s="2013"/>
      <c r="B24" s="253"/>
      <c r="C24" s="253"/>
      <c r="D24" s="2006" t="s">
        <v>5003</v>
      </c>
      <c r="E24" s="253"/>
      <c r="F24" s="253"/>
      <c r="G24" s="253"/>
      <c r="H24" s="253"/>
      <c r="I24" s="253"/>
      <c r="J24" s="253"/>
      <c r="K24" s="253"/>
      <c r="L24" s="253"/>
      <c r="M24" s="253"/>
      <c r="N24" s="253"/>
      <c r="O24" s="253"/>
      <c r="P24" s="253"/>
      <c r="Q24" s="253"/>
      <c r="R24" s="253"/>
      <c r="S24" s="253"/>
      <c r="T24" s="253"/>
      <c r="U24" s="253"/>
      <c r="V24" s="253"/>
      <c r="W24" s="253"/>
      <c r="X24" s="253"/>
      <c r="Y24" s="253"/>
      <c r="Z24" s="253"/>
      <c r="AA24" s="253"/>
      <c r="AB24" s="253"/>
      <c r="AC24" s="253"/>
      <c r="AD24" s="4448">
        <v>3</v>
      </c>
      <c r="AE24" s="10680" t="str">
        <f>IF(AM24&lt;&gt;"",ROUND(AM24,0),IF(AND(X13="",Y14="",Y15="",X18="",Y19="",Y20=""),"",SUM(AE16,AE21,-ROUND(AM23,0))))</f>
        <v/>
      </c>
      <c r="AF24" s="10681"/>
      <c r="AG24" s="10681"/>
      <c r="AH24" s="10681"/>
      <c r="AI24" s="10681"/>
      <c r="AJ24" s="10681"/>
      <c r="AK24" s="2013"/>
      <c r="AL24" s="817"/>
      <c r="AM24" s="1638"/>
      <c r="AN24" s="253"/>
      <c r="AO24" s="724"/>
      <c r="AP24" s="724"/>
      <c r="AQ24" s="408"/>
      <c r="AR24" s="711"/>
      <c r="AS24" s="7034"/>
      <c r="AT24" s="7716"/>
      <c r="AU24" s="711"/>
      <c r="AV24" s="409"/>
      <c r="AW24" s="253"/>
      <c r="AX24" s="1640"/>
      <c r="AY24" s="658"/>
      <c r="AZ24" s="658"/>
      <c r="BA24" s="658"/>
      <c r="BB24" s="658"/>
      <c r="BC24" s="658"/>
      <c r="BD24" s="658"/>
      <c r="BE24" s="658"/>
      <c r="BF24" s="658"/>
      <c r="BG24" s="658"/>
      <c r="BH24"/>
      <c r="BI24"/>
    </row>
    <row r="25" spans="1:61" s="815" customFormat="1" ht="8.25" customHeight="1">
      <c r="A25" s="2013"/>
      <c r="B25" s="253"/>
      <c r="C25" s="253"/>
      <c r="D25" s="253"/>
      <c r="E25" s="253"/>
      <c r="F25" s="253"/>
      <c r="G25" s="253"/>
      <c r="H25" s="253"/>
      <c r="I25" s="253"/>
      <c r="J25" s="253"/>
      <c r="K25" s="253"/>
      <c r="L25" s="253"/>
      <c r="M25" s="253"/>
      <c r="N25" s="253"/>
      <c r="O25" s="253"/>
      <c r="P25" s="253"/>
      <c r="Q25" s="253"/>
      <c r="R25" s="253"/>
      <c r="S25" s="253"/>
      <c r="T25" s="253"/>
      <c r="U25" s="253"/>
      <c r="V25" s="253"/>
      <c r="W25" s="253"/>
      <c r="X25" s="253"/>
      <c r="Y25" s="253"/>
      <c r="Z25" s="253"/>
      <c r="AA25" s="253"/>
      <c r="AB25" s="253"/>
      <c r="AC25" s="1672"/>
      <c r="AD25" s="406"/>
      <c r="AE25" s="10540">
        <f>IF(PassiveIncomeLoss&lt;0,ABS(PassiveIncomeLoss),0)</f>
        <v>0</v>
      </c>
      <c r="AF25" s="10540"/>
      <c r="AG25" s="10540"/>
      <c r="AH25" s="10540"/>
      <c r="AI25" s="10540"/>
      <c r="AJ25" s="10540"/>
      <c r="AK25" s="2013"/>
      <c r="AL25" s="817"/>
      <c r="AM25" s="3812"/>
      <c r="AN25" s="253"/>
      <c r="AO25" s="724"/>
      <c r="AP25" s="724"/>
      <c r="AQ25" s="408"/>
      <c r="AR25" s="253"/>
      <c r="AS25" s="7034"/>
      <c r="AT25" s="7585"/>
      <c r="AU25" s="253"/>
      <c r="AV25" s="409" t="s">
        <v>1892</v>
      </c>
      <c r="AW25" s="253"/>
      <c r="AX25" s="1640"/>
      <c r="AY25" s="658"/>
      <c r="AZ25" s="658"/>
      <c r="BA25" s="658"/>
      <c r="BB25" s="658"/>
      <c r="BC25" s="658"/>
      <c r="BD25" s="658"/>
      <c r="BE25" s="658"/>
      <c r="BF25" s="658"/>
      <c r="BG25" s="658"/>
      <c r="BH25"/>
      <c r="BI25"/>
    </row>
    <row r="26" spans="1:61" s="815" customFormat="1" ht="13.5" customHeight="1">
      <c r="A26" s="2013"/>
      <c r="B26" s="253"/>
      <c r="C26" s="253"/>
      <c r="D26" s="1323" t="s">
        <v>3900</v>
      </c>
      <c r="E26" s="1323"/>
      <c r="F26" s="1323"/>
      <c r="G26" s="1323"/>
      <c r="H26" s="1323"/>
      <c r="I26" s="1323"/>
      <c r="J26" s="2007" t="s">
        <v>1554</v>
      </c>
      <c r="K26" s="1323" t="s">
        <v>3901</v>
      </c>
      <c r="L26" s="1323"/>
      <c r="M26" s="253"/>
      <c r="N26" s="253"/>
      <c r="O26" s="253"/>
      <c r="P26" s="253"/>
      <c r="Q26" s="253"/>
      <c r="R26" s="253"/>
      <c r="S26" s="253"/>
      <c r="T26" s="253"/>
      <c r="U26" s="253"/>
      <c r="V26" s="253"/>
      <c r="W26" s="253"/>
      <c r="X26" s="253"/>
      <c r="Y26" s="253"/>
      <c r="Z26" s="253"/>
      <c r="AA26" s="253"/>
      <c r="AB26" s="253"/>
      <c r="AC26" s="1672"/>
      <c r="AD26" s="253"/>
      <c r="AE26" s="8824"/>
      <c r="AF26" s="8824"/>
      <c r="AG26" s="8824"/>
      <c r="AH26" s="8824"/>
      <c r="AI26" s="8824"/>
      <c r="AJ26" s="8824"/>
      <c r="AK26" s="2013"/>
      <c r="AL26" s="253"/>
      <c r="AM26" s="253"/>
      <c r="AN26" s="817"/>
      <c r="AO26" s="4982" t="b">
        <f>AE16&lt;0</f>
        <v>0</v>
      </c>
      <c r="AP26" s="4982"/>
      <c r="AQ26" s="408"/>
      <c r="AR26" s="711"/>
      <c r="AS26" s="4984"/>
      <c r="AT26" s="711"/>
      <c r="AU26" s="711"/>
      <c r="AV26" s="409"/>
      <c r="AW26" s="253"/>
      <c r="AX26" s="1640"/>
      <c r="AY26" s="658"/>
      <c r="AZ26" s="658"/>
      <c r="BA26" s="658"/>
      <c r="BB26" s="658"/>
      <c r="BC26" s="658"/>
      <c r="BD26" s="658"/>
      <c r="BE26" s="658"/>
      <c r="BF26" s="658"/>
      <c r="BG26" s="658"/>
      <c r="BH26"/>
      <c r="BI26"/>
    </row>
    <row r="27" spans="1:61" s="815" customFormat="1" ht="13.5" customHeight="1">
      <c r="A27" s="2013"/>
      <c r="B27" s="253"/>
      <c r="C27" s="2917"/>
      <c r="D27" s="1323"/>
      <c r="E27" s="1323"/>
      <c r="F27" s="1323"/>
      <c r="G27" s="1323"/>
      <c r="H27" s="1323"/>
      <c r="I27" s="1323"/>
      <c r="J27" s="2007" t="s">
        <v>1554</v>
      </c>
      <c r="K27" s="1323" t="s">
        <v>3902</v>
      </c>
      <c r="L27" s="1323"/>
      <c r="M27" s="344"/>
      <c r="N27" s="344"/>
      <c r="O27" s="344"/>
      <c r="P27" s="344"/>
      <c r="Q27" s="344"/>
      <c r="R27" s="344"/>
      <c r="S27" s="344"/>
      <c r="T27" s="344"/>
      <c r="U27" s="344"/>
      <c r="V27" s="344"/>
      <c r="W27" s="1401"/>
      <c r="X27" s="253"/>
      <c r="Y27" s="253"/>
      <c r="Z27" s="253"/>
      <c r="AA27" s="253"/>
      <c r="AB27" s="253"/>
      <c r="AC27" s="253"/>
      <c r="AD27" s="817"/>
      <c r="AE27" s="10683"/>
      <c r="AF27" s="10684"/>
      <c r="AG27" s="10684"/>
      <c r="AH27" s="10684"/>
      <c r="AI27" s="10684"/>
      <c r="AJ27" s="10684"/>
      <c r="AK27" s="2013"/>
      <c r="AL27" s="253"/>
      <c r="AM27" s="253"/>
      <c r="AN27" s="817"/>
      <c r="AO27" s="4982" t="b">
        <f>AND(AE21&lt;0,AE16&gt;=0)</f>
        <v>0</v>
      </c>
      <c r="AP27" s="4982"/>
      <c r="AQ27" s="408"/>
      <c r="AR27" s="253"/>
      <c r="AS27" s="10733" t="s">
        <v>4847</v>
      </c>
      <c r="AT27" s="711"/>
      <c r="AU27" s="711"/>
      <c r="AV27" s="409"/>
      <c r="AW27" s="253"/>
      <c r="AX27" s="1640"/>
      <c r="AY27" s="658"/>
      <c r="AZ27" s="658"/>
      <c r="BA27" s="658"/>
      <c r="BB27" s="658"/>
      <c r="BC27" s="658"/>
      <c r="BD27" s="658"/>
      <c r="BE27" s="658"/>
      <c r="BF27" s="658"/>
      <c r="BG27" s="658"/>
      <c r="BH27"/>
      <c r="BI27"/>
    </row>
    <row r="28" spans="1:61" s="815" customFormat="1" ht="18" customHeight="1">
      <c r="A28" s="2013"/>
      <c r="B28" s="1323" t="s">
        <v>6351</v>
      </c>
      <c r="C28" s="2917"/>
      <c r="D28" s="511"/>
      <c r="E28" s="344"/>
      <c r="F28" s="344"/>
      <c r="G28" s="344"/>
      <c r="H28" s="344"/>
      <c r="I28" s="344"/>
      <c r="J28" s="344"/>
      <c r="K28" s="344"/>
      <c r="L28" s="344"/>
      <c r="M28" s="344"/>
      <c r="N28" s="344"/>
      <c r="O28" s="344"/>
      <c r="P28" s="344"/>
      <c r="Q28" s="344"/>
      <c r="R28" s="344"/>
      <c r="S28" s="344"/>
      <c r="T28" s="344"/>
      <c r="U28" s="344"/>
      <c r="V28" s="344"/>
      <c r="W28" s="253"/>
      <c r="X28" s="253"/>
      <c r="Y28" s="253"/>
      <c r="Z28" s="253"/>
      <c r="AA28" s="253"/>
      <c r="AB28" s="253"/>
      <c r="AC28" s="253"/>
      <c r="AD28" s="253"/>
      <c r="AE28" s="512"/>
      <c r="AF28" s="512"/>
      <c r="AG28" s="512"/>
      <c r="AH28" s="512"/>
      <c r="AI28" s="512"/>
      <c r="AJ28" s="512"/>
      <c r="AK28" s="2013"/>
      <c r="AL28" s="10725" t="str">
        <f>IF(AO22,"Stop here.",IF(AO28,"Do not complete",IF(AO27,"Skip Part II,",IF(AO26,"Go to Part II.",""))))</f>
        <v/>
      </c>
      <c r="AM28" s="10725"/>
      <c r="AN28" s="10725"/>
      <c r="AO28" s="4985" t="b">
        <f>AND(File_Marr_Sep&lt;&gt;"",NOT(LivedApart))</f>
        <v>0</v>
      </c>
      <c r="AP28" s="1334"/>
      <c r="AQ28" s="408"/>
      <c r="AR28" s="253"/>
      <c r="AS28" s="10733"/>
      <c r="AT28" s="1639"/>
      <c r="AU28" s="253"/>
      <c r="AV28" s="4978"/>
      <c r="AW28" s="4986"/>
      <c r="AX28" s="1640"/>
      <c r="AY28" s="658"/>
      <c r="AZ28" s="658"/>
      <c r="BA28" s="658"/>
      <c r="BB28" s="658"/>
      <c r="BC28" s="658"/>
      <c r="BD28" s="658"/>
      <c r="BE28" s="658"/>
      <c r="BF28" s="658"/>
      <c r="BG28" s="658"/>
      <c r="BH28"/>
      <c r="BI28"/>
    </row>
    <row r="29" spans="1:61" s="815" customFormat="1" ht="18" customHeight="1">
      <c r="A29" s="2013"/>
      <c r="B29" s="2311" t="s">
        <v>3903</v>
      </c>
      <c r="C29" s="2723"/>
      <c r="D29" s="511"/>
      <c r="E29" s="344"/>
      <c r="F29" s="344"/>
      <c r="G29" s="344"/>
      <c r="H29" s="344"/>
      <c r="I29" s="344"/>
      <c r="J29" s="344"/>
      <c r="K29" s="344"/>
      <c r="L29" s="344"/>
      <c r="M29" s="344"/>
      <c r="N29" s="344"/>
      <c r="O29" s="344"/>
      <c r="P29" s="344"/>
      <c r="Q29" s="344"/>
      <c r="R29" s="344"/>
      <c r="S29" s="344"/>
      <c r="T29" s="344"/>
      <c r="U29" s="344"/>
      <c r="V29" s="344"/>
      <c r="W29" s="253"/>
      <c r="X29" s="253"/>
      <c r="Y29" s="253"/>
      <c r="Z29" s="253"/>
      <c r="AA29" s="253"/>
      <c r="AB29" s="253"/>
      <c r="AC29" s="253"/>
      <c r="AD29" s="253"/>
      <c r="AE29" s="512"/>
      <c r="AF29" s="512"/>
      <c r="AG29" s="512"/>
      <c r="AH29" s="512"/>
      <c r="AI29" s="512"/>
      <c r="AJ29" s="512"/>
      <c r="AK29" s="2013"/>
      <c r="AL29" s="10575" t="str">
        <f>IF(AO22,"",IF(AO27,"and go to",IF(AO28,"Part II;","")))</f>
        <v/>
      </c>
      <c r="AM29" s="10575"/>
      <c r="AN29" s="10575"/>
      <c r="AO29" s="4987"/>
      <c r="AP29" s="4987"/>
      <c r="AQ29" s="408"/>
      <c r="AR29" s="253"/>
      <c r="AS29" s="253"/>
      <c r="AT29" s="253"/>
      <c r="AU29" s="253"/>
      <c r="AV29" s="4978"/>
      <c r="AW29" s="4988"/>
      <c r="AX29" s="1640"/>
      <c r="AY29" s="658"/>
      <c r="AZ29" s="658"/>
      <c r="BA29" s="658"/>
      <c r="BB29" s="658"/>
      <c r="BC29" s="658"/>
      <c r="BD29" s="658"/>
      <c r="BE29" s="658"/>
      <c r="BF29" s="658"/>
      <c r="BG29" s="658"/>
      <c r="BH29"/>
      <c r="BI29"/>
    </row>
    <row r="30" spans="1:61" s="815" customFormat="1" ht="19.5" customHeight="1">
      <c r="A30" s="2013"/>
      <c r="B30" s="7934" t="s">
        <v>868</v>
      </c>
      <c r="C30" s="7934"/>
      <c r="D30" s="4472"/>
      <c r="E30" s="10682" t="s">
        <v>3904</v>
      </c>
      <c r="F30" s="10682"/>
      <c r="G30" s="10682"/>
      <c r="H30" s="10682"/>
      <c r="I30" s="10682"/>
      <c r="J30" s="10682"/>
      <c r="K30" s="10682"/>
      <c r="L30" s="10682"/>
      <c r="M30" s="10682"/>
      <c r="N30" s="10682"/>
      <c r="O30" s="10682"/>
      <c r="P30" s="10682"/>
      <c r="Q30" s="10682"/>
      <c r="R30" s="10682"/>
      <c r="S30" s="10682"/>
      <c r="T30" s="10682"/>
      <c r="U30" s="10682"/>
      <c r="V30" s="10682"/>
      <c r="W30" s="10682"/>
      <c r="X30" s="10682"/>
      <c r="Y30" s="10682"/>
      <c r="Z30" s="10682"/>
      <c r="AA30" s="10682"/>
      <c r="AB30" s="10682"/>
      <c r="AC30" s="10682"/>
      <c r="AD30" s="10682"/>
      <c r="AE30" s="10682"/>
      <c r="AF30" s="10682"/>
      <c r="AG30" s="10682"/>
      <c r="AH30" s="10682"/>
      <c r="AI30" s="10682"/>
      <c r="AJ30" s="10682"/>
      <c r="AK30" s="2013"/>
      <c r="AL30" s="10575" t="str">
        <f>IF(AO22,"",IF(AO28,"Go to Line 10.",IF(AO27,"Line 10.","")))</f>
        <v/>
      </c>
      <c r="AM30" s="10575"/>
      <c r="AN30" s="10575"/>
      <c r="AO30" s="4987"/>
      <c r="AP30" s="4987"/>
      <c r="AQ30" s="408"/>
      <c r="AR30" s="253"/>
      <c r="AS30" s="4977" t="s">
        <v>4848</v>
      </c>
      <c r="AT30" s="1639"/>
      <c r="AU30" s="253"/>
      <c r="AV30" s="4978"/>
      <c r="AW30" s="4988"/>
      <c r="AX30" s="1640"/>
      <c r="AY30" s="658"/>
      <c r="AZ30" s="658"/>
      <c r="BA30" s="658"/>
      <c r="BB30" s="658"/>
      <c r="BC30" s="658"/>
      <c r="BD30" s="658"/>
      <c r="BE30" s="658"/>
      <c r="BF30" s="658"/>
      <c r="BG30" s="658"/>
      <c r="BH30"/>
      <c r="BI30"/>
    </row>
    <row r="31" spans="1:61" s="815" customFormat="1" ht="15" customHeight="1">
      <c r="A31" s="2013"/>
      <c r="B31" s="413"/>
      <c r="C31" s="4989"/>
      <c r="D31" s="1996"/>
      <c r="E31" s="1998" t="s">
        <v>4841</v>
      </c>
      <c r="F31" s="569"/>
      <c r="G31" s="569"/>
      <c r="H31" s="569"/>
      <c r="I31" s="569"/>
      <c r="J31" s="569"/>
      <c r="K31" s="569"/>
      <c r="L31" s="569"/>
      <c r="M31" s="569"/>
      <c r="N31" s="569"/>
      <c r="O31" s="569"/>
      <c r="P31" s="569"/>
      <c r="Q31" s="569"/>
      <c r="R31" s="569"/>
      <c r="S31" s="569"/>
      <c r="T31" s="569"/>
      <c r="U31" s="4935"/>
      <c r="V31" s="4990"/>
      <c r="W31" s="413"/>
      <c r="X31" s="413"/>
      <c r="Y31" s="413"/>
      <c r="Z31" s="413"/>
      <c r="AA31" s="413"/>
      <c r="AB31" s="413"/>
      <c r="AC31" s="413"/>
      <c r="AD31" s="413"/>
      <c r="AE31" s="413"/>
      <c r="AF31" s="413"/>
      <c r="AG31" s="413"/>
      <c r="AH31" s="413"/>
      <c r="AI31" s="413"/>
      <c r="AJ31" s="413"/>
      <c r="AK31" s="2013"/>
      <c r="AL31" s="512"/>
      <c r="AM31" s="226" t="s">
        <v>979</v>
      </c>
      <c r="AN31" s="253"/>
      <c r="AO31" s="724"/>
      <c r="AP31" s="724"/>
      <c r="AQ31" s="408"/>
      <c r="AR31" s="253"/>
      <c r="AS31" s="10736" t="s">
        <v>4849</v>
      </c>
      <c r="AT31" s="253"/>
      <c r="AU31" s="253"/>
      <c r="AV31" s="409"/>
      <c r="AW31" s="253"/>
      <c r="AX31" s="1640"/>
      <c r="AY31" s="658"/>
      <c r="AZ31" s="658"/>
      <c r="BA31" s="658"/>
      <c r="BB31" s="658"/>
      <c r="BC31" s="658"/>
      <c r="BD31" s="658"/>
      <c r="BE31" s="658"/>
      <c r="BF31" s="658"/>
      <c r="BG31" s="658"/>
      <c r="BH31"/>
      <c r="BI31"/>
    </row>
    <row r="32" spans="1:61" s="815" customFormat="1" ht="18" customHeight="1" thickBot="1">
      <c r="A32" s="2013"/>
      <c r="B32" s="253"/>
      <c r="C32" s="2917" t="s">
        <v>235</v>
      </c>
      <c r="D32" s="1323" t="s">
        <v>4839</v>
      </c>
      <c r="E32" s="253"/>
      <c r="F32" s="253"/>
      <c r="G32" s="253"/>
      <c r="H32" s="253"/>
      <c r="I32" s="253"/>
      <c r="J32" s="253"/>
      <c r="K32" s="253"/>
      <c r="L32" s="253"/>
      <c r="M32" s="253"/>
      <c r="N32" s="253"/>
      <c r="O32" s="253"/>
      <c r="P32" s="253"/>
      <c r="Q32" s="253"/>
      <c r="R32" s="253"/>
      <c r="S32" s="253"/>
      <c r="T32" s="253"/>
      <c r="U32" s="253"/>
      <c r="V32" s="253"/>
      <c r="W32" s="253"/>
      <c r="X32" s="253"/>
      <c r="Y32" s="253"/>
      <c r="Z32" s="253"/>
      <c r="AA32" s="253"/>
      <c r="AB32" s="253"/>
      <c r="AC32" s="1657" t="s">
        <v>665</v>
      </c>
      <c r="AD32" s="4448">
        <v>4</v>
      </c>
      <c r="AE32" s="10680" t="str">
        <f>IF(OR(NOT(AO32),AO28),"",MIN(AE17,AE25))</f>
        <v/>
      </c>
      <c r="AF32" s="10681"/>
      <c r="AG32" s="10681"/>
      <c r="AH32" s="10681"/>
      <c r="AI32" s="10681"/>
      <c r="AJ32" s="10681"/>
      <c r="AK32" s="2013"/>
      <c r="AL32" s="253"/>
      <c r="AM32" s="226" t="s">
        <v>931</v>
      </c>
      <c r="AN32" s="817"/>
      <c r="AO32" s="4991" t="b">
        <f>OR(AM33&lt;&gt;"",AM34&lt;&gt;"",AM39&lt;&gt;"",AND(NOT(AO22),AO26,NOT(AO27),NOT(AO28)))</f>
        <v>0</v>
      </c>
      <c r="AP32" s="4991"/>
      <c r="AQ32" s="408"/>
      <c r="AR32" s="253"/>
      <c r="AS32" s="10736"/>
      <c r="AT32" s="253"/>
      <c r="AU32" s="253"/>
      <c r="AV32" s="409"/>
      <c r="AW32" s="253"/>
      <c r="AX32" s="1640"/>
      <c r="AY32" s="658"/>
      <c r="AZ32" s="658"/>
      <c r="BA32" s="658"/>
      <c r="BB32" s="658"/>
      <c r="BC32" s="658"/>
      <c r="BD32" s="658"/>
      <c r="BE32" s="658"/>
      <c r="BF32" s="658"/>
      <c r="BG32" s="658"/>
      <c r="BH32"/>
      <c r="BI32"/>
    </row>
    <row r="33" spans="1:61" s="815" customFormat="1" ht="18" customHeight="1" thickBot="1">
      <c r="A33" s="2013"/>
      <c r="B33" s="253"/>
      <c r="C33" s="2917" t="s">
        <v>237</v>
      </c>
      <c r="D33" s="1323" t="str">
        <f>"Enter "&amp;TEXT(AO33,"$0,000")&amp;". If married filing separately and lived apart for all of "&amp;TaxYear&amp;", enter "&amp;TEXT(AO34,"$0,000")</f>
        <v>Enter $150,000. If married filing separately and lived apart for all of 2025, enter $75,000</v>
      </c>
      <c r="E33" s="511"/>
      <c r="F33" s="344"/>
      <c r="G33" s="344"/>
      <c r="H33" s="344"/>
      <c r="I33" s="344"/>
      <c r="J33" s="344"/>
      <c r="K33" s="344"/>
      <c r="L33" s="344"/>
      <c r="M33" s="344"/>
      <c r="N33" s="344"/>
      <c r="O33" s="344"/>
      <c r="P33" s="344"/>
      <c r="Q33" s="344"/>
      <c r="R33" s="344"/>
      <c r="S33" s="344"/>
      <c r="T33" s="344"/>
      <c r="U33" s="344"/>
      <c r="V33" s="2198"/>
      <c r="W33" s="4448">
        <v>5</v>
      </c>
      <c r="X33" s="10689" t="str">
        <f>IF(AM33&lt;&gt;"",ROUND(AM33,0),IF(OR(NOT(AO32),AO28),"",IF(NumFileStatusBoxes&lt;&gt;1,"Filing status?",IF(AND(LivedApart,File_Marr_Sep&lt;&gt;""),AO34,AO33))))</f>
        <v/>
      </c>
      <c r="Y33" s="10690"/>
      <c r="Z33" s="10690"/>
      <c r="AA33" s="10690"/>
      <c r="AB33" s="10690"/>
      <c r="AC33" s="10691"/>
      <c r="AD33" s="2924"/>
      <c r="AE33" s="3877"/>
      <c r="AF33" s="512"/>
      <c r="AG33" s="512"/>
      <c r="AH33" s="512"/>
      <c r="AI33" s="512"/>
      <c r="AJ33" s="512"/>
      <c r="AK33" s="2013"/>
      <c r="AL33" s="253"/>
      <c r="AM33" s="1638"/>
      <c r="AN33" s="512"/>
      <c r="AO33" s="4992">
        <v>150000</v>
      </c>
      <c r="AP33" s="4992"/>
      <c r="AQ33" s="408"/>
      <c r="AR33" s="253"/>
      <c r="AS33" s="10736"/>
      <c r="AT33" s="1639"/>
      <c r="AU33" s="253"/>
      <c r="AV33" s="409"/>
      <c r="AW33" s="253"/>
      <c r="AX33" s="1640"/>
      <c r="AY33" s="658"/>
      <c r="AZ33" s="658"/>
      <c r="BA33" s="658"/>
      <c r="BB33" s="658"/>
      <c r="BC33" s="658"/>
      <c r="BD33" s="658"/>
      <c r="BE33" s="658"/>
      <c r="BF33" s="658"/>
      <c r="BG33" s="658"/>
      <c r="BH33"/>
      <c r="BI33"/>
    </row>
    <row r="34" spans="1:61" s="815" customFormat="1" ht="18" customHeight="1" thickBot="1">
      <c r="A34" s="2013"/>
      <c r="B34" s="253"/>
      <c r="C34" s="2917">
        <v>6</v>
      </c>
      <c r="D34" s="1323" t="s">
        <v>3905</v>
      </c>
      <c r="E34" s="511"/>
      <c r="F34" s="344"/>
      <c r="G34" s="344"/>
      <c r="H34" s="344"/>
      <c r="I34" s="344"/>
      <c r="J34" s="344"/>
      <c r="K34" s="344"/>
      <c r="L34" s="344"/>
      <c r="M34" s="344"/>
      <c r="N34" s="344"/>
      <c r="O34" s="344"/>
      <c r="P34" s="344"/>
      <c r="Q34" s="344"/>
      <c r="R34" s="344"/>
      <c r="S34" s="344"/>
      <c r="T34" s="344"/>
      <c r="U34" s="344"/>
      <c r="V34" s="2198"/>
      <c r="W34" s="4456">
        <v>6</v>
      </c>
      <c r="X34" s="10711" t="str">
        <f>IF(AM34&lt;&gt;"",ROUND(AM34,0),IF(OR(NOT(AO32),AO28),"",MAX(F8582_MAGI,0)))</f>
        <v/>
      </c>
      <c r="Y34" s="10712"/>
      <c r="Z34" s="10712"/>
      <c r="AA34" s="10712"/>
      <c r="AB34" s="10712"/>
      <c r="AC34" s="10713"/>
      <c r="AD34" s="2924"/>
      <c r="AE34" s="3877"/>
      <c r="AF34" s="512"/>
      <c r="AG34" s="512"/>
      <c r="AH34" s="512"/>
      <c r="AI34" s="512"/>
      <c r="AJ34" s="512"/>
      <c r="AK34" s="2013"/>
      <c r="AL34" s="253"/>
      <c r="AM34" s="1638"/>
      <c r="AN34" s="4226"/>
      <c r="AO34" s="4992">
        <f>AO33/2</f>
        <v>75000</v>
      </c>
      <c r="AP34" s="4992"/>
      <c r="AQ34" s="408"/>
      <c r="AR34" s="253"/>
      <c r="AS34" s="253"/>
      <c r="AT34" s="253"/>
      <c r="AU34" s="253"/>
      <c r="AV34" s="409"/>
      <c r="AW34" s="253"/>
      <c r="AX34" s="1640"/>
      <c r="AY34" s="658"/>
      <c r="AZ34" s="658"/>
      <c r="BA34" s="658"/>
      <c r="BB34" s="658"/>
      <c r="BC34" s="658"/>
      <c r="BD34" s="658"/>
      <c r="BE34" s="658"/>
      <c r="BF34" s="658"/>
      <c r="BG34" s="658"/>
      <c r="BH34"/>
      <c r="BI34"/>
    </row>
    <row r="35" spans="1:61" s="815" customFormat="1" ht="18" customHeight="1">
      <c r="A35" s="2013"/>
      <c r="B35" s="253"/>
      <c r="C35" s="2917"/>
      <c r="D35" s="1323" t="s">
        <v>4838</v>
      </c>
      <c r="E35" s="511"/>
      <c r="F35" s="344"/>
      <c r="G35" s="344"/>
      <c r="H35" s="344"/>
      <c r="I35" s="344"/>
      <c r="J35" s="344"/>
      <c r="K35" s="344"/>
      <c r="L35" s="344"/>
      <c r="M35" s="344"/>
      <c r="N35" s="344"/>
      <c r="O35" s="344"/>
      <c r="P35" s="344"/>
      <c r="Q35" s="344"/>
      <c r="R35" s="344"/>
      <c r="S35" s="344"/>
      <c r="T35" s="344"/>
      <c r="U35" s="344"/>
      <c r="V35" s="344"/>
      <c r="W35" s="2924"/>
      <c r="X35" s="4993"/>
      <c r="Y35" s="4993"/>
      <c r="Z35" s="512"/>
      <c r="AA35" s="4993"/>
      <c r="AB35" s="4993"/>
      <c r="AC35" s="4994"/>
      <c r="AD35" s="2924"/>
      <c r="AE35" s="3877"/>
      <c r="AF35" s="512"/>
      <c r="AG35" s="512"/>
      <c r="AH35" s="512"/>
      <c r="AI35" s="512"/>
      <c r="AJ35" s="512"/>
      <c r="AK35" s="2013"/>
      <c r="AL35" s="253"/>
      <c r="AM35" s="253"/>
      <c r="AN35" s="253"/>
      <c r="AO35" s="2741" t="b">
        <f>X34&gt;=X33</f>
        <v>1</v>
      </c>
      <c r="AP35" s="2741"/>
      <c r="AQ35" s="408"/>
      <c r="AR35" s="253"/>
      <c r="AS35" s="4969" t="s">
        <v>4857</v>
      </c>
      <c r="AT35" s="253"/>
      <c r="AU35" s="1639" t="str">
        <f>IF(NOT(AO32),"",SUM(AU9,-SUM(AT12,AT14,AT16,AT18,AT20,AT22,AT24,AT28,AT30,AT33)))</f>
        <v/>
      </c>
      <c r="AV35" s="409"/>
      <c r="AW35" s="253"/>
      <c r="AX35" s="1640"/>
      <c r="AY35" s="658"/>
      <c r="AZ35" s="658"/>
      <c r="BA35" s="658"/>
      <c r="BB35" s="658"/>
      <c r="BC35" s="658"/>
      <c r="BD35" s="658"/>
      <c r="BE35" s="658"/>
      <c r="BF35" s="658"/>
      <c r="BG35" s="658"/>
      <c r="BH35"/>
      <c r="BI35"/>
    </row>
    <row r="36" spans="1:61" s="815" customFormat="1" ht="18" customHeight="1">
      <c r="A36" s="2013"/>
      <c r="B36" s="253"/>
      <c r="C36" s="2723"/>
      <c r="D36" s="2006" t="s">
        <v>3906</v>
      </c>
      <c r="E36" s="511"/>
      <c r="F36" s="253"/>
      <c r="G36" s="253"/>
      <c r="H36" s="253"/>
      <c r="I36" s="253"/>
      <c r="J36" s="253"/>
      <c r="K36" s="253"/>
      <c r="L36" s="253"/>
      <c r="M36" s="253"/>
      <c r="N36" s="253"/>
      <c r="O36" s="253"/>
      <c r="P36" s="253"/>
      <c r="Q36" s="253"/>
      <c r="R36" s="253"/>
      <c r="S36" s="253"/>
      <c r="T36" s="253"/>
      <c r="U36" s="253"/>
      <c r="V36" s="2198"/>
      <c r="W36" s="2924"/>
      <c r="X36" s="253"/>
      <c r="Y36" s="253"/>
      <c r="Z36" s="253"/>
      <c r="AA36" s="253"/>
      <c r="AB36" s="253"/>
      <c r="AC36" s="409"/>
      <c r="AD36" s="2924"/>
      <c r="AE36" s="3877"/>
      <c r="AF36" s="512"/>
      <c r="AG36" s="512"/>
      <c r="AH36" s="512"/>
      <c r="AI36" s="512"/>
      <c r="AJ36" s="512"/>
      <c r="AK36" s="2013"/>
      <c r="AL36" s="253"/>
      <c r="AM36" s="253"/>
      <c r="AN36" s="4226"/>
      <c r="AO36" s="724">
        <v>0.5</v>
      </c>
      <c r="AP36" s="724"/>
      <c r="AQ36" s="412"/>
      <c r="AR36" s="413"/>
      <c r="AS36" s="4995"/>
      <c r="AT36" s="413"/>
      <c r="AU36" s="413"/>
      <c r="AV36" s="4996"/>
      <c r="AW36" s="253"/>
      <c r="AX36" s="1640"/>
      <c r="AY36" s="658"/>
      <c r="AZ36" s="658"/>
      <c r="BA36" s="658"/>
      <c r="BB36" s="658"/>
      <c r="BC36" s="658"/>
      <c r="BD36" s="658"/>
      <c r="BE36" s="658"/>
      <c r="BF36" s="658"/>
      <c r="BG36" s="658"/>
      <c r="BH36"/>
      <c r="BI36"/>
    </row>
    <row r="37" spans="1:61" s="815" customFormat="1" ht="18" customHeight="1">
      <c r="A37" s="2013"/>
      <c r="B37" s="253"/>
      <c r="C37" s="2917">
        <v>7</v>
      </c>
      <c r="D37" s="1323" t="s">
        <v>3686</v>
      </c>
      <c r="E37" s="511"/>
      <c r="F37" s="253"/>
      <c r="G37" s="253"/>
      <c r="H37" s="253"/>
      <c r="I37" s="253"/>
      <c r="J37" s="253"/>
      <c r="K37" s="253"/>
      <c r="L37" s="253"/>
      <c r="M37" s="253"/>
      <c r="N37" s="253"/>
      <c r="O37" s="253"/>
      <c r="P37" s="253"/>
      <c r="Q37" s="253"/>
      <c r="R37" s="253"/>
      <c r="S37" s="253"/>
      <c r="T37" s="253"/>
      <c r="U37" s="253"/>
      <c r="V37" s="2198" t="s">
        <v>612</v>
      </c>
      <c r="W37" s="4448">
        <v>7</v>
      </c>
      <c r="X37" s="10689" t="str">
        <f>IF(OR(AO28,NOT(AO32),AO35),"",SUM(X33,-X34))</f>
        <v/>
      </c>
      <c r="Y37" s="10690"/>
      <c r="Z37" s="10690"/>
      <c r="AA37" s="10690"/>
      <c r="AB37" s="10690"/>
      <c r="AC37" s="10691"/>
      <c r="AD37" s="2924"/>
      <c r="AE37" s="3877"/>
      <c r="AF37" s="512"/>
      <c r="AG37" s="512"/>
      <c r="AH37" s="512"/>
      <c r="AI37" s="512"/>
      <c r="AJ37" s="512"/>
      <c r="AK37" s="2013"/>
      <c r="AL37" s="512"/>
      <c r="AM37" s="226" t="s">
        <v>979</v>
      </c>
      <c r="AN37" s="253"/>
      <c r="AO37" s="4992">
        <v>25000</v>
      </c>
      <c r="AP37" s="4992"/>
      <c r="AQ37" s="253"/>
      <c r="AR37" s="711"/>
      <c r="AS37" s="253"/>
      <c r="AT37" s="253"/>
      <c r="AU37" s="3819" t="b">
        <f>AND(AE16&lt;0,PassiveIncomeLoss&lt;0)</f>
        <v>0</v>
      </c>
      <c r="AV37" s="4997"/>
      <c r="AW37" s="253"/>
      <c r="AX37" s="1640"/>
      <c r="AY37" s="658"/>
      <c r="AZ37" s="658"/>
      <c r="BA37" s="658"/>
      <c r="BB37" s="658"/>
      <c r="BC37" s="658"/>
      <c r="BD37" s="658"/>
      <c r="BE37" s="658"/>
      <c r="BF37" s="658"/>
      <c r="BG37" s="658"/>
      <c r="BH37"/>
      <c r="BI37"/>
    </row>
    <row r="38" spans="1:61" s="815" customFormat="1" ht="18" customHeight="1" thickBot="1">
      <c r="A38" s="2013"/>
      <c r="B38" s="253"/>
      <c r="C38" s="2917">
        <v>8</v>
      </c>
      <c r="D38" s="2006" t="str">
        <f>"Multiply line 7 by "&amp;TEXT(AO36,"0%")&amp;" ("&amp;TEXT(AO36,"0.00")&amp;")."</f>
        <v>Multiply line 7 by 50% (0.50).</v>
      </c>
      <c r="E38" s="2046"/>
      <c r="F38" s="253"/>
      <c r="G38" s="253"/>
      <c r="H38" s="253"/>
      <c r="I38" s="253"/>
      <c r="J38" s="253"/>
      <c r="K38" s="511"/>
      <c r="L38" s="2298"/>
      <c r="M38" s="253"/>
      <c r="N38" s="1900"/>
      <c r="O38" s="4998" t="s">
        <v>6475</v>
      </c>
      <c r="P38" s="6550" t="str">
        <f>TEXT($AO$37,"$0,000")&amp;" ("&amp;TEXT($AO$37/2,"$0,000")&amp;", if married filing separately and lived apart)"</f>
        <v>$25,000 ($12,500, if married filing separately and lived apart)</v>
      </c>
      <c r="Q38" s="6550"/>
      <c r="R38" s="4999"/>
      <c r="S38" s="6550"/>
      <c r="T38" s="1900"/>
      <c r="U38" s="1900"/>
      <c r="V38" s="1900"/>
      <c r="W38" s="1900"/>
      <c r="X38" s="1900"/>
      <c r="Y38" s="1900"/>
      <c r="Z38" s="1900"/>
      <c r="AA38" s="1900"/>
      <c r="AB38" s="1900"/>
      <c r="AC38" s="5000"/>
      <c r="AD38" s="5001">
        <v>8</v>
      </c>
      <c r="AE38" s="10689" t="str">
        <f>IF(OR(AO28,NOT(AO32),AO35),"",MIN(AO38,ROUND(X37*AO36,0)))</f>
        <v/>
      </c>
      <c r="AF38" s="10690"/>
      <c r="AG38" s="10690"/>
      <c r="AH38" s="10690"/>
      <c r="AI38" s="10690"/>
      <c r="AJ38" s="10690"/>
      <c r="AK38" s="2013"/>
      <c r="AL38" s="226"/>
      <c r="AM38" s="226" t="s">
        <v>931</v>
      </c>
      <c r="AN38" s="253"/>
      <c r="AO38" s="4992">
        <f>IF(AND(File_Marr_Sep&lt;&gt;"",LivedApart),AO37/2,AO37)</f>
        <v>25000</v>
      </c>
      <c r="AP38" s="724"/>
      <c r="AQ38" s="10567" t="s">
        <v>6474</v>
      </c>
      <c r="AR38" s="9878"/>
      <c r="AS38" s="9878"/>
      <c r="AT38" s="9878"/>
      <c r="AU38" s="9878"/>
      <c r="AV38" s="10568"/>
      <c r="AW38" s="253"/>
      <c r="AX38" s="1640"/>
      <c r="AY38" s="658"/>
      <c r="AZ38" s="658"/>
      <c r="BA38" s="658"/>
      <c r="BB38" s="658"/>
      <c r="BC38" s="658"/>
      <c r="BD38" s="658"/>
      <c r="BE38" s="658"/>
      <c r="BF38" s="658"/>
      <c r="BG38" s="658"/>
      <c r="BH38"/>
      <c r="BI38"/>
    </row>
    <row r="39" spans="1:61" s="815" customFormat="1" ht="18" customHeight="1" thickBot="1">
      <c r="A39" s="2013"/>
      <c r="B39" s="380"/>
      <c r="C39" s="5002">
        <v>9</v>
      </c>
      <c r="D39" s="5003" t="s">
        <v>5006</v>
      </c>
      <c r="E39" s="2015"/>
      <c r="F39" s="380"/>
      <c r="G39" s="380"/>
      <c r="H39" s="380"/>
      <c r="I39" s="380"/>
      <c r="J39" s="380"/>
      <c r="K39" s="380"/>
      <c r="L39" s="380"/>
      <c r="M39" s="5003" t="s">
        <v>5007</v>
      </c>
      <c r="N39" s="5004"/>
      <c r="O39" s="5004"/>
      <c r="P39" s="5004"/>
      <c r="Q39" s="5004"/>
      <c r="R39" s="5004"/>
      <c r="S39" s="5004"/>
      <c r="T39" s="5004"/>
      <c r="U39" s="5004"/>
      <c r="V39" s="5004"/>
      <c r="W39" s="5004"/>
      <c r="X39" s="5004"/>
      <c r="Y39" s="1401" t="s">
        <v>1036</v>
      </c>
      <c r="Z39" s="10558" t="str">
        <f>IF(NOT(AO54),".   .   .   .   .   .   ","CRD = "&amp;AU60&amp;"  ")</f>
        <v xml:space="preserve">.   .   .   .   .   .   </v>
      </c>
      <c r="AA39" s="10558"/>
      <c r="AB39" s="10558"/>
      <c r="AC39" s="10559"/>
      <c r="AD39" s="5005">
        <v>9</v>
      </c>
      <c r="AE39" s="10714" t="str">
        <f>IF(AM39&lt;&gt;"",ROUND(AM39,0),IF(AO54,AU61,IF(OR(AO28,NOT(AO32)),"",IF(AO35,0,MIN(AE32,AE38)))))</f>
        <v/>
      </c>
      <c r="AF39" s="10715"/>
      <c r="AG39" s="10715"/>
      <c r="AH39" s="10715"/>
      <c r="AI39" s="10715"/>
      <c r="AJ39" s="10715"/>
      <c r="AK39" s="2013"/>
      <c r="AL39" s="512"/>
      <c r="AM39" s="1638"/>
      <c r="AN39" s="253"/>
      <c r="AO39" s="2741" t="b">
        <f>AND(AE16&gt;=0,PassiveIncomeLoss&lt;0)</f>
        <v>0</v>
      </c>
      <c r="AP39" s="724"/>
      <c r="AQ39" s="10569"/>
      <c r="AR39" s="10570"/>
      <c r="AS39" s="10570"/>
      <c r="AT39" s="10570"/>
      <c r="AU39" s="10570"/>
      <c r="AV39" s="10571"/>
      <c r="AW39" s="253"/>
      <c r="AX39" s="1640"/>
      <c r="AY39" s="658"/>
      <c r="AZ39" s="658"/>
      <c r="BA39" s="658"/>
      <c r="BB39" s="658"/>
      <c r="BC39" s="658"/>
      <c r="BD39" s="658"/>
      <c r="BE39" s="658"/>
      <c r="BF39" s="658"/>
      <c r="BG39" s="658"/>
      <c r="BH39"/>
      <c r="BI39"/>
    </row>
    <row r="40" spans="1:61" s="815" customFormat="1" ht="19.5" customHeight="1">
      <c r="A40" s="2013"/>
      <c r="B40" s="7865" t="s">
        <v>1938</v>
      </c>
      <c r="C40" s="7865"/>
      <c r="D40" s="3926"/>
      <c r="E40" s="5006" t="s">
        <v>3907</v>
      </c>
      <c r="F40" s="3927"/>
      <c r="G40" s="3927"/>
      <c r="H40" s="3927"/>
      <c r="I40" s="3927"/>
      <c r="J40" s="3927"/>
      <c r="K40" s="3927"/>
      <c r="L40" s="3927"/>
      <c r="M40" s="3927"/>
      <c r="N40" s="3927"/>
      <c r="O40" s="3927"/>
      <c r="P40" s="3927"/>
      <c r="Q40" s="3927"/>
      <c r="R40" s="3927"/>
      <c r="S40" s="3927"/>
      <c r="T40" s="3927"/>
      <c r="U40" s="3927"/>
      <c r="V40" s="3927"/>
      <c r="W40" s="3927"/>
      <c r="X40" s="3927"/>
      <c r="Y40" s="3927"/>
      <c r="Z40" s="3927"/>
      <c r="AA40" s="3927"/>
      <c r="AB40" s="3927"/>
      <c r="AC40" s="3927"/>
      <c r="AD40" s="3927"/>
      <c r="AE40" s="3927"/>
      <c r="AF40" s="3927"/>
      <c r="AG40" s="3927"/>
      <c r="AH40" s="3927"/>
      <c r="AI40" s="3927"/>
      <c r="AJ40" s="3927"/>
      <c r="AK40" s="2013"/>
      <c r="AL40" s="4477"/>
      <c r="AM40" s="4477"/>
      <c r="AN40" s="4477"/>
      <c r="AO40" s="5007" t="b">
        <f>NOT(AO39)</f>
        <v>1</v>
      </c>
      <c r="AP40" s="5007"/>
      <c r="AQ40" s="408"/>
      <c r="AR40" s="10557" t="s">
        <v>4882</v>
      </c>
      <c r="AS40" s="10557"/>
      <c r="AT40" s="10557"/>
      <c r="AU40" s="10557"/>
      <c r="AV40" s="5008"/>
      <c r="AW40" s="253"/>
      <c r="AX40" s="1640"/>
      <c r="AY40" s="658"/>
      <c r="AZ40" s="658"/>
      <c r="BA40" s="658"/>
      <c r="BB40" s="658"/>
      <c r="BC40" s="658"/>
      <c r="BD40" s="658"/>
      <c r="BE40" s="658"/>
      <c r="BF40" s="658"/>
      <c r="BG40" s="658"/>
      <c r="BH40"/>
      <c r="BI40"/>
    </row>
    <row r="41" spans="1:61" s="815" customFormat="1" ht="18" customHeight="1" thickBot="1">
      <c r="A41" s="2013"/>
      <c r="B41" s="253"/>
      <c r="C41" s="4242">
        <v>10</v>
      </c>
      <c r="D41" s="1323" t="s">
        <v>3908</v>
      </c>
      <c r="E41" s="511"/>
      <c r="F41" s="253"/>
      <c r="G41" s="253"/>
      <c r="H41" s="253"/>
      <c r="I41" s="253"/>
      <c r="J41" s="253"/>
      <c r="K41" s="253"/>
      <c r="L41" s="253"/>
      <c r="M41" s="253"/>
      <c r="N41" s="253"/>
      <c r="O41" s="253"/>
      <c r="P41" s="253"/>
      <c r="Q41" s="253"/>
      <c r="R41" s="253"/>
      <c r="S41" s="253"/>
      <c r="T41" s="253"/>
      <c r="U41" s="253"/>
      <c r="V41" s="253"/>
      <c r="W41" s="253"/>
      <c r="X41" s="253"/>
      <c r="Y41" s="253"/>
      <c r="Z41" s="253"/>
      <c r="AA41" s="253"/>
      <c r="AB41" s="253"/>
      <c r="AC41" s="1657" t="s">
        <v>647</v>
      </c>
      <c r="AD41" s="4456">
        <v>10</v>
      </c>
      <c r="AE41" s="10678" t="str">
        <f>IF(AO21,"",SUM(X13,X18))</f>
        <v/>
      </c>
      <c r="AF41" s="10679"/>
      <c r="AG41" s="10679"/>
      <c r="AH41" s="10679"/>
      <c r="AI41" s="10679"/>
      <c r="AJ41" s="10679"/>
      <c r="AK41" s="2013"/>
      <c r="AL41" s="253"/>
      <c r="AM41" s="253"/>
      <c r="AN41" s="253"/>
      <c r="AO41" s="4991"/>
      <c r="AP41" s="4991"/>
      <c r="AQ41" s="5009"/>
      <c r="AR41" s="10557"/>
      <c r="AS41" s="10557"/>
      <c r="AT41" s="10557"/>
      <c r="AU41" s="10557"/>
      <c r="AV41" s="5010"/>
      <c r="AW41" s="4477"/>
      <c r="AX41" s="1640"/>
      <c r="AY41" s="658"/>
      <c r="AZ41" s="658"/>
      <c r="BA41" s="658"/>
      <c r="BB41" s="658"/>
      <c r="BC41" s="658"/>
      <c r="BD41" s="658"/>
      <c r="BE41" s="658"/>
      <c r="BF41" s="658"/>
      <c r="BG41" s="658"/>
      <c r="BH41"/>
      <c r="BI41"/>
    </row>
    <row r="42" spans="1:61" s="815" customFormat="1" ht="18" customHeight="1">
      <c r="A42" s="2013"/>
      <c r="B42" s="253"/>
      <c r="C42" s="2917" t="s">
        <v>248</v>
      </c>
      <c r="D42" s="514" t="str">
        <f>"Total losses allowed from all passive activities for "&amp;TaxYear&amp;"."</f>
        <v>Total losses allowed from all passive activities for 2025.</v>
      </c>
      <c r="E42" s="511"/>
      <c r="F42" s="253"/>
      <c r="G42" s="253"/>
      <c r="H42" s="253"/>
      <c r="I42" s="253"/>
      <c r="J42" s="253"/>
      <c r="K42" s="253"/>
      <c r="L42" s="253"/>
      <c r="M42" s="253"/>
      <c r="N42" s="253"/>
      <c r="O42" s="253"/>
      <c r="P42" s="344"/>
      <c r="Q42" s="344"/>
      <c r="R42" s="511"/>
      <c r="S42" s="1323" t="s">
        <v>6480</v>
      </c>
      <c r="T42" s="253"/>
      <c r="U42" s="253"/>
      <c r="V42" s="253"/>
      <c r="W42" s="253"/>
      <c r="X42" s="253"/>
      <c r="Y42" s="253"/>
      <c r="Z42" s="253"/>
      <c r="AA42" s="253"/>
      <c r="AB42" s="253"/>
      <c r="AC42" s="253"/>
      <c r="AD42" s="2924"/>
      <c r="AE42" s="3877"/>
      <c r="AF42" s="512"/>
      <c r="AG42" s="512"/>
      <c r="AH42" s="512"/>
      <c r="AI42" s="512"/>
      <c r="AJ42" s="512"/>
      <c r="AK42" s="2013"/>
      <c r="AL42" s="253"/>
      <c r="AM42" s="253"/>
      <c r="AN42" s="253"/>
      <c r="AO42" s="724"/>
      <c r="AP42" s="724"/>
      <c r="AQ42" s="5009"/>
      <c r="AR42" s="10557"/>
      <c r="AS42" s="10557"/>
      <c r="AT42" s="10557"/>
      <c r="AU42" s="10557"/>
      <c r="AV42" s="5010"/>
      <c r="AW42" s="253"/>
      <c r="AX42" s="1640"/>
      <c r="AY42" s="658"/>
      <c r="AZ42" s="658"/>
      <c r="BA42" s="658"/>
      <c r="BB42" s="658"/>
      <c r="BC42" s="658"/>
      <c r="BD42" s="658"/>
      <c r="BE42" s="658"/>
      <c r="BF42" s="658"/>
      <c r="BG42" s="658"/>
      <c r="BH42"/>
      <c r="BI42"/>
    </row>
    <row r="43" spans="1:61" s="815" customFormat="1" ht="18" customHeight="1" thickBot="1">
      <c r="A43" s="2013"/>
      <c r="B43" s="380"/>
      <c r="C43" s="4504"/>
      <c r="D43" s="5003" t="s">
        <v>6479</v>
      </c>
      <c r="E43" s="2015"/>
      <c r="F43" s="380"/>
      <c r="G43" s="380"/>
      <c r="H43" s="380"/>
      <c r="I43" s="380"/>
      <c r="J43" s="380"/>
      <c r="K43" s="380"/>
      <c r="L43" s="380"/>
      <c r="M43" s="380"/>
      <c r="N43" s="380"/>
      <c r="O43" s="380"/>
      <c r="P43" s="380"/>
      <c r="Q43" s="380"/>
      <c r="R43" s="380"/>
      <c r="S43" s="380"/>
      <c r="T43" s="380"/>
      <c r="U43" s="380"/>
      <c r="V43" s="380"/>
      <c r="W43" s="380"/>
      <c r="X43" s="380"/>
      <c r="Y43" s="380"/>
      <c r="Z43" s="380"/>
      <c r="AA43" s="380"/>
      <c r="AB43" s="380"/>
      <c r="AC43" s="1657" t="s">
        <v>1877</v>
      </c>
      <c r="AD43" s="5005">
        <v>11</v>
      </c>
      <c r="AE43" s="10714" t="str">
        <f>IF(AO21,"",SUM(AE39,AE41))</f>
        <v/>
      </c>
      <c r="AF43" s="10715"/>
      <c r="AG43" s="10715"/>
      <c r="AH43" s="10715"/>
      <c r="AI43" s="10715"/>
      <c r="AJ43" s="10715"/>
      <c r="AK43" s="2013"/>
      <c r="AL43" s="4477"/>
      <c r="AM43" s="4477"/>
      <c r="AN43" s="4477"/>
      <c r="AO43" s="5007"/>
      <c r="AP43" s="5007"/>
      <c r="AQ43" s="5009"/>
      <c r="AR43" s="10557"/>
      <c r="AS43" s="10557"/>
      <c r="AT43" s="10557"/>
      <c r="AU43" s="10557"/>
      <c r="AV43" s="5010"/>
      <c r="AW43" s="253"/>
      <c r="AX43" s="1640"/>
      <c r="AY43" s="658"/>
      <c r="AZ43" s="658"/>
      <c r="BA43" s="658"/>
      <c r="BB43" s="658"/>
      <c r="BC43" s="658"/>
      <c r="BD43" s="658"/>
      <c r="BE43" s="658"/>
      <c r="BF43" s="658"/>
      <c r="BG43" s="658"/>
      <c r="BH43"/>
      <c r="BI43"/>
    </row>
    <row r="44" spans="1:61" s="815" customFormat="1" ht="19.5" customHeight="1">
      <c r="A44" s="2013"/>
      <c r="B44" s="7865" t="s">
        <v>2102</v>
      </c>
      <c r="C44" s="7865"/>
      <c r="D44" s="4490"/>
      <c r="E44" s="4491" t="s">
        <v>3909</v>
      </c>
      <c r="F44" s="377"/>
      <c r="G44" s="377"/>
      <c r="H44" s="377"/>
      <c r="I44" s="377"/>
      <c r="J44" s="377"/>
      <c r="K44" s="377"/>
      <c r="L44" s="377"/>
      <c r="M44" s="377"/>
      <c r="N44" s="377"/>
      <c r="O44" s="377"/>
      <c r="P44" s="377"/>
      <c r="Q44" s="377"/>
      <c r="R44" s="377"/>
      <c r="S44" s="377"/>
      <c r="T44" s="377"/>
      <c r="U44" s="377"/>
      <c r="V44" s="377"/>
      <c r="W44" s="377"/>
      <c r="X44" s="377"/>
      <c r="Y44" s="377"/>
      <c r="Z44" s="377"/>
      <c r="AA44" s="377"/>
      <c r="AB44" s="377"/>
      <c r="AC44" s="377"/>
      <c r="AD44" s="377"/>
      <c r="AE44" s="377"/>
      <c r="AF44" s="377"/>
      <c r="AG44" s="377"/>
      <c r="AH44" s="377"/>
      <c r="AI44" s="377"/>
      <c r="AJ44" s="377"/>
      <c r="AK44" s="2013"/>
      <c r="AL44" s="4479"/>
      <c r="AM44" s="226"/>
      <c r="AN44" s="4477"/>
      <c r="AO44" s="5007"/>
      <c r="AP44" s="5007"/>
      <c r="AQ44" s="5009"/>
      <c r="AR44" s="10557"/>
      <c r="AS44" s="10557"/>
      <c r="AT44" s="10557"/>
      <c r="AU44" s="10557"/>
      <c r="AV44" s="5011"/>
      <c r="AW44" s="4477"/>
      <c r="AX44" s="1640"/>
      <c r="AY44" s="658"/>
      <c r="AZ44" s="658"/>
      <c r="BA44" s="658"/>
      <c r="BB44" s="658"/>
      <c r="BC44" s="658"/>
      <c r="BD44" s="658"/>
      <c r="BE44" s="658"/>
      <c r="BF44" s="658"/>
      <c r="BG44" s="658"/>
      <c r="BH44"/>
      <c r="BI44"/>
    </row>
    <row r="45" spans="1:61" ht="16.5" customHeight="1">
      <c r="A45" s="2013"/>
      <c r="B45" s="10550" t="s">
        <v>3910</v>
      </c>
      <c r="C45" s="10550"/>
      <c r="D45" s="10550"/>
      <c r="E45" s="10550"/>
      <c r="F45" s="10550"/>
      <c r="G45" s="10550"/>
      <c r="H45" s="10550"/>
      <c r="I45" s="10550"/>
      <c r="J45" s="10550"/>
      <c r="K45" s="10550"/>
      <c r="L45" s="10550"/>
      <c r="M45" s="10551"/>
      <c r="N45" s="10576" t="s">
        <v>3911</v>
      </c>
      <c r="O45" s="10550"/>
      <c r="P45" s="10550"/>
      <c r="Q45" s="10550"/>
      <c r="R45" s="10550"/>
      <c r="S45" s="10550"/>
      <c r="T45" s="10550"/>
      <c r="U45" s="10551"/>
      <c r="V45" s="10576" t="s">
        <v>3912</v>
      </c>
      <c r="W45" s="10550"/>
      <c r="X45" s="10550"/>
      <c r="Y45" s="10550"/>
      <c r="Z45" s="10551"/>
      <c r="AA45" s="10576" t="s">
        <v>3913</v>
      </c>
      <c r="AB45" s="10550"/>
      <c r="AC45" s="10550"/>
      <c r="AD45" s="10550"/>
      <c r="AE45" s="10550"/>
      <c r="AF45" s="10550"/>
      <c r="AG45" s="10550"/>
      <c r="AH45" s="10550"/>
      <c r="AI45" s="10550"/>
      <c r="AJ45" s="10550"/>
      <c r="AK45" s="2013"/>
      <c r="AL45" s="253"/>
      <c r="AM45" s="253"/>
      <c r="AN45" s="253"/>
      <c r="AO45" s="724"/>
      <c r="AP45" s="724"/>
      <c r="AQ45" s="10572" t="s">
        <v>4867</v>
      </c>
      <c r="AR45" s="10573"/>
      <c r="AS45" s="10573"/>
      <c r="AT45" s="10573"/>
      <c r="AU45" s="10573"/>
      <c r="AV45" s="10574"/>
      <c r="AW45" s="4477"/>
      <c r="BH45" s="421"/>
      <c r="BI45" s="421"/>
    </row>
    <row r="46" spans="1:61" ht="16.5" customHeight="1">
      <c r="A46" s="2013"/>
      <c r="B46" s="10552"/>
      <c r="C46" s="10552"/>
      <c r="D46" s="10552"/>
      <c r="E46" s="10552"/>
      <c r="F46" s="10552"/>
      <c r="G46" s="10552"/>
      <c r="H46" s="10552"/>
      <c r="I46" s="10552"/>
      <c r="J46" s="10552"/>
      <c r="K46" s="10552"/>
      <c r="L46" s="10552"/>
      <c r="M46" s="10553"/>
      <c r="N46" s="10577"/>
      <c r="O46" s="10554"/>
      <c r="P46" s="10554"/>
      <c r="Q46" s="10554"/>
      <c r="R46" s="10554"/>
      <c r="S46" s="10554"/>
      <c r="T46" s="10554"/>
      <c r="U46" s="10555"/>
      <c r="V46" s="10577"/>
      <c r="W46" s="10554"/>
      <c r="X46" s="10554"/>
      <c r="Y46" s="10554"/>
      <c r="Z46" s="10555"/>
      <c r="AA46" s="10577"/>
      <c r="AB46" s="10554"/>
      <c r="AC46" s="10554"/>
      <c r="AD46" s="10554"/>
      <c r="AE46" s="10554"/>
      <c r="AF46" s="10554"/>
      <c r="AG46" s="10554"/>
      <c r="AH46" s="10554"/>
      <c r="AI46" s="10554"/>
      <c r="AJ46" s="10554"/>
      <c r="AK46" s="2013"/>
      <c r="AL46" s="253"/>
      <c r="AM46" s="226" t="s">
        <v>4842</v>
      </c>
      <c r="AN46" s="253"/>
      <c r="AO46" s="724"/>
      <c r="AP46" s="724"/>
      <c r="AQ46" s="408"/>
      <c r="AR46" s="349" t="s">
        <v>2043</v>
      </c>
      <c r="AS46" s="6556" t="str">
        <f>"Enter "&amp;TEXT(AO38,"$0,000")&amp;"* reduced by the amount, if"</f>
        <v>Enter $25,000* reduced by the amount, if</v>
      </c>
      <c r="AT46" s="253"/>
      <c r="AU46" s="5012"/>
      <c r="AV46" s="409"/>
      <c r="AW46" s="253"/>
      <c r="BH46" s="421"/>
      <c r="BI46" s="421"/>
    </row>
    <row r="47" spans="1:61" ht="16.5" customHeight="1">
      <c r="A47" s="2013"/>
      <c r="B47" s="10552"/>
      <c r="C47" s="10552"/>
      <c r="D47" s="10552"/>
      <c r="E47" s="10552"/>
      <c r="F47" s="10552"/>
      <c r="G47" s="10552"/>
      <c r="H47" s="10552"/>
      <c r="I47" s="10552"/>
      <c r="J47" s="10552"/>
      <c r="K47" s="10552"/>
      <c r="L47" s="10552"/>
      <c r="M47" s="10553"/>
      <c r="N47" s="10654" t="s">
        <v>4818</v>
      </c>
      <c r="O47" s="10655"/>
      <c r="P47" s="10655"/>
      <c r="Q47" s="10656"/>
      <c r="R47" s="10654" t="s">
        <v>4816</v>
      </c>
      <c r="S47" s="10655"/>
      <c r="T47" s="10655"/>
      <c r="U47" s="10656"/>
      <c r="V47" s="10578" t="s">
        <v>4817</v>
      </c>
      <c r="W47" s="10579"/>
      <c r="X47" s="10579"/>
      <c r="Y47" s="10579"/>
      <c r="Z47" s="10580"/>
      <c r="AA47" s="10705" t="s">
        <v>3914</v>
      </c>
      <c r="AB47" s="10699"/>
      <c r="AC47" s="10699"/>
      <c r="AD47" s="10699"/>
      <c r="AE47" s="10706"/>
      <c r="AF47" s="10705" t="s">
        <v>3915</v>
      </c>
      <c r="AG47" s="10699"/>
      <c r="AH47" s="10699"/>
      <c r="AI47" s="10699"/>
      <c r="AJ47" s="10699"/>
      <c r="AK47" s="2013"/>
      <c r="AL47" s="253"/>
      <c r="AM47" s="226" t="s">
        <v>979</v>
      </c>
      <c r="AN47" s="253"/>
      <c r="AO47" s="724"/>
      <c r="AP47" s="724"/>
      <c r="AQ47" s="5013"/>
      <c r="AR47" s="5014"/>
      <c r="AS47" s="5015" t="s">
        <v>4877</v>
      </c>
      <c r="AT47" s="1401" t="s">
        <v>2043</v>
      </c>
      <c r="AU47" s="1639" t="str">
        <f>IF(AO40,"",SUM(AU65,-MIN(AE32,AE38)))</f>
        <v/>
      </c>
      <c r="AV47" s="409"/>
      <c r="AW47" s="253"/>
      <c r="BH47" s="421"/>
      <c r="BI47" s="421"/>
    </row>
    <row r="48" spans="1:61" ht="16.5" customHeight="1" thickBot="1">
      <c r="A48" s="2013"/>
      <c r="B48" s="10554"/>
      <c r="C48" s="10554"/>
      <c r="D48" s="10554"/>
      <c r="E48" s="10554"/>
      <c r="F48" s="10554"/>
      <c r="G48" s="10554"/>
      <c r="H48" s="10554"/>
      <c r="I48" s="10554"/>
      <c r="J48" s="10554"/>
      <c r="K48" s="10554"/>
      <c r="L48" s="10554"/>
      <c r="M48" s="10555"/>
      <c r="N48" s="10657"/>
      <c r="O48" s="10658"/>
      <c r="P48" s="10658"/>
      <c r="Q48" s="10659"/>
      <c r="R48" s="10657"/>
      <c r="S48" s="10658"/>
      <c r="T48" s="10658"/>
      <c r="U48" s="10659"/>
      <c r="V48" s="10581"/>
      <c r="W48" s="10582"/>
      <c r="X48" s="10582"/>
      <c r="Y48" s="10582"/>
      <c r="Z48" s="10583"/>
      <c r="AA48" s="10707"/>
      <c r="AB48" s="10701"/>
      <c r="AC48" s="10701"/>
      <c r="AD48" s="10701"/>
      <c r="AE48" s="10708"/>
      <c r="AF48" s="10707"/>
      <c r="AG48" s="10701"/>
      <c r="AH48" s="10701"/>
      <c r="AI48" s="10701"/>
      <c r="AJ48" s="10701"/>
      <c r="AK48" s="2013"/>
      <c r="AL48" s="253"/>
      <c r="AM48" s="226" t="s">
        <v>931</v>
      </c>
      <c r="AN48" s="253"/>
      <c r="AO48" s="724"/>
      <c r="AP48" s="724"/>
      <c r="AQ48" s="566"/>
      <c r="AR48" s="349"/>
      <c r="AS48" s="5016" t="s">
        <v>4878</v>
      </c>
      <c r="AT48" s="5017"/>
      <c r="AU48" s="5018"/>
      <c r="AV48" s="409"/>
      <c r="AW48" s="253"/>
      <c r="BH48" s="421"/>
      <c r="BI48" s="421"/>
    </row>
    <row r="49" spans="1:62" ht="18" customHeight="1" thickBot="1">
      <c r="A49" s="2013"/>
      <c r="B49" s="10178"/>
      <c r="C49" s="10178"/>
      <c r="D49" s="10178"/>
      <c r="E49" s="10178"/>
      <c r="F49" s="10178"/>
      <c r="G49" s="10178"/>
      <c r="H49" s="10178"/>
      <c r="I49" s="10178"/>
      <c r="J49" s="10178"/>
      <c r="K49" s="10178"/>
      <c r="L49" s="10178"/>
      <c r="M49" s="10179"/>
      <c r="N49" s="10560"/>
      <c r="O49" s="10561"/>
      <c r="P49" s="10561"/>
      <c r="Q49" s="10562"/>
      <c r="R49" s="10560"/>
      <c r="S49" s="10561"/>
      <c r="T49" s="10561"/>
      <c r="U49" s="10562"/>
      <c r="V49" s="10560"/>
      <c r="W49" s="10561"/>
      <c r="X49" s="10561"/>
      <c r="Y49" s="10561"/>
      <c r="Z49" s="10562"/>
      <c r="AA49" s="10563" t="str">
        <f>IF(AND(AM49&lt;&gt;"",AM49&gt;0),ROUND(AM49,0),IF(AND(AM49&lt;&gt;"",AM49&lt;0),"",IF(SUM(N49,-R49,-V49)&gt;0,SUM(N49,-R49,-V49),"")))</f>
        <v/>
      </c>
      <c r="AB49" s="10564"/>
      <c r="AC49" s="10564"/>
      <c r="AD49" s="10564"/>
      <c r="AE49" s="10565"/>
      <c r="AF49" s="10563" t="str">
        <f>IF(AND(AM49&lt;&gt;"",AM49&lt;0),-ROUND(AM49,0),IF(AND(AM49&lt;&gt;"",AM49&gt;0),"",IF(SUM(N49,-R49,-V49)&lt;0,-SUM(N49,-R49,-V49),"")))</f>
        <v/>
      </c>
      <c r="AG49" s="10564"/>
      <c r="AH49" s="10564"/>
      <c r="AI49" s="10564"/>
      <c r="AJ49" s="10564"/>
      <c r="AK49" s="2013"/>
      <c r="AL49" s="253"/>
      <c r="AM49" s="6990"/>
      <c r="AN49" s="253"/>
      <c r="AO49" s="724"/>
      <c r="AP49" s="724"/>
      <c r="AQ49" s="566"/>
      <c r="AR49" s="349" t="s">
        <v>2046</v>
      </c>
      <c r="AS49" s="2063" t="s">
        <v>4868</v>
      </c>
      <c r="AT49" s="1401" t="s">
        <v>2046</v>
      </c>
      <c r="AU49" s="1639" t="str">
        <f>IF(AO40,"",IF(PassiveIncomeLoss&lt;0,-PassiveIncomeLoss,0))</f>
        <v/>
      </c>
      <c r="AV49" s="4978"/>
      <c r="AW49" s="253"/>
    </row>
    <row r="50" spans="1:62" ht="18" customHeight="1" thickBot="1">
      <c r="A50" s="2013"/>
      <c r="B50" s="10178"/>
      <c r="C50" s="10178"/>
      <c r="D50" s="10178"/>
      <c r="E50" s="10178"/>
      <c r="F50" s="10178"/>
      <c r="G50" s="10178"/>
      <c r="H50" s="10178"/>
      <c r="I50" s="10178"/>
      <c r="J50" s="10178"/>
      <c r="K50" s="10178"/>
      <c r="L50" s="10178"/>
      <c r="M50" s="10179"/>
      <c r="N50" s="10560"/>
      <c r="O50" s="10561"/>
      <c r="P50" s="10561"/>
      <c r="Q50" s="10562"/>
      <c r="R50" s="10560"/>
      <c r="S50" s="10561"/>
      <c r="T50" s="10561"/>
      <c r="U50" s="10562"/>
      <c r="V50" s="10560"/>
      <c r="W50" s="10561"/>
      <c r="X50" s="10561"/>
      <c r="Y50" s="10561"/>
      <c r="Z50" s="10562"/>
      <c r="AA50" s="10563" t="str">
        <f>IF(AND(AM50&lt;&gt;"",AM50&gt;0),ROUND(AM50,0),IF(AND(AM50&lt;&gt;"",AM50&lt;0),"",IF(SUM(N50,-R50,-V50)&gt;0,SUM(N50,-R50,-V50),"")))</f>
        <v/>
      </c>
      <c r="AB50" s="10564"/>
      <c r="AC50" s="10564"/>
      <c r="AD50" s="10564"/>
      <c r="AE50" s="10565"/>
      <c r="AF50" s="10563" t="str">
        <f>IF(AND(AM50&lt;&gt;"",AM50&lt;0),-ROUND(AM50,0),IF(AND(AM50&lt;&gt;"",AM50&gt;0),"",IF(SUM(N50,-R50,-V50)&lt;0,-SUM(N50,-R50,-V50),"")))</f>
        <v/>
      </c>
      <c r="AG50" s="10564"/>
      <c r="AH50" s="10564"/>
      <c r="AI50" s="10564"/>
      <c r="AJ50" s="10564"/>
      <c r="AK50" s="2013"/>
      <c r="AL50" s="4477"/>
      <c r="AM50" s="6990"/>
      <c r="AN50" s="4477"/>
      <c r="AO50" s="5007"/>
      <c r="AP50" s="724"/>
      <c r="AQ50" s="566"/>
      <c r="AR50" s="344"/>
      <c r="AS50" s="2063"/>
      <c r="AT50" s="344"/>
      <c r="AU50" s="253"/>
      <c r="AV50" s="4978"/>
      <c r="AW50" s="253"/>
    </row>
    <row r="51" spans="1:62" ht="18" customHeight="1" thickBot="1">
      <c r="A51" s="2013"/>
      <c r="B51" s="10178"/>
      <c r="C51" s="10178"/>
      <c r="D51" s="10178"/>
      <c r="E51" s="10178"/>
      <c r="F51" s="10178"/>
      <c r="G51" s="10178"/>
      <c r="H51" s="10178"/>
      <c r="I51" s="10178"/>
      <c r="J51" s="10178"/>
      <c r="K51" s="10178"/>
      <c r="L51" s="10178"/>
      <c r="M51" s="10179"/>
      <c r="N51" s="10560"/>
      <c r="O51" s="10561"/>
      <c r="P51" s="10561"/>
      <c r="Q51" s="10562"/>
      <c r="R51" s="10560"/>
      <c r="S51" s="10561"/>
      <c r="T51" s="10561"/>
      <c r="U51" s="10562"/>
      <c r="V51" s="10560"/>
      <c r="W51" s="10561"/>
      <c r="X51" s="10561"/>
      <c r="Y51" s="10561"/>
      <c r="Z51" s="10562"/>
      <c r="AA51" s="10563" t="str">
        <f>IF(AND(AM51&lt;&gt;"",AM51&gt;0),ROUND(AM51,0),IF(AND(AM51&lt;&gt;"",AM51&lt;0),"",IF(SUM(N51,-R51,-V51)&gt;0,SUM(N51,-R51,-V51),"")))</f>
        <v/>
      </c>
      <c r="AB51" s="10564"/>
      <c r="AC51" s="10564"/>
      <c r="AD51" s="10564"/>
      <c r="AE51" s="10565"/>
      <c r="AF51" s="10563" t="str">
        <f>IF(AND(AM51&lt;&gt;"",AM51&lt;0),-ROUND(AM51,0),IF(AND(AM51&lt;&gt;"",AM51&gt;0),"",IF(SUM(N51,-R51,-V51)&lt;0,-SUM(N51,-R51,-V51),"")))</f>
        <v/>
      </c>
      <c r="AG51" s="10564"/>
      <c r="AH51" s="10564"/>
      <c r="AI51" s="10564"/>
      <c r="AJ51" s="10564"/>
      <c r="AK51" s="2013"/>
      <c r="AL51" s="4477"/>
      <c r="AM51" s="6990"/>
      <c r="AN51" s="4477"/>
      <c r="AO51" s="5007"/>
      <c r="AP51" s="5007"/>
      <c r="AQ51" s="566"/>
      <c r="AR51" s="349" t="s">
        <v>2049</v>
      </c>
      <c r="AS51" s="5016" t="s">
        <v>4870</v>
      </c>
      <c r="AT51" s="1061" t="str">
        <f>IF(MIN(AE32,AE38)=AE32,"Part II, line 4 &gt;","Part II, line 8 &gt;")</f>
        <v>Part II, line 8 &gt;</v>
      </c>
      <c r="AU51" s="1639" t="str">
        <f>IF(AO40,"",MIN(AE32,AE38))</f>
        <v/>
      </c>
      <c r="AV51" s="409"/>
      <c r="AW51" s="253"/>
    </row>
    <row r="52" spans="1:62" ht="18" customHeight="1" thickBot="1">
      <c r="A52" s="2013"/>
      <c r="B52" s="10178"/>
      <c r="C52" s="10178"/>
      <c r="D52" s="10178"/>
      <c r="E52" s="10178"/>
      <c r="F52" s="10178"/>
      <c r="G52" s="10178"/>
      <c r="H52" s="10178"/>
      <c r="I52" s="10178"/>
      <c r="J52" s="10178"/>
      <c r="K52" s="10178"/>
      <c r="L52" s="10178"/>
      <c r="M52" s="10179"/>
      <c r="N52" s="10560"/>
      <c r="O52" s="10561"/>
      <c r="P52" s="10561"/>
      <c r="Q52" s="10562"/>
      <c r="R52" s="10560"/>
      <c r="S52" s="10561"/>
      <c r="T52" s="10561"/>
      <c r="U52" s="10562"/>
      <c r="V52" s="10560"/>
      <c r="W52" s="10561"/>
      <c r="X52" s="10561"/>
      <c r="Y52" s="10561"/>
      <c r="Z52" s="10562"/>
      <c r="AA52" s="10563" t="str">
        <f>IF(AND(AM52&lt;&gt;"",AM52&gt;0),ROUND(AM52,0),IF(AND(AM52&lt;&gt;"",AM52&lt;0),"",IF(SUM(N52,-R52,-V52)&gt;0,SUM(N52,-R52,-V52),"")))</f>
        <v/>
      </c>
      <c r="AB52" s="10564"/>
      <c r="AC52" s="10564"/>
      <c r="AD52" s="10564"/>
      <c r="AE52" s="10565"/>
      <c r="AF52" s="10563" t="str">
        <f>IF(AND(AM52&lt;&gt;"",AM52&lt;0),-ROUND(AM52,0),IF(AND(AM52&lt;&gt;"",AM52&gt;0),"",IF(SUM(N52,-R52,-V52)&lt;0,-SUM(N52,-R52,-V52),"")))</f>
        <v/>
      </c>
      <c r="AG52" s="10564"/>
      <c r="AH52" s="10564"/>
      <c r="AI52" s="10564"/>
      <c r="AJ52" s="10564"/>
      <c r="AK52" s="2013"/>
      <c r="AL52" s="4477"/>
      <c r="AM52" s="6990"/>
      <c r="AN52" s="4477"/>
      <c r="AO52" s="5007"/>
      <c r="AP52" s="5007"/>
      <c r="AQ52" s="408"/>
      <c r="AR52" s="253"/>
      <c r="AS52" s="5016" t="s">
        <v>4869</v>
      </c>
      <c r="AT52" s="1401" t="s">
        <v>2049</v>
      </c>
      <c r="AU52" s="1639" t="str">
        <f>IF(AO40,"",SUM(AU49,-AU51))</f>
        <v/>
      </c>
      <c r="AV52" s="409"/>
      <c r="AW52" s="253"/>
    </row>
    <row r="53" spans="1:62" ht="18" customHeight="1" thickBot="1">
      <c r="A53" s="2013"/>
      <c r="B53" s="10636"/>
      <c r="C53" s="10636"/>
      <c r="D53" s="10636"/>
      <c r="E53" s="10636"/>
      <c r="F53" s="10636"/>
      <c r="G53" s="10636"/>
      <c r="H53" s="10636"/>
      <c r="I53" s="10636"/>
      <c r="J53" s="10636"/>
      <c r="K53" s="10636"/>
      <c r="L53" s="10636"/>
      <c r="M53" s="10637"/>
      <c r="N53" s="10665"/>
      <c r="O53" s="10666"/>
      <c r="P53" s="10666"/>
      <c r="Q53" s="10667"/>
      <c r="R53" s="10665"/>
      <c r="S53" s="10666"/>
      <c r="T53" s="10666"/>
      <c r="U53" s="10667"/>
      <c r="V53" s="10665"/>
      <c r="W53" s="10666"/>
      <c r="X53" s="10666"/>
      <c r="Y53" s="10666"/>
      <c r="Z53" s="10667"/>
      <c r="AA53" s="10563" t="str">
        <f>IF(AND(AM53&lt;&gt;"",AM53&gt;0),ROUND(AM53,0),IF(AND(AM53&lt;&gt;"",AM53&lt;0),"",IF(SUM(N53,-R53,-V53)&gt;0,SUM(N53,-R53,-V53),"")))</f>
        <v/>
      </c>
      <c r="AB53" s="10564"/>
      <c r="AC53" s="10564"/>
      <c r="AD53" s="10564"/>
      <c r="AE53" s="10565"/>
      <c r="AF53" s="10563" t="str">
        <f>IF(AND(AM53&lt;&gt;"",AM53&lt;0),-ROUND(AM53,0),IF(AND(AM53&lt;&gt;"",AM53&gt;0),"",IF(SUM(N53,-R53,-V53)&lt;0,-SUM(N53,-R53,-V53),"")))</f>
        <v/>
      </c>
      <c r="AG53" s="10564"/>
      <c r="AH53" s="10564"/>
      <c r="AI53" s="10564"/>
      <c r="AJ53" s="10564"/>
      <c r="AK53" s="2013"/>
      <c r="AL53" s="817"/>
      <c r="AM53" s="6990"/>
      <c r="AN53" s="253"/>
      <c r="AO53" s="724"/>
      <c r="AP53" s="5007"/>
      <c r="AQ53" s="566"/>
      <c r="AR53" s="344"/>
      <c r="AS53" s="2063"/>
      <c r="AT53" s="344"/>
      <c r="AU53" s="253"/>
      <c r="AV53" s="409"/>
      <c r="AW53" s="253"/>
    </row>
    <row r="54" spans="1:62" ht="18.75" customHeight="1">
      <c r="A54" s="2013"/>
      <c r="B54" s="377"/>
      <c r="C54" s="5019"/>
      <c r="D54" s="5019"/>
      <c r="E54" s="5019"/>
      <c r="F54" s="5019"/>
      <c r="G54" s="5019"/>
      <c r="H54" s="5019"/>
      <c r="I54" s="5019"/>
      <c r="J54" s="5019"/>
      <c r="K54" s="5019"/>
      <c r="L54" s="5019"/>
      <c r="M54" s="5019"/>
      <c r="N54" s="10726">
        <f>SUM(ROUND(N49,0),ROUND(N50,0),ROUND(N51,0),ROUND(N52,0),ROUND(N53,0))</f>
        <v>0</v>
      </c>
      <c r="O54" s="10727"/>
      <c r="P54" s="10727"/>
      <c r="Q54" s="10728"/>
      <c r="R54" s="10729">
        <f>SUM(ROUND(R49,0),ROUND(R50,0),ROUND(R51,0),ROUND(R52,0),ROUND(R53,0))</f>
        <v>0</v>
      </c>
      <c r="S54" s="10730"/>
      <c r="T54" s="10730"/>
      <c r="U54" s="10731"/>
      <c r="V54" s="10729">
        <f>SUM(ROUND(V49,0),ROUND(V50,0),ROUND(V51,0),ROUND(V52,0),ROUND(V53,0))</f>
        <v>0</v>
      </c>
      <c r="W54" s="10730"/>
      <c r="X54" s="10730"/>
      <c r="Y54" s="10730"/>
      <c r="Z54" s="10731"/>
      <c r="AA54" s="10716"/>
      <c r="AB54" s="10717"/>
      <c r="AC54" s="10717"/>
      <c r="AD54" s="10717"/>
      <c r="AE54" s="10718"/>
      <c r="AF54" s="10716"/>
      <c r="AG54" s="10717"/>
      <c r="AH54" s="10717"/>
      <c r="AI54" s="10717"/>
      <c r="AJ54" s="10717"/>
      <c r="AK54" s="2013"/>
      <c r="AL54" s="817"/>
      <c r="AM54" s="2868"/>
      <c r="AN54" s="253"/>
      <c r="AO54" s="2741" t="b">
        <f>AU55&lt;&gt;""</f>
        <v>0</v>
      </c>
      <c r="AP54" s="724"/>
      <c r="AQ54" s="566"/>
      <c r="AR54" s="349" t="s">
        <v>2052</v>
      </c>
      <c r="AS54" s="5016" t="s">
        <v>4879</v>
      </c>
      <c r="AT54" s="1799" t="s">
        <v>4881</v>
      </c>
      <c r="AU54" s="253"/>
      <c r="AV54" s="409"/>
      <c r="AW54" s="253"/>
      <c r="BJ54" s="579"/>
    </row>
    <row r="55" spans="1:62" ht="18.75" customHeight="1" thickBot="1">
      <c r="A55" s="2013"/>
      <c r="B55" s="5020" t="s">
        <v>3916</v>
      </c>
      <c r="C55" s="5021"/>
      <c r="D55" s="5021"/>
      <c r="E55" s="5021"/>
      <c r="F55" s="5021"/>
      <c r="G55" s="5021"/>
      <c r="H55" s="5021"/>
      <c r="I55" s="5021"/>
      <c r="J55" s="5021"/>
      <c r="K55" s="5021"/>
      <c r="L55" s="5021"/>
      <c r="M55" s="5021"/>
      <c r="N55" s="10541" t="str">
        <f>IF(OR(N54=0,ISERROR(N54)),"",N54)</f>
        <v/>
      </c>
      <c r="O55" s="10542"/>
      <c r="P55" s="10542"/>
      <c r="Q55" s="10543"/>
      <c r="R55" s="10541" t="str">
        <f>IF(OR(R54=0,ISERROR(R54)),"",R54)</f>
        <v/>
      </c>
      <c r="S55" s="10542"/>
      <c r="T55" s="10542"/>
      <c r="U55" s="10543"/>
      <c r="V55" s="10541" t="str">
        <f>IF(OR(V54=0,ISERROR(V54)),"",V54)</f>
        <v/>
      </c>
      <c r="W55" s="10542"/>
      <c r="X55" s="10542"/>
      <c r="Y55" s="10542"/>
      <c r="Z55" s="10543"/>
      <c r="AA55" s="10719"/>
      <c r="AB55" s="10720"/>
      <c r="AC55" s="10720"/>
      <c r="AD55" s="10720"/>
      <c r="AE55" s="10721"/>
      <c r="AF55" s="10719"/>
      <c r="AG55" s="10720"/>
      <c r="AH55" s="10720"/>
      <c r="AI55" s="10720"/>
      <c r="AJ55" s="10720"/>
      <c r="AK55" s="2013"/>
      <c r="AL55" s="712"/>
      <c r="AM55" s="344"/>
      <c r="AN55" s="253"/>
      <c r="AO55" s="724"/>
      <c r="AP55" s="724"/>
      <c r="AQ55" s="408"/>
      <c r="AR55" s="253"/>
      <c r="AS55" s="5016" t="s">
        <v>4871</v>
      </c>
      <c r="AT55" s="1799" t="s">
        <v>4880</v>
      </c>
      <c r="AU55" s="1639"/>
      <c r="AV55" s="409"/>
      <c r="AW55" s="4477"/>
    </row>
    <row r="56" spans="1:62" s="815" customFormat="1" ht="22.5" customHeight="1">
      <c r="A56" s="2013"/>
      <c r="B56" s="3889" t="s">
        <v>2990</v>
      </c>
      <c r="C56" s="4483"/>
      <c r="D56" s="2344"/>
      <c r="E56" s="2344"/>
      <c r="F56" s="2344"/>
      <c r="G56" s="2344"/>
      <c r="H56" s="2344"/>
      <c r="I56" s="2344"/>
      <c r="J56" s="2344"/>
      <c r="K56" s="2344"/>
      <c r="L56" s="2344"/>
      <c r="M56" s="2344"/>
      <c r="N56" s="2344"/>
      <c r="O56" s="2344"/>
      <c r="P56" s="2344"/>
      <c r="Q56" s="89"/>
      <c r="R56" s="89"/>
      <c r="S56" s="89"/>
      <c r="T56" s="89"/>
      <c r="U56" s="6554" t="s">
        <v>3918</v>
      </c>
      <c r="V56" s="89"/>
      <c r="W56" s="3890"/>
      <c r="X56" s="89"/>
      <c r="Y56" s="89"/>
      <c r="Z56" s="89"/>
      <c r="AA56" s="89"/>
      <c r="AB56" s="6553" t="s">
        <v>46</v>
      </c>
      <c r="AC56" s="10732">
        <v>8582</v>
      </c>
      <c r="AD56" s="10732"/>
      <c r="AE56" s="10732"/>
      <c r="AF56" s="6552"/>
      <c r="AG56" s="6552"/>
      <c r="AH56" s="6552"/>
      <c r="AI56" s="89"/>
      <c r="AJ56" s="6555" t="str">
        <f>"("&amp;TaxYear&amp;")  Created 5/8/25"</f>
        <v>(2025)  Created 5/8/25</v>
      </c>
      <c r="AK56" s="2013"/>
      <c r="AL56" s="253"/>
      <c r="AM56" s="253"/>
      <c r="AN56" s="253"/>
      <c r="AO56" s="724"/>
      <c r="AP56" s="724"/>
      <c r="AQ56" s="408"/>
      <c r="AR56" s="253"/>
      <c r="AS56" s="5016" t="s">
        <v>4872</v>
      </c>
      <c r="AT56" s="253"/>
      <c r="AU56" s="512">
        <f>IF(AU55="",0,AU55)</f>
        <v>0</v>
      </c>
      <c r="AV56" s="409"/>
      <c r="AW56" s="4477"/>
      <c r="AX56" s="1640"/>
      <c r="AY56" s="658"/>
      <c r="AZ56" s="658"/>
      <c r="BA56" s="658"/>
      <c r="BB56" s="658"/>
      <c r="BC56" s="658"/>
      <c r="BD56" s="658"/>
      <c r="BE56" s="658"/>
      <c r="BF56" s="658"/>
      <c r="BG56" s="658"/>
      <c r="BH56"/>
      <c r="BI56"/>
    </row>
    <row r="57" spans="1:62" s="815" customFormat="1" ht="21.75" customHeight="1" thickBot="1">
      <c r="A57" s="2013"/>
      <c r="B57" s="721" t="str">
        <f>"Form 8582 ("&amp;TaxYear&amp;")"</f>
        <v>Form 8582 (2025)</v>
      </c>
      <c r="C57" s="4484"/>
      <c r="D57" s="721"/>
      <c r="E57" s="721"/>
      <c r="F57" s="721"/>
      <c r="G57" s="721"/>
      <c r="H57" s="721"/>
      <c r="I57" s="721"/>
      <c r="J57" s="721"/>
      <c r="K57" s="721"/>
      <c r="L57" s="721"/>
      <c r="M57" s="721"/>
      <c r="N57" s="721"/>
      <c r="O57" s="721"/>
      <c r="P57" s="721"/>
      <c r="Q57" s="721"/>
      <c r="R57" s="721"/>
      <c r="S57" s="721"/>
      <c r="T57" s="721"/>
      <c r="U57" s="721"/>
      <c r="V57" s="721"/>
      <c r="W57" s="721"/>
      <c r="X57" s="721"/>
      <c r="Y57" s="721"/>
      <c r="Z57" s="721"/>
      <c r="AA57" s="721"/>
      <c r="AB57" s="721"/>
      <c r="AC57" s="721"/>
      <c r="AD57" s="721"/>
      <c r="AE57" s="721"/>
      <c r="AF57" s="721"/>
      <c r="AG57" s="721"/>
      <c r="AH57" s="721"/>
      <c r="AI57" s="2053" t="s">
        <v>2079</v>
      </c>
      <c r="AJ57" s="5023">
        <v>2</v>
      </c>
      <c r="AK57" s="2013"/>
      <c r="AL57" s="253"/>
      <c r="AM57" s="253"/>
      <c r="AN57" s="253"/>
      <c r="AO57" s="724"/>
      <c r="AP57" s="724"/>
      <c r="AQ57" s="566"/>
      <c r="AR57" s="349"/>
      <c r="AS57" s="5016" t="s">
        <v>4873</v>
      </c>
      <c r="AT57" s="1401" t="s">
        <v>2052</v>
      </c>
      <c r="AU57" s="1639" t="str">
        <f>IF(AO40,"",IF(AO54,MIN(AU56,AU47,AU52),""))</f>
        <v/>
      </c>
      <c r="AV57" s="4978"/>
      <c r="AW57" s="4477"/>
      <c r="AX57" s="1640"/>
      <c r="AY57" s="658"/>
      <c r="AZ57" s="658"/>
      <c r="BA57" s="658"/>
      <c r="BB57" s="658"/>
      <c r="BC57" s="658"/>
      <c r="BD57" s="658"/>
      <c r="BE57" s="658"/>
      <c r="BF57" s="658"/>
      <c r="BG57" s="658"/>
      <c r="BH57"/>
      <c r="BI57"/>
    </row>
    <row r="58" spans="1:62" s="815" customFormat="1" ht="16.5" customHeight="1" thickTop="1">
      <c r="A58" s="2013"/>
      <c r="B58" s="9993" t="s">
        <v>2117</v>
      </c>
      <c r="C58" s="9993"/>
      <c r="D58" s="4490"/>
      <c r="E58" s="4491" t="s">
        <v>4865</v>
      </c>
      <c r="F58" s="377"/>
      <c r="G58" s="377"/>
      <c r="H58" s="377"/>
      <c r="I58" s="377"/>
      <c r="J58" s="377"/>
      <c r="K58" s="377"/>
      <c r="L58" s="377"/>
      <c r="M58" s="377"/>
      <c r="N58" s="377"/>
      <c r="O58" s="377"/>
      <c r="P58" s="377"/>
      <c r="Q58" s="377"/>
      <c r="R58" s="377"/>
      <c r="S58" s="377"/>
      <c r="T58" s="377"/>
      <c r="U58" s="377"/>
      <c r="V58" s="377"/>
      <c r="W58" s="377"/>
      <c r="X58" s="377"/>
      <c r="Y58" s="377"/>
      <c r="Z58" s="377"/>
      <c r="AA58" s="377"/>
      <c r="AB58" s="377"/>
      <c r="AC58" s="377"/>
      <c r="AD58" s="377"/>
      <c r="AE58" s="377"/>
      <c r="AF58" s="377"/>
      <c r="AG58" s="377"/>
      <c r="AH58" s="377"/>
      <c r="AI58" s="377"/>
      <c r="AJ58" s="377"/>
      <c r="AK58" s="2013"/>
      <c r="AL58" s="4479"/>
      <c r="AM58" s="226"/>
      <c r="AN58" s="4477"/>
      <c r="AO58" s="5007"/>
      <c r="AP58" s="5007"/>
      <c r="AQ58" s="566"/>
      <c r="AR58" s="344"/>
      <c r="AS58" s="10556" t="s">
        <v>4883</v>
      </c>
      <c r="AT58" s="10556"/>
      <c r="AU58" s="724"/>
      <c r="AV58" s="409"/>
      <c r="AW58" s="253"/>
      <c r="AX58" s="1640"/>
      <c r="AY58" s="658"/>
      <c r="AZ58" s="658"/>
      <c r="BA58" s="658"/>
      <c r="BB58" s="658"/>
      <c r="BC58" s="658"/>
      <c r="BD58" s="658"/>
      <c r="BE58" s="658"/>
      <c r="BF58" s="658"/>
      <c r="BG58" s="658"/>
      <c r="BH58"/>
      <c r="BI58"/>
    </row>
    <row r="59" spans="1:62" ht="16.5" customHeight="1">
      <c r="A59" s="2013"/>
      <c r="B59" s="10550" t="s">
        <v>3910</v>
      </c>
      <c r="C59" s="10550"/>
      <c r="D59" s="10550"/>
      <c r="E59" s="10550"/>
      <c r="F59" s="10550"/>
      <c r="G59" s="10550"/>
      <c r="H59" s="10550"/>
      <c r="I59" s="10550"/>
      <c r="J59" s="10550"/>
      <c r="K59" s="10550"/>
      <c r="L59" s="10550"/>
      <c r="M59" s="10551"/>
      <c r="N59" s="10576" t="s">
        <v>3911</v>
      </c>
      <c r="O59" s="10550"/>
      <c r="P59" s="10550"/>
      <c r="Q59" s="10550"/>
      <c r="R59" s="10550"/>
      <c r="S59" s="10550"/>
      <c r="T59" s="10550"/>
      <c r="U59" s="10551"/>
      <c r="V59" s="10576" t="s">
        <v>3912</v>
      </c>
      <c r="W59" s="10550"/>
      <c r="X59" s="10550"/>
      <c r="Y59" s="10550"/>
      <c r="Z59" s="10551"/>
      <c r="AA59" s="10576" t="s">
        <v>3913</v>
      </c>
      <c r="AB59" s="10550"/>
      <c r="AC59" s="10550"/>
      <c r="AD59" s="10550"/>
      <c r="AE59" s="10550"/>
      <c r="AF59" s="10550"/>
      <c r="AG59" s="10550"/>
      <c r="AH59" s="10550"/>
      <c r="AI59" s="10550"/>
      <c r="AJ59" s="10550"/>
      <c r="AK59" s="2013"/>
      <c r="AL59" s="253"/>
      <c r="AM59" s="253"/>
      <c r="AN59" s="10724"/>
      <c r="AO59" s="5024"/>
      <c r="AP59" s="5024"/>
      <c r="AQ59" s="408"/>
      <c r="AR59" s="253"/>
      <c r="AS59" s="10556"/>
      <c r="AT59" s="10556"/>
      <c r="AU59" s="5025"/>
      <c r="AV59" s="321"/>
      <c r="AW59" s="4477"/>
      <c r="BH59" s="421"/>
      <c r="BI59" s="421"/>
    </row>
    <row r="60" spans="1:62" ht="16.5" customHeight="1">
      <c r="A60" s="2013"/>
      <c r="B60" s="10552"/>
      <c r="C60" s="10552"/>
      <c r="D60" s="10552"/>
      <c r="E60" s="10552"/>
      <c r="F60" s="10552"/>
      <c r="G60" s="10552"/>
      <c r="H60" s="10552"/>
      <c r="I60" s="10552"/>
      <c r="J60" s="10552"/>
      <c r="K60" s="10552"/>
      <c r="L60" s="10552"/>
      <c r="M60" s="10553"/>
      <c r="N60" s="10577"/>
      <c r="O60" s="10554"/>
      <c r="P60" s="10554"/>
      <c r="Q60" s="10554"/>
      <c r="R60" s="10554"/>
      <c r="S60" s="10554"/>
      <c r="T60" s="10554"/>
      <c r="U60" s="10555"/>
      <c r="V60" s="10577"/>
      <c r="W60" s="10554"/>
      <c r="X60" s="10554"/>
      <c r="Y60" s="10554"/>
      <c r="Z60" s="10555"/>
      <c r="AA60" s="10577"/>
      <c r="AB60" s="10554"/>
      <c r="AC60" s="10554"/>
      <c r="AD60" s="10554"/>
      <c r="AE60" s="10554"/>
      <c r="AF60" s="10554"/>
      <c r="AG60" s="10554"/>
      <c r="AH60" s="10554"/>
      <c r="AI60" s="10554"/>
      <c r="AJ60" s="10554"/>
      <c r="AK60" s="2013"/>
      <c r="AL60" s="253"/>
      <c r="AM60" s="3812"/>
      <c r="AN60" s="10724"/>
      <c r="AO60" s="5024"/>
      <c r="AP60" s="5024"/>
      <c r="AQ60" s="408"/>
      <c r="AR60" s="253"/>
      <c r="AS60" s="10556"/>
      <c r="AT60" s="10556"/>
      <c r="AU60" s="5026" t="str">
        <f>IF(AU57&gt;1000000,TEXT(AU57,"$ 0,000,000"),IF(AU57&gt;1000,TEXT(AU57,"$ 0,000"),TEXT(AU57,"$ 0")))</f>
        <v/>
      </c>
      <c r="AV60" s="321"/>
      <c r="AW60" s="4997"/>
      <c r="BH60" s="421"/>
      <c r="BI60" s="421"/>
    </row>
    <row r="61" spans="1:62" ht="16.5" customHeight="1">
      <c r="A61" s="2013"/>
      <c r="B61" s="10552"/>
      <c r="C61" s="10552"/>
      <c r="D61" s="10552"/>
      <c r="E61" s="10552"/>
      <c r="F61" s="10552"/>
      <c r="G61" s="10552"/>
      <c r="H61" s="10552"/>
      <c r="I61" s="10552"/>
      <c r="J61" s="10552"/>
      <c r="K61" s="10552"/>
      <c r="L61" s="10552"/>
      <c r="M61" s="10553"/>
      <c r="N61" s="10654" t="s">
        <v>5008</v>
      </c>
      <c r="O61" s="10655"/>
      <c r="P61" s="10655"/>
      <c r="Q61" s="10656"/>
      <c r="R61" s="10654" t="s">
        <v>5009</v>
      </c>
      <c r="S61" s="10655"/>
      <c r="T61" s="10655"/>
      <c r="U61" s="10656"/>
      <c r="V61" s="10578" t="s">
        <v>5010</v>
      </c>
      <c r="W61" s="10579"/>
      <c r="X61" s="10579"/>
      <c r="Y61" s="10579"/>
      <c r="Z61" s="10580"/>
      <c r="AA61" s="10705" t="s">
        <v>3914</v>
      </c>
      <c r="AB61" s="10699"/>
      <c r="AC61" s="10699"/>
      <c r="AD61" s="10699"/>
      <c r="AE61" s="10706"/>
      <c r="AF61" s="10705" t="s">
        <v>3915</v>
      </c>
      <c r="AG61" s="10699"/>
      <c r="AH61" s="10699"/>
      <c r="AI61" s="10699"/>
      <c r="AJ61" s="10699"/>
      <c r="AK61" s="2013"/>
      <c r="AL61" s="253"/>
      <c r="AM61" s="226" t="s">
        <v>979</v>
      </c>
      <c r="AN61" s="10724"/>
      <c r="AO61" s="5024"/>
      <c r="AP61" s="5024"/>
      <c r="AQ61" s="408"/>
      <c r="AR61" s="253"/>
      <c r="AS61" s="10556"/>
      <c r="AT61" s="10556"/>
      <c r="AU61" s="1639" t="str">
        <f>IF(AO40,"",IF(AO54,SUM(AU57,MIN(AE32,AE38)),""))</f>
        <v/>
      </c>
      <c r="AV61" s="321"/>
      <c r="AW61" s="4997"/>
      <c r="BH61" s="421"/>
      <c r="BI61" s="421"/>
    </row>
    <row r="62" spans="1:62" ht="16.5" customHeight="1" thickBot="1">
      <c r="A62" s="2013"/>
      <c r="B62" s="10554"/>
      <c r="C62" s="10554"/>
      <c r="D62" s="10554"/>
      <c r="E62" s="10554"/>
      <c r="F62" s="10554"/>
      <c r="G62" s="10554"/>
      <c r="H62" s="10554"/>
      <c r="I62" s="10554"/>
      <c r="J62" s="10554"/>
      <c r="K62" s="10554"/>
      <c r="L62" s="10554"/>
      <c r="M62" s="10555"/>
      <c r="N62" s="10657"/>
      <c r="O62" s="10658"/>
      <c r="P62" s="10658"/>
      <c r="Q62" s="10659"/>
      <c r="R62" s="10657"/>
      <c r="S62" s="10658"/>
      <c r="T62" s="10658"/>
      <c r="U62" s="10659"/>
      <c r="V62" s="10581"/>
      <c r="W62" s="10582"/>
      <c r="X62" s="10582"/>
      <c r="Y62" s="10582"/>
      <c r="Z62" s="10583"/>
      <c r="AA62" s="10707"/>
      <c r="AB62" s="10701"/>
      <c r="AC62" s="10701"/>
      <c r="AD62" s="10701"/>
      <c r="AE62" s="10708"/>
      <c r="AF62" s="10707"/>
      <c r="AG62" s="10701"/>
      <c r="AH62" s="10701"/>
      <c r="AI62" s="10701"/>
      <c r="AJ62" s="10701"/>
      <c r="AK62" s="2013"/>
      <c r="AL62" s="253"/>
      <c r="AM62" s="226" t="s">
        <v>931</v>
      </c>
      <c r="AN62" s="10724"/>
      <c r="AO62" s="5024"/>
      <c r="AP62" s="5024"/>
      <c r="AQ62" s="408"/>
      <c r="AR62" s="253"/>
      <c r="AS62" s="5027" t="b">
        <f>AND(AO54,File_Marr_Sep&lt;&gt;"",LivedApart)</f>
        <v>0</v>
      </c>
      <c r="AT62" s="253"/>
      <c r="AU62" s="253"/>
      <c r="AV62" s="321"/>
      <c r="AW62" s="4997"/>
      <c r="BH62" s="421"/>
      <c r="BI62" s="421"/>
    </row>
    <row r="63" spans="1:62" ht="18.75" customHeight="1" thickBot="1">
      <c r="A63" s="2013"/>
      <c r="B63" s="10178"/>
      <c r="C63" s="10178"/>
      <c r="D63" s="10178"/>
      <c r="E63" s="10178"/>
      <c r="F63" s="10178"/>
      <c r="G63" s="10178"/>
      <c r="H63" s="10178"/>
      <c r="I63" s="10178"/>
      <c r="J63" s="10178"/>
      <c r="K63" s="10178"/>
      <c r="L63" s="10178"/>
      <c r="M63" s="10179"/>
      <c r="N63" s="10560"/>
      <c r="O63" s="10561"/>
      <c r="P63" s="10561"/>
      <c r="Q63" s="10562"/>
      <c r="R63" s="10560"/>
      <c r="S63" s="10561"/>
      <c r="T63" s="10561"/>
      <c r="U63" s="10562"/>
      <c r="V63" s="10560"/>
      <c r="W63" s="10561"/>
      <c r="X63" s="10561"/>
      <c r="Y63" s="10561"/>
      <c r="Z63" s="10562"/>
      <c r="AA63" s="10563" t="str">
        <f>IF(AND(AM63&lt;&gt;"",AM63&gt;0),ROUND(AM63,0),IF(AND(AM63&lt;&gt;"",AM63&lt;0),"",IF(SUM(N63,-R63,-V63)&gt;0,SUM(N63,-R63,-V63),"")))</f>
        <v/>
      </c>
      <c r="AB63" s="10564"/>
      <c r="AC63" s="10564"/>
      <c r="AD63" s="10564"/>
      <c r="AE63" s="10565"/>
      <c r="AF63" s="10563" t="str">
        <f>IF(AND(AM63&lt;&gt;"",AM63&lt;0),-ROUND(AM63,0),IF(AND(AM63&lt;&gt;"",AM63&gt;0),"",IF(SUM(N63,-R63,-V63)&lt;0,-SUM(N63,-R63,-V63),"")))</f>
        <v/>
      </c>
      <c r="AG63" s="10564"/>
      <c r="AH63" s="10564"/>
      <c r="AI63" s="10564"/>
      <c r="AJ63" s="10564"/>
      <c r="AK63" s="2013"/>
      <c r="AL63" s="253"/>
      <c r="AM63" s="6990"/>
      <c r="AN63" s="730"/>
      <c r="AO63" s="5028"/>
      <c r="AP63" s="5028"/>
      <c r="AQ63" s="566"/>
      <c r="AR63" s="2046" t="str">
        <f>"* Enter "&amp;TEXT(AO37/2,"$0,000")&amp;" (reduced by the amount, if any, of the smaller of Part II, line 4"</f>
        <v>* Enter $12,500 (reduced by the amount, if any, of the smaller of Part II, line 4</v>
      </c>
      <c r="AS63" s="5029"/>
      <c r="AT63" s="5029"/>
      <c r="AU63" s="5029"/>
      <c r="AV63" s="4978"/>
      <c r="AW63" s="4997"/>
    </row>
    <row r="64" spans="1:62" ht="18.75" customHeight="1" thickBot="1">
      <c r="A64" s="2013"/>
      <c r="B64" s="10178"/>
      <c r="C64" s="10178"/>
      <c r="D64" s="10178"/>
      <c r="E64" s="10178"/>
      <c r="F64" s="10178"/>
      <c r="G64" s="10178"/>
      <c r="H64" s="10178"/>
      <c r="I64" s="10178"/>
      <c r="J64" s="10178"/>
      <c r="K64" s="10178"/>
      <c r="L64" s="10178"/>
      <c r="M64" s="10179"/>
      <c r="N64" s="10560"/>
      <c r="O64" s="10561"/>
      <c r="P64" s="10561"/>
      <c r="Q64" s="10562"/>
      <c r="R64" s="10560"/>
      <c r="S64" s="10561"/>
      <c r="T64" s="10561"/>
      <c r="U64" s="10562"/>
      <c r="V64" s="10560"/>
      <c r="W64" s="10561"/>
      <c r="X64" s="10561"/>
      <c r="Y64" s="10561"/>
      <c r="Z64" s="10562"/>
      <c r="AA64" s="10563" t="str">
        <f>IF(AND(AM64&lt;&gt;"",AM64&gt;0),ROUND(AM64,0),IF(AND(AM64&lt;&gt;"",AM64&lt;0),"",IF(SUM(N64,-R64,-V64)&gt;0,SUM(N64,-R64,-V64),"")))</f>
        <v/>
      </c>
      <c r="AB64" s="10564"/>
      <c r="AC64" s="10564"/>
      <c r="AD64" s="10564"/>
      <c r="AE64" s="10565"/>
      <c r="AF64" s="10563" t="str">
        <f>IF(AND(AM64&lt;&gt;"",AM64&lt;0),-ROUND(AM64,0),IF(AND(AM64&lt;&gt;"",AM64&gt;0),"",IF(SUM(N64,-R64,-V64)&lt;0,-SUM(N64,-R64,-V64),"")))</f>
        <v/>
      </c>
      <c r="AG64" s="10564"/>
      <c r="AH64" s="10564"/>
      <c r="AI64" s="10564"/>
      <c r="AJ64" s="10564"/>
      <c r="AK64" s="2013"/>
      <c r="AL64" s="4477"/>
      <c r="AM64" s="6990"/>
      <c r="AN64" s="730"/>
      <c r="AO64" s="5028"/>
      <c r="AP64" s="5028"/>
      <c r="AQ64" s="5013"/>
      <c r="AR64" s="5030" t="s">
        <v>4875</v>
      </c>
      <c r="AS64" s="5029"/>
      <c r="AT64" s="5029"/>
      <c r="AU64" s="5029"/>
      <c r="AV64" s="409"/>
      <c r="AW64" s="730"/>
    </row>
    <row r="65" spans="1:62" ht="18.75" customHeight="1" thickBot="1">
      <c r="A65" s="2013"/>
      <c r="B65" s="10178"/>
      <c r="C65" s="10178"/>
      <c r="D65" s="10178"/>
      <c r="E65" s="10178"/>
      <c r="F65" s="10178"/>
      <c r="G65" s="10178"/>
      <c r="H65" s="10178"/>
      <c r="I65" s="10178"/>
      <c r="J65" s="10178"/>
      <c r="K65" s="10178"/>
      <c r="L65" s="10178"/>
      <c r="M65" s="10179"/>
      <c r="N65" s="10560"/>
      <c r="O65" s="10561"/>
      <c r="P65" s="10561"/>
      <c r="Q65" s="10562"/>
      <c r="R65" s="10560"/>
      <c r="S65" s="10561"/>
      <c r="T65" s="10561"/>
      <c r="U65" s="10562"/>
      <c r="V65" s="10560"/>
      <c r="W65" s="10561"/>
      <c r="X65" s="10561"/>
      <c r="Y65" s="10561"/>
      <c r="Z65" s="10562"/>
      <c r="AA65" s="10563" t="str">
        <f>IF(AND(AM65&lt;&gt;"",AM65&gt;0),ROUND(AM65,0),IF(AND(AM65&lt;&gt;"",AM65&lt;0),"",IF(SUM(N65,-R65,-V65)&gt;0,SUM(N65,-R65,-V65),"")))</f>
        <v/>
      </c>
      <c r="AB65" s="10564"/>
      <c r="AC65" s="10564"/>
      <c r="AD65" s="10564"/>
      <c r="AE65" s="10565"/>
      <c r="AF65" s="10563" t="str">
        <f>IF(AND(AM65&lt;&gt;"",AM65&lt;0),-ROUND(AM65,0),IF(AND(AM65&lt;&gt;"",AM65&gt;0),"",IF(SUM(N65,-R65,-V65)&lt;0,-SUM(N65,-R65,-V65),"")))</f>
        <v/>
      </c>
      <c r="AG65" s="10564"/>
      <c r="AH65" s="10564"/>
      <c r="AI65" s="10564"/>
      <c r="AJ65" s="10564"/>
      <c r="AK65" s="2013"/>
      <c r="AL65" s="4477"/>
      <c r="AM65" s="6990"/>
      <c r="AN65" s="730"/>
      <c r="AO65" s="5028"/>
      <c r="AP65" s="5028"/>
      <c r="AQ65" s="408"/>
      <c r="AR65" s="5030" t="s">
        <v>4874</v>
      </c>
      <c r="AS65" s="5029"/>
      <c r="AT65" s="253"/>
      <c r="AU65" s="5031">
        <f>IF(AND(File_Marr_Sep&lt;&gt;"",LivedApart),AO37/2,AO37)</f>
        <v>25000</v>
      </c>
      <c r="AV65" s="409"/>
      <c r="AW65" s="730"/>
    </row>
    <row r="66" spans="1:62" ht="18.75" customHeight="1" thickBot="1">
      <c r="A66" s="2013"/>
      <c r="B66" s="10178"/>
      <c r="C66" s="10178"/>
      <c r="D66" s="10178"/>
      <c r="E66" s="10178"/>
      <c r="F66" s="10178"/>
      <c r="G66" s="10178"/>
      <c r="H66" s="10178"/>
      <c r="I66" s="10178"/>
      <c r="J66" s="10178"/>
      <c r="K66" s="10178"/>
      <c r="L66" s="10178"/>
      <c r="M66" s="10179"/>
      <c r="N66" s="10560"/>
      <c r="O66" s="10561"/>
      <c r="P66" s="10561"/>
      <c r="Q66" s="10562"/>
      <c r="R66" s="10560"/>
      <c r="S66" s="10561"/>
      <c r="T66" s="10561"/>
      <c r="U66" s="10562"/>
      <c r="V66" s="10560"/>
      <c r="W66" s="10561"/>
      <c r="X66" s="10561"/>
      <c r="Y66" s="10561"/>
      <c r="Z66" s="10562"/>
      <c r="AA66" s="10563" t="str">
        <f>IF(AND(AM66&lt;&gt;"",AM66&gt;0),ROUND(AM66,0),IF(AND(AM66&lt;&gt;"",AM66&lt;0),"",IF(SUM(N66,-R66,-V66)&gt;0,SUM(N66,-R66,-V66),"")))</f>
        <v/>
      </c>
      <c r="AB66" s="10564"/>
      <c r="AC66" s="10564"/>
      <c r="AD66" s="10564"/>
      <c r="AE66" s="10565"/>
      <c r="AF66" s="10563" t="str">
        <f>IF(AND(AM66&lt;&gt;"",AM66&lt;0),-ROUND(AM66,0),IF(AND(AM66&lt;&gt;"",AM66&gt;0),"",IF(SUM(N66,-R66,-V66)&lt;0,-SUM(N66,-R66,-V66),"")))</f>
        <v/>
      </c>
      <c r="AG66" s="10564"/>
      <c r="AH66" s="10564"/>
      <c r="AI66" s="10564"/>
      <c r="AJ66" s="10564"/>
      <c r="AK66" s="2013"/>
      <c r="AL66" s="4477"/>
      <c r="AM66" s="6990"/>
      <c r="AN66" s="730"/>
      <c r="AO66" s="5028"/>
      <c r="AP66" s="5028"/>
      <c r="AQ66" s="5032"/>
      <c r="AR66" s="5033"/>
      <c r="AS66" s="5033"/>
      <c r="AT66" s="5033"/>
      <c r="AU66" s="5033"/>
      <c r="AV66" s="414"/>
      <c r="AW66" s="730"/>
    </row>
    <row r="67" spans="1:62" ht="18.75" customHeight="1" thickBot="1">
      <c r="A67" s="2013"/>
      <c r="B67" s="10636"/>
      <c r="C67" s="10636"/>
      <c r="D67" s="10636"/>
      <c r="E67" s="10636"/>
      <c r="F67" s="10636"/>
      <c r="G67" s="10636"/>
      <c r="H67" s="10636"/>
      <c r="I67" s="10636"/>
      <c r="J67" s="10636"/>
      <c r="K67" s="10636"/>
      <c r="L67" s="10636"/>
      <c r="M67" s="10637"/>
      <c r="N67" s="10665"/>
      <c r="O67" s="10666"/>
      <c r="P67" s="10666"/>
      <c r="Q67" s="10667"/>
      <c r="R67" s="10665"/>
      <c r="S67" s="10666"/>
      <c r="T67" s="10666"/>
      <c r="U67" s="10667"/>
      <c r="V67" s="10665"/>
      <c r="W67" s="10666"/>
      <c r="X67" s="10666"/>
      <c r="Y67" s="10666"/>
      <c r="Z67" s="10667"/>
      <c r="AA67" s="10563" t="str">
        <f>IF(AND(AM67&lt;&gt;"",AM67&gt;0),ROUND(AM67,0),IF(AND(AM67&lt;&gt;"",AM67&lt;0),"",IF(SUM(N67,-R67,-V67)&gt;0,SUM(N67,-R67,-V67),"")))</f>
        <v/>
      </c>
      <c r="AB67" s="10564"/>
      <c r="AC67" s="10564"/>
      <c r="AD67" s="10564"/>
      <c r="AE67" s="10565"/>
      <c r="AF67" s="10563" t="str">
        <f>IF(AND(AM67&lt;&gt;"",AM67&lt;0),-ROUND(AM67,0),IF(AND(AM67&lt;&gt;"",AM67&gt;0),"",IF(SUM(N67,-R67,-V67)&lt;0,-SUM(N67,-R67,-V67),"")))</f>
        <v/>
      </c>
      <c r="AG67" s="10564"/>
      <c r="AH67" s="10564"/>
      <c r="AI67" s="10564"/>
      <c r="AJ67" s="10564"/>
      <c r="AK67" s="2013"/>
      <c r="AL67" s="817"/>
      <c r="AM67" s="6990"/>
      <c r="AN67" s="730"/>
      <c r="AO67" s="5028"/>
      <c r="AP67" s="5028"/>
      <c r="AQ67" s="711"/>
      <c r="AR67" s="253"/>
      <c r="AS67" s="253"/>
      <c r="AT67" s="253"/>
      <c r="AU67" s="253"/>
      <c r="AV67" s="253"/>
      <c r="AW67" s="730"/>
    </row>
    <row r="68" spans="1:62" ht="16.5" customHeight="1">
      <c r="A68" s="2013"/>
      <c r="B68" s="377"/>
      <c r="C68" s="5019"/>
      <c r="D68" s="5019"/>
      <c r="E68" s="5019"/>
      <c r="F68" s="5019"/>
      <c r="G68" s="5019"/>
      <c r="H68" s="5019"/>
      <c r="I68" s="5019"/>
      <c r="J68" s="5019"/>
      <c r="K68" s="5019"/>
      <c r="L68" s="5019"/>
      <c r="M68" s="5019"/>
      <c r="N68" s="10726">
        <f>SUM(ROUND(N63,0),ROUND(N64,0),ROUND(N65,0),ROUND(N66,0),ROUND(N67,0))</f>
        <v>0</v>
      </c>
      <c r="O68" s="10727"/>
      <c r="P68" s="10727"/>
      <c r="Q68" s="10728"/>
      <c r="R68" s="10729">
        <f>SUM(ROUND(R63,0),ROUND(R64,0),ROUND(R65,0),ROUND(R66,0),ROUND(R67,0))</f>
        <v>0</v>
      </c>
      <c r="S68" s="10730"/>
      <c r="T68" s="10730"/>
      <c r="U68" s="10731"/>
      <c r="V68" s="10729">
        <f>SUM(ROUND(V63,0),ROUND(V64,0),ROUND(V65,0),ROUND(V66,0),ROUND(V67,0))</f>
        <v>0</v>
      </c>
      <c r="W68" s="10730"/>
      <c r="X68" s="10730"/>
      <c r="Y68" s="10730"/>
      <c r="Z68" s="10731"/>
      <c r="AA68" s="10716"/>
      <c r="AB68" s="10717"/>
      <c r="AC68" s="10717"/>
      <c r="AD68" s="10717"/>
      <c r="AE68" s="10718"/>
      <c r="AF68" s="10716"/>
      <c r="AG68" s="10717"/>
      <c r="AH68" s="10717"/>
      <c r="AI68" s="10717"/>
      <c r="AJ68" s="10717"/>
      <c r="AK68" s="2013"/>
      <c r="AL68" s="817"/>
      <c r="AM68" s="2868"/>
      <c r="AN68" s="253"/>
      <c r="AO68" s="724"/>
      <c r="AP68" s="724"/>
      <c r="AQ68" s="253"/>
      <c r="AR68" s="253"/>
      <c r="AS68" s="253"/>
      <c r="AT68" s="253"/>
      <c r="AU68" s="253"/>
      <c r="AV68" s="730"/>
      <c r="AW68" s="730"/>
      <c r="BJ68" s="579"/>
    </row>
    <row r="69" spans="1:62" ht="16.5" customHeight="1" thickBot="1">
      <c r="A69" s="2013"/>
      <c r="B69" s="5020" t="s">
        <v>4836</v>
      </c>
      <c r="C69" s="5021"/>
      <c r="D69" s="5021"/>
      <c r="E69" s="5021"/>
      <c r="F69" s="5021"/>
      <c r="G69" s="5021"/>
      <c r="H69" s="5021"/>
      <c r="I69" s="5021"/>
      <c r="J69" s="5021"/>
      <c r="K69" s="5021"/>
      <c r="L69" s="5021"/>
      <c r="M69" s="5021" t="s">
        <v>832</v>
      </c>
      <c r="N69" s="10541" t="str">
        <f>IF(OR(N68=0,ISERROR(N68)),"",N68)</f>
        <v/>
      </c>
      <c r="O69" s="10542"/>
      <c r="P69" s="10542"/>
      <c r="Q69" s="10543"/>
      <c r="R69" s="10541" t="str">
        <f>IF(OR(R68=0,ISERROR(R68)),"",R68)</f>
        <v/>
      </c>
      <c r="S69" s="10542"/>
      <c r="T69" s="10542"/>
      <c r="U69" s="10543"/>
      <c r="V69" s="10541" t="str">
        <f>IF(OR(V68=0,ISERROR(V68)),"",V68)</f>
        <v/>
      </c>
      <c r="W69" s="10542"/>
      <c r="X69" s="10542"/>
      <c r="Y69" s="10542"/>
      <c r="Z69" s="10543"/>
      <c r="AA69" s="10719"/>
      <c r="AB69" s="10720"/>
      <c r="AC69" s="10720"/>
      <c r="AD69" s="10720"/>
      <c r="AE69" s="10721"/>
      <c r="AF69" s="10719"/>
      <c r="AG69" s="10720"/>
      <c r="AH69" s="10720"/>
      <c r="AI69" s="10720"/>
      <c r="AJ69" s="10720"/>
      <c r="AK69" s="2013"/>
      <c r="AL69" s="712"/>
      <c r="AM69" s="344"/>
      <c r="AN69" s="253"/>
      <c r="AO69" s="724"/>
      <c r="AP69" s="724"/>
      <c r="AQ69" s="253"/>
      <c r="AR69" s="253"/>
      <c r="AS69" s="253"/>
      <c r="AT69" s="253"/>
      <c r="AU69" s="253"/>
      <c r="AV69" s="253"/>
      <c r="AW69" s="253"/>
    </row>
    <row r="70" spans="1:62" s="815" customFormat="1" ht="16.5" customHeight="1">
      <c r="A70" s="2013"/>
      <c r="B70" s="9993" t="s">
        <v>3383</v>
      </c>
      <c r="C70" s="9993"/>
      <c r="D70" s="4490"/>
      <c r="E70" s="4491" t="s">
        <v>3919</v>
      </c>
      <c r="F70" s="377"/>
      <c r="G70" s="377"/>
      <c r="H70" s="377"/>
      <c r="I70" s="377"/>
      <c r="J70" s="377"/>
      <c r="K70" s="377"/>
      <c r="L70" s="377"/>
      <c r="M70" s="377"/>
      <c r="N70" s="377"/>
      <c r="O70" s="377"/>
      <c r="P70" s="377"/>
      <c r="Q70" s="377"/>
      <c r="R70" s="377"/>
      <c r="S70" s="377"/>
      <c r="T70" s="377"/>
      <c r="U70" s="377"/>
      <c r="V70" s="377"/>
      <c r="W70" s="377"/>
      <c r="X70" s="377"/>
      <c r="Y70" s="377"/>
      <c r="Z70" s="377"/>
      <c r="AA70" s="377"/>
      <c r="AB70" s="377"/>
      <c r="AC70" s="377"/>
      <c r="AD70" s="377"/>
      <c r="AE70" s="377"/>
      <c r="AF70" s="377"/>
      <c r="AG70" s="377"/>
      <c r="AH70" s="377"/>
      <c r="AI70" s="377"/>
      <c r="AJ70" s="377"/>
      <c r="AK70" s="2013"/>
      <c r="AL70" s="4479"/>
      <c r="AM70" s="5034"/>
      <c r="AN70" s="4477"/>
      <c r="AO70" s="5007" t="b">
        <f>AND(F8582_Line9&lt;&gt;"",F8582_Line9&lt;&gt;0)</f>
        <v>0</v>
      </c>
      <c r="AP70" s="5007"/>
      <c r="AQ70" s="253"/>
      <c r="AR70" s="253"/>
      <c r="AS70" s="253"/>
      <c r="AT70" s="253"/>
      <c r="AU70" s="253"/>
      <c r="AV70" s="253"/>
      <c r="AW70" s="253"/>
      <c r="AX70" s="1640"/>
      <c r="AY70" s="658"/>
      <c r="AZ70" s="658"/>
      <c r="BA70" s="658"/>
      <c r="BB70" s="658"/>
      <c r="BC70" s="658"/>
      <c r="BD70" s="658"/>
      <c r="BE70" s="658"/>
      <c r="BF70" s="658"/>
      <c r="BG70" s="658"/>
      <c r="BH70"/>
      <c r="BI70"/>
    </row>
    <row r="71" spans="1:62" ht="16.5" customHeight="1">
      <c r="A71" s="2013"/>
      <c r="B71" s="10550" t="s">
        <v>3910</v>
      </c>
      <c r="C71" s="10550"/>
      <c r="D71" s="10550"/>
      <c r="E71" s="10550"/>
      <c r="F71" s="10550"/>
      <c r="G71" s="10550"/>
      <c r="H71" s="10550"/>
      <c r="I71" s="10550"/>
      <c r="J71" s="10550"/>
      <c r="K71" s="10550"/>
      <c r="L71" s="10550"/>
      <c r="M71" s="10551"/>
      <c r="N71" s="10639" t="s">
        <v>3920</v>
      </c>
      <c r="O71" s="10640"/>
      <c r="P71" s="10640"/>
      <c r="Q71" s="10641"/>
      <c r="R71" s="10588" t="s">
        <v>4820</v>
      </c>
      <c r="S71" s="10589"/>
      <c r="T71" s="10589"/>
      <c r="U71" s="10648"/>
      <c r="V71" s="10578" t="s">
        <v>3921</v>
      </c>
      <c r="W71" s="10579"/>
      <c r="X71" s="10579"/>
      <c r="Y71" s="10579"/>
      <c r="Z71" s="10580"/>
      <c r="AA71" s="10588" t="s">
        <v>3922</v>
      </c>
      <c r="AB71" s="10589"/>
      <c r="AC71" s="10589"/>
      <c r="AD71" s="10589"/>
      <c r="AE71" s="10648"/>
      <c r="AF71" s="10589" t="s">
        <v>3923</v>
      </c>
      <c r="AG71" s="10699"/>
      <c r="AH71" s="10699"/>
      <c r="AI71" s="10699"/>
      <c r="AJ71" s="10699"/>
      <c r="AK71" s="2013"/>
      <c r="AL71" s="253"/>
      <c r="AM71" s="253"/>
      <c r="AN71" s="253"/>
      <c r="AO71" s="5007" t="b">
        <f>NOT(AO70)</f>
        <v>1</v>
      </c>
      <c r="AP71" s="724"/>
      <c r="AQ71" s="253"/>
      <c r="AR71" s="253"/>
      <c r="AS71" s="253"/>
      <c r="AT71" s="253"/>
      <c r="AU71" s="253"/>
      <c r="AV71" s="4477"/>
      <c r="AW71" s="4477"/>
      <c r="BH71" s="421"/>
      <c r="BI71" s="421"/>
    </row>
    <row r="72" spans="1:62" ht="16.5" customHeight="1">
      <c r="A72" s="2013"/>
      <c r="B72" s="10552"/>
      <c r="C72" s="10552"/>
      <c r="D72" s="10552"/>
      <c r="E72" s="10552"/>
      <c r="F72" s="10552"/>
      <c r="G72" s="10552"/>
      <c r="H72" s="10552"/>
      <c r="I72" s="10552"/>
      <c r="J72" s="10552"/>
      <c r="K72" s="10552"/>
      <c r="L72" s="10552"/>
      <c r="M72" s="10553"/>
      <c r="N72" s="10642"/>
      <c r="O72" s="10643"/>
      <c r="P72" s="10643"/>
      <c r="Q72" s="10644"/>
      <c r="R72" s="10590"/>
      <c r="S72" s="10591"/>
      <c r="T72" s="10591"/>
      <c r="U72" s="10649"/>
      <c r="V72" s="10617"/>
      <c r="W72" s="10618"/>
      <c r="X72" s="10618"/>
      <c r="Y72" s="10618"/>
      <c r="Z72" s="10619"/>
      <c r="AA72" s="10590"/>
      <c r="AB72" s="10591"/>
      <c r="AC72" s="10591"/>
      <c r="AD72" s="10591"/>
      <c r="AE72" s="10649"/>
      <c r="AF72" s="10700"/>
      <c r="AG72" s="10700"/>
      <c r="AH72" s="10700"/>
      <c r="AI72" s="10700"/>
      <c r="AJ72" s="10700"/>
      <c r="AK72" s="2013"/>
      <c r="AL72" s="253"/>
      <c r="AM72" s="3812"/>
      <c r="AN72" s="253"/>
      <c r="AO72" s="724"/>
      <c r="AP72" s="724"/>
      <c r="AQ72" s="711"/>
      <c r="AR72" s="711"/>
      <c r="AS72" s="253"/>
      <c r="AT72" s="253"/>
      <c r="AU72" s="253"/>
      <c r="AV72" s="253"/>
      <c r="AW72" s="253"/>
      <c r="BH72" s="421"/>
      <c r="BI72" s="421"/>
    </row>
    <row r="73" spans="1:62" ht="16.5" customHeight="1">
      <c r="A73" s="2013"/>
      <c r="B73" s="10552"/>
      <c r="C73" s="10552"/>
      <c r="D73" s="10552"/>
      <c r="E73" s="10552"/>
      <c r="F73" s="10552"/>
      <c r="G73" s="10552"/>
      <c r="H73" s="10552"/>
      <c r="I73" s="10552"/>
      <c r="J73" s="10552"/>
      <c r="K73" s="10552"/>
      <c r="L73" s="10552"/>
      <c r="M73" s="10553"/>
      <c r="N73" s="10642"/>
      <c r="O73" s="10643"/>
      <c r="P73" s="10643"/>
      <c r="Q73" s="10644"/>
      <c r="R73" s="10590"/>
      <c r="S73" s="10591"/>
      <c r="T73" s="10591"/>
      <c r="U73" s="10649"/>
      <c r="V73" s="10617"/>
      <c r="W73" s="10618"/>
      <c r="X73" s="10618"/>
      <c r="Y73" s="10618"/>
      <c r="Z73" s="10619"/>
      <c r="AA73" s="10590"/>
      <c r="AB73" s="10591"/>
      <c r="AC73" s="10591"/>
      <c r="AD73" s="10591"/>
      <c r="AE73" s="10649"/>
      <c r="AF73" s="10700"/>
      <c r="AG73" s="10700"/>
      <c r="AH73" s="10700"/>
      <c r="AI73" s="10700"/>
      <c r="AJ73" s="10700"/>
      <c r="AK73" s="2013"/>
      <c r="AL73" s="253"/>
      <c r="AM73" s="226" t="s">
        <v>979</v>
      </c>
      <c r="AN73" s="253"/>
      <c r="AO73" s="724"/>
      <c r="AP73" s="724"/>
      <c r="AQ73" s="711"/>
      <c r="AR73" s="711"/>
      <c r="AS73" s="711"/>
      <c r="AT73" s="711"/>
      <c r="AU73" s="711"/>
      <c r="AV73" s="253"/>
      <c r="AW73" s="253"/>
      <c r="BH73" s="421"/>
      <c r="BI73" s="421"/>
    </row>
    <row r="74" spans="1:62" ht="16.5" customHeight="1" thickBot="1">
      <c r="A74" s="2013"/>
      <c r="B74" s="10554"/>
      <c r="C74" s="10554"/>
      <c r="D74" s="10554"/>
      <c r="E74" s="10554"/>
      <c r="F74" s="10554"/>
      <c r="G74" s="10554"/>
      <c r="H74" s="10554"/>
      <c r="I74" s="10554"/>
      <c r="J74" s="10554"/>
      <c r="K74" s="10554"/>
      <c r="L74" s="10554"/>
      <c r="M74" s="10555"/>
      <c r="N74" s="10645"/>
      <c r="O74" s="10646"/>
      <c r="P74" s="10646"/>
      <c r="Q74" s="10647"/>
      <c r="R74" s="10592"/>
      <c r="S74" s="10593"/>
      <c r="T74" s="10593"/>
      <c r="U74" s="10650"/>
      <c r="V74" s="10581"/>
      <c r="W74" s="10582"/>
      <c r="X74" s="10582"/>
      <c r="Y74" s="10582"/>
      <c r="Z74" s="10583"/>
      <c r="AA74" s="10592"/>
      <c r="AB74" s="10593"/>
      <c r="AC74" s="10593"/>
      <c r="AD74" s="10593"/>
      <c r="AE74" s="10650"/>
      <c r="AF74" s="10701"/>
      <c r="AG74" s="10701"/>
      <c r="AH74" s="10701"/>
      <c r="AI74" s="10701"/>
      <c r="AJ74" s="10701"/>
      <c r="AK74" s="2013"/>
      <c r="AL74" s="253"/>
      <c r="AM74" s="226" t="s">
        <v>931</v>
      </c>
      <c r="AN74" s="253"/>
      <c r="AO74" s="724"/>
      <c r="AP74" s="724"/>
      <c r="AQ74" s="711"/>
      <c r="AR74" s="711"/>
      <c r="AS74" s="711"/>
      <c r="AT74" s="711"/>
      <c r="AU74" s="711"/>
      <c r="AV74" s="253"/>
      <c r="AW74" s="253"/>
      <c r="BH74" s="421"/>
      <c r="BI74" s="421"/>
    </row>
    <row r="75" spans="1:62" ht="18.75" customHeight="1" thickBot="1">
      <c r="A75" s="2013"/>
      <c r="B75" s="10178"/>
      <c r="C75" s="10178"/>
      <c r="D75" s="10178"/>
      <c r="E75" s="10178"/>
      <c r="F75" s="10178"/>
      <c r="G75" s="10178"/>
      <c r="H75" s="10178"/>
      <c r="I75" s="10178"/>
      <c r="J75" s="10178"/>
      <c r="K75" s="10178"/>
      <c r="L75" s="10178"/>
      <c r="M75" s="10179"/>
      <c r="N75" s="10547"/>
      <c r="O75" s="10548"/>
      <c r="P75" s="10548"/>
      <c r="Q75" s="10549"/>
      <c r="R75" s="10560"/>
      <c r="S75" s="10561"/>
      <c r="T75" s="10561"/>
      <c r="U75" s="10562"/>
      <c r="V75" s="10544" t="str">
        <f>IF(OR($AO$71,R75=""),"",R75/$R$81)</f>
        <v/>
      </c>
      <c r="W75" s="10545"/>
      <c r="X75" s="10545"/>
      <c r="Y75" s="10545"/>
      <c r="Z75" s="10546"/>
      <c r="AA75" s="10563" t="str">
        <f>IF(OR($AO$71,R75=""),"",ROUND(F8582_Line9*V75,0))</f>
        <v/>
      </c>
      <c r="AB75" s="10564"/>
      <c r="AC75" s="10564"/>
      <c r="AD75" s="10564"/>
      <c r="AE75" s="10565"/>
      <c r="AF75" s="10563" t="str">
        <f>IF(AM75&lt;&gt;"",ROUND(AM75,0),IF(OR($AO$71,R75=""),"",IF(AND(R75&lt;&gt;"",AA75&lt;&gt;""),SUM(ROUND(R75,0),-AA75),"")))</f>
        <v/>
      </c>
      <c r="AG75" s="10564"/>
      <c r="AH75" s="10564"/>
      <c r="AI75" s="10564"/>
      <c r="AJ75" s="10564"/>
      <c r="AK75" s="2013"/>
      <c r="AL75" s="1039">
        <f>IF(R75&lt;&gt;"",1,0)</f>
        <v>0</v>
      </c>
      <c r="AM75" s="6990"/>
      <c r="AN75" s="253"/>
      <c r="AO75" s="724"/>
      <c r="AP75" s="724"/>
      <c r="AQ75" s="711"/>
      <c r="AR75" s="711"/>
      <c r="AS75" s="711"/>
      <c r="AT75" s="711"/>
      <c r="AU75" s="711"/>
      <c r="AV75" s="253"/>
      <c r="AW75" s="253"/>
    </row>
    <row r="76" spans="1:62" ht="18.75" customHeight="1" thickBot="1">
      <c r="A76" s="2013"/>
      <c r="B76" s="10178"/>
      <c r="C76" s="10178"/>
      <c r="D76" s="10178"/>
      <c r="E76" s="10178"/>
      <c r="F76" s="10178"/>
      <c r="G76" s="10178"/>
      <c r="H76" s="10178"/>
      <c r="I76" s="10178"/>
      <c r="J76" s="10178"/>
      <c r="K76" s="10178"/>
      <c r="L76" s="10178"/>
      <c r="M76" s="10179"/>
      <c r="N76" s="10547"/>
      <c r="O76" s="10548"/>
      <c r="P76" s="10548"/>
      <c r="Q76" s="10549"/>
      <c r="R76" s="10560"/>
      <c r="S76" s="10561"/>
      <c r="T76" s="10561"/>
      <c r="U76" s="10562"/>
      <c r="V76" s="10544" t="str">
        <f>IF(OR($AO$71,R76=""),"",R76/$R$81)</f>
        <v/>
      </c>
      <c r="W76" s="10545"/>
      <c r="X76" s="10545"/>
      <c r="Y76" s="10545"/>
      <c r="Z76" s="10546"/>
      <c r="AA76" s="10563" t="str">
        <f>IF(OR($AO$71,R76=""),"",ROUND(F8582_Line9*V76,0))</f>
        <v/>
      </c>
      <c r="AB76" s="10564"/>
      <c r="AC76" s="10564"/>
      <c r="AD76" s="10564"/>
      <c r="AE76" s="10565"/>
      <c r="AF76" s="10563" t="str">
        <f>IF(AM76&lt;&gt;"",ROUND(AM76,0),IF(OR($AO$71,R76=""),"",IF(AND(R76&lt;&gt;"",AA76&lt;&gt;""),SUM(ROUND(R76,0),-AA76),"")))</f>
        <v/>
      </c>
      <c r="AG76" s="10564"/>
      <c r="AH76" s="10564"/>
      <c r="AI76" s="10564"/>
      <c r="AJ76" s="10564"/>
      <c r="AK76" s="2013"/>
      <c r="AL76" s="1039">
        <f>IF(R76&lt;&gt;"",1,0)</f>
        <v>0</v>
      </c>
      <c r="AM76" s="6990"/>
      <c r="AN76" s="4477"/>
      <c r="AO76" s="5007"/>
      <c r="AP76" s="5007"/>
      <c r="AQ76" s="253"/>
      <c r="AR76" s="253"/>
      <c r="AS76" s="711"/>
      <c r="AT76" s="711"/>
      <c r="AU76" s="711"/>
      <c r="AV76" s="253"/>
      <c r="AW76" s="253"/>
    </row>
    <row r="77" spans="1:62" ht="18.75" customHeight="1" thickBot="1">
      <c r="A77" s="2013"/>
      <c r="B77" s="10178"/>
      <c r="C77" s="10178"/>
      <c r="D77" s="10178"/>
      <c r="E77" s="10178"/>
      <c r="F77" s="10178"/>
      <c r="G77" s="10178"/>
      <c r="H77" s="10178"/>
      <c r="I77" s="10178"/>
      <c r="J77" s="10178"/>
      <c r="K77" s="10178"/>
      <c r="L77" s="10178"/>
      <c r="M77" s="10179"/>
      <c r="N77" s="10547"/>
      <c r="O77" s="10548"/>
      <c r="P77" s="10548"/>
      <c r="Q77" s="10549"/>
      <c r="R77" s="10560"/>
      <c r="S77" s="10561"/>
      <c r="T77" s="10561"/>
      <c r="U77" s="10562"/>
      <c r="V77" s="10544" t="str">
        <f>IF(OR($AO$71,R77=""),"",R77/$R$81)</f>
        <v/>
      </c>
      <c r="W77" s="10545"/>
      <c r="X77" s="10545"/>
      <c r="Y77" s="10545"/>
      <c r="Z77" s="10546"/>
      <c r="AA77" s="10563" t="str">
        <f>IF(OR($AO$71,R77=""),"",ROUND(F8582_Line9*V77,0))</f>
        <v/>
      </c>
      <c r="AB77" s="10564"/>
      <c r="AC77" s="10564"/>
      <c r="AD77" s="10564"/>
      <c r="AE77" s="10565"/>
      <c r="AF77" s="10563" t="str">
        <f>IF(AM77&lt;&gt;"",ROUND(AM77,0),IF(OR($AO$71,R77=""),"",IF(AND(R77&lt;&gt;"",AA77&lt;&gt;""),SUM(ROUND(R77,0),-AA77),"")))</f>
        <v/>
      </c>
      <c r="AG77" s="10564"/>
      <c r="AH77" s="10564"/>
      <c r="AI77" s="10564"/>
      <c r="AJ77" s="10564"/>
      <c r="AK77" s="2013"/>
      <c r="AL77" s="1039">
        <f>IF(R77&lt;&gt;"",1,0)</f>
        <v>0</v>
      </c>
      <c r="AM77" s="6990"/>
      <c r="AN77" s="4477"/>
      <c r="AO77" s="5007"/>
      <c r="AP77" s="5007"/>
      <c r="AQ77" s="253"/>
      <c r="AR77" s="253"/>
      <c r="AS77" s="253"/>
      <c r="AT77" s="253"/>
      <c r="AU77" s="253"/>
      <c r="AV77" s="4477"/>
      <c r="AW77" s="4477"/>
    </row>
    <row r="78" spans="1:62" ht="18.75" customHeight="1" thickBot="1">
      <c r="A78" s="2013"/>
      <c r="B78" s="10178"/>
      <c r="C78" s="10178"/>
      <c r="D78" s="10178"/>
      <c r="E78" s="10178"/>
      <c r="F78" s="10178"/>
      <c r="G78" s="10178"/>
      <c r="H78" s="10178"/>
      <c r="I78" s="10178"/>
      <c r="J78" s="10178"/>
      <c r="K78" s="10178"/>
      <c r="L78" s="10178"/>
      <c r="M78" s="10179"/>
      <c r="N78" s="10547"/>
      <c r="O78" s="10548"/>
      <c r="P78" s="10548"/>
      <c r="Q78" s="10549"/>
      <c r="R78" s="10560"/>
      <c r="S78" s="10561"/>
      <c r="T78" s="10561"/>
      <c r="U78" s="10562"/>
      <c r="V78" s="10544" t="str">
        <f>IF(OR($AO$71,R78=""),"",R78/$R$81)</f>
        <v/>
      </c>
      <c r="W78" s="10545"/>
      <c r="X78" s="10545"/>
      <c r="Y78" s="10545"/>
      <c r="Z78" s="10546"/>
      <c r="AA78" s="10563" t="str">
        <f>IF(OR($AO$71,R78=""),"",ROUND(F8582_Line9*V78,0))</f>
        <v/>
      </c>
      <c r="AB78" s="10564"/>
      <c r="AC78" s="10564"/>
      <c r="AD78" s="10564"/>
      <c r="AE78" s="10565"/>
      <c r="AF78" s="10563" t="str">
        <f>IF(AM78&lt;&gt;"",ROUND(AM78,0),IF(OR($AO$71,R78=""),"",IF(AND(R78&lt;&gt;"",AA78&lt;&gt;""),SUM(ROUND(R78,0),-AA78),"")))</f>
        <v/>
      </c>
      <c r="AG78" s="10564"/>
      <c r="AH78" s="10564"/>
      <c r="AI78" s="10564"/>
      <c r="AJ78" s="10564"/>
      <c r="AK78" s="2013"/>
      <c r="AL78" s="1039">
        <f>IF(R78&lt;&gt;"",1,0)</f>
        <v>0</v>
      </c>
      <c r="AM78" s="6990"/>
      <c r="AN78" s="4477"/>
      <c r="AO78" s="5007"/>
      <c r="AP78" s="5007"/>
      <c r="AQ78" s="253"/>
      <c r="AR78" s="253"/>
      <c r="AS78" s="253"/>
      <c r="AT78" s="253"/>
      <c r="AU78" s="253"/>
      <c r="AV78" s="4477"/>
      <c r="AW78" s="4477"/>
    </row>
    <row r="79" spans="1:62" ht="18.75" customHeight="1" thickBot="1">
      <c r="A79" s="2013"/>
      <c r="B79" s="10636"/>
      <c r="C79" s="10636"/>
      <c r="D79" s="10636"/>
      <c r="E79" s="10636"/>
      <c r="F79" s="10636"/>
      <c r="G79" s="10636"/>
      <c r="H79" s="10636"/>
      <c r="I79" s="10636"/>
      <c r="J79" s="10636"/>
      <c r="K79" s="10636"/>
      <c r="L79" s="10636"/>
      <c r="M79" s="10637"/>
      <c r="N79" s="10547"/>
      <c r="O79" s="10548"/>
      <c r="P79" s="10548"/>
      <c r="Q79" s="10549"/>
      <c r="R79" s="10665"/>
      <c r="S79" s="10666"/>
      <c r="T79" s="10666"/>
      <c r="U79" s="10667"/>
      <c r="V79" s="10544" t="str">
        <f>IF(OR($AO$71,R79=""),"",R79/$R$81)</f>
        <v/>
      </c>
      <c r="W79" s="10545"/>
      <c r="X79" s="10545"/>
      <c r="Y79" s="10545"/>
      <c r="Z79" s="10546"/>
      <c r="AA79" s="10563" t="str">
        <f>IF(OR($AO$71,R79=""),"",ROUND(F8582_Line9*V79,0))</f>
        <v/>
      </c>
      <c r="AB79" s="10564"/>
      <c r="AC79" s="10564"/>
      <c r="AD79" s="10564"/>
      <c r="AE79" s="10565"/>
      <c r="AF79" s="10563" t="str">
        <f>IF(AM79&lt;&gt;"",ROUND(AM79,0),IF(OR($AO$71,R79=""),"",IF(AND(R79&lt;&gt;"",AA79&lt;&gt;""),SUM(ROUND(R79,0),-AA79),"")))</f>
        <v/>
      </c>
      <c r="AG79" s="10564"/>
      <c r="AH79" s="10564"/>
      <c r="AI79" s="10564"/>
      <c r="AJ79" s="10564"/>
      <c r="AK79" s="2013"/>
      <c r="AL79" s="1039">
        <f>IF(R79&lt;&gt;"",1,0)</f>
        <v>0</v>
      </c>
      <c r="AM79" s="6990"/>
      <c r="AN79" s="253"/>
      <c r="AO79" s="724"/>
      <c r="AP79" s="724"/>
      <c r="AQ79" s="253"/>
      <c r="AR79" s="253"/>
      <c r="AS79" s="253"/>
      <c r="AT79" s="253"/>
      <c r="AU79" s="253"/>
      <c r="AV79" s="4477"/>
      <c r="AW79" s="4477"/>
    </row>
    <row r="80" spans="1:62" ht="16.5" customHeight="1" thickBot="1">
      <c r="A80" s="2013"/>
      <c r="B80" s="377"/>
      <c r="C80" s="5019"/>
      <c r="D80" s="5019"/>
      <c r="E80" s="5019"/>
      <c r="F80" s="5019"/>
      <c r="G80" s="5019"/>
      <c r="H80" s="5019"/>
      <c r="I80" s="5019"/>
      <c r="J80" s="5019"/>
      <c r="K80" s="5019"/>
      <c r="L80" s="5019"/>
      <c r="M80" s="5019"/>
      <c r="N80" s="5019"/>
      <c r="O80" s="5019"/>
      <c r="P80" s="5019"/>
      <c r="Q80" s="5035"/>
      <c r="R80" s="5036"/>
      <c r="S80" s="5019"/>
      <c r="T80" s="5019"/>
      <c r="U80" s="5035"/>
      <c r="V80" s="10651"/>
      <c r="W80" s="10652"/>
      <c r="X80" s="10652"/>
      <c r="Y80" s="10652"/>
      <c r="Z80" s="10653"/>
      <c r="AA80" s="10651"/>
      <c r="AB80" s="10734"/>
      <c r="AC80" s="10734"/>
      <c r="AD80" s="10734"/>
      <c r="AE80" s="10735"/>
      <c r="AF80" s="5036"/>
      <c r="AG80" s="5019"/>
      <c r="AH80" s="5019"/>
      <c r="AI80" s="5019"/>
      <c r="AJ80" s="5019"/>
      <c r="AK80" s="2013"/>
      <c r="AL80" s="3812">
        <f>SUM(AL75:AL79)</f>
        <v>0</v>
      </c>
      <c r="AM80" s="2868"/>
      <c r="AN80" s="253"/>
      <c r="AO80" s="724"/>
      <c r="AP80" s="724"/>
      <c r="AQ80" s="253"/>
      <c r="AR80" s="253"/>
      <c r="AS80" s="253"/>
      <c r="AT80" s="253"/>
      <c r="AU80" s="253"/>
      <c r="AV80" s="253"/>
      <c r="AW80" s="253"/>
      <c r="BJ80" s="579"/>
    </row>
    <row r="81" spans="1:62" ht="16.5" customHeight="1" thickBot="1">
      <c r="A81" s="2013"/>
      <c r="B81" s="5020" t="s">
        <v>224</v>
      </c>
      <c r="C81" s="5021"/>
      <c r="D81" s="5021"/>
      <c r="E81" s="5021"/>
      <c r="F81" s="5021"/>
      <c r="G81" s="5021"/>
      <c r="H81" s="5021"/>
      <c r="I81" s="5021"/>
      <c r="J81" s="5021"/>
      <c r="K81" s="5021"/>
      <c r="L81" s="5021"/>
      <c r="M81" s="1658"/>
      <c r="N81" s="5021"/>
      <c r="O81" s="5021"/>
      <c r="P81" s="5021"/>
      <c r="Q81" s="1658" t="s">
        <v>677</v>
      </c>
      <c r="R81" s="10541" t="str">
        <f>IF(OR($AO$71,AL80=0),"",SUM(ROUND(R75,0),ROUND(R76,0),ROUND(R77,0),ROUND(R78,0),ROUND(R79,0)))</f>
        <v/>
      </c>
      <c r="S81" s="10542"/>
      <c r="T81" s="10542"/>
      <c r="U81" s="10543"/>
      <c r="V81" s="10702">
        <v>1</v>
      </c>
      <c r="W81" s="10703"/>
      <c r="X81" s="10703"/>
      <c r="Y81" s="10703"/>
      <c r="Z81" s="10704"/>
      <c r="AA81" s="10541" t="str">
        <f>IF(OR($AO$71,AL80=0),"",SUM(AA75:AE79))</f>
        <v/>
      </c>
      <c r="AB81" s="10542"/>
      <c r="AC81" s="10542"/>
      <c r="AD81" s="10542"/>
      <c r="AE81" s="10543"/>
      <c r="AF81" s="10541" t="str">
        <f>IF(OR($AO$71,AL80=0),"",SUM(AF75:AJ79))</f>
        <v/>
      </c>
      <c r="AG81" s="10542"/>
      <c r="AH81" s="10542"/>
      <c r="AI81" s="10542"/>
      <c r="AJ81" s="10542"/>
      <c r="AK81" s="2013"/>
      <c r="AL81" s="712"/>
      <c r="AM81" s="1113"/>
      <c r="AN81" s="253"/>
      <c r="AO81" s="724"/>
      <c r="AP81" s="724"/>
      <c r="AQ81" s="253"/>
      <c r="AR81" s="253"/>
      <c r="AS81" s="253"/>
      <c r="AT81" s="253"/>
      <c r="AU81" s="253"/>
      <c r="AV81" s="253"/>
      <c r="AW81" s="253"/>
    </row>
    <row r="82" spans="1:62" s="815" customFormat="1" ht="16.5" customHeight="1">
      <c r="A82" s="2013"/>
      <c r="B82" s="7646" t="s">
        <v>3413</v>
      </c>
      <c r="C82" s="7646"/>
      <c r="D82" s="342"/>
      <c r="E82" s="2874" t="s">
        <v>4819</v>
      </c>
      <c r="F82" s="253"/>
      <c r="G82" s="253"/>
      <c r="H82" s="253"/>
      <c r="I82" s="253"/>
      <c r="J82" s="253"/>
      <c r="K82" s="253"/>
      <c r="L82" s="253"/>
      <c r="M82" s="253"/>
      <c r="N82" s="253"/>
      <c r="O82" s="253"/>
      <c r="P82" s="253"/>
      <c r="Q82" s="253"/>
      <c r="R82" s="253"/>
      <c r="S82" s="253"/>
      <c r="T82" s="253"/>
      <c r="U82" s="253"/>
      <c r="V82" s="253"/>
      <c r="W82" s="253"/>
      <c r="X82" s="253"/>
      <c r="Y82" s="253"/>
      <c r="Z82" s="253"/>
      <c r="AA82" s="253"/>
      <c r="AB82" s="253"/>
      <c r="AC82" s="253"/>
      <c r="AD82" s="253"/>
      <c r="AE82" s="253"/>
      <c r="AF82" s="253"/>
      <c r="AG82" s="253"/>
      <c r="AH82" s="253"/>
      <c r="AI82" s="253"/>
      <c r="AJ82" s="253"/>
      <c r="AK82" s="2013"/>
      <c r="AL82" s="4479"/>
      <c r="AM82" s="226"/>
      <c r="AN82" s="4477"/>
      <c r="AO82" s="5007"/>
      <c r="AP82" s="5007"/>
      <c r="AQ82" s="253"/>
      <c r="AR82" s="253"/>
      <c r="AS82" s="253"/>
      <c r="AT82" s="253"/>
      <c r="AU82" s="253"/>
      <c r="AV82" s="253"/>
      <c r="AW82" s="253"/>
      <c r="AX82" s="1640"/>
      <c r="AY82" s="658"/>
      <c r="AZ82" s="658"/>
      <c r="BA82" s="658"/>
      <c r="BB82" s="658"/>
      <c r="BC82" s="658"/>
      <c r="BD82" s="658"/>
      <c r="BE82" s="658"/>
      <c r="BF82" s="658"/>
      <c r="BG82" s="658"/>
      <c r="BH82"/>
      <c r="BI82"/>
    </row>
    <row r="83" spans="1:62" ht="16.5" customHeight="1">
      <c r="A83" s="2013"/>
      <c r="B83" s="10550" t="s">
        <v>3910</v>
      </c>
      <c r="C83" s="10550"/>
      <c r="D83" s="10550"/>
      <c r="E83" s="10550"/>
      <c r="F83" s="10550"/>
      <c r="G83" s="10550"/>
      <c r="H83" s="10550"/>
      <c r="I83" s="10550"/>
      <c r="J83" s="10550"/>
      <c r="K83" s="10550"/>
      <c r="L83" s="10550"/>
      <c r="M83" s="10551"/>
      <c r="N83" s="10639" t="s">
        <v>3920</v>
      </c>
      <c r="O83" s="10640"/>
      <c r="P83" s="10640"/>
      <c r="Q83" s="10640"/>
      <c r="R83" s="10641"/>
      <c r="S83" s="10588" t="s">
        <v>4820</v>
      </c>
      <c r="T83" s="10589"/>
      <c r="U83" s="10589"/>
      <c r="V83" s="10589"/>
      <c r="W83" s="10589"/>
      <c r="X83" s="10648"/>
      <c r="Y83" s="10578" t="s">
        <v>3921</v>
      </c>
      <c r="Z83" s="10579"/>
      <c r="AA83" s="10579"/>
      <c r="AB83" s="10579"/>
      <c r="AC83" s="10579"/>
      <c r="AD83" s="10580"/>
      <c r="AE83" s="10588" t="s">
        <v>5000</v>
      </c>
      <c r="AF83" s="10589"/>
      <c r="AG83" s="10589"/>
      <c r="AH83" s="10589"/>
      <c r="AI83" s="10589"/>
      <c r="AJ83" s="10589"/>
      <c r="AK83" s="2013"/>
      <c r="AL83" s="253"/>
      <c r="AM83" s="253"/>
      <c r="AN83" s="253"/>
      <c r="AO83" s="724"/>
      <c r="AP83" s="724"/>
      <c r="AQ83" s="711"/>
      <c r="AR83" s="10566" t="s">
        <v>4858</v>
      </c>
      <c r="AS83" s="10566"/>
      <c r="AT83" s="711"/>
      <c r="AU83" s="711"/>
      <c r="AV83" s="253"/>
      <c r="AW83" s="4477"/>
      <c r="BH83" s="421"/>
      <c r="BI83" s="421"/>
    </row>
    <row r="84" spans="1:62" ht="16.5" customHeight="1">
      <c r="A84" s="2013"/>
      <c r="B84" s="10552"/>
      <c r="C84" s="10552"/>
      <c r="D84" s="10552"/>
      <c r="E84" s="10552"/>
      <c r="F84" s="10552"/>
      <c r="G84" s="10552"/>
      <c r="H84" s="10552"/>
      <c r="I84" s="10552"/>
      <c r="J84" s="10552"/>
      <c r="K84" s="10552"/>
      <c r="L84" s="10552"/>
      <c r="M84" s="10553"/>
      <c r="N84" s="10642"/>
      <c r="O84" s="10643"/>
      <c r="P84" s="10643"/>
      <c r="Q84" s="10643"/>
      <c r="R84" s="10644"/>
      <c r="S84" s="10590"/>
      <c r="T84" s="10591"/>
      <c r="U84" s="10591"/>
      <c r="V84" s="10591"/>
      <c r="W84" s="10591"/>
      <c r="X84" s="10649"/>
      <c r="Y84" s="10617"/>
      <c r="Z84" s="10618"/>
      <c r="AA84" s="10618"/>
      <c r="AB84" s="10618"/>
      <c r="AC84" s="10618"/>
      <c r="AD84" s="10619"/>
      <c r="AE84" s="10590"/>
      <c r="AF84" s="10591"/>
      <c r="AG84" s="10591"/>
      <c r="AH84" s="10591"/>
      <c r="AI84" s="10591"/>
      <c r="AJ84" s="10591"/>
      <c r="AK84" s="2013"/>
      <c r="AL84" s="253"/>
      <c r="AM84" s="3812"/>
      <c r="AN84" s="253"/>
      <c r="AO84" s="724"/>
      <c r="AP84" s="724"/>
      <c r="AQ84" s="5037"/>
      <c r="AR84" s="5038"/>
      <c r="AS84" s="5038"/>
      <c r="AT84" s="5038"/>
      <c r="AU84" s="5039"/>
      <c r="AV84" s="407"/>
      <c r="AW84" s="253"/>
      <c r="BH84" s="421"/>
      <c r="BI84" s="421"/>
    </row>
    <row r="85" spans="1:62" ht="16.5" customHeight="1">
      <c r="A85" s="2013"/>
      <c r="B85" s="10552"/>
      <c r="C85" s="10552"/>
      <c r="D85" s="10552"/>
      <c r="E85" s="10552"/>
      <c r="F85" s="10552"/>
      <c r="G85" s="10552"/>
      <c r="H85" s="10552"/>
      <c r="I85" s="10552"/>
      <c r="J85" s="10552"/>
      <c r="K85" s="10552"/>
      <c r="L85" s="10552"/>
      <c r="M85" s="10553"/>
      <c r="N85" s="10642"/>
      <c r="O85" s="10643"/>
      <c r="P85" s="10643"/>
      <c r="Q85" s="10643"/>
      <c r="R85" s="10644"/>
      <c r="S85" s="10590"/>
      <c r="T85" s="10591"/>
      <c r="U85" s="10591"/>
      <c r="V85" s="10591"/>
      <c r="W85" s="10591"/>
      <c r="X85" s="10649"/>
      <c r="Y85" s="10617"/>
      <c r="Z85" s="10618"/>
      <c r="AA85" s="10618"/>
      <c r="AB85" s="10618"/>
      <c r="AC85" s="10618"/>
      <c r="AD85" s="10619"/>
      <c r="AE85" s="10590"/>
      <c r="AF85" s="10591"/>
      <c r="AG85" s="10591"/>
      <c r="AH85" s="10591"/>
      <c r="AI85" s="10591"/>
      <c r="AJ85" s="10591"/>
      <c r="AK85" s="2013"/>
      <c r="AL85" s="253"/>
      <c r="AM85" s="226" t="s">
        <v>979</v>
      </c>
      <c r="AN85" s="253"/>
      <c r="AO85" s="724"/>
      <c r="AP85" s="724"/>
      <c r="AQ85" s="566"/>
      <c r="AR85" s="349" t="s">
        <v>2043</v>
      </c>
      <c r="AS85" s="5040" t="s">
        <v>4860</v>
      </c>
      <c r="AT85" s="5041"/>
      <c r="AU85" s="711"/>
      <c r="AV85" s="409"/>
      <c r="AW85" s="253"/>
      <c r="BH85" s="421"/>
      <c r="BI85" s="421"/>
    </row>
    <row r="86" spans="1:62" ht="16.5" customHeight="1" thickBot="1">
      <c r="A86" s="2013"/>
      <c r="B86" s="10554"/>
      <c r="C86" s="10554"/>
      <c r="D86" s="10554"/>
      <c r="E86" s="10554"/>
      <c r="F86" s="10554"/>
      <c r="G86" s="10554"/>
      <c r="H86" s="10554"/>
      <c r="I86" s="10554"/>
      <c r="J86" s="10554"/>
      <c r="K86" s="10554"/>
      <c r="L86" s="10554"/>
      <c r="M86" s="10555"/>
      <c r="N86" s="10645"/>
      <c r="O86" s="10646"/>
      <c r="P86" s="10646"/>
      <c r="Q86" s="10646"/>
      <c r="R86" s="10647"/>
      <c r="S86" s="10592"/>
      <c r="T86" s="10593"/>
      <c r="U86" s="10593"/>
      <c r="V86" s="10593"/>
      <c r="W86" s="10593"/>
      <c r="X86" s="10650"/>
      <c r="Y86" s="10581"/>
      <c r="Z86" s="10582"/>
      <c r="AA86" s="10582"/>
      <c r="AB86" s="10582"/>
      <c r="AC86" s="10582"/>
      <c r="AD86" s="10583"/>
      <c r="AE86" s="10592"/>
      <c r="AF86" s="10593"/>
      <c r="AG86" s="10593"/>
      <c r="AH86" s="10593"/>
      <c r="AI86" s="10593"/>
      <c r="AJ86" s="10593"/>
      <c r="AK86" s="2013"/>
      <c r="AL86" s="253"/>
      <c r="AM86" s="226" t="s">
        <v>931</v>
      </c>
      <c r="AN86" s="253"/>
      <c r="AO86" s="724"/>
      <c r="AP86" s="724"/>
      <c r="AQ86" s="566"/>
      <c r="AR86" s="344"/>
      <c r="AS86" s="511" t="s">
        <v>4859</v>
      </c>
      <c r="AT86" s="1401" t="s">
        <v>2043</v>
      </c>
      <c r="AU86" s="2331" t="str">
        <f>IF(PassiveIncomeLoss="","",ABS(PassiveIncomeLoss))</f>
        <v/>
      </c>
      <c r="AV86" s="4978"/>
      <c r="AW86" s="253"/>
      <c r="BH86" s="421"/>
      <c r="BI86" s="421"/>
    </row>
    <row r="87" spans="1:62" ht="18.75" customHeight="1" thickBot="1">
      <c r="A87" s="2013"/>
      <c r="B87" s="10178"/>
      <c r="C87" s="10178"/>
      <c r="D87" s="10178"/>
      <c r="E87" s="10178"/>
      <c r="F87" s="10178"/>
      <c r="G87" s="10178"/>
      <c r="H87" s="10178"/>
      <c r="I87" s="10178"/>
      <c r="J87" s="10178"/>
      <c r="K87" s="10178"/>
      <c r="L87" s="10178"/>
      <c r="M87" s="10179"/>
      <c r="N87" s="10547"/>
      <c r="O87" s="10548"/>
      <c r="P87" s="10548"/>
      <c r="Q87" s="10548"/>
      <c r="R87" s="10549"/>
      <c r="S87" s="10560"/>
      <c r="T87" s="10561"/>
      <c r="U87" s="10561"/>
      <c r="V87" s="10561"/>
      <c r="W87" s="10561"/>
      <c r="X87" s="10562"/>
      <c r="Y87" s="10544" t="str">
        <f>IF(S87="","",S87/$S$93)</f>
        <v/>
      </c>
      <c r="Z87" s="10545"/>
      <c r="AA87" s="10545"/>
      <c r="AB87" s="10545"/>
      <c r="AC87" s="10545"/>
      <c r="AD87" s="10546"/>
      <c r="AE87" s="10563" t="str">
        <f>IF(AM87&lt;&gt;"",ROUND(AM87,0),IF(OR(PassiveIncomeLoss="",S87=""),"",ROUND($AU$90*Y87,0)))</f>
        <v/>
      </c>
      <c r="AF87" s="10564"/>
      <c r="AG87" s="10564"/>
      <c r="AH87" s="10564"/>
      <c r="AI87" s="10564"/>
      <c r="AJ87" s="10564"/>
      <c r="AK87" s="2013"/>
      <c r="AL87" s="1039">
        <f>IF(S87&lt;&gt;"",1,0)</f>
        <v>0</v>
      </c>
      <c r="AM87" s="6990"/>
      <c r="AN87" s="253"/>
      <c r="AO87" s="724"/>
      <c r="AP87" s="724"/>
      <c r="AQ87" s="566"/>
      <c r="AR87" s="344"/>
      <c r="AS87" s="511"/>
      <c r="AT87" s="344"/>
      <c r="AU87" s="253"/>
      <c r="AV87" s="4978"/>
      <c r="AW87" s="253"/>
    </row>
    <row r="88" spans="1:62" ht="18.75" customHeight="1" thickBot="1">
      <c r="A88" s="2013"/>
      <c r="B88" s="10178"/>
      <c r="C88" s="10178"/>
      <c r="D88" s="10178"/>
      <c r="E88" s="10178"/>
      <c r="F88" s="10178"/>
      <c r="G88" s="10178"/>
      <c r="H88" s="10178"/>
      <c r="I88" s="10178"/>
      <c r="J88" s="10178"/>
      <c r="K88" s="10178"/>
      <c r="L88" s="10178"/>
      <c r="M88" s="10179"/>
      <c r="N88" s="10547"/>
      <c r="O88" s="10548"/>
      <c r="P88" s="10548"/>
      <c r="Q88" s="10548"/>
      <c r="R88" s="10549"/>
      <c r="S88" s="10560"/>
      <c r="T88" s="10561"/>
      <c r="U88" s="10561"/>
      <c r="V88" s="10561"/>
      <c r="W88" s="10561"/>
      <c r="X88" s="10562"/>
      <c r="Y88" s="10544" t="str">
        <f>IF(S88="","",S88/$S$93)</f>
        <v/>
      </c>
      <c r="Z88" s="10545"/>
      <c r="AA88" s="10545"/>
      <c r="AB88" s="10545"/>
      <c r="AC88" s="10545"/>
      <c r="AD88" s="10546"/>
      <c r="AE88" s="10563" t="str">
        <f>IF(AM88&lt;&gt;"",ROUND(AM88,0),IF(OR(PassiveIncomeLoss="",S88=""),"",ROUND($AU$90*Y88,0)))</f>
        <v/>
      </c>
      <c r="AF88" s="10564"/>
      <c r="AG88" s="10564"/>
      <c r="AH88" s="10564"/>
      <c r="AI88" s="10564"/>
      <c r="AJ88" s="10564"/>
      <c r="AK88" s="2013"/>
      <c r="AL88" s="1039">
        <f>IF(S88&lt;&gt;"",1,0)</f>
        <v>0</v>
      </c>
      <c r="AM88" s="6990"/>
      <c r="AN88" s="4477"/>
      <c r="AO88" s="5007"/>
      <c r="AP88" s="5007"/>
      <c r="AQ88" s="566"/>
      <c r="AR88" s="349" t="s">
        <v>2046</v>
      </c>
      <c r="AS88" s="511" t="s">
        <v>4861</v>
      </c>
      <c r="AT88" s="1401" t="s">
        <v>2046</v>
      </c>
      <c r="AU88" s="2331" t="str">
        <f>F8582_Line9</f>
        <v/>
      </c>
      <c r="AV88" s="409"/>
      <c r="AW88" s="253"/>
    </row>
    <row r="89" spans="1:62" ht="18.75" customHeight="1" thickBot="1">
      <c r="A89" s="2013"/>
      <c r="B89" s="10178"/>
      <c r="C89" s="10178"/>
      <c r="D89" s="10178"/>
      <c r="E89" s="10178"/>
      <c r="F89" s="10178"/>
      <c r="G89" s="10178"/>
      <c r="H89" s="10178"/>
      <c r="I89" s="10178"/>
      <c r="J89" s="10178"/>
      <c r="K89" s="10178"/>
      <c r="L89" s="10178"/>
      <c r="M89" s="10179"/>
      <c r="N89" s="10547"/>
      <c r="O89" s="10548"/>
      <c r="P89" s="10548"/>
      <c r="Q89" s="10548"/>
      <c r="R89" s="10549"/>
      <c r="S89" s="10560"/>
      <c r="T89" s="10561"/>
      <c r="U89" s="10561"/>
      <c r="V89" s="10561"/>
      <c r="W89" s="10561"/>
      <c r="X89" s="10562"/>
      <c r="Y89" s="10544" t="str">
        <f>IF(S89="","",S89/$S$93)</f>
        <v/>
      </c>
      <c r="Z89" s="10545"/>
      <c r="AA89" s="10545"/>
      <c r="AB89" s="10545"/>
      <c r="AC89" s="10545"/>
      <c r="AD89" s="10546"/>
      <c r="AE89" s="10563" t="str">
        <f>IF(AM89&lt;&gt;"",ROUND(AM89,0),IF(OR(PassiveIncomeLoss="",S89=""),"",ROUND($AU$90*Y89,0)))</f>
        <v/>
      </c>
      <c r="AF89" s="10564"/>
      <c r="AG89" s="10564"/>
      <c r="AH89" s="10564"/>
      <c r="AI89" s="10564"/>
      <c r="AJ89" s="10564"/>
      <c r="AK89" s="2013"/>
      <c r="AL89" s="1039">
        <f>IF(S89&lt;&gt;"",1,0)</f>
        <v>0</v>
      </c>
      <c r="AM89" s="6990"/>
      <c r="AN89" s="4477"/>
      <c r="AO89" s="5007"/>
      <c r="AP89" s="5007"/>
      <c r="AQ89" s="566"/>
      <c r="AR89" s="344"/>
      <c r="AS89" s="511"/>
      <c r="AT89" s="344"/>
      <c r="AU89" s="512">
        <f>IF(F8582_Line9="",0,F8582_Line9)</f>
        <v>0</v>
      </c>
      <c r="AV89" s="409"/>
      <c r="AW89" s="4477"/>
    </row>
    <row r="90" spans="1:62" ht="18.75" customHeight="1" thickBot="1">
      <c r="A90" s="2013"/>
      <c r="B90" s="10178"/>
      <c r="C90" s="10178"/>
      <c r="D90" s="10178"/>
      <c r="E90" s="10178"/>
      <c r="F90" s="10178"/>
      <c r="G90" s="10178"/>
      <c r="H90" s="10178"/>
      <c r="I90" s="10178"/>
      <c r="J90" s="10178"/>
      <c r="K90" s="10178"/>
      <c r="L90" s="10178"/>
      <c r="M90" s="10179"/>
      <c r="N90" s="10547"/>
      <c r="O90" s="10548"/>
      <c r="P90" s="10548"/>
      <c r="Q90" s="10548"/>
      <c r="R90" s="10549"/>
      <c r="S90" s="10560"/>
      <c r="T90" s="10561"/>
      <c r="U90" s="10561"/>
      <c r="V90" s="10561"/>
      <c r="W90" s="10561"/>
      <c r="X90" s="10562"/>
      <c r="Y90" s="10544" t="str">
        <f>IF(S90="","",S90/$S$93)</f>
        <v/>
      </c>
      <c r="Z90" s="10545"/>
      <c r="AA90" s="10545"/>
      <c r="AB90" s="10545"/>
      <c r="AC90" s="10545"/>
      <c r="AD90" s="10546"/>
      <c r="AE90" s="10563" t="str">
        <f>IF(AM90&lt;&gt;"",ROUND(AM90,0),IF(OR(PassiveIncomeLoss="",S90=""),"",ROUND($AU$90*Y90,0)))</f>
        <v/>
      </c>
      <c r="AF90" s="10564"/>
      <c r="AG90" s="10564"/>
      <c r="AH90" s="10564"/>
      <c r="AI90" s="10564"/>
      <c r="AJ90" s="10564"/>
      <c r="AK90" s="2013"/>
      <c r="AL90" s="1039">
        <f>IF(S90&lt;&gt;"",1,0)</f>
        <v>0</v>
      </c>
      <c r="AM90" s="6990"/>
      <c r="AN90" s="4477"/>
      <c r="AO90" s="5007"/>
      <c r="AP90" s="5007"/>
      <c r="AQ90" s="566"/>
      <c r="AR90" s="349" t="s">
        <v>2049</v>
      </c>
      <c r="AS90" s="5040" t="s">
        <v>4862</v>
      </c>
      <c r="AT90" s="1401" t="s">
        <v>2049</v>
      </c>
      <c r="AU90" s="2331" t="str">
        <f>IF(PassiveIncomeLoss="","",SUM(AU86,-AU89))</f>
        <v/>
      </c>
      <c r="AV90" s="4978"/>
      <c r="AW90" s="4477"/>
    </row>
    <row r="91" spans="1:62" ht="18.75" customHeight="1" thickBot="1">
      <c r="A91" s="2013"/>
      <c r="B91" s="10636"/>
      <c r="C91" s="10636"/>
      <c r="D91" s="10636"/>
      <c r="E91" s="10636"/>
      <c r="F91" s="10636"/>
      <c r="G91" s="10636"/>
      <c r="H91" s="10636"/>
      <c r="I91" s="10636"/>
      <c r="J91" s="10636"/>
      <c r="K91" s="10636"/>
      <c r="L91" s="10636"/>
      <c r="M91" s="10637"/>
      <c r="N91" s="10547"/>
      <c r="O91" s="10548"/>
      <c r="P91" s="10548"/>
      <c r="Q91" s="10548"/>
      <c r="R91" s="10549"/>
      <c r="S91" s="10585"/>
      <c r="T91" s="10586"/>
      <c r="U91" s="10586"/>
      <c r="V91" s="10586"/>
      <c r="W91" s="10586"/>
      <c r="X91" s="10587"/>
      <c r="Y91" s="10544" t="str">
        <f>IF(S91="","",S91/$S$93)</f>
        <v/>
      </c>
      <c r="Z91" s="10545"/>
      <c r="AA91" s="10545"/>
      <c r="AB91" s="10545"/>
      <c r="AC91" s="10545"/>
      <c r="AD91" s="10546"/>
      <c r="AE91" s="10563" t="str">
        <f>IF(AM91&lt;&gt;"",ROUND(AM91,0),IF(OR(PassiveIncomeLoss="",S91=""),"",ROUND($AU$90*Y91,0)))</f>
        <v/>
      </c>
      <c r="AF91" s="10564"/>
      <c r="AG91" s="10564"/>
      <c r="AH91" s="10564"/>
      <c r="AI91" s="10564"/>
      <c r="AJ91" s="10564"/>
      <c r="AK91" s="2013"/>
      <c r="AL91" s="1039">
        <f>IF(S91&lt;&gt;"",1,0)</f>
        <v>0</v>
      </c>
      <c r="AM91" s="6990"/>
      <c r="AN91" s="253"/>
      <c r="AO91" s="724"/>
      <c r="AP91" s="724"/>
      <c r="AQ91" s="566"/>
      <c r="AR91" s="344"/>
      <c r="AS91" s="344"/>
      <c r="AT91" s="344"/>
      <c r="AU91" s="253"/>
      <c r="AV91" s="409"/>
      <c r="AW91" s="4477"/>
    </row>
    <row r="92" spans="1:62" ht="16.5" customHeight="1" thickBot="1">
      <c r="A92" s="2013"/>
      <c r="B92" s="377"/>
      <c r="C92" s="5019"/>
      <c r="D92" s="5019"/>
      <c r="E92" s="5019"/>
      <c r="F92" s="5019"/>
      <c r="G92" s="5019"/>
      <c r="H92" s="5019"/>
      <c r="I92" s="5019"/>
      <c r="J92" s="5019"/>
      <c r="K92" s="5019"/>
      <c r="L92" s="5019"/>
      <c r="M92" s="5019"/>
      <c r="N92" s="5019"/>
      <c r="O92" s="5019"/>
      <c r="P92" s="5019"/>
      <c r="Q92" s="5019"/>
      <c r="R92" s="5035"/>
      <c r="S92" s="5036"/>
      <c r="T92" s="5019"/>
      <c r="U92" s="5019"/>
      <c r="V92" s="5019"/>
      <c r="W92" s="5019"/>
      <c r="X92" s="5035"/>
      <c r="Y92" s="10651"/>
      <c r="Z92" s="10652"/>
      <c r="AA92" s="10652"/>
      <c r="AB92" s="10652"/>
      <c r="AC92" s="10652"/>
      <c r="AD92" s="10653"/>
      <c r="AE92" s="5036"/>
      <c r="AF92" s="5019"/>
      <c r="AG92" s="5019"/>
      <c r="AH92" s="5019"/>
      <c r="AI92" s="5019"/>
      <c r="AJ92" s="5019"/>
      <c r="AK92" s="2013"/>
      <c r="AL92" s="3812">
        <f>SUM(AL87:AL91)</f>
        <v>0</v>
      </c>
      <c r="AM92" s="2868"/>
      <c r="AN92" s="253"/>
      <c r="AO92" s="724"/>
      <c r="AP92" s="724"/>
      <c r="AQ92" s="566"/>
      <c r="AR92" s="1323" t="s">
        <v>4863</v>
      </c>
      <c r="AS92" s="344"/>
      <c r="AT92" s="344"/>
      <c r="AU92" s="253"/>
      <c r="AV92" s="4978"/>
      <c r="AW92" s="253"/>
      <c r="BJ92" s="579"/>
    </row>
    <row r="93" spans="1:62" ht="16.5" customHeight="1" thickBot="1">
      <c r="A93" s="2013"/>
      <c r="B93" s="5020" t="s">
        <v>224</v>
      </c>
      <c r="C93" s="5021"/>
      <c r="D93" s="5021"/>
      <c r="E93" s="5021"/>
      <c r="F93" s="5021"/>
      <c r="G93" s="5021"/>
      <c r="H93" s="5021"/>
      <c r="I93" s="5021"/>
      <c r="J93" s="5021"/>
      <c r="K93" s="5021"/>
      <c r="L93" s="5021"/>
      <c r="M93" s="5021"/>
      <c r="N93" s="5042"/>
      <c r="O93" s="5042"/>
      <c r="P93" s="5042"/>
      <c r="Q93" s="5042"/>
      <c r="R93" s="1658" t="s">
        <v>3758</v>
      </c>
      <c r="S93" s="10541" t="str">
        <f>IF(AL92=0,"",SUM(ROUND(S87,0),ROUND(S88,0),ROUND(S89,0),ROUND(S90,0),ROUND(S91,0)))</f>
        <v/>
      </c>
      <c r="T93" s="10542"/>
      <c r="U93" s="10542"/>
      <c r="V93" s="10542"/>
      <c r="W93" s="10542"/>
      <c r="X93" s="10543"/>
      <c r="Y93" s="10702">
        <v>1</v>
      </c>
      <c r="Z93" s="10703"/>
      <c r="AA93" s="10703"/>
      <c r="AB93" s="10703"/>
      <c r="AC93" s="10703"/>
      <c r="AD93" s="10704"/>
      <c r="AE93" s="10541" t="str">
        <f>IF(AND(PassiveIncomeLoss&lt;&gt;"",AL92&gt;0),SUM(AE87:AJ91),"")</f>
        <v/>
      </c>
      <c r="AF93" s="10542"/>
      <c r="AG93" s="10542"/>
      <c r="AH93" s="10542"/>
      <c r="AI93" s="10542"/>
      <c r="AJ93" s="10542"/>
      <c r="AK93" s="2013"/>
      <c r="AL93" s="712"/>
      <c r="AM93" s="1113"/>
      <c r="AN93" s="253"/>
      <c r="AO93" s="724"/>
      <c r="AP93" s="724"/>
      <c r="AQ93" s="5013"/>
      <c r="AR93" s="1323" t="s">
        <v>4864</v>
      </c>
      <c r="AS93" s="344"/>
      <c r="AT93" s="344"/>
      <c r="AU93" s="253"/>
      <c r="AV93" s="409"/>
      <c r="AW93" s="253"/>
    </row>
    <row r="94" spans="1:62" s="815" customFormat="1" ht="16.5" customHeight="1">
      <c r="A94" s="2013"/>
      <c r="B94" s="10692" t="s">
        <v>3430</v>
      </c>
      <c r="C94" s="10692"/>
      <c r="D94" s="342"/>
      <c r="E94" s="2874" t="s">
        <v>4835</v>
      </c>
      <c r="F94" s="253"/>
      <c r="G94" s="253"/>
      <c r="H94" s="253"/>
      <c r="I94" s="253"/>
      <c r="J94" s="253"/>
      <c r="K94" s="253"/>
      <c r="L94" s="253"/>
      <c r="M94" s="253"/>
      <c r="N94" s="253"/>
      <c r="O94" s="253"/>
      <c r="P94" s="253"/>
      <c r="Q94" s="253"/>
      <c r="R94" s="253"/>
      <c r="S94" s="253"/>
      <c r="T94" s="253"/>
      <c r="U94" s="253"/>
      <c r="V94" s="253"/>
      <c r="W94" s="253"/>
      <c r="X94" s="253"/>
      <c r="Y94" s="253"/>
      <c r="Z94" s="253"/>
      <c r="AA94" s="253"/>
      <c r="AB94" s="253"/>
      <c r="AC94" s="253"/>
      <c r="AD94" s="253"/>
      <c r="AE94" s="253"/>
      <c r="AF94" s="253"/>
      <c r="AG94" s="253"/>
      <c r="AH94" s="253"/>
      <c r="AI94" s="253"/>
      <c r="AJ94" s="253"/>
      <c r="AK94" s="2013"/>
      <c r="AL94" s="4479"/>
      <c r="AM94" s="226"/>
      <c r="AN94" s="4477"/>
      <c r="AO94" s="5007"/>
      <c r="AP94" s="5007"/>
      <c r="AQ94" s="5032"/>
      <c r="AR94" s="5043"/>
      <c r="AS94" s="5043"/>
      <c r="AT94" s="5043"/>
      <c r="AU94" s="4995"/>
      <c r="AV94" s="414"/>
      <c r="AW94" s="253"/>
      <c r="AX94" s="1640"/>
      <c r="AY94" s="658"/>
      <c r="AZ94" s="658"/>
      <c r="BA94" s="658"/>
      <c r="BB94" s="658"/>
      <c r="BC94" s="658"/>
      <c r="BD94" s="658"/>
      <c r="BE94" s="658"/>
      <c r="BF94" s="658"/>
      <c r="BG94" s="658"/>
      <c r="BH94"/>
      <c r="BI94"/>
    </row>
    <row r="95" spans="1:62" ht="16.5" customHeight="1">
      <c r="A95" s="2013"/>
      <c r="B95" s="10693" t="s">
        <v>3910</v>
      </c>
      <c r="C95" s="10693"/>
      <c r="D95" s="10693"/>
      <c r="E95" s="10693"/>
      <c r="F95" s="10693"/>
      <c r="G95" s="10693"/>
      <c r="H95" s="10693"/>
      <c r="I95" s="10693"/>
      <c r="J95" s="10693"/>
      <c r="K95" s="10693"/>
      <c r="L95" s="10693"/>
      <c r="M95" s="10694"/>
      <c r="N95" s="10639" t="s">
        <v>3920</v>
      </c>
      <c r="O95" s="10640"/>
      <c r="P95" s="10640"/>
      <c r="Q95" s="10640"/>
      <c r="R95" s="10641"/>
      <c r="S95" s="10588" t="s">
        <v>4820</v>
      </c>
      <c r="T95" s="10589"/>
      <c r="U95" s="10589"/>
      <c r="V95" s="10589"/>
      <c r="W95" s="10589"/>
      <c r="X95" s="10648"/>
      <c r="Y95" s="10578" t="s">
        <v>4822</v>
      </c>
      <c r="Z95" s="10579"/>
      <c r="AA95" s="10579"/>
      <c r="AB95" s="10579"/>
      <c r="AC95" s="10579"/>
      <c r="AD95" s="10580"/>
      <c r="AE95" s="10588" t="s">
        <v>4821</v>
      </c>
      <c r="AF95" s="10589"/>
      <c r="AG95" s="10589"/>
      <c r="AH95" s="10589"/>
      <c r="AI95" s="10589"/>
      <c r="AJ95" s="10589"/>
      <c r="AK95" s="2013"/>
      <c r="AL95" s="253"/>
      <c r="AM95" s="253"/>
      <c r="AN95" s="253"/>
      <c r="AO95" s="724"/>
      <c r="AP95" s="724"/>
      <c r="AQ95" s="711"/>
      <c r="AR95" s="711"/>
      <c r="AS95" s="711"/>
      <c r="AT95" s="711"/>
      <c r="AU95" s="711"/>
      <c r="AV95" s="253"/>
      <c r="AW95" s="4477"/>
      <c r="BH95" s="421"/>
      <c r="BI95" s="421"/>
    </row>
    <row r="96" spans="1:62" ht="16.5" customHeight="1">
      <c r="A96" s="2013"/>
      <c r="B96" s="10695"/>
      <c r="C96" s="10695"/>
      <c r="D96" s="10695"/>
      <c r="E96" s="10695"/>
      <c r="F96" s="10695"/>
      <c r="G96" s="10695"/>
      <c r="H96" s="10695"/>
      <c r="I96" s="10695"/>
      <c r="J96" s="10695"/>
      <c r="K96" s="10695"/>
      <c r="L96" s="10695"/>
      <c r="M96" s="10696"/>
      <c r="N96" s="10642"/>
      <c r="O96" s="10643"/>
      <c r="P96" s="10643"/>
      <c r="Q96" s="10643"/>
      <c r="R96" s="10644"/>
      <c r="S96" s="10590"/>
      <c r="T96" s="10591"/>
      <c r="U96" s="10591"/>
      <c r="V96" s="10591"/>
      <c r="W96" s="10591"/>
      <c r="X96" s="10649"/>
      <c r="Y96" s="10617"/>
      <c r="Z96" s="10618"/>
      <c r="AA96" s="10618"/>
      <c r="AB96" s="10618"/>
      <c r="AC96" s="10618"/>
      <c r="AD96" s="10619"/>
      <c r="AE96" s="10590"/>
      <c r="AF96" s="10591"/>
      <c r="AG96" s="10591"/>
      <c r="AH96" s="10591"/>
      <c r="AI96" s="10591"/>
      <c r="AJ96" s="10591"/>
      <c r="AK96" s="2013"/>
      <c r="AL96" s="253"/>
      <c r="AM96" s="3812"/>
      <c r="AN96" s="253"/>
      <c r="AO96" s="724"/>
      <c r="AP96" s="724"/>
      <c r="AQ96" s="253"/>
      <c r="AR96" s="253"/>
      <c r="AS96" s="711"/>
      <c r="AT96" s="711"/>
      <c r="AU96" s="711"/>
      <c r="AV96" s="253"/>
      <c r="AW96" s="253"/>
      <c r="BH96" s="421"/>
      <c r="BI96" s="421"/>
    </row>
    <row r="97" spans="1:62" ht="16.5" customHeight="1">
      <c r="A97" s="2013"/>
      <c r="B97" s="10695"/>
      <c r="C97" s="10695"/>
      <c r="D97" s="10695"/>
      <c r="E97" s="10695"/>
      <c r="F97" s="10695"/>
      <c r="G97" s="10695"/>
      <c r="H97" s="10695"/>
      <c r="I97" s="10695"/>
      <c r="J97" s="10695"/>
      <c r="K97" s="10695"/>
      <c r="L97" s="10695"/>
      <c r="M97" s="10696"/>
      <c r="N97" s="10642"/>
      <c r="O97" s="10643"/>
      <c r="P97" s="10643"/>
      <c r="Q97" s="10643"/>
      <c r="R97" s="10644"/>
      <c r="S97" s="10590"/>
      <c r="T97" s="10591"/>
      <c r="U97" s="10591"/>
      <c r="V97" s="10591"/>
      <c r="W97" s="10591"/>
      <c r="X97" s="10649"/>
      <c r="Y97" s="10617"/>
      <c r="Z97" s="10618"/>
      <c r="AA97" s="10618"/>
      <c r="AB97" s="10618"/>
      <c r="AC97" s="10618"/>
      <c r="AD97" s="10619"/>
      <c r="AE97" s="10590"/>
      <c r="AF97" s="10591"/>
      <c r="AG97" s="10591"/>
      <c r="AH97" s="10591"/>
      <c r="AI97" s="10591"/>
      <c r="AJ97" s="10591"/>
      <c r="AK97" s="2013"/>
      <c r="AL97" s="253"/>
      <c r="AM97" s="226" t="s">
        <v>979</v>
      </c>
      <c r="AN97" s="253"/>
      <c r="AO97" s="724"/>
      <c r="AP97" s="724"/>
      <c r="AQ97" s="253"/>
      <c r="AR97" s="253"/>
      <c r="AS97" s="253"/>
      <c r="AT97" s="253"/>
      <c r="AU97" s="253"/>
      <c r="AV97" s="4477"/>
      <c r="AW97" s="253"/>
      <c r="BH97" s="421"/>
      <c r="BI97" s="421"/>
    </row>
    <row r="98" spans="1:62" ht="16.5" customHeight="1" thickBot="1">
      <c r="A98" s="2013"/>
      <c r="B98" s="10697"/>
      <c r="C98" s="10697"/>
      <c r="D98" s="10697"/>
      <c r="E98" s="10697"/>
      <c r="F98" s="10697"/>
      <c r="G98" s="10697"/>
      <c r="H98" s="10697"/>
      <c r="I98" s="10697"/>
      <c r="J98" s="10697"/>
      <c r="K98" s="10697"/>
      <c r="L98" s="10697"/>
      <c r="M98" s="10698"/>
      <c r="N98" s="10645"/>
      <c r="O98" s="10646"/>
      <c r="P98" s="10646"/>
      <c r="Q98" s="10646"/>
      <c r="R98" s="10647"/>
      <c r="S98" s="10592"/>
      <c r="T98" s="10593"/>
      <c r="U98" s="10593"/>
      <c r="V98" s="10593"/>
      <c r="W98" s="10593"/>
      <c r="X98" s="10650"/>
      <c r="Y98" s="10581"/>
      <c r="Z98" s="10582"/>
      <c r="AA98" s="10582"/>
      <c r="AB98" s="10582"/>
      <c r="AC98" s="10582"/>
      <c r="AD98" s="10583"/>
      <c r="AE98" s="10592"/>
      <c r="AF98" s="10593"/>
      <c r="AG98" s="10593"/>
      <c r="AH98" s="10593"/>
      <c r="AI98" s="10593"/>
      <c r="AJ98" s="10593"/>
      <c r="AK98" s="2013"/>
      <c r="AL98" s="253"/>
      <c r="AM98" s="226" t="s">
        <v>931</v>
      </c>
      <c r="AN98" s="253"/>
      <c r="AO98" s="724"/>
      <c r="AP98" s="724"/>
      <c r="AQ98" s="711"/>
      <c r="AR98" s="711"/>
      <c r="AS98" s="253"/>
      <c r="AT98" s="253"/>
      <c r="AU98" s="253"/>
      <c r="AV98" s="253"/>
      <c r="AW98" s="253"/>
      <c r="BH98" s="421"/>
      <c r="BI98" s="421"/>
    </row>
    <row r="99" spans="1:62" ht="18.75" customHeight="1" thickBot="1">
      <c r="A99" s="2013"/>
      <c r="B99" s="10178"/>
      <c r="C99" s="10178"/>
      <c r="D99" s="10178"/>
      <c r="E99" s="10178"/>
      <c r="F99" s="10178"/>
      <c r="G99" s="10178"/>
      <c r="H99" s="10178"/>
      <c r="I99" s="10178"/>
      <c r="J99" s="10178"/>
      <c r="K99" s="10178"/>
      <c r="L99" s="10178"/>
      <c r="M99" s="10179"/>
      <c r="N99" s="10547"/>
      <c r="O99" s="10548"/>
      <c r="P99" s="10548"/>
      <c r="Q99" s="10548"/>
      <c r="R99" s="10549"/>
      <c r="S99" s="10560"/>
      <c r="T99" s="10561"/>
      <c r="U99" s="10561"/>
      <c r="V99" s="10561"/>
      <c r="W99" s="10561"/>
      <c r="X99" s="10562"/>
      <c r="Y99" s="10560"/>
      <c r="Z99" s="10561"/>
      <c r="AA99" s="10561"/>
      <c r="AB99" s="10561"/>
      <c r="AC99" s="10561"/>
      <c r="AD99" s="10562"/>
      <c r="AE99" s="10560" t="str">
        <f>IF(AM99&lt;&gt;"",ROUND(AM99,0),IF(AND(S99&lt;&gt;"",Y99&lt;&gt;""),SUM(S99,-Y99),""))</f>
        <v/>
      </c>
      <c r="AF99" s="10561"/>
      <c r="AG99" s="10561"/>
      <c r="AH99" s="10561"/>
      <c r="AI99" s="10561"/>
      <c r="AJ99" s="10561"/>
      <c r="AK99" s="2013"/>
      <c r="AL99" s="1039">
        <f>IF(AE99&lt;&gt;"",1,0)</f>
        <v>0</v>
      </c>
      <c r="AM99" s="6990"/>
      <c r="AN99" s="253"/>
      <c r="AO99" s="724"/>
      <c r="AP99" s="724"/>
      <c r="AQ99" s="711"/>
      <c r="AR99" s="711"/>
      <c r="AS99" s="711"/>
      <c r="AT99" s="711"/>
      <c r="AU99" s="711"/>
      <c r="AV99" s="253"/>
      <c r="AW99" s="253"/>
    </row>
    <row r="100" spans="1:62" ht="18.75" customHeight="1" thickBot="1">
      <c r="A100" s="2013"/>
      <c r="B100" s="10178"/>
      <c r="C100" s="10178"/>
      <c r="D100" s="10178"/>
      <c r="E100" s="10178"/>
      <c r="F100" s="10178"/>
      <c r="G100" s="10178"/>
      <c r="H100" s="10178"/>
      <c r="I100" s="10178"/>
      <c r="J100" s="10178"/>
      <c r="K100" s="10178"/>
      <c r="L100" s="10178"/>
      <c r="M100" s="10179"/>
      <c r="N100" s="10547"/>
      <c r="O100" s="10548"/>
      <c r="P100" s="10548"/>
      <c r="Q100" s="10548"/>
      <c r="R100" s="10549"/>
      <c r="S100" s="10560"/>
      <c r="T100" s="10561"/>
      <c r="U100" s="10561"/>
      <c r="V100" s="10561"/>
      <c r="W100" s="10561"/>
      <c r="X100" s="10562"/>
      <c r="Y100" s="10560"/>
      <c r="Z100" s="10561"/>
      <c r="AA100" s="10561"/>
      <c r="AB100" s="10561"/>
      <c r="AC100" s="10561"/>
      <c r="AD100" s="10562"/>
      <c r="AE100" s="10560" t="str">
        <f>IF(AM100&lt;&gt;"",ROUND(AM100,0),IF(AND(S100&lt;&gt;"",Y100&lt;&gt;""),SUM(S100,-Y100),""))</f>
        <v/>
      </c>
      <c r="AF100" s="10561"/>
      <c r="AG100" s="10561"/>
      <c r="AH100" s="10561"/>
      <c r="AI100" s="10561"/>
      <c r="AJ100" s="10561"/>
      <c r="AK100" s="2013"/>
      <c r="AL100" s="1039">
        <f>IF(AE100&lt;&gt;"",1,0)</f>
        <v>0</v>
      </c>
      <c r="AM100" s="6990"/>
      <c r="AN100" s="4477"/>
      <c r="AO100" s="5007"/>
      <c r="AP100" s="5007"/>
      <c r="AQ100" s="1642"/>
      <c r="AR100" s="1642"/>
      <c r="AS100" s="1642"/>
      <c r="AT100" s="1642"/>
      <c r="AU100" s="1643"/>
      <c r="AV100" s="563"/>
      <c r="AW100" s="253"/>
    </row>
    <row r="101" spans="1:62" ht="18.75" customHeight="1" thickBot="1">
      <c r="A101" s="2013"/>
      <c r="B101" s="10178"/>
      <c r="C101" s="10178"/>
      <c r="D101" s="10178"/>
      <c r="E101" s="10178"/>
      <c r="F101" s="10178"/>
      <c r="G101" s="10178"/>
      <c r="H101" s="10178"/>
      <c r="I101" s="10178"/>
      <c r="J101" s="10178"/>
      <c r="K101" s="10178"/>
      <c r="L101" s="10178"/>
      <c r="M101" s="10179"/>
      <c r="N101" s="10547"/>
      <c r="O101" s="10548"/>
      <c r="P101" s="10548"/>
      <c r="Q101" s="10548"/>
      <c r="R101" s="10549"/>
      <c r="S101" s="10560"/>
      <c r="T101" s="10561"/>
      <c r="U101" s="10561"/>
      <c r="V101" s="10561"/>
      <c r="W101" s="10561"/>
      <c r="X101" s="10562"/>
      <c r="Y101" s="10560"/>
      <c r="Z101" s="10561"/>
      <c r="AA101" s="10561"/>
      <c r="AB101" s="10561"/>
      <c r="AC101" s="10561"/>
      <c r="AD101" s="10562"/>
      <c r="AE101" s="10560" t="str">
        <f>IF(AM101&lt;&gt;"",ROUND(AM101,0),IF(AND(S101&lt;&gt;"",Y101&lt;&gt;""),SUM(S101,-Y101),""))</f>
        <v/>
      </c>
      <c r="AF101" s="10561"/>
      <c r="AG101" s="10561"/>
      <c r="AH101" s="10561"/>
      <c r="AI101" s="10561"/>
      <c r="AJ101" s="10561"/>
      <c r="AK101" s="2013"/>
      <c r="AL101" s="1039">
        <f>IF(AE101&lt;&gt;"",1,0)</f>
        <v>0</v>
      </c>
      <c r="AM101" s="6990"/>
      <c r="AN101" s="4477"/>
      <c r="AO101" s="5007"/>
      <c r="AP101" s="5007"/>
      <c r="AQ101" s="253"/>
      <c r="AR101" s="253"/>
      <c r="AS101" s="253"/>
      <c r="AT101" s="253"/>
      <c r="AU101" s="253"/>
      <c r="AV101" s="4477"/>
      <c r="AW101" s="4477"/>
    </row>
    <row r="102" spans="1:62" ht="18.75" customHeight="1" thickBot="1">
      <c r="A102" s="2013"/>
      <c r="B102" s="10178"/>
      <c r="C102" s="10178"/>
      <c r="D102" s="10178"/>
      <c r="E102" s="10178"/>
      <c r="F102" s="10178"/>
      <c r="G102" s="10178"/>
      <c r="H102" s="10178"/>
      <c r="I102" s="10178"/>
      <c r="J102" s="10178"/>
      <c r="K102" s="10178"/>
      <c r="L102" s="10178"/>
      <c r="M102" s="10179"/>
      <c r="N102" s="10547"/>
      <c r="O102" s="10548"/>
      <c r="P102" s="10548"/>
      <c r="Q102" s="10548"/>
      <c r="R102" s="10549"/>
      <c r="S102" s="10560"/>
      <c r="T102" s="10561"/>
      <c r="U102" s="10561"/>
      <c r="V102" s="10561"/>
      <c r="W102" s="10561"/>
      <c r="X102" s="10562"/>
      <c r="Y102" s="10560"/>
      <c r="Z102" s="10561"/>
      <c r="AA102" s="10561"/>
      <c r="AB102" s="10561"/>
      <c r="AC102" s="10561"/>
      <c r="AD102" s="10562"/>
      <c r="AE102" s="10560" t="str">
        <f>IF(AM102&lt;&gt;"",ROUND(AM102,0),IF(AND(S102&lt;&gt;"",Y102&lt;&gt;""),SUM(S102,-Y102),""))</f>
        <v/>
      </c>
      <c r="AF102" s="10561"/>
      <c r="AG102" s="10561"/>
      <c r="AH102" s="10561"/>
      <c r="AI102" s="10561"/>
      <c r="AJ102" s="10561"/>
      <c r="AK102" s="2013"/>
      <c r="AL102" s="1039">
        <f>IF(AE102&lt;&gt;"",1,0)</f>
        <v>0</v>
      </c>
      <c r="AM102" s="6990"/>
      <c r="AN102" s="4477"/>
      <c r="AO102" s="5007"/>
      <c r="AP102" s="5007"/>
      <c r="AQ102" s="253"/>
      <c r="AR102" s="253"/>
      <c r="AS102" s="253"/>
      <c r="AT102" s="253"/>
      <c r="AU102" s="253"/>
      <c r="AV102" s="4477"/>
      <c r="AW102" s="4477"/>
    </row>
    <row r="103" spans="1:62" ht="18.75" customHeight="1" thickBot="1">
      <c r="A103" s="2013"/>
      <c r="B103" s="10636"/>
      <c r="C103" s="10636"/>
      <c r="D103" s="10636"/>
      <c r="E103" s="10636"/>
      <c r="F103" s="10636"/>
      <c r="G103" s="10636"/>
      <c r="H103" s="10636"/>
      <c r="I103" s="10636"/>
      <c r="J103" s="10636"/>
      <c r="K103" s="10636"/>
      <c r="L103" s="10636"/>
      <c r="M103" s="10637"/>
      <c r="N103" s="10547"/>
      <c r="O103" s="10548"/>
      <c r="P103" s="10548"/>
      <c r="Q103" s="10548"/>
      <c r="R103" s="10549"/>
      <c r="S103" s="10560"/>
      <c r="T103" s="10561"/>
      <c r="U103" s="10561"/>
      <c r="V103" s="10561"/>
      <c r="W103" s="10561"/>
      <c r="X103" s="10562"/>
      <c r="Y103" s="10560"/>
      <c r="Z103" s="10561"/>
      <c r="AA103" s="10561"/>
      <c r="AB103" s="10561"/>
      <c r="AC103" s="10561"/>
      <c r="AD103" s="10562"/>
      <c r="AE103" s="10560" t="str">
        <f>IF(AM103&lt;&gt;"",ROUND(AM103,0),IF(AND(S103&lt;&gt;"",Y103&lt;&gt;""),SUM(S103,-Y103),""))</f>
        <v/>
      </c>
      <c r="AF103" s="10561"/>
      <c r="AG103" s="10561"/>
      <c r="AH103" s="10561"/>
      <c r="AI103" s="10561"/>
      <c r="AJ103" s="10561"/>
      <c r="AK103" s="2013"/>
      <c r="AL103" s="1039">
        <f>IF(AE103&lt;&gt;"",1,0)</f>
        <v>0</v>
      </c>
      <c r="AM103" s="6990"/>
      <c r="AN103" s="253"/>
      <c r="AO103" s="724"/>
      <c r="AP103" s="724"/>
      <c r="AQ103" s="253"/>
      <c r="AR103" s="253"/>
      <c r="AS103" s="253"/>
      <c r="AT103" s="253"/>
      <c r="AU103" s="253"/>
      <c r="AV103" s="4477"/>
      <c r="AW103" s="4477"/>
    </row>
    <row r="104" spans="1:62" ht="16.5" customHeight="1" thickBot="1">
      <c r="A104" s="2013"/>
      <c r="B104" s="377"/>
      <c r="C104" s="5019"/>
      <c r="D104" s="5019"/>
      <c r="E104" s="5019"/>
      <c r="F104" s="5019"/>
      <c r="G104" s="5019"/>
      <c r="H104" s="5019"/>
      <c r="I104" s="5019"/>
      <c r="J104" s="5019"/>
      <c r="K104" s="5019"/>
      <c r="L104" s="5019"/>
      <c r="M104" s="5019"/>
      <c r="N104" s="5019"/>
      <c r="O104" s="5019"/>
      <c r="P104" s="5019"/>
      <c r="Q104" s="5019"/>
      <c r="R104" s="5035"/>
      <c r="S104" s="5036"/>
      <c r="T104" s="5019"/>
      <c r="U104" s="5019"/>
      <c r="V104" s="5019"/>
      <c r="W104" s="5019"/>
      <c r="X104" s="5035"/>
      <c r="Y104" s="5036"/>
      <c r="Z104" s="5019"/>
      <c r="AA104" s="5019"/>
      <c r="AB104" s="5019"/>
      <c r="AC104" s="5019"/>
      <c r="AD104" s="5019"/>
      <c r="AE104" s="5036"/>
      <c r="AF104" s="5019"/>
      <c r="AG104" s="5019"/>
      <c r="AH104" s="5019"/>
      <c r="AI104" s="5019"/>
      <c r="AJ104" s="5019"/>
      <c r="AK104" s="2013"/>
      <c r="AL104" s="3812">
        <f>SUM(AL99:AL103)</f>
        <v>0</v>
      </c>
      <c r="AM104" s="2868"/>
      <c r="AN104" s="253"/>
      <c r="AO104" s="724"/>
      <c r="AP104" s="724"/>
      <c r="AQ104" s="253"/>
      <c r="AR104" s="253"/>
      <c r="AS104" s="253"/>
      <c r="AT104" s="253"/>
      <c r="AU104" s="253"/>
      <c r="AV104" s="253"/>
      <c r="AW104" s="253"/>
      <c r="BJ104" s="579"/>
    </row>
    <row r="105" spans="1:62" ht="16.5" customHeight="1" thickBot="1">
      <c r="A105" s="2013"/>
      <c r="B105" s="5020" t="s">
        <v>224</v>
      </c>
      <c r="C105" s="5021"/>
      <c r="D105" s="5021"/>
      <c r="E105" s="5021"/>
      <c r="F105" s="5021"/>
      <c r="G105" s="5021"/>
      <c r="H105" s="5021"/>
      <c r="I105" s="5021"/>
      <c r="J105" s="5021"/>
      <c r="K105" s="5021"/>
      <c r="L105" s="5021"/>
      <c r="M105" s="5021"/>
      <c r="N105" s="5042"/>
      <c r="O105" s="5042"/>
      <c r="P105" s="5042"/>
      <c r="Q105" s="5042"/>
      <c r="R105" s="1658" t="s">
        <v>3758</v>
      </c>
      <c r="S105" s="10614" t="str">
        <f>IF(SUM(S99:X103)&gt;0,SUM(S99:X103),"")</f>
        <v/>
      </c>
      <c r="T105" s="10615"/>
      <c r="U105" s="10615"/>
      <c r="V105" s="10615"/>
      <c r="W105" s="10615"/>
      <c r="X105" s="10616"/>
      <c r="Y105" s="10614" t="str">
        <f>IF(SUM(Y99:AD103)&gt;0,SUM(Y99:AD103),"")</f>
        <v/>
      </c>
      <c r="Z105" s="10615"/>
      <c r="AA105" s="10615"/>
      <c r="AB105" s="10615"/>
      <c r="AC105" s="10615"/>
      <c r="AD105" s="10616"/>
      <c r="AE105" s="10614" t="str">
        <f>IF(AL104&gt;0,SUM(AE99:AJ103),"")</f>
        <v/>
      </c>
      <c r="AF105" s="10615"/>
      <c r="AG105" s="10615"/>
      <c r="AH105" s="10615"/>
      <c r="AI105" s="10615"/>
      <c r="AJ105" s="10615"/>
      <c r="AK105" s="2013"/>
      <c r="AL105" s="712"/>
      <c r="AM105" s="1113"/>
      <c r="AN105" s="253"/>
      <c r="AO105" s="724"/>
      <c r="AP105" s="724"/>
      <c r="AQ105" s="253"/>
      <c r="AR105" s="253"/>
      <c r="AS105" s="253"/>
      <c r="AT105" s="253"/>
      <c r="AU105" s="253"/>
      <c r="AV105" s="253"/>
      <c r="AW105" s="253"/>
    </row>
    <row r="106" spans="1:62" s="815" customFormat="1" ht="18">
      <c r="A106" s="2013"/>
      <c r="B106" s="2447"/>
      <c r="C106" s="728"/>
      <c r="D106" s="1560"/>
      <c r="E106" s="1560"/>
      <c r="F106" s="1560"/>
      <c r="G106" s="1560"/>
      <c r="H106" s="1560"/>
      <c r="I106" s="1560"/>
      <c r="J106" s="1560"/>
      <c r="K106" s="1560"/>
      <c r="L106" s="1560"/>
      <c r="M106" s="1560"/>
      <c r="N106" s="1560"/>
      <c r="O106" s="1560"/>
      <c r="P106" s="1560"/>
      <c r="Q106" s="88"/>
      <c r="R106" s="88"/>
      <c r="S106" s="88"/>
      <c r="T106" s="88"/>
      <c r="U106" s="3931"/>
      <c r="V106" s="88"/>
      <c r="W106" s="3931"/>
      <c r="X106" s="88"/>
      <c r="Y106" s="88"/>
      <c r="Z106" s="88"/>
      <c r="AA106" s="88"/>
      <c r="AB106" s="88"/>
      <c r="AC106" s="88"/>
      <c r="AD106" s="88"/>
      <c r="AE106" s="5022" t="s">
        <v>46</v>
      </c>
      <c r="AF106" s="10584">
        <v>8582</v>
      </c>
      <c r="AG106" s="10584"/>
      <c r="AH106" s="10584"/>
      <c r="AI106" s="88"/>
      <c r="AJ106" s="2052" t="str">
        <f>"("&amp;TaxYear&amp;")"</f>
        <v>(2025)</v>
      </c>
      <c r="AK106" s="2013"/>
      <c r="AL106" s="416"/>
      <c r="AM106" s="416"/>
      <c r="AN106" s="253"/>
      <c r="AO106" s="724"/>
      <c r="AP106" s="724"/>
      <c r="AQ106" s="253"/>
      <c r="AR106" s="253"/>
      <c r="AS106" s="253"/>
      <c r="AT106" s="253"/>
      <c r="AU106" s="253"/>
      <c r="AV106" s="253"/>
      <c r="AW106" s="253"/>
      <c r="AX106" s="1640"/>
      <c r="AY106" s="658"/>
      <c r="AZ106" s="658"/>
      <c r="BA106" s="658"/>
      <c r="BB106" s="658"/>
      <c r="BC106" s="658"/>
      <c r="BD106" s="658"/>
      <c r="BE106" s="658"/>
      <c r="BF106" s="658"/>
      <c r="BG106" s="658"/>
      <c r="BH106"/>
      <c r="BI106"/>
    </row>
    <row r="107" spans="1:62" s="815" customFormat="1" ht="22.5" customHeight="1" thickBot="1">
      <c r="A107" s="2013"/>
      <c r="B107" s="721" t="str">
        <f>"Form 8582 ("&amp;TaxYear&amp;")"</f>
        <v>Form 8582 (2025)</v>
      </c>
      <c r="C107" s="4484"/>
      <c r="D107" s="721"/>
      <c r="E107" s="721"/>
      <c r="F107" s="721"/>
      <c r="G107" s="721"/>
      <c r="H107" s="721"/>
      <c r="I107" s="721"/>
      <c r="J107" s="721"/>
      <c r="K107" s="721"/>
      <c r="L107" s="721"/>
      <c r="M107" s="721"/>
      <c r="N107" s="721"/>
      <c r="O107" s="721"/>
      <c r="P107" s="721"/>
      <c r="Q107" s="721"/>
      <c r="R107" s="721"/>
      <c r="S107" s="721"/>
      <c r="T107" s="721"/>
      <c r="U107" s="721"/>
      <c r="V107" s="721"/>
      <c r="W107" s="721"/>
      <c r="X107" s="721"/>
      <c r="Y107" s="721"/>
      <c r="Z107" s="721"/>
      <c r="AA107" s="721"/>
      <c r="AB107" s="721"/>
      <c r="AC107" s="721"/>
      <c r="AD107" s="721"/>
      <c r="AE107" s="721"/>
      <c r="AF107" s="721"/>
      <c r="AG107" s="721"/>
      <c r="AH107" s="721"/>
      <c r="AI107" s="2053" t="s">
        <v>2079</v>
      </c>
      <c r="AJ107" s="5023">
        <v>3</v>
      </c>
      <c r="AK107" s="2013"/>
      <c r="AL107" s="253"/>
      <c r="AM107" s="253"/>
      <c r="AN107" s="253"/>
      <c r="AO107" s="724"/>
      <c r="AP107" s="724"/>
      <c r="AQ107" s="253"/>
      <c r="AR107" s="253"/>
      <c r="AS107" s="253"/>
      <c r="AT107" s="253"/>
      <c r="AU107" s="253"/>
      <c r="AV107" s="253"/>
      <c r="AW107" s="253"/>
      <c r="AX107" s="1640"/>
      <c r="AY107" s="658"/>
      <c r="AZ107" s="658"/>
      <c r="BA107" s="658"/>
      <c r="BB107" s="658"/>
      <c r="BC107" s="658"/>
      <c r="BD107" s="658"/>
      <c r="BE107" s="658"/>
      <c r="BF107" s="658"/>
      <c r="BG107" s="658"/>
      <c r="BH107"/>
      <c r="BI107"/>
    </row>
    <row r="108" spans="1:62" s="815" customFormat="1" ht="18.75" customHeight="1" thickTop="1">
      <c r="A108" s="2013"/>
      <c r="B108" s="7865" t="s">
        <v>3438</v>
      </c>
      <c r="C108" s="7865"/>
      <c r="D108" s="4485"/>
      <c r="E108" s="5044" t="s">
        <v>4823</v>
      </c>
      <c r="F108" s="257"/>
      <c r="G108" s="257"/>
      <c r="H108" s="257"/>
      <c r="I108" s="257"/>
      <c r="J108" s="257"/>
      <c r="K108" s="257"/>
      <c r="L108" s="257"/>
      <c r="M108" s="5045"/>
      <c r="N108" s="5045"/>
      <c r="O108" s="5045"/>
      <c r="P108" s="5045"/>
      <c r="Q108" s="5045"/>
      <c r="R108" s="5045"/>
      <c r="S108" s="5045"/>
      <c r="T108" s="5045"/>
      <c r="U108" s="5045"/>
      <c r="V108" s="5045"/>
      <c r="W108" s="5045"/>
      <c r="X108" s="5045"/>
      <c r="Y108" s="5046"/>
      <c r="Z108" s="5046" t="s">
        <v>746</v>
      </c>
      <c r="AA108" s="5045"/>
      <c r="AB108" s="5045"/>
      <c r="AC108" s="5045"/>
      <c r="AD108" s="5045"/>
      <c r="AE108" s="5045"/>
      <c r="AF108" s="5045"/>
      <c r="AG108" s="5045"/>
      <c r="AH108" s="5045"/>
      <c r="AI108" s="5045"/>
      <c r="AJ108" s="5045"/>
      <c r="AK108" s="2013"/>
      <c r="AL108" s="253"/>
      <c r="AM108" s="253"/>
      <c r="AN108" s="253"/>
      <c r="AO108" s="724"/>
      <c r="AP108" s="724"/>
      <c r="AQ108" s="253"/>
      <c r="AR108" s="253"/>
      <c r="AS108" s="253"/>
      <c r="AT108" s="253"/>
      <c r="AU108" s="253"/>
      <c r="AV108" s="253"/>
      <c r="AW108" s="253"/>
      <c r="AX108" s="1640"/>
      <c r="AY108" s="658"/>
      <c r="AZ108" s="658"/>
      <c r="BA108" s="658"/>
      <c r="BB108" s="658"/>
      <c r="BC108" s="658"/>
      <c r="BD108" s="658"/>
      <c r="BE108" s="658"/>
      <c r="BF108" s="658"/>
      <c r="BG108" s="658"/>
      <c r="BH108"/>
      <c r="BI108"/>
    </row>
    <row r="109" spans="1:62" ht="16.5" customHeight="1">
      <c r="A109" s="2013"/>
      <c r="B109" s="2761" t="s">
        <v>4824</v>
      </c>
      <c r="C109" s="5047"/>
      <c r="D109" s="2354"/>
      <c r="E109" s="1206"/>
      <c r="F109" s="1206"/>
      <c r="G109" s="1206"/>
      <c r="H109" s="406"/>
      <c r="I109" s="406"/>
      <c r="J109" s="406"/>
      <c r="K109" s="406"/>
      <c r="L109" s="406"/>
      <c r="M109" s="8536" t="s">
        <v>2198</v>
      </c>
      <c r="N109" s="10620"/>
      <c r="O109" s="10620"/>
      <c r="P109" s="10621"/>
      <c r="Q109" s="8536" t="s">
        <v>2199</v>
      </c>
      <c r="R109" s="10620"/>
      <c r="S109" s="10620"/>
      <c r="T109" s="10621"/>
      <c r="U109" s="8536" t="s">
        <v>4825</v>
      </c>
      <c r="V109" s="10620"/>
      <c r="W109" s="10620"/>
      <c r="X109" s="10620"/>
      <c r="Y109" s="10621"/>
      <c r="Z109" s="10624" t="s">
        <v>4826</v>
      </c>
      <c r="AA109" s="10550"/>
      <c r="AB109" s="10550"/>
      <c r="AC109" s="10550"/>
      <c r="AD109" s="10550"/>
      <c r="AE109" s="10551"/>
      <c r="AF109" s="10625" t="s">
        <v>4827</v>
      </c>
      <c r="AG109" s="10620"/>
      <c r="AH109" s="10620"/>
      <c r="AI109" s="10620"/>
      <c r="AJ109" s="10620"/>
      <c r="AK109" s="2013"/>
      <c r="AL109" s="253"/>
      <c r="AM109" s="253"/>
      <c r="AN109" s="253"/>
      <c r="AO109" s="724"/>
      <c r="AP109" s="724"/>
      <c r="AQ109" s="253"/>
      <c r="AR109" s="253"/>
      <c r="AS109" s="253"/>
      <c r="AT109" s="253"/>
      <c r="AU109" s="253"/>
      <c r="AV109" s="253"/>
      <c r="AW109" s="253"/>
    </row>
    <row r="110" spans="1:62" ht="16.5" customHeight="1">
      <c r="A110" s="2013"/>
      <c r="B110" s="7234"/>
      <c r="C110" s="7234"/>
      <c r="D110" s="7234"/>
      <c r="E110" s="7234"/>
      <c r="F110" s="7234"/>
      <c r="G110" s="7234"/>
      <c r="H110" s="7234"/>
      <c r="I110" s="7234"/>
      <c r="J110" s="7234"/>
      <c r="K110" s="7234"/>
      <c r="L110" s="7235"/>
      <c r="M110" s="8518"/>
      <c r="N110" s="10622"/>
      <c r="O110" s="10622"/>
      <c r="P110" s="10623"/>
      <c r="Q110" s="8518"/>
      <c r="R110" s="10622"/>
      <c r="S110" s="10622"/>
      <c r="T110" s="10623"/>
      <c r="U110" s="8518"/>
      <c r="V110" s="10622"/>
      <c r="W110" s="10622"/>
      <c r="X110" s="10622"/>
      <c r="Y110" s="10623"/>
      <c r="Z110" s="10577"/>
      <c r="AA110" s="10554"/>
      <c r="AB110" s="10554"/>
      <c r="AC110" s="10554"/>
      <c r="AD110" s="10554"/>
      <c r="AE110" s="10555"/>
      <c r="AF110" s="8518"/>
      <c r="AG110" s="10622"/>
      <c r="AH110" s="10622"/>
      <c r="AI110" s="10622"/>
      <c r="AJ110" s="10622"/>
      <c r="AK110" s="2013"/>
      <c r="AL110" s="253"/>
      <c r="AM110" s="253"/>
      <c r="AN110" s="253"/>
      <c r="AO110" s="724"/>
      <c r="AP110" s="724"/>
      <c r="AQ110" s="253"/>
      <c r="AR110" s="253"/>
      <c r="AS110" s="253"/>
      <c r="AT110" s="253"/>
      <c r="AU110" s="253"/>
      <c r="AV110" s="253"/>
      <c r="AW110" s="253"/>
    </row>
    <row r="111" spans="1:62" ht="16.5" customHeight="1">
      <c r="A111" s="2013"/>
      <c r="B111" s="514" t="s">
        <v>4830</v>
      </c>
      <c r="C111" s="2917"/>
      <c r="D111" s="511"/>
      <c r="E111" s="416"/>
      <c r="F111" s="416"/>
      <c r="G111" s="416"/>
      <c r="H111" s="253"/>
      <c r="I111" s="253"/>
      <c r="J111" s="253"/>
      <c r="K111" s="253"/>
      <c r="L111" s="253"/>
      <c r="M111" s="10626"/>
      <c r="N111" s="10627"/>
      <c r="O111" s="10627"/>
      <c r="P111" s="9855"/>
      <c r="Q111" s="5048"/>
      <c r="R111" s="5049"/>
      <c r="S111" s="5049"/>
      <c r="T111" s="5050"/>
      <c r="U111" s="5048"/>
      <c r="V111" s="5049"/>
      <c r="W111" s="5049"/>
      <c r="X111" s="5049"/>
      <c r="Y111" s="5050"/>
      <c r="Z111" s="5048"/>
      <c r="AA111" s="5049"/>
      <c r="AB111" s="5049"/>
      <c r="AC111" s="5049"/>
      <c r="AD111" s="5049"/>
      <c r="AE111" s="5050"/>
      <c r="AF111" s="5048"/>
      <c r="AG111" s="5049"/>
      <c r="AH111" s="5049"/>
      <c r="AI111" s="5049"/>
      <c r="AJ111" s="5049"/>
      <c r="AK111" s="2013"/>
      <c r="AL111" s="253"/>
      <c r="AM111" s="253"/>
      <c r="AN111" s="253"/>
      <c r="AO111" s="724"/>
      <c r="AP111" s="724"/>
      <c r="AQ111" s="253"/>
      <c r="AR111" s="253"/>
      <c r="AS111" s="253"/>
      <c r="AT111" s="253"/>
      <c r="AU111" s="253"/>
      <c r="AV111" s="253"/>
      <c r="AW111" s="253"/>
    </row>
    <row r="112" spans="1:62" ht="16.5" customHeight="1">
      <c r="A112" s="2013"/>
      <c r="B112" s="514" t="s">
        <v>4831</v>
      </c>
      <c r="C112" s="2723"/>
      <c r="D112" s="511"/>
      <c r="E112" s="416"/>
      <c r="F112" s="416"/>
      <c r="G112" s="416"/>
      <c r="H112" s="416"/>
      <c r="I112" s="253"/>
      <c r="J112" s="253"/>
      <c r="K112" s="253"/>
      <c r="L112" s="253"/>
      <c r="M112" s="10628"/>
      <c r="N112" s="10629"/>
      <c r="O112" s="10629"/>
      <c r="P112" s="10630"/>
      <c r="Q112" s="5051"/>
      <c r="R112" s="1277"/>
      <c r="S112" s="1277"/>
      <c r="T112" s="5052"/>
      <c r="U112" s="5051"/>
      <c r="V112" s="1277"/>
      <c r="W112" s="1277"/>
      <c r="X112" s="1277"/>
      <c r="Y112" s="5052"/>
      <c r="Z112" s="5051"/>
      <c r="AA112" s="1277"/>
      <c r="AB112" s="1277"/>
      <c r="AC112" s="1277"/>
      <c r="AD112" s="1277"/>
      <c r="AE112" s="5052"/>
      <c r="AF112" s="5051"/>
      <c r="AG112" s="1277"/>
      <c r="AH112" s="1277"/>
      <c r="AI112" s="1277"/>
      <c r="AJ112" s="1277"/>
      <c r="AK112" s="2013"/>
      <c r="AL112" s="253"/>
      <c r="AM112" s="253"/>
      <c r="AN112" s="253"/>
      <c r="AO112" s="724"/>
      <c r="AP112" s="724"/>
      <c r="AQ112" s="253"/>
      <c r="AR112" s="253"/>
      <c r="AS112" s="253"/>
      <c r="AT112" s="253"/>
      <c r="AU112" s="253"/>
      <c r="AV112" s="253"/>
      <c r="AW112" s="253"/>
    </row>
    <row r="113" spans="1:49" ht="16.5" customHeight="1">
      <c r="A113" s="2013"/>
      <c r="B113" s="10634"/>
      <c r="C113" s="10634"/>
      <c r="D113" s="10634"/>
      <c r="E113" s="10634"/>
      <c r="F113" s="10634"/>
      <c r="G113" s="10634"/>
      <c r="H113" s="10634"/>
      <c r="I113" s="10634"/>
      <c r="J113" s="10634"/>
      <c r="K113" s="10634"/>
      <c r="L113" s="10635"/>
      <c r="M113" s="10631"/>
      <c r="N113" s="10632"/>
      <c r="O113" s="10632"/>
      <c r="P113" s="10633"/>
      <c r="Q113" s="5051"/>
      <c r="R113" s="1277"/>
      <c r="S113" s="1277"/>
      <c r="T113" s="5052"/>
      <c r="U113" s="5051"/>
      <c r="V113" s="1277"/>
      <c r="W113" s="1277"/>
      <c r="X113" s="1277"/>
      <c r="Y113" s="5052"/>
      <c r="Z113" s="5051"/>
      <c r="AA113" s="1277"/>
      <c r="AB113" s="1277"/>
      <c r="AC113" s="1277"/>
      <c r="AD113" s="1277"/>
      <c r="AE113" s="5052"/>
      <c r="AF113" s="5051"/>
      <c r="AG113" s="1277"/>
      <c r="AH113" s="1277"/>
      <c r="AI113" s="1277"/>
      <c r="AJ113" s="1277"/>
      <c r="AK113" s="2013"/>
      <c r="AL113" s="253"/>
      <c r="AM113" s="253"/>
      <c r="AN113" s="253"/>
      <c r="AO113" s="724"/>
      <c r="AP113" s="724"/>
      <c r="AQ113" s="253"/>
      <c r="AR113" s="253"/>
      <c r="AS113" s="253"/>
      <c r="AT113" s="253"/>
      <c r="AU113" s="253"/>
      <c r="AV113" s="253"/>
      <c r="AW113" s="253"/>
    </row>
    <row r="114" spans="1:49" ht="16.5" customHeight="1">
      <c r="A114" s="2013"/>
      <c r="B114" s="253"/>
      <c r="C114" s="2917" t="s">
        <v>333</v>
      </c>
      <c r="D114" s="1323" t="s">
        <v>4828</v>
      </c>
      <c r="E114" s="416"/>
      <c r="F114" s="416"/>
      <c r="G114" s="416"/>
      <c r="H114" s="253"/>
      <c r="I114" s="253"/>
      <c r="J114" s="253"/>
      <c r="K114" s="253"/>
      <c r="L114" s="253"/>
      <c r="M114" s="405"/>
      <c r="N114" s="406"/>
      <c r="O114" s="406"/>
      <c r="P114" s="407"/>
      <c r="Q114" s="5051"/>
      <c r="R114" s="1277"/>
      <c r="S114" s="1277"/>
      <c r="T114" s="5052"/>
      <c r="U114" s="5051"/>
      <c r="V114" s="1277"/>
      <c r="W114" s="1277"/>
      <c r="X114" s="1277"/>
      <c r="Y114" s="5052"/>
      <c r="Z114" s="5051"/>
      <c r="AA114" s="1277"/>
      <c r="AB114" s="1277"/>
      <c r="AC114" s="1277"/>
      <c r="AD114" s="1277"/>
      <c r="AE114" s="5052"/>
      <c r="AF114" s="5051"/>
      <c r="AG114" s="1277"/>
      <c r="AH114" s="1277"/>
      <c r="AI114" s="1277"/>
      <c r="AJ114" s="1277"/>
      <c r="AK114" s="2013"/>
      <c r="AL114" s="253"/>
      <c r="AM114" s="253"/>
      <c r="AN114" s="253"/>
      <c r="AO114" s="724"/>
      <c r="AP114" s="724"/>
      <c r="AQ114" s="253"/>
      <c r="AR114" s="253"/>
      <c r="AS114" s="253"/>
      <c r="AT114" s="253"/>
      <c r="AU114" s="253"/>
      <c r="AV114" s="253"/>
      <c r="AW114" s="253"/>
    </row>
    <row r="115" spans="1:49" ht="16.5" customHeight="1">
      <c r="A115" s="2013"/>
      <c r="B115" s="253"/>
      <c r="C115" s="2723"/>
      <c r="D115" s="1323" t="s">
        <v>4829</v>
      </c>
      <c r="E115" s="416"/>
      <c r="F115" s="416"/>
      <c r="G115" s="416"/>
      <c r="H115" s="416"/>
      <c r="I115" s="253"/>
      <c r="J115" s="253"/>
      <c r="K115" s="253"/>
      <c r="L115" s="253"/>
      <c r="M115" s="10662"/>
      <c r="N115" s="10663"/>
      <c r="O115" s="10663"/>
      <c r="P115" s="10664"/>
      <c r="Q115" s="5051"/>
      <c r="R115" s="1277"/>
      <c r="S115" s="1277"/>
      <c r="T115" s="5052"/>
      <c r="U115" s="5051"/>
      <c r="V115" s="1277"/>
      <c r="W115" s="1277"/>
      <c r="X115" s="1277"/>
      <c r="Y115" s="5052"/>
      <c r="Z115" s="5051"/>
      <c r="AA115" s="1277"/>
      <c r="AB115" s="1277"/>
      <c r="AC115" s="1277"/>
      <c r="AD115" s="1277"/>
      <c r="AE115" s="5052"/>
      <c r="AF115" s="5051"/>
      <c r="AG115" s="1277"/>
      <c r="AH115" s="1277"/>
      <c r="AI115" s="1277"/>
      <c r="AJ115" s="1277"/>
      <c r="AK115" s="2013"/>
      <c r="AL115" s="253"/>
      <c r="AM115" s="253"/>
      <c r="AN115" s="253"/>
      <c r="AO115" s="724"/>
      <c r="AP115" s="724"/>
      <c r="AQ115" s="253"/>
      <c r="AR115" s="253"/>
      <c r="AS115" s="253"/>
      <c r="AT115" s="253"/>
      <c r="AU115" s="253"/>
      <c r="AV115" s="253"/>
      <c r="AW115" s="253"/>
    </row>
    <row r="116" spans="1:49" ht="16.5" customHeight="1">
      <c r="A116" s="2013"/>
      <c r="B116" s="253"/>
      <c r="C116" s="2917"/>
      <c r="D116" s="511"/>
      <c r="E116" s="416"/>
      <c r="F116" s="416"/>
      <c r="G116" s="416"/>
      <c r="H116" s="253"/>
      <c r="I116" s="253"/>
      <c r="J116" s="253"/>
      <c r="K116" s="253"/>
      <c r="L116" s="253"/>
      <c r="M116" s="405"/>
      <c r="N116" s="406"/>
      <c r="O116" s="406"/>
      <c r="P116" s="407"/>
      <c r="Q116" s="5051"/>
      <c r="R116" s="1277"/>
      <c r="S116" s="1277"/>
      <c r="T116" s="5052"/>
      <c r="U116" s="5051"/>
      <c r="V116" s="1277"/>
      <c r="W116" s="1277"/>
      <c r="X116" s="1277"/>
      <c r="Y116" s="5052"/>
      <c r="Z116" s="5051"/>
      <c r="AA116" s="1277"/>
      <c r="AB116" s="1277"/>
      <c r="AC116" s="1277"/>
      <c r="AD116" s="1277"/>
      <c r="AE116" s="5052"/>
      <c r="AF116" s="5051"/>
      <c r="AG116" s="1277"/>
      <c r="AH116" s="1277"/>
      <c r="AI116" s="1277"/>
      <c r="AJ116" s="1277"/>
      <c r="AK116" s="2013"/>
      <c r="AL116" s="253"/>
      <c r="AM116" s="253"/>
      <c r="AN116" s="253"/>
      <c r="AO116" s="724"/>
      <c r="AP116" s="724"/>
      <c r="AQ116" s="253"/>
      <c r="AR116" s="253"/>
      <c r="AS116" s="253"/>
      <c r="AT116" s="253"/>
      <c r="AU116" s="253"/>
      <c r="AV116" s="253"/>
      <c r="AW116" s="253"/>
    </row>
    <row r="117" spans="1:49" ht="16.5" customHeight="1">
      <c r="A117" s="2013"/>
      <c r="B117" s="253"/>
      <c r="C117" s="2917" t="s">
        <v>592</v>
      </c>
      <c r="D117" s="1323" t="s">
        <v>4833</v>
      </c>
      <c r="E117" s="416"/>
      <c r="F117" s="416"/>
      <c r="G117" s="416"/>
      <c r="H117" s="416"/>
      <c r="I117" s="253"/>
      <c r="J117" s="253"/>
      <c r="K117" s="253"/>
      <c r="L117" s="253"/>
      <c r="M117" s="10662"/>
      <c r="N117" s="10663"/>
      <c r="O117" s="10663"/>
      <c r="P117" s="10664"/>
      <c r="Q117" s="5051"/>
      <c r="R117" s="1277"/>
      <c r="S117" s="1277"/>
      <c r="T117" s="5052"/>
      <c r="U117" s="5051"/>
      <c r="V117" s="1277"/>
      <c r="W117" s="1277"/>
      <c r="X117" s="1277"/>
      <c r="Y117" s="5052"/>
      <c r="Z117" s="5053"/>
      <c r="AA117" s="5054"/>
      <c r="AB117" s="5054"/>
      <c r="AC117" s="5054"/>
      <c r="AD117" s="5054"/>
      <c r="AE117" s="5055"/>
      <c r="AF117" s="5053"/>
      <c r="AG117" s="5054"/>
      <c r="AH117" s="5054"/>
      <c r="AI117" s="5054"/>
      <c r="AJ117" s="5054"/>
      <c r="AK117" s="2013"/>
      <c r="AL117" s="253"/>
      <c r="AM117" s="253"/>
      <c r="AN117" s="253"/>
      <c r="AO117" s="724"/>
      <c r="AP117" s="724"/>
      <c r="AQ117" s="253"/>
      <c r="AR117" s="253"/>
      <c r="AS117" s="253"/>
      <c r="AT117" s="253"/>
      <c r="AU117" s="253"/>
      <c r="AV117" s="253"/>
      <c r="AW117" s="253"/>
    </row>
    <row r="118" spans="1:49" ht="16.5" customHeight="1">
      <c r="A118" s="2013"/>
      <c r="B118" s="253"/>
      <c r="C118" s="2917"/>
      <c r="D118" s="511"/>
      <c r="E118" s="416"/>
      <c r="F118" s="416"/>
      <c r="G118" s="416"/>
      <c r="H118" s="253"/>
      <c r="I118" s="253"/>
      <c r="J118" s="253"/>
      <c r="K118" s="253"/>
      <c r="L118" s="253"/>
      <c r="M118" s="1633"/>
      <c r="N118" s="1633"/>
      <c r="O118" s="1633"/>
      <c r="P118" s="1634"/>
      <c r="Q118" s="405"/>
      <c r="R118" s="406"/>
      <c r="S118" s="406"/>
      <c r="T118" s="407"/>
      <c r="U118" s="405"/>
      <c r="V118" s="406"/>
      <c r="W118" s="406"/>
      <c r="X118" s="406"/>
      <c r="Y118" s="407"/>
      <c r="Z118" s="405"/>
      <c r="AA118" s="406"/>
      <c r="AB118" s="406"/>
      <c r="AC118" s="406"/>
      <c r="AD118" s="406"/>
      <c r="AE118" s="406"/>
      <c r="AF118" s="405"/>
      <c r="AG118" s="406"/>
      <c r="AH118" s="406"/>
      <c r="AI118" s="406"/>
      <c r="AJ118" s="406"/>
      <c r="AK118" s="2013"/>
      <c r="AL118" s="253"/>
      <c r="AM118" s="253"/>
      <c r="AN118" s="253"/>
      <c r="AO118" s="724"/>
      <c r="AP118" s="724"/>
      <c r="AQ118" s="253"/>
      <c r="AR118" s="253"/>
      <c r="AS118" s="253"/>
      <c r="AT118" s="253"/>
      <c r="AU118" s="253"/>
      <c r="AV118" s="253"/>
      <c r="AW118" s="253"/>
    </row>
    <row r="119" spans="1:49" ht="16.5" customHeight="1">
      <c r="A119" s="2013"/>
      <c r="B119" s="413"/>
      <c r="C119" s="4989" t="s">
        <v>595</v>
      </c>
      <c r="D119" s="1998" t="s">
        <v>4832</v>
      </c>
      <c r="E119" s="368"/>
      <c r="F119" s="368"/>
      <c r="G119" s="368"/>
      <c r="H119" s="368"/>
      <c r="I119" s="413"/>
      <c r="J119" s="413"/>
      <c r="K119" s="413"/>
      <c r="L119" s="413"/>
      <c r="M119" s="1635"/>
      <c r="N119" s="1635"/>
      <c r="O119" s="1635"/>
      <c r="P119" s="1636"/>
      <c r="Q119" s="10605" t="str">
        <f>IF(AO119,"",MAX(0,SUM(M115,-M117)))</f>
        <v/>
      </c>
      <c r="R119" s="10606"/>
      <c r="S119" s="10606"/>
      <c r="T119" s="10607"/>
      <c r="U119" s="10608" t="str">
        <f>IF(OR(Q119=0,AO119),"",Q119/$Q$139)</f>
        <v/>
      </c>
      <c r="V119" s="10609"/>
      <c r="W119" s="10609"/>
      <c r="X119" s="10609"/>
      <c r="Y119" s="10610"/>
      <c r="Z119" s="10611" t="str">
        <f>IF(OR(Q119=0,AO119),"",ROUND(Q119*U119,0))</f>
        <v/>
      </c>
      <c r="AA119" s="10612"/>
      <c r="AB119" s="10612"/>
      <c r="AC119" s="10612"/>
      <c r="AD119" s="10612"/>
      <c r="AE119" s="10613"/>
      <c r="AF119" s="10611" t="str">
        <f>IF(OR(Q119=0,AO119),"",SUM(Q119,-Z119))</f>
        <v/>
      </c>
      <c r="AG119" s="10612"/>
      <c r="AH119" s="10612"/>
      <c r="AI119" s="10612"/>
      <c r="AJ119" s="10612"/>
      <c r="AK119" s="2013"/>
      <c r="AL119" s="253"/>
      <c r="AM119" s="253"/>
      <c r="AN119" s="253"/>
      <c r="AO119" s="2741" t="b">
        <f>AND(M115="",M117="")</f>
        <v>1</v>
      </c>
      <c r="AP119" s="724"/>
      <c r="AQ119" s="253"/>
      <c r="AR119" s="253"/>
      <c r="AS119" s="253"/>
      <c r="AT119" s="253"/>
      <c r="AU119" s="253"/>
      <c r="AV119" s="253"/>
      <c r="AW119" s="253"/>
    </row>
    <row r="120" spans="1:49" ht="16.5" customHeight="1">
      <c r="A120" s="2013"/>
      <c r="B120" s="514" t="s">
        <v>4830</v>
      </c>
      <c r="C120" s="2917"/>
      <c r="D120" s="511"/>
      <c r="E120" s="416"/>
      <c r="F120" s="416"/>
      <c r="G120" s="416"/>
      <c r="H120" s="253"/>
      <c r="I120" s="253"/>
      <c r="J120" s="253"/>
      <c r="K120" s="253"/>
      <c r="L120" s="253"/>
      <c r="M120" s="10626"/>
      <c r="N120" s="10627"/>
      <c r="O120" s="10627"/>
      <c r="P120" s="9855"/>
      <c r="Q120" s="5048"/>
      <c r="R120" s="5049"/>
      <c r="S120" s="5049"/>
      <c r="T120" s="5050"/>
      <c r="U120" s="5048"/>
      <c r="V120" s="5049"/>
      <c r="W120" s="5049"/>
      <c r="X120" s="5049"/>
      <c r="Y120" s="5050"/>
      <c r="Z120" s="5048"/>
      <c r="AA120" s="5049"/>
      <c r="AB120" s="5049"/>
      <c r="AC120" s="5049"/>
      <c r="AD120" s="5049"/>
      <c r="AE120" s="5050"/>
      <c r="AF120" s="5048"/>
      <c r="AG120" s="5049"/>
      <c r="AH120" s="5049"/>
      <c r="AI120" s="5049"/>
      <c r="AJ120" s="5049"/>
      <c r="AK120" s="2013"/>
      <c r="AL120" s="253"/>
      <c r="AM120" s="253"/>
      <c r="AN120" s="253"/>
      <c r="AO120" s="724"/>
      <c r="AP120" s="724"/>
      <c r="AQ120" s="253"/>
      <c r="AR120" s="253"/>
      <c r="AS120" s="253"/>
      <c r="AT120" s="253"/>
      <c r="AU120" s="253"/>
      <c r="AV120" s="253"/>
      <c r="AW120" s="253"/>
    </row>
    <row r="121" spans="1:49" ht="16.5" customHeight="1">
      <c r="A121" s="2013"/>
      <c r="B121" s="514" t="s">
        <v>4831</v>
      </c>
      <c r="C121" s="2723"/>
      <c r="D121" s="511"/>
      <c r="E121" s="416"/>
      <c r="F121" s="416"/>
      <c r="G121" s="416"/>
      <c r="H121" s="416"/>
      <c r="I121" s="253"/>
      <c r="J121" s="253"/>
      <c r="K121" s="253"/>
      <c r="L121" s="253"/>
      <c r="M121" s="10628"/>
      <c r="N121" s="10629"/>
      <c r="O121" s="10629"/>
      <c r="P121" s="10630"/>
      <c r="Q121" s="5051"/>
      <c r="R121" s="1277"/>
      <c r="S121" s="1277"/>
      <c r="T121" s="5052"/>
      <c r="U121" s="5051"/>
      <c r="V121" s="1277"/>
      <c r="W121" s="1277"/>
      <c r="X121" s="1277"/>
      <c r="Y121" s="5052"/>
      <c r="Z121" s="5051"/>
      <c r="AA121" s="1277"/>
      <c r="AB121" s="1277"/>
      <c r="AC121" s="1277"/>
      <c r="AD121" s="1277"/>
      <c r="AE121" s="5052"/>
      <c r="AF121" s="5051"/>
      <c r="AG121" s="1277"/>
      <c r="AH121" s="1277"/>
      <c r="AI121" s="1277"/>
      <c r="AJ121" s="1277"/>
      <c r="AK121" s="2013"/>
      <c r="AL121" s="253"/>
      <c r="AM121" s="253"/>
      <c r="AN121" s="253"/>
      <c r="AO121" s="724"/>
      <c r="AP121" s="724"/>
      <c r="AQ121" s="253"/>
      <c r="AR121" s="253"/>
      <c r="AS121" s="253"/>
      <c r="AT121" s="253"/>
      <c r="AU121" s="253"/>
      <c r="AV121" s="253"/>
      <c r="AW121" s="253"/>
    </row>
    <row r="122" spans="1:49" ht="16.5" customHeight="1">
      <c r="A122" s="2013"/>
      <c r="B122" s="10634"/>
      <c r="C122" s="10634"/>
      <c r="D122" s="10634"/>
      <c r="E122" s="10634"/>
      <c r="F122" s="10634"/>
      <c r="G122" s="10634"/>
      <c r="H122" s="10634"/>
      <c r="I122" s="10634"/>
      <c r="J122" s="10634"/>
      <c r="K122" s="10634"/>
      <c r="L122" s="10635"/>
      <c r="M122" s="10631"/>
      <c r="N122" s="10632"/>
      <c r="O122" s="10632"/>
      <c r="P122" s="10633"/>
      <c r="Q122" s="5051"/>
      <c r="R122" s="1277"/>
      <c r="S122" s="1277"/>
      <c r="T122" s="5052"/>
      <c r="U122" s="5051"/>
      <c r="V122" s="1277"/>
      <c r="W122" s="1277"/>
      <c r="X122" s="1277"/>
      <c r="Y122" s="5052"/>
      <c r="Z122" s="5051"/>
      <c r="AA122" s="1277"/>
      <c r="AB122" s="1277"/>
      <c r="AC122" s="1277"/>
      <c r="AD122" s="1277"/>
      <c r="AE122" s="5052"/>
      <c r="AF122" s="5051"/>
      <c r="AG122" s="1277"/>
      <c r="AH122" s="1277"/>
      <c r="AI122" s="1277"/>
      <c r="AJ122" s="1277"/>
      <c r="AK122" s="2013"/>
      <c r="AL122" s="253"/>
      <c r="AM122" s="253"/>
      <c r="AN122" s="253"/>
      <c r="AO122" s="724"/>
      <c r="AP122" s="724"/>
      <c r="AQ122" s="253"/>
      <c r="AR122" s="253"/>
      <c r="AS122" s="253"/>
      <c r="AT122" s="253"/>
      <c r="AU122" s="253"/>
      <c r="AV122" s="253"/>
      <c r="AW122" s="253"/>
    </row>
    <row r="123" spans="1:49" ht="16.5" customHeight="1">
      <c r="A123" s="2013"/>
      <c r="B123" s="253"/>
      <c r="C123" s="2917" t="s">
        <v>333</v>
      </c>
      <c r="D123" s="1323" t="s">
        <v>4828</v>
      </c>
      <c r="E123" s="416"/>
      <c r="F123" s="416"/>
      <c r="G123" s="416"/>
      <c r="H123" s="253"/>
      <c r="I123" s="253"/>
      <c r="J123" s="253"/>
      <c r="K123" s="253"/>
      <c r="L123" s="253"/>
      <c r="M123" s="405"/>
      <c r="N123" s="406"/>
      <c r="O123" s="406"/>
      <c r="P123" s="407"/>
      <c r="Q123" s="5051"/>
      <c r="R123" s="1277"/>
      <c r="S123" s="1277"/>
      <c r="T123" s="5052"/>
      <c r="U123" s="5051"/>
      <c r="V123" s="1277"/>
      <c r="W123" s="1277"/>
      <c r="X123" s="1277"/>
      <c r="Y123" s="5052"/>
      <c r="Z123" s="5051"/>
      <c r="AA123" s="1277"/>
      <c r="AB123" s="1277"/>
      <c r="AC123" s="1277"/>
      <c r="AD123" s="1277"/>
      <c r="AE123" s="5052"/>
      <c r="AF123" s="5051"/>
      <c r="AG123" s="1277"/>
      <c r="AH123" s="1277"/>
      <c r="AI123" s="1277"/>
      <c r="AJ123" s="1277"/>
      <c r="AK123" s="2013"/>
      <c r="AL123" s="253"/>
      <c r="AM123" s="253"/>
      <c r="AN123" s="253"/>
      <c r="AO123" s="724"/>
      <c r="AP123" s="724"/>
      <c r="AQ123" s="253"/>
      <c r="AR123" s="253"/>
      <c r="AS123" s="253"/>
      <c r="AT123" s="253"/>
      <c r="AU123" s="253"/>
      <c r="AV123" s="253"/>
      <c r="AW123" s="253"/>
    </row>
    <row r="124" spans="1:49" ht="16.5" customHeight="1">
      <c r="A124" s="2013"/>
      <c r="B124" s="253"/>
      <c r="C124" s="2723"/>
      <c r="D124" s="1323" t="s">
        <v>4829</v>
      </c>
      <c r="E124" s="416"/>
      <c r="F124" s="416"/>
      <c r="G124" s="416"/>
      <c r="H124" s="416"/>
      <c r="I124" s="253"/>
      <c r="J124" s="253"/>
      <c r="K124" s="253"/>
      <c r="L124" s="253"/>
      <c r="M124" s="10662"/>
      <c r="N124" s="10663"/>
      <c r="O124" s="10663"/>
      <c r="P124" s="10664"/>
      <c r="Q124" s="5051"/>
      <c r="R124" s="1277"/>
      <c r="S124" s="1277"/>
      <c r="T124" s="5052"/>
      <c r="U124" s="5051"/>
      <c r="V124" s="1277"/>
      <c r="W124" s="1277"/>
      <c r="X124" s="1277"/>
      <c r="Y124" s="5052"/>
      <c r="Z124" s="5051"/>
      <c r="AA124" s="1277"/>
      <c r="AB124" s="1277"/>
      <c r="AC124" s="1277"/>
      <c r="AD124" s="1277"/>
      <c r="AE124" s="5052"/>
      <c r="AF124" s="5051"/>
      <c r="AG124" s="1277"/>
      <c r="AH124" s="1277"/>
      <c r="AI124" s="1277"/>
      <c r="AJ124" s="1277"/>
      <c r="AK124" s="2013"/>
      <c r="AL124" s="253"/>
      <c r="AM124" s="253"/>
      <c r="AN124" s="253"/>
      <c r="AO124" s="724"/>
      <c r="AP124" s="724"/>
      <c r="AQ124" s="253"/>
      <c r="AR124" s="253"/>
      <c r="AS124" s="253"/>
      <c r="AT124" s="253"/>
      <c r="AU124" s="253"/>
      <c r="AV124" s="253"/>
      <c r="AW124" s="253"/>
    </row>
    <row r="125" spans="1:49" ht="16.5" customHeight="1">
      <c r="A125" s="2013"/>
      <c r="B125" s="253"/>
      <c r="C125" s="2917"/>
      <c r="D125" s="511"/>
      <c r="E125" s="416"/>
      <c r="F125" s="416"/>
      <c r="G125" s="416"/>
      <c r="H125" s="253"/>
      <c r="I125" s="253"/>
      <c r="J125" s="253"/>
      <c r="K125" s="253"/>
      <c r="L125" s="253"/>
      <c r="M125" s="405"/>
      <c r="N125" s="406"/>
      <c r="O125" s="406"/>
      <c r="P125" s="407"/>
      <c r="Q125" s="5051"/>
      <c r="R125" s="1277"/>
      <c r="S125" s="1277"/>
      <c r="T125" s="5052"/>
      <c r="U125" s="5051"/>
      <c r="V125" s="1277"/>
      <c r="W125" s="1277"/>
      <c r="X125" s="1277"/>
      <c r="Y125" s="5052"/>
      <c r="Z125" s="5051"/>
      <c r="AA125" s="1277"/>
      <c r="AB125" s="1277"/>
      <c r="AC125" s="1277"/>
      <c r="AD125" s="1277"/>
      <c r="AE125" s="5052"/>
      <c r="AF125" s="5051"/>
      <c r="AG125" s="1277"/>
      <c r="AH125" s="1277"/>
      <c r="AI125" s="1277"/>
      <c r="AJ125" s="1277"/>
      <c r="AK125" s="2013"/>
      <c r="AL125" s="253"/>
      <c r="AM125" s="253"/>
      <c r="AN125" s="253"/>
      <c r="AO125" s="724"/>
      <c r="AP125" s="724"/>
      <c r="AQ125" s="253"/>
      <c r="AR125" s="253"/>
      <c r="AS125" s="253"/>
      <c r="AT125" s="253"/>
      <c r="AU125" s="253"/>
      <c r="AV125" s="253"/>
      <c r="AW125" s="253"/>
    </row>
    <row r="126" spans="1:49" ht="16.5" customHeight="1">
      <c r="A126" s="2013"/>
      <c r="B126" s="253"/>
      <c r="C126" s="2917" t="s">
        <v>592</v>
      </c>
      <c r="D126" s="1323" t="s">
        <v>4833</v>
      </c>
      <c r="E126" s="416"/>
      <c r="F126" s="416"/>
      <c r="G126" s="416"/>
      <c r="H126" s="416"/>
      <c r="I126" s="253"/>
      <c r="J126" s="253"/>
      <c r="K126" s="253"/>
      <c r="L126" s="253"/>
      <c r="M126" s="10662"/>
      <c r="N126" s="10663"/>
      <c r="O126" s="10663"/>
      <c r="P126" s="10664"/>
      <c r="Q126" s="5053"/>
      <c r="R126" s="5054"/>
      <c r="S126" s="5054"/>
      <c r="T126" s="5055"/>
      <c r="U126" s="5053"/>
      <c r="V126" s="5054"/>
      <c r="W126" s="5054"/>
      <c r="X126" s="5054"/>
      <c r="Y126" s="5055"/>
      <c r="Z126" s="5053"/>
      <c r="AA126" s="5054"/>
      <c r="AB126" s="5054"/>
      <c r="AC126" s="5054"/>
      <c r="AD126" s="5054"/>
      <c r="AE126" s="5055"/>
      <c r="AF126" s="5053"/>
      <c r="AG126" s="5054"/>
      <c r="AH126" s="5054"/>
      <c r="AI126" s="5054"/>
      <c r="AJ126" s="5054"/>
      <c r="AK126" s="2013"/>
      <c r="AL126" s="253"/>
      <c r="AM126" s="253"/>
      <c r="AN126" s="253"/>
      <c r="AO126" s="724"/>
      <c r="AP126" s="724"/>
      <c r="AQ126" s="253"/>
      <c r="AR126" s="253"/>
      <c r="AS126" s="253"/>
      <c r="AT126" s="253"/>
      <c r="AU126" s="253"/>
      <c r="AV126" s="253"/>
      <c r="AW126" s="253"/>
    </row>
    <row r="127" spans="1:49" ht="16.5" customHeight="1">
      <c r="A127" s="2013"/>
      <c r="B127" s="253"/>
      <c r="C127" s="2917"/>
      <c r="D127" s="511"/>
      <c r="E127" s="416"/>
      <c r="F127" s="416"/>
      <c r="G127" s="416"/>
      <c r="H127" s="253"/>
      <c r="I127" s="253"/>
      <c r="J127" s="253"/>
      <c r="K127" s="253"/>
      <c r="L127" s="253"/>
      <c r="M127" s="1633"/>
      <c r="N127" s="1633"/>
      <c r="O127" s="1633"/>
      <c r="P127" s="1634"/>
      <c r="Q127" s="405"/>
      <c r="R127" s="406"/>
      <c r="S127" s="406"/>
      <c r="T127" s="407"/>
      <c r="U127" s="405"/>
      <c r="V127" s="406"/>
      <c r="W127" s="406"/>
      <c r="X127" s="406"/>
      <c r="Y127" s="407"/>
      <c r="Z127" s="405"/>
      <c r="AA127" s="406"/>
      <c r="AB127" s="406"/>
      <c r="AC127" s="406"/>
      <c r="AD127" s="406"/>
      <c r="AE127" s="406"/>
      <c r="AF127" s="405"/>
      <c r="AG127" s="406"/>
      <c r="AH127" s="406"/>
      <c r="AI127" s="406"/>
      <c r="AJ127" s="406"/>
      <c r="AK127" s="2013"/>
      <c r="AL127" s="253"/>
      <c r="AM127" s="253"/>
      <c r="AN127" s="253"/>
      <c r="AO127" s="724"/>
      <c r="AP127" s="724"/>
      <c r="AQ127" s="253"/>
      <c r="AR127" s="253"/>
      <c r="AS127" s="253"/>
      <c r="AT127" s="253"/>
      <c r="AU127" s="253"/>
      <c r="AV127" s="253"/>
      <c r="AW127" s="253"/>
    </row>
    <row r="128" spans="1:49" ht="16.5" customHeight="1">
      <c r="A128" s="2013"/>
      <c r="B128" s="413"/>
      <c r="C128" s="4989" t="s">
        <v>595</v>
      </c>
      <c r="D128" s="1998" t="s">
        <v>4832</v>
      </c>
      <c r="E128" s="368"/>
      <c r="F128" s="368"/>
      <c r="G128" s="368"/>
      <c r="H128" s="368"/>
      <c r="I128" s="413"/>
      <c r="J128" s="413"/>
      <c r="K128" s="413"/>
      <c r="L128" s="413"/>
      <c r="M128" s="1635"/>
      <c r="N128" s="1635"/>
      <c r="O128" s="1635"/>
      <c r="P128" s="1636"/>
      <c r="Q128" s="10605" t="str">
        <f>IF(AO128,"",MAX(0,SUM(M124,-M126)))</f>
        <v/>
      </c>
      <c r="R128" s="10606"/>
      <c r="S128" s="10606"/>
      <c r="T128" s="10607"/>
      <c r="U128" s="10608" t="str">
        <f>IF(OR(Q128=0,AO128),"",Q128/$Q$139)</f>
        <v/>
      </c>
      <c r="V128" s="10609"/>
      <c r="W128" s="10609"/>
      <c r="X128" s="10609"/>
      <c r="Y128" s="10610"/>
      <c r="Z128" s="10611" t="str">
        <f>IF(OR(Q128=0,AO128),"",ROUND(Q128*U128,0))</f>
        <v/>
      </c>
      <c r="AA128" s="10612"/>
      <c r="AB128" s="10612"/>
      <c r="AC128" s="10612"/>
      <c r="AD128" s="10612"/>
      <c r="AE128" s="10613"/>
      <c r="AF128" s="10611" t="str">
        <f>IF(OR(Q128=0,AO128),"",SUM(Q128,-Z128))</f>
        <v/>
      </c>
      <c r="AG128" s="10612"/>
      <c r="AH128" s="10612"/>
      <c r="AI128" s="10612"/>
      <c r="AJ128" s="10612"/>
      <c r="AK128" s="2013"/>
      <c r="AL128" s="253"/>
      <c r="AM128" s="253"/>
      <c r="AN128" s="253"/>
      <c r="AO128" s="2741" t="b">
        <f>AND(M124="",M126="")</f>
        <v>1</v>
      </c>
      <c r="AP128" s="724"/>
      <c r="AQ128" s="253"/>
      <c r="AR128" s="253"/>
      <c r="AS128" s="253"/>
      <c r="AT128" s="253"/>
      <c r="AU128" s="253"/>
      <c r="AV128" s="253"/>
      <c r="AW128" s="253"/>
    </row>
    <row r="129" spans="1:62" ht="16.5" customHeight="1">
      <c r="A129" s="2013"/>
      <c r="B129" s="514" t="s">
        <v>4830</v>
      </c>
      <c r="C129" s="2917"/>
      <c r="D129" s="511"/>
      <c r="E129" s="416"/>
      <c r="F129" s="416"/>
      <c r="G129" s="416"/>
      <c r="H129" s="253"/>
      <c r="I129" s="253"/>
      <c r="J129" s="253"/>
      <c r="K129" s="253"/>
      <c r="L129" s="253"/>
      <c r="M129" s="10626"/>
      <c r="N129" s="10627"/>
      <c r="O129" s="10627"/>
      <c r="P129" s="9855"/>
      <c r="Q129" s="5048"/>
      <c r="R129" s="5049"/>
      <c r="S129" s="5049"/>
      <c r="T129" s="5050"/>
      <c r="U129" s="5048"/>
      <c r="V129" s="5049"/>
      <c r="W129" s="5049"/>
      <c r="X129" s="5049"/>
      <c r="Y129" s="5050"/>
      <c r="Z129" s="5048"/>
      <c r="AA129" s="5049"/>
      <c r="AB129" s="5049"/>
      <c r="AC129" s="5049"/>
      <c r="AD129" s="5049"/>
      <c r="AE129" s="5050"/>
      <c r="AF129" s="5048"/>
      <c r="AG129" s="5049"/>
      <c r="AH129" s="5049"/>
      <c r="AI129" s="5049"/>
      <c r="AJ129" s="5049"/>
      <c r="AK129" s="2013"/>
      <c r="AL129" s="253"/>
      <c r="AM129" s="253"/>
      <c r="AN129" s="253"/>
      <c r="AO129" s="724"/>
      <c r="AP129" s="724"/>
      <c r="AQ129" s="253"/>
      <c r="AR129" s="253"/>
      <c r="AS129" s="253"/>
      <c r="AT129" s="253"/>
      <c r="AU129" s="253"/>
      <c r="AV129" s="253"/>
      <c r="AW129" s="253"/>
    </row>
    <row r="130" spans="1:62" ht="16.5" customHeight="1">
      <c r="A130" s="2013"/>
      <c r="B130" s="514" t="s">
        <v>4831</v>
      </c>
      <c r="C130" s="2723"/>
      <c r="D130" s="511"/>
      <c r="E130" s="416"/>
      <c r="F130" s="416"/>
      <c r="G130" s="416"/>
      <c r="H130" s="416"/>
      <c r="I130" s="253"/>
      <c r="J130" s="253"/>
      <c r="K130" s="253"/>
      <c r="L130" s="253"/>
      <c r="M130" s="10628"/>
      <c r="N130" s="10629"/>
      <c r="O130" s="10629"/>
      <c r="P130" s="10630"/>
      <c r="Q130" s="5051"/>
      <c r="R130" s="1277"/>
      <c r="S130" s="1277"/>
      <c r="T130" s="5052"/>
      <c r="U130" s="5051"/>
      <c r="V130" s="1277"/>
      <c r="W130" s="1277"/>
      <c r="X130" s="1277"/>
      <c r="Y130" s="5052"/>
      <c r="Z130" s="5051"/>
      <c r="AA130" s="1277"/>
      <c r="AB130" s="1277"/>
      <c r="AC130" s="1277"/>
      <c r="AD130" s="1277"/>
      <c r="AE130" s="5052"/>
      <c r="AF130" s="5051"/>
      <c r="AG130" s="1277"/>
      <c r="AH130" s="1277"/>
      <c r="AI130" s="1277"/>
      <c r="AJ130" s="1277"/>
      <c r="AK130" s="2013"/>
      <c r="AL130" s="253"/>
      <c r="AM130" s="253"/>
      <c r="AN130" s="253"/>
      <c r="AO130" s="724"/>
      <c r="AP130" s="724"/>
      <c r="AQ130" s="253"/>
      <c r="AR130" s="253"/>
      <c r="AS130" s="253"/>
      <c r="AT130" s="253"/>
      <c r="AU130" s="253"/>
      <c r="AV130" s="253"/>
      <c r="AW130" s="253"/>
    </row>
    <row r="131" spans="1:62" ht="16.5" customHeight="1">
      <c r="A131" s="2013"/>
      <c r="B131" s="10634"/>
      <c r="C131" s="10634"/>
      <c r="D131" s="10634"/>
      <c r="E131" s="10634"/>
      <c r="F131" s="10634"/>
      <c r="G131" s="10634"/>
      <c r="H131" s="10634"/>
      <c r="I131" s="10634"/>
      <c r="J131" s="10634"/>
      <c r="K131" s="10634"/>
      <c r="L131" s="10635"/>
      <c r="M131" s="10631"/>
      <c r="N131" s="10632"/>
      <c r="O131" s="10632"/>
      <c r="P131" s="10633"/>
      <c r="Q131" s="5051"/>
      <c r="R131" s="1277"/>
      <c r="S131" s="1277"/>
      <c r="T131" s="5052"/>
      <c r="U131" s="5051"/>
      <c r="V131" s="1277"/>
      <c r="W131" s="1277"/>
      <c r="X131" s="1277"/>
      <c r="Y131" s="5052"/>
      <c r="Z131" s="5051"/>
      <c r="AA131" s="1277"/>
      <c r="AB131" s="1277"/>
      <c r="AC131" s="1277"/>
      <c r="AD131" s="1277"/>
      <c r="AE131" s="5052"/>
      <c r="AF131" s="5051"/>
      <c r="AG131" s="1277"/>
      <c r="AH131" s="1277"/>
      <c r="AI131" s="1277"/>
      <c r="AJ131" s="1277"/>
      <c r="AK131" s="2013"/>
      <c r="AL131" s="253"/>
      <c r="AM131" s="253"/>
      <c r="AN131" s="253"/>
      <c r="AO131" s="724"/>
      <c r="AP131" s="724"/>
      <c r="AQ131" s="253"/>
      <c r="AR131" s="253"/>
      <c r="AS131" s="253"/>
      <c r="AT131" s="253"/>
      <c r="AU131" s="253"/>
      <c r="AV131" s="253"/>
      <c r="AW131" s="253"/>
    </row>
    <row r="132" spans="1:62" ht="16.5" customHeight="1">
      <c r="A132" s="2013"/>
      <c r="B132" s="253"/>
      <c r="C132" s="2917" t="s">
        <v>333</v>
      </c>
      <c r="D132" s="1323" t="s">
        <v>4828</v>
      </c>
      <c r="E132" s="416"/>
      <c r="F132" s="416"/>
      <c r="G132" s="416"/>
      <c r="H132" s="253"/>
      <c r="I132" s="253"/>
      <c r="J132" s="253"/>
      <c r="K132" s="253"/>
      <c r="L132" s="253"/>
      <c r="M132" s="405"/>
      <c r="N132" s="406"/>
      <c r="O132" s="406"/>
      <c r="P132" s="407"/>
      <c r="Q132" s="5051"/>
      <c r="R132" s="1277"/>
      <c r="S132" s="1277"/>
      <c r="T132" s="5052"/>
      <c r="U132" s="5051"/>
      <c r="V132" s="1277"/>
      <c r="W132" s="1277"/>
      <c r="X132" s="1277"/>
      <c r="Y132" s="5052"/>
      <c r="Z132" s="5051"/>
      <c r="AA132" s="1277"/>
      <c r="AB132" s="1277"/>
      <c r="AC132" s="1277"/>
      <c r="AD132" s="1277"/>
      <c r="AE132" s="5052"/>
      <c r="AF132" s="5051"/>
      <c r="AG132" s="1277"/>
      <c r="AH132" s="1277"/>
      <c r="AI132" s="1277"/>
      <c r="AJ132" s="1277"/>
      <c r="AK132" s="2013"/>
      <c r="AL132" s="253"/>
      <c r="AM132" s="253"/>
      <c r="AN132" s="253"/>
      <c r="AO132" s="724"/>
      <c r="AP132" s="724"/>
      <c r="AQ132" s="253"/>
      <c r="AR132" s="253"/>
      <c r="AS132" s="253"/>
      <c r="AT132" s="253"/>
      <c r="AU132" s="253"/>
      <c r="AV132" s="253"/>
      <c r="AW132" s="253"/>
    </row>
    <row r="133" spans="1:62" ht="16.5" customHeight="1">
      <c r="A133" s="2013"/>
      <c r="B133" s="253"/>
      <c r="C133" s="2723"/>
      <c r="D133" s="1323" t="s">
        <v>4829</v>
      </c>
      <c r="E133" s="416"/>
      <c r="F133" s="416"/>
      <c r="G133" s="416"/>
      <c r="H133" s="416"/>
      <c r="I133" s="253"/>
      <c r="J133" s="253"/>
      <c r="K133" s="253"/>
      <c r="L133" s="253"/>
      <c r="M133" s="10662"/>
      <c r="N133" s="10663"/>
      <c r="O133" s="10663"/>
      <c r="P133" s="10664"/>
      <c r="Q133" s="5051"/>
      <c r="R133" s="1277"/>
      <c r="S133" s="1277"/>
      <c r="T133" s="5052"/>
      <c r="U133" s="5051"/>
      <c r="V133" s="1277"/>
      <c r="W133" s="1277"/>
      <c r="X133" s="1277"/>
      <c r="Y133" s="5052"/>
      <c r="Z133" s="5051"/>
      <c r="AA133" s="1277"/>
      <c r="AB133" s="1277"/>
      <c r="AC133" s="1277"/>
      <c r="AD133" s="1277"/>
      <c r="AE133" s="5052"/>
      <c r="AF133" s="5051"/>
      <c r="AG133" s="1277"/>
      <c r="AH133" s="1277"/>
      <c r="AI133" s="1277"/>
      <c r="AJ133" s="1277"/>
      <c r="AK133" s="2013"/>
      <c r="AL133" s="253"/>
      <c r="AM133" s="253"/>
      <c r="AN133" s="253"/>
      <c r="AO133" s="724"/>
      <c r="AP133" s="724"/>
      <c r="AQ133" s="253"/>
      <c r="AR133" s="253"/>
      <c r="AS133" s="253"/>
      <c r="AT133" s="253"/>
      <c r="AU133" s="253"/>
      <c r="AV133" s="253"/>
      <c r="AW133" s="253"/>
    </row>
    <row r="134" spans="1:62" ht="16.5" customHeight="1">
      <c r="A134" s="2013"/>
      <c r="B134" s="253"/>
      <c r="C134" s="2917"/>
      <c r="D134" s="511"/>
      <c r="E134" s="416"/>
      <c r="F134" s="416"/>
      <c r="G134" s="416"/>
      <c r="H134" s="253"/>
      <c r="I134" s="253"/>
      <c r="J134" s="253"/>
      <c r="K134" s="253"/>
      <c r="L134" s="253"/>
      <c r="M134" s="405"/>
      <c r="N134" s="406"/>
      <c r="O134" s="406"/>
      <c r="P134" s="407"/>
      <c r="Q134" s="5051"/>
      <c r="R134" s="1277"/>
      <c r="S134" s="1277"/>
      <c r="T134" s="5052"/>
      <c r="U134" s="5051"/>
      <c r="V134" s="1277"/>
      <c r="W134" s="1277"/>
      <c r="X134" s="1277"/>
      <c r="Y134" s="5052"/>
      <c r="Z134" s="5051"/>
      <c r="AA134" s="1277"/>
      <c r="AB134" s="1277"/>
      <c r="AC134" s="1277"/>
      <c r="AD134" s="1277"/>
      <c r="AE134" s="5052"/>
      <c r="AF134" s="5051"/>
      <c r="AG134" s="1277"/>
      <c r="AH134" s="1277"/>
      <c r="AI134" s="1277"/>
      <c r="AJ134" s="1277"/>
      <c r="AK134" s="2013"/>
      <c r="AL134" s="253"/>
      <c r="AM134" s="253"/>
      <c r="AN134" s="253"/>
      <c r="AO134" s="724"/>
      <c r="AP134" s="724"/>
      <c r="AQ134" s="253"/>
      <c r="AR134" s="253"/>
      <c r="AS134" s="253"/>
      <c r="AT134" s="253"/>
      <c r="AU134" s="253"/>
      <c r="AV134" s="253"/>
      <c r="AW134" s="253"/>
    </row>
    <row r="135" spans="1:62" ht="16.5" customHeight="1">
      <c r="A135" s="2013"/>
      <c r="B135" s="253"/>
      <c r="C135" s="2917" t="s">
        <v>592</v>
      </c>
      <c r="D135" s="1323" t="s">
        <v>4833</v>
      </c>
      <c r="E135" s="416"/>
      <c r="F135" s="416"/>
      <c r="G135" s="416"/>
      <c r="H135" s="416"/>
      <c r="I135" s="253"/>
      <c r="J135" s="253"/>
      <c r="K135" s="253"/>
      <c r="L135" s="253"/>
      <c r="M135" s="10662"/>
      <c r="N135" s="10663"/>
      <c r="O135" s="10663"/>
      <c r="P135" s="10664"/>
      <c r="Q135" s="5053"/>
      <c r="R135" s="5054"/>
      <c r="S135" s="5054"/>
      <c r="T135" s="5055"/>
      <c r="U135" s="5053"/>
      <c r="V135" s="5054"/>
      <c r="W135" s="5054"/>
      <c r="X135" s="5054"/>
      <c r="Y135" s="5055"/>
      <c r="Z135" s="5053"/>
      <c r="AA135" s="5054"/>
      <c r="AB135" s="5054"/>
      <c r="AC135" s="5054"/>
      <c r="AD135" s="5054"/>
      <c r="AE135" s="5055"/>
      <c r="AF135" s="5053"/>
      <c r="AG135" s="5054"/>
      <c r="AH135" s="5054"/>
      <c r="AI135" s="5054"/>
      <c r="AJ135" s="5054"/>
      <c r="AK135" s="2013"/>
      <c r="AL135" s="253"/>
      <c r="AM135" s="253"/>
      <c r="AN135" s="253"/>
      <c r="AO135" s="724"/>
      <c r="AP135" s="724"/>
      <c r="AQ135" s="253"/>
      <c r="AR135" s="253"/>
      <c r="AS135" s="253"/>
      <c r="AT135" s="253"/>
      <c r="AU135" s="253"/>
      <c r="AV135" s="253"/>
      <c r="AW135" s="253"/>
    </row>
    <row r="136" spans="1:62" ht="16.5" customHeight="1">
      <c r="A136" s="2013"/>
      <c r="B136" s="253"/>
      <c r="C136" s="2917"/>
      <c r="D136" s="511"/>
      <c r="E136" s="416"/>
      <c r="F136" s="416"/>
      <c r="G136" s="416"/>
      <c r="H136" s="253"/>
      <c r="I136" s="253"/>
      <c r="J136" s="253"/>
      <c r="K136" s="253"/>
      <c r="L136" s="253"/>
      <c r="M136" s="1633"/>
      <c r="N136" s="1633"/>
      <c r="O136" s="1633"/>
      <c r="P136" s="1634"/>
      <c r="Q136" s="405"/>
      <c r="R136" s="406"/>
      <c r="S136" s="406"/>
      <c r="T136" s="407"/>
      <c r="U136" s="405"/>
      <c r="V136" s="406"/>
      <c r="W136" s="406"/>
      <c r="X136" s="406"/>
      <c r="Y136" s="407"/>
      <c r="Z136" s="405"/>
      <c r="AA136" s="406"/>
      <c r="AB136" s="406"/>
      <c r="AC136" s="406"/>
      <c r="AD136" s="406"/>
      <c r="AE136" s="406"/>
      <c r="AF136" s="405"/>
      <c r="AG136" s="406"/>
      <c r="AH136" s="406"/>
      <c r="AI136" s="406"/>
      <c r="AJ136" s="406"/>
      <c r="AK136" s="2013"/>
      <c r="AL136" s="253"/>
      <c r="AM136" s="253"/>
      <c r="AN136" s="253"/>
      <c r="AO136" s="724"/>
      <c r="AP136" s="724"/>
      <c r="AQ136" s="253"/>
      <c r="AR136" s="253"/>
      <c r="AS136" s="253"/>
      <c r="AT136" s="253"/>
      <c r="AU136" s="253"/>
      <c r="AV136" s="253"/>
      <c r="AW136" s="253"/>
    </row>
    <row r="137" spans="1:62" ht="16.5" customHeight="1" thickBot="1">
      <c r="A137" s="2013"/>
      <c r="B137" s="413"/>
      <c r="C137" s="4989" t="s">
        <v>595</v>
      </c>
      <c r="D137" s="1998" t="s">
        <v>4832</v>
      </c>
      <c r="E137" s="368"/>
      <c r="F137" s="368"/>
      <c r="G137" s="368"/>
      <c r="H137" s="368"/>
      <c r="I137" s="413"/>
      <c r="J137" s="413"/>
      <c r="K137" s="413"/>
      <c r="L137" s="413"/>
      <c r="M137" s="1635"/>
      <c r="N137" s="1635"/>
      <c r="O137" s="1635"/>
      <c r="P137" s="1636"/>
      <c r="Q137" s="10605" t="str">
        <f>IF(AO137,"",MAX(0,SUM(M133,-M135)))</f>
        <v/>
      </c>
      <c r="R137" s="10606"/>
      <c r="S137" s="10606"/>
      <c r="T137" s="10607"/>
      <c r="U137" s="10608" t="str">
        <f>IF(OR(Q137=0,AO137),"",Q137/$Q$139)</f>
        <v/>
      </c>
      <c r="V137" s="10609"/>
      <c r="W137" s="10609"/>
      <c r="X137" s="10609"/>
      <c r="Y137" s="10610"/>
      <c r="Z137" s="10611" t="str">
        <f>IF(OR(Q137=0,AO137),"",ROUND(Q137*U137,0))</f>
        <v/>
      </c>
      <c r="AA137" s="10612"/>
      <c r="AB137" s="10612"/>
      <c r="AC137" s="10612"/>
      <c r="AD137" s="10612"/>
      <c r="AE137" s="10613"/>
      <c r="AF137" s="10611" t="str">
        <f>IF(OR(Q137=0,AO137),"",SUM(Q137,-Z137))</f>
        <v/>
      </c>
      <c r="AG137" s="10612"/>
      <c r="AH137" s="10612"/>
      <c r="AI137" s="10612"/>
      <c r="AJ137" s="10612"/>
      <c r="AK137" s="2013"/>
      <c r="AL137" s="253"/>
      <c r="AM137" s="253"/>
      <c r="AN137" s="253"/>
      <c r="AO137" s="2741" t="b">
        <f>AND(M133="",M135="")</f>
        <v>1</v>
      </c>
      <c r="AP137" s="724"/>
      <c r="AQ137" s="253"/>
      <c r="AR137" s="253"/>
      <c r="AS137" s="253"/>
      <c r="AT137" s="253"/>
      <c r="AU137" s="253"/>
      <c r="AV137" s="253"/>
      <c r="AW137" s="253"/>
    </row>
    <row r="138" spans="1:62" ht="16.5" customHeight="1">
      <c r="A138" s="2013"/>
      <c r="B138" s="377"/>
      <c r="C138" s="5019"/>
      <c r="D138" s="5019"/>
      <c r="E138" s="5019"/>
      <c r="F138" s="5019"/>
      <c r="G138" s="5019"/>
      <c r="H138" s="5019"/>
      <c r="I138" s="5019"/>
      <c r="J138" s="5019"/>
      <c r="K138" s="5019"/>
      <c r="L138" s="5019"/>
      <c r="M138" s="5019"/>
      <c r="N138" s="5019"/>
      <c r="O138" s="5019"/>
      <c r="P138" s="5019"/>
      <c r="Q138" s="408"/>
      <c r="R138" s="253"/>
      <c r="S138" s="253"/>
      <c r="T138" s="409"/>
      <c r="U138" s="408"/>
      <c r="V138" s="253"/>
      <c r="W138" s="253"/>
      <c r="X138" s="253"/>
      <c r="Y138" s="409"/>
      <c r="Z138" s="408"/>
      <c r="AA138" s="253"/>
      <c r="AB138" s="253"/>
      <c r="AC138" s="253"/>
      <c r="AD138" s="253"/>
      <c r="AE138" s="253"/>
      <c r="AF138" s="408"/>
      <c r="AG138" s="253"/>
      <c r="AH138" s="253"/>
      <c r="AI138" s="253"/>
      <c r="AJ138" s="253"/>
      <c r="AK138" s="2013"/>
      <c r="AL138" s="817"/>
      <c r="AM138" s="2868"/>
      <c r="AN138" s="253"/>
      <c r="AO138" s="724"/>
      <c r="AP138" s="724"/>
      <c r="AQ138" s="253"/>
      <c r="AR138" s="253"/>
      <c r="AS138" s="253"/>
      <c r="AT138" s="253"/>
      <c r="AU138" s="253"/>
      <c r="AV138" s="253"/>
      <c r="AW138" s="253"/>
      <c r="BJ138" s="579"/>
    </row>
    <row r="139" spans="1:62" ht="16.5" customHeight="1" thickBot="1">
      <c r="A139" s="2013"/>
      <c r="B139" s="5056" t="s">
        <v>224</v>
      </c>
      <c r="C139" s="5057"/>
      <c r="D139" s="5057"/>
      <c r="E139" s="5057"/>
      <c r="F139" s="5057"/>
      <c r="G139" s="5057"/>
      <c r="H139" s="5057"/>
      <c r="I139" s="5057"/>
      <c r="J139" s="5057"/>
      <c r="K139" s="5057"/>
      <c r="L139" s="5057"/>
      <c r="M139" s="5057"/>
      <c r="N139" s="5057"/>
      <c r="O139" s="5057"/>
      <c r="P139" s="1658" t="s">
        <v>691</v>
      </c>
      <c r="Q139" s="10597" t="str">
        <f>IF(AO139,"",SUM(Q119,Q128,Q137))</f>
        <v/>
      </c>
      <c r="R139" s="10598"/>
      <c r="S139" s="10598"/>
      <c r="T139" s="10599"/>
      <c r="U139" s="10594">
        <v>1</v>
      </c>
      <c r="V139" s="10595"/>
      <c r="W139" s="10595"/>
      <c r="X139" s="10595"/>
      <c r="Y139" s="10596"/>
      <c r="Z139" s="10600" t="str">
        <f>IF(AO139,"",SUM(Z119,Z128,Z137))</f>
        <v/>
      </c>
      <c r="AA139" s="10601"/>
      <c r="AB139" s="10601"/>
      <c r="AC139" s="10601"/>
      <c r="AD139" s="10601"/>
      <c r="AE139" s="10602"/>
      <c r="AF139" s="10603" t="str">
        <f>IF(AO139,"",SUM(AF119,AF128,AF137))</f>
        <v/>
      </c>
      <c r="AG139" s="10604"/>
      <c r="AH139" s="10604"/>
      <c r="AI139" s="10604"/>
      <c r="AJ139" s="10604"/>
      <c r="AK139" s="2013"/>
      <c r="AL139" s="712"/>
      <c r="AM139" s="344"/>
      <c r="AN139" s="253"/>
      <c r="AO139" s="2741" t="b">
        <f>AND(AO119,AO128,AO137)</f>
        <v>1</v>
      </c>
      <c r="AP139" s="724"/>
      <c r="AQ139" s="253"/>
      <c r="AR139" s="253"/>
      <c r="AS139" s="253"/>
      <c r="AT139" s="253"/>
      <c r="AU139" s="253"/>
      <c r="AV139" s="253"/>
      <c r="AW139" s="253"/>
    </row>
    <row r="140" spans="1:62" s="815" customFormat="1" ht="18.75" thickTop="1">
      <c r="A140" s="2013"/>
      <c r="B140" s="2447"/>
      <c r="C140" s="728"/>
      <c r="D140" s="1560"/>
      <c r="E140" s="1560"/>
      <c r="F140" s="1560"/>
      <c r="G140" s="1560"/>
      <c r="H140" s="1560"/>
      <c r="I140" s="1560"/>
      <c r="J140" s="1560"/>
      <c r="K140" s="1560"/>
      <c r="L140" s="1560"/>
      <c r="M140" s="1560"/>
      <c r="N140" s="1560"/>
      <c r="O140" s="1560"/>
      <c r="P140" s="1560"/>
      <c r="Q140" s="88"/>
      <c r="R140" s="88"/>
      <c r="S140" s="88"/>
      <c r="T140" s="88"/>
      <c r="U140" s="3931"/>
      <c r="V140" s="88"/>
      <c r="W140" s="3931"/>
      <c r="X140" s="88"/>
      <c r="Y140" s="88"/>
      <c r="Z140" s="88"/>
      <c r="AA140" s="88"/>
      <c r="AB140" s="88"/>
      <c r="AC140" s="88"/>
      <c r="AD140" s="88"/>
      <c r="AE140" s="5022" t="s">
        <v>46</v>
      </c>
      <c r="AF140" s="10584">
        <v>8582</v>
      </c>
      <c r="AG140" s="10584"/>
      <c r="AH140" s="10584"/>
      <c r="AI140" s="88"/>
      <c r="AJ140" s="2052" t="str">
        <f>"("&amp;TaxYear&amp;")"</f>
        <v>(2025)</v>
      </c>
      <c r="AK140" s="2013"/>
      <c r="AL140" s="416"/>
      <c r="AM140" s="416"/>
      <c r="AN140" s="253"/>
      <c r="AO140" s="724"/>
      <c r="AP140" s="724"/>
      <c r="AQ140" s="253"/>
      <c r="AR140" s="253"/>
      <c r="AS140" s="253"/>
      <c r="AT140" s="253"/>
      <c r="AU140" s="253"/>
      <c r="AV140" s="253"/>
      <c r="AW140" s="253"/>
      <c r="AX140" s="1640"/>
      <c r="AY140" s="658"/>
      <c r="AZ140" s="658"/>
      <c r="BA140" s="658"/>
      <c r="BB140" s="658"/>
      <c r="BC140" s="658"/>
      <c r="BD140" s="658"/>
      <c r="BE140" s="658"/>
      <c r="BF140" s="658"/>
      <c r="BG140" s="658"/>
      <c r="BH140"/>
      <c r="BI140"/>
    </row>
    <row r="141" spans="1:62">
      <c r="AQ141" s="253"/>
      <c r="AR141" s="253"/>
      <c r="AS141" s="253"/>
      <c r="AT141" s="253"/>
      <c r="AU141" s="253"/>
      <c r="AV141" s="253"/>
      <c r="AW141" s="253"/>
    </row>
    <row r="142" spans="1:62">
      <c r="AS142" s="253"/>
      <c r="AT142" s="253"/>
      <c r="AU142" s="253"/>
    </row>
  </sheetData>
  <sheetProtection formatCells="0" formatColumns="0" formatRows="0"/>
  <mergeCells count="311">
    <mergeCell ref="AS11:AS12"/>
    <mergeCell ref="AA80:AE80"/>
    <mergeCell ref="AS31:AS33"/>
    <mergeCell ref="AS27:AS28"/>
    <mergeCell ref="AS21:AS22"/>
    <mergeCell ref="AS19:AS20"/>
    <mergeCell ref="AS17:AS18"/>
    <mergeCell ref="AS13:AS14"/>
    <mergeCell ref="AF66:AJ66"/>
    <mergeCell ref="AF63:AJ63"/>
    <mergeCell ref="AS23:AS25"/>
    <mergeCell ref="AE13:AJ13"/>
    <mergeCell ref="AE15:AJ15"/>
    <mergeCell ref="AE18:AJ18"/>
    <mergeCell ref="AE19:AJ19"/>
    <mergeCell ref="AE20:AJ20"/>
    <mergeCell ref="AE17:AJ17"/>
    <mergeCell ref="AE22:AJ22"/>
    <mergeCell ref="AF67:AJ67"/>
    <mergeCell ref="AA68:AE69"/>
    <mergeCell ref="AF68:AJ69"/>
    <mergeCell ref="AA59:AJ60"/>
    <mergeCell ref="AA67:AE67"/>
    <mergeCell ref="AA75:AE75"/>
    <mergeCell ref="AN59:AN62"/>
    <mergeCell ref="AL28:AN28"/>
    <mergeCell ref="N54:Q54"/>
    <mergeCell ref="R54:U54"/>
    <mergeCell ref="V54:Z54"/>
    <mergeCell ref="N68:Q68"/>
    <mergeCell ref="R68:U68"/>
    <mergeCell ref="V68:Z68"/>
    <mergeCell ref="AL30:AN30"/>
    <mergeCell ref="AF54:AJ55"/>
    <mergeCell ref="N67:Q67"/>
    <mergeCell ref="AA66:AE66"/>
    <mergeCell ref="V66:Z66"/>
    <mergeCell ref="R51:U51"/>
    <mergeCell ref="AC56:AE56"/>
    <mergeCell ref="R47:U48"/>
    <mergeCell ref="AA45:AJ46"/>
    <mergeCell ref="AA47:AE48"/>
    <mergeCell ref="AF47:AJ48"/>
    <mergeCell ref="N51:Q51"/>
    <mergeCell ref="AF53:AJ53"/>
    <mergeCell ref="N53:Q53"/>
    <mergeCell ref="R53:U53"/>
    <mergeCell ref="N55:Q55"/>
    <mergeCell ref="AE14:AJ14"/>
    <mergeCell ref="AA76:AE76"/>
    <mergeCell ref="AF76:AJ76"/>
    <mergeCell ref="AE103:AJ103"/>
    <mergeCell ref="AE87:AJ87"/>
    <mergeCell ref="AE88:AJ88"/>
    <mergeCell ref="AE89:AJ89"/>
    <mergeCell ref="AE90:AJ90"/>
    <mergeCell ref="AE91:AJ91"/>
    <mergeCell ref="Y99:AD99"/>
    <mergeCell ref="AE99:AJ99"/>
    <mergeCell ref="Y100:AD100"/>
    <mergeCell ref="AE100:AJ100"/>
    <mergeCell ref="Y87:AD87"/>
    <mergeCell ref="AE101:AJ101"/>
    <mergeCell ref="Y89:AD89"/>
    <mergeCell ref="V81:Z81"/>
    <mergeCell ref="AF77:AJ77"/>
    <mergeCell ref="V76:Z76"/>
    <mergeCell ref="Y103:AD103"/>
    <mergeCell ref="AA81:AE81"/>
    <mergeCell ref="X18:AC18"/>
    <mergeCell ref="AA64:AE64"/>
    <mergeCell ref="AF64:AJ64"/>
    <mergeCell ref="AF65:AJ65"/>
    <mergeCell ref="AA63:AE63"/>
    <mergeCell ref="AA51:AE51"/>
    <mergeCell ref="AF51:AJ51"/>
    <mergeCell ref="N52:Q52"/>
    <mergeCell ref="N49:Q49"/>
    <mergeCell ref="AA54:AE55"/>
    <mergeCell ref="N47:Q48"/>
    <mergeCell ref="V53:Z53"/>
    <mergeCell ref="V50:Z50"/>
    <mergeCell ref="B51:M51"/>
    <mergeCell ref="B70:C70"/>
    <mergeCell ref="AF79:AJ79"/>
    <mergeCell ref="N75:Q75"/>
    <mergeCell ref="AA61:AE62"/>
    <mergeCell ref="AF61:AJ62"/>
    <mergeCell ref="Y8:AJ8"/>
    <mergeCell ref="B58:C58"/>
    <mergeCell ref="B45:M48"/>
    <mergeCell ref="X33:AC33"/>
    <mergeCell ref="X34:AC34"/>
    <mergeCell ref="X37:AC37"/>
    <mergeCell ref="AE38:AJ38"/>
    <mergeCell ref="AE39:AJ39"/>
    <mergeCell ref="B40:C40"/>
    <mergeCell ref="AE43:AJ43"/>
    <mergeCell ref="B44:C44"/>
    <mergeCell ref="R49:U49"/>
    <mergeCell ref="AA49:AE49"/>
    <mergeCell ref="AF49:AJ49"/>
    <mergeCell ref="N50:Q50"/>
    <mergeCell ref="R50:U50"/>
    <mergeCell ref="AA50:AE50"/>
    <mergeCell ref="N45:U46"/>
    <mergeCell ref="AF81:AJ81"/>
    <mergeCell ref="AF71:AJ74"/>
    <mergeCell ref="N100:R100"/>
    <mergeCell ref="R81:U81"/>
    <mergeCell ref="AE95:AJ98"/>
    <mergeCell ref="Y93:AD93"/>
    <mergeCell ref="N79:Q79"/>
    <mergeCell ref="R79:U79"/>
    <mergeCell ref="V79:Z79"/>
    <mergeCell ref="AA79:AE79"/>
    <mergeCell ref="Y91:AD91"/>
    <mergeCell ref="AF75:AJ75"/>
    <mergeCell ref="Y88:AD88"/>
    <mergeCell ref="N91:R91"/>
    <mergeCell ref="N76:Q76"/>
    <mergeCell ref="N78:Q78"/>
    <mergeCell ref="R78:U78"/>
    <mergeCell ref="V78:Z78"/>
    <mergeCell ref="AA78:AE78"/>
    <mergeCell ref="AF78:AJ78"/>
    <mergeCell ref="V80:Z80"/>
    <mergeCell ref="B122:L122"/>
    <mergeCell ref="B94:C94"/>
    <mergeCell ref="B53:M53"/>
    <mergeCell ref="B63:M63"/>
    <mergeCell ref="B64:M64"/>
    <mergeCell ref="B65:M65"/>
    <mergeCell ref="B59:M62"/>
    <mergeCell ref="N59:U60"/>
    <mergeCell ref="V59:Z60"/>
    <mergeCell ref="N69:Q69"/>
    <mergeCell ref="R69:U69"/>
    <mergeCell ref="N61:Q62"/>
    <mergeCell ref="V61:Z62"/>
    <mergeCell ref="V55:Z55"/>
    <mergeCell ref="R75:U75"/>
    <mergeCell ref="N77:Q77"/>
    <mergeCell ref="R77:U77"/>
    <mergeCell ref="V77:Z77"/>
    <mergeCell ref="B95:M98"/>
    <mergeCell ref="Y102:AD102"/>
    <mergeCell ref="N102:R102"/>
    <mergeCell ref="AA65:AE65"/>
    <mergeCell ref="B83:M86"/>
    <mergeCell ref="B108:C108"/>
    <mergeCell ref="I2:AB3"/>
    <mergeCell ref="AC2:AJ2"/>
    <mergeCell ref="B3:C3"/>
    <mergeCell ref="AC3:AJ4"/>
    <mergeCell ref="AD5:AG5"/>
    <mergeCell ref="AH5:AI6"/>
    <mergeCell ref="I6:AB6"/>
    <mergeCell ref="AD6:AG6"/>
    <mergeCell ref="AE41:AJ41"/>
    <mergeCell ref="Y19:AB19"/>
    <mergeCell ref="Y20:AB20"/>
    <mergeCell ref="AE24:AJ24"/>
    <mergeCell ref="B30:C30"/>
    <mergeCell ref="E30:AJ30"/>
    <mergeCell ref="AE32:AJ32"/>
    <mergeCell ref="AE27:AJ27"/>
    <mergeCell ref="D2:H3"/>
    <mergeCell ref="I4:AB4"/>
    <mergeCell ref="I5:AB5"/>
    <mergeCell ref="X13:AC13"/>
    <mergeCell ref="B9:C9"/>
    <mergeCell ref="E9:AJ9"/>
    <mergeCell ref="AE16:AJ16"/>
    <mergeCell ref="AE21:AJ21"/>
    <mergeCell ref="M135:P135"/>
    <mergeCell ref="Q137:T137"/>
    <mergeCell ref="U137:Y137"/>
    <mergeCell ref="Z137:AE137"/>
    <mergeCell ref="B49:M49"/>
    <mergeCell ref="B50:M50"/>
    <mergeCell ref="S103:X103"/>
    <mergeCell ref="S105:X105"/>
    <mergeCell ref="B66:M66"/>
    <mergeCell ref="B67:M67"/>
    <mergeCell ref="B75:M75"/>
    <mergeCell ref="B76:M76"/>
    <mergeCell ref="B77:M77"/>
    <mergeCell ref="B78:M78"/>
    <mergeCell ref="B79:M79"/>
    <mergeCell ref="B87:M87"/>
    <mergeCell ref="B88:M88"/>
    <mergeCell ref="B89:M89"/>
    <mergeCell ref="N90:R90"/>
    <mergeCell ref="B82:C82"/>
    <mergeCell ref="N83:R86"/>
    <mergeCell ref="S83:X86"/>
    <mergeCell ref="M115:P115"/>
    <mergeCell ref="M117:P117"/>
    <mergeCell ref="B8:X8"/>
    <mergeCell ref="B131:L131"/>
    <mergeCell ref="M133:P133"/>
    <mergeCell ref="Q119:T119"/>
    <mergeCell ref="U119:Y119"/>
    <mergeCell ref="M124:P124"/>
    <mergeCell ref="M126:P126"/>
    <mergeCell ref="N63:Q63"/>
    <mergeCell ref="R63:U63"/>
    <mergeCell ref="V63:Z63"/>
    <mergeCell ref="N64:Q64"/>
    <mergeCell ref="R64:U64"/>
    <mergeCell ref="V64:Z64"/>
    <mergeCell ref="N65:Q65"/>
    <mergeCell ref="R65:U65"/>
    <mergeCell ref="V65:Z65"/>
    <mergeCell ref="R67:U67"/>
    <mergeCell ref="V67:Z67"/>
    <mergeCell ref="N95:R98"/>
    <mergeCell ref="S95:X98"/>
    <mergeCell ref="Y95:AD98"/>
    <mergeCell ref="B91:M91"/>
    <mergeCell ref="N88:R88"/>
    <mergeCell ref="N89:R89"/>
    <mergeCell ref="M129:P131"/>
    <mergeCell ref="S100:X100"/>
    <mergeCell ref="N101:R101"/>
    <mergeCell ref="S101:X101"/>
    <mergeCell ref="B103:M103"/>
    <mergeCell ref="N103:R103"/>
    <mergeCell ref="Y14:AB14"/>
    <mergeCell ref="Y15:AB15"/>
    <mergeCell ref="H23:K23"/>
    <mergeCell ref="R55:U55"/>
    <mergeCell ref="N66:Q66"/>
    <mergeCell ref="R66:U66"/>
    <mergeCell ref="AA77:AE77"/>
    <mergeCell ref="N71:Q74"/>
    <mergeCell ref="R71:U74"/>
    <mergeCell ref="Y92:AD92"/>
    <mergeCell ref="Y90:AD90"/>
    <mergeCell ref="V71:Z74"/>
    <mergeCell ref="AA71:AE74"/>
    <mergeCell ref="R76:U76"/>
    <mergeCell ref="B52:M52"/>
    <mergeCell ref="AA53:AE53"/>
    <mergeCell ref="R61:U62"/>
    <mergeCell ref="M120:P122"/>
    <mergeCell ref="M109:P110"/>
    <mergeCell ref="Q109:T110"/>
    <mergeCell ref="U109:Y110"/>
    <mergeCell ref="Z109:AE110"/>
    <mergeCell ref="AF109:AJ110"/>
    <mergeCell ref="B110:L110"/>
    <mergeCell ref="M111:P113"/>
    <mergeCell ref="B113:L113"/>
    <mergeCell ref="S93:X93"/>
    <mergeCell ref="AE93:AJ93"/>
    <mergeCell ref="B99:M99"/>
    <mergeCell ref="B100:M100"/>
    <mergeCell ref="B101:M101"/>
    <mergeCell ref="N99:R99"/>
    <mergeCell ref="S99:X99"/>
    <mergeCell ref="AE102:AJ102"/>
    <mergeCell ref="AF140:AH140"/>
    <mergeCell ref="S87:X87"/>
    <mergeCell ref="S88:X88"/>
    <mergeCell ref="S89:X89"/>
    <mergeCell ref="S90:X90"/>
    <mergeCell ref="S91:X91"/>
    <mergeCell ref="AE83:AJ86"/>
    <mergeCell ref="U139:Y139"/>
    <mergeCell ref="Q139:T139"/>
    <mergeCell ref="Z139:AE139"/>
    <mergeCell ref="AF139:AJ139"/>
    <mergeCell ref="Q128:T128"/>
    <mergeCell ref="U128:Y128"/>
    <mergeCell ref="Z128:AE128"/>
    <mergeCell ref="AF128:AJ128"/>
    <mergeCell ref="Y105:AD105"/>
    <mergeCell ref="AE105:AJ105"/>
    <mergeCell ref="Z119:AE119"/>
    <mergeCell ref="AF119:AJ119"/>
    <mergeCell ref="S102:X102"/>
    <mergeCell ref="Y83:AD86"/>
    <mergeCell ref="Y101:AD101"/>
    <mergeCell ref="AF106:AH106"/>
    <mergeCell ref="AF137:AJ137"/>
    <mergeCell ref="AE25:AJ26"/>
    <mergeCell ref="V69:Z69"/>
    <mergeCell ref="V75:Z75"/>
    <mergeCell ref="B90:M90"/>
    <mergeCell ref="N87:R87"/>
    <mergeCell ref="B102:M102"/>
    <mergeCell ref="B71:M74"/>
    <mergeCell ref="AS58:AT61"/>
    <mergeCell ref="AT24:AT25"/>
    <mergeCell ref="AR40:AU44"/>
    <mergeCell ref="Z39:AC39"/>
    <mergeCell ref="R52:U52"/>
    <mergeCell ref="AA52:AE52"/>
    <mergeCell ref="AF52:AJ52"/>
    <mergeCell ref="AR83:AS83"/>
    <mergeCell ref="AQ38:AV39"/>
    <mergeCell ref="AQ45:AV45"/>
    <mergeCell ref="V51:Z51"/>
    <mergeCell ref="V52:Z52"/>
    <mergeCell ref="AL29:AN29"/>
    <mergeCell ref="AF50:AJ50"/>
    <mergeCell ref="V45:Z46"/>
    <mergeCell ref="V47:Z48"/>
    <mergeCell ref="V49:Z49"/>
  </mergeCells>
  <conditionalFormatting sqref="B8">
    <cfRule type="expression" dxfId="1201" priority="213">
      <formula>IF(NoColor,1,0)</formula>
    </cfRule>
  </conditionalFormatting>
  <conditionalFormatting sqref="B49:B53 N49:V53">
    <cfRule type="expression" dxfId="1200" priority="169">
      <formula>NoColor</formula>
    </cfRule>
  </conditionalFormatting>
  <conditionalFormatting sqref="B63:B67">
    <cfRule type="expression" dxfId="1199" priority="109">
      <formula>NoColor</formula>
    </cfRule>
  </conditionalFormatting>
  <conditionalFormatting sqref="B75:B79">
    <cfRule type="expression" dxfId="1198" priority="106">
      <formula>NoColor</formula>
    </cfRule>
  </conditionalFormatting>
  <conditionalFormatting sqref="B87:B91">
    <cfRule type="expression" dxfId="1197" priority="49">
      <formula>NoColor</formula>
    </cfRule>
  </conditionalFormatting>
  <conditionalFormatting sqref="B99:B103">
    <cfRule type="expression" dxfId="1196" priority="46">
      <formula>NoColor</formula>
    </cfRule>
  </conditionalFormatting>
  <conditionalFormatting sqref="B110:L110">
    <cfRule type="expression" dxfId="1195" priority="126">
      <formula>NoColor</formula>
    </cfRule>
  </conditionalFormatting>
  <conditionalFormatting sqref="B113:L113">
    <cfRule type="expression" dxfId="1194" priority="125">
      <formula>NoColor</formula>
    </cfRule>
  </conditionalFormatting>
  <conditionalFormatting sqref="B122:L122">
    <cfRule type="expression" dxfId="1193" priority="39">
      <formula>NoColor</formula>
    </cfRule>
  </conditionalFormatting>
  <conditionalFormatting sqref="B131:L131">
    <cfRule type="expression" dxfId="1192" priority="38">
      <formula>NoColor</formula>
    </cfRule>
  </conditionalFormatting>
  <conditionalFormatting sqref="H23">
    <cfRule type="expression" dxfId="1191" priority="3">
      <formula>AO22</formula>
    </cfRule>
  </conditionalFormatting>
  <conditionalFormatting sqref="M39">
    <cfRule type="expression" dxfId="1190" priority="2">
      <formula>Unallowed_CRD&lt;&gt;""</formula>
    </cfRule>
  </conditionalFormatting>
  <conditionalFormatting sqref="M115:P115">
    <cfRule type="expression" dxfId="1189" priority="122">
      <formula>NoColor</formula>
    </cfRule>
  </conditionalFormatting>
  <conditionalFormatting sqref="M117:P117">
    <cfRule type="expression" dxfId="1188" priority="121">
      <formula>NoColor</formula>
    </cfRule>
  </conditionalFormatting>
  <conditionalFormatting sqref="M124:P124">
    <cfRule type="expression" dxfId="1187" priority="120">
      <formula>NoColor</formula>
    </cfRule>
  </conditionalFormatting>
  <conditionalFormatting sqref="M126:P126">
    <cfRule type="expression" dxfId="1186" priority="119">
      <formula>NoColor</formula>
    </cfRule>
  </conditionalFormatting>
  <conditionalFormatting sqref="M133:P133">
    <cfRule type="expression" dxfId="1185" priority="118">
      <formula>NoColor</formula>
    </cfRule>
  </conditionalFormatting>
  <conditionalFormatting sqref="M135:P135">
    <cfRule type="expression" dxfId="1184" priority="117">
      <formula>NoColor</formula>
    </cfRule>
  </conditionalFormatting>
  <conditionalFormatting sqref="N87:N91">
    <cfRule type="expression" dxfId="1183" priority="78">
      <formula>NoColor</formula>
    </cfRule>
  </conditionalFormatting>
  <conditionalFormatting sqref="N93">
    <cfRule type="expression" dxfId="1182" priority="146">
      <formula>NoColor</formula>
    </cfRule>
  </conditionalFormatting>
  <conditionalFormatting sqref="N99:N103">
    <cfRule type="expression" dxfId="1181" priority="79">
      <formula>NoColor</formula>
    </cfRule>
  </conditionalFormatting>
  <conditionalFormatting sqref="N105">
    <cfRule type="expression" dxfId="1180" priority="131">
      <formula>NoColor</formula>
    </cfRule>
  </conditionalFormatting>
  <conditionalFormatting sqref="N55:V55">
    <cfRule type="expression" dxfId="1179" priority="163">
      <formula>NoColor</formula>
    </cfRule>
  </conditionalFormatting>
  <conditionalFormatting sqref="N63:V67">
    <cfRule type="expression" dxfId="1178" priority="56">
      <formula>NoColor</formula>
    </cfRule>
  </conditionalFormatting>
  <conditionalFormatting sqref="N69:V69">
    <cfRule type="expression" dxfId="1177" priority="45">
      <formula>NoColor</formula>
    </cfRule>
  </conditionalFormatting>
  <conditionalFormatting sqref="N75:V79">
    <cfRule type="expression" dxfId="1176" priority="69">
      <formula>NoColor</formula>
    </cfRule>
  </conditionalFormatting>
  <conditionalFormatting sqref="Q139:T139">
    <cfRule type="expression" dxfId="1175" priority="112">
      <formula>NoColor</formula>
    </cfRule>
  </conditionalFormatting>
  <conditionalFormatting sqref="Q119:AJ119">
    <cfRule type="expression" dxfId="1174" priority="25">
      <formula>NoColor</formula>
    </cfRule>
  </conditionalFormatting>
  <conditionalFormatting sqref="Q128:AJ128">
    <cfRule type="expression" dxfId="1173" priority="24">
      <formula>NoColor</formula>
    </cfRule>
  </conditionalFormatting>
  <conditionalFormatting sqref="Q137:AJ137">
    <cfRule type="expression" dxfId="1172" priority="23">
      <formula>NoColor</formula>
    </cfRule>
  </conditionalFormatting>
  <conditionalFormatting sqref="R81">
    <cfRule type="expression" dxfId="1171" priority="157">
      <formula>NoColor</formula>
    </cfRule>
  </conditionalFormatting>
  <conditionalFormatting sqref="S93">
    <cfRule type="expression" dxfId="1170" priority="145">
      <formula>NoColor</formula>
    </cfRule>
  </conditionalFormatting>
  <conditionalFormatting sqref="S105">
    <cfRule type="expression" dxfId="1169" priority="130">
      <formula>NoColor</formula>
    </cfRule>
  </conditionalFormatting>
  <conditionalFormatting sqref="U139">
    <cfRule type="expression" dxfId="1168" priority="140">
      <formula>NoColor</formula>
    </cfRule>
  </conditionalFormatting>
  <conditionalFormatting sqref="V75:V79">
    <cfRule type="expression" dxfId="1167" priority="68">
      <formula>NoColor</formula>
    </cfRule>
  </conditionalFormatting>
  <conditionalFormatting sqref="V81">
    <cfRule type="expression" dxfId="1166" priority="153">
      <formula>NoColor</formula>
    </cfRule>
  </conditionalFormatting>
  <conditionalFormatting sqref="X14:Y15 AC14:AC15">
    <cfRule type="expression" dxfId="1165" priority="187">
      <formula>IF(NoColor,1,0)</formula>
    </cfRule>
  </conditionalFormatting>
  <conditionalFormatting sqref="X19:Y20 AC19:AC20">
    <cfRule type="expression" dxfId="1164" priority="182">
      <formula>IF(NoColor,1,0)</formula>
    </cfRule>
  </conditionalFormatting>
  <conditionalFormatting sqref="X13:AC13">
    <cfRule type="expression" dxfId="1163" priority="188">
      <formula>IF(NoColor,1,0)</formula>
    </cfRule>
  </conditionalFormatting>
  <conditionalFormatting sqref="X18:AC18">
    <cfRule type="expression" dxfId="1162" priority="183">
      <formula>IF(NoColor,1,0)</formula>
    </cfRule>
  </conditionalFormatting>
  <conditionalFormatting sqref="X33:AC34">
    <cfRule type="expression" dxfId="1161" priority="175">
      <formula>IF(NoColor,1,0)</formula>
    </cfRule>
  </conditionalFormatting>
  <conditionalFormatting sqref="X37:AC37">
    <cfRule type="expression" dxfId="1160" priority="174">
      <formula>IF(NoColor,1,0)</formula>
    </cfRule>
  </conditionalFormatting>
  <conditionalFormatting sqref="Y8">
    <cfRule type="expression" dxfId="1159" priority="211">
      <formula>IF(NoColor,1,0)</formula>
    </cfRule>
  </conditionalFormatting>
  <conditionalFormatting sqref="Y87:Y91">
    <cfRule type="expression" dxfId="1158" priority="48">
      <formula>NoColor</formula>
    </cfRule>
    <cfRule type="expression" dxfId="1157" priority="47">
      <formula>NoColor</formula>
    </cfRule>
  </conditionalFormatting>
  <conditionalFormatting sqref="Y93">
    <cfRule type="expression" dxfId="1156" priority="129">
      <formula>NoColor</formula>
    </cfRule>
  </conditionalFormatting>
  <conditionalFormatting sqref="Y99:Y103 AE99:AE103 S99:S103">
    <cfRule type="expression" dxfId="1155" priority="94">
      <formula>NoColor</formula>
    </cfRule>
  </conditionalFormatting>
  <conditionalFormatting sqref="Y99:Y103 AE99:AE103">
    <cfRule type="expression" dxfId="1154" priority="93">
      <formula>NoColor</formula>
    </cfRule>
  </conditionalFormatting>
  <conditionalFormatting sqref="Y105">
    <cfRule type="expression" dxfId="1153" priority="84">
      <formula>NoColor</formula>
    </cfRule>
  </conditionalFormatting>
  <conditionalFormatting sqref="Z139">
    <cfRule type="expression" dxfId="1152" priority="27">
      <formula>NoColor</formula>
    </cfRule>
  </conditionalFormatting>
  <conditionalFormatting sqref="AA81">
    <cfRule type="expression" dxfId="1151" priority="51">
      <formula>NoColor</formula>
    </cfRule>
  </conditionalFormatting>
  <conditionalFormatting sqref="AA49:AJ53">
    <cfRule type="expression" dxfId="1150" priority="57">
      <formula>NoColor</formula>
    </cfRule>
    <cfRule type="expression" dxfId="1149" priority="58">
      <formula>NoColor</formula>
    </cfRule>
  </conditionalFormatting>
  <conditionalFormatting sqref="AA63:AJ67">
    <cfRule type="expression" dxfId="1148" priority="61">
      <formula>NoColor</formula>
    </cfRule>
    <cfRule type="expression" dxfId="1147" priority="62">
      <formula>NoColor</formula>
    </cfRule>
  </conditionalFormatting>
  <conditionalFormatting sqref="AA75:AJ79">
    <cfRule type="expression" dxfId="1146" priority="155">
      <formula>NoColor</formula>
    </cfRule>
    <cfRule type="expression" dxfId="1145" priority="154">
      <formula>NoColor</formula>
    </cfRule>
  </conditionalFormatting>
  <conditionalFormatting sqref="AE87:AE91 S87:S91">
    <cfRule type="expression" dxfId="1144" priority="152">
      <formula>NoColor</formula>
    </cfRule>
  </conditionalFormatting>
  <conditionalFormatting sqref="AE87:AE91">
    <cfRule type="expression" dxfId="1143" priority="151">
      <formula>NoColor</formula>
    </cfRule>
  </conditionalFormatting>
  <conditionalFormatting sqref="AE93">
    <cfRule type="expression" dxfId="1142" priority="147">
      <formula>NoColor</formula>
    </cfRule>
  </conditionalFormatting>
  <conditionalFormatting sqref="AE105">
    <cfRule type="expression" dxfId="1141" priority="83">
      <formula>NoColor</formula>
    </cfRule>
  </conditionalFormatting>
  <conditionalFormatting sqref="AE16:AJ16">
    <cfRule type="expression" dxfId="1140" priority="180">
      <formula>IF(NoColor,1,0)</formula>
    </cfRule>
  </conditionalFormatting>
  <conditionalFormatting sqref="AE21:AJ21">
    <cfRule type="expression" dxfId="1139" priority="40">
      <formula>IF(NoColor,1,0)</formula>
    </cfRule>
  </conditionalFormatting>
  <conditionalFormatting sqref="AE24:AJ24">
    <cfRule type="expression" dxfId="1138" priority="181">
      <formula>IF(NoColor,1,0)</formula>
    </cfRule>
  </conditionalFormatting>
  <conditionalFormatting sqref="AE27:AJ27">
    <cfRule type="expression" dxfId="1137" priority="285">
      <formula>IF(NoColor,1,0)</formula>
    </cfRule>
  </conditionalFormatting>
  <conditionalFormatting sqref="AE32:AJ32">
    <cfRule type="expression" dxfId="1136" priority="178">
      <formula>IF(NoColor,1,0)</formula>
    </cfRule>
  </conditionalFormatting>
  <conditionalFormatting sqref="AE38:AJ39">
    <cfRule type="expression" dxfId="1135" priority="172">
      <formula>IF(NoColor,1,0)</formula>
    </cfRule>
  </conditionalFormatting>
  <conditionalFormatting sqref="AE41:AJ41">
    <cfRule type="expression" dxfId="1134" priority="171">
      <formula>IF(NoColor,1,0)</formula>
    </cfRule>
  </conditionalFormatting>
  <conditionalFormatting sqref="AE43:AJ43">
    <cfRule type="expression" dxfId="1133" priority="170">
      <formula>IF(NoColor,1,0)</formula>
    </cfRule>
  </conditionalFormatting>
  <conditionalFormatting sqref="AF81">
    <cfRule type="expression" dxfId="1132" priority="50">
      <formula>NoColor</formula>
    </cfRule>
  </conditionalFormatting>
  <conditionalFormatting sqref="AF139:AJ139">
    <cfRule type="expression" dxfId="1131" priority="110">
      <formula>NoColor</formula>
    </cfRule>
  </conditionalFormatting>
  <conditionalFormatting sqref="AL6:AL7">
    <cfRule type="expression" dxfId="1130" priority="4">
      <formula>NoColor</formula>
    </cfRule>
  </conditionalFormatting>
  <conditionalFormatting sqref="AL28">
    <cfRule type="expression" dxfId="1129" priority="52">
      <formula>AO22</formula>
    </cfRule>
  </conditionalFormatting>
  <conditionalFormatting sqref="AL40">
    <cfRule type="expression" dxfId="1128" priority="1">
      <formula>($AM$23&lt;&gt;"")</formula>
    </cfRule>
  </conditionalFormatting>
  <conditionalFormatting sqref="AL55 AL81">
    <cfRule type="expression" dxfId="1127" priority="207">
      <formula>$AM$54</formula>
    </cfRule>
  </conditionalFormatting>
  <conditionalFormatting sqref="AL69">
    <cfRule type="expression" dxfId="1126" priority="160">
      <formula>$AM$54</formula>
    </cfRule>
  </conditionalFormatting>
  <conditionalFormatting sqref="AL93">
    <cfRule type="expression" dxfId="1125" priority="150">
      <formula>$AM$54</formula>
    </cfRule>
  </conditionalFormatting>
  <conditionalFormatting sqref="AL105">
    <cfRule type="expression" dxfId="1124" priority="135">
      <formula>$AM$54</formula>
    </cfRule>
  </conditionalFormatting>
  <conditionalFormatting sqref="AL139">
    <cfRule type="expression" dxfId="1123" priority="144">
      <formula>$AM$54</formula>
    </cfRule>
  </conditionalFormatting>
  <conditionalFormatting sqref="AM28">
    <cfRule type="expression" dxfId="1122" priority="5012">
      <formula>AN22</formula>
    </cfRule>
  </conditionalFormatting>
  <conditionalFormatting sqref="AM55">
    <cfRule type="expression" dxfId="1121" priority="206">
      <formula>AND($AM$54,$AL$55="")</formula>
    </cfRule>
  </conditionalFormatting>
  <conditionalFormatting sqref="AM69">
    <cfRule type="expression" dxfId="1120" priority="159">
      <formula>AND($AM$54,$AL$55="")</formula>
    </cfRule>
  </conditionalFormatting>
  <conditionalFormatting sqref="AM139">
    <cfRule type="expression" dxfId="1119" priority="143">
      <formula>AND($AM$54,$AL$55="")</formula>
    </cfRule>
  </conditionalFormatting>
  <conditionalFormatting sqref="AN28 AP28">
    <cfRule type="expression" dxfId="1118" priority="5017">
      <formula>AL22</formula>
    </cfRule>
  </conditionalFormatting>
  <conditionalFormatting sqref="AR63:AR65">
    <cfRule type="expression" dxfId="1117" priority="42">
      <formula>$AS$62</formula>
    </cfRule>
  </conditionalFormatting>
  <conditionalFormatting sqref="AS58">
    <cfRule type="expression" dxfId="1116" priority="7113">
      <formula>AU58</formula>
    </cfRule>
  </conditionalFormatting>
  <conditionalFormatting sqref="AT12">
    <cfRule type="expression" dxfId="1115" priority="21">
      <formula>NoColor</formula>
    </cfRule>
  </conditionalFormatting>
  <conditionalFormatting sqref="AT14">
    <cfRule type="expression" dxfId="1114" priority="20">
      <formula>NoColor</formula>
    </cfRule>
  </conditionalFormatting>
  <conditionalFormatting sqref="AT16">
    <cfRule type="expression" dxfId="1113" priority="19">
      <formula>NoColor</formula>
    </cfRule>
  </conditionalFormatting>
  <conditionalFormatting sqref="AT18">
    <cfRule type="expression" dxfId="1112" priority="18">
      <formula>NoColor</formula>
    </cfRule>
  </conditionalFormatting>
  <conditionalFormatting sqref="AT20">
    <cfRule type="expression" dxfId="1111" priority="17">
      <formula>NoColor</formula>
    </cfRule>
  </conditionalFormatting>
  <conditionalFormatting sqref="AT22">
    <cfRule type="expression" dxfId="1110" priority="16">
      <formula>NoColor</formula>
    </cfRule>
  </conditionalFormatting>
  <conditionalFormatting sqref="AT24">
    <cfRule type="expression" dxfId="1109" priority="15">
      <formula>NoColor</formula>
    </cfRule>
  </conditionalFormatting>
  <conditionalFormatting sqref="AT28">
    <cfRule type="expression" dxfId="1108" priority="14">
      <formula>NoColor</formula>
    </cfRule>
  </conditionalFormatting>
  <conditionalFormatting sqref="AT30">
    <cfRule type="expression" dxfId="1107" priority="13">
      <formula>NoColor</formula>
    </cfRule>
  </conditionalFormatting>
  <conditionalFormatting sqref="AT33">
    <cfRule type="expression" dxfId="1106" priority="12">
      <formula>NoColor</formula>
    </cfRule>
  </conditionalFormatting>
  <conditionalFormatting sqref="AU9">
    <cfRule type="expression" dxfId="1105" priority="22">
      <formula>NoColor</formula>
    </cfRule>
  </conditionalFormatting>
  <conditionalFormatting sqref="AU35">
    <cfRule type="expression" dxfId="1104" priority="11">
      <formula>NoColor</formula>
    </cfRule>
  </conditionalFormatting>
  <conditionalFormatting sqref="AU47">
    <cfRule type="expression" dxfId="1103" priority="10">
      <formula>NoColor</formula>
    </cfRule>
  </conditionalFormatting>
  <conditionalFormatting sqref="AU49">
    <cfRule type="expression" dxfId="1102" priority="9">
      <formula>NoColor</formula>
    </cfRule>
  </conditionalFormatting>
  <conditionalFormatting sqref="AU51:AU52">
    <cfRule type="expression" dxfId="1101" priority="8">
      <formula>NoColor</formula>
    </cfRule>
  </conditionalFormatting>
  <conditionalFormatting sqref="AU55">
    <cfRule type="expression" dxfId="1100" priority="7">
      <formula>NoColor</formula>
    </cfRule>
  </conditionalFormatting>
  <conditionalFormatting sqref="AU57">
    <cfRule type="expression" dxfId="1099" priority="6">
      <formula>NoColor</formula>
    </cfRule>
  </conditionalFormatting>
  <conditionalFormatting sqref="AU61">
    <cfRule type="expression" dxfId="1098" priority="5">
      <formula>NoColor</formula>
    </cfRule>
  </conditionalFormatting>
  <conditionalFormatting sqref="AV40">
    <cfRule type="expression" dxfId="1097" priority="5019">
      <formula>AV38</formula>
    </cfRule>
  </conditionalFormatting>
  <conditionalFormatting sqref="AW28">
    <cfRule type="expression" dxfId="1096" priority="5014">
      <formula>AW22</formula>
    </cfRule>
  </conditionalFormatting>
  <pageMargins left="0.75" right="0.25" top="0.36" bottom="0.28999999999999998" header="0.36" footer="0.21"/>
  <pageSetup scale="64" fitToHeight="0" orientation="portrait" r:id="rId1"/>
  <rowBreaks count="2" manualBreakCount="2">
    <brk id="56" min="1" max="35" man="1"/>
    <brk id="106" min="1" max="35" man="1"/>
  </rowBreak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pageSetUpPr fitToPage="1"/>
  </sheetPr>
  <dimension ref="A1:BA230"/>
  <sheetViews>
    <sheetView zoomScaleNormal="100" zoomScaleSheetLayoutView="120" workbookViewId="0"/>
  </sheetViews>
  <sheetFormatPr defaultColWidth="9.140625" defaultRowHeight="12.75"/>
  <cols>
    <col min="1" max="1" width="2.7109375" customWidth="1"/>
    <col min="2" max="2" width="3" customWidth="1"/>
    <col min="3" max="3" width="5.85546875" style="84" customWidth="1"/>
    <col min="4" max="6" width="3.7109375" customWidth="1"/>
    <col min="7" max="7" width="5.140625" customWidth="1"/>
    <col min="8" max="8" width="2.7109375" customWidth="1"/>
    <col min="9" max="10" width="3.7109375" customWidth="1"/>
    <col min="11" max="11" width="4.42578125" customWidth="1"/>
    <col min="12" max="12" width="5.5703125" customWidth="1"/>
    <col min="13" max="13" width="4.42578125" customWidth="1"/>
    <col min="14" max="14" width="5" customWidth="1"/>
    <col min="15" max="15" width="3.7109375" customWidth="1"/>
    <col min="16" max="16" width="4.85546875" customWidth="1"/>
    <col min="17" max="17" width="4.28515625" customWidth="1"/>
    <col min="18" max="19" width="3.42578125" customWidth="1"/>
    <col min="20" max="21" width="3.7109375" customWidth="1"/>
    <col min="22" max="22" width="5" customWidth="1"/>
    <col min="23" max="23" width="4.42578125" customWidth="1"/>
    <col min="24" max="27" width="3.5703125" customWidth="1"/>
    <col min="28" max="28" width="4" customWidth="1"/>
    <col min="29" max="29" width="4.5703125" customWidth="1"/>
    <col min="30" max="30" width="4.7109375" customWidth="1"/>
    <col min="31" max="31" width="3.5703125" customWidth="1"/>
    <col min="32" max="32" width="5.140625" customWidth="1"/>
    <col min="33" max="36" width="3.5703125" customWidth="1"/>
    <col min="38" max="38" width="2.85546875" customWidth="1"/>
    <col min="39" max="39" width="17.5703125" style="329" customWidth="1"/>
    <col min="40" max="40" width="4.5703125" customWidth="1"/>
    <col min="41" max="42" width="10.7109375" style="658" customWidth="1"/>
    <col min="43" max="43" width="14.28515625" style="658" customWidth="1"/>
    <col min="44" max="46" width="10.7109375" style="658" customWidth="1"/>
    <col min="47" max="47" width="20.5703125" style="658" customWidth="1"/>
    <col min="48" max="49" width="10.7109375" style="658" customWidth="1"/>
    <col min="50" max="50" width="4.140625" style="658" customWidth="1"/>
    <col min="53" max="53" width="10" customWidth="1"/>
    <col min="58" max="58" width="9.140625" customWidth="1"/>
  </cols>
  <sheetData>
    <row r="1" spans="1:52">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2013"/>
      <c r="AD1" s="2013"/>
      <c r="AE1" s="2013"/>
      <c r="AF1" s="2013"/>
      <c r="AG1" s="2013"/>
      <c r="AH1" s="2013"/>
      <c r="AI1" s="2013"/>
      <c r="AJ1" s="2013"/>
      <c r="AK1" s="2013"/>
      <c r="AL1" s="253"/>
      <c r="AM1" s="344"/>
      <c r="AN1" s="253"/>
    </row>
    <row r="2" spans="1:52">
      <c r="A2" s="2013"/>
      <c r="B2" s="344"/>
      <c r="C2" s="730"/>
      <c r="D2" s="344"/>
      <c r="E2" s="344"/>
      <c r="F2" s="344"/>
      <c r="G2" s="344"/>
      <c r="H2" s="344"/>
      <c r="I2" s="344"/>
      <c r="J2" s="344"/>
      <c r="K2" s="344"/>
      <c r="L2" s="344"/>
      <c r="M2" s="344"/>
      <c r="N2" s="344"/>
      <c r="O2" s="344"/>
      <c r="P2" s="344"/>
      <c r="Q2" s="344"/>
      <c r="R2" s="344"/>
      <c r="S2" s="344"/>
      <c r="T2" s="344"/>
      <c r="U2" s="344"/>
      <c r="V2" s="344"/>
      <c r="W2" s="344"/>
      <c r="X2" s="344"/>
      <c r="Y2" s="344"/>
      <c r="Z2" s="344"/>
      <c r="AA2" s="344"/>
      <c r="AB2" s="344"/>
      <c r="AC2" s="344"/>
      <c r="AD2" s="344"/>
      <c r="AE2" s="344"/>
      <c r="AF2" s="344"/>
      <c r="AG2" s="344"/>
      <c r="AH2" s="344"/>
      <c r="AI2" s="344"/>
      <c r="AJ2" s="344"/>
      <c r="AK2" s="2013"/>
      <c r="AL2" s="253"/>
      <c r="AM2" s="344"/>
      <c r="AN2" s="253"/>
    </row>
    <row r="3" spans="1:52" ht="15.75">
      <c r="A3" s="2013"/>
      <c r="B3" s="344"/>
      <c r="C3" s="4467" t="s">
        <v>3983</v>
      </c>
      <c r="D3" s="344"/>
      <c r="E3" s="344"/>
      <c r="F3" s="344"/>
      <c r="G3" s="344"/>
      <c r="H3" s="344"/>
      <c r="I3" s="344"/>
      <c r="J3" s="344"/>
      <c r="K3" s="344" t="s">
        <v>3984</v>
      </c>
      <c r="L3" s="344"/>
      <c r="M3" s="344"/>
      <c r="N3" s="344"/>
      <c r="O3" s="344"/>
      <c r="P3" s="344"/>
      <c r="Q3" s="344"/>
      <c r="R3" s="344"/>
      <c r="S3" s="344"/>
      <c r="T3" s="344"/>
      <c r="U3" s="344"/>
      <c r="V3" s="344"/>
      <c r="W3" s="344"/>
      <c r="X3" s="344"/>
      <c r="Y3" s="344"/>
      <c r="Z3" s="344"/>
      <c r="AA3" s="344"/>
      <c r="AB3" s="344"/>
      <c r="AC3" s="344"/>
      <c r="AD3" s="344"/>
      <c r="AE3" s="344"/>
      <c r="AF3" s="344"/>
      <c r="AG3" s="344"/>
      <c r="AH3" s="344"/>
      <c r="AI3" s="344"/>
      <c r="AJ3" s="344"/>
      <c r="AK3" s="2013"/>
      <c r="AL3" s="253"/>
      <c r="AM3" s="344"/>
      <c r="AN3" s="253"/>
    </row>
    <row r="4" spans="1:52" ht="15.75">
      <c r="A4" s="2013"/>
      <c r="B4" s="344"/>
      <c r="C4" s="4467"/>
      <c r="D4" s="344"/>
      <c r="E4" s="344"/>
      <c r="F4" s="344"/>
      <c r="G4" s="344"/>
      <c r="H4" s="344"/>
      <c r="I4" s="344"/>
      <c r="J4" s="344"/>
      <c r="K4" s="344" t="s">
        <v>3985</v>
      </c>
      <c r="L4" s="344"/>
      <c r="M4" s="344"/>
      <c r="N4" s="344"/>
      <c r="O4" s="344"/>
      <c r="P4" s="344"/>
      <c r="Q4" s="344"/>
      <c r="R4" s="344"/>
      <c r="S4" s="344"/>
      <c r="T4" s="344"/>
      <c r="U4" s="344"/>
      <c r="V4" s="344"/>
      <c r="W4" s="344"/>
      <c r="X4" s="344"/>
      <c r="Y4" s="344"/>
      <c r="Z4" s="344"/>
      <c r="AA4" s="344"/>
      <c r="AB4" s="344"/>
      <c r="AC4" s="344"/>
      <c r="AD4" s="344"/>
      <c r="AE4" s="344"/>
      <c r="AF4" s="344"/>
      <c r="AG4" s="344"/>
      <c r="AH4" s="344"/>
      <c r="AI4" s="344"/>
      <c r="AJ4" s="344"/>
      <c r="AK4" s="2013"/>
      <c r="AL4" s="253"/>
      <c r="AM4" s="344"/>
      <c r="AN4" s="253"/>
    </row>
    <row r="5" spans="1:52">
      <c r="A5" s="2013"/>
      <c r="B5" s="253"/>
      <c r="C5" s="416"/>
      <c r="D5" s="253"/>
      <c r="E5" s="253"/>
      <c r="F5" s="253"/>
      <c r="G5" s="253"/>
      <c r="H5" s="253"/>
      <c r="I5" s="253"/>
      <c r="J5" s="253"/>
      <c r="K5" s="253"/>
      <c r="L5" s="253"/>
      <c r="M5" s="253"/>
      <c r="N5" s="253"/>
      <c r="O5" s="253"/>
      <c r="P5" s="253"/>
      <c r="Q5" s="253"/>
      <c r="R5" s="253"/>
      <c r="S5" s="253"/>
      <c r="T5" s="253"/>
      <c r="U5" s="253"/>
      <c r="V5" s="253"/>
      <c r="W5" s="253"/>
      <c r="X5" s="253"/>
      <c r="Y5" s="253"/>
      <c r="Z5" s="253"/>
      <c r="AA5" s="253"/>
      <c r="AB5" s="253"/>
      <c r="AC5" s="253"/>
      <c r="AD5" s="253"/>
      <c r="AE5" s="253"/>
      <c r="AF5" s="253"/>
      <c r="AG5" s="253"/>
      <c r="AH5" s="253"/>
      <c r="AI5" s="253"/>
      <c r="AJ5" s="253"/>
      <c r="AK5" s="2013"/>
      <c r="AL5" s="253"/>
      <c r="AM5" s="344"/>
      <c r="AN5" s="253"/>
    </row>
    <row r="6" spans="1:52" s="815" customFormat="1" ht="27.75" customHeight="1">
      <c r="A6" s="2013"/>
      <c r="B6" s="2013"/>
      <c r="C6" s="2013"/>
      <c r="D6" s="2013"/>
      <c r="E6" s="2013"/>
      <c r="F6" s="2013"/>
      <c r="G6" s="2013"/>
      <c r="H6" s="2013"/>
      <c r="I6" s="2013"/>
      <c r="J6" s="2013"/>
      <c r="K6" s="4468" t="s">
        <v>3986</v>
      </c>
      <c r="L6" s="2013"/>
      <c r="M6" s="2013"/>
      <c r="N6" s="2013"/>
      <c r="O6" s="2013"/>
      <c r="P6" s="2013"/>
      <c r="Q6" s="2013"/>
      <c r="R6" s="2013"/>
      <c r="S6" s="2013"/>
      <c r="T6" s="2013"/>
      <c r="U6" s="2013"/>
      <c r="V6" s="2013"/>
      <c r="W6" s="2013"/>
      <c r="X6" s="2013"/>
      <c r="Y6" s="2013"/>
      <c r="Z6" s="2013"/>
      <c r="AA6" s="2013"/>
      <c r="AB6" s="2013"/>
      <c r="AC6" s="2013"/>
      <c r="AD6" s="2013"/>
      <c r="AE6" s="2013"/>
      <c r="AF6" s="2013"/>
      <c r="AG6" s="2013"/>
      <c r="AH6" s="2013"/>
      <c r="AI6" s="2013"/>
      <c r="AJ6" s="2013"/>
      <c r="AK6" s="2013"/>
      <c r="AL6" s="253"/>
      <c r="AM6" s="344"/>
      <c r="AN6" s="253"/>
      <c r="AO6" s="658"/>
      <c r="AP6" s="658"/>
      <c r="AQ6" s="658"/>
      <c r="AR6" s="658"/>
      <c r="AS6" s="658"/>
      <c r="AT6" s="658"/>
      <c r="AU6" s="658"/>
      <c r="AV6" s="658"/>
      <c r="AW6" s="658"/>
      <c r="AX6" s="658"/>
      <c r="AY6"/>
      <c r="AZ6"/>
    </row>
    <row r="7" spans="1:52" s="815" customFormat="1" ht="24" customHeight="1">
      <c r="A7" s="2013"/>
      <c r="B7" s="253"/>
      <c r="C7" s="416"/>
      <c r="D7" s="10776" t="s">
        <v>125</v>
      </c>
      <c r="E7" s="10777"/>
      <c r="F7" s="10777"/>
      <c r="G7" s="10777"/>
      <c r="H7" s="719"/>
      <c r="I7" s="10668" t="s">
        <v>3950</v>
      </c>
      <c r="J7" s="10669"/>
      <c r="K7" s="10669"/>
      <c r="L7" s="10669"/>
      <c r="M7" s="10669"/>
      <c r="N7" s="10669"/>
      <c r="O7" s="10669"/>
      <c r="P7" s="10669"/>
      <c r="Q7" s="10669"/>
      <c r="R7" s="10669"/>
      <c r="S7" s="10669"/>
      <c r="T7" s="10669"/>
      <c r="U7" s="10669"/>
      <c r="V7" s="10669"/>
      <c r="W7" s="10669"/>
      <c r="X7" s="10669"/>
      <c r="Y7" s="10669"/>
      <c r="Z7" s="10669"/>
      <c r="AA7" s="10669"/>
      <c r="AB7" s="10669"/>
      <c r="AC7" s="7581" t="s">
        <v>543</v>
      </c>
      <c r="AD7" s="9894"/>
      <c r="AE7" s="9894"/>
      <c r="AF7" s="9894"/>
      <c r="AG7" s="9894"/>
      <c r="AH7" s="9894"/>
      <c r="AI7" s="9894"/>
      <c r="AJ7" s="9894"/>
      <c r="AK7" s="2013"/>
      <c r="AL7" s="253"/>
      <c r="AM7" s="344"/>
      <c r="AN7" s="253"/>
      <c r="AO7" s="658"/>
      <c r="AP7" s="658"/>
      <c r="AQ7" s="658"/>
      <c r="AR7" s="658"/>
      <c r="AS7" s="658"/>
      <c r="AT7" s="658"/>
      <c r="AU7" s="658"/>
      <c r="AV7" s="658"/>
      <c r="AW7" s="658"/>
      <c r="AX7" s="658"/>
      <c r="AY7"/>
      <c r="AZ7"/>
    </row>
    <row r="8" spans="1:52" s="815" customFormat="1" ht="24" customHeight="1">
      <c r="A8" s="2013"/>
      <c r="B8" s="9825" t="s">
        <v>46</v>
      </c>
      <c r="C8" s="9617"/>
      <c r="D8" s="10777"/>
      <c r="E8" s="10777"/>
      <c r="F8" s="10777"/>
      <c r="G8" s="10777"/>
      <c r="H8" s="719"/>
      <c r="I8" s="10669"/>
      <c r="J8" s="10669"/>
      <c r="K8" s="10669"/>
      <c r="L8" s="10669"/>
      <c r="M8" s="10669"/>
      <c r="N8" s="10669"/>
      <c r="O8" s="10669"/>
      <c r="P8" s="10669"/>
      <c r="Q8" s="10669"/>
      <c r="R8" s="10669"/>
      <c r="S8" s="10669"/>
      <c r="T8" s="10669"/>
      <c r="U8" s="10669"/>
      <c r="V8" s="10669"/>
      <c r="W8" s="10669"/>
      <c r="X8" s="10669"/>
      <c r="Y8" s="10669"/>
      <c r="Z8" s="10669"/>
      <c r="AA8" s="10669"/>
      <c r="AB8" s="10669"/>
      <c r="AC8" s="10778">
        <f>TaxYear</f>
        <v>2025</v>
      </c>
      <c r="AD8" s="9827"/>
      <c r="AE8" s="9827"/>
      <c r="AF8" s="9827"/>
      <c r="AG8" s="9827"/>
      <c r="AH8" s="9827"/>
      <c r="AI8" s="9827"/>
      <c r="AJ8" s="9827"/>
      <c r="AK8" s="2013"/>
      <c r="AL8" s="253"/>
      <c r="AM8" s="344"/>
      <c r="AN8" s="253"/>
      <c r="AO8" s="658"/>
      <c r="AP8" s="658"/>
      <c r="AQ8" s="658"/>
      <c r="AR8" s="658"/>
      <c r="AS8" s="658"/>
      <c r="AT8" s="658"/>
      <c r="AU8" s="658"/>
      <c r="AV8" s="658"/>
      <c r="AW8" s="658"/>
      <c r="AX8" s="658"/>
      <c r="AY8"/>
      <c r="AZ8"/>
    </row>
    <row r="9" spans="1:52" s="815" customFormat="1" ht="6.75" customHeight="1">
      <c r="A9" s="2013"/>
      <c r="B9" s="253"/>
      <c r="C9" s="416"/>
      <c r="D9" s="253"/>
      <c r="E9" s="253"/>
      <c r="F9" s="253"/>
      <c r="G9" s="253"/>
      <c r="H9" s="719"/>
      <c r="I9" s="10755" t="s">
        <v>776</v>
      </c>
      <c r="J9" s="10755"/>
      <c r="K9" s="10755"/>
      <c r="L9" s="10755"/>
      <c r="M9" s="10755"/>
      <c r="N9" s="10755"/>
      <c r="O9" s="10755"/>
      <c r="P9" s="10755"/>
      <c r="Q9" s="10755"/>
      <c r="R9" s="10755"/>
      <c r="S9" s="10755"/>
      <c r="T9" s="10755"/>
      <c r="U9" s="10755"/>
      <c r="V9" s="10755"/>
      <c r="W9" s="10755"/>
      <c r="X9" s="10755"/>
      <c r="Y9" s="10755"/>
      <c r="Z9" s="10755"/>
      <c r="AA9" s="10755"/>
      <c r="AB9" s="10755"/>
      <c r="AC9" s="9829"/>
      <c r="AD9" s="9829"/>
      <c r="AE9" s="9829"/>
      <c r="AF9" s="9829"/>
      <c r="AG9" s="9829"/>
      <c r="AH9" s="9829"/>
      <c r="AI9" s="9829"/>
      <c r="AJ9" s="9829"/>
      <c r="AK9" s="2013"/>
      <c r="AL9" s="253"/>
      <c r="AM9" s="344"/>
      <c r="AN9" s="253"/>
      <c r="AO9" s="658"/>
      <c r="AP9" s="658"/>
      <c r="AQ9" s="658"/>
      <c r="AR9" s="658"/>
      <c r="AS9" s="658"/>
      <c r="AT9" s="658"/>
      <c r="AU9" s="658"/>
      <c r="AV9" s="658"/>
      <c r="AW9" s="658"/>
      <c r="AX9" s="658"/>
      <c r="AY9"/>
      <c r="AZ9"/>
    </row>
    <row r="10" spans="1:52" s="815" customFormat="1" ht="12.75" customHeight="1" thickBot="1">
      <c r="A10" s="2013"/>
      <c r="B10" s="253" t="s">
        <v>503</v>
      </c>
      <c r="C10" s="416"/>
      <c r="D10" s="253"/>
      <c r="E10" s="253"/>
      <c r="F10" s="253"/>
      <c r="G10" s="253"/>
      <c r="H10" s="719"/>
      <c r="I10" s="10755"/>
      <c r="J10" s="10755"/>
      <c r="K10" s="10755"/>
      <c r="L10" s="10755"/>
      <c r="M10" s="10755"/>
      <c r="N10" s="10755"/>
      <c r="O10" s="10755"/>
      <c r="P10" s="10755"/>
      <c r="Q10" s="10755"/>
      <c r="R10" s="10755"/>
      <c r="S10" s="10755"/>
      <c r="T10" s="10755"/>
      <c r="U10" s="10755"/>
      <c r="V10" s="10755"/>
      <c r="W10" s="10755"/>
      <c r="X10" s="10755"/>
      <c r="Y10" s="10755"/>
      <c r="Z10" s="10755"/>
      <c r="AA10" s="10755"/>
      <c r="AB10" s="10755"/>
      <c r="AC10" s="253"/>
      <c r="AD10" s="9515" t="s">
        <v>3475</v>
      </c>
      <c r="AE10" s="7844"/>
      <c r="AF10" s="7844"/>
      <c r="AG10" s="7844"/>
      <c r="AH10" s="9193">
        <v>48</v>
      </c>
      <c r="AI10" s="9193"/>
      <c r="AJ10" s="253"/>
      <c r="AK10" s="2013"/>
      <c r="AL10" s="349" t="s">
        <v>3952</v>
      </c>
      <c r="AM10" s="344"/>
      <c r="AN10" s="253"/>
      <c r="AO10" s="658"/>
      <c r="AP10" s="658"/>
      <c r="AQ10" s="658"/>
      <c r="AR10" s="658"/>
      <c r="AS10" s="658"/>
      <c r="AT10" s="658"/>
      <c r="AU10" s="658"/>
      <c r="AV10" s="658"/>
      <c r="AW10" s="658"/>
      <c r="AX10" s="658"/>
      <c r="AY10"/>
      <c r="AZ10"/>
    </row>
    <row r="11" spans="1:52" s="815" customFormat="1" ht="13.5" customHeight="1" thickBot="1">
      <c r="A11" s="2013"/>
      <c r="B11" s="498" t="s">
        <v>505</v>
      </c>
      <c r="C11" s="4225"/>
      <c r="D11" s="380"/>
      <c r="E11" s="380"/>
      <c r="F11" s="380"/>
      <c r="G11" s="380"/>
      <c r="H11" s="4469"/>
      <c r="I11" s="10779" t="s">
        <v>3951</v>
      </c>
      <c r="J11" s="10780"/>
      <c r="K11" s="10780"/>
      <c r="L11" s="10780"/>
      <c r="M11" s="10780"/>
      <c r="N11" s="10780"/>
      <c r="O11" s="10780"/>
      <c r="P11" s="10780"/>
      <c r="Q11" s="10780"/>
      <c r="R11" s="10780"/>
      <c r="S11" s="10780"/>
      <c r="T11" s="10780"/>
      <c r="U11" s="10780"/>
      <c r="V11" s="10780"/>
      <c r="W11" s="10780"/>
      <c r="X11" s="10780"/>
      <c r="Y11" s="10780"/>
      <c r="Z11" s="10780"/>
      <c r="AA11" s="10780"/>
      <c r="AB11" s="10780"/>
      <c r="AC11" s="498"/>
      <c r="AD11" s="9966" t="s">
        <v>3488</v>
      </c>
      <c r="AE11" s="9967"/>
      <c r="AF11" s="9967"/>
      <c r="AG11" s="9967"/>
      <c r="AH11" s="9974"/>
      <c r="AI11" s="9974"/>
      <c r="AJ11" s="380"/>
      <c r="AK11" s="2013"/>
      <c r="AL11" s="1987" t="str">
        <f>IF(AL12="","X","")</f>
        <v>X</v>
      </c>
      <c r="AM11" s="344" t="s">
        <v>566</v>
      </c>
      <c r="AN11" s="253"/>
      <c r="AO11" s="658"/>
      <c r="AP11" s="658"/>
      <c r="AQ11" s="658"/>
      <c r="AR11" s="658"/>
      <c r="AS11" s="658"/>
      <c r="AT11" s="658"/>
      <c r="AU11" s="658"/>
      <c r="AV11" s="658"/>
      <c r="AW11" s="658"/>
      <c r="AX11" s="658"/>
      <c r="AY11"/>
      <c r="AZ11"/>
    </row>
    <row r="12" spans="1:52" s="815" customFormat="1" ht="13.5" thickBot="1">
      <c r="A12" s="2013"/>
      <c r="B12" s="339" t="str">
        <f>"Name. If married, file a separate form for each spouse required to file "&amp;TaxYear&amp;" Form 8606. See instructions."</f>
        <v>Name. If married, file a separate form for each spouse required to file 2025 Form 8606. See instructions.</v>
      </c>
      <c r="C12" s="4470"/>
      <c r="D12" s="339"/>
      <c r="E12" s="339"/>
      <c r="F12" s="339"/>
      <c r="G12" s="339"/>
      <c r="H12" s="339"/>
      <c r="I12" s="339"/>
      <c r="J12" s="339"/>
      <c r="K12" s="339"/>
      <c r="L12" s="339"/>
      <c r="M12" s="339"/>
      <c r="N12" s="339"/>
      <c r="O12" s="339"/>
      <c r="P12" s="339"/>
      <c r="Q12" s="339"/>
      <c r="R12" s="339"/>
      <c r="S12" s="339"/>
      <c r="T12" s="339"/>
      <c r="U12" s="339"/>
      <c r="V12" s="339"/>
      <c r="W12" s="339"/>
      <c r="X12" s="339"/>
      <c r="Y12" s="2913" t="s">
        <v>3953</v>
      </c>
      <c r="Z12" s="377"/>
      <c r="AA12" s="377"/>
      <c r="AB12" s="377"/>
      <c r="AC12" s="408"/>
      <c r="AD12" s="2019"/>
      <c r="AE12" s="2019"/>
      <c r="AF12" s="2019"/>
      <c r="AG12" s="2019"/>
      <c r="AH12" s="2019"/>
      <c r="AI12" s="2019"/>
      <c r="AJ12" s="2019"/>
      <c r="AK12" s="2013"/>
      <c r="AL12" s="277"/>
      <c r="AM12" s="344" t="s">
        <v>567</v>
      </c>
      <c r="AN12" s="253"/>
      <c r="AO12" s="658"/>
      <c r="AP12" s="658"/>
      <c r="AQ12" s="658"/>
      <c r="AR12" s="658"/>
      <c r="AS12" s="658"/>
      <c r="AT12" s="658"/>
      <c r="AU12" s="658"/>
      <c r="AV12" s="658"/>
      <c r="AW12" s="658"/>
      <c r="AX12" s="658"/>
      <c r="AY12"/>
      <c r="AZ12"/>
    </row>
    <row r="13" spans="1:52" s="815" customFormat="1" ht="25.5" customHeight="1">
      <c r="A13" s="2013"/>
      <c r="B13" s="10770" t="str">
        <f>IF(AND(AL11&lt;&gt;"",AL12&lt;&gt;""),Names,IF(AL12&lt;&gt;"",NameSpouse,IF(AL11&lt;&gt;"",NameYours,"")))</f>
        <v xml:space="preserve"> </v>
      </c>
      <c r="C13" s="10770"/>
      <c r="D13" s="10770"/>
      <c r="E13" s="10770"/>
      <c r="F13" s="10770"/>
      <c r="G13" s="10770"/>
      <c r="H13" s="10770"/>
      <c r="I13" s="10770"/>
      <c r="J13" s="10770"/>
      <c r="K13" s="10770"/>
      <c r="L13" s="10770"/>
      <c r="M13" s="10770"/>
      <c r="N13" s="10770"/>
      <c r="O13" s="10770"/>
      <c r="P13" s="10770"/>
      <c r="Q13" s="10770"/>
      <c r="R13" s="10770"/>
      <c r="S13" s="10770"/>
      <c r="T13" s="10770"/>
      <c r="U13" s="10770"/>
      <c r="V13" s="10770"/>
      <c r="W13" s="10770"/>
      <c r="X13" s="10771"/>
      <c r="Y13" s="10772">
        <f>IF(AND(NOT(NoSSN),SS_Yours&lt;&gt;"",OR(AL11&lt;&gt;"",AND(AL11&lt;&gt;"",AL12&lt;&gt;""))),SS_Yours,IF(AND(NOT(NoSSN),SS_Spouse&lt;&gt;"",AL12&lt;&gt;""),SS_Spouse,""))</f>
        <v>1010001</v>
      </c>
      <c r="Z13" s="10773"/>
      <c r="AA13" s="10773"/>
      <c r="AB13" s="10773"/>
      <c r="AC13" s="10773"/>
      <c r="AD13" s="10773"/>
      <c r="AE13" s="10773"/>
      <c r="AF13" s="10773"/>
      <c r="AG13" s="10773"/>
      <c r="AH13" s="10773"/>
      <c r="AI13" s="10773"/>
      <c r="AJ13" s="10773"/>
      <c r="AK13" s="2013"/>
      <c r="AL13" s="253"/>
      <c r="AM13" s="512" t="b">
        <f>OR(AND(AL11&lt;&gt;"",IRA_CONV_YOU&gt;0),AND(AL12&lt;&gt;"",IRA_CONV_SPOUSE&gt;0))</f>
        <v>0</v>
      </c>
      <c r="AN13" s="253"/>
      <c r="AO13" s="658"/>
      <c r="AP13" s="658"/>
      <c r="AQ13" s="658"/>
      <c r="AR13" s="658"/>
      <c r="AS13" s="658"/>
      <c r="AT13" s="658"/>
      <c r="AU13" s="658"/>
      <c r="AV13" s="658"/>
      <c r="AW13" s="658"/>
      <c r="AX13" s="658"/>
      <c r="AY13"/>
      <c r="AZ13"/>
    </row>
    <row r="14" spans="1:52" s="815" customFormat="1" ht="15.75" customHeight="1">
      <c r="A14" s="2013"/>
      <c r="B14" s="10781" t="s">
        <v>3954</v>
      </c>
      <c r="C14" s="10781"/>
      <c r="D14" s="10781"/>
      <c r="E14" s="10781"/>
      <c r="F14" s="10781"/>
      <c r="G14" s="10781"/>
      <c r="H14" s="10781"/>
      <c r="I14" s="10782"/>
      <c r="J14" s="10786" t="s">
        <v>3955</v>
      </c>
      <c r="K14" s="10787"/>
      <c r="L14" s="10787"/>
      <c r="M14" s="10787"/>
      <c r="N14" s="10787"/>
      <c r="O14" s="10787"/>
      <c r="P14" s="10787"/>
      <c r="Q14" s="10787"/>
      <c r="R14" s="10787"/>
      <c r="S14" s="10787"/>
      <c r="T14" s="10787"/>
      <c r="U14" s="10787"/>
      <c r="V14" s="10787"/>
      <c r="W14" s="10787"/>
      <c r="X14" s="10787"/>
      <c r="Y14" s="10787"/>
      <c r="Z14" s="10787"/>
      <c r="AA14" s="10787"/>
      <c r="AB14" s="10787"/>
      <c r="AC14" s="10788"/>
      <c r="AD14" s="10774" t="s">
        <v>3956</v>
      </c>
      <c r="AE14" s="10775"/>
      <c r="AF14" s="10775"/>
      <c r="AG14" s="10775"/>
      <c r="AH14" s="10775"/>
      <c r="AI14" s="10775"/>
      <c r="AJ14" s="10775"/>
      <c r="AK14" s="2013"/>
      <c r="AL14" s="10750" t="str">
        <f>IF($AM$13,"If you converted","")</f>
        <v/>
      </c>
      <c r="AM14" s="10750"/>
      <c r="AN14" s="10750"/>
      <c r="AO14" s="658"/>
      <c r="AP14" s="658"/>
      <c r="AQ14" s="658"/>
      <c r="AR14" s="658"/>
      <c r="AS14" s="658"/>
      <c r="AT14" s="658"/>
      <c r="AU14" s="658"/>
      <c r="AV14" s="658"/>
      <c r="AW14" s="658"/>
      <c r="AX14" s="658"/>
      <c r="AY14"/>
      <c r="AZ14"/>
    </row>
    <row r="15" spans="1:52" s="815" customFormat="1" ht="18.75" customHeight="1">
      <c r="A15" s="2013"/>
      <c r="B15" s="8448"/>
      <c r="C15" s="8448"/>
      <c r="D15" s="8448"/>
      <c r="E15" s="8448"/>
      <c r="F15" s="8448"/>
      <c r="G15" s="8448"/>
      <c r="H15" s="8448"/>
      <c r="I15" s="10783"/>
      <c r="J15" s="10767"/>
      <c r="K15" s="10768"/>
      <c r="L15" s="10768"/>
      <c r="M15" s="10768"/>
      <c r="N15" s="10768"/>
      <c r="O15" s="10768"/>
      <c r="P15" s="10768"/>
      <c r="Q15" s="10768"/>
      <c r="R15" s="10768"/>
      <c r="S15" s="10768"/>
      <c r="T15" s="10768"/>
      <c r="U15" s="10768"/>
      <c r="V15" s="10768"/>
      <c r="W15" s="10768"/>
      <c r="X15" s="10768"/>
      <c r="Y15" s="10768"/>
      <c r="Z15" s="10768"/>
      <c r="AA15" s="10768"/>
      <c r="AB15" s="10768"/>
      <c r="AC15" s="10769"/>
      <c r="AD15" s="10767"/>
      <c r="AE15" s="10768"/>
      <c r="AF15" s="10768"/>
      <c r="AG15" s="10768"/>
      <c r="AH15" s="10768"/>
      <c r="AI15" s="10768"/>
      <c r="AJ15" s="10768"/>
      <c r="AK15" s="2013"/>
      <c r="AL15" s="10750" t="str">
        <f>IF($AM$13,"less than all of an IRA","")</f>
        <v/>
      </c>
      <c r="AM15" s="10750"/>
      <c r="AN15" s="10750"/>
      <c r="AO15" s="658"/>
      <c r="AP15" s="658"/>
      <c r="AQ15" s="658"/>
      <c r="AR15" s="658"/>
      <c r="AS15" s="658"/>
      <c r="AT15" s="658"/>
      <c r="AU15" s="658"/>
      <c r="AV15" s="658"/>
      <c r="AW15" s="658"/>
      <c r="AX15" s="658"/>
      <c r="AY15"/>
      <c r="AZ15"/>
    </row>
    <row r="16" spans="1:52" s="815" customFormat="1" ht="15.75" customHeight="1">
      <c r="A16" s="2013"/>
      <c r="B16" s="8448"/>
      <c r="C16" s="8448"/>
      <c r="D16" s="8448"/>
      <c r="E16" s="8448"/>
      <c r="F16" s="8448"/>
      <c r="G16" s="8448"/>
      <c r="H16" s="8448"/>
      <c r="I16" s="10783"/>
      <c r="J16" s="10789" t="s">
        <v>6776</v>
      </c>
      <c r="K16" s="10790"/>
      <c r="L16" s="10790"/>
      <c r="M16" s="10790"/>
      <c r="N16" s="10790"/>
      <c r="O16" s="10790"/>
      <c r="P16" s="10790"/>
      <c r="Q16" s="10790"/>
      <c r="R16" s="10790"/>
      <c r="S16" s="10790"/>
      <c r="T16" s="10790"/>
      <c r="U16" s="10790"/>
      <c r="V16" s="10790"/>
      <c r="W16" s="10790"/>
      <c r="X16" s="10790"/>
      <c r="Y16" s="10790"/>
      <c r="Z16" s="10790"/>
      <c r="AA16" s="10790"/>
      <c r="AB16" s="10790"/>
      <c r="AC16" s="10790"/>
      <c r="AD16" s="10790"/>
      <c r="AE16" s="10790"/>
      <c r="AF16" s="10790"/>
      <c r="AG16" s="10790"/>
      <c r="AH16" s="10790"/>
      <c r="AI16" s="10790"/>
      <c r="AJ16" s="10790"/>
      <c r="AK16" s="2013"/>
      <c r="AL16" s="10750" t="str">
        <f>IF($AM$13,"to a Roth IRA, be sure","")</f>
        <v/>
      </c>
      <c r="AM16" s="10750"/>
      <c r="AN16" s="10750"/>
      <c r="AO16" s="658"/>
      <c r="AP16" s="658"/>
      <c r="AQ16" s="658"/>
      <c r="AR16" s="658"/>
      <c r="AS16" s="658"/>
      <c r="AT16" s="658"/>
      <c r="AU16" s="658"/>
      <c r="AV16" s="658"/>
      <c r="AW16" s="658"/>
      <c r="AX16" s="658"/>
      <c r="AY16"/>
      <c r="AZ16"/>
    </row>
    <row r="17" spans="1:52" s="815" customFormat="1" ht="18.75" customHeight="1">
      <c r="A17" s="2013"/>
      <c r="B17" s="8448"/>
      <c r="C17" s="8448"/>
      <c r="D17" s="8448"/>
      <c r="E17" s="8448"/>
      <c r="F17" s="8448"/>
      <c r="G17" s="8448"/>
      <c r="H17" s="8448"/>
      <c r="I17" s="10783"/>
      <c r="J17" s="10767"/>
      <c r="K17" s="10768"/>
      <c r="L17" s="10768"/>
      <c r="M17" s="10768"/>
      <c r="N17" s="10768"/>
      <c r="O17" s="10768"/>
      <c r="P17" s="10768"/>
      <c r="Q17" s="10768"/>
      <c r="R17" s="10768"/>
      <c r="S17" s="10768"/>
      <c r="T17" s="10768"/>
      <c r="U17" s="10768"/>
      <c r="V17" s="10768"/>
      <c r="W17" s="10768"/>
      <c r="X17" s="10768"/>
      <c r="Y17" s="10768"/>
      <c r="Z17" s="10768"/>
      <c r="AA17" s="10768"/>
      <c r="AB17" s="10768"/>
      <c r="AC17" s="10768"/>
      <c r="AD17" s="10768"/>
      <c r="AE17" s="10768"/>
      <c r="AF17" s="10768"/>
      <c r="AG17" s="10768"/>
      <c r="AH17" s="10768"/>
      <c r="AI17" s="10768"/>
      <c r="AJ17" s="10768"/>
      <c r="AK17" s="2013"/>
      <c r="AL17" s="10750" t="str">
        <f>IF($AM$13,"to complete Part I","")</f>
        <v/>
      </c>
      <c r="AM17" s="10750"/>
      <c r="AN17" s="10750"/>
      <c r="AO17" s="658"/>
      <c r="AP17" s="658"/>
      <c r="AQ17" s="658"/>
      <c r="AR17" s="658"/>
      <c r="AS17" s="658"/>
      <c r="AT17" s="658"/>
      <c r="AU17" s="658"/>
      <c r="AV17" s="658"/>
      <c r="AW17" s="658"/>
      <c r="AX17" s="658"/>
      <c r="AY17"/>
      <c r="AZ17"/>
    </row>
    <row r="18" spans="1:52" s="815" customFormat="1" ht="15.75" customHeight="1">
      <c r="A18" s="2013"/>
      <c r="B18" s="8448"/>
      <c r="C18" s="8448"/>
      <c r="D18" s="8448"/>
      <c r="E18" s="8448"/>
      <c r="F18" s="8448"/>
      <c r="G18" s="8448"/>
      <c r="H18" s="8448"/>
      <c r="I18" s="10783"/>
      <c r="J18" s="2760" t="s">
        <v>3957</v>
      </c>
      <c r="K18" s="2263"/>
      <c r="L18" s="2263"/>
      <c r="M18" s="2263"/>
      <c r="N18" s="2263"/>
      <c r="O18" s="2263"/>
      <c r="P18" s="2263"/>
      <c r="Q18" s="2263"/>
      <c r="R18" s="2263"/>
      <c r="S18" s="2263"/>
      <c r="T18" s="2760" t="s">
        <v>3958</v>
      </c>
      <c r="U18" s="2263"/>
      <c r="V18" s="2263"/>
      <c r="W18" s="2263"/>
      <c r="X18" s="2263"/>
      <c r="Y18" s="2263"/>
      <c r="Z18" s="2263"/>
      <c r="AA18" s="2263"/>
      <c r="AB18" s="4471"/>
      <c r="AC18" s="2263" t="s">
        <v>3959</v>
      </c>
      <c r="AD18" s="2263"/>
      <c r="AE18" s="2263"/>
      <c r="AF18" s="2263"/>
      <c r="AG18" s="2263"/>
      <c r="AH18" s="2263"/>
      <c r="AI18" s="2263"/>
      <c r="AJ18" s="2263"/>
      <c r="AK18" s="2013"/>
      <c r="AL18" s="10750" t="str">
        <f>IF($AM$13,"and Part II of this form.","")</f>
        <v/>
      </c>
      <c r="AM18" s="10750"/>
      <c r="AN18" s="10750"/>
      <c r="AO18" s="658"/>
      <c r="AP18" s="658"/>
      <c r="AQ18" s="658"/>
      <c r="AR18" s="658"/>
      <c r="AS18" s="658"/>
      <c r="AT18" s="658"/>
      <c r="AU18" s="658"/>
      <c r="AV18" s="658"/>
      <c r="AW18" s="658"/>
      <c r="AX18" s="658"/>
      <c r="AY18"/>
      <c r="AZ18"/>
    </row>
    <row r="19" spans="1:52" s="815" customFormat="1" ht="18.75" customHeight="1">
      <c r="A19" s="2013"/>
      <c r="B19" s="10784"/>
      <c r="C19" s="10784"/>
      <c r="D19" s="10784"/>
      <c r="E19" s="10784"/>
      <c r="F19" s="10784"/>
      <c r="G19" s="10784"/>
      <c r="H19" s="10784"/>
      <c r="I19" s="10785"/>
      <c r="J19" s="10767"/>
      <c r="K19" s="10768"/>
      <c r="L19" s="10768"/>
      <c r="M19" s="10768"/>
      <c r="N19" s="10768"/>
      <c r="O19" s="10768"/>
      <c r="P19" s="10768"/>
      <c r="Q19" s="10768"/>
      <c r="R19" s="10768"/>
      <c r="S19" s="10769"/>
      <c r="T19" s="10767"/>
      <c r="U19" s="10768"/>
      <c r="V19" s="10768"/>
      <c r="W19" s="10768"/>
      <c r="X19" s="10768"/>
      <c r="Y19" s="10768"/>
      <c r="Z19" s="10768"/>
      <c r="AA19" s="10768"/>
      <c r="AB19" s="10769"/>
      <c r="AC19" s="10767"/>
      <c r="AD19" s="10768"/>
      <c r="AE19" s="10768"/>
      <c r="AF19" s="10768"/>
      <c r="AG19" s="10768"/>
      <c r="AH19" s="10768"/>
      <c r="AI19" s="10768"/>
      <c r="AJ19" s="10768"/>
      <c r="AK19" s="2013"/>
      <c r="AL19" s="10750" t="str">
        <f>IF($AM$13,"If you did not make","")</f>
        <v/>
      </c>
      <c r="AM19" s="10750"/>
      <c r="AN19" s="10750"/>
      <c r="AO19" s="658"/>
      <c r="AP19" s="658"/>
      <c r="AQ19" s="658"/>
      <c r="AR19" s="658"/>
      <c r="AS19" s="658"/>
      <c r="AT19" s="658"/>
      <c r="AU19" s="658"/>
      <c r="AV19" s="658"/>
      <c r="AW19" s="658"/>
      <c r="AX19" s="658"/>
      <c r="AY19"/>
      <c r="AZ19"/>
    </row>
    <row r="20" spans="1:52" s="815" customFormat="1" ht="16.5" customHeight="1">
      <c r="A20" s="2013"/>
      <c r="B20" s="1405" t="s">
        <v>6747</v>
      </c>
      <c r="C20" s="416"/>
      <c r="D20" s="253"/>
      <c r="E20" s="2311"/>
      <c r="F20" s="253"/>
      <c r="G20" s="253"/>
      <c r="H20" s="253"/>
      <c r="I20" s="253"/>
      <c r="J20" s="253"/>
      <c r="K20" s="253"/>
      <c r="L20" s="253"/>
      <c r="M20" s="253"/>
      <c r="N20" s="253"/>
      <c r="O20" s="253"/>
      <c r="P20" s="253"/>
      <c r="Q20" s="253"/>
      <c r="R20" s="253"/>
      <c r="S20" s="253"/>
      <c r="T20" s="253"/>
      <c r="U20" s="253"/>
      <c r="V20" s="253"/>
      <c r="W20" s="253"/>
      <c r="X20" s="253"/>
      <c r="Y20" s="253"/>
      <c r="Z20" s="253"/>
      <c r="AA20" s="253"/>
      <c r="AB20" s="253"/>
      <c r="AC20" s="253"/>
      <c r="AD20" s="253"/>
      <c r="AE20" s="253"/>
      <c r="AF20" s="253"/>
      <c r="AG20" s="253"/>
      <c r="AH20" s="253"/>
      <c r="AI20" s="253"/>
      <c r="AJ20" s="253"/>
      <c r="AK20" s="2013"/>
      <c r="AL20" s="10750" t="str">
        <f>IF($AM$13,"nondeductible","")</f>
        <v/>
      </c>
      <c r="AM20" s="10750"/>
      <c r="AN20" s="10750"/>
      <c r="AO20" s="658"/>
      <c r="AP20" s="1114"/>
      <c r="AQ20" s="658"/>
      <c r="AR20" s="658"/>
      <c r="AS20" s="658"/>
      <c r="AT20" s="658"/>
      <c r="AU20" s="658"/>
      <c r="AV20" s="658"/>
      <c r="AW20" s="658"/>
      <c r="AX20" s="658"/>
      <c r="AY20"/>
      <c r="AZ20"/>
    </row>
    <row r="21" spans="1:52" s="815" customFormat="1" ht="16.5" customHeight="1">
      <c r="A21" s="2013"/>
      <c r="B21" s="2311" t="s">
        <v>6748</v>
      </c>
      <c r="C21" s="416"/>
      <c r="D21" s="253"/>
      <c r="E21" s="2311"/>
      <c r="F21" s="253"/>
      <c r="G21" s="253"/>
      <c r="H21" s="253"/>
      <c r="I21" s="253"/>
      <c r="J21" s="253"/>
      <c r="K21" s="253"/>
      <c r="L21" s="253"/>
      <c r="M21" s="253"/>
      <c r="N21" s="253"/>
      <c r="O21" s="253"/>
      <c r="P21" s="253"/>
      <c r="Q21" s="253"/>
      <c r="R21" s="253"/>
      <c r="S21" s="253"/>
      <c r="T21" s="253"/>
      <c r="U21" s="253"/>
      <c r="V21" s="253"/>
      <c r="W21" s="253"/>
      <c r="X21" s="253"/>
      <c r="Y21" s="253"/>
      <c r="Z21" s="253"/>
      <c r="AA21" s="253"/>
      <c r="AB21" s="253"/>
      <c r="AC21" s="253"/>
      <c r="AD21" s="253"/>
      <c r="AE21" s="253"/>
      <c r="AF21" s="253"/>
      <c r="AG21" s="253"/>
      <c r="AH21" s="253"/>
      <c r="AI21" s="253"/>
      <c r="AJ21" s="253"/>
      <c r="AK21" s="2013"/>
      <c r="AL21" s="10750" t="str">
        <f>IF($AM$13,"contributions to a","")</f>
        <v/>
      </c>
      <c r="AM21" s="10750"/>
      <c r="AN21" s="10750"/>
      <c r="AO21" s="658"/>
      <c r="AP21" s="1114"/>
      <c r="AQ21" s="658"/>
      <c r="AR21" s="658"/>
      <c r="AS21" s="658"/>
      <c r="AT21" s="658"/>
      <c r="AU21" s="658"/>
      <c r="AV21" s="658"/>
      <c r="AW21" s="658"/>
      <c r="AX21" s="658"/>
      <c r="AY21"/>
      <c r="AZ21"/>
    </row>
    <row r="22" spans="1:52" s="815" customFormat="1" ht="19.5" customHeight="1">
      <c r="A22" s="2013"/>
      <c r="B22" s="9755" t="s">
        <v>780</v>
      </c>
      <c r="C22" s="9755"/>
      <c r="D22" s="4472"/>
      <c r="E22" s="7163" t="s">
        <v>6749</v>
      </c>
      <c r="F22" s="7163"/>
      <c r="G22" s="7163"/>
      <c r="H22" s="7163"/>
      <c r="I22" s="7163"/>
      <c r="J22" s="7163"/>
      <c r="K22" s="7163"/>
      <c r="L22" s="7163"/>
      <c r="M22" s="7163"/>
      <c r="N22" s="7163"/>
      <c r="O22" s="7163"/>
      <c r="P22" s="7163"/>
      <c r="Q22" s="7163"/>
      <c r="R22" s="7163"/>
      <c r="S22" s="7163"/>
      <c r="T22" s="7163"/>
      <c r="U22" s="7163"/>
      <c r="V22" s="7163"/>
      <c r="W22" s="7163"/>
      <c r="X22" s="7163"/>
      <c r="Y22" s="7163"/>
      <c r="Z22" s="7163"/>
      <c r="AA22" s="7163"/>
      <c r="AB22" s="7163"/>
      <c r="AC22" s="7163"/>
      <c r="AD22" s="7163"/>
      <c r="AE22" s="7163"/>
      <c r="AF22" s="7163"/>
      <c r="AG22" s="7163"/>
      <c r="AH22" s="7163"/>
      <c r="AI22" s="7163"/>
      <c r="AJ22" s="7163"/>
      <c r="AK22" s="2013"/>
      <c r="AL22" s="10750" t="str">
        <f>IF($AM$13,"an IRA, the complete","")</f>
        <v/>
      </c>
      <c r="AM22" s="10750"/>
      <c r="AN22" s="10750"/>
      <c r="AO22" s="658"/>
      <c r="AP22" s="1114"/>
      <c r="AQ22" s="658"/>
      <c r="AR22" s="658"/>
      <c r="AS22" s="658"/>
      <c r="AT22" s="658"/>
      <c r="AU22" s="658"/>
      <c r="AV22" s="658"/>
      <c r="AW22" s="658"/>
      <c r="AX22" s="658"/>
      <c r="AY22"/>
      <c r="AZ22"/>
    </row>
    <row r="23" spans="1:52" s="815" customFormat="1" ht="16.5" customHeight="1">
      <c r="A23" s="2013"/>
      <c r="B23" s="253"/>
      <c r="C23" s="416"/>
      <c r="D23" s="253"/>
      <c r="E23" s="2311" t="s">
        <v>3960</v>
      </c>
      <c r="F23" s="253"/>
      <c r="G23" s="253"/>
      <c r="H23" s="253"/>
      <c r="I23" s="253"/>
      <c r="J23" s="253"/>
      <c r="K23" s="253"/>
      <c r="L23" s="253"/>
      <c r="M23" s="253"/>
      <c r="N23" s="253"/>
      <c r="O23" s="253"/>
      <c r="P23" s="253"/>
      <c r="Q23" s="253"/>
      <c r="R23" s="253"/>
      <c r="S23" s="253"/>
      <c r="T23" s="253"/>
      <c r="U23" s="253"/>
      <c r="V23" s="253"/>
      <c r="W23" s="253"/>
      <c r="X23" s="253"/>
      <c r="Y23" s="253"/>
      <c r="Z23" s="253"/>
      <c r="AA23" s="253"/>
      <c r="AB23" s="253"/>
      <c r="AC23" s="253"/>
      <c r="AD23" s="253"/>
      <c r="AE23" s="253"/>
      <c r="AF23" s="253"/>
      <c r="AG23" s="253"/>
      <c r="AH23" s="253"/>
      <c r="AI23" s="253"/>
      <c r="AJ23" s="253"/>
      <c r="AK23" s="2013"/>
      <c r="AL23" s="10750" t="str">
        <f>IF($AM$13,"only Part II of this form.","")</f>
        <v/>
      </c>
      <c r="AM23" s="10750"/>
      <c r="AN23" s="10750"/>
      <c r="AO23" s="658"/>
      <c r="AP23" s="1114"/>
      <c r="AQ23" s="658"/>
      <c r="AR23" s="658"/>
      <c r="AS23" s="658"/>
      <c r="AT23" s="658"/>
      <c r="AU23" s="658"/>
      <c r="AV23" s="658"/>
      <c r="AW23" s="658"/>
      <c r="AX23" s="658"/>
      <c r="AY23"/>
      <c r="AZ23"/>
    </row>
    <row r="24" spans="1:52" s="815" customFormat="1" ht="15" customHeight="1">
      <c r="A24" s="2013"/>
      <c r="B24" s="253"/>
      <c r="C24" s="2022"/>
      <c r="D24" s="511"/>
      <c r="E24" s="873" t="s">
        <v>1554</v>
      </c>
      <c r="F24" s="511" t="str">
        <f>"You made nondeductible contributions to a traditional IRA for "&amp;TaxYear&amp;". Nondeductible contributions to a traditional IRA do"</f>
        <v>You made nondeductible contributions to a traditional IRA for 2025. Nondeductible contributions to a traditional IRA do</v>
      </c>
      <c r="G24" s="253"/>
      <c r="H24" s="253"/>
      <c r="I24" s="253"/>
      <c r="J24" s="253"/>
      <c r="K24" s="253"/>
      <c r="L24" s="253"/>
      <c r="M24" s="253"/>
      <c r="N24" s="253"/>
      <c r="O24" s="253"/>
      <c r="P24" s="253"/>
      <c r="Q24" s="253"/>
      <c r="R24" s="253"/>
      <c r="S24" s="253"/>
      <c r="T24" s="253"/>
      <c r="U24" s="253"/>
      <c r="V24" s="253"/>
      <c r="W24" s="253"/>
      <c r="X24" s="253"/>
      <c r="Y24" s="253"/>
      <c r="Z24" s="253"/>
      <c r="AA24" s="253"/>
      <c r="AB24" s="253"/>
      <c r="AC24" s="253"/>
      <c r="AD24" s="253"/>
      <c r="AE24" s="253"/>
      <c r="AF24" s="253"/>
      <c r="AG24" s="253"/>
      <c r="AH24" s="253"/>
      <c r="AI24" s="253"/>
      <c r="AJ24" s="253"/>
      <c r="AK24" s="2013"/>
      <c r="AL24" s="253"/>
      <c r="AM24" s="344"/>
      <c r="AN24" s="253"/>
      <c r="AO24" s="658"/>
      <c r="AP24" s="1114"/>
      <c r="AQ24" s="658"/>
      <c r="AR24" s="658"/>
      <c r="AS24" s="658"/>
      <c r="AT24" s="658"/>
      <c r="AU24" s="658"/>
      <c r="AV24" s="658"/>
      <c r="AW24" s="658"/>
      <c r="AX24" s="658"/>
      <c r="AY24"/>
      <c r="AZ24"/>
    </row>
    <row r="25" spans="1:52" s="815" customFormat="1" ht="15" customHeight="1">
      <c r="A25" s="2013"/>
      <c r="B25" s="253"/>
      <c r="C25" s="2022"/>
      <c r="D25" s="511"/>
      <c r="E25" s="873"/>
      <c r="F25" s="511" t="s">
        <v>6750</v>
      </c>
      <c r="G25" s="253"/>
      <c r="H25" s="253"/>
      <c r="I25" s="253"/>
      <c r="J25" s="253"/>
      <c r="K25" s="253"/>
      <c r="L25" s="253"/>
      <c r="M25" s="253"/>
      <c r="N25" s="253"/>
      <c r="O25" s="253"/>
      <c r="P25" s="253"/>
      <c r="Q25" s="253"/>
      <c r="R25" s="253"/>
      <c r="S25" s="253"/>
      <c r="T25" s="253"/>
      <c r="U25" s="253"/>
      <c r="V25" s="253"/>
      <c r="W25" s="253"/>
      <c r="X25" s="253"/>
      <c r="Y25" s="253"/>
      <c r="Z25" s="253"/>
      <c r="AA25" s="253"/>
      <c r="AB25" s="253"/>
      <c r="AC25" s="253"/>
      <c r="AD25" s="253"/>
      <c r="AE25" s="253"/>
      <c r="AF25" s="253"/>
      <c r="AG25" s="253"/>
      <c r="AH25" s="253"/>
      <c r="AI25" s="253"/>
      <c r="AJ25" s="253"/>
      <c r="AK25" s="2013"/>
      <c r="AL25" s="253"/>
      <c r="AM25" s="344"/>
      <c r="AN25" s="253"/>
      <c r="AO25" s="658"/>
      <c r="AP25" s="1114"/>
      <c r="AQ25" s="658"/>
      <c r="AR25" s="658"/>
      <c r="AS25" s="658"/>
      <c r="AT25" s="658"/>
      <c r="AU25" s="658"/>
      <c r="AV25" s="658"/>
      <c r="AW25" s="658"/>
      <c r="AX25" s="658"/>
      <c r="AY25"/>
      <c r="AZ25"/>
    </row>
    <row r="26" spans="1:52" s="815" customFormat="1" ht="15" customHeight="1">
      <c r="A26" s="2013"/>
      <c r="B26" s="253"/>
      <c r="C26" s="2022"/>
      <c r="D26" s="511"/>
      <c r="E26" s="873"/>
      <c r="F26" s="506" t="s">
        <v>6751</v>
      </c>
      <c r="G26" s="253"/>
      <c r="H26" s="253"/>
      <c r="I26" s="253"/>
      <c r="J26" s="253"/>
      <c r="K26" s="253"/>
      <c r="L26" s="253"/>
      <c r="M26" s="253"/>
      <c r="N26" s="253"/>
      <c r="O26" s="253"/>
      <c r="P26" s="253"/>
      <c r="Q26" s="253"/>
      <c r="R26" s="253"/>
      <c r="S26" s="253"/>
      <c r="T26" s="253"/>
      <c r="U26" s="253"/>
      <c r="V26" s="253"/>
      <c r="W26" s="253"/>
      <c r="X26" s="253"/>
      <c r="Y26" s="253"/>
      <c r="Z26" s="253"/>
      <c r="AA26" s="253"/>
      <c r="AB26" s="253"/>
      <c r="AC26" s="253"/>
      <c r="AD26" s="253"/>
      <c r="AE26" s="253"/>
      <c r="AF26" s="253"/>
      <c r="AG26" s="253"/>
      <c r="AH26" s="253"/>
      <c r="AI26" s="253"/>
      <c r="AJ26" s="253"/>
      <c r="AK26" s="2013"/>
      <c r="AL26" s="253"/>
      <c r="AM26" s="344"/>
      <c r="AN26" s="253"/>
      <c r="AO26" s="658"/>
      <c r="AP26" s="1114"/>
      <c r="AQ26" s="658"/>
      <c r="AR26" s="658"/>
      <c r="AS26" s="658"/>
      <c r="AT26" s="658"/>
      <c r="AU26" s="658"/>
      <c r="AV26" s="658"/>
      <c r="AW26" s="658"/>
      <c r="AX26" s="658"/>
      <c r="AY26"/>
      <c r="AZ26"/>
    </row>
    <row r="27" spans="1:52" s="815" customFormat="1" ht="15" customHeight="1">
      <c r="A27" s="2013"/>
      <c r="B27" s="253"/>
      <c r="C27" s="2022"/>
      <c r="D27" s="511"/>
      <c r="E27" s="873" t="s">
        <v>1554</v>
      </c>
      <c r="F27" s="511" t="str">
        <f>"You took distributions from a traditional IRA in "&amp;TaxYear</f>
        <v>You took distributions from a traditional IRA in 2025</v>
      </c>
      <c r="G27" s="253"/>
      <c r="H27" s="253"/>
      <c r="I27" s="253"/>
      <c r="J27" s="253"/>
      <c r="K27" s="253"/>
      <c r="L27" s="253"/>
      <c r="M27" s="253"/>
      <c r="N27" s="253"/>
      <c r="O27" s="253"/>
      <c r="P27" s="253"/>
      <c r="Q27" s="253"/>
      <c r="R27" s="1323" t="s">
        <v>6790</v>
      </c>
      <c r="S27" s="253"/>
      <c r="T27" s="253"/>
      <c r="U27" s="253"/>
      <c r="V27" s="511"/>
      <c r="W27" s="511"/>
      <c r="X27" s="253"/>
      <c r="Y27" s="253"/>
      <c r="Z27" s="253"/>
      <c r="AA27" s="253"/>
      <c r="AB27" s="253"/>
      <c r="AC27" s="253"/>
      <c r="AD27" s="253"/>
      <c r="AE27" s="253"/>
      <c r="AF27" s="253"/>
      <c r="AG27" s="253"/>
      <c r="AH27" s="253"/>
      <c r="AI27" s="253"/>
      <c r="AJ27" s="253"/>
      <c r="AK27" s="2013"/>
      <c r="AL27" s="253"/>
      <c r="AM27" s="344"/>
      <c r="AN27" s="253"/>
      <c r="AO27" s="658"/>
      <c r="AP27" s="1114"/>
      <c r="AQ27" s="658"/>
      <c r="AR27" s="658"/>
      <c r="AS27" s="658"/>
      <c r="AT27" s="658"/>
      <c r="AU27" s="658"/>
      <c r="AV27" s="658"/>
      <c r="AW27" s="658"/>
      <c r="AX27" s="658"/>
      <c r="AY27"/>
      <c r="AZ27"/>
    </row>
    <row r="28" spans="1:52" s="815" customFormat="1" ht="15">
      <c r="A28" s="2013"/>
      <c r="B28" s="253"/>
      <c r="C28" s="416"/>
      <c r="D28" s="253"/>
      <c r="E28" s="253"/>
      <c r="F28" s="511" t="str">
        <f>TaxYear&amp;" or an earlier year."</f>
        <v>2025 or an earlier year.</v>
      </c>
      <c r="G28" s="511"/>
      <c r="H28" s="253"/>
      <c r="I28" s="253"/>
      <c r="J28" s="253"/>
      <c r="K28" s="253"/>
      <c r="L28" s="511" t="s">
        <v>6775</v>
      </c>
      <c r="M28" s="511"/>
      <c r="N28" s="511"/>
      <c r="O28" s="253"/>
      <c r="P28" s="253"/>
      <c r="Q28" s="253"/>
      <c r="R28" s="253"/>
      <c r="S28" s="253"/>
      <c r="T28" s="253"/>
      <c r="U28" s="253"/>
      <c r="V28" s="253"/>
      <c r="W28" s="253"/>
      <c r="X28" s="253"/>
      <c r="Y28" s="253"/>
      <c r="Z28" s="511" t="str">
        <f>"(but does include certain "&amp;TaxYear</f>
        <v>(but does include certain 2025</v>
      </c>
      <c r="AA28" s="253"/>
      <c r="AB28" s="253"/>
      <c r="AC28" s="253"/>
      <c r="AD28" s="253"/>
      <c r="AE28" s="511"/>
      <c r="AF28" s="253"/>
      <c r="AG28" s="253"/>
      <c r="AH28" s="253"/>
      <c r="AI28" s="253"/>
      <c r="AJ28" s="253"/>
      <c r="AK28" s="2013"/>
      <c r="AL28" s="253"/>
      <c r="AM28" s="344"/>
      <c r="AN28" s="253"/>
      <c r="AO28" s="658"/>
      <c r="AP28" s="658"/>
      <c r="AQ28" s="658"/>
      <c r="AR28" s="658"/>
      <c r="AS28" s="658"/>
      <c r="AT28" s="658"/>
      <c r="AU28" s="658"/>
      <c r="AV28" s="658"/>
      <c r="AW28" s="658"/>
      <c r="AX28" s="658"/>
      <c r="AY28"/>
      <c r="AZ28"/>
    </row>
    <row r="29" spans="1:52" s="815" customFormat="1" ht="14.25">
      <c r="A29" s="2013"/>
      <c r="B29" s="253"/>
      <c r="C29" s="416"/>
      <c r="D29" s="253"/>
      <c r="E29" s="253"/>
      <c r="F29" s="511" t="s">
        <v>6779</v>
      </c>
      <c r="G29" s="511"/>
      <c r="H29" s="253"/>
      <c r="I29" s="253"/>
      <c r="J29" s="253"/>
      <c r="K29" s="253"/>
      <c r="L29" s="511"/>
      <c r="M29" s="511"/>
      <c r="N29" s="511"/>
      <c r="O29" s="253"/>
      <c r="P29" s="253"/>
      <c r="Q29" s="253"/>
      <c r="R29" s="253"/>
      <c r="S29" s="253"/>
      <c r="T29" s="253"/>
      <c r="U29" s="253"/>
      <c r="V29" s="253"/>
      <c r="W29" s="253"/>
      <c r="X29" s="253"/>
      <c r="Y29" s="253"/>
      <c r="Z29" s="253"/>
      <c r="AA29" s="253"/>
      <c r="AB29" s="253"/>
      <c r="AC29" s="253"/>
      <c r="AD29" s="253"/>
      <c r="AE29" s="511"/>
      <c r="AF29" s="253"/>
      <c r="AG29" s="253"/>
      <c r="AH29" s="253"/>
      <c r="AI29" s="253"/>
      <c r="AJ29" s="253"/>
      <c r="AK29" s="2013"/>
      <c r="AL29" s="253"/>
      <c r="AM29" s="344"/>
      <c r="AN29" s="253"/>
      <c r="AO29" s="658"/>
      <c r="AP29" s="658"/>
      <c r="AQ29" s="658"/>
      <c r="AR29" s="658"/>
      <c r="AS29" s="658"/>
      <c r="AT29" s="658"/>
      <c r="AU29" s="658"/>
      <c r="AV29" s="658"/>
      <c r="AW29" s="658"/>
      <c r="AX29" s="658"/>
      <c r="AY29"/>
      <c r="AZ29"/>
    </row>
    <row r="30" spans="1:52" s="815" customFormat="1" ht="14.25">
      <c r="A30" s="2013"/>
      <c r="B30" s="253"/>
      <c r="C30" s="416"/>
      <c r="D30" s="253"/>
      <c r="E30" s="253"/>
      <c r="F30" s="511" t="s">
        <v>6773</v>
      </c>
      <c r="G30" s="511"/>
      <c r="H30" s="253"/>
      <c r="I30" s="253"/>
      <c r="J30" s="253"/>
      <c r="K30" s="253"/>
      <c r="L30" s="253"/>
      <c r="M30" s="253"/>
      <c r="N30" s="253"/>
      <c r="O30" s="253"/>
      <c r="P30" s="253"/>
      <c r="Q30" s="253"/>
      <c r="R30" s="253"/>
      <c r="S30" s="253"/>
      <c r="T30" s="253"/>
      <c r="U30" s="253"/>
      <c r="V30" s="253"/>
      <c r="W30" s="253"/>
      <c r="X30" s="253"/>
      <c r="Y30" s="253"/>
      <c r="Z30" s="253"/>
      <c r="AA30" s="511"/>
      <c r="AB30" s="253"/>
      <c r="AC30" s="253"/>
      <c r="AD30" s="253"/>
      <c r="AE30" s="253"/>
      <c r="AF30" s="253"/>
      <c r="AG30" s="253"/>
      <c r="AH30" s="253"/>
      <c r="AI30" s="253"/>
      <c r="AJ30" s="253"/>
      <c r="AK30" s="2013"/>
      <c r="AL30" s="253"/>
      <c r="AM30" s="344"/>
      <c r="AN30" s="253"/>
      <c r="AO30" s="658"/>
      <c r="AP30" s="658"/>
      <c r="AQ30" s="658"/>
      <c r="AR30" s="658"/>
      <c r="AS30" s="658"/>
      <c r="AT30" s="658"/>
      <c r="AU30" s="658"/>
      <c r="AV30" s="658"/>
      <c r="AW30" s="658"/>
      <c r="AX30" s="658"/>
      <c r="AY30"/>
      <c r="AZ30"/>
    </row>
    <row r="31" spans="1:52" s="815" customFormat="1" ht="14.25">
      <c r="A31" s="2013"/>
      <c r="B31" s="253"/>
      <c r="C31" s="416"/>
      <c r="D31" s="253"/>
      <c r="E31" s="253"/>
      <c r="F31" s="511" t="s">
        <v>6774</v>
      </c>
      <c r="G31" s="511"/>
      <c r="H31" s="253"/>
      <c r="I31" s="253"/>
      <c r="J31" s="253"/>
      <c r="K31" s="253"/>
      <c r="L31" s="253"/>
      <c r="M31" s="253"/>
      <c r="N31" s="253"/>
      <c r="O31" s="253"/>
      <c r="P31" s="253"/>
      <c r="Q31" s="253"/>
      <c r="R31" s="253"/>
      <c r="S31" s="253"/>
      <c r="T31" s="253"/>
      <c r="U31" s="253"/>
      <c r="V31" s="253"/>
      <c r="W31" s="253"/>
      <c r="X31" s="253"/>
      <c r="Y31" s="253"/>
      <c r="Z31" s="253"/>
      <c r="AA31" s="253"/>
      <c r="AB31" s="253"/>
      <c r="AC31" s="253"/>
      <c r="AD31" s="253"/>
      <c r="AE31" s="253"/>
      <c r="AF31" s="253"/>
      <c r="AG31" s="253"/>
      <c r="AH31" s="253"/>
      <c r="AI31" s="253"/>
      <c r="AJ31" s="253"/>
      <c r="AK31" s="2013"/>
      <c r="AL31" s="253"/>
      <c r="AM31" s="344"/>
      <c r="AN31" s="253"/>
      <c r="AO31" s="658"/>
      <c r="AP31" s="658"/>
      <c r="AQ31" s="658"/>
      <c r="AR31" s="658"/>
      <c r="AS31" s="658"/>
      <c r="AT31" s="658"/>
      <c r="AU31" s="658"/>
      <c r="AV31" s="658"/>
      <c r="AW31" s="658"/>
      <c r="AX31" s="658"/>
      <c r="AY31"/>
      <c r="AZ31"/>
    </row>
    <row r="32" spans="1:52" s="815" customFormat="1" ht="16.5" customHeight="1">
      <c r="A32" s="2013"/>
      <c r="B32" s="253"/>
      <c r="C32" s="416"/>
      <c r="D32" s="253"/>
      <c r="E32" s="873" t="s">
        <v>1554</v>
      </c>
      <c r="F32" s="511" t="str">
        <f>"You converted part, but not all, of your traditional IRAs to Roth IRAs in "&amp;TaxYear</f>
        <v>You converted part, but not all, of your traditional IRAs to Roth IRAs in 2025</v>
      </c>
      <c r="G32" s="511"/>
      <c r="H32" s="253"/>
      <c r="I32" s="253"/>
      <c r="J32" s="253"/>
      <c r="K32" s="253"/>
      <c r="L32" s="253"/>
      <c r="M32" s="253"/>
      <c r="N32" s="253"/>
      <c r="O32" s="253"/>
      <c r="P32" s="253"/>
      <c r="Q32" s="253"/>
      <c r="R32" s="253"/>
      <c r="S32" s="253"/>
      <c r="T32" s="253"/>
      <c r="U32" s="253"/>
      <c r="V32" s="253"/>
      <c r="W32" s="253"/>
      <c r="X32" s="511" t="s">
        <v>6804</v>
      </c>
      <c r="Y32" s="253"/>
      <c r="Z32" s="253"/>
      <c r="AA32" s="253"/>
      <c r="AB32" s="511"/>
      <c r="AC32" s="511"/>
      <c r="AD32" s="253"/>
      <c r="AE32" s="253"/>
      <c r="AF32" s="253"/>
      <c r="AG32" s="253"/>
      <c r="AH32" s="253"/>
      <c r="AI32" s="253"/>
      <c r="AJ32" s="253"/>
      <c r="AK32" s="2013"/>
      <c r="AL32" s="253"/>
      <c r="AM32" s="344"/>
      <c r="AN32" s="253"/>
      <c r="AO32" s="658"/>
      <c r="AP32" s="658"/>
      <c r="AQ32" s="658"/>
      <c r="AR32" s="658"/>
      <c r="AS32" s="658"/>
      <c r="AT32" s="658"/>
      <c r="AU32" s="658"/>
      <c r="AV32" s="658"/>
      <c r="AW32" s="658"/>
      <c r="AX32" s="658"/>
      <c r="AY32"/>
      <c r="AZ32"/>
    </row>
    <row r="33" spans="1:52" s="815" customFormat="1" ht="14.25">
      <c r="A33" s="2013"/>
      <c r="B33" s="413"/>
      <c r="C33" s="368"/>
      <c r="D33" s="413"/>
      <c r="E33" s="413"/>
      <c r="F33" s="1996" t="str">
        <f>"to a traditional IRA in "&amp;TaxYear&amp;" or an earlier year."</f>
        <v>to a traditional IRA in 2025 or an earlier year.</v>
      </c>
      <c r="G33" s="1996"/>
      <c r="H33" s="413"/>
      <c r="I33" s="413"/>
      <c r="J33" s="413"/>
      <c r="K33" s="413"/>
      <c r="L33" s="413"/>
      <c r="M33" s="413"/>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2013"/>
      <c r="AL33" s="253"/>
      <c r="AM33" s="344"/>
      <c r="AN33" s="253"/>
      <c r="AO33" s="658"/>
      <c r="AP33" s="658"/>
      <c r="AQ33" s="658"/>
      <c r="AR33" s="658"/>
      <c r="AS33" s="658"/>
      <c r="AT33" s="658"/>
      <c r="AU33" s="658"/>
      <c r="AV33" s="658"/>
      <c r="AW33" s="658"/>
      <c r="AX33" s="658"/>
      <c r="AY33"/>
      <c r="AZ33"/>
    </row>
    <row r="34" spans="1:52" s="815" customFormat="1" ht="15.75">
      <c r="A34" s="2013"/>
      <c r="B34" s="253"/>
      <c r="C34" s="2917" t="s">
        <v>228</v>
      </c>
      <c r="D34" s="511" t="str">
        <f>"Enter your nondeductible contributions to traditional IRAs for "&amp;TaxYear&amp;", including those made for "&amp;TaxYear</f>
        <v>Enter your nondeductible contributions to traditional IRAs for 2025, including those made for 2025</v>
      </c>
      <c r="E34" s="253"/>
      <c r="F34" s="511"/>
      <c r="G34" s="511"/>
      <c r="H34" s="253"/>
      <c r="I34" s="253"/>
      <c r="J34" s="253"/>
      <c r="K34" s="253"/>
      <c r="L34" s="253"/>
      <c r="M34" s="253"/>
      <c r="N34" s="253"/>
      <c r="O34" s="253"/>
      <c r="P34" s="253"/>
      <c r="Q34" s="253"/>
      <c r="R34" s="253"/>
      <c r="S34" s="253"/>
      <c r="T34" s="253"/>
      <c r="U34" s="253"/>
      <c r="V34" s="253"/>
      <c r="W34" s="253"/>
      <c r="X34" s="253"/>
      <c r="Y34" s="253"/>
      <c r="Z34" s="253"/>
      <c r="AA34" s="253"/>
      <c r="AB34" s="253"/>
      <c r="AC34" s="253"/>
      <c r="AD34" s="726"/>
      <c r="AE34" s="10751"/>
      <c r="AF34" s="10752"/>
      <c r="AG34" s="10752"/>
      <c r="AH34" s="10752"/>
      <c r="AI34" s="10752"/>
      <c r="AJ34" s="10752"/>
      <c r="AK34" s="2013"/>
      <c r="AL34" s="253"/>
      <c r="AM34" s="344"/>
      <c r="AN34" s="253"/>
      <c r="AO34" s="658"/>
      <c r="AP34" s="658"/>
      <c r="AQ34" s="658"/>
      <c r="AR34" s="658"/>
      <c r="AS34" s="658"/>
      <c r="AT34" s="658"/>
      <c r="AU34" s="658"/>
      <c r="AV34" s="658"/>
      <c r="AW34" s="658"/>
      <c r="AX34" s="658"/>
      <c r="AY34"/>
      <c r="AZ34"/>
    </row>
    <row r="35" spans="1:52" s="815" customFormat="1" ht="15" customHeight="1">
      <c r="A35" s="2013"/>
      <c r="B35" s="253"/>
      <c r="C35" s="2723"/>
      <c r="D35" s="511" t="str">
        <f>"from January 1, "&amp;TaxYear+1&amp;", through "&amp;TEXT(TaxDay,"mmmm dd")&amp;", "&amp;TaxYear+1&amp;". See instructions"</f>
        <v>from January 1, 2026, through April 15, 2026. See instructions</v>
      </c>
      <c r="E35" s="253"/>
      <c r="F35" s="253"/>
      <c r="G35" s="253"/>
      <c r="H35" s="253"/>
      <c r="I35" s="253"/>
      <c r="J35" s="253"/>
      <c r="K35" s="253"/>
      <c r="L35" s="253"/>
      <c r="M35" s="253"/>
      <c r="N35" s="253"/>
      <c r="O35" s="253"/>
      <c r="P35" s="253"/>
      <c r="Q35" s="253"/>
      <c r="R35" s="253"/>
      <c r="S35" s="253"/>
      <c r="T35" s="253"/>
      <c r="U35" s="253"/>
      <c r="V35" s="253"/>
      <c r="W35" s="253"/>
      <c r="X35" s="253"/>
      <c r="Y35" s="253"/>
      <c r="Z35" s="253"/>
      <c r="AA35" s="253"/>
      <c r="AB35" s="253"/>
      <c r="AC35" s="1657" t="s">
        <v>597</v>
      </c>
      <c r="AD35" s="2895">
        <v>1</v>
      </c>
      <c r="AE35" s="10762"/>
      <c r="AF35" s="10833"/>
      <c r="AG35" s="10833"/>
      <c r="AH35" s="10833"/>
      <c r="AI35" s="10833"/>
      <c r="AJ35" s="10833"/>
      <c r="AK35" s="2013"/>
      <c r="AL35" s="253"/>
      <c r="AM35" s="512" t="b">
        <f>AND(AE35="",AE36="")</f>
        <v>1</v>
      </c>
      <c r="AN35" s="253"/>
      <c r="AO35" s="6944" t="s">
        <v>6800</v>
      </c>
      <c r="AP35" s="946"/>
      <c r="AQ35" s="946"/>
      <c r="AR35" s="946"/>
      <c r="AS35" s="946"/>
      <c r="AT35" s="946"/>
      <c r="AU35" s="946"/>
      <c r="AV35" s="658"/>
      <c r="AW35" s="658"/>
      <c r="AX35" s="658"/>
      <c r="AY35"/>
      <c r="AZ35"/>
    </row>
    <row r="36" spans="1:52" s="815" customFormat="1" ht="15.75" customHeight="1" thickBot="1">
      <c r="A36" s="2013"/>
      <c r="B36" s="253"/>
      <c r="C36" s="2917" t="s">
        <v>230</v>
      </c>
      <c r="D36" s="511" t="s">
        <v>3961</v>
      </c>
      <c r="E36" s="253"/>
      <c r="F36" s="253"/>
      <c r="G36" s="253"/>
      <c r="H36" s="253"/>
      <c r="I36" s="253"/>
      <c r="J36" s="253"/>
      <c r="K36" s="253"/>
      <c r="L36" s="253"/>
      <c r="M36" s="253"/>
      <c r="N36" s="253"/>
      <c r="O36" s="253"/>
      <c r="P36" s="253"/>
      <c r="Q36" s="253"/>
      <c r="R36" s="253"/>
      <c r="S36" s="253"/>
      <c r="T36" s="253"/>
      <c r="U36" s="253"/>
      <c r="V36" s="253"/>
      <c r="W36" s="253"/>
      <c r="X36" s="253"/>
      <c r="Y36" s="253"/>
      <c r="Z36" s="253"/>
      <c r="AA36" s="253"/>
      <c r="AB36" s="253"/>
      <c r="AC36" s="1657" t="s">
        <v>2186</v>
      </c>
      <c r="AD36" s="2895">
        <v>2</v>
      </c>
      <c r="AE36" s="10762"/>
      <c r="AF36" s="10833"/>
      <c r="AG36" s="10833"/>
      <c r="AH36" s="10833"/>
      <c r="AI36" s="10833"/>
      <c r="AJ36" s="10833"/>
      <c r="AK36" s="2013"/>
      <c r="AL36" s="817"/>
      <c r="AM36" s="3812" t="b">
        <f>NOT(AM35)</f>
        <v>0</v>
      </c>
      <c r="AN36" s="253"/>
      <c r="AO36" s="1138" t="s">
        <v>6791</v>
      </c>
      <c r="AP36" s="946"/>
      <c r="AQ36" s="946"/>
      <c r="AR36" s="1138" t="s">
        <v>6792</v>
      </c>
      <c r="AS36" s="946"/>
      <c r="AT36" s="946"/>
      <c r="AU36" s="946"/>
      <c r="AV36" s="658"/>
      <c r="AW36" s="658"/>
      <c r="AX36" s="658"/>
      <c r="AY36"/>
      <c r="AZ36"/>
    </row>
    <row r="37" spans="1:52" s="815" customFormat="1" ht="15" customHeight="1" thickBot="1">
      <c r="A37" s="2013"/>
      <c r="B37" s="253"/>
      <c r="C37" s="2917" t="s">
        <v>232</v>
      </c>
      <c r="D37" s="511" t="s">
        <v>3072</v>
      </c>
      <c r="E37" s="253"/>
      <c r="F37" s="253"/>
      <c r="G37" s="253"/>
      <c r="H37" s="253"/>
      <c r="I37" s="253"/>
      <c r="J37" s="253"/>
      <c r="K37" s="253"/>
      <c r="L37" s="253"/>
      <c r="M37" s="253"/>
      <c r="N37" s="253"/>
      <c r="O37" s="253"/>
      <c r="P37" s="253"/>
      <c r="Q37" s="253"/>
      <c r="R37" s="253"/>
      <c r="S37" s="253"/>
      <c r="T37" s="253"/>
      <c r="U37" s="253"/>
      <c r="V37" s="253"/>
      <c r="W37" s="253"/>
      <c r="X37" s="253"/>
      <c r="Y37" s="253"/>
      <c r="Z37" s="253"/>
      <c r="AA37" s="253"/>
      <c r="AB37" s="253"/>
      <c r="AC37" s="1657" t="s">
        <v>1882</v>
      </c>
      <c r="AD37" s="2895">
        <v>3</v>
      </c>
      <c r="AE37" s="10753" t="str">
        <f>IF(AM35,"",SUM(AE35:AE36))</f>
        <v/>
      </c>
      <c r="AF37" s="10754"/>
      <c r="AG37" s="10754"/>
      <c r="AH37" s="10754"/>
      <c r="AI37" s="10754"/>
      <c r="AJ37" s="10754"/>
      <c r="AK37" s="2013"/>
      <c r="AL37" s="1147"/>
      <c r="AM37" s="3789" t="str">
        <f>IF(OR(AL37&lt;&gt;"",AND(AL41="",NOT(AM39))),"Override 'No.'","")</f>
        <v/>
      </c>
      <c r="AN37" s="253"/>
      <c r="AO37" s="1138" t="s">
        <v>6793</v>
      </c>
      <c r="AP37" s="1138" t="s">
        <v>6794</v>
      </c>
      <c r="AQ37" s="946"/>
      <c r="AR37" s="946"/>
      <c r="AS37" s="946"/>
      <c r="AT37" s="946"/>
      <c r="AU37" s="946"/>
      <c r="AV37" s="658"/>
      <c r="AW37" s="658"/>
      <c r="AX37" s="658"/>
      <c r="AY37"/>
      <c r="AZ37"/>
    </row>
    <row r="38" spans="1:52" s="815" customFormat="1" ht="17.25" customHeight="1" thickBot="1">
      <c r="A38" s="2013"/>
      <c r="B38" s="253"/>
      <c r="C38" s="2917"/>
      <c r="D38" s="10839" t="str">
        <f>"In "&amp;TaxYear&amp;", did you take a distribution from a traditional IRA, or make a Roth IRA conversion?"</f>
        <v>In 2025, did you take a distribution from a traditional IRA, or make a Roth IRA conversion?</v>
      </c>
      <c r="E38" s="10840"/>
      <c r="F38" s="10840"/>
      <c r="G38" s="10840"/>
      <c r="H38" s="10840"/>
      <c r="I38" s="10840"/>
      <c r="J38" s="10840"/>
      <c r="K38" s="10840"/>
      <c r="L38" s="10840"/>
      <c r="M38" s="10841"/>
      <c r="N38" s="347"/>
      <c r="O38" s="380"/>
      <c r="P38" s="9371" t="s">
        <v>569</v>
      </c>
      <c r="Q38" s="9371"/>
      <c r="R38" s="380"/>
      <c r="S38" s="380"/>
      <c r="T38" s="511" t="s">
        <v>3962</v>
      </c>
      <c r="U38" s="253"/>
      <c r="V38" s="253"/>
      <c r="W38" s="253"/>
      <c r="X38" s="253"/>
      <c r="Y38" s="253"/>
      <c r="Z38" s="253"/>
      <c r="AA38" s="253"/>
      <c r="AB38" s="253"/>
      <c r="AC38" s="409"/>
      <c r="AD38" s="2924"/>
      <c r="AE38" s="512"/>
      <c r="AF38" s="512"/>
      <c r="AG38" s="512"/>
      <c r="AH38" s="512"/>
      <c r="AI38" s="512"/>
      <c r="AJ38" s="512"/>
      <c r="AK38" s="2013"/>
      <c r="AL38" s="1987" t="str">
        <f>IF(AL41&lt;&gt;"","",IF(AL37&lt;&gt;"","X",IF(OR(AND(AL11&lt;&gt;"",OR('1099-R'!$M$4&gt;0,IRA_CONV_YOU&gt;0)),AND(AL12&lt;&gt;"",OR('1099-R'!$M$31&gt;0,IRA_CONV_SPOUSE&gt;0))),"","X")))</f>
        <v>X</v>
      </c>
      <c r="AM38" s="3789" t="s">
        <v>936</v>
      </c>
      <c r="AN38" s="253"/>
      <c r="AO38" s="6945">
        <v>2023</v>
      </c>
      <c r="AP38" s="6946">
        <v>2025</v>
      </c>
      <c r="AQ38" s="6947"/>
      <c r="AR38" s="10741" t="s">
        <v>6795</v>
      </c>
      <c r="AS38" s="10742"/>
      <c r="AT38" s="10742"/>
      <c r="AU38" s="10743"/>
      <c r="AV38" s="658"/>
      <c r="AW38" s="658"/>
      <c r="AX38" s="658"/>
      <c r="AY38"/>
      <c r="AZ38"/>
    </row>
    <row r="39" spans="1:52" s="815" customFormat="1" ht="12" customHeight="1" thickBot="1">
      <c r="A39" s="2013"/>
      <c r="B39" s="253"/>
      <c r="C39" s="2723"/>
      <c r="D39" s="10842"/>
      <c r="E39" s="10843"/>
      <c r="F39" s="10843"/>
      <c r="G39" s="10843"/>
      <c r="H39" s="10843"/>
      <c r="I39" s="10843"/>
      <c r="J39" s="10843"/>
      <c r="K39" s="10843"/>
      <c r="L39" s="10843"/>
      <c r="M39" s="10844"/>
      <c r="N39" s="253"/>
      <c r="O39" s="253"/>
      <c r="P39" s="9371"/>
      <c r="Q39" s="9371"/>
      <c r="R39" s="253"/>
      <c r="S39" s="253"/>
      <c r="T39" s="1672" t="s">
        <v>3963</v>
      </c>
      <c r="U39" s="253"/>
      <c r="V39" s="253"/>
      <c r="W39" s="1401"/>
      <c r="X39" s="253"/>
      <c r="Y39" s="253"/>
      <c r="Z39" s="253"/>
      <c r="AA39" s="253"/>
      <c r="AB39" s="253"/>
      <c r="AC39" s="253"/>
      <c r="AD39" s="2924"/>
      <c r="AE39" s="512"/>
      <c r="AF39" s="512"/>
      <c r="AG39" s="512"/>
      <c r="AH39" s="512"/>
      <c r="AI39" s="512"/>
      <c r="AJ39" s="512"/>
      <c r="AK39" s="2013"/>
      <c r="AL39" s="817"/>
      <c r="AM39" s="3812" t="b">
        <f>(AL38&lt;&gt;"")</f>
        <v>1</v>
      </c>
      <c r="AN39" s="253"/>
      <c r="AO39" s="6948"/>
      <c r="AP39" s="6949"/>
      <c r="AQ39" s="6950"/>
      <c r="AR39" s="10744"/>
      <c r="AS39" s="10745"/>
      <c r="AT39" s="10745"/>
      <c r="AU39" s="10746"/>
      <c r="AV39" s="658"/>
      <c r="AW39" s="658"/>
      <c r="AX39" s="658"/>
      <c r="AY39"/>
      <c r="AZ39"/>
    </row>
    <row r="40" spans="1:52" s="815" customFormat="1" ht="11.25" customHeight="1" thickBot="1">
      <c r="A40" s="2013"/>
      <c r="B40" s="253"/>
      <c r="C40" s="2723"/>
      <c r="D40" s="10842"/>
      <c r="E40" s="10843"/>
      <c r="F40" s="10843"/>
      <c r="G40" s="10843"/>
      <c r="H40" s="10843"/>
      <c r="I40" s="10843"/>
      <c r="J40" s="10843"/>
      <c r="K40" s="10843"/>
      <c r="L40" s="10843"/>
      <c r="M40" s="10844"/>
      <c r="N40" s="253"/>
      <c r="O40" s="253"/>
      <c r="P40" s="7706" t="s">
        <v>568</v>
      </c>
      <c r="Q40" s="7706"/>
      <c r="R40" s="253"/>
      <c r="S40" s="253"/>
      <c r="T40" s="10848" t="s">
        <v>3964</v>
      </c>
      <c r="U40" s="10848"/>
      <c r="V40" s="10848"/>
      <c r="W40" s="10848"/>
      <c r="X40" s="10848"/>
      <c r="Y40" s="10848"/>
      <c r="Z40" s="10848"/>
      <c r="AA40" s="10848"/>
      <c r="AB40" s="10848"/>
      <c r="AC40" s="10849"/>
      <c r="AD40" s="2924"/>
      <c r="AE40" s="512"/>
      <c r="AF40" s="512"/>
      <c r="AG40" s="512"/>
      <c r="AH40" s="512"/>
      <c r="AI40" s="512"/>
      <c r="AJ40" s="512"/>
      <c r="AK40" s="2013"/>
      <c r="AL40" s="1987" t="str">
        <f>IF(AL41&lt;&gt;"","X",IF(AM39,"","X"))</f>
        <v/>
      </c>
      <c r="AM40" s="3789" t="s">
        <v>938</v>
      </c>
      <c r="AN40" s="253"/>
      <c r="AO40" s="6948"/>
      <c r="AP40" s="6949"/>
      <c r="AQ40" s="6950"/>
      <c r="AR40" s="10744"/>
      <c r="AS40" s="10745"/>
      <c r="AT40" s="10745"/>
      <c r="AU40" s="10746"/>
      <c r="AV40" s="658"/>
      <c r="AW40" s="658"/>
      <c r="AX40" s="658"/>
      <c r="AY40"/>
      <c r="AZ40"/>
    </row>
    <row r="41" spans="1:52" s="815" customFormat="1" ht="10.5" customHeight="1" thickBot="1">
      <c r="A41" s="2013"/>
      <c r="B41" s="253"/>
      <c r="C41" s="2723"/>
      <c r="D41" s="10845"/>
      <c r="E41" s="10846"/>
      <c r="F41" s="10846"/>
      <c r="G41" s="10846"/>
      <c r="H41" s="10846"/>
      <c r="I41" s="10846"/>
      <c r="J41" s="10846"/>
      <c r="K41" s="10846"/>
      <c r="L41" s="10846"/>
      <c r="M41" s="10847"/>
      <c r="N41" s="338"/>
      <c r="O41" s="377"/>
      <c r="P41" s="7706"/>
      <c r="Q41" s="7706"/>
      <c r="R41" s="377"/>
      <c r="S41" s="377"/>
      <c r="T41" s="10848"/>
      <c r="U41" s="10848"/>
      <c r="V41" s="10848"/>
      <c r="W41" s="10848"/>
      <c r="X41" s="10848"/>
      <c r="Y41" s="10848"/>
      <c r="Z41" s="10848"/>
      <c r="AA41" s="10848"/>
      <c r="AB41" s="10848"/>
      <c r="AC41" s="10849"/>
      <c r="AD41" s="2924"/>
      <c r="AE41" s="512"/>
      <c r="AF41" s="512"/>
      <c r="AG41" s="512"/>
      <c r="AH41" s="512"/>
      <c r="AI41" s="512"/>
      <c r="AJ41" s="512"/>
      <c r="AK41" s="2013"/>
      <c r="AL41" s="1147"/>
      <c r="AM41" s="3789" t="str">
        <f>IF(AND(AL37="",OR(AL41&lt;&gt;"",AM39)),"Override 'Yes.'","")</f>
        <v>Override 'Yes.'</v>
      </c>
      <c r="AN41" s="253"/>
      <c r="AO41" s="6951"/>
      <c r="AP41" s="6952"/>
      <c r="AQ41" s="6953"/>
      <c r="AR41" s="10747"/>
      <c r="AS41" s="10748"/>
      <c r="AT41" s="10748"/>
      <c r="AU41" s="10749"/>
      <c r="AV41" s="658"/>
      <c r="AW41" s="658"/>
      <c r="AX41" s="658"/>
      <c r="AY41"/>
      <c r="AZ41"/>
    </row>
    <row r="42" spans="1:52" s="815" customFormat="1" ht="15" customHeight="1">
      <c r="A42" s="2013"/>
      <c r="B42" s="253"/>
      <c r="C42" s="2917" t="s">
        <v>235</v>
      </c>
      <c r="D42" s="1323" t="str">
        <f>"Enter those contributions included on line 1 that were made from January 1, "&amp;TaxYear+1&amp;", through "&amp;TEXT(TaxDay,"mmmm dd")&amp;", "&amp;TaxYear+1</f>
        <v>Enter those contributions included on line 1 that were made from January 1, 2026, through April 15, 2026</v>
      </c>
      <c r="E42" s="511"/>
      <c r="F42" s="253"/>
      <c r="G42" s="253"/>
      <c r="H42" s="253"/>
      <c r="I42" s="253"/>
      <c r="J42" s="253"/>
      <c r="K42" s="253"/>
      <c r="L42" s="253"/>
      <c r="M42" s="253"/>
      <c r="N42" s="253"/>
      <c r="O42" s="253"/>
      <c r="P42" s="253"/>
      <c r="Q42" s="253"/>
      <c r="R42" s="253"/>
      <c r="S42" s="253"/>
      <c r="T42" s="253"/>
      <c r="U42" s="253"/>
      <c r="V42" s="253"/>
      <c r="W42" s="1401"/>
      <c r="X42" s="253"/>
      <c r="Y42" s="253"/>
      <c r="Z42" s="253"/>
      <c r="AA42" s="253"/>
      <c r="AB42" s="253"/>
      <c r="AC42" s="253"/>
      <c r="AD42" s="2895">
        <v>4</v>
      </c>
      <c r="AE42" s="10762"/>
      <c r="AF42" s="10833"/>
      <c r="AG42" s="10833"/>
      <c r="AH42" s="10833"/>
      <c r="AI42" s="10833"/>
      <c r="AJ42" s="10833"/>
      <c r="AK42" s="2013"/>
      <c r="AL42" s="817"/>
      <c r="AM42" s="817"/>
      <c r="AN42" s="253"/>
      <c r="AO42" s="6954">
        <v>2000</v>
      </c>
      <c r="AP42" s="6955">
        <v>2024</v>
      </c>
      <c r="AQ42" s="6956"/>
      <c r="AR42" s="6986" t="s">
        <v>6796</v>
      </c>
      <c r="AS42" s="6957"/>
      <c r="AT42" s="6957"/>
      <c r="AU42" s="6956"/>
      <c r="AV42" s="658"/>
      <c r="AW42" s="658"/>
      <c r="AX42" s="658"/>
      <c r="AY42"/>
      <c r="AZ42"/>
    </row>
    <row r="43" spans="1:52" s="815" customFormat="1" ht="15.75" customHeight="1">
      <c r="A43" s="2013"/>
      <c r="B43" s="253"/>
      <c r="C43" s="2917" t="s">
        <v>237</v>
      </c>
      <c r="D43" s="1323" t="s">
        <v>3665</v>
      </c>
      <c r="E43" s="253"/>
      <c r="F43" s="253"/>
      <c r="G43" s="253"/>
      <c r="H43" s="253"/>
      <c r="I43" s="253"/>
      <c r="J43" s="253"/>
      <c r="K43" s="253"/>
      <c r="L43" s="253"/>
      <c r="M43" s="253"/>
      <c r="N43" s="253"/>
      <c r="O43" s="253"/>
      <c r="P43" s="253"/>
      <c r="Q43" s="253"/>
      <c r="R43" s="253"/>
      <c r="S43" s="253"/>
      <c r="T43" s="253"/>
      <c r="U43" s="253"/>
      <c r="V43" s="253"/>
      <c r="W43" s="253"/>
      <c r="X43" s="253"/>
      <c r="Y43" s="253"/>
      <c r="Z43" s="253"/>
      <c r="AA43" s="253"/>
      <c r="AB43" s="253"/>
      <c r="AC43" s="1657" t="s">
        <v>3758</v>
      </c>
      <c r="AD43" s="2895">
        <v>5</v>
      </c>
      <c r="AE43" s="10753" t="str">
        <f>IF(AM35,"",IF(AM39,"",MAX(0,SUM(AE37,-ROUND(AE42,0)))))</f>
        <v/>
      </c>
      <c r="AF43" s="10754"/>
      <c r="AG43" s="10754"/>
      <c r="AH43" s="10754"/>
      <c r="AI43" s="10754"/>
      <c r="AJ43" s="10754"/>
      <c r="AK43" s="2013"/>
      <c r="AL43" s="4226"/>
      <c r="AM43" s="817"/>
      <c r="AN43" s="253"/>
      <c r="AO43" s="6954">
        <v>1992</v>
      </c>
      <c r="AP43" s="6955">
        <v>2001</v>
      </c>
      <c r="AQ43" s="6956"/>
      <c r="AR43" s="6986" t="s">
        <v>6797</v>
      </c>
      <c r="AS43" s="6958"/>
      <c r="AT43" s="6958"/>
      <c r="AU43" s="6959"/>
      <c r="AV43" s="658"/>
      <c r="AW43" s="658"/>
      <c r="AX43" s="658"/>
      <c r="AY43"/>
      <c r="AZ43"/>
    </row>
    <row r="44" spans="1:52" s="815" customFormat="1" ht="15" customHeight="1">
      <c r="A44" s="2013"/>
      <c r="B44" s="253"/>
      <c r="C44" s="2917" t="s">
        <v>239</v>
      </c>
      <c r="D44" s="1323" t="s">
        <v>6784</v>
      </c>
      <c r="E44" s="253"/>
      <c r="F44" s="253"/>
      <c r="G44" s="253"/>
      <c r="H44" s="253"/>
      <c r="I44" s="253"/>
      <c r="J44" s="253"/>
      <c r="K44" s="512"/>
      <c r="L44" s="512"/>
      <c r="M44" s="512"/>
      <c r="N44" s="512"/>
      <c r="O44" s="344"/>
      <c r="P44" s="1323" t="str">
        <f>"December 31, "&amp;TaxYear&amp;", plus any outstanding rollovers."</f>
        <v>December 31, 2025, plus any outstanding rollovers.</v>
      </c>
      <c r="Q44" s="253"/>
      <c r="R44" s="253"/>
      <c r="S44" s="253"/>
      <c r="T44" s="253"/>
      <c r="U44" s="253"/>
      <c r="V44" s="511"/>
      <c r="W44" s="511"/>
      <c r="X44" s="253"/>
      <c r="Y44" s="253"/>
      <c r="Z44" s="253"/>
      <c r="AA44" s="253"/>
      <c r="AB44" s="253"/>
      <c r="AC44" s="253"/>
      <c r="AD44" s="726"/>
      <c r="AE44" s="253"/>
      <c r="AF44" s="253"/>
      <c r="AG44" s="253"/>
      <c r="AH44" s="253"/>
      <c r="AI44" s="253"/>
      <c r="AJ44" s="253"/>
      <c r="AK44" s="2013"/>
      <c r="AL44" s="4226" t="str">
        <f>IF(AND(OR(AE42&lt;&gt;"",SUM(AL46,AL50,AL52,AL68)&gt;0),AM39)," Do not complete the","")</f>
        <v/>
      </c>
      <c r="AM44" s="344"/>
      <c r="AN44" s="253"/>
      <c r="AO44" s="6954">
        <v>1992</v>
      </c>
      <c r="AP44" s="6955">
        <v>1993</v>
      </c>
      <c r="AQ44" s="6956"/>
      <c r="AR44" s="6986" t="s">
        <v>6796</v>
      </c>
      <c r="AS44" s="6957"/>
      <c r="AT44" s="6957"/>
      <c r="AU44" s="6956"/>
      <c r="AV44" s="658"/>
      <c r="AW44" s="658"/>
      <c r="AX44" s="658"/>
      <c r="AY44"/>
      <c r="AZ44"/>
    </row>
    <row r="45" spans="1:52" s="815" customFormat="1" ht="15" customHeight="1">
      <c r="A45" s="2013"/>
      <c r="B45" s="253"/>
      <c r="C45" s="2723"/>
      <c r="D45" s="1323" t="str">
        <f>"Subtract certain "&amp;TaxYear&amp;" retirement plan distribution repayments treated as rollovers, if any. See"</f>
        <v>Subtract certain 2025 retirement plan distribution repayments treated as rollovers, if any. See</v>
      </c>
      <c r="E45" s="253"/>
      <c r="F45" s="253"/>
      <c r="G45" s="253"/>
      <c r="H45" s="253"/>
      <c r="I45" s="253"/>
      <c r="J45" s="253"/>
      <c r="K45" s="512"/>
      <c r="L45" s="512"/>
      <c r="M45" s="512"/>
      <c r="N45" s="512"/>
      <c r="O45" s="512"/>
      <c r="P45" s="512"/>
      <c r="Q45" s="253"/>
      <c r="R45" s="253"/>
      <c r="S45" s="253"/>
      <c r="T45" s="253"/>
      <c r="U45" s="253"/>
      <c r="V45" s="253"/>
      <c r="W45" s="253"/>
      <c r="X45" s="253"/>
      <c r="Y45" s="253"/>
      <c r="Z45" s="253"/>
      <c r="AA45" s="253"/>
      <c r="AB45" s="253"/>
      <c r="AC45" s="253"/>
      <c r="AD45" s="2921"/>
      <c r="AE45" s="253"/>
      <c r="AF45" s="253"/>
      <c r="AG45" s="253"/>
      <c r="AH45" s="253"/>
      <c r="AI45" s="253"/>
      <c r="AJ45" s="253"/>
      <c r="AK45" s="2013"/>
      <c r="AL45" s="4226" t="str">
        <f>IF(AND(OR(AE42&lt;&gt;"",SUM(AL46,AL50,AL52,AL68)&gt;0),AM39)," rest of Part I.","")</f>
        <v/>
      </c>
      <c r="AM45" s="344"/>
      <c r="AN45" s="253"/>
      <c r="AO45" s="6960">
        <v>1988</v>
      </c>
      <c r="AP45" s="6961"/>
      <c r="AQ45" s="6962"/>
      <c r="AR45" s="6986" t="s">
        <v>6798</v>
      </c>
      <c r="AS45" s="6963"/>
      <c r="AT45" s="6963"/>
      <c r="AU45" s="6962"/>
      <c r="AV45" s="658"/>
      <c r="AW45" s="658"/>
      <c r="AX45" s="658"/>
      <c r="AY45"/>
      <c r="AZ45"/>
    </row>
    <row r="46" spans="1:52" s="815" customFormat="1" ht="15" customHeight="1">
      <c r="A46" s="2013"/>
      <c r="B46" s="253"/>
      <c r="C46" s="2917"/>
      <c r="D46" s="1323" t="s">
        <v>1872</v>
      </c>
      <c r="E46" s="253"/>
      <c r="F46" s="253"/>
      <c r="G46" s="253"/>
      <c r="H46" s="253"/>
      <c r="I46" s="253"/>
      <c r="J46" s="253"/>
      <c r="K46" s="512"/>
      <c r="L46" s="512"/>
      <c r="M46" s="512"/>
      <c r="N46" s="512"/>
      <c r="O46" s="512"/>
      <c r="P46" s="512"/>
      <c r="Q46" s="253"/>
      <c r="R46" s="253"/>
      <c r="S46" s="253"/>
      <c r="T46" s="253"/>
      <c r="U46" s="511"/>
      <c r="V46" s="511"/>
      <c r="W46" s="253"/>
      <c r="X46" s="253"/>
      <c r="Y46" s="253"/>
      <c r="Z46" s="253"/>
      <c r="AA46" s="253"/>
      <c r="AB46" s="253"/>
      <c r="AC46" s="1657" t="s">
        <v>2095</v>
      </c>
      <c r="AD46" s="2895">
        <v>6</v>
      </c>
      <c r="AE46" s="10761"/>
      <c r="AF46" s="10817"/>
      <c r="AG46" s="10817"/>
      <c r="AH46" s="10817"/>
      <c r="AI46" s="10817"/>
      <c r="AJ46" s="10817"/>
      <c r="AK46" s="2013"/>
      <c r="AL46" s="512">
        <f>IF(AE46&lt;&gt;"",1,0)</f>
        <v>0</v>
      </c>
      <c r="AM46" s="817"/>
      <c r="AN46" s="253"/>
      <c r="AO46" s="6960">
        <v>1987</v>
      </c>
      <c r="AP46" s="6961"/>
      <c r="AQ46" s="6962"/>
      <c r="AR46" s="6986" t="s">
        <v>6799</v>
      </c>
      <c r="AS46" s="6963"/>
      <c r="AT46" s="6963"/>
      <c r="AU46" s="6962"/>
      <c r="AV46" s="658"/>
      <c r="AW46" s="658"/>
      <c r="AX46" s="658"/>
      <c r="AY46"/>
      <c r="AZ46"/>
    </row>
    <row r="47" spans="1:52" s="815" customFormat="1" ht="14.25" customHeight="1">
      <c r="A47" s="2013"/>
      <c r="B47" s="253"/>
      <c r="C47" s="2917" t="s">
        <v>242</v>
      </c>
      <c r="D47" s="1323" t="str">
        <f>"Enter your distributions from traditional IRAs in "&amp;TaxYear&amp;"."</f>
        <v>Enter your distributions from traditional IRAs in 2025.</v>
      </c>
      <c r="E47" s="253"/>
      <c r="F47" s="253"/>
      <c r="G47" s="253"/>
      <c r="H47" s="253"/>
      <c r="I47" s="253"/>
      <c r="J47" s="253"/>
      <c r="K47" s="512"/>
      <c r="L47" s="512"/>
      <c r="M47" s="512"/>
      <c r="N47" s="512"/>
      <c r="O47" s="512"/>
      <c r="P47" s="2100"/>
      <c r="Q47" s="2100" t="s">
        <v>6754</v>
      </c>
      <c r="R47" s="253"/>
      <c r="S47" s="253"/>
      <c r="T47" s="253"/>
      <c r="U47" s="253"/>
      <c r="V47" s="253"/>
      <c r="W47" s="253"/>
      <c r="X47" s="253"/>
      <c r="Y47" s="253"/>
      <c r="Z47" s="3817"/>
      <c r="AA47" s="253"/>
      <c r="AB47" s="3817"/>
      <c r="AC47" s="4473"/>
      <c r="AD47" s="726"/>
      <c r="AE47" s="253"/>
      <c r="AF47" s="253"/>
      <c r="AG47" s="253"/>
      <c r="AH47" s="253"/>
      <c r="AI47" s="253"/>
      <c r="AJ47" s="253"/>
      <c r="AK47" s="2013"/>
      <c r="AL47" s="512"/>
      <c r="AM47" s="344"/>
      <c r="AN47" s="253"/>
      <c r="AO47" s="658"/>
      <c r="AP47" s="658"/>
      <c r="AQ47" s="658"/>
      <c r="AR47" s="658"/>
      <c r="AS47" s="658"/>
      <c r="AT47" s="658"/>
      <c r="AU47" s="658"/>
      <c r="AV47" s="658"/>
      <c r="AW47" s="658"/>
      <c r="AX47" s="658"/>
      <c r="AY47"/>
      <c r="AZ47"/>
    </row>
    <row r="48" spans="1:52" s="815" customFormat="1" ht="14.25" customHeight="1">
      <c r="A48" s="2013"/>
      <c r="B48" s="253"/>
      <c r="C48" s="2917"/>
      <c r="D48" s="1405" t="str">
        <f>TaxYear&amp;" retirement plan distribution repayments treated as rollovers (see instructions)."</f>
        <v>2025 retirement plan distribution repayments treated as rollovers (see instructions).</v>
      </c>
      <c r="E48" s="511"/>
      <c r="F48" s="253"/>
      <c r="G48" s="253"/>
      <c r="H48" s="253"/>
      <c r="I48" s="253"/>
      <c r="J48" s="253"/>
      <c r="K48" s="512"/>
      <c r="L48" s="512"/>
      <c r="M48" s="512"/>
      <c r="N48" s="512"/>
      <c r="O48" s="512"/>
      <c r="P48" s="512"/>
      <c r="Q48" s="253"/>
      <c r="R48" s="253"/>
      <c r="S48" s="253"/>
      <c r="T48" s="253"/>
      <c r="U48" s="253"/>
      <c r="V48" s="253"/>
      <c r="W48" s="344"/>
      <c r="X48" s="1323" t="s">
        <v>6786</v>
      </c>
      <c r="Y48" s="253"/>
      <c r="Z48" s="253"/>
      <c r="AA48" s="253"/>
      <c r="AB48" s="253"/>
      <c r="AC48" s="253"/>
      <c r="AD48" s="726"/>
      <c r="AE48" s="253"/>
      <c r="AF48" s="253"/>
      <c r="AG48" s="253"/>
      <c r="AH48" s="253"/>
      <c r="AI48" s="253"/>
      <c r="AJ48" s="253"/>
      <c r="AK48" s="2013"/>
      <c r="AL48" s="512"/>
      <c r="AM48" s="344"/>
      <c r="AN48" s="253"/>
      <c r="AO48" s="658"/>
      <c r="AP48" s="658"/>
      <c r="AQ48" s="658"/>
      <c r="AR48" s="658"/>
      <c r="AS48" s="658"/>
      <c r="AT48" s="658"/>
      <c r="AU48" s="658"/>
      <c r="AV48" s="658"/>
      <c r="AW48" s="658"/>
      <c r="AX48" s="658"/>
      <c r="AY48"/>
      <c r="AZ48"/>
    </row>
    <row r="49" spans="1:52" s="815" customFormat="1" ht="14.25" customHeight="1">
      <c r="A49" s="2013"/>
      <c r="B49" s="253"/>
      <c r="C49" s="2917"/>
      <c r="D49" s="1323" t="s">
        <v>6752</v>
      </c>
      <c r="E49" s="511"/>
      <c r="F49" s="253"/>
      <c r="G49" s="253"/>
      <c r="H49" s="253"/>
      <c r="I49" s="253"/>
      <c r="J49" s="253"/>
      <c r="K49" s="512"/>
      <c r="L49" s="512"/>
      <c r="M49" s="512"/>
      <c r="N49" s="512"/>
      <c r="O49" s="512"/>
      <c r="P49" s="512"/>
      <c r="Q49" s="253"/>
      <c r="R49" s="253"/>
      <c r="S49" s="253"/>
      <c r="T49" s="253"/>
      <c r="U49" s="253"/>
      <c r="V49" s="253"/>
      <c r="W49" s="253"/>
      <c r="X49" s="253"/>
      <c r="Y49" s="253"/>
      <c r="Z49" s="253"/>
      <c r="AA49" s="253"/>
      <c r="AB49" s="253"/>
      <c r="AC49" s="253"/>
      <c r="AD49" s="726"/>
      <c r="AE49" s="253"/>
      <c r="AF49" s="253"/>
      <c r="AG49" s="253"/>
      <c r="AH49" s="253"/>
      <c r="AI49" s="253"/>
      <c r="AJ49" s="253"/>
      <c r="AK49" s="2013"/>
      <c r="AL49" s="512"/>
      <c r="AM49" s="344"/>
      <c r="AN49" s="253"/>
      <c r="AO49" s="658"/>
      <c r="AP49" s="658"/>
      <c r="AQ49" s="658"/>
      <c r="AR49" s="658"/>
      <c r="AS49" s="658"/>
      <c r="AT49" s="658"/>
      <c r="AU49" s="658"/>
      <c r="AV49" s="658"/>
      <c r="AW49" s="658"/>
      <c r="AX49" s="658"/>
      <c r="AY49"/>
      <c r="AZ49"/>
    </row>
    <row r="50" spans="1:52" s="815" customFormat="1" ht="16.5" customHeight="1">
      <c r="A50" s="2013"/>
      <c r="B50" s="253"/>
      <c r="C50" s="2723"/>
      <c r="D50" s="1405" t="s">
        <v>6753</v>
      </c>
      <c r="E50" s="511"/>
      <c r="F50" s="253"/>
      <c r="G50" s="253"/>
      <c r="H50" s="253"/>
      <c r="I50" s="253"/>
      <c r="J50" s="253"/>
      <c r="K50" s="512"/>
      <c r="L50" s="512"/>
      <c r="M50" s="512"/>
      <c r="N50" s="512"/>
      <c r="O50" s="512"/>
      <c r="P50" s="512"/>
      <c r="Q50" s="253"/>
      <c r="R50" s="253"/>
      <c r="S50" s="253"/>
      <c r="T50" s="253"/>
      <c r="U50" s="253"/>
      <c r="V50" s="253"/>
      <c r="W50" s="253"/>
      <c r="X50" s="253"/>
      <c r="Y50" s="253"/>
      <c r="Z50" s="253"/>
      <c r="AA50" s="253"/>
      <c r="AB50" s="253"/>
      <c r="AC50" s="2198" t="s">
        <v>636</v>
      </c>
      <c r="AD50" s="2895">
        <v>7</v>
      </c>
      <c r="AE50" s="10761"/>
      <c r="AF50" s="10762"/>
      <c r="AG50" s="10762"/>
      <c r="AH50" s="10762"/>
      <c r="AI50" s="10762"/>
      <c r="AJ50" s="10823"/>
      <c r="AK50" s="2013"/>
      <c r="AL50" s="512">
        <f>IF(AE50&lt;&gt;"",1,0)</f>
        <v>0</v>
      </c>
      <c r="AM50" s="226" t="s">
        <v>979</v>
      </c>
      <c r="AN50" s="253"/>
      <c r="AO50" s="658"/>
      <c r="AP50" s="658"/>
      <c r="AQ50" s="658"/>
      <c r="AR50" s="658"/>
      <c r="AS50" s="658"/>
      <c r="AT50" s="658"/>
      <c r="AU50" s="658"/>
      <c r="AV50" s="658"/>
      <c r="AW50" s="658"/>
      <c r="AX50" s="658"/>
      <c r="AY50"/>
      <c r="AZ50"/>
    </row>
    <row r="51" spans="1:52" s="815" customFormat="1" ht="16.5" customHeight="1" thickBot="1">
      <c r="A51" s="2013"/>
      <c r="B51" s="253"/>
      <c r="C51" s="2917" t="s">
        <v>244</v>
      </c>
      <c r="D51" s="1323" t="str">
        <f>"Enter the net amount you converted from traditional IRAs to Roth IRAs in "&amp;TaxYear&amp;". Also, enter this amount"</f>
        <v>Enter the net amount you converted from traditional IRAs to Roth IRAs in 2025. Also, enter this amount</v>
      </c>
      <c r="E51" s="511"/>
      <c r="F51" s="253"/>
      <c r="G51" s="253"/>
      <c r="H51" s="253"/>
      <c r="I51" s="253"/>
      <c r="J51" s="253"/>
      <c r="K51" s="512"/>
      <c r="L51" s="512"/>
      <c r="M51" s="512"/>
      <c r="N51" s="512"/>
      <c r="O51" s="512"/>
      <c r="P51" s="512"/>
      <c r="Q51" s="253"/>
      <c r="R51" s="253"/>
      <c r="S51" s="253"/>
      <c r="T51" s="253"/>
      <c r="U51" s="253"/>
      <c r="V51" s="253"/>
      <c r="W51" s="253"/>
      <c r="X51" s="253"/>
      <c r="Y51" s="253"/>
      <c r="Z51" s="253"/>
      <c r="AA51" s="253"/>
      <c r="AB51" s="253"/>
      <c r="AC51" s="253"/>
      <c r="AD51" s="726"/>
      <c r="AE51" s="253"/>
      <c r="AF51" s="253"/>
      <c r="AG51" s="253"/>
      <c r="AH51" s="253"/>
      <c r="AI51" s="253"/>
      <c r="AJ51" s="253"/>
      <c r="AK51" s="2013"/>
      <c r="AL51" s="226"/>
      <c r="AM51" s="226" t="s">
        <v>931</v>
      </c>
      <c r="AN51" s="253"/>
      <c r="AO51" s="658"/>
      <c r="AP51" s="658"/>
      <c r="AQ51" s="658"/>
      <c r="AR51" s="658"/>
      <c r="AS51" s="658"/>
      <c r="AT51" s="658"/>
      <c r="AU51" s="658"/>
      <c r="AV51" s="658"/>
      <c r="AW51" s="658"/>
      <c r="AX51" s="658"/>
      <c r="AY51"/>
      <c r="AZ51"/>
    </row>
    <row r="52" spans="1:52" s="815" customFormat="1" ht="16.5" customHeight="1" thickBot="1">
      <c r="A52" s="2013"/>
      <c r="B52" s="253"/>
      <c r="C52" s="2917"/>
      <c r="D52" s="2006" t="s">
        <v>6756</v>
      </c>
      <c r="E52" s="2046"/>
      <c r="F52" s="253"/>
      <c r="G52" s="253"/>
      <c r="H52" s="253"/>
      <c r="I52" s="253"/>
      <c r="J52" s="253"/>
      <c r="K52" s="512"/>
      <c r="L52" s="512"/>
      <c r="M52" s="512"/>
      <c r="N52" s="512"/>
      <c r="O52" s="512"/>
      <c r="P52" s="512"/>
      <c r="Q52" s="253"/>
      <c r="R52" s="253"/>
      <c r="S52" s="253"/>
      <c r="T52" s="253"/>
      <c r="U52" s="1900"/>
      <c r="V52" s="1900"/>
      <c r="W52" s="1900"/>
      <c r="X52" s="1900"/>
      <c r="Y52" s="1900"/>
      <c r="Z52" s="1900"/>
      <c r="AA52" s="1900"/>
      <c r="AB52" s="1900"/>
      <c r="AC52" s="1657" t="s">
        <v>2095</v>
      </c>
      <c r="AD52" s="2895">
        <v>8</v>
      </c>
      <c r="AE52" s="10757" t="str">
        <f>IF(AM52&lt;&gt;"",ROUND(AM52,0),IF(OR(AM35,AM39),"",IF(AL11&lt;&gt;"",IRA_CONV_YOU,IF(AL12&lt;&gt;"",IRA_CONV_SPOUSE))))</f>
        <v/>
      </c>
      <c r="AF52" s="10758"/>
      <c r="AG52" s="10758"/>
      <c r="AH52" s="10758"/>
      <c r="AI52" s="10758"/>
      <c r="AJ52" s="10824"/>
      <c r="AK52" s="2013"/>
      <c r="AL52" s="512">
        <f>IF(AE52&lt;&gt;"",1,0)</f>
        <v>0</v>
      </c>
      <c r="AM52" s="6198"/>
      <c r="AN52" s="253"/>
      <c r="AO52" s="658"/>
      <c r="AP52" s="658"/>
      <c r="AQ52" s="658"/>
      <c r="AR52" s="658"/>
      <c r="AS52" s="658"/>
      <c r="AT52" s="658"/>
      <c r="AU52" s="658"/>
      <c r="AV52" s="658"/>
      <c r="AW52" s="658"/>
      <c r="AX52" s="658"/>
      <c r="AY52"/>
      <c r="AZ52"/>
    </row>
    <row r="53" spans="1:52" s="815" customFormat="1" ht="16.5" customHeight="1">
      <c r="A53" s="2013"/>
      <c r="B53" s="253"/>
      <c r="C53" s="2917" t="s">
        <v>377</v>
      </c>
      <c r="D53" s="511" t="s">
        <v>3965</v>
      </c>
      <c r="E53" s="511"/>
      <c r="F53" s="253"/>
      <c r="G53" s="253"/>
      <c r="H53" s="253"/>
      <c r="I53" s="253"/>
      <c r="J53" s="1400"/>
      <c r="K53" s="253"/>
      <c r="L53" s="253"/>
      <c r="M53" s="4474"/>
      <c r="N53" s="4474"/>
      <c r="O53" s="4474"/>
      <c r="P53" s="1938"/>
      <c r="Q53" s="253"/>
      <c r="R53" s="253"/>
      <c r="S53" s="253"/>
      <c r="T53" s="253"/>
      <c r="U53" s="253"/>
      <c r="V53" s="1657" t="s">
        <v>612</v>
      </c>
      <c r="W53" s="2895">
        <v>9</v>
      </c>
      <c r="X53" s="10757" t="str">
        <f>IF(AM35,"",IF(NOT(AM39),SUM(AE46,AE50,AE52),""))</f>
        <v/>
      </c>
      <c r="Y53" s="10758"/>
      <c r="Z53" s="10758"/>
      <c r="AA53" s="10758"/>
      <c r="AB53" s="10758"/>
      <c r="AC53" s="10824"/>
      <c r="AD53" s="2924"/>
      <c r="AE53" s="3877"/>
      <c r="AF53" s="512"/>
      <c r="AG53" s="512"/>
      <c r="AH53" s="512"/>
      <c r="AI53" s="512"/>
      <c r="AJ53" s="512"/>
      <c r="AK53" s="2013"/>
      <c r="AL53" s="512"/>
      <c r="AM53" s="344"/>
      <c r="AN53" s="253"/>
      <c r="AO53" s="658"/>
      <c r="AP53" s="658"/>
      <c r="AQ53" s="658"/>
      <c r="AR53" s="658"/>
      <c r="AS53" s="658"/>
      <c r="AT53" s="658"/>
      <c r="AU53" s="658"/>
      <c r="AV53" s="658"/>
      <c r="AW53" s="658"/>
      <c r="AX53" s="658"/>
      <c r="AY53"/>
      <c r="AZ53"/>
    </row>
    <row r="54" spans="1:52" s="815" customFormat="1" ht="16.5" customHeight="1" thickBot="1">
      <c r="A54" s="2013"/>
      <c r="B54" s="253"/>
      <c r="C54" s="2917" t="s">
        <v>246</v>
      </c>
      <c r="D54" s="1323" t="s">
        <v>3966</v>
      </c>
      <c r="E54" s="511"/>
      <c r="F54" s="253"/>
      <c r="G54" s="253"/>
      <c r="H54" s="253"/>
      <c r="I54" s="253"/>
      <c r="J54" s="253"/>
      <c r="K54" s="253"/>
      <c r="L54" s="253"/>
      <c r="M54" s="253"/>
      <c r="N54" s="253"/>
      <c r="O54" s="253"/>
      <c r="P54" s="253"/>
      <c r="Q54" s="253"/>
      <c r="R54" s="253"/>
      <c r="S54" s="253"/>
      <c r="T54" s="253"/>
      <c r="U54" s="253"/>
      <c r="V54" s="253"/>
      <c r="W54" s="2922"/>
      <c r="X54" s="408"/>
      <c r="Y54" s="253"/>
      <c r="Z54" s="8824"/>
      <c r="AA54" s="8824"/>
      <c r="AB54" s="8824"/>
      <c r="AC54" s="10850"/>
      <c r="AD54" s="2924"/>
      <c r="AE54" s="3877"/>
      <c r="AF54" s="512"/>
      <c r="AG54" s="512"/>
      <c r="AH54" s="512"/>
      <c r="AI54" s="512"/>
      <c r="AJ54" s="512"/>
      <c r="AK54" s="2013"/>
      <c r="AL54" s="512"/>
      <c r="AM54" s="344"/>
      <c r="AN54" s="253"/>
      <c r="AO54" s="658"/>
      <c r="AP54" s="658"/>
      <c r="AQ54" s="658"/>
      <c r="AR54" s="658"/>
      <c r="AS54" s="658"/>
      <c r="AT54" s="658"/>
      <c r="AU54" s="658"/>
      <c r="AV54" s="658"/>
      <c r="AW54" s="658"/>
      <c r="AX54" s="658"/>
      <c r="AY54"/>
      <c r="AZ54"/>
    </row>
    <row r="55" spans="1:52" s="815" customFormat="1" ht="16.5" customHeight="1" thickBot="1">
      <c r="A55" s="2013"/>
      <c r="B55" s="253"/>
      <c r="C55" s="2723"/>
      <c r="D55" s="1323" t="s">
        <v>3967</v>
      </c>
      <c r="E55" s="511"/>
      <c r="F55" s="253"/>
      <c r="G55" s="253"/>
      <c r="H55" s="253"/>
      <c r="I55" s="253"/>
      <c r="J55" s="253"/>
      <c r="K55" s="253"/>
      <c r="L55" s="253"/>
      <c r="M55" s="253"/>
      <c r="N55" s="253"/>
      <c r="O55" s="253"/>
      <c r="P55" s="253"/>
      <c r="Q55" s="253"/>
      <c r="R55" s="253"/>
      <c r="S55" s="253"/>
      <c r="T55" s="253"/>
      <c r="U55" s="253"/>
      <c r="V55" s="2198" t="s">
        <v>670</v>
      </c>
      <c r="W55" s="2918">
        <v>10</v>
      </c>
      <c r="X55" s="4475"/>
      <c r="Y55" s="4476" t="str">
        <f>"x"</f>
        <v>x</v>
      </c>
      <c r="Z55" s="10827" t="str">
        <f>IF(AND(AM55&lt;&gt;"",AM55&gt;=1),1,IF(AM55&lt;&gt;"",AM55,IF(AM35,"",IF(NOT(AM39),AE55,""))))</f>
        <v/>
      </c>
      <c r="AA55" s="10827"/>
      <c r="AB55" s="10827"/>
      <c r="AC55" s="10828"/>
      <c r="AD55" s="2924"/>
      <c r="AE55" s="10851">
        <f>IF(OR(X53="",X53=0),0,MIN(1,ROUND(AE43/X53,5)))</f>
        <v>0</v>
      </c>
      <c r="AF55" s="10852"/>
      <c r="AG55" s="10852"/>
      <c r="AH55" s="10852"/>
      <c r="AI55" s="10852"/>
      <c r="AJ55" s="10852"/>
      <c r="AK55" s="2013"/>
      <c r="AL55" s="253"/>
      <c r="AM55" s="6197"/>
      <c r="AN55" s="253"/>
      <c r="AO55" s="658"/>
      <c r="AP55" s="658"/>
      <c r="AQ55" s="658"/>
      <c r="AR55" s="658"/>
      <c r="AS55" s="658"/>
      <c r="AT55" s="658"/>
      <c r="AU55" s="658"/>
      <c r="AV55" s="658"/>
      <c r="AW55" s="658"/>
      <c r="AX55" s="658"/>
      <c r="AY55"/>
      <c r="AZ55"/>
    </row>
    <row r="56" spans="1:52" s="815" customFormat="1" ht="16.5" customHeight="1">
      <c r="A56" s="2013"/>
      <c r="B56" s="253"/>
      <c r="C56" s="2917" t="s">
        <v>248</v>
      </c>
      <c r="D56" s="1323" t="s">
        <v>3968</v>
      </c>
      <c r="E56" s="511"/>
      <c r="F56" s="253"/>
      <c r="G56" s="253"/>
      <c r="H56" s="253"/>
      <c r="I56" s="253"/>
      <c r="J56" s="253"/>
      <c r="K56" s="253"/>
      <c r="L56" s="253"/>
      <c r="M56" s="253"/>
      <c r="N56" s="253"/>
      <c r="O56" s="253"/>
      <c r="P56" s="253"/>
      <c r="Q56" s="253"/>
      <c r="R56" s="253"/>
      <c r="S56" s="253"/>
      <c r="T56" s="253"/>
      <c r="U56" s="253"/>
      <c r="V56" s="253"/>
      <c r="W56" s="2922"/>
      <c r="X56" s="253"/>
      <c r="Y56" s="253"/>
      <c r="Z56" s="253"/>
      <c r="AA56" s="253"/>
      <c r="AB56" s="253"/>
      <c r="AC56" s="253"/>
      <c r="AD56" s="2924"/>
      <c r="AE56" s="3877"/>
      <c r="AF56" s="512"/>
      <c r="AG56" s="512"/>
      <c r="AH56" s="512"/>
      <c r="AI56" s="512"/>
      <c r="AJ56" s="512"/>
      <c r="AK56" s="2013"/>
      <c r="AL56" s="253"/>
      <c r="AM56" s="344"/>
      <c r="AN56" s="253"/>
      <c r="AO56" s="658"/>
      <c r="AP56" s="658"/>
      <c r="AQ56" s="658"/>
      <c r="AR56" s="658"/>
      <c r="AS56" s="658"/>
      <c r="AT56" s="658"/>
      <c r="AU56" s="658"/>
      <c r="AV56" s="658"/>
      <c r="AW56" s="658"/>
      <c r="AX56" s="658"/>
      <c r="AY56"/>
      <c r="AZ56"/>
    </row>
    <row r="57" spans="1:52" s="815" customFormat="1" ht="16.5" customHeight="1">
      <c r="A57" s="2013"/>
      <c r="B57" s="253"/>
      <c r="C57" s="2723"/>
      <c r="D57" s="1323" t="s">
        <v>3969</v>
      </c>
      <c r="E57" s="511"/>
      <c r="F57" s="253"/>
      <c r="G57" s="253"/>
      <c r="H57" s="253"/>
      <c r="I57" s="253"/>
      <c r="J57" s="253"/>
      <c r="K57" s="253"/>
      <c r="L57" s="253"/>
      <c r="M57" s="253"/>
      <c r="N57" s="253"/>
      <c r="O57" s="253"/>
      <c r="P57" s="253"/>
      <c r="Q57" s="253"/>
      <c r="R57" s="253"/>
      <c r="S57" s="253"/>
      <c r="T57" s="253"/>
      <c r="U57" s="253"/>
      <c r="V57" s="2198" t="s">
        <v>624</v>
      </c>
      <c r="W57" s="2918">
        <v>11</v>
      </c>
      <c r="X57" s="10757" t="str">
        <f>IF(AM35,"",IF(NOT(AM39),ROUND(AE52*Z55,0),""))</f>
        <v/>
      </c>
      <c r="Y57" s="10758"/>
      <c r="Z57" s="10758"/>
      <c r="AA57" s="10758"/>
      <c r="AB57" s="10758"/>
      <c r="AC57" s="10824"/>
      <c r="AD57" s="2924"/>
      <c r="AE57" s="253"/>
      <c r="AF57" s="253"/>
      <c r="AG57" s="253"/>
      <c r="AH57" s="253"/>
      <c r="AI57" s="253"/>
      <c r="AJ57" s="253"/>
      <c r="AK57" s="2013"/>
      <c r="AL57" s="253"/>
      <c r="AM57" s="344"/>
      <c r="AN57" s="253"/>
      <c r="AO57" s="658"/>
      <c r="AP57" s="658"/>
      <c r="AQ57" s="658"/>
      <c r="AR57" s="658"/>
      <c r="AS57" s="658"/>
      <c r="AT57" s="658"/>
      <c r="AU57" s="658"/>
      <c r="AV57" s="658"/>
      <c r="AW57" s="658"/>
      <c r="AX57" s="658"/>
      <c r="AY57"/>
      <c r="AZ57"/>
    </row>
    <row r="58" spans="1:52" s="815" customFormat="1" ht="16.5" customHeight="1">
      <c r="A58" s="2013"/>
      <c r="B58" s="253"/>
      <c r="C58" s="2917" t="s">
        <v>1020</v>
      </c>
      <c r="D58" s="1323" t="s">
        <v>6785</v>
      </c>
      <c r="E58" s="511"/>
      <c r="F58" s="253"/>
      <c r="G58" s="253"/>
      <c r="H58" s="253"/>
      <c r="I58" s="253"/>
      <c r="J58" s="253"/>
      <c r="K58" s="253"/>
      <c r="L58" s="253"/>
      <c r="M58" s="253"/>
      <c r="N58" s="253"/>
      <c r="O58" s="253"/>
      <c r="P58" s="253"/>
      <c r="Q58" s="253"/>
      <c r="R58" s="253"/>
      <c r="S58" s="253"/>
      <c r="T58" s="253"/>
      <c r="U58" s="253"/>
      <c r="V58" s="2198"/>
      <c r="W58" s="2922"/>
      <c r="X58" s="10825"/>
      <c r="Y58" s="10540"/>
      <c r="Z58" s="10540"/>
      <c r="AA58" s="10540"/>
      <c r="AB58" s="10540"/>
      <c r="AC58" s="10826"/>
      <c r="AD58" s="2924"/>
      <c r="AE58" s="253"/>
      <c r="AF58" s="253"/>
      <c r="AG58" s="253"/>
      <c r="AH58" s="253"/>
      <c r="AI58" s="253"/>
      <c r="AJ58" s="253"/>
      <c r="AK58" s="2013"/>
      <c r="AL58" s="253"/>
      <c r="AM58" s="3812" t="b">
        <f>AND(AE72&lt;&gt;"",AE72&gt;0,OR(AND(AL11&lt;&gt;"",IRA_Taxable_You&gt;0),AND(AL12&lt;&gt;"",IRA_Taxable_Spouse&gt;0)))</f>
        <v>0</v>
      </c>
      <c r="AN58" s="253"/>
      <c r="AO58" s="658"/>
      <c r="AP58" s="658"/>
      <c r="AQ58" s="658"/>
      <c r="AR58" s="658"/>
      <c r="AS58" s="658"/>
      <c r="AT58" s="658"/>
      <c r="AU58" s="658"/>
      <c r="AV58" s="658"/>
      <c r="AW58" s="658"/>
      <c r="AX58" s="658"/>
      <c r="AY58"/>
      <c r="AZ58"/>
    </row>
    <row r="59" spans="1:52" ht="16.5" customHeight="1">
      <c r="A59" s="2013"/>
      <c r="B59" s="253"/>
      <c r="C59" s="2917"/>
      <c r="D59" s="2006" t="s">
        <v>6787</v>
      </c>
      <c r="E59" s="511"/>
      <c r="F59" s="253"/>
      <c r="G59" s="253"/>
      <c r="H59" s="253"/>
      <c r="I59" s="253"/>
      <c r="J59" s="253"/>
      <c r="K59" s="253"/>
      <c r="L59" s="253"/>
      <c r="M59" s="253"/>
      <c r="N59" s="253"/>
      <c r="O59" s="253"/>
      <c r="P59" s="253"/>
      <c r="Q59" s="253"/>
      <c r="R59" s="253"/>
      <c r="S59" s="253"/>
      <c r="T59" s="253"/>
      <c r="U59" s="253"/>
      <c r="V59" s="2198" t="s">
        <v>6788</v>
      </c>
      <c r="W59" s="2918">
        <v>12</v>
      </c>
      <c r="X59" s="10757" t="str">
        <f>IF(AM35,"",IF(NOT(AM39),ROUND(AE50*Z55,0),""))</f>
        <v/>
      </c>
      <c r="Y59" s="10758"/>
      <c r="Z59" s="10758"/>
      <c r="AA59" s="10758"/>
      <c r="AB59" s="10758"/>
      <c r="AC59" s="10824"/>
      <c r="AD59" s="2924"/>
      <c r="AE59" s="253"/>
      <c r="AF59" s="253"/>
      <c r="AG59" s="253"/>
      <c r="AH59" s="253"/>
      <c r="AI59" s="253"/>
      <c r="AJ59" s="253"/>
      <c r="AK59" s="2013"/>
      <c r="AL59" s="253"/>
      <c r="AM59" s="226" t="s">
        <v>979</v>
      </c>
      <c r="AN59" s="253"/>
      <c r="AY59" s="421"/>
      <c r="AZ59" s="421"/>
    </row>
    <row r="60" spans="1:52" ht="16.5" customHeight="1" thickBot="1">
      <c r="A60" s="2013"/>
      <c r="B60" s="253"/>
      <c r="C60" s="2917" t="s">
        <v>251</v>
      </c>
      <c r="D60" s="1323" t="s">
        <v>3970</v>
      </c>
      <c r="E60" s="511"/>
      <c r="F60" s="253"/>
      <c r="G60" s="253"/>
      <c r="H60" s="253"/>
      <c r="I60" s="253"/>
      <c r="J60" s="253"/>
      <c r="K60" s="253"/>
      <c r="L60" s="253"/>
      <c r="M60" s="253"/>
      <c r="N60" s="253"/>
      <c r="O60" s="253"/>
      <c r="P60" s="253"/>
      <c r="Q60" s="253"/>
      <c r="R60" s="253"/>
      <c r="S60" s="253"/>
      <c r="T60" s="253"/>
      <c r="U60" s="253"/>
      <c r="V60" s="253"/>
      <c r="W60" s="253"/>
      <c r="X60" s="253"/>
      <c r="Y60" s="253"/>
      <c r="Z60" s="253"/>
      <c r="AA60" s="253"/>
      <c r="AB60" s="253"/>
      <c r="AC60" s="2198" t="s">
        <v>874</v>
      </c>
      <c r="AD60" s="2918">
        <v>13</v>
      </c>
      <c r="AE60" s="10757" t="str">
        <f>IF(AM35,"",IF(NOT(AM39),SUM(X57,X59),""))</f>
        <v/>
      </c>
      <c r="AF60" s="10758"/>
      <c r="AG60" s="10758"/>
      <c r="AH60" s="10758"/>
      <c r="AI60" s="10758"/>
      <c r="AJ60" s="10758"/>
      <c r="AK60" s="2013"/>
      <c r="AL60" s="253"/>
      <c r="AM60" s="226" t="s">
        <v>931</v>
      </c>
      <c r="AN60" s="253"/>
      <c r="AY60" s="421"/>
      <c r="AZ60" s="421"/>
    </row>
    <row r="61" spans="1:52" ht="16.5" customHeight="1" thickBot="1">
      <c r="A61" s="2013"/>
      <c r="B61" s="253"/>
      <c r="C61" s="2917" t="s">
        <v>253</v>
      </c>
      <c r="D61" s="1323" t="s">
        <v>3971</v>
      </c>
      <c r="E61" s="511"/>
      <c r="F61" s="253"/>
      <c r="G61" s="253"/>
      <c r="H61" s="253"/>
      <c r="I61" s="253"/>
      <c r="J61" s="253"/>
      <c r="K61" s="253"/>
      <c r="L61" s="1469" t="s">
        <v>3972</v>
      </c>
      <c r="M61" s="810" t="str">
        <f>"your total basis in traditional IRAs for "&amp;TaxYear&amp;" and earlier years"</f>
        <v>your total basis in traditional IRAs for 2025 and earlier years</v>
      </c>
      <c r="N61" s="253"/>
      <c r="O61" s="253"/>
      <c r="P61" s="253"/>
      <c r="Q61" s="253"/>
      <c r="R61" s="253"/>
      <c r="S61" s="253"/>
      <c r="T61" s="253"/>
      <c r="U61" s="253"/>
      <c r="V61" s="253"/>
      <c r="W61" s="2922"/>
      <c r="X61" s="408"/>
      <c r="Y61" s="253"/>
      <c r="Z61" s="253"/>
      <c r="AA61" s="253"/>
      <c r="AB61" s="253"/>
      <c r="AC61" s="1657" t="s">
        <v>1088</v>
      </c>
      <c r="AD61" s="2918">
        <v>14</v>
      </c>
      <c r="AE61" s="10765" t="str">
        <f>IF(AM61&lt;&gt;"",ROUND(AM61,0),IF(AM35,"",IF(NOT(AM39),MAX(0,SUM(AE37,-AE60)),MAX(0,AE37))))</f>
        <v/>
      </c>
      <c r="AF61" s="10766"/>
      <c r="AG61" s="10766"/>
      <c r="AH61" s="10766"/>
      <c r="AI61" s="10766"/>
      <c r="AJ61" s="10766"/>
      <c r="AK61" s="2013"/>
      <c r="AL61" s="253"/>
      <c r="AM61" s="6198"/>
      <c r="AN61" s="253"/>
      <c r="AY61" s="421"/>
      <c r="AZ61" s="421"/>
    </row>
    <row r="62" spans="1:52" s="815" customFormat="1" ht="15.75">
      <c r="A62" s="3888"/>
      <c r="B62" s="3889" t="s">
        <v>3917</v>
      </c>
      <c r="C62" s="4483"/>
      <c r="D62" s="2344"/>
      <c r="E62" s="2344"/>
      <c r="F62" s="2344"/>
      <c r="G62" s="2344"/>
      <c r="H62" s="2344"/>
      <c r="I62" s="2344"/>
      <c r="J62" s="2344"/>
      <c r="K62" s="2344"/>
      <c r="L62" s="2344"/>
      <c r="M62" s="2344"/>
      <c r="N62" s="2344"/>
      <c r="O62" s="2344"/>
      <c r="P62" s="2344"/>
      <c r="Q62" s="89"/>
      <c r="R62" s="89"/>
      <c r="S62" s="89"/>
      <c r="T62" s="89"/>
      <c r="U62" s="3890"/>
      <c r="V62" s="89"/>
      <c r="W62" s="3890" t="s">
        <v>3981</v>
      </c>
      <c r="X62" s="89"/>
      <c r="Y62" s="89"/>
      <c r="Z62" s="89"/>
      <c r="AA62" s="89"/>
      <c r="AB62" s="89"/>
      <c r="AC62" s="89"/>
      <c r="AD62" s="2345" t="s">
        <v>3949</v>
      </c>
      <c r="AE62" s="6747"/>
      <c r="AF62" s="2345" t="str">
        <f>"("&amp;TaxYear&amp;")"</f>
        <v>(2025)</v>
      </c>
      <c r="AG62" s="89"/>
      <c r="AH62" s="2345"/>
      <c r="AI62" s="89"/>
      <c r="AJ62" s="2345" t="s">
        <v>6387</v>
      </c>
      <c r="AK62" s="2013"/>
      <c r="AL62" s="253"/>
      <c r="AM62" s="344"/>
      <c r="AN62" s="253"/>
      <c r="AO62" s="658"/>
      <c r="AP62" s="658"/>
      <c r="AQ62" s="658"/>
      <c r="AR62" s="658"/>
      <c r="AS62" s="658"/>
      <c r="AT62" s="658"/>
      <c r="AU62" s="658"/>
      <c r="AV62" s="658"/>
      <c r="AW62" s="658"/>
      <c r="AX62" s="658"/>
      <c r="AY62"/>
      <c r="AZ62"/>
    </row>
    <row r="63" spans="1:52" s="815" customFormat="1" ht="18" customHeight="1" thickBot="1">
      <c r="A63" s="2013"/>
      <c r="B63" s="721" t="str">
        <f>"Form 8606 ("&amp;TaxYear&amp;")"</f>
        <v>Form 8606 (2025)</v>
      </c>
      <c r="C63" s="4484"/>
      <c r="D63" s="721"/>
      <c r="E63" s="721"/>
      <c r="F63" s="721"/>
      <c r="G63" s="721"/>
      <c r="H63" s="721"/>
      <c r="I63" s="721"/>
      <c r="J63" s="721"/>
      <c r="K63" s="721"/>
      <c r="L63" s="721"/>
      <c r="M63" s="721"/>
      <c r="N63" s="721"/>
      <c r="O63" s="721"/>
      <c r="P63" s="721"/>
      <c r="Q63" s="721"/>
      <c r="R63" s="721"/>
      <c r="S63" s="721"/>
      <c r="T63" s="721"/>
      <c r="U63" s="721"/>
      <c r="V63" s="721"/>
      <c r="W63" s="721"/>
      <c r="X63" s="721"/>
      <c r="Y63" s="721"/>
      <c r="Z63" s="721"/>
      <c r="AA63" s="721"/>
      <c r="AB63" s="721"/>
      <c r="AC63" s="721"/>
      <c r="AD63" s="721"/>
      <c r="AE63" s="721"/>
      <c r="AF63" s="721"/>
      <c r="AG63" s="721"/>
      <c r="AH63" s="721"/>
      <c r="AI63" s="2053" t="s">
        <v>2079</v>
      </c>
      <c r="AJ63" s="2054">
        <v>2</v>
      </c>
      <c r="AK63" s="2013"/>
      <c r="AL63" s="253"/>
      <c r="AM63" s="344"/>
      <c r="AN63" s="253"/>
      <c r="AO63" s="658"/>
      <c r="AP63" s="658"/>
      <c r="AQ63" s="658"/>
      <c r="AR63" s="658"/>
      <c r="AS63" s="658"/>
      <c r="AT63" s="658"/>
      <c r="AU63" s="658"/>
      <c r="AV63" s="658"/>
      <c r="AW63" s="658"/>
      <c r="AX63" s="658"/>
      <c r="AY63"/>
      <c r="AZ63"/>
    </row>
    <row r="64" spans="1:52" s="815" customFormat="1" ht="19.5" customHeight="1" thickTop="1">
      <c r="A64" s="2013"/>
      <c r="B64" s="9755" t="s">
        <v>780</v>
      </c>
      <c r="C64" s="9755"/>
      <c r="D64" s="5701"/>
      <c r="E64" s="10853" t="s">
        <v>6757</v>
      </c>
      <c r="F64" s="10853"/>
      <c r="G64" s="10853"/>
      <c r="H64" s="10853"/>
      <c r="I64" s="10853"/>
      <c r="J64" s="10853"/>
      <c r="K64" s="10853"/>
      <c r="L64" s="10853"/>
      <c r="M64" s="10853"/>
      <c r="N64" s="10853"/>
      <c r="O64" s="10853"/>
      <c r="P64" s="10853"/>
      <c r="Q64" s="10853"/>
      <c r="R64" s="10853"/>
      <c r="S64" s="10853"/>
      <c r="T64" s="10853"/>
      <c r="U64" s="10853"/>
      <c r="V64" s="10853"/>
      <c r="W64" s="10853"/>
      <c r="X64" s="10853"/>
      <c r="Y64" s="10853"/>
      <c r="Z64" s="10853"/>
      <c r="AA64" s="10853"/>
      <c r="AB64" s="10853"/>
      <c r="AC64" s="10853"/>
      <c r="AD64" s="10853"/>
      <c r="AE64" s="10853"/>
      <c r="AF64" s="10853"/>
      <c r="AG64" s="10853"/>
      <c r="AH64" s="10853"/>
      <c r="AI64" s="10853"/>
      <c r="AJ64" s="10853"/>
      <c r="AK64" s="2013"/>
      <c r="AL64" s="253"/>
      <c r="AM64" s="344"/>
      <c r="AN64" s="253"/>
      <c r="AO64" s="658"/>
      <c r="AP64" s="1114"/>
      <c r="AQ64" s="658"/>
      <c r="AR64" s="658"/>
      <c r="AS64" s="658"/>
      <c r="AT64" s="658"/>
      <c r="AU64" s="658"/>
      <c r="AV64" s="658"/>
      <c r="AW64" s="658"/>
      <c r="AX64" s="658"/>
      <c r="AY64"/>
      <c r="AZ64"/>
    </row>
    <row r="65" spans="1:53" ht="16.5" customHeight="1">
      <c r="A65" s="2013"/>
      <c r="B65" s="253"/>
      <c r="C65" s="2917" t="s">
        <v>3973</v>
      </c>
      <c r="D65" s="1672" t="s">
        <v>3974</v>
      </c>
      <c r="E65" s="511"/>
      <c r="F65" s="253"/>
      <c r="G65" s="253"/>
      <c r="H65" s="253"/>
      <c r="I65" s="253"/>
      <c r="J65" s="253"/>
      <c r="K65" s="253"/>
      <c r="L65" s="253"/>
      <c r="M65" s="253"/>
      <c r="N65" s="253"/>
      <c r="O65" s="253"/>
      <c r="P65" s="253"/>
      <c r="Q65" s="253"/>
      <c r="R65" s="253"/>
      <c r="S65" s="253"/>
      <c r="T65" s="253"/>
      <c r="U65" s="253"/>
      <c r="V65" s="253"/>
      <c r="W65" s="253"/>
      <c r="X65" s="253"/>
      <c r="Y65" s="253"/>
      <c r="Z65" s="253"/>
      <c r="AA65" s="253"/>
      <c r="AB65" s="253"/>
      <c r="AC65" s="2198" t="s">
        <v>1888</v>
      </c>
      <c r="AD65" s="2918" t="s">
        <v>3975</v>
      </c>
      <c r="AE65" s="10757" t="str">
        <f>IF(AM35,"",IF(NOT(AM39),SUM(AE50,-X59),""))</f>
        <v/>
      </c>
      <c r="AF65" s="10758"/>
      <c r="AG65" s="10758"/>
      <c r="AH65" s="10758"/>
      <c r="AI65" s="10758"/>
      <c r="AJ65" s="10758"/>
      <c r="AK65" s="2013"/>
      <c r="AL65" s="4477"/>
      <c r="AM65" s="6751"/>
      <c r="AN65" s="4477"/>
      <c r="AY65" s="421"/>
      <c r="AZ65" s="421"/>
    </row>
    <row r="66" spans="1:53" ht="15" customHeight="1">
      <c r="A66" s="2013"/>
      <c r="B66" s="253"/>
      <c r="C66" s="4478" t="s">
        <v>592</v>
      </c>
      <c r="D66" s="1323" t="str">
        <f>"Enter the amount on line 15a attributable to qualified disaster distributions from "&amp;TaxYear&amp;" Form(s),"</f>
        <v>Enter the amount on line 15a attributable to qualified disaster distributions from 2025 Form(s),</v>
      </c>
      <c r="E66" s="511"/>
      <c r="F66" s="253"/>
      <c r="G66" s="253"/>
      <c r="H66" s="253"/>
      <c r="I66" s="253"/>
      <c r="J66" s="253"/>
      <c r="K66" s="253"/>
      <c r="L66" s="253"/>
      <c r="M66" s="253"/>
      <c r="N66" s="253"/>
      <c r="O66" s="253"/>
      <c r="P66" s="253"/>
      <c r="Q66" s="253"/>
      <c r="R66" s="253"/>
      <c r="S66" s="253"/>
      <c r="T66" s="253"/>
      <c r="U66" s="253"/>
      <c r="V66" s="253"/>
      <c r="W66" s="253"/>
      <c r="X66" s="253"/>
      <c r="Y66" s="253"/>
      <c r="Z66" s="253"/>
      <c r="AA66" s="253"/>
      <c r="AB66" s="253"/>
      <c r="AC66" s="409"/>
      <c r="AD66" s="726"/>
      <c r="AE66" s="253"/>
      <c r="AF66" s="253"/>
      <c r="AG66" s="253"/>
      <c r="AH66" s="253"/>
      <c r="AI66" s="253"/>
      <c r="AJ66" s="253"/>
      <c r="AK66" s="2013"/>
      <c r="AL66" s="4477"/>
      <c r="AM66" s="6751"/>
      <c r="AN66" s="4477"/>
    </row>
    <row r="67" spans="1:53" ht="15" customHeight="1">
      <c r="A67" s="2013"/>
      <c r="B67" s="253"/>
      <c r="C67" s="2723"/>
      <c r="D67" s="1323" t="str">
        <f>"8915-F. See instructions. Also, enter this amount on "&amp;TaxYear&amp;" Form 8915-F, line 18, as applicable. See"</f>
        <v>8915-F. See instructions. Also, enter this amount on 2025 Form 8915-F, line 18, as applicable. See</v>
      </c>
      <c r="E67" s="416"/>
      <c r="F67" s="416"/>
      <c r="G67" s="416"/>
      <c r="H67" s="253"/>
      <c r="I67" s="253"/>
      <c r="J67" s="253"/>
      <c r="K67" s="253"/>
      <c r="L67" s="253"/>
      <c r="M67" s="253"/>
      <c r="N67" s="253"/>
      <c r="O67" s="253"/>
      <c r="P67" s="253"/>
      <c r="Q67" s="253"/>
      <c r="R67" s="253"/>
      <c r="S67" s="253"/>
      <c r="T67" s="253"/>
      <c r="U67" s="253"/>
      <c r="V67" s="253"/>
      <c r="W67" s="253"/>
      <c r="X67" s="810"/>
      <c r="Y67" s="253"/>
      <c r="Z67" s="253"/>
      <c r="AA67" s="253"/>
      <c r="AB67" s="253"/>
      <c r="AC67" s="253"/>
      <c r="AD67" s="726"/>
      <c r="AE67" s="253"/>
      <c r="AG67" s="253"/>
      <c r="AH67" s="253"/>
      <c r="AI67" s="253"/>
      <c r="AJ67" s="253"/>
      <c r="AK67" s="2013"/>
      <c r="AL67" s="4477"/>
      <c r="AM67" s="6751"/>
      <c r="AN67" s="4477"/>
    </row>
    <row r="68" spans="1:53" ht="15" customHeight="1">
      <c r="A68" s="2013"/>
      <c r="B68" s="253"/>
      <c r="C68" s="2723"/>
      <c r="D68" s="1323" t="s">
        <v>1872</v>
      </c>
      <c r="E68" s="416"/>
      <c r="F68" s="416"/>
      <c r="G68" s="416"/>
      <c r="H68" s="416"/>
      <c r="I68" s="253"/>
      <c r="J68" s="253"/>
      <c r="K68" s="253"/>
      <c r="L68" s="253"/>
      <c r="M68" s="253"/>
      <c r="N68" s="253"/>
      <c r="O68" s="253"/>
      <c r="P68" s="253"/>
      <c r="Q68" s="253"/>
      <c r="R68" s="253"/>
      <c r="S68" s="253"/>
      <c r="T68" s="253"/>
      <c r="U68" s="253"/>
      <c r="V68" s="253"/>
      <c r="W68" s="253"/>
      <c r="X68" s="253"/>
      <c r="Y68" s="253"/>
      <c r="Z68" s="253"/>
      <c r="AA68" s="253"/>
      <c r="AB68" s="253"/>
      <c r="AC68" s="2198" t="s">
        <v>2667</v>
      </c>
      <c r="AD68" s="2918" t="s">
        <v>3976</v>
      </c>
      <c r="AE68" s="10761"/>
      <c r="AF68" s="10762"/>
      <c r="AG68" s="10762"/>
      <c r="AH68" s="10762"/>
      <c r="AI68" s="10762"/>
      <c r="AJ68" s="10762"/>
      <c r="AK68" s="2013"/>
      <c r="AL68" s="4479">
        <f>IF(AE68&lt;&gt;"",1,0)</f>
        <v>0</v>
      </c>
      <c r="AM68" s="226" t="s">
        <v>979</v>
      </c>
      <c r="AN68" s="4477"/>
    </row>
    <row r="69" spans="1:53" ht="16.5" customHeight="1">
      <c r="A69" s="2013"/>
      <c r="B69" s="253"/>
      <c r="C69" s="4478" t="s">
        <v>595</v>
      </c>
      <c r="D69" s="810" t="s">
        <v>3977</v>
      </c>
      <c r="E69" s="416"/>
      <c r="F69" s="416"/>
      <c r="G69" s="416"/>
      <c r="H69" s="511"/>
      <c r="I69" s="1323" t="str">
        <f>"Subtract line 15b from line 15a. Reduce that amount by certain "&amp;TaxYear&amp;" retirement"</f>
        <v>Subtract line 15b from line 15a. Reduce that amount by certain 2025 retirement</v>
      </c>
      <c r="J69" s="253"/>
      <c r="K69" s="253"/>
      <c r="L69" s="253"/>
      <c r="M69" s="253"/>
      <c r="N69" s="253"/>
      <c r="O69" s="253"/>
      <c r="P69" s="253"/>
      <c r="Q69" s="253"/>
      <c r="R69" s="253"/>
      <c r="S69" s="253"/>
      <c r="T69" s="253"/>
      <c r="U69" s="253"/>
      <c r="V69" s="253"/>
      <c r="W69" s="253"/>
      <c r="X69" s="253"/>
      <c r="Y69" s="253"/>
      <c r="Z69" s="253"/>
      <c r="AA69" s="253"/>
      <c r="AB69" s="253"/>
      <c r="AC69" s="1401"/>
      <c r="AD69" s="726"/>
      <c r="AE69" s="253"/>
      <c r="AF69" s="253"/>
      <c r="AG69" s="253"/>
      <c r="AH69" s="253"/>
      <c r="AI69" s="253"/>
      <c r="AJ69" s="253"/>
      <c r="AK69" s="2013"/>
      <c r="AL69" s="4477"/>
      <c r="AM69" s="226" t="s">
        <v>931</v>
      </c>
      <c r="AN69" s="4477"/>
    </row>
    <row r="70" spans="1:53" ht="16.5" customHeight="1">
      <c r="A70" s="2013"/>
      <c r="B70" s="253"/>
      <c r="C70" s="4478"/>
      <c r="D70" s="1323" t="s">
        <v>6758</v>
      </c>
      <c r="E70" s="416"/>
      <c r="F70" s="416"/>
      <c r="G70" s="416"/>
      <c r="H70" s="511"/>
      <c r="I70" s="511"/>
      <c r="J70" s="253"/>
      <c r="K70" s="253"/>
      <c r="L70" s="253"/>
      <c r="M70" s="253"/>
      <c r="N70" s="253"/>
      <c r="O70" s="253"/>
      <c r="P70" s="253"/>
      <c r="Q70" s="253"/>
      <c r="R70" s="253"/>
      <c r="S70" s="253"/>
      <c r="T70" s="253"/>
      <c r="U70" s="253"/>
      <c r="V70" s="253"/>
      <c r="W70" s="253"/>
      <c r="X70" s="253"/>
      <c r="Y70" s="253"/>
      <c r="Z70" s="253"/>
      <c r="AA70" s="253"/>
      <c r="AB70" s="253"/>
      <c r="AC70" s="1401"/>
      <c r="AD70" s="726"/>
      <c r="AE70" s="253"/>
      <c r="AF70" s="253"/>
      <c r="AG70" s="253"/>
      <c r="AH70" s="253"/>
      <c r="AI70" s="253"/>
      <c r="AJ70" s="253"/>
      <c r="AK70" s="2013"/>
      <c r="AL70" s="4477"/>
      <c r="AM70" s="226"/>
      <c r="AN70" s="4477"/>
    </row>
    <row r="71" spans="1:53" ht="16.5" customHeight="1" thickBot="1">
      <c r="A71" s="2013"/>
      <c r="B71" s="253"/>
      <c r="C71" s="4478"/>
      <c r="D71" s="1323" t="str">
        <f>"See instructions.  If more than zero, also include this amount on  "&amp;TaxYear&amp;"  Form 1040,"</f>
        <v>See instructions.  If more than zero, also include this amount on  2025  Form 1040,</v>
      </c>
      <c r="E71" s="416"/>
      <c r="F71" s="416"/>
      <c r="G71" s="416"/>
      <c r="H71" s="511"/>
      <c r="I71" s="511"/>
      <c r="J71" s="253"/>
      <c r="K71" s="253"/>
      <c r="L71" s="253"/>
      <c r="M71" s="253"/>
      <c r="N71" s="253"/>
      <c r="O71" s="253"/>
      <c r="P71" s="253"/>
      <c r="Q71" s="253"/>
      <c r="R71" s="253"/>
      <c r="S71" s="253"/>
      <c r="T71" s="253"/>
      <c r="U71" s="253"/>
      <c r="V71" s="253"/>
      <c r="W71" s="253"/>
      <c r="X71" s="2311" t="s">
        <v>6760</v>
      </c>
      <c r="Y71" s="253"/>
      <c r="Z71" s="253"/>
      <c r="AB71" s="253"/>
      <c r="AC71" s="1401"/>
      <c r="AD71" s="726"/>
      <c r="AE71" s="253"/>
      <c r="AF71" s="253"/>
      <c r="AG71" s="253"/>
      <c r="AH71" s="253"/>
      <c r="AI71" s="253"/>
      <c r="AJ71" s="253"/>
      <c r="AK71" s="2013"/>
      <c r="AL71" s="4477"/>
      <c r="AM71" s="226"/>
      <c r="AN71" s="4477"/>
    </row>
    <row r="72" spans="1:53" ht="16.5" customHeight="1" thickBot="1">
      <c r="A72" s="2013"/>
      <c r="B72" s="253"/>
      <c r="C72" s="2917"/>
      <c r="D72" s="2006" t="s">
        <v>6759</v>
      </c>
      <c r="E72" s="511"/>
      <c r="F72" s="253"/>
      <c r="G72" s="253"/>
      <c r="H72" s="253"/>
      <c r="I72" s="253"/>
      <c r="J72" s="253"/>
      <c r="K72" s="253"/>
      <c r="L72" s="253"/>
      <c r="M72" s="253"/>
      <c r="N72" s="253"/>
      <c r="O72" s="253"/>
      <c r="P72" s="253"/>
      <c r="Q72" s="253"/>
      <c r="R72" s="253"/>
      <c r="S72" s="253"/>
      <c r="T72" s="253"/>
      <c r="U72" s="253"/>
      <c r="V72" s="253"/>
      <c r="W72" s="253"/>
      <c r="X72" s="253"/>
      <c r="Y72" s="253"/>
      <c r="Z72" s="253"/>
      <c r="AA72" s="253"/>
      <c r="AB72" s="253"/>
      <c r="AC72" s="2198" t="s">
        <v>1989</v>
      </c>
      <c r="AD72" s="2918" t="s">
        <v>3978</v>
      </c>
      <c r="AE72" s="10757" t="str">
        <f>IF(AM35,"",IF(AM72&lt;&gt;"",ROUND(AM72,0),IF(NOT(AM39),SUM(AE65,-AE68),"")))</f>
        <v/>
      </c>
      <c r="AF72" s="10758"/>
      <c r="AG72" s="10758"/>
      <c r="AH72" s="10758"/>
      <c r="AI72" s="10758"/>
      <c r="AJ72" s="10758"/>
      <c r="AK72" s="2013"/>
      <c r="AL72" s="817"/>
      <c r="AM72" s="6198"/>
      <c r="AN72" s="253"/>
    </row>
    <row r="73" spans="1:53" ht="16.5" customHeight="1">
      <c r="A73" s="2013"/>
      <c r="B73" s="253"/>
      <c r="C73" s="2917"/>
      <c r="D73" s="1323" t="s">
        <v>3979</v>
      </c>
      <c r="E73" s="511"/>
      <c r="F73" s="253"/>
      <c r="G73" s="253"/>
      <c r="H73" s="253"/>
      <c r="I73" s="253"/>
      <c r="J73" s="253"/>
      <c r="K73" s="253"/>
      <c r="L73" s="253"/>
      <c r="M73" s="253"/>
      <c r="N73" s="253"/>
      <c r="O73" s="253"/>
      <c r="P73" s="253"/>
      <c r="Q73" s="253"/>
      <c r="R73" s="253"/>
      <c r="S73" s="253"/>
      <c r="T73" s="253"/>
      <c r="U73" s="253"/>
      <c r="V73" s="253"/>
      <c r="W73" s="253"/>
      <c r="X73" s="253"/>
      <c r="Y73" s="253"/>
      <c r="Z73" s="253"/>
      <c r="AA73" s="253"/>
      <c r="AB73" s="253"/>
      <c r="AC73" s="253"/>
      <c r="AD73" s="6752"/>
      <c r="AE73" s="4480"/>
      <c r="AF73" s="4480"/>
      <c r="AG73" s="4480"/>
      <c r="AH73" s="4480"/>
      <c r="AI73" s="4480"/>
      <c r="AJ73" s="4480"/>
      <c r="AK73" s="2013"/>
      <c r="AL73" s="817"/>
      <c r="AM73" s="1560"/>
      <c r="AN73" s="253"/>
      <c r="BA73" s="579"/>
    </row>
    <row r="74" spans="1:53" ht="16.5" customHeight="1" thickBot="1">
      <c r="A74" s="2013"/>
      <c r="B74" s="253"/>
      <c r="C74" s="2723"/>
      <c r="D74" s="1323" t="s">
        <v>3980</v>
      </c>
      <c r="E74" s="511"/>
      <c r="F74" s="253"/>
      <c r="G74" s="253"/>
      <c r="H74" s="253"/>
      <c r="I74" s="253"/>
      <c r="J74" s="253"/>
      <c r="K74" s="253"/>
      <c r="L74" s="253"/>
      <c r="M74" s="253"/>
      <c r="N74" s="253"/>
      <c r="O74" s="253"/>
      <c r="P74" s="253"/>
      <c r="Q74" s="253"/>
      <c r="R74" s="253"/>
      <c r="S74" s="253"/>
      <c r="T74" s="253"/>
      <c r="U74" s="253"/>
      <c r="V74" s="253"/>
      <c r="W74" s="253"/>
      <c r="X74" s="253"/>
      <c r="Y74" s="253"/>
      <c r="Z74" s="253"/>
      <c r="AA74" s="253"/>
      <c r="AB74" s="253"/>
      <c r="AC74" s="2198"/>
      <c r="AD74" s="6753"/>
      <c r="AE74" s="4481"/>
      <c r="AF74" s="4482"/>
      <c r="AG74" s="4482"/>
      <c r="AH74" s="4482"/>
      <c r="AI74" s="4482"/>
      <c r="AJ74" s="4482"/>
      <c r="AK74" s="2013"/>
      <c r="AL74" s="712"/>
      <c r="AM74" s="344"/>
      <c r="AN74" s="253"/>
    </row>
    <row r="75" spans="1:53" s="815" customFormat="1" ht="19.5" customHeight="1" thickTop="1">
      <c r="A75" s="2013"/>
      <c r="B75" s="10756" t="s">
        <v>868</v>
      </c>
      <c r="C75" s="10756"/>
      <c r="D75" s="4485"/>
      <c r="E75" s="4486" t="str">
        <f>TaxYear&amp;" Conversions From Traditional IRAs to Roth IRAs"</f>
        <v>2025 Conversions From Traditional IRAs to Roth IRAs</v>
      </c>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013"/>
      <c r="AL75" s="253"/>
      <c r="AM75" s="226"/>
      <c r="AN75" s="253"/>
      <c r="AO75" s="658"/>
      <c r="AP75" s="658"/>
      <c r="AQ75" s="658"/>
      <c r="AR75" s="658"/>
      <c r="AS75" s="658"/>
      <c r="AT75" s="658"/>
      <c r="AU75" s="658"/>
      <c r="AV75" s="658"/>
      <c r="AW75" s="658"/>
      <c r="AX75" s="658"/>
      <c r="AY75"/>
      <c r="AZ75"/>
    </row>
    <row r="76" spans="1:53" s="815" customFormat="1" ht="16.5" customHeight="1">
      <c r="A76" s="2013"/>
      <c r="B76" s="2002"/>
      <c r="C76" s="2002"/>
      <c r="D76" s="2002"/>
      <c r="E76" s="4487" t="str">
        <f>"Complete this part if you converted part or all of your traditional IRAs to a Roth IRA in "&amp;TaxYear</f>
        <v>Complete this part if you converted part or all of your traditional IRAs to a Roth IRA in 2025</v>
      </c>
      <c r="F76" s="2002"/>
      <c r="G76" s="2002"/>
      <c r="H76" s="2002"/>
      <c r="I76" s="2002"/>
      <c r="J76" s="2002"/>
      <c r="K76" s="2002"/>
      <c r="L76" s="2002"/>
      <c r="M76" s="2002"/>
      <c r="N76" s="2002"/>
      <c r="O76" s="2002"/>
      <c r="P76" s="2002"/>
      <c r="Q76" s="2002"/>
      <c r="R76" s="2002"/>
      <c r="S76" s="2002"/>
      <c r="T76" s="2002"/>
      <c r="U76" s="2002"/>
      <c r="V76" s="2002"/>
      <c r="W76" s="2002"/>
      <c r="X76" s="2002"/>
      <c r="Y76" s="2002"/>
      <c r="Z76" s="2002"/>
      <c r="AA76" s="2002"/>
      <c r="AB76" s="2002"/>
      <c r="AC76" s="2002"/>
      <c r="AD76" s="2002"/>
      <c r="AE76" s="2002"/>
      <c r="AF76" s="2002"/>
      <c r="AG76" s="2002"/>
      <c r="AH76" s="2002"/>
      <c r="AI76" s="2002"/>
      <c r="AJ76" s="2002"/>
      <c r="AK76" s="2013"/>
      <c r="AL76" s="253"/>
      <c r="AM76" s="226" t="s">
        <v>979</v>
      </c>
      <c r="AN76" s="253"/>
      <c r="AO76" s="658"/>
      <c r="AP76" s="658"/>
      <c r="AQ76" s="658"/>
      <c r="AR76" s="658"/>
      <c r="AS76" s="658"/>
      <c r="AT76" s="658"/>
      <c r="AU76" s="658"/>
      <c r="AV76" s="658"/>
      <c r="AW76" s="658"/>
      <c r="AX76" s="658"/>
      <c r="AY76"/>
      <c r="AZ76"/>
    </row>
    <row r="77" spans="1:53" ht="16.5" customHeight="1" thickBot="1">
      <c r="A77" s="2013"/>
      <c r="B77" s="253"/>
      <c r="C77" s="2917">
        <v>16</v>
      </c>
      <c r="D77" s="1323" t="s">
        <v>6761</v>
      </c>
      <c r="E77" s="416"/>
      <c r="F77" s="416"/>
      <c r="G77" s="416"/>
      <c r="H77" s="253"/>
      <c r="I77" s="253"/>
      <c r="J77" s="253"/>
      <c r="K77" s="253"/>
      <c r="L77" s="253"/>
      <c r="M77" s="253"/>
      <c r="N77" s="253"/>
      <c r="O77" s="253"/>
      <c r="P77" s="253"/>
      <c r="Q77" s="253"/>
      <c r="R77" s="253"/>
      <c r="S77" s="253"/>
      <c r="T77" s="253"/>
      <c r="U77" s="253"/>
      <c r="V77" s="253"/>
      <c r="W77" s="253"/>
      <c r="X77" s="253"/>
      <c r="Y77" s="253"/>
      <c r="Z77" s="253"/>
      <c r="AA77" s="253"/>
      <c r="AB77" s="253"/>
      <c r="AC77" s="253"/>
      <c r="AD77" s="726"/>
      <c r="AE77" s="253"/>
      <c r="AF77" s="253"/>
      <c r="AG77" s="253"/>
      <c r="AH77" s="253"/>
      <c r="AI77" s="253"/>
      <c r="AJ77" s="253"/>
      <c r="AK77" s="2013"/>
      <c r="AL77" s="253"/>
      <c r="AM77" s="226" t="s">
        <v>771</v>
      </c>
      <c r="AN77" s="253"/>
      <c r="AO77" s="6964" t="str">
        <f>IF(AM35,"Total Basis Chart -- Line 2 (and line 17 if Part I in not completed.) See Form 8606 instructions.","Reserved")</f>
        <v>Total Basis Chart -- Line 2 (and line 17 if Part I in not completed.) See Form 8606 instructions.</v>
      </c>
      <c r="AP77" s="6965"/>
      <c r="AQ77" s="6965"/>
      <c r="AR77" s="6965"/>
      <c r="AS77" s="6965"/>
      <c r="AT77" s="6965"/>
      <c r="AU77" s="6966"/>
    </row>
    <row r="78" spans="1:53" ht="16.5" customHeight="1" thickBot="1">
      <c r="A78" s="2013"/>
      <c r="B78" s="253"/>
      <c r="C78" s="2723"/>
      <c r="D78" s="1323" t="str">
        <f>"from traditional IRAs to Roth IRAs in  "&amp;TaxYear</f>
        <v>from traditional IRAs to Roth IRAs in  2025</v>
      </c>
      <c r="E78" s="416"/>
      <c r="F78" s="416"/>
      <c r="G78" s="416"/>
      <c r="H78" s="416"/>
      <c r="I78" s="253"/>
      <c r="J78" s="253"/>
      <c r="K78" s="253"/>
      <c r="L78" s="253"/>
      <c r="M78" s="253"/>
      <c r="N78" s="253"/>
      <c r="O78" s="253"/>
      <c r="P78" s="253"/>
      <c r="Q78" s="253"/>
      <c r="R78" s="253"/>
      <c r="S78" s="253"/>
      <c r="T78" s="253"/>
      <c r="U78" s="253"/>
      <c r="V78" s="253"/>
      <c r="W78" s="253"/>
      <c r="X78" s="253"/>
      <c r="Y78" s="253"/>
      <c r="Z78" s="253"/>
      <c r="AA78" s="253"/>
      <c r="AB78" s="253"/>
      <c r="AC78" s="1657" t="s">
        <v>872</v>
      </c>
      <c r="AD78" s="2918" t="s">
        <v>260</v>
      </c>
      <c r="AE78" s="10757">
        <f>IF(AM78&lt;&gt;"",ROUND(AM78,0),IF(AE52&lt;&gt;"",AE52,IF(AL11&lt;&gt;"",IRA_CONV_YOU,IF(AL12&lt;&gt;"",IRA_CONV_SPOUSE))))</f>
        <v>0</v>
      </c>
      <c r="AF78" s="10758"/>
      <c r="AG78" s="10758"/>
      <c r="AH78" s="10758"/>
      <c r="AI78" s="10758"/>
      <c r="AJ78" s="10758"/>
      <c r="AK78" s="2013"/>
      <c r="AL78" s="817"/>
      <c r="AM78" s="6198"/>
      <c r="AN78" s="253"/>
      <c r="AO78" s="6967" t="str">
        <f>IF(AM35,"Generally, if this is the first year you are required to file Form 8606, enter '0' into Override cell AM80.","")</f>
        <v>Generally, if this is the first year you are required to file Form 8606, enter '0' into Override cell AM80.</v>
      </c>
      <c r="AP78" s="6968"/>
      <c r="AQ78" s="2494"/>
      <c r="AR78" s="2494"/>
      <c r="AS78" s="2494"/>
      <c r="AT78" s="2494"/>
      <c r="AU78" s="6969"/>
    </row>
    <row r="79" spans="1:53" ht="16.5" customHeight="1" thickBot="1">
      <c r="A79" s="2013"/>
      <c r="B79" s="253"/>
      <c r="C79" s="2917">
        <v>17</v>
      </c>
      <c r="D79" s="1323" t="s">
        <v>3924</v>
      </c>
      <c r="E79" s="416"/>
      <c r="F79" s="416"/>
      <c r="G79" s="416"/>
      <c r="H79" s="253"/>
      <c r="I79" s="253"/>
      <c r="J79" s="253"/>
      <c r="K79" s="253"/>
      <c r="L79" s="253"/>
      <c r="M79" s="253"/>
      <c r="N79" s="253"/>
      <c r="O79" s="253"/>
      <c r="P79" s="253"/>
      <c r="Q79" s="253"/>
      <c r="R79" s="253"/>
      <c r="S79" s="253"/>
      <c r="T79" s="253"/>
      <c r="U79" s="253"/>
      <c r="V79" s="253"/>
      <c r="W79" s="253"/>
      <c r="X79" s="253"/>
      <c r="Y79" s="253"/>
      <c r="Z79" s="253"/>
      <c r="AA79" s="253"/>
      <c r="AB79" s="253"/>
      <c r="AC79" s="253"/>
      <c r="AD79" s="726"/>
      <c r="AE79" s="10834"/>
      <c r="AF79" s="10835"/>
      <c r="AG79" s="10835"/>
      <c r="AH79" s="10835"/>
      <c r="AI79" s="10835"/>
      <c r="AJ79" s="10835"/>
      <c r="AK79" s="2013"/>
      <c r="AL79" s="253"/>
      <c r="AM79" s="228" t="str">
        <f>IF($AM$35,"Basis (see chart) &gt;&gt;","")</f>
        <v>Basis (see chart) &gt;&gt;</v>
      </c>
      <c r="AN79" s="253"/>
      <c r="AO79" s="6970" t="str">
        <f>IF(AM35,"IF the last Form 8606 you filed was for …","")</f>
        <v>IF the last Form 8606 you filed was for …</v>
      </c>
      <c r="AP79" s="2494"/>
      <c r="AQ79" s="2494"/>
      <c r="AR79" s="6971" t="str">
        <f>IF(AM35,"THEN enter the following into Override cell AM80.","")</f>
        <v>THEN enter the following into Override cell AM80.</v>
      </c>
      <c r="AS79" s="2494"/>
      <c r="AT79" s="2494"/>
      <c r="AU79" s="6969"/>
    </row>
    <row r="80" spans="1:53" ht="16.5" customHeight="1" thickBot="1">
      <c r="A80" s="2013"/>
      <c r="B80" s="253"/>
      <c r="C80" s="2723"/>
      <c r="D80" s="1323" t="s">
        <v>6777</v>
      </c>
      <c r="E80" s="416"/>
      <c r="F80" s="416"/>
      <c r="G80" s="416"/>
      <c r="H80" s="416"/>
      <c r="I80" s="253"/>
      <c r="J80" s="253"/>
      <c r="K80" s="253"/>
      <c r="L80" s="253"/>
      <c r="M80" s="253"/>
      <c r="N80" s="253"/>
      <c r="O80" s="253"/>
      <c r="P80" s="253"/>
      <c r="Q80" s="253"/>
      <c r="R80" s="253"/>
      <c r="S80" s="253"/>
      <c r="T80" s="253"/>
      <c r="U80" s="253"/>
      <c r="V80" s="253"/>
      <c r="W80" s="253"/>
      <c r="X80" s="253"/>
      <c r="Y80" s="253"/>
      <c r="Z80" s="253"/>
      <c r="AA80" s="253"/>
      <c r="AB80" s="253"/>
      <c r="AC80" s="1401" t="s">
        <v>2657</v>
      </c>
      <c r="AD80" s="2919" t="s">
        <v>262</v>
      </c>
      <c r="AE80" s="10759" t="str">
        <f>IF(AM80&lt;&gt;"",ROUND(AM80,0),IF(AM36,X57,""))</f>
        <v/>
      </c>
      <c r="AF80" s="10760"/>
      <c r="AG80" s="10760"/>
      <c r="AH80" s="10760"/>
      <c r="AI80" s="10760"/>
      <c r="AJ80" s="10760"/>
      <c r="AK80" s="2013"/>
      <c r="AL80" s="817"/>
      <c r="AM80" s="6981"/>
      <c r="AN80" s="253"/>
      <c r="AO80" s="6970" t="str">
        <f>IF(AM35,"After year","")</f>
        <v>After year</v>
      </c>
      <c r="AP80" s="6971" t="str">
        <f>IF(AM35,"and before year","")</f>
        <v>and before year</v>
      </c>
      <c r="AQ80" s="2494"/>
      <c r="AR80" s="10871"/>
      <c r="AS80" s="10871"/>
      <c r="AT80" s="10871"/>
      <c r="AU80" s="10872"/>
    </row>
    <row r="81" spans="1:52" ht="16.5" customHeight="1">
      <c r="A81" s="2013"/>
      <c r="B81" s="253"/>
      <c r="C81" s="2917">
        <v>18</v>
      </c>
      <c r="D81" s="514" t="s">
        <v>3925</v>
      </c>
      <c r="E81" s="416"/>
      <c r="F81" s="416"/>
      <c r="G81" s="416"/>
      <c r="H81" s="253"/>
      <c r="I81" s="1323" t="str">
        <f>"Subtract line 17 from line 16. If more than zero, also include this amount on "&amp;TaxYear</f>
        <v>Subtract line 17 from line 16. If more than zero, also include this amount on 2025</v>
      </c>
      <c r="J81" s="253"/>
      <c r="K81" s="253"/>
      <c r="L81" s="253"/>
      <c r="M81" s="253"/>
      <c r="N81" s="253"/>
      <c r="O81" s="253"/>
      <c r="P81" s="253"/>
      <c r="Q81" s="253"/>
      <c r="R81" s="253"/>
      <c r="S81" s="253"/>
      <c r="T81" s="253"/>
      <c r="U81" s="253"/>
      <c r="V81" s="253"/>
      <c r="W81" s="253"/>
      <c r="X81" s="253"/>
      <c r="Y81" s="253"/>
      <c r="Z81" s="253"/>
      <c r="AA81" s="253"/>
      <c r="AB81" s="253"/>
      <c r="AC81" s="253"/>
      <c r="AD81" s="726"/>
      <c r="AE81" s="10831"/>
      <c r="AF81" s="10832"/>
      <c r="AG81" s="10832"/>
      <c r="AH81" s="10832"/>
      <c r="AI81" s="10832"/>
      <c r="AJ81" s="10832"/>
      <c r="AK81" s="2013"/>
      <c r="AL81" s="4477"/>
      <c r="AM81" s="6987" t="s">
        <v>6805</v>
      </c>
      <c r="AN81" s="4477"/>
      <c r="AO81" s="10869">
        <f>IF(AM35,2023,"")</f>
        <v>2023</v>
      </c>
      <c r="AP81" s="10870" t="str">
        <f>IF(AM35,"         "&amp;TaxYear,"")</f>
        <v xml:space="preserve">         2025</v>
      </c>
      <c r="AQ81" s="10870"/>
      <c r="AR81" s="10866" t="str">
        <f>IF(AM35,"the amount from line 14 of that Form 8606 as adjusted to include the amount from line 6 of the Line 15c Worksheet,"&amp;CHAR(10)&amp;"if any, you completed the last time you filed a Form 8606 with Part I completed. "&amp;CHAR(10)&amp;"See instructions for Line 14.","")</f>
        <v>the amount from line 14 of that Form 8606 as adjusted to include the amount from line 6 of the Line 15c Worksheet,
if any, you completed the last time you filed a Form 8606 with Part I completed. 
See instructions for Line 14.</v>
      </c>
      <c r="AS81" s="10867"/>
      <c r="AT81" s="10867"/>
      <c r="AU81" s="10868"/>
    </row>
    <row r="82" spans="1:52" ht="16.5" customHeight="1" thickBot="1">
      <c r="A82" s="2013"/>
      <c r="B82" s="380"/>
      <c r="C82" s="4225"/>
      <c r="D82" s="5003" t="s">
        <v>3926</v>
      </c>
      <c r="E82" s="4225"/>
      <c r="F82" s="4225"/>
      <c r="G82" s="4225"/>
      <c r="H82" s="4225"/>
      <c r="I82" s="380"/>
      <c r="J82" s="380"/>
      <c r="K82" s="380"/>
      <c r="L82" s="380"/>
      <c r="M82" s="380"/>
      <c r="N82" s="380"/>
      <c r="O82" s="380"/>
      <c r="P82" s="380"/>
      <c r="Q82" s="380"/>
      <c r="R82" s="380"/>
      <c r="S82" s="380"/>
      <c r="T82" s="380"/>
      <c r="U82" s="380"/>
      <c r="V82" s="380"/>
      <c r="W82" s="380"/>
      <c r="X82" s="380"/>
      <c r="Y82" s="380"/>
      <c r="Z82" s="380"/>
      <c r="AA82" s="380"/>
      <c r="AB82" s="380"/>
      <c r="AC82" s="4488" t="s">
        <v>891</v>
      </c>
      <c r="AD82" s="2919" t="s">
        <v>264</v>
      </c>
      <c r="AE82" s="10759">
        <f>IF(AE78="","",IF(AE80="",AE78,SUM(AE78,-AE80)))</f>
        <v>0</v>
      </c>
      <c r="AF82" s="10760"/>
      <c r="AG82" s="10760"/>
      <c r="AH82" s="10760"/>
      <c r="AI82" s="10760"/>
      <c r="AJ82" s="10760"/>
      <c r="AK82" s="2013"/>
      <c r="AL82" s="4477"/>
      <c r="AM82" s="4489">
        <f>MAX(0,AE82)</f>
        <v>0</v>
      </c>
      <c r="AN82" s="4477"/>
      <c r="AO82" s="10869"/>
      <c r="AP82" s="10870"/>
      <c r="AQ82" s="10870"/>
      <c r="AR82" s="10867"/>
      <c r="AS82" s="10867"/>
      <c r="AT82" s="10867"/>
      <c r="AU82" s="10868"/>
    </row>
    <row r="83" spans="1:52" s="815" customFormat="1" ht="19.5" customHeight="1">
      <c r="A83" s="2013"/>
      <c r="B83" s="9993" t="s">
        <v>1938</v>
      </c>
      <c r="C83" s="9993"/>
      <c r="D83" s="4490"/>
      <c r="E83" s="4491" t="s">
        <v>6783</v>
      </c>
      <c r="F83" s="377"/>
      <c r="G83" s="377"/>
      <c r="H83" s="377"/>
      <c r="I83" s="377"/>
      <c r="J83" s="377"/>
      <c r="K83" s="377"/>
      <c r="L83" s="377"/>
      <c r="M83" s="377"/>
      <c r="N83" s="377"/>
      <c r="O83" s="377"/>
      <c r="P83" s="377"/>
      <c r="Q83" s="377"/>
      <c r="R83" s="377"/>
      <c r="S83" s="377"/>
      <c r="T83" s="377"/>
      <c r="U83" s="377"/>
      <c r="V83" s="377"/>
      <c r="W83" s="377"/>
      <c r="X83" s="377"/>
      <c r="Y83" s="377"/>
      <c r="Z83" s="377"/>
      <c r="AA83" s="377"/>
      <c r="AB83" s="377"/>
      <c r="AC83" s="377"/>
      <c r="AD83" s="377"/>
      <c r="AE83" s="377"/>
      <c r="AF83" s="377"/>
      <c r="AG83" s="377"/>
      <c r="AH83" s="377"/>
      <c r="AI83" s="377"/>
      <c r="AJ83" s="377"/>
      <c r="AK83" s="2013"/>
      <c r="AL83" s="4477"/>
      <c r="AM83" s="6751"/>
      <c r="AN83" s="4477"/>
      <c r="AO83" s="10869"/>
      <c r="AP83" s="10870"/>
      <c r="AQ83" s="10870"/>
      <c r="AR83" s="10867"/>
      <c r="AS83" s="10867"/>
      <c r="AT83" s="10867"/>
      <c r="AU83" s="10868"/>
      <c r="AV83" s="658"/>
      <c r="AW83" s="658"/>
      <c r="AX83" s="658"/>
      <c r="AY83"/>
      <c r="AZ83"/>
    </row>
    <row r="84" spans="1:52" s="815" customFormat="1" ht="15" customHeight="1">
      <c r="A84" s="2013"/>
      <c r="B84" s="4492"/>
      <c r="C84" s="4493"/>
      <c r="D84" s="2311"/>
      <c r="E84" s="2311" t="str">
        <f>"Complete this part only if you took a distribution from a Roth IRA in "&amp;TaxYear&amp;"."</f>
        <v>Complete this part only if you took a distribution from a Roth IRA in 2025.</v>
      </c>
      <c r="F84" s="4492"/>
      <c r="G84" s="4492"/>
      <c r="H84" s="4492"/>
      <c r="I84" s="4492"/>
      <c r="J84" s="4492"/>
      <c r="K84" s="4492"/>
      <c r="L84" s="4492"/>
      <c r="M84" s="4492"/>
      <c r="N84" s="4492"/>
      <c r="O84" s="4492"/>
      <c r="P84" s="4492"/>
      <c r="Q84" s="4492"/>
      <c r="R84" s="4492"/>
      <c r="S84" s="4492"/>
      <c r="T84" s="4492"/>
      <c r="U84" s="4492"/>
      <c r="V84" s="4492"/>
      <c r="W84" s="2311" t="s">
        <v>6762</v>
      </c>
      <c r="X84" s="4492"/>
      <c r="Y84" s="4492"/>
      <c r="Z84" s="4492"/>
      <c r="AA84" s="4492"/>
      <c r="AB84" s="4492"/>
      <c r="AC84" s="4492"/>
      <c r="AD84" s="4492"/>
      <c r="AE84" s="4492"/>
      <c r="AF84" s="4492"/>
      <c r="AG84" s="4492"/>
      <c r="AH84" s="4492"/>
      <c r="AI84" s="4492"/>
      <c r="AJ84" s="4492"/>
      <c r="AK84" s="2013"/>
      <c r="AL84" s="4477"/>
      <c r="AM84" s="6751"/>
      <c r="AN84" s="4477"/>
      <c r="AO84" s="10869"/>
      <c r="AP84" s="10870"/>
      <c r="AQ84" s="10870"/>
      <c r="AR84" s="10867"/>
      <c r="AS84" s="10867"/>
      <c r="AT84" s="10867"/>
      <c r="AU84" s="10868"/>
      <c r="AV84" s="658"/>
      <c r="AW84" s="658"/>
      <c r="AX84" s="658"/>
      <c r="AY84"/>
      <c r="AZ84"/>
    </row>
    <row r="85" spans="1:52" s="1115" customFormat="1" ht="15.75" customHeight="1">
      <c r="A85" s="2290"/>
      <c r="B85" s="4492"/>
      <c r="C85" s="4493"/>
      <c r="D85" s="2311"/>
      <c r="E85" s="2311" t="str">
        <f>"include a rollover (but does include certain "&amp;TaxYear&amp;" retirement plan distribution repayments treated as rollovers (see"</f>
        <v>include a rollover (but does include certain 2025 retirement plan distribution repayments treated as rollovers (see</v>
      </c>
      <c r="F85" s="4492"/>
      <c r="G85" s="4492"/>
      <c r="H85" s="4492"/>
      <c r="I85" s="4492"/>
      <c r="J85" s="4492"/>
      <c r="K85" s="4492"/>
      <c r="L85" s="4492"/>
      <c r="M85" s="4492"/>
      <c r="N85" s="4492"/>
      <c r="O85" s="4492"/>
      <c r="P85" s="4492"/>
      <c r="Q85" s="4492"/>
      <c r="R85" s="4492"/>
      <c r="S85" s="4492"/>
      <c r="T85" s="2311"/>
      <c r="U85" s="4492"/>
      <c r="V85" s="4492"/>
      <c r="W85" s="4492"/>
      <c r="X85" s="4492"/>
      <c r="Y85" s="4492"/>
      <c r="Z85" s="4492"/>
      <c r="AA85" s="4492"/>
      <c r="AB85" s="4492"/>
      <c r="AC85" s="4492"/>
      <c r="AD85" s="4492"/>
      <c r="AE85" s="4492"/>
      <c r="AF85" s="4492"/>
      <c r="AG85" s="4492"/>
      <c r="AH85" s="4492"/>
      <c r="AI85" s="4492"/>
      <c r="AJ85" s="4492"/>
      <c r="AK85" s="2290"/>
      <c r="AL85" s="4477"/>
      <c r="AM85" s="6751"/>
      <c r="AN85" s="4477"/>
      <c r="AO85" s="6972">
        <f>IF(AM35,2000,"")</f>
        <v>2000</v>
      </c>
      <c r="AP85" s="6968">
        <f>IF(AM35,2024,"")</f>
        <v>2024</v>
      </c>
      <c r="AQ85" s="2494"/>
      <c r="AR85" s="6984" t="str">
        <f>IF(AM35,"the amount from line 14 of that Form 8606.","")</f>
        <v>the amount from line 14 of that Form 8606.</v>
      </c>
      <c r="AS85" s="2494"/>
      <c r="AT85" s="2494"/>
      <c r="AU85" s="6969"/>
      <c r="AV85" s="658"/>
      <c r="AW85" s="658"/>
      <c r="AX85" s="658"/>
      <c r="AY85" s="2293"/>
      <c r="AZ85" s="2293"/>
    </row>
    <row r="86" spans="1:52" s="1115" customFormat="1" ht="15.75" customHeight="1">
      <c r="A86" s="2290"/>
      <c r="B86" s="4492"/>
      <c r="C86" s="4493"/>
      <c r="D86" s="2311"/>
      <c r="E86" s="2311" t="s">
        <v>6780</v>
      </c>
      <c r="F86" s="4492"/>
      <c r="G86" s="4492"/>
      <c r="H86" s="4492"/>
      <c r="I86" s="4492"/>
      <c r="J86" s="4492"/>
      <c r="K86" s="4492"/>
      <c r="L86" s="4492"/>
      <c r="M86" s="4492"/>
      <c r="N86" s="4492"/>
      <c r="O86" s="4492"/>
      <c r="P86" s="4492"/>
      <c r="Q86" s="4492"/>
      <c r="R86" s="4492"/>
      <c r="S86" s="4492"/>
      <c r="T86" s="4492"/>
      <c r="U86" s="4492"/>
      <c r="V86" s="4492"/>
      <c r="W86" s="4492"/>
      <c r="X86" s="4492"/>
      <c r="Y86" s="4492"/>
      <c r="Z86" s="4492"/>
      <c r="AA86" s="4492"/>
      <c r="AB86" s="4492"/>
      <c r="AC86" s="4492"/>
      <c r="AD86" s="4492"/>
      <c r="AE86" s="4492"/>
      <c r="AF86" s="4492"/>
      <c r="AG86" s="4492"/>
      <c r="AH86" s="4492"/>
      <c r="AI86" s="4492"/>
      <c r="AJ86" s="4492"/>
      <c r="AK86" s="2290"/>
      <c r="AL86" s="4477"/>
      <c r="AM86" s="6751"/>
      <c r="AN86" s="4477"/>
      <c r="AO86" s="6972">
        <f>IF(AM35,1992,"")</f>
        <v>1992</v>
      </c>
      <c r="AP86" s="6968">
        <f>IF(AM35,2001,"")</f>
        <v>2001</v>
      </c>
      <c r="AQ86" s="2494"/>
      <c r="AR86" s="6984" t="str">
        <f>IF(AM35,"the amount from line 12 of that Form 8606.","")</f>
        <v>the amount from line 12 of that Form 8606.</v>
      </c>
      <c r="AS86" s="6973"/>
      <c r="AT86" s="6973"/>
      <c r="AU86" s="6974"/>
      <c r="AV86" s="1114"/>
      <c r="AW86" s="1114"/>
      <c r="AX86" s="1114"/>
      <c r="AY86" s="2293"/>
      <c r="AZ86" s="2293"/>
    </row>
    <row r="87" spans="1:52" s="1115" customFormat="1" ht="17.25" customHeight="1" thickBot="1">
      <c r="A87" s="2290"/>
      <c r="B87" s="4494"/>
      <c r="C87" s="4495"/>
      <c r="D87" s="4496"/>
      <c r="E87" s="4496" t="s">
        <v>6763</v>
      </c>
      <c r="F87" s="4494"/>
      <c r="G87" s="4494"/>
      <c r="H87" s="4494"/>
      <c r="I87" s="4494"/>
      <c r="J87" s="4494"/>
      <c r="K87" s="4494"/>
      <c r="L87" s="4494"/>
      <c r="M87" s="4494"/>
      <c r="N87" s="4494"/>
      <c r="O87" s="4494"/>
      <c r="P87" s="4494"/>
      <c r="Q87" s="4494"/>
      <c r="R87" s="4494"/>
      <c r="S87" s="4494"/>
      <c r="T87" s="4494"/>
      <c r="U87" s="4494"/>
      <c r="V87" s="4494"/>
      <c r="W87" s="4494"/>
      <c r="X87" s="4494"/>
      <c r="Y87" s="4494"/>
      <c r="Z87" s="4494"/>
      <c r="AA87" s="4494"/>
      <c r="AB87" s="4494"/>
      <c r="AC87" s="4494"/>
      <c r="AD87" s="4494"/>
      <c r="AE87" s="4494"/>
      <c r="AF87" s="4494"/>
      <c r="AG87" s="4494"/>
      <c r="AH87" s="4494"/>
      <c r="AI87" s="4494"/>
      <c r="AJ87" s="4494"/>
      <c r="AK87" s="2290"/>
      <c r="AL87" s="4477"/>
      <c r="AM87" s="6751"/>
      <c r="AN87" s="4477"/>
      <c r="AO87" s="6972">
        <f>IF(AM35,1992,"")</f>
        <v>1992</v>
      </c>
      <c r="AP87" s="6968">
        <f>IF(AM35,1993,"")</f>
        <v>1993</v>
      </c>
      <c r="AQ87" s="2494"/>
      <c r="AR87" s="6984" t="str">
        <f>IF(AM35,"the amount from line 14 of that Form 8606.","")</f>
        <v>the amount from line 14 of that Form 8606.</v>
      </c>
      <c r="AS87" s="2494"/>
      <c r="AT87" s="2494"/>
      <c r="AU87" s="6969"/>
      <c r="AV87" s="1114"/>
      <c r="AW87" s="1114"/>
      <c r="AX87" s="1114"/>
      <c r="AY87" s="2293"/>
      <c r="AZ87" s="2293"/>
    </row>
    <row r="88" spans="1:52" s="815" customFormat="1" ht="16.5" customHeight="1">
      <c r="A88" s="2013"/>
      <c r="B88" s="4497"/>
      <c r="C88" s="4498">
        <v>19</v>
      </c>
      <c r="D88" s="1323" t="str">
        <f>"Enter your total nonqualified distributions from Roth IRAs in "&amp;TaxYear&amp;", including any qualified first-time"</f>
        <v>Enter your total nonqualified distributions from Roth IRAs in 2025, including any qualified first-time</v>
      </c>
      <c r="E88" s="1995"/>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4499"/>
      <c r="AE88" s="339"/>
      <c r="AF88" s="339"/>
      <c r="AG88" s="339"/>
      <c r="AH88" s="339"/>
      <c r="AI88" s="339"/>
      <c r="AJ88" s="339"/>
      <c r="AK88" s="2013"/>
      <c r="AL88" s="253"/>
      <c r="AM88" s="344"/>
      <c r="AN88" s="253"/>
      <c r="AO88" s="6967">
        <f>IF(AM35,1988,"")</f>
        <v>1988</v>
      </c>
      <c r="AP88" s="6975"/>
      <c r="AQ88" s="6971"/>
      <c r="AR88" s="6984" t="str">
        <f>IF(AM35,"the total of the amounts on lines 7 and 16 of that Form 8606.","")</f>
        <v>the total of the amounts on lines 7 and 16 of that Form 8606.</v>
      </c>
      <c r="AS88" s="6971"/>
      <c r="AT88" s="6971"/>
      <c r="AU88" s="6976"/>
      <c r="AV88" s="1114"/>
      <c r="AW88" s="1114"/>
      <c r="AX88" s="1114"/>
      <c r="AY88"/>
      <c r="AZ88"/>
    </row>
    <row r="89" spans="1:52" s="815" customFormat="1" ht="16.5" customHeight="1">
      <c r="A89" s="2013"/>
      <c r="B89" s="4500"/>
      <c r="C89" s="2723"/>
      <c r="D89" s="1323" t="str">
        <f>"homebuyer distributions, and any "&amp;TaxYear&amp;" retirement plan distributions whose repayments are treated as"</f>
        <v>homebuyer distributions, and any 2025 retirement plan distributions whose repayments are treated as</v>
      </c>
      <c r="E89" s="511"/>
      <c r="F89" s="344"/>
      <c r="G89" s="344"/>
      <c r="H89" s="344"/>
      <c r="I89" s="344"/>
      <c r="J89" s="344"/>
      <c r="K89" s="344"/>
      <c r="L89" s="344"/>
      <c r="M89" s="344"/>
      <c r="N89" s="4231"/>
      <c r="O89" s="344"/>
      <c r="P89" s="344"/>
      <c r="Q89" s="344"/>
      <c r="R89" s="344"/>
      <c r="S89" s="344"/>
      <c r="T89" s="2298" t="str">
        <f>TaxYear&amp;" retirement plan distributions"</f>
        <v>2025 retirement plan distributions</v>
      </c>
      <c r="U89" s="2100"/>
      <c r="V89" s="344"/>
      <c r="W89" s="344"/>
      <c r="X89" s="344"/>
      <c r="Y89" s="344"/>
      <c r="Z89" s="344"/>
      <c r="AA89" s="344"/>
      <c r="AB89" s="4231"/>
      <c r="AC89" s="344"/>
      <c r="AD89" s="4501"/>
      <c r="AE89" s="344"/>
      <c r="AF89" s="344"/>
      <c r="AG89" s="344"/>
      <c r="AH89" s="344"/>
      <c r="AI89" s="344"/>
      <c r="AJ89" s="344"/>
      <c r="AK89" s="2013"/>
      <c r="AL89" s="253"/>
      <c r="AM89" s="344"/>
      <c r="AN89" s="253"/>
      <c r="AO89" s="6977">
        <f>IF(AM35,1987,"")</f>
        <v>1987</v>
      </c>
      <c r="AP89" s="6978"/>
      <c r="AQ89" s="6979"/>
      <c r="AR89" s="6985" t="str">
        <f>IF(AM35,"the total of the amounts on lines 4 and 13 of that Form 8606.","")</f>
        <v>the total of the amounts on lines 4 and 13 of that Form 8606.</v>
      </c>
      <c r="AS89" s="6979"/>
      <c r="AT89" s="6979"/>
      <c r="AU89" s="6980"/>
      <c r="AV89" s="658"/>
      <c r="AW89" s="658"/>
      <c r="AX89" s="658"/>
      <c r="AY89"/>
      <c r="AZ89"/>
    </row>
    <row r="90" spans="1:52" ht="16.5" customHeight="1">
      <c r="A90" s="2013"/>
      <c r="B90" s="253"/>
      <c r="C90" s="2723"/>
      <c r="D90" s="1323" t="s">
        <v>6764</v>
      </c>
      <c r="E90" s="416"/>
      <c r="F90" s="416"/>
      <c r="G90" s="416"/>
      <c r="H90" s="416"/>
      <c r="I90" s="253"/>
      <c r="J90" s="253"/>
      <c r="K90" s="253"/>
      <c r="L90" s="253"/>
      <c r="M90" s="253"/>
      <c r="N90" s="253"/>
      <c r="O90" s="253"/>
      <c r="P90" s="253"/>
      <c r="Q90" s="253"/>
      <c r="R90" s="253"/>
      <c r="S90" s="253"/>
      <c r="T90" s="253"/>
      <c r="U90" s="253"/>
      <c r="V90" s="253"/>
      <c r="W90" s="253"/>
      <c r="X90" s="253"/>
      <c r="Y90" s="253"/>
      <c r="Z90" s="253"/>
      <c r="AA90" s="253"/>
      <c r="AB90" s="253"/>
      <c r="AC90" s="1401" t="s">
        <v>6765</v>
      </c>
      <c r="AD90" s="2918" t="s">
        <v>266</v>
      </c>
      <c r="AE90" s="10761"/>
      <c r="AF90" s="10762"/>
      <c r="AG90" s="10762"/>
      <c r="AH90" s="10762"/>
      <c r="AI90" s="10762"/>
      <c r="AJ90" s="10762"/>
      <c r="AK90" s="2013"/>
      <c r="AL90" s="817"/>
      <c r="AM90" s="817"/>
      <c r="AN90" s="253"/>
      <c r="AO90" s="6943"/>
      <c r="AP90" s="6943"/>
    </row>
    <row r="91" spans="1:52" ht="16.5" customHeight="1">
      <c r="A91" s="2013"/>
      <c r="B91" s="253"/>
      <c r="C91" s="2917" t="s">
        <v>268</v>
      </c>
      <c r="D91" s="1323" t="s">
        <v>6778</v>
      </c>
      <c r="E91" s="416"/>
      <c r="F91" s="416"/>
      <c r="G91" s="416"/>
      <c r="H91" s="253"/>
      <c r="I91" s="253"/>
      <c r="J91" s="253"/>
      <c r="K91" s="253"/>
      <c r="L91" s="253"/>
      <c r="M91" s="253"/>
      <c r="N91" s="253"/>
      <c r="O91" s="253"/>
      <c r="P91" s="253"/>
      <c r="Q91" s="253"/>
      <c r="R91" s="511"/>
      <c r="S91" s="511" t="s">
        <v>3927</v>
      </c>
      <c r="T91" s="253"/>
      <c r="U91" s="253"/>
      <c r="V91" s="253"/>
      <c r="W91" s="253"/>
      <c r="X91" s="511"/>
      <c r="Y91" s="511" t="str">
        <f>TEXT(AE91,"$0,000")&amp;" reduced"</f>
        <v>$10,000 reduced</v>
      </c>
      <c r="Z91" s="253"/>
      <c r="AA91" s="253"/>
      <c r="AB91" s="253"/>
      <c r="AC91" s="253"/>
      <c r="AD91" s="726"/>
      <c r="AE91" s="10763">
        <v>10000</v>
      </c>
      <c r="AF91" s="10764"/>
      <c r="AG91" s="10764"/>
      <c r="AH91" s="10764"/>
      <c r="AI91" s="10764"/>
      <c r="AJ91" s="10764"/>
      <c r="AK91" s="2013"/>
      <c r="AL91" s="253"/>
      <c r="AM91" s="344"/>
      <c r="AN91" s="253"/>
      <c r="AO91" s="6943"/>
      <c r="AP91" s="6943"/>
    </row>
    <row r="92" spans="1:52" ht="16.5" customHeight="1">
      <c r="A92" s="2013"/>
      <c r="B92" s="253"/>
      <c r="C92" s="2723"/>
      <c r="D92" s="2006" t="s">
        <v>3928</v>
      </c>
      <c r="E92" s="416"/>
      <c r="F92" s="416"/>
      <c r="G92" s="416"/>
      <c r="H92" s="416"/>
      <c r="I92" s="253"/>
      <c r="J92" s="253"/>
      <c r="K92" s="253"/>
      <c r="L92" s="253"/>
      <c r="M92" s="253"/>
      <c r="N92" s="253"/>
      <c r="O92" s="253"/>
      <c r="P92" s="253"/>
      <c r="Q92" s="253"/>
      <c r="R92" s="253"/>
      <c r="S92" s="253"/>
      <c r="T92" s="253"/>
      <c r="U92" s="253"/>
      <c r="V92" s="253"/>
      <c r="W92" s="253"/>
      <c r="X92" s="253"/>
      <c r="Y92" s="253"/>
      <c r="Z92" s="253"/>
      <c r="AA92" s="253"/>
      <c r="AB92" s="253"/>
      <c r="AC92" s="1401" t="s">
        <v>1130</v>
      </c>
      <c r="AD92" s="2918" t="s">
        <v>268</v>
      </c>
      <c r="AE92" s="10761"/>
      <c r="AF92" s="10762"/>
      <c r="AG92" s="10762"/>
      <c r="AH92" s="10762"/>
      <c r="AI92" s="10762"/>
      <c r="AJ92" s="10762"/>
      <c r="AK92" s="2013"/>
      <c r="AL92" s="817"/>
      <c r="AM92" s="817"/>
      <c r="AN92" s="253"/>
    </row>
    <row r="93" spans="1:52" ht="16.5" customHeight="1">
      <c r="A93" s="2013"/>
      <c r="B93" s="253"/>
      <c r="C93" s="2917" t="s">
        <v>3929</v>
      </c>
      <c r="D93" s="1323" t="s">
        <v>3754</v>
      </c>
      <c r="E93" s="511"/>
      <c r="F93" s="253"/>
      <c r="G93" s="253"/>
      <c r="H93" s="253"/>
      <c r="I93" s="253"/>
      <c r="J93" s="253"/>
      <c r="K93" s="253"/>
      <c r="L93" s="1469"/>
      <c r="M93" s="511"/>
      <c r="N93" s="253"/>
      <c r="O93" s="253"/>
      <c r="P93" s="253"/>
      <c r="Q93" s="253"/>
      <c r="R93" s="253"/>
      <c r="S93" s="253"/>
      <c r="T93" s="253"/>
      <c r="U93" s="253"/>
      <c r="V93" s="253"/>
      <c r="W93" s="253"/>
      <c r="X93" s="253"/>
      <c r="Y93" s="253"/>
      <c r="Z93" s="253"/>
      <c r="AA93" s="253"/>
      <c r="AB93" s="253"/>
      <c r="AC93" s="1401" t="s">
        <v>3930</v>
      </c>
      <c r="AD93" s="4502">
        <v>21</v>
      </c>
      <c r="AE93" s="10765" t="str">
        <f>IF(AE90="","",MAX(0,SUM(AE90,-AE92)))</f>
        <v/>
      </c>
      <c r="AF93" s="10766"/>
      <c r="AG93" s="10766"/>
      <c r="AH93" s="10766"/>
      <c r="AI93" s="10766"/>
      <c r="AJ93" s="10766"/>
      <c r="AK93" s="2013"/>
      <c r="AL93" s="253"/>
      <c r="AM93" s="512" t="b">
        <f>AND(AE93&lt;&gt;"",AE93=0)</f>
        <v>0</v>
      </c>
      <c r="AN93" s="253"/>
      <c r="AY93" s="421"/>
      <c r="AZ93" s="421"/>
    </row>
    <row r="94" spans="1:52" ht="16.5" customHeight="1">
      <c r="A94" s="2013"/>
      <c r="B94" s="253"/>
      <c r="C94" s="2917">
        <v>22</v>
      </c>
      <c r="D94" s="1323" t="s">
        <v>6781</v>
      </c>
      <c r="E94" s="511"/>
      <c r="F94" s="253"/>
      <c r="G94" s="253"/>
      <c r="H94" s="253"/>
      <c r="I94" s="1323"/>
      <c r="J94" s="253"/>
      <c r="K94" s="253"/>
      <c r="L94" s="1469"/>
      <c r="M94" s="511"/>
      <c r="N94" s="253"/>
      <c r="O94" s="253"/>
      <c r="P94" s="253"/>
      <c r="Q94" s="253"/>
      <c r="R94" s="253"/>
      <c r="S94" s="511"/>
      <c r="T94" s="511"/>
      <c r="U94" s="253"/>
      <c r="V94" s="253"/>
      <c r="W94" s="253"/>
      <c r="X94" s="253"/>
      <c r="Y94" s="253"/>
      <c r="Z94" s="253"/>
      <c r="AA94" s="253"/>
      <c r="AB94" s="253"/>
      <c r="AC94" s="1401" t="s">
        <v>1838</v>
      </c>
      <c r="AD94" s="2918">
        <v>22</v>
      </c>
      <c r="AE94" s="10761"/>
      <c r="AF94" s="10762"/>
      <c r="AG94" s="10762"/>
      <c r="AH94" s="10762"/>
      <c r="AI94" s="10762"/>
      <c r="AJ94" s="10762"/>
      <c r="AK94" s="2013"/>
      <c r="AL94" s="253"/>
      <c r="AM94" s="344"/>
      <c r="AN94" s="253"/>
      <c r="AY94" s="421"/>
      <c r="AZ94" s="421"/>
    </row>
    <row r="95" spans="1:52" ht="16.5" customHeight="1">
      <c r="A95" s="2013"/>
      <c r="B95" s="253"/>
      <c r="C95" s="2917">
        <v>23</v>
      </c>
      <c r="D95" s="1323" t="s">
        <v>3932</v>
      </c>
      <c r="E95" s="416"/>
      <c r="F95" s="416"/>
      <c r="G95" s="416"/>
      <c r="H95" s="253"/>
      <c r="I95" s="253"/>
      <c r="J95" s="253"/>
      <c r="K95" s="253"/>
      <c r="L95" s="253"/>
      <c r="M95" s="253"/>
      <c r="N95" s="253"/>
      <c r="O95" s="253"/>
      <c r="P95" s="253"/>
      <c r="Q95" s="253"/>
      <c r="R95" s="511"/>
      <c r="S95" s="253"/>
      <c r="T95" s="253"/>
      <c r="U95" s="253"/>
      <c r="V95" s="253"/>
      <c r="W95" s="253"/>
      <c r="X95" s="511"/>
      <c r="Y95" s="253"/>
      <c r="Z95" s="253"/>
      <c r="AA95" s="253"/>
      <c r="AB95" s="253"/>
      <c r="AC95" s="253"/>
      <c r="AD95" s="726"/>
      <c r="AE95" s="10819"/>
      <c r="AF95" s="10820"/>
      <c r="AG95" s="10820"/>
      <c r="AH95" s="10820"/>
      <c r="AI95" s="10820"/>
      <c r="AJ95" s="10820"/>
      <c r="AK95" s="2013"/>
      <c r="AL95" s="253"/>
      <c r="AM95" s="344"/>
      <c r="AN95" s="253"/>
    </row>
    <row r="96" spans="1:52" ht="16.5" customHeight="1">
      <c r="A96" s="2013"/>
      <c r="B96" s="253"/>
      <c r="C96" s="2723"/>
      <c r="D96" s="1323" t="s">
        <v>6766</v>
      </c>
      <c r="E96" s="416"/>
      <c r="F96" s="416"/>
      <c r="G96" s="416"/>
      <c r="H96" s="416"/>
      <c r="I96" s="253"/>
      <c r="J96" s="253"/>
      <c r="K96" s="253"/>
      <c r="L96" s="253"/>
      <c r="M96" s="253"/>
      <c r="N96" s="253"/>
      <c r="O96" s="253"/>
      <c r="P96" s="253"/>
      <c r="Q96" s="253"/>
      <c r="R96" s="253"/>
      <c r="S96" s="253"/>
      <c r="T96" s="253"/>
      <c r="U96" s="253"/>
      <c r="V96" s="253"/>
      <c r="W96" s="253"/>
      <c r="X96" s="253"/>
      <c r="Y96" s="253"/>
      <c r="Z96" s="253"/>
      <c r="AA96" s="253"/>
      <c r="AB96" s="253"/>
      <c r="AC96" s="1401" t="s">
        <v>2485</v>
      </c>
      <c r="AD96" s="2918">
        <v>23</v>
      </c>
      <c r="AE96" s="10757" t="str">
        <f>IF(AE90="","",IF(NOT(AM93),MAX(0,SUM(AE93,-AE94)),""))</f>
        <v/>
      </c>
      <c r="AF96" s="10758"/>
      <c r="AG96" s="10758"/>
      <c r="AH96" s="10758"/>
      <c r="AI96" s="10758"/>
      <c r="AJ96" s="10758"/>
      <c r="AK96" s="2013"/>
      <c r="AL96" s="817"/>
      <c r="AM96" s="817"/>
      <c r="AN96" s="253"/>
    </row>
    <row r="97" spans="1:52" ht="16.5" customHeight="1">
      <c r="A97" s="2013"/>
      <c r="B97" s="253"/>
      <c r="C97" s="2917">
        <v>24</v>
      </c>
      <c r="D97" s="1323" t="s">
        <v>6767</v>
      </c>
      <c r="E97" s="416"/>
      <c r="F97" s="416"/>
      <c r="G97" s="416"/>
      <c r="H97" s="253"/>
      <c r="I97" s="253"/>
      <c r="J97" s="253"/>
      <c r="K97" s="253"/>
      <c r="L97" s="253"/>
      <c r="M97" s="253"/>
      <c r="N97" s="253"/>
      <c r="O97" s="253"/>
      <c r="P97" s="253"/>
      <c r="Q97" s="253"/>
      <c r="R97" s="511"/>
      <c r="S97" s="253"/>
      <c r="T97" s="253"/>
      <c r="U97" s="253"/>
      <c r="V97" s="253"/>
      <c r="W97" s="253"/>
      <c r="X97" s="511"/>
      <c r="Y97" s="253"/>
      <c r="Z97" s="253"/>
      <c r="AA97" s="253"/>
      <c r="AB97" s="253"/>
      <c r="AC97" s="253"/>
      <c r="AD97" s="726"/>
      <c r="AE97" s="10819"/>
      <c r="AF97" s="10820"/>
      <c r="AG97" s="10820"/>
      <c r="AH97" s="10820"/>
      <c r="AI97" s="10820"/>
      <c r="AJ97" s="10820"/>
      <c r="AK97" s="2013"/>
      <c r="AL97" s="253"/>
      <c r="AM97" s="344"/>
      <c r="AN97" s="253"/>
    </row>
    <row r="98" spans="1:52" ht="16.5" customHeight="1">
      <c r="A98" s="2013"/>
      <c r="B98" s="253"/>
      <c r="C98" s="2723"/>
      <c r="D98" s="511" t="s">
        <v>6768</v>
      </c>
      <c r="E98" s="416"/>
      <c r="F98" s="416"/>
      <c r="G98" s="416"/>
      <c r="H98" s="416"/>
      <c r="I98" s="253"/>
      <c r="J98" s="253"/>
      <c r="K98" s="253"/>
      <c r="L98" s="253"/>
      <c r="M98" s="253"/>
      <c r="N98" s="253"/>
      <c r="O98" s="253"/>
      <c r="P98" s="253"/>
      <c r="Q98" s="253"/>
      <c r="R98" s="253"/>
      <c r="S98" s="253"/>
      <c r="T98" s="253"/>
      <c r="U98" s="253"/>
      <c r="V98" s="253"/>
      <c r="W98" s="253"/>
      <c r="X98" s="253"/>
      <c r="Y98" s="253"/>
      <c r="Z98" s="253"/>
      <c r="AA98" s="253"/>
      <c r="AB98" s="253"/>
      <c r="AC98" s="1401" t="s">
        <v>6769</v>
      </c>
      <c r="AD98" s="2918">
        <v>24</v>
      </c>
      <c r="AE98" s="10761"/>
      <c r="AF98" s="10762"/>
      <c r="AG98" s="10762"/>
      <c r="AH98" s="10762"/>
      <c r="AI98" s="10762"/>
      <c r="AJ98" s="10762"/>
      <c r="AK98" s="2013"/>
      <c r="AL98" s="817"/>
      <c r="AM98" s="817"/>
      <c r="AN98" s="253"/>
    </row>
    <row r="99" spans="1:52" ht="16.5" customHeight="1">
      <c r="A99" s="2013"/>
      <c r="B99" s="253"/>
      <c r="C99" s="2917" t="s">
        <v>3933</v>
      </c>
      <c r="D99" s="2311" t="s">
        <v>3934</v>
      </c>
      <c r="E99" s="511"/>
      <c r="F99" s="253"/>
      <c r="G99" s="253"/>
      <c r="H99" s="253"/>
      <c r="I99" s="253"/>
      <c r="J99" s="253"/>
      <c r="K99" s="253"/>
      <c r="L99" s="253"/>
      <c r="M99" s="253"/>
      <c r="N99" s="253"/>
      <c r="O99" s="253"/>
      <c r="P99" s="253"/>
      <c r="Q99" s="253"/>
      <c r="R99" s="253"/>
      <c r="S99" s="253"/>
      <c r="T99" s="253"/>
      <c r="U99" s="253"/>
      <c r="V99" s="253"/>
      <c r="W99" s="253"/>
      <c r="X99" s="253"/>
      <c r="Y99" s="253"/>
      <c r="Z99" s="253"/>
      <c r="AA99" s="253"/>
      <c r="AB99" s="253"/>
      <c r="AC99" s="2198" t="s">
        <v>824</v>
      </c>
      <c r="AD99" s="2918" t="s">
        <v>680</v>
      </c>
      <c r="AE99" s="10765" t="str">
        <f>IF(AE90="","",IF(NOT(AM93),MAX(0,SUM(AE96,-AE98)),""))</f>
        <v/>
      </c>
      <c r="AF99" s="10766"/>
      <c r="AG99" s="10766"/>
      <c r="AH99" s="10766"/>
      <c r="AI99" s="10766"/>
      <c r="AJ99" s="10766"/>
      <c r="AK99" s="2013"/>
      <c r="AL99" s="253"/>
      <c r="AM99" s="344"/>
      <c r="AN99" s="253"/>
      <c r="AY99" s="421"/>
      <c r="AZ99" s="421"/>
    </row>
    <row r="100" spans="1:52" ht="16.5" customHeight="1">
      <c r="A100" s="2013"/>
      <c r="B100" s="253"/>
      <c r="C100" s="4478" t="s">
        <v>592</v>
      </c>
      <c r="D100" s="1323" t="str">
        <f>"Enter the amount on line 25a attributable to qualified disaster distributions, if any, from "&amp;TaxYear&amp;" Form(s)"</f>
        <v>Enter the amount on line 25a attributable to qualified disaster distributions, if any, from 2025 Form(s)</v>
      </c>
      <c r="E100" s="511"/>
      <c r="F100" s="253"/>
      <c r="G100" s="253"/>
      <c r="H100" s="253"/>
      <c r="I100" s="253"/>
      <c r="J100" s="253"/>
      <c r="K100" s="253"/>
      <c r="L100" s="253"/>
      <c r="M100" s="253"/>
      <c r="N100" s="253"/>
      <c r="O100" s="253"/>
      <c r="P100" s="253"/>
      <c r="Q100" s="253"/>
      <c r="R100" s="253"/>
      <c r="S100" s="253"/>
      <c r="T100" s="253"/>
      <c r="U100" s="253"/>
      <c r="V100" s="253"/>
      <c r="W100" s="253"/>
      <c r="X100" s="253"/>
      <c r="Y100" s="253"/>
      <c r="Z100" s="511"/>
      <c r="AA100" s="253"/>
      <c r="AB100" s="253"/>
      <c r="AC100" s="409"/>
      <c r="AD100" s="726"/>
      <c r="AE100" s="253"/>
      <c r="AF100" s="253"/>
      <c r="AG100" s="253"/>
      <c r="AH100" s="253"/>
      <c r="AI100" s="253"/>
      <c r="AJ100" s="253"/>
      <c r="AK100" s="2013"/>
      <c r="AL100" s="253"/>
      <c r="AM100" s="344"/>
      <c r="AN100" s="253"/>
    </row>
    <row r="101" spans="1:52" ht="16.5" customHeight="1">
      <c r="A101" s="2013"/>
      <c r="B101" s="253"/>
      <c r="C101" s="2723"/>
      <c r="D101" s="1323" t="str">
        <f>"8915-F. See instructions. Also, enter this amount on "&amp;TaxYear&amp;" Form(s) 8915-F, line 19, as applicable. See"</f>
        <v>8915-F. See instructions. Also, enter this amount on 2025 Form(s) 8915-F, line 19, as applicable. See</v>
      </c>
      <c r="E101" s="416"/>
      <c r="F101" s="416"/>
      <c r="G101" s="416"/>
      <c r="H101" s="253"/>
      <c r="I101" s="253"/>
      <c r="J101" s="253"/>
      <c r="K101" s="253"/>
      <c r="L101" s="253"/>
      <c r="M101" s="253"/>
      <c r="N101" s="253"/>
      <c r="O101" s="253"/>
      <c r="P101" s="253"/>
      <c r="Q101" s="253"/>
      <c r="R101" s="253"/>
      <c r="S101" s="253"/>
      <c r="T101" s="253"/>
      <c r="U101" s="253"/>
      <c r="V101" s="253"/>
      <c r="W101" s="253"/>
      <c r="X101" s="3775"/>
      <c r="Y101" s="511"/>
      <c r="Z101" s="253"/>
      <c r="AA101" s="511"/>
      <c r="AB101" s="511"/>
      <c r="AC101" s="4503"/>
      <c r="AD101" s="726"/>
      <c r="AE101" s="253"/>
      <c r="AF101" s="253"/>
      <c r="AG101" s="253"/>
      <c r="AH101" s="253"/>
      <c r="AI101" s="253"/>
      <c r="AJ101" s="253"/>
      <c r="AK101" s="2013"/>
      <c r="AL101" s="253"/>
      <c r="AM101" s="344"/>
      <c r="AN101" s="253"/>
    </row>
    <row r="102" spans="1:52" ht="16.5" customHeight="1">
      <c r="A102" s="2013"/>
      <c r="B102" s="253"/>
      <c r="C102" s="2723"/>
      <c r="D102" s="1323" t="s">
        <v>1872</v>
      </c>
      <c r="E102" s="416"/>
      <c r="F102" s="416"/>
      <c r="G102" s="416"/>
      <c r="H102" s="416"/>
      <c r="I102" s="253"/>
      <c r="J102" s="253"/>
      <c r="K102" s="511"/>
      <c r="L102" s="253"/>
      <c r="M102" s="253"/>
      <c r="N102" s="253"/>
      <c r="O102" s="253"/>
      <c r="P102" s="253"/>
      <c r="Q102" s="253"/>
      <c r="R102" s="253"/>
      <c r="S102" s="253"/>
      <c r="T102" s="253"/>
      <c r="U102" s="253"/>
      <c r="V102" s="253"/>
      <c r="W102" s="253"/>
      <c r="X102" s="253"/>
      <c r="Y102" s="253"/>
      <c r="Z102" s="253"/>
      <c r="AA102" s="253"/>
      <c r="AB102" s="253"/>
      <c r="AC102" s="1401" t="s">
        <v>6771</v>
      </c>
      <c r="AD102" s="2918" t="s">
        <v>682</v>
      </c>
      <c r="AE102" s="10761"/>
      <c r="AF102" s="10762"/>
      <c r="AG102" s="10762"/>
      <c r="AH102" s="10762"/>
      <c r="AI102" s="10762"/>
      <c r="AJ102" s="10762"/>
      <c r="AK102" s="2013"/>
      <c r="AL102" s="817"/>
      <c r="AM102" s="817"/>
      <c r="AN102" s="253"/>
    </row>
    <row r="103" spans="1:52" ht="16.5" customHeight="1">
      <c r="A103" s="2013"/>
      <c r="B103" s="253"/>
      <c r="C103" s="4478" t="s">
        <v>595</v>
      </c>
      <c r="D103" s="514" t="s">
        <v>3977</v>
      </c>
      <c r="E103" s="416"/>
      <c r="F103" s="416"/>
      <c r="G103" s="416"/>
      <c r="H103" s="253"/>
      <c r="I103" s="511" t="str">
        <f>"Subtract line 25b from line 25a. If more than zero, also include this amount on "&amp;TaxYear</f>
        <v>Subtract line 25b from line 25a. If more than zero, also include this amount on 2025</v>
      </c>
      <c r="J103" s="253"/>
      <c r="K103" s="253"/>
      <c r="L103" s="253"/>
      <c r="M103" s="253"/>
      <c r="N103" s="253"/>
      <c r="O103" s="253"/>
      <c r="P103" s="253"/>
      <c r="Q103" s="253"/>
      <c r="R103" s="253"/>
      <c r="S103" s="253"/>
      <c r="T103" s="253"/>
      <c r="U103" s="253"/>
      <c r="V103" s="253"/>
      <c r="W103" s="253"/>
      <c r="X103" s="253"/>
      <c r="Y103" s="253"/>
      <c r="Z103" s="253"/>
      <c r="AA103" s="253"/>
      <c r="AB103" s="253"/>
      <c r="AC103" s="253"/>
      <c r="AD103" s="726"/>
      <c r="AE103" s="253"/>
      <c r="AF103" s="253"/>
      <c r="AG103" s="253"/>
      <c r="AH103" s="253"/>
      <c r="AI103" s="253"/>
      <c r="AJ103" s="253"/>
      <c r="AK103" s="2013"/>
      <c r="AL103" s="253"/>
      <c r="AM103" s="344"/>
      <c r="AN103" s="253"/>
    </row>
    <row r="104" spans="1:52" ht="16.5" customHeight="1">
      <c r="A104" s="2013"/>
      <c r="B104" s="253"/>
      <c r="C104" s="4478"/>
      <c r="D104" s="1323" t="s">
        <v>6770</v>
      </c>
      <c r="E104" s="416"/>
      <c r="F104" s="416"/>
      <c r="G104" s="416"/>
      <c r="H104" s="253"/>
      <c r="I104" s="511"/>
      <c r="J104" s="253"/>
      <c r="K104" s="253"/>
      <c r="L104" s="253"/>
      <c r="M104" s="253"/>
      <c r="N104" s="253"/>
      <c r="O104" s="253"/>
      <c r="P104" s="253"/>
      <c r="Q104" s="253"/>
      <c r="R104" s="253"/>
      <c r="S104" s="253"/>
      <c r="T104" s="253"/>
      <c r="U104" s="253"/>
      <c r="V104" s="253"/>
      <c r="W104" s="253"/>
      <c r="X104" s="253"/>
      <c r="Y104" s="253"/>
      <c r="Z104" s="253"/>
      <c r="AA104" s="253"/>
      <c r="AB104" s="253"/>
      <c r="AC104" s="253"/>
      <c r="AD104" s="726"/>
      <c r="AE104" s="253"/>
      <c r="AF104" s="253"/>
      <c r="AG104" s="253"/>
      <c r="AH104" s="253"/>
      <c r="AI104" s="253"/>
      <c r="AJ104" s="253"/>
      <c r="AK104" s="2013"/>
      <c r="AL104" s="253"/>
      <c r="AM104" s="344"/>
      <c r="AN104" s="253"/>
    </row>
    <row r="105" spans="1:52" ht="16.5" customHeight="1">
      <c r="A105" s="2013"/>
      <c r="B105" s="253"/>
      <c r="C105" s="4478"/>
      <c r="D105" s="1323" t="str">
        <f>"See instructions.  If more than zero, also include this amount on  "&amp;TaxYear&amp;" Form 1040,  1040-SR,"</f>
        <v>See instructions.  If more than zero, also include this amount on  2025 Form 1040,  1040-SR,</v>
      </c>
      <c r="E105" s="416"/>
      <c r="F105" s="416"/>
      <c r="G105" s="416"/>
      <c r="H105" s="253"/>
      <c r="I105" s="511"/>
      <c r="J105" s="253"/>
      <c r="K105" s="253"/>
      <c r="L105" s="253"/>
      <c r="M105" s="253"/>
      <c r="N105" s="253"/>
      <c r="O105" s="253"/>
      <c r="P105" s="253"/>
      <c r="Q105" s="253"/>
      <c r="R105" s="253"/>
      <c r="S105" s="253"/>
      <c r="T105" s="253"/>
      <c r="U105" s="253"/>
      <c r="V105" s="253"/>
      <c r="W105" s="253"/>
      <c r="X105" s="253"/>
      <c r="Y105" s="253"/>
      <c r="Z105" s="253"/>
      <c r="AA105" s="514" t="s">
        <v>1235</v>
      </c>
      <c r="AB105" s="253"/>
      <c r="AC105" s="253"/>
      <c r="AD105" s="726"/>
      <c r="AE105" s="253"/>
      <c r="AF105" s="253"/>
      <c r="AG105" s="253"/>
      <c r="AH105" s="253"/>
      <c r="AI105" s="253"/>
      <c r="AJ105" s="253"/>
      <c r="AK105" s="2013"/>
      <c r="AL105" s="253"/>
      <c r="AM105" s="344"/>
      <c r="AN105" s="253"/>
    </row>
    <row r="106" spans="1:52" ht="16.5" customHeight="1" thickBot="1">
      <c r="A106" s="2013"/>
      <c r="B106" s="380"/>
      <c r="C106" s="4504"/>
      <c r="D106" s="5003" t="s">
        <v>6759</v>
      </c>
      <c r="E106" s="4225"/>
      <c r="F106" s="4225"/>
      <c r="G106" s="4225"/>
      <c r="H106" s="4225"/>
      <c r="I106" s="380"/>
      <c r="J106" s="380"/>
      <c r="K106" s="380"/>
      <c r="L106" s="380"/>
      <c r="M106" s="380"/>
      <c r="N106" s="380"/>
      <c r="O106" s="380"/>
      <c r="P106" s="380"/>
      <c r="Q106" s="380"/>
      <c r="R106" s="380"/>
      <c r="S106" s="380"/>
      <c r="T106" s="380"/>
      <c r="U106" s="380"/>
      <c r="V106" s="380"/>
      <c r="W106" s="380"/>
      <c r="X106" s="380"/>
      <c r="Y106" s="380"/>
      <c r="Z106" s="380"/>
      <c r="AA106" s="380"/>
      <c r="AB106" s="380"/>
      <c r="AC106" s="4488" t="s">
        <v>5377</v>
      </c>
      <c r="AD106" s="2919" t="s">
        <v>687</v>
      </c>
      <c r="AE106" s="10759" t="str">
        <f>IF(AE90="","",IF(NOT(AM93),MAX(0,SUM(AE99,-AE102)),""))</f>
        <v/>
      </c>
      <c r="AF106" s="10760"/>
      <c r="AG106" s="10760"/>
      <c r="AH106" s="10760"/>
      <c r="AI106" s="10760"/>
      <c r="AJ106" s="10760"/>
      <c r="AK106" s="2013"/>
      <c r="AL106" s="817"/>
      <c r="AM106" s="817"/>
      <c r="AN106" s="253"/>
    </row>
    <row r="107" spans="1:52" s="815" customFormat="1" ht="12" customHeight="1">
      <c r="A107" s="2013"/>
      <c r="B107" s="10836" t="s">
        <v>6772</v>
      </c>
      <c r="C107" s="10836"/>
      <c r="D107" s="10836"/>
      <c r="E107" s="10836"/>
      <c r="F107" s="10836"/>
      <c r="G107" s="10836"/>
      <c r="H107" s="6748" t="s">
        <v>3935</v>
      </c>
      <c r="I107" s="1171"/>
      <c r="J107" s="4505"/>
      <c r="K107" s="4505"/>
      <c r="L107" s="4505"/>
      <c r="M107" s="4505"/>
      <c r="N107" s="4505"/>
      <c r="O107" s="344"/>
      <c r="P107" s="344"/>
      <c r="Q107" s="344"/>
      <c r="R107" s="344"/>
      <c r="S107" s="344"/>
      <c r="T107" s="344"/>
      <c r="U107" s="1204"/>
      <c r="V107" s="4505"/>
      <c r="W107" s="4505"/>
      <c r="X107" s="4505"/>
      <c r="Y107" s="4505"/>
      <c r="Z107" s="4505"/>
      <c r="AA107" s="4505"/>
      <c r="AB107" s="4505"/>
      <c r="AC107" s="4505"/>
      <c r="AD107" s="4505"/>
      <c r="AE107" s="4505"/>
      <c r="AF107" s="344"/>
      <c r="AG107" s="344"/>
      <c r="AH107" s="344"/>
      <c r="AI107" s="344"/>
      <c r="AJ107" s="344"/>
      <c r="AK107" s="2013"/>
      <c r="AL107" s="253"/>
      <c r="AM107" s="344"/>
      <c r="AN107" s="253"/>
      <c r="AO107" s="658"/>
      <c r="AP107" s="658"/>
      <c r="AQ107" s="658"/>
      <c r="AR107" s="658"/>
      <c r="AS107" s="658"/>
      <c r="AT107" s="658"/>
      <c r="AU107" s="658"/>
      <c r="AV107" s="658"/>
      <c r="AW107" s="658"/>
      <c r="AX107" s="658"/>
      <c r="AY107"/>
      <c r="AZ107"/>
    </row>
    <row r="108" spans="1:52" s="815" customFormat="1" ht="14.25" customHeight="1">
      <c r="A108" s="2013"/>
      <c r="B108" s="10837"/>
      <c r="C108" s="10837"/>
      <c r="D108" s="10837"/>
      <c r="E108" s="10837"/>
      <c r="F108" s="10837"/>
      <c r="G108" s="10837"/>
      <c r="H108" s="6749" t="s">
        <v>3936</v>
      </c>
      <c r="I108" s="319"/>
      <c r="J108" s="4505"/>
      <c r="K108" s="4505"/>
      <c r="L108" s="4505"/>
      <c r="M108" s="4505"/>
      <c r="N108" s="4505"/>
      <c r="O108" s="1148"/>
      <c r="P108" s="344"/>
      <c r="Q108" s="344"/>
      <c r="R108" s="1148"/>
      <c r="S108" s="344"/>
      <c r="T108" s="344"/>
      <c r="U108" s="344"/>
      <c r="V108" s="4505"/>
      <c r="W108" s="4505"/>
      <c r="X108" s="4505"/>
      <c r="Y108" s="4505"/>
      <c r="Z108" s="4505"/>
      <c r="AA108" s="4505"/>
      <c r="AB108" s="4505"/>
      <c r="AC108" s="4505"/>
      <c r="AD108" s="4505"/>
      <c r="AE108" s="4505"/>
      <c r="AF108" s="1148"/>
      <c r="AG108" s="344"/>
      <c r="AH108" s="344"/>
      <c r="AI108" s="1148"/>
      <c r="AJ108" s="344"/>
      <c r="AK108" s="2013"/>
      <c r="AL108" s="253"/>
      <c r="AM108" s="344"/>
      <c r="AN108" s="253"/>
      <c r="AO108" s="658"/>
      <c r="AP108" s="658"/>
      <c r="AQ108" s="658"/>
      <c r="AR108" s="658"/>
      <c r="AS108" s="658"/>
      <c r="AT108" s="658"/>
      <c r="AU108" s="658"/>
      <c r="AV108" s="658"/>
      <c r="AW108" s="658"/>
      <c r="AX108" s="658"/>
      <c r="AY108"/>
      <c r="AZ108"/>
    </row>
    <row r="109" spans="1:52" s="815" customFormat="1" ht="15.75" customHeight="1">
      <c r="A109" s="2013"/>
      <c r="B109" s="10837"/>
      <c r="C109" s="10837"/>
      <c r="D109" s="10837"/>
      <c r="E109" s="10837"/>
      <c r="F109" s="10837"/>
      <c r="G109" s="10837"/>
      <c r="H109" s="4506"/>
      <c r="I109" s="4505"/>
      <c r="J109" s="4505"/>
      <c r="K109" s="4505"/>
      <c r="L109" s="4505"/>
      <c r="M109" s="4505"/>
      <c r="N109" s="4505"/>
      <c r="O109" s="344"/>
      <c r="P109" s="344"/>
      <c r="Q109" s="344"/>
      <c r="R109" s="344"/>
      <c r="S109" s="344"/>
      <c r="T109" s="344"/>
      <c r="U109" s="344"/>
      <c r="V109" s="4505"/>
      <c r="W109" s="4505"/>
      <c r="X109" s="4505"/>
      <c r="Y109" s="4505"/>
      <c r="Z109" s="4505"/>
      <c r="AA109" s="4505"/>
      <c r="AB109" s="4505"/>
      <c r="AC109" s="4505"/>
      <c r="AD109" s="4505"/>
      <c r="AE109" s="4505"/>
      <c r="AF109" s="344"/>
      <c r="AG109" s="344"/>
      <c r="AH109" s="344"/>
      <c r="AI109" s="344"/>
      <c r="AJ109" s="344"/>
      <c r="AK109" s="2013"/>
      <c r="AL109" s="253"/>
      <c r="AM109" s="344"/>
      <c r="AN109" s="253"/>
      <c r="AO109" s="662"/>
      <c r="AP109" s="662"/>
      <c r="AQ109" s="662"/>
      <c r="AR109" s="662"/>
      <c r="AS109" s="662"/>
      <c r="AT109" s="662"/>
      <c r="AU109" s="662"/>
      <c r="AV109" s="662"/>
      <c r="AW109" s="662"/>
      <c r="AX109" s="662"/>
      <c r="AY109"/>
      <c r="AZ109"/>
    </row>
    <row r="110" spans="1:52" s="815" customFormat="1" ht="15.75" customHeight="1">
      <c r="A110" s="2013"/>
      <c r="B110" s="10837"/>
      <c r="C110" s="10837"/>
      <c r="D110" s="10837"/>
      <c r="E110" s="10837"/>
      <c r="F110" s="10837"/>
      <c r="G110" s="10837"/>
      <c r="H110" s="4506"/>
      <c r="I110" s="4505"/>
      <c r="J110" s="10821"/>
      <c r="K110" s="10821"/>
      <c r="L110" s="10821"/>
      <c r="M110" s="10821"/>
      <c r="N110" s="10821"/>
      <c r="O110" s="10821"/>
      <c r="P110" s="10821"/>
      <c r="Q110" s="10821"/>
      <c r="R110" s="10821"/>
      <c r="S110" s="10821"/>
      <c r="T110" s="10821"/>
      <c r="U110" s="10821"/>
      <c r="V110" s="10821"/>
      <c r="W110" s="10821"/>
      <c r="X110" s="10821"/>
      <c r="Y110" s="10821"/>
      <c r="Z110" s="10821"/>
      <c r="AA110" s="10821"/>
      <c r="AB110" s="4505"/>
      <c r="AC110" s="4505"/>
      <c r="AD110" s="10829"/>
      <c r="AE110" s="10829"/>
      <c r="AF110" s="10829"/>
      <c r="AG110" s="10829"/>
      <c r="AH110" s="10829"/>
      <c r="AI110" s="10829"/>
      <c r="AJ110" s="10829"/>
      <c r="AK110" s="2013"/>
      <c r="AL110" s="253"/>
      <c r="AM110" s="344"/>
      <c r="AN110" s="253"/>
      <c r="AO110" s="658"/>
      <c r="AP110" s="658"/>
      <c r="AQ110" s="658"/>
      <c r="AR110" s="658"/>
      <c r="AS110" s="658"/>
      <c r="AT110" s="658"/>
      <c r="AU110" s="658"/>
      <c r="AV110" s="658"/>
      <c r="AW110" s="658"/>
      <c r="AX110" s="658"/>
      <c r="AY110"/>
      <c r="AZ110"/>
    </row>
    <row r="111" spans="1:52" s="815" customFormat="1" ht="15.75" customHeight="1">
      <c r="A111" s="2013"/>
      <c r="B111" s="10837"/>
      <c r="C111" s="10837"/>
      <c r="D111" s="10837"/>
      <c r="E111" s="10837"/>
      <c r="F111" s="10837"/>
      <c r="G111" s="10837"/>
      <c r="H111" s="4506"/>
      <c r="I111" s="4505"/>
      <c r="J111" s="10822"/>
      <c r="K111" s="10822"/>
      <c r="L111" s="10822"/>
      <c r="M111" s="10822"/>
      <c r="N111" s="10822"/>
      <c r="O111" s="10822"/>
      <c r="P111" s="10822"/>
      <c r="Q111" s="10822"/>
      <c r="R111" s="10822"/>
      <c r="S111" s="10822"/>
      <c r="T111" s="10822"/>
      <c r="U111" s="10822"/>
      <c r="V111" s="10822"/>
      <c r="W111" s="10822"/>
      <c r="X111" s="10822"/>
      <c r="Y111" s="10822"/>
      <c r="Z111" s="10822"/>
      <c r="AA111" s="10822"/>
      <c r="AB111" s="4505"/>
      <c r="AC111" s="4505"/>
      <c r="AD111" s="10830"/>
      <c r="AE111" s="10830"/>
      <c r="AF111" s="10830"/>
      <c r="AG111" s="10830"/>
      <c r="AH111" s="10830"/>
      <c r="AI111" s="10830"/>
      <c r="AJ111" s="10830"/>
      <c r="AK111" s="2013"/>
      <c r="AL111" s="253"/>
      <c r="AM111" s="344"/>
      <c r="AN111" s="253"/>
      <c r="AO111" s="658"/>
      <c r="AP111" s="658"/>
      <c r="AQ111" s="658"/>
      <c r="AR111" s="658"/>
      <c r="AS111" s="658"/>
      <c r="AT111" s="658"/>
      <c r="AU111" s="658"/>
      <c r="AV111" s="658"/>
      <c r="AW111" s="658"/>
      <c r="AX111" s="658"/>
      <c r="AY111"/>
      <c r="AZ111"/>
    </row>
    <row r="112" spans="1:52" s="815" customFormat="1" ht="11.25" customHeight="1">
      <c r="A112" s="2013"/>
      <c r="B112" s="10838"/>
      <c r="C112" s="10838"/>
      <c r="D112" s="10838"/>
      <c r="E112" s="10838"/>
      <c r="F112" s="10838"/>
      <c r="G112" s="10838"/>
      <c r="H112" s="4508"/>
      <c r="I112" s="4252"/>
      <c r="J112" s="507" t="s">
        <v>742</v>
      </c>
      <c r="K112" s="4252"/>
      <c r="L112" s="4252"/>
      <c r="M112" s="4252"/>
      <c r="N112" s="4252"/>
      <c r="O112" s="569"/>
      <c r="P112" s="569"/>
      <c r="Q112" s="569"/>
      <c r="R112" s="569"/>
      <c r="S112" s="569"/>
      <c r="T112" s="569"/>
      <c r="U112" s="569"/>
      <c r="V112" s="4252"/>
      <c r="W112" s="4252"/>
      <c r="X112" s="4252"/>
      <c r="Y112" s="4252"/>
      <c r="Z112" s="4252"/>
      <c r="AA112" s="4252"/>
      <c r="AB112" s="4252"/>
      <c r="AC112" s="4252"/>
      <c r="AD112" s="507" t="s">
        <v>227</v>
      </c>
      <c r="AE112" s="4252"/>
      <c r="AF112" s="569"/>
      <c r="AG112" s="569"/>
      <c r="AH112" s="569"/>
      <c r="AI112" s="569"/>
      <c r="AJ112" s="569"/>
      <c r="AK112" s="2013"/>
      <c r="AL112" s="253"/>
      <c r="AM112" s="344"/>
      <c r="AN112" s="253"/>
      <c r="AO112" s="658"/>
      <c r="AP112" s="658"/>
      <c r="AQ112" s="658"/>
      <c r="AR112" s="658"/>
      <c r="AS112" s="658"/>
      <c r="AT112" s="658"/>
      <c r="AU112" s="658"/>
      <c r="AV112" s="658"/>
      <c r="AW112" s="658"/>
      <c r="AX112" s="658"/>
      <c r="AY112"/>
      <c r="AZ112"/>
    </row>
    <row r="113" spans="1:52" s="815" customFormat="1" ht="12.75" customHeight="1">
      <c r="A113" s="2013"/>
      <c r="B113" s="10791" t="s">
        <v>3937</v>
      </c>
      <c r="C113" s="10791"/>
      <c r="D113" s="10791"/>
      <c r="E113" s="10792"/>
      <c r="F113" s="4509" t="s">
        <v>3938</v>
      </c>
      <c r="G113" s="4510"/>
      <c r="H113" s="4510"/>
      <c r="I113" s="4510"/>
      <c r="J113" s="4510"/>
      <c r="K113" s="4510"/>
      <c r="L113" s="4510"/>
      <c r="M113" s="4510"/>
      <c r="N113" s="4510"/>
      <c r="O113" s="4511"/>
      <c r="P113" s="4509" t="s">
        <v>3939</v>
      </c>
      <c r="Q113" s="4510"/>
      <c r="R113" s="4510"/>
      <c r="S113" s="4510"/>
      <c r="T113" s="565"/>
      <c r="U113" s="4512"/>
      <c r="V113" s="4510"/>
      <c r="W113" s="4510"/>
      <c r="X113" s="4510"/>
      <c r="Y113" s="4511"/>
      <c r="Z113" s="4509" t="s">
        <v>3940</v>
      </c>
      <c r="AA113" s="4510"/>
      <c r="AB113" s="4510"/>
      <c r="AC113" s="4511"/>
      <c r="AD113" s="4509" t="s">
        <v>3941</v>
      </c>
      <c r="AE113" s="4510"/>
      <c r="AF113" s="4510" t="s">
        <v>3942</v>
      </c>
      <c r="AG113" s="4509" t="s">
        <v>3943</v>
      </c>
      <c r="AH113" s="4510"/>
      <c r="AI113" s="4510"/>
      <c r="AJ113" s="4510"/>
      <c r="AK113" s="2013"/>
      <c r="AL113" s="253"/>
      <c r="AM113" s="344"/>
      <c r="AN113" s="253"/>
      <c r="AO113" s="658"/>
      <c r="AP113" s="658"/>
      <c r="AQ113" s="658"/>
      <c r="AR113" s="658"/>
      <c r="AS113" s="658"/>
      <c r="AT113" s="658"/>
      <c r="AU113" s="658"/>
      <c r="AV113" s="658"/>
      <c r="AW113" s="658"/>
      <c r="AX113" s="658"/>
      <c r="AY113"/>
      <c r="AZ113"/>
    </row>
    <row r="114" spans="1:52" s="815" customFormat="1" ht="13.5" customHeight="1">
      <c r="A114" s="2013"/>
      <c r="B114" s="10793"/>
      <c r="C114" s="10793"/>
      <c r="D114" s="10793"/>
      <c r="E114" s="10794"/>
      <c r="F114" s="10797"/>
      <c r="G114" s="10798"/>
      <c r="H114" s="10798"/>
      <c r="I114" s="10798"/>
      <c r="J114" s="10798"/>
      <c r="K114" s="10798"/>
      <c r="L114" s="10798"/>
      <c r="M114" s="10798"/>
      <c r="N114" s="10798"/>
      <c r="O114" s="10799"/>
      <c r="P114" s="4506"/>
      <c r="Q114" s="4505"/>
      <c r="R114" s="4505"/>
      <c r="S114" s="4505"/>
      <c r="T114" s="344"/>
      <c r="U114" s="344"/>
      <c r="V114" s="4505"/>
      <c r="W114" s="4505"/>
      <c r="X114" s="4505"/>
      <c r="Y114" s="4513"/>
      <c r="Z114" s="10803"/>
      <c r="AA114" s="10804"/>
      <c r="AB114" s="10804"/>
      <c r="AC114" s="10805"/>
      <c r="AD114" s="4514"/>
      <c r="AE114" s="384"/>
      <c r="AF114" s="4505"/>
      <c r="AG114" s="10809"/>
      <c r="AH114" s="10810"/>
      <c r="AI114" s="10810"/>
      <c r="AJ114" s="10810"/>
      <c r="AK114" s="2013"/>
      <c r="AL114" s="253"/>
      <c r="AM114" s="344"/>
      <c r="AN114" s="253"/>
      <c r="AO114" s="658"/>
      <c r="AP114" s="658"/>
      <c r="AQ114" s="658"/>
      <c r="AR114" s="658"/>
      <c r="AS114" s="658"/>
      <c r="AT114" s="658"/>
      <c r="AU114" s="658"/>
      <c r="AV114" s="658"/>
      <c r="AW114" s="658"/>
      <c r="AX114" s="658"/>
      <c r="AY114"/>
      <c r="AZ114"/>
    </row>
    <row r="115" spans="1:52" s="815" customFormat="1" ht="13.5" customHeight="1">
      <c r="A115" s="2013"/>
      <c r="B115" s="10793"/>
      <c r="C115" s="10793"/>
      <c r="D115" s="10793"/>
      <c r="E115" s="10794"/>
      <c r="F115" s="10800"/>
      <c r="G115" s="10801"/>
      <c r="H115" s="10801"/>
      <c r="I115" s="10801"/>
      <c r="J115" s="10801"/>
      <c r="K115" s="10801"/>
      <c r="L115" s="10801"/>
      <c r="M115" s="10801"/>
      <c r="N115" s="10801"/>
      <c r="O115" s="10802"/>
      <c r="P115" s="4508"/>
      <c r="Q115" s="4252"/>
      <c r="R115" s="4252"/>
      <c r="S115" s="4252"/>
      <c r="T115" s="569"/>
      <c r="U115" s="569"/>
      <c r="V115" s="4252"/>
      <c r="W115" s="4252"/>
      <c r="X115" s="4252"/>
      <c r="Y115" s="4507"/>
      <c r="Z115" s="10806"/>
      <c r="AA115" s="10807"/>
      <c r="AB115" s="10807"/>
      <c r="AC115" s="10808"/>
      <c r="AD115" s="4515" t="s">
        <v>3944</v>
      </c>
      <c r="AE115" s="4252"/>
      <c r="AF115" s="4252"/>
      <c r="AG115" s="10811"/>
      <c r="AH115" s="10812"/>
      <c r="AI115" s="10812"/>
      <c r="AJ115" s="10812"/>
      <c r="AK115" s="2013"/>
      <c r="AL115" s="253"/>
      <c r="AM115" s="344"/>
      <c r="AN115" s="253"/>
      <c r="AO115" s="658"/>
      <c r="AP115" s="658"/>
      <c r="AQ115" s="658"/>
      <c r="AR115" s="658"/>
      <c r="AS115" s="658"/>
      <c r="AT115" s="658"/>
      <c r="AU115" s="658"/>
      <c r="AV115" s="658"/>
      <c r="AW115" s="658"/>
      <c r="AX115" s="658"/>
      <c r="AY115"/>
      <c r="AZ115"/>
    </row>
    <row r="116" spans="1:52" s="815" customFormat="1" ht="14.25" customHeight="1">
      <c r="A116" s="2013"/>
      <c r="B116" s="10793"/>
      <c r="C116" s="10793"/>
      <c r="D116" s="10793"/>
      <c r="E116" s="10794"/>
      <c r="F116" s="1149" t="s">
        <v>3945</v>
      </c>
      <c r="G116" s="4516"/>
      <c r="H116" s="1150"/>
      <c r="I116" s="1150"/>
      <c r="J116" s="1150"/>
      <c r="K116" s="7430"/>
      <c r="L116" s="7430"/>
      <c r="M116" s="7430"/>
      <c r="N116" s="7430"/>
      <c r="O116" s="7430"/>
      <c r="P116" s="7430"/>
      <c r="Q116" s="7430"/>
      <c r="R116" s="7430"/>
      <c r="S116" s="7430"/>
      <c r="T116" s="7430"/>
      <c r="U116" s="7430"/>
      <c r="V116" s="7430"/>
      <c r="W116" s="7430"/>
      <c r="X116" s="7430"/>
      <c r="Y116" s="7430"/>
      <c r="Z116" s="7430"/>
      <c r="AA116" s="7430"/>
      <c r="AB116" s="7430"/>
      <c r="AC116" s="10855"/>
      <c r="AD116" s="1149" t="s">
        <v>3946</v>
      </c>
      <c r="AE116" s="1150"/>
      <c r="AF116" s="4154"/>
      <c r="AG116" s="8406"/>
      <c r="AH116" s="8406"/>
      <c r="AI116" s="8406"/>
      <c r="AJ116" s="8406"/>
      <c r="AK116" s="2013"/>
      <c r="AL116" s="253"/>
      <c r="AM116" s="344"/>
      <c r="AN116" s="253"/>
      <c r="AO116" s="658"/>
      <c r="AP116" s="658"/>
      <c r="AQ116" s="658"/>
      <c r="AR116" s="658"/>
      <c r="AS116" s="658"/>
      <c r="AT116" s="658"/>
      <c r="AU116" s="658"/>
      <c r="AV116" s="658"/>
      <c r="AW116" s="658"/>
      <c r="AX116" s="658"/>
      <c r="AY116"/>
      <c r="AZ116"/>
    </row>
    <row r="117" spans="1:52" s="815" customFormat="1" ht="14.25" customHeight="1" thickBot="1">
      <c r="A117" s="2013"/>
      <c r="B117" s="10795"/>
      <c r="C117" s="10795"/>
      <c r="D117" s="10795"/>
      <c r="E117" s="10796"/>
      <c r="F117" s="4517" t="s">
        <v>3947</v>
      </c>
      <c r="G117" s="4518"/>
      <c r="H117" s="4518"/>
      <c r="I117" s="4518"/>
      <c r="J117" s="4518"/>
      <c r="K117" s="10813"/>
      <c r="L117" s="10813"/>
      <c r="M117" s="10813"/>
      <c r="N117" s="10813"/>
      <c r="O117" s="10813"/>
      <c r="P117" s="10813"/>
      <c r="Q117" s="10813"/>
      <c r="R117" s="10813"/>
      <c r="S117" s="10813"/>
      <c r="T117" s="10813"/>
      <c r="U117" s="10813"/>
      <c r="V117" s="10813"/>
      <c r="W117" s="10813"/>
      <c r="X117" s="10813"/>
      <c r="Y117" s="10813"/>
      <c r="Z117" s="10813"/>
      <c r="AA117" s="10813"/>
      <c r="AB117" s="10813"/>
      <c r="AC117" s="10854"/>
      <c r="AD117" s="4517" t="s">
        <v>3948</v>
      </c>
      <c r="AE117" s="4518"/>
      <c r="AF117" s="4518"/>
      <c r="AG117" s="10814"/>
      <c r="AH117" s="10814"/>
      <c r="AI117" s="10814"/>
      <c r="AJ117" s="10814"/>
      <c r="AK117" s="2013"/>
      <c r="AL117" s="253"/>
      <c r="AM117" s="344"/>
      <c r="AN117" s="253"/>
      <c r="AO117" s="658"/>
      <c r="AP117" s="658"/>
      <c r="AQ117" s="658"/>
      <c r="AR117" s="658"/>
      <c r="AS117" s="658"/>
      <c r="AT117" s="658"/>
      <c r="AU117" s="658"/>
      <c r="AV117" s="658"/>
      <c r="AW117" s="658"/>
      <c r="AX117" s="658"/>
      <c r="AY117"/>
      <c r="AZ117"/>
    </row>
    <row r="118" spans="1:52" s="815" customFormat="1" ht="16.5" thickTop="1">
      <c r="A118" s="2013"/>
      <c r="B118" s="2447"/>
      <c r="C118" s="728"/>
      <c r="D118" s="1560"/>
      <c r="E118" s="1560"/>
      <c r="F118" s="1560"/>
      <c r="G118" s="1560"/>
      <c r="H118" s="1560"/>
      <c r="I118" s="1560"/>
      <c r="J118" s="1560"/>
      <c r="K118" s="1560"/>
      <c r="L118" s="1560"/>
      <c r="M118" s="1560"/>
      <c r="N118" s="1560"/>
      <c r="O118" s="1560"/>
      <c r="P118" s="1560"/>
      <c r="Q118" s="88"/>
      <c r="R118" s="88"/>
      <c r="S118" s="88"/>
      <c r="T118" s="88"/>
      <c r="U118" s="3931"/>
      <c r="V118" s="88"/>
      <c r="W118" s="3931"/>
      <c r="X118" s="88"/>
      <c r="Y118" s="88"/>
      <c r="Z118" s="88"/>
      <c r="AA118" s="88"/>
      <c r="AB118" s="88"/>
      <c r="AC118" s="88"/>
      <c r="AD118" s="88"/>
      <c r="AE118" s="88"/>
      <c r="AF118" s="88"/>
      <c r="AG118" s="88"/>
      <c r="AH118" s="2052" t="s">
        <v>3949</v>
      </c>
      <c r="AI118" s="88"/>
      <c r="AJ118" s="2052" t="str">
        <f>"("&amp;TaxYear&amp;")"</f>
        <v>(2025)</v>
      </c>
      <c r="AK118" s="2013"/>
      <c r="AL118" s="416"/>
      <c r="AM118" s="730"/>
      <c r="AN118" s="253"/>
      <c r="AO118" s="658"/>
      <c r="AP118" s="658"/>
      <c r="AQ118" s="658"/>
      <c r="AR118" s="658"/>
      <c r="AS118" s="658"/>
      <c r="AT118" s="658"/>
      <c r="AU118" s="658"/>
      <c r="AV118" s="658"/>
      <c r="AW118" s="658"/>
      <c r="AX118" s="658"/>
      <c r="AY118"/>
      <c r="AZ118"/>
    </row>
    <row r="119" spans="1:52" s="815" customFormat="1" ht="24" customHeight="1">
      <c r="A119" s="2013"/>
      <c r="B119" s="253"/>
      <c r="C119" s="416"/>
      <c r="D119" s="10776" t="s">
        <v>125</v>
      </c>
      <c r="E119" s="10776"/>
      <c r="F119" s="10776"/>
      <c r="G119" s="10776"/>
      <c r="H119" s="719"/>
      <c r="I119" s="10856" t="s">
        <v>3950</v>
      </c>
      <c r="J119" s="10857"/>
      <c r="K119" s="10857"/>
      <c r="L119" s="10857"/>
      <c r="M119" s="10857"/>
      <c r="N119" s="10857"/>
      <c r="O119" s="10857"/>
      <c r="P119" s="10857"/>
      <c r="Q119" s="10857"/>
      <c r="R119" s="10857"/>
      <c r="S119" s="10857"/>
      <c r="T119" s="10857"/>
      <c r="U119" s="10857"/>
      <c r="V119" s="10857"/>
      <c r="W119" s="10857"/>
      <c r="X119" s="10857"/>
      <c r="Y119" s="10857"/>
      <c r="Z119" s="10857"/>
      <c r="AA119" s="10857"/>
      <c r="AB119" s="10858"/>
      <c r="AC119" s="10859" t="s">
        <v>543</v>
      </c>
      <c r="AD119" s="7581"/>
      <c r="AE119" s="7581"/>
      <c r="AF119" s="7581"/>
      <c r="AG119" s="7581"/>
      <c r="AH119" s="7581"/>
      <c r="AI119" s="7581"/>
      <c r="AJ119" s="7581"/>
      <c r="AK119" s="2013"/>
      <c r="AL119" s="253"/>
      <c r="AM119" s="344"/>
      <c r="AN119" s="253"/>
      <c r="AO119" s="658"/>
      <c r="AP119" s="658"/>
      <c r="AQ119" s="658"/>
      <c r="AR119" s="658"/>
      <c r="AS119" s="658"/>
      <c r="AT119" s="658"/>
      <c r="AU119" s="658"/>
      <c r="AV119" s="658"/>
      <c r="AW119" s="658"/>
      <c r="AX119" s="658"/>
      <c r="AY119"/>
      <c r="AZ119"/>
    </row>
    <row r="120" spans="1:52" s="815" customFormat="1" ht="24" customHeight="1">
      <c r="A120" s="2013"/>
      <c r="B120" s="9825" t="s">
        <v>46</v>
      </c>
      <c r="C120" s="9825"/>
      <c r="D120" s="10776"/>
      <c r="E120" s="10776"/>
      <c r="F120" s="10776"/>
      <c r="G120" s="10776"/>
      <c r="H120" s="719"/>
      <c r="I120" s="10856"/>
      <c r="J120" s="10857"/>
      <c r="K120" s="10857"/>
      <c r="L120" s="10857"/>
      <c r="M120" s="10857"/>
      <c r="N120" s="10857"/>
      <c r="O120" s="10857"/>
      <c r="P120" s="10857"/>
      <c r="Q120" s="10857"/>
      <c r="R120" s="10857"/>
      <c r="S120" s="10857"/>
      <c r="T120" s="10857"/>
      <c r="U120" s="10857"/>
      <c r="V120" s="10857"/>
      <c r="W120" s="10857"/>
      <c r="X120" s="10857"/>
      <c r="Y120" s="10857"/>
      <c r="Z120" s="10857"/>
      <c r="AA120" s="10857"/>
      <c r="AB120" s="10858"/>
      <c r="AC120" s="10860">
        <f>TaxYear</f>
        <v>2025</v>
      </c>
      <c r="AD120" s="10778"/>
      <c r="AE120" s="10778"/>
      <c r="AF120" s="10778"/>
      <c r="AG120" s="10778"/>
      <c r="AH120" s="10778"/>
      <c r="AI120" s="10778"/>
      <c r="AJ120" s="10778"/>
      <c r="AK120" s="2013"/>
      <c r="AL120" s="253"/>
      <c r="AM120" s="344"/>
      <c r="AN120" s="253"/>
      <c r="AO120" s="658"/>
      <c r="AP120" s="658"/>
      <c r="AQ120" s="658"/>
      <c r="AR120" s="658"/>
      <c r="AS120" s="658"/>
      <c r="AT120" s="658"/>
      <c r="AU120" s="658"/>
      <c r="AV120" s="658"/>
      <c r="AW120" s="658"/>
      <c r="AX120" s="658"/>
      <c r="AY120"/>
      <c r="AZ120"/>
    </row>
    <row r="121" spans="1:52" s="815" customFormat="1" ht="6.75" customHeight="1">
      <c r="A121" s="2013"/>
      <c r="B121" s="253"/>
      <c r="C121" s="416"/>
      <c r="D121" s="253"/>
      <c r="E121" s="253"/>
      <c r="F121" s="253"/>
      <c r="G121" s="253"/>
      <c r="H121" s="719"/>
      <c r="I121" s="10755" t="s">
        <v>776</v>
      </c>
      <c r="J121" s="10755"/>
      <c r="K121" s="10755"/>
      <c r="L121" s="10755"/>
      <c r="M121" s="10755"/>
      <c r="N121" s="10755"/>
      <c r="O121" s="10755"/>
      <c r="P121" s="10755"/>
      <c r="Q121" s="10755"/>
      <c r="R121" s="10755"/>
      <c r="S121" s="10755"/>
      <c r="T121" s="10755"/>
      <c r="U121" s="10755"/>
      <c r="V121" s="10755"/>
      <c r="W121" s="10755"/>
      <c r="X121" s="10755"/>
      <c r="Y121" s="10755"/>
      <c r="Z121" s="10755"/>
      <c r="AA121" s="10755"/>
      <c r="AB121" s="10755"/>
      <c r="AC121" s="10861"/>
      <c r="AD121" s="10862"/>
      <c r="AE121" s="10862"/>
      <c r="AF121" s="10862"/>
      <c r="AG121" s="10862"/>
      <c r="AH121" s="10862"/>
      <c r="AI121" s="10862"/>
      <c r="AJ121" s="10862"/>
      <c r="AK121" s="2013"/>
      <c r="AL121" s="253"/>
      <c r="AM121" s="344"/>
      <c r="AN121" s="253"/>
      <c r="AO121" s="658"/>
      <c r="AP121" s="658"/>
      <c r="AQ121" s="658"/>
      <c r="AR121" s="658"/>
      <c r="AS121" s="658"/>
      <c r="AT121" s="658"/>
      <c r="AU121" s="658"/>
      <c r="AV121" s="658"/>
      <c r="AW121" s="658"/>
      <c r="AX121" s="658"/>
      <c r="AY121"/>
      <c r="AZ121"/>
    </row>
    <row r="122" spans="1:52" s="815" customFormat="1" ht="12.75" customHeight="1" thickBot="1">
      <c r="A122" s="2013"/>
      <c r="B122" s="253" t="s">
        <v>503</v>
      </c>
      <c r="C122" s="416"/>
      <c r="D122" s="253"/>
      <c r="E122" s="253"/>
      <c r="F122" s="253"/>
      <c r="G122" s="253"/>
      <c r="H122" s="719"/>
      <c r="I122" s="10755"/>
      <c r="J122" s="10755"/>
      <c r="K122" s="10755"/>
      <c r="L122" s="10755"/>
      <c r="M122" s="10755"/>
      <c r="N122" s="10755"/>
      <c r="O122" s="10755"/>
      <c r="P122" s="10755"/>
      <c r="Q122" s="10755"/>
      <c r="R122" s="10755"/>
      <c r="S122" s="10755"/>
      <c r="T122" s="10755"/>
      <c r="U122" s="10755"/>
      <c r="V122" s="10755"/>
      <c r="W122" s="10755"/>
      <c r="X122" s="10755"/>
      <c r="Y122" s="10755"/>
      <c r="Z122" s="10755"/>
      <c r="AA122" s="10755"/>
      <c r="AB122" s="10755"/>
      <c r="AC122" s="253"/>
      <c r="AD122" s="9515" t="s">
        <v>3475</v>
      </c>
      <c r="AE122" s="9515"/>
      <c r="AF122" s="9515"/>
      <c r="AG122" s="9515"/>
      <c r="AH122" s="9193">
        <v>48</v>
      </c>
      <c r="AI122" s="9193"/>
      <c r="AJ122" s="253"/>
      <c r="AK122" s="2013"/>
      <c r="AL122" s="349" t="s">
        <v>3952</v>
      </c>
      <c r="AM122" s="344"/>
      <c r="AN122" s="253"/>
      <c r="AO122" s="658"/>
      <c r="AP122" s="658"/>
      <c r="AQ122" s="658"/>
      <c r="AR122" s="658"/>
      <c r="AS122" s="658"/>
      <c r="AT122" s="658"/>
      <c r="AU122" s="658"/>
      <c r="AV122" s="658"/>
      <c r="AW122" s="658"/>
      <c r="AX122" s="658"/>
      <c r="AY122"/>
      <c r="AZ122"/>
    </row>
    <row r="123" spans="1:52" s="815" customFormat="1" ht="13.5" customHeight="1" thickBot="1">
      <c r="A123" s="2013"/>
      <c r="B123" s="498" t="s">
        <v>505</v>
      </c>
      <c r="C123" s="4225"/>
      <c r="D123" s="380"/>
      <c r="E123" s="380"/>
      <c r="F123" s="380"/>
      <c r="G123" s="380"/>
      <c r="H123" s="4469"/>
      <c r="I123" s="10779" t="s">
        <v>3951</v>
      </c>
      <c r="J123" s="10780"/>
      <c r="K123" s="10780"/>
      <c r="L123" s="10780"/>
      <c r="M123" s="10780"/>
      <c r="N123" s="10780"/>
      <c r="O123" s="10780"/>
      <c r="P123" s="10780"/>
      <c r="Q123" s="10780"/>
      <c r="R123" s="10780"/>
      <c r="S123" s="10780"/>
      <c r="T123" s="10780"/>
      <c r="U123" s="10780"/>
      <c r="V123" s="10780"/>
      <c r="W123" s="10780"/>
      <c r="X123" s="10780"/>
      <c r="Y123" s="10780"/>
      <c r="Z123" s="10780"/>
      <c r="AA123" s="10780"/>
      <c r="AB123" s="10780"/>
      <c r="AC123" s="498"/>
      <c r="AD123" s="9966" t="s">
        <v>3488</v>
      </c>
      <c r="AE123" s="9966"/>
      <c r="AF123" s="9966"/>
      <c r="AG123" s="9966"/>
      <c r="AH123" s="9974"/>
      <c r="AI123" s="9974"/>
      <c r="AJ123" s="380"/>
      <c r="AK123" s="2013"/>
      <c r="AL123" s="1987" t="str">
        <f>IF(AL11="","X","")</f>
        <v/>
      </c>
      <c r="AM123" s="344" t="s">
        <v>566</v>
      </c>
      <c r="AN123" s="253"/>
      <c r="AO123" s="658"/>
      <c r="AP123" s="658"/>
      <c r="AQ123" s="658"/>
      <c r="AR123" s="658"/>
      <c r="AS123" s="658"/>
      <c r="AT123" s="658"/>
      <c r="AU123" s="658"/>
      <c r="AV123" s="658"/>
      <c r="AW123" s="658"/>
      <c r="AX123" s="658"/>
      <c r="AY123"/>
      <c r="AZ123"/>
    </row>
    <row r="124" spans="1:52" s="815" customFormat="1" ht="13.5" thickBot="1">
      <c r="A124" s="2013"/>
      <c r="B124" s="339" t="str">
        <f>"Name. If married, file a separate form for each spouse required to file "&amp;TaxYear&amp;" Form 8606. See instructions."</f>
        <v>Name. If married, file a separate form for each spouse required to file 2025 Form 8606. See instructions.</v>
      </c>
      <c r="C124" s="4470"/>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2913" t="s">
        <v>3953</v>
      </c>
      <c r="Z124" s="377"/>
      <c r="AA124" s="377"/>
      <c r="AB124" s="377"/>
      <c r="AC124" s="408"/>
      <c r="AD124" s="2019"/>
      <c r="AE124" s="2019"/>
      <c r="AF124" s="2019"/>
      <c r="AG124" s="2019"/>
      <c r="AH124" s="2019"/>
      <c r="AI124" s="2019"/>
      <c r="AJ124" s="2019"/>
      <c r="AK124" s="2013"/>
      <c r="AL124" s="1987" t="str">
        <f>IF(AL12="","X","")</f>
        <v>X</v>
      </c>
      <c r="AM124" s="344" t="s">
        <v>567</v>
      </c>
      <c r="AN124" s="253"/>
      <c r="AO124" s="658"/>
      <c r="AP124" s="658"/>
      <c r="AQ124" s="658"/>
      <c r="AR124" s="658"/>
      <c r="AS124" s="658"/>
      <c r="AT124" s="658"/>
      <c r="AU124" s="658"/>
      <c r="AV124" s="658"/>
      <c r="AW124" s="658"/>
      <c r="AX124" s="658"/>
      <c r="AY124"/>
      <c r="AZ124"/>
    </row>
    <row r="125" spans="1:52" s="815" customFormat="1" ht="25.5" customHeight="1">
      <c r="A125" s="2013"/>
      <c r="B125" s="10770" t="str">
        <f>IF(AND(AL123&lt;&gt;"",AL124&lt;&gt;""),Names,IF(AL124&lt;&gt;"",NameSpouse,IF(AL123&lt;&gt;"",NameYours,"")))</f>
        <v xml:space="preserve"> </v>
      </c>
      <c r="C125" s="10770"/>
      <c r="D125" s="10770"/>
      <c r="E125" s="10770"/>
      <c r="F125" s="10770"/>
      <c r="G125" s="10770"/>
      <c r="H125" s="10770"/>
      <c r="I125" s="10770"/>
      <c r="J125" s="10770"/>
      <c r="K125" s="10770"/>
      <c r="L125" s="10770"/>
      <c r="M125" s="10770"/>
      <c r="N125" s="10770"/>
      <c r="O125" s="10770"/>
      <c r="P125" s="10770"/>
      <c r="Q125" s="10770"/>
      <c r="R125" s="10770"/>
      <c r="S125" s="10770"/>
      <c r="T125" s="10770"/>
      <c r="U125" s="10770"/>
      <c r="V125" s="10770"/>
      <c r="W125" s="10770"/>
      <c r="X125" s="10771"/>
      <c r="Y125" s="10772" t="str">
        <f>IF(AND(NOT(NoSSN),SS_Yours&lt;&gt;"",OR(AL123&lt;&gt;"",AND(AL123&lt;&gt;"",AL124&lt;&gt;""))),SS_Yours,IF(AND(NOT(NoSSN),SS_Spouse&lt;&gt;"",AL124&lt;&gt;""),SS_Spouse,""))</f>
        <v>Filing status?</v>
      </c>
      <c r="Z125" s="10773"/>
      <c r="AA125" s="10773"/>
      <c r="AB125" s="10773"/>
      <c r="AC125" s="10773"/>
      <c r="AD125" s="10773"/>
      <c r="AE125" s="10773"/>
      <c r="AF125" s="10773"/>
      <c r="AG125" s="10773"/>
      <c r="AH125" s="10773"/>
      <c r="AI125" s="10773"/>
      <c r="AJ125" s="10773"/>
      <c r="AK125" s="2013"/>
      <c r="AL125" s="253"/>
      <c r="AM125" s="512" t="b">
        <f>OR(AND(AL123&lt;&gt;"",IRA_CONV_YOU&gt;0),AND(AL124&lt;&gt;"",IRA_CONV_SPOUSE&gt;0))</f>
        <v>0</v>
      </c>
      <c r="AN125" s="253"/>
      <c r="AO125" s="658"/>
      <c r="AP125" s="658"/>
      <c r="AQ125" s="658"/>
      <c r="AR125" s="658"/>
      <c r="AS125" s="658"/>
      <c r="AT125" s="658"/>
      <c r="AU125" s="658"/>
      <c r="AV125" s="658"/>
      <c r="AW125" s="658"/>
      <c r="AX125" s="658"/>
      <c r="AY125"/>
      <c r="AZ125"/>
    </row>
    <row r="126" spans="1:52" s="815" customFormat="1" ht="15.75" customHeight="1">
      <c r="A126" s="2013"/>
      <c r="B126" s="10781" t="s">
        <v>3954</v>
      </c>
      <c r="C126" s="10781"/>
      <c r="D126" s="10781"/>
      <c r="E126" s="10781"/>
      <c r="F126" s="10781"/>
      <c r="G126" s="10781"/>
      <c r="H126" s="10781"/>
      <c r="I126" s="10782"/>
      <c r="J126" s="10786" t="s">
        <v>3955</v>
      </c>
      <c r="K126" s="10787"/>
      <c r="L126" s="10787"/>
      <c r="M126" s="10787"/>
      <c r="N126" s="10787"/>
      <c r="O126" s="10787"/>
      <c r="P126" s="10787"/>
      <c r="Q126" s="10787"/>
      <c r="R126" s="10787"/>
      <c r="S126" s="10787"/>
      <c r="T126" s="10787"/>
      <c r="U126" s="10787"/>
      <c r="V126" s="10787"/>
      <c r="W126" s="10787"/>
      <c r="X126" s="10787"/>
      <c r="Y126" s="10787"/>
      <c r="Z126" s="10787"/>
      <c r="AA126" s="10787"/>
      <c r="AB126" s="10787"/>
      <c r="AC126" s="10788"/>
      <c r="AD126" s="10774" t="s">
        <v>3956</v>
      </c>
      <c r="AE126" s="10775"/>
      <c r="AF126" s="10775"/>
      <c r="AG126" s="10775"/>
      <c r="AH126" s="10775"/>
      <c r="AI126" s="10775"/>
      <c r="AJ126" s="10775"/>
      <c r="AK126" s="2013"/>
      <c r="AL126" s="10750" t="str">
        <f>IF($AM$125,"If you converted","")</f>
        <v/>
      </c>
      <c r="AM126" s="10750"/>
      <c r="AN126" s="10750"/>
      <c r="AO126" s="658"/>
      <c r="AP126" s="658"/>
      <c r="AQ126" s="658"/>
      <c r="AR126" s="658"/>
      <c r="AS126" s="658"/>
      <c r="AT126" s="658"/>
      <c r="AU126" s="658"/>
      <c r="AV126" s="658"/>
      <c r="AW126" s="658"/>
      <c r="AX126" s="658"/>
      <c r="AY126"/>
      <c r="AZ126"/>
    </row>
    <row r="127" spans="1:52" s="815" customFormat="1" ht="18.75" customHeight="1">
      <c r="A127" s="2013"/>
      <c r="B127" s="8448"/>
      <c r="C127" s="8448"/>
      <c r="D127" s="8448"/>
      <c r="E127" s="8448"/>
      <c r="F127" s="8448"/>
      <c r="G127" s="8448"/>
      <c r="H127" s="8448"/>
      <c r="I127" s="10783"/>
      <c r="J127" s="10767"/>
      <c r="K127" s="10768"/>
      <c r="L127" s="10768"/>
      <c r="M127" s="10768"/>
      <c r="N127" s="10768"/>
      <c r="O127" s="10768"/>
      <c r="P127" s="10768"/>
      <c r="Q127" s="10768"/>
      <c r="R127" s="10768"/>
      <c r="S127" s="10768"/>
      <c r="T127" s="10768"/>
      <c r="U127" s="10768"/>
      <c r="V127" s="10768"/>
      <c r="W127" s="10768"/>
      <c r="X127" s="10768"/>
      <c r="Y127" s="10768"/>
      <c r="Z127" s="10768"/>
      <c r="AA127" s="10768"/>
      <c r="AB127" s="10768"/>
      <c r="AC127" s="10769"/>
      <c r="AD127" s="10767"/>
      <c r="AE127" s="10768"/>
      <c r="AF127" s="10768"/>
      <c r="AG127" s="10768"/>
      <c r="AH127" s="10768"/>
      <c r="AI127" s="10768"/>
      <c r="AJ127" s="10768"/>
      <c r="AK127" s="2013"/>
      <c r="AL127" s="10750" t="str">
        <f>IF($AM$125,"less than all of an IRA","")</f>
        <v/>
      </c>
      <c r="AM127" s="10750"/>
      <c r="AN127" s="10750"/>
      <c r="AO127" s="658"/>
      <c r="AP127" s="658"/>
      <c r="AQ127" s="658"/>
      <c r="AR127" s="658"/>
      <c r="AS127" s="658"/>
      <c r="AT127" s="658"/>
      <c r="AU127" s="658"/>
      <c r="AV127" s="658"/>
      <c r="AW127" s="658"/>
      <c r="AX127" s="658"/>
      <c r="AY127"/>
      <c r="AZ127"/>
    </row>
    <row r="128" spans="1:52" s="815" customFormat="1" ht="15.75" customHeight="1">
      <c r="A128" s="2013"/>
      <c r="B128" s="8448"/>
      <c r="C128" s="8448"/>
      <c r="D128" s="8448"/>
      <c r="E128" s="8448"/>
      <c r="F128" s="8448"/>
      <c r="G128" s="8448"/>
      <c r="H128" s="8448"/>
      <c r="I128" s="10783"/>
      <c r="J128" s="10789" t="s">
        <v>6776</v>
      </c>
      <c r="K128" s="10790"/>
      <c r="L128" s="10790"/>
      <c r="M128" s="10790"/>
      <c r="N128" s="10790"/>
      <c r="O128" s="10790"/>
      <c r="P128" s="10790"/>
      <c r="Q128" s="10790"/>
      <c r="R128" s="10790"/>
      <c r="S128" s="10790"/>
      <c r="T128" s="10790"/>
      <c r="U128" s="10790"/>
      <c r="V128" s="10790"/>
      <c r="W128" s="10790"/>
      <c r="X128" s="10790"/>
      <c r="Y128" s="10790"/>
      <c r="Z128" s="10790"/>
      <c r="AA128" s="10790"/>
      <c r="AB128" s="10790"/>
      <c r="AC128" s="10790"/>
      <c r="AD128" s="10790"/>
      <c r="AE128" s="10790"/>
      <c r="AF128" s="10790"/>
      <c r="AG128" s="10790"/>
      <c r="AH128" s="10790"/>
      <c r="AI128" s="10790"/>
      <c r="AJ128" s="10790"/>
      <c r="AK128" s="2013"/>
      <c r="AL128" s="10750" t="str">
        <f>IF($AM$125,"to a Roth IRA, be sure","")</f>
        <v/>
      </c>
      <c r="AM128" s="10750"/>
      <c r="AN128" s="10750"/>
      <c r="AO128" s="658"/>
      <c r="AP128" s="658"/>
      <c r="AQ128" s="658"/>
      <c r="AR128" s="658"/>
      <c r="AS128" s="658"/>
      <c r="AT128" s="658"/>
      <c r="AU128" s="658"/>
      <c r="AV128" s="658"/>
      <c r="AW128" s="658"/>
      <c r="AX128" s="658"/>
      <c r="AY128"/>
      <c r="AZ128"/>
    </row>
    <row r="129" spans="1:52" s="815" customFormat="1" ht="18.75" customHeight="1">
      <c r="A129" s="2013"/>
      <c r="B129" s="8448"/>
      <c r="C129" s="8448"/>
      <c r="D129" s="8448"/>
      <c r="E129" s="8448"/>
      <c r="F129" s="8448"/>
      <c r="G129" s="8448"/>
      <c r="H129" s="8448"/>
      <c r="I129" s="10783"/>
      <c r="J129" s="10767"/>
      <c r="K129" s="10768"/>
      <c r="L129" s="10768"/>
      <c r="M129" s="10768"/>
      <c r="N129" s="10768"/>
      <c r="O129" s="10768"/>
      <c r="P129" s="10768"/>
      <c r="Q129" s="10768"/>
      <c r="R129" s="10768"/>
      <c r="S129" s="10768"/>
      <c r="T129" s="10768"/>
      <c r="U129" s="10768"/>
      <c r="V129" s="10768"/>
      <c r="W129" s="10768"/>
      <c r="X129" s="10768"/>
      <c r="Y129" s="10768"/>
      <c r="Z129" s="10768"/>
      <c r="AA129" s="10768"/>
      <c r="AB129" s="10768"/>
      <c r="AC129" s="10768"/>
      <c r="AD129" s="10768"/>
      <c r="AE129" s="10768"/>
      <c r="AF129" s="10768"/>
      <c r="AG129" s="10768"/>
      <c r="AH129" s="10768"/>
      <c r="AI129" s="10768"/>
      <c r="AJ129" s="10768"/>
      <c r="AK129" s="2013"/>
      <c r="AL129" s="10750" t="str">
        <f>IF($AM$125,"to complete Part I","")</f>
        <v/>
      </c>
      <c r="AM129" s="10750"/>
      <c r="AN129" s="10750"/>
      <c r="AO129" s="658"/>
      <c r="AP129" s="658"/>
      <c r="AQ129" s="658"/>
      <c r="AR129" s="658"/>
      <c r="AS129" s="658"/>
      <c r="AT129" s="658"/>
      <c r="AU129" s="658"/>
      <c r="AV129" s="658"/>
      <c r="AW129" s="658"/>
      <c r="AX129" s="658"/>
      <c r="AY129"/>
      <c r="AZ129"/>
    </row>
    <row r="130" spans="1:52" s="815" customFormat="1" ht="15.75" customHeight="1">
      <c r="A130" s="2013"/>
      <c r="B130" s="8448"/>
      <c r="C130" s="8448"/>
      <c r="D130" s="8448"/>
      <c r="E130" s="8448"/>
      <c r="F130" s="8448"/>
      <c r="G130" s="8448"/>
      <c r="H130" s="8448"/>
      <c r="I130" s="10783"/>
      <c r="J130" s="2760" t="s">
        <v>3957</v>
      </c>
      <c r="K130" s="2263"/>
      <c r="L130" s="2263"/>
      <c r="M130" s="2263"/>
      <c r="N130" s="2263"/>
      <c r="O130" s="2263"/>
      <c r="P130" s="2263"/>
      <c r="Q130" s="2263"/>
      <c r="R130" s="2263"/>
      <c r="S130" s="2263"/>
      <c r="T130" s="2760" t="s">
        <v>3958</v>
      </c>
      <c r="U130" s="2263"/>
      <c r="V130" s="2263"/>
      <c r="W130" s="2263"/>
      <c r="X130" s="2263"/>
      <c r="Y130" s="2263"/>
      <c r="Z130" s="2263"/>
      <c r="AA130" s="2263"/>
      <c r="AB130" s="4471"/>
      <c r="AC130" s="2263" t="s">
        <v>3959</v>
      </c>
      <c r="AD130" s="2263"/>
      <c r="AE130" s="2263"/>
      <c r="AF130" s="2263"/>
      <c r="AG130" s="2263"/>
      <c r="AH130" s="2263"/>
      <c r="AI130" s="2263"/>
      <c r="AJ130" s="2263"/>
      <c r="AK130" s="2013"/>
      <c r="AL130" s="10750" t="str">
        <f>IF($AM$125,"and Part II of this form.","")</f>
        <v/>
      </c>
      <c r="AM130" s="10750"/>
      <c r="AN130" s="10750"/>
      <c r="AO130" s="658"/>
      <c r="AP130" s="658"/>
      <c r="AQ130" s="658"/>
      <c r="AR130" s="658"/>
      <c r="AS130" s="658"/>
      <c r="AT130" s="658"/>
      <c r="AU130" s="658"/>
      <c r="AV130" s="658"/>
      <c r="AW130" s="658"/>
      <c r="AX130" s="658"/>
      <c r="AY130"/>
      <c r="AZ130"/>
    </row>
    <row r="131" spans="1:52" s="815" customFormat="1" ht="18.75" customHeight="1">
      <c r="A131" s="2013"/>
      <c r="B131" s="10784"/>
      <c r="C131" s="10784"/>
      <c r="D131" s="10784"/>
      <c r="E131" s="10784"/>
      <c r="F131" s="10784"/>
      <c r="G131" s="10784"/>
      <c r="H131" s="10784"/>
      <c r="I131" s="10785"/>
      <c r="J131" s="10767"/>
      <c r="K131" s="10768"/>
      <c r="L131" s="10768"/>
      <c r="M131" s="10768"/>
      <c r="N131" s="10768"/>
      <c r="O131" s="10768"/>
      <c r="P131" s="10768"/>
      <c r="Q131" s="10768"/>
      <c r="R131" s="10768"/>
      <c r="S131" s="10769"/>
      <c r="T131" s="10767"/>
      <c r="U131" s="10768"/>
      <c r="V131" s="10768"/>
      <c r="W131" s="10768"/>
      <c r="X131" s="10768"/>
      <c r="Y131" s="10768"/>
      <c r="Z131" s="10768"/>
      <c r="AA131" s="10768"/>
      <c r="AB131" s="10769"/>
      <c r="AC131" s="10767"/>
      <c r="AD131" s="10768"/>
      <c r="AE131" s="10768"/>
      <c r="AF131" s="10768"/>
      <c r="AG131" s="10768"/>
      <c r="AH131" s="10768"/>
      <c r="AI131" s="10768"/>
      <c r="AJ131" s="10768"/>
      <c r="AK131" s="2013"/>
      <c r="AL131" s="10750" t="str">
        <f>IF($AM$125,"If you did not make","")</f>
        <v/>
      </c>
      <c r="AM131" s="10750"/>
      <c r="AN131" s="10750"/>
      <c r="AO131" s="658"/>
      <c r="AP131" s="658"/>
      <c r="AQ131" s="658"/>
      <c r="AR131" s="658"/>
      <c r="AS131" s="658"/>
      <c r="AT131" s="658"/>
      <c r="AU131" s="658"/>
      <c r="AV131" s="658"/>
      <c r="AW131" s="658"/>
      <c r="AX131" s="658"/>
      <c r="AY131"/>
      <c r="AZ131"/>
    </row>
    <row r="132" spans="1:52" s="815" customFormat="1" ht="16.5" customHeight="1">
      <c r="A132" s="2013"/>
      <c r="B132" s="1405" t="s">
        <v>6747</v>
      </c>
      <c r="C132" s="416"/>
      <c r="D132" s="253"/>
      <c r="E132" s="2311"/>
      <c r="F132" s="253"/>
      <c r="G132" s="253"/>
      <c r="H132" s="253"/>
      <c r="I132" s="253"/>
      <c r="J132" s="253"/>
      <c r="K132" s="253"/>
      <c r="L132" s="253"/>
      <c r="M132" s="253"/>
      <c r="N132" s="253"/>
      <c r="O132" s="253"/>
      <c r="P132" s="253"/>
      <c r="Q132" s="253"/>
      <c r="R132" s="253"/>
      <c r="S132" s="253"/>
      <c r="T132" s="253"/>
      <c r="U132" s="253"/>
      <c r="V132" s="253"/>
      <c r="W132" s="253"/>
      <c r="X132" s="253"/>
      <c r="Y132" s="253"/>
      <c r="Z132" s="253"/>
      <c r="AA132" s="253"/>
      <c r="AB132" s="253"/>
      <c r="AC132" s="253"/>
      <c r="AD132" s="253"/>
      <c r="AE132" s="253"/>
      <c r="AF132" s="253"/>
      <c r="AG132" s="253"/>
      <c r="AH132" s="253"/>
      <c r="AI132" s="253"/>
      <c r="AJ132" s="253"/>
      <c r="AK132" s="2013"/>
      <c r="AL132" s="10750" t="str">
        <f>IF($AM$125,"nondeductible","")</f>
        <v/>
      </c>
      <c r="AM132" s="10750"/>
      <c r="AN132" s="10750"/>
      <c r="AO132" s="658"/>
      <c r="AP132" s="1114"/>
      <c r="AQ132" s="658"/>
      <c r="AR132" s="658"/>
      <c r="AS132" s="658"/>
      <c r="AT132" s="658"/>
      <c r="AU132" s="658"/>
      <c r="AV132" s="658"/>
      <c r="AW132" s="658"/>
      <c r="AX132" s="658"/>
      <c r="AY132"/>
      <c r="AZ132"/>
    </row>
    <row r="133" spans="1:52" s="815" customFormat="1" ht="16.5" customHeight="1">
      <c r="A133" s="2013"/>
      <c r="B133" s="2311" t="s">
        <v>6748</v>
      </c>
      <c r="C133" s="416"/>
      <c r="D133" s="253"/>
      <c r="E133" s="2311"/>
      <c r="F133" s="253"/>
      <c r="G133" s="253"/>
      <c r="H133" s="253"/>
      <c r="I133" s="253"/>
      <c r="J133" s="253"/>
      <c r="K133" s="253"/>
      <c r="L133" s="253"/>
      <c r="M133" s="253"/>
      <c r="N133" s="253"/>
      <c r="O133" s="253"/>
      <c r="P133" s="253"/>
      <c r="Q133" s="253"/>
      <c r="R133" s="253"/>
      <c r="S133" s="253"/>
      <c r="T133" s="253"/>
      <c r="U133" s="253"/>
      <c r="V133" s="253"/>
      <c r="W133" s="253"/>
      <c r="X133" s="253"/>
      <c r="Y133" s="253"/>
      <c r="Z133" s="253"/>
      <c r="AA133" s="253"/>
      <c r="AB133" s="253"/>
      <c r="AC133" s="253"/>
      <c r="AD133" s="253"/>
      <c r="AE133" s="253"/>
      <c r="AF133" s="253"/>
      <c r="AG133" s="253"/>
      <c r="AH133" s="253"/>
      <c r="AI133" s="253"/>
      <c r="AJ133" s="253"/>
      <c r="AK133" s="2013"/>
      <c r="AL133" s="10750" t="str">
        <f>IF($AM$125,"contributions to a","")</f>
        <v/>
      </c>
      <c r="AM133" s="10750"/>
      <c r="AN133" s="10750"/>
      <c r="AO133" s="658"/>
      <c r="AP133" s="1114"/>
      <c r="AQ133" s="658"/>
      <c r="AR133" s="658"/>
      <c r="AS133" s="658"/>
      <c r="AT133" s="658"/>
      <c r="AU133" s="658"/>
      <c r="AV133" s="658"/>
      <c r="AW133" s="658"/>
      <c r="AX133" s="658"/>
      <c r="AY133"/>
      <c r="AZ133"/>
    </row>
    <row r="134" spans="1:52" s="815" customFormat="1" ht="16.5" customHeight="1">
      <c r="A134" s="2013"/>
      <c r="B134" s="9755" t="s">
        <v>780</v>
      </c>
      <c r="C134" s="9755"/>
      <c r="D134" s="4472"/>
      <c r="E134" s="7163" t="s">
        <v>6749</v>
      </c>
      <c r="F134" s="7163"/>
      <c r="G134" s="7163"/>
      <c r="H134" s="7163"/>
      <c r="I134" s="7163"/>
      <c r="J134" s="7163"/>
      <c r="K134" s="7163"/>
      <c r="L134" s="7163"/>
      <c r="M134" s="7163"/>
      <c r="N134" s="7163"/>
      <c r="O134" s="7163"/>
      <c r="P134" s="7163"/>
      <c r="Q134" s="7163"/>
      <c r="R134" s="7163"/>
      <c r="S134" s="7163"/>
      <c r="T134" s="7163"/>
      <c r="U134" s="7163"/>
      <c r="V134" s="7163"/>
      <c r="W134" s="7163"/>
      <c r="X134" s="7163"/>
      <c r="Y134" s="7163"/>
      <c r="Z134" s="7163"/>
      <c r="AA134" s="7163"/>
      <c r="AB134" s="7163"/>
      <c r="AC134" s="7163"/>
      <c r="AD134" s="7163"/>
      <c r="AE134" s="7163"/>
      <c r="AF134" s="7163"/>
      <c r="AG134" s="7163"/>
      <c r="AH134" s="7163"/>
      <c r="AI134" s="7163"/>
      <c r="AJ134" s="7163"/>
      <c r="AK134" s="2013"/>
      <c r="AL134" s="10750" t="str">
        <f>IF($AM$125,"an IRA, the complete","")</f>
        <v/>
      </c>
      <c r="AM134" s="10750"/>
      <c r="AN134" s="10750"/>
      <c r="AO134" s="658"/>
      <c r="AP134" s="1114"/>
      <c r="AQ134" s="658"/>
      <c r="AR134" s="658"/>
      <c r="AS134" s="658"/>
      <c r="AT134" s="658"/>
      <c r="AU134" s="658"/>
      <c r="AV134" s="658"/>
      <c r="AW134" s="658"/>
      <c r="AX134" s="658"/>
      <c r="AY134"/>
      <c r="AZ134"/>
    </row>
    <row r="135" spans="1:52" s="815" customFormat="1" ht="16.5" customHeight="1">
      <c r="A135" s="2013"/>
      <c r="B135" s="253"/>
      <c r="C135" s="416"/>
      <c r="D135" s="253"/>
      <c r="E135" s="2311" t="s">
        <v>3960</v>
      </c>
      <c r="F135" s="253"/>
      <c r="G135" s="253"/>
      <c r="H135" s="253"/>
      <c r="I135" s="253"/>
      <c r="J135" s="253"/>
      <c r="K135" s="253"/>
      <c r="L135" s="253"/>
      <c r="M135" s="253"/>
      <c r="N135" s="253"/>
      <c r="O135" s="253"/>
      <c r="P135" s="253"/>
      <c r="Q135" s="253"/>
      <c r="R135" s="253"/>
      <c r="S135" s="253"/>
      <c r="T135" s="253"/>
      <c r="U135" s="253"/>
      <c r="V135" s="253"/>
      <c r="W135" s="253"/>
      <c r="X135" s="253"/>
      <c r="Y135" s="253"/>
      <c r="Z135" s="253"/>
      <c r="AA135" s="253"/>
      <c r="AB135" s="253"/>
      <c r="AC135" s="253"/>
      <c r="AD135" s="253"/>
      <c r="AE135" s="253"/>
      <c r="AF135" s="253"/>
      <c r="AG135" s="253"/>
      <c r="AH135" s="253"/>
      <c r="AI135" s="253"/>
      <c r="AJ135" s="253"/>
      <c r="AK135" s="2013"/>
      <c r="AL135" s="10750" t="str">
        <f>IF($AM$125,"only Part II of this form.","")</f>
        <v/>
      </c>
      <c r="AM135" s="10750"/>
      <c r="AN135" s="10750"/>
      <c r="AO135" s="658"/>
      <c r="AP135" s="1114"/>
      <c r="AQ135" s="658"/>
      <c r="AR135" s="658"/>
      <c r="AS135" s="658"/>
      <c r="AT135" s="658"/>
      <c r="AU135" s="658"/>
      <c r="AV135" s="658"/>
      <c r="AW135" s="658"/>
      <c r="AX135" s="658"/>
      <c r="AY135"/>
      <c r="AZ135"/>
    </row>
    <row r="136" spans="1:52" s="815" customFormat="1" ht="15" customHeight="1">
      <c r="A136" s="2013"/>
      <c r="B136" s="253"/>
      <c r="C136" s="2022"/>
      <c r="D136" s="511"/>
      <c r="E136" s="873" t="s">
        <v>1554</v>
      </c>
      <c r="F136" s="511" t="str">
        <f>"You made nondeductible contributions to a traditional IRA for "&amp;TaxYear&amp;". Nondeductible contributions to a traditional IRA do"</f>
        <v>You made nondeductible contributions to a traditional IRA for 2025. Nondeductible contributions to a traditional IRA do</v>
      </c>
      <c r="G136" s="253"/>
      <c r="H136" s="253"/>
      <c r="I136" s="253"/>
      <c r="J136" s="253"/>
      <c r="K136" s="253"/>
      <c r="L136" s="253"/>
      <c r="M136" s="253"/>
      <c r="N136" s="253"/>
      <c r="O136" s="253"/>
      <c r="P136" s="253"/>
      <c r="Q136" s="253"/>
      <c r="R136" s="253"/>
      <c r="S136" s="253"/>
      <c r="T136" s="253"/>
      <c r="U136" s="253"/>
      <c r="V136" s="511"/>
      <c r="W136" s="253"/>
      <c r="X136" s="253"/>
      <c r="Y136" s="253"/>
      <c r="Z136" s="253"/>
      <c r="AA136" s="253"/>
      <c r="AB136" s="253"/>
      <c r="AC136" s="253"/>
      <c r="AD136" s="253"/>
      <c r="AE136" s="253"/>
      <c r="AF136" s="253"/>
      <c r="AG136" s="253"/>
      <c r="AH136" s="253"/>
      <c r="AI136" s="253"/>
      <c r="AJ136" s="253"/>
      <c r="AK136" s="2013"/>
      <c r="AL136" s="253"/>
      <c r="AM136" s="344"/>
      <c r="AN136" s="253"/>
      <c r="AO136" s="658"/>
      <c r="AP136" s="1114"/>
      <c r="AQ136" s="658"/>
      <c r="AR136" s="658"/>
      <c r="AS136" s="658"/>
      <c r="AT136" s="658"/>
      <c r="AU136" s="658"/>
      <c r="AV136" s="658"/>
      <c r="AW136" s="658"/>
      <c r="AX136" s="658"/>
      <c r="AY136"/>
      <c r="AZ136"/>
    </row>
    <row r="137" spans="1:52" s="815" customFormat="1" ht="15" customHeight="1">
      <c r="A137" s="2013"/>
      <c r="B137" s="253"/>
      <c r="C137" s="2022"/>
      <c r="D137" s="511"/>
      <c r="E137" s="873"/>
      <c r="F137" s="511" t="s">
        <v>6750</v>
      </c>
      <c r="G137" s="253"/>
      <c r="H137" s="253"/>
      <c r="I137" s="253"/>
      <c r="J137" s="253"/>
      <c r="K137" s="253"/>
      <c r="L137" s="253"/>
      <c r="M137" s="253"/>
      <c r="N137" s="253"/>
      <c r="O137" s="253"/>
      <c r="P137" s="253"/>
      <c r="Q137" s="253"/>
      <c r="R137" s="253"/>
      <c r="S137" s="253"/>
      <c r="T137" s="253"/>
      <c r="U137" s="253"/>
      <c r="V137" s="253"/>
      <c r="W137" s="253"/>
      <c r="X137" s="253"/>
      <c r="Y137" s="253"/>
      <c r="Z137" s="253"/>
      <c r="AA137" s="253"/>
      <c r="AB137" s="253"/>
      <c r="AC137" s="253"/>
      <c r="AD137" s="253"/>
      <c r="AE137" s="253"/>
      <c r="AF137" s="253"/>
      <c r="AG137" s="253"/>
      <c r="AH137" s="253"/>
      <c r="AI137" s="253"/>
      <c r="AJ137" s="253"/>
      <c r="AK137" s="2013"/>
      <c r="AL137" s="253"/>
      <c r="AM137" s="344"/>
      <c r="AN137" s="253"/>
      <c r="AO137" s="658"/>
      <c r="AP137" s="1114"/>
      <c r="AQ137" s="658"/>
      <c r="AR137" s="658"/>
      <c r="AS137" s="658"/>
      <c r="AT137" s="658"/>
      <c r="AU137" s="658"/>
      <c r="AV137" s="658"/>
      <c r="AW137" s="658"/>
      <c r="AX137" s="658"/>
      <c r="AY137"/>
      <c r="AZ137"/>
    </row>
    <row r="138" spans="1:52" s="815" customFormat="1" ht="15" customHeight="1">
      <c r="A138" s="2013"/>
      <c r="B138" s="253"/>
      <c r="C138" s="2022"/>
      <c r="D138" s="511"/>
      <c r="E138" s="873"/>
      <c r="F138" s="506" t="s">
        <v>6751</v>
      </c>
      <c r="G138" s="253"/>
      <c r="H138" s="253"/>
      <c r="I138" s="253"/>
      <c r="J138" s="253"/>
      <c r="K138" s="253"/>
      <c r="L138" s="253"/>
      <c r="M138" s="253"/>
      <c r="N138" s="253"/>
      <c r="O138" s="253"/>
      <c r="P138" s="253"/>
      <c r="Q138" s="253"/>
      <c r="R138" s="253"/>
      <c r="S138" s="253"/>
      <c r="T138" s="253"/>
      <c r="U138" s="253"/>
      <c r="V138" s="253"/>
      <c r="W138" s="253"/>
      <c r="X138" s="253"/>
      <c r="Y138" s="253"/>
      <c r="Z138" s="253"/>
      <c r="AA138" s="253"/>
      <c r="AB138" s="253"/>
      <c r="AC138" s="253"/>
      <c r="AD138" s="253"/>
      <c r="AE138" s="253"/>
      <c r="AF138" s="253"/>
      <c r="AG138" s="253"/>
      <c r="AH138" s="253"/>
      <c r="AI138" s="253"/>
      <c r="AJ138" s="253"/>
      <c r="AK138" s="2013"/>
      <c r="AL138" s="253"/>
      <c r="AM138" s="344"/>
      <c r="AN138" s="253"/>
      <c r="AO138" s="658"/>
      <c r="AP138" s="1114"/>
      <c r="AQ138" s="658"/>
      <c r="AR138" s="658"/>
      <c r="AS138" s="658"/>
      <c r="AT138" s="658"/>
      <c r="AU138" s="658"/>
      <c r="AV138" s="658"/>
      <c r="AW138" s="658"/>
      <c r="AX138" s="658"/>
      <c r="AY138"/>
      <c r="AZ138"/>
    </row>
    <row r="139" spans="1:52" s="815" customFormat="1" ht="15" customHeight="1">
      <c r="A139" s="2013"/>
      <c r="B139" s="253"/>
      <c r="C139" s="2022"/>
      <c r="D139" s="511"/>
      <c r="E139" s="873" t="s">
        <v>1554</v>
      </c>
      <c r="F139" s="511" t="str">
        <f>"You took distributions from a traditional IRA in "&amp;TaxYear</f>
        <v>You took distributions from a traditional IRA in 2025</v>
      </c>
      <c r="G139" s="253"/>
      <c r="H139" s="253"/>
      <c r="I139" s="253"/>
      <c r="J139" s="253"/>
      <c r="K139" s="253"/>
      <c r="L139" s="253"/>
      <c r="M139" s="253"/>
      <c r="N139" s="253"/>
      <c r="O139" s="253"/>
      <c r="P139" s="253"/>
      <c r="Q139" s="253"/>
      <c r="R139" s="1323" t="s">
        <v>6790</v>
      </c>
      <c r="S139" s="253"/>
      <c r="T139" s="253"/>
      <c r="U139" s="253"/>
      <c r="V139" s="253"/>
      <c r="W139" s="511"/>
      <c r="X139" s="253"/>
      <c r="Y139" s="253"/>
      <c r="Z139" s="253"/>
      <c r="AA139" s="253"/>
      <c r="AB139" s="253"/>
      <c r="AC139" s="253"/>
      <c r="AD139" s="253"/>
      <c r="AE139" s="253"/>
      <c r="AF139" s="253"/>
      <c r="AG139" s="253"/>
      <c r="AH139" s="253"/>
      <c r="AI139" s="253"/>
      <c r="AJ139" s="253"/>
      <c r="AK139" s="2013"/>
      <c r="AL139" s="253"/>
      <c r="AM139" s="344"/>
      <c r="AN139" s="253"/>
      <c r="AO139" s="658"/>
      <c r="AP139" s="1114"/>
      <c r="AQ139" s="658"/>
      <c r="AR139" s="658"/>
      <c r="AS139" s="658"/>
      <c r="AT139" s="658"/>
      <c r="AU139" s="658"/>
      <c r="AV139" s="658"/>
      <c r="AW139" s="658"/>
      <c r="AX139" s="658"/>
      <c r="AY139"/>
      <c r="AZ139"/>
    </row>
    <row r="140" spans="1:52" s="815" customFormat="1" ht="15">
      <c r="A140" s="2013"/>
      <c r="B140" s="253"/>
      <c r="C140" s="416"/>
      <c r="D140" s="253"/>
      <c r="E140" s="253"/>
      <c r="F140" s="511" t="str">
        <f>TaxYear&amp;" or an earlier year."</f>
        <v>2025 or an earlier year.</v>
      </c>
      <c r="G140" s="511"/>
      <c r="H140" s="253"/>
      <c r="I140" s="253"/>
      <c r="J140" s="253"/>
      <c r="K140" s="253"/>
      <c r="L140" s="511" t="s">
        <v>6775</v>
      </c>
      <c r="M140" s="253"/>
      <c r="N140" s="253"/>
      <c r="O140" s="253"/>
      <c r="P140" s="253"/>
      <c r="Q140" s="253"/>
      <c r="R140" s="253"/>
      <c r="S140" s="253"/>
      <c r="T140" s="253"/>
      <c r="U140" s="253"/>
      <c r="V140" s="253"/>
      <c r="W140" s="253"/>
      <c r="X140" s="253"/>
      <c r="Y140" s="253"/>
      <c r="Z140" s="511" t="str">
        <f>"(but does include certain "&amp;TaxYear</f>
        <v>(but does include certain 2025</v>
      </c>
      <c r="AA140" s="253"/>
      <c r="AB140" s="253"/>
      <c r="AC140" s="253"/>
      <c r="AD140" s="253"/>
      <c r="AE140" s="253"/>
      <c r="AF140" s="253"/>
      <c r="AG140" s="253"/>
      <c r="AH140" s="253"/>
      <c r="AI140" s="253"/>
      <c r="AJ140" s="253"/>
      <c r="AK140" s="2013"/>
      <c r="AL140" s="253"/>
      <c r="AM140" s="344"/>
      <c r="AN140" s="253"/>
      <c r="AO140" s="658"/>
      <c r="AP140" s="658"/>
      <c r="AQ140" s="658"/>
      <c r="AR140" s="658"/>
      <c r="AS140" s="658"/>
      <c r="AT140" s="658"/>
      <c r="AU140" s="658"/>
      <c r="AV140" s="658"/>
      <c r="AW140" s="658"/>
      <c r="AX140" s="658"/>
      <c r="AY140"/>
      <c r="AZ140"/>
    </row>
    <row r="141" spans="1:52" s="815" customFormat="1" ht="14.25">
      <c r="A141" s="2013"/>
      <c r="B141" s="253"/>
      <c r="C141" s="416"/>
      <c r="D141" s="253"/>
      <c r="E141" s="253"/>
      <c r="F141" s="511" t="s">
        <v>6779</v>
      </c>
      <c r="G141" s="511"/>
      <c r="H141" s="253"/>
      <c r="I141" s="253"/>
      <c r="J141" s="253"/>
      <c r="K141" s="253"/>
      <c r="L141" s="511"/>
      <c r="M141" s="253"/>
      <c r="N141" s="253"/>
      <c r="O141" s="253"/>
      <c r="P141" s="253"/>
      <c r="Q141" s="253"/>
      <c r="R141" s="253"/>
      <c r="S141" s="253"/>
      <c r="T141" s="253"/>
      <c r="U141" s="253"/>
      <c r="V141" s="253"/>
      <c r="W141" s="253"/>
      <c r="X141" s="253"/>
      <c r="Y141" s="253"/>
      <c r="Z141" s="253"/>
      <c r="AA141" s="253"/>
      <c r="AB141" s="253"/>
      <c r="AC141" s="253"/>
      <c r="AD141" s="253"/>
      <c r="AE141" s="253"/>
      <c r="AF141" s="253"/>
      <c r="AG141" s="253"/>
      <c r="AH141" s="253"/>
      <c r="AI141" s="253"/>
      <c r="AJ141" s="253"/>
      <c r="AK141" s="2013"/>
      <c r="AL141" s="253"/>
      <c r="AM141" s="344"/>
      <c r="AN141" s="253"/>
      <c r="AO141" s="658"/>
      <c r="AP141" s="658"/>
      <c r="AQ141" s="658"/>
      <c r="AR141" s="658"/>
      <c r="AS141" s="658"/>
      <c r="AT141" s="658"/>
      <c r="AU141" s="658"/>
      <c r="AV141" s="658"/>
      <c r="AW141" s="658"/>
      <c r="AX141" s="658"/>
      <c r="AY141"/>
      <c r="AZ141"/>
    </row>
    <row r="142" spans="1:52" s="815" customFormat="1" ht="14.25">
      <c r="A142" s="2013"/>
      <c r="B142" s="253"/>
      <c r="C142" s="416"/>
      <c r="D142" s="253"/>
      <c r="E142" s="253"/>
      <c r="F142" s="511" t="s">
        <v>6773</v>
      </c>
      <c r="G142" s="511"/>
      <c r="H142" s="253"/>
      <c r="I142" s="253"/>
      <c r="J142" s="253"/>
      <c r="K142" s="253"/>
      <c r="L142" s="253"/>
      <c r="M142" s="253"/>
      <c r="N142" s="253"/>
      <c r="O142" s="253"/>
      <c r="P142" s="253"/>
      <c r="Q142" s="253"/>
      <c r="R142" s="253"/>
      <c r="S142" s="253"/>
      <c r="T142" s="253"/>
      <c r="U142" s="253"/>
      <c r="V142" s="253"/>
      <c r="W142" s="253"/>
      <c r="X142" s="253"/>
      <c r="Y142" s="253"/>
      <c r="Z142" s="253"/>
      <c r="AA142" s="511"/>
      <c r="AB142" s="253"/>
      <c r="AC142" s="253"/>
      <c r="AD142" s="253"/>
      <c r="AE142" s="253"/>
      <c r="AF142" s="253"/>
      <c r="AG142" s="253"/>
      <c r="AH142" s="253"/>
      <c r="AI142" s="253"/>
      <c r="AJ142" s="253"/>
      <c r="AK142" s="2013"/>
      <c r="AL142" s="253"/>
      <c r="AM142" s="344"/>
      <c r="AN142" s="253"/>
      <c r="AO142" s="658"/>
      <c r="AP142" s="658"/>
      <c r="AQ142" s="658"/>
      <c r="AR142" s="658"/>
      <c r="AS142" s="658"/>
      <c r="AT142" s="658"/>
      <c r="AU142" s="658"/>
      <c r="AV142" s="658"/>
      <c r="AW142" s="658"/>
      <c r="AX142" s="658"/>
      <c r="AY142"/>
      <c r="AZ142"/>
    </row>
    <row r="143" spans="1:52" s="815" customFormat="1" ht="14.25">
      <c r="A143" s="2013"/>
      <c r="B143" s="253"/>
      <c r="C143" s="416"/>
      <c r="D143" s="253"/>
      <c r="E143" s="253"/>
      <c r="F143" s="511" t="s">
        <v>6774</v>
      </c>
      <c r="G143" s="511"/>
      <c r="H143" s="253"/>
      <c r="I143" s="253"/>
      <c r="J143" s="253"/>
      <c r="K143" s="253"/>
      <c r="L143" s="253"/>
      <c r="M143" s="253"/>
      <c r="N143" s="253"/>
      <c r="O143" s="253"/>
      <c r="P143" s="253"/>
      <c r="Q143" s="253"/>
      <c r="R143" s="253"/>
      <c r="S143" s="253"/>
      <c r="T143" s="253"/>
      <c r="U143" s="253"/>
      <c r="V143" s="253"/>
      <c r="W143" s="253"/>
      <c r="X143" s="253"/>
      <c r="Y143" s="253"/>
      <c r="Z143" s="253"/>
      <c r="AA143" s="253"/>
      <c r="AB143" s="253"/>
      <c r="AC143" s="253"/>
      <c r="AD143" s="253"/>
      <c r="AE143" s="253"/>
      <c r="AF143" s="253"/>
      <c r="AG143" s="253"/>
      <c r="AH143" s="253"/>
      <c r="AI143" s="253"/>
      <c r="AJ143" s="253"/>
      <c r="AK143" s="2013"/>
      <c r="AL143" s="253"/>
      <c r="AM143" s="344"/>
      <c r="AN143" s="253"/>
      <c r="AO143" s="658"/>
      <c r="AP143" s="658"/>
      <c r="AQ143" s="658"/>
      <c r="AR143" s="658"/>
      <c r="AS143" s="658"/>
      <c r="AT143" s="658"/>
      <c r="AU143" s="658"/>
      <c r="AV143" s="658"/>
      <c r="AW143" s="658"/>
      <c r="AX143" s="658"/>
      <c r="AY143"/>
      <c r="AZ143"/>
    </row>
    <row r="144" spans="1:52" s="815" customFormat="1" ht="16.5" customHeight="1">
      <c r="A144" s="2013"/>
      <c r="B144" s="253"/>
      <c r="C144" s="416"/>
      <c r="D144" s="253"/>
      <c r="E144" s="873" t="s">
        <v>1554</v>
      </c>
      <c r="F144" s="511" t="str">
        <f>"You converted part, but not all, of your traditional IRAs to Roth IRAs in "&amp;TaxYear</f>
        <v>You converted part, but not all, of your traditional IRAs to Roth IRAs in 2025</v>
      </c>
      <c r="G144" s="511"/>
      <c r="H144" s="253"/>
      <c r="I144" s="253"/>
      <c r="J144" s="253"/>
      <c r="K144" s="253"/>
      <c r="L144" s="253"/>
      <c r="M144" s="253"/>
      <c r="N144" s="253"/>
      <c r="O144" s="253"/>
      <c r="P144" s="253"/>
      <c r="Q144" s="253"/>
      <c r="R144" s="253"/>
      <c r="S144" s="253"/>
      <c r="T144" s="253"/>
      <c r="U144" s="253"/>
      <c r="V144" s="253"/>
      <c r="W144" s="253"/>
      <c r="X144" s="511" t="s">
        <v>6804</v>
      </c>
      <c r="Y144" s="253"/>
      <c r="Z144" s="253"/>
      <c r="AA144" s="253"/>
      <c r="AB144" s="511"/>
      <c r="AC144" s="511"/>
      <c r="AD144" s="253"/>
      <c r="AE144" s="253"/>
      <c r="AF144" s="253"/>
      <c r="AG144" s="253"/>
      <c r="AH144" s="253"/>
      <c r="AI144" s="253"/>
      <c r="AJ144" s="253"/>
      <c r="AK144" s="2013"/>
      <c r="AL144" s="253"/>
      <c r="AM144" s="344"/>
      <c r="AN144" s="253"/>
      <c r="AO144" s="658"/>
      <c r="AP144" s="658"/>
      <c r="AQ144" s="658"/>
      <c r="AR144" s="658"/>
      <c r="AS144" s="658"/>
      <c r="AT144" s="658"/>
      <c r="AU144" s="658"/>
      <c r="AV144" s="658"/>
      <c r="AW144" s="658"/>
      <c r="AX144" s="658"/>
      <c r="AY144"/>
      <c r="AZ144"/>
    </row>
    <row r="145" spans="1:52" s="815" customFormat="1" ht="14.25">
      <c r="A145" s="2013"/>
      <c r="B145" s="413"/>
      <c r="C145" s="368"/>
      <c r="D145" s="413"/>
      <c r="E145" s="413"/>
      <c r="F145" s="1996" t="str">
        <f>"to a traditional IRA in "&amp;TaxYear&amp;" or an earlier year."</f>
        <v>to a traditional IRA in 2025 or an earlier year.</v>
      </c>
      <c r="G145" s="1996"/>
      <c r="H145" s="413"/>
      <c r="I145" s="413"/>
      <c r="J145" s="413"/>
      <c r="K145" s="413"/>
      <c r="L145" s="413"/>
      <c r="M145" s="413"/>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2013"/>
      <c r="AL145" s="253"/>
      <c r="AM145" s="344"/>
      <c r="AN145" s="253"/>
      <c r="AO145" s="658"/>
      <c r="AP145" s="658"/>
      <c r="AQ145" s="658"/>
      <c r="AR145" s="658"/>
      <c r="AS145" s="658"/>
      <c r="AT145" s="658"/>
      <c r="AU145" s="658"/>
      <c r="AV145" s="658"/>
      <c r="AW145" s="658"/>
      <c r="AX145" s="658"/>
      <c r="AY145"/>
      <c r="AZ145"/>
    </row>
    <row r="146" spans="1:52" s="815" customFormat="1" ht="15.75">
      <c r="A146" s="2013"/>
      <c r="B146" s="253"/>
      <c r="C146" s="2917" t="s">
        <v>228</v>
      </c>
      <c r="D146" s="511" t="str">
        <f>"Enter your nondeductible contributions to traditional IRAs for "&amp;TaxYear&amp;", including those made for "&amp;TaxYear</f>
        <v>Enter your nondeductible contributions to traditional IRAs for 2025, including those made for 2025</v>
      </c>
      <c r="E146" s="253"/>
      <c r="F146" s="511"/>
      <c r="G146" s="511"/>
      <c r="H146" s="253"/>
      <c r="I146" s="253"/>
      <c r="J146" s="253"/>
      <c r="K146" s="253"/>
      <c r="L146" s="253"/>
      <c r="M146" s="253"/>
      <c r="N146" s="253"/>
      <c r="O146" s="253"/>
      <c r="P146" s="253"/>
      <c r="Q146" s="253"/>
      <c r="R146" s="253"/>
      <c r="S146" s="253"/>
      <c r="T146" s="253"/>
      <c r="U146" s="253"/>
      <c r="V146" s="253"/>
      <c r="W146" s="253"/>
      <c r="X146" s="253"/>
      <c r="Y146" s="253"/>
      <c r="Z146" s="253"/>
      <c r="AA146" s="253"/>
      <c r="AB146" s="253"/>
      <c r="AC146" s="253"/>
      <c r="AD146" s="726"/>
      <c r="AE146" s="10751"/>
      <c r="AF146" s="10752"/>
      <c r="AG146" s="10752"/>
      <c r="AH146" s="10752"/>
      <c r="AI146" s="10752"/>
      <c r="AJ146" s="10752"/>
      <c r="AK146" s="2013"/>
      <c r="AL146" s="253"/>
      <c r="AM146" s="344"/>
      <c r="AN146" s="253"/>
      <c r="AO146" s="658"/>
      <c r="AP146" s="658"/>
      <c r="AQ146" s="658"/>
      <c r="AR146" s="658"/>
      <c r="AS146" s="658"/>
      <c r="AT146" s="658"/>
      <c r="AU146" s="658"/>
      <c r="AV146" s="658"/>
      <c r="AW146" s="658"/>
      <c r="AX146" s="658"/>
      <c r="AY146"/>
      <c r="AZ146"/>
    </row>
    <row r="147" spans="1:52" s="815" customFormat="1" ht="15" customHeight="1">
      <c r="A147" s="2013"/>
      <c r="B147" s="253"/>
      <c r="C147" s="2723"/>
      <c r="D147" s="511" t="str">
        <f>"from January 1, "&amp;TaxYear+1&amp;", through "&amp;TEXT(TaxDay,"mmmm dd")&amp;", "&amp;TaxYear+1&amp;". See instructions"</f>
        <v>from January 1, 2026, through April 15, 2026. See instructions</v>
      </c>
      <c r="E147" s="253"/>
      <c r="F147" s="253"/>
      <c r="G147" s="253"/>
      <c r="H147" s="253"/>
      <c r="I147" s="253"/>
      <c r="J147" s="253"/>
      <c r="K147" s="253"/>
      <c r="L147" s="253"/>
      <c r="M147" s="253"/>
      <c r="N147" s="253"/>
      <c r="O147" s="253"/>
      <c r="P147" s="253"/>
      <c r="Q147" s="253"/>
      <c r="R147" s="253"/>
      <c r="S147" s="253"/>
      <c r="T147" s="253"/>
      <c r="U147" s="253"/>
      <c r="V147" s="253"/>
      <c r="W147" s="253"/>
      <c r="X147" s="253"/>
      <c r="Y147" s="253"/>
      <c r="Z147" s="253"/>
      <c r="AA147" s="253"/>
      <c r="AB147" s="253"/>
      <c r="AC147" s="1657" t="s">
        <v>597</v>
      </c>
      <c r="AD147" s="2895">
        <v>1</v>
      </c>
      <c r="AE147" s="10762"/>
      <c r="AF147" s="10833"/>
      <c r="AG147" s="10833"/>
      <c r="AH147" s="10833"/>
      <c r="AI147" s="10833"/>
      <c r="AJ147" s="10833"/>
      <c r="AK147" s="2013"/>
      <c r="AL147" s="253"/>
      <c r="AM147" s="512" t="b">
        <f>AND(AE147="",AE148="")</f>
        <v>1</v>
      </c>
      <c r="AN147" s="253"/>
      <c r="AO147" s="6944" t="s">
        <v>6800</v>
      </c>
      <c r="AP147" s="946"/>
      <c r="AQ147" s="946"/>
      <c r="AR147" s="946"/>
      <c r="AS147" s="946"/>
      <c r="AT147" s="946"/>
      <c r="AU147" s="946"/>
      <c r="AV147" s="658"/>
      <c r="AW147" s="658"/>
      <c r="AX147" s="658"/>
      <c r="AY147"/>
      <c r="AZ147"/>
    </row>
    <row r="148" spans="1:52" s="815" customFormat="1" ht="15.75" customHeight="1" thickBot="1">
      <c r="A148" s="2013"/>
      <c r="B148" s="253"/>
      <c r="C148" s="2917" t="s">
        <v>230</v>
      </c>
      <c r="D148" s="511" t="s">
        <v>3961</v>
      </c>
      <c r="E148" s="253"/>
      <c r="F148" s="253"/>
      <c r="G148" s="253"/>
      <c r="H148" s="253"/>
      <c r="I148" s="253"/>
      <c r="J148" s="253"/>
      <c r="K148" s="253"/>
      <c r="L148" s="253"/>
      <c r="M148" s="253"/>
      <c r="N148" s="253"/>
      <c r="O148" s="253"/>
      <c r="P148" s="253"/>
      <c r="Q148" s="253"/>
      <c r="R148" s="253"/>
      <c r="S148" s="253"/>
      <c r="T148" s="253"/>
      <c r="U148" s="253"/>
      <c r="V148" s="253"/>
      <c r="W148" s="253"/>
      <c r="X148" s="253"/>
      <c r="Y148" s="253"/>
      <c r="Z148" s="253"/>
      <c r="AA148" s="253"/>
      <c r="AB148" s="253"/>
      <c r="AC148" s="1657" t="s">
        <v>2186</v>
      </c>
      <c r="AD148" s="2895">
        <v>2</v>
      </c>
      <c r="AE148" s="10762"/>
      <c r="AF148" s="10833"/>
      <c r="AG148" s="10833"/>
      <c r="AH148" s="10833"/>
      <c r="AI148" s="10833"/>
      <c r="AJ148" s="10833"/>
      <c r="AK148" s="2013"/>
      <c r="AL148" s="817"/>
      <c r="AM148" s="3812" t="b">
        <f>NOT(AM147)</f>
        <v>0</v>
      </c>
      <c r="AN148" s="253"/>
      <c r="AO148" s="1138" t="s">
        <v>6791</v>
      </c>
      <c r="AP148" s="946"/>
      <c r="AQ148" s="946"/>
      <c r="AR148" s="1138" t="s">
        <v>6792</v>
      </c>
      <c r="AS148" s="946"/>
      <c r="AT148" s="946"/>
      <c r="AU148" s="946"/>
      <c r="AV148" s="658"/>
      <c r="AW148" s="658"/>
      <c r="AX148" s="658"/>
      <c r="AY148"/>
      <c r="AZ148"/>
    </row>
    <row r="149" spans="1:52" s="815" customFormat="1" ht="15" customHeight="1" thickBot="1">
      <c r="A149" s="2013"/>
      <c r="B149" s="253"/>
      <c r="C149" s="2917" t="s">
        <v>232</v>
      </c>
      <c r="D149" s="511" t="s">
        <v>3072</v>
      </c>
      <c r="E149" s="253"/>
      <c r="F149" s="253"/>
      <c r="G149" s="253"/>
      <c r="H149" s="253"/>
      <c r="I149" s="253"/>
      <c r="J149" s="253"/>
      <c r="K149" s="253"/>
      <c r="L149" s="253"/>
      <c r="M149" s="253"/>
      <c r="N149" s="253"/>
      <c r="O149" s="253"/>
      <c r="P149" s="253"/>
      <c r="Q149" s="253"/>
      <c r="R149" s="253"/>
      <c r="S149" s="253"/>
      <c r="T149" s="253"/>
      <c r="U149" s="253"/>
      <c r="V149" s="253"/>
      <c r="W149" s="253"/>
      <c r="X149" s="253"/>
      <c r="Y149" s="253"/>
      <c r="Z149" s="253"/>
      <c r="AA149" s="253"/>
      <c r="AB149" s="253"/>
      <c r="AC149" s="1657" t="s">
        <v>1882</v>
      </c>
      <c r="AD149" s="2895">
        <v>3</v>
      </c>
      <c r="AE149" s="10753" t="str">
        <f>IF(AM147,"",SUM(AE147:AE148))</f>
        <v/>
      </c>
      <c r="AF149" s="10754"/>
      <c r="AG149" s="10754"/>
      <c r="AH149" s="10754"/>
      <c r="AI149" s="10754"/>
      <c r="AJ149" s="10754"/>
      <c r="AK149" s="2013"/>
      <c r="AL149" s="1147"/>
      <c r="AM149" s="3789" t="str">
        <f>IF(OR(AL149&lt;&gt;"",AND(AL153="",NOT(AM151))),"Override 'No.'","")</f>
        <v/>
      </c>
      <c r="AN149" s="253"/>
      <c r="AO149" s="1138" t="s">
        <v>6793</v>
      </c>
      <c r="AP149" s="1138" t="s">
        <v>6794</v>
      </c>
      <c r="AQ149" s="946"/>
      <c r="AR149" s="946"/>
      <c r="AS149" s="946"/>
      <c r="AT149" s="946"/>
      <c r="AU149" s="946"/>
      <c r="AV149" s="658"/>
      <c r="AW149" s="658"/>
      <c r="AX149" s="658"/>
      <c r="AY149"/>
      <c r="AZ149"/>
    </row>
    <row r="150" spans="1:52" s="815" customFormat="1" ht="17.25" customHeight="1" thickBot="1">
      <c r="A150" s="2013"/>
      <c r="B150" s="253"/>
      <c r="C150" s="2917"/>
      <c r="D150" s="10839" t="str">
        <f>"In "&amp;TaxYear&amp;", did you take a distribution from a traditional IRA, or make a Roth IRA conversion?"</f>
        <v>In 2025, did you take a distribution from a traditional IRA, or make a Roth IRA conversion?</v>
      </c>
      <c r="E150" s="10840"/>
      <c r="F150" s="10840"/>
      <c r="G150" s="10840"/>
      <c r="H150" s="10840"/>
      <c r="I150" s="10840"/>
      <c r="J150" s="10840"/>
      <c r="K150" s="10840"/>
      <c r="L150" s="10840"/>
      <c r="M150" s="10841"/>
      <c r="N150" s="347"/>
      <c r="O150" s="380"/>
      <c r="P150" s="9371" t="s">
        <v>569</v>
      </c>
      <c r="Q150" s="9371"/>
      <c r="R150" s="380"/>
      <c r="S150" s="380"/>
      <c r="T150" s="511" t="s">
        <v>3962</v>
      </c>
      <c r="U150" s="253"/>
      <c r="V150" s="253"/>
      <c r="W150" s="253"/>
      <c r="X150" s="253"/>
      <c r="Y150" s="253"/>
      <c r="Z150" s="253"/>
      <c r="AA150" s="253"/>
      <c r="AB150" s="253"/>
      <c r="AC150" s="253"/>
      <c r="AD150" s="2924"/>
      <c r="AE150" s="512"/>
      <c r="AF150" s="512"/>
      <c r="AG150" s="512"/>
      <c r="AH150" s="512"/>
      <c r="AI150" s="512"/>
      <c r="AJ150" s="512"/>
      <c r="AK150" s="2013"/>
      <c r="AL150" s="1987" t="str">
        <f>IF(AL153&lt;&gt;"","",IF(AL149&lt;&gt;"","X",IF(OR(AND(AL123&lt;&gt;"",OR('1099-R'!$M$4&gt;0,IRA_CONV_YOU&gt;0)),AND(AL124&lt;&gt;"",OR('1099-R'!$M$31&gt;0,IRA_CONV_SPOUSE&gt;0))),"","X")))</f>
        <v>X</v>
      </c>
      <c r="AM150" s="3789" t="s">
        <v>936</v>
      </c>
      <c r="AN150" s="253"/>
      <c r="AO150" s="6945">
        <v>2023</v>
      </c>
      <c r="AP150" s="6946">
        <v>2025</v>
      </c>
      <c r="AQ150" s="6947"/>
      <c r="AR150" s="10741" t="s">
        <v>6795</v>
      </c>
      <c r="AS150" s="10742"/>
      <c r="AT150" s="10742"/>
      <c r="AU150" s="10743"/>
      <c r="AV150" s="658"/>
      <c r="AW150" s="658"/>
      <c r="AX150" s="658"/>
      <c r="AY150"/>
      <c r="AZ150"/>
    </row>
    <row r="151" spans="1:52" s="815" customFormat="1" ht="12" customHeight="1" thickBot="1">
      <c r="A151" s="2013"/>
      <c r="B151" s="253"/>
      <c r="C151" s="2723"/>
      <c r="D151" s="10842"/>
      <c r="E151" s="10843"/>
      <c r="F151" s="10843"/>
      <c r="G151" s="10843"/>
      <c r="H151" s="10843"/>
      <c r="I151" s="10843"/>
      <c r="J151" s="10843"/>
      <c r="K151" s="10843"/>
      <c r="L151" s="10843"/>
      <c r="M151" s="10844"/>
      <c r="N151" s="253"/>
      <c r="O151" s="253"/>
      <c r="P151" s="9371"/>
      <c r="Q151" s="9371"/>
      <c r="R151" s="253"/>
      <c r="S151" s="253"/>
      <c r="T151" s="1672" t="s">
        <v>3963</v>
      </c>
      <c r="U151" s="253"/>
      <c r="V151" s="253"/>
      <c r="W151" s="1401"/>
      <c r="X151" s="253"/>
      <c r="Y151" s="253"/>
      <c r="Z151" s="253"/>
      <c r="AA151" s="253"/>
      <c r="AB151" s="253"/>
      <c r="AC151" s="253"/>
      <c r="AD151" s="2924"/>
      <c r="AE151" s="512"/>
      <c r="AF151" s="512"/>
      <c r="AG151" s="512"/>
      <c r="AH151" s="512"/>
      <c r="AI151" s="512"/>
      <c r="AJ151" s="512"/>
      <c r="AK151" s="2013"/>
      <c r="AL151" s="817"/>
      <c r="AM151" s="3812" t="b">
        <f>(AL150&lt;&gt;"")</f>
        <v>1</v>
      </c>
      <c r="AN151" s="253"/>
      <c r="AO151" s="6948"/>
      <c r="AP151" s="6949"/>
      <c r="AQ151" s="6950"/>
      <c r="AR151" s="10744"/>
      <c r="AS151" s="10745"/>
      <c r="AT151" s="10745"/>
      <c r="AU151" s="10746"/>
      <c r="AV151" s="658"/>
      <c r="AW151" s="658"/>
      <c r="AX151" s="658"/>
      <c r="AY151"/>
      <c r="AZ151"/>
    </row>
    <row r="152" spans="1:52" s="815" customFormat="1" ht="11.25" customHeight="1" thickBot="1">
      <c r="A152" s="2013"/>
      <c r="B152" s="253"/>
      <c r="C152" s="2723"/>
      <c r="D152" s="10842"/>
      <c r="E152" s="10843"/>
      <c r="F152" s="10843"/>
      <c r="G152" s="10843"/>
      <c r="H152" s="10843"/>
      <c r="I152" s="10843"/>
      <c r="J152" s="10843"/>
      <c r="K152" s="10843"/>
      <c r="L152" s="10843"/>
      <c r="M152" s="10844"/>
      <c r="N152" s="253"/>
      <c r="O152" s="253"/>
      <c r="P152" s="7706" t="s">
        <v>568</v>
      </c>
      <c r="Q152" s="7706"/>
      <c r="R152" s="253"/>
      <c r="S152" s="253"/>
      <c r="T152" s="10848" t="s">
        <v>3964</v>
      </c>
      <c r="U152" s="10848"/>
      <c r="V152" s="10848"/>
      <c r="W152" s="10848"/>
      <c r="X152" s="10848"/>
      <c r="Y152" s="10848"/>
      <c r="Z152" s="10848"/>
      <c r="AA152" s="10848"/>
      <c r="AB152" s="10848"/>
      <c r="AC152" s="10849"/>
      <c r="AD152" s="2924"/>
      <c r="AE152" s="512"/>
      <c r="AF152" s="512"/>
      <c r="AG152" s="512"/>
      <c r="AH152" s="512"/>
      <c r="AI152" s="512"/>
      <c r="AJ152" s="512"/>
      <c r="AK152" s="2013"/>
      <c r="AL152" s="1987" t="str">
        <f>IF(AL153&lt;&gt;"","X",IF(AM151,"","X"))</f>
        <v/>
      </c>
      <c r="AM152" s="3789" t="s">
        <v>938</v>
      </c>
      <c r="AN152" s="253"/>
      <c r="AO152" s="6948"/>
      <c r="AP152" s="6949"/>
      <c r="AQ152" s="6950"/>
      <c r="AR152" s="10744"/>
      <c r="AS152" s="10745"/>
      <c r="AT152" s="10745"/>
      <c r="AU152" s="10746"/>
      <c r="AV152" s="658"/>
      <c r="AW152" s="658"/>
      <c r="AX152" s="658"/>
      <c r="AY152"/>
      <c r="AZ152"/>
    </row>
    <row r="153" spans="1:52" s="815" customFormat="1" ht="10.5" customHeight="1" thickBot="1">
      <c r="A153" s="2013"/>
      <c r="B153" s="253"/>
      <c r="C153" s="2723"/>
      <c r="D153" s="10845"/>
      <c r="E153" s="10846"/>
      <c r="F153" s="10846"/>
      <c r="G153" s="10846"/>
      <c r="H153" s="10846"/>
      <c r="I153" s="10846"/>
      <c r="J153" s="10846"/>
      <c r="K153" s="10846"/>
      <c r="L153" s="10846"/>
      <c r="M153" s="10847"/>
      <c r="N153" s="338"/>
      <c r="O153" s="377"/>
      <c r="P153" s="7706"/>
      <c r="Q153" s="7706"/>
      <c r="R153" s="377"/>
      <c r="S153" s="377"/>
      <c r="T153" s="10848"/>
      <c r="U153" s="10848"/>
      <c r="V153" s="10848"/>
      <c r="W153" s="10848"/>
      <c r="X153" s="10848"/>
      <c r="Y153" s="10848"/>
      <c r="Z153" s="10848"/>
      <c r="AA153" s="10848"/>
      <c r="AB153" s="10848"/>
      <c r="AC153" s="10849"/>
      <c r="AD153" s="2924"/>
      <c r="AE153" s="512"/>
      <c r="AF153" s="512"/>
      <c r="AG153" s="512"/>
      <c r="AH153" s="512"/>
      <c r="AI153" s="512"/>
      <c r="AJ153" s="512"/>
      <c r="AK153" s="2013"/>
      <c r="AL153" s="1147"/>
      <c r="AM153" s="3789" t="str">
        <f>IF(AND(AL149="",OR(AL153&lt;&gt;"",AM151)),"Override 'Yes.'","")</f>
        <v>Override 'Yes.'</v>
      </c>
      <c r="AN153" s="253"/>
      <c r="AO153" s="6951"/>
      <c r="AP153" s="6952"/>
      <c r="AQ153" s="6953"/>
      <c r="AR153" s="10747"/>
      <c r="AS153" s="10748"/>
      <c r="AT153" s="10748"/>
      <c r="AU153" s="10749"/>
      <c r="AV153" s="658"/>
      <c r="AW153" s="658"/>
      <c r="AX153" s="658"/>
      <c r="AY153"/>
      <c r="AZ153"/>
    </row>
    <row r="154" spans="1:52" s="815" customFormat="1" ht="15" customHeight="1">
      <c r="A154" s="2013"/>
      <c r="B154" s="253"/>
      <c r="C154" s="2917" t="s">
        <v>235</v>
      </c>
      <c r="D154" s="511" t="str">
        <f>"Enter those contributions included on line 1 that were made from January 1, "&amp;TaxYear+1&amp;", through "&amp;TEXT(TaxDay,"mmmm dd")&amp;", "&amp;TaxYear+1</f>
        <v>Enter those contributions included on line 1 that were made from January 1, 2026, through April 15, 2026</v>
      </c>
      <c r="E154" s="511"/>
      <c r="F154" s="253"/>
      <c r="G154" s="253"/>
      <c r="H154" s="253"/>
      <c r="I154" s="253"/>
      <c r="J154" s="253"/>
      <c r="K154" s="253"/>
      <c r="L154" s="253"/>
      <c r="M154" s="253"/>
      <c r="N154" s="253"/>
      <c r="O154" s="253"/>
      <c r="P154" s="253"/>
      <c r="Q154" s="253"/>
      <c r="R154" s="253"/>
      <c r="S154" s="253"/>
      <c r="T154" s="253"/>
      <c r="U154" s="253"/>
      <c r="V154" s="253"/>
      <c r="W154" s="1401"/>
      <c r="X154" s="253"/>
      <c r="Y154" s="253"/>
      <c r="Z154" s="253"/>
      <c r="AA154" s="253"/>
      <c r="AB154" s="253"/>
      <c r="AC154" s="1657" t="s">
        <v>2390</v>
      </c>
      <c r="AD154" s="2895">
        <v>4</v>
      </c>
      <c r="AE154" s="10762"/>
      <c r="AF154" s="10833"/>
      <c r="AG154" s="10833"/>
      <c r="AH154" s="10833"/>
      <c r="AI154" s="10833"/>
      <c r="AJ154" s="10833"/>
      <c r="AK154" s="2013"/>
      <c r="AL154" s="817"/>
      <c r="AM154" s="817"/>
      <c r="AN154" s="253"/>
      <c r="AO154" s="6954">
        <v>2000</v>
      </c>
      <c r="AP154" s="6955">
        <v>2024</v>
      </c>
      <c r="AQ154" s="6956"/>
      <c r="AR154" s="6986" t="s">
        <v>6796</v>
      </c>
      <c r="AS154" s="6957"/>
      <c r="AT154" s="6957"/>
      <c r="AU154" s="6956"/>
      <c r="AV154" s="658"/>
      <c r="AW154" s="658"/>
      <c r="AX154" s="658"/>
      <c r="AY154"/>
      <c r="AZ154"/>
    </row>
    <row r="155" spans="1:52" s="815" customFormat="1" ht="15.75" customHeight="1">
      <c r="A155" s="2013"/>
      <c r="B155" s="253"/>
      <c r="C155" s="2917" t="s">
        <v>237</v>
      </c>
      <c r="D155" s="511" t="s">
        <v>3665</v>
      </c>
      <c r="E155" s="253"/>
      <c r="F155" s="253"/>
      <c r="G155" s="253"/>
      <c r="H155" s="253"/>
      <c r="I155" s="253"/>
      <c r="J155" s="253"/>
      <c r="K155" s="253"/>
      <c r="L155" s="253"/>
      <c r="M155" s="253"/>
      <c r="N155" s="253"/>
      <c r="O155" s="253"/>
      <c r="P155" s="253"/>
      <c r="Q155" s="253"/>
      <c r="R155" s="253"/>
      <c r="S155" s="253"/>
      <c r="T155" s="253"/>
      <c r="U155" s="253"/>
      <c r="V155" s="253"/>
      <c r="W155" s="253"/>
      <c r="X155" s="253"/>
      <c r="Y155" s="253"/>
      <c r="Z155" s="253"/>
      <c r="AA155" s="253"/>
      <c r="AB155" s="253"/>
      <c r="AC155" s="1657" t="s">
        <v>3758</v>
      </c>
      <c r="AD155" s="2895">
        <v>5</v>
      </c>
      <c r="AE155" s="10753" t="str">
        <f>IF(AM147,"",IF(AM151,"",MAX(0,SUM(AE149,-ROUND(AE154,0)))))</f>
        <v/>
      </c>
      <c r="AF155" s="10754"/>
      <c r="AG155" s="10754"/>
      <c r="AH155" s="10754"/>
      <c r="AI155" s="10754"/>
      <c r="AJ155" s="10754"/>
      <c r="AK155" s="2013"/>
      <c r="AL155" s="724"/>
      <c r="AM155" s="344"/>
      <c r="AN155" s="253"/>
      <c r="AO155" s="6954">
        <v>1992</v>
      </c>
      <c r="AP155" s="6955">
        <v>2001</v>
      </c>
      <c r="AQ155" s="6956"/>
      <c r="AR155" s="6986" t="s">
        <v>6797</v>
      </c>
      <c r="AS155" s="6958"/>
      <c r="AT155" s="6958"/>
      <c r="AU155" s="6959"/>
      <c r="AV155" s="658"/>
      <c r="AW155" s="658"/>
      <c r="AX155" s="658"/>
      <c r="AY155"/>
      <c r="AZ155"/>
    </row>
    <row r="156" spans="1:52" s="815" customFormat="1" ht="15" customHeight="1">
      <c r="A156" s="2013"/>
      <c r="B156" s="253"/>
      <c r="C156" s="2917" t="s">
        <v>239</v>
      </c>
      <c r="D156" s="1323" t="s">
        <v>6784</v>
      </c>
      <c r="E156" s="253"/>
      <c r="F156" s="253"/>
      <c r="G156" s="253"/>
      <c r="H156" s="253"/>
      <c r="I156" s="253"/>
      <c r="J156" s="253"/>
      <c r="K156" s="253"/>
      <c r="L156" s="253"/>
      <c r="M156" s="253"/>
      <c r="N156" s="253"/>
      <c r="O156" s="253"/>
      <c r="P156" s="2100" t="s">
        <v>6754</v>
      </c>
      <c r="Q156" s="253"/>
      <c r="R156" s="253"/>
      <c r="S156" s="253"/>
      <c r="T156" s="253"/>
      <c r="U156" s="253"/>
      <c r="V156" s="253"/>
      <c r="W156" s="253"/>
      <c r="X156" s="253"/>
      <c r="Y156" s="253"/>
      <c r="Z156" s="253"/>
      <c r="AA156" s="253"/>
      <c r="AB156" s="253"/>
      <c r="AC156" s="1657"/>
      <c r="AD156" s="2924"/>
      <c r="AE156" s="3877"/>
      <c r="AF156" s="512"/>
      <c r="AG156" s="512"/>
      <c r="AH156" s="512"/>
      <c r="AI156" s="512"/>
      <c r="AJ156" s="512"/>
      <c r="AK156" s="2013"/>
      <c r="AL156" s="4226" t="str">
        <f>IF(AND(OR(AE154&lt;&gt;"",SUM(AL158,AL162,AL164,AL180)&gt;0),AM151)," Do not complete the","")</f>
        <v/>
      </c>
      <c r="AM156" s="817"/>
      <c r="AN156" s="253"/>
      <c r="AO156" s="6954">
        <v>1992</v>
      </c>
      <c r="AP156" s="6955">
        <v>1993</v>
      </c>
      <c r="AQ156" s="6956"/>
      <c r="AR156" s="6986" t="s">
        <v>6796</v>
      </c>
      <c r="AS156" s="6957"/>
      <c r="AT156" s="6957"/>
      <c r="AU156" s="6956"/>
      <c r="AV156" s="658"/>
      <c r="AW156" s="658"/>
      <c r="AX156" s="658"/>
      <c r="AY156"/>
      <c r="AZ156"/>
    </row>
    <row r="157" spans="1:52" s="815" customFormat="1" ht="15" customHeight="1">
      <c r="A157" s="2013"/>
      <c r="B157" s="253"/>
      <c r="C157" s="2723"/>
      <c r="D157" s="511" t="str">
        <f>"Subtract certain "&amp;TaxYear&amp;" retirement plan distribution repayments treated as rollovers, if any. See"</f>
        <v>Subtract certain 2025 retirement plan distribution repayments treated as rollovers, if any. See</v>
      </c>
      <c r="E157" s="253"/>
      <c r="F157" s="253"/>
      <c r="G157" s="253"/>
      <c r="H157" s="253"/>
      <c r="I157" s="253"/>
      <c r="J157" s="253"/>
      <c r="K157" s="253"/>
      <c r="L157" s="253"/>
      <c r="M157" s="253"/>
      <c r="N157" s="253"/>
      <c r="O157" s="253"/>
      <c r="P157" s="253"/>
      <c r="Q157" s="253"/>
      <c r="R157" s="253"/>
      <c r="S157" s="253"/>
      <c r="T157" s="253"/>
      <c r="U157" s="253"/>
      <c r="V157" s="253"/>
      <c r="W157" s="253"/>
      <c r="X157" s="253"/>
      <c r="Y157" s="253"/>
      <c r="Z157" s="253"/>
      <c r="AA157" s="253"/>
      <c r="AB157" s="253"/>
      <c r="AC157" s="1657"/>
      <c r="AD157" s="2924"/>
      <c r="AE157" s="3877"/>
      <c r="AF157" s="512"/>
      <c r="AG157" s="512"/>
      <c r="AH157" s="512"/>
      <c r="AI157" s="512"/>
      <c r="AJ157" s="512"/>
      <c r="AK157" s="2013"/>
      <c r="AL157" s="4226" t="str">
        <f>IF(AND(OR(AE154&lt;&gt;"",SUM(AL158,AL164,AL165,AL180)&gt;0),AM151)," rest of Part I.","")</f>
        <v/>
      </c>
      <c r="AM157" s="344"/>
      <c r="AN157" s="253"/>
      <c r="AO157" s="6960">
        <v>1988</v>
      </c>
      <c r="AP157" s="6961"/>
      <c r="AQ157" s="6962"/>
      <c r="AR157" s="6986" t="s">
        <v>6798</v>
      </c>
      <c r="AS157" s="6963"/>
      <c r="AT157" s="6963"/>
      <c r="AU157" s="6962"/>
      <c r="AV157" s="658"/>
      <c r="AW157" s="658"/>
      <c r="AX157" s="658"/>
      <c r="AY157"/>
      <c r="AZ157"/>
    </row>
    <row r="158" spans="1:52" s="815" customFormat="1" ht="15" customHeight="1">
      <c r="A158" s="2013"/>
      <c r="B158" s="253"/>
      <c r="C158" s="2917"/>
      <c r="D158" s="511" t="s">
        <v>1872</v>
      </c>
      <c r="E158" s="253"/>
      <c r="F158" s="253"/>
      <c r="G158" s="253"/>
      <c r="H158" s="253"/>
      <c r="I158" s="253"/>
      <c r="J158" s="253"/>
      <c r="K158" s="253"/>
      <c r="L158" s="253"/>
      <c r="M158" s="253"/>
      <c r="N158" s="511"/>
      <c r="O158" s="511"/>
      <c r="P158" s="253"/>
      <c r="Q158" s="253"/>
      <c r="R158" s="253"/>
      <c r="S158" s="253"/>
      <c r="T158" s="253"/>
      <c r="U158" s="253"/>
      <c r="V158" s="253"/>
      <c r="W158" s="253"/>
      <c r="X158" s="253"/>
      <c r="Y158" s="253"/>
      <c r="Z158" s="253"/>
      <c r="AA158" s="253"/>
      <c r="AB158" s="253"/>
      <c r="AC158" s="1657" t="s">
        <v>2095</v>
      </c>
      <c r="AD158" s="2895">
        <v>6</v>
      </c>
      <c r="AE158" s="10761"/>
      <c r="AF158" s="10762"/>
      <c r="AG158" s="10762"/>
      <c r="AH158" s="10762"/>
      <c r="AI158" s="10762"/>
      <c r="AJ158" s="10762"/>
      <c r="AK158" s="2013"/>
      <c r="AL158" s="512">
        <f>IF(AE158&lt;&gt;"",1,0)</f>
        <v>0</v>
      </c>
      <c r="AM158" s="817"/>
      <c r="AN158" s="253"/>
      <c r="AO158" s="6960">
        <v>1987</v>
      </c>
      <c r="AP158" s="6961"/>
      <c r="AQ158" s="6962"/>
      <c r="AR158" s="6986" t="s">
        <v>6799</v>
      </c>
      <c r="AS158" s="6963"/>
      <c r="AT158" s="6963"/>
      <c r="AU158" s="6962"/>
      <c r="AV158" s="658"/>
      <c r="AW158" s="658"/>
      <c r="AX158" s="658"/>
      <c r="AY158"/>
      <c r="AZ158"/>
    </row>
    <row r="159" spans="1:52" s="815" customFormat="1" ht="14.25" customHeight="1">
      <c r="A159" s="2013"/>
      <c r="B159" s="253"/>
      <c r="C159" s="2917" t="s">
        <v>242</v>
      </c>
      <c r="D159" s="511" t="str">
        <f>"Enter your distributions from traditional IRAs in "&amp;TaxYear&amp;"."</f>
        <v>Enter your distributions from traditional IRAs in 2025.</v>
      </c>
      <c r="E159" s="253"/>
      <c r="F159" s="253"/>
      <c r="G159" s="253"/>
      <c r="H159" s="253"/>
      <c r="I159" s="253"/>
      <c r="J159" s="253"/>
      <c r="K159" s="253"/>
      <c r="L159" s="253"/>
      <c r="M159" s="253"/>
      <c r="N159" s="253"/>
      <c r="O159" s="253"/>
      <c r="P159" s="253"/>
      <c r="Q159" s="2100" t="s">
        <v>6754</v>
      </c>
      <c r="R159" s="253"/>
      <c r="S159" s="253"/>
      <c r="T159" s="253"/>
      <c r="U159" s="1856"/>
      <c r="V159" s="5361"/>
      <c r="W159" s="253"/>
      <c r="X159" s="253"/>
      <c r="Y159" s="253"/>
      <c r="Z159" s="253"/>
      <c r="AA159" s="253"/>
      <c r="AB159" s="253"/>
      <c r="AC159" s="1657"/>
      <c r="AD159" s="2924"/>
      <c r="AE159" s="3877"/>
      <c r="AF159" s="512"/>
      <c r="AG159" s="512"/>
      <c r="AH159" s="512"/>
      <c r="AI159" s="512"/>
      <c r="AJ159" s="512"/>
      <c r="AK159" s="2013"/>
      <c r="AL159" s="512"/>
      <c r="AM159" s="817"/>
      <c r="AN159" s="253"/>
      <c r="AO159" s="658"/>
      <c r="AP159" s="658"/>
      <c r="AQ159" s="658"/>
      <c r="AR159" s="658"/>
      <c r="AS159" s="658"/>
      <c r="AT159" s="658"/>
      <c r="AU159" s="658"/>
      <c r="AV159" s="658"/>
      <c r="AW159" s="658"/>
      <c r="AX159" s="658"/>
      <c r="AY159"/>
      <c r="AZ159"/>
    </row>
    <row r="160" spans="1:52" s="815" customFormat="1" ht="14.25" customHeight="1">
      <c r="A160" s="2013"/>
      <c r="B160" s="253"/>
      <c r="C160" s="2917"/>
      <c r="D160" s="1405" t="str">
        <f>TaxYear&amp;" retirement plan distribution repayments treated as rollovers (see instructions)."</f>
        <v>2025 retirement plan distribution repayments treated as rollovers (see instructions).</v>
      </c>
      <c r="E160" s="511"/>
      <c r="F160" s="253"/>
      <c r="G160" s="253"/>
      <c r="H160" s="253"/>
      <c r="I160" s="253"/>
      <c r="J160" s="253"/>
      <c r="K160" s="253"/>
      <c r="L160" s="253"/>
      <c r="M160" s="253"/>
      <c r="N160" s="253"/>
      <c r="O160" s="253"/>
      <c r="P160" s="253"/>
      <c r="Q160" s="253"/>
      <c r="R160" s="253"/>
      <c r="S160" s="253"/>
      <c r="T160" s="253"/>
      <c r="U160" s="253"/>
      <c r="V160" s="253"/>
      <c r="W160" s="253"/>
      <c r="X160" s="511" t="s">
        <v>6755</v>
      </c>
      <c r="Y160" s="253"/>
      <c r="Z160" s="253"/>
      <c r="AA160" s="253"/>
      <c r="AB160" s="253"/>
      <c r="AC160" s="1657"/>
      <c r="AD160" s="2924"/>
      <c r="AE160" s="3877"/>
      <c r="AF160" s="512"/>
      <c r="AG160" s="512"/>
      <c r="AH160" s="512"/>
      <c r="AI160" s="512"/>
      <c r="AJ160" s="512"/>
      <c r="AK160" s="2013"/>
      <c r="AL160" s="512"/>
      <c r="AM160" s="344"/>
      <c r="AN160" s="253"/>
      <c r="AO160" s="658"/>
      <c r="AP160" s="658"/>
      <c r="AQ160" s="658"/>
      <c r="AR160" s="658"/>
      <c r="AS160" s="658"/>
      <c r="AT160" s="658"/>
      <c r="AU160" s="658"/>
      <c r="AV160" s="658"/>
      <c r="AW160" s="658"/>
      <c r="AX160" s="658"/>
      <c r="AY160"/>
      <c r="AZ160"/>
    </row>
    <row r="161" spans="1:52" s="815" customFormat="1" ht="14.25" customHeight="1">
      <c r="A161" s="2013"/>
      <c r="B161" s="253"/>
      <c r="C161" s="2917"/>
      <c r="D161" s="511" t="s">
        <v>6752</v>
      </c>
      <c r="E161" s="511"/>
      <c r="F161" s="253"/>
      <c r="G161" s="253"/>
      <c r="H161" s="253"/>
      <c r="I161" s="253"/>
      <c r="J161" s="253"/>
      <c r="K161" s="253"/>
      <c r="L161" s="253"/>
      <c r="M161" s="253"/>
      <c r="N161" s="253"/>
      <c r="O161" s="253"/>
      <c r="P161" s="253"/>
      <c r="Q161" s="253"/>
      <c r="R161" s="253"/>
      <c r="S161" s="253"/>
      <c r="T161" s="253"/>
      <c r="U161" s="253"/>
      <c r="V161" s="253"/>
      <c r="W161" s="253"/>
      <c r="X161" s="253"/>
      <c r="Y161" s="253"/>
      <c r="Z161" s="253"/>
      <c r="AA161" s="253"/>
      <c r="AB161" s="253"/>
      <c r="AC161" s="1657"/>
      <c r="AD161" s="2924"/>
      <c r="AE161" s="3877"/>
      <c r="AF161" s="512"/>
      <c r="AG161" s="512"/>
      <c r="AH161" s="512"/>
      <c r="AI161" s="512"/>
      <c r="AJ161" s="512"/>
      <c r="AK161" s="2013"/>
      <c r="AL161" s="512"/>
      <c r="AM161" s="344"/>
      <c r="AN161" s="253"/>
      <c r="AO161" s="658"/>
      <c r="AP161" s="658"/>
      <c r="AQ161" s="658"/>
      <c r="AR161" s="658"/>
      <c r="AS161" s="658"/>
      <c r="AT161" s="658"/>
      <c r="AU161" s="658"/>
      <c r="AV161" s="658"/>
      <c r="AW161" s="658"/>
      <c r="AX161" s="658"/>
      <c r="AY161"/>
      <c r="AZ161"/>
    </row>
    <row r="162" spans="1:52" s="815" customFormat="1" ht="15.75">
      <c r="A162" s="2013"/>
      <c r="B162" s="253"/>
      <c r="C162" s="2723"/>
      <c r="D162" s="506" t="s">
        <v>6753</v>
      </c>
      <c r="E162" s="511"/>
      <c r="F162" s="253"/>
      <c r="G162" s="253"/>
      <c r="H162" s="253"/>
      <c r="I162" s="253"/>
      <c r="J162" s="253"/>
      <c r="K162" s="253"/>
      <c r="L162" s="253"/>
      <c r="M162" s="253"/>
      <c r="N162" s="253"/>
      <c r="O162" s="253"/>
      <c r="P162" s="253"/>
      <c r="Q162" s="253"/>
      <c r="R162" s="253"/>
      <c r="S162" s="253"/>
      <c r="T162" s="253"/>
      <c r="U162" s="253"/>
      <c r="V162" s="253"/>
      <c r="W162" s="253"/>
      <c r="X162" s="253"/>
      <c r="Y162" s="253"/>
      <c r="Z162" s="253"/>
      <c r="AA162" s="253"/>
      <c r="AB162" s="253"/>
      <c r="AC162" s="2198" t="s">
        <v>636</v>
      </c>
      <c r="AD162" s="2895">
        <v>7</v>
      </c>
      <c r="AE162" s="10761"/>
      <c r="AF162" s="10762"/>
      <c r="AG162" s="10762"/>
      <c r="AH162" s="10762"/>
      <c r="AI162" s="10762"/>
      <c r="AJ162" s="10762"/>
      <c r="AK162" s="2013"/>
      <c r="AL162" s="4226"/>
      <c r="AM162" s="226" t="s">
        <v>979</v>
      </c>
      <c r="AN162" s="253"/>
      <c r="AO162" s="658"/>
      <c r="AP162" s="658"/>
      <c r="AQ162" s="658"/>
      <c r="AR162" s="658"/>
      <c r="AS162" s="658"/>
      <c r="AT162" s="658"/>
      <c r="AU162" s="658"/>
      <c r="AV162" s="658"/>
      <c r="AW162" s="658"/>
      <c r="AX162" s="658"/>
      <c r="AY162"/>
      <c r="AZ162"/>
    </row>
    <row r="163" spans="1:52" s="815" customFormat="1" ht="16.5" customHeight="1" thickBot="1">
      <c r="A163" s="2013"/>
      <c r="B163" s="253"/>
      <c r="C163" s="2917" t="s">
        <v>244</v>
      </c>
      <c r="D163" s="511" t="str">
        <f>"Enter the net amount you converted from traditional IRAs to Roth IRAs in "&amp;TaxYear&amp;". Also, enter this amount"</f>
        <v>Enter the net amount you converted from traditional IRAs to Roth IRAs in 2025. Also, enter this amount</v>
      </c>
      <c r="E163" s="511"/>
      <c r="F163" s="253"/>
      <c r="G163" s="253"/>
      <c r="H163" s="253"/>
      <c r="I163" s="253"/>
      <c r="J163" s="253"/>
      <c r="K163" s="253"/>
      <c r="L163" s="253"/>
      <c r="M163" s="253"/>
      <c r="N163" s="253"/>
      <c r="O163" s="253"/>
      <c r="P163" s="253"/>
      <c r="Q163" s="253"/>
      <c r="R163" s="253"/>
      <c r="S163" s="253"/>
      <c r="T163" s="253"/>
      <c r="U163" s="253"/>
      <c r="V163" s="253"/>
      <c r="W163" s="253"/>
      <c r="X163" s="253"/>
      <c r="Y163" s="253"/>
      <c r="Z163" s="253"/>
      <c r="AA163" s="253"/>
      <c r="AB163" s="253"/>
      <c r="AC163" s="1657"/>
      <c r="AD163" s="726"/>
      <c r="AE163" s="253"/>
      <c r="AF163" s="253"/>
      <c r="AG163" s="253"/>
      <c r="AH163" s="253"/>
      <c r="AI163" s="253"/>
      <c r="AJ163" s="253"/>
      <c r="AK163" s="2013"/>
      <c r="AL163" s="4226"/>
      <c r="AM163" s="226" t="s">
        <v>931</v>
      </c>
      <c r="AN163" s="253"/>
      <c r="AO163" s="658"/>
      <c r="AP163" s="658"/>
      <c r="AQ163" s="658"/>
      <c r="AR163" s="658"/>
      <c r="AS163" s="658"/>
      <c r="AT163" s="658"/>
      <c r="AU163" s="658"/>
      <c r="AV163" s="658"/>
      <c r="AW163" s="658"/>
      <c r="AX163" s="658"/>
      <c r="AY163"/>
      <c r="AZ163"/>
    </row>
    <row r="164" spans="1:52" s="815" customFormat="1" ht="16.5" customHeight="1" thickBot="1">
      <c r="A164" s="2013"/>
      <c r="B164" s="253"/>
      <c r="C164" s="2917"/>
      <c r="D164" s="2046" t="s">
        <v>6756</v>
      </c>
      <c r="E164" s="2046"/>
      <c r="F164" s="253"/>
      <c r="G164" s="253"/>
      <c r="H164" s="253"/>
      <c r="I164" s="253"/>
      <c r="J164" s="253"/>
      <c r="K164" s="253"/>
      <c r="L164" s="253"/>
      <c r="M164" s="253"/>
      <c r="N164" s="1900"/>
      <c r="O164" s="1900"/>
      <c r="P164" s="1900"/>
      <c r="Q164" s="1900"/>
      <c r="R164" s="1900"/>
      <c r="S164" s="1900"/>
      <c r="T164" s="1900"/>
      <c r="U164" s="1900"/>
      <c r="V164" s="1900"/>
      <c r="W164" s="1900"/>
      <c r="X164" s="1900"/>
      <c r="Y164" s="1900"/>
      <c r="Z164" s="1900"/>
      <c r="AA164" s="253"/>
      <c r="AB164" s="253"/>
      <c r="AC164" s="1657" t="s">
        <v>2095</v>
      </c>
      <c r="AD164" s="2895">
        <v>8</v>
      </c>
      <c r="AE164" s="10757" t="str">
        <f>IF(AM164&lt;&gt;"",ROUND(AM164,0),IF(OR(AM147,AM151),"",IF(AL123&lt;&gt;"",IRA_CONV_YOU,IF(AL124&lt;&gt;"",IRA_CONV_SPOUSE))))</f>
        <v/>
      </c>
      <c r="AF164" s="10815"/>
      <c r="AG164" s="10815"/>
      <c r="AH164" s="10815"/>
      <c r="AI164" s="10815"/>
      <c r="AJ164" s="10815"/>
      <c r="AK164" s="2013"/>
      <c r="AL164" s="512">
        <f>IF(X162&lt;&gt;"",1,0)</f>
        <v>0</v>
      </c>
      <c r="AM164" s="6198"/>
      <c r="AN164" s="253"/>
      <c r="AO164" s="658"/>
      <c r="AP164" s="658"/>
      <c r="AQ164" s="658"/>
      <c r="AR164" s="658"/>
      <c r="AS164" s="658"/>
      <c r="AT164" s="658"/>
      <c r="AU164" s="658"/>
      <c r="AV164" s="658"/>
      <c r="AW164" s="658"/>
      <c r="AX164" s="658"/>
      <c r="AY164"/>
      <c r="AZ164"/>
    </row>
    <row r="165" spans="1:52" s="815" customFormat="1" ht="16.5" customHeight="1">
      <c r="A165" s="2013"/>
      <c r="B165" s="253"/>
      <c r="C165" s="2917" t="s">
        <v>377</v>
      </c>
      <c r="D165" s="511" t="s">
        <v>3965</v>
      </c>
      <c r="E165" s="511"/>
      <c r="F165" s="253"/>
      <c r="G165" s="253"/>
      <c r="H165" s="253"/>
      <c r="I165" s="253"/>
      <c r="J165" s="253"/>
      <c r="K165" s="253"/>
      <c r="L165" s="253"/>
      <c r="M165" s="253"/>
      <c r="N165" s="253"/>
      <c r="O165" s="253"/>
      <c r="P165" s="253"/>
      <c r="Q165" s="1900"/>
      <c r="R165" s="1900"/>
      <c r="S165" s="1900"/>
      <c r="T165" s="1900"/>
      <c r="U165" s="1900"/>
      <c r="V165" s="1657" t="s">
        <v>670</v>
      </c>
      <c r="W165" s="2895">
        <v>9</v>
      </c>
      <c r="X165" s="10757" t="str">
        <f>IF(AM147,"",IF(NOT(AM151),SUM(AE158,AE162,AE164),""))</f>
        <v/>
      </c>
      <c r="Y165" s="10758"/>
      <c r="Z165" s="10758"/>
      <c r="AA165" s="10758"/>
      <c r="AB165" s="10758"/>
      <c r="AC165" s="10824"/>
      <c r="AD165" s="2924"/>
      <c r="AE165" s="3877"/>
      <c r="AF165" s="512"/>
      <c r="AG165" s="512"/>
      <c r="AH165" s="512"/>
      <c r="AI165" s="512"/>
      <c r="AJ165" s="512"/>
      <c r="AK165" s="2013"/>
      <c r="AL165" s="512">
        <f>IF(X165&lt;&gt;"",1,0)</f>
        <v>0</v>
      </c>
      <c r="AM165" s="344"/>
      <c r="AN165" s="253"/>
      <c r="AO165" s="658"/>
      <c r="AP165" s="658"/>
      <c r="AQ165" s="658"/>
      <c r="AR165" s="658"/>
      <c r="AS165" s="658"/>
      <c r="AT165" s="658"/>
      <c r="AU165" s="658"/>
      <c r="AV165" s="658"/>
      <c r="AW165" s="658"/>
      <c r="AX165" s="658"/>
      <c r="AY165"/>
      <c r="AZ165"/>
    </row>
    <row r="166" spans="1:52" s="815" customFormat="1" ht="16.5" customHeight="1" thickBot="1">
      <c r="A166" s="2013"/>
      <c r="B166" s="253"/>
      <c r="C166" s="2917" t="s">
        <v>246</v>
      </c>
      <c r="D166" s="511" t="s">
        <v>3966</v>
      </c>
      <c r="E166" s="511"/>
      <c r="F166" s="253"/>
      <c r="G166" s="253"/>
      <c r="H166" s="253"/>
      <c r="I166" s="253"/>
      <c r="J166" s="253"/>
      <c r="K166" s="253"/>
      <c r="L166" s="253"/>
      <c r="M166" s="253"/>
      <c r="N166" s="253"/>
      <c r="O166" s="253"/>
      <c r="P166" s="253"/>
      <c r="Q166" s="253"/>
      <c r="R166" s="253"/>
      <c r="S166" s="253"/>
      <c r="T166" s="253"/>
      <c r="U166" s="253"/>
      <c r="V166" s="253"/>
      <c r="W166" s="2922"/>
      <c r="X166" s="408"/>
      <c r="Y166" s="253"/>
      <c r="Z166" s="8824"/>
      <c r="AA166" s="8824"/>
      <c r="AB166" s="8824"/>
      <c r="AC166" s="10850"/>
      <c r="AD166" s="2924"/>
      <c r="AE166" s="3877"/>
      <c r="AF166" s="512"/>
      <c r="AG166" s="512"/>
      <c r="AH166" s="512"/>
      <c r="AI166" s="512"/>
      <c r="AJ166" s="512"/>
      <c r="AK166" s="2013"/>
      <c r="AL166" s="512"/>
      <c r="AM166" s="344"/>
      <c r="AN166" s="253"/>
      <c r="AO166" s="658"/>
      <c r="AP166" s="658"/>
      <c r="AQ166" s="658"/>
      <c r="AR166" s="658"/>
      <c r="AS166" s="658"/>
      <c r="AT166" s="658"/>
      <c r="AU166" s="658"/>
      <c r="AV166" s="658"/>
      <c r="AW166" s="658"/>
      <c r="AX166" s="658"/>
      <c r="AY166"/>
      <c r="AZ166"/>
    </row>
    <row r="167" spans="1:52" s="815" customFormat="1" ht="16.5" customHeight="1" thickBot="1">
      <c r="A167" s="2013"/>
      <c r="B167" s="253"/>
      <c r="C167" s="2723"/>
      <c r="D167" s="511" t="s">
        <v>3967</v>
      </c>
      <c r="E167" s="511"/>
      <c r="F167" s="253"/>
      <c r="G167" s="253"/>
      <c r="H167" s="253"/>
      <c r="I167" s="253"/>
      <c r="J167" s="253"/>
      <c r="K167" s="253"/>
      <c r="L167" s="253"/>
      <c r="M167" s="253"/>
      <c r="N167" s="253"/>
      <c r="O167" s="253"/>
      <c r="P167" s="253"/>
      <c r="Q167" s="253"/>
      <c r="R167" s="253"/>
      <c r="S167" s="253"/>
      <c r="T167" s="253"/>
      <c r="U167" s="253"/>
      <c r="V167" s="2198" t="s">
        <v>670</v>
      </c>
      <c r="W167" s="2918">
        <v>10</v>
      </c>
      <c r="X167" s="4475"/>
      <c r="Y167" s="4476" t="str">
        <f>"x"</f>
        <v>x</v>
      </c>
      <c r="Z167" s="10827" t="str">
        <f>IF(AND(AM167&lt;&gt;"",AM167&gt;=1),1,IF(AM167&lt;&gt;"",AM167,IF(AM147,"",IF(NOT(AM151),AE167,""))))</f>
        <v/>
      </c>
      <c r="AA167" s="10827"/>
      <c r="AB167" s="10827"/>
      <c r="AC167" s="10828"/>
      <c r="AD167" s="2924"/>
      <c r="AE167" s="10863">
        <f>IF(OR(X165="",X165=0),0,MIN(1,ROUND(AE155/X165,5)))</f>
        <v>0</v>
      </c>
      <c r="AF167" s="10864"/>
      <c r="AG167" s="10864"/>
      <c r="AH167" s="10864"/>
      <c r="AI167" s="10864"/>
      <c r="AJ167" s="10864"/>
      <c r="AK167" s="2013"/>
      <c r="AL167" s="253"/>
      <c r="AM167" s="6197"/>
      <c r="AN167" s="253"/>
      <c r="AO167" s="658"/>
      <c r="AP167" s="658"/>
      <c r="AQ167" s="658"/>
      <c r="AR167" s="658"/>
      <c r="AS167" s="658"/>
      <c r="AT167" s="658"/>
      <c r="AU167" s="658"/>
      <c r="AV167" s="658"/>
      <c r="AW167" s="658"/>
      <c r="AX167" s="658"/>
      <c r="AY167"/>
      <c r="AZ167"/>
    </row>
    <row r="168" spans="1:52" s="815" customFormat="1" ht="16.5" customHeight="1">
      <c r="A168" s="2013"/>
      <c r="B168" s="253"/>
      <c r="C168" s="2917" t="s">
        <v>248</v>
      </c>
      <c r="D168" s="511" t="s">
        <v>3968</v>
      </c>
      <c r="E168" s="511"/>
      <c r="F168" s="253"/>
      <c r="G168" s="253"/>
      <c r="H168" s="253"/>
      <c r="I168" s="253"/>
      <c r="J168" s="253"/>
      <c r="K168" s="253"/>
      <c r="L168" s="253"/>
      <c r="M168" s="253"/>
      <c r="N168" s="253"/>
      <c r="O168" s="253"/>
      <c r="P168" s="253"/>
      <c r="Q168" s="253"/>
      <c r="R168" s="253"/>
      <c r="S168" s="253"/>
      <c r="T168" s="253"/>
      <c r="U168" s="253"/>
      <c r="V168" s="253"/>
      <c r="W168" s="2922"/>
      <c r="X168" s="253"/>
      <c r="Y168" s="253"/>
      <c r="Z168" s="253"/>
      <c r="AA168" s="253"/>
      <c r="AB168" s="253"/>
      <c r="AC168" s="253"/>
      <c r="AD168" s="2924"/>
      <c r="AE168" s="3877"/>
      <c r="AF168" s="512"/>
      <c r="AG168" s="512"/>
      <c r="AH168" s="512"/>
      <c r="AI168" s="512"/>
      <c r="AJ168" s="512"/>
      <c r="AK168" s="2013"/>
      <c r="AL168" s="253"/>
      <c r="AM168" s="344"/>
      <c r="AN168" s="253"/>
      <c r="AO168" s="658"/>
      <c r="AP168" s="658"/>
      <c r="AQ168" s="658"/>
      <c r="AR168" s="658"/>
      <c r="AS168" s="658"/>
      <c r="AT168" s="658"/>
      <c r="AU168" s="658"/>
      <c r="AV168" s="658"/>
      <c r="AW168" s="658"/>
      <c r="AX168" s="658"/>
      <c r="AY168"/>
      <c r="AZ168"/>
    </row>
    <row r="169" spans="1:52" s="815" customFormat="1" ht="16.5" customHeight="1">
      <c r="A169" s="2013"/>
      <c r="B169" s="253"/>
      <c r="C169" s="2723"/>
      <c r="D169" s="511" t="s">
        <v>3969</v>
      </c>
      <c r="E169" s="511"/>
      <c r="F169" s="253"/>
      <c r="G169" s="253"/>
      <c r="H169" s="253"/>
      <c r="I169" s="253"/>
      <c r="J169" s="253"/>
      <c r="K169" s="253"/>
      <c r="L169" s="253"/>
      <c r="M169" s="253"/>
      <c r="N169" s="253"/>
      <c r="O169" s="253"/>
      <c r="P169" s="253"/>
      <c r="Q169" s="253"/>
      <c r="R169" s="253"/>
      <c r="S169" s="253"/>
      <c r="T169" s="253"/>
      <c r="U169" s="253"/>
      <c r="V169" s="2198" t="s">
        <v>624</v>
      </c>
      <c r="W169" s="2918">
        <v>11</v>
      </c>
      <c r="X169" s="10757" t="str">
        <f>IF(AM147,"",IF(NOT(AM151),ROUND(AE164*Z167,0),""))</f>
        <v/>
      </c>
      <c r="Y169" s="10815"/>
      <c r="Z169" s="10815"/>
      <c r="AA169" s="10815"/>
      <c r="AB169" s="10815"/>
      <c r="AC169" s="10865"/>
      <c r="AD169" s="2924"/>
      <c r="AE169" s="253"/>
      <c r="AF169" s="253"/>
      <c r="AG169" s="253"/>
      <c r="AH169" s="253"/>
      <c r="AI169" s="253"/>
      <c r="AJ169" s="253"/>
      <c r="AK169" s="2013"/>
      <c r="AL169" s="253"/>
      <c r="AM169" s="344"/>
      <c r="AN169" s="253"/>
      <c r="AO169" s="658"/>
      <c r="AP169" s="658"/>
      <c r="AQ169" s="658"/>
      <c r="AR169" s="658"/>
      <c r="AS169" s="658"/>
      <c r="AT169" s="658"/>
      <c r="AU169" s="658"/>
      <c r="AV169" s="658"/>
      <c r="AW169" s="658"/>
      <c r="AX169" s="658"/>
      <c r="AY169"/>
      <c r="AZ169"/>
    </row>
    <row r="170" spans="1:52" s="815" customFormat="1" ht="16.5" customHeight="1">
      <c r="A170" s="2013"/>
      <c r="B170" s="253"/>
      <c r="C170" s="2917" t="s">
        <v>1020</v>
      </c>
      <c r="D170" s="511" t="s">
        <v>6785</v>
      </c>
      <c r="E170" s="511"/>
      <c r="F170" s="253"/>
      <c r="G170" s="253"/>
      <c r="H170" s="253"/>
      <c r="I170" s="253"/>
      <c r="J170" s="253"/>
      <c r="K170" s="253"/>
      <c r="L170" s="253"/>
      <c r="M170" s="253"/>
      <c r="N170" s="253"/>
      <c r="O170" s="253"/>
      <c r="P170" s="253"/>
      <c r="Q170" s="253"/>
      <c r="R170" s="253"/>
      <c r="S170" s="253"/>
      <c r="T170" s="253"/>
      <c r="U170" s="253"/>
      <c r="V170" s="2198"/>
      <c r="W170" s="2922"/>
      <c r="X170" s="10825"/>
      <c r="Y170" s="10540"/>
      <c r="Z170" s="10540"/>
      <c r="AA170" s="10540"/>
      <c r="AB170" s="10540"/>
      <c r="AC170" s="10826"/>
      <c r="AD170" s="2924"/>
      <c r="AE170" s="253"/>
      <c r="AF170" s="253"/>
      <c r="AG170" s="253"/>
      <c r="AH170" s="253"/>
      <c r="AI170" s="253"/>
      <c r="AJ170" s="253"/>
      <c r="AK170" s="2013"/>
      <c r="AL170" s="253"/>
      <c r="AM170" s="3812" t="b">
        <f>AND(AE184&lt;&gt;"",AE184&gt;0,OR(AND(AL123&lt;&gt;"",IRA_Taxable_You&gt;0),AND(AL124&lt;&gt;"",IRA_Taxable_Spouse&gt;0)))</f>
        <v>0</v>
      </c>
      <c r="AN170" s="253"/>
      <c r="AO170" s="658"/>
      <c r="AP170" s="658"/>
      <c r="AQ170" s="658"/>
      <c r="AR170" s="658"/>
      <c r="AS170" s="658"/>
      <c r="AT170" s="658"/>
      <c r="AU170" s="658"/>
      <c r="AV170" s="658"/>
      <c r="AW170" s="658"/>
      <c r="AX170" s="658"/>
      <c r="AY170"/>
      <c r="AZ170"/>
    </row>
    <row r="171" spans="1:52" ht="16.5" customHeight="1">
      <c r="A171" s="2013"/>
      <c r="B171" s="253"/>
      <c r="C171" s="2917"/>
      <c r="D171" s="2046" t="s">
        <v>6787</v>
      </c>
      <c r="E171" s="511"/>
      <c r="F171" s="253"/>
      <c r="G171" s="253"/>
      <c r="H171" s="253"/>
      <c r="I171" s="253"/>
      <c r="J171" s="253"/>
      <c r="K171" s="253"/>
      <c r="L171" s="253"/>
      <c r="M171" s="253"/>
      <c r="N171" s="253"/>
      <c r="O171" s="253"/>
      <c r="P171" s="253"/>
      <c r="Q171" s="253"/>
      <c r="R171" s="253"/>
      <c r="S171" s="253"/>
      <c r="T171" s="253"/>
      <c r="U171" s="253"/>
      <c r="V171" s="2198" t="s">
        <v>6789</v>
      </c>
      <c r="W171" s="2918">
        <v>12</v>
      </c>
      <c r="X171" s="10757" t="str">
        <f>IF(AM147,"",IF(NOT(AM151),ROUND(AE162*Z167,0),""))</f>
        <v/>
      </c>
      <c r="Y171" s="10758"/>
      <c r="Z171" s="10758"/>
      <c r="AA171" s="10758"/>
      <c r="AB171" s="10758"/>
      <c r="AC171" s="10824"/>
      <c r="AD171" s="2924"/>
      <c r="AE171" s="253"/>
      <c r="AF171" s="253"/>
      <c r="AG171" s="253"/>
      <c r="AH171" s="253"/>
      <c r="AI171" s="253"/>
      <c r="AJ171" s="253"/>
      <c r="AK171" s="2013"/>
      <c r="AL171" s="253"/>
      <c r="AM171" s="226" t="s">
        <v>979</v>
      </c>
      <c r="AN171" s="253"/>
      <c r="AY171" s="421"/>
      <c r="AZ171" s="421"/>
    </row>
    <row r="172" spans="1:52" ht="16.5" customHeight="1" thickBot="1">
      <c r="A172" s="2013"/>
      <c r="B172" s="253"/>
      <c r="C172" s="2917" t="s">
        <v>251</v>
      </c>
      <c r="D172" s="511" t="s">
        <v>3970</v>
      </c>
      <c r="E172" s="511"/>
      <c r="F172" s="253"/>
      <c r="G172" s="253"/>
      <c r="H172" s="253"/>
      <c r="I172" s="253"/>
      <c r="J172" s="253"/>
      <c r="K172" s="253"/>
      <c r="L172" s="253"/>
      <c r="M172" s="253"/>
      <c r="N172" s="253"/>
      <c r="O172" s="253"/>
      <c r="P172" s="253"/>
      <c r="Q172" s="253"/>
      <c r="R172" s="253"/>
      <c r="S172" s="253"/>
      <c r="T172" s="253"/>
      <c r="U172" s="253"/>
      <c r="V172" s="253"/>
      <c r="W172" s="253"/>
      <c r="X172" s="253"/>
      <c r="Y172" s="253"/>
      <c r="Z172" s="253"/>
      <c r="AA172" s="253"/>
      <c r="AB172" s="253"/>
      <c r="AC172" s="2198" t="s">
        <v>874</v>
      </c>
      <c r="AD172" s="2918">
        <v>13</v>
      </c>
      <c r="AE172" s="10757" t="str">
        <f>IF(AM147,"",IF(NOT(AM151),SUM(X169,X171),""))</f>
        <v/>
      </c>
      <c r="AF172" s="10815"/>
      <c r="AG172" s="10815"/>
      <c r="AH172" s="10815"/>
      <c r="AI172" s="10815"/>
      <c r="AJ172" s="10815"/>
      <c r="AK172" s="2013"/>
      <c r="AL172" s="253"/>
      <c r="AM172" s="226" t="s">
        <v>931</v>
      </c>
      <c r="AN172" s="253"/>
      <c r="AY172" s="421"/>
      <c r="AZ172" s="421"/>
    </row>
    <row r="173" spans="1:52" ht="16.5" customHeight="1" thickBot="1">
      <c r="A173" s="2013"/>
      <c r="B173" s="253"/>
      <c r="C173" s="2917" t="s">
        <v>253</v>
      </c>
      <c r="D173" s="511" t="s">
        <v>3971</v>
      </c>
      <c r="E173" s="511"/>
      <c r="F173" s="253"/>
      <c r="G173" s="253"/>
      <c r="H173" s="253"/>
      <c r="I173" s="253"/>
      <c r="J173" s="253"/>
      <c r="K173" s="253"/>
      <c r="L173" s="1469" t="s">
        <v>3972</v>
      </c>
      <c r="M173" s="810" t="str">
        <f>"your total basis in traditional IRAs for "&amp;TaxYear&amp;" and earlier years"</f>
        <v>your total basis in traditional IRAs for 2025 and earlier years</v>
      </c>
      <c r="N173" s="253"/>
      <c r="O173" s="253"/>
      <c r="P173" s="253"/>
      <c r="Q173" s="253"/>
      <c r="R173" s="253"/>
      <c r="S173" s="253"/>
      <c r="T173" s="253"/>
      <c r="U173" s="253"/>
      <c r="V173" s="253"/>
      <c r="W173" s="2922"/>
      <c r="X173" s="408"/>
      <c r="Y173" s="253"/>
      <c r="Z173" s="253"/>
      <c r="AA173" s="253"/>
      <c r="AB173" s="253"/>
      <c r="AC173" s="1657" t="s">
        <v>1088</v>
      </c>
      <c r="AD173" s="2918">
        <v>14</v>
      </c>
      <c r="AE173" s="10757" t="str">
        <f>IF(AM173&lt;&gt;"",ROUND(AM173,0),IF(AM147,"",IF(NOT(AM151),MAX(0,SUM(AE149,-AE172)),MAX(0,AE149))))</f>
        <v/>
      </c>
      <c r="AF173" s="10815"/>
      <c r="AG173" s="10815"/>
      <c r="AH173" s="10815"/>
      <c r="AI173" s="10815"/>
      <c r="AJ173" s="10815"/>
      <c r="AK173" s="2013"/>
      <c r="AL173" s="253"/>
      <c r="AM173" s="6198"/>
      <c r="AN173" s="253"/>
      <c r="AY173" s="421"/>
      <c r="AZ173" s="421"/>
    </row>
    <row r="174" spans="1:52" s="815" customFormat="1" ht="15.75">
      <c r="A174" s="3888"/>
      <c r="B174" s="3889" t="s">
        <v>3917</v>
      </c>
      <c r="C174" s="4483"/>
      <c r="D174" s="2344"/>
      <c r="E174" s="2344"/>
      <c r="F174" s="2344"/>
      <c r="G174" s="2344"/>
      <c r="H174" s="2344"/>
      <c r="I174" s="2344"/>
      <c r="J174" s="2344"/>
      <c r="K174" s="2344"/>
      <c r="L174" s="2344"/>
      <c r="M174" s="2344"/>
      <c r="N174" s="2344"/>
      <c r="O174" s="2344"/>
      <c r="P174" s="2344"/>
      <c r="Q174" s="89"/>
      <c r="R174" s="89"/>
      <c r="S174" s="89"/>
      <c r="T174" s="89"/>
      <c r="U174" s="3890"/>
      <c r="V174" s="89"/>
      <c r="W174" s="3890" t="s">
        <v>3981</v>
      </c>
      <c r="X174" s="89"/>
      <c r="Y174" s="89"/>
      <c r="Z174" s="89"/>
      <c r="AA174" s="89"/>
      <c r="AB174" s="89"/>
      <c r="AC174" s="89"/>
      <c r="AD174" s="2345" t="s">
        <v>3949</v>
      </c>
      <c r="AE174" s="6747"/>
      <c r="AF174" s="2345" t="str">
        <f>"("&amp;TaxYear&amp;")"</f>
        <v>(2025)</v>
      </c>
      <c r="AG174" s="89"/>
      <c r="AH174" s="2345"/>
      <c r="AI174" s="89"/>
      <c r="AJ174" s="2345" t="s">
        <v>6387</v>
      </c>
      <c r="AK174" s="2013"/>
      <c r="AL174" s="253"/>
      <c r="AM174" s="344"/>
      <c r="AN174" s="253"/>
      <c r="AO174" s="658"/>
      <c r="AP174" s="658"/>
      <c r="AQ174" s="658"/>
      <c r="AR174" s="658"/>
      <c r="AS174" s="658"/>
      <c r="AT174" s="658"/>
      <c r="AU174" s="658"/>
      <c r="AV174" s="658"/>
      <c r="AW174" s="658"/>
      <c r="AX174" s="658"/>
      <c r="AY174"/>
      <c r="AZ174"/>
    </row>
    <row r="175" spans="1:52" s="815" customFormat="1" ht="18" customHeight="1" thickBot="1">
      <c r="A175" s="2013"/>
      <c r="B175" s="721" t="str">
        <f>"Form 8606 ("&amp;TaxYear&amp;")"</f>
        <v>Form 8606 (2025)</v>
      </c>
      <c r="C175" s="4484"/>
      <c r="D175" s="721"/>
      <c r="E175" s="721"/>
      <c r="F175" s="721"/>
      <c r="G175" s="721"/>
      <c r="H175" s="721"/>
      <c r="I175" s="721"/>
      <c r="J175" s="721"/>
      <c r="K175" s="721"/>
      <c r="L175" s="721"/>
      <c r="M175" s="721"/>
      <c r="N175" s="721"/>
      <c r="O175" s="721"/>
      <c r="P175" s="721"/>
      <c r="Q175" s="721"/>
      <c r="R175" s="721"/>
      <c r="S175" s="721"/>
      <c r="T175" s="721"/>
      <c r="U175" s="721"/>
      <c r="V175" s="721"/>
      <c r="W175" s="721"/>
      <c r="X175" s="721"/>
      <c r="Y175" s="721"/>
      <c r="Z175" s="721"/>
      <c r="AA175" s="721"/>
      <c r="AB175" s="721"/>
      <c r="AC175" s="721"/>
      <c r="AD175" s="721"/>
      <c r="AE175" s="721"/>
      <c r="AF175" s="721"/>
      <c r="AG175" s="721"/>
      <c r="AH175" s="721"/>
      <c r="AI175" s="2053" t="s">
        <v>2079</v>
      </c>
      <c r="AJ175" s="2054">
        <v>2</v>
      </c>
      <c r="AK175" s="2013"/>
      <c r="AL175" s="253"/>
      <c r="AM175" s="344"/>
      <c r="AN175" s="253"/>
      <c r="AO175" s="658"/>
      <c r="AP175" s="658"/>
      <c r="AQ175" s="658"/>
      <c r="AR175" s="658"/>
      <c r="AS175" s="658"/>
      <c r="AT175" s="658"/>
      <c r="AU175" s="658"/>
      <c r="AV175" s="658"/>
      <c r="AW175" s="658"/>
      <c r="AX175" s="658"/>
      <c r="AY175"/>
      <c r="AZ175"/>
    </row>
    <row r="176" spans="1:52" s="815" customFormat="1" ht="19.5" customHeight="1" thickTop="1">
      <c r="A176" s="2013"/>
      <c r="B176" s="9755" t="s">
        <v>780</v>
      </c>
      <c r="C176" s="9755"/>
      <c r="D176" s="5701"/>
      <c r="E176" s="10853" t="s">
        <v>6757</v>
      </c>
      <c r="F176" s="10853"/>
      <c r="G176" s="10853"/>
      <c r="H176" s="10853"/>
      <c r="I176" s="10853"/>
      <c r="J176" s="10853"/>
      <c r="K176" s="10853"/>
      <c r="L176" s="10853"/>
      <c r="M176" s="10853"/>
      <c r="N176" s="10853"/>
      <c r="O176" s="10853"/>
      <c r="P176" s="10853"/>
      <c r="Q176" s="10853"/>
      <c r="R176" s="10853"/>
      <c r="S176" s="10853"/>
      <c r="T176" s="10853"/>
      <c r="U176" s="10853"/>
      <c r="V176" s="10853"/>
      <c r="W176" s="10853"/>
      <c r="X176" s="10853"/>
      <c r="Y176" s="10853"/>
      <c r="Z176" s="10853"/>
      <c r="AA176" s="10853"/>
      <c r="AB176" s="10853"/>
      <c r="AC176" s="10853"/>
      <c r="AD176" s="10853"/>
      <c r="AE176" s="10853"/>
      <c r="AF176" s="10853"/>
      <c r="AG176" s="10853"/>
      <c r="AH176" s="10853"/>
      <c r="AI176" s="10853"/>
      <c r="AJ176" s="10853"/>
      <c r="AK176" s="2013"/>
      <c r="AL176" s="253"/>
      <c r="AM176" s="344"/>
      <c r="AN176" s="253"/>
      <c r="AO176" s="658"/>
      <c r="AP176" s="1114"/>
      <c r="AQ176" s="658"/>
      <c r="AR176" s="658"/>
      <c r="AS176" s="658"/>
      <c r="AT176" s="658"/>
      <c r="AU176" s="658"/>
      <c r="AV176" s="658"/>
      <c r="AW176" s="658"/>
      <c r="AX176" s="658"/>
      <c r="AY176"/>
      <c r="AZ176"/>
    </row>
    <row r="177" spans="1:52" ht="16.5" customHeight="1">
      <c r="A177" s="2013"/>
      <c r="B177" s="253"/>
      <c r="C177" s="2917" t="s">
        <v>3973</v>
      </c>
      <c r="D177" s="1672" t="s">
        <v>3974</v>
      </c>
      <c r="E177" s="511"/>
      <c r="F177" s="253"/>
      <c r="G177" s="253"/>
      <c r="H177" s="253"/>
      <c r="I177" s="253"/>
      <c r="J177" s="253"/>
      <c r="K177" s="253"/>
      <c r="L177" s="253"/>
      <c r="M177" s="253"/>
      <c r="N177" s="253"/>
      <c r="O177" s="253"/>
      <c r="P177" s="253"/>
      <c r="Q177" s="253"/>
      <c r="R177" s="253"/>
      <c r="S177" s="253"/>
      <c r="T177" s="253"/>
      <c r="U177" s="253"/>
      <c r="V177" s="253"/>
      <c r="W177" s="253"/>
      <c r="X177" s="253"/>
      <c r="Y177" s="253"/>
      <c r="Z177" s="253"/>
      <c r="AA177" s="253"/>
      <c r="AB177" s="253"/>
      <c r="AC177" s="2198" t="s">
        <v>1888</v>
      </c>
      <c r="AD177" s="2918" t="s">
        <v>3975</v>
      </c>
      <c r="AE177" s="10757" t="str">
        <f>IF(AM147,"",IF(NOT(AM151),SUM(AE162,-X171),""))</f>
        <v/>
      </c>
      <c r="AF177" s="10758"/>
      <c r="AG177" s="10758"/>
      <c r="AH177" s="10758"/>
      <c r="AI177" s="10758"/>
      <c r="AJ177" s="10758"/>
      <c r="AK177" s="2013"/>
      <c r="AL177" s="4477"/>
      <c r="AM177" s="6751"/>
      <c r="AN177" s="4477"/>
      <c r="AY177" s="421"/>
      <c r="AZ177" s="421"/>
    </row>
    <row r="178" spans="1:52" ht="15" customHeight="1">
      <c r="A178" s="2013"/>
      <c r="B178" s="253"/>
      <c r="C178" s="4478" t="s">
        <v>592</v>
      </c>
      <c r="D178" s="1323" t="str">
        <f>"Enter the amount on line 15a attributable to qualified disaster distributions from "&amp;TaxYear&amp;" Form(s),"</f>
        <v>Enter the amount on line 15a attributable to qualified disaster distributions from 2025 Form(s),</v>
      </c>
      <c r="E178" s="511"/>
      <c r="F178" s="253"/>
      <c r="G178" s="253"/>
      <c r="H178" s="253"/>
      <c r="I178" s="253"/>
      <c r="J178" s="253"/>
      <c r="K178" s="253"/>
      <c r="L178" s="253"/>
      <c r="M178" s="253"/>
      <c r="N178" s="253"/>
      <c r="O178" s="253"/>
      <c r="P178" s="253"/>
      <c r="Q178" s="253"/>
      <c r="R178" s="253"/>
      <c r="S178" s="253"/>
      <c r="T178" s="253"/>
      <c r="U178" s="253"/>
      <c r="V178" s="253"/>
      <c r="W178" s="253"/>
      <c r="X178" s="253"/>
      <c r="Y178" s="253"/>
      <c r="Z178" s="253"/>
      <c r="AA178" s="253"/>
      <c r="AB178" s="253"/>
      <c r="AC178" s="409"/>
      <c r="AD178" s="726"/>
      <c r="AE178" s="253"/>
      <c r="AF178" s="253"/>
      <c r="AG178" s="253"/>
      <c r="AH178" s="253"/>
      <c r="AI178" s="253"/>
      <c r="AJ178" s="253"/>
      <c r="AK178" s="2013"/>
      <c r="AL178" s="4477"/>
      <c r="AM178" s="6751"/>
      <c r="AN178" s="4477"/>
    </row>
    <row r="179" spans="1:52" ht="15" customHeight="1">
      <c r="A179" s="2013"/>
      <c r="B179" s="253"/>
      <c r="C179" s="2723"/>
      <c r="D179" s="1323" t="str">
        <f>"8915-F. See instructions. Also, enter this amount on "&amp;TaxYear&amp;" Form 8915-F, line 18, as applicable. See"</f>
        <v>8915-F. See instructions. Also, enter this amount on 2025 Form 8915-F, line 18, as applicable. See</v>
      </c>
      <c r="E179" s="416"/>
      <c r="F179" s="416"/>
      <c r="G179" s="416"/>
      <c r="H179" s="253"/>
      <c r="I179" s="253"/>
      <c r="J179" s="253"/>
      <c r="K179" s="253"/>
      <c r="L179" s="253"/>
      <c r="M179" s="253"/>
      <c r="N179" s="253"/>
      <c r="O179" s="253"/>
      <c r="P179" s="253"/>
      <c r="Q179" s="253"/>
      <c r="R179" s="253"/>
      <c r="S179" s="253"/>
      <c r="T179" s="253"/>
      <c r="U179" s="253"/>
      <c r="V179" s="253"/>
      <c r="W179" s="253"/>
      <c r="X179" s="810"/>
      <c r="Y179" s="253"/>
      <c r="Z179" s="253"/>
      <c r="AA179" s="253"/>
      <c r="AB179" s="253"/>
      <c r="AC179" s="253"/>
      <c r="AD179" s="726"/>
      <c r="AE179" s="253"/>
      <c r="AF179" s="253"/>
      <c r="AG179" s="253"/>
      <c r="AH179" s="253"/>
      <c r="AI179" s="253"/>
      <c r="AJ179" s="253"/>
      <c r="AK179" s="2013"/>
      <c r="AL179" s="4477"/>
      <c r="AM179" s="6751"/>
      <c r="AN179" s="4477"/>
    </row>
    <row r="180" spans="1:52" ht="15" customHeight="1">
      <c r="A180" s="2013"/>
      <c r="B180" s="253"/>
      <c r="C180" s="2723"/>
      <c r="D180" s="1323" t="s">
        <v>1872</v>
      </c>
      <c r="E180" s="416"/>
      <c r="F180" s="416"/>
      <c r="G180" s="416"/>
      <c r="H180" s="416"/>
      <c r="I180" s="253"/>
      <c r="J180" s="253"/>
      <c r="K180" s="253"/>
      <c r="L180" s="253"/>
      <c r="M180" s="253"/>
      <c r="N180" s="253"/>
      <c r="O180" s="253"/>
      <c r="P180" s="253"/>
      <c r="Q180" s="253"/>
      <c r="R180" s="253"/>
      <c r="S180" s="253"/>
      <c r="T180" s="253"/>
      <c r="U180" s="253"/>
      <c r="V180" s="253"/>
      <c r="W180" s="253"/>
      <c r="X180" s="253"/>
      <c r="Y180" s="253"/>
      <c r="Z180" s="253"/>
      <c r="AA180" s="253"/>
      <c r="AB180" s="253"/>
      <c r="AC180" s="2198" t="s">
        <v>2667</v>
      </c>
      <c r="AD180" s="2918" t="s">
        <v>3976</v>
      </c>
      <c r="AE180" s="10761"/>
      <c r="AF180" s="10817"/>
      <c r="AG180" s="10817"/>
      <c r="AH180" s="10817"/>
      <c r="AI180" s="10817"/>
      <c r="AJ180" s="10817"/>
      <c r="AK180" s="2013"/>
      <c r="AL180" s="512">
        <f>IF(AE180&lt;&gt;"",1,0)</f>
        <v>0</v>
      </c>
      <c r="AM180" s="226" t="s">
        <v>979</v>
      </c>
      <c r="AN180" s="4477"/>
    </row>
    <row r="181" spans="1:52" ht="16.5" customHeight="1">
      <c r="A181" s="2013"/>
      <c r="B181" s="253"/>
      <c r="C181" s="4478" t="s">
        <v>595</v>
      </c>
      <c r="D181" s="810" t="s">
        <v>3977</v>
      </c>
      <c r="E181" s="416"/>
      <c r="F181" s="416"/>
      <c r="G181" s="416"/>
      <c r="H181" s="511"/>
      <c r="I181" s="1323" t="str">
        <f>"Subtract line 15b from line 15a. Reduce that amount by certain "&amp;TaxYear&amp;" retirement plan"</f>
        <v>Subtract line 15b from line 15a. Reduce that amount by certain 2025 retirement plan</v>
      </c>
      <c r="J181" s="253"/>
      <c r="K181" s="253"/>
      <c r="L181" s="253"/>
      <c r="M181" s="253"/>
      <c r="N181" s="253"/>
      <c r="O181" s="253"/>
      <c r="P181" s="253"/>
      <c r="Q181" s="253"/>
      <c r="R181" s="253"/>
      <c r="S181" s="253"/>
      <c r="T181" s="253"/>
      <c r="U181" s="253"/>
      <c r="V181" s="253"/>
      <c r="W181" s="253"/>
      <c r="X181" s="253"/>
      <c r="Y181" s="253"/>
      <c r="Z181" s="253"/>
      <c r="AA181" s="253"/>
      <c r="AB181" s="253"/>
      <c r="AC181" s="1401"/>
      <c r="AD181" s="726"/>
      <c r="AE181" s="253"/>
      <c r="AF181" s="253"/>
      <c r="AG181" s="253"/>
      <c r="AH181" s="253"/>
      <c r="AI181" s="253"/>
      <c r="AJ181" s="253"/>
      <c r="AK181" s="2013"/>
      <c r="AL181" s="4477"/>
      <c r="AM181" s="226" t="s">
        <v>931</v>
      </c>
      <c r="AN181" s="4477"/>
    </row>
    <row r="182" spans="1:52" ht="16.5" customHeight="1">
      <c r="A182" s="2013"/>
      <c r="B182" s="253"/>
      <c r="C182" s="4478"/>
      <c r="D182" s="1323" t="s">
        <v>6758</v>
      </c>
      <c r="E182" s="416"/>
      <c r="F182" s="416"/>
      <c r="G182" s="416"/>
      <c r="H182" s="511"/>
      <c r="I182" s="511"/>
      <c r="J182" s="253"/>
      <c r="K182" s="253"/>
      <c r="L182" s="253"/>
      <c r="M182" s="253"/>
      <c r="N182" s="253"/>
      <c r="O182" s="253"/>
      <c r="P182" s="253"/>
      <c r="Q182" s="253"/>
      <c r="R182" s="253"/>
      <c r="S182" s="253"/>
      <c r="T182" s="253"/>
      <c r="U182" s="253"/>
      <c r="V182" s="253"/>
      <c r="W182" s="253"/>
      <c r="X182" s="253"/>
      <c r="Y182" s="253"/>
      <c r="Z182" s="253"/>
      <c r="AA182" s="253"/>
      <c r="AB182" s="253"/>
      <c r="AC182" s="1401"/>
      <c r="AD182" s="726"/>
      <c r="AE182" s="253"/>
      <c r="AF182" s="253"/>
      <c r="AG182" s="253"/>
      <c r="AH182" s="253"/>
      <c r="AI182" s="253"/>
      <c r="AJ182" s="253"/>
      <c r="AK182" s="2013"/>
      <c r="AL182" s="4477"/>
      <c r="AM182" s="226"/>
      <c r="AN182" s="4477"/>
    </row>
    <row r="183" spans="1:52" ht="16.5" customHeight="1" thickBot="1">
      <c r="A183" s="2013"/>
      <c r="B183" s="253"/>
      <c r="C183" s="4478"/>
      <c r="D183" s="1323" t="str">
        <f>"See instructions.  If more than zero, also include this amount on  "&amp;TaxYear&amp;"  Form 1040,"</f>
        <v>See instructions.  If more than zero, also include this amount on  2025  Form 1040,</v>
      </c>
      <c r="E183" s="416"/>
      <c r="F183" s="416"/>
      <c r="G183" s="416"/>
      <c r="H183" s="511"/>
      <c r="I183" s="511"/>
      <c r="J183" s="253"/>
      <c r="K183" s="253"/>
      <c r="L183" s="253"/>
      <c r="M183" s="253"/>
      <c r="N183" s="253"/>
      <c r="O183" s="253"/>
      <c r="P183" s="253"/>
      <c r="Q183" s="253"/>
      <c r="R183" s="253"/>
      <c r="S183" s="253"/>
      <c r="T183" s="253"/>
      <c r="U183" s="253"/>
      <c r="V183" s="253"/>
      <c r="W183" s="253"/>
      <c r="X183" s="253"/>
      <c r="Y183" s="253"/>
      <c r="Z183" s="253"/>
      <c r="AA183" s="253"/>
      <c r="AB183" s="253"/>
      <c r="AC183" s="1401"/>
      <c r="AD183" s="726"/>
      <c r="AE183" s="253"/>
      <c r="AF183" s="253"/>
      <c r="AG183" s="253"/>
      <c r="AH183" s="253"/>
      <c r="AI183" s="253"/>
      <c r="AJ183" s="253"/>
      <c r="AK183" s="2013"/>
      <c r="AL183" s="4477"/>
      <c r="AM183" s="226"/>
      <c r="AN183" s="4477"/>
    </row>
    <row r="184" spans="1:52" ht="16.5" customHeight="1" thickBot="1">
      <c r="A184" s="2013"/>
      <c r="B184" s="253"/>
      <c r="C184" s="2917"/>
      <c r="D184" s="2006" t="s">
        <v>6759</v>
      </c>
      <c r="E184" s="511"/>
      <c r="F184" s="253"/>
      <c r="G184" s="253"/>
      <c r="H184" s="253"/>
      <c r="I184" s="253"/>
      <c r="J184" s="253"/>
      <c r="K184" s="253"/>
      <c r="L184" s="253"/>
      <c r="M184" s="253"/>
      <c r="N184" s="253"/>
      <c r="O184" s="253"/>
      <c r="P184" s="253"/>
      <c r="Q184" s="253"/>
      <c r="R184" s="253"/>
      <c r="S184" s="253"/>
      <c r="T184" s="253"/>
      <c r="U184" s="253"/>
      <c r="V184" s="253"/>
      <c r="W184" s="253"/>
      <c r="X184" s="253"/>
      <c r="Y184" s="253"/>
      <c r="Z184" s="253"/>
      <c r="AA184" s="253"/>
      <c r="AB184" s="253"/>
      <c r="AC184" s="4523"/>
      <c r="AD184" s="2918" t="s">
        <v>3978</v>
      </c>
      <c r="AE184" s="10757" t="str">
        <f>IF(AM147,"",IF(AM184&lt;&gt;"",ROUND(AM184,0),IF(NOT(AM151),SUM(AE177,-AE180),"")))</f>
        <v/>
      </c>
      <c r="AF184" s="10815"/>
      <c r="AG184" s="10815"/>
      <c r="AH184" s="10815"/>
      <c r="AI184" s="10815"/>
      <c r="AJ184" s="10815"/>
      <c r="AK184" s="2013"/>
      <c r="AL184" s="817"/>
      <c r="AM184" s="6198"/>
      <c r="AN184" s="253"/>
    </row>
    <row r="185" spans="1:52" ht="16.5" customHeight="1">
      <c r="A185" s="2013"/>
      <c r="B185" s="253"/>
      <c r="C185" s="2917"/>
      <c r="D185" s="1323" t="s">
        <v>3979</v>
      </c>
      <c r="E185" s="511"/>
      <c r="F185" s="253"/>
      <c r="G185" s="253"/>
      <c r="H185" s="253"/>
      <c r="I185" s="253"/>
      <c r="J185" s="253"/>
      <c r="K185" s="253"/>
      <c r="L185" s="253"/>
      <c r="M185" s="253"/>
      <c r="N185" s="253"/>
      <c r="O185" s="253"/>
      <c r="P185" s="253"/>
      <c r="Q185" s="253"/>
      <c r="R185" s="253"/>
      <c r="S185" s="253"/>
      <c r="T185" s="253"/>
      <c r="U185" s="253"/>
      <c r="V185" s="253"/>
      <c r="W185" s="253"/>
      <c r="X185" s="253"/>
      <c r="Y185" s="253"/>
      <c r="Z185" s="253"/>
      <c r="AA185" s="253"/>
      <c r="AB185" s="253"/>
      <c r="AC185" s="253"/>
      <c r="AD185" s="6752"/>
      <c r="AE185" s="4480"/>
      <c r="AF185" s="4480"/>
      <c r="AG185" s="4480"/>
      <c r="AH185" s="4480"/>
      <c r="AI185" s="4480"/>
      <c r="AJ185" s="4480"/>
      <c r="AK185" s="2013"/>
      <c r="AL185" s="817"/>
      <c r="AM185" s="1560"/>
      <c r="AN185" s="253"/>
    </row>
    <row r="186" spans="1:52" ht="16.5" customHeight="1" thickBot="1">
      <c r="A186" s="2013"/>
      <c r="B186" s="253"/>
      <c r="C186" s="2723"/>
      <c r="D186" s="1323" t="s">
        <v>3980</v>
      </c>
      <c r="E186" s="511"/>
      <c r="F186" s="253"/>
      <c r="G186" s="253"/>
      <c r="H186" s="253"/>
      <c r="I186" s="253"/>
      <c r="J186" s="253"/>
      <c r="K186" s="253"/>
      <c r="L186" s="253"/>
      <c r="M186" s="253"/>
      <c r="N186" s="253"/>
      <c r="O186" s="253"/>
      <c r="P186" s="253"/>
      <c r="Q186" s="253"/>
      <c r="R186" s="253"/>
      <c r="S186" s="253"/>
      <c r="T186" s="253"/>
      <c r="U186" s="253"/>
      <c r="V186" s="253"/>
      <c r="W186" s="253"/>
      <c r="X186" s="253"/>
      <c r="Y186" s="253"/>
      <c r="Z186" s="253"/>
      <c r="AA186" s="253"/>
      <c r="AB186" s="253"/>
      <c r="AC186" s="2198"/>
      <c r="AD186" s="6753"/>
      <c r="AE186" s="4481"/>
      <c r="AF186" s="4482"/>
      <c r="AG186" s="4482"/>
      <c r="AH186" s="4482"/>
      <c r="AI186" s="4482"/>
      <c r="AJ186" s="4482"/>
      <c r="AK186" s="2013"/>
      <c r="AL186" s="712"/>
      <c r="AM186" s="344"/>
      <c r="AN186" s="253"/>
    </row>
    <row r="187" spans="1:52" s="815" customFormat="1" ht="19.5" customHeight="1" thickTop="1">
      <c r="A187" s="2013"/>
      <c r="B187" s="10756" t="s">
        <v>868</v>
      </c>
      <c r="C187" s="10756"/>
      <c r="D187" s="4485"/>
      <c r="E187" s="4486" t="str">
        <f>TaxYear&amp;" Conversions From Traditional IRAs to Roth IRAs"</f>
        <v>2025 Conversions From Traditional IRAs to Roth IRAs</v>
      </c>
      <c r="F187" s="257"/>
      <c r="G187" s="257"/>
      <c r="H187" s="257"/>
      <c r="I187" s="257"/>
      <c r="J187" s="257"/>
      <c r="K187" s="257"/>
      <c r="L187" s="257"/>
      <c r="M187" s="257"/>
      <c r="N187" s="257"/>
      <c r="O187" s="257"/>
      <c r="P187" s="257"/>
      <c r="Q187" s="257"/>
      <c r="R187" s="257"/>
      <c r="S187" s="257"/>
      <c r="T187" s="257"/>
      <c r="U187" s="257"/>
      <c r="V187" s="257"/>
      <c r="W187" s="257"/>
      <c r="X187" s="257"/>
      <c r="Y187" s="257"/>
      <c r="Z187" s="257"/>
      <c r="AA187" s="257"/>
      <c r="AB187" s="257"/>
      <c r="AC187" s="257"/>
      <c r="AD187" s="257"/>
      <c r="AE187" s="257"/>
      <c r="AF187" s="257"/>
      <c r="AG187" s="257"/>
      <c r="AH187" s="257"/>
      <c r="AI187" s="257"/>
      <c r="AJ187" s="257"/>
      <c r="AK187" s="2013"/>
      <c r="AL187" s="253"/>
      <c r="AM187" s="226"/>
      <c r="AN187" s="253"/>
      <c r="AO187" s="658"/>
      <c r="AP187" s="658"/>
      <c r="AQ187" s="658"/>
      <c r="AR187" s="658"/>
      <c r="AS187" s="658"/>
      <c r="AT187" s="658"/>
      <c r="AU187" s="658"/>
      <c r="AV187" s="658"/>
      <c r="AW187" s="658"/>
      <c r="AX187" s="658"/>
      <c r="AY187"/>
      <c r="AZ187"/>
    </row>
    <row r="188" spans="1:52" s="815" customFormat="1" ht="16.5" customHeight="1">
      <c r="A188" s="2013"/>
      <c r="B188" s="2002"/>
      <c r="C188" s="2002"/>
      <c r="D188" s="2002"/>
      <c r="E188" s="4487" t="str">
        <f>"Complete this part if you converted part or all of your traditional IRAs to a Roth IRA in "&amp;TaxYear</f>
        <v>Complete this part if you converted part or all of your traditional IRAs to a Roth IRA in 2025</v>
      </c>
      <c r="F188" s="2002"/>
      <c r="G188" s="2002"/>
      <c r="H188" s="2002"/>
      <c r="I188" s="2002"/>
      <c r="J188" s="2002"/>
      <c r="K188" s="2002"/>
      <c r="L188" s="2002"/>
      <c r="M188" s="2002"/>
      <c r="N188" s="2002"/>
      <c r="O188" s="2002"/>
      <c r="P188" s="2002"/>
      <c r="Q188" s="2002"/>
      <c r="R188" s="2002"/>
      <c r="S188" s="2002"/>
      <c r="T188" s="2002"/>
      <c r="U188" s="2002"/>
      <c r="V188" s="2002"/>
      <c r="W188" s="2002"/>
      <c r="X188" s="2002"/>
      <c r="Y188" s="2002"/>
      <c r="Z188" s="2002"/>
      <c r="AA188" s="2002"/>
      <c r="AB188" s="2002"/>
      <c r="AC188" s="2002"/>
      <c r="AD188" s="2002"/>
      <c r="AE188" s="2002"/>
      <c r="AF188" s="2002"/>
      <c r="AG188" s="2002"/>
      <c r="AH188" s="2002"/>
      <c r="AI188" s="2002"/>
      <c r="AJ188" s="2002"/>
      <c r="AK188" s="2013"/>
      <c r="AL188" s="253"/>
      <c r="AM188" s="226" t="s">
        <v>979</v>
      </c>
      <c r="AN188" s="253"/>
      <c r="AO188" s="658"/>
      <c r="AP188" s="658"/>
      <c r="AQ188" s="658"/>
      <c r="AR188" s="658"/>
      <c r="AS188" s="658"/>
      <c r="AT188" s="658"/>
      <c r="AU188" s="658"/>
      <c r="AV188" s="658"/>
      <c r="AW188" s="658"/>
      <c r="AX188" s="658"/>
      <c r="AY188"/>
      <c r="AZ188"/>
    </row>
    <row r="189" spans="1:52" ht="16.5" customHeight="1" thickBot="1">
      <c r="A189" s="2013"/>
      <c r="B189" s="253"/>
      <c r="C189" s="2917">
        <v>16</v>
      </c>
      <c r="D189" s="1323" t="s">
        <v>6761</v>
      </c>
      <c r="E189" s="416"/>
      <c r="F189" s="416"/>
      <c r="G189" s="416"/>
      <c r="H189" s="253"/>
      <c r="I189" s="253"/>
      <c r="J189" s="253"/>
      <c r="K189" s="253"/>
      <c r="L189" s="253"/>
      <c r="M189" s="253"/>
      <c r="N189" s="253"/>
      <c r="O189" s="253"/>
      <c r="P189" s="253"/>
      <c r="Q189" s="253"/>
      <c r="R189" s="253"/>
      <c r="S189" s="253"/>
      <c r="T189" s="253"/>
      <c r="U189" s="253"/>
      <c r="V189" s="253"/>
      <c r="W189" s="253"/>
      <c r="X189" s="253"/>
      <c r="Y189" s="253"/>
      <c r="Z189" s="253"/>
      <c r="AA189" s="253"/>
      <c r="AB189" s="253"/>
      <c r="AC189" s="253"/>
      <c r="AD189" s="726"/>
      <c r="AE189" s="253"/>
      <c r="AF189" s="253"/>
      <c r="AG189" s="253"/>
      <c r="AH189" s="253"/>
      <c r="AI189" s="253"/>
      <c r="AJ189" s="253"/>
      <c r="AK189" s="2013"/>
      <c r="AL189" s="253"/>
      <c r="AM189" s="226" t="s">
        <v>931</v>
      </c>
      <c r="AN189" s="253"/>
    </row>
    <row r="190" spans="1:52" ht="16.5" customHeight="1" thickBot="1">
      <c r="A190" s="2013"/>
      <c r="B190" s="253"/>
      <c r="C190" s="2723"/>
      <c r="D190" s="1323" t="str">
        <f>"from traditional IRAs to Roth IRAs in  "&amp;TaxYear</f>
        <v>from traditional IRAs to Roth IRAs in  2025</v>
      </c>
      <c r="E190" s="416"/>
      <c r="F190" s="416"/>
      <c r="G190" s="416"/>
      <c r="H190" s="416"/>
      <c r="I190" s="253"/>
      <c r="J190" s="253"/>
      <c r="K190" s="253"/>
      <c r="L190" s="253"/>
      <c r="M190" s="253"/>
      <c r="N190" s="253"/>
      <c r="O190" s="253"/>
      <c r="P190" s="253"/>
      <c r="Q190" s="253"/>
      <c r="R190" s="253"/>
      <c r="S190" s="253"/>
      <c r="T190" s="253"/>
      <c r="U190" s="253"/>
      <c r="V190" s="253"/>
      <c r="W190" s="253"/>
      <c r="X190" s="253"/>
      <c r="Y190" s="253"/>
      <c r="Z190" s="253"/>
      <c r="AA190" s="253"/>
      <c r="AB190" s="253"/>
      <c r="AC190" s="1657" t="s">
        <v>6782</v>
      </c>
      <c r="AD190" s="2918" t="s">
        <v>260</v>
      </c>
      <c r="AE190" s="10757">
        <f>IF(AM190&lt;&gt;"",ROUND(AM190,0),IF(AE164&lt;&gt;"",AE164,IF(AL123&lt;&gt;"",IRA_CONV_YOU,IF(AL124&lt;&gt;"",IRA_CONV_SPOUSE))))</f>
        <v>0</v>
      </c>
      <c r="AF190" s="10815"/>
      <c r="AG190" s="10815"/>
      <c r="AH190" s="10815"/>
      <c r="AI190" s="10815"/>
      <c r="AJ190" s="10815"/>
      <c r="AK190" s="2013"/>
      <c r="AL190" s="817"/>
      <c r="AM190" s="6198"/>
      <c r="AN190" s="253"/>
      <c r="AO190" s="6964" t="str">
        <f>IF(AM147,"Total Basis Chart -- Line 2 (and line 17 if Part I in not completed.) See Form 8606 instructions.","Reserved")</f>
        <v>Total Basis Chart -- Line 2 (and line 17 if Part I in not completed.) See Form 8606 instructions.</v>
      </c>
      <c r="AP190" s="6965"/>
      <c r="AQ190" s="6965"/>
      <c r="AR190" s="6965"/>
      <c r="AS190" s="6965"/>
      <c r="AT190" s="6965"/>
      <c r="AU190" s="6966"/>
    </row>
    <row r="191" spans="1:52" ht="16.5" customHeight="1" thickBot="1">
      <c r="A191" s="2013"/>
      <c r="B191" s="253"/>
      <c r="C191" s="2917">
        <v>17</v>
      </c>
      <c r="D191" s="1323" t="s">
        <v>3924</v>
      </c>
      <c r="E191" s="416"/>
      <c r="F191" s="416"/>
      <c r="G191" s="416"/>
      <c r="H191" s="253"/>
      <c r="I191" s="253"/>
      <c r="J191" s="253"/>
      <c r="K191" s="253"/>
      <c r="L191" s="253"/>
      <c r="M191" s="253"/>
      <c r="N191" s="253"/>
      <c r="O191" s="253"/>
      <c r="P191" s="253"/>
      <c r="Q191" s="253"/>
      <c r="R191" s="253"/>
      <c r="S191" s="253"/>
      <c r="T191" s="253"/>
      <c r="U191" s="253"/>
      <c r="V191" s="253"/>
      <c r="W191" s="253"/>
      <c r="X191" s="253"/>
      <c r="Y191" s="253"/>
      <c r="Z191" s="253"/>
      <c r="AA191" s="253"/>
      <c r="AB191" s="253"/>
      <c r="AC191" s="253"/>
      <c r="AD191" s="726"/>
      <c r="AE191" s="10834" t="str">
        <f>IF(AL124&lt;&gt;"",IRA_CONV_TAXABLE_SPOUSE,IRA_CONV_TAXABLE_YOU)</f>
        <v>- - - -</v>
      </c>
      <c r="AF191" s="10835"/>
      <c r="AG191" s="10835"/>
      <c r="AH191" s="10835"/>
      <c r="AI191" s="10835"/>
      <c r="AJ191" s="10835"/>
      <c r="AK191" s="2013"/>
      <c r="AL191" s="253"/>
      <c r="AM191" s="228" t="str">
        <f>IF(AM147,"Basis (see chart) &gt;&gt;","")</f>
        <v>Basis (see chart) &gt;&gt;</v>
      </c>
      <c r="AN191" s="253"/>
      <c r="AO191" s="6967" t="str">
        <f>IF(AM147,"Generally, if this is the first year you are required to file Form 8606, enter '0' into Override cell AM192.","")</f>
        <v>Generally, if this is the first year you are required to file Form 8606, enter '0' into Override cell AM192.</v>
      </c>
      <c r="AP191" s="6968"/>
      <c r="AQ191" s="2494"/>
      <c r="AR191" s="2494"/>
      <c r="AS191" s="2494"/>
      <c r="AT191" s="2494"/>
      <c r="AU191" s="6969"/>
    </row>
    <row r="192" spans="1:52" ht="16.5" customHeight="1" thickBot="1">
      <c r="A192" s="2013"/>
      <c r="B192" s="253"/>
      <c r="C192" s="2723"/>
      <c r="D192" s="1323" t="s">
        <v>6777</v>
      </c>
      <c r="E192" s="416"/>
      <c r="F192" s="416"/>
      <c r="G192" s="416"/>
      <c r="H192" s="416"/>
      <c r="I192" s="253"/>
      <c r="J192" s="253"/>
      <c r="K192" s="253"/>
      <c r="L192" s="253"/>
      <c r="M192" s="253"/>
      <c r="N192" s="253"/>
      <c r="O192" s="253"/>
      <c r="P192" s="253"/>
      <c r="Q192" s="253"/>
      <c r="R192" s="253"/>
      <c r="S192" s="253"/>
      <c r="T192" s="253"/>
      <c r="U192" s="253"/>
      <c r="V192" s="253"/>
      <c r="W192" s="253"/>
      <c r="X192" s="253"/>
      <c r="Y192" s="253"/>
      <c r="Z192" s="253"/>
      <c r="AA192" s="253"/>
      <c r="AB192" s="253"/>
      <c r="AC192" s="1401" t="s">
        <v>2657</v>
      </c>
      <c r="AD192" s="2919" t="s">
        <v>262</v>
      </c>
      <c r="AE192" s="10759" t="str">
        <f>IF(AM192&lt;&gt;"",ROUND(AM192,0),IF(AM148,X169,""))</f>
        <v/>
      </c>
      <c r="AF192" s="10816"/>
      <c r="AG192" s="10816"/>
      <c r="AH192" s="10816"/>
      <c r="AI192" s="10816"/>
      <c r="AJ192" s="10816"/>
      <c r="AK192" s="2013"/>
      <c r="AL192" s="817"/>
      <c r="AM192" s="6981"/>
      <c r="AN192" s="253"/>
      <c r="AO192" s="6970" t="str">
        <f>IF(AM147,"IF the last Form 8606 you filed was for …","")</f>
        <v>IF the last Form 8606 you filed was for …</v>
      </c>
      <c r="AP192" s="2494"/>
      <c r="AQ192" s="2494"/>
      <c r="AR192" s="6971" t="str">
        <f>IF(AM147,"THEN enter the following into Override cell AM192.","")</f>
        <v>THEN enter the following into Override cell AM192.</v>
      </c>
      <c r="AS192" s="2494"/>
      <c r="AT192" s="2494"/>
      <c r="AU192" s="6969"/>
    </row>
    <row r="193" spans="1:52" ht="16.5" customHeight="1">
      <c r="A193" s="2013"/>
      <c r="B193" s="253"/>
      <c r="C193" s="2917">
        <v>18</v>
      </c>
      <c r="D193" s="514" t="s">
        <v>3925</v>
      </c>
      <c r="E193" s="416"/>
      <c r="F193" s="416"/>
      <c r="G193" s="416"/>
      <c r="H193" s="253"/>
      <c r="I193" s="1323" t="str">
        <f>"Subtract line 17 from line 16. If more than zero, also include this amount on "&amp;TaxYear</f>
        <v>Subtract line 17 from line 16. If more than zero, also include this amount on 2025</v>
      </c>
      <c r="J193" s="253"/>
      <c r="K193" s="253"/>
      <c r="L193" s="253"/>
      <c r="M193" s="253"/>
      <c r="N193" s="253"/>
      <c r="O193" s="253"/>
      <c r="P193" s="253"/>
      <c r="Q193" s="253"/>
      <c r="R193" s="253"/>
      <c r="S193" s="253"/>
      <c r="T193" s="253"/>
      <c r="U193" s="253"/>
      <c r="V193" s="253"/>
      <c r="W193" s="253"/>
      <c r="X193" s="253"/>
      <c r="Y193" s="253"/>
      <c r="Z193" s="253"/>
      <c r="AA193" s="253"/>
      <c r="AB193" s="253"/>
      <c r="AC193" s="253"/>
      <c r="AD193" s="726"/>
      <c r="AE193" s="253"/>
      <c r="AF193" s="253"/>
      <c r="AG193" s="253"/>
      <c r="AH193" s="253"/>
      <c r="AI193" s="253"/>
      <c r="AJ193" s="253"/>
      <c r="AK193" s="2013"/>
      <c r="AL193" s="4477"/>
      <c r="AM193" s="6987" t="s">
        <v>6805</v>
      </c>
      <c r="AN193" s="4477"/>
      <c r="AO193" s="6970" t="str">
        <f>IF(AM147,"After year","")</f>
        <v>After year</v>
      </c>
      <c r="AP193" s="6971" t="str">
        <f>IF(AM147,"and before year","")</f>
        <v>and before year</v>
      </c>
      <c r="AQ193" s="2494"/>
      <c r="AR193" s="10871"/>
      <c r="AS193" s="10871"/>
      <c r="AT193" s="10871"/>
      <c r="AU193" s="10872"/>
    </row>
    <row r="194" spans="1:52" ht="16.5" customHeight="1" thickBot="1">
      <c r="A194" s="2013"/>
      <c r="B194" s="380"/>
      <c r="C194" s="4225"/>
      <c r="D194" s="5003" t="s">
        <v>3926</v>
      </c>
      <c r="E194" s="4225"/>
      <c r="F194" s="4225"/>
      <c r="G194" s="4225"/>
      <c r="H194" s="4225"/>
      <c r="I194" s="380"/>
      <c r="J194" s="380"/>
      <c r="K194" s="380"/>
      <c r="L194" s="380"/>
      <c r="M194" s="380"/>
      <c r="N194" s="380"/>
      <c r="O194" s="380"/>
      <c r="P194" s="380"/>
      <c r="Q194" s="380"/>
      <c r="R194" s="380"/>
      <c r="S194" s="380"/>
      <c r="T194" s="380"/>
      <c r="U194" s="380"/>
      <c r="V194" s="380"/>
      <c r="W194" s="380"/>
      <c r="X194" s="380"/>
      <c r="Y194" s="380"/>
      <c r="Z194" s="380"/>
      <c r="AA194" s="380"/>
      <c r="AB194" s="380"/>
      <c r="AC194" s="4488" t="s">
        <v>3513</v>
      </c>
      <c r="AD194" s="2919" t="s">
        <v>264</v>
      </c>
      <c r="AE194" s="10759">
        <f>IF(AE190="","",IF(AE192="",AE190,SUM(AE190,-AE192)))</f>
        <v>0</v>
      </c>
      <c r="AF194" s="10760"/>
      <c r="AG194" s="10760"/>
      <c r="AH194" s="10760"/>
      <c r="AI194" s="10760"/>
      <c r="AJ194" s="10760"/>
      <c r="AK194" s="2013"/>
      <c r="AL194" s="4477"/>
      <c r="AM194" s="4489">
        <f>MAX(0,AE194)</f>
        <v>0</v>
      </c>
      <c r="AN194" s="4477"/>
      <c r="AO194" s="10869">
        <f>IF(AM147,2023,"")</f>
        <v>2023</v>
      </c>
      <c r="AP194" s="10870" t="str">
        <f>IF(AM147,"       "&amp;TaxYear,"")</f>
        <v xml:space="preserve">       2025</v>
      </c>
      <c r="AQ194" s="10870"/>
      <c r="AR194" s="10866" t="str">
        <f>IF(AM147,"the amount from line 14 of that Form 8606 as adjusted to include the amount from line 6 of the Line 15c Worksheet,"&amp;CHAR(10)&amp;"if any, you completed the last time you filed a Form 8606 with Part I completed. "&amp;CHAR(10)&amp;"See instructions for Line 14.","")</f>
        <v>the amount from line 14 of that Form 8606 as adjusted to include the amount from line 6 of the Line 15c Worksheet,
if any, you completed the last time you filed a Form 8606 with Part I completed. 
See instructions for Line 14.</v>
      </c>
      <c r="AS194" s="10867"/>
      <c r="AT194" s="10867"/>
      <c r="AU194" s="10868"/>
    </row>
    <row r="195" spans="1:52" s="815" customFormat="1" ht="19.5" customHeight="1">
      <c r="A195" s="2013"/>
      <c r="B195" s="9993" t="s">
        <v>1938</v>
      </c>
      <c r="C195" s="9993"/>
      <c r="D195" s="4490"/>
      <c r="E195" s="4491" t="s">
        <v>6783</v>
      </c>
      <c r="F195" s="377"/>
      <c r="G195" s="377"/>
      <c r="H195" s="377"/>
      <c r="I195" s="377"/>
      <c r="J195" s="377"/>
      <c r="K195" s="377"/>
      <c r="L195" s="377"/>
      <c r="M195" s="377"/>
      <c r="N195" s="377"/>
      <c r="O195" s="377"/>
      <c r="P195" s="377"/>
      <c r="Q195" s="377"/>
      <c r="R195" s="377"/>
      <c r="S195" s="377"/>
      <c r="T195" s="377"/>
      <c r="U195" s="377"/>
      <c r="V195" s="377"/>
      <c r="W195" s="377"/>
      <c r="X195" s="377"/>
      <c r="Y195" s="377"/>
      <c r="Z195" s="377"/>
      <c r="AA195" s="377"/>
      <c r="AB195" s="377"/>
      <c r="AC195" s="377"/>
      <c r="AD195" s="377"/>
      <c r="AE195" s="377"/>
      <c r="AF195" s="377"/>
      <c r="AG195" s="377"/>
      <c r="AH195" s="377"/>
      <c r="AI195" s="377"/>
      <c r="AJ195" s="377"/>
      <c r="AK195" s="2013"/>
      <c r="AL195" s="4477"/>
      <c r="AM195" s="6751"/>
      <c r="AN195" s="4477"/>
      <c r="AO195" s="10869"/>
      <c r="AP195" s="10870"/>
      <c r="AQ195" s="10870"/>
      <c r="AR195" s="10867"/>
      <c r="AS195" s="10867"/>
      <c r="AT195" s="10867"/>
      <c r="AU195" s="10868"/>
      <c r="AV195" s="658"/>
      <c r="AW195" s="658"/>
      <c r="AX195" s="658"/>
      <c r="AY195"/>
      <c r="AZ195"/>
    </row>
    <row r="196" spans="1:52" s="815" customFormat="1" ht="15" customHeight="1">
      <c r="A196" s="2013"/>
      <c r="B196" s="4492"/>
      <c r="C196" s="4493"/>
      <c r="D196" s="4492" t="s">
        <v>3982</v>
      </c>
      <c r="E196" s="2311" t="str">
        <f>"Complete this part only if you took a distribution from a Roth IRA in "&amp;TaxYear&amp;"."</f>
        <v>Complete this part only if you took a distribution from a Roth IRA in 2025.</v>
      </c>
      <c r="F196" s="4492"/>
      <c r="G196" s="4492"/>
      <c r="H196" s="4492"/>
      <c r="I196" s="4492"/>
      <c r="J196" s="4492"/>
      <c r="K196" s="4492"/>
      <c r="L196" s="4492"/>
      <c r="M196" s="4492"/>
      <c r="N196" s="4492"/>
      <c r="O196" s="4492"/>
      <c r="P196" s="4492"/>
      <c r="Q196" s="4492"/>
      <c r="R196" s="4492"/>
      <c r="S196" s="4492"/>
      <c r="T196" s="4492"/>
      <c r="U196" s="4492"/>
      <c r="V196" s="4492"/>
      <c r="W196" s="2311" t="s">
        <v>6762</v>
      </c>
      <c r="X196" s="4492"/>
      <c r="Y196" s="4492"/>
      <c r="Z196" s="4492"/>
      <c r="AA196" s="4492"/>
      <c r="AB196" s="4492"/>
      <c r="AC196" s="4492"/>
      <c r="AD196" s="4492"/>
      <c r="AE196" s="4492"/>
      <c r="AF196" s="4492"/>
      <c r="AG196" s="4492"/>
      <c r="AH196" s="4492"/>
      <c r="AI196" s="4492"/>
      <c r="AJ196" s="4492"/>
      <c r="AK196" s="2013"/>
      <c r="AL196" s="4477"/>
      <c r="AM196" s="6751"/>
      <c r="AN196" s="4477"/>
      <c r="AO196" s="10869"/>
      <c r="AP196" s="10870"/>
      <c r="AQ196" s="10870"/>
      <c r="AR196" s="10867"/>
      <c r="AS196" s="10867"/>
      <c r="AT196" s="10867"/>
      <c r="AU196" s="10868"/>
      <c r="AV196" s="658"/>
      <c r="AW196" s="658"/>
      <c r="AX196" s="658"/>
      <c r="AY196"/>
      <c r="AZ196"/>
    </row>
    <row r="197" spans="1:52" s="1115" customFormat="1" ht="15.75" customHeight="1">
      <c r="A197" s="2290"/>
      <c r="B197" s="4492"/>
      <c r="C197" s="4493"/>
      <c r="D197" s="4519"/>
      <c r="E197" s="2311" t="str">
        <f>"include a rollover (but does include certain "&amp;TaxYear&amp;" retirement plan distribution repayments treated as rollovers (see"</f>
        <v>include a rollover (but does include certain 2025 retirement plan distribution repayments treated as rollovers (see</v>
      </c>
      <c r="F197" s="4492"/>
      <c r="G197" s="4492"/>
      <c r="H197" s="4492"/>
      <c r="I197" s="4492"/>
      <c r="J197" s="4492"/>
      <c r="K197" s="4492"/>
      <c r="L197" s="4492"/>
      <c r="M197" s="4492"/>
      <c r="N197" s="4492"/>
      <c r="O197" s="4492"/>
      <c r="P197" s="4492"/>
      <c r="Q197" s="4492"/>
      <c r="R197" s="4492"/>
      <c r="S197" s="4492"/>
      <c r="T197" s="4492"/>
      <c r="U197" s="2311"/>
      <c r="V197" s="4492"/>
      <c r="W197" s="4492"/>
      <c r="X197" s="4492"/>
      <c r="Y197" s="4492"/>
      <c r="Z197" s="4492"/>
      <c r="AA197" s="4492"/>
      <c r="AB197" s="4492"/>
      <c r="AC197" s="4492"/>
      <c r="AD197" s="4492"/>
      <c r="AE197" s="4492"/>
      <c r="AF197" s="4492"/>
      <c r="AG197" s="4492"/>
      <c r="AH197" s="4492"/>
      <c r="AI197" s="4492"/>
      <c r="AJ197" s="4492"/>
      <c r="AK197" s="2290"/>
      <c r="AL197" s="4477"/>
      <c r="AM197" s="6751"/>
      <c r="AN197" s="4477"/>
      <c r="AO197" s="10869"/>
      <c r="AP197" s="10870"/>
      <c r="AQ197" s="10870"/>
      <c r="AR197" s="10867"/>
      <c r="AS197" s="10867"/>
      <c r="AT197" s="10867"/>
      <c r="AU197" s="10868"/>
      <c r="AV197" s="1114"/>
      <c r="AW197" s="1114"/>
      <c r="AX197" s="1114"/>
      <c r="AY197" s="2293"/>
      <c r="AZ197" s="2293"/>
    </row>
    <row r="198" spans="1:52" s="1115" customFormat="1" ht="15.75" customHeight="1">
      <c r="A198" s="2290"/>
      <c r="B198" s="4492"/>
      <c r="C198" s="4493"/>
      <c r="D198" s="4519"/>
      <c r="E198" s="2311" t="s">
        <v>6780</v>
      </c>
      <c r="F198" s="4492"/>
      <c r="G198" s="4492"/>
      <c r="H198" s="4492"/>
      <c r="I198" s="4492"/>
      <c r="J198" s="4492"/>
      <c r="K198" s="4492"/>
      <c r="L198" s="4492"/>
      <c r="M198" s="4492"/>
      <c r="N198" s="4492"/>
      <c r="O198" s="4492"/>
      <c r="P198" s="4492"/>
      <c r="Q198" s="4492"/>
      <c r="R198" s="4492"/>
      <c r="S198" s="4492"/>
      <c r="T198" s="4492"/>
      <c r="U198" s="4492"/>
      <c r="V198" s="4492"/>
      <c r="W198" s="4492"/>
      <c r="X198" s="4492"/>
      <c r="Y198" s="4492"/>
      <c r="Z198" s="4492"/>
      <c r="AA198" s="4492"/>
      <c r="AB198" s="4492"/>
      <c r="AC198" s="4492"/>
      <c r="AD198" s="4492"/>
      <c r="AE198" s="4492"/>
      <c r="AF198" s="4492"/>
      <c r="AG198" s="4492"/>
      <c r="AH198" s="4492"/>
      <c r="AI198" s="4492"/>
      <c r="AJ198" s="4492"/>
      <c r="AK198" s="2290"/>
      <c r="AL198" s="4520"/>
      <c r="AM198" s="6754"/>
      <c r="AN198" s="4521"/>
      <c r="AO198" s="6972">
        <f>IF(AM147,2000,"")</f>
        <v>2000</v>
      </c>
      <c r="AP198" s="10738">
        <f>IF(AM147,2024,"")</f>
        <v>2024</v>
      </c>
      <c r="AQ198" s="10738"/>
      <c r="AR198" s="6984" t="str">
        <f>IF(AM147,"the amount from line 14 of that Form 8606.","")</f>
        <v>the amount from line 14 of that Form 8606.</v>
      </c>
      <c r="AS198" s="2494"/>
      <c r="AT198" s="2494"/>
      <c r="AU198" s="6969"/>
      <c r="AV198" s="1114"/>
      <c r="AW198" s="1114"/>
      <c r="AX198" s="1114"/>
      <c r="AY198" s="2293"/>
      <c r="AZ198" s="2293"/>
    </row>
    <row r="199" spans="1:52" s="1115" customFormat="1" ht="17.25" customHeight="1" thickBot="1">
      <c r="A199" s="2290"/>
      <c r="B199" s="4494"/>
      <c r="C199" s="4495"/>
      <c r="D199" s="4522"/>
      <c r="E199" s="4496" t="s">
        <v>6763</v>
      </c>
      <c r="F199" s="4494"/>
      <c r="G199" s="4494"/>
      <c r="H199" s="4494"/>
      <c r="I199" s="4494"/>
      <c r="J199" s="4494"/>
      <c r="K199" s="4494"/>
      <c r="L199" s="4494"/>
      <c r="M199" s="4494"/>
      <c r="N199" s="4494"/>
      <c r="O199" s="4494"/>
      <c r="P199" s="4494"/>
      <c r="Q199" s="4494"/>
      <c r="R199" s="4494"/>
      <c r="S199" s="4494"/>
      <c r="T199" s="4494"/>
      <c r="U199" s="4494"/>
      <c r="V199" s="4494"/>
      <c r="W199" s="4494"/>
      <c r="X199" s="4494"/>
      <c r="Y199" s="4494"/>
      <c r="Z199" s="4494"/>
      <c r="AA199" s="4494"/>
      <c r="AB199" s="4494"/>
      <c r="AC199" s="4494"/>
      <c r="AD199" s="4494"/>
      <c r="AE199" s="4494"/>
      <c r="AF199" s="4494"/>
      <c r="AG199" s="4494"/>
      <c r="AH199" s="4494"/>
      <c r="AI199" s="4494"/>
      <c r="AJ199" s="4494"/>
      <c r="AK199" s="2290"/>
      <c r="AL199" s="4520"/>
      <c r="AM199" s="6754"/>
      <c r="AN199" s="4521"/>
      <c r="AO199" s="6972">
        <f>IF(AM147,1992,"")</f>
        <v>1992</v>
      </c>
      <c r="AP199" s="10738">
        <f>IF(AM147,2001,"")</f>
        <v>2001</v>
      </c>
      <c r="AQ199" s="10738"/>
      <c r="AR199" s="6984" t="str">
        <f>IF(AM147,"the amount from line 12 of that Form 8606.","")</f>
        <v>the amount from line 12 of that Form 8606.</v>
      </c>
      <c r="AS199" s="6973"/>
      <c r="AT199" s="6973"/>
      <c r="AU199" s="6974"/>
      <c r="AV199" s="1114"/>
      <c r="AW199" s="1114"/>
      <c r="AX199" s="1114"/>
      <c r="AY199" s="2293"/>
      <c r="AZ199" s="2293"/>
    </row>
    <row r="200" spans="1:52" s="815" customFormat="1" ht="16.5" customHeight="1">
      <c r="A200" s="2013"/>
      <c r="B200" s="4497"/>
      <c r="C200" s="4498">
        <v>19</v>
      </c>
      <c r="D200" s="1323" t="str">
        <f>"Enter your total nonqualified distributions from Roth IRAs in "&amp;TaxYear&amp;", including any qualified first-time"</f>
        <v>Enter your total nonqualified distributions from Roth IRAs in 2025, including any qualified first-time</v>
      </c>
      <c r="E200" s="1995"/>
      <c r="F200" s="339"/>
      <c r="G200" s="339"/>
      <c r="H200" s="339"/>
      <c r="I200" s="339"/>
      <c r="J200" s="339"/>
      <c r="K200" s="339"/>
      <c r="L200" s="339"/>
      <c r="M200" s="339"/>
      <c r="N200" s="339"/>
      <c r="O200" s="339"/>
      <c r="P200" s="339"/>
      <c r="Q200" s="339"/>
      <c r="R200" s="339"/>
      <c r="S200" s="339"/>
      <c r="T200" s="339"/>
      <c r="U200" s="339"/>
      <c r="V200" s="339"/>
      <c r="W200" s="339"/>
      <c r="X200" s="339"/>
      <c r="Y200" s="339"/>
      <c r="Z200" s="339"/>
      <c r="AA200" s="339"/>
      <c r="AB200" s="339"/>
      <c r="AC200" s="339"/>
      <c r="AD200" s="4499"/>
      <c r="AE200" s="339"/>
      <c r="AF200" s="339"/>
      <c r="AG200" s="339"/>
      <c r="AH200" s="339"/>
      <c r="AI200" s="339"/>
      <c r="AJ200" s="339"/>
      <c r="AK200" s="2013"/>
      <c r="AL200" s="253"/>
      <c r="AM200" s="344"/>
      <c r="AN200" s="253"/>
      <c r="AO200" s="6972">
        <f>IF(AM147,1992,"")</f>
        <v>1992</v>
      </c>
      <c r="AP200" s="10738">
        <f>IF(AM147,1993,"")</f>
        <v>1993</v>
      </c>
      <c r="AQ200" s="10738"/>
      <c r="AR200" s="6984" t="str">
        <f>IF(AM147,"the amount from line 14 of that Form 8606.","")</f>
        <v>the amount from line 14 of that Form 8606.</v>
      </c>
      <c r="AS200" s="2494"/>
      <c r="AT200" s="2494"/>
      <c r="AU200" s="6969"/>
      <c r="AV200" s="658"/>
      <c r="AW200" s="658"/>
      <c r="AX200" s="658"/>
      <c r="AY200"/>
      <c r="AZ200"/>
    </row>
    <row r="201" spans="1:52" s="815" customFormat="1" ht="16.5" customHeight="1">
      <c r="A201" s="2013"/>
      <c r="B201" s="4500"/>
      <c r="C201" s="2723"/>
      <c r="D201" s="1323" t="str">
        <f>"homebuyer distributions, and any "&amp;TaxYear&amp;" retirement plan distributions whose repayments are treated as"</f>
        <v>homebuyer distributions, and any 2025 retirement plan distributions whose repayments are treated as</v>
      </c>
      <c r="E201" s="511"/>
      <c r="F201" s="344"/>
      <c r="G201" s="344"/>
      <c r="H201" s="344"/>
      <c r="I201" s="344"/>
      <c r="J201" s="344"/>
      <c r="K201" s="344"/>
      <c r="L201" s="344"/>
      <c r="M201" s="344"/>
      <c r="N201" s="4231"/>
      <c r="O201" s="344"/>
      <c r="P201" s="344"/>
      <c r="Q201" s="344"/>
      <c r="R201" s="344"/>
      <c r="S201" s="344"/>
      <c r="T201" s="2298"/>
      <c r="U201" s="2100"/>
      <c r="V201" s="344"/>
      <c r="W201" s="344"/>
      <c r="X201" s="344"/>
      <c r="Y201" s="344"/>
      <c r="Z201" s="344"/>
      <c r="AA201" s="344"/>
      <c r="AB201" s="4231"/>
      <c r="AC201" s="344"/>
      <c r="AD201" s="4501"/>
      <c r="AE201" s="344"/>
      <c r="AF201" s="344"/>
      <c r="AG201" s="344"/>
      <c r="AH201" s="344"/>
      <c r="AI201" s="344"/>
      <c r="AJ201" s="344"/>
      <c r="AK201" s="2013"/>
      <c r="AL201" s="253"/>
      <c r="AM201" s="344"/>
      <c r="AN201" s="253"/>
      <c r="AO201" s="6967">
        <f>IF(AM147,1988,"")</f>
        <v>1988</v>
      </c>
      <c r="AP201" s="10739"/>
      <c r="AQ201" s="10739"/>
      <c r="AR201" s="6984" t="str">
        <f>IF(AM147,"the total of the amounts on lines 7 and 16 of that Form 8606.","")</f>
        <v>the total of the amounts on lines 7 and 16 of that Form 8606.</v>
      </c>
      <c r="AS201" s="6971"/>
      <c r="AT201" s="6971"/>
      <c r="AU201" s="6976"/>
      <c r="AV201" s="658"/>
      <c r="AW201" s="658"/>
      <c r="AX201" s="658"/>
      <c r="AY201"/>
      <c r="AZ201"/>
    </row>
    <row r="202" spans="1:52" ht="16.5" customHeight="1">
      <c r="A202" s="2013"/>
      <c r="B202" s="253"/>
      <c r="C202" s="2723"/>
      <c r="D202" s="1323" t="s">
        <v>6764</v>
      </c>
      <c r="E202" s="416"/>
      <c r="F202" s="416"/>
      <c r="G202" s="416"/>
      <c r="H202" s="416"/>
      <c r="I202" s="253"/>
      <c r="J202" s="253"/>
      <c r="K202" s="253"/>
      <c r="L202" s="253"/>
      <c r="M202" s="253"/>
      <c r="N202" s="253"/>
      <c r="O202" s="253"/>
      <c r="P202" s="253"/>
      <c r="Q202" s="253"/>
      <c r="R202" s="253"/>
      <c r="S202" s="253"/>
      <c r="T202" s="253"/>
      <c r="U202" s="253"/>
      <c r="V202" s="253"/>
      <c r="W202" s="253"/>
      <c r="X202" s="253"/>
      <c r="Y202" s="253"/>
      <c r="Z202" s="253"/>
      <c r="AA202" s="253"/>
      <c r="AB202" s="253"/>
      <c r="AC202" s="1401" t="s">
        <v>6765</v>
      </c>
      <c r="AD202" s="2918" t="s">
        <v>266</v>
      </c>
      <c r="AE202" s="10761"/>
      <c r="AF202" s="10817"/>
      <c r="AG202" s="10817"/>
      <c r="AH202" s="10817"/>
      <c r="AI202" s="10817"/>
      <c r="AJ202" s="10817"/>
      <c r="AK202" s="2013"/>
      <c r="AL202" s="817"/>
      <c r="AM202" s="817"/>
      <c r="AN202" s="253"/>
      <c r="AO202" s="6977">
        <f>IF(AM147,1987,"")</f>
        <v>1987</v>
      </c>
      <c r="AP202" s="10740"/>
      <c r="AQ202" s="10740"/>
      <c r="AR202" s="6985" t="str">
        <f>IF(AM147,"the total of the amounts on lines 4 and 13 of that Form 8606.","")</f>
        <v>the total of the amounts on lines 4 and 13 of that Form 8606.</v>
      </c>
      <c r="AS202" s="6979"/>
      <c r="AT202" s="6979"/>
      <c r="AU202" s="6980"/>
    </row>
    <row r="203" spans="1:52" ht="16.5" customHeight="1">
      <c r="A203" s="2013"/>
      <c r="B203" s="253"/>
      <c r="C203" s="2917" t="s">
        <v>268</v>
      </c>
      <c r="D203" s="511" t="s">
        <v>6778</v>
      </c>
      <c r="E203" s="416"/>
      <c r="F203" s="416"/>
      <c r="G203" s="416"/>
      <c r="H203" s="253"/>
      <c r="I203" s="253"/>
      <c r="J203" s="253"/>
      <c r="K203" s="253"/>
      <c r="L203" s="253"/>
      <c r="M203" s="253"/>
      <c r="N203" s="253"/>
      <c r="O203" s="253"/>
      <c r="P203" s="253"/>
      <c r="Q203" s="253"/>
      <c r="R203" s="511" t="s">
        <v>3927</v>
      </c>
      <c r="S203" s="253"/>
      <c r="T203" s="253"/>
      <c r="U203" s="253"/>
      <c r="V203" s="253"/>
      <c r="W203" s="253"/>
      <c r="X203" s="511" t="str">
        <f>TEXT(AE203,"$0,000")&amp;" reduced"</f>
        <v>$10,000 reduced</v>
      </c>
      <c r="Y203" s="253"/>
      <c r="Z203" s="253"/>
      <c r="AA203" s="253"/>
      <c r="AB203" s="253"/>
      <c r="AC203" s="253"/>
      <c r="AD203" s="726"/>
      <c r="AE203" s="10763">
        <v>10000</v>
      </c>
      <c r="AF203" s="10764"/>
      <c r="AG203" s="10764"/>
      <c r="AH203" s="10764"/>
      <c r="AI203" s="10764"/>
      <c r="AJ203" s="10764"/>
      <c r="AK203" s="2013"/>
      <c r="AL203" s="253"/>
      <c r="AM203" s="344"/>
      <c r="AN203" s="253"/>
    </row>
    <row r="204" spans="1:52" ht="16.5" customHeight="1">
      <c r="A204" s="2013"/>
      <c r="B204" s="253"/>
      <c r="C204" s="2723"/>
      <c r="D204" s="2046" t="s">
        <v>3928</v>
      </c>
      <c r="E204" s="416"/>
      <c r="F204" s="416"/>
      <c r="G204" s="416"/>
      <c r="H204" s="416"/>
      <c r="I204" s="253"/>
      <c r="J204" s="253"/>
      <c r="K204" s="253"/>
      <c r="L204" s="253"/>
      <c r="M204" s="253"/>
      <c r="N204" s="253"/>
      <c r="O204" s="253"/>
      <c r="P204" s="253"/>
      <c r="Q204" s="253"/>
      <c r="R204" s="253"/>
      <c r="S204" s="253"/>
      <c r="T204" s="253"/>
      <c r="U204" s="253"/>
      <c r="V204" s="253"/>
      <c r="W204" s="253"/>
      <c r="X204" s="253"/>
      <c r="Y204" s="253"/>
      <c r="Z204" s="253"/>
      <c r="AA204" s="253"/>
      <c r="AB204" s="253"/>
      <c r="AC204" s="1401" t="s">
        <v>2488</v>
      </c>
      <c r="AD204" s="2918" t="s">
        <v>268</v>
      </c>
      <c r="AE204" s="10761"/>
      <c r="AF204" s="10817"/>
      <c r="AG204" s="10817"/>
      <c r="AH204" s="10817"/>
      <c r="AI204" s="10817"/>
      <c r="AJ204" s="10817"/>
      <c r="AK204" s="2013"/>
      <c r="AL204" s="817"/>
      <c r="AM204" s="817"/>
      <c r="AN204" s="253"/>
    </row>
    <row r="205" spans="1:52" ht="16.5" customHeight="1">
      <c r="A205" s="2013"/>
      <c r="B205" s="253"/>
      <c r="C205" s="2917" t="s">
        <v>3929</v>
      </c>
      <c r="D205" s="511" t="s">
        <v>3754</v>
      </c>
      <c r="E205" s="511"/>
      <c r="F205" s="253"/>
      <c r="G205" s="253"/>
      <c r="H205" s="253"/>
      <c r="I205" s="253"/>
      <c r="J205" s="253"/>
      <c r="K205" s="253"/>
      <c r="L205" s="1469"/>
      <c r="M205" s="511"/>
      <c r="N205" s="253"/>
      <c r="O205" s="253"/>
      <c r="P205" s="253"/>
      <c r="Q205" s="253"/>
      <c r="R205" s="253"/>
      <c r="S205" s="253"/>
      <c r="T205" s="253"/>
      <c r="U205" s="253"/>
      <c r="V205" s="253"/>
      <c r="W205" s="253"/>
      <c r="X205" s="253"/>
      <c r="Y205" s="253"/>
      <c r="Z205" s="253"/>
      <c r="AA205" s="253"/>
      <c r="AB205" s="253"/>
      <c r="AC205" s="1401" t="s">
        <v>2485</v>
      </c>
      <c r="AD205" s="4502">
        <v>21</v>
      </c>
      <c r="AE205" s="10765" t="str">
        <f>IF(AE202="","",MAX(0,SUM(AE202,-AE204)))</f>
        <v/>
      </c>
      <c r="AF205" s="10818"/>
      <c r="AG205" s="10818"/>
      <c r="AH205" s="10818"/>
      <c r="AI205" s="10818"/>
      <c r="AJ205" s="10818"/>
      <c r="AK205" s="2013"/>
      <c r="AL205" s="253"/>
      <c r="AM205" s="512" t="b">
        <f>AND(AE205&lt;&gt;"",AE205=0)</f>
        <v>0</v>
      </c>
      <c r="AN205" s="253"/>
      <c r="AY205" s="421"/>
      <c r="AZ205" s="421"/>
    </row>
    <row r="206" spans="1:52" ht="16.5" customHeight="1">
      <c r="A206" s="2013"/>
      <c r="B206" s="253"/>
      <c r="C206" s="2917">
        <v>22</v>
      </c>
      <c r="D206" s="1323" t="s">
        <v>6781</v>
      </c>
      <c r="E206" s="511"/>
      <c r="F206" s="253"/>
      <c r="G206" s="253"/>
      <c r="H206" s="253"/>
      <c r="I206" s="1323"/>
      <c r="J206" s="253"/>
      <c r="K206" s="253"/>
      <c r="L206" s="1469"/>
      <c r="M206" s="511"/>
      <c r="N206" s="253"/>
      <c r="O206" s="253"/>
      <c r="P206" s="253"/>
      <c r="Q206" s="253"/>
      <c r="R206" s="253"/>
      <c r="S206" s="511"/>
      <c r="T206" s="253"/>
      <c r="U206" s="253"/>
      <c r="V206" s="253"/>
      <c r="W206" s="253"/>
      <c r="X206" s="253"/>
      <c r="Y206" s="253"/>
      <c r="Z206" s="253"/>
      <c r="AA206" s="253"/>
      <c r="AB206" s="253"/>
      <c r="AC206" s="1401" t="s">
        <v>808</v>
      </c>
      <c r="AD206" s="2918">
        <v>22</v>
      </c>
      <c r="AE206" s="10761"/>
      <c r="AF206" s="10817"/>
      <c r="AG206" s="10817"/>
      <c r="AH206" s="10817"/>
      <c r="AI206" s="10817"/>
      <c r="AJ206" s="10817"/>
      <c r="AK206" s="2013"/>
      <c r="AL206" s="253"/>
      <c r="AM206" s="344"/>
      <c r="AN206" s="253"/>
      <c r="AY206" s="421"/>
      <c r="AZ206" s="421"/>
    </row>
    <row r="207" spans="1:52" ht="16.5" customHeight="1">
      <c r="A207" s="2013"/>
      <c r="B207" s="253"/>
      <c r="C207" s="2917">
        <v>23</v>
      </c>
      <c r="D207" s="511" t="s">
        <v>3932</v>
      </c>
      <c r="E207" s="416"/>
      <c r="F207" s="416"/>
      <c r="G207" s="416"/>
      <c r="H207" s="253"/>
      <c r="I207" s="253"/>
      <c r="J207" s="253"/>
      <c r="K207" s="253"/>
      <c r="L207" s="253"/>
      <c r="M207" s="253"/>
      <c r="N207" s="253"/>
      <c r="O207" s="253"/>
      <c r="P207" s="253"/>
      <c r="Q207" s="253"/>
      <c r="R207" s="511"/>
      <c r="S207" s="253"/>
      <c r="T207" s="253"/>
      <c r="U207" s="253"/>
      <c r="V207" s="253"/>
      <c r="W207" s="253"/>
      <c r="X207" s="511"/>
      <c r="Y207" s="253"/>
      <c r="Z207" s="253"/>
      <c r="AA207" s="253"/>
      <c r="AB207" s="253"/>
      <c r="AC207" s="253"/>
      <c r="AD207" s="726"/>
      <c r="AE207" s="10819"/>
      <c r="AF207" s="10820"/>
      <c r="AG207" s="10820"/>
      <c r="AH207" s="10820"/>
      <c r="AI207" s="10820"/>
      <c r="AJ207" s="10820"/>
      <c r="AK207" s="2013"/>
      <c r="AL207" s="253"/>
      <c r="AM207" s="344"/>
      <c r="AN207" s="253"/>
    </row>
    <row r="208" spans="1:52" ht="16.5" customHeight="1">
      <c r="A208" s="2013"/>
      <c r="B208" s="253"/>
      <c r="C208" s="2723"/>
      <c r="D208" s="511" t="s">
        <v>6766</v>
      </c>
      <c r="E208" s="416"/>
      <c r="F208" s="416"/>
      <c r="G208" s="416"/>
      <c r="H208" s="416"/>
      <c r="I208" s="253"/>
      <c r="J208" s="253"/>
      <c r="K208" s="253"/>
      <c r="L208" s="253"/>
      <c r="M208" s="253"/>
      <c r="N208" s="253"/>
      <c r="O208" s="253"/>
      <c r="P208" s="253"/>
      <c r="Q208" s="253"/>
      <c r="R208" s="253"/>
      <c r="S208" s="253"/>
      <c r="T208" s="253"/>
      <c r="U208" s="253"/>
      <c r="V208" s="253"/>
      <c r="W208" s="253"/>
      <c r="X208" s="253"/>
      <c r="Y208" s="253"/>
      <c r="Z208" s="253"/>
      <c r="AA208" s="253"/>
      <c r="AB208" s="253"/>
      <c r="AC208" s="1401" t="s">
        <v>2485</v>
      </c>
      <c r="AD208" s="2918">
        <v>23</v>
      </c>
      <c r="AE208" s="10757" t="str">
        <f>IF(AE202="","",IF(NOT(AM205),MAX(0,SUM(AE205,-AE206)),""))</f>
        <v/>
      </c>
      <c r="AF208" s="10815"/>
      <c r="AG208" s="10815"/>
      <c r="AH208" s="10815"/>
      <c r="AI208" s="10815"/>
      <c r="AJ208" s="10815"/>
      <c r="AK208" s="2013"/>
      <c r="AL208" s="817"/>
      <c r="AM208" s="817"/>
      <c r="AN208" s="253"/>
    </row>
    <row r="209" spans="1:52" ht="16.5" customHeight="1">
      <c r="A209" s="2013"/>
      <c r="B209" s="253"/>
      <c r="C209" s="2917">
        <v>24</v>
      </c>
      <c r="D209" s="1323" t="s">
        <v>6767</v>
      </c>
      <c r="E209" s="416"/>
      <c r="F209" s="416"/>
      <c r="G209" s="416"/>
      <c r="H209" s="253"/>
      <c r="I209" s="253"/>
      <c r="J209" s="253"/>
      <c r="K209" s="253"/>
      <c r="L209" s="253"/>
      <c r="M209" s="253"/>
      <c r="N209" s="253"/>
      <c r="O209" s="253"/>
      <c r="P209" s="253"/>
      <c r="Q209" s="253"/>
      <c r="R209" s="511"/>
      <c r="S209" s="253"/>
      <c r="T209" s="253"/>
      <c r="U209" s="253"/>
      <c r="V209" s="253"/>
      <c r="W209" s="253"/>
      <c r="X209" s="511"/>
      <c r="Y209" s="253"/>
      <c r="Z209" s="253"/>
      <c r="AA209" s="253"/>
      <c r="AB209" s="253"/>
      <c r="AC209" s="253"/>
      <c r="AD209" s="726"/>
      <c r="AE209" s="10819"/>
      <c r="AF209" s="10820"/>
      <c r="AG209" s="10820"/>
      <c r="AH209" s="10820"/>
      <c r="AI209" s="10820"/>
      <c r="AJ209" s="10820"/>
      <c r="AK209" s="2013"/>
      <c r="AL209" s="253"/>
      <c r="AM209" s="344"/>
      <c r="AN209" s="253"/>
    </row>
    <row r="210" spans="1:52" ht="16.5" customHeight="1">
      <c r="A210" s="2013"/>
      <c r="B210" s="253"/>
      <c r="C210" s="2723"/>
      <c r="D210" s="511" t="s">
        <v>6768</v>
      </c>
      <c r="E210" s="416"/>
      <c r="F210" s="416"/>
      <c r="G210" s="416"/>
      <c r="H210" s="416"/>
      <c r="I210" s="253"/>
      <c r="J210" s="253"/>
      <c r="K210" s="253"/>
      <c r="L210" s="253"/>
      <c r="M210" s="253"/>
      <c r="N210" s="253"/>
      <c r="O210" s="253"/>
      <c r="P210" s="253"/>
      <c r="Q210" s="253"/>
      <c r="R210" s="253"/>
      <c r="S210" s="253"/>
      <c r="T210" s="253"/>
      <c r="U210" s="253"/>
      <c r="V210" s="253"/>
      <c r="W210" s="253"/>
      <c r="X210" s="253"/>
      <c r="Y210" s="253"/>
      <c r="Z210" s="253"/>
      <c r="AA210" s="253"/>
      <c r="AB210" s="253"/>
      <c r="AC210" s="1401" t="s">
        <v>1155</v>
      </c>
      <c r="AD210" s="2918">
        <v>24</v>
      </c>
      <c r="AE210" s="10761"/>
      <c r="AF210" s="10817"/>
      <c r="AG210" s="10817"/>
      <c r="AH210" s="10817"/>
      <c r="AI210" s="10817"/>
      <c r="AJ210" s="10817"/>
      <c r="AK210" s="2013"/>
      <c r="AL210" s="817"/>
      <c r="AM210" s="817"/>
      <c r="AN210" s="253"/>
    </row>
    <row r="211" spans="1:52" ht="16.5" customHeight="1">
      <c r="A211" s="2013"/>
      <c r="B211" s="253"/>
      <c r="C211" s="2917" t="s">
        <v>3933</v>
      </c>
      <c r="D211" s="1672" t="s">
        <v>3934</v>
      </c>
      <c r="E211" s="511"/>
      <c r="F211" s="253"/>
      <c r="G211" s="253"/>
      <c r="H211" s="253"/>
      <c r="I211" s="253"/>
      <c r="J211" s="253"/>
      <c r="K211" s="253"/>
      <c r="L211" s="253"/>
      <c r="M211" s="253"/>
      <c r="N211" s="253"/>
      <c r="O211" s="253"/>
      <c r="P211" s="253"/>
      <c r="Q211" s="253"/>
      <c r="R211" s="253"/>
      <c r="S211" s="253"/>
      <c r="T211" s="253"/>
      <c r="U211" s="253"/>
      <c r="V211" s="253"/>
      <c r="W211" s="253"/>
      <c r="X211" s="253"/>
      <c r="Y211" s="253"/>
      <c r="Z211" s="253"/>
      <c r="AA211" s="253"/>
      <c r="AB211" s="253"/>
      <c r="AC211" s="2198" t="s">
        <v>824</v>
      </c>
      <c r="AD211" s="2918" t="s">
        <v>680</v>
      </c>
      <c r="AE211" s="10757" t="str">
        <f>IF(AE202="","",IF(NOT(AM205),MAX(0,SUM(AE208,-AE210)),""))</f>
        <v/>
      </c>
      <c r="AF211" s="10815"/>
      <c r="AG211" s="10815"/>
      <c r="AH211" s="10815"/>
      <c r="AI211" s="10815"/>
      <c r="AJ211" s="10815"/>
      <c r="AK211" s="2013"/>
      <c r="AL211" s="253"/>
      <c r="AM211" s="344"/>
      <c r="AN211" s="253"/>
      <c r="AY211" s="421"/>
      <c r="AZ211" s="421"/>
    </row>
    <row r="212" spans="1:52" ht="16.5" customHeight="1">
      <c r="A212" s="2013"/>
      <c r="B212" s="253"/>
      <c r="C212" s="4478" t="s">
        <v>592</v>
      </c>
      <c r="D212" s="511" t="str">
        <f>"Enter the amount on line 25a attributable to qualified disaster distributions, if any, from "&amp;TaxYear&amp;" Form(s)"</f>
        <v>Enter the amount on line 25a attributable to qualified disaster distributions, if any, from 2025 Form(s)</v>
      </c>
      <c r="E212" s="511"/>
      <c r="F212" s="253"/>
      <c r="G212" s="253"/>
      <c r="H212" s="253"/>
      <c r="I212" s="253"/>
      <c r="J212" s="253"/>
      <c r="K212" s="253"/>
      <c r="L212" s="253"/>
      <c r="M212" s="253"/>
      <c r="N212" s="253"/>
      <c r="O212" s="253"/>
      <c r="P212" s="253"/>
      <c r="Q212" s="253"/>
      <c r="R212" s="253"/>
      <c r="S212" s="253"/>
      <c r="T212" s="253"/>
      <c r="U212" s="253"/>
      <c r="V212" s="253"/>
      <c r="W212" s="253"/>
      <c r="X212" s="253"/>
      <c r="Y212" s="253"/>
      <c r="Z212" s="511"/>
      <c r="AA212" s="253"/>
      <c r="AB212" s="253"/>
      <c r="AC212" s="409"/>
      <c r="AD212" s="726"/>
      <c r="AE212" s="253"/>
      <c r="AF212" s="253"/>
      <c r="AG212" s="253"/>
      <c r="AH212" s="253"/>
      <c r="AI212" s="253"/>
      <c r="AJ212" s="253"/>
      <c r="AK212" s="2013"/>
      <c r="AL212" s="253"/>
      <c r="AM212" s="344"/>
      <c r="AN212" s="253"/>
    </row>
    <row r="213" spans="1:52" ht="16.5" customHeight="1">
      <c r="A213" s="2013"/>
      <c r="B213" s="253"/>
      <c r="C213" s="2723"/>
      <c r="D213" s="511" t="str">
        <f>"8915-F. See instructions.   Also, enter this amount on "&amp;TaxYear&amp;" Form(s) 8915-F, line 19, as applicable (see"</f>
        <v>8915-F. See instructions.   Also, enter this amount on 2025 Form(s) 8915-F, line 19, as applicable (see</v>
      </c>
      <c r="E213" s="416"/>
      <c r="F213" s="416"/>
      <c r="G213" s="416"/>
      <c r="H213" s="253"/>
      <c r="I213" s="253"/>
      <c r="J213" s="253"/>
      <c r="K213" s="253"/>
      <c r="L213" s="253"/>
      <c r="M213" s="253"/>
      <c r="N213" s="253"/>
      <c r="O213" s="253"/>
      <c r="P213" s="253"/>
      <c r="Q213" s="253"/>
      <c r="R213" s="253"/>
      <c r="S213" s="253"/>
      <c r="T213" s="253"/>
      <c r="U213" s="253"/>
      <c r="V213" s="253"/>
      <c r="W213" s="253"/>
      <c r="X213" s="3775"/>
      <c r="Y213" s="511"/>
      <c r="Z213" s="253"/>
      <c r="AA213" s="511"/>
      <c r="AB213" s="511"/>
      <c r="AC213" s="4503"/>
      <c r="AD213" s="726"/>
      <c r="AE213" s="253"/>
      <c r="AF213" s="253"/>
      <c r="AG213" s="253"/>
      <c r="AH213" s="253"/>
      <c r="AI213" s="253"/>
      <c r="AJ213" s="253"/>
      <c r="AK213" s="2013"/>
      <c r="AL213" s="253"/>
      <c r="AM213" s="344"/>
      <c r="AN213" s="253"/>
    </row>
    <row r="214" spans="1:52" ht="16.5" customHeight="1">
      <c r="A214" s="2013"/>
      <c r="B214" s="253"/>
      <c r="C214" s="2723"/>
      <c r="D214" s="511" t="s">
        <v>835</v>
      </c>
      <c r="E214" s="416"/>
      <c r="F214" s="416"/>
      <c r="G214" s="416"/>
      <c r="H214" s="416"/>
      <c r="I214" s="253"/>
      <c r="J214" s="253"/>
      <c r="K214" s="511"/>
      <c r="L214" s="253"/>
      <c r="M214" s="253"/>
      <c r="N214" s="253"/>
      <c r="O214" s="253"/>
      <c r="P214" s="253"/>
      <c r="Q214" s="253"/>
      <c r="R214" s="253"/>
      <c r="S214" s="253"/>
      <c r="T214" s="253"/>
      <c r="U214" s="253"/>
      <c r="V214" s="253"/>
      <c r="W214" s="253"/>
      <c r="X214" s="253"/>
      <c r="Y214" s="253"/>
      <c r="Z214" s="253"/>
      <c r="AA214" s="253"/>
      <c r="AB214" s="253"/>
      <c r="AC214" s="1401" t="s">
        <v>1155</v>
      </c>
      <c r="AD214" s="2918" t="s">
        <v>682</v>
      </c>
      <c r="AE214" s="10761"/>
      <c r="AF214" s="10817"/>
      <c r="AG214" s="10817"/>
      <c r="AH214" s="10817"/>
      <c r="AI214" s="10817"/>
      <c r="AJ214" s="10817"/>
      <c r="AK214" s="2013"/>
      <c r="AL214" s="817"/>
      <c r="AM214" s="817"/>
      <c r="AN214" s="253"/>
    </row>
    <row r="215" spans="1:52" ht="16.5" customHeight="1">
      <c r="A215" s="2013"/>
      <c r="B215" s="253"/>
      <c r="C215" s="4478" t="s">
        <v>595</v>
      </c>
      <c r="D215" s="514" t="s">
        <v>3977</v>
      </c>
      <c r="E215" s="416"/>
      <c r="F215" s="416"/>
      <c r="G215" s="416"/>
      <c r="H215" s="253"/>
      <c r="I215" s="511" t="str">
        <f>"Subtract line 25b from line 25a. If more than zero, also include this amount on "&amp;TaxYear</f>
        <v>Subtract line 25b from line 25a. If more than zero, also include this amount on 2025</v>
      </c>
      <c r="J215" s="253"/>
      <c r="K215" s="253"/>
      <c r="L215" s="253"/>
      <c r="M215" s="253"/>
      <c r="N215" s="253"/>
      <c r="O215" s="253"/>
      <c r="P215" s="253"/>
      <c r="Q215" s="253"/>
      <c r="R215" s="253"/>
      <c r="S215" s="253"/>
      <c r="T215" s="253"/>
      <c r="U215" s="253"/>
      <c r="V215" s="253"/>
      <c r="W215" s="253"/>
      <c r="X215" s="253"/>
      <c r="Y215" s="253"/>
      <c r="Z215" s="253"/>
      <c r="AA215" s="253"/>
      <c r="AB215" s="253"/>
      <c r="AC215" s="253"/>
      <c r="AD215" s="726"/>
      <c r="AE215" s="253"/>
      <c r="AF215" s="253"/>
      <c r="AG215" s="253"/>
      <c r="AH215" s="253"/>
      <c r="AI215" s="253"/>
      <c r="AJ215" s="253"/>
      <c r="AK215" s="2013"/>
      <c r="AL215" s="253"/>
      <c r="AM215" s="344"/>
      <c r="AN215" s="253"/>
    </row>
    <row r="216" spans="1:52" ht="16.5" customHeight="1">
      <c r="A216" s="2013"/>
      <c r="B216" s="253"/>
      <c r="C216" s="4478"/>
      <c r="D216" s="1323" t="s">
        <v>6770</v>
      </c>
      <c r="E216" s="416"/>
      <c r="F216" s="416"/>
      <c r="G216" s="416"/>
      <c r="H216" s="253"/>
      <c r="I216" s="511"/>
      <c r="J216" s="253"/>
      <c r="K216" s="253"/>
      <c r="L216" s="253"/>
      <c r="M216" s="253"/>
      <c r="N216" s="253"/>
      <c r="O216" s="253"/>
      <c r="P216" s="253"/>
      <c r="Q216" s="253"/>
      <c r="R216" s="253"/>
      <c r="S216" s="253"/>
      <c r="T216" s="253"/>
      <c r="U216" s="253"/>
      <c r="V216" s="253"/>
      <c r="W216" s="253"/>
      <c r="X216" s="253"/>
      <c r="Y216" s="253"/>
      <c r="Z216" s="253"/>
      <c r="AA216" s="253"/>
      <c r="AB216" s="253"/>
      <c r="AC216" s="253"/>
      <c r="AD216" s="726"/>
      <c r="AE216" s="253"/>
      <c r="AF216" s="253"/>
      <c r="AG216" s="253"/>
      <c r="AH216" s="253"/>
      <c r="AI216" s="253"/>
      <c r="AJ216" s="253"/>
      <c r="AK216" s="2013"/>
      <c r="AL216" s="253"/>
      <c r="AM216" s="344"/>
      <c r="AN216" s="253"/>
    </row>
    <row r="217" spans="1:52" ht="16.5" customHeight="1">
      <c r="A217" s="2013"/>
      <c r="B217" s="253"/>
      <c r="C217" s="4478"/>
      <c r="D217" s="1323" t="str">
        <f>"See instructions.  If more than zero, also include this amount on  "&amp;TaxYear&amp;" Form 1040,  1040-SR,"</f>
        <v>See instructions.  If more than zero, also include this amount on  2025 Form 1040,  1040-SR,</v>
      </c>
      <c r="E217" s="416"/>
      <c r="F217" s="416"/>
      <c r="G217" s="416"/>
      <c r="H217" s="253"/>
      <c r="I217" s="511"/>
      <c r="J217" s="253"/>
      <c r="K217" s="253"/>
      <c r="L217" s="253"/>
      <c r="M217" s="253"/>
      <c r="N217" s="253"/>
      <c r="O217" s="253"/>
      <c r="P217" s="253"/>
      <c r="Q217" s="253"/>
      <c r="R217" s="253"/>
      <c r="S217" s="253"/>
      <c r="T217" s="253"/>
      <c r="U217" s="253"/>
      <c r="V217" s="253"/>
      <c r="W217" s="253"/>
      <c r="X217" s="253"/>
      <c r="Y217" s="253"/>
      <c r="Z217" s="253"/>
      <c r="AA217" s="514" t="s">
        <v>1235</v>
      </c>
      <c r="AB217" s="253"/>
      <c r="AC217" s="253"/>
      <c r="AD217" s="726"/>
      <c r="AE217" s="253"/>
      <c r="AF217" s="253"/>
      <c r="AG217" s="253"/>
      <c r="AH217" s="253"/>
      <c r="AI217" s="253"/>
      <c r="AJ217" s="253"/>
      <c r="AK217" s="2013"/>
      <c r="AL217" s="253"/>
      <c r="AM217" s="344"/>
      <c r="AN217" s="253"/>
    </row>
    <row r="218" spans="1:52" ht="16.5" customHeight="1" thickBot="1">
      <c r="A218" s="2013"/>
      <c r="B218" s="380"/>
      <c r="C218" s="4504"/>
      <c r="D218" s="5003" t="s">
        <v>6759</v>
      </c>
      <c r="E218" s="4225"/>
      <c r="F218" s="4225"/>
      <c r="G218" s="4225"/>
      <c r="H218" s="4225"/>
      <c r="I218" s="380"/>
      <c r="J218" s="380"/>
      <c r="K218" s="380"/>
      <c r="L218" s="380"/>
      <c r="M218" s="380"/>
      <c r="N218" s="380"/>
      <c r="O218" s="380"/>
      <c r="P218" s="380"/>
      <c r="Q218" s="380"/>
      <c r="R218" s="380"/>
      <c r="S218" s="380"/>
      <c r="T218" s="380"/>
      <c r="U218" s="380"/>
      <c r="V218" s="380"/>
      <c r="W218" s="380"/>
      <c r="X218" s="380"/>
      <c r="Y218" s="380"/>
      <c r="Z218" s="380"/>
      <c r="AA218" s="380"/>
      <c r="AB218" s="380"/>
      <c r="AC218" s="4488" t="s">
        <v>891</v>
      </c>
      <c r="AD218" s="2919" t="s">
        <v>687</v>
      </c>
      <c r="AE218" s="10759" t="str">
        <f>IF(AE202="","",IF(NOT(AM205),MAX(0,SUM(AE211,-AE214)),""))</f>
        <v/>
      </c>
      <c r="AF218" s="10816"/>
      <c r="AG218" s="10816"/>
      <c r="AH218" s="10816"/>
      <c r="AI218" s="10816"/>
      <c r="AJ218" s="10816"/>
      <c r="AK218" s="2013"/>
      <c r="AL218" s="817"/>
      <c r="AM218" s="817"/>
      <c r="AN218" s="253"/>
    </row>
    <row r="219" spans="1:52" s="815" customFormat="1" ht="12" customHeight="1">
      <c r="A219" s="2013"/>
      <c r="B219" s="10836" t="s">
        <v>6772</v>
      </c>
      <c r="C219" s="10836"/>
      <c r="D219" s="10836"/>
      <c r="E219" s="10836"/>
      <c r="F219" s="10836"/>
      <c r="G219" s="10836"/>
      <c r="H219" s="6748" t="s">
        <v>3935</v>
      </c>
      <c r="I219" s="6750"/>
      <c r="J219" s="4505"/>
      <c r="K219" s="4505"/>
      <c r="L219" s="4505"/>
      <c r="M219" s="4505"/>
      <c r="N219" s="4505"/>
      <c r="O219" s="344"/>
      <c r="P219" s="344"/>
      <c r="Q219" s="344"/>
      <c r="R219" s="344"/>
      <c r="S219" s="344"/>
      <c r="T219" s="344"/>
      <c r="U219" s="1204"/>
      <c r="V219" s="4505"/>
      <c r="W219" s="4505"/>
      <c r="X219" s="4505"/>
      <c r="Y219" s="4505"/>
      <c r="Z219" s="4505"/>
      <c r="AA219" s="4505"/>
      <c r="AB219" s="4505"/>
      <c r="AC219" s="4505"/>
      <c r="AD219" s="4505"/>
      <c r="AE219" s="4505"/>
      <c r="AF219" s="344"/>
      <c r="AG219" s="344"/>
      <c r="AH219" s="344"/>
      <c r="AI219" s="344"/>
      <c r="AJ219" s="344"/>
      <c r="AK219" s="2013"/>
      <c r="AL219" s="253"/>
      <c r="AM219" s="344"/>
      <c r="AN219" s="253"/>
      <c r="AO219" s="658"/>
      <c r="AP219" s="658"/>
      <c r="AQ219" s="658"/>
      <c r="AR219" s="658"/>
      <c r="AS219" s="658"/>
      <c r="AT219" s="658"/>
      <c r="AU219" s="658"/>
      <c r="AV219" s="658"/>
      <c r="AW219" s="658"/>
      <c r="AX219" s="658"/>
      <c r="AY219"/>
      <c r="AZ219"/>
    </row>
    <row r="220" spans="1:52" s="815" customFormat="1" ht="14.25" customHeight="1">
      <c r="A220" s="2013"/>
      <c r="B220" s="10837"/>
      <c r="C220" s="10837"/>
      <c r="D220" s="10837"/>
      <c r="E220" s="10837"/>
      <c r="F220" s="10837"/>
      <c r="G220" s="10837"/>
      <c r="H220" s="6749" t="s">
        <v>3936</v>
      </c>
      <c r="I220" s="319"/>
      <c r="J220" s="4505"/>
      <c r="K220" s="4505"/>
      <c r="L220" s="4505"/>
      <c r="M220" s="4505"/>
      <c r="N220" s="4505"/>
      <c r="O220" s="1148"/>
      <c r="P220" s="344"/>
      <c r="Q220" s="344"/>
      <c r="R220" s="1148"/>
      <c r="S220" s="344"/>
      <c r="T220" s="344"/>
      <c r="U220" s="344"/>
      <c r="V220" s="4505"/>
      <c r="W220" s="4505"/>
      <c r="X220" s="4505"/>
      <c r="Y220" s="4505"/>
      <c r="Z220" s="4505"/>
      <c r="AA220" s="4505"/>
      <c r="AB220" s="4505"/>
      <c r="AC220" s="4505"/>
      <c r="AD220" s="4505"/>
      <c r="AE220" s="4505"/>
      <c r="AF220" s="1148"/>
      <c r="AG220" s="344"/>
      <c r="AH220" s="344"/>
      <c r="AI220" s="1148"/>
      <c r="AJ220" s="344"/>
      <c r="AK220" s="2013"/>
      <c r="AL220" s="253"/>
      <c r="AM220" s="344"/>
      <c r="AN220" s="253"/>
      <c r="AO220" s="658"/>
      <c r="AP220" s="658"/>
      <c r="AQ220" s="658"/>
      <c r="AR220" s="658"/>
      <c r="AS220" s="658"/>
      <c r="AT220" s="658"/>
      <c r="AU220" s="658"/>
      <c r="AV220" s="658"/>
      <c r="AW220" s="658"/>
      <c r="AX220" s="658"/>
      <c r="AY220"/>
      <c r="AZ220"/>
    </row>
    <row r="221" spans="1:52" s="815" customFormat="1" ht="15.75" customHeight="1">
      <c r="A221" s="2013"/>
      <c r="B221" s="10837"/>
      <c r="C221" s="10837"/>
      <c r="D221" s="10837"/>
      <c r="E221" s="10837"/>
      <c r="F221" s="10837"/>
      <c r="G221" s="10837"/>
      <c r="H221" s="4506"/>
      <c r="I221" s="4505"/>
      <c r="J221" s="4505"/>
      <c r="K221" s="4505"/>
      <c r="L221" s="4505"/>
      <c r="M221" s="4505"/>
      <c r="N221" s="4505"/>
      <c r="O221" s="344"/>
      <c r="P221" s="344"/>
      <c r="Q221" s="344"/>
      <c r="R221" s="344"/>
      <c r="S221" s="344"/>
      <c r="T221" s="344"/>
      <c r="U221" s="344"/>
      <c r="V221" s="4505"/>
      <c r="W221" s="4505"/>
      <c r="X221" s="4505"/>
      <c r="Y221" s="4505"/>
      <c r="Z221" s="4505"/>
      <c r="AA221" s="4505"/>
      <c r="AB221" s="4505"/>
      <c r="AC221" s="4505"/>
      <c r="AD221" s="4505"/>
      <c r="AE221" s="4505"/>
      <c r="AF221" s="344"/>
      <c r="AG221" s="344"/>
      <c r="AH221" s="344"/>
      <c r="AI221" s="344"/>
      <c r="AJ221" s="344"/>
      <c r="AK221" s="2013"/>
      <c r="AL221" s="253"/>
      <c r="AM221" s="344"/>
      <c r="AN221" s="253"/>
      <c r="AO221" s="662"/>
      <c r="AP221" s="662"/>
      <c r="AQ221" s="662"/>
      <c r="AR221" s="662"/>
      <c r="AS221" s="662"/>
      <c r="AT221" s="662"/>
      <c r="AU221" s="662"/>
      <c r="AV221" s="662"/>
      <c r="AW221" s="662"/>
      <c r="AX221" s="662"/>
      <c r="AY221"/>
      <c r="AZ221"/>
    </row>
    <row r="222" spans="1:52" s="815" customFormat="1" ht="15.75" customHeight="1">
      <c r="A222" s="2013"/>
      <c r="B222" s="10837"/>
      <c r="C222" s="10837"/>
      <c r="D222" s="10837"/>
      <c r="E222" s="10837"/>
      <c r="F222" s="10837"/>
      <c r="G222" s="10837"/>
      <c r="H222" s="4506"/>
      <c r="I222" s="4505"/>
      <c r="J222" s="10821"/>
      <c r="K222" s="10821"/>
      <c r="L222" s="10821"/>
      <c r="M222" s="10821"/>
      <c r="N222" s="10821"/>
      <c r="O222" s="10821"/>
      <c r="P222" s="10821"/>
      <c r="Q222" s="10821"/>
      <c r="R222" s="10821"/>
      <c r="S222" s="10821"/>
      <c r="T222" s="10821"/>
      <c r="U222" s="10821"/>
      <c r="V222" s="10821"/>
      <c r="W222" s="10821"/>
      <c r="X222" s="10821"/>
      <c r="Y222" s="10821"/>
      <c r="Z222" s="10821"/>
      <c r="AA222" s="10821"/>
      <c r="AB222" s="4505"/>
      <c r="AC222" s="4505"/>
      <c r="AD222" s="10829"/>
      <c r="AE222" s="10829"/>
      <c r="AF222" s="10829"/>
      <c r="AG222" s="10829"/>
      <c r="AH222" s="10829"/>
      <c r="AI222" s="10829"/>
      <c r="AJ222" s="10829"/>
      <c r="AK222" s="2013"/>
      <c r="AL222" s="253"/>
      <c r="AM222" s="344"/>
      <c r="AN222" s="253"/>
      <c r="AO222" s="658"/>
      <c r="AP222" s="658"/>
      <c r="AQ222" s="658"/>
      <c r="AR222" s="658"/>
      <c r="AS222" s="658"/>
      <c r="AT222" s="658"/>
      <c r="AU222" s="658"/>
      <c r="AV222" s="658"/>
      <c r="AW222" s="658"/>
      <c r="AX222" s="658"/>
      <c r="AY222"/>
      <c r="AZ222"/>
    </row>
    <row r="223" spans="1:52" s="815" customFormat="1" ht="15.75" customHeight="1">
      <c r="A223" s="2013"/>
      <c r="B223" s="10837"/>
      <c r="C223" s="10837"/>
      <c r="D223" s="10837"/>
      <c r="E223" s="10837"/>
      <c r="F223" s="10837"/>
      <c r="G223" s="10837"/>
      <c r="H223" s="4506"/>
      <c r="I223" s="4505"/>
      <c r="J223" s="10822"/>
      <c r="K223" s="10822"/>
      <c r="L223" s="10822"/>
      <c r="M223" s="10822"/>
      <c r="N223" s="10822"/>
      <c r="O223" s="10822"/>
      <c r="P223" s="10822"/>
      <c r="Q223" s="10822"/>
      <c r="R223" s="10822"/>
      <c r="S223" s="10822"/>
      <c r="T223" s="10822"/>
      <c r="U223" s="10822"/>
      <c r="V223" s="10822"/>
      <c r="W223" s="10822"/>
      <c r="X223" s="10822"/>
      <c r="Y223" s="10822"/>
      <c r="Z223" s="10822"/>
      <c r="AA223" s="10822"/>
      <c r="AB223" s="4505"/>
      <c r="AC223" s="4505"/>
      <c r="AD223" s="10830"/>
      <c r="AE223" s="10830"/>
      <c r="AF223" s="10830"/>
      <c r="AG223" s="10830"/>
      <c r="AH223" s="10830"/>
      <c r="AI223" s="10830"/>
      <c r="AJ223" s="10830"/>
      <c r="AK223" s="2013"/>
      <c r="AL223" s="253"/>
      <c r="AM223" s="344"/>
      <c r="AN223" s="253"/>
      <c r="AO223" s="658"/>
      <c r="AP223" s="658"/>
      <c r="AQ223" s="658"/>
      <c r="AR223" s="658"/>
      <c r="AS223" s="658"/>
      <c r="AT223" s="658"/>
      <c r="AU223" s="658"/>
      <c r="AV223" s="658"/>
      <c r="AW223" s="658"/>
      <c r="AX223" s="658"/>
      <c r="AY223"/>
      <c r="AZ223"/>
    </row>
    <row r="224" spans="1:52" s="815" customFormat="1" ht="11.25" customHeight="1">
      <c r="A224" s="2013"/>
      <c r="B224" s="10838"/>
      <c r="C224" s="10838"/>
      <c r="D224" s="10838"/>
      <c r="E224" s="10838"/>
      <c r="F224" s="10838"/>
      <c r="G224" s="10838"/>
      <c r="H224" s="4508"/>
      <c r="I224" s="4252"/>
      <c r="J224" s="507" t="s">
        <v>742</v>
      </c>
      <c r="K224" s="4252"/>
      <c r="L224" s="4252"/>
      <c r="M224" s="4252"/>
      <c r="N224" s="4252"/>
      <c r="O224" s="569"/>
      <c r="P224" s="569"/>
      <c r="Q224" s="569"/>
      <c r="R224" s="569"/>
      <c r="S224" s="569"/>
      <c r="T224" s="569"/>
      <c r="U224" s="569"/>
      <c r="V224" s="4252"/>
      <c r="W224" s="4252"/>
      <c r="X224" s="4252"/>
      <c r="Y224" s="4252"/>
      <c r="Z224" s="4252"/>
      <c r="AA224" s="4252"/>
      <c r="AB224" s="4252"/>
      <c r="AC224" s="4252"/>
      <c r="AD224" s="507" t="s">
        <v>227</v>
      </c>
      <c r="AE224" s="4252"/>
      <c r="AF224" s="569"/>
      <c r="AG224" s="569"/>
      <c r="AH224" s="569"/>
      <c r="AI224" s="569"/>
      <c r="AJ224" s="569"/>
      <c r="AK224" s="2013"/>
      <c r="AL224" s="253"/>
      <c r="AM224" s="344"/>
      <c r="AN224" s="253"/>
      <c r="AO224" s="658"/>
      <c r="AP224" s="658"/>
      <c r="AQ224" s="658"/>
      <c r="AR224" s="658"/>
      <c r="AS224" s="658"/>
      <c r="AT224" s="658"/>
      <c r="AU224" s="658"/>
      <c r="AV224" s="658"/>
      <c r="AW224" s="658"/>
      <c r="AX224" s="658"/>
      <c r="AY224"/>
      <c r="AZ224"/>
    </row>
    <row r="225" spans="1:52" s="815" customFormat="1" ht="12.75" customHeight="1">
      <c r="A225" s="2013"/>
      <c r="B225" s="10791" t="s">
        <v>3937</v>
      </c>
      <c r="C225" s="10791"/>
      <c r="D225" s="10791"/>
      <c r="E225" s="10792"/>
      <c r="F225" s="4509" t="s">
        <v>3938</v>
      </c>
      <c r="G225" s="4510"/>
      <c r="H225" s="4510"/>
      <c r="I225" s="4510"/>
      <c r="J225" s="4510"/>
      <c r="K225" s="4510"/>
      <c r="L225" s="4510"/>
      <c r="M225" s="4510"/>
      <c r="N225" s="4510"/>
      <c r="O225" s="4511"/>
      <c r="P225" s="4509" t="s">
        <v>3939</v>
      </c>
      <c r="Q225" s="4510"/>
      <c r="R225" s="4510"/>
      <c r="S225" s="4510"/>
      <c r="T225" s="565"/>
      <c r="U225" s="4512"/>
      <c r="V225" s="4510"/>
      <c r="W225" s="4510"/>
      <c r="X225" s="4510"/>
      <c r="Y225" s="4511"/>
      <c r="Z225" s="4509" t="s">
        <v>3940</v>
      </c>
      <c r="AA225" s="4510"/>
      <c r="AB225" s="4510"/>
      <c r="AC225" s="4511"/>
      <c r="AD225" s="4509" t="s">
        <v>3941</v>
      </c>
      <c r="AE225" s="4510"/>
      <c r="AF225" s="4510" t="s">
        <v>3942</v>
      </c>
      <c r="AG225" s="4509" t="s">
        <v>3943</v>
      </c>
      <c r="AH225" s="4510"/>
      <c r="AI225" s="4510"/>
      <c r="AJ225" s="4510"/>
      <c r="AK225" s="2013"/>
      <c r="AL225" s="253"/>
      <c r="AM225" s="344"/>
      <c r="AN225" s="253"/>
      <c r="AO225" s="658"/>
      <c r="AP225" s="658"/>
      <c r="AQ225" s="658"/>
      <c r="AR225" s="658"/>
      <c r="AS225" s="658"/>
      <c r="AT225" s="658"/>
      <c r="AU225" s="658"/>
      <c r="AV225" s="658"/>
      <c r="AW225" s="658"/>
      <c r="AX225" s="658"/>
      <c r="AY225"/>
      <c r="AZ225"/>
    </row>
    <row r="226" spans="1:52" s="815" customFormat="1" ht="13.5" customHeight="1">
      <c r="A226" s="2013"/>
      <c r="B226" s="10793"/>
      <c r="C226" s="10793"/>
      <c r="D226" s="10793"/>
      <c r="E226" s="10794"/>
      <c r="F226" s="10797"/>
      <c r="G226" s="10798"/>
      <c r="H226" s="10798"/>
      <c r="I226" s="10798"/>
      <c r="J226" s="10798"/>
      <c r="K226" s="10798"/>
      <c r="L226" s="10798"/>
      <c r="M226" s="10798"/>
      <c r="N226" s="10798"/>
      <c r="O226" s="10799"/>
      <c r="P226" s="4506"/>
      <c r="Q226" s="4505"/>
      <c r="R226" s="4505"/>
      <c r="S226" s="4505"/>
      <c r="T226" s="344"/>
      <c r="U226" s="344"/>
      <c r="V226" s="4505"/>
      <c r="W226" s="4505"/>
      <c r="X226" s="4505"/>
      <c r="Y226" s="4513"/>
      <c r="Z226" s="10803"/>
      <c r="AA226" s="10804"/>
      <c r="AB226" s="10804"/>
      <c r="AC226" s="10805"/>
      <c r="AD226" s="4514"/>
      <c r="AE226" s="384"/>
      <c r="AF226" s="4505"/>
      <c r="AG226" s="10809"/>
      <c r="AH226" s="10810"/>
      <c r="AI226" s="10810"/>
      <c r="AJ226" s="10810"/>
      <c r="AK226" s="2013"/>
      <c r="AL226" s="253"/>
      <c r="AM226" s="344"/>
      <c r="AN226" s="253"/>
      <c r="AO226" s="658"/>
      <c r="AP226" s="658"/>
      <c r="AQ226" s="658"/>
      <c r="AR226" s="658"/>
      <c r="AS226" s="658"/>
      <c r="AT226" s="658"/>
      <c r="AU226" s="658"/>
      <c r="AV226" s="658"/>
      <c r="AW226" s="658"/>
      <c r="AX226" s="658"/>
      <c r="AY226"/>
      <c r="AZ226"/>
    </row>
    <row r="227" spans="1:52" s="815" customFormat="1" ht="13.5" customHeight="1">
      <c r="A227" s="2013"/>
      <c r="B227" s="10793"/>
      <c r="C227" s="10793"/>
      <c r="D227" s="10793"/>
      <c r="E227" s="10794"/>
      <c r="F227" s="10800"/>
      <c r="G227" s="10801"/>
      <c r="H227" s="10801"/>
      <c r="I227" s="10801"/>
      <c r="J227" s="10801"/>
      <c r="K227" s="10801"/>
      <c r="L227" s="10801"/>
      <c r="M227" s="10801"/>
      <c r="N227" s="10801"/>
      <c r="O227" s="10802"/>
      <c r="P227" s="4508"/>
      <c r="Q227" s="4252"/>
      <c r="R227" s="4252"/>
      <c r="S227" s="4252"/>
      <c r="T227" s="569"/>
      <c r="U227" s="569"/>
      <c r="V227" s="4252"/>
      <c r="W227" s="4252"/>
      <c r="X227" s="4252"/>
      <c r="Y227" s="4507"/>
      <c r="Z227" s="10806"/>
      <c r="AA227" s="10807"/>
      <c r="AB227" s="10807"/>
      <c r="AC227" s="10808"/>
      <c r="AD227" s="4515" t="s">
        <v>3944</v>
      </c>
      <c r="AE227" s="4252"/>
      <c r="AF227" s="4252"/>
      <c r="AG227" s="10811"/>
      <c r="AH227" s="10812"/>
      <c r="AI227" s="10812"/>
      <c r="AJ227" s="10812"/>
      <c r="AK227" s="2013"/>
      <c r="AL227" s="253"/>
      <c r="AM227" s="344"/>
      <c r="AN227" s="253"/>
      <c r="AO227" s="658"/>
      <c r="AP227" s="658"/>
      <c r="AQ227" s="658"/>
      <c r="AR227" s="658"/>
      <c r="AS227" s="658"/>
      <c r="AT227" s="658"/>
      <c r="AU227" s="658"/>
      <c r="AV227" s="658"/>
      <c r="AW227" s="658"/>
      <c r="AX227" s="658"/>
      <c r="AY227"/>
      <c r="AZ227"/>
    </row>
    <row r="228" spans="1:52" s="815" customFormat="1" ht="14.25" customHeight="1">
      <c r="A228" s="2013"/>
      <c r="B228" s="10793"/>
      <c r="C228" s="10793"/>
      <c r="D228" s="10793"/>
      <c r="E228" s="10794"/>
      <c r="F228" s="1149" t="s">
        <v>3945</v>
      </c>
      <c r="G228" s="4516"/>
      <c r="H228" s="1150"/>
      <c r="I228" s="1150"/>
      <c r="J228" s="1150"/>
      <c r="K228" s="7430"/>
      <c r="L228" s="7430"/>
      <c r="M228" s="7430"/>
      <c r="N228" s="7430"/>
      <c r="O228" s="7430"/>
      <c r="P228" s="7430"/>
      <c r="Q228" s="7430"/>
      <c r="R228" s="7430"/>
      <c r="S228" s="7430"/>
      <c r="T228" s="7430"/>
      <c r="U228" s="7430"/>
      <c r="V228" s="7430"/>
      <c r="W228" s="7430"/>
      <c r="X228" s="7430"/>
      <c r="Y228" s="7430"/>
      <c r="Z228" s="7430"/>
      <c r="AA228" s="7430"/>
      <c r="AB228" s="7430"/>
      <c r="AC228" s="7430"/>
      <c r="AD228" s="1149" t="s">
        <v>3946</v>
      </c>
      <c r="AE228" s="1150"/>
      <c r="AF228" s="4154"/>
      <c r="AG228" s="8406"/>
      <c r="AH228" s="8406"/>
      <c r="AI228" s="8406"/>
      <c r="AJ228" s="8406"/>
      <c r="AK228" s="2013"/>
      <c r="AL228" s="253"/>
      <c r="AM228" s="344"/>
      <c r="AN228" s="253"/>
      <c r="AO228" s="658"/>
      <c r="AP228" s="658"/>
      <c r="AQ228" s="658"/>
      <c r="AR228" s="658"/>
      <c r="AS228" s="658"/>
      <c r="AT228" s="658"/>
      <c r="AU228" s="658"/>
      <c r="AV228" s="658"/>
      <c r="AW228" s="658"/>
      <c r="AX228" s="658"/>
      <c r="AY228"/>
      <c r="AZ228"/>
    </row>
    <row r="229" spans="1:52" s="815" customFormat="1" ht="14.25" customHeight="1" thickBot="1">
      <c r="A229" s="2013"/>
      <c r="B229" s="10795"/>
      <c r="C229" s="10795"/>
      <c r="D229" s="10795"/>
      <c r="E229" s="10796"/>
      <c r="F229" s="4517" t="s">
        <v>3947</v>
      </c>
      <c r="G229" s="4518"/>
      <c r="H229" s="4518"/>
      <c r="I229" s="4518"/>
      <c r="J229" s="4518"/>
      <c r="K229" s="10813"/>
      <c r="L229" s="10813"/>
      <c r="M229" s="10813"/>
      <c r="N229" s="10813"/>
      <c r="O229" s="10813"/>
      <c r="P229" s="10813"/>
      <c r="Q229" s="10813"/>
      <c r="R229" s="10813"/>
      <c r="S229" s="10813"/>
      <c r="T229" s="10813"/>
      <c r="U229" s="10813"/>
      <c r="V229" s="10813"/>
      <c r="W229" s="10813"/>
      <c r="X229" s="10813"/>
      <c r="Y229" s="10813"/>
      <c r="Z229" s="10813"/>
      <c r="AA229" s="10813"/>
      <c r="AB229" s="10813"/>
      <c r="AC229" s="10813"/>
      <c r="AD229" s="4517" t="s">
        <v>3948</v>
      </c>
      <c r="AE229" s="4518"/>
      <c r="AF229" s="4518"/>
      <c r="AG229" s="10814"/>
      <c r="AH229" s="10814"/>
      <c r="AI229" s="10814"/>
      <c r="AJ229" s="10814"/>
      <c r="AK229" s="2013"/>
      <c r="AL229" s="253"/>
      <c r="AM229" s="344"/>
      <c r="AN229" s="253"/>
      <c r="AO229" s="658"/>
      <c r="AP229" s="658"/>
      <c r="AQ229" s="658"/>
      <c r="AR229" s="658"/>
      <c r="AS229" s="658"/>
      <c r="AT229" s="658"/>
      <c r="AU229" s="658"/>
      <c r="AV229" s="658"/>
      <c r="AW229" s="658"/>
      <c r="AX229" s="658"/>
      <c r="AY229"/>
      <c r="AZ229"/>
    </row>
    <row r="230" spans="1:52" s="815" customFormat="1" ht="16.5" thickTop="1">
      <c r="A230" s="2013"/>
      <c r="B230" s="2447"/>
      <c r="C230" s="728"/>
      <c r="D230" s="1560"/>
      <c r="E230" s="1560"/>
      <c r="F230" s="1560"/>
      <c r="G230" s="1560"/>
      <c r="H230" s="1560"/>
      <c r="I230" s="1560"/>
      <c r="J230" s="1560"/>
      <c r="K230" s="1560"/>
      <c r="L230" s="1560"/>
      <c r="M230" s="1560"/>
      <c r="N230" s="1560"/>
      <c r="O230" s="1560"/>
      <c r="P230" s="1560"/>
      <c r="Q230" s="88"/>
      <c r="R230" s="88"/>
      <c r="S230" s="88"/>
      <c r="T230" s="88"/>
      <c r="U230" s="3931"/>
      <c r="V230" s="88"/>
      <c r="W230" s="3931"/>
      <c r="X230" s="88"/>
      <c r="Y230" s="88"/>
      <c r="Z230" s="88"/>
      <c r="AA230" s="88"/>
      <c r="AB230" s="88"/>
      <c r="AC230" s="88"/>
      <c r="AD230" s="88"/>
      <c r="AE230" s="88"/>
      <c r="AF230" s="88"/>
      <c r="AG230" s="88"/>
      <c r="AH230" s="2052" t="s">
        <v>3949</v>
      </c>
      <c r="AI230" s="88"/>
      <c r="AJ230" s="2052" t="str">
        <f>"("&amp;TaxYear&amp;")"</f>
        <v>(2025)</v>
      </c>
      <c r="AK230" s="2013"/>
      <c r="AL230" s="416"/>
      <c r="AM230" s="730"/>
      <c r="AN230" s="253"/>
      <c r="AO230" s="658"/>
      <c r="AP230" s="658"/>
      <c r="AQ230" s="658"/>
      <c r="AR230" s="658"/>
      <c r="AS230" s="658"/>
      <c r="AT230" s="658"/>
      <c r="AU230" s="658"/>
      <c r="AV230" s="658"/>
      <c r="AW230" s="658"/>
      <c r="AX230" s="658"/>
      <c r="AY230"/>
      <c r="AZ230"/>
    </row>
  </sheetData>
  <sheetProtection algorithmName="SHA-512" hashValue="Sr10xNpXlyEYXti9FVoXLWNsP/Ql0rXBItfLKN8bCRYy6dVb2+zfQWcoIdOCB3NnrqihkbQef6fQQM/Emz7N2A==" saltValue="GaXbKozhWU+qocy6g5SvAA==" spinCount="100000" sheet="1" formatCells="0" formatColumns="0" formatRows="0"/>
  <mergeCells count="198">
    <mergeCell ref="AL19:AN19"/>
    <mergeCell ref="AL20:AN20"/>
    <mergeCell ref="AL21:AN21"/>
    <mergeCell ref="AL22:AN22"/>
    <mergeCell ref="B219:G224"/>
    <mergeCell ref="AR81:AU84"/>
    <mergeCell ref="AR38:AU41"/>
    <mergeCell ref="AO81:AO84"/>
    <mergeCell ref="AP81:AQ84"/>
    <mergeCell ref="AR80:AU80"/>
    <mergeCell ref="AR193:AU193"/>
    <mergeCell ref="AO194:AO197"/>
    <mergeCell ref="AP194:AQ197"/>
    <mergeCell ref="AR194:AU197"/>
    <mergeCell ref="AL131:AN131"/>
    <mergeCell ref="AL132:AN132"/>
    <mergeCell ref="AL133:AN133"/>
    <mergeCell ref="AL134:AN134"/>
    <mergeCell ref="B64:C64"/>
    <mergeCell ref="E64:AJ64"/>
    <mergeCell ref="AE194:AJ194"/>
    <mergeCell ref="B113:E117"/>
    <mergeCell ref="F114:O115"/>
    <mergeCell ref="AG114:AJ115"/>
    <mergeCell ref="AE177:AJ177"/>
    <mergeCell ref="AE180:AJ180"/>
    <mergeCell ref="AB166:AC166"/>
    <mergeCell ref="Z167:AC167"/>
    <mergeCell ref="AE167:AJ167"/>
    <mergeCell ref="X169:AC169"/>
    <mergeCell ref="X170:AC170"/>
    <mergeCell ref="X171:AC171"/>
    <mergeCell ref="AE94:AJ94"/>
    <mergeCell ref="AE154:AJ154"/>
    <mergeCell ref="AE147:AJ147"/>
    <mergeCell ref="AD122:AG122"/>
    <mergeCell ref="AE158:AJ158"/>
    <mergeCell ref="AE162:AJ162"/>
    <mergeCell ref="AE164:AJ164"/>
    <mergeCell ref="X165:AC165"/>
    <mergeCell ref="AH122:AI123"/>
    <mergeCell ref="I123:AB123"/>
    <mergeCell ref="AD123:AG123"/>
    <mergeCell ref="P150:Q151"/>
    <mergeCell ref="P152:Q153"/>
    <mergeCell ref="B176:C176"/>
    <mergeCell ref="E176:AJ176"/>
    <mergeCell ref="AC131:AJ131"/>
    <mergeCell ref="AE43:AJ43"/>
    <mergeCell ref="AL128:AN128"/>
    <mergeCell ref="AL129:AN129"/>
    <mergeCell ref="AL130:AN130"/>
    <mergeCell ref="AL126:AN126"/>
    <mergeCell ref="AL127:AN127"/>
    <mergeCell ref="AE96:AJ96"/>
    <mergeCell ref="AE97:AJ97"/>
    <mergeCell ref="AE98:AJ98"/>
    <mergeCell ref="AE99:AJ99"/>
    <mergeCell ref="AE102:AJ102"/>
    <mergeCell ref="AE106:AJ106"/>
    <mergeCell ref="Y125:AJ125"/>
    <mergeCell ref="Z114:AC115"/>
    <mergeCell ref="K117:AC117"/>
    <mergeCell ref="K116:AC116"/>
    <mergeCell ref="AG116:AJ116"/>
    <mergeCell ref="AG117:AJ117"/>
    <mergeCell ref="I119:AB120"/>
    <mergeCell ref="AC119:AJ119"/>
    <mergeCell ref="AC120:AJ121"/>
    <mergeCell ref="AE46:AJ46"/>
    <mergeCell ref="D38:M41"/>
    <mergeCell ref="Z54:AA54"/>
    <mergeCell ref="AB54:AC54"/>
    <mergeCell ref="AE79:AJ79"/>
    <mergeCell ref="AL14:AN14"/>
    <mergeCell ref="AL15:AN15"/>
    <mergeCell ref="AL16:AN16"/>
    <mergeCell ref="AL17:AN17"/>
    <mergeCell ref="AL18:AN18"/>
    <mergeCell ref="AE68:AJ68"/>
    <mergeCell ref="AE55:AJ55"/>
    <mergeCell ref="AE72:AJ72"/>
    <mergeCell ref="E22:AJ22"/>
    <mergeCell ref="AE35:AJ35"/>
    <mergeCell ref="AE42:AJ42"/>
    <mergeCell ref="P38:Q39"/>
    <mergeCell ref="AE34:AJ34"/>
    <mergeCell ref="AE36:AJ36"/>
    <mergeCell ref="AE37:AJ37"/>
    <mergeCell ref="P40:Q41"/>
    <mergeCell ref="T40:AC41"/>
    <mergeCell ref="AE60:AJ60"/>
    <mergeCell ref="AE61:AJ61"/>
    <mergeCell ref="AD222:AJ223"/>
    <mergeCell ref="AD126:AJ126"/>
    <mergeCell ref="AE95:AJ95"/>
    <mergeCell ref="AE148:AJ148"/>
    <mergeCell ref="B126:I131"/>
    <mergeCell ref="AE173:AJ173"/>
    <mergeCell ref="AE202:AJ202"/>
    <mergeCell ref="B195:C195"/>
    <mergeCell ref="AE191:AJ191"/>
    <mergeCell ref="Z166:AA166"/>
    <mergeCell ref="D119:G120"/>
    <mergeCell ref="B120:C120"/>
    <mergeCell ref="B107:G112"/>
    <mergeCell ref="D150:M153"/>
    <mergeCell ref="AE190:AJ190"/>
    <mergeCell ref="AE192:AJ192"/>
    <mergeCell ref="J110:AA111"/>
    <mergeCell ref="J126:AC126"/>
    <mergeCell ref="AD127:AJ127"/>
    <mergeCell ref="J131:S131"/>
    <mergeCell ref="T131:AB131"/>
    <mergeCell ref="J128:AJ128"/>
    <mergeCell ref="J129:AJ129"/>
    <mergeCell ref="T152:AC153"/>
    <mergeCell ref="AE50:AJ50"/>
    <mergeCell ref="X53:AC53"/>
    <mergeCell ref="AE52:AJ52"/>
    <mergeCell ref="X59:AC59"/>
    <mergeCell ref="X58:AC58"/>
    <mergeCell ref="Z55:AC55"/>
    <mergeCell ref="X57:AC57"/>
    <mergeCell ref="AE65:AJ65"/>
    <mergeCell ref="B125:X125"/>
    <mergeCell ref="AD110:AJ111"/>
    <mergeCell ref="AE81:AJ81"/>
    <mergeCell ref="B225:E229"/>
    <mergeCell ref="F226:O227"/>
    <mergeCell ref="Z226:AC227"/>
    <mergeCell ref="AG226:AJ227"/>
    <mergeCell ref="K228:AC228"/>
    <mergeCell ref="AG228:AJ228"/>
    <mergeCell ref="K229:AC229"/>
    <mergeCell ref="AG229:AJ229"/>
    <mergeCell ref="B134:C134"/>
    <mergeCell ref="AE184:AJ184"/>
    <mergeCell ref="B187:C187"/>
    <mergeCell ref="AE218:AJ218"/>
    <mergeCell ref="AE204:AJ204"/>
    <mergeCell ref="AE205:AJ205"/>
    <mergeCell ref="AE206:AJ206"/>
    <mergeCell ref="AE207:AJ207"/>
    <mergeCell ref="AE208:AJ208"/>
    <mergeCell ref="AE209:AJ209"/>
    <mergeCell ref="AE210:AJ210"/>
    <mergeCell ref="AE211:AJ211"/>
    <mergeCell ref="AE214:AJ214"/>
    <mergeCell ref="AE203:AJ203"/>
    <mergeCell ref="AE172:AJ172"/>
    <mergeCell ref="J222:AA223"/>
    <mergeCell ref="B13:X13"/>
    <mergeCell ref="Y13:AJ13"/>
    <mergeCell ref="AD14:AJ14"/>
    <mergeCell ref="D7:G8"/>
    <mergeCell ref="I7:AB8"/>
    <mergeCell ref="AC7:AJ7"/>
    <mergeCell ref="B8:C8"/>
    <mergeCell ref="AC8:AJ9"/>
    <mergeCell ref="AD10:AG10"/>
    <mergeCell ref="AH10:AI11"/>
    <mergeCell ref="I11:AB11"/>
    <mergeCell ref="AD11:AG11"/>
    <mergeCell ref="B14:I19"/>
    <mergeCell ref="J14:AC14"/>
    <mergeCell ref="J15:AC15"/>
    <mergeCell ref="AD15:AJ15"/>
    <mergeCell ref="J16:AJ16"/>
    <mergeCell ref="J17:AJ17"/>
    <mergeCell ref="J19:S19"/>
    <mergeCell ref="T19:AB19"/>
    <mergeCell ref="AC19:AJ19"/>
    <mergeCell ref="I9:AB10"/>
    <mergeCell ref="AP198:AQ198"/>
    <mergeCell ref="AP199:AQ199"/>
    <mergeCell ref="AP200:AQ200"/>
    <mergeCell ref="AP201:AQ201"/>
    <mergeCell ref="AP202:AQ202"/>
    <mergeCell ref="AR150:AU153"/>
    <mergeCell ref="AL23:AN23"/>
    <mergeCell ref="AL135:AN135"/>
    <mergeCell ref="B22:C22"/>
    <mergeCell ref="AE146:AJ146"/>
    <mergeCell ref="AE155:AJ155"/>
    <mergeCell ref="E134:AJ134"/>
    <mergeCell ref="I121:AB122"/>
    <mergeCell ref="B75:C75"/>
    <mergeCell ref="AE78:AJ78"/>
    <mergeCell ref="AE80:AJ80"/>
    <mergeCell ref="AE82:AJ82"/>
    <mergeCell ref="B83:C83"/>
    <mergeCell ref="AE90:AJ90"/>
    <mergeCell ref="AE92:AJ92"/>
    <mergeCell ref="AE91:AJ91"/>
    <mergeCell ref="AE93:AJ93"/>
    <mergeCell ref="J127:AC127"/>
    <mergeCell ref="AE149:AJ149"/>
  </mergeCells>
  <conditionalFormatting sqref="B13 AE60:AJ61 AE65:AJ65 AE172:AJ173 AE177:AJ177">
    <cfRule type="expression" dxfId="1095" priority="78">
      <formula>IF(NoColor,1,0)</formula>
    </cfRule>
  </conditionalFormatting>
  <conditionalFormatting sqref="B84">
    <cfRule type="expression" dxfId="1094" priority="561">
      <formula>IF(AND(File_Marr_Sep&lt;&gt;"",#REF!=""),1,0)</formula>
    </cfRule>
  </conditionalFormatting>
  <conditionalFormatting sqref="B125">
    <cfRule type="expression" dxfId="1093" priority="173">
      <formula>IF(NoColor,1,0)</formula>
    </cfRule>
  </conditionalFormatting>
  <conditionalFormatting sqref="B196">
    <cfRule type="expression" dxfId="1092" priority="169">
      <formula>IF(AND(File_Marr_Sep&lt;&gt;"",#REF!=""),1,0)</formula>
    </cfRule>
  </conditionalFormatting>
  <conditionalFormatting sqref="D92">
    <cfRule type="expression" dxfId="1091" priority="185">
      <formula>$AE$92&gt;$AE$91</formula>
    </cfRule>
  </conditionalFormatting>
  <conditionalFormatting sqref="D196">
    <cfRule type="expression" dxfId="1090" priority="168">
      <formula>IF(AND(File_Marr_Sep&lt;&gt;"",#REF!=""),1,0)</formula>
    </cfRule>
  </conditionalFormatting>
  <conditionalFormatting sqref="D204">
    <cfRule type="expression" dxfId="1089" priority="88">
      <formula>$AE$92&gt;$AE$91</formula>
    </cfRule>
  </conditionalFormatting>
  <conditionalFormatting sqref="F116">
    <cfRule type="expression" dxfId="1088" priority="512">
      <formula>NoColor</formula>
    </cfRule>
  </conditionalFormatting>
  <conditionalFormatting sqref="F228">
    <cfRule type="expression" dxfId="1087" priority="159">
      <formula>NoColor</formula>
    </cfRule>
  </conditionalFormatting>
  <conditionalFormatting sqref="F114:O115">
    <cfRule type="expression" dxfId="1086" priority="194">
      <formula>NoColor</formula>
    </cfRule>
  </conditionalFormatting>
  <conditionalFormatting sqref="F226:O227">
    <cfRule type="expression" dxfId="1085" priority="97">
      <formula>NoColor</formula>
    </cfRule>
  </conditionalFormatting>
  <conditionalFormatting sqref="H116:J116">
    <cfRule type="expression" dxfId="1084" priority="509">
      <formula>NoColor</formula>
    </cfRule>
  </conditionalFormatting>
  <conditionalFormatting sqref="H228:J228">
    <cfRule type="expression" dxfId="1083" priority="156">
      <formula>NoColor</formula>
    </cfRule>
  </conditionalFormatting>
  <conditionalFormatting sqref="I206">
    <cfRule type="expression" dxfId="1082" priority="21">
      <formula>AND(AM205,NOT(NoColor))</formula>
    </cfRule>
  </conditionalFormatting>
  <conditionalFormatting sqref="J15:AJ15">
    <cfRule type="expression" dxfId="1081" priority="183">
      <formula>NoColor</formula>
    </cfRule>
  </conditionalFormatting>
  <conditionalFormatting sqref="J17:AJ17">
    <cfRule type="expression" dxfId="1080" priority="182">
      <formula>NoColor</formula>
    </cfRule>
  </conditionalFormatting>
  <conditionalFormatting sqref="J19:AJ19">
    <cfRule type="expression" dxfId="1079" priority="179">
      <formula>NoColor</formula>
    </cfRule>
  </conditionalFormatting>
  <conditionalFormatting sqref="J127:AJ127">
    <cfRule type="expression" dxfId="1078" priority="86">
      <formula>NoColor</formula>
    </cfRule>
  </conditionalFormatting>
  <conditionalFormatting sqref="J129:AJ129">
    <cfRule type="expression" dxfId="1077" priority="85">
      <formula>NoColor</formula>
    </cfRule>
  </conditionalFormatting>
  <conditionalFormatting sqref="J131:AJ131">
    <cfRule type="expression" dxfId="1076" priority="82">
      <formula>NoColor</formula>
    </cfRule>
  </conditionalFormatting>
  <conditionalFormatting sqref="K116:AC117">
    <cfRule type="expression" dxfId="1075" priority="190">
      <formula>NoColor</formula>
    </cfRule>
  </conditionalFormatting>
  <conditionalFormatting sqref="K228:AC229">
    <cfRule type="expression" dxfId="1074" priority="93">
      <formula>NoColor</formula>
    </cfRule>
  </conditionalFormatting>
  <conditionalFormatting sqref="O108">
    <cfRule type="expression" dxfId="1073" priority="521">
      <formula>NoColor</formula>
    </cfRule>
  </conditionalFormatting>
  <conditionalFormatting sqref="O220">
    <cfRule type="expression" dxfId="1072" priority="167">
      <formula>NoColor</formula>
    </cfRule>
  </conditionalFormatting>
  <conditionalFormatting sqref="P38:Q39">
    <cfRule type="expression" dxfId="1071" priority="20">
      <formula>AND(AE37&lt;&gt;"",AL40="")</formula>
    </cfRule>
  </conditionalFormatting>
  <conditionalFormatting sqref="P40:Q41">
    <cfRule type="expression" dxfId="1070" priority="19">
      <formula>AND(AE37&lt;&gt;"",AL40&lt;&gt;"")</formula>
    </cfRule>
  </conditionalFormatting>
  <conditionalFormatting sqref="P150:Q151">
    <cfRule type="expression" dxfId="1069" priority="17">
      <formula>AND(AE149&lt;&gt;"",AL153="")</formula>
    </cfRule>
  </conditionalFormatting>
  <conditionalFormatting sqref="P152:Q153">
    <cfRule type="expression" dxfId="1068" priority="16">
      <formula>AND(AE149&lt;&gt;"",AL153&lt;&gt;"")</formula>
    </cfRule>
  </conditionalFormatting>
  <conditionalFormatting sqref="R108">
    <cfRule type="expression" dxfId="1067" priority="520">
      <formula>NoColor</formula>
    </cfRule>
  </conditionalFormatting>
  <conditionalFormatting sqref="R203">
    <cfRule type="expression" dxfId="1066" priority="90">
      <formula>$AE$92&gt;$AE$91</formula>
    </cfRule>
  </conditionalFormatting>
  <conditionalFormatting sqref="R220">
    <cfRule type="expression" dxfId="1065" priority="166">
      <formula>NoColor</formula>
    </cfRule>
  </conditionalFormatting>
  <conditionalFormatting sqref="R91:S91">
    <cfRule type="expression" dxfId="1064" priority="187">
      <formula>$AE$92&gt;$AE$91</formula>
    </cfRule>
  </conditionalFormatting>
  <conditionalFormatting sqref="T39">
    <cfRule type="expression" dxfId="1063" priority="18">
      <formula>AND(AE37&lt;&gt;"",AL40="")</formula>
    </cfRule>
  </conditionalFormatting>
  <conditionalFormatting sqref="T151">
    <cfRule type="expression" dxfId="1062" priority="14">
      <formula>AND(AE149&lt;&gt;"",AL153="")</formula>
    </cfRule>
  </conditionalFormatting>
  <conditionalFormatting sqref="X203">
    <cfRule type="expression" dxfId="1061" priority="89">
      <formula>$AE$92&gt;$AE$91</formula>
    </cfRule>
  </conditionalFormatting>
  <conditionalFormatting sqref="X55:Y55">
    <cfRule type="expression" dxfId="1060" priority="188">
      <formula>IF(NoColor,1,0)</formula>
    </cfRule>
  </conditionalFormatting>
  <conditionalFormatting sqref="X91:Y91">
    <cfRule type="expression" dxfId="1059" priority="186">
      <formula>$AE$92&gt;$AE$91</formula>
    </cfRule>
  </conditionalFormatting>
  <conditionalFormatting sqref="X167:Y167">
    <cfRule type="expression" dxfId="1058" priority="91">
      <formula>IF(NoColor,1,0)</formula>
    </cfRule>
  </conditionalFormatting>
  <conditionalFormatting sqref="X53:AC53">
    <cfRule type="expression" dxfId="1057" priority="236">
      <formula>IF(NoColor,1,0)</formula>
    </cfRule>
  </conditionalFormatting>
  <conditionalFormatting sqref="X57:AC57">
    <cfRule type="expression" dxfId="1056" priority="232">
      <formula>IF(NoColor,1,0)</formula>
    </cfRule>
  </conditionalFormatting>
  <conditionalFormatting sqref="X59:AC59">
    <cfRule type="expression" dxfId="1055" priority="230">
      <formula>IF(NoColor,1,0)</formula>
    </cfRule>
  </conditionalFormatting>
  <conditionalFormatting sqref="X165:AC165">
    <cfRule type="expression" dxfId="1054" priority="2">
      <formula>IF(NoColor,1,0)</formula>
    </cfRule>
  </conditionalFormatting>
  <conditionalFormatting sqref="X169:AC169">
    <cfRule type="expression" dxfId="1053" priority="135">
      <formula>IF(NoColor,1,0)</formula>
    </cfRule>
  </conditionalFormatting>
  <conditionalFormatting sqref="X171:AC171">
    <cfRule type="expression" dxfId="1052" priority="1">
      <formula>IF(NoColor,1,0)</formula>
    </cfRule>
  </conditionalFormatting>
  <conditionalFormatting sqref="Y13">
    <cfRule type="expression" dxfId="1051" priority="75">
      <formula>IF(NoColor,1,0)</formula>
    </cfRule>
  </conditionalFormatting>
  <conditionalFormatting sqref="Y125">
    <cfRule type="expression" dxfId="1050" priority="76">
      <formula>IF(NoColor,1,0)</formula>
    </cfRule>
  </conditionalFormatting>
  <conditionalFormatting sqref="Z55:AC55">
    <cfRule type="expression" dxfId="1049" priority="176">
      <formula>NoColor</formula>
    </cfRule>
  </conditionalFormatting>
  <conditionalFormatting sqref="Z114:AC115">
    <cfRule type="expression" dxfId="1048" priority="193">
      <formula>NoColor</formula>
    </cfRule>
  </conditionalFormatting>
  <conditionalFormatting sqref="Z167:AC167">
    <cfRule type="expression" dxfId="1047" priority="79">
      <formula>NoColor</formula>
    </cfRule>
  </conditionalFormatting>
  <conditionalFormatting sqref="Z226:AC227">
    <cfRule type="expression" dxfId="1046" priority="96">
      <formula>NoColor</formula>
    </cfRule>
  </conditionalFormatting>
  <conditionalFormatting sqref="AD116:AE116">
    <cfRule type="expression" dxfId="1045" priority="195">
      <formula>NoColor</formula>
    </cfRule>
  </conditionalFormatting>
  <conditionalFormatting sqref="AD228:AE228">
    <cfRule type="expression" dxfId="1044" priority="98">
      <formula>NoColor</formula>
    </cfRule>
  </conditionalFormatting>
  <conditionalFormatting sqref="AD110:AJ111">
    <cfRule type="expression" dxfId="1043" priority="26">
      <formula>NoColor</formula>
    </cfRule>
  </conditionalFormatting>
  <conditionalFormatting sqref="AD222:AJ223">
    <cfRule type="expression" dxfId="1042" priority="25">
      <formula>NoColor</formula>
    </cfRule>
  </conditionalFormatting>
  <conditionalFormatting sqref="AE114">
    <cfRule type="expression" dxfId="1041" priority="191">
      <formula>NoColor</formula>
    </cfRule>
  </conditionalFormatting>
  <conditionalFormatting sqref="AE226">
    <cfRule type="expression" dxfId="1040" priority="94">
      <formula>NoColor</formula>
    </cfRule>
  </conditionalFormatting>
  <conditionalFormatting sqref="AE35:AJ37">
    <cfRule type="expression" dxfId="1039" priority="246">
      <formula>IF(NoColor,1,0)</formula>
    </cfRule>
  </conditionalFormatting>
  <conditionalFormatting sqref="AE42:AJ43">
    <cfRule type="expression" dxfId="1038" priority="240">
      <formula>IF(NoColor,1,0)</formula>
    </cfRule>
  </conditionalFormatting>
  <conditionalFormatting sqref="AE46:AJ46">
    <cfRule type="expression" dxfId="1037" priority="31">
      <formula>IF(NoColor,1,0)</formula>
    </cfRule>
  </conditionalFormatting>
  <conditionalFormatting sqref="AE50:AJ50">
    <cfRule type="expression" dxfId="1036" priority="238">
      <formula>IF(NoColor,1,0)</formula>
    </cfRule>
  </conditionalFormatting>
  <conditionalFormatting sqref="AE52:AJ52">
    <cfRule type="expression" dxfId="1035" priority="234">
      <formula>IF(NoColor,1,0)</formula>
    </cfRule>
  </conditionalFormatting>
  <conditionalFormatting sqref="AE68:AJ68">
    <cfRule type="expression" dxfId="1034" priority="222">
      <formula>IF(NoColor,1,0)</formula>
    </cfRule>
  </conditionalFormatting>
  <conditionalFormatting sqref="AE72:AJ72">
    <cfRule type="expression" dxfId="1033" priority="220">
      <formula>IF(NoColor,1,0)</formula>
    </cfRule>
  </conditionalFormatting>
  <conditionalFormatting sqref="AE78:AJ78">
    <cfRule type="expression" dxfId="1032" priority="218">
      <formula>IF(NoColor,1,0)</formula>
    </cfRule>
  </conditionalFormatting>
  <conditionalFormatting sqref="AE80:AJ80">
    <cfRule type="expression" dxfId="1031" priority="216">
      <formula>IF(NoColor,1,0)</formula>
    </cfRule>
  </conditionalFormatting>
  <conditionalFormatting sqref="AE82:AJ82">
    <cfRule type="expression" dxfId="1030" priority="214">
      <formula>IF(NoColor,1,0)</formula>
    </cfRule>
  </conditionalFormatting>
  <conditionalFormatting sqref="AE90:AJ90">
    <cfRule type="expression" dxfId="1029" priority="212">
      <formula>IF(NoColor,1,0)</formula>
    </cfRule>
  </conditionalFormatting>
  <conditionalFormatting sqref="AE92:AJ94">
    <cfRule type="expression" dxfId="1028" priority="206">
      <formula>IF(NoColor,1,0)</formula>
    </cfRule>
  </conditionalFormatting>
  <conditionalFormatting sqref="AE96:AJ96">
    <cfRule type="expression" dxfId="1027" priority="204">
      <formula>IF(NoColor,1,0)</formula>
    </cfRule>
  </conditionalFormatting>
  <conditionalFormatting sqref="AE98:AJ99">
    <cfRule type="expression" dxfId="1026" priority="200">
      <formula>IF(NoColor,1,0)</formula>
    </cfRule>
  </conditionalFormatting>
  <conditionalFormatting sqref="AE102:AJ102">
    <cfRule type="expression" dxfId="1025" priority="198">
      <formula>IF(NoColor,1,0)</formula>
    </cfRule>
  </conditionalFormatting>
  <conditionalFormatting sqref="AE106:AJ106">
    <cfRule type="expression" dxfId="1024" priority="196">
      <formula>IF(NoColor,1,0)</formula>
    </cfRule>
  </conditionalFormatting>
  <conditionalFormatting sqref="AE147:AJ149">
    <cfRule type="expression" dxfId="1023" priority="149">
      <formula>IF(NoColor,1,0)</formula>
    </cfRule>
  </conditionalFormatting>
  <conditionalFormatting sqref="AE154:AJ155">
    <cfRule type="expression" dxfId="1022" priority="37">
      <formula>IF(NoColor,1,0)</formula>
    </cfRule>
  </conditionalFormatting>
  <conditionalFormatting sqref="AE158:AJ158">
    <cfRule type="expression" dxfId="1021" priority="13">
      <formula>IF(NoColor,1,0)</formula>
    </cfRule>
  </conditionalFormatting>
  <conditionalFormatting sqref="AE162:AJ162">
    <cfRule type="expression" dxfId="1020" priority="12">
      <formula>IF(NoColor,1,0)</formula>
    </cfRule>
  </conditionalFormatting>
  <conditionalFormatting sqref="AE164:AJ164">
    <cfRule type="expression" dxfId="1019" priority="11">
      <formula>IF(NoColor,1,0)</formula>
    </cfRule>
  </conditionalFormatting>
  <conditionalFormatting sqref="AE180:AJ180">
    <cfRule type="expression" dxfId="1018" priority="125">
      <formula>IF(NoColor,1,0)</formula>
    </cfRule>
  </conditionalFormatting>
  <conditionalFormatting sqref="AE184:AJ184">
    <cfRule type="expression" dxfId="1017" priority="123">
      <formula>IF(NoColor,1,0)</formula>
    </cfRule>
  </conditionalFormatting>
  <conditionalFormatting sqref="AE190:AJ190">
    <cfRule type="expression" dxfId="1016" priority="65">
      <formula>IF(NoColor,1,0)</formula>
    </cfRule>
  </conditionalFormatting>
  <conditionalFormatting sqref="AE192:AJ192">
    <cfRule type="expression" dxfId="1015" priority="27">
      <formula>IF(NoColor,1,0)</formula>
    </cfRule>
  </conditionalFormatting>
  <conditionalFormatting sqref="AE194:AJ194">
    <cfRule type="expression" dxfId="1014" priority="23">
      <formula>IF(NoColor,1,0)</formula>
    </cfRule>
  </conditionalFormatting>
  <conditionalFormatting sqref="AE202:AJ202">
    <cfRule type="expression" dxfId="1013" priority="115">
      <formula>IF(NoColor,1,0)</formula>
    </cfRule>
  </conditionalFormatting>
  <conditionalFormatting sqref="AE204:AJ206">
    <cfRule type="expression" dxfId="1012" priority="109">
      <formula>IF(NoColor,1,0)</formula>
    </cfRule>
  </conditionalFormatting>
  <conditionalFormatting sqref="AE208:AJ208">
    <cfRule type="expression" dxfId="1011" priority="107">
      <formula>IF(NoColor,1,0)</formula>
    </cfRule>
  </conditionalFormatting>
  <conditionalFormatting sqref="AE210:AJ211">
    <cfRule type="expression" dxfId="1010" priority="103">
      <formula>IF(NoColor,1,0)</formula>
    </cfRule>
  </conditionalFormatting>
  <conditionalFormatting sqref="AE214:AJ214">
    <cfRule type="expression" dxfId="1009" priority="101">
      <formula>IF(NoColor,1,0)</formula>
    </cfRule>
  </conditionalFormatting>
  <conditionalFormatting sqref="AE218:AJ218">
    <cfRule type="expression" dxfId="1008" priority="99">
      <formula>IF(NoColor,1,0)</formula>
    </cfRule>
  </conditionalFormatting>
  <conditionalFormatting sqref="AF108">
    <cfRule type="expression" dxfId="1007" priority="517">
      <formula>NoColor</formula>
    </cfRule>
  </conditionalFormatting>
  <conditionalFormatting sqref="AF220">
    <cfRule type="expression" dxfId="1006" priority="163">
      <formula>NoColor</formula>
    </cfRule>
  </conditionalFormatting>
  <conditionalFormatting sqref="AG114:AJ117">
    <cfRule type="expression" dxfId="1005" priority="189">
      <formula>NoColor</formula>
    </cfRule>
  </conditionalFormatting>
  <conditionalFormatting sqref="AG226:AJ229">
    <cfRule type="expression" dxfId="1004" priority="92">
      <formula>NoColor</formula>
    </cfRule>
  </conditionalFormatting>
  <conditionalFormatting sqref="AI108">
    <cfRule type="expression" dxfId="1003" priority="516">
      <formula>NoColor</formula>
    </cfRule>
  </conditionalFormatting>
  <conditionalFormatting sqref="AI220">
    <cfRule type="expression" dxfId="1002" priority="162">
      <formula>NoColor</formula>
    </cfRule>
  </conditionalFormatting>
  <conditionalFormatting sqref="AL37">
    <cfRule type="expression" dxfId="1001" priority="48">
      <formula>AND(AL37="",OR(AL41&lt;&gt;"",(AM39)))</formula>
    </cfRule>
  </conditionalFormatting>
  <conditionalFormatting sqref="AL38">
    <cfRule type="expression" dxfId="1000" priority="50">
      <formula>NoColor</formula>
    </cfRule>
  </conditionalFormatting>
  <conditionalFormatting sqref="AL40">
    <cfRule type="expression" dxfId="999" priority="49">
      <formula>NoColor</formula>
    </cfRule>
  </conditionalFormatting>
  <conditionalFormatting sqref="AL41">
    <cfRule type="expression" dxfId="998" priority="47">
      <formula>OR(AL37&lt;&gt;"",AND(AL41="",NOT(AM39)))</formula>
    </cfRule>
  </conditionalFormatting>
  <conditionalFormatting sqref="AL74">
    <cfRule type="expression" dxfId="997" priority="62">
      <formula>$AM$73</formula>
    </cfRule>
  </conditionalFormatting>
  <conditionalFormatting sqref="AL149">
    <cfRule type="expression" dxfId="996" priority="44">
      <formula>AND(AL149="",OR(AL153&lt;&gt;"",(AM151)))</formula>
    </cfRule>
  </conditionalFormatting>
  <conditionalFormatting sqref="AL150">
    <cfRule type="expression" dxfId="995" priority="46">
      <formula>NoColor</formula>
    </cfRule>
  </conditionalFormatting>
  <conditionalFormatting sqref="AL152">
    <cfRule type="expression" dxfId="994" priority="45">
      <formula>NoColor</formula>
    </cfRule>
  </conditionalFormatting>
  <conditionalFormatting sqref="AL153">
    <cfRule type="expression" dxfId="993" priority="43">
      <formula>OR(AL149&lt;&gt;"",AND(AL153="",NOT(AM151)))</formula>
    </cfRule>
  </conditionalFormatting>
  <conditionalFormatting sqref="AL186">
    <cfRule type="expression" dxfId="992" priority="56">
      <formula>$AM$185</formula>
    </cfRule>
  </conditionalFormatting>
  <conditionalFormatting sqref="AL198:AM199">
    <cfRule type="expression" dxfId="991" priority="174">
      <formula>IF(AND(File_Marr_Sep&lt;&gt;"",#REF!&lt;&gt;""),TRUE,FALSE)</formula>
    </cfRule>
    <cfRule type="expression" dxfId="990" priority="175">
      <formula>OR(File_Marr_Sep&lt;&gt;"",AND(File_Marr_Sep="",AI198&lt;&gt;""))</formula>
    </cfRule>
  </conditionalFormatting>
  <conditionalFormatting sqref="AM74">
    <cfRule type="expression" dxfId="989" priority="60">
      <formula>AND($AM$73,$AL$74="")</formula>
    </cfRule>
  </conditionalFormatting>
  <conditionalFormatting sqref="AM186">
    <cfRule type="expression" dxfId="988" priority="55">
      <formula>AND($AM$185,$AL$186="")</formula>
    </cfRule>
  </conditionalFormatting>
  <conditionalFormatting sqref="AO77:AU79 AO80:AR80 AO81:AU89">
    <cfRule type="expression" dxfId="987" priority="5">
      <formula>$AM$35</formula>
    </cfRule>
  </conditionalFormatting>
  <conditionalFormatting sqref="AO190:AU192 AO193:AR193 AO194:AU197 AO198:AP202 AR198:AU202">
    <cfRule type="expression" dxfId="986" priority="4">
      <formula>$AM$147</formula>
    </cfRule>
  </conditionalFormatting>
  <conditionalFormatting sqref="AP198:AQ202">
    <cfRule type="expression" dxfId="985" priority="3">
      <formula>$AM$147</formula>
    </cfRule>
  </conditionalFormatting>
  <pageMargins left="0.75" right="0.25" top="0.36" bottom="0.28999999999999998" header="0.36" footer="0.21"/>
  <pageSetup scale="68" fitToHeight="0" orientation="portrait" r:id="rId1"/>
  <rowBreaks count="3" manualBreakCount="3">
    <brk id="62" min="1" max="35" man="1"/>
    <brk id="118" min="1" max="35" man="1"/>
    <brk id="174" min="1" max="35" man="1"/>
  </rowBreak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pageSetUpPr fitToPage="1"/>
  </sheetPr>
  <dimension ref="A1:BC258"/>
  <sheetViews>
    <sheetView zoomScaleNormal="100" zoomScaleSheetLayoutView="100" workbookViewId="0"/>
  </sheetViews>
  <sheetFormatPr defaultColWidth="9.140625" defaultRowHeight="12.75"/>
  <cols>
    <col min="1" max="1" width="2.7109375" customWidth="1"/>
    <col min="2" max="2" width="3" customWidth="1"/>
    <col min="3" max="3" width="5.85546875" style="84" customWidth="1"/>
    <col min="4" max="6" width="3.7109375" customWidth="1"/>
    <col min="7" max="7" width="5.140625" customWidth="1"/>
    <col min="8" max="8" width="2.7109375" customWidth="1"/>
    <col min="9" max="9" width="3.7109375" customWidth="1"/>
    <col min="10" max="10" width="5" customWidth="1"/>
    <col min="11" max="11" width="4.42578125" customWidth="1"/>
    <col min="12" max="12" width="5.5703125" customWidth="1"/>
    <col min="13" max="13" width="4.42578125" customWidth="1"/>
    <col min="14" max="14" width="5" customWidth="1"/>
    <col min="15" max="15" width="3.7109375" customWidth="1"/>
    <col min="16" max="16" width="4.85546875" customWidth="1"/>
    <col min="17" max="17" width="4.28515625" customWidth="1"/>
    <col min="18" max="19" width="3.42578125" customWidth="1"/>
    <col min="20" max="21" width="3.7109375" customWidth="1"/>
    <col min="22" max="23" width="4.42578125" customWidth="1"/>
    <col min="24" max="25" width="3.5703125" customWidth="1"/>
    <col min="26" max="26" width="2.85546875" customWidth="1"/>
    <col min="27" max="27" width="3.5703125" customWidth="1"/>
    <col min="28" max="28" width="4" customWidth="1"/>
    <col min="29" max="29" width="3.5703125" customWidth="1"/>
    <col min="30" max="30" width="4.7109375" customWidth="1"/>
    <col min="31" max="36" width="3" customWidth="1"/>
    <col min="37" max="37" width="4.42578125" customWidth="1"/>
    <col min="38" max="38" width="2.85546875" customWidth="1"/>
    <col min="39" max="39" width="14" customWidth="1"/>
    <col min="40" max="40" width="13.5703125" customWidth="1"/>
    <col min="41" max="41" width="31" customWidth="1"/>
    <col min="42" max="42" width="3.85546875" customWidth="1"/>
    <col min="43" max="43" width="17.42578125" hidden="1" customWidth="1"/>
    <col min="44" max="52" width="10.7109375" style="658" customWidth="1"/>
    <col min="53" max="53" width="4.140625" style="658" customWidth="1"/>
    <col min="56" max="56" width="10" customWidth="1"/>
    <col min="61" max="61" width="9.140625" customWidth="1"/>
  </cols>
  <sheetData>
    <row r="1" spans="1:55" s="815" customFormat="1" ht="11.25" customHeight="1">
      <c r="A1" s="2013"/>
      <c r="B1" s="2013"/>
      <c r="C1" s="2013"/>
      <c r="D1" s="2013"/>
      <c r="E1" s="2013"/>
      <c r="F1" s="2013"/>
      <c r="G1" s="2013"/>
      <c r="H1" s="2013"/>
      <c r="I1" s="2013"/>
      <c r="J1" s="2013"/>
      <c r="K1" s="4468"/>
      <c r="L1" s="2013"/>
      <c r="M1" s="2013"/>
      <c r="N1" s="2013"/>
      <c r="O1" s="5720"/>
      <c r="P1" s="2013"/>
      <c r="Q1" s="2013"/>
      <c r="R1" s="2013"/>
      <c r="S1" s="2013"/>
      <c r="T1" s="2013"/>
      <c r="U1" s="2013"/>
      <c r="V1" s="2013"/>
      <c r="W1" s="2013"/>
      <c r="X1" s="2013"/>
      <c r="Y1" s="2013"/>
      <c r="Z1" s="2013"/>
      <c r="AA1" s="2013"/>
      <c r="AB1" s="2013"/>
      <c r="AC1" s="2013"/>
      <c r="AD1" s="2013"/>
      <c r="AE1" s="2013"/>
      <c r="AF1" s="2013"/>
      <c r="AG1" s="2013"/>
      <c r="AH1" s="2013"/>
      <c r="AI1" s="2013"/>
      <c r="AJ1" s="2013"/>
      <c r="AK1" s="2013"/>
      <c r="AL1" s="253"/>
      <c r="AM1" s="253"/>
      <c r="AN1" s="253"/>
      <c r="AO1" s="2013"/>
      <c r="AP1" s="253"/>
      <c r="AQ1" s="253"/>
      <c r="AR1" s="658"/>
      <c r="AS1" s="658"/>
      <c r="AT1" s="658"/>
      <c r="AU1" s="658"/>
      <c r="AV1" s="658"/>
      <c r="AW1" s="658"/>
      <c r="AX1" s="658"/>
      <c r="AY1" s="658"/>
      <c r="AZ1" s="658"/>
      <c r="BA1" s="658"/>
      <c r="BB1"/>
      <c r="BC1"/>
    </row>
    <row r="2" spans="1:55" s="815" customFormat="1" ht="23.25" customHeight="1">
      <c r="A2" s="2013"/>
      <c r="B2" s="2013"/>
      <c r="C2" s="5750" t="str">
        <f>"Input amounts from your "&amp;LastYear&amp;" tax return."</f>
        <v>Input amounts from your 2024 tax return.</v>
      </c>
      <c r="D2" s="2013"/>
      <c r="E2" s="2013"/>
      <c r="F2" s="2013"/>
      <c r="G2" s="2013"/>
      <c r="H2" s="2013"/>
      <c r="I2" s="2013"/>
      <c r="J2" s="2013"/>
      <c r="K2" s="4468"/>
      <c r="L2" s="2013"/>
      <c r="M2" s="2013"/>
      <c r="N2" s="2013"/>
      <c r="O2" s="2013"/>
      <c r="P2" s="2013"/>
      <c r="Q2" s="2013"/>
      <c r="R2" s="2013"/>
      <c r="S2" s="2013"/>
      <c r="T2" s="2013"/>
      <c r="U2" s="2013"/>
      <c r="V2" s="2013"/>
      <c r="W2" s="2013"/>
      <c r="X2" s="5720" t="str">
        <f>IF('Table of Contents'!A54="D","DRAFT FORM","")</f>
        <v/>
      </c>
      <c r="Y2" s="2013"/>
      <c r="Z2" s="2013"/>
      <c r="AA2" s="2013"/>
      <c r="AB2" s="2013"/>
      <c r="AC2" s="2013"/>
      <c r="AD2" s="2013"/>
      <c r="AE2" s="2013"/>
      <c r="AF2" s="2013"/>
      <c r="AG2" s="2013"/>
      <c r="AH2" s="2013"/>
      <c r="AI2" s="2013"/>
      <c r="AJ2" s="2013"/>
      <c r="AK2" s="2013"/>
      <c r="AL2" s="253"/>
      <c r="AM2" s="253"/>
      <c r="AN2" s="253"/>
      <c r="AO2" s="2013"/>
      <c r="AP2" s="253"/>
      <c r="AQ2" s="253"/>
      <c r="AR2" s="658"/>
      <c r="AS2" s="658"/>
      <c r="AT2" s="658"/>
      <c r="AU2" s="658"/>
      <c r="AV2" s="658"/>
      <c r="AW2" s="658"/>
      <c r="AX2" s="658"/>
      <c r="AY2" s="658"/>
      <c r="AZ2" s="658"/>
      <c r="BA2" s="658"/>
      <c r="BB2"/>
      <c r="BC2"/>
    </row>
    <row r="3" spans="1:55" s="815" customFormat="1" ht="12.75" customHeight="1">
      <c r="A3" s="2013"/>
      <c r="B3" s="2013"/>
      <c r="C3" s="2013"/>
      <c r="D3" s="2013"/>
      <c r="E3" s="2013"/>
      <c r="F3" s="2013"/>
      <c r="G3" s="2013"/>
      <c r="H3" s="2013"/>
      <c r="I3" s="2013"/>
      <c r="J3" s="2013"/>
      <c r="K3" s="4468"/>
      <c r="L3" s="2013"/>
      <c r="M3" s="2013"/>
      <c r="N3" s="2013"/>
      <c r="O3" s="5720"/>
      <c r="P3" s="2013"/>
      <c r="Q3" s="2013"/>
      <c r="R3" s="2013"/>
      <c r="S3" s="2013"/>
      <c r="T3" s="2013"/>
      <c r="U3" s="2013"/>
      <c r="V3" s="2013"/>
      <c r="W3" s="2013"/>
      <c r="X3" s="2013"/>
      <c r="Y3" s="2013"/>
      <c r="Z3" s="2013"/>
      <c r="AA3" s="2013"/>
      <c r="AB3" s="2013"/>
      <c r="AC3" s="2013"/>
      <c r="AD3" s="2013"/>
      <c r="AE3" s="2013"/>
      <c r="AF3" s="2013"/>
      <c r="AG3" s="2013"/>
      <c r="AH3" s="2013"/>
      <c r="AI3" s="2013"/>
      <c r="AJ3" s="2013"/>
      <c r="AK3" s="2013"/>
      <c r="AL3" s="253"/>
      <c r="AM3" s="253"/>
      <c r="AN3" s="253"/>
      <c r="AO3" s="2013"/>
      <c r="AP3" s="253"/>
      <c r="AQ3" s="253"/>
      <c r="AR3" s="658"/>
      <c r="AS3" s="658"/>
      <c r="AT3" s="658"/>
      <c r="AU3" s="658"/>
      <c r="AV3" s="658"/>
      <c r="AW3" s="658"/>
      <c r="AX3" s="658"/>
      <c r="AY3" s="658"/>
      <c r="AZ3" s="658"/>
      <c r="BA3" s="658"/>
      <c r="BB3"/>
      <c r="BC3"/>
    </row>
    <row r="4" spans="1:55" s="815" customFormat="1" ht="16.5" customHeight="1">
      <c r="A4" s="2013"/>
      <c r="B4" s="5744" t="str">
        <f>"Form 6251, Alternative Minimum Tax ("&amp;LastYear&amp;")"</f>
        <v>Form 6251, Alternative Minimum Tax (2024)</v>
      </c>
      <c r="C4" s="2013"/>
      <c r="D4" s="2013"/>
      <c r="E4" s="2013"/>
      <c r="F4" s="2013"/>
      <c r="G4" s="2013"/>
      <c r="H4" s="2013"/>
      <c r="I4" s="2013"/>
      <c r="J4" s="2013"/>
      <c r="K4" s="4468"/>
      <c r="L4" s="2013"/>
      <c r="M4" s="2013"/>
      <c r="N4" s="5748"/>
      <c r="O4" s="5720"/>
      <c r="P4" s="2013"/>
      <c r="Q4" s="2013"/>
      <c r="R4" s="2013"/>
      <c r="S4" s="2013"/>
      <c r="T4" s="2013"/>
      <c r="U4" s="2013"/>
      <c r="V4" s="2013"/>
      <c r="W4" s="2013"/>
      <c r="X4" s="2013"/>
      <c r="Y4" s="2013"/>
      <c r="Z4" s="2013"/>
      <c r="AA4" s="2013"/>
      <c r="AB4" s="2013"/>
      <c r="AC4" s="2013"/>
      <c r="AD4" s="2013"/>
      <c r="AE4" s="2013"/>
      <c r="AF4" s="2013"/>
      <c r="AG4" s="2013"/>
      <c r="AH4" s="2013"/>
      <c r="AI4" s="2013"/>
      <c r="AJ4" s="2013"/>
      <c r="AK4" s="2013"/>
      <c r="AL4" s="253"/>
      <c r="AM4" s="514" t="s">
        <v>5673</v>
      </c>
      <c r="AN4" s="253"/>
      <c r="AO4" s="2013"/>
      <c r="AP4" s="253"/>
      <c r="AQ4" s="253"/>
      <c r="AR4" s="658"/>
      <c r="AS4" s="658"/>
      <c r="AT4" s="658"/>
      <c r="AU4" s="658"/>
      <c r="AV4" s="658"/>
      <c r="AW4" s="658"/>
      <c r="AX4" s="658"/>
      <c r="AY4" s="658"/>
      <c r="AZ4" s="658"/>
      <c r="BA4" s="658"/>
      <c r="BB4"/>
      <c r="BC4"/>
    </row>
    <row r="5" spans="1:55" s="815" customFormat="1" ht="14.25" customHeight="1">
      <c r="A5" s="2013"/>
      <c r="B5" s="2771"/>
      <c r="C5" s="5759">
        <v>1</v>
      </c>
      <c r="D5" s="2769" t="s">
        <v>3646</v>
      </c>
      <c r="E5" s="2770"/>
      <c r="F5" s="2751"/>
      <c r="G5" s="2751"/>
      <c r="H5" s="2771"/>
      <c r="I5" s="2771"/>
      <c r="J5" s="2771"/>
      <c r="K5" s="2771"/>
      <c r="L5" s="2771"/>
      <c r="M5" s="2771"/>
      <c r="N5" s="2771"/>
      <c r="O5" s="2771"/>
      <c r="P5" s="2771"/>
      <c r="Q5" s="2771"/>
      <c r="R5" s="2771"/>
      <c r="S5" s="2771"/>
      <c r="T5" s="2771"/>
      <c r="U5" s="2771"/>
      <c r="V5" s="2771"/>
      <c r="W5" s="2771"/>
      <c r="X5" s="2771"/>
      <c r="Y5" s="2771"/>
      <c r="Z5" s="2771"/>
      <c r="AA5" s="2771"/>
      <c r="AB5" s="2771"/>
      <c r="AC5" s="8984"/>
      <c r="AD5" s="9863"/>
      <c r="AE5" s="9876"/>
      <c r="AF5" s="9877"/>
      <c r="AG5" s="9877"/>
      <c r="AH5" s="9877"/>
      <c r="AI5" s="9877"/>
      <c r="AJ5" s="9877"/>
      <c r="AK5" s="2013"/>
      <c r="AL5" s="253"/>
      <c r="AM5" s="253"/>
      <c r="AN5" s="253"/>
      <c r="AO5" s="2013"/>
      <c r="AP5" s="253"/>
      <c r="AQ5" s="253"/>
      <c r="AR5" s="658"/>
      <c r="AS5" s="658"/>
      <c r="AT5" s="658"/>
      <c r="AU5" s="658"/>
      <c r="AV5" s="658"/>
      <c r="AW5" s="658"/>
      <c r="AX5" s="658"/>
      <c r="AY5" s="658"/>
      <c r="AZ5" s="658"/>
      <c r="BA5" s="658"/>
      <c r="BB5"/>
      <c r="BC5"/>
    </row>
    <row r="6" spans="1:55" s="815" customFormat="1" ht="14.25" customHeight="1">
      <c r="A6" s="2013"/>
      <c r="B6" s="2771"/>
      <c r="C6" s="5760"/>
      <c r="D6" s="2769" t="s">
        <v>3648</v>
      </c>
      <c r="E6" s="2770"/>
      <c r="F6" s="2751"/>
      <c r="G6" s="2751"/>
      <c r="H6" s="2771"/>
      <c r="I6" s="2771"/>
      <c r="J6" s="2771"/>
      <c r="K6" s="2771"/>
      <c r="L6" s="2771"/>
      <c r="M6" s="2771"/>
      <c r="N6" s="2771"/>
      <c r="O6" s="2771"/>
      <c r="P6" s="2771"/>
      <c r="Q6" s="2771"/>
      <c r="R6" s="2771"/>
      <c r="S6" s="2771"/>
      <c r="T6" s="2771"/>
      <c r="U6" s="2771"/>
      <c r="V6" s="2771"/>
      <c r="W6" s="2771"/>
      <c r="X6" s="2771"/>
      <c r="Y6" s="2771"/>
      <c r="Z6" s="2771"/>
      <c r="AA6" s="2771"/>
      <c r="AB6" s="2771"/>
      <c r="AC6" s="8984"/>
      <c r="AD6" s="9863"/>
      <c r="AE6" s="9876"/>
      <c r="AF6" s="9877"/>
      <c r="AG6" s="9877"/>
      <c r="AH6" s="9877"/>
      <c r="AI6" s="9877"/>
      <c r="AJ6" s="9877"/>
      <c r="AK6" s="2013"/>
      <c r="AL6" s="253"/>
      <c r="AM6" s="253"/>
      <c r="AN6" s="253"/>
      <c r="AO6" s="2013"/>
      <c r="AP6" s="253"/>
      <c r="AQ6" s="851"/>
      <c r="AR6" s="658"/>
      <c r="AS6" s="658"/>
      <c r="AT6" s="658"/>
      <c r="AU6" s="658"/>
      <c r="AV6" s="658"/>
      <c r="AW6" s="658"/>
      <c r="AX6" s="658"/>
      <c r="AY6" s="658"/>
      <c r="AZ6" s="658"/>
      <c r="BA6" s="658"/>
      <c r="BB6"/>
      <c r="BC6"/>
    </row>
    <row r="7" spans="1:55" s="815" customFormat="1" ht="15" customHeight="1">
      <c r="A7" s="2013"/>
      <c r="B7" s="2770"/>
      <c r="C7" s="5760"/>
      <c r="D7" s="2769" t="s">
        <v>3649</v>
      </c>
      <c r="E7" s="2770"/>
      <c r="F7" s="2770"/>
      <c r="G7" s="2770"/>
      <c r="H7" s="2770"/>
      <c r="I7" s="2770"/>
      <c r="J7" s="2770"/>
      <c r="K7" s="2770"/>
      <c r="L7" s="2770"/>
      <c r="M7" s="2770"/>
      <c r="N7" s="2770"/>
      <c r="O7" s="2770"/>
      <c r="P7" s="2770"/>
      <c r="Q7" s="2770"/>
      <c r="R7" s="2770"/>
      <c r="S7" s="2770"/>
      <c r="T7" s="2770"/>
      <c r="U7" s="2770"/>
      <c r="V7" s="2751"/>
      <c r="W7" s="2751"/>
      <c r="X7" s="2771"/>
      <c r="Y7" s="2771"/>
      <c r="Z7" s="2771"/>
      <c r="AA7" s="2771"/>
      <c r="AB7" s="2031" t="s">
        <v>590</v>
      </c>
      <c r="AC7" s="8463">
        <v>1</v>
      </c>
      <c r="AD7" s="10888"/>
      <c r="AE7" s="10873"/>
      <c r="AF7" s="10873"/>
      <c r="AG7" s="10873"/>
      <c r="AH7" s="10873"/>
      <c r="AI7" s="10873"/>
      <c r="AJ7" s="10873"/>
      <c r="AK7" s="2013"/>
      <c r="AL7" s="253"/>
      <c r="AM7" s="1323" t="s">
        <v>5669</v>
      </c>
      <c r="AN7" s="253"/>
      <c r="AO7" s="2013"/>
      <c r="AP7" s="253"/>
      <c r="AQ7" s="851">
        <f>IF(AE7="",0,ROUND(AE7,0))</f>
        <v>0</v>
      </c>
      <c r="AR7" s="658"/>
      <c r="AS7" s="658"/>
      <c r="AT7" s="658"/>
      <c r="AU7" s="658"/>
      <c r="AV7" s="658"/>
      <c r="AW7" s="658"/>
      <c r="AX7" s="658"/>
      <c r="AY7" s="658"/>
      <c r="AZ7" s="658"/>
      <c r="BA7" s="658"/>
      <c r="BB7"/>
      <c r="BC7"/>
    </row>
    <row r="8" spans="1:55" s="815" customFormat="1" ht="6.75" customHeight="1">
      <c r="A8" s="2013"/>
      <c r="B8" s="2013"/>
      <c r="C8" s="2326"/>
      <c r="D8" s="2013"/>
      <c r="E8" s="2013"/>
      <c r="F8" s="2013"/>
      <c r="G8" s="2013"/>
      <c r="H8" s="2013"/>
      <c r="I8" s="2013"/>
      <c r="J8" s="2013"/>
      <c r="K8" s="4468"/>
      <c r="L8" s="2013"/>
      <c r="M8" s="2013"/>
      <c r="N8" s="2013"/>
      <c r="O8" s="5720"/>
      <c r="P8" s="2013"/>
      <c r="Q8" s="2013"/>
      <c r="R8" s="2013"/>
      <c r="S8" s="2013"/>
      <c r="T8" s="2013"/>
      <c r="U8" s="2013"/>
      <c r="V8" s="2013"/>
      <c r="W8" s="2013"/>
      <c r="X8" s="2013"/>
      <c r="Y8" s="2013"/>
      <c r="Z8" s="2013"/>
      <c r="AA8" s="2013"/>
      <c r="AB8" s="2013"/>
      <c r="AC8" s="2326"/>
      <c r="AD8" s="2326"/>
      <c r="AE8" s="2013"/>
      <c r="AF8" s="2013"/>
      <c r="AG8" s="2013"/>
      <c r="AH8" s="2013"/>
      <c r="AI8" s="2013"/>
      <c r="AJ8" s="2013"/>
      <c r="AK8" s="2013"/>
      <c r="AL8" s="253"/>
      <c r="AM8" s="253"/>
      <c r="AN8" s="253"/>
      <c r="AO8" s="2013"/>
      <c r="AP8" s="253"/>
      <c r="AQ8" s="253"/>
      <c r="AR8" s="658"/>
      <c r="AS8" s="658"/>
      <c r="AT8" s="658"/>
      <c r="AU8" s="658"/>
      <c r="AV8" s="658"/>
      <c r="AW8" s="658"/>
      <c r="AX8" s="658"/>
      <c r="AY8" s="658"/>
      <c r="AZ8" s="658"/>
      <c r="BA8" s="658"/>
      <c r="BB8"/>
      <c r="BC8"/>
    </row>
    <row r="9" spans="1:55" s="815" customFormat="1" ht="15" customHeight="1">
      <c r="A9" s="2013"/>
      <c r="B9" s="2770"/>
      <c r="C9" s="5760" t="s">
        <v>5658</v>
      </c>
      <c r="D9" s="2769" t="s">
        <v>5659</v>
      </c>
      <c r="E9" s="2770"/>
      <c r="F9" s="2770"/>
      <c r="G9" s="2770"/>
      <c r="H9" s="2770"/>
      <c r="I9" s="2770"/>
      <c r="J9" s="2770"/>
      <c r="K9" s="2770"/>
      <c r="L9" s="2770"/>
      <c r="M9" s="2770"/>
      <c r="N9" s="2770"/>
      <c r="O9" s="2770"/>
      <c r="P9" s="2770"/>
      <c r="Q9" s="2770"/>
      <c r="R9" s="3019" t="s">
        <v>5660</v>
      </c>
      <c r="S9" s="2770"/>
      <c r="T9" s="2770"/>
      <c r="U9" s="2770"/>
      <c r="V9" s="2751"/>
      <c r="W9" s="2751"/>
      <c r="X9" s="2771"/>
      <c r="Y9" s="2771"/>
      <c r="Z9" s="2771"/>
      <c r="AA9" s="2771"/>
      <c r="AB9" s="2031" t="s">
        <v>708</v>
      </c>
      <c r="AC9" s="8463" t="s">
        <v>5658</v>
      </c>
      <c r="AD9" s="10888"/>
      <c r="AE9" s="10873"/>
      <c r="AF9" s="10873"/>
      <c r="AG9" s="10873"/>
      <c r="AH9" s="10873"/>
      <c r="AI9" s="10873"/>
      <c r="AJ9" s="10873"/>
      <c r="AK9" s="2013"/>
      <c r="AL9" s="253"/>
      <c r="AM9" s="1323" t="s">
        <v>5669</v>
      </c>
      <c r="AN9" s="253"/>
      <c r="AO9" s="2013"/>
      <c r="AP9" s="253"/>
      <c r="AQ9" s="851">
        <f>IF(AE9="",0,ROUND(AE9,0))</f>
        <v>0</v>
      </c>
      <c r="AR9" s="658"/>
      <c r="AS9" s="658"/>
      <c r="AT9" s="658"/>
      <c r="AU9" s="658"/>
      <c r="AV9" s="658"/>
      <c r="AW9" s="658"/>
      <c r="AX9" s="658"/>
      <c r="AY9" s="658"/>
      <c r="AZ9" s="658"/>
      <c r="BA9" s="658"/>
      <c r="BB9"/>
      <c r="BC9"/>
    </row>
    <row r="10" spans="1:55" s="815" customFormat="1" ht="6.75" customHeight="1">
      <c r="A10" s="2013"/>
      <c r="B10" s="2013"/>
      <c r="C10" s="2326"/>
      <c r="D10" s="2013"/>
      <c r="E10" s="2013"/>
      <c r="F10" s="2013"/>
      <c r="G10" s="2013"/>
      <c r="H10" s="2013"/>
      <c r="I10" s="2013"/>
      <c r="J10" s="2013"/>
      <c r="K10" s="4468"/>
      <c r="L10" s="2013"/>
      <c r="M10" s="2013"/>
      <c r="N10" s="2013"/>
      <c r="O10" s="5720"/>
      <c r="P10" s="2013"/>
      <c r="Q10" s="2013"/>
      <c r="R10" s="2013"/>
      <c r="S10" s="2013"/>
      <c r="T10" s="2013"/>
      <c r="U10" s="2013"/>
      <c r="V10" s="2013"/>
      <c r="W10" s="2013"/>
      <c r="X10" s="2013"/>
      <c r="Y10" s="2013"/>
      <c r="Z10" s="2013"/>
      <c r="AA10" s="2013"/>
      <c r="AB10" s="2013"/>
      <c r="AC10" s="2326"/>
      <c r="AD10" s="2326"/>
      <c r="AE10" s="2013"/>
      <c r="AF10" s="2013"/>
      <c r="AG10" s="2013"/>
      <c r="AH10" s="2013"/>
      <c r="AI10" s="2013"/>
      <c r="AJ10" s="2013"/>
      <c r="AK10" s="2013"/>
      <c r="AL10" s="253"/>
      <c r="AM10" s="253"/>
      <c r="AN10" s="253"/>
      <c r="AO10" s="2013"/>
      <c r="AP10" s="253"/>
      <c r="AQ10" s="253"/>
      <c r="AR10" s="658"/>
      <c r="AS10" s="658"/>
      <c r="AT10" s="658"/>
      <c r="AU10" s="658"/>
      <c r="AV10" s="658"/>
      <c r="AW10" s="658"/>
      <c r="AX10" s="658"/>
      <c r="AY10" s="658"/>
      <c r="AZ10" s="658"/>
      <c r="BA10" s="658"/>
      <c r="BB10"/>
      <c r="BC10"/>
    </row>
    <row r="11" spans="1:55" s="815" customFormat="1" ht="15" customHeight="1">
      <c r="A11" s="2013"/>
      <c r="B11" s="2751"/>
      <c r="C11" s="5759">
        <v>10</v>
      </c>
      <c r="D11" s="2769" t="s">
        <v>3713</v>
      </c>
      <c r="E11" s="2770"/>
      <c r="F11" s="2751"/>
      <c r="G11" s="2751"/>
      <c r="H11" s="2771"/>
      <c r="I11" s="2771"/>
      <c r="J11" s="2771"/>
      <c r="K11" s="2771"/>
      <c r="L11" s="2771"/>
      <c r="M11" s="2771"/>
      <c r="N11" s="2771"/>
      <c r="O11" s="2771"/>
      <c r="P11" s="2771"/>
      <c r="Q11" s="2770"/>
      <c r="R11" s="2770"/>
      <c r="S11" s="3019"/>
      <c r="T11" s="2770"/>
      <c r="U11" s="2770"/>
      <c r="V11" s="2770"/>
      <c r="W11" s="2751"/>
      <c r="X11" s="2771"/>
      <c r="Y11" s="2771"/>
      <c r="Z11" s="2771"/>
      <c r="AA11" s="2771"/>
      <c r="AB11" s="2075"/>
      <c r="AC11" s="10101"/>
      <c r="AD11" s="10102"/>
      <c r="AE11" s="9876"/>
      <c r="AF11" s="9877"/>
      <c r="AG11" s="9877"/>
      <c r="AH11" s="9877"/>
      <c r="AI11" s="9877"/>
      <c r="AJ11" s="9877"/>
      <c r="AK11" s="2013"/>
      <c r="AL11" s="253"/>
      <c r="AM11" s="253"/>
      <c r="AN11" s="253"/>
      <c r="AO11" s="2013"/>
      <c r="AP11" s="253"/>
      <c r="AQ11" s="253"/>
      <c r="AR11" s="658"/>
      <c r="AS11" s="658"/>
      <c r="AT11" s="658"/>
      <c r="AU11" s="658"/>
      <c r="AV11" s="658"/>
      <c r="AW11" s="658"/>
      <c r="AX11" s="658"/>
      <c r="AY11" s="658"/>
      <c r="AZ11" s="658"/>
      <c r="BA11" s="658"/>
      <c r="BB11"/>
      <c r="BC11"/>
    </row>
    <row r="12" spans="1:55" s="815" customFormat="1" ht="15" customHeight="1">
      <c r="A12" s="2013"/>
      <c r="B12" s="2751"/>
      <c r="C12" s="5759"/>
      <c r="D12" s="2769" t="s">
        <v>3716</v>
      </c>
      <c r="E12" s="2770"/>
      <c r="F12" s="2751"/>
      <c r="G12" s="2751"/>
      <c r="H12" s="2771"/>
      <c r="I12" s="2771"/>
      <c r="J12" s="2771"/>
      <c r="K12" s="2771"/>
      <c r="L12" s="2771"/>
      <c r="M12" s="2771"/>
      <c r="N12" s="2771"/>
      <c r="O12" s="2771"/>
      <c r="P12" s="2771"/>
      <c r="Q12" s="2770"/>
      <c r="R12" s="2770"/>
      <c r="S12" s="3019"/>
      <c r="T12" s="2770"/>
      <c r="U12" s="2770"/>
      <c r="V12" s="2770"/>
      <c r="W12" s="2751"/>
      <c r="X12" s="2771"/>
      <c r="Y12" s="2771"/>
      <c r="Z12" s="2771"/>
      <c r="AA12" s="2771"/>
      <c r="AB12" s="2075"/>
      <c r="AC12" s="10101"/>
      <c r="AD12" s="10102"/>
      <c r="AE12" s="9876"/>
      <c r="AF12" s="9877"/>
      <c r="AG12" s="9877"/>
      <c r="AH12" s="9877"/>
      <c r="AI12" s="9877"/>
      <c r="AJ12" s="9877"/>
      <c r="AK12" s="2013"/>
      <c r="AL12" s="253"/>
      <c r="AM12" s="253"/>
      <c r="AN12" s="253"/>
      <c r="AO12" s="2013"/>
      <c r="AP12" s="253"/>
      <c r="AQ12" s="253"/>
      <c r="AR12" s="658"/>
      <c r="AS12" s="658"/>
      <c r="AT12" s="658"/>
      <c r="AU12" s="658"/>
      <c r="AV12" s="658"/>
      <c r="AW12" s="658"/>
      <c r="AX12" s="658"/>
      <c r="AY12" s="658"/>
      <c r="AZ12" s="658"/>
      <c r="BA12" s="658"/>
      <c r="BB12"/>
      <c r="BC12"/>
    </row>
    <row r="13" spans="1:55" s="815" customFormat="1" ht="15" customHeight="1">
      <c r="A13" s="2013"/>
      <c r="B13" s="2751"/>
      <c r="C13" s="5759"/>
      <c r="D13" s="3019" t="s">
        <v>3718</v>
      </c>
      <c r="E13" s="2770"/>
      <c r="F13" s="2751"/>
      <c r="G13" s="2751"/>
      <c r="H13" s="2771"/>
      <c r="I13" s="2771"/>
      <c r="J13" s="2771"/>
      <c r="K13" s="2771"/>
      <c r="L13" s="2771"/>
      <c r="M13" s="2771"/>
      <c r="N13" s="2771"/>
      <c r="O13" s="2771"/>
      <c r="P13" s="2771"/>
      <c r="Q13" s="2771"/>
      <c r="R13" s="2771"/>
      <c r="S13" s="2771"/>
      <c r="T13" s="2770"/>
      <c r="U13" s="2770"/>
      <c r="V13" s="2770"/>
      <c r="W13" s="2751"/>
      <c r="X13" s="2771"/>
      <c r="Y13" s="2771"/>
      <c r="Z13" s="2771"/>
      <c r="AA13" s="2771"/>
      <c r="AB13" s="2075"/>
      <c r="AC13" s="10101"/>
      <c r="AD13" s="10102"/>
      <c r="AE13" s="9876"/>
      <c r="AF13" s="9877"/>
      <c r="AG13" s="9877"/>
      <c r="AH13" s="9877"/>
      <c r="AI13" s="9877"/>
      <c r="AJ13" s="9877"/>
      <c r="AK13" s="2013"/>
      <c r="AL13" s="253"/>
      <c r="AM13" s="253"/>
      <c r="AN13" s="253"/>
      <c r="AO13" s="2013"/>
      <c r="AP13" s="253"/>
      <c r="AQ13" s="253"/>
      <c r="AR13" s="658"/>
      <c r="AS13" s="658"/>
      <c r="AT13" s="658"/>
      <c r="AU13" s="658"/>
      <c r="AV13" s="658"/>
      <c r="AW13" s="658"/>
      <c r="AX13" s="658"/>
      <c r="AY13" s="658"/>
      <c r="AZ13" s="658"/>
      <c r="BA13" s="658"/>
      <c r="BB13"/>
      <c r="BC13"/>
    </row>
    <row r="14" spans="1:55" s="815" customFormat="1" ht="15" customHeight="1">
      <c r="A14" s="2013"/>
      <c r="B14" s="2751"/>
      <c r="C14" s="5759"/>
      <c r="D14" s="2769" t="s">
        <v>3720</v>
      </c>
      <c r="E14" s="2770"/>
      <c r="F14" s="2751"/>
      <c r="G14" s="2751"/>
      <c r="H14" s="2771"/>
      <c r="I14" s="2771"/>
      <c r="J14" s="2771"/>
      <c r="K14" s="2771"/>
      <c r="L14" s="2771"/>
      <c r="M14" s="2771"/>
      <c r="N14" s="2771"/>
      <c r="O14" s="2771"/>
      <c r="P14" s="2771"/>
      <c r="Q14" s="2771"/>
      <c r="R14" s="2771"/>
      <c r="S14" s="2771"/>
      <c r="T14" s="2770"/>
      <c r="U14" s="2770"/>
      <c r="V14" s="2770"/>
      <c r="W14" s="2751"/>
      <c r="X14" s="2771"/>
      <c r="Y14" s="2771"/>
      <c r="Z14" s="2771"/>
      <c r="AA14" s="2771"/>
      <c r="AB14" s="2075"/>
      <c r="AC14" s="10101"/>
      <c r="AD14" s="10102"/>
      <c r="AE14" s="9876"/>
      <c r="AF14" s="9877"/>
      <c r="AG14" s="9877"/>
      <c r="AH14" s="9877"/>
      <c r="AI14" s="9877"/>
      <c r="AJ14" s="9877"/>
      <c r="AK14" s="2013"/>
      <c r="AL14" s="253"/>
      <c r="AM14" s="253"/>
      <c r="AN14" s="253"/>
      <c r="AO14" s="2013"/>
      <c r="AP14" s="253"/>
      <c r="AQ14" s="253"/>
      <c r="AR14" s="658"/>
      <c r="AS14" s="658"/>
      <c r="AT14" s="658"/>
      <c r="AU14" s="658"/>
      <c r="AV14" s="658"/>
      <c r="AW14" s="658"/>
      <c r="AX14" s="658"/>
      <c r="AY14" s="658"/>
      <c r="AZ14" s="658"/>
      <c r="BA14" s="658"/>
      <c r="BB14"/>
      <c r="BC14"/>
    </row>
    <row r="15" spans="1:55" s="815" customFormat="1" ht="15" customHeight="1">
      <c r="A15" s="2013"/>
      <c r="B15" s="2751"/>
      <c r="C15" s="5759"/>
      <c r="D15" s="2769" t="s">
        <v>1872</v>
      </c>
      <c r="E15" s="2770"/>
      <c r="F15" s="2751"/>
      <c r="G15" s="2751"/>
      <c r="H15" s="2770"/>
      <c r="I15" s="3019"/>
      <c r="J15" s="2770"/>
      <c r="K15" s="2771"/>
      <c r="L15" s="2771"/>
      <c r="M15" s="2771"/>
      <c r="N15" s="2771"/>
      <c r="O15" s="2075"/>
      <c r="P15" s="817"/>
      <c r="Q15" s="730"/>
      <c r="R15" s="730"/>
      <c r="S15" s="730"/>
      <c r="T15" s="730"/>
      <c r="U15" s="730"/>
      <c r="V15" s="730"/>
      <c r="W15" s="2751"/>
      <c r="X15" s="2771"/>
      <c r="Y15" s="2771"/>
      <c r="Z15" s="2771"/>
      <c r="AA15" s="2771"/>
      <c r="AB15" s="2031" t="s">
        <v>3721</v>
      </c>
      <c r="AC15" s="8463">
        <v>10</v>
      </c>
      <c r="AD15" s="10888"/>
      <c r="AE15" s="10873"/>
      <c r="AF15" s="10873"/>
      <c r="AG15" s="10873"/>
      <c r="AH15" s="10873"/>
      <c r="AI15" s="10873"/>
      <c r="AJ15" s="10873"/>
      <c r="AK15" s="2013"/>
      <c r="AL15" s="253"/>
      <c r="AM15" s="1323" t="s">
        <v>5670</v>
      </c>
      <c r="AN15" s="253"/>
      <c r="AO15" s="2013"/>
      <c r="AP15" s="253"/>
      <c r="AQ15" s="851">
        <f>IF(AE15="",0,ROUND(AE15,0))</f>
        <v>0</v>
      </c>
      <c r="AR15" s="658"/>
      <c r="AS15" s="658"/>
      <c r="AT15" s="658"/>
      <c r="AU15" s="658"/>
      <c r="AV15" s="658"/>
      <c r="AW15" s="658"/>
      <c r="AX15" s="658"/>
      <c r="AY15" s="658"/>
      <c r="AZ15" s="658"/>
      <c r="BA15" s="658"/>
      <c r="BB15"/>
      <c r="BC15"/>
    </row>
    <row r="16" spans="1:55" s="815" customFormat="1" ht="8.25" customHeight="1">
      <c r="A16" s="2013"/>
      <c r="B16" s="2013"/>
      <c r="C16" s="2326"/>
      <c r="D16" s="2013"/>
      <c r="E16" s="2013"/>
      <c r="F16" s="2013"/>
      <c r="G16" s="2013"/>
      <c r="H16" s="2013"/>
      <c r="I16" s="2013"/>
      <c r="J16" s="2013"/>
      <c r="K16" s="4468"/>
      <c r="L16" s="2013"/>
      <c r="M16" s="2013"/>
      <c r="N16" s="2013"/>
      <c r="O16" s="5720"/>
      <c r="P16" s="2013"/>
      <c r="Q16" s="2013"/>
      <c r="R16" s="2013"/>
      <c r="S16" s="2013"/>
      <c r="T16" s="2013"/>
      <c r="U16" s="2013"/>
      <c r="V16" s="2013"/>
      <c r="W16" s="2013"/>
      <c r="X16" s="2013"/>
      <c r="Y16" s="2013"/>
      <c r="Z16" s="2013"/>
      <c r="AA16" s="2013"/>
      <c r="AB16" s="2013"/>
      <c r="AC16" s="2326"/>
      <c r="AD16" s="2326"/>
      <c r="AE16" s="2013"/>
      <c r="AF16" s="2013"/>
      <c r="AG16" s="2013"/>
      <c r="AH16" s="2013"/>
      <c r="AI16" s="2013"/>
      <c r="AJ16" s="2013"/>
      <c r="AK16" s="2013"/>
      <c r="AL16" s="253"/>
      <c r="AM16" s="253"/>
      <c r="AN16" s="253"/>
      <c r="AO16" s="2013"/>
      <c r="AP16" s="253"/>
      <c r="AQ16" s="253"/>
      <c r="AR16" s="658"/>
      <c r="AS16" s="658"/>
      <c r="AT16" s="658"/>
      <c r="AU16" s="658"/>
      <c r="AV16" s="658"/>
      <c r="AW16" s="658"/>
      <c r="AX16" s="658"/>
      <c r="AY16" s="658"/>
      <c r="AZ16" s="658"/>
      <c r="BA16" s="658"/>
      <c r="BB16"/>
      <c r="BC16"/>
    </row>
    <row r="17" spans="1:55" s="815" customFormat="1" ht="15" customHeight="1">
      <c r="A17" s="2013"/>
      <c r="B17" s="2751"/>
      <c r="C17" s="5759">
        <v>11</v>
      </c>
      <c r="D17" s="2769" t="s">
        <v>3723</v>
      </c>
      <c r="E17" s="2769"/>
      <c r="F17" s="3065"/>
      <c r="G17" s="3065"/>
      <c r="H17" s="3065"/>
      <c r="I17" s="3065"/>
      <c r="J17" s="3065"/>
      <c r="K17" s="3065"/>
      <c r="L17" s="3065"/>
      <c r="M17" s="3065"/>
      <c r="N17" s="3065"/>
      <c r="O17" s="3065"/>
      <c r="P17" s="3065"/>
      <c r="Q17" s="3065"/>
      <c r="R17" s="3065"/>
      <c r="S17" s="3065"/>
      <c r="T17" s="3065"/>
      <c r="U17" s="3065"/>
      <c r="V17" s="3065"/>
      <c r="W17" s="3065"/>
      <c r="X17" s="3065"/>
      <c r="Y17" s="3065"/>
      <c r="Z17" s="3065"/>
      <c r="AA17" s="3065"/>
      <c r="AB17" s="2031"/>
      <c r="AC17" s="8463">
        <v>11</v>
      </c>
      <c r="AD17" s="10888"/>
      <c r="AE17" s="10873"/>
      <c r="AF17" s="10873"/>
      <c r="AG17" s="10873"/>
      <c r="AH17" s="10873"/>
      <c r="AI17" s="10873"/>
      <c r="AJ17" s="10873"/>
      <c r="AK17" s="2013"/>
      <c r="AL17" s="253"/>
      <c r="AM17" s="1323" t="s">
        <v>5671</v>
      </c>
      <c r="AN17" s="253"/>
      <c r="AO17" s="2013"/>
      <c r="AP17" s="253"/>
      <c r="AQ17" s="851">
        <f>IF(AE17="",0,ROUND(AE17,0))</f>
        <v>0</v>
      </c>
      <c r="AR17" s="658"/>
      <c r="AS17" s="658"/>
      <c r="AT17" s="658"/>
      <c r="AU17" s="658"/>
      <c r="AV17" s="658"/>
      <c r="AW17" s="658"/>
      <c r="AX17" s="658"/>
      <c r="AY17" s="658"/>
      <c r="AZ17" s="658"/>
      <c r="BA17" s="658"/>
      <c r="BB17"/>
      <c r="BC17"/>
    </row>
    <row r="18" spans="1:55" s="815" customFormat="1" ht="15" customHeight="1">
      <c r="A18" s="2013"/>
      <c r="B18" s="2013"/>
      <c r="C18" s="2013"/>
      <c r="D18" s="2013"/>
      <c r="E18" s="2013"/>
      <c r="F18" s="2013"/>
      <c r="G18" s="2013"/>
      <c r="H18" s="2013"/>
      <c r="I18" s="2013"/>
      <c r="J18" s="2013"/>
      <c r="K18" s="2013"/>
      <c r="L18" s="2013"/>
      <c r="M18" s="2013"/>
      <c r="N18" s="2013"/>
      <c r="O18" s="2013"/>
      <c r="P18" s="2013"/>
      <c r="Q18" s="2013"/>
      <c r="R18" s="2013"/>
      <c r="S18" s="2013"/>
      <c r="T18" s="2013"/>
      <c r="U18" s="2013"/>
      <c r="V18" s="2013"/>
      <c r="W18" s="2013"/>
      <c r="X18" s="2013"/>
      <c r="Y18" s="2013"/>
      <c r="Z18" s="2013"/>
      <c r="AA18" s="2013"/>
      <c r="AB18" s="2013"/>
      <c r="AC18" s="2326"/>
      <c r="AD18" s="2326"/>
      <c r="AE18" s="2013"/>
      <c r="AF18" s="2013"/>
      <c r="AG18" s="2013"/>
      <c r="AH18" s="2013"/>
      <c r="AI18" s="2013"/>
      <c r="AJ18" s="2013"/>
      <c r="AK18" s="2013"/>
      <c r="AL18" s="253"/>
      <c r="AM18" s="253"/>
      <c r="AN18" s="253"/>
      <c r="AO18" s="2013"/>
      <c r="AP18" s="253"/>
      <c r="AQ18" s="851"/>
      <c r="AR18" s="658"/>
      <c r="AS18" s="658"/>
      <c r="AT18" s="658"/>
      <c r="AU18" s="658"/>
      <c r="AV18" s="658"/>
      <c r="AW18" s="658"/>
      <c r="AX18" s="658"/>
      <c r="AY18" s="658"/>
      <c r="AZ18" s="658"/>
      <c r="BA18" s="658"/>
      <c r="BB18"/>
      <c r="BC18"/>
    </row>
    <row r="19" spans="1:55" s="815" customFormat="1" ht="16.5" customHeight="1">
      <c r="A19" s="2013"/>
      <c r="B19" s="5744" t="str">
        <f>"Form 8801, Credit for Prior Year Minimum Tax—Individuals, Estates, and Trusts ("&amp;LastYear&amp;")"</f>
        <v>Form 8801, Credit for Prior Year Minimum Tax—Individuals, Estates, and Trusts (2024)</v>
      </c>
      <c r="C19" s="2013"/>
      <c r="D19" s="2013"/>
      <c r="E19" s="2013"/>
      <c r="F19" s="2013"/>
      <c r="G19" s="2013"/>
      <c r="H19" s="2013"/>
      <c r="I19" s="2013"/>
      <c r="J19" s="2013"/>
      <c r="K19" s="4468"/>
      <c r="L19" s="2013"/>
      <c r="M19" s="2013"/>
      <c r="N19" s="5748"/>
      <c r="O19" s="5720"/>
      <c r="P19" s="2013"/>
      <c r="Q19" s="2013"/>
      <c r="R19" s="2013"/>
      <c r="S19" s="2013"/>
      <c r="T19" s="2013"/>
      <c r="U19" s="2013"/>
      <c r="V19" s="2013"/>
      <c r="W19" s="2013"/>
      <c r="X19" s="2013"/>
      <c r="Y19" s="2013"/>
      <c r="Z19" s="2013"/>
      <c r="AA19" s="2013"/>
      <c r="AB19" s="2013"/>
      <c r="AC19" s="2326"/>
      <c r="AD19" s="2326"/>
      <c r="AE19" s="2013"/>
      <c r="AF19" s="2013"/>
      <c r="AG19" s="2013"/>
      <c r="AH19" s="2013"/>
      <c r="AI19" s="2013"/>
      <c r="AJ19" s="2013"/>
      <c r="AK19" s="2013"/>
      <c r="AL19" s="253"/>
      <c r="AM19" s="253"/>
      <c r="AN19" s="253"/>
      <c r="AO19" s="2013"/>
      <c r="AP19" s="253"/>
      <c r="AQ19" s="253"/>
      <c r="AR19" s="658"/>
      <c r="AS19" s="658"/>
      <c r="AT19" s="658"/>
      <c r="AU19" s="658"/>
      <c r="AV19" s="658"/>
      <c r="AW19" s="658"/>
      <c r="AX19" s="658"/>
      <c r="AY19" s="658"/>
      <c r="AZ19" s="658"/>
      <c r="BA19" s="658"/>
      <c r="BB19"/>
      <c r="BC19"/>
    </row>
    <row r="20" spans="1:55" s="815" customFormat="1" ht="15" customHeight="1">
      <c r="A20" s="2013"/>
      <c r="B20" s="253"/>
      <c r="C20" s="2917">
        <v>26</v>
      </c>
      <c r="D20" s="514" t="str">
        <f>"Credit carryforward to "&amp;TaxYear&amp;"."</f>
        <v>Credit carryforward to 2025.</v>
      </c>
      <c r="E20" s="253"/>
      <c r="F20" s="511"/>
      <c r="G20" s="511"/>
      <c r="H20" s="253"/>
      <c r="I20" s="253"/>
      <c r="J20" s="1323"/>
      <c r="K20" s="253"/>
      <c r="L20" s="2298" t="s">
        <v>5572</v>
      </c>
      <c r="M20" s="1323"/>
      <c r="N20" s="253"/>
      <c r="O20" s="253"/>
      <c r="P20" s="253"/>
      <c r="Q20" s="253"/>
      <c r="R20" s="253"/>
      <c r="S20" s="253"/>
      <c r="T20" s="253"/>
      <c r="U20" s="253"/>
      <c r="V20" s="253"/>
      <c r="W20" s="253"/>
      <c r="X20" s="253"/>
      <c r="Y20" s="253"/>
      <c r="Z20" s="253"/>
      <c r="AA20" s="253"/>
      <c r="AB20" s="253"/>
      <c r="AC20" s="10101"/>
      <c r="AD20" s="10102"/>
      <c r="AE20" s="10890"/>
      <c r="AF20" s="10891"/>
      <c r="AG20" s="10891"/>
      <c r="AH20" s="10891"/>
      <c r="AI20" s="10891"/>
      <c r="AJ20" s="10891"/>
      <c r="AK20" s="2013"/>
      <c r="AL20" s="253"/>
      <c r="AM20" s="253"/>
      <c r="AN20" s="253"/>
      <c r="AO20" s="2013"/>
      <c r="AP20" s="253"/>
      <c r="AQ20" s="851"/>
      <c r="AR20" s="658"/>
      <c r="AS20" s="658"/>
      <c r="AT20" s="658"/>
      <c r="AU20" s="658"/>
      <c r="AV20" s="658"/>
      <c r="AW20" s="658"/>
      <c r="AX20" s="658"/>
      <c r="AY20" s="658"/>
      <c r="AZ20" s="658"/>
      <c r="BA20" s="658"/>
      <c r="BB20"/>
      <c r="BC20"/>
    </row>
    <row r="21" spans="1:55" s="815" customFormat="1" ht="15" customHeight="1">
      <c r="A21" s="2013"/>
      <c r="B21" s="413"/>
      <c r="C21" s="4989"/>
      <c r="D21" s="1998" t="s">
        <v>5573</v>
      </c>
      <c r="E21" s="413"/>
      <c r="F21" s="1996"/>
      <c r="G21" s="1996"/>
      <c r="H21" s="413"/>
      <c r="I21" s="413"/>
      <c r="J21" s="413"/>
      <c r="K21" s="413"/>
      <c r="L21" s="413"/>
      <c r="M21" s="413"/>
      <c r="N21" s="413"/>
      <c r="O21" s="413"/>
      <c r="P21" s="413"/>
      <c r="Q21" s="413"/>
      <c r="R21" s="413"/>
      <c r="S21" s="413"/>
      <c r="T21" s="413"/>
      <c r="U21" s="413"/>
      <c r="V21" s="413"/>
      <c r="W21" s="413"/>
      <c r="X21" s="413"/>
      <c r="Y21" s="413"/>
      <c r="Z21" s="413"/>
      <c r="AA21" s="413"/>
      <c r="AB21" s="3878" t="s">
        <v>643</v>
      </c>
      <c r="AC21" s="8463">
        <v>26</v>
      </c>
      <c r="AD21" s="10883"/>
      <c r="AE21" s="10873"/>
      <c r="AF21" s="10873"/>
      <c r="AG21" s="10873"/>
      <c r="AH21" s="10873"/>
      <c r="AI21" s="10873"/>
      <c r="AJ21" s="10873"/>
      <c r="AK21" s="2013"/>
      <c r="AL21" s="253"/>
      <c r="AM21" s="1323" t="s">
        <v>5672</v>
      </c>
      <c r="AN21" s="253"/>
      <c r="AO21" s="2013"/>
      <c r="AP21" s="253"/>
      <c r="AQ21" s="851">
        <f>IF(AE21="",0,ROUND(AE21,0))</f>
        <v>0</v>
      </c>
      <c r="AR21" s="658"/>
      <c r="AS21" s="658"/>
      <c r="AT21" s="658"/>
      <c r="AU21" s="658"/>
      <c r="AV21" s="658"/>
      <c r="AW21" s="658"/>
      <c r="AX21" s="658"/>
      <c r="AY21" s="658"/>
      <c r="AZ21" s="658"/>
      <c r="BA21" s="658"/>
      <c r="BB21"/>
      <c r="BC21"/>
    </row>
    <row r="22" spans="1:55" s="815" customFormat="1" ht="9.75" customHeight="1">
      <c r="A22" s="2013"/>
      <c r="B22" s="2013"/>
      <c r="C22" s="2013"/>
      <c r="D22" s="2013"/>
      <c r="E22" s="2013"/>
      <c r="F22" s="2013"/>
      <c r="G22" s="2013"/>
      <c r="H22" s="2013"/>
      <c r="I22" s="2013"/>
      <c r="J22" s="2013"/>
      <c r="K22" s="4468"/>
      <c r="L22" s="2013"/>
      <c r="M22" s="2013"/>
      <c r="N22" s="2013"/>
      <c r="O22" s="2013"/>
      <c r="P22" s="2013"/>
      <c r="Q22" s="2013"/>
      <c r="R22" s="2013"/>
      <c r="S22" s="2013"/>
      <c r="T22" s="2013"/>
      <c r="U22" s="5764"/>
      <c r="V22" s="2013"/>
      <c r="W22" s="2013"/>
      <c r="X22" s="2013"/>
      <c r="Y22" s="2013"/>
      <c r="Z22" s="2013"/>
      <c r="AA22" s="2013"/>
      <c r="AB22" s="2013"/>
      <c r="AC22" s="2013"/>
      <c r="AD22" s="2013"/>
      <c r="AE22" s="2013"/>
      <c r="AF22" s="2013"/>
      <c r="AG22" s="2013"/>
      <c r="AH22" s="2013"/>
      <c r="AI22" s="2013"/>
      <c r="AJ22" s="2013"/>
      <c r="AK22" s="2013"/>
      <c r="AL22" s="253"/>
      <c r="AM22" s="253"/>
      <c r="AN22" s="253"/>
      <c r="AO22" s="2013"/>
      <c r="AP22" s="253"/>
      <c r="AQ22" s="253"/>
      <c r="AR22" s="658"/>
      <c r="AS22" s="658"/>
      <c r="AT22" s="658"/>
      <c r="AU22" s="658"/>
      <c r="AV22" s="658"/>
      <c r="AW22" s="658"/>
      <c r="AX22" s="658"/>
      <c r="AY22" s="658"/>
      <c r="AZ22" s="658"/>
      <c r="BA22" s="658"/>
      <c r="BB22"/>
      <c r="BC22"/>
    </row>
    <row r="23" spans="1:55" s="815" customFormat="1" ht="16.5" customHeight="1">
      <c r="A23" s="2013"/>
      <c r="B23" s="5744" t="str">
        <f>"Form 8801 - Foreign Earned Income Tax Worksheet ("&amp;LastYear&amp;")"</f>
        <v>Form 8801 - Foreign Earned Income Tax Worksheet (2024)</v>
      </c>
      <c r="C23" s="2013"/>
      <c r="D23" s="2013"/>
      <c r="E23" s="2013"/>
      <c r="F23" s="2013"/>
      <c r="G23" s="2013"/>
      <c r="H23" s="2013"/>
      <c r="I23" s="2013"/>
      <c r="J23" s="2013"/>
      <c r="K23" s="4468"/>
      <c r="L23" s="2013"/>
      <c r="M23" s="2013"/>
      <c r="N23" s="2013"/>
      <c r="O23" s="2013"/>
      <c r="P23" s="2013"/>
      <c r="Q23" s="2013"/>
      <c r="R23" s="2013"/>
      <c r="S23" s="2013"/>
      <c r="T23" s="2013"/>
      <c r="U23" s="5764"/>
      <c r="V23" s="2013"/>
      <c r="W23" s="2013"/>
      <c r="X23" s="2013"/>
      <c r="Y23" s="2013"/>
      <c r="Z23" s="2013"/>
      <c r="AA23" s="2013"/>
      <c r="AB23" s="2013"/>
      <c r="AC23" s="2013"/>
      <c r="AD23" s="2013"/>
      <c r="AE23" s="2013"/>
      <c r="AF23" s="2013"/>
      <c r="AG23" s="2013"/>
      <c r="AH23" s="2013"/>
      <c r="AI23" s="2013"/>
      <c r="AJ23" s="2013"/>
      <c r="AK23" s="2013"/>
      <c r="AL23" s="253"/>
      <c r="AM23" s="253"/>
      <c r="AN23" s="253"/>
      <c r="AO23" s="2013"/>
      <c r="AP23" s="253"/>
      <c r="AQ23" s="253"/>
      <c r="AR23" s="658"/>
      <c r="AS23" s="658"/>
      <c r="AT23" s="658"/>
      <c r="AU23" s="658"/>
      <c r="AV23" s="658"/>
      <c r="AW23" s="658"/>
      <c r="AX23" s="658"/>
      <c r="AY23" s="658"/>
      <c r="AZ23" s="658"/>
      <c r="BA23" s="658"/>
      <c r="BB23"/>
      <c r="BC23"/>
    </row>
    <row r="24" spans="1:55" s="815" customFormat="1" ht="16.5" customHeight="1">
      <c r="A24" s="2013"/>
      <c r="B24" s="3340" t="s">
        <v>167</v>
      </c>
      <c r="C24" s="2769" t="s">
        <v>5668</v>
      </c>
      <c r="D24" s="2769"/>
      <c r="E24" s="2770"/>
      <c r="F24" s="2770"/>
      <c r="G24" s="2770"/>
      <c r="H24" s="2751"/>
      <c r="I24" s="2770"/>
      <c r="J24" s="2770"/>
      <c r="K24" s="2770"/>
      <c r="L24" s="2751"/>
      <c r="M24" s="3222" t="s">
        <v>5657</v>
      </c>
      <c r="N24" s="5763" t="s">
        <v>167</v>
      </c>
      <c r="O24" s="10873"/>
      <c r="P24" s="10873"/>
      <c r="Q24" s="10873"/>
      <c r="R24" s="10873"/>
      <c r="S24" s="2013"/>
      <c r="T24" s="2013"/>
      <c r="U24" s="2013"/>
      <c r="V24" s="2013"/>
      <c r="W24" s="2013"/>
      <c r="X24" s="2013"/>
      <c r="Y24" s="2013"/>
      <c r="Z24" s="2013"/>
      <c r="AA24" s="2013"/>
      <c r="AB24" s="2013"/>
      <c r="AC24" s="2013"/>
      <c r="AD24" s="2013"/>
      <c r="AE24" s="2013"/>
      <c r="AF24" s="2013"/>
      <c r="AG24" s="2013"/>
      <c r="AH24" s="2013"/>
      <c r="AI24" s="2013"/>
      <c r="AJ24" s="2013"/>
      <c r="AK24" s="2013"/>
      <c r="AL24" s="253"/>
      <c r="AM24" s="1323" t="s">
        <v>5674</v>
      </c>
      <c r="AN24" s="253"/>
      <c r="AO24" s="2013"/>
      <c r="AP24" s="253"/>
      <c r="AQ24" s="851">
        <f>IF(O24="",0,ROUND(O24,0))</f>
        <v>0</v>
      </c>
      <c r="AR24" s="658"/>
      <c r="AS24" s="658"/>
      <c r="AT24" s="658"/>
      <c r="AU24" s="658"/>
      <c r="AV24" s="658"/>
      <c r="AW24" s="658"/>
      <c r="AX24" s="658"/>
      <c r="AY24" s="658"/>
      <c r="AZ24" s="658"/>
      <c r="BA24" s="658"/>
      <c r="BB24"/>
      <c r="BC24"/>
    </row>
    <row r="25" spans="1:55" s="815" customFormat="1" ht="15" customHeight="1">
      <c r="A25" s="2013"/>
      <c r="B25" s="2013"/>
      <c r="C25" s="2326"/>
      <c r="D25" s="2013"/>
      <c r="E25" s="2013"/>
      <c r="F25" s="2013"/>
      <c r="G25" s="2013"/>
      <c r="H25" s="2013"/>
      <c r="I25" s="2013"/>
      <c r="J25" s="2013"/>
      <c r="K25" s="2013"/>
      <c r="L25" s="2013"/>
      <c r="M25" s="2013"/>
      <c r="N25" s="2013"/>
      <c r="O25" s="2013"/>
      <c r="P25" s="2013"/>
      <c r="Q25" s="2013"/>
      <c r="R25" s="2013"/>
      <c r="S25" s="2013"/>
      <c r="T25" s="2013"/>
      <c r="U25" s="2013"/>
      <c r="V25" s="2013"/>
      <c r="W25" s="2013"/>
      <c r="X25" s="2013"/>
      <c r="Y25" s="2013"/>
      <c r="Z25" s="2013"/>
      <c r="AA25" s="2013"/>
      <c r="AB25" s="2013"/>
      <c r="AC25" s="2326"/>
      <c r="AD25" s="2326"/>
      <c r="AE25" s="2013"/>
      <c r="AF25" s="2013"/>
      <c r="AG25" s="2013"/>
      <c r="AH25" s="2013"/>
      <c r="AI25" s="2013"/>
      <c r="AJ25" s="2013"/>
      <c r="AK25" s="2013"/>
      <c r="AL25" s="253"/>
      <c r="AM25" s="253"/>
      <c r="AN25" s="253"/>
      <c r="AO25" s="2013"/>
      <c r="AP25" s="253"/>
      <c r="AQ25" s="851"/>
      <c r="AR25" s="658"/>
      <c r="AS25" s="658"/>
      <c r="AT25" s="658"/>
      <c r="AU25" s="658"/>
      <c r="AV25" s="658"/>
      <c r="AW25" s="658"/>
      <c r="AX25" s="658"/>
      <c r="AY25" s="658"/>
      <c r="AZ25" s="658"/>
      <c r="BA25" s="658"/>
      <c r="BB25"/>
      <c r="BC25"/>
    </row>
    <row r="26" spans="1:55" s="815" customFormat="1" ht="16.5" customHeight="1">
      <c r="A26" s="2013"/>
      <c r="B26" s="5744" t="str">
        <f>"Form 2555, Foreign Earned Income ("&amp;LastYear&amp;")"</f>
        <v>Form 2555, Foreign Earned Income (2024)</v>
      </c>
      <c r="C26" s="2326"/>
      <c r="D26" s="2013"/>
      <c r="E26" s="2013"/>
      <c r="F26" s="2013"/>
      <c r="G26" s="2013"/>
      <c r="H26" s="2013"/>
      <c r="I26" s="2013"/>
      <c r="J26" s="2013"/>
      <c r="K26" s="4468"/>
      <c r="L26" s="2013"/>
      <c r="M26" s="2013"/>
      <c r="N26" s="5748" t="s">
        <v>5656</v>
      </c>
      <c r="O26" s="5720"/>
      <c r="P26" s="2013"/>
      <c r="Q26" s="2013"/>
      <c r="R26" s="2013"/>
      <c r="S26" s="2013"/>
      <c r="T26" s="2013"/>
      <c r="U26" s="2013"/>
      <c r="V26" s="2013"/>
      <c r="W26" s="2013"/>
      <c r="X26" s="2013"/>
      <c r="Y26" s="2013"/>
      <c r="Z26" s="2013"/>
      <c r="AA26" s="2013"/>
      <c r="AB26" s="2013"/>
      <c r="AC26" s="2326"/>
      <c r="AD26" s="2326"/>
      <c r="AE26" s="2013"/>
      <c r="AF26" s="2013"/>
      <c r="AG26" s="2013"/>
      <c r="AH26" s="2013"/>
      <c r="AI26" s="2013"/>
      <c r="AJ26" s="2013"/>
      <c r="AK26" s="2013"/>
      <c r="AL26" s="253"/>
      <c r="AM26" s="253"/>
      <c r="AN26" s="253"/>
      <c r="AO26" s="2013"/>
      <c r="AP26" s="253"/>
      <c r="AQ26" s="253"/>
      <c r="AR26" s="658"/>
      <c r="AS26" s="658"/>
      <c r="AT26" s="658"/>
      <c r="AU26" s="658"/>
      <c r="AV26" s="658"/>
      <c r="AW26" s="658"/>
      <c r="AX26" s="658"/>
      <c r="AY26" s="658"/>
      <c r="AZ26" s="658"/>
      <c r="BA26" s="658"/>
      <c r="BB26"/>
      <c r="BC26"/>
    </row>
    <row r="27" spans="1:55" s="815" customFormat="1" ht="15.75" customHeight="1">
      <c r="A27" s="2013"/>
      <c r="B27" s="2013"/>
      <c r="C27" s="2013"/>
      <c r="D27" s="2013"/>
      <c r="E27" s="2013"/>
      <c r="F27" s="2013"/>
      <c r="G27" s="2013"/>
      <c r="H27" s="2013"/>
      <c r="I27" s="2013"/>
      <c r="J27" s="2013"/>
      <c r="K27" s="4468"/>
      <c r="L27" s="2013"/>
      <c r="M27" s="2013"/>
      <c r="N27" s="2013"/>
      <c r="O27" s="5720"/>
      <c r="P27" s="2013"/>
      <c r="Q27" s="2013"/>
      <c r="R27" s="2013"/>
      <c r="S27" s="2013"/>
      <c r="T27" s="2013"/>
      <c r="U27" s="2013"/>
      <c r="V27" s="2013"/>
      <c r="W27" s="2013"/>
      <c r="X27" s="2013"/>
      <c r="Y27" s="2013"/>
      <c r="Z27" s="2013"/>
      <c r="AA27" s="2013"/>
      <c r="AB27" s="2013"/>
      <c r="AC27" s="2013"/>
      <c r="AD27" s="2013"/>
      <c r="AE27" s="2013"/>
      <c r="AF27" s="2013"/>
      <c r="AG27" s="2013"/>
      <c r="AH27" s="2013"/>
      <c r="AI27" s="2013"/>
      <c r="AJ27" s="2013"/>
      <c r="AK27" s="2013"/>
      <c r="AL27" s="253"/>
      <c r="AM27" s="253"/>
      <c r="AN27" s="253"/>
      <c r="AO27" s="2013"/>
      <c r="AP27" s="253"/>
      <c r="AQ27" s="253"/>
      <c r="AR27" s="658"/>
      <c r="AS27" s="658"/>
      <c r="AT27" s="658"/>
      <c r="AU27" s="658"/>
      <c r="AV27" s="658"/>
      <c r="AW27" s="658"/>
      <c r="AX27" s="658"/>
      <c r="AY27" s="658"/>
      <c r="AZ27" s="658"/>
      <c r="BA27" s="658"/>
      <c r="BB27"/>
      <c r="BC27"/>
    </row>
    <row r="28" spans="1:55" s="815" customFormat="1" ht="13.5" customHeight="1">
      <c r="A28" s="2013"/>
      <c r="B28" s="253"/>
      <c r="C28" s="5735" t="s">
        <v>3435</v>
      </c>
      <c r="D28" s="344" t="s">
        <v>3436</v>
      </c>
      <c r="E28" s="253"/>
      <c r="F28" s="253"/>
      <c r="G28" s="253"/>
      <c r="H28" s="253"/>
      <c r="I28" s="253"/>
      <c r="J28" s="253"/>
      <c r="K28" s="253"/>
      <c r="L28" s="253"/>
      <c r="M28" s="253"/>
      <c r="N28" s="253"/>
      <c r="O28" s="253"/>
      <c r="P28" s="253"/>
      <c r="Q28" s="253"/>
      <c r="R28" s="253"/>
      <c r="S28" s="253"/>
      <c r="T28" s="253"/>
      <c r="U28" s="253"/>
      <c r="V28" s="253"/>
      <c r="W28" s="253"/>
      <c r="X28" s="253"/>
      <c r="Y28" s="253"/>
      <c r="Z28" s="253"/>
      <c r="AA28" s="253"/>
      <c r="AB28" s="253"/>
      <c r="AC28" s="10101"/>
      <c r="AD28" s="10102"/>
      <c r="AE28" s="9876"/>
      <c r="AF28" s="9877"/>
      <c r="AG28" s="9877"/>
      <c r="AH28" s="9877"/>
      <c r="AI28" s="9877"/>
      <c r="AJ28" s="9877"/>
      <c r="AK28" s="2013"/>
      <c r="AL28" s="253"/>
      <c r="AM28" s="1323" t="s">
        <v>3238</v>
      </c>
      <c r="AN28" s="253"/>
      <c r="AO28" s="2013"/>
      <c r="AP28" s="253"/>
      <c r="AQ28" s="253"/>
      <c r="AR28" s="658"/>
      <c r="AS28" s="658"/>
      <c r="AT28" s="658"/>
      <c r="AU28" s="658"/>
      <c r="AV28" s="658"/>
      <c r="AW28" s="658"/>
      <c r="AX28" s="658"/>
      <c r="AY28" s="658"/>
      <c r="AZ28" s="658"/>
      <c r="BA28" s="658"/>
      <c r="BB28"/>
      <c r="BC28"/>
    </row>
    <row r="29" spans="1:55" s="815" customFormat="1" ht="13.5" customHeight="1">
      <c r="A29" s="2013"/>
      <c r="B29" s="253"/>
      <c r="C29" s="1323"/>
      <c r="D29" s="344" t="s">
        <v>5261</v>
      </c>
      <c r="E29" s="253"/>
      <c r="F29" s="253"/>
      <c r="G29" s="253"/>
      <c r="H29" s="253"/>
      <c r="I29" s="253"/>
      <c r="J29" s="253"/>
      <c r="K29" s="253"/>
      <c r="L29" s="253"/>
      <c r="M29" s="253"/>
      <c r="N29" s="253"/>
      <c r="O29" s="253"/>
      <c r="P29" s="253"/>
      <c r="Q29" s="253"/>
      <c r="R29" s="253"/>
      <c r="S29" s="253"/>
      <c r="T29" s="253"/>
      <c r="U29" s="253"/>
      <c r="V29" s="253"/>
      <c r="W29" s="253"/>
      <c r="X29" s="253"/>
      <c r="Y29" s="253"/>
      <c r="Z29" s="253"/>
      <c r="AA29" s="253"/>
      <c r="AB29" s="253"/>
      <c r="AC29" s="10101"/>
      <c r="AD29" s="10102"/>
      <c r="AE29" s="9876"/>
      <c r="AF29" s="9877"/>
      <c r="AG29" s="9877"/>
      <c r="AH29" s="9877"/>
      <c r="AI29" s="9877"/>
      <c r="AJ29" s="9877"/>
      <c r="AK29" s="2013"/>
      <c r="AL29" s="253"/>
      <c r="AM29" s="1323" t="s">
        <v>5677</v>
      </c>
      <c r="AN29" s="253"/>
      <c r="AO29" s="2013"/>
      <c r="AP29" s="253"/>
      <c r="AQ29" s="253"/>
      <c r="AR29" s="658"/>
      <c r="AS29" s="658"/>
      <c r="AT29" s="658"/>
      <c r="AU29" s="658"/>
      <c r="AV29" s="658"/>
      <c r="AW29" s="658"/>
      <c r="AX29" s="658"/>
      <c r="AY29" s="658"/>
      <c r="AZ29" s="658"/>
      <c r="BA29" s="658"/>
      <c r="BB29"/>
      <c r="BC29"/>
    </row>
    <row r="30" spans="1:55" s="815" customFormat="1" ht="13.5" customHeight="1">
      <c r="A30" s="2013"/>
      <c r="B30" s="253"/>
      <c r="C30" s="1323"/>
      <c r="D30" s="344" t="s">
        <v>5262</v>
      </c>
      <c r="E30" s="253"/>
      <c r="F30" s="253"/>
      <c r="G30" s="253"/>
      <c r="H30" s="253"/>
      <c r="I30" s="253"/>
      <c r="J30" s="253"/>
      <c r="K30" s="253"/>
      <c r="L30" s="253"/>
      <c r="M30" s="253"/>
      <c r="N30" s="253"/>
      <c r="O30" s="253"/>
      <c r="P30" s="253"/>
      <c r="Q30" s="253"/>
      <c r="R30" s="253"/>
      <c r="S30" s="253"/>
      <c r="T30" s="253"/>
      <c r="U30" s="253"/>
      <c r="V30" s="253"/>
      <c r="W30" s="253"/>
      <c r="X30" s="253"/>
      <c r="Y30" s="253"/>
      <c r="Z30" s="253"/>
      <c r="AA30" s="253"/>
      <c r="AB30" s="2031" t="s">
        <v>650</v>
      </c>
      <c r="AC30" s="8463">
        <v>45</v>
      </c>
      <c r="AD30" s="10888"/>
      <c r="AE30" s="10873"/>
      <c r="AF30" s="10873"/>
      <c r="AG30" s="10873"/>
      <c r="AH30" s="10873"/>
      <c r="AI30" s="10873"/>
      <c r="AJ30" s="10873"/>
      <c r="AK30" s="2013"/>
      <c r="AL30" s="253"/>
      <c r="AM30" s="1323" t="s">
        <v>5675</v>
      </c>
      <c r="AN30" s="253"/>
      <c r="AO30" s="2013"/>
      <c r="AP30" s="253"/>
      <c r="AQ30" s="851">
        <f>IF(AE30="",0,ROUND(AE30,0))</f>
        <v>0</v>
      </c>
      <c r="AR30" s="658"/>
      <c r="AS30" s="658"/>
      <c r="AT30" s="658"/>
      <c r="AU30" s="658"/>
      <c r="AV30" s="658"/>
      <c r="AW30" s="658"/>
      <c r="AX30" s="658"/>
      <c r="AY30" s="658"/>
      <c r="AZ30" s="658"/>
      <c r="BA30" s="658"/>
      <c r="BB30"/>
      <c r="BC30"/>
    </row>
    <row r="31" spans="1:55" s="815" customFormat="1" ht="7.5" customHeight="1">
      <c r="A31" s="2013"/>
      <c r="B31" s="2013"/>
      <c r="C31" s="2326"/>
      <c r="D31" s="2013"/>
      <c r="E31" s="2013"/>
      <c r="F31" s="2013"/>
      <c r="G31" s="2013"/>
      <c r="H31" s="2013"/>
      <c r="I31" s="2013"/>
      <c r="J31" s="2013"/>
      <c r="K31" s="4468"/>
      <c r="L31" s="2013"/>
      <c r="M31" s="2013"/>
      <c r="N31" s="2013"/>
      <c r="O31" s="5720"/>
      <c r="P31" s="2013"/>
      <c r="Q31" s="2013"/>
      <c r="R31" s="2013"/>
      <c r="S31" s="2013"/>
      <c r="T31" s="2013"/>
      <c r="U31" s="2013"/>
      <c r="V31" s="2013"/>
      <c r="W31" s="2013"/>
      <c r="X31" s="2013"/>
      <c r="Y31" s="2013"/>
      <c r="Z31" s="2013"/>
      <c r="AA31" s="2013"/>
      <c r="AB31" s="2013"/>
      <c r="AC31" s="2326"/>
      <c r="AD31" s="2326"/>
      <c r="AE31" s="2013"/>
      <c r="AF31" s="2013"/>
      <c r="AG31" s="2013"/>
      <c r="AH31" s="2013"/>
      <c r="AI31" s="2013"/>
      <c r="AJ31" s="2013"/>
      <c r="AK31" s="2013"/>
      <c r="AL31" s="253"/>
      <c r="AM31" s="253"/>
      <c r="AN31" s="253"/>
      <c r="AO31" s="2013"/>
      <c r="AP31" s="253"/>
      <c r="AQ31" s="253"/>
      <c r="AR31" s="658"/>
      <c r="AS31" s="658"/>
      <c r="AT31" s="658"/>
      <c r="AU31" s="658"/>
      <c r="AV31" s="658"/>
      <c r="AW31" s="658"/>
      <c r="AX31" s="658"/>
      <c r="AY31" s="658"/>
      <c r="AZ31" s="658"/>
      <c r="BA31" s="658"/>
      <c r="BB31"/>
      <c r="BC31"/>
    </row>
    <row r="32" spans="1:55" s="815" customFormat="1" ht="14.25" customHeight="1">
      <c r="A32" s="2013"/>
      <c r="B32" s="253"/>
      <c r="C32" s="5735" t="s">
        <v>3449</v>
      </c>
      <c r="D32" s="344" t="s">
        <v>5651</v>
      </c>
      <c r="E32" s="253"/>
      <c r="F32" s="253"/>
      <c r="G32" s="253"/>
      <c r="H32" s="253"/>
      <c r="I32" s="253"/>
      <c r="J32" s="253"/>
      <c r="K32" s="253"/>
      <c r="L32" s="253"/>
      <c r="M32" s="253"/>
      <c r="N32" s="253"/>
      <c r="O32" s="253"/>
      <c r="P32" s="253"/>
      <c r="Q32" s="253"/>
      <c r="R32" s="253"/>
      <c r="S32" s="253"/>
      <c r="T32" s="253"/>
      <c r="U32" s="253"/>
      <c r="V32" s="253"/>
      <c r="W32" s="253"/>
      <c r="X32" s="253"/>
      <c r="Y32" s="253"/>
      <c r="Z32" s="253"/>
      <c r="AA32" s="253"/>
      <c r="AB32" s="253"/>
      <c r="AC32" s="10101"/>
      <c r="AD32" s="10102"/>
      <c r="AE32" s="8984"/>
      <c r="AF32" s="7879"/>
      <c r="AG32" s="7879"/>
      <c r="AH32" s="7879"/>
      <c r="AI32" s="7879"/>
      <c r="AJ32" s="7879"/>
      <c r="AK32" s="2013"/>
      <c r="AL32" s="253"/>
      <c r="AM32" s="5777" t="s">
        <v>5689</v>
      </c>
      <c r="AN32" s="253"/>
      <c r="AO32" s="2013"/>
      <c r="AP32" s="253"/>
      <c r="AQ32" s="5767" t="b">
        <f>OR(AE30&lt;&gt;"",AE34&lt;&gt;"")</f>
        <v>0</v>
      </c>
      <c r="AR32" s="658"/>
      <c r="AS32" s="658"/>
      <c r="AT32" s="658"/>
      <c r="AU32" s="658"/>
      <c r="AV32" s="658"/>
      <c r="AW32" s="658"/>
      <c r="AX32" s="658"/>
      <c r="AY32" s="658"/>
      <c r="AZ32" s="658"/>
      <c r="BA32" s="658"/>
      <c r="BB32"/>
      <c r="BC32"/>
    </row>
    <row r="33" spans="1:55" s="815" customFormat="1" ht="14.25" customHeight="1">
      <c r="A33" s="2013"/>
      <c r="B33" s="253"/>
      <c r="C33" s="1323"/>
      <c r="D33" s="344" t="s">
        <v>3451</v>
      </c>
      <c r="E33" s="253"/>
      <c r="F33" s="253"/>
      <c r="G33" s="253"/>
      <c r="H33" s="253"/>
      <c r="I33" s="253"/>
      <c r="J33" s="253"/>
      <c r="K33" s="253"/>
      <c r="L33" s="253"/>
      <c r="M33" s="253"/>
      <c r="N33" s="253"/>
      <c r="O33" s="253"/>
      <c r="P33" s="253"/>
      <c r="Q33" s="253"/>
      <c r="R33" s="253"/>
      <c r="S33" s="253"/>
      <c r="T33" s="253"/>
      <c r="U33" s="253"/>
      <c r="V33" s="253"/>
      <c r="W33" s="253"/>
      <c r="X33" s="253"/>
      <c r="Y33" s="253"/>
      <c r="Z33" s="253"/>
      <c r="AA33" s="253"/>
      <c r="AB33" s="253"/>
      <c r="AC33" s="10101"/>
      <c r="AD33" s="10102"/>
      <c r="AE33" s="8984"/>
      <c r="AF33" s="7879"/>
      <c r="AG33" s="7879"/>
      <c r="AH33" s="7879"/>
      <c r="AI33" s="7879"/>
      <c r="AJ33" s="7879"/>
      <c r="AK33" s="2013"/>
      <c r="AL33" s="253"/>
      <c r="AM33" s="344"/>
      <c r="AN33" s="253"/>
      <c r="AO33" s="2013"/>
      <c r="AP33" s="253"/>
      <c r="AQ33" s="253"/>
      <c r="AR33" s="658"/>
      <c r="AS33" s="658"/>
      <c r="AT33" s="658"/>
      <c r="AU33" s="658"/>
      <c r="AV33" s="658"/>
      <c r="AW33" s="658"/>
      <c r="AX33" s="658"/>
      <c r="AY33" s="658"/>
      <c r="AZ33" s="658"/>
      <c r="BA33" s="658"/>
      <c r="BB33"/>
      <c r="BC33"/>
    </row>
    <row r="34" spans="1:55" s="815" customFormat="1" ht="14.25" customHeight="1">
      <c r="A34" s="2013"/>
      <c r="B34" s="253"/>
      <c r="C34" s="1323"/>
      <c r="D34" s="344" t="s">
        <v>3452</v>
      </c>
      <c r="E34" s="253"/>
      <c r="F34" s="253"/>
      <c r="G34" s="253"/>
      <c r="H34" s="253"/>
      <c r="I34" s="253"/>
      <c r="J34" s="253"/>
      <c r="K34" s="253"/>
      <c r="L34" s="253"/>
      <c r="M34" s="253"/>
      <c r="N34" s="253"/>
      <c r="O34" s="253"/>
      <c r="P34" s="253"/>
      <c r="Q34" s="253"/>
      <c r="R34" s="253"/>
      <c r="S34" s="253"/>
      <c r="T34" s="253"/>
      <c r="U34" s="253"/>
      <c r="V34" s="253"/>
      <c r="W34" s="253"/>
      <c r="X34" s="253"/>
      <c r="Y34" s="253"/>
      <c r="Z34" s="253"/>
      <c r="AA34" s="253"/>
      <c r="AB34" s="2031" t="s">
        <v>653</v>
      </c>
      <c r="AC34" s="8463">
        <v>50</v>
      </c>
      <c r="AD34" s="10888"/>
      <c r="AE34" s="10913"/>
      <c r="AF34" s="10873"/>
      <c r="AG34" s="10873"/>
      <c r="AH34" s="10873"/>
      <c r="AI34" s="10873"/>
      <c r="AJ34" s="10873"/>
      <c r="AK34" s="2013"/>
      <c r="AL34" s="253"/>
      <c r="AM34" s="1323" t="s">
        <v>5676</v>
      </c>
      <c r="AN34" s="253"/>
      <c r="AO34" s="2013"/>
      <c r="AP34" s="253"/>
      <c r="AQ34" s="851">
        <f>IF(AE34="",0,ROUND(AE34,0))</f>
        <v>0</v>
      </c>
      <c r="AR34" s="658"/>
      <c r="AS34" s="658"/>
      <c r="AT34" s="658"/>
      <c r="AU34" s="658"/>
      <c r="AV34" s="658"/>
      <c r="AW34" s="658"/>
      <c r="AX34" s="658"/>
      <c r="AY34" s="658"/>
      <c r="AZ34" s="658"/>
      <c r="BA34" s="658"/>
      <c r="BB34"/>
      <c r="BC34"/>
    </row>
    <row r="35" spans="1:55" s="815" customFormat="1" ht="15.75" customHeight="1">
      <c r="A35" s="2013"/>
      <c r="B35" s="2013"/>
      <c r="C35" s="2013"/>
      <c r="D35" s="2013"/>
      <c r="E35" s="2013"/>
      <c r="F35" s="2013"/>
      <c r="G35" s="2013"/>
      <c r="H35" s="2013"/>
      <c r="I35" s="2013"/>
      <c r="J35" s="2013"/>
      <c r="K35" s="4468"/>
      <c r="L35" s="2013"/>
      <c r="M35" s="2013"/>
      <c r="N35" s="2013"/>
      <c r="O35" s="5720"/>
      <c r="P35" s="2013"/>
      <c r="Q35" s="2013"/>
      <c r="R35" s="2013"/>
      <c r="S35" s="2013"/>
      <c r="T35" s="2013"/>
      <c r="U35" s="2013"/>
      <c r="V35" s="2013"/>
      <c r="W35" s="2013"/>
      <c r="X35" s="2013"/>
      <c r="Y35" s="2013"/>
      <c r="Z35" s="2013"/>
      <c r="AA35" s="2013"/>
      <c r="AB35" s="2013"/>
      <c r="AC35" s="2013"/>
      <c r="AD35" s="2013"/>
      <c r="AE35" s="2013"/>
      <c r="AF35" s="2013"/>
      <c r="AG35" s="2013"/>
      <c r="AH35" s="2013"/>
      <c r="AI35" s="2013"/>
      <c r="AJ35" s="2013"/>
      <c r="AK35" s="2013"/>
      <c r="AL35" s="253"/>
      <c r="AM35" s="253"/>
      <c r="AN35" s="253"/>
      <c r="AO35" s="2013"/>
      <c r="AP35" s="253"/>
      <c r="AQ35" s="253"/>
      <c r="AR35" s="658"/>
      <c r="AS35" s="658"/>
      <c r="AT35" s="658"/>
      <c r="AU35" s="658"/>
      <c r="AV35" s="658"/>
      <c r="AW35" s="658"/>
      <c r="AX35" s="658"/>
      <c r="AY35" s="658"/>
      <c r="AZ35" s="658"/>
      <c r="BA35" s="658"/>
      <c r="BB35"/>
      <c r="BC35"/>
    </row>
    <row r="36" spans="1:55" s="815" customFormat="1" ht="16.5" customHeight="1">
      <c r="A36" s="2013"/>
      <c r="B36" s="5744" t="str">
        <f>"Form 1040, US Individual Income Tax Return ("&amp;LastYear&amp;")"</f>
        <v>Form 1040, US Individual Income Tax Return (2024)</v>
      </c>
      <c r="C36" s="2013"/>
      <c r="D36" s="2013"/>
      <c r="E36" s="2013"/>
      <c r="F36" s="2013"/>
      <c r="G36" s="2013"/>
      <c r="H36" s="2013"/>
      <c r="I36" s="2013"/>
      <c r="J36" s="2013"/>
      <c r="K36" s="4468"/>
      <c r="L36" s="2013"/>
      <c r="M36" s="2013"/>
      <c r="N36" s="2013"/>
      <c r="O36" s="5720"/>
      <c r="P36" s="2013"/>
      <c r="Q36" s="2013"/>
      <c r="R36" s="2013"/>
      <c r="S36" s="2013"/>
      <c r="T36" s="2013"/>
      <c r="U36" s="2013"/>
      <c r="V36" s="2013"/>
      <c r="W36" s="2013"/>
      <c r="X36" s="2013"/>
      <c r="Y36" s="2013"/>
      <c r="Z36" s="2013"/>
      <c r="AA36" s="2013"/>
      <c r="AB36" s="2013"/>
      <c r="AC36" s="2013"/>
      <c r="AD36" s="2013"/>
      <c r="AE36" s="2013"/>
      <c r="AF36" s="2013"/>
      <c r="AG36" s="2013"/>
      <c r="AH36" s="2013"/>
      <c r="AI36" s="2013"/>
      <c r="AJ36" s="2013"/>
      <c r="AK36" s="2013"/>
      <c r="AL36" s="253"/>
      <c r="AM36" s="253"/>
      <c r="AN36" s="253"/>
      <c r="AO36" s="2013"/>
      <c r="AP36" s="253"/>
      <c r="AQ36" s="253"/>
      <c r="AR36" s="658"/>
      <c r="AS36" s="658"/>
      <c r="AT36" s="658"/>
      <c r="AU36" s="658"/>
      <c r="AV36" s="658"/>
      <c r="AW36" s="658"/>
      <c r="AX36" s="658"/>
      <c r="AY36" s="658"/>
      <c r="AZ36" s="658"/>
      <c r="BA36" s="658"/>
      <c r="BB36"/>
      <c r="BC36"/>
    </row>
    <row r="37" spans="1:55" s="815" customFormat="1" ht="16.5" customHeight="1">
      <c r="A37" s="2013"/>
      <c r="B37" s="2551" t="s">
        <v>5650</v>
      </c>
      <c r="C37" s="2013"/>
      <c r="D37" s="2013"/>
      <c r="E37" s="2013"/>
      <c r="F37" s="2013"/>
      <c r="G37" s="2013"/>
      <c r="H37" s="2013"/>
      <c r="I37" s="2013"/>
      <c r="J37" s="2013"/>
      <c r="K37" s="4468"/>
      <c r="L37" s="2013"/>
      <c r="M37" s="2013"/>
      <c r="N37" s="2013"/>
      <c r="O37" s="5720"/>
      <c r="P37" s="2013"/>
      <c r="Q37" s="2013"/>
      <c r="R37" s="2013"/>
      <c r="S37" s="2013"/>
      <c r="T37" s="2013"/>
      <c r="U37" s="2013"/>
      <c r="V37" s="2013"/>
      <c r="W37" s="2013"/>
      <c r="X37" s="2013"/>
      <c r="Y37" s="2013"/>
      <c r="Z37" s="2013"/>
      <c r="AA37" s="2013"/>
      <c r="AB37" s="2013"/>
      <c r="AC37" s="2013"/>
      <c r="AD37" s="2013"/>
      <c r="AE37" s="2013"/>
      <c r="AF37" s="2013"/>
      <c r="AG37" s="2013"/>
      <c r="AH37" s="2013"/>
      <c r="AI37" s="2013"/>
      <c r="AJ37" s="2013"/>
      <c r="AK37" s="2013"/>
      <c r="AL37" s="253"/>
      <c r="AM37" s="1323" t="s">
        <v>5678</v>
      </c>
      <c r="AN37" s="253"/>
      <c r="AO37" s="2013"/>
      <c r="AP37" s="253"/>
      <c r="AQ37" s="253"/>
      <c r="AR37" s="658"/>
      <c r="AS37" s="658"/>
      <c r="AT37" s="658"/>
      <c r="AU37" s="658"/>
      <c r="AV37" s="658"/>
      <c r="AW37" s="658"/>
      <c r="AX37" s="658"/>
      <c r="AY37" s="658"/>
      <c r="AZ37" s="658"/>
      <c r="BA37" s="658"/>
      <c r="BB37"/>
      <c r="BC37"/>
    </row>
    <row r="38" spans="1:55" s="815" customFormat="1" ht="16.5" customHeight="1">
      <c r="A38" s="2013"/>
      <c r="B38" s="1888">
        <v>3</v>
      </c>
      <c r="C38" s="1890" t="s">
        <v>588</v>
      </c>
      <c r="D38" s="1897" t="s">
        <v>336</v>
      </c>
      <c r="E38" s="1887"/>
      <c r="F38" s="1887"/>
      <c r="G38" s="1887"/>
      <c r="H38" s="1258" t="s">
        <v>2443</v>
      </c>
      <c r="I38" s="7445" t="str">
        <f>B38&amp;"a"</f>
        <v>3a</v>
      </c>
      <c r="J38" s="10914"/>
      <c r="K38" s="7873"/>
      <c r="L38" s="7585"/>
      <c r="M38" s="7585"/>
      <c r="N38" s="7585"/>
      <c r="O38" s="2013"/>
      <c r="P38" s="2551" t="s">
        <v>5680</v>
      </c>
      <c r="Q38" s="2013"/>
      <c r="R38" s="2013"/>
      <c r="S38" s="2013"/>
      <c r="T38" s="2013"/>
      <c r="U38" s="2013"/>
      <c r="V38" s="2013"/>
      <c r="W38" s="2013"/>
      <c r="X38" s="2013"/>
      <c r="Y38" s="2013"/>
      <c r="Z38" s="2013"/>
      <c r="AA38" s="2013"/>
      <c r="AB38" s="2013"/>
      <c r="AC38" s="2013"/>
      <c r="AD38" s="2013"/>
      <c r="AE38" s="2013"/>
      <c r="AF38" s="2013"/>
      <c r="AG38" s="2013"/>
      <c r="AH38" s="2013"/>
      <c r="AI38" s="2013"/>
      <c r="AJ38" s="2013"/>
      <c r="AK38" s="2013"/>
      <c r="AL38" s="253"/>
      <c r="AM38" s="1323" t="s">
        <v>5679</v>
      </c>
      <c r="AN38" s="253"/>
      <c r="AO38" s="2013"/>
      <c r="AP38" s="253"/>
      <c r="AQ38" s="5765" t="b">
        <f>AND($K$38&lt;&gt;"",$K$38&lt;&gt;0)</f>
        <v>0</v>
      </c>
      <c r="AR38" s="658"/>
      <c r="AS38" s="658"/>
      <c r="AT38" s="658"/>
      <c r="AU38" s="658"/>
      <c r="AV38" s="658"/>
      <c r="AW38" s="658"/>
      <c r="AX38" s="658"/>
      <c r="AY38" s="658"/>
      <c r="AZ38" s="658"/>
      <c r="BA38" s="658"/>
      <c r="BB38"/>
      <c r="BC38"/>
    </row>
    <row r="39" spans="1:55" s="815" customFormat="1" ht="16.5" customHeight="1">
      <c r="A39" s="2013"/>
      <c r="B39" s="2551" t="s">
        <v>5649</v>
      </c>
      <c r="C39" s="2013"/>
      <c r="D39" s="2013"/>
      <c r="E39" s="2013"/>
      <c r="F39" s="2013"/>
      <c r="G39" s="2013"/>
      <c r="H39" s="2013"/>
      <c r="I39" s="2013"/>
      <c r="J39" s="2013"/>
      <c r="K39" s="4468"/>
      <c r="L39" s="2013"/>
      <c r="M39" s="2013"/>
      <c r="N39" s="2013"/>
      <c r="O39" s="5720"/>
      <c r="P39" s="2013"/>
      <c r="Q39" s="2013"/>
      <c r="R39" s="2013"/>
      <c r="S39" s="2013"/>
      <c r="T39" s="2013"/>
      <c r="U39" s="2013"/>
      <c r="V39" s="2013"/>
      <c r="W39" s="2013"/>
      <c r="X39" s="2013"/>
      <c r="Y39" s="2013"/>
      <c r="Z39" s="2013"/>
      <c r="AA39" s="2013"/>
      <c r="AB39" s="2013"/>
      <c r="AC39" s="2013"/>
      <c r="AD39" s="2013"/>
      <c r="AE39" s="2013"/>
      <c r="AF39" s="2013"/>
      <c r="AG39" s="2013"/>
      <c r="AH39" s="2013"/>
      <c r="AI39" s="2013"/>
      <c r="AJ39" s="2013"/>
      <c r="AK39" s="2013"/>
      <c r="AL39" s="253"/>
      <c r="AM39" s="253"/>
      <c r="AN39" s="253"/>
      <c r="AO39" s="2013"/>
      <c r="AP39" s="253"/>
      <c r="AQ39" s="253"/>
      <c r="AR39" s="658"/>
      <c r="AS39" s="658"/>
      <c r="AT39" s="658"/>
      <c r="AU39" s="658"/>
      <c r="AV39" s="658"/>
      <c r="AW39" s="658"/>
      <c r="AX39" s="658"/>
      <c r="AY39" s="658"/>
      <c r="AZ39" s="658"/>
      <c r="BA39" s="658"/>
      <c r="BB39"/>
      <c r="BC39"/>
    </row>
    <row r="40" spans="1:55" s="815" customFormat="1" ht="16.5" customHeight="1">
      <c r="A40" s="2013"/>
      <c r="B40" s="1874">
        <v>7</v>
      </c>
      <c r="C40" s="1890"/>
      <c r="D40" s="1897" t="s">
        <v>642</v>
      </c>
      <c r="E40" s="1876"/>
      <c r="F40" s="1876"/>
      <c r="G40" s="1876"/>
      <c r="H40" s="1876"/>
      <c r="I40" s="1876"/>
      <c r="J40" s="1876"/>
      <c r="K40" s="1876"/>
      <c r="L40" s="1876"/>
      <c r="M40" s="1876"/>
      <c r="N40" s="1876"/>
      <c r="O40" s="1876"/>
      <c r="P40" s="1876"/>
      <c r="Q40" s="1876"/>
      <c r="R40" s="1876"/>
      <c r="S40" s="1876"/>
      <c r="T40" s="1876"/>
      <c r="U40" s="1876"/>
      <c r="V40" s="1890"/>
      <c r="W40" s="1890"/>
      <c r="X40" s="1890"/>
      <c r="Y40" s="1258" t="s">
        <v>643</v>
      </c>
      <c r="Z40" s="7516"/>
      <c r="AA40" s="8438"/>
      <c r="AB40" s="1258"/>
      <c r="AC40" s="10874">
        <f>B40</f>
        <v>7</v>
      </c>
      <c r="AD40" s="10875"/>
      <c r="AE40" s="10873"/>
      <c r="AF40" s="10873"/>
      <c r="AG40" s="10873"/>
      <c r="AH40" s="10873"/>
      <c r="AI40" s="10873"/>
      <c r="AJ40" s="10873"/>
      <c r="AK40" s="2013"/>
      <c r="AL40" s="253"/>
      <c r="AM40" s="7861" t="s">
        <v>5686</v>
      </c>
      <c r="AN40" s="7861"/>
      <c r="AO40" s="2013"/>
      <c r="AP40" s="253"/>
      <c r="AQ40" s="253"/>
      <c r="AR40" s="658"/>
      <c r="AS40" s="658"/>
      <c r="AT40" s="658"/>
      <c r="AU40" s="658"/>
      <c r="AV40" s="658"/>
      <c r="AW40" s="658"/>
      <c r="AX40" s="658"/>
      <c r="AY40" s="658"/>
      <c r="AZ40" s="658"/>
      <c r="BA40" s="658"/>
      <c r="BB40"/>
      <c r="BC40"/>
    </row>
    <row r="41" spans="1:55" s="815" customFormat="1" ht="14.25" customHeight="1">
      <c r="A41" s="2013"/>
      <c r="B41" s="2551" t="s">
        <v>5685</v>
      </c>
      <c r="C41" s="2013"/>
      <c r="D41" s="2013"/>
      <c r="E41" s="2013"/>
      <c r="F41" s="2013"/>
      <c r="G41" s="2013"/>
      <c r="H41" s="2013"/>
      <c r="I41" s="2013"/>
      <c r="J41" s="2013"/>
      <c r="K41" s="4468"/>
      <c r="L41" s="2013"/>
      <c r="M41" s="2013"/>
      <c r="N41" s="2013"/>
      <c r="O41" s="5720"/>
      <c r="P41" s="2013"/>
      <c r="Q41" s="2013"/>
      <c r="R41" s="2013"/>
      <c r="S41" s="2013"/>
      <c r="T41" s="2013"/>
      <c r="U41" s="2013"/>
      <c r="V41" s="2013"/>
      <c r="W41" s="2013"/>
      <c r="X41" s="2013"/>
      <c r="Y41" s="2013"/>
      <c r="Z41" s="2013"/>
      <c r="AA41" s="2013"/>
      <c r="AB41" s="2013"/>
      <c r="AC41" s="2013"/>
      <c r="AD41" s="2013"/>
      <c r="AE41" s="2013"/>
      <c r="AF41" s="2013"/>
      <c r="AG41" s="2013"/>
      <c r="AH41" s="2013"/>
      <c r="AI41" s="2013"/>
      <c r="AJ41" s="2013"/>
      <c r="AK41" s="2013"/>
      <c r="AL41" s="253"/>
      <c r="AM41" s="7861"/>
      <c r="AN41" s="7861"/>
      <c r="AO41" s="2013"/>
      <c r="AP41" s="253"/>
      <c r="AQ41" s="253"/>
      <c r="AR41" s="658"/>
      <c r="AS41" s="658"/>
      <c r="AT41" s="658"/>
      <c r="AU41" s="658"/>
      <c r="AV41" s="658"/>
      <c r="AW41" s="658"/>
      <c r="AX41" s="658"/>
      <c r="AY41" s="658"/>
      <c r="AZ41" s="658"/>
      <c r="BA41" s="658"/>
      <c r="BB41"/>
      <c r="BC41"/>
    </row>
    <row r="42" spans="1:55" s="815" customFormat="1" ht="16.5" customHeight="1">
      <c r="A42" s="2013"/>
      <c r="B42" s="1874">
        <v>15</v>
      </c>
      <c r="C42" s="1890"/>
      <c r="D42" s="1915" t="s">
        <v>5664</v>
      </c>
      <c r="E42" s="1876"/>
      <c r="F42" s="1876"/>
      <c r="G42" s="1876"/>
      <c r="H42" s="1876"/>
      <c r="I42" s="1876"/>
      <c r="J42" s="1876"/>
      <c r="K42" s="1876"/>
      <c r="L42" s="1876"/>
      <c r="M42" s="1876"/>
      <c r="N42" s="1876"/>
      <c r="O42" s="1915" t="s">
        <v>656</v>
      </c>
      <c r="P42" s="1876"/>
      <c r="Q42" s="1876"/>
      <c r="R42" s="1876"/>
      <c r="S42" s="1876"/>
      <c r="T42" s="1876"/>
      <c r="U42" s="1876"/>
      <c r="V42" s="1890"/>
      <c r="W42" s="1890"/>
      <c r="X42" s="1890"/>
      <c r="Y42" s="1890"/>
      <c r="Z42" s="1890"/>
      <c r="AA42" s="1890"/>
      <c r="AB42" s="1258" t="s">
        <v>643</v>
      </c>
      <c r="AC42" s="10874">
        <f>B42</f>
        <v>15</v>
      </c>
      <c r="AD42" s="10875"/>
      <c r="AE42" s="10873"/>
      <c r="AF42" s="10873"/>
      <c r="AG42" s="10873"/>
      <c r="AH42" s="10873"/>
      <c r="AI42" s="10873"/>
      <c r="AJ42" s="10873"/>
      <c r="AK42" s="2013"/>
      <c r="AL42" s="253"/>
      <c r="AM42" s="7861"/>
      <c r="AN42" s="7861"/>
      <c r="AO42" s="2013"/>
      <c r="AP42" s="253"/>
      <c r="AQ42" s="253"/>
      <c r="AR42" s="658"/>
      <c r="AS42" s="658"/>
      <c r="AT42" s="658"/>
      <c r="AU42" s="658"/>
      <c r="AV42" s="658"/>
      <c r="AW42" s="658"/>
      <c r="AX42" s="658"/>
      <c r="AY42" s="658"/>
      <c r="AZ42" s="658"/>
      <c r="BA42" s="658"/>
      <c r="BB42"/>
      <c r="BC42"/>
    </row>
    <row r="43" spans="1:55" s="815" customFormat="1" ht="16.5" customHeight="1">
      <c r="A43" s="2013"/>
      <c r="B43" s="2013"/>
      <c r="C43" s="2013"/>
      <c r="D43" s="2013"/>
      <c r="E43" s="2013"/>
      <c r="F43" s="2013"/>
      <c r="G43" s="2013"/>
      <c r="H43" s="2013"/>
      <c r="I43" s="2013"/>
      <c r="J43" s="2013"/>
      <c r="K43" s="4468"/>
      <c r="L43" s="2013"/>
      <c r="M43" s="2013"/>
      <c r="N43" s="2013"/>
      <c r="O43" s="5720"/>
      <c r="P43" s="2013"/>
      <c r="Q43" s="2013"/>
      <c r="R43" s="2013"/>
      <c r="S43" s="2013"/>
      <c r="T43" s="2013"/>
      <c r="U43" s="2013"/>
      <c r="V43" s="2013"/>
      <c r="W43" s="2013"/>
      <c r="X43" s="2013"/>
      <c r="Y43" s="2013"/>
      <c r="Z43" s="2013"/>
      <c r="AA43" s="2013"/>
      <c r="AB43" s="2013"/>
      <c r="AC43" s="2013"/>
      <c r="AD43" s="2013"/>
      <c r="AE43" s="2013"/>
      <c r="AF43" s="2013"/>
      <c r="AG43" s="2013"/>
      <c r="AH43" s="2013"/>
      <c r="AI43" s="2013"/>
      <c r="AJ43" s="2013"/>
      <c r="AK43" s="2013"/>
      <c r="AL43" s="253"/>
      <c r="AM43" s="7861"/>
      <c r="AN43" s="7861"/>
      <c r="AO43" s="2013"/>
      <c r="AP43" s="253"/>
      <c r="AQ43" s="253"/>
      <c r="AR43" s="658"/>
      <c r="AS43" s="658"/>
      <c r="AT43" s="658"/>
      <c r="AU43" s="658"/>
      <c r="AV43" s="658"/>
      <c r="AW43" s="658"/>
      <c r="AX43" s="658"/>
      <c r="AY43" s="658"/>
      <c r="AZ43" s="658"/>
      <c r="BA43" s="658"/>
      <c r="BB43"/>
      <c r="BC43"/>
    </row>
    <row r="44" spans="1:55" s="815" customFormat="1" ht="16.5" customHeight="1">
      <c r="A44" s="2013"/>
      <c r="B44" s="5744" t="str">
        <f>"Schedule D ("&amp;LastYear&amp;")"</f>
        <v>Schedule D (2024)</v>
      </c>
      <c r="C44" s="2013"/>
      <c r="D44" s="2013"/>
      <c r="E44" s="2013"/>
      <c r="F44" s="2013"/>
      <c r="G44" s="2013"/>
      <c r="H44" s="2013"/>
      <c r="I44" s="2013"/>
      <c r="J44" s="2013"/>
      <c r="K44" s="4468"/>
      <c r="L44" s="2013"/>
      <c r="M44" s="2013"/>
      <c r="N44" s="2013"/>
      <c r="O44" s="5720"/>
      <c r="P44" s="2013"/>
      <c r="Q44" s="2013"/>
      <c r="R44" s="2013"/>
      <c r="S44" s="2013"/>
      <c r="T44" s="2013"/>
      <c r="U44" s="2013"/>
      <c r="V44" s="2013"/>
      <c r="W44" s="2013"/>
      <c r="X44" s="2013"/>
      <c r="Y44" s="2013"/>
      <c r="Z44" s="2013"/>
      <c r="AA44" s="2013"/>
      <c r="AB44" s="2013"/>
      <c r="AC44" s="2013"/>
      <c r="AD44" s="2013"/>
      <c r="AE44" s="2013"/>
      <c r="AF44" s="2013"/>
      <c r="AG44" s="2013"/>
      <c r="AH44" s="2013"/>
      <c r="AI44" s="2013"/>
      <c r="AJ44" s="2013"/>
      <c r="AK44" s="2013"/>
      <c r="AL44" s="253"/>
      <c r="AM44" s="253"/>
      <c r="AN44" s="253"/>
      <c r="AO44" s="2013"/>
      <c r="AP44" s="253"/>
      <c r="AQ44" s="253"/>
      <c r="AR44" s="658"/>
      <c r="AS44" s="658"/>
      <c r="AT44" s="658"/>
      <c r="AU44" s="658"/>
      <c r="AV44" s="658"/>
      <c r="AW44" s="658"/>
      <c r="AX44" s="658"/>
      <c r="AY44" s="658"/>
      <c r="AZ44" s="658"/>
      <c r="BA44" s="658"/>
      <c r="BB44"/>
      <c r="BC44"/>
    </row>
    <row r="45" spans="1:55" s="815" customFormat="1" ht="16.5" customHeight="1">
      <c r="A45" s="2013"/>
      <c r="B45" s="2551" t="s">
        <v>5653</v>
      </c>
      <c r="C45" s="2013"/>
      <c r="D45" s="2013"/>
      <c r="E45" s="2013"/>
      <c r="F45" s="2013"/>
      <c r="G45" s="2013"/>
      <c r="H45" s="2013"/>
      <c r="I45" s="2013"/>
      <c r="J45" s="2013"/>
      <c r="K45" s="4468"/>
      <c r="L45" s="2013"/>
      <c r="M45" s="2013"/>
      <c r="N45" s="2013"/>
      <c r="O45" s="5720"/>
      <c r="P45" s="2013"/>
      <c r="Q45" s="2013"/>
      <c r="R45" s="2013"/>
      <c r="S45" s="2013"/>
      <c r="T45" s="2013"/>
      <c r="U45" s="2013"/>
      <c r="V45" s="2013"/>
      <c r="W45" s="2013"/>
      <c r="X45" s="2013"/>
      <c r="Y45" s="2013"/>
      <c r="Z45" s="2013"/>
      <c r="AA45" s="2013"/>
      <c r="AB45" s="2013"/>
      <c r="AC45" s="2013"/>
      <c r="AD45" s="2013"/>
      <c r="AE45" s="2013"/>
      <c r="AF45" s="2013"/>
      <c r="AG45" s="2013"/>
      <c r="AH45" s="2013"/>
      <c r="AI45" s="2013"/>
      <c r="AJ45" s="2013"/>
      <c r="AK45" s="2013"/>
      <c r="AL45" s="253"/>
      <c r="AM45" s="253"/>
      <c r="AN45" s="253"/>
      <c r="AO45" s="2013"/>
      <c r="AP45" s="253"/>
      <c r="AQ45" s="253"/>
      <c r="AR45" s="658"/>
      <c r="AS45" s="658"/>
      <c r="AT45" s="658"/>
      <c r="AU45" s="658"/>
      <c r="AV45" s="658"/>
      <c r="AW45" s="658"/>
      <c r="AX45" s="658"/>
      <c r="AY45" s="658"/>
      <c r="AZ45" s="658"/>
      <c r="BA45" s="658"/>
      <c r="BB45"/>
      <c r="BC45"/>
    </row>
    <row r="46" spans="1:55" s="815" customFormat="1" ht="16.5" customHeight="1">
      <c r="A46" s="2013"/>
      <c r="B46" s="1401">
        <v>7</v>
      </c>
      <c r="C46" s="10886" t="s">
        <v>5654</v>
      </c>
      <c r="D46" s="10886"/>
      <c r="E46" s="10886"/>
      <c r="F46" s="10886"/>
      <c r="G46" s="10886"/>
      <c r="H46" s="10886"/>
      <c r="I46" s="10886"/>
      <c r="J46" s="10886"/>
      <c r="K46" s="10887"/>
      <c r="L46" s="5745">
        <v>7</v>
      </c>
      <c r="M46" s="10873"/>
      <c r="N46" s="10873"/>
      <c r="O46" s="10873"/>
      <c r="P46" s="10873"/>
      <c r="Q46" s="10873"/>
      <c r="R46" s="2013"/>
      <c r="S46" s="1401">
        <v>15</v>
      </c>
      <c r="T46" s="10886" t="s">
        <v>5652</v>
      </c>
      <c r="U46" s="10886"/>
      <c r="V46" s="10886"/>
      <c r="W46" s="10886"/>
      <c r="X46" s="10886"/>
      <c r="Y46" s="10886"/>
      <c r="Z46" s="10886"/>
      <c r="AA46" s="10886"/>
      <c r="AB46" s="10886"/>
      <c r="AC46" s="10887"/>
      <c r="AD46" s="5745" t="s">
        <v>257</v>
      </c>
      <c r="AE46" s="10913"/>
      <c r="AF46" s="10873"/>
      <c r="AG46" s="10873"/>
      <c r="AH46" s="10873"/>
      <c r="AI46" s="10873"/>
      <c r="AJ46" s="10873"/>
      <c r="AK46" s="2013"/>
      <c r="AL46" s="253"/>
      <c r="AM46" s="10889" t="s">
        <v>5681</v>
      </c>
      <c r="AN46" s="10889"/>
      <c r="AO46" s="2013"/>
      <c r="AP46" s="253"/>
      <c r="AQ46" s="253"/>
      <c r="AR46" s="658"/>
      <c r="AS46" s="658"/>
      <c r="AT46" s="658"/>
      <c r="AU46" s="658"/>
      <c r="AV46" s="658"/>
      <c r="AW46" s="658"/>
      <c r="AX46" s="658"/>
      <c r="AY46" s="658"/>
      <c r="AZ46" s="658"/>
      <c r="BA46" s="658"/>
      <c r="BB46"/>
      <c r="BC46"/>
    </row>
    <row r="47" spans="1:55" s="815" customFormat="1" ht="4.5" customHeight="1">
      <c r="A47" s="2013"/>
      <c r="B47" s="2013"/>
      <c r="C47" s="2013" t="s">
        <v>4965</v>
      </c>
      <c r="D47" s="2013"/>
      <c r="E47" s="2013"/>
      <c r="F47" s="2013"/>
      <c r="G47" s="2013"/>
      <c r="H47" s="2013"/>
      <c r="I47" s="2013"/>
      <c r="J47" s="2013"/>
      <c r="K47" s="4468"/>
      <c r="L47" s="2013"/>
      <c r="M47" s="2013"/>
      <c r="N47" s="2013"/>
      <c r="O47" s="5720"/>
      <c r="P47" s="2013"/>
      <c r="Q47" s="2013"/>
      <c r="R47" s="2013"/>
      <c r="S47" s="2013"/>
      <c r="T47" s="2013"/>
      <c r="U47" s="2013"/>
      <c r="V47" s="2013"/>
      <c r="W47" s="2013"/>
      <c r="X47" s="2013"/>
      <c r="Y47" s="2013"/>
      <c r="Z47" s="2013"/>
      <c r="AA47" s="2013"/>
      <c r="AB47" s="2013"/>
      <c r="AC47" s="2013"/>
      <c r="AD47" s="2013"/>
      <c r="AE47" s="2013"/>
      <c r="AF47" s="2013"/>
      <c r="AG47" s="2013"/>
      <c r="AH47" s="2013"/>
      <c r="AI47" s="2013"/>
      <c r="AJ47" s="2013"/>
      <c r="AK47" s="2013"/>
      <c r="AL47" s="253"/>
      <c r="AM47" s="10889"/>
      <c r="AN47" s="10889"/>
      <c r="AO47" s="2013"/>
      <c r="AP47" s="253"/>
      <c r="AQ47" s="253"/>
      <c r="AR47" s="658"/>
      <c r="AS47" s="658"/>
      <c r="AT47" s="658"/>
      <c r="AU47" s="658"/>
      <c r="AV47" s="658"/>
      <c r="AW47" s="658"/>
      <c r="AX47" s="658"/>
      <c r="AY47" s="658"/>
      <c r="AZ47" s="658"/>
      <c r="BA47" s="658"/>
      <c r="BB47"/>
      <c r="BC47"/>
    </row>
    <row r="48" spans="1:55" s="815" customFormat="1" ht="16.5" customHeight="1">
      <c r="A48" s="2013"/>
      <c r="B48" s="5746" t="str">
        <f>IF(AQ48,"Note: Schedule D, lines 15 and 16 are both greater than zero.","")</f>
        <v/>
      </c>
      <c r="C48" s="2013"/>
      <c r="D48" s="2013"/>
      <c r="E48" s="2013"/>
      <c r="F48" s="2013"/>
      <c r="G48" s="2013"/>
      <c r="H48" s="2013"/>
      <c r="I48" s="2013"/>
      <c r="J48" s="2013"/>
      <c r="K48" s="4468"/>
      <c r="L48" s="2013"/>
      <c r="M48" s="2013"/>
      <c r="N48" s="2013"/>
      <c r="O48" s="5720"/>
      <c r="P48" s="2013"/>
      <c r="Q48" s="2013"/>
      <c r="R48" s="2013"/>
      <c r="S48" s="1401">
        <v>16</v>
      </c>
      <c r="T48" s="504" t="s">
        <v>5655</v>
      </c>
      <c r="U48" s="504"/>
      <c r="V48" s="504"/>
      <c r="W48" s="504"/>
      <c r="X48" s="504"/>
      <c r="Y48" s="504"/>
      <c r="Z48" s="504"/>
      <c r="AA48" s="504"/>
      <c r="AB48" s="504"/>
      <c r="AC48" s="4175"/>
      <c r="AD48" s="5745">
        <v>16</v>
      </c>
      <c r="AE48" s="7377" t="str">
        <f>IF(AND(M46="",AE46=""),"",SUM(ROUND(M46,0),ROUND(AE46,0)))</f>
        <v/>
      </c>
      <c r="AF48" s="7378"/>
      <c r="AG48" s="7378"/>
      <c r="AH48" s="7378"/>
      <c r="AI48" s="7378"/>
      <c r="AJ48" s="7378"/>
      <c r="AK48" s="2013"/>
      <c r="AL48" s="253"/>
      <c r="AM48" s="10889"/>
      <c r="AN48" s="10889"/>
      <c r="AO48" s="2013"/>
      <c r="AP48" s="253"/>
      <c r="AQ48" s="5767" t="b">
        <f>AND(M46&gt;0,AE46&gt;0)</f>
        <v>0</v>
      </c>
      <c r="AR48" s="658"/>
      <c r="AS48" s="658"/>
      <c r="AT48" s="658"/>
      <c r="AU48" s="658"/>
      <c r="AV48" s="658"/>
      <c r="AW48" s="658"/>
      <c r="AX48" s="658"/>
      <c r="AY48" s="658"/>
      <c r="AZ48" s="658"/>
      <c r="BA48" s="658"/>
      <c r="BB48"/>
      <c r="BC48"/>
    </row>
    <row r="49" spans="1:55" s="815" customFormat="1" ht="16.5" customHeight="1">
      <c r="A49" s="2013"/>
      <c r="B49" s="5746"/>
      <c r="C49" s="2013"/>
      <c r="D49" s="2013"/>
      <c r="E49" s="2013"/>
      <c r="F49" s="2013"/>
      <c r="G49" s="2013"/>
      <c r="H49" s="2013"/>
      <c r="I49" s="2013"/>
      <c r="J49" s="2013"/>
      <c r="K49" s="4468"/>
      <c r="L49" s="2013"/>
      <c r="M49" s="2013"/>
      <c r="N49" s="2013"/>
      <c r="O49" s="5720"/>
      <c r="P49" s="5720"/>
      <c r="Q49" s="5720"/>
      <c r="R49" s="5720"/>
      <c r="S49" s="5720"/>
      <c r="T49" s="5720"/>
      <c r="U49" s="5720"/>
      <c r="V49" s="5720"/>
      <c r="W49" s="5720"/>
      <c r="X49" s="5720"/>
      <c r="Y49" s="5720"/>
      <c r="Z49" s="5720"/>
      <c r="AA49" s="5720"/>
      <c r="AB49" s="5720"/>
      <c r="AC49" s="5720"/>
      <c r="AD49" s="5720"/>
      <c r="AE49" s="5720"/>
      <c r="AF49" s="5720"/>
      <c r="AG49" s="5720"/>
      <c r="AH49" s="5720"/>
      <c r="AI49" s="5720"/>
      <c r="AJ49" s="5720"/>
      <c r="AK49" s="2013"/>
      <c r="AL49" s="253"/>
      <c r="AM49" s="2201"/>
      <c r="AN49" s="253"/>
      <c r="AO49" s="2013"/>
      <c r="AP49" s="253"/>
      <c r="AQ49" s="253"/>
      <c r="AR49" s="658"/>
      <c r="AS49" s="658"/>
      <c r="AT49" s="658"/>
      <c r="AU49" s="658"/>
      <c r="AV49" s="658"/>
      <c r="AW49" s="658"/>
      <c r="AX49" s="658"/>
      <c r="AY49" s="658"/>
      <c r="AZ49" s="658"/>
      <c r="BA49" s="658"/>
      <c r="BB49"/>
      <c r="BC49"/>
    </row>
    <row r="50" spans="1:55" s="815" customFormat="1" ht="13.5" customHeight="1">
      <c r="A50" s="2013"/>
      <c r="B50" s="2984">
        <v>19</v>
      </c>
      <c r="C50" s="3098" t="s">
        <v>2187</v>
      </c>
      <c r="D50" s="3592"/>
      <c r="E50" s="3592"/>
      <c r="F50" s="3592"/>
      <c r="G50" s="3592"/>
      <c r="H50" s="3592"/>
      <c r="I50" s="3592"/>
      <c r="J50" s="3592"/>
      <c r="K50" s="3592"/>
      <c r="L50" s="3592"/>
      <c r="M50" s="3592"/>
      <c r="N50" s="3592"/>
      <c r="O50" s="3592"/>
      <c r="P50" s="3592"/>
      <c r="Q50" s="3592"/>
      <c r="R50" s="3592"/>
      <c r="S50" s="3592"/>
      <c r="T50" s="3592"/>
      <c r="U50" s="3592"/>
      <c r="V50" s="3592"/>
      <c r="W50" s="3592"/>
      <c r="X50" s="3592"/>
      <c r="Y50" s="3592"/>
      <c r="Z50" s="3592"/>
      <c r="AA50" s="3624"/>
      <c r="AB50" s="3624"/>
      <c r="AC50" s="5181"/>
      <c r="AD50" s="5762"/>
      <c r="AE50" s="10884"/>
      <c r="AF50" s="10885"/>
      <c r="AG50" s="10885"/>
      <c r="AH50" s="10885"/>
      <c r="AI50" s="10885"/>
      <c r="AJ50" s="10885"/>
      <c r="AK50" s="2013"/>
      <c r="AL50" s="253"/>
      <c r="AM50" s="253"/>
      <c r="AN50" s="253"/>
      <c r="AO50" s="2013"/>
      <c r="AP50" s="253"/>
      <c r="AQ50" s="253"/>
      <c r="AR50" s="658"/>
      <c r="AS50" s="658"/>
      <c r="AT50" s="658"/>
      <c r="AU50" s="658"/>
      <c r="AV50" s="658"/>
      <c r="AW50" s="658"/>
      <c r="AX50" s="658"/>
      <c r="AY50" s="658"/>
      <c r="AZ50" s="658"/>
      <c r="BA50" s="658"/>
      <c r="BB50"/>
      <c r="BC50"/>
    </row>
    <row r="51" spans="1:55" s="815" customFormat="1" ht="15.75">
      <c r="A51" s="2013"/>
      <c r="B51" s="2984"/>
      <c r="C51" s="3098" t="s">
        <v>2188</v>
      </c>
      <c r="D51" s="3592"/>
      <c r="E51" s="3592"/>
      <c r="F51" s="3592"/>
      <c r="G51" s="3592"/>
      <c r="H51" s="3592"/>
      <c r="I51" s="3592"/>
      <c r="J51" s="3592"/>
      <c r="K51" s="3592"/>
      <c r="L51" s="3592"/>
      <c r="M51" s="3592"/>
      <c r="N51" s="3592"/>
      <c r="O51" s="3592"/>
      <c r="P51" s="3592"/>
      <c r="Q51" s="3592"/>
      <c r="R51" s="3592"/>
      <c r="S51" s="3592"/>
      <c r="T51" s="3592"/>
      <c r="U51" s="3592"/>
      <c r="V51" s="3592"/>
      <c r="W51" s="3592"/>
      <c r="X51" s="3592"/>
      <c r="Y51" s="3592"/>
      <c r="Z51" s="3592"/>
      <c r="AA51" s="3624"/>
      <c r="AB51" s="2768"/>
      <c r="AC51" s="2768" t="s">
        <v>601</v>
      </c>
      <c r="AD51" s="5216">
        <v>19</v>
      </c>
      <c r="AE51" s="10873"/>
      <c r="AF51" s="10873"/>
      <c r="AG51" s="10873"/>
      <c r="AH51" s="10873"/>
      <c r="AI51" s="10873"/>
      <c r="AJ51" s="10873"/>
      <c r="AK51" s="2013"/>
      <c r="AL51" s="253"/>
      <c r="AM51" s="1323" t="s">
        <v>5682</v>
      </c>
      <c r="AN51" s="253"/>
      <c r="AO51" s="2013"/>
      <c r="AP51" s="253"/>
      <c r="AQ51" s="253"/>
      <c r="AR51" s="658"/>
      <c r="AS51" s="658"/>
      <c r="AT51" s="658"/>
      <c r="AU51" s="658"/>
      <c r="AV51" s="658"/>
      <c r="AW51" s="658"/>
      <c r="AX51" s="658"/>
      <c r="AY51" s="658"/>
      <c r="AZ51" s="658"/>
      <c r="BA51" s="658"/>
      <c r="BB51"/>
      <c r="BC51"/>
    </row>
    <row r="52" spans="1:55" s="815" customFormat="1" ht="16.5" customHeight="1">
      <c r="A52" s="2013"/>
      <c r="B52" s="2013"/>
      <c r="C52" s="2013"/>
      <c r="D52" s="2013"/>
      <c r="E52" s="2013"/>
      <c r="F52" s="2013"/>
      <c r="G52" s="2013"/>
      <c r="H52" s="2013"/>
      <c r="I52" s="2013"/>
      <c r="J52" s="2013"/>
      <c r="K52" s="4468"/>
      <c r="L52" s="2013"/>
      <c r="M52" s="2013"/>
      <c r="N52" s="2013"/>
      <c r="O52" s="5720"/>
      <c r="P52" s="2013"/>
      <c r="Q52" s="2013"/>
      <c r="R52" s="2013"/>
      <c r="S52" s="2013"/>
      <c r="T52" s="2013"/>
      <c r="U52" s="2013"/>
      <c r="V52" s="2013"/>
      <c r="W52" s="2013"/>
      <c r="X52" s="2013"/>
      <c r="Y52" s="2013"/>
      <c r="Z52" s="2013"/>
      <c r="AA52" s="2013"/>
      <c r="AB52" s="2013"/>
      <c r="AC52" s="2013"/>
      <c r="AD52" s="2013"/>
      <c r="AE52" s="2013"/>
      <c r="AF52" s="2013"/>
      <c r="AG52" s="2013"/>
      <c r="AH52" s="2013"/>
      <c r="AI52" s="2013"/>
      <c r="AJ52" s="2013"/>
      <c r="AK52" s="2013"/>
      <c r="AL52" s="253"/>
      <c r="AM52" s="253"/>
      <c r="AN52" s="253"/>
      <c r="AO52" s="2013"/>
      <c r="AP52" s="253"/>
      <c r="AQ52" s="253"/>
      <c r="AR52" s="658"/>
      <c r="AS52" s="658"/>
      <c r="AT52" s="658"/>
      <c r="AU52" s="658"/>
      <c r="AV52" s="658"/>
      <c r="AW52" s="658"/>
      <c r="AX52" s="658"/>
      <c r="AY52" s="658"/>
      <c r="AZ52" s="658"/>
      <c r="BA52" s="658"/>
      <c r="BB52"/>
      <c r="BC52"/>
    </row>
    <row r="53" spans="1:55" s="815" customFormat="1" ht="16.5" customHeight="1">
      <c r="A53" s="2013"/>
      <c r="B53" s="5744" t="str">
        <f>"Qualified Dividends and Capital Gain Tax Worksheet—Line 16 ("&amp;LastYear&amp;")"</f>
        <v>Qualified Dividends and Capital Gain Tax Worksheet—Line 16 (2024)</v>
      </c>
      <c r="C53" s="2013"/>
      <c r="D53" s="2013"/>
      <c r="E53" s="2013"/>
      <c r="F53" s="2013"/>
      <c r="G53" s="2013"/>
      <c r="H53" s="2013"/>
      <c r="I53" s="2013"/>
      <c r="J53" s="2013"/>
      <c r="K53" s="4468"/>
      <c r="L53" s="2013"/>
      <c r="M53" s="2013"/>
      <c r="N53" s="2013"/>
      <c r="O53" s="5720"/>
      <c r="P53" s="2013"/>
      <c r="Q53" s="2013"/>
      <c r="R53" s="2013"/>
      <c r="S53" s="2013"/>
      <c r="T53" s="2013"/>
      <c r="U53" s="2013"/>
      <c r="V53" s="2013"/>
      <c r="W53" s="2013"/>
      <c r="X53" s="2013"/>
      <c r="Y53" s="2013"/>
      <c r="Z53" s="2013"/>
      <c r="AA53" s="2013"/>
      <c r="AB53" s="2013"/>
      <c r="AC53" s="2013"/>
      <c r="AD53" s="2013"/>
      <c r="AE53" s="2013"/>
      <c r="AF53" s="2013"/>
      <c r="AG53" s="2013"/>
      <c r="AH53" s="2013"/>
      <c r="AI53" s="2013"/>
      <c r="AJ53" s="2013"/>
      <c r="AK53" s="2013"/>
      <c r="AL53" s="253"/>
      <c r="AM53" s="253"/>
      <c r="AN53" s="253"/>
      <c r="AO53" s="2013"/>
      <c r="AP53" s="253"/>
      <c r="AQ53" s="253"/>
      <c r="AR53" s="658"/>
      <c r="AS53" s="658"/>
      <c r="AT53" s="658"/>
      <c r="AU53" s="658"/>
      <c r="AV53" s="658"/>
      <c r="AW53" s="658"/>
      <c r="AX53" s="658"/>
      <c r="AY53" s="658"/>
      <c r="AZ53" s="658"/>
      <c r="BA53" s="658"/>
      <c r="BB53"/>
      <c r="BC53"/>
    </row>
    <row r="54" spans="1:55" s="815" customFormat="1" ht="16.5" customHeight="1">
      <c r="A54" s="2013"/>
      <c r="B54" s="3340" t="s">
        <v>171</v>
      </c>
      <c r="C54" s="2769" t="s">
        <v>1402</v>
      </c>
      <c r="D54" s="2769"/>
      <c r="E54" s="2769"/>
      <c r="F54" s="2751"/>
      <c r="G54" s="2751"/>
      <c r="H54" s="2751"/>
      <c r="I54" s="2769"/>
      <c r="J54" s="2751"/>
      <c r="K54" s="2751"/>
      <c r="L54" s="2751"/>
      <c r="M54" s="2075" t="s">
        <v>5663</v>
      </c>
      <c r="N54" s="2994" t="s">
        <v>171</v>
      </c>
      <c r="O54" s="10873"/>
      <c r="P54" s="10873"/>
      <c r="Q54" s="10873"/>
      <c r="R54" s="10873"/>
      <c r="S54" s="2013"/>
      <c r="T54" s="2013"/>
      <c r="U54" s="2013"/>
      <c r="V54" s="2013"/>
      <c r="W54" s="2013"/>
      <c r="X54" s="2013"/>
      <c r="Y54" s="2013"/>
      <c r="Z54" s="2013"/>
      <c r="AA54" s="2013"/>
      <c r="AB54" s="2013"/>
      <c r="AC54" s="2013"/>
      <c r="AD54" s="2013"/>
      <c r="AE54" s="2013"/>
      <c r="AF54" s="2013"/>
      <c r="AG54" s="2013"/>
      <c r="AH54" s="2013"/>
      <c r="AI54" s="2013"/>
      <c r="AJ54" s="2013"/>
      <c r="AK54" s="2013"/>
      <c r="AL54" s="253"/>
      <c r="AM54" s="1323" t="s">
        <v>5688</v>
      </c>
      <c r="AN54" s="253"/>
      <c r="AO54" s="2013"/>
      <c r="AP54" s="253"/>
      <c r="AQ54" s="253"/>
      <c r="AR54" s="658"/>
      <c r="AS54" s="658"/>
      <c r="AT54" s="658"/>
      <c r="AU54" s="658"/>
      <c r="AV54" s="658"/>
      <c r="AW54" s="658"/>
      <c r="AX54" s="658"/>
      <c r="AY54" s="658"/>
      <c r="AZ54" s="658"/>
      <c r="BA54" s="658"/>
      <c r="BB54"/>
      <c r="BC54"/>
    </row>
    <row r="55" spans="1:55" s="815" customFormat="1" ht="9" customHeight="1">
      <c r="A55" s="2013"/>
      <c r="B55" s="2013"/>
      <c r="C55" s="2013"/>
      <c r="D55" s="2013"/>
      <c r="E55" s="2013"/>
      <c r="F55" s="2013"/>
      <c r="G55" s="2013"/>
      <c r="H55" s="2013"/>
      <c r="I55" s="2013"/>
      <c r="J55" s="2013"/>
      <c r="K55" s="4468"/>
      <c r="L55" s="2013"/>
      <c r="M55" s="2013"/>
      <c r="N55" s="2013"/>
      <c r="O55" s="5720"/>
      <c r="P55" s="2013"/>
      <c r="Q55" s="2013"/>
      <c r="R55" s="2013"/>
      <c r="S55" s="2013"/>
      <c r="T55" s="2013"/>
      <c r="U55" s="2013"/>
      <c r="V55" s="2013"/>
      <c r="W55" s="2013"/>
      <c r="X55" s="2013"/>
      <c r="Y55" s="2013"/>
      <c r="Z55" s="2013"/>
      <c r="AA55" s="2013"/>
      <c r="AB55" s="2013"/>
      <c r="AC55" s="2013"/>
      <c r="AD55" s="2013"/>
      <c r="AE55" s="2013"/>
      <c r="AF55" s="2013"/>
      <c r="AG55" s="2013"/>
      <c r="AH55" s="2013"/>
      <c r="AI55" s="2013"/>
      <c r="AJ55" s="2013"/>
      <c r="AK55" s="2013"/>
      <c r="AL55" s="253"/>
      <c r="AM55" s="253"/>
      <c r="AN55" s="253"/>
      <c r="AO55" s="2013"/>
      <c r="AP55" s="253"/>
      <c r="AQ55" s="253"/>
      <c r="AR55" s="658"/>
      <c r="AS55" s="658"/>
      <c r="AT55" s="658"/>
      <c r="AU55" s="658"/>
      <c r="AV55" s="658"/>
      <c r="AW55" s="658"/>
      <c r="AX55" s="658"/>
      <c r="AY55" s="658"/>
      <c r="AZ55" s="658"/>
      <c r="BA55" s="658"/>
      <c r="BB55"/>
      <c r="BC55"/>
    </row>
    <row r="56" spans="1:55" s="815" customFormat="1" ht="16.5" customHeight="1">
      <c r="A56" s="2013"/>
      <c r="B56" s="3340" t="s">
        <v>184</v>
      </c>
      <c r="C56" s="2769" t="s">
        <v>5665</v>
      </c>
      <c r="D56" s="2769"/>
      <c r="E56" s="2770"/>
      <c r="F56" s="2770"/>
      <c r="G56" s="2770"/>
      <c r="H56" s="2751"/>
      <c r="I56" s="2770" t="s">
        <v>4289</v>
      </c>
      <c r="J56" s="2770"/>
      <c r="K56" s="2770"/>
      <c r="L56" s="2751"/>
      <c r="M56" s="3222" t="s">
        <v>5657</v>
      </c>
      <c r="N56" s="5763" t="s">
        <v>184</v>
      </c>
      <c r="O56" s="10873"/>
      <c r="P56" s="10873"/>
      <c r="Q56" s="10873"/>
      <c r="R56" s="10873"/>
      <c r="S56" s="2013"/>
      <c r="T56" s="2013"/>
      <c r="U56" s="2013"/>
      <c r="V56" s="2013"/>
      <c r="W56" s="2013"/>
      <c r="X56" s="2013"/>
      <c r="Y56" s="2013"/>
      <c r="Z56" s="2013"/>
      <c r="AA56" s="2013"/>
      <c r="AB56" s="2013"/>
      <c r="AC56" s="2013"/>
      <c r="AD56" s="2013"/>
      <c r="AE56" s="2013"/>
      <c r="AF56" s="2013"/>
      <c r="AG56" s="2013"/>
      <c r="AH56" s="2013"/>
      <c r="AI56" s="2013"/>
      <c r="AJ56" s="2013"/>
      <c r="AK56" s="2013"/>
      <c r="AL56" s="253"/>
      <c r="AM56" s="1323" t="s">
        <v>5683</v>
      </c>
      <c r="AN56" s="253"/>
      <c r="AO56" s="2013"/>
      <c r="AP56" s="253"/>
      <c r="AQ56" s="253"/>
      <c r="AR56" s="658"/>
      <c r="AS56" s="658"/>
      <c r="AT56" s="658"/>
      <c r="AU56" s="658"/>
      <c r="AV56" s="658"/>
      <c r="AW56" s="658"/>
      <c r="AX56" s="658"/>
      <c r="AY56" s="658"/>
      <c r="AZ56" s="658"/>
      <c r="BA56" s="658"/>
      <c r="BB56"/>
      <c r="BC56"/>
    </row>
    <row r="57" spans="1:55" s="815" customFormat="1" ht="16.5" customHeight="1">
      <c r="A57" s="2013"/>
      <c r="B57" s="2013"/>
      <c r="C57" s="2013"/>
      <c r="D57" s="2013"/>
      <c r="E57" s="2013"/>
      <c r="F57" s="2013"/>
      <c r="G57" s="2013"/>
      <c r="H57" s="2013"/>
      <c r="I57" s="2013"/>
      <c r="J57" s="2013"/>
      <c r="K57" s="4468"/>
      <c r="L57" s="2013"/>
      <c r="M57" s="2013"/>
      <c r="N57" s="2013"/>
      <c r="O57" s="2013"/>
      <c r="P57" s="2013"/>
      <c r="Q57" s="2013"/>
      <c r="R57" s="2013"/>
      <c r="S57" s="2013"/>
      <c r="T57" s="2013"/>
      <c r="U57" s="5764" t="str">
        <f>IF($AQ$58,"Include amounts from either the QDCG Tax Worksheet OR","")</f>
        <v/>
      </c>
      <c r="V57" s="2013"/>
      <c r="W57" s="2013"/>
      <c r="X57" s="2013"/>
      <c r="Y57" s="2013"/>
      <c r="Z57" s="2013"/>
      <c r="AA57" s="2013"/>
      <c r="AB57" s="2013"/>
      <c r="AC57" s="2013"/>
      <c r="AD57" s="2013"/>
      <c r="AE57" s="2013"/>
      <c r="AF57" s="2013"/>
      <c r="AG57" s="2013"/>
      <c r="AH57" s="2013"/>
      <c r="AI57" s="2013"/>
      <c r="AJ57" s="2013"/>
      <c r="AK57" s="2013"/>
      <c r="AL57" s="253"/>
      <c r="AM57" s="253"/>
      <c r="AN57" s="253"/>
      <c r="AO57" s="2013"/>
      <c r="AP57" s="253"/>
      <c r="AQ57" s="253"/>
      <c r="AR57" s="658"/>
      <c r="AS57" s="658"/>
      <c r="AT57" s="658"/>
      <c r="AU57" s="658"/>
      <c r="AV57" s="658"/>
      <c r="AW57" s="658"/>
      <c r="AX57" s="658"/>
      <c r="AY57" s="658"/>
      <c r="AZ57" s="658"/>
      <c r="BA57" s="658"/>
      <c r="BB57"/>
      <c r="BC57"/>
    </row>
    <row r="58" spans="1:55" s="815" customFormat="1" ht="16.5" customHeight="1">
      <c r="A58" s="2013"/>
      <c r="B58" s="5744" t="str">
        <f>"Schedule D Tax Worksheet ("&amp;LastYear&amp;")"</f>
        <v>Schedule D Tax Worksheet (2024)</v>
      </c>
      <c r="C58" s="2013"/>
      <c r="D58" s="2013"/>
      <c r="E58" s="2013"/>
      <c r="F58" s="2013"/>
      <c r="G58" s="2013"/>
      <c r="H58" s="2013"/>
      <c r="I58" s="2013"/>
      <c r="J58" s="2013"/>
      <c r="K58" s="4468"/>
      <c r="L58" s="2013"/>
      <c r="M58" s="2013"/>
      <c r="N58" s="2013"/>
      <c r="O58" s="5720"/>
      <c r="P58" s="2013"/>
      <c r="Q58" s="2013"/>
      <c r="R58" s="2013"/>
      <c r="S58" s="2013"/>
      <c r="T58" s="2013"/>
      <c r="U58" s="5764" t="str">
        <f>IF($AQ$58,"from the Sch. D Tax Worksheet. But not both.","")</f>
        <v/>
      </c>
      <c r="V58" s="2013"/>
      <c r="W58" s="2013"/>
      <c r="X58" s="2013"/>
      <c r="Y58" s="2013"/>
      <c r="Z58" s="2013"/>
      <c r="AA58" s="2013"/>
      <c r="AB58" s="2013"/>
      <c r="AC58" s="2013"/>
      <c r="AD58" s="2013"/>
      <c r="AE58" s="2013"/>
      <c r="AF58" s="2013"/>
      <c r="AG58" s="2013"/>
      <c r="AH58" s="2013"/>
      <c r="AI58" s="2013"/>
      <c r="AJ58" s="2013"/>
      <c r="AK58" s="2013"/>
      <c r="AL58" s="253"/>
      <c r="AM58" s="724"/>
      <c r="AN58" s="253"/>
      <c r="AO58" s="2013"/>
      <c r="AP58" s="253"/>
      <c r="AQ58" s="5768" t="b">
        <f>AND(OR($O$54&lt;&gt;"",$O$56&lt;&gt;""),OR($O$59&lt;&gt;"",$O$65&lt;&gt;""))</f>
        <v>0</v>
      </c>
      <c r="AR58" s="658"/>
      <c r="AS58" s="658"/>
      <c r="AT58" s="658"/>
      <c r="AU58" s="658"/>
      <c r="AV58" s="658"/>
      <c r="AW58" s="658"/>
      <c r="AX58" s="658"/>
      <c r="AY58" s="658"/>
      <c r="AZ58" s="658"/>
      <c r="BA58" s="658"/>
      <c r="BB58"/>
      <c r="BC58"/>
    </row>
    <row r="59" spans="1:55" s="815" customFormat="1" ht="16.5" customHeight="1">
      <c r="A59" s="2013"/>
      <c r="B59" s="3340" t="s">
        <v>184</v>
      </c>
      <c r="C59" s="2769" t="s">
        <v>5667</v>
      </c>
      <c r="D59" s="2769"/>
      <c r="E59" s="2769"/>
      <c r="F59" s="2751"/>
      <c r="G59" s="2751"/>
      <c r="H59" s="2751"/>
      <c r="I59" s="2770" t="s">
        <v>4289</v>
      </c>
      <c r="J59" s="2769"/>
      <c r="K59" s="2751"/>
      <c r="L59" s="2751"/>
      <c r="M59" s="2075" t="s">
        <v>5663</v>
      </c>
      <c r="N59" s="2994" t="s">
        <v>184</v>
      </c>
      <c r="O59" s="10873"/>
      <c r="P59" s="10873"/>
      <c r="Q59" s="10873"/>
      <c r="R59" s="10873"/>
      <c r="S59" s="2013"/>
      <c r="T59" s="2013"/>
      <c r="U59" s="2013"/>
      <c r="V59" s="2013"/>
      <c r="W59" s="2013"/>
      <c r="X59" s="2013"/>
      <c r="Y59" s="2013"/>
      <c r="Z59" s="2013"/>
      <c r="AA59" s="2013"/>
      <c r="AB59" s="2013"/>
      <c r="AC59" s="2013"/>
      <c r="AD59" s="2013"/>
      <c r="AE59" s="2013"/>
      <c r="AF59" s="2013"/>
      <c r="AG59" s="2013"/>
      <c r="AH59" s="2013"/>
      <c r="AI59" s="2013"/>
      <c r="AJ59" s="2013"/>
      <c r="AK59" s="2013"/>
      <c r="AL59" s="253"/>
      <c r="AM59" s="1323" t="s">
        <v>5684</v>
      </c>
      <c r="AN59" s="253"/>
      <c r="AO59" s="2013"/>
      <c r="AP59" s="253"/>
      <c r="AQ59" s="253"/>
      <c r="AR59" s="658"/>
      <c r="AS59" s="658"/>
      <c r="AT59" s="658"/>
      <c r="AU59" s="658"/>
      <c r="AV59" s="658"/>
      <c r="AW59" s="658"/>
      <c r="AX59" s="658"/>
      <c r="AY59" s="658"/>
      <c r="AZ59" s="658"/>
      <c r="BA59" s="658"/>
      <c r="BB59"/>
      <c r="BC59"/>
    </row>
    <row r="60" spans="1:55" s="815" customFormat="1" ht="9" customHeight="1">
      <c r="A60" s="2013"/>
      <c r="B60" s="2013"/>
      <c r="C60" s="2013"/>
      <c r="D60" s="2013"/>
      <c r="E60" s="2013"/>
      <c r="F60" s="2013"/>
      <c r="G60" s="2013"/>
      <c r="H60" s="2013"/>
      <c r="I60" s="2013"/>
      <c r="J60" s="2013"/>
      <c r="K60" s="4468"/>
      <c r="L60" s="2013"/>
      <c r="M60" s="2013"/>
      <c r="N60" s="2013"/>
      <c r="O60" s="5720"/>
      <c r="P60" s="2013"/>
      <c r="Q60" s="2013"/>
      <c r="R60" s="2013"/>
      <c r="S60" s="2013"/>
      <c r="T60" s="2013"/>
      <c r="U60" s="2013"/>
      <c r="V60" s="2013"/>
      <c r="W60" s="2013"/>
      <c r="X60" s="2013"/>
      <c r="Y60" s="2013"/>
      <c r="Z60" s="2013"/>
      <c r="AA60" s="2013"/>
      <c r="AB60" s="2013"/>
      <c r="AC60" s="2013"/>
      <c r="AD60" s="2013"/>
      <c r="AE60" s="2013"/>
      <c r="AF60" s="2013"/>
      <c r="AG60" s="2013"/>
      <c r="AH60" s="2013"/>
      <c r="AI60" s="2013"/>
      <c r="AJ60" s="2013"/>
      <c r="AK60" s="2013"/>
      <c r="AL60" s="253"/>
      <c r="AM60" s="253"/>
      <c r="AN60" s="253"/>
      <c r="AO60" s="2013"/>
      <c r="AP60" s="253"/>
      <c r="AQ60" s="253"/>
      <c r="AR60" s="658"/>
      <c r="AS60" s="658"/>
      <c r="AT60" s="658"/>
      <c r="AU60" s="658"/>
      <c r="AV60" s="658"/>
      <c r="AW60" s="658"/>
      <c r="AX60" s="658"/>
      <c r="AY60" s="658"/>
      <c r="AZ60" s="658"/>
      <c r="BA60" s="658"/>
      <c r="BB60"/>
      <c r="BC60"/>
    </row>
    <row r="61" spans="1:55" s="815" customFormat="1" ht="16.5" customHeight="1">
      <c r="A61" s="2013"/>
      <c r="B61" s="3340" t="s">
        <v>210</v>
      </c>
      <c r="C61" s="2769" t="s">
        <v>1496</v>
      </c>
      <c r="D61" s="2769"/>
      <c r="E61" s="2770"/>
      <c r="F61" s="2770"/>
      <c r="G61" s="2770"/>
      <c r="H61" s="2770"/>
      <c r="I61" s="2770"/>
      <c r="J61" s="2770"/>
      <c r="K61" s="2751"/>
      <c r="L61" s="2751"/>
      <c r="M61" s="3222" t="s">
        <v>5657</v>
      </c>
      <c r="N61" s="5763" t="s">
        <v>210</v>
      </c>
      <c r="O61" s="10873"/>
      <c r="P61" s="10873"/>
      <c r="Q61" s="10873"/>
      <c r="R61" s="10873"/>
      <c r="S61" s="2013"/>
      <c r="T61" s="2013"/>
      <c r="U61" s="2013"/>
      <c r="V61" s="2013"/>
      <c r="W61" s="2013"/>
      <c r="X61" s="2013"/>
      <c r="Y61" s="2013"/>
      <c r="Z61" s="2013"/>
      <c r="AA61" s="2013"/>
      <c r="AB61" s="2013"/>
      <c r="AC61" s="2013"/>
      <c r="AD61" s="2013"/>
      <c r="AE61" s="2013"/>
      <c r="AF61" s="2013"/>
      <c r="AG61" s="2013"/>
      <c r="AH61" s="2013"/>
      <c r="AI61" s="2013"/>
      <c r="AJ61" s="2013"/>
      <c r="AK61" s="2013"/>
      <c r="AL61" s="253"/>
      <c r="AM61" s="1323" t="s">
        <v>5687</v>
      </c>
      <c r="AN61" s="253"/>
      <c r="AO61" s="2013"/>
      <c r="AP61" s="253"/>
      <c r="AQ61" s="253"/>
      <c r="AR61" s="658"/>
      <c r="AS61" s="658"/>
      <c r="AT61" s="658"/>
      <c r="AU61" s="658"/>
      <c r="AV61" s="658"/>
      <c r="AW61" s="658"/>
      <c r="AX61" s="658"/>
      <c r="AY61" s="658"/>
      <c r="AZ61" s="658"/>
      <c r="BA61" s="658"/>
      <c r="BB61"/>
      <c r="BC61"/>
    </row>
    <row r="62" spans="1:55" s="815" customFormat="1" ht="9" customHeight="1">
      <c r="A62" s="2013"/>
      <c r="B62" s="2013"/>
      <c r="C62" s="2013"/>
      <c r="D62" s="2013"/>
      <c r="E62" s="2013"/>
      <c r="F62" s="2013"/>
      <c r="G62" s="2013"/>
      <c r="H62" s="2013"/>
      <c r="I62" s="2013"/>
      <c r="J62" s="2013"/>
      <c r="K62" s="4468"/>
      <c r="L62" s="2013"/>
      <c r="M62" s="2013"/>
      <c r="N62" s="2013"/>
      <c r="O62" s="5720"/>
      <c r="P62" s="2013"/>
      <c r="Q62" s="2013"/>
      <c r="R62" s="2013"/>
      <c r="S62" s="2013"/>
      <c r="T62" s="2013"/>
      <c r="U62" s="2013"/>
      <c r="V62" s="2013"/>
      <c r="W62" s="2013"/>
      <c r="X62" s="2013"/>
      <c r="Y62" s="2013"/>
      <c r="Z62" s="2013"/>
      <c r="AA62" s="2013"/>
      <c r="AB62" s="2013"/>
      <c r="AC62" s="2013"/>
      <c r="AD62" s="2013"/>
      <c r="AE62" s="2013"/>
      <c r="AF62" s="2013"/>
      <c r="AG62" s="2013"/>
      <c r="AH62" s="2013"/>
      <c r="AI62" s="2013"/>
      <c r="AJ62" s="2013"/>
      <c r="AK62" s="2013"/>
      <c r="AL62" s="253"/>
      <c r="AM62" s="253"/>
      <c r="AN62" s="253"/>
      <c r="AO62" s="2013"/>
      <c r="AP62" s="253"/>
      <c r="AQ62" s="253"/>
      <c r="AR62" s="658"/>
      <c r="AS62" s="658"/>
      <c r="AT62" s="658"/>
      <c r="AU62" s="658"/>
      <c r="AV62" s="658"/>
      <c r="AW62" s="658"/>
      <c r="AX62" s="658"/>
      <c r="AY62" s="658"/>
      <c r="AZ62" s="658"/>
      <c r="BA62" s="658"/>
      <c r="BB62"/>
      <c r="BC62"/>
    </row>
    <row r="63" spans="1:55" s="815" customFormat="1" ht="16.5" customHeight="1">
      <c r="A63" s="2013"/>
      <c r="B63" s="3340" t="s">
        <v>1368</v>
      </c>
      <c r="C63" s="2769" t="s">
        <v>2272</v>
      </c>
      <c r="D63" s="2769"/>
      <c r="E63" s="2770"/>
      <c r="F63" s="2770"/>
      <c r="G63" s="2770"/>
      <c r="H63" s="2770"/>
      <c r="I63" s="2770"/>
      <c r="J63" s="2770"/>
      <c r="K63" s="2751"/>
      <c r="L63" s="2751"/>
      <c r="M63" s="3222" t="s">
        <v>5657</v>
      </c>
      <c r="N63" s="5763" t="s">
        <v>1368</v>
      </c>
      <c r="O63" s="10873"/>
      <c r="P63" s="10873"/>
      <c r="Q63" s="10873"/>
      <c r="R63" s="10873"/>
      <c r="S63" s="2013"/>
      <c r="T63" s="2013"/>
      <c r="U63" s="2013"/>
      <c r="V63" s="2013"/>
      <c r="W63" s="2013"/>
      <c r="X63" s="2013"/>
      <c r="Y63" s="2013"/>
      <c r="Z63" s="2013"/>
      <c r="AA63" s="2013"/>
      <c r="AB63" s="2013"/>
      <c r="AC63" s="2013"/>
      <c r="AD63" s="2013"/>
      <c r="AE63" s="2013"/>
      <c r="AF63" s="2013"/>
      <c r="AG63" s="2013"/>
      <c r="AH63" s="2013"/>
      <c r="AI63" s="2013"/>
      <c r="AJ63" s="2013"/>
      <c r="AK63" s="2013"/>
      <c r="AL63" s="253"/>
      <c r="AM63" s="1323" t="s">
        <v>5688</v>
      </c>
      <c r="AN63" s="253"/>
      <c r="AO63" s="2013"/>
      <c r="AP63" s="253"/>
      <c r="AQ63" s="253"/>
      <c r="AR63" s="658"/>
      <c r="AS63" s="658"/>
      <c r="AT63" s="658"/>
      <c r="AU63" s="658"/>
      <c r="AV63" s="658"/>
      <c r="AW63" s="658"/>
      <c r="AX63" s="658"/>
      <c r="AY63" s="658"/>
      <c r="AZ63" s="658"/>
      <c r="BA63" s="658"/>
      <c r="BB63"/>
      <c r="BC63"/>
    </row>
    <row r="64" spans="1:55" s="815" customFormat="1" ht="9" customHeight="1">
      <c r="A64" s="2013"/>
      <c r="B64" s="2013"/>
      <c r="C64" s="2013"/>
      <c r="D64" s="2013"/>
      <c r="E64" s="2013"/>
      <c r="F64" s="2013"/>
      <c r="G64" s="2013"/>
      <c r="H64" s="2013"/>
      <c r="I64" s="2013"/>
      <c r="J64" s="2013"/>
      <c r="K64" s="4468"/>
      <c r="L64" s="2013"/>
      <c r="M64" s="2013"/>
      <c r="N64" s="2013"/>
      <c r="O64" s="5720"/>
      <c r="P64" s="2013"/>
      <c r="Q64" s="2013"/>
      <c r="R64" s="2013"/>
      <c r="S64" s="2013"/>
      <c r="T64" s="2013"/>
      <c r="U64" s="2013"/>
      <c r="V64" s="2013"/>
      <c r="W64" s="2013"/>
      <c r="X64" s="2013"/>
      <c r="Y64" s="2013"/>
      <c r="Z64" s="2013"/>
      <c r="AA64" s="2013"/>
      <c r="AB64" s="2013"/>
      <c r="AC64" s="2013"/>
      <c r="AD64" s="2013"/>
      <c r="AE64" s="2013"/>
      <c r="AF64" s="2013"/>
      <c r="AG64" s="2013"/>
      <c r="AH64" s="2013"/>
      <c r="AI64" s="2013"/>
      <c r="AJ64" s="2013"/>
      <c r="AK64" s="2013"/>
      <c r="AL64" s="253"/>
      <c r="AM64" s="253"/>
      <c r="AN64" s="253"/>
      <c r="AO64" s="2013"/>
      <c r="AP64" s="253"/>
      <c r="AQ64" s="253"/>
      <c r="AR64" s="658"/>
      <c r="AS64" s="658"/>
      <c r="AT64" s="658"/>
      <c r="AU64" s="658"/>
      <c r="AV64" s="658"/>
      <c r="AW64" s="658"/>
      <c r="AX64" s="658"/>
      <c r="AY64" s="658"/>
      <c r="AZ64" s="658"/>
      <c r="BA64" s="658"/>
      <c r="BB64"/>
      <c r="BC64"/>
    </row>
    <row r="65" spans="1:55" s="815" customFormat="1" ht="16.5" customHeight="1">
      <c r="A65" s="2013"/>
      <c r="B65" s="3340" t="s">
        <v>1369</v>
      </c>
      <c r="C65" s="2769" t="s">
        <v>5666</v>
      </c>
      <c r="D65" s="2769"/>
      <c r="E65" s="2770"/>
      <c r="F65" s="2770"/>
      <c r="G65" s="2770"/>
      <c r="H65" s="2770"/>
      <c r="I65" s="2770" t="s">
        <v>4289</v>
      </c>
      <c r="J65" s="2770"/>
      <c r="K65" s="2751"/>
      <c r="L65" s="2751"/>
      <c r="M65" s="3222" t="s">
        <v>5657</v>
      </c>
      <c r="N65" s="5763" t="s">
        <v>1369</v>
      </c>
      <c r="O65" s="10873"/>
      <c r="P65" s="10873"/>
      <c r="Q65" s="10873"/>
      <c r="R65" s="10873"/>
      <c r="S65" s="2013"/>
      <c r="T65" s="2013"/>
      <c r="U65" s="2013"/>
      <c r="V65" s="2013"/>
      <c r="W65" s="2013"/>
      <c r="X65" s="2013"/>
      <c r="Y65" s="2013"/>
      <c r="Z65" s="2013"/>
      <c r="AA65" s="2013"/>
      <c r="AB65" s="2013"/>
      <c r="AC65" s="2013"/>
      <c r="AD65" s="2013"/>
      <c r="AE65" s="2013"/>
      <c r="AF65" s="2013"/>
      <c r="AG65" s="2013"/>
      <c r="AH65" s="2013"/>
      <c r="AI65" s="2013"/>
      <c r="AJ65" s="2013"/>
      <c r="AK65" s="2013"/>
      <c r="AL65" s="253"/>
      <c r="AM65" s="1323" t="s">
        <v>5684</v>
      </c>
      <c r="AN65" s="253"/>
      <c r="AO65" s="2013"/>
      <c r="AP65" s="253"/>
      <c r="AQ65" s="253"/>
      <c r="AR65" s="658"/>
      <c r="AS65" s="658"/>
      <c r="AT65" s="658"/>
      <c r="AU65" s="658"/>
      <c r="AV65" s="658"/>
      <c r="AW65" s="658"/>
      <c r="AX65" s="658"/>
      <c r="AY65" s="658"/>
      <c r="AZ65" s="658"/>
      <c r="BA65" s="658"/>
      <c r="BB65"/>
      <c r="BC65"/>
    </row>
    <row r="66" spans="1:55" s="815" customFormat="1" ht="9" customHeight="1">
      <c r="A66" s="2013"/>
      <c r="B66" s="2013"/>
      <c r="C66" s="2013"/>
      <c r="D66" s="2013"/>
      <c r="E66" s="2013"/>
      <c r="F66" s="2013"/>
      <c r="G66" s="2013"/>
      <c r="H66" s="2013"/>
      <c r="I66" s="2013"/>
      <c r="J66" s="2013"/>
      <c r="K66" s="4468"/>
      <c r="L66" s="2013"/>
      <c r="M66" s="2013"/>
      <c r="N66" s="2013"/>
      <c r="O66" s="5720"/>
      <c r="P66" s="2013"/>
      <c r="Q66" s="2013"/>
      <c r="R66" s="2013"/>
      <c r="S66" s="2013"/>
      <c r="T66" s="2013"/>
      <c r="U66" s="2013"/>
      <c r="V66" s="2013"/>
      <c r="W66" s="2013"/>
      <c r="X66" s="2013"/>
      <c r="Y66" s="2013"/>
      <c r="Z66" s="2013"/>
      <c r="AA66" s="2013"/>
      <c r="AB66" s="2013"/>
      <c r="AC66" s="2013"/>
      <c r="AD66" s="2013"/>
      <c r="AE66" s="2013"/>
      <c r="AF66" s="2013"/>
      <c r="AG66" s="2013"/>
      <c r="AH66" s="2013"/>
      <c r="AI66" s="2013"/>
      <c r="AJ66" s="2013"/>
      <c r="AK66" s="2013"/>
      <c r="AL66" s="253"/>
      <c r="AM66" s="253"/>
      <c r="AN66" s="253"/>
      <c r="AO66" s="2013"/>
      <c r="AP66" s="253"/>
      <c r="AQ66" s="253"/>
      <c r="AR66" s="658"/>
      <c r="AS66" s="658"/>
      <c r="AT66" s="658"/>
      <c r="AU66" s="658"/>
      <c r="AV66" s="658"/>
      <c r="AW66" s="658"/>
      <c r="AX66" s="658"/>
      <c r="AY66" s="658"/>
      <c r="AZ66" s="658"/>
      <c r="BA66" s="658"/>
      <c r="BB66"/>
      <c r="BC66"/>
    </row>
    <row r="67" spans="1:55" s="815" customFormat="1" ht="16.5" customHeight="1">
      <c r="A67" s="2013"/>
      <c r="B67" s="3340" t="s">
        <v>1383</v>
      </c>
      <c r="C67" s="2769" t="s">
        <v>2282</v>
      </c>
      <c r="D67" s="2769"/>
      <c r="E67" s="2769"/>
      <c r="F67" s="2770"/>
      <c r="G67" s="2770"/>
      <c r="H67" s="2770"/>
      <c r="I67" s="2770"/>
      <c r="J67" s="2770"/>
      <c r="K67" s="2751"/>
      <c r="L67" s="2751"/>
      <c r="M67" s="3222" t="s">
        <v>5657</v>
      </c>
      <c r="N67" s="5763" t="s">
        <v>1383</v>
      </c>
      <c r="O67" s="10873"/>
      <c r="P67" s="10873"/>
      <c r="Q67" s="10873"/>
      <c r="R67" s="10873"/>
      <c r="S67" s="2013"/>
      <c r="T67" s="2013"/>
      <c r="U67" s="2013"/>
      <c r="V67" s="2013"/>
      <c r="W67" s="2013"/>
      <c r="X67" s="2013"/>
      <c r="Y67" s="2013"/>
      <c r="Z67" s="2013"/>
      <c r="AA67" s="2013"/>
      <c r="AB67" s="2013"/>
      <c r="AC67" s="2013"/>
      <c r="AD67" s="2013"/>
      <c r="AE67" s="2013"/>
      <c r="AF67" s="2013"/>
      <c r="AG67" s="2013"/>
      <c r="AH67" s="2013"/>
      <c r="AI67" s="2013"/>
      <c r="AJ67" s="2013"/>
      <c r="AK67" s="2013"/>
      <c r="AL67" s="253"/>
      <c r="AM67" s="1323" t="s">
        <v>5674</v>
      </c>
      <c r="AN67" s="253"/>
      <c r="AO67" s="2013"/>
      <c r="AP67" s="253"/>
      <c r="AQ67" s="5768" t="b">
        <f>AND(O54="",O56="",O59="",O65="",O67="")</f>
        <v>1</v>
      </c>
      <c r="AR67" s="658"/>
      <c r="AS67" s="658"/>
      <c r="AT67" s="658"/>
      <c r="AU67" s="658"/>
      <c r="AV67" s="658"/>
      <c r="AW67" s="658"/>
      <c r="AX67" s="658"/>
      <c r="AY67" s="658"/>
      <c r="AZ67" s="658"/>
      <c r="BA67" s="658"/>
      <c r="BB67"/>
      <c r="BC67"/>
    </row>
    <row r="68" spans="1:55" s="815" customFormat="1" ht="16.5" customHeight="1">
      <c r="A68" s="2013"/>
      <c r="B68" s="2013"/>
      <c r="C68" s="2013"/>
      <c r="D68" s="2013"/>
      <c r="E68" s="2013"/>
      <c r="F68" s="2013"/>
      <c r="G68" s="2013"/>
      <c r="H68" s="2013"/>
      <c r="I68" s="2013"/>
      <c r="J68" s="2013"/>
      <c r="K68" s="4468"/>
      <c r="L68" s="2013"/>
      <c r="M68" s="2013"/>
      <c r="N68" s="2013"/>
      <c r="O68" s="2013"/>
      <c r="P68" s="2013"/>
      <c r="Q68" s="2013"/>
      <c r="R68" s="2013"/>
      <c r="S68" s="2013"/>
      <c r="T68" s="2013"/>
      <c r="U68" s="5764"/>
      <c r="V68" s="2013"/>
      <c r="W68" s="2013"/>
      <c r="X68" s="2013"/>
      <c r="Y68" s="2013"/>
      <c r="Z68" s="2013"/>
      <c r="AA68" s="2013"/>
      <c r="AB68" s="2013"/>
      <c r="AC68" s="2013"/>
      <c r="AD68" s="2013"/>
      <c r="AE68" s="2013"/>
      <c r="AF68" s="2013"/>
      <c r="AG68" s="2013"/>
      <c r="AH68" s="2013"/>
      <c r="AI68" s="2013"/>
      <c r="AJ68" s="2013"/>
      <c r="AK68" s="2013"/>
      <c r="AL68" s="253"/>
      <c r="AM68" s="253"/>
      <c r="AN68" s="253"/>
      <c r="AO68" s="2013"/>
      <c r="AP68" s="253"/>
      <c r="AQ68" s="253"/>
      <c r="AR68" s="658"/>
      <c r="AS68" s="658"/>
      <c r="AT68" s="658"/>
      <c r="AU68" s="658"/>
      <c r="AV68" s="658"/>
      <c r="AW68" s="658"/>
      <c r="AX68" s="658"/>
      <c r="AY68" s="658"/>
      <c r="AZ68" s="658"/>
      <c r="BA68" s="658"/>
      <c r="BB68"/>
      <c r="BC68"/>
    </row>
    <row r="69" spans="1:55" s="815" customFormat="1" ht="16.5" customHeight="1">
      <c r="A69" s="2013"/>
      <c r="B69" s="2013"/>
      <c r="C69" s="2013"/>
      <c r="D69" s="2013"/>
      <c r="E69" s="2013"/>
      <c r="F69" s="2013"/>
      <c r="G69" s="2013"/>
      <c r="H69" s="2013"/>
      <c r="I69" s="2013"/>
      <c r="J69" s="2013"/>
      <c r="K69" s="4468"/>
      <c r="L69" s="2013"/>
      <c r="M69" s="2013"/>
      <c r="N69" s="2013"/>
      <c r="O69" s="5720"/>
      <c r="P69" s="2013"/>
      <c r="Q69" s="2013"/>
      <c r="R69" s="2013"/>
      <c r="S69" s="2013"/>
      <c r="T69" s="2013"/>
      <c r="U69" s="2013"/>
      <c r="V69" s="2013"/>
      <c r="W69" s="2013"/>
      <c r="X69" s="2013"/>
      <c r="Y69" s="2013"/>
      <c r="Z69" s="2013"/>
      <c r="AA69" s="2013"/>
      <c r="AB69" s="2013"/>
      <c r="AC69" s="2013"/>
      <c r="AD69" s="2013"/>
      <c r="AE69" s="2013"/>
      <c r="AF69" s="2013"/>
      <c r="AG69" s="2013"/>
      <c r="AH69" s="2013"/>
      <c r="AI69" s="2013"/>
      <c r="AJ69" s="2013"/>
      <c r="AK69" s="2013"/>
      <c r="AL69" s="253"/>
      <c r="AM69" s="253"/>
      <c r="AN69" s="253"/>
      <c r="AO69" s="2013"/>
      <c r="AP69" s="253"/>
      <c r="AQ69" s="253"/>
      <c r="AR69" s="658"/>
      <c r="AS69" s="658"/>
      <c r="AT69" s="658"/>
      <c r="AU69" s="658"/>
      <c r="AV69" s="658"/>
      <c r="AW69" s="658"/>
      <c r="AX69" s="658"/>
      <c r="AY69" s="658"/>
      <c r="AZ69" s="658"/>
      <c r="BA69" s="658"/>
      <c r="BB69"/>
      <c r="BC69"/>
    </row>
    <row r="70" spans="1:55" s="815" customFormat="1" ht="16.5" customHeight="1">
      <c r="A70" s="2013"/>
      <c r="B70" s="2013"/>
      <c r="C70" s="2013"/>
      <c r="D70" s="2013"/>
      <c r="E70" s="2013"/>
      <c r="F70" s="2013"/>
      <c r="G70" s="5774" t="str">
        <f>IF(AND($AL$76="",$AQ$83=0),"Indicate 'Estate or Trust' or your filing status for your "&amp;LastYear&amp;" tax return.","")</f>
        <v>Indicate 'Estate or Trust' or your filing status for your 2024 tax return.</v>
      </c>
      <c r="H70" s="2013"/>
      <c r="I70" s="5774"/>
      <c r="J70" s="5774"/>
      <c r="K70" s="4468"/>
      <c r="L70" s="2013"/>
      <c r="M70" s="2013"/>
      <c r="N70" s="2013"/>
      <c r="O70" s="5720"/>
      <c r="P70" s="2013"/>
      <c r="Q70" s="2013"/>
      <c r="R70" s="2013"/>
      <c r="S70" s="2013"/>
      <c r="T70" s="2013"/>
      <c r="U70" s="2013"/>
      <c r="V70" s="2013"/>
      <c r="W70" s="2013"/>
      <c r="X70" s="2013"/>
      <c r="Y70" s="2013"/>
      <c r="Z70" s="2013"/>
      <c r="AA70" s="2013"/>
      <c r="AB70" s="2013"/>
      <c r="AC70" s="2013"/>
      <c r="AD70" s="2013"/>
      <c r="AE70" s="2013"/>
      <c r="AF70" s="2013"/>
      <c r="AG70" s="2013"/>
      <c r="AH70" s="2013"/>
      <c r="AI70" s="2013"/>
      <c r="AJ70" s="2013"/>
      <c r="AK70" s="2013"/>
      <c r="AL70" s="253"/>
      <c r="AM70" s="253"/>
      <c r="AN70" s="253"/>
      <c r="AO70" s="2013"/>
      <c r="AP70" s="253"/>
      <c r="AQ70" s="253"/>
      <c r="AR70" s="658"/>
      <c r="AS70" s="658"/>
      <c r="AT70" s="658"/>
      <c r="AU70" s="658"/>
      <c r="AV70" s="658"/>
      <c r="AW70" s="658"/>
      <c r="AX70" s="658"/>
      <c r="AY70" s="658"/>
      <c r="AZ70" s="658"/>
      <c r="BA70" s="658"/>
      <c r="BB70"/>
      <c r="BC70"/>
    </row>
    <row r="71" spans="1:55" s="815" customFormat="1" ht="24" customHeight="1">
      <c r="A71" s="2013"/>
      <c r="B71" s="253"/>
      <c r="C71" s="416"/>
      <c r="D71" s="10776" t="s">
        <v>5549</v>
      </c>
      <c r="E71" s="10777"/>
      <c r="F71" s="10777"/>
      <c r="G71" s="10777"/>
      <c r="H71" s="719"/>
      <c r="I71" s="10895" t="s">
        <v>5545</v>
      </c>
      <c r="J71" s="10896"/>
      <c r="K71" s="10896"/>
      <c r="L71" s="10896"/>
      <c r="M71" s="10896"/>
      <c r="N71" s="10896"/>
      <c r="O71" s="10896"/>
      <c r="P71" s="10896"/>
      <c r="Q71" s="10896"/>
      <c r="R71" s="10896"/>
      <c r="S71" s="10896"/>
      <c r="T71" s="10896"/>
      <c r="U71" s="10896"/>
      <c r="V71" s="10896"/>
      <c r="W71" s="10896"/>
      <c r="X71" s="10896"/>
      <c r="Y71" s="10896"/>
      <c r="Z71" s="10896"/>
      <c r="AA71" s="10896"/>
      <c r="AB71" s="10896"/>
      <c r="AC71" s="10897" t="s">
        <v>5548</v>
      </c>
      <c r="AD71" s="9894"/>
      <c r="AE71" s="9894"/>
      <c r="AF71" s="9894"/>
      <c r="AG71" s="9894"/>
      <c r="AH71" s="9894"/>
      <c r="AI71" s="9894"/>
      <c r="AJ71" s="9894"/>
      <c r="AK71" s="2013"/>
      <c r="AL71" s="253"/>
      <c r="AM71" s="253"/>
      <c r="AN71" s="253"/>
      <c r="AO71" s="2013"/>
      <c r="AP71" s="253"/>
      <c r="AQ71" s="253"/>
      <c r="AR71" s="658"/>
      <c r="AS71" s="658"/>
      <c r="AT71" s="658"/>
      <c r="AU71" s="658"/>
      <c r="AV71" s="658"/>
      <c r="AW71" s="658"/>
      <c r="AX71" s="658"/>
      <c r="AY71" s="658"/>
      <c r="AZ71" s="658"/>
      <c r="BA71" s="658"/>
      <c r="BB71"/>
      <c r="BC71"/>
    </row>
    <row r="72" spans="1:55" s="815" customFormat="1" ht="24" customHeight="1">
      <c r="A72" s="2013"/>
      <c r="B72" s="9825" t="s">
        <v>46</v>
      </c>
      <c r="C72" s="9617"/>
      <c r="D72" s="10777"/>
      <c r="E72" s="10777"/>
      <c r="F72" s="10777"/>
      <c r="G72" s="10777"/>
      <c r="H72" s="719"/>
      <c r="I72" s="10896"/>
      <c r="J72" s="10896"/>
      <c r="K72" s="10896"/>
      <c r="L72" s="10896"/>
      <c r="M72" s="10896"/>
      <c r="N72" s="10896"/>
      <c r="O72" s="10896"/>
      <c r="P72" s="10896"/>
      <c r="Q72" s="10896"/>
      <c r="R72" s="10896"/>
      <c r="S72" s="10896"/>
      <c r="T72" s="10896"/>
      <c r="U72" s="10896"/>
      <c r="V72" s="10896"/>
      <c r="W72" s="10896"/>
      <c r="X72" s="10896"/>
      <c r="Y72" s="10896"/>
      <c r="Z72" s="10896"/>
      <c r="AA72" s="10896"/>
      <c r="AB72" s="10896"/>
      <c r="AC72" s="10778">
        <f>TaxYear</f>
        <v>2025</v>
      </c>
      <c r="AD72" s="9827"/>
      <c r="AE72" s="9827"/>
      <c r="AF72" s="9827"/>
      <c r="AG72" s="9827"/>
      <c r="AH72" s="9827"/>
      <c r="AI72" s="9827"/>
      <c r="AJ72" s="9827"/>
      <c r="AK72" s="2013"/>
      <c r="AL72" s="349"/>
      <c r="AM72" s="253"/>
      <c r="AN72" s="253"/>
      <c r="AO72" s="2013"/>
      <c r="AP72" s="253"/>
      <c r="AQ72" s="253"/>
      <c r="AR72" s="658"/>
      <c r="AS72" s="658"/>
      <c r="AT72" s="658"/>
      <c r="AU72" s="658"/>
      <c r="AV72" s="658"/>
      <c r="AW72" s="658"/>
      <c r="AX72" s="658"/>
      <c r="AY72" s="658"/>
      <c r="AZ72" s="658"/>
      <c r="BA72" s="658"/>
      <c r="BB72"/>
      <c r="BC72"/>
    </row>
    <row r="73" spans="1:55" s="815" customFormat="1" ht="6.75" customHeight="1">
      <c r="A73" s="2013"/>
      <c r="B73" s="253"/>
      <c r="C73" s="416"/>
      <c r="D73" s="253"/>
      <c r="E73" s="253"/>
      <c r="F73" s="253"/>
      <c r="G73" s="253"/>
      <c r="H73" s="719"/>
      <c r="I73" s="10755" t="s">
        <v>5546</v>
      </c>
      <c r="J73" s="10755"/>
      <c r="K73" s="10755"/>
      <c r="L73" s="10755"/>
      <c r="M73" s="10755"/>
      <c r="N73" s="10755"/>
      <c r="O73" s="10755"/>
      <c r="P73" s="10755"/>
      <c r="Q73" s="10755"/>
      <c r="R73" s="10755"/>
      <c r="S73" s="10755"/>
      <c r="T73" s="10755"/>
      <c r="U73" s="10755"/>
      <c r="V73" s="10755"/>
      <c r="W73" s="10755"/>
      <c r="X73" s="10755"/>
      <c r="Y73" s="10755"/>
      <c r="Z73" s="10755"/>
      <c r="AA73" s="10755"/>
      <c r="AB73" s="10755"/>
      <c r="AC73" s="9829"/>
      <c r="AD73" s="9829"/>
      <c r="AE73" s="9829"/>
      <c r="AF73" s="9829"/>
      <c r="AG73" s="9829"/>
      <c r="AH73" s="9829"/>
      <c r="AI73" s="9829"/>
      <c r="AJ73" s="9829"/>
      <c r="AK73" s="2013"/>
      <c r="AL73" s="253"/>
      <c r="AM73" s="253"/>
      <c r="AN73" s="253"/>
      <c r="AO73" s="2013"/>
      <c r="AP73" s="253"/>
      <c r="AQ73" s="253"/>
      <c r="AR73" s="658"/>
      <c r="AS73" s="658"/>
      <c r="AT73" s="658"/>
      <c r="AU73" s="658"/>
      <c r="AV73" s="658"/>
      <c r="AW73" s="658"/>
      <c r="AX73" s="658"/>
      <c r="AY73" s="658"/>
      <c r="AZ73" s="658"/>
      <c r="BA73" s="658"/>
      <c r="BB73"/>
      <c r="BC73"/>
    </row>
    <row r="74" spans="1:55" s="815" customFormat="1" ht="12.75" customHeight="1" thickBot="1">
      <c r="A74" s="2013"/>
      <c r="B74" s="253" t="s">
        <v>503</v>
      </c>
      <c r="C74" s="416"/>
      <c r="D74" s="253"/>
      <c r="E74" s="253"/>
      <c r="F74" s="253"/>
      <c r="G74" s="253"/>
      <c r="H74" s="719"/>
      <c r="I74" s="10755"/>
      <c r="J74" s="10755"/>
      <c r="K74" s="10755"/>
      <c r="L74" s="10755"/>
      <c r="M74" s="10755"/>
      <c r="N74" s="10755"/>
      <c r="O74" s="10755"/>
      <c r="P74" s="10755"/>
      <c r="Q74" s="10755"/>
      <c r="R74" s="10755"/>
      <c r="S74" s="10755"/>
      <c r="T74" s="10755"/>
      <c r="U74" s="10755"/>
      <c r="V74" s="10755"/>
      <c r="W74" s="10755"/>
      <c r="X74" s="10755"/>
      <c r="Y74" s="10755"/>
      <c r="Z74" s="10755"/>
      <c r="AA74" s="10755"/>
      <c r="AB74" s="10755"/>
      <c r="AC74" s="253"/>
      <c r="AD74" s="9515" t="s">
        <v>3475</v>
      </c>
      <c r="AE74" s="7844"/>
      <c r="AF74" s="7844"/>
      <c r="AG74" s="7844"/>
      <c r="AH74" s="9833">
        <v>801</v>
      </c>
      <c r="AI74" s="9833"/>
      <c r="AJ74" s="9833"/>
      <c r="AK74" s="2013"/>
      <c r="AL74" s="349" t="s">
        <v>5551</v>
      </c>
      <c r="AM74" s="253"/>
      <c r="AN74" s="253"/>
      <c r="AO74" s="2013"/>
      <c r="AP74" s="253"/>
      <c r="AQ74" s="253"/>
      <c r="AR74" s="658"/>
      <c r="AS74" s="658"/>
      <c r="AT74" s="658"/>
      <c r="AU74" s="658"/>
      <c r="AV74" s="658"/>
      <c r="AW74" s="658"/>
      <c r="AX74" s="658"/>
      <c r="AY74" s="658"/>
      <c r="AZ74" s="658"/>
      <c r="BA74" s="658"/>
      <c r="BB74"/>
      <c r="BC74"/>
    </row>
    <row r="75" spans="1:55" s="815" customFormat="1" ht="13.5" customHeight="1" thickBot="1">
      <c r="A75" s="2013"/>
      <c r="B75" s="498" t="s">
        <v>505</v>
      </c>
      <c r="C75" s="4225"/>
      <c r="D75" s="380"/>
      <c r="E75" s="380"/>
      <c r="F75" s="380"/>
      <c r="G75" s="380"/>
      <c r="H75" s="4469"/>
      <c r="I75" s="10779" t="s">
        <v>5547</v>
      </c>
      <c r="J75" s="10780"/>
      <c r="K75" s="10780"/>
      <c r="L75" s="10780"/>
      <c r="M75" s="10780"/>
      <c r="N75" s="10780"/>
      <c r="O75" s="10780"/>
      <c r="P75" s="10780"/>
      <c r="Q75" s="10780"/>
      <c r="R75" s="10780"/>
      <c r="S75" s="10780"/>
      <c r="T75" s="10780"/>
      <c r="U75" s="10780"/>
      <c r="V75" s="10780"/>
      <c r="W75" s="10780"/>
      <c r="X75" s="10780"/>
      <c r="Y75" s="10780"/>
      <c r="Z75" s="10780"/>
      <c r="AA75" s="10780"/>
      <c r="AB75" s="10780"/>
      <c r="AC75" s="498"/>
      <c r="AD75" s="9966" t="s">
        <v>3488</v>
      </c>
      <c r="AE75" s="9967"/>
      <c r="AF75" s="9967"/>
      <c r="AG75" s="9967"/>
      <c r="AH75" s="9834"/>
      <c r="AI75" s="9834"/>
      <c r="AJ75" s="9834"/>
      <c r="AK75" s="2013"/>
      <c r="AL75" s="1987" t="str">
        <f>IF(AL76="","X","")</f>
        <v>X</v>
      </c>
      <c r="AM75" s="344" t="s">
        <v>5605</v>
      </c>
      <c r="AN75" s="344"/>
      <c r="AO75" s="2013"/>
      <c r="AP75" s="253"/>
      <c r="AQ75" s="253"/>
      <c r="AR75" s="658"/>
      <c r="AS75" s="658"/>
      <c r="AT75" s="658"/>
      <c r="AU75" s="658"/>
      <c r="AV75" s="658"/>
      <c r="AW75" s="658"/>
      <c r="AX75" s="658"/>
      <c r="AY75" s="658"/>
      <c r="AZ75" s="658"/>
      <c r="BA75" s="658"/>
      <c r="BB75"/>
      <c r="BC75"/>
    </row>
    <row r="76" spans="1:55" s="815" customFormat="1" ht="13.5" thickBot="1">
      <c r="A76" s="2013"/>
      <c r="B76" s="339" t="s">
        <v>1918</v>
      </c>
      <c r="C76" s="4470"/>
      <c r="D76" s="339"/>
      <c r="E76" s="339"/>
      <c r="F76" s="339"/>
      <c r="G76" s="339"/>
      <c r="H76" s="339"/>
      <c r="I76" s="339"/>
      <c r="J76" s="339"/>
      <c r="K76" s="339"/>
      <c r="L76" s="339"/>
      <c r="M76" s="339"/>
      <c r="N76" s="339"/>
      <c r="O76" s="339"/>
      <c r="P76" s="339"/>
      <c r="Q76" s="339"/>
      <c r="R76" s="339"/>
      <c r="S76" s="339"/>
      <c r="T76" s="339"/>
      <c r="U76" s="339"/>
      <c r="V76" s="339"/>
      <c r="W76" s="339"/>
      <c r="X76" s="339"/>
      <c r="Y76" s="339"/>
      <c r="Z76" s="377"/>
      <c r="AA76" s="2913" t="s">
        <v>5550</v>
      </c>
      <c r="AB76" s="377"/>
      <c r="AC76" s="408"/>
      <c r="AD76" s="2019"/>
      <c r="AE76" s="2019"/>
      <c r="AF76" s="2019"/>
      <c r="AG76" s="2019"/>
      <c r="AH76" s="2019"/>
      <c r="AI76" s="2019"/>
      <c r="AJ76" s="2019"/>
      <c r="AK76" s="2013"/>
      <c r="AL76" s="277"/>
      <c r="AM76" s="344" t="s">
        <v>5604</v>
      </c>
      <c r="AN76" s="344"/>
      <c r="AO76" s="2013" t="s">
        <v>5612</v>
      </c>
      <c r="AP76" s="253"/>
      <c r="AQ76" s="253"/>
      <c r="AR76" s="658"/>
      <c r="AS76" s="658"/>
      <c r="AT76" s="658"/>
      <c r="AU76" s="658"/>
      <c r="AV76" s="658"/>
      <c r="AW76" s="658"/>
      <c r="AX76" s="658"/>
      <c r="AY76" s="658"/>
      <c r="AZ76" s="658"/>
      <c r="BA76" s="658"/>
      <c r="BB76"/>
      <c r="BC76"/>
    </row>
    <row r="77" spans="1:55" s="815" customFormat="1" ht="25.5" customHeight="1" thickBot="1">
      <c r="A77" s="2013"/>
      <c r="B77" s="10915" t="str">
        <f>IF(AND(AL75&lt;&gt;"",AL76&lt;&gt;""),Names,IF(AL76&lt;&gt;"",NameSpouse,IF(AL75&lt;&gt;"",NameYours,"")))</f>
        <v xml:space="preserve"> </v>
      </c>
      <c r="C77" s="10915"/>
      <c r="D77" s="10915"/>
      <c r="E77" s="10915"/>
      <c r="F77" s="10915"/>
      <c r="G77" s="10915"/>
      <c r="H77" s="10915"/>
      <c r="I77" s="10915"/>
      <c r="J77" s="10915"/>
      <c r="K77" s="10915"/>
      <c r="L77" s="10915"/>
      <c r="M77" s="10915"/>
      <c r="N77" s="10915"/>
      <c r="O77" s="10915"/>
      <c r="P77" s="10915"/>
      <c r="Q77" s="10915"/>
      <c r="R77" s="10915"/>
      <c r="S77" s="10915"/>
      <c r="T77" s="10915"/>
      <c r="U77" s="10915"/>
      <c r="V77" s="10915"/>
      <c r="W77" s="10915"/>
      <c r="X77" s="10915"/>
      <c r="Y77" s="10915"/>
      <c r="Z77" s="10915"/>
      <c r="AA77" s="10909">
        <f>IF(AND(NOT(NoSSN),SS_Yours&lt;&gt;"",OR(AL75&lt;&gt;"",AND(AL75&lt;&gt;"",AL76&lt;&gt;""))),SS_Yours,IF(AND(NOT(NoSSN),SS_Spouse&lt;&gt;"",AL76&lt;&gt;""),SS_Spouse,""))</f>
        <v>1010001</v>
      </c>
      <c r="AB77" s="10910"/>
      <c r="AC77" s="10910"/>
      <c r="AD77" s="10910"/>
      <c r="AE77" s="10910"/>
      <c r="AF77" s="10910"/>
      <c r="AG77" s="10910"/>
      <c r="AH77" s="10910"/>
      <c r="AI77" s="10910"/>
      <c r="AJ77" s="10910"/>
      <c r="AK77" s="2013"/>
      <c r="AL77" s="514" t="str">
        <f>IF(AL76&lt;&gt;"","Filing status not required.",LastYear&amp;" Filing Status")</f>
        <v>2024 Filing Status</v>
      </c>
      <c r="AM77" s="253"/>
      <c r="AN77" s="253"/>
      <c r="AO77" s="10921" t="str">
        <f>"To figure the amount to enter on line 4 of Form 8801, complete Parts I and II of another "&amp;LastYear&amp;" Schedule I (Form 1041), as a worksheet. Enter the amount from Schedule I, line 27, adjusted for exclusion items that were allocated to the beneficiary  "&amp;CHAR(10)&amp;"-  if that amount is zero or less, enter '0'."</f>
        <v>To figure the amount to enter on line 4 of Form 8801, complete Parts I and II of another 2024 Schedule I (Form 1041), as a worksheet. Enter the amount from Schedule I, line 27, adjusted for exclusion items that were allocated to the beneficiary  
-  if that amount is zero or less, enter '0'.</v>
      </c>
      <c r="AP77" s="253"/>
      <c r="AQ77" s="253"/>
      <c r="AR77" s="658"/>
      <c r="AS77" s="658"/>
      <c r="AT77" s="658"/>
      <c r="AU77" s="658"/>
      <c r="AV77" s="658"/>
      <c r="AW77" s="658"/>
      <c r="AX77" s="658"/>
      <c r="AY77" s="658"/>
      <c r="AZ77" s="658"/>
      <c r="BA77" s="658"/>
      <c r="BB77"/>
      <c r="BC77"/>
    </row>
    <row r="78" spans="1:55" s="815" customFormat="1" ht="16.5" customHeight="1" thickBot="1">
      <c r="A78" s="2013"/>
      <c r="B78" s="9755" t="s">
        <v>780</v>
      </c>
      <c r="C78" s="9755"/>
      <c r="D78" s="10920" t="s">
        <v>5552</v>
      </c>
      <c r="E78" s="10920"/>
      <c r="F78" s="10920"/>
      <c r="G78" s="10920"/>
      <c r="H78" s="10920"/>
      <c r="I78" s="10920"/>
      <c r="J78" s="10920"/>
      <c r="K78" s="10920"/>
      <c r="L78" s="10920"/>
      <c r="M78" s="10920"/>
      <c r="N78" s="10920"/>
      <c r="O78" s="10920"/>
      <c r="P78" s="5751"/>
      <c r="Q78" s="5751" t="str">
        <f>IF(AND(AL76&lt;&gt;"",NOT(AE86)),"If you are filing for an estate or trust, skip lines 1 through 3.","")</f>
        <v/>
      </c>
      <c r="R78" s="5751"/>
      <c r="S78" s="5751"/>
      <c r="T78" s="5751"/>
      <c r="U78" s="5751"/>
      <c r="V78" s="5751"/>
      <c r="W78" s="5751"/>
      <c r="X78" s="5751"/>
      <c r="Y78" s="5751"/>
      <c r="Z78" s="5751"/>
      <c r="AA78" s="5751"/>
      <c r="AB78" s="5751"/>
      <c r="AC78" s="5751"/>
      <c r="AD78" s="5751"/>
      <c r="AE78" s="5751"/>
      <c r="AF78" s="5751"/>
      <c r="AG78" s="5751"/>
      <c r="AH78" s="5751"/>
      <c r="AI78" s="5751"/>
      <c r="AJ78" s="5751"/>
      <c r="AK78" s="2013">
        <f>IF(AL78&lt;&gt;"",1,0)</f>
        <v>0</v>
      </c>
      <c r="AL78" s="5718"/>
      <c r="AM78" s="344" t="s">
        <v>13</v>
      </c>
      <c r="AN78" s="344"/>
      <c r="AO78" s="10921"/>
      <c r="AP78" s="253"/>
      <c r="AQ78" s="253"/>
      <c r="AR78" s="658"/>
      <c r="AS78" s="1114"/>
      <c r="AT78" s="658"/>
      <c r="AU78" s="658"/>
      <c r="AV78" s="658"/>
      <c r="AW78" s="658"/>
      <c r="AX78" s="658"/>
      <c r="AY78" s="658"/>
      <c r="AZ78" s="658"/>
      <c r="BA78" s="658"/>
      <c r="BB78"/>
      <c r="BC78"/>
    </row>
    <row r="79" spans="1:55" s="815" customFormat="1" ht="16.5" customHeight="1" thickBot="1">
      <c r="A79" s="2013"/>
      <c r="B79" s="1523"/>
      <c r="C79" s="1523"/>
      <c r="D79" s="1523"/>
      <c r="E79" s="1523"/>
      <c r="F79" s="1523"/>
      <c r="G79" s="1523"/>
      <c r="H79" s="1523"/>
      <c r="I79" s="1523"/>
      <c r="J79" s="1523"/>
      <c r="K79" s="1523"/>
      <c r="L79" s="1523"/>
      <c r="M79" s="1523"/>
      <c r="N79" s="1523"/>
      <c r="O79" s="1523"/>
      <c r="P79" s="1523"/>
      <c r="Q79" s="1523"/>
      <c r="R79" s="1523"/>
      <c r="S79" s="1523"/>
      <c r="T79" s="1523"/>
      <c r="U79" s="1523"/>
      <c r="V79" s="1523"/>
      <c r="W79" s="1523"/>
      <c r="X79" s="1523"/>
      <c r="Y79" s="1523"/>
      <c r="Z79" s="1523"/>
      <c r="AA79" s="1523"/>
      <c r="AB79" s="1523"/>
      <c r="AC79" s="1523"/>
      <c r="AD79" s="5698"/>
      <c r="AE79" s="1522"/>
      <c r="AF79" s="1522"/>
      <c r="AG79" s="1522"/>
      <c r="AH79" s="1522"/>
      <c r="AI79" s="1522"/>
      <c r="AJ79" s="1522"/>
      <c r="AK79" s="2013">
        <f>IF(AL79&lt;&gt;"",1,0)</f>
        <v>0</v>
      </c>
      <c r="AL79" s="5718"/>
      <c r="AM79" s="344" t="s">
        <v>2941</v>
      </c>
      <c r="AN79" s="344"/>
      <c r="AO79" s="10921"/>
      <c r="AP79" s="253"/>
      <c r="AQ79" s="253"/>
      <c r="AR79" s="658"/>
      <c r="AS79" s="1114"/>
      <c r="AT79" s="658"/>
      <c r="AU79" s="658"/>
      <c r="AV79" s="658"/>
      <c r="AW79" s="658"/>
      <c r="AX79" s="658"/>
      <c r="AY79" s="658"/>
      <c r="AZ79" s="658"/>
      <c r="BA79" s="658"/>
      <c r="BB79"/>
      <c r="BC79"/>
    </row>
    <row r="80" spans="1:55" s="815" customFormat="1" ht="16.5" thickBot="1">
      <c r="A80" s="2013"/>
      <c r="B80" s="253"/>
      <c r="C80" s="2917" t="s">
        <v>228</v>
      </c>
      <c r="D80" s="1323" t="str">
        <f>"Combine lines 1 and 2e of your "&amp;LastYear&amp;" Form 6251. Estates and trusts, see instructions"</f>
        <v>Combine lines 1 and 2e of your 2024 Form 6251. Estates and trusts, see instructions</v>
      </c>
      <c r="E80" s="253"/>
      <c r="F80" s="511"/>
      <c r="G80" s="511"/>
      <c r="H80" s="253"/>
      <c r="I80" s="253"/>
      <c r="J80" s="253"/>
      <c r="K80" s="253"/>
      <c r="L80" s="253"/>
      <c r="M80" s="253"/>
      <c r="N80" s="253"/>
      <c r="O80" s="253"/>
      <c r="P80" s="253"/>
      <c r="Q80" s="253"/>
      <c r="R80" s="253"/>
      <c r="S80" s="253"/>
      <c r="T80" s="253"/>
      <c r="U80" s="253"/>
      <c r="V80" s="253"/>
      <c r="W80" s="253"/>
      <c r="X80" s="253"/>
      <c r="Y80" s="253"/>
      <c r="Z80" s="253"/>
      <c r="AA80" s="253"/>
      <c r="AB80" s="253"/>
      <c r="AC80" s="1657" t="s">
        <v>2965</v>
      </c>
      <c r="AD80" s="4448">
        <v>1</v>
      </c>
      <c r="AE80" s="10881" t="str">
        <f>IF(AL76&lt;&gt;"","",IF(AND(AE7="",AE9=""),"",SUM(AQ7,AQ9)))</f>
        <v/>
      </c>
      <c r="AF80" s="7655"/>
      <c r="AG80" s="7655"/>
      <c r="AH80" s="7655"/>
      <c r="AI80" s="7655"/>
      <c r="AJ80" s="7655"/>
      <c r="AK80" s="2013">
        <f>IF(AL80&lt;&gt;"",1,0)</f>
        <v>0</v>
      </c>
      <c r="AL80" s="5718"/>
      <c r="AM80" s="344" t="s">
        <v>2946</v>
      </c>
      <c r="AN80" s="344"/>
      <c r="AO80" s="10921"/>
      <c r="AP80" s="253"/>
      <c r="AQ80" s="851">
        <f>IF(AE80="",0,ROUND(AE80,0))</f>
        <v>0</v>
      </c>
      <c r="AR80" s="658"/>
      <c r="AS80" s="658"/>
      <c r="AT80" s="658"/>
      <c r="AU80" s="658"/>
      <c r="AV80" s="658"/>
      <c r="AW80" s="658"/>
      <c r="AX80" s="658"/>
      <c r="AY80" s="658"/>
      <c r="AZ80" s="658"/>
      <c r="BA80" s="658"/>
      <c r="BB80"/>
      <c r="BC80"/>
    </row>
    <row r="81" spans="1:55" s="815" customFormat="1" ht="15" customHeight="1" thickBot="1">
      <c r="A81" s="2013"/>
      <c r="B81" s="253"/>
      <c r="C81" s="2723"/>
      <c r="D81" s="1323"/>
      <c r="E81" s="253"/>
      <c r="F81" s="253"/>
      <c r="G81" s="253"/>
      <c r="H81" s="253"/>
      <c r="I81" s="253"/>
      <c r="J81" s="253"/>
      <c r="K81" s="253"/>
      <c r="L81" s="253"/>
      <c r="M81" s="253"/>
      <c r="N81" s="253"/>
      <c r="O81" s="253"/>
      <c r="P81" s="253"/>
      <c r="Q81" s="253"/>
      <c r="R81" s="253"/>
      <c r="S81" s="253"/>
      <c r="T81" s="253"/>
      <c r="U81" s="253"/>
      <c r="V81" s="253"/>
      <c r="W81" s="253"/>
      <c r="X81" s="253"/>
      <c r="Y81" s="253"/>
      <c r="Z81" s="253"/>
      <c r="AA81" s="253"/>
      <c r="AB81" s="253"/>
      <c r="AC81" s="1657"/>
      <c r="AD81" s="4452"/>
      <c r="AE81" s="5757"/>
      <c r="AF81" s="5758"/>
      <c r="AG81" s="5758"/>
      <c r="AH81" s="5758"/>
      <c r="AI81" s="5758"/>
      <c r="AJ81" s="5758"/>
      <c r="AK81" s="2013">
        <f>IF(AL81&lt;&gt;"",1,0)</f>
        <v>0</v>
      </c>
      <c r="AL81" s="5718"/>
      <c r="AM81" s="344" t="s">
        <v>5606</v>
      </c>
      <c r="AN81" s="344"/>
      <c r="AO81" s="10921"/>
      <c r="AP81" s="253"/>
      <c r="AQ81" s="253"/>
      <c r="AR81" s="658"/>
      <c r="AS81" s="658"/>
      <c r="AT81" s="658"/>
      <c r="AU81" s="658"/>
      <c r="AV81" s="658"/>
      <c r="AW81" s="658"/>
      <c r="AX81" s="658"/>
      <c r="AY81" s="658"/>
      <c r="AZ81" s="658"/>
      <c r="BA81" s="658"/>
      <c r="BB81"/>
      <c r="BC81"/>
    </row>
    <row r="82" spans="1:55" s="815" customFormat="1" ht="16.5" thickBot="1">
      <c r="A82" s="2013"/>
      <c r="B82" s="253"/>
      <c r="C82" s="2917">
        <v>2</v>
      </c>
      <c r="D82" s="1323" t="s">
        <v>5553</v>
      </c>
      <c r="E82" s="253"/>
      <c r="F82" s="511"/>
      <c r="G82" s="511"/>
      <c r="H82" s="253"/>
      <c r="I82" s="253"/>
      <c r="J82" s="253"/>
      <c r="K82" s="253"/>
      <c r="L82" s="253"/>
      <c r="M82" s="253"/>
      <c r="N82" s="253"/>
      <c r="O82" s="253"/>
      <c r="P82" s="253"/>
      <c r="Q82" s="253"/>
      <c r="R82" s="253"/>
      <c r="S82" s="253"/>
      <c r="T82" s="253"/>
      <c r="U82" s="253"/>
      <c r="V82" s="253"/>
      <c r="W82" s="253"/>
      <c r="X82" s="253"/>
      <c r="Y82" s="253"/>
      <c r="Z82" s="253"/>
      <c r="AA82" s="253"/>
      <c r="AB82" s="253"/>
      <c r="AC82" s="1657" t="s">
        <v>631</v>
      </c>
      <c r="AD82" s="4448">
        <v>2</v>
      </c>
      <c r="AE82" s="10898"/>
      <c r="AF82" s="7585"/>
      <c r="AG82" s="7585"/>
      <c r="AH82" s="7585"/>
      <c r="AI82" s="7585"/>
      <c r="AJ82" s="7585"/>
      <c r="AK82" s="2013">
        <f>IF(AL82&lt;&gt;"",1,0)</f>
        <v>0</v>
      </c>
      <c r="AL82" s="5718"/>
      <c r="AM82" s="344" t="s">
        <v>2943</v>
      </c>
      <c r="AN82" s="344"/>
      <c r="AO82" s="10921"/>
      <c r="AP82" s="253"/>
      <c r="AQ82" s="851">
        <f>ROUND(AE82,0)</f>
        <v>0</v>
      </c>
      <c r="AR82" s="658"/>
      <c r="AS82" s="658"/>
      <c r="AT82" s="658"/>
      <c r="AU82" s="658"/>
      <c r="AV82" s="658"/>
      <c r="AW82" s="658"/>
      <c r="AX82" s="658"/>
      <c r="AY82" s="658"/>
      <c r="AZ82" s="658"/>
      <c r="BA82" s="658"/>
      <c r="BB82"/>
      <c r="BC82"/>
    </row>
    <row r="83" spans="1:55" s="815" customFormat="1" ht="15" customHeight="1">
      <c r="A83" s="2013"/>
      <c r="B83" s="253"/>
      <c r="C83" s="2723"/>
      <c r="D83" s="1323"/>
      <c r="E83" s="253"/>
      <c r="F83" s="253"/>
      <c r="G83" s="253"/>
      <c r="H83" s="253"/>
      <c r="I83" s="253"/>
      <c r="J83" s="253"/>
      <c r="K83" s="253"/>
      <c r="L83" s="253"/>
      <c r="M83" s="253"/>
      <c r="N83" s="253"/>
      <c r="O83" s="253"/>
      <c r="P83" s="253"/>
      <c r="Q83" s="253"/>
      <c r="R83" s="253"/>
      <c r="S83" s="253"/>
      <c r="T83" s="253"/>
      <c r="U83" s="253"/>
      <c r="V83" s="253"/>
      <c r="W83" s="253"/>
      <c r="X83" s="253"/>
      <c r="Y83" s="253"/>
      <c r="Z83" s="253"/>
      <c r="AA83" s="253"/>
      <c r="AB83" s="253"/>
      <c r="AC83" s="1657"/>
      <c r="AD83" s="4452"/>
      <c r="AE83" s="10877"/>
      <c r="AF83" s="10878"/>
      <c r="AG83" s="10878"/>
      <c r="AH83" s="10878"/>
      <c r="AI83" s="10878"/>
      <c r="AJ83" s="10878"/>
      <c r="AK83" s="2013">
        <f>SUM(AK78:AK82)</f>
        <v>0</v>
      </c>
      <c r="AL83" s="2741" t="str">
        <f>IF(AL76&lt;&gt;"","",IF(AK83=0,"Check one.",IF(AK83&gt;1,"Check only one.","")))</f>
        <v>Check one.</v>
      </c>
      <c r="AM83" s="253"/>
      <c r="AN83" s="253"/>
      <c r="AO83" s="10921"/>
      <c r="AP83" s="512"/>
      <c r="AQ83" s="5770">
        <f>IF(AL78&lt;&gt;"",1,IF(AL79&lt;&gt;"",2,IF(AL80&lt;&gt;"",3,IF(AL81&lt;&gt;"",4,IF(AL82&lt;&gt;"",5,0)))))</f>
        <v>0</v>
      </c>
      <c r="AR83" s="658"/>
      <c r="AS83" s="658"/>
      <c r="AT83" s="658"/>
      <c r="AU83" s="658"/>
      <c r="AV83" s="658"/>
      <c r="AW83" s="658"/>
      <c r="AX83" s="658"/>
      <c r="AY83" s="658"/>
      <c r="AZ83" s="658"/>
      <c r="BA83" s="658"/>
      <c r="BB83"/>
      <c r="BC83"/>
    </row>
    <row r="84" spans="1:55" s="815" customFormat="1" ht="15.75">
      <c r="A84" s="2013"/>
      <c r="B84" s="253"/>
      <c r="C84" s="2917">
        <v>3</v>
      </c>
      <c r="D84" s="1323" t="s">
        <v>5554</v>
      </c>
      <c r="E84" s="253"/>
      <c r="F84" s="511"/>
      <c r="G84" s="511"/>
      <c r="H84" s="253"/>
      <c r="I84" s="253"/>
      <c r="J84" s="253"/>
      <c r="K84" s="253"/>
      <c r="L84" s="253"/>
      <c r="M84" s="253"/>
      <c r="N84" s="253"/>
      <c r="O84" s="253"/>
      <c r="P84" s="253"/>
      <c r="Q84" s="253"/>
      <c r="R84" s="253"/>
      <c r="S84" s="253"/>
      <c r="T84" s="253"/>
      <c r="U84" s="253"/>
      <c r="V84" s="253"/>
      <c r="W84" s="253"/>
      <c r="X84" s="253"/>
      <c r="Y84" s="253"/>
      <c r="Z84" s="253"/>
      <c r="AA84" s="253"/>
      <c r="AB84" s="253"/>
      <c r="AC84" s="1657" t="s">
        <v>648</v>
      </c>
      <c r="AD84" s="4448">
        <v>3</v>
      </c>
      <c r="AE84" s="10898"/>
      <c r="AF84" s="7585"/>
      <c r="AG84" s="7585"/>
      <c r="AH84" s="7585"/>
      <c r="AI84" s="7585"/>
      <c r="AJ84" s="7585"/>
      <c r="AK84" s="2013"/>
      <c r="AL84" s="253"/>
      <c r="AM84" s="512"/>
      <c r="AN84" s="512"/>
      <c r="AO84" s="5749"/>
      <c r="AP84" s="253"/>
      <c r="AQ84" s="851">
        <f>ROUND(AE84,0)</f>
        <v>0</v>
      </c>
      <c r="AR84" s="658"/>
      <c r="AS84" s="658"/>
      <c r="AT84" s="658"/>
      <c r="AU84" s="658"/>
      <c r="AV84" s="658"/>
      <c r="AW84" s="658"/>
      <c r="AX84" s="658"/>
      <c r="AY84" s="658"/>
      <c r="AZ84" s="658"/>
      <c r="BA84" s="658"/>
      <c r="BB84"/>
      <c r="BC84"/>
    </row>
    <row r="85" spans="1:55" s="815" customFormat="1" ht="15" customHeight="1">
      <c r="A85" s="2013"/>
      <c r="B85" s="253"/>
      <c r="C85" s="2723"/>
      <c r="D85" s="5412" t="str">
        <f>IF(AND(AE84&lt;&gt;"",AE84&gt;0),"The 'loss' entered on line three must be a negative number.","")</f>
        <v/>
      </c>
      <c r="E85" s="253"/>
      <c r="F85" s="253"/>
      <c r="G85" s="253"/>
      <c r="H85" s="253"/>
      <c r="I85" s="253"/>
      <c r="J85" s="253"/>
      <c r="K85" s="253"/>
      <c r="L85" s="253"/>
      <c r="M85" s="253"/>
      <c r="N85" s="253"/>
      <c r="O85" s="253"/>
      <c r="P85" s="253"/>
      <c r="Q85" s="253"/>
      <c r="R85" s="253"/>
      <c r="S85" s="253"/>
      <c r="T85" s="253"/>
      <c r="U85" s="253"/>
      <c r="V85" s="253"/>
      <c r="W85" s="253"/>
      <c r="X85" s="253"/>
      <c r="Y85" s="253"/>
      <c r="Z85" s="253"/>
      <c r="AA85" s="253"/>
      <c r="AB85" s="253"/>
      <c r="AC85" s="1657"/>
      <c r="AD85" s="5743"/>
      <c r="AE85" s="10906">
        <f>SUM(AQ80,ROUND(AE82,0),ROUND(AE84,0))</f>
        <v>0</v>
      </c>
      <c r="AF85" s="10907"/>
      <c r="AG85" s="10907"/>
      <c r="AH85" s="10907"/>
      <c r="AI85" s="10907"/>
      <c r="AJ85" s="10907"/>
      <c r="AK85" s="2013"/>
      <c r="AL85" s="253"/>
      <c r="AM85" s="226" t="s">
        <v>979</v>
      </c>
      <c r="AN85" s="253"/>
      <c r="AO85" s="5749"/>
      <c r="AP85" s="226"/>
      <c r="AQ85" s="851" t="b">
        <f>AND(AQ83=3,AE85&gt;AQ87)</f>
        <v>0</v>
      </c>
      <c r="AR85" s="658"/>
      <c r="AS85" s="658"/>
      <c r="AT85" s="658"/>
      <c r="AU85" s="658"/>
      <c r="AV85" s="658"/>
      <c r="AW85" s="658"/>
      <c r="AX85" s="658"/>
      <c r="AY85" s="658"/>
      <c r="AZ85" s="658"/>
      <c r="BA85" s="658"/>
      <c r="BB85"/>
      <c r="BC85"/>
    </row>
    <row r="86" spans="1:55" s="815" customFormat="1" ht="16.5" customHeight="1" thickBot="1">
      <c r="A86" s="2013"/>
      <c r="B86" s="253"/>
      <c r="C86" s="2917">
        <v>4</v>
      </c>
      <c r="D86" s="1323" t="s">
        <v>5555</v>
      </c>
      <c r="E86" s="253"/>
      <c r="F86" s="511"/>
      <c r="G86" s="511"/>
      <c r="H86" s="253"/>
      <c r="I86" s="253"/>
      <c r="J86" s="253"/>
      <c r="K86" s="253"/>
      <c r="L86" s="253"/>
      <c r="M86" s="253"/>
      <c r="N86" s="253"/>
      <c r="O86" s="253"/>
      <c r="P86" s="253"/>
      <c r="Q86" s="253"/>
      <c r="R86" s="253"/>
      <c r="S86" s="253"/>
      <c r="T86" s="253"/>
      <c r="U86" s="253"/>
      <c r="V86" s="253"/>
      <c r="W86" s="253"/>
      <c r="X86" s="253"/>
      <c r="Y86" s="253"/>
      <c r="Z86" s="253"/>
      <c r="AA86" s="253"/>
      <c r="AB86" s="253"/>
      <c r="AC86" s="1657"/>
      <c r="AD86" s="5743"/>
      <c r="AE86" s="10879" t="b">
        <f>AND(AE80="",AE82="",AE84="")</f>
        <v>1</v>
      </c>
      <c r="AF86" s="10880"/>
      <c r="AG86" s="10880"/>
      <c r="AH86" s="10880"/>
      <c r="AI86" s="10880"/>
      <c r="AJ86" s="10880"/>
      <c r="AK86" s="2013"/>
      <c r="AL86" s="253"/>
      <c r="AM86" s="226" t="s">
        <v>931</v>
      </c>
      <c r="AN86" s="226"/>
      <c r="AO86" s="10921" t="str">
        <f>"If your filing status was married filing separately for "&amp;LastYear&amp;" and line 4 is more than "&amp;TEXT(AQ87,"$0,000")&amp;", you must include an additional amount on line 4. If line 4 is "&amp;TEXT(AQ86,"$0,000")&amp;" or more, include an additional "&amp;TEXT(AQ90,"$0,000")&amp;" on line 4. Otherwise, include "&amp;TEXT(AQ99,"0%")&amp;" of the excess of the amount on line 4 over "&amp;TEXT(AQ87,"$0,000")&amp;" . For example, if the amount on line 4 is "&amp;TEXT(AQ95,"$0,00")&amp;", enter "&amp;TEXT(AQ97,"$0,000")&amp;" instead—the additional "&amp;TEXT(AQ96,"$0,000")&amp;" is "&amp;TEXT(AQ99,"0%")&amp;" of "&amp;TEXT(AQ98,"$0,000")&amp;" ("&amp;TEXT(AQ95,"$0,000")&amp;" minus "&amp;TEXT(AQ87,"$0,00")&amp;")."</f>
        <v>If your filing status was married filing separately for 2024 and line 4 is more than $875,950, you must include an additional amount on line 4. If line 4 is $1,142,550 or more, include an additional $66,650 on line 4. Otherwise, include 25% of the excess of the amount on line 4 over $875,950 . For example, if the amount on line 4 is $895,950, enter $900,950 instead—the additional $5,000 is 25% of $20,000 ($895,950 minus $875,950).</v>
      </c>
      <c r="AP86" s="253"/>
      <c r="AQ86" s="1193">
        <v>1142550</v>
      </c>
      <c r="AR86" s="658"/>
      <c r="AS86" s="658"/>
      <c r="AT86" s="658"/>
      <c r="AU86" s="658"/>
      <c r="AV86" s="658"/>
      <c r="AW86" s="658"/>
      <c r="AX86" s="658"/>
      <c r="AY86" s="658"/>
      <c r="AZ86" s="658"/>
      <c r="BA86" s="658"/>
      <c r="BB86"/>
      <c r="BC86"/>
    </row>
    <row r="87" spans="1:55" s="815" customFormat="1" ht="16.5" customHeight="1" thickBot="1">
      <c r="A87" s="2013"/>
      <c r="B87" s="253"/>
      <c r="C87" s="2917"/>
      <c r="D87" s="1323" t="str">
        <f>TEXT(AQ87,"$0,000")&amp;" and you were married filing separately for "&amp;LastYear&amp;","</f>
        <v>$875,950 and you were married filing separately for 2024,</v>
      </c>
      <c r="E87" s="253"/>
      <c r="F87" s="511"/>
      <c r="G87" s="511"/>
      <c r="H87" s="253"/>
      <c r="I87" s="253"/>
      <c r="J87" s="253"/>
      <c r="K87" s="253"/>
      <c r="L87" s="253"/>
      <c r="M87" s="253"/>
      <c r="N87" s="253"/>
      <c r="O87" s="253"/>
      <c r="P87" s="253"/>
      <c r="Q87" s="253"/>
      <c r="R87" s="7908" t="str">
        <f>IF(AND(AQ85,AK89=""),"See instruction at right. &gt;&gt;&gt;","see instructions")</f>
        <v>see instructions</v>
      </c>
      <c r="S87" s="7908"/>
      <c r="T87" s="7908"/>
      <c r="U87" s="7908"/>
      <c r="V87" s="7908"/>
      <c r="W87" s="7908"/>
      <c r="X87" s="7908"/>
      <c r="Y87" s="7908"/>
      <c r="Z87" s="253"/>
      <c r="AA87" s="253"/>
      <c r="AB87" s="253"/>
      <c r="AC87" s="1657" t="str">
        <f>IF(AQ85,"",".   .   .   .   .   .   .   .   .   . ")</f>
        <v xml:space="preserve">.   .   .   .   .   .   .   .   .   . </v>
      </c>
      <c r="AD87" s="4448">
        <v>4</v>
      </c>
      <c r="AE87" s="10881" t="str">
        <f>IF(AM87&lt;&gt;"",ROUND(AM87,0),IF(OR(AND(AE84&lt;&gt;"",AE84&gt;0),AE86),"",IF(AE85&lt;=0,0,IF(AND(AQ83=3,AE85&gt;AQ87),SUM(AE85,AQ101),AE85))))</f>
        <v/>
      </c>
      <c r="AF87" s="7655"/>
      <c r="AG87" s="7655"/>
      <c r="AH87" s="7655"/>
      <c r="AI87" s="7655"/>
      <c r="AJ87" s="7655"/>
      <c r="AK87" s="2013"/>
      <c r="AL87" s="253"/>
      <c r="AM87" s="5719"/>
      <c r="AN87" s="1806"/>
      <c r="AO87" s="10921"/>
      <c r="AP87" s="253"/>
      <c r="AQ87" s="1193">
        <v>875950</v>
      </c>
      <c r="AR87" s="658"/>
      <c r="AS87" s="658"/>
      <c r="AT87" s="658"/>
      <c r="AU87" s="658"/>
      <c r="AV87" s="658"/>
      <c r="AW87" s="658"/>
      <c r="AX87" s="658"/>
      <c r="AY87" s="658"/>
      <c r="AZ87" s="658"/>
      <c r="BA87" s="658"/>
      <c r="BB87"/>
      <c r="BC87"/>
    </row>
    <row r="88" spans="1:55" s="815" customFormat="1" ht="15" customHeight="1">
      <c r="A88" s="2013"/>
      <c r="B88" s="253"/>
      <c r="C88" s="2723"/>
      <c r="D88" s="1323"/>
      <c r="E88" s="253"/>
      <c r="F88" s="253"/>
      <c r="G88" s="253"/>
      <c r="H88" s="253"/>
      <c r="I88" s="253"/>
      <c r="J88" s="253"/>
      <c r="K88" s="253"/>
      <c r="L88" s="253"/>
      <c r="M88" s="253"/>
      <c r="N88" s="253"/>
      <c r="O88" s="253"/>
      <c r="P88" s="253"/>
      <c r="Q88" s="253"/>
      <c r="R88" s="253"/>
      <c r="S88" s="253"/>
      <c r="T88" s="253"/>
      <c r="U88" s="253"/>
      <c r="V88" s="253"/>
      <c r="W88" s="253"/>
      <c r="X88" s="253"/>
      <c r="Y88" s="253"/>
      <c r="Z88" s="253"/>
      <c r="AA88" s="253"/>
      <c r="AB88" s="253"/>
      <c r="AC88" s="1657"/>
      <c r="AD88" s="5743"/>
      <c r="AE88" s="10879" t="b">
        <f>AND(AQ83=3,AE87&lt;&gt;"",AE87&gt;AQ87)</f>
        <v>0</v>
      </c>
      <c r="AF88" s="10880"/>
      <c r="AG88" s="10880"/>
      <c r="AH88" s="10880"/>
      <c r="AI88" s="10880"/>
      <c r="AJ88" s="10880"/>
      <c r="AK88" s="1251"/>
      <c r="AL88" s="253"/>
      <c r="AM88" s="10922" t="str">
        <f>IF(AL76&lt;&gt;"","Use override for Line 4 entry.","")</f>
        <v/>
      </c>
      <c r="AN88" s="253"/>
      <c r="AO88" s="10921"/>
      <c r="AP88" s="253"/>
      <c r="AQ88" s="1193">
        <v>133300</v>
      </c>
      <c r="AR88" s="658"/>
      <c r="AS88" s="658"/>
      <c r="AT88" s="658"/>
      <c r="AU88" s="658"/>
      <c r="AV88" s="658"/>
      <c r="AW88" s="658"/>
      <c r="AX88" s="658"/>
      <c r="AY88" s="658"/>
      <c r="AZ88" s="658"/>
      <c r="BA88" s="658"/>
      <c r="BB88"/>
      <c r="BC88"/>
    </row>
    <row r="89" spans="1:55" s="815" customFormat="1" ht="15.75">
      <c r="A89" s="2013"/>
      <c r="B89" s="253"/>
      <c r="C89" s="2917">
        <v>5</v>
      </c>
      <c r="D89" s="1323" t="str">
        <f>"Enter: "&amp;TEXT(AQ88,"$0,000")&amp;" if married filing jointly or qualifying surviving spouse for "&amp;LastYear&amp;"; "&amp;TEXT(AQ89,"$0,000")&amp;" if single or"</f>
        <v>Enter: $133,300 if married filing jointly or qualifying surviving spouse for 2024; $85,700 if single or</v>
      </c>
      <c r="E89" s="253"/>
      <c r="F89" s="511"/>
      <c r="G89" s="511"/>
      <c r="H89" s="253"/>
      <c r="I89" s="253"/>
      <c r="J89" s="253"/>
      <c r="K89" s="253"/>
      <c r="L89" s="253"/>
      <c r="M89" s="253"/>
      <c r="N89" s="253"/>
      <c r="O89" s="253"/>
      <c r="P89" s="253"/>
      <c r="Q89" s="253"/>
      <c r="R89" s="253"/>
      <c r="S89" s="253"/>
      <c r="T89" s="253"/>
      <c r="U89" s="253"/>
      <c r="V89" s="253"/>
      <c r="W89" s="253"/>
      <c r="X89" s="253"/>
      <c r="Y89" s="253"/>
      <c r="Z89" s="253"/>
      <c r="AA89" s="253"/>
      <c r="AB89" s="253"/>
      <c r="AC89" s="1657"/>
      <c r="AD89" s="5743"/>
      <c r="AE89" s="10916" t="str">
        <f>IF(AND(AE88,AK89=""),"Hide emphasis.","")</f>
        <v/>
      </c>
      <c r="AF89" s="10917"/>
      <c r="AG89" s="10917"/>
      <c r="AH89" s="10917"/>
      <c r="AI89" s="10917"/>
      <c r="AJ89" s="10917"/>
      <c r="AK89" s="5724"/>
      <c r="AL89" s="253"/>
      <c r="AM89" s="10923"/>
      <c r="AN89" s="253"/>
      <c r="AO89" s="10921"/>
      <c r="AP89" s="253"/>
      <c r="AQ89" s="1193">
        <v>85700</v>
      </c>
      <c r="AR89" s="658"/>
      <c r="AS89" s="658"/>
      <c r="AT89" s="658"/>
      <c r="AU89" s="658"/>
      <c r="AV89" s="658"/>
      <c r="AW89" s="658"/>
      <c r="AX89" s="658"/>
      <c r="AY89" s="658"/>
      <c r="AZ89" s="658"/>
      <c r="BA89" s="658"/>
      <c r="BB89"/>
      <c r="BC89"/>
    </row>
    <row r="90" spans="1:55" s="815" customFormat="1" ht="16.5" thickBot="1">
      <c r="A90" s="2013"/>
      <c r="B90" s="253"/>
      <c r="C90" s="2917"/>
      <c r="D90" s="1323" t="str">
        <f>"head of household for "&amp;LastYear&amp;"; or "&amp;TEXT(AQ90,"$0,000")&amp;" if married filing separately for "&amp;LastYear&amp;". Estates and trusts, enter"</f>
        <v>head of household for 2024; or $66,650 if married filing separately for 2024. Estates and trusts, enter</v>
      </c>
      <c r="E90" s="253"/>
      <c r="F90" s="511"/>
      <c r="G90" s="511"/>
      <c r="H90" s="253"/>
      <c r="I90" s="253"/>
      <c r="J90" s="253"/>
      <c r="K90" s="253"/>
      <c r="L90" s="253"/>
      <c r="M90" s="253"/>
      <c r="N90" s="253"/>
      <c r="O90" s="253"/>
      <c r="P90" s="253"/>
      <c r="Q90" s="253"/>
      <c r="R90" s="253"/>
      <c r="S90" s="253"/>
      <c r="T90" s="253"/>
      <c r="U90" s="253"/>
      <c r="V90" s="253"/>
      <c r="W90" s="253"/>
      <c r="X90" s="253"/>
      <c r="Y90" s="253"/>
      <c r="Z90" s="253"/>
      <c r="AA90" s="253"/>
      <c r="AB90" s="253"/>
      <c r="AC90" s="1657"/>
      <c r="AD90" s="5743"/>
      <c r="AE90" s="10879" t="b">
        <f>AND(AE86,AE87="")</f>
        <v>1</v>
      </c>
      <c r="AF90" s="10880"/>
      <c r="AG90" s="10880"/>
      <c r="AH90" s="10880"/>
      <c r="AI90" s="10880"/>
      <c r="AJ90" s="10880"/>
      <c r="AK90" s="5717"/>
      <c r="AL90" s="253"/>
      <c r="AM90" s="253"/>
      <c r="AN90" s="253"/>
      <c r="AO90" s="10921"/>
      <c r="AP90" s="253"/>
      <c r="AQ90" s="1193">
        <v>66650</v>
      </c>
      <c r="AR90" s="658"/>
      <c r="AS90" s="658"/>
      <c r="AT90" s="658"/>
      <c r="AU90" s="658"/>
      <c r="AV90" s="658"/>
      <c r="AW90" s="658"/>
      <c r="AX90" s="658"/>
      <c r="AY90" s="658"/>
      <c r="AZ90" s="658"/>
      <c r="BA90" s="658"/>
      <c r="BB90"/>
      <c r="BC90"/>
    </row>
    <row r="91" spans="1:55" s="815" customFormat="1" ht="16.5" thickBot="1">
      <c r="A91" s="2013"/>
      <c r="B91" s="253"/>
      <c r="C91" s="2917"/>
      <c r="D91" s="1323" t="str">
        <f>TEXT(AQ91,"$0,000")</f>
        <v>$29,900</v>
      </c>
      <c r="E91" s="253"/>
      <c r="F91" s="511"/>
      <c r="G91" s="511"/>
      <c r="H91" s="253"/>
      <c r="I91" s="253"/>
      <c r="J91" s="253"/>
      <c r="K91" s="253"/>
      <c r="L91" s="253"/>
      <c r="M91" s="253"/>
      <c r="N91" s="253"/>
      <c r="O91" s="253"/>
      <c r="P91" s="253"/>
      <c r="Q91" s="253"/>
      <c r="R91" s="253"/>
      <c r="S91" s="253"/>
      <c r="T91" s="253"/>
      <c r="U91" s="253"/>
      <c r="V91" s="253"/>
      <c r="W91" s="253"/>
      <c r="X91" s="253"/>
      <c r="Y91" s="253"/>
      <c r="Z91" s="253"/>
      <c r="AA91" s="253"/>
      <c r="AB91" s="253"/>
      <c r="AC91" s="1657" t="s">
        <v>2095</v>
      </c>
      <c r="AD91" s="4448">
        <v>5</v>
      </c>
      <c r="AE91" s="10881" t="str">
        <f>IF(AM91&lt;&gt;"",ROUND(AM91,0),IF(AE90,"",IF(AL76&lt;&gt;"",AQ91,IF(OR(AQ83=2,AQ83=4),AQ88,IF(OR(AQ83=1,AQ83=5),AQ89,IF(AQ83=3,AQ90,"Filing status?"))))))</f>
        <v/>
      </c>
      <c r="AF91" s="7655"/>
      <c r="AG91" s="7655"/>
      <c r="AH91" s="7655"/>
      <c r="AI91" s="7655"/>
      <c r="AJ91" s="7655"/>
      <c r="AK91" s="2013"/>
      <c r="AL91" s="253"/>
      <c r="AM91" s="5719"/>
      <c r="AN91" s="1806"/>
      <c r="AO91" s="10921"/>
      <c r="AP91" s="253"/>
      <c r="AQ91" s="1193">
        <v>29900</v>
      </c>
      <c r="AR91" s="658"/>
      <c r="AS91" s="658"/>
      <c r="AT91" s="658"/>
      <c r="AU91" s="658"/>
      <c r="AV91" s="658"/>
      <c r="AW91" s="658"/>
      <c r="AX91" s="658"/>
      <c r="AY91" s="658"/>
      <c r="AZ91" s="658"/>
      <c r="BA91" s="658"/>
      <c r="BB91"/>
      <c r="BC91"/>
    </row>
    <row r="92" spans="1:55" s="815" customFormat="1" ht="15" customHeight="1">
      <c r="A92" s="2013"/>
      <c r="B92" s="253"/>
      <c r="C92" s="2723"/>
      <c r="D92" s="1323"/>
      <c r="E92" s="253"/>
      <c r="F92" s="253"/>
      <c r="G92" s="253"/>
      <c r="H92" s="253"/>
      <c r="I92" s="253"/>
      <c r="J92" s="253"/>
      <c r="K92" s="253"/>
      <c r="L92" s="253"/>
      <c r="M92" s="253"/>
      <c r="N92" s="253"/>
      <c r="O92" s="253"/>
      <c r="P92" s="253"/>
      <c r="Q92" s="253"/>
      <c r="R92" s="253"/>
      <c r="S92" s="253"/>
      <c r="T92" s="253"/>
      <c r="U92" s="253"/>
      <c r="V92" s="253"/>
      <c r="W92" s="253"/>
      <c r="X92" s="253"/>
      <c r="Y92" s="253"/>
      <c r="Z92" s="253"/>
      <c r="AA92" s="253"/>
      <c r="AB92" s="253"/>
      <c r="AC92" s="1657"/>
      <c r="AD92" s="5743"/>
      <c r="AE92" s="10876"/>
      <c r="AF92" s="10878"/>
      <c r="AG92" s="10878"/>
      <c r="AH92" s="10878"/>
      <c r="AI92" s="10878"/>
      <c r="AJ92" s="10878"/>
      <c r="AK92" s="2013"/>
      <c r="AL92" s="253"/>
      <c r="AM92" s="253"/>
      <c r="AN92" s="253"/>
      <c r="AO92" s="10921"/>
      <c r="AP92" s="253"/>
      <c r="AQ92" s="1193">
        <v>1218700</v>
      </c>
      <c r="AR92" s="658"/>
      <c r="AS92" s="658"/>
      <c r="AT92" s="658"/>
      <c r="AU92" s="658"/>
      <c r="AV92" s="658"/>
      <c r="AW92" s="658"/>
      <c r="AX92" s="658"/>
      <c r="AY92" s="658"/>
      <c r="AZ92" s="658"/>
      <c r="BA92" s="658"/>
      <c r="BB92"/>
      <c r="BC92"/>
    </row>
    <row r="93" spans="1:55" s="815" customFormat="1" ht="16.5" thickBot="1">
      <c r="A93" s="2013"/>
      <c r="B93" s="253"/>
      <c r="C93" s="2917">
        <v>6</v>
      </c>
      <c r="D93" s="1323" t="str">
        <f>"Enter: "&amp;TEXT(AQ92,"$0,000")&amp;" if married filing jointly or qualifying surviving spouse for "&amp;LastYear&amp;"; "&amp;TEXT(AQ93,"$0,000")&amp;" if single,"</f>
        <v>Enter: $1,218,700 if married filing jointly or qualifying surviving spouse for 2024; $609,350 if single,</v>
      </c>
      <c r="E93" s="253"/>
      <c r="F93" s="511"/>
      <c r="G93" s="511"/>
      <c r="H93" s="253"/>
      <c r="I93" s="253"/>
      <c r="J93" s="253"/>
      <c r="K93" s="253"/>
      <c r="L93" s="253"/>
      <c r="M93" s="253"/>
      <c r="N93" s="253"/>
      <c r="O93" s="253"/>
      <c r="P93" s="253"/>
      <c r="Q93" s="253"/>
      <c r="R93" s="253"/>
      <c r="S93" s="253"/>
      <c r="T93" s="253"/>
      <c r="U93" s="253"/>
      <c r="V93" s="253"/>
      <c r="W93" s="253"/>
      <c r="X93" s="253"/>
      <c r="Y93" s="253"/>
      <c r="Z93" s="253"/>
      <c r="AA93" s="253"/>
      <c r="AB93" s="253"/>
      <c r="AC93" s="1657"/>
      <c r="AD93" s="5743"/>
      <c r="AE93" s="10879" t="b">
        <f>AND(AE90,AE91="")</f>
        <v>1</v>
      </c>
      <c r="AF93" s="10880"/>
      <c r="AG93" s="10880"/>
      <c r="AH93" s="10880"/>
      <c r="AI93" s="10880"/>
      <c r="AJ93" s="10880"/>
      <c r="AK93" s="2013"/>
      <c r="AL93" s="253"/>
      <c r="AM93" s="253"/>
      <c r="AN93" s="253"/>
      <c r="AO93" s="10921"/>
      <c r="AP93" s="253"/>
      <c r="AQ93" s="1193">
        <v>609350</v>
      </c>
      <c r="AR93" s="658"/>
      <c r="AS93" s="658"/>
      <c r="AT93" s="658"/>
      <c r="AU93" s="658"/>
      <c r="AV93" s="658"/>
      <c r="AW93" s="658"/>
      <c r="AX93" s="658"/>
      <c r="AY93" s="658"/>
      <c r="AZ93" s="658"/>
      <c r="BA93" s="658"/>
      <c r="BB93"/>
      <c r="BC93"/>
    </row>
    <row r="94" spans="1:55" s="815" customFormat="1" ht="16.5" thickBot="1">
      <c r="A94" s="2013"/>
      <c r="B94" s="253"/>
      <c r="C94" s="2917"/>
      <c r="D94" s="1323" t="str">
        <f>"head of household, or married filing separately for "&amp;LastYear&amp;". Estates and trusts, enter "&amp;TEXT(AQ94,"$0,000")</f>
        <v>head of household, or married filing separately for 2024. Estates and trusts, enter $99,700</v>
      </c>
      <c r="E94" s="253"/>
      <c r="F94" s="511"/>
      <c r="G94" s="511"/>
      <c r="H94" s="253"/>
      <c r="I94" s="253"/>
      <c r="J94" s="253"/>
      <c r="K94" s="253"/>
      <c r="L94" s="253"/>
      <c r="M94" s="253"/>
      <c r="N94" s="253"/>
      <c r="O94" s="253"/>
      <c r="P94" s="253"/>
      <c r="Q94" s="253"/>
      <c r="R94" s="253"/>
      <c r="S94" s="253"/>
      <c r="T94" s="253"/>
      <c r="U94" s="253"/>
      <c r="V94" s="253"/>
      <c r="W94" s="253"/>
      <c r="X94" s="253"/>
      <c r="Y94" s="253"/>
      <c r="Z94" s="253"/>
      <c r="AA94" s="253"/>
      <c r="AB94" s="253"/>
      <c r="AC94" s="1657" t="s">
        <v>5561</v>
      </c>
      <c r="AD94" s="4448">
        <v>6</v>
      </c>
      <c r="AE94" s="10881" t="str">
        <f>IF(AM94&lt;&gt;"",ROUND(AM94,0),IF(AE93,"",IF(AL76&lt;&gt;"",AQ94,IF(OR(AQ83=2,AQ83=4),AQ92,IF(OR(AQ83=1,AQ83=5),AQ93,IF(AQ83=3,AQ93,"Filing status?"))))))</f>
        <v/>
      </c>
      <c r="AF94" s="7655"/>
      <c r="AG94" s="7655"/>
      <c r="AH94" s="7655"/>
      <c r="AI94" s="7655"/>
      <c r="AJ94" s="7655"/>
      <c r="AK94" s="2013"/>
      <c r="AL94" s="253"/>
      <c r="AM94" s="5719"/>
      <c r="AN94" s="1806"/>
      <c r="AO94" s="10921"/>
      <c r="AP94" s="253"/>
      <c r="AQ94" s="1193">
        <v>99700</v>
      </c>
      <c r="AR94" s="658"/>
      <c r="AS94" s="658"/>
      <c r="AT94" s="658"/>
      <c r="AU94" s="658"/>
      <c r="AV94" s="658"/>
      <c r="AW94" s="658"/>
      <c r="AX94" s="658"/>
      <c r="AY94" s="658"/>
      <c r="AZ94" s="658"/>
      <c r="BA94" s="658"/>
      <c r="BB94"/>
      <c r="BC94"/>
    </row>
    <row r="95" spans="1:55" s="815" customFormat="1" ht="15" customHeight="1" thickBot="1">
      <c r="A95" s="2013"/>
      <c r="B95" s="253"/>
      <c r="C95" s="2723"/>
      <c r="D95" s="1323"/>
      <c r="E95" s="253"/>
      <c r="F95" s="253"/>
      <c r="G95" s="253"/>
      <c r="H95" s="253"/>
      <c r="I95" s="253"/>
      <c r="J95" s="253"/>
      <c r="K95" s="253"/>
      <c r="L95" s="253"/>
      <c r="M95" s="253"/>
      <c r="N95" s="253"/>
      <c r="O95" s="253"/>
      <c r="P95" s="253"/>
      <c r="Q95" s="253"/>
      <c r="R95" s="253"/>
      <c r="S95" s="253"/>
      <c r="T95" s="253"/>
      <c r="U95" s="253"/>
      <c r="V95" s="253"/>
      <c r="W95" s="253"/>
      <c r="X95" s="253"/>
      <c r="Y95" s="253"/>
      <c r="Z95" s="253"/>
      <c r="AA95" s="253"/>
      <c r="AB95" s="253"/>
      <c r="AC95" s="1657"/>
      <c r="AD95" s="4452"/>
      <c r="AE95" s="10879" t="b">
        <f>AND(AE93,AE94="")</f>
        <v>1</v>
      </c>
      <c r="AF95" s="10880"/>
      <c r="AG95" s="10880"/>
      <c r="AH95" s="10880"/>
      <c r="AI95" s="10880"/>
      <c r="AJ95" s="10880"/>
      <c r="AK95" s="2013"/>
      <c r="AL95" s="253"/>
      <c r="AM95" s="253"/>
      <c r="AN95" s="253"/>
      <c r="AO95" s="10921"/>
      <c r="AP95" s="253"/>
      <c r="AQ95" s="1193">
        <v>895950</v>
      </c>
      <c r="AR95" s="658"/>
      <c r="AS95" s="658"/>
      <c r="AT95" s="658"/>
      <c r="AU95" s="658"/>
      <c r="AV95" s="658"/>
      <c r="AW95" s="658"/>
      <c r="AX95" s="658"/>
      <c r="AY95" s="658"/>
      <c r="AZ95" s="658"/>
      <c r="BA95" s="658"/>
      <c r="BB95"/>
      <c r="BC95"/>
    </row>
    <row r="96" spans="1:55" s="815" customFormat="1" ht="16.5" thickBot="1">
      <c r="A96" s="2013"/>
      <c r="B96" s="253"/>
      <c r="C96" s="2917">
        <v>7</v>
      </c>
      <c r="D96" s="1323" t="s">
        <v>5556</v>
      </c>
      <c r="E96" s="253"/>
      <c r="F96" s="511"/>
      <c r="G96" s="511"/>
      <c r="H96" s="253"/>
      <c r="I96" s="253"/>
      <c r="J96" s="253"/>
      <c r="K96" s="253"/>
      <c r="L96" s="253"/>
      <c r="M96" s="253"/>
      <c r="N96" s="253"/>
      <c r="O96" s="253"/>
      <c r="P96" s="253"/>
      <c r="Q96" s="253"/>
      <c r="R96" s="253"/>
      <c r="S96" s="253"/>
      <c r="T96" s="253"/>
      <c r="U96" s="253"/>
      <c r="V96" s="253"/>
      <c r="W96" s="253"/>
      <c r="X96" s="253"/>
      <c r="Y96" s="253"/>
      <c r="Z96" s="253"/>
      <c r="AA96" s="253"/>
      <c r="AB96" s="253"/>
      <c r="AC96" s="1657" t="s">
        <v>643</v>
      </c>
      <c r="AD96" s="4448">
        <v>7</v>
      </c>
      <c r="AE96" s="10881" t="str">
        <f>IF(AM96&lt;&gt;"",ROUND(AM96,0),IF(AND(AL76="",AQ83=0),"",IF(AE95,"",MAX(0,SUM(AE87,-AE94)))))</f>
        <v/>
      </c>
      <c r="AF96" s="7655"/>
      <c r="AG96" s="7655"/>
      <c r="AH96" s="7655"/>
      <c r="AI96" s="7655"/>
      <c r="AJ96" s="7655"/>
      <c r="AK96" s="2013"/>
      <c r="AL96" s="253"/>
      <c r="AM96" s="5719"/>
      <c r="AN96" s="1806"/>
      <c r="AO96" s="10921"/>
      <c r="AP96" s="253"/>
      <c r="AQ96" s="1193">
        <f>AQ99*(SUM(AQ95,-AQ87))</f>
        <v>5000</v>
      </c>
      <c r="AR96" s="658"/>
      <c r="AS96" s="658"/>
      <c r="AT96" s="658"/>
      <c r="AU96" s="658"/>
      <c r="AV96" s="658"/>
      <c r="AW96" s="658"/>
      <c r="AX96" s="658"/>
      <c r="AY96" s="658"/>
      <c r="AZ96" s="658"/>
      <c r="BA96" s="658"/>
      <c r="BB96"/>
      <c r="BC96"/>
    </row>
    <row r="97" spans="1:55" s="815" customFormat="1" ht="15" customHeight="1" thickBot="1">
      <c r="A97" s="2013"/>
      <c r="B97" s="253"/>
      <c r="C97" s="2723"/>
      <c r="D97" s="1323"/>
      <c r="E97" s="253"/>
      <c r="F97" s="253"/>
      <c r="G97" s="253"/>
      <c r="H97" s="253"/>
      <c r="I97" s="253"/>
      <c r="J97" s="253"/>
      <c r="K97" s="253"/>
      <c r="L97" s="253"/>
      <c r="M97" s="253"/>
      <c r="N97" s="253"/>
      <c r="O97" s="253"/>
      <c r="P97" s="253"/>
      <c r="Q97" s="253"/>
      <c r="R97" s="253"/>
      <c r="S97" s="253"/>
      <c r="T97" s="253"/>
      <c r="U97" s="253"/>
      <c r="V97" s="253"/>
      <c r="W97" s="253"/>
      <c r="X97" s="253"/>
      <c r="Y97" s="253"/>
      <c r="Z97" s="253"/>
      <c r="AA97" s="253"/>
      <c r="AB97" s="253"/>
      <c r="AC97" s="1657"/>
      <c r="AD97" s="4452"/>
      <c r="AE97" s="10879" t="b">
        <f>AND(AE95,AE96="")</f>
        <v>1</v>
      </c>
      <c r="AF97" s="10880"/>
      <c r="AG97" s="10880"/>
      <c r="AH97" s="10880"/>
      <c r="AI97" s="10880"/>
      <c r="AJ97" s="10880"/>
      <c r="AK97" s="2013"/>
      <c r="AL97" s="253"/>
      <c r="AM97" s="253"/>
      <c r="AN97" s="253"/>
      <c r="AO97" s="4271"/>
      <c r="AP97" s="253"/>
      <c r="AQ97" s="851">
        <f>SUM(AQ95,AQ96)</f>
        <v>900950</v>
      </c>
      <c r="AR97" s="658"/>
      <c r="AS97" s="658"/>
      <c r="AT97" s="658"/>
      <c r="AU97" s="658"/>
      <c r="AV97" s="658"/>
      <c r="AW97" s="658"/>
      <c r="AX97" s="658"/>
      <c r="AY97" s="658"/>
      <c r="AZ97" s="658"/>
      <c r="BA97" s="658"/>
      <c r="BB97"/>
      <c r="BC97"/>
    </row>
    <row r="98" spans="1:55" s="815" customFormat="1" ht="16.5" thickBot="1">
      <c r="A98" s="2013"/>
      <c r="B98" s="253"/>
      <c r="C98" s="2917">
        <v>8</v>
      </c>
      <c r="D98" s="1323" t="str">
        <f>"Multiply line 7 by "&amp;TEXT(AQ99,"0%")&amp;" ("&amp;TEXT(AQ99,"0.00")&amp;")"</f>
        <v>Multiply line 7 by 25% (0.25)</v>
      </c>
      <c r="E98" s="253"/>
      <c r="F98" s="511"/>
      <c r="G98" s="511"/>
      <c r="H98" s="253"/>
      <c r="I98" s="253"/>
      <c r="J98" s="253"/>
      <c r="K98" s="253"/>
      <c r="L98" s="253"/>
      <c r="M98" s="253"/>
      <c r="N98" s="253"/>
      <c r="O98" s="253"/>
      <c r="P98" s="253"/>
      <c r="Q98" s="253"/>
      <c r="R98" s="253"/>
      <c r="S98" s="253"/>
      <c r="T98" s="253"/>
      <c r="U98" s="253"/>
      <c r="V98" s="253"/>
      <c r="W98" s="253"/>
      <c r="X98" s="253"/>
      <c r="Y98" s="253"/>
      <c r="Z98" s="253"/>
      <c r="AA98" s="253"/>
      <c r="AB98" s="253"/>
      <c r="AC98" s="1657" t="s">
        <v>2167</v>
      </c>
      <c r="AD98" s="4448">
        <v>8</v>
      </c>
      <c r="AE98" s="10881" t="str">
        <f>IF(AM98&lt;&gt;"",ROUND(AM98,0),IF(AND(AL76="",AQ83=0),"",IF(AE97,"",IF(AE96=0,0,ROUND(AE96*AQ99,0)))))</f>
        <v/>
      </c>
      <c r="AF98" s="7655"/>
      <c r="AG98" s="7655"/>
      <c r="AH98" s="7655"/>
      <c r="AI98" s="7655"/>
      <c r="AJ98" s="7655"/>
      <c r="AK98" s="2013"/>
      <c r="AL98" s="253"/>
      <c r="AM98" s="5719"/>
      <c r="AN98" s="1806"/>
      <c r="AO98" s="5723" t="str">
        <f>"Amount added:  "&amp;TEXT(AQ101,"$0,000")&amp;"."</f>
        <v>Amount added:  -$218,988.</v>
      </c>
      <c r="AP98" s="253"/>
      <c r="AQ98" s="851">
        <f>SUM(AQ95,-AQ87)</f>
        <v>20000</v>
      </c>
      <c r="AR98" s="658"/>
      <c r="AS98" s="658"/>
      <c r="AT98" s="658"/>
      <c r="AU98" s="658"/>
      <c r="AV98" s="658"/>
      <c r="AW98" s="658"/>
      <c r="AX98" s="658"/>
      <c r="AY98" s="658"/>
      <c r="AZ98" s="658"/>
      <c r="BA98" s="658"/>
      <c r="BB98"/>
      <c r="BC98"/>
    </row>
    <row r="99" spans="1:55" s="815" customFormat="1" ht="15" customHeight="1" thickBot="1">
      <c r="A99" s="2013"/>
      <c r="B99" s="253"/>
      <c r="C99" s="2723"/>
      <c r="D99" s="1323"/>
      <c r="E99" s="253"/>
      <c r="F99" s="253"/>
      <c r="G99" s="253"/>
      <c r="H99" s="253"/>
      <c r="I99" s="253"/>
      <c r="J99" s="253"/>
      <c r="K99" s="253"/>
      <c r="L99" s="253"/>
      <c r="M99" s="253"/>
      <c r="N99" s="253"/>
      <c r="O99" s="253"/>
      <c r="P99" s="253"/>
      <c r="Q99" s="253"/>
      <c r="R99" s="253"/>
      <c r="S99" s="253"/>
      <c r="T99" s="253"/>
      <c r="U99" s="253"/>
      <c r="V99" s="253"/>
      <c r="W99" s="253"/>
      <c r="X99" s="253"/>
      <c r="Y99" s="253"/>
      <c r="Z99" s="253"/>
      <c r="AA99" s="253"/>
      <c r="AB99" s="253"/>
      <c r="AC99" s="1657"/>
      <c r="AD99" s="4452"/>
      <c r="AE99" s="10879" t="b">
        <f>AND(AE97,AE98="")</f>
        <v>1</v>
      </c>
      <c r="AF99" s="10880"/>
      <c r="AG99" s="10880"/>
      <c r="AH99" s="10880"/>
      <c r="AI99" s="10880"/>
      <c r="AJ99" s="10880"/>
      <c r="AK99" s="2013"/>
      <c r="AL99" s="253"/>
      <c r="AM99" s="253"/>
      <c r="AN99" s="253"/>
      <c r="AO99" s="5775"/>
      <c r="AP99" s="253"/>
      <c r="AQ99" s="253">
        <v>0.25</v>
      </c>
      <c r="AR99" s="658"/>
      <c r="AS99" s="658"/>
      <c r="AT99" s="658"/>
      <c r="AU99" s="658"/>
      <c r="AV99" s="658"/>
      <c r="AW99" s="658"/>
      <c r="AX99" s="658"/>
      <c r="AY99" s="658"/>
      <c r="AZ99" s="658"/>
      <c r="BA99" s="658"/>
      <c r="BB99"/>
      <c r="BC99"/>
    </row>
    <row r="100" spans="1:55" s="815" customFormat="1" ht="16.5" thickBot="1">
      <c r="A100" s="2013"/>
      <c r="B100" s="253"/>
      <c r="C100" s="2917">
        <v>9</v>
      </c>
      <c r="D100" s="1323" t="s">
        <v>5562</v>
      </c>
      <c r="E100" s="253"/>
      <c r="F100" s="511"/>
      <c r="G100" s="511"/>
      <c r="H100" s="253"/>
      <c r="I100" s="253"/>
      <c r="J100" s="253"/>
      <c r="K100" s="253"/>
      <c r="L100" s="253"/>
      <c r="M100" s="253"/>
      <c r="N100" s="253"/>
      <c r="O100" s="253"/>
      <c r="P100" s="253"/>
      <c r="Q100" s="253"/>
      <c r="R100" s="253"/>
      <c r="S100" s="253"/>
      <c r="T100" s="253"/>
      <c r="U100" s="253"/>
      <c r="V100" s="253"/>
      <c r="W100" s="253"/>
      <c r="X100" s="253"/>
      <c r="Y100" s="253"/>
      <c r="Z100" s="253"/>
      <c r="AA100" s="253"/>
      <c r="AB100" s="253"/>
      <c r="AC100" s="1657" t="s">
        <v>601</v>
      </c>
      <c r="AD100" s="4448">
        <v>9</v>
      </c>
      <c r="AE100" s="10881" t="str">
        <f>IF(AM100&lt;&gt;"",ROUND(AM100,0),IF(AND(AL76="",AQ83=0),"",IF(AE99,"",MAX(0,SUM(AE91,-AE98)))))</f>
        <v/>
      </c>
      <c r="AF100" s="7655"/>
      <c r="AG100" s="7655"/>
      <c r="AH100" s="7655"/>
      <c r="AI100" s="7655"/>
      <c r="AJ100" s="7655"/>
      <c r="AK100" s="2013"/>
      <c r="AL100" s="253"/>
      <c r="AM100" s="5719"/>
      <c r="AN100" s="1806"/>
      <c r="AO100" s="5775"/>
      <c r="AP100" s="253"/>
      <c r="AQ100" s="253"/>
      <c r="AR100" s="658"/>
      <c r="AS100" s="658"/>
      <c r="AT100" s="658"/>
      <c r="AU100" s="658"/>
      <c r="AV100" s="658"/>
      <c r="AW100" s="658"/>
      <c r="AX100" s="658"/>
      <c r="AY100" s="658"/>
      <c r="AZ100" s="658"/>
      <c r="BA100" s="658"/>
      <c r="BB100"/>
      <c r="BC100"/>
    </row>
    <row r="101" spans="1:55" s="815" customFormat="1" ht="15" customHeight="1">
      <c r="A101" s="2013"/>
      <c r="B101" s="253"/>
      <c r="C101" s="2723"/>
      <c r="D101" s="1323"/>
      <c r="E101" s="253"/>
      <c r="F101" s="253"/>
      <c r="G101" s="253"/>
      <c r="H101" s="253"/>
      <c r="I101" s="253"/>
      <c r="J101" s="253"/>
      <c r="K101" s="253"/>
      <c r="L101" s="253"/>
      <c r="M101" s="329"/>
      <c r="N101" s="253"/>
      <c r="O101" s="253"/>
      <c r="P101" s="253"/>
      <c r="Q101" s="253"/>
      <c r="R101" s="253"/>
      <c r="S101" s="253"/>
      <c r="T101" s="253"/>
      <c r="U101" s="253"/>
      <c r="V101" s="253"/>
      <c r="W101" s="253"/>
      <c r="X101" s="253"/>
      <c r="Y101" s="253"/>
      <c r="Z101" s="253"/>
      <c r="AA101" s="253"/>
      <c r="AB101" s="253"/>
      <c r="AC101" s="1657"/>
      <c r="AD101" s="5743"/>
      <c r="AE101" s="10876"/>
      <c r="AF101" s="10878"/>
      <c r="AG101" s="10878"/>
      <c r="AH101" s="10878"/>
      <c r="AI101" s="10878"/>
      <c r="AJ101" s="10878"/>
      <c r="AK101" s="2013"/>
      <c r="AL101" s="253"/>
      <c r="AM101" s="253"/>
      <c r="AN101" s="253"/>
      <c r="AO101" s="2013"/>
      <c r="AP101" s="253"/>
      <c r="AQ101" s="851">
        <f>IF(AE85&gt;AQ86,AQ90,ROUND(AQ99*(SUM(AE85,-AQ87)),0))</f>
        <v>-218988</v>
      </c>
      <c r="AR101" s="658"/>
      <c r="AS101" s="658"/>
      <c r="AT101" s="658"/>
      <c r="AU101" s="658"/>
      <c r="AV101" s="658"/>
      <c r="AW101" s="658"/>
      <c r="AX101" s="658"/>
      <c r="AY101" s="658"/>
      <c r="AZ101" s="658"/>
      <c r="BA101" s="658"/>
      <c r="BB101"/>
      <c r="BC101"/>
    </row>
    <row r="102" spans="1:55" s="815" customFormat="1" ht="16.5" thickBot="1">
      <c r="A102" s="2013"/>
      <c r="B102" s="253"/>
      <c r="C102" s="2917">
        <v>10</v>
      </c>
      <c r="D102" s="1323" t="s">
        <v>5661</v>
      </c>
      <c r="E102" s="253"/>
      <c r="F102" s="511"/>
      <c r="G102" s="511"/>
      <c r="H102" s="253"/>
      <c r="I102" s="253"/>
      <c r="J102" s="253"/>
      <c r="K102" s="1323" t="s">
        <v>5662</v>
      </c>
      <c r="L102" s="1323"/>
      <c r="M102" s="253"/>
      <c r="N102" s="253"/>
      <c r="O102" s="253"/>
      <c r="P102" s="253"/>
      <c r="Q102" s="253"/>
      <c r="R102" s="253"/>
      <c r="S102" s="253"/>
      <c r="T102" s="253"/>
      <c r="U102" s="253"/>
      <c r="V102" s="253"/>
      <c r="W102" s="253"/>
      <c r="X102" s="253"/>
      <c r="Y102" s="253"/>
      <c r="Z102" s="253"/>
      <c r="AA102" s="253"/>
      <c r="AB102" s="253"/>
      <c r="AC102" s="1657"/>
      <c r="AD102" s="5743"/>
      <c r="AE102" s="10879" t="b">
        <f>AND(AE99,AE100="")</f>
        <v>1</v>
      </c>
      <c r="AF102" s="10880"/>
      <c r="AG102" s="10880"/>
      <c r="AH102" s="10880"/>
      <c r="AI102" s="10880"/>
      <c r="AJ102" s="10880"/>
      <c r="AK102" s="2013"/>
      <c r="AL102" s="253"/>
      <c r="AM102" s="253"/>
      <c r="AN102" s="253"/>
      <c r="AO102" s="2013"/>
      <c r="AP102" s="253"/>
      <c r="AQ102" s="5688" t="str">
        <f>IF(AE100="",AE87,SUM(AE87,-AE100))</f>
        <v/>
      </c>
      <c r="AR102" s="664"/>
      <c r="AS102" s="658"/>
      <c r="AT102" s="658"/>
      <c r="AU102" s="658"/>
      <c r="AV102" s="658"/>
      <c r="AW102" s="658"/>
      <c r="AX102" s="658"/>
      <c r="AY102" s="658"/>
      <c r="AZ102" s="658"/>
      <c r="BA102" s="658"/>
      <c r="BB102"/>
      <c r="BC102"/>
    </row>
    <row r="103" spans="1:55" s="815" customFormat="1" ht="16.5" thickBot="1">
      <c r="A103" s="2013"/>
      <c r="B103" s="253"/>
      <c r="C103" s="2917"/>
      <c r="D103" s="1405" t="s">
        <v>5557</v>
      </c>
      <c r="E103" s="253"/>
      <c r="F103" s="511"/>
      <c r="G103" s="511"/>
      <c r="H103" s="253"/>
      <c r="I103" s="253"/>
      <c r="J103" s="253"/>
      <c r="K103" s="253"/>
      <c r="L103" s="253"/>
      <c r="M103" s="253"/>
      <c r="N103" s="253"/>
      <c r="O103" s="253"/>
      <c r="P103" s="253"/>
      <c r="Q103" s="253"/>
      <c r="R103" s="253"/>
      <c r="S103" s="253"/>
      <c r="T103" s="253"/>
      <c r="U103" s="253"/>
      <c r="V103" s="253"/>
      <c r="W103" s="253"/>
      <c r="X103" s="253"/>
      <c r="Y103" s="253"/>
      <c r="Z103" s="253"/>
      <c r="AA103" s="253"/>
      <c r="AB103" s="253"/>
      <c r="AC103" s="1657" t="s">
        <v>643</v>
      </c>
      <c r="AD103" s="4448">
        <v>10</v>
      </c>
      <c r="AE103" s="10881" t="str">
        <f>IF(AM103&lt;&gt;"",ROUND(AM103,0),IF(OR(AE102,AND(AL76="",AQ83=0)),"",IF(AQ103,0,MAX(0,SUM(AE87,-AE100)))))</f>
        <v/>
      </c>
      <c r="AF103" s="7655"/>
      <c r="AG103" s="7655"/>
      <c r="AH103" s="7655"/>
      <c r="AI103" s="7655"/>
      <c r="AJ103" s="7655"/>
      <c r="AK103" s="2013"/>
      <c r="AL103" s="253"/>
      <c r="AM103" s="5719"/>
      <c r="AN103" s="1806"/>
      <c r="AO103" s="2013"/>
      <c r="AP103" s="253"/>
      <c r="AQ103" s="724" t="b">
        <f>OR(AND($AM$103&lt;&gt;"",$AM103&lt;=0),AQ102&lt;=0)</f>
        <v>0</v>
      </c>
      <c r="AR103" s="658"/>
      <c r="AS103" s="658"/>
      <c r="AT103" s="658"/>
      <c r="AU103" s="658"/>
      <c r="AV103" s="658"/>
      <c r="AW103" s="658"/>
      <c r="AX103" s="658"/>
      <c r="AY103" s="658"/>
      <c r="AZ103" s="658"/>
      <c r="BA103" s="658"/>
      <c r="BB103"/>
      <c r="BC103"/>
    </row>
    <row r="104" spans="1:55" s="815" customFormat="1" ht="15" customHeight="1">
      <c r="A104" s="2013"/>
      <c r="B104" s="253"/>
      <c r="C104" s="2723"/>
      <c r="D104" s="511"/>
      <c r="E104" s="253"/>
      <c r="F104" s="253"/>
      <c r="G104" s="253"/>
      <c r="H104" s="253"/>
      <c r="I104" s="253"/>
      <c r="J104" s="253"/>
      <c r="K104" s="253"/>
      <c r="L104" s="253"/>
      <c r="M104" s="253"/>
      <c r="N104" s="253"/>
      <c r="O104" s="253"/>
      <c r="P104" s="253"/>
      <c r="Q104" s="253"/>
      <c r="R104" s="253"/>
      <c r="S104" s="253"/>
      <c r="T104" s="253"/>
      <c r="U104" s="253"/>
      <c r="V104" s="253"/>
      <c r="W104" s="253"/>
      <c r="X104" s="253"/>
      <c r="Y104" s="253"/>
      <c r="Z104" s="253"/>
      <c r="AA104" s="253"/>
      <c r="AB104" s="253"/>
      <c r="AC104" s="1657"/>
      <c r="AD104" s="5743"/>
      <c r="AE104" s="253"/>
      <c r="AF104" s="253"/>
      <c r="AG104" s="253"/>
      <c r="AH104" s="253"/>
      <c r="AI104" s="253"/>
      <c r="AJ104" s="253"/>
      <c r="AK104" s="2013"/>
      <c r="AL104" s="253"/>
      <c r="AM104" s="253"/>
      <c r="AN104" s="253"/>
      <c r="AO104" s="10924" t="s">
        <v>5627</v>
      </c>
      <c r="AP104" s="253"/>
      <c r="AQ104" s="253"/>
      <c r="AR104" s="658"/>
      <c r="AS104" s="658"/>
      <c r="AT104" s="658"/>
      <c r="AU104" s="658"/>
      <c r="AV104" s="658"/>
      <c r="AW104" s="658"/>
      <c r="AX104" s="658"/>
      <c r="AY104" s="658"/>
      <c r="AZ104" s="658"/>
      <c r="BA104" s="658"/>
      <c r="BB104"/>
      <c r="BC104"/>
    </row>
    <row r="105" spans="1:55" s="815" customFormat="1" ht="15" customHeight="1">
      <c r="A105" s="2013"/>
      <c r="B105" s="253"/>
      <c r="C105" s="2917">
        <v>11</v>
      </c>
      <c r="D105" s="4242" t="s">
        <v>637</v>
      </c>
      <c r="E105" s="514" t="s">
        <v>5601</v>
      </c>
      <c r="F105" s="253"/>
      <c r="G105" s="10899">
        <f>LastYear</f>
        <v>2024</v>
      </c>
      <c r="H105" s="10899"/>
      <c r="I105" s="1323" t="s">
        <v>5646</v>
      </c>
      <c r="J105" s="253"/>
      <c r="K105" s="253"/>
      <c r="L105" s="253"/>
      <c r="M105" s="253"/>
      <c r="N105" s="253"/>
      <c r="O105" s="253"/>
      <c r="P105" s="253"/>
      <c r="Q105" s="253"/>
      <c r="R105" s="253"/>
      <c r="S105" s="253"/>
      <c r="T105" s="253"/>
      <c r="U105" s="253"/>
      <c r="V105" s="253"/>
      <c r="W105" s="253"/>
      <c r="X105" s="253"/>
      <c r="Y105" s="253"/>
      <c r="Z105" s="253"/>
      <c r="AA105" s="253"/>
      <c r="AB105" s="253"/>
      <c r="AC105" s="1657"/>
      <c r="AD105" s="5743"/>
      <c r="AE105" s="253"/>
      <c r="AF105" s="253"/>
      <c r="AG105" s="253"/>
      <c r="AH105" s="253"/>
      <c r="AI105" s="253"/>
      <c r="AJ105" s="253"/>
      <c r="AK105" s="2013"/>
      <c r="AL105" s="253"/>
      <c r="AM105" s="253"/>
      <c r="AN105" s="253"/>
      <c r="AO105" s="10925"/>
      <c r="AP105" s="253"/>
      <c r="AQ105" s="253"/>
      <c r="AR105" s="658"/>
      <c r="AS105" s="658"/>
      <c r="AT105" s="658"/>
      <c r="AU105" s="658"/>
      <c r="AV105" s="658"/>
      <c r="AW105" s="658"/>
      <c r="AX105" s="658"/>
      <c r="AY105" s="658"/>
      <c r="AZ105" s="658"/>
      <c r="BA105" s="658"/>
      <c r="BB105"/>
      <c r="BC105"/>
    </row>
    <row r="106" spans="1:55" s="815" customFormat="1" ht="15" customHeight="1">
      <c r="A106" s="2013"/>
      <c r="B106" s="253"/>
      <c r="C106" s="2917"/>
      <c r="D106" s="1323" t="s">
        <v>5648</v>
      </c>
      <c r="E106" s="514"/>
      <c r="F106" s="253"/>
      <c r="G106" s="4467"/>
      <c r="H106" s="4467"/>
      <c r="I106" s="1323"/>
      <c r="J106" s="253"/>
      <c r="K106" s="253"/>
      <c r="L106" s="253"/>
      <c r="M106" s="253"/>
      <c r="N106" s="253"/>
      <c r="O106" s="253"/>
      <c r="P106" s="253"/>
      <c r="Q106" s="253"/>
      <c r="R106" s="253"/>
      <c r="S106" s="253"/>
      <c r="T106" s="253"/>
      <c r="U106" s="253"/>
      <c r="V106" s="253"/>
      <c r="W106" s="253"/>
      <c r="X106" s="253"/>
      <c r="Y106" s="253"/>
      <c r="Z106" s="253"/>
      <c r="AA106" s="253"/>
      <c r="AB106" s="253"/>
      <c r="AC106" s="1657"/>
      <c r="AD106" s="5743"/>
      <c r="AE106" s="253"/>
      <c r="AF106" s="253"/>
      <c r="AG106" s="253"/>
      <c r="AH106" s="253"/>
      <c r="AI106" s="253"/>
      <c r="AJ106" s="253"/>
      <c r="AK106" s="2013"/>
      <c r="AL106" s="253"/>
      <c r="AM106" s="253"/>
      <c r="AN106" s="253"/>
      <c r="AO106" s="10925"/>
      <c r="AP106" s="253"/>
      <c r="AQ106" s="1193"/>
      <c r="AR106" s="658"/>
      <c r="AS106" s="658"/>
      <c r="AT106" s="658"/>
      <c r="AU106" s="658"/>
      <c r="AV106" s="658"/>
      <c r="AW106" s="658"/>
      <c r="AX106" s="658"/>
      <c r="AY106" s="658"/>
      <c r="AZ106" s="658"/>
      <c r="BA106" s="658"/>
      <c r="BB106"/>
      <c r="BC106"/>
    </row>
    <row r="107" spans="1:55" s="815" customFormat="1" ht="15" customHeight="1">
      <c r="A107" s="2013"/>
      <c r="B107" s="253"/>
      <c r="C107" s="2917"/>
      <c r="D107" s="1323" t="s">
        <v>5647</v>
      </c>
      <c r="E107" s="514"/>
      <c r="F107" s="253"/>
      <c r="G107" s="4467"/>
      <c r="H107" s="4467"/>
      <c r="I107" s="1323"/>
      <c r="J107" s="253"/>
      <c r="K107" s="253"/>
      <c r="L107" s="253"/>
      <c r="M107" s="253"/>
      <c r="N107" s="253"/>
      <c r="O107" s="253"/>
      <c r="P107" s="253"/>
      <c r="Q107" s="253"/>
      <c r="R107" s="253"/>
      <c r="S107" s="253"/>
      <c r="T107" s="253"/>
      <c r="U107" s="253"/>
      <c r="V107" s="253"/>
      <c r="W107" s="253"/>
      <c r="X107" s="253"/>
      <c r="Y107" s="253"/>
      <c r="Z107" s="253"/>
      <c r="AA107" s="253"/>
      <c r="AB107" s="253"/>
      <c r="AC107" s="1657"/>
      <c r="AD107" s="5743"/>
      <c r="AE107" s="253"/>
      <c r="AF107" s="253"/>
      <c r="AG107" s="253"/>
      <c r="AH107" s="253"/>
      <c r="AI107" s="253"/>
      <c r="AJ107" s="253"/>
      <c r="AK107" s="2013"/>
      <c r="AL107" s="253"/>
      <c r="AM107" s="253"/>
      <c r="AN107" s="253"/>
      <c r="AO107" s="10925"/>
      <c r="AP107" s="253"/>
      <c r="AQ107" s="2201" t="b">
        <f>AND($AE$40&lt;&gt;"",$AE$40&lt;&gt;0)</f>
        <v>0</v>
      </c>
      <c r="AR107" s="658"/>
      <c r="AS107" s="658"/>
      <c r="AT107" s="658"/>
      <c r="AU107" s="658"/>
      <c r="AV107" s="658"/>
      <c r="AW107" s="658"/>
      <c r="AX107" s="658"/>
      <c r="AY107" s="658"/>
      <c r="AZ107" s="658"/>
      <c r="BA107" s="658"/>
      <c r="BB107"/>
      <c r="BC107"/>
    </row>
    <row r="108" spans="1:55" s="815" customFormat="1" ht="15" customHeight="1">
      <c r="A108" s="2013"/>
      <c r="B108" s="253"/>
      <c r="C108" s="2917"/>
      <c r="D108" s="4242" t="s">
        <v>637</v>
      </c>
      <c r="E108" s="514" t="s">
        <v>5601</v>
      </c>
      <c r="F108" s="253"/>
      <c r="G108" s="10899">
        <f>LastYear</f>
        <v>2024</v>
      </c>
      <c r="H108" s="10899"/>
      <c r="I108" s="1323" t="s">
        <v>5599</v>
      </c>
      <c r="J108" s="253"/>
      <c r="K108" s="253"/>
      <c r="L108" s="253"/>
      <c r="M108" s="253"/>
      <c r="N108" s="253"/>
      <c r="O108" s="253"/>
      <c r="P108" s="253"/>
      <c r="Q108" s="253"/>
      <c r="R108" s="253"/>
      <c r="S108" s="253"/>
      <c r="T108" s="253"/>
      <c r="U108" s="253"/>
      <c r="V108" s="253"/>
      <c r="W108" s="253"/>
      <c r="X108" s="253"/>
      <c r="Y108" s="253"/>
      <c r="Z108" s="253"/>
      <c r="AA108" s="253"/>
      <c r="AB108" s="253"/>
      <c r="AC108" s="1657"/>
      <c r="AD108" s="5743"/>
      <c r="AE108" s="253"/>
      <c r="AF108" s="253"/>
      <c r="AG108" s="253"/>
      <c r="AH108" s="253"/>
      <c r="AI108" s="253"/>
      <c r="AJ108" s="253"/>
      <c r="AK108" s="2013"/>
      <c r="AL108" s="253"/>
      <c r="AM108" s="253"/>
      <c r="AN108" s="253"/>
      <c r="AO108" s="10925"/>
      <c r="AP108" s="253"/>
      <c r="AQ108" s="5766" t="b">
        <f>$AQ$38</f>
        <v>0</v>
      </c>
      <c r="AR108" s="658"/>
      <c r="AS108" s="658"/>
      <c r="AT108" s="658"/>
      <c r="AU108" s="658"/>
      <c r="AV108" s="658"/>
      <c r="AW108" s="658"/>
      <c r="AX108" s="658"/>
      <c r="AY108" s="658"/>
      <c r="AZ108" s="658"/>
      <c r="BA108" s="658"/>
      <c r="BB108"/>
      <c r="BC108"/>
    </row>
    <row r="109" spans="1:55" s="815" customFormat="1" ht="15" customHeight="1">
      <c r="A109" s="2013"/>
      <c r="B109" s="253"/>
      <c r="C109" s="2917"/>
      <c r="D109" s="1323" t="s">
        <v>5558</v>
      </c>
      <c r="E109" s="1323"/>
      <c r="F109" s="253"/>
      <c r="G109" s="253"/>
      <c r="H109" s="253"/>
      <c r="I109" s="253"/>
      <c r="J109" s="253"/>
      <c r="K109" s="253"/>
      <c r="L109" s="253"/>
      <c r="M109" s="253"/>
      <c r="N109" s="253"/>
      <c r="O109" s="253"/>
      <c r="P109" s="253"/>
      <c r="Q109" s="253"/>
      <c r="R109" s="253"/>
      <c r="S109" s="253"/>
      <c r="T109" s="253"/>
      <c r="U109" s="253"/>
      <c r="V109" s="253"/>
      <c r="W109" s="1401"/>
      <c r="X109" s="253"/>
      <c r="Y109" s="253"/>
      <c r="Z109" s="253"/>
      <c r="AA109" s="253"/>
      <c r="AB109" s="253"/>
      <c r="AC109" s="253"/>
      <c r="AD109" s="5743"/>
      <c r="AE109" s="253"/>
      <c r="AF109" s="253"/>
      <c r="AG109" s="253"/>
      <c r="AH109" s="253"/>
      <c r="AI109" s="253"/>
      <c r="AJ109" s="253"/>
      <c r="AK109" s="2013"/>
      <c r="AL109" s="253"/>
      <c r="AM109" s="253"/>
      <c r="AN109" s="253"/>
      <c r="AO109" s="10925"/>
      <c r="AP109" s="253"/>
      <c r="AQ109" s="2201" t="b">
        <f>AND($AE$46&lt;&gt;"",$AE$46&gt;0,$AE$48&lt;&gt;"",$AE$48&gt;0)</f>
        <v>0</v>
      </c>
      <c r="AR109" s="658"/>
      <c r="AS109" s="658"/>
      <c r="AT109" s="658"/>
      <c r="AU109" s="658"/>
      <c r="AV109" s="658"/>
      <c r="AW109" s="658"/>
      <c r="AX109" s="658"/>
      <c r="AY109" s="658"/>
      <c r="AZ109" s="658"/>
      <c r="BA109" s="658"/>
      <c r="BB109"/>
      <c r="BC109"/>
    </row>
    <row r="110" spans="1:55" s="815" customFormat="1" ht="15" customHeight="1" thickBot="1">
      <c r="A110" s="2013"/>
      <c r="B110" s="253"/>
      <c r="C110" s="2917"/>
      <c r="D110" s="1323" t="s">
        <v>5600</v>
      </c>
      <c r="E110" s="1323"/>
      <c r="F110" s="253"/>
      <c r="G110" s="253"/>
      <c r="H110" s="253"/>
      <c r="I110" s="253"/>
      <c r="J110" s="253"/>
      <c r="K110" s="253"/>
      <c r="L110" s="253"/>
      <c r="M110" s="253"/>
      <c r="N110" s="253"/>
      <c r="O110" s="253"/>
      <c r="P110" s="253"/>
      <c r="Q110" s="253"/>
      <c r="R110" s="253"/>
      <c r="S110" s="253"/>
      <c r="T110" s="253"/>
      <c r="U110" s="253"/>
      <c r="V110" s="253"/>
      <c r="W110" s="253"/>
      <c r="X110" s="253"/>
      <c r="Y110" s="253"/>
      <c r="Z110" s="253"/>
      <c r="AA110" s="253"/>
      <c r="AB110" s="253"/>
      <c r="AC110" s="1657"/>
      <c r="AD110" s="5743"/>
      <c r="AE110" s="10879" t="b">
        <f>AND(AE102,AE103="")</f>
        <v>1</v>
      </c>
      <c r="AF110" s="10880"/>
      <c r="AG110" s="10880"/>
      <c r="AH110" s="10880"/>
      <c r="AI110" s="10880"/>
      <c r="AJ110" s="10880"/>
      <c r="AK110" s="2013"/>
      <c r="AL110" s="253"/>
      <c r="AM110" s="253"/>
      <c r="AN110" s="253"/>
      <c r="AO110" s="10925"/>
      <c r="AP110" s="253"/>
      <c r="AQ110" s="724" t="b">
        <f>OR(AQ107,AQ108,AQ109)</f>
        <v>0</v>
      </c>
      <c r="AR110" s="658"/>
      <c r="AS110" s="658"/>
      <c r="AT110" s="658"/>
      <c r="AU110" s="658"/>
      <c r="AV110" s="658"/>
      <c r="AW110" s="658"/>
      <c r="AX110" s="658"/>
      <c r="AY110" s="658"/>
      <c r="AZ110" s="658"/>
      <c r="BA110" s="658"/>
      <c r="BB110"/>
      <c r="BC110"/>
    </row>
    <row r="111" spans="1:55" s="815" customFormat="1" ht="15" customHeight="1" thickBot="1">
      <c r="A111" s="2013"/>
      <c r="B111" s="253"/>
      <c r="C111" s="2917"/>
      <c r="D111" s="1323" t="s">
        <v>5559</v>
      </c>
      <c r="E111" s="1323"/>
      <c r="F111" s="253"/>
      <c r="G111" s="253"/>
      <c r="H111" s="253"/>
      <c r="I111" s="253"/>
      <c r="J111" s="253"/>
      <c r="K111" s="512"/>
      <c r="L111" s="512"/>
      <c r="M111" s="512"/>
      <c r="N111" s="512"/>
      <c r="O111" s="512"/>
      <c r="P111" s="512"/>
      <c r="Q111" s="253"/>
      <c r="R111" s="253"/>
      <c r="S111" s="253"/>
      <c r="T111" s="253"/>
      <c r="U111" s="253"/>
      <c r="V111" s="253"/>
      <c r="W111" s="253"/>
      <c r="X111" s="253"/>
      <c r="Y111" s="253"/>
      <c r="Z111" s="253"/>
      <c r="AA111" s="253"/>
      <c r="AB111" s="253"/>
      <c r="AC111" s="253"/>
      <c r="AD111" s="4448">
        <v>11</v>
      </c>
      <c r="AE111" s="10881" t="str">
        <f>IF(AM111&lt;&gt;"",ROUND(AM111,0),IF(OR(AQ103,AE110,AND($AL$76="",$AQ$83=0)),"",IF(AQ110,$AE$231,$AQ$119)))</f>
        <v/>
      </c>
      <c r="AF111" s="7655"/>
      <c r="AG111" s="7655"/>
      <c r="AH111" s="7655"/>
      <c r="AI111" s="7655"/>
      <c r="AJ111" s="7655"/>
      <c r="AK111" s="2013"/>
      <c r="AL111" s="253"/>
      <c r="AM111" s="5719"/>
      <c r="AN111" s="1806"/>
      <c r="AO111" s="2013"/>
      <c r="AP111" s="253"/>
      <c r="AQ111" s="253"/>
      <c r="AR111" s="658"/>
      <c r="AS111" s="658"/>
      <c r="AT111" s="658"/>
      <c r="AU111" s="658"/>
      <c r="AV111" s="658"/>
      <c r="AW111" s="658"/>
      <c r="AX111" s="658"/>
      <c r="AY111" s="658"/>
      <c r="AZ111" s="658"/>
      <c r="BA111" s="658"/>
      <c r="BB111"/>
      <c r="BC111"/>
    </row>
    <row r="112" spans="1:55" s="815" customFormat="1" ht="15" customHeight="1">
      <c r="A112" s="2013"/>
      <c r="B112" s="253"/>
      <c r="C112" s="2723"/>
      <c r="D112" s="1323" t="s">
        <v>5560</v>
      </c>
      <c r="E112" s="1323"/>
      <c r="F112" s="253"/>
      <c r="G112" s="253"/>
      <c r="H112" s="253"/>
      <c r="I112" s="253"/>
      <c r="J112" s="253"/>
      <c r="K112" s="512"/>
      <c r="L112" s="512"/>
      <c r="M112" s="512"/>
      <c r="N112" s="512"/>
      <c r="O112" s="512"/>
      <c r="P112" s="512"/>
      <c r="Q112" s="253"/>
      <c r="R112" s="253"/>
      <c r="S112" s="253"/>
      <c r="T112" s="253"/>
      <c r="U112" s="253"/>
      <c r="V112" s="253"/>
      <c r="W112" s="253"/>
      <c r="X112" s="253"/>
      <c r="Y112" s="253"/>
      <c r="Z112" s="253"/>
      <c r="AA112" s="253"/>
      <c r="AB112" s="253"/>
      <c r="AC112" s="253"/>
      <c r="AD112" s="5743"/>
      <c r="AE112" s="253"/>
      <c r="AF112" s="253"/>
      <c r="AG112" s="253"/>
      <c r="AH112" s="253"/>
      <c r="AI112" s="253"/>
      <c r="AJ112" s="253"/>
      <c r="AK112" s="2013"/>
      <c r="AL112" s="253"/>
      <c r="AM112" s="253"/>
      <c r="AN112" s="253"/>
      <c r="AO112" s="2013"/>
      <c r="AP112" s="253"/>
      <c r="AQ112" s="253"/>
      <c r="AR112" s="658"/>
      <c r="AS112" s="658"/>
      <c r="AT112" s="658"/>
      <c r="AU112" s="658"/>
      <c r="AV112" s="658"/>
      <c r="AW112" s="658"/>
      <c r="AX112" s="658"/>
      <c r="AY112" s="658"/>
      <c r="AZ112" s="658"/>
      <c r="BA112" s="658"/>
      <c r="BB112"/>
      <c r="BC112"/>
    </row>
    <row r="113" spans="1:55" s="815" customFormat="1" ht="15" customHeight="1">
      <c r="A113" s="2013"/>
      <c r="B113" s="253"/>
      <c r="C113" s="2917"/>
      <c r="D113" s="1323"/>
      <c r="E113" s="1323"/>
      <c r="F113" s="253"/>
      <c r="G113" s="253"/>
      <c r="H113" s="253"/>
      <c r="I113" s="253"/>
      <c r="J113" s="253"/>
      <c r="K113" s="512"/>
      <c r="L113" s="512"/>
      <c r="M113" s="512"/>
      <c r="N113" s="512"/>
      <c r="O113" s="512"/>
      <c r="P113" s="512"/>
      <c r="Q113" s="253"/>
      <c r="R113" s="253"/>
      <c r="S113" s="253"/>
      <c r="T113" s="253"/>
      <c r="U113" s="511"/>
      <c r="V113" s="511"/>
      <c r="W113" s="253"/>
      <c r="X113" s="253"/>
      <c r="Y113" s="253"/>
      <c r="Z113" s="253"/>
      <c r="AA113" s="253"/>
      <c r="AB113" s="253"/>
      <c r="AC113" s="2198"/>
      <c r="AD113" s="5743"/>
      <c r="AE113" s="253"/>
      <c r="AF113" s="253"/>
      <c r="AG113" s="253"/>
      <c r="AH113" s="253"/>
      <c r="AI113" s="253"/>
      <c r="AJ113" s="253"/>
      <c r="AK113" s="2013"/>
      <c r="AL113" s="253"/>
      <c r="AM113" s="253"/>
      <c r="AN113" s="253"/>
      <c r="AO113" s="2013"/>
      <c r="AP113" s="253"/>
      <c r="AQ113" s="1193">
        <v>232600</v>
      </c>
      <c r="AR113" s="658"/>
      <c r="AS113" s="658"/>
      <c r="AT113" s="658"/>
      <c r="AU113" s="658"/>
      <c r="AV113" s="658"/>
      <c r="AW113" s="658"/>
      <c r="AX113" s="658"/>
      <c r="AY113" s="658"/>
      <c r="AZ113" s="658"/>
      <c r="BA113" s="658"/>
      <c r="BB113"/>
      <c r="BC113"/>
    </row>
    <row r="114" spans="1:55" s="815" customFormat="1" ht="15" customHeight="1">
      <c r="A114" s="2013"/>
      <c r="B114" s="253"/>
      <c r="C114" s="2917"/>
      <c r="D114" s="4242" t="s">
        <v>637</v>
      </c>
      <c r="E114" s="514" t="s">
        <v>3708</v>
      </c>
      <c r="F114" s="253"/>
      <c r="G114" s="1323"/>
      <c r="H114" s="1323" t="str">
        <f>"If line 10 is "&amp;TEXT($AQ$113,"$0,000")&amp;" or less ("&amp;TEXT($AQ$114,"$0,000")&amp;" or less if married filing separately for "&amp;LastYear&amp;"),"</f>
        <v>If line 10 is $232,600 or less ($116,300 or less if married filing separately for 2024),</v>
      </c>
      <c r="I114" s="253"/>
      <c r="J114" s="253"/>
      <c r="K114" s="512"/>
      <c r="L114" s="512"/>
      <c r="M114" s="512"/>
      <c r="N114" s="512"/>
      <c r="O114" s="512"/>
      <c r="P114" s="512"/>
      <c r="Q114" s="253"/>
      <c r="R114" s="253"/>
      <c r="S114" s="253"/>
      <c r="T114" s="253"/>
      <c r="U114" s="253"/>
      <c r="V114" s="253"/>
      <c r="W114" s="253"/>
      <c r="X114" s="253"/>
      <c r="Y114" s="253"/>
      <c r="Z114" s="3817"/>
      <c r="AA114" s="253"/>
      <c r="AB114" s="3817"/>
      <c r="AC114" s="4473"/>
      <c r="AD114" s="5743"/>
      <c r="AE114" s="253"/>
      <c r="AF114" s="253"/>
      <c r="AG114" s="253"/>
      <c r="AH114" s="253"/>
      <c r="AI114" s="253"/>
      <c r="AJ114" s="253"/>
      <c r="AK114" s="2013"/>
      <c r="AL114" s="253"/>
      <c r="AM114" s="253"/>
      <c r="AN114" s="253"/>
      <c r="AO114" s="2013"/>
      <c r="AP114" s="253"/>
      <c r="AQ114" s="1193">
        <v>116300</v>
      </c>
      <c r="AR114" s="658"/>
      <c r="AS114" s="658"/>
      <c r="AT114" s="658"/>
      <c r="AU114" s="658"/>
      <c r="AV114" s="658"/>
      <c r="AW114" s="658"/>
      <c r="AX114" s="658"/>
      <c r="AY114" s="658"/>
      <c r="AZ114" s="658"/>
      <c r="BA114" s="658"/>
      <c r="BB114"/>
      <c r="BC114"/>
    </row>
    <row r="115" spans="1:55" s="815" customFormat="1" ht="15" customHeight="1">
      <c r="A115" s="2013"/>
      <c r="B115" s="253"/>
      <c r="C115" s="2917"/>
      <c r="D115" s="1323" t="str">
        <f>"multiply line 10 by "&amp;TEXT($AQ$115,"0%")&amp;" ("&amp;TEXT($AQ$115,"0.00")&amp;"). Otherwise, multiply line 10 by "&amp;TEXT($AQ$118,"0%")&amp;" ("&amp;TEXT($AQ$118,"0.00")&amp;") and subtract "&amp;TEXT($AQ$116,"$0,000")</f>
        <v>multiply line 10 by 26% (0.26). Otherwise, multiply line 10 by 28% (0.28) and subtract $4,652</v>
      </c>
      <c r="E115" s="1323"/>
      <c r="F115" s="253"/>
      <c r="G115" s="253"/>
      <c r="H115" s="253"/>
      <c r="I115" s="253"/>
      <c r="J115" s="253"/>
      <c r="K115" s="512"/>
      <c r="L115" s="512"/>
      <c r="M115" s="512"/>
      <c r="N115" s="512"/>
      <c r="O115" s="512"/>
      <c r="P115" s="512"/>
      <c r="Q115" s="253"/>
      <c r="R115" s="253"/>
      <c r="S115" s="253"/>
      <c r="T115" s="253"/>
      <c r="U115" s="253"/>
      <c r="V115" s="253"/>
      <c r="W115" s="253"/>
      <c r="X115" s="253"/>
      <c r="Y115" s="253"/>
      <c r="Z115" s="253"/>
      <c r="AA115" s="253"/>
      <c r="AB115" s="253"/>
      <c r="AC115" s="253"/>
      <c r="AD115" s="5743"/>
      <c r="AE115" s="253"/>
      <c r="AF115" s="253"/>
      <c r="AG115" s="253"/>
      <c r="AH115" s="253"/>
      <c r="AI115" s="253"/>
      <c r="AJ115" s="253"/>
      <c r="AK115" s="2013"/>
      <c r="AL115" s="253"/>
      <c r="AM115" s="253"/>
      <c r="AN115" s="253"/>
      <c r="AO115" s="2013"/>
      <c r="AP115" s="253"/>
      <c r="AQ115" s="253">
        <v>0.26</v>
      </c>
      <c r="AR115" s="658"/>
      <c r="AS115" s="658"/>
      <c r="AT115" s="658"/>
      <c r="AU115" s="658"/>
      <c r="AV115" s="658"/>
      <c r="AW115" s="658"/>
      <c r="AX115" s="658"/>
      <c r="AY115" s="658"/>
      <c r="AZ115" s="658"/>
      <c r="BA115" s="658"/>
      <c r="BB115"/>
      <c r="BC115"/>
    </row>
    <row r="116" spans="1:55" s="815" customFormat="1" ht="15" customHeight="1">
      <c r="A116" s="2013"/>
      <c r="B116" s="253"/>
      <c r="C116" s="2917"/>
      <c r="D116" s="1323" t="str">
        <f>"("&amp;TEXT($AQ$117,"$0,000")&amp;" if married filing separately for "&amp;LastYear&amp;") from the result."</f>
        <v>($2,326 if married filing separately for 2024) from the result.</v>
      </c>
      <c r="E116" s="1323"/>
      <c r="F116" s="253"/>
      <c r="G116" s="253"/>
      <c r="H116" s="253"/>
      <c r="I116" s="253"/>
      <c r="J116" s="253"/>
      <c r="K116" s="512"/>
      <c r="L116" s="512"/>
      <c r="M116" s="512"/>
      <c r="N116" s="512"/>
      <c r="O116" s="512"/>
      <c r="P116" s="512"/>
      <c r="Q116" s="253"/>
      <c r="R116" s="253"/>
      <c r="S116" s="253"/>
      <c r="T116" s="253"/>
      <c r="U116" s="253"/>
      <c r="V116" s="253"/>
      <c r="W116" s="253"/>
      <c r="X116" s="253"/>
      <c r="Y116" s="253"/>
      <c r="Z116" s="253"/>
      <c r="AA116" s="253"/>
      <c r="AB116" s="253"/>
      <c r="AC116" s="253"/>
      <c r="AD116" s="5743"/>
      <c r="AE116" s="253"/>
      <c r="AF116" s="253"/>
      <c r="AG116" s="253"/>
      <c r="AH116" s="253"/>
      <c r="AI116" s="253"/>
      <c r="AJ116" s="253"/>
      <c r="AK116" s="2013"/>
      <c r="AL116" s="512"/>
      <c r="AM116" s="253"/>
      <c r="AN116" s="253"/>
      <c r="AO116" s="2013"/>
      <c r="AP116" s="253"/>
      <c r="AQ116" s="1193">
        <v>4652</v>
      </c>
      <c r="AR116" s="658"/>
      <c r="AS116" s="658"/>
      <c r="AT116" s="658"/>
      <c r="AU116" s="658"/>
      <c r="AV116" s="658"/>
      <c r="AW116" s="658"/>
      <c r="AX116" s="658"/>
      <c r="AY116" s="658"/>
      <c r="AZ116" s="658"/>
      <c r="BA116" s="658"/>
      <c r="BB116"/>
      <c r="BC116"/>
    </row>
    <row r="117" spans="1:55" s="815" customFormat="1" ht="14.25" customHeight="1">
      <c r="A117" s="2013"/>
      <c r="B117" s="253"/>
      <c r="C117" s="2917"/>
      <c r="D117" s="511"/>
      <c r="E117" s="511"/>
      <c r="F117" s="253"/>
      <c r="G117" s="253"/>
      <c r="H117" s="253"/>
      <c r="I117" s="253"/>
      <c r="J117" s="253"/>
      <c r="K117" s="512"/>
      <c r="L117" s="512"/>
      <c r="M117" s="512"/>
      <c r="N117" s="512"/>
      <c r="O117" s="512"/>
      <c r="P117" s="512"/>
      <c r="Q117" s="253"/>
      <c r="R117" s="253"/>
      <c r="S117" s="253"/>
      <c r="T117" s="253"/>
      <c r="U117" s="253"/>
      <c r="V117" s="253"/>
      <c r="W117" s="253"/>
      <c r="X117" s="253"/>
      <c r="Y117" s="253"/>
      <c r="Z117" s="253"/>
      <c r="AA117" s="253"/>
      <c r="AB117" s="253"/>
      <c r="AC117" s="253"/>
      <c r="AD117" s="5743"/>
      <c r="AE117" s="253"/>
      <c r="AF117" s="253"/>
      <c r="AG117" s="253"/>
      <c r="AH117" s="253"/>
      <c r="AI117" s="253"/>
      <c r="AJ117" s="253"/>
      <c r="AK117" s="2013"/>
      <c r="AL117" s="4226"/>
      <c r="AM117" s="253"/>
      <c r="AN117" s="253"/>
      <c r="AO117" s="2013"/>
      <c r="AP117" s="253"/>
      <c r="AQ117" s="1193">
        <v>2326</v>
      </c>
      <c r="AR117" s="658"/>
      <c r="AS117" s="658"/>
      <c r="AT117" s="658"/>
      <c r="AU117" s="658"/>
      <c r="AV117" s="658"/>
      <c r="AW117" s="658"/>
      <c r="AX117" s="658"/>
      <c r="AY117" s="658"/>
      <c r="AZ117" s="658"/>
      <c r="BA117" s="658"/>
      <c r="BB117"/>
      <c r="BC117"/>
    </row>
    <row r="118" spans="1:55" s="815" customFormat="1" ht="15.75">
      <c r="A118" s="2013"/>
      <c r="B118" s="253"/>
      <c r="C118" s="2917">
        <v>12</v>
      </c>
      <c r="D118" s="1323" t="s">
        <v>5563</v>
      </c>
      <c r="E118" s="253"/>
      <c r="F118" s="511"/>
      <c r="G118" s="511"/>
      <c r="H118" s="253"/>
      <c r="I118" s="253"/>
      <c r="J118" s="253"/>
      <c r="K118" s="253"/>
      <c r="L118" s="253"/>
      <c r="M118" s="253"/>
      <c r="N118" s="253"/>
      <c r="O118" s="253"/>
      <c r="P118" s="253"/>
      <c r="Q118" s="253"/>
      <c r="R118" s="253"/>
      <c r="S118" s="253"/>
      <c r="T118" s="253"/>
      <c r="U118" s="253"/>
      <c r="V118" s="253"/>
      <c r="W118" s="253"/>
      <c r="X118" s="253"/>
      <c r="Y118" s="253"/>
      <c r="Z118" s="253"/>
      <c r="AA118" s="253"/>
      <c r="AB118" s="253"/>
      <c r="AC118" s="1657" t="s">
        <v>676</v>
      </c>
      <c r="AD118" s="4448">
        <v>12</v>
      </c>
      <c r="AE118" s="10898"/>
      <c r="AF118" s="7585"/>
      <c r="AG118" s="7585"/>
      <c r="AH118" s="7585"/>
      <c r="AI118" s="7585"/>
      <c r="AJ118" s="7585"/>
      <c r="AK118" s="2013"/>
      <c r="AL118" s="253"/>
      <c r="AM118" s="253"/>
      <c r="AN118" s="253"/>
      <c r="AO118" s="2013"/>
      <c r="AP118" s="253"/>
      <c r="AQ118" s="253">
        <v>0.28000000000000003</v>
      </c>
      <c r="AR118" s="658"/>
      <c r="AS118" s="658"/>
      <c r="AT118" s="658"/>
      <c r="AU118" s="658"/>
      <c r="AV118" s="658"/>
      <c r="AW118" s="658"/>
      <c r="AX118" s="658"/>
      <c r="AY118" s="658"/>
      <c r="AZ118" s="658"/>
      <c r="BA118" s="658"/>
      <c r="BB118"/>
      <c r="BC118"/>
    </row>
    <row r="119" spans="1:55" s="815" customFormat="1" ht="14.25" customHeight="1">
      <c r="A119" s="2013"/>
      <c r="B119" s="253"/>
      <c r="C119" s="2917"/>
      <c r="D119" s="511"/>
      <c r="E119" s="511"/>
      <c r="F119" s="253"/>
      <c r="G119" s="253"/>
      <c r="H119" s="253"/>
      <c r="I119" s="253"/>
      <c r="J119" s="253"/>
      <c r="K119" s="512"/>
      <c r="L119" s="512"/>
      <c r="M119" s="512"/>
      <c r="N119" s="512"/>
      <c r="O119" s="512"/>
      <c r="P119" s="512"/>
      <c r="Q119" s="253"/>
      <c r="R119" s="253"/>
      <c r="S119" s="253"/>
      <c r="T119" s="253"/>
      <c r="U119" s="253"/>
      <c r="V119" s="253"/>
      <c r="W119" s="253"/>
      <c r="X119" s="253"/>
      <c r="Y119" s="253"/>
      <c r="Z119" s="253"/>
      <c r="AA119" s="253"/>
      <c r="AB119" s="253"/>
      <c r="AC119" s="253"/>
      <c r="AD119" s="4452"/>
      <c r="AE119" s="10900"/>
      <c r="AF119" s="10901"/>
      <c r="AG119" s="10901"/>
      <c r="AH119" s="10901"/>
      <c r="AI119" s="10901"/>
      <c r="AJ119" s="10901"/>
      <c r="AK119" s="2013"/>
      <c r="AL119" s="4226"/>
      <c r="AM119" s="253"/>
      <c r="AN119" s="253"/>
      <c r="AO119" s="2013"/>
      <c r="AP119" s="253"/>
      <c r="AQ119" s="1193">
        <f>IF(AE103="",0,IF(AND($AQ$83=3&lt;&gt;"",AE103&lt;=$AQ$114),ROUND(AE103*$AQ$115,0),IF(AE103&lt;=$AQ$113,ROUND(AE103*$AQ$115,0),IF($AQ$83=3,SUM(ROUND(AE103*$AQ$118,0),-$AQ$117),SUM(ROUND(AE103*$AQ$118,0)-$AQ$116)))))</f>
        <v>0</v>
      </c>
      <c r="AR119" s="658"/>
      <c r="AS119" s="658"/>
      <c r="AT119" s="658"/>
      <c r="AU119" s="658"/>
      <c r="AV119" s="658"/>
      <c r="AW119" s="658"/>
      <c r="AX119" s="658"/>
      <c r="AY119" s="658"/>
      <c r="AZ119" s="658"/>
      <c r="BA119" s="658"/>
      <c r="BB119"/>
      <c r="BC119"/>
    </row>
    <row r="120" spans="1:55" s="815" customFormat="1" ht="15.75">
      <c r="A120" s="2013"/>
      <c r="B120" s="253"/>
      <c r="C120" s="2917">
        <v>13</v>
      </c>
      <c r="D120" s="1323" t="s">
        <v>5564</v>
      </c>
      <c r="E120" s="253"/>
      <c r="F120" s="511"/>
      <c r="G120" s="511"/>
      <c r="H120" s="253"/>
      <c r="I120" s="253"/>
      <c r="J120" s="253"/>
      <c r="K120" s="253"/>
      <c r="L120" s="253"/>
      <c r="M120" s="253"/>
      <c r="N120" s="253"/>
      <c r="O120" s="253"/>
      <c r="P120" s="253"/>
      <c r="Q120" s="253"/>
      <c r="R120" s="253"/>
      <c r="S120" s="253"/>
      <c r="T120" s="253"/>
      <c r="U120" s="253"/>
      <c r="V120" s="253"/>
      <c r="W120" s="253"/>
      <c r="X120" s="253"/>
      <c r="Y120" s="253"/>
      <c r="Z120" s="253"/>
      <c r="AA120" s="253"/>
      <c r="AB120" s="253"/>
      <c r="AC120" s="1657" t="s">
        <v>676</v>
      </c>
      <c r="AD120" s="4448">
        <v>13</v>
      </c>
      <c r="AE120" s="10881" t="str">
        <f>IF(OR(AQ103,$AE$110),"",SUM(AE111,-AE118))</f>
        <v/>
      </c>
      <c r="AF120" s="7655"/>
      <c r="AG120" s="7655"/>
      <c r="AH120" s="7655"/>
      <c r="AI120" s="7655"/>
      <c r="AJ120" s="7655"/>
      <c r="AK120" s="2013"/>
      <c r="AL120" s="4226"/>
      <c r="AM120" s="253"/>
      <c r="AN120" s="253"/>
      <c r="AO120" s="2013"/>
      <c r="AP120" s="253"/>
      <c r="AQ120" s="253"/>
      <c r="AR120" s="658"/>
      <c r="AS120" s="658"/>
      <c r="AT120" s="658"/>
      <c r="AU120" s="658"/>
      <c r="AV120" s="658"/>
      <c r="AW120" s="658"/>
      <c r="AX120" s="658"/>
      <c r="AY120" s="658"/>
      <c r="AZ120" s="658"/>
      <c r="BA120" s="658"/>
      <c r="BB120"/>
      <c r="BC120"/>
    </row>
    <row r="121" spans="1:55" s="815" customFormat="1" ht="14.25" customHeight="1" thickBot="1">
      <c r="A121" s="2013"/>
      <c r="B121" s="253"/>
      <c r="C121" s="2917"/>
      <c r="D121" s="511"/>
      <c r="E121" s="511"/>
      <c r="F121" s="253"/>
      <c r="G121" s="253"/>
      <c r="H121" s="253"/>
      <c r="I121" s="253"/>
      <c r="J121" s="253"/>
      <c r="K121" s="512"/>
      <c r="L121" s="512"/>
      <c r="M121" s="512"/>
      <c r="N121" s="512"/>
      <c r="O121" s="512"/>
      <c r="P121" s="512"/>
      <c r="Q121" s="253"/>
      <c r="R121" s="253"/>
      <c r="S121" s="253"/>
      <c r="T121" s="253"/>
      <c r="U121" s="253"/>
      <c r="V121" s="253"/>
      <c r="W121" s="253"/>
      <c r="X121" s="253"/>
      <c r="Y121" s="253"/>
      <c r="Z121" s="253"/>
      <c r="AA121" s="253"/>
      <c r="AB121" s="253"/>
      <c r="AC121" s="253"/>
      <c r="AD121" s="4452"/>
      <c r="AE121" s="253"/>
      <c r="AF121" s="253"/>
      <c r="AG121" s="253"/>
      <c r="AH121" s="253"/>
      <c r="AI121" s="253"/>
      <c r="AJ121" s="253"/>
      <c r="AK121" s="2013"/>
      <c r="AL121" s="4226"/>
      <c r="AM121" s="253"/>
      <c r="AN121" s="253"/>
      <c r="AO121" s="2013"/>
      <c r="AP121" s="253"/>
      <c r="AQ121" s="253"/>
      <c r="AR121" s="658"/>
      <c r="AS121" s="658"/>
      <c r="AT121" s="658"/>
      <c r="AU121" s="658"/>
      <c r="AV121" s="658"/>
      <c r="AW121" s="658"/>
      <c r="AX121" s="658"/>
      <c r="AY121" s="658"/>
      <c r="AZ121" s="658"/>
      <c r="BA121" s="658"/>
      <c r="BB121"/>
      <c r="BC121"/>
    </row>
    <row r="122" spans="1:55" s="815" customFormat="1" ht="16.5" thickBot="1">
      <c r="A122" s="2013"/>
      <c r="B122" s="253"/>
      <c r="C122" s="2917">
        <v>14</v>
      </c>
      <c r="D122" s="1323" t="str">
        <f>"Enter the amount from your "&amp;LastYear&amp;" Form 6251, line 10, or "&amp;LastYear&amp;" Schedule I (Form 1041), line 53"</f>
        <v>Enter the amount from your 2024 Form 6251, line 10, or 2024 Schedule I (Form 1041), line 53</v>
      </c>
      <c r="E122" s="253"/>
      <c r="F122" s="511"/>
      <c r="G122" s="511"/>
      <c r="H122" s="253"/>
      <c r="I122" s="253"/>
      <c r="J122" s="253"/>
      <c r="K122" s="253"/>
      <c r="L122" s="253"/>
      <c r="M122" s="253"/>
      <c r="N122" s="253"/>
      <c r="O122" s="253"/>
      <c r="P122" s="253"/>
      <c r="Q122" s="253"/>
      <c r="R122" s="253"/>
      <c r="S122" s="253"/>
      <c r="T122" s="253"/>
      <c r="U122" s="253"/>
      <c r="V122" s="253"/>
      <c r="W122" s="253"/>
      <c r="X122" s="253"/>
      <c r="Y122" s="253"/>
      <c r="Z122" s="253"/>
      <c r="AA122" s="253"/>
      <c r="AB122" s="253"/>
      <c r="AC122" s="1657" t="s">
        <v>627</v>
      </c>
      <c r="AD122" s="4448">
        <v>14</v>
      </c>
      <c r="AE122" s="10881" t="str">
        <f>IF(AM122&lt;&gt;"",ROUND(AM122,0),IF(AE120="","",$AQ$15))</f>
        <v/>
      </c>
      <c r="AF122" s="7655"/>
      <c r="AG122" s="7655"/>
      <c r="AH122" s="7655"/>
      <c r="AI122" s="7655"/>
      <c r="AJ122" s="7655"/>
      <c r="AK122" s="2013"/>
      <c r="AL122" s="4226"/>
      <c r="AM122" s="5719"/>
      <c r="AN122" s="253"/>
      <c r="AO122" s="2013"/>
      <c r="AP122" s="253"/>
      <c r="AQ122" s="253">
        <f>IF(AE122&lt;&gt;"",AE122,0)</f>
        <v>0</v>
      </c>
      <c r="AR122" s="658"/>
      <c r="AS122" s="658"/>
      <c r="AT122" s="658"/>
      <c r="AU122" s="658"/>
      <c r="AV122" s="658"/>
      <c r="AW122" s="658"/>
      <c r="AX122" s="658"/>
      <c r="AY122" s="658"/>
      <c r="AZ122" s="658"/>
      <c r="BA122" s="658"/>
      <c r="BB122"/>
      <c r="BC122"/>
    </row>
    <row r="123" spans="1:55" s="815" customFormat="1" ht="14.25" customHeight="1" thickBot="1">
      <c r="A123" s="2013"/>
      <c r="B123" s="253"/>
      <c r="C123" s="2917"/>
      <c r="D123" s="511"/>
      <c r="E123" s="511"/>
      <c r="F123" s="253"/>
      <c r="G123" s="253"/>
      <c r="H123" s="253"/>
      <c r="I123" s="253"/>
      <c r="J123" s="253"/>
      <c r="K123" s="512"/>
      <c r="L123" s="512"/>
      <c r="M123" s="512"/>
      <c r="N123" s="512"/>
      <c r="O123" s="512"/>
      <c r="P123" s="512"/>
      <c r="Q123" s="253"/>
      <c r="R123" s="253"/>
      <c r="S123" s="253"/>
      <c r="T123" s="253"/>
      <c r="U123" s="253"/>
      <c r="V123" s="253"/>
      <c r="W123" s="253"/>
      <c r="X123" s="253"/>
      <c r="Y123" s="253"/>
      <c r="Z123" s="253"/>
      <c r="AA123" s="253"/>
      <c r="AB123" s="253"/>
      <c r="AC123" s="253"/>
      <c r="AD123" s="4452"/>
      <c r="AE123" s="253"/>
      <c r="AF123" s="253"/>
      <c r="AG123" s="253"/>
      <c r="AH123" s="253"/>
      <c r="AI123" s="253"/>
      <c r="AJ123" s="253"/>
      <c r="AK123" s="2013"/>
      <c r="AL123" s="4226"/>
      <c r="AM123" s="253"/>
      <c r="AN123" s="253"/>
      <c r="AO123" s="2013"/>
      <c r="AP123" s="253"/>
      <c r="AQ123" s="253"/>
      <c r="AR123" s="658"/>
      <c r="AS123" s="658"/>
      <c r="AT123" s="658"/>
      <c r="AU123" s="658"/>
      <c r="AV123" s="658"/>
      <c r="AW123" s="658"/>
      <c r="AX123" s="658"/>
      <c r="AY123" s="658"/>
      <c r="AZ123" s="658"/>
      <c r="BA123" s="658"/>
      <c r="BB123"/>
      <c r="BC123"/>
    </row>
    <row r="124" spans="1:55" s="815" customFormat="1" ht="16.5" thickBot="1">
      <c r="A124" s="2013"/>
      <c r="B124" s="253"/>
      <c r="C124" s="2917">
        <v>15</v>
      </c>
      <c r="D124" s="514" t="s">
        <v>5602</v>
      </c>
      <c r="E124" s="253"/>
      <c r="F124" s="511"/>
      <c r="G124" s="511"/>
      <c r="H124" s="253"/>
      <c r="I124" s="253"/>
      <c r="J124" s="253"/>
      <c r="K124" s="253"/>
      <c r="L124" s="253"/>
      <c r="M124" s="253"/>
      <c r="N124" s="1323" t="s">
        <v>5603</v>
      </c>
      <c r="O124" s="253"/>
      <c r="P124" s="253"/>
      <c r="Q124" s="253"/>
      <c r="R124" s="253"/>
      <c r="S124" s="253"/>
      <c r="T124" s="253"/>
      <c r="U124" s="253"/>
      <c r="V124" s="253"/>
      <c r="W124" s="253"/>
      <c r="X124" s="253"/>
      <c r="Y124" s="253"/>
      <c r="Z124" s="253"/>
      <c r="AA124" s="253"/>
      <c r="AB124" s="253"/>
      <c r="AC124" s="1657" t="s">
        <v>636</v>
      </c>
      <c r="AD124" s="4448">
        <v>15</v>
      </c>
      <c r="AE124" s="10881" t="str">
        <f>IF(AM124&lt;&gt;"",ROUND(AM124,0),IF($AE$110,"",MAX(0,SUM(AE120,-AQ122))))</f>
        <v/>
      </c>
      <c r="AF124" s="7655"/>
      <c r="AG124" s="7655"/>
      <c r="AH124" s="7655"/>
      <c r="AI124" s="7655"/>
      <c r="AJ124" s="7655"/>
      <c r="AK124" s="2013"/>
      <c r="AL124" s="4226"/>
      <c r="AM124" s="5719"/>
      <c r="AN124" s="1806"/>
      <c r="AO124" s="2013"/>
      <c r="AP124" s="253"/>
      <c r="AQ124" s="253"/>
      <c r="AR124" s="658"/>
      <c r="AS124" s="658"/>
      <c r="AT124" s="658"/>
      <c r="AU124" s="658"/>
      <c r="AV124" s="658"/>
      <c r="AW124" s="658"/>
      <c r="AX124" s="658"/>
      <c r="AY124" s="658"/>
      <c r="AZ124" s="658"/>
      <c r="BA124" s="658"/>
      <c r="BB124"/>
      <c r="BC124"/>
    </row>
    <row r="125" spans="1:55" s="815" customFormat="1" ht="15.75">
      <c r="A125" s="2013"/>
      <c r="B125" s="3889" t="s">
        <v>2857</v>
      </c>
      <c r="C125" s="4483"/>
      <c r="D125" s="2344"/>
      <c r="E125" s="2344"/>
      <c r="F125" s="2344"/>
      <c r="G125" s="2344"/>
      <c r="H125" s="2344"/>
      <c r="I125" s="2344"/>
      <c r="J125" s="2344"/>
      <c r="K125" s="2344"/>
      <c r="L125" s="2344"/>
      <c r="M125" s="2344"/>
      <c r="N125" s="2344"/>
      <c r="O125" s="2344"/>
      <c r="P125" s="2344"/>
      <c r="Q125" s="89"/>
      <c r="R125" s="3890" t="s">
        <v>5565</v>
      </c>
      <c r="S125" s="89"/>
      <c r="T125" s="89"/>
      <c r="U125" s="3890"/>
      <c r="V125" s="89"/>
      <c r="W125" s="3890"/>
      <c r="X125" s="89"/>
      <c r="Y125" s="89"/>
      <c r="Z125" s="89"/>
      <c r="AA125" s="89"/>
      <c r="AB125" s="89"/>
      <c r="AC125" s="2345" t="s">
        <v>5566</v>
      </c>
      <c r="AD125" s="89"/>
      <c r="AE125" s="2345"/>
      <c r="AF125" s="89"/>
      <c r="AG125" s="89"/>
      <c r="AH125" s="2345"/>
      <c r="AI125" s="89"/>
      <c r="AJ125" s="2345" t="str">
        <f>"("&amp;TaxYear&amp;") Created 11/12/25"</f>
        <v>(2025) Created 11/12/25</v>
      </c>
      <c r="AK125" s="2013"/>
      <c r="AL125" s="253"/>
      <c r="AM125" s="253"/>
      <c r="AN125" s="253"/>
      <c r="AO125" s="2013"/>
      <c r="AP125" s="253"/>
      <c r="AQ125" s="253"/>
      <c r="AR125" s="658"/>
      <c r="AS125" s="658"/>
      <c r="AT125" s="658"/>
      <c r="AU125" s="658"/>
      <c r="AV125" s="658"/>
      <c r="AW125" s="658"/>
      <c r="AX125" s="658"/>
      <c r="AY125" s="658"/>
      <c r="AZ125" s="658"/>
      <c r="BA125" s="658"/>
      <c r="BB125"/>
      <c r="BC125"/>
    </row>
    <row r="126" spans="1:55" s="815" customFormat="1" ht="18" customHeight="1" thickBot="1">
      <c r="A126" s="2013"/>
      <c r="B126" s="721" t="str">
        <f>"Form 8801 ("&amp;TaxYear&amp;")"</f>
        <v>Form 8801 (2025)</v>
      </c>
      <c r="C126" s="4484"/>
      <c r="D126" s="721"/>
      <c r="E126" s="721"/>
      <c r="F126" s="721"/>
      <c r="G126" s="721"/>
      <c r="H126" s="721"/>
      <c r="I126" s="721"/>
      <c r="J126" s="721"/>
      <c r="K126" s="721"/>
      <c r="L126" s="721"/>
      <c r="M126" s="721"/>
      <c r="N126" s="721"/>
      <c r="O126" s="721"/>
      <c r="P126" s="721"/>
      <c r="Q126" s="721"/>
      <c r="R126" s="721"/>
      <c r="S126" s="721"/>
      <c r="T126" s="721"/>
      <c r="U126" s="721"/>
      <c r="V126" s="721"/>
      <c r="W126" s="721"/>
      <c r="X126" s="721"/>
      <c r="Y126" s="721"/>
      <c r="Z126" s="721"/>
      <c r="AA126" s="721"/>
      <c r="AB126" s="721"/>
      <c r="AC126" s="721"/>
      <c r="AD126" s="721"/>
      <c r="AE126" s="721"/>
      <c r="AF126" s="721"/>
      <c r="AG126" s="721"/>
      <c r="AH126" s="721"/>
      <c r="AI126" s="2053" t="s">
        <v>2079</v>
      </c>
      <c r="AJ126" s="2054">
        <v>2</v>
      </c>
      <c r="AK126" s="2013"/>
      <c r="AL126" s="253"/>
      <c r="AM126" s="253"/>
      <c r="AN126" s="253"/>
      <c r="AO126" s="2013"/>
      <c r="AP126" s="253"/>
      <c r="AQ126" s="253"/>
      <c r="AR126" s="658"/>
      <c r="AS126" s="658"/>
      <c r="AT126" s="658"/>
      <c r="AU126" s="658"/>
      <c r="AV126" s="658"/>
      <c r="AW126" s="658"/>
      <c r="AX126" s="658"/>
      <c r="AY126" s="658"/>
      <c r="AZ126" s="658"/>
      <c r="BA126" s="658"/>
      <c r="BB126"/>
      <c r="BC126"/>
    </row>
    <row r="127" spans="1:55" s="815" customFormat="1" ht="19.5" customHeight="1" thickTop="1">
      <c r="A127" s="2013"/>
      <c r="B127" s="10756" t="s">
        <v>868</v>
      </c>
      <c r="C127" s="10756"/>
      <c r="D127" s="5701"/>
      <c r="E127" s="5701" t="str">
        <f>"Minimum Tax Credit and Carryforward to "&amp;NextYear</f>
        <v>Minimum Tax Credit and Carryforward to 2026</v>
      </c>
      <c r="F127" s="5045"/>
      <c r="G127" s="5045"/>
      <c r="H127" s="5045"/>
      <c r="I127" s="5045"/>
      <c r="J127" s="5045"/>
      <c r="K127" s="5045"/>
      <c r="L127" s="5045"/>
      <c r="M127" s="5045"/>
      <c r="N127" s="5045"/>
      <c r="O127" s="5045"/>
      <c r="P127" s="5045"/>
      <c r="Q127" s="5045"/>
      <c r="R127" s="5045"/>
      <c r="S127" s="5045"/>
      <c r="T127" s="5045"/>
      <c r="U127" s="5045"/>
      <c r="V127" s="5045"/>
      <c r="W127" s="5045"/>
      <c r="X127" s="5045"/>
      <c r="Y127" s="5045"/>
      <c r="Z127" s="5045"/>
      <c r="AA127" s="5045"/>
      <c r="AB127" s="5045"/>
      <c r="AC127" s="5045"/>
      <c r="AD127" s="5045"/>
      <c r="AE127" s="5045"/>
      <c r="AF127" s="5045"/>
      <c r="AG127" s="5045"/>
      <c r="AH127" s="5045"/>
      <c r="AI127" s="5045"/>
      <c r="AJ127" s="5045"/>
      <c r="AK127" s="2013"/>
      <c r="AL127" s="253"/>
      <c r="AM127" s="226"/>
      <c r="AN127" s="226"/>
      <c r="AO127" s="2013"/>
      <c r="AP127" s="253"/>
      <c r="AQ127" s="253"/>
      <c r="AR127" s="658"/>
      <c r="AS127" s="658"/>
      <c r="AT127" s="658"/>
      <c r="AU127" s="658"/>
      <c r="AV127" s="658"/>
      <c r="AW127" s="658"/>
      <c r="AX127" s="658"/>
      <c r="AY127" s="658"/>
      <c r="AZ127" s="658"/>
      <c r="BA127" s="658"/>
      <c r="BB127"/>
      <c r="BC127"/>
    </row>
    <row r="128" spans="1:55" s="815" customFormat="1" ht="15" customHeight="1">
      <c r="A128" s="2013"/>
      <c r="B128" s="253"/>
      <c r="C128" s="2723"/>
      <c r="D128" s="1323"/>
      <c r="E128" s="253"/>
      <c r="F128" s="253"/>
      <c r="G128" s="253"/>
      <c r="H128" s="253"/>
      <c r="I128" s="253"/>
      <c r="J128" s="253"/>
      <c r="K128" s="253"/>
      <c r="L128" s="253"/>
      <c r="M128" s="253"/>
      <c r="N128" s="253"/>
      <c r="O128" s="253"/>
      <c r="P128" s="253"/>
      <c r="Q128" s="253"/>
      <c r="R128" s="253"/>
      <c r="S128" s="253"/>
      <c r="T128" s="253"/>
      <c r="U128" s="253"/>
      <c r="V128" s="253"/>
      <c r="W128" s="253"/>
      <c r="X128" s="253"/>
      <c r="Y128" s="253"/>
      <c r="Z128" s="253"/>
      <c r="AA128" s="253"/>
      <c r="AB128" s="253"/>
      <c r="AC128" s="1657"/>
      <c r="AD128" s="4452"/>
      <c r="AE128" s="10879" t="b">
        <f>AND(AE120,AE121="")</f>
        <v>1</v>
      </c>
      <c r="AF128" s="10880"/>
      <c r="AG128" s="10880"/>
      <c r="AH128" s="10880"/>
      <c r="AI128" s="10880"/>
      <c r="AJ128" s="10880"/>
      <c r="AK128" s="2013"/>
      <c r="AL128" s="253"/>
      <c r="AM128" s="253"/>
      <c r="AN128" s="253"/>
      <c r="AO128" s="2013"/>
      <c r="AP128" s="253"/>
      <c r="AQ128" s="253"/>
      <c r="AR128" s="658"/>
      <c r="AS128" s="658"/>
      <c r="AT128" s="658"/>
      <c r="AU128" s="658"/>
      <c r="AV128" s="658"/>
      <c r="AW128" s="658"/>
      <c r="AX128" s="658"/>
      <c r="AY128" s="658"/>
      <c r="AZ128" s="658"/>
      <c r="BA128" s="658"/>
      <c r="BB128"/>
      <c r="BC128"/>
    </row>
    <row r="129" spans="1:55" s="815" customFormat="1" ht="15.75">
      <c r="A129" s="2013"/>
      <c r="B129" s="253"/>
      <c r="C129" s="2917">
        <v>16</v>
      </c>
      <c r="D129" s="1323" t="str">
        <f>"Enter the amount from your "&amp;LastYear&amp;" Form 6251, line 11, or "&amp;LastYear&amp;" Schedule I (Form 1041), line 54"</f>
        <v>Enter the amount from your 2024 Form 6251, line 11, or 2024 Schedule I (Form 1041), line 54</v>
      </c>
      <c r="E129" s="253"/>
      <c r="F129" s="511"/>
      <c r="G129" s="511"/>
      <c r="H129" s="253"/>
      <c r="I129" s="253"/>
      <c r="J129" s="253"/>
      <c r="K129" s="253"/>
      <c r="L129" s="253"/>
      <c r="M129" s="253"/>
      <c r="N129" s="253"/>
      <c r="O129" s="253"/>
      <c r="P129" s="253"/>
      <c r="Q129" s="253"/>
      <c r="R129" s="253"/>
      <c r="S129" s="253"/>
      <c r="T129" s="253"/>
      <c r="U129" s="253"/>
      <c r="V129" s="253"/>
      <c r="W129" s="253"/>
      <c r="X129" s="253"/>
      <c r="Y129" s="253"/>
      <c r="Z129" s="253"/>
      <c r="AA129" s="253"/>
      <c r="AB129" s="253"/>
      <c r="AC129" s="1657" t="s">
        <v>627</v>
      </c>
      <c r="AD129" s="4448">
        <v>16</v>
      </c>
      <c r="AE129" s="10881" t="str">
        <f>IF(AE124="","",AQ17)</f>
        <v/>
      </c>
      <c r="AF129" s="7655"/>
      <c r="AG129" s="7655"/>
      <c r="AH129" s="7655"/>
      <c r="AI129" s="7655"/>
      <c r="AJ129" s="7655"/>
      <c r="AK129" s="2013"/>
      <c r="AL129" s="253"/>
      <c r="AM129" s="253"/>
      <c r="AN129" s="253"/>
      <c r="AO129" s="2013"/>
      <c r="AP129" s="253"/>
      <c r="AQ129" s="253">
        <f>IF(AE129&lt;&gt;"",AE129,0)</f>
        <v>0</v>
      </c>
      <c r="AR129" s="658"/>
      <c r="AS129" s="658"/>
      <c r="AT129" s="658"/>
      <c r="AU129" s="658"/>
      <c r="AV129" s="658"/>
      <c r="AW129" s="658"/>
      <c r="AX129" s="658"/>
      <c r="AY129" s="658"/>
      <c r="AZ129" s="658"/>
      <c r="BA129" s="658"/>
      <c r="BB129"/>
      <c r="BC129"/>
    </row>
    <row r="130" spans="1:55" s="815" customFormat="1" ht="15" customHeight="1">
      <c r="A130" s="2013"/>
      <c r="B130" s="253"/>
      <c r="C130" s="2723"/>
      <c r="D130" s="1323"/>
      <c r="E130" s="253"/>
      <c r="F130" s="253"/>
      <c r="G130" s="253"/>
      <c r="H130" s="253"/>
      <c r="I130" s="253"/>
      <c r="J130" s="253"/>
      <c r="K130" s="253"/>
      <c r="L130" s="253"/>
      <c r="M130" s="253"/>
      <c r="N130" s="253"/>
      <c r="O130" s="253"/>
      <c r="P130" s="253"/>
      <c r="Q130" s="253"/>
      <c r="R130" s="253"/>
      <c r="S130" s="253"/>
      <c r="T130" s="253"/>
      <c r="U130" s="253"/>
      <c r="V130" s="253"/>
      <c r="W130" s="253"/>
      <c r="X130" s="253"/>
      <c r="Y130" s="253"/>
      <c r="Z130" s="253"/>
      <c r="AA130" s="253"/>
      <c r="AB130" s="253"/>
      <c r="AC130" s="1657"/>
      <c r="AD130" s="4452"/>
      <c r="AE130" s="10877"/>
      <c r="AF130" s="10878"/>
      <c r="AG130" s="10878"/>
      <c r="AH130" s="10878"/>
      <c r="AI130" s="10878"/>
      <c r="AJ130" s="10878"/>
      <c r="AK130" s="2013"/>
      <c r="AL130" s="253"/>
      <c r="AM130" s="253"/>
      <c r="AN130" s="253"/>
      <c r="AO130" s="2013"/>
      <c r="AP130" s="253"/>
      <c r="AQ130" s="253"/>
      <c r="AR130" s="658"/>
      <c r="AS130" s="658"/>
      <c r="AT130" s="658"/>
      <c r="AU130" s="658"/>
      <c r="AV130" s="658"/>
      <c r="AW130" s="658"/>
      <c r="AX130" s="658"/>
      <c r="AY130" s="658"/>
      <c r="AZ130" s="658"/>
      <c r="BA130" s="658"/>
      <c r="BB130"/>
      <c r="BC130"/>
    </row>
    <row r="131" spans="1:55" s="815" customFormat="1" ht="15.75">
      <c r="A131" s="2013"/>
      <c r="B131" s="253"/>
      <c r="C131" s="2917">
        <v>17</v>
      </c>
      <c r="D131" s="1323" t="s">
        <v>5567</v>
      </c>
      <c r="E131" s="253"/>
      <c r="F131" s="511"/>
      <c r="G131" s="511"/>
      <c r="H131" s="253"/>
      <c r="I131" s="253"/>
      <c r="J131" s="253"/>
      <c r="K131" s="253"/>
      <c r="L131" s="253"/>
      <c r="M131" s="253"/>
      <c r="N131" s="253"/>
      <c r="O131" s="253"/>
      <c r="P131" s="253"/>
      <c r="Q131" s="253"/>
      <c r="R131" s="253"/>
      <c r="S131" s="253"/>
      <c r="T131" s="253"/>
      <c r="U131" s="253"/>
      <c r="V131" s="253"/>
      <c r="W131" s="253"/>
      <c r="X131" s="253"/>
      <c r="Y131" s="253"/>
      <c r="Z131" s="253"/>
      <c r="AA131" s="253"/>
      <c r="AB131" s="253"/>
      <c r="AC131" s="1657" t="s">
        <v>1877</v>
      </c>
      <c r="AD131" s="4448">
        <v>17</v>
      </c>
      <c r="AE131" s="10881" t="str">
        <f>IF($AE$110,"",AE124)</f>
        <v/>
      </c>
      <c r="AF131" s="7655"/>
      <c r="AG131" s="7655"/>
      <c r="AH131" s="7655"/>
      <c r="AI131" s="7655"/>
      <c r="AJ131" s="7655"/>
      <c r="AK131" s="2013"/>
      <c r="AL131" s="253"/>
      <c r="AM131" s="253"/>
      <c r="AN131" s="253"/>
      <c r="AO131" s="2013"/>
      <c r="AP131" s="253"/>
      <c r="AQ131" s="253">
        <f>IF(AE131&lt;&gt;"",AE131,0)</f>
        <v>0</v>
      </c>
      <c r="AR131" s="658"/>
      <c r="AS131" s="658"/>
      <c r="AT131" s="658"/>
      <c r="AU131" s="658"/>
      <c r="AV131" s="658"/>
      <c r="AW131" s="658"/>
      <c r="AX131" s="658"/>
      <c r="AY131" s="658"/>
      <c r="AZ131" s="658"/>
      <c r="BA131" s="658"/>
      <c r="BB131"/>
      <c r="BC131"/>
    </row>
    <row r="132" spans="1:55" s="815" customFormat="1" ht="15" customHeight="1">
      <c r="A132" s="2013"/>
      <c r="B132" s="253"/>
      <c r="C132" s="2723"/>
      <c r="D132" s="1323"/>
      <c r="E132" s="253"/>
      <c r="F132" s="253"/>
      <c r="G132" s="253"/>
      <c r="H132" s="253"/>
      <c r="I132" s="253"/>
      <c r="J132" s="253"/>
      <c r="K132" s="253"/>
      <c r="L132" s="253"/>
      <c r="M132" s="253"/>
      <c r="N132" s="253"/>
      <c r="O132" s="253"/>
      <c r="P132" s="253"/>
      <c r="Q132" s="253"/>
      <c r="R132" s="253"/>
      <c r="S132" s="253"/>
      <c r="T132" s="253"/>
      <c r="U132" s="253"/>
      <c r="V132" s="253"/>
      <c r="W132" s="253"/>
      <c r="X132" s="253"/>
      <c r="Y132" s="253"/>
      <c r="Z132" s="253"/>
      <c r="AA132" s="253"/>
      <c r="AB132" s="253"/>
      <c r="AC132" s="1657"/>
      <c r="AD132" s="4452"/>
      <c r="AE132" s="10877"/>
      <c r="AF132" s="10878"/>
      <c r="AG132" s="10878"/>
      <c r="AH132" s="10878"/>
      <c r="AI132" s="10878"/>
      <c r="AJ132" s="10878"/>
      <c r="AK132" s="2013"/>
      <c r="AL132" s="253"/>
      <c r="AM132" s="253"/>
      <c r="AN132" s="253"/>
      <c r="AO132" s="2013"/>
      <c r="AP132" s="253"/>
      <c r="AQ132" s="253"/>
      <c r="AR132" s="658"/>
      <c r="AS132" s="658"/>
      <c r="AT132" s="658"/>
      <c r="AU132" s="658"/>
      <c r="AV132" s="658"/>
      <c r="AW132" s="658"/>
      <c r="AX132" s="658"/>
      <c r="AY132" s="658"/>
      <c r="AZ132" s="658"/>
      <c r="BA132" s="658"/>
      <c r="BB132"/>
      <c r="BC132"/>
    </row>
    <row r="133" spans="1:55" s="815" customFormat="1" ht="15.75">
      <c r="A133" s="2013"/>
      <c r="B133" s="253"/>
      <c r="C133" s="2917">
        <v>18</v>
      </c>
      <c r="D133" s="1323" t="s">
        <v>5568</v>
      </c>
      <c r="E133" s="253"/>
      <c r="F133" s="511"/>
      <c r="G133" s="511"/>
      <c r="H133" s="253"/>
      <c r="I133" s="253"/>
      <c r="J133" s="253"/>
      <c r="K133" s="253"/>
      <c r="L133" s="253"/>
      <c r="M133" s="253"/>
      <c r="N133" s="253"/>
      <c r="O133" s="253"/>
      <c r="P133" s="253"/>
      <c r="Q133" s="253"/>
      <c r="R133" s="253"/>
      <c r="S133" s="253"/>
      <c r="T133" s="253"/>
      <c r="U133" s="253"/>
      <c r="V133" s="253"/>
      <c r="W133" s="253"/>
      <c r="X133" s="253"/>
      <c r="Y133" s="253"/>
      <c r="Z133" s="253"/>
      <c r="AA133" s="253"/>
      <c r="AB133" s="253"/>
      <c r="AC133" s="1657" t="s">
        <v>601</v>
      </c>
      <c r="AD133" s="4448">
        <v>18</v>
      </c>
      <c r="AE133" s="10881" t="str">
        <f>IF($AE$110,"",SUM(AE129,-AQ131))</f>
        <v/>
      </c>
      <c r="AF133" s="7655"/>
      <c r="AG133" s="7655"/>
      <c r="AH133" s="7655"/>
      <c r="AI133" s="7655"/>
      <c r="AJ133" s="7655"/>
      <c r="AK133" s="2013"/>
      <c r="AL133" s="253"/>
      <c r="AM133" s="253"/>
      <c r="AN133" s="253"/>
      <c r="AO133" s="2013"/>
      <c r="AP133" s="253"/>
      <c r="AQ133" s="253">
        <f>IF(AE133&lt;&gt;"",AE133,0)</f>
        <v>0</v>
      </c>
      <c r="AR133" s="658"/>
      <c r="AS133" s="658"/>
      <c r="AT133" s="658"/>
      <c r="AU133" s="658"/>
      <c r="AV133" s="658"/>
      <c r="AW133" s="658"/>
      <c r="AX133" s="658"/>
      <c r="AY133" s="658"/>
      <c r="AZ133" s="658"/>
      <c r="BA133" s="658"/>
      <c r="BB133"/>
      <c r="BC133"/>
    </row>
    <row r="134" spans="1:55" s="815" customFormat="1" ht="15" customHeight="1" thickBot="1">
      <c r="A134" s="2013"/>
      <c r="B134" s="253"/>
      <c r="C134" s="2723"/>
      <c r="D134" s="1323"/>
      <c r="E134" s="253"/>
      <c r="F134" s="253"/>
      <c r="G134" s="253"/>
      <c r="H134" s="253"/>
      <c r="I134" s="253"/>
      <c r="J134" s="253"/>
      <c r="K134" s="253"/>
      <c r="L134" s="253"/>
      <c r="M134" s="253"/>
      <c r="N134" s="253"/>
      <c r="O134" s="253"/>
      <c r="P134" s="253"/>
      <c r="Q134" s="253"/>
      <c r="R134" s="253"/>
      <c r="S134" s="253"/>
      <c r="T134" s="253"/>
      <c r="U134" s="253"/>
      <c r="V134" s="253"/>
      <c r="W134" s="253"/>
      <c r="X134" s="253"/>
      <c r="Y134" s="253"/>
      <c r="Z134" s="253"/>
      <c r="AA134" s="253"/>
      <c r="AB134" s="253"/>
      <c r="AC134" s="1657"/>
      <c r="AD134" s="4452"/>
      <c r="AE134" s="10877"/>
      <c r="AF134" s="10878"/>
      <c r="AG134" s="10878"/>
      <c r="AH134" s="10878"/>
      <c r="AI134" s="10878"/>
      <c r="AJ134" s="10878"/>
      <c r="AK134" s="2013"/>
      <c r="AL134" s="253"/>
      <c r="AM134" s="253"/>
      <c r="AN134" s="253"/>
      <c r="AO134" s="2013"/>
      <c r="AP134" s="253"/>
      <c r="AQ134" s="253"/>
      <c r="AR134" s="658"/>
      <c r="AS134" s="658"/>
      <c r="AT134" s="658"/>
      <c r="AU134" s="658"/>
      <c r="AV134" s="658"/>
      <c r="AW134" s="658"/>
      <c r="AX134" s="658"/>
      <c r="AY134" s="658"/>
      <c r="AZ134" s="658"/>
      <c r="BA134" s="658"/>
      <c r="BB134"/>
      <c r="BC134"/>
    </row>
    <row r="135" spans="1:55" s="815" customFormat="1" ht="16.5" thickBot="1">
      <c r="A135" s="2013"/>
      <c r="B135" s="253"/>
      <c r="C135" s="2917">
        <v>19</v>
      </c>
      <c r="D135" s="514" t="str">
        <f>LastYear&amp;" credit carryforward."</f>
        <v>2024 credit carryforward.</v>
      </c>
      <c r="E135" s="253"/>
      <c r="F135" s="511"/>
      <c r="G135" s="511"/>
      <c r="H135" s="253"/>
      <c r="I135" s="253"/>
      <c r="J135" s="253"/>
      <c r="K135" s="1323"/>
      <c r="L135" s="1323" t="str">
        <f>"Enter the amount from your "&amp;LastYear&amp;" Form 8801, line 26"</f>
        <v>Enter the amount from your 2024 Form 8801, line 26</v>
      </c>
      <c r="M135" s="253"/>
      <c r="N135" s="253"/>
      <c r="O135" s="253"/>
      <c r="P135" s="253"/>
      <c r="Q135" s="253"/>
      <c r="R135" s="253"/>
      <c r="S135" s="253"/>
      <c r="T135" s="253"/>
      <c r="U135" s="253"/>
      <c r="V135" s="253"/>
      <c r="W135" s="253"/>
      <c r="X135" s="253"/>
      <c r="Y135" s="253"/>
      <c r="Z135" s="253"/>
      <c r="AA135" s="253"/>
      <c r="AB135" s="253"/>
      <c r="AC135" s="1657" t="s">
        <v>2965</v>
      </c>
      <c r="AD135" s="4448">
        <v>19</v>
      </c>
      <c r="AE135" s="10881" t="str">
        <f>IF(AM135&lt;&gt;"",ROUND(AM135,0),IF(AE21="","",AQ21))</f>
        <v/>
      </c>
      <c r="AF135" s="7655"/>
      <c r="AG135" s="7655"/>
      <c r="AH135" s="7655"/>
      <c r="AI135" s="7655"/>
      <c r="AJ135" s="7655"/>
      <c r="AK135" s="2013"/>
      <c r="AL135" s="253"/>
      <c r="AM135" s="5719"/>
      <c r="AN135" s="253"/>
      <c r="AO135" s="2013"/>
      <c r="AP135" s="253"/>
      <c r="AQ135" s="253"/>
      <c r="AR135" s="658"/>
      <c r="AS135" s="658"/>
      <c r="AT135" s="658"/>
      <c r="AU135" s="658"/>
      <c r="AV135" s="658"/>
      <c r="AW135" s="658"/>
      <c r="AX135" s="658"/>
      <c r="AY135" s="658"/>
      <c r="AZ135" s="658"/>
      <c r="BA135" s="658"/>
      <c r="BB135"/>
      <c r="BC135"/>
    </row>
    <row r="136" spans="1:55" s="815" customFormat="1" ht="15" customHeight="1">
      <c r="A136" s="2013"/>
      <c r="B136" s="253"/>
      <c r="C136" s="2723"/>
      <c r="D136" s="1323"/>
      <c r="E136" s="253"/>
      <c r="F136" s="253"/>
      <c r="G136" s="253"/>
      <c r="H136" s="253"/>
      <c r="I136" s="253"/>
      <c r="J136" s="253"/>
      <c r="K136" s="253"/>
      <c r="L136" s="253"/>
      <c r="M136" s="253"/>
      <c r="N136" s="253"/>
      <c r="O136" s="253"/>
      <c r="P136" s="253"/>
      <c r="Q136" s="253"/>
      <c r="R136" s="253"/>
      <c r="S136" s="253"/>
      <c r="T136" s="253"/>
      <c r="U136" s="253"/>
      <c r="V136" s="253"/>
      <c r="W136" s="253"/>
      <c r="X136" s="253"/>
      <c r="Y136" s="253"/>
      <c r="Z136" s="253"/>
      <c r="AA136" s="253"/>
      <c r="AB136" s="253"/>
      <c r="AC136" s="1657"/>
      <c r="AD136" s="4452"/>
      <c r="AE136" s="10877"/>
      <c r="AF136" s="10878"/>
      <c r="AG136" s="10878"/>
      <c r="AH136" s="10878"/>
      <c r="AI136" s="10878"/>
      <c r="AJ136" s="10878"/>
      <c r="AK136" s="2013"/>
      <c r="AL136" s="5779"/>
      <c r="AM136" s="5779"/>
      <c r="AN136" s="5779"/>
      <c r="AO136" s="10919" t="str">
        <f>IF(AND(AE139&lt;&gt;"",AE139&lt;=0),"If line 21 is zero or less, you don't have a minimum tax credit or a credit carryforward. Don't complete the rest of this form and don't file it.","")</f>
        <v/>
      </c>
      <c r="AP136" s="253"/>
      <c r="AQ136" s="253"/>
      <c r="AR136" s="658"/>
      <c r="AS136" s="658"/>
      <c r="AT136" s="658"/>
      <c r="AU136" s="658"/>
      <c r="AV136" s="658"/>
      <c r="AW136" s="658"/>
      <c r="AX136" s="658"/>
      <c r="AY136" s="658"/>
      <c r="AZ136" s="658"/>
      <c r="BA136" s="658"/>
      <c r="BB136"/>
      <c r="BC136"/>
    </row>
    <row r="137" spans="1:55" s="815" customFormat="1" ht="15.75" customHeight="1">
      <c r="A137" s="2013"/>
      <c r="B137" s="253"/>
      <c r="C137" s="2917">
        <v>20</v>
      </c>
      <c r="D137" s="1323" t="str">
        <f>"Enter your "&amp;LastYear&amp;" unallowed qualified electric vehicle credit (see instructions)"</f>
        <v>Enter your 2024 unallowed qualified electric vehicle credit (see instructions)</v>
      </c>
      <c r="E137" s="253"/>
      <c r="F137" s="511"/>
      <c r="G137" s="511"/>
      <c r="H137" s="253"/>
      <c r="I137" s="253"/>
      <c r="J137" s="253"/>
      <c r="K137" s="253"/>
      <c r="L137" s="253"/>
      <c r="M137" s="253"/>
      <c r="N137" s="253"/>
      <c r="O137" s="253"/>
      <c r="P137" s="253"/>
      <c r="Q137" s="253"/>
      <c r="R137" s="253"/>
      <c r="S137" s="253"/>
      <c r="T137" s="253"/>
      <c r="U137" s="253"/>
      <c r="V137" s="253"/>
      <c r="W137" s="253"/>
      <c r="X137" s="253"/>
      <c r="Y137" s="253"/>
      <c r="Z137" s="253"/>
      <c r="AA137" s="253"/>
      <c r="AB137" s="253"/>
      <c r="AC137" s="1657" t="s">
        <v>601</v>
      </c>
      <c r="AD137" s="4448">
        <v>20</v>
      </c>
      <c r="AE137" s="10898"/>
      <c r="AF137" s="7585"/>
      <c r="AG137" s="7585"/>
      <c r="AH137" s="7585"/>
      <c r="AI137" s="7585"/>
      <c r="AJ137" s="7585"/>
      <c r="AK137" s="2013"/>
      <c r="AL137" s="5779"/>
      <c r="AM137" s="5779"/>
      <c r="AN137" s="5779"/>
      <c r="AO137" s="10919"/>
      <c r="AP137" s="253"/>
      <c r="AQ137" s="253">
        <f>IF(AE137="",0,ROUND(AE137,0))</f>
        <v>0</v>
      </c>
      <c r="AR137" s="658"/>
      <c r="AS137" s="658"/>
      <c r="AT137" s="658"/>
      <c r="AU137" s="658"/>
      <c r="AV137" s="658"/>
      <c r="AW137" s="658"/>
      <c r="AX137" s="658"/>
      <c r="AY137" s="658"/>
      <c r="AZ137" s="658"/>
      <c r="BA137" s="658"/>
      <c r="BB137"/>
      <c r="BC137"/>
    </row>
    <row r="138" spans="1:55" s="815" customFormat="1" ht="15" customHeight="1" thickBot="1">
      <c r="A138" s="2013"/>
      <c r="B138" s="253"/>
      <c r="C138" s="2723"/>
      <c r="D138" s="1323"/>
      <c r="E138" s="253"/>
      <c r="F138" s="253"/>
      <c r="G138" s="253"/>
      <c r="H138" s="253"/>
      <c r="I138" s="253"/>
      <c r="J138" s="253"/>
      <c r="K138" s="253"/>
      <c r="L138" s="253"/>
      <c r="M138" s="253"/>
      <c r="N138" s="253"/>
      <c r="O138" s="253"/>
      <c r="P138" s="253"/>
      <c r="Q138" s="253"/>
      <c r="R138" s="253"/>
      <c r="S138" s="253"/>
      <c r="T138" s="253"/>
      <c r="U138" s="253"/>
      <c r="V138" s="253"/>
      <c r="W138" s="253"/>
      <c r="X138" s="253"/>
      <c r="Y138" s="253"/>
      <c r="Z138" s="253"/>
      <c r="AA138" s="253"/>
      <c r="AB138" s="253"/>
      <c r="AC138" s="1657"/>
      <c r="AD138" s="4452"/>
      <c r="AE138" s="10877"/>
      <c r="AF138" s="10878"/>
      <c r="AG138" s="10878"/>
      <c r="AH138" s="10878"/>
      <c r="AI138" s="10878"/>
      <c r="AJ138" s="10878"/>
      <c r="AK138" s="2013"/>
      <c r="AL138" s="5779"/>
      <c r="AM138" s="5779"/>
      <c r="AN138" s="5779"/>
      <c r="AO138" s="10919"/>
      <c r="AP138" s="253"/>
      <c r="AQ138" s="253"/>
      <c r="AR138" s="658"/>
      <c r="AS138" s="658"/>
      <c r="AT138" s="658"/>
      <c r="AU138" s="658"/>
      <c r="AV138" s="658"/>
      <c r="AW138" s="658"/>
      <c r="AX138" s="658"/>
      <c r="AY138" s="658"/>
      <c r="AZ138" s="658"/>
      <c r="BA138" s="658"/>
      <c r="BB138"/>
      <c r="BC138"/>
    </row>
    <row r="139" spans="1:55" s="815" customFormat="1" ht="16.5" thickBot="1">
      <c r="A139" s="2013"/>
      <c r="B139" s="253"/>
      <c r="C139" s="2917">
        <v>21</v>
      </c>
      <c r="D139" s="1323" t="s">
        <v>5609</v>
      </c>
      <c r="E139" s="253"/>
      <c r="F139" s="511"/>
      <c r="G139" s="511"/>
      <c r="H139" s="253"/>
      <c r="I139" s="253"/>
      <c r="J139" s="253"/>
      <c r="K139" s="253"/>
      <c r="L139" s="1323" t="s">
        <v>5610</v>
      </c>
      <c r="M139" s="253"/>
      <c r="N139" s="253"/>
      <c r="O139" s="253"/>
      <c r="P139" s="253"/>
      <c r="Q139" s="253"/>
      <c r="R139" s="253"/>
      <c r="S139" s="253"/>
      <c r="T139" s="253"/>
      <c r="U139" s="253"/>
      <c r="V139" s="253"/>
      <c r="W139" s="253"/>
      <c r="X139" s="253"/>
      <c r="Y139" s="253"/>
      <c r="Z139" s="253"/>
      <c r="AA139" s="253"/>
      <c r="AB139" s="253"/>
      <c r="AC139" s="1657" t="s">
        <v>624</v>
      </c>
      <c r="AD139" s="4448">
        <v>21</v>
      </c>
      <c r="AE139" s="10881" t="str">
        <f>IF(AM139&lt;&gt;"",ROUND(AM139,0),IF($AE$110,"",SUM(AE133,AE135,ROUND(AQ137,0))))</f>
        <v/>
      </c>
      <c r="AF139" s="7655"/>
      <c r="AG139" s="7655"/>
      <c r="AH139" s="7655"/>
      <c r="AI139" s="7655"/>
      <c r="AJ139" s="7655"/>
      <c r="AK139" s="2389"/>
      <c r="AL139" s="5779"/>
      <c r="AM139" s="5719"/>
      <c r="AN139" s="5779"/>
      <c r="AO139" s="10919"/>
      <c r="AP139" s="253"/>
      <c r="AQ139" s="5761" t="b">
        <f>AND(AK139="",AE139&lt;=0)</f>
        <v>0</v>
      </c>
      <c r="AR139" s="658"/>
      <c r="AS139" s="658"/>
      <c r="AT139" s="658"/>
      <c r="AU139" s="658"/>
      <c r="AV139" s="658"/>
      <c r="AW139" s="658"/>
      <c r="AX139" s="658"/>
      <c r="AY139" s="658"/>
      <c r="AZ139" s="658"/>
      <c r="BA139" s="658"/>
      <c r="BB139"/>
      <c r="BC139"/>
    </row>
    <row r="140" spans="1:55" s="815" customFormat="1" ht="15" customHeight="1" thickBot="1">
      <c r="A140" s="2013"/>
      <c r="B140" s="253"/>
      <c r="C140" s="2723"/>
      <c r="D140" s="1323"/>
      <c r="E140" s="253"/>
      <c r="F140" s="253"/>
      <c r="G140" s="253"/>
      <c r="H140" s="253"/>
      <c r="I140" s="253"/>
      <c r="J140" s="253"/>
      <c r="K140" s="253"/>
      <c r="L140" s="253"/>
      <c r="M140" s="253"/>
      <c r="N140" s="253"/>
      <c r="O140" s="253"/>
      <c r="P140" s="253"/>
      <c r="Q140" s="253"/>
      <c r="R140" s="253"/>
      <c r="S140" s="253"/>
      <c r="T140" s="253"/>
      <c r="U140" s="253"/>
      <c r="V140" s="253"/>
      <c r="W140" s="253"/>
      <c r="X140" s="253"/>
      <c r="Y140" s="253"/>
      <c r="Z140" s="253"/>
      <c r="AA140" s="253"/>
      <c r="AB140" s="253"/>
      <c r="AC140" s="1657"/>
      <c r="AD140" s="4452"/>
      <c r="AE140" s="10877"/>
      <c r="AF140" s="10878"/>
      <c r="AG140" s="10878"/>
      <c r="AH140" s="10878"/>
      <c r="AI140" s="10878"/>
      <c r="AJ140" s="10878"/>
      <c r="AK140" s="5776" t="str">
        <f>IF(AE139&lt;0,"Override stop.","")</f>
        <v/>
      </c>
      <c r="AL140" s="253"/>
      <c r="AM140" s="253"/>
      <c r="AN140" s="253"/>
      <c r="AO140" s="2013"/>
      <c r="AP140" s="253"/>
      <c r="AQ140" s="1193">
        <f>Tax_SubTotal</f>
        <v>0</v>
      </c>
      <c r="AR140" s="658"/>
      <c r="AS140" s="658"/>
      <c r="AT140" s="658"/>
      <c r="AU140" s="658"/>
      <c r="AV140" s="658"/>
      <c r="AW140" s="658"/>
      <c r="AX140" s="658"/>
      <c r="AY140" s="658"/>
      <c r="AZ140" s="658"/>
      <c r="BA140" s="658"/>
      <c r="BB140"/>
      <c r="BC140"/>
    </row>
    <row r="141" spans="1:55" s="815" customFormat="1" ht="16.5" thickBot="1">
      <c r="A141" s="2013"/>
      <c r="B141" s="253"/>
      <c r="C141" s="2917">
        <v>22</v>
      </c>
      <c r="D141" s="1323" t="str">
        <f>"Enter your "&amp;TaxYear&amp;" regular income tax liability minus allowable credits (see instructions)"</f>
        <v>Enter your 2025 regular income tax liability minus allowable credits (see instructions)</v>
      </c>
      <c r="E141" s="253"/>
      <c r="F141" s="511"/>
      <c r="G141" s="511"/>
      <c r="H141" s="253"/>
      <c r="I141" s="253"/>
      <c r="J141" s="253"/>
      <c r="K141" s="253"/>
      <c r="L141" s="253"/>
      <c r="M141" s="253"/>
      <c r="N141" s="253"/>
      <c r="O141" s="253"/>
      <c r="P141" s="253"/>
      <c r="Q141" s="253"/>
      <c r="R141" s="253"/>
      <c r="S141" s="253"/>
      <c r="T141" s="253"/>
      <c r="U141" s="253"/>
      <c r="V141" s="253"/>
      <c r="W141" s="253"/>
      <c r="X141" s="253"/>
      <c r="Y141" s="253"/>
      <c r="Z141" s="253"/>
      <c r="AA141" s="253"/>
      <c r="AB141" s="253"/>
      <c r="AC141" s="1657" t="s">
        <v>631</v>
      </c>
      <c r="AD141" s="4448">
        <v>22</v>
      </c>
      <c r="AE141" s="10881" t="str">
        <f>IF(AM141&lt;&gt;"",ROUND(AM141,0),IF(OR(AQ139,AE139=""),"",MAX(0,SUM(AQ140,AQ141,-AQ142,-AQ143))))</f>
        <v/>
      </c>
      <c r="AF141" s="7655"/>
      <c r="AG141" s="7655"/>
      <c r="AH141" s="7655"/>
      <c r="AI141" s="7655"/>
      <c r="AJ141" s="7655"/>
      <c r="AK141" s="2013"/>
      <c r="AL141" s="253"/>
      <c r="AM141" s="5719"/>
      <c r="AN141" s="253"/>
      <c r="AO141" s="2013"/>
      <c r="AP141" s="253"/>
      <c r="AQ141" s="1193">
        <f>IF('Sch. 2'!AD33="",0,'Sch. 2'!AD33)</f>
        <v>0</v>
      </c>
      <c r="AR141" s="658"/>
      <c r="AS141" s="658"/>
      <c r="AT141" s="658"/>
      <c r="AU141" s="658"/>
      <c r="AV141" s="658"/>
      <c r="AW141" s="658"/>
      <c r="AX141" s="658"/>
      <c r="AY141" s="658"/>
      <c r="AZ141" s="658"/>
      <c r="BA141" s="658"/>
      <c r="BB141"/>
      <c r="BC141"/>
    </row>
    <row r="142" spans="1:55" s="815" customFormat="1" ht="15" customHeight="1" thickBot="1">
      <c r="A142" s="2013"/>
      <c r="B142" s="253"/>
      <c r="C142" s="2723"/>
      <c r="D142" s="1323"/>
      <c r="E142" s="253"/>
      <c r="F142" s="253"/>
      <c r="G142" s="253"/>
      <c r="H142" s="253"/>
      <c r="I142" s="253"/>
      <c r="J142" s="253"/>
      <c r="K142" s="253"/>
      <c r="L142" s="253"/>
      <c r="M142" s="253"/>
      <c r="N142" s="253"/>
      <c r="O142" s="253"/>
      <c r="P142" s="253"/>
      <c r="Q142" s="253"/>
      <c r="R142" s="253"/>
      <c r="S142" s="253"/>
      <c r="T142" s="253"/>
      <c r="U142" s="253"/>
      <c r="V142" s="253"/>
      <c r="W142" s="253"/>
      <c r="X142" s="253"/>
      <c r="Y142" s="253"/>
      <c r="Z142" s="253"/>
      <c r="AA142" s="253"/>
      <c r="AB142" s="253"/>
      <c r="AC142" s="1657"/>
      <c r="AD142" s="4452"/>
      <c r="AE142" s="10877"/>
      <c r="AF142" s="10878"/>
      <c r="AG142" s="10878"/>
      <c r="AH142" s="10878"/>
      <c r="AI142" s="10878"/>
      <c r="AJ142" s="10878"/>
      <c r="AK142" s="2013"/>
      <c r="AL142" s="253"/>
      <c r="AM142" s="253"/>
      <c r="AN142" s="253"/>
      <c r="AO142" s="2013"/>
      <c r="AP142" s="253"/>
      <c r="AQ142" s="1193" t="str">
        <f>ChildDepend_TaxCredit</f>
        <v/>
      </c>
      <c r="AR142" s="658"/>
      <c r="AS142" s="658"/>
      <c r="AT142" s="658"/>
      <c r="AU142" s="658"/>
      <c r="AV142" s="658"/>
      <c r="AW142" s="658"/>
      <c r="AX142" s="658"/>
      <c r="AY142" s="658"/>
      <c r="AZ142" s="658"/>
      <c r="BA142" s="658"/>
      <c r="BB142"/>
      <c r="BC142"/>
    </row>
    <row r="143" spans="1:55" s="815" customFormat="1" ht="16.5" thickBot="1">
      <c r="A143" s="2013"/>
      <c r="B143" s="253"/>
      <c r="C143" s="2917">
        <v>23</v>
      </c>
      <c r="D143" s="1323" t="str">
        <f>"Enter the amount from your "&amp;TaxYear&amp;" Form 6251, line 9, or "&amp;TaxYear&amp;" Schedule I (Form 1041), line 52"</f>
        <v>Enter the amount from your 2025 Form 6251, line 9, or 2025 Schedule I (Form 1041), line 52</v>
      </c>
      <c r="E143" s="253"/>
      <c r="F143" s="511"/>
      <c r="G143" s="511"/>
      <c r="H143" s="253"/>
      <c r="I143" s="253"/>
      <c r="J143" s="253"/>
      <c r="K143" s="253"/>
      <c r="L143" s="253"/>
      <c r="M143" s="253"/>
      <c r="N143" s="253"/>
      <c r="O143" s="253"/>
      <c r="P143" s="253"/>
      <c r="Q143" s="253"/>
      <c r="R143" s="253"/>
      <c r="S143" s="253"/>
      <c r="T143" s="253"/>
      <c r="U143" s="253"/>
      <c r="V143" s="253"/>
      <c r="W143" s="253"/>
      <c r="X143" s="253"/>
      <c r="Y143" s="253"/>
      <c r="Z143" s="253"/>
      <c r="AA143" s="253"/>
      <c r="AB143" s="253"/>
      <c r="AC143" s="1657" t="s">
        <v>627</v>
      </c>
      <c r="AD143" s="4448">
        <v>23</v>
      </c>
      <c r="AE143" s="10881" t="str">
        <f>IF(AM143&lt;&gt;"",ROUND(AM143,0),IF(OR($AE$110,AQ139),"",'6251'!M58))</f>
        <v/>
      </c>
      <c r="AF143" s="7655"/>
      <c r="AG143" s="7655"/>
      <c r="AH143" s="7655"/>
      <c r="AI143" s="7655"/>
      <c r="AJ143" s="7655"/>
      <c r="AK143" s="2013"/>
      <c r="AL143" s="253"/>
      <c r="AM143" s="5719"/>
      <c r="AN143" s="1806"/>
      <c r="AO143" s="2013"/>
      <c r="AP143" s="253"/>
      <c r="AQ143" s="851">
        <f>SUM('Sch. 3'!AC11:AG16,'Sch. 3'!W18:AA18,AdoptCredit,Sch3_Line6d,'Sch. 3'!W23:AA30,'Sch. 3'!W33:AA33)</f>
        <v>0</v>
      </c>
      <c r="AR143" s="658"/>
      <c r="AS143" s="658"/>
      <c r="AT143" s="658"/>
      <c r="AU143" s="658"/>
      <c r="AV143" s="658"/>
      <c r="AW143" s="658"/>
      <c r="AX143" s="658"/>
      <c r="AY143" s="658"/>
      <c r="AZ143" s="658"/>
      <c r="BA143" s="658"/>
      <c r="BB143"/>
      <c r="BC143"/>
    </row>
    <row r="144" spans="1:55" s="815" customFormat="1" ht="15" customHeight="1" thickBot="1">
      <c r="A144" s="2013"/>
      <c r="B144" s="253"/>
      <c r="C144" s="2723"/>
      <c r="D144" s="1323"/>
      <c r="E144" s="253"/>
      <c r="F144" s="253"/>
      <c r="G144" s="253"/>
      <c r="H144" s="253"/>
      <c r="I144" s="253"/>
      <c r="J144" s="253"/>
      <c r="K144" s="253"/>
      <c r="L144" s="253"/>
      <c r="M144" s="253"/>
      <c r="N144" s="253"/>
      <c r="O144" s="253"/>
      <c r="P144" s="253"/>
      <c r="Q144" s="253"/>
      <c r="R144" s="253"/>
      <c r="S144" s="253"/>
      <c r="T144" s="253"/>
      <c r="U144" s="253"/>
      <c r="V144" s="253"/>
      <c r="W144" s="253"/>
      <c r="X144" s="253"/>
      <c r="Y144" s="253"/>
      <c r="Z144" s="253"/>
      <c r="AA144" s="253"/>
      <c r="AB144" s="253"/>
      <c r="AC144" s="1657"/>
      <c r="AD144" s="4452"/>
      <c r="AE144" s="10877"/>
      <c r="AF144" s="10878"/>
      <c r="AG144" s="10878"/>
      <c r="AH144" s="10878"/>
      <c r="AI144" s="10878"/>
      <c r="AJ144" s="10878"/>
      <c r="AK144" s="2013"/>
      <c r="AL144" s="253"/>
      <c r="AM144" s="253"/>
      <c r="AN144" s="253"/>
      <c r="AO144" s="2013"/>
      <c r="AP144" s="253"/>
      <c r="AQ144" s="851"/>
      <c r="AR144" s="658"/>
      <c r="AS144" s="658"/>
      <c r="AT144" s="658"/>
      <c r="AU144" s="658"/>
      <c r="AV144" s="658"/>
      <c r="AW144" s="658"/>
      <c r="AX144" s="658"/>
      <c r="AY144" s="658"/>
      <c r="AZ144" s="658"/>
      <c r="BA144" s="658"/>
      <c r="BB144"/>
      <c r="BC144"/>
    </row>
    <row r="145" spans="1:55" s="815" customFormat="1" ht="16.5" thickBot="1">
      <c r="A145" s="2013"/>
      <c r="B145" s="253"/>
      <c r="C145" s="2917">
        <v>24</v>
      </c>
      <c r="D145" s="1323" t="s">
        <v>5569</v>
      </c>
      <c r="E145" s="253"/>
      <c r="F145" s="511"/>
      <c r="G145" s="511"/>
      <c r="H145" s="253"/>
      <c r="I145" s="253"/>
      <c r="J145" s="253"/>
      <c r="K145" s="253"/>
      <c r="L145" s="253"/>
      <c r="M145" s="253"/>
      <c r="N145" s="253"/>
      <c r="O145" s="253"/>
      <c r="P145" s="253"/>
      <c r="Q145" s="253"/>
      <c r="R145" s="253"/>
      <c r="S145" s="253"/>
      <c r="T145" s="253"/>
      <c r="U145" s="253"/>
      <c r="V145" s="253"/>
      <c r="W145" s="253"/>
      <c r="X145" s="253"/>
      <c r="Y145" s="253"/>
      <c r="Z145" s="253"/>
      <c r="AA145" s="253"/>
      <c r="AB145" s="253"/>
      <c r="AC145" s="1657" t="s">
        <v>650</v>
      </c>
      <c r="AD145" s="4448">
        <v>24</v>
      </c>
      <c r="AE145" s="10881" t="str">
        <f>IF(AM145&lt;&gt;"",ROUND(AM145,0),IF(OR($AQ$139,$AE$110),"",IF(AE143="",MAX(0,AE141),MAX(0,SUM(AE141,-AE143)))))</f>
        <v/>
      </c>
      <c r="AF145" s="7655"/>
      <c r="AG145" s="7655"/>
      <c r="AH145" s="7655"/>
      <c r="AI145" s="7655"/>
      <c r="AJ145" s="7655"/>
      <c r="AK145" s="2013"/>
      <c r="AL145" s="253"/>
      <c r="AM145" s="5719"/>
      <c r="AN145" s="253"/>
      <c r="AO145" s="2013"/>
      <c r="AP145" s="253"/>
      <c r="AQ145" s="253"/>
      <c r="AR145" s="658"/>
      <c r="AS145" s="658"/>
      <c r="AT145" s="658"/>
      <c r="AU145" s="658"/>
      <c r="AV145" s="658"/>
      <c r="AW145" s="658"/>
      <c r="AX145" s="658"/>
      <c r="AY145" s="658"/>
      <c r="AZ145" s="658"/>
      <c r="BA145" s="658"/>
      <c r="BB145"/>
      <c r="BC145"/>
    </row>
    <row r="146" spans="1:55" s="815" customFormat="1" ht="15" customHeight="1">
      <c r="A146" s="2013"/>
      <c r="B146" s="253"/>
      <c r="C146" s="2723"/>
      <c r="D146" s="1323"/>
      <c r="E146" s="253"/>
      <c r="F146" s="253"/>
      <c r="G146" s="253"/>
      <c r="H146" s="253"/>
      <c r="I146" s="253"/>
      <c r="J146" s="253"/>
      <c r="K146" s="253"/>
      <c r="L146" s="253"/>
      <c r="M146" s="329"/>
      <c r="N146" s="253"/>
      <c r="O146" s="253"/>
      <c r="P146" s="253"/>
      <c r="Q146" s="253"/>
      <c r="R146" s="253"/>
      <c r="S146" s="253"/>
      <c r="T146" s="253"/>
      <c r="U146" s="253"/>
      <c r="V146" s="253"/>
      <c r="W146" s="253"/>
      <c r="X146" s="253"/>
      <c r="Y146" s="253"/>
      <c r="Z146" s="253"/>
      <c r="AA146" s="253"/>
      <c r="AB146" s="253"/>
      <c r="AC146" s="1657"/>
      <c r="AD146" s="5743"/>
      <c r="AE146" s="10876"/>
      <c r="AF146" s="10878"/>
      <c r="AG146" s="10878"/>
      <c r="AH146" s="10878"/>
      <c r="AI146" s="10878"/>
      <c r="AJ146" s="10878"/>
      <c r="AK146" s="2013"/>
      <c r="AL146" s="253"/>
      <c r="AM146" s="253"/>
      <c r="AN146" s="253"/>
      <c r="AO146" s="2013"/>
      <c r="AP146" s="253"/>
      <c r="AQ146" s="253"/>
      <c r="AR146" s="658"/>
      <c r="AS146" s="658"/>
      <c r="AT146" s="658"/>
      <c r="AU146" s="658"/>
      <c r="AV146" s="658"/>
      <c r="AW146" s="658"/>
      <c r="AX146" s="658"/>
      <c r="AY146" s="658"/>
      <c r="AZ146" s="658"/>
      <c r="BA146" s="658"/>
      <c r="BB146"/>
      <c r="BC146"/>
    </row>
    <row r="147" spans="1:55" s="815" customFormat="1" ht="16.5" thickBot="1">
      <c r="A147" s="2013"/>
      <c r="B147" s="253"/>
      <c r="C147" s="2917">
        <v>25</v>
      </c>
      <c r="D147" s="514" t="s">
        <v>5570</v>
      </c>
      <c r="E147" s="253"/>
      <c r="F147" s="511"/>
      <c r="G147" s="511"/>
      <c r="H147" s="253"/>
      <c r="I147" s="253"/>
      <c r="J147" s="1323" t="s">
        <v>6472</v>
      </c>
      <c r="K147" s="253"/>
      <c r="L147" s="253"/>
      <c r="M147" s="253"/>
      <c r="N147" s="253"/>
      <c r="O147" s="253"/>
      <c r="P147" s="253"/>
      <c r="Q147" s="253"/>
      <c r="R147" s="1323"/>
      <c r="S147" s="1323" t="str">
        <f>"Also enter this amount on your "&amp;TaxYear</f>
        <v>Also enter this amount on your 2025</v>
      </c>
      <c r="T147" s="253"/>
      <c r="U147" s="253"/>
      <c r="V147" s="253"/>
      <c r="W147" s="253"/>
      <c r="X147" s="253"/>
      <c r="Y147" s="253"/>
      <c r="Z147" s="253"/>
      <c r="AA147" s="253"/>
      <c r="AB147" s="253"/>
      <c r="AC147" s="1657"/>
      <c r="AD147" s="5743"/>
      <c r="AE147" s="10890"/>
      <c r="AF147" s="10891"/>
      <c r="AG147" s="10891"/>
      <c r="AH147" s="10891"/>
      <c r="AI147" s="10891"/>
      <c r="AJ147" s="10891"/>
      <c r="AK147" s="2013"/>
      <c r="AL147" s="253"/>
      <c r="AM147" s="253"/>
      <c r="AN147" s="253"/>
      <c r="AO147" s="2013"/>
      <c r="AP147" s="253"/>
      <c r="AQ147" s="253"/>
      <c r="AR147" s="658"/>
      <c r="AS147" s="658"/>
      <c r="AT147" s="658"/>
      <c r="AU147" s="658"/>
      <c r="AV147" s="658"/>
      <c r="AW147" s="658"/>
      <c r="AX147" s="658"/>
      <c r="AY147" s="658"/>
      <c r="AZ147" s="658"/>
      <c r="BA147" s="658"/>
      <c r="BB147"/>
      <c r="BC147"/>
    </row>
    <row r="148" spans="1:55" s="815" customFormat="1" ht="16.5" thickBot="1">
      <c r="A148" s="2013"/>
      <c r="B148" s="253"/>
      <c r="C148" s="2917"/>
      <c r="D148" s="1323" t="s">
        <v>5571</v>
      </c>
      <c r="E148" s="253"/>
      <c r="F148" s="511"/>
      <c r="G148" s="511"/>
      <c r="H148" s="253"/>
      <c r="I148" s="253"/>
      <c r="J148" s="253"/>
      <c r="K148" s="253"/>
      <c r="L148" s="253"/>
      <c r="M148" s="253"/>
      <c r="N148" s="253"/>
      <c r="O148" s="253"/>
      <c r="P148" s="253"/>
      <c r="Q148" s="253"/>
      <c r="R148" s="253"/>
      <c r="S148" s="253"/>
      <c r="T148" s="253"/>
      <c r="U148" s="253"/>
      <c r="V148" s="253"/>
      <c r="W148" s="253"/>
      <c r="X148" s="253"/>
      <c r="Y148" s="253"/>
      <c r="Z148" s="253"/>
      <c r="AA148" s="253"/>
      <c r="AB148" s="253"/>
      <c r="AC148" s="1657" t="s">
        <v>601</v>
      </c>
      <c r="AD148" s="4448">
        <v>25</v>
      </c>
      <c r="AE148" s="10881" t="str">
        <f>IF(AM148&lt;&gt;"",ROUND(AM148,0),IF(OR($AQ$139,$AE$110),"",MIN(AE139,AE145)))</f>
        <v/>
      </c>
      <c r="AF148" s="7655"/>
      <c r="AG148" s="7655"/>
      <c r="AH148" s="7655"/>
      <c r="AI148" s="7655"/>
      <c r="AJ148" s="7655"/>
      <c r="AK148" s="2013"/>
      <c r="AL148" s="253"/>
      <c r="AM148" s="5719"/>
      <c r="AN148" s="1806"/>
      <c r="AO148" s="2013"/>
      <c r="AP148" s="253"/>
      <c r="AQ148" s="253"/>
      <c r="AR148" s="658"/>
      <c r="AS148" s="658"/>
      <c r="AT148" s="658"/>
      <c r="AU148" s="658"/>
      <c r="AV148" s="658"/>
      <c r="AW148" s="658"/>
      <c r="AX148" s="658"/>
      <c r="AY148" s="658"/>
      <c r="AZ148" s="658"/>
      <c r="BA148" s="658"/>
      <c r="BB148"/>
      <c r="BC148"/>
    </row>
    <row r="149" spans="1:55" s="815" customFormat="1" ht="15" customHeight="1">
      <c r="A149" s="2013"/>
      <c r="B149" s="253"/>
      <c r="C149" s="2723"/>
      <c r="D149" s="1323"/>
      <c r="E149" s="253"/>
      <c r="F149" s="253"/>
      <c r="G149" s="253"/>
      <c r="H149" s="253"/>
      <c r="I149" s="253"/>
      <c r="J149" s="253"/>
      <c r="K149" s="253"/>
      <c r="L149" s="253"/>
      <c r="M149" s="329"/>
      <c r="N149" s="253"/>
      <c r="O149" s="253"/>
      <c r="P149" s="253"/>
      <c r="Q149" s="253"/>
      <c r="R149" s="253"/>
      <c r="S149" s="253"/>
      <c r="T149" s="253"/>
      <c r="U149" s="253"/>
      <c r="V149" s="253"/>
      <c r="W149" s="253"/>
      <c r="X149" s="253"/>
      <c r="Y149" s="253"/>
      <c r="Z149" s="253"/>
      <c r="AA149" s="253"/>
      <c r="AB149" s="253"/>
      <c r="AC149" s="1657"/>
      <c r="AD149" s="5743"/>
      <c r="AE149" s="10876"/>
      <c r="AF149" s="10878"/>
      <c r="AG149" s="10878"/>
      <c r="AH149" s="10878"/>
      <c r="AI149" s="10878"/>
      <c r="AJ149" s="10878"/>
      <c r="AK149" s="2013"/>
      <c r="AL149" s="253"/>
      <c r="AM149" s="253"/>
      <c r="AN149" s="253"/>
      <c r="AO149" s="2013"/>
      <c r="AP149" s="253"/>
      <c r="AQ149" s="253"/>
      <c r="AR149" s="658"/>
      <c r="AS149" s="658"/>
      <c r="AT149" s="658"/>
      <c r="AU149" s="658"/>
      <c r="AV149" s="658"/>
      <c r="AW149" s="658"/>
      <c r="AX149" s="658"/>
      <c r="AY149" s="658"/>
      <c r="AZ149" s="658"/>
      <c r="BA149" s="658"/>
      <c r="BB149"/>
      <c r="BC149"/>
    </row>
    <row r="150" spans="1:55" s="815" customFormat="1" ht="15.75">
      <c r="A150" s="2013"/>
      <c r="B150" s="253"/>
      <c r="C150" s="2917">
        <v>26</v>
      </c>
      <c r="D150" s="514" t="str">
        <f>"Credit carryforward to "&amp;NextYear&amp;"."</f>
        <v>Credit carryforward to 2026.</v>
      </c>
      <c r="E150" s="253"/>
      <c r="F150" s="511"/>
      <c r="G150" s="511"/>
      <c r="H150" s="253"/>
      <c r="I150" s="253"/>
      <c r="J150" s="1323"/>
      <c r="K150" s="253"/>
      <c r="L150" s="4979" t="s">
        <v>5572</v>
      </c>
      <c r="M150" s="1323"/>
      <c r="N150" s="253"/>
      <c r="O150" s="253"/>
      <c r="P150" s="253"/>
      <c r="Q150" s="253"/>
      <c r="R150" s="253"/>
      <c r="S150" s="253"/>
      <c r="T150" s="253"/>
      <c r="U150" s="253"/>
      <c r="V150" s="253"/>
      <c r="W150" s="253"/>
      <c r="X150" s="253"/>
      <c r="Y150" s="253"/>
      <c r="Z150" s="253"/>
      <c r="AA150" s="253"/>
      <c r="AB150" s="253"/>
      <c r="AC150" s="1657"/>
      <c r="AD150" s="5743"/>
      <c r="AE150" s="10890"/>
      <c r="AF150" s="10891"/>
      <c r="AG150" s="10891"/>
      <c r="AH150" s="10891"/>
      <c r="AI150" s="10891"/>
      <c r="AJ150" s="10891"/>
      <c r="AK150" s="2013"/>
      <c r="AL150" s="253"/>
      <c r="AM150" s="253"/>
      <c r="AN150" s="253"/>
      <c r="AO150" s="2013"/>
      <c r="AP150" s="253"/>
      <c r="AQ150" s="253"/>
      <c r="AR150" s="658"/>
      <c r="AS150" s="658"/>
      <c r="AT150" s="658"/>
      <c r="AU150" s="658"/>
      <c r="AV150" s="658"/>
      <c r="AW150" s="658"/>
      <c r="AX150" s="658"/>
      <c r="AY150" s="658"/>
      <c r="AZ150" s="658"/>
      <c r="BA150" s="658"/>
      <c r="BB150"/>
      <c r="BC150"/>
    </row>
    <row r="151" spans="1:55" s="815" customFormat="1" ht="16.5" thickBot="1">
      <c r="A151" s="2013"/>
      <c r="B151" s="380"/>
      <c r="C151" s="5002"/>
      <c r="D151" s="5003" t="s">
        <v>5573</v>
      </c>
      <c r="E151" s="380"/>
      <c r="F151" s="2015"/>
      <c r="G151" s="2015"/>
      <c r="H151" s="380"/>
      <c r="I151" s="380"/>
      <c r="J151" s="380"/>
      <c r="K151" s="380"/>
      <c r="L151" s="380"/>
      <c r="M151" s="380"/>
      <c r="N151" s="380"/>
      <c r="O151" s="380"/>
      <c r="P151" s="380"/>
      <c r="Q151" s="380"/>
      <c r="R151" s="380"/>
      <c r="S151" s="380"/>
      <c r="T151" s="380"/>
      <c r="U151" s="380"/>
      <c r="V151" s="380"/>
      <c r="W151" s="380"/>
      <c r="X151" s="380"/>
      <c r="Y151" s="380"/>
      <c r="Z151" s="380"/>
      <c r="AA151" s="380"/>
      <c r="AB151" s="380"/>
      <c r="AC151" s="1658" t="s">
        <v>677</v>
      </c>
      <c r="AD151" s="4894">
        <v>26</v>
      </c>
      <c r="AE151" s="10893" t="str">
        <f>IF(AM151&lt;&gt;"",ROUND(AM151,0),IF(OR($AQ$139,$AE$110),"",SUM(AE139,-AE148)))</f>
        <v/>
      </c>
      <c r="AF151" s="10894"/>
      <c r="AG151" s="10894"/>
      <c r="AH151" s="10894"/>
      <c r="AI151" s="10894"/>
      <c r="AJ151" s="10894"/>
      <c r="AK151" s="2013"/>
      <c r="AL151" s="253"/>
      <c r="AM151" s="253"/>
      <c r="AN151" s="253"/>
      <c r="AO151" s="2013"/>
      <c r="AP151" s="253"/>
      <c r="AQ151" s="253"/>
      <c r="AR151" s="658"/>
      <c r="AS151" s="658"/>
      <c r="AT151" s="658"/>
      <c r="AU151" s="658"/>
      <c r="AV151" s="658"/>
      <c r="AW151" s="658"/>
      <c r="AX151" s="658"/>
      <c r="AY151" s="658"/>
      <c r="AZ151" s="658"/>
      <c r="BA151" s="658"/>
      <c r="BB151"/>
      <c r="BC151"/>
    </row>
    <row r="152" spans="1:55" s="815" customFormat="1" ht="15.75">
      <c r="A152" s="2013"/>
      <c r="B152" s="2447"/>
      <c r="C152" s="728"/>
      <c r="D152" s="1560"/>
      <c r="E152" s="1560"/>
      <c r="F152" s="1560"/>
      <c r="G152" s="1560"/>
      <c r="H152" s="1560"/>
      <c r="I152" s="1560"/>
      <c r="J152" s="1560"/>
      <c r="K152" s="1560"/>
      <c r="L152" s="1560"/>
      <c r="M152" s="1560"/>
      <c r="N152" s="1560"/>
      <c r="O152" s="1560"/>
      <c r="P152" s="1560"/>
      <c r="Q152" s="88"/>
      <c r="R152" s="88"/>
      <c r="S152" s="88"/>
      <c r="T152" s="88"/>
      <c r="U152" s="3931"/>
      <c r="V152" s="88"/>
      <c r="W152" s="3931"/>
      <c r="X152" s="88"/>
      <c r="Y152" s="88"/>
      <c r="Z152" s="88"/>
      <c r="AA152" s="88"/>
      <c r="AB152" s="88"/>
      <c r="AC152" s="88"/>
      <c r="AD152" s="88"/>
      <c r="AE152" s="88"/>
      <c r="AF152" s="88"/>
      <c r="AG152" s="88"/>
      <c r="AH152" s="2052" t="s">
        <v>5566</v>
      </c>
      <c r="AI152" s="88"/>
      <c r="AJ152" s="2052" t="str">
        <f>"("&amp;TaxYear&amp;")"</f>
        <v>(2025)</v>
      </c>
      <c r="AK152" s="2013"/>
      <c r="AL152" s="253"/>
      <c r="AM152" s="253"/>
      <c r="AN152" s="253"/>
      <c r="AO152" s="2013"/>
      <c r="AP152" s="253"/>
      <c r="AQ152" s="253"/>
      <c r="AR152" s="658"/>
      <c r="AS152" s="658"/>
      <c r="AT152" s="658"/>
      <c r="AU152" s="658"/>
      <c r="AV152" s="658"/>
      <c r="AW152" s="658"/>
      <c r="AX152" s="658"/>
      <c r="AY152" s="658"/>
      <c r="AZ152" s="658"/>
      <c r="BA152" s="658"/>
      <c r="BB152"/>
      <c r="BC152"/>
    </row>
    <row r="153" spans="1:55" s="815" customFormat="1" ht="19.5" customHeight="1">
      <c r="A153" s="2013"/>
      <c r="B153" s="2329"/>
      <c r="C153" s="2329"/>
      <c r="D153" s="2329"/>
      <c r="E153" s="1672"/>
      <c r="F153" s="253"/>
      <c r="G153" s="253"/>
      <c r="H153" s="253"/>
      <c r="I153" s="253"/>
      <c r="J153" s="253"/>
      <c r="K153" s="253"/>
      <c r="L153" s="253"/>
      <c r="M153" s="253"/>
      <c r="N153" s="253"/>
      <c r="O153" s="253"/>
      <c r="P153" s="253"/>
      <c r="Q153" s="253"/>
      <c r="R153" s="253"/>
      <c r="S153" s="253"/>
      <c r="T153" s="253"/>
      <c r="U153" s="253"/>
      <c r="V153" s="253"/>
      <c r="W153" s="253"/>
      <c r="X153" s="253"/>
      <c r="Y153" s="253"/>
      <c r="Z153" s="253"/>
      <c r="AA153" s="253"/>
      <c r="AB153" s="253"/>
      <c r="AC153" s="253"/>
      <c r="AD153" s="253"/>
      <c r="AE153" s="253"/>
      <c r="AF153" s="253"/>
      <c r="AG153" s="253"/>
      <c r="AH153" s="253"/>
      <c r="AI153" s="253"/>
      <c r="AJ153" s="253"/>
      <c r="AK153" s="2013"/>
      <c r="AL153" s="253"/>
      <c r="AM153" s="253"/>
      <c r="AN153" s="253"/>
      <c r="AO153" s="2013"/>
      <c r="AP153" s="253"/>
      <c r="AQ153" s="253"/>
      <c r="AR153" s="658"/>
      <c r="AS153" s="658"/>
      <c r="AT153" s="658"/>
      <c r="AU153" s="658"/>
      <c r="AV153" s="658"/>
      <c r="AW153" s="658"/>
      <c r="AX153" s="658"/>
      <c r="AY153" s="658"/>
      <c r="AZ153" s="658"/>
      <c r="BA153" s="658"/>
      <c r="BB153"/>
      <c r="BC153"/>
    </row>
    <row r="154" spans="1:55" ht="16.5" customHeight="1">
      <c r="A154" s="2013"/>
      <c r="B154" s="2329"/>
      <c r="C154" s="2329"/>
      <c r="D154" s="2329"/>
      <c r="E154" s="1672"/>
      <c r="F154" s="253"/>
      <c r="G154" s="253"/>
      <c r="H154" s="253"/>
      <c r="I154" s="253"/>
      <c r="J154" s="253"/>
      <c r="K154" s="253"/>
      <c r="L154" s="253"/>
      <c r="M154" s="253"/>
      <c r="N154" s="253"/>
      <c r="O154" s="253"/>
      <c r="P154" s="253"/>
      <c r="Q154" s="253"/>
      <c r="R154" s="253"/>
      <c r="S154" s="253"/>
      <c r="T154" s="253"/>
      <c r="U154" s="253"/>
      <c r="V154" s="253"/>
      <c r="W154" s="253"/>
      <c r="X154" s="253"/>
      <c r="Y154" s="253"/>
      <c r="Z154" s="253"/>
      <c r="AA154" s="253"/>
      <c r="AB154" s="253"/>
      <c r="AC154" s="253"/>
      <c r="AD154" s="253"/>
      <c r="AE154" s="253"/>
      <c r="AF154" s="253"/>
      <c r="AG154" s="253"/>
      <c r="AH154" s="253"/>
      <c r="AI154" s="253"/>
      <c r="AJ154" s="253"/>
      <c r="AK154" s="2013"/>
      <c r="AL154" s="253"/>
      <c r="AM154" s="253"/>
      <c r="AN154" s="253"/>
      <c r="AO154" s="2013"/>
      <c r="AP154" s="253"/>
      <c r="AQ154" s="253"/>
    </row>
    <row r="155" spans="1:55" s="815" customFormat="1" ht="18" customHeight="1" thickBot="1">
      <c r="A155" s="2013"/>
      <c r="B155" s="721" t="str">
        <f>"Form 8801 ("&amp;TaxYear&amp;")"</f>
        <v>Form 8801 (2025)</v>
      </c>
      <c r="C155" s="4484"/>
      <c r="D155" s="721"/>
      <c r="E155" s="721"/>
      <c r="F155" s="721"/>
      <c r="G155" s="721"/>
      <c r="H155" s="721"/>
      <c r="I155" s="721"/>
      <c r="J155" s="721"/>
      <c r="K155" s="721"/>
      <c r="L155" s="721"/>
      <c r="M155" s="721"/>
      <c r="N155" s="721"/>
      <c r="O155" s="721"/>
      <c r="P155" s="721"/>
      <c r="Q155" s="721"/>
      <c r="R155" s="721"/>
      <c r="S155" s="721"/>
      <c r="T155" s="721"/>
      <c r="U155" s="721"/>
      <c r="V155" s="721"/>
      <c r="W155" s="721"/>
      <c r="X155" s="721"/>
      <c r="Y155" s="721"/>
      <c r="Z155" s="721"/>
      <c r="AA155" s="721"/>
      <c r="AB155" s="721"/>
      <c r="AC155" s="721"/>
      <c r="AD155" s="721"/>
      <c r="AE155" s="721"/>
      <c r="AF155" s="721"/>
      <c r="AG155" s="721"/>
      <c r="AH155" s="721"/>
      <c r="AI155" s="2053" t="s">
        <v>2079</v>
      </c>
      <c r="AJ155" s="2054">
        <v>3</v>
      </c>
      <c r="AK155" s="2013"/>
      <c r="AL155" s="253"/>
      <c r="AM155" s="253"/>
      <c r="AN155" s="253"/>
      <c r="AO155" s="2013"/>
      <c r="AP155" s="253"/>
      <c r="AQ155" s="253"/>
      <c r="AR155" s="658"/>
      <c r="AS155" s="658"/>
      <c r="AT155" s="658"/>
      <c r="AU155" s="658"/>
      <c r="AV155" s="658"/>
      <c r="AW155" s="658"/>
      <c r="AX155" s="658"/>
      <c r="AY155" s="658"/>
      <c r="AZ155" s="658"/>
      <c r="BA155" s="658"/>
      <c r="BB155"/>
      <c r="BC155"/>
    </row>
    <row r="156" spans="1:55" s="815" customFormat="1" ht="19.5" customHeight="1" thickTop="1">
      <c r="A156" s="2013"/>
      <c r="B156" s="10756" t="s">
        <v>1938</v>
      </c>
      <c r="C156" s="10756"/>
      <c r="D156" s="4485"/>
      <c r="E156" s="4485" t="s">
        <v>5574</v>
      </c>
      <c r="F156" s="257"/>
      <c r="G156" s="257"/>
      <c r="H156" s="257"/>
      <c r="I156" s="257"/>
      <c r="J156" s="257"/>
      <c r="K156" s="257"/>
      <c r="L156" s="257"/>
      <c r="M156" s="257"/>
      <c r="N156" s="257"/>
      <c r="O156" s="257"/>
      <c r="P156" s="257"/>
      <c r="Q156" s="257"/>
      <c r="R156" s="257"/>
      <c r="S156" s="257"/>
      <c r="T156" s="257"/>
      <c r="U156" s="257"/>
      <c r="V156" s="257"/>
      <c r="W156" s="257"/>
      <c r="X156" s="257"/>
      <c r="Y156" s="257"/>
      <c r="Z156" s="257"/>
      <c r="AA156" s="257"/>
      <c r="AB156" s="257"/>
      <c r="AC156" s="257"/>
      <c r="AD156" s="257"/>
      <c r="AE156" s="10908" t="b">
        <f>OR($AQ$110,$AQ$246)</f>
        <v>0</v>
      </c>
      <c r="AF156" s="10908"/>
      <c r="AG156" s="10908"/>
      <c r="AH156" s="10908"/>
      <c r="AI156" s="10908"/>
      <c r="AJ156" s="10908"/>
      <c r="AK156" s="2013"/>
      <c r="AL156" s="253"/>
      <c r="AM156" s="253"/>
      <c r="AN156" s="253"/>
      <c r="AO156" s="2013"/>
      <c r="AP156" s="253"/>
      <c r="AQ156" s="253"/>
      <c r="AR156" s="658"/>
      <c r="AS156" s="658"/>
      <c r="AT156" s="658"/>
      <c r="AU156" s="658"/>
      <c r="AV156" s="658"/>
      <c r="AW156" s="658"/>
      <c r="AX156" s="658"/>
      <c r="AY156" s="658"/>
      <c r="AZ156" s="658"/>
      <c r="BA156" s="658"/>
      <c r="BB156"/>
      <c r="BC156"/>
    </row>
    <row r="157" spans="1:55" s="815" customFormat="1" ht="15" customHeight="1">
      <c r="A157" s="2013"/>
      <c r="B157" s="413"/>
      <c r="C157" s="2725"/>
      <c r="D157" s="1998"/>
      <c r="E157" s="1996" t="s">
        <v>5575</v>
      </c>
      <c r="F157" s="413"/>
      <c r="G157" s="413"/>
      <c r="H157" s="413"/>
      <c r="I157" s="413"/>
      <c r="J157" s="413"/>
      <c r="K157" s="413"/>
      <c r="L157" s="413"/>
      <c r="M157" s="413"/>
      <c r="N157" s="413"/>
      <c r="O157" s="413"/>
      <c r="P157" s="413"/>
      <c r="Q157" s="413"/>
      <c r="R157" s="413"/>
      <c r="S157" s="413"/>
      <c r="T157" s="413"/>
      <c r="U157" s="413"/>
      <c r="V157" s="413"/>
      <c r="W157" s="413"/>
      <c r="X157" s="413"/>
      <c r="Y157" s="413"/>
      <c r="Z157" s="413"/>
      <c r="AA157" s="413"/>
      <c r="AB157" s="413"/>
      <c r="AC157" s="1292"/>
      <c r="AD157" s="1293"/>
      <c r="AE157" s="5702"/>
      <c r="AF157" s="5703"/>
      <c r="AG157" s="5703"/>
      <c r="AH157" s="5703"/>
      <c r="AI157" s="5703"/>
      <c r="AJ157" s="5703"/>
      <c r="AK157" s="2013"/>
      <c r="AL157" s="253"/>
      <c r="AM157" s="253"/>
      <c r="AN157" s="253"/>
      <c r="AO157" s="2013"/>
      <c r="AP157" s="253"/>
      <c r="AQ157" s="253"/>
      <c r="AR157" s="658"/>
      <c r="AS157" s="658"/>
      <c r="AT157" s="658"/>
      <c r="AU157" s="658"/>
      <c r="AV157" s="658"/>
      <c r="AW157" s="658"/>
      <c r="AX157" s="658"/>
      <c r="AY157" s="658"/>
      <c r="AZ157" s="658"/>
      <c r="BA157" s="658"/>
      <c r="BB157"/>
      <c r="BC157"/>
    </row>
    <row r="158" spans="1:55" ht="18" customHeight="1">
      <c r="A158" s="2013"/>
      <c r="B158" s="514"/>
      <c r="C158" s="514"/>
      <c r="D158" s="5218" t="s">
        <v>5578</v>
      </c>
      <c r="E158" s="2311"/>
      <c r="F158" s="1323"/>
      <c r="G158" s="1323" t="str">
        <f>"If you didn’t complete the "&amp;LastYear&amp;" Qualified Dividends and Capital Gain Tax Worksheet, the"</f>
        <v>If you didn’t complete the 2024 Qualified Dividends and Capital Gain Tax Worksheet, the</v>
      </c>
      <c r="H158" s="1323"/>
      <c r="I158" s="1323"/>
      <c r="J158" s="1323"/>
      <c r="K158" s="1323"/>
      <c r="L158" s="1323"/>
      <c r="M158" s="1323"/>
      <c r="N158" s="1323"/>
      <c r="O158" s="1323"/>
      <c r="P158" s="1323"/>
      <c r="Q158" s="1323"/>
      <c r="R158" s="1323"/>
      <c r="S158" s="1323"/>
      <c r="T158" s="1323"/>
      <c r="U158" s="1323"/>
      <c r="V158" s="1323"/>
      <c r="W158" s="1323"/>
      <c r="X158" s="1323"/>
      <c r="Y158" s="1323"/>
      <c r="Z158" s="1323"/>
      <c r="AA158" s="1323"/>
      <c r="AB158" s="1323"/>
      <c r="AC158" s="1323"/>
      <c r="AD158" s="2924"/>
      <c r="AE158" s="10876"/>
      <c r="AF158" s="10877"/>
      <c r="AG158" s="10877"/>
      <c r="AH158" s="10877"/>
      <c r="AI158" s="10877"/>
      <c r="AJ158" s="10877"/>
      <c r="AK158" s="2013"/>
      <c r="AL158" s="253"/>
      <c r="AM158" s="253"/>
      <c r="AN158" s="253"/>
      <c r="AO158" s="2013"/>
      <c r="AP158" s="253"/>
      <c r="AQ158" s="253"/>
    </row>
    <row r="159" spans="1:55" ht="18" customHeight="1">
      <c r="A159" s="2013"/>
      <c r="B159" s="514"/>
      <c r="C159" s="514"/>
      <c r="D159" s="1323" t="str">
        <f>LastYear&amp;" Schedule D Tax Worksheet, or Part V of the "&amp;LastYear&amp;" Schedule D (Form 1041), see the instructions"</f>
        <v>2024 Schedule D Tax Worksheet, or Part V of the 2024 Schedule D (Form 1041), see the instructions</v>
      </c>
      <c r="E159" s="2311"/>
      <c r="F159" s="1323"/>
      <c r="G159" s="1323"/>
      <c r="H159" s="1323"/>
      <c r="I159" s="1323"/>
      <c r="J159" s="1323"/>
      <c r="K159" s="1323"/>
      <c r="L159" s="1323"/>
      <c r="M159" s="1323"/>
      <c r="N159" s="1323"/>
      <c r="O159" s="1323"/>
      <c r="P159" s="1323"/>
      <c r="Q159" s="1323"/>
      <c r="R159" s="1323"/>
      <c r="S159" s="1323"/>
      <c r="T159" s="1323"/>
      <c r="U159" s="1323"/>
      <c r="V159" s="1323"/>
      <c r="W159" s="1323"/>
      <c r="X159" s="1323"/>
      <c r="Y159" s="1323"/>
      <c r="Z159" s="1323"/>
      <c r="AA159" s="1323"/>
      <c r="AB159" s="1323"/>
      <c r="AC159" s="1323"/>
      <c r="AD159" s="2924"/>
      <c r="AE159" s="5707"/>
      <c r="AF159" s="5708"/>
      <c r="AG159" s="5708"/>
      <c r="AH159" s="5708"/>
      <c r="AI159" s="5708"/>
      <c r="AJ159" s="5708"/>
      <c r="AK159" s="2013"/>
      <c r="AL159" s="253"/>
      <c r="AM159" s="253"/>
      <c r="AN159" s="253"/>
      <c r="AO159" s="2013"/>
      <c r="AP159" s="253"/>
      <c r="AQ159" s="253"/>
    </row>
    <row r="160" spans="1:55" s="815" customFormat="1" ht="18" customHeight="1">
      <c r="A160" s="2013"/>
      <c r="B160" s="253"/>
      <c r="C160" s="2723"/>
      <c r="D160" s="1323" t="s">
        <v>5576</v>
      </c>
      <c r="E160" s="253"/>
      <c r="F160" s="253"/>
      <c r="G160" s="253"/>
      <c r="H160" s="253"/>
      <c r="I160" s="253"/>
      <c r="J160" s="253"/>
      <c r="K160" s="253"/>
      <c r="L160" s="253"/>
      <c r="M160" s="329"/>
      <c r="N160" s="253"/>
      <c r="O160" s="253"/>
      <c r="P160" s="253"/>
      <c r="Q160" s="253"/>
      <c r="R160" s="253"/>
      <c r="S160" s="253"/>
      <c r="T160" s="253"/>
      <c r="U160" s="253"/>
      <c r="V160" s="253"/>
      <c r="W160" s="253"/>
      <c r="X160" s="253"/>
      <c r="Y160" s="253"/>
      <c r="Z160" s="253"/>
      <c r="AA160" s="253"/>
      <c r="AB160" s="253"/>
      <c r="AC160" s="1657"/>
      <c r="AD160" s="2924"/>
      <c r="AE160" s="5707"/>
      <c r="AF160" s="5708"/>
      <c r="AG160" s="5708"/>
      <c r="AH160" s="5708"/>
      <c r="AI160" s="5708"/>
      <c r="AJ160" s="5708"/>
      <c r="AK160" s="2013"/>
      <c r="AL160" s="253"/>
      <c r="AM160" s="253"/>
      <c r="AN160" s="253"/>
      <c r="AO160" s="2013"/>
      <c r="AP160" s="253"/>
      <c r="AQ160" s="253"/>
      <c r="AR160" s="658"/>
      <c r="AS160" s="658"/>
      <c r="AT160" s="658"/>
      <c r="AU160" s="658"/>
      <c r="AV160" s="658"/>
      <c r="AW160" s="658"/>
      <c r="AX160" s="658"/>
      <c r="AY160" s="658"/>
      <c r="AZ160" s="658"/>
      <c r="BA160" s="658"/>
      <c r="BB160"/>
      <c r="BC160"/>
    </row>
    <row r="161" spans="1:55" s="815" customFormat="1" ht="18" customHeight="1" thickBot="1">
      <c r="A161" s="2013"/>
      <c r="B161" s="253"/>
      <c r="C161" s="2917">
        <v>27</v>
      </c>
      <c r="D161" s="1323" t="str">
        <f>"Enter the amount from Form 8801, line 10. If you filed Form 2555 for "&amp;LastYear&amp;", enter the amount from line"</f>
        <v>Enter the amount from Form 8801, line 10. If you filed Form 2555 for 2024, enter the amount from line</v>
      </c>
      <c r="E161" s="253"/>
      <c r="F161" s="511"/>
      <c r="G161" s="511"/>
      <c r="H161" s="253"/>
      <c r="I161" s="253"/>
      <c r="J161" s="1323"/>
      <c r="K161" s="253"/>
      <c r="L161" s="253"/>
      <c r="M161" s="253"/>
      <c r="N161" s="253"/>
      <c r="O161" s="253"/>
      <c r="P161" s="253"/>
      <c r="Q161" s="253"/>
      <c r="R161" s="253"/>
      <c r="S161" s="253"/>
      <c r="T161" s="253"/>
      <c r="U161" s="253"/>
      <c r="V161" s="253"/>
      <c r="W161" s="253"/>
      <c r="X161" s="253"/>
      <c r="Y161" s="253"/>
      <c r="Z161" s="253"/>
      <c r="AA161" s="253"/>
      <c r="AB161" s="253"/>
      <c r="AC161" s="1657"/>
      <c r="AD161" s="2924"/>
      <c r="AE161" s="10900"/>
      <c r="AF161" s="10901"/>
      <c r="AG161" s="10901"/>
      <c r="AH161" s="10901"/>
      <c r="AI161" s="10901"/>
      <c r="AJ161" s="10901"/>
      <c r="AK161" s="2013"/>
      <c r="AL161" s="253"/>
      <c r="AM161" s="253"/>
      <c r="AN161" s="253"/>
      <c r="AO161" s="2013"/>
      <c r="AP161" s="253"/>
      <c r="AQ161" s="253"/>
      <c r="AR161" s="658"/>
      <c r="AS161" s="658"/>
      <c r="AT161" s="658"/>
      <c r="AU161" s="658"/>
      <c r="AV161" s="658"/>
      <c r="AW161" s="658"/>
      <c r="AX161" s="658"/>
      <c r="AY161" s="658"/>
      <c r="AZ161" s="658"/>
      <c r="BA161" s="658"/>
      <c r="BB161"/>
      <c r="BC161"/>
    </row>
    <row r="162" spans="1:55" s="815" customFormat="1" ht="18" customHeight="1" thickBot="1">
      <c r="A162" s="2013"/>
      <c r="B162" s="253"/>
      <c r="C162" s="2917"/>
      <c r="D162" s="1323" t="s">
        <v>5577</v>
      </c>
      <c r="E162" s="253"/>
      <c r="F162" s="511"/>
      <c r="G162" s="511"/>
      <c r="H162" s="253"/>
      <c r="I162" s="253"/>
      <c r="J162" s="253"/>
      <c r="K162" s="253"/>
      <c r="L162" s="253"/>
      <c r="M162" s="253"/>
      <c r="N162" s="253"/>
      <c r="O162" s="253"/>
      <c r="P162" s="253"/>
      <c r="Q162" s="253"/>
      <c r="R162" s="253"/>
      <c r="S162" s="253"/>
      <c r="T162" s="253"/>
      <c r="U162" s="253"/>
      <c r="V162" s="253"/>
      <c r="W162" s="253"/>
      <c r="X162" s="253"/>
      <c r="Y162" s="253"/>
      <c r="Z162" s="253"/>
      <c r="AA162" s="253"/>
      <c r="AB162" s="253"/>
      <c r="AC162" s="1657" t="s">
        <v>594</v>
      </c>
      <c r="AD162" s="4448">
        <v>27</v>
      </c>
      <c r="AE162" s="10881" t="str">
        <f>IF(AM162&lt;&gt;"",ROUND(AM162,0),IF(NOT(AE156),"",IF($AQ$246,$AE$243,$AE$103)))</f>
        <v/>
      </c>
      <c r="AF162" s="7655"/>
      <c r="AG162" s="7655"/>
      <c r="AH162" s="7655"/>
      <c r="AI162" s="7655"/>
      <c r="AJ162" s="7655"/>
      <c r="AK162" s="2013"/>
      <c r="AL162" s="253"/>
      <c r="AM162" s="5719"/>
      <c r="AN162" s="1806"/>
      <c r="AO162" s="2013"/>
      <c r="AP162" s="253"/>
      <c r="AQ162" s="253"/>
      <c r="AR162" s="658"/>
      <c r="AS162" s="658"/>
      <c r="AT162" s="658"/>
      <c r="AU162" s="658"/>
      <c r="AV162" s="658"/>
      <c r="AW162" s="658"/>
      <c r="AX162" s="658"/>
      <c r="AY162" s="658"/>
      <c r="AZ162" s="658"/>
      <c r="BA162" s="658"/>
      <c r="BB162"/>
      <c r="BC162"/>
    </row>
    <row r="163" spans="1:55" ht="18" customHeight="1">
      <c r="A163" s="2013"/>
      <c r="B163" s="514"/>
      <c r="C163" s="514"/>
      <c r="D163" s="5218" t="s">
        <v>5582</v>
      </c>
      <c r="E163" s="2311"/>
      <c r="F163" s="1323"/>
      <c r="G163" s="514"/>
      <c r="H163" s="8433">
        <f>LastYear</f>
        <v>2024</v>
      </c>
      <c r="I163" s="8433"/>
      <c r="J163" s="1323" t="s">
        <v>5580</v>
      </c>
      <c r="K163" s="1323"/>
      <c r="L163" s="1323"/>
      <c r="M163" s="1323"/>
      <c r="N163" s="1323"/>
      <c r="O163" s="1323"/>
      <c r="P163" s="1323"/>
      <c r="Q163" s="1323"/>
      <c r="R163" s="1323"/>
      <c r="S163" s="1323"/>
      <c r="T163" s="1323"/>
      <c r="U163" s="1323"/>
      <c r="V163" s="1323"/>
      <c r="W163" s="1323"/>
      <c r="X163" s="1323"/>
      <c r="Y163" s="1323"/>
      <c r="Z163" s="1323"/>
      <c r="AA163" s="1323"/>
      <c r="AB163" s="1323"/>
      <c r="AC163" s="1323"/>
      <c r="AD163" s="5743"/>
      <c r="AE163" s="10911">
        <f>IF(AE162="",0,ROUND(AE162,0))</f>
        <v>0</v>
      </c>
      <c r="AF163" s="10912"/>
      <c r="AG163" s="10912"/>
      <c r="AH163" s="10912"/>
      <c r="AI163" s="10912"/>
      <c r="AJ163" s="10912"/>
      <c r="AK163" s="2013"/>
      <c r="AL163" s="253"/>
      <c r="AM163" s="253"/>
      <c r="AN163" s="253"/>
      <c r="AO163" s="2013"/>
      <c r="AP163" s="253"/>
      <c r="AQ163" s="253"/>
    </row>
    <row r="164" spans="1:55" ht="18" customHeight="1">
      <c r="A164" s="2013"/>
      <c r="B164" s="514"/>
      <c r="C164" s="514"/>
      <c r="D164" s="1323" t="s">
        <v>5579</v>
      </c>
      <c r="E164" s="2311"/>
      <c r="F164" s="1323"/>
      <c r="G164" s="1323"/>
      <c r="H164" s="1323"/>
      <c r="I164" s="1323"/>
      <c r="J164" s="1323"/>
      <c r="K164" s="1323"/>
      <c r="L164" s="1323"/>
      <c r="M164" s="1323"/>
      <c r="N164" s="1323"/>
      <c r="O164" s="1323"/>
      <c r="P164" s="1323"/>
      <c r="Q164" s="1323"/>
      <c r="R164" s="1323"/>
      <c r="S164" s="1323"/>
      <c r="T164" s="1323"/>
      <c r="U164" s="1323"/>
      <c r="V164" s="1323"/>
      <c r="W164" s="1323"/>
      <c r="X164" s="1323"/>
      <c r="Y164" s="1323"/>
      <c r="Z164" s="1323"/>
      <c r="AA164" s="1323"/>
      <c r="AB164" s="1323"/>
      <c r="AC164" s="1323"/>
      <c r="AD164" s="5743"/>
      <c r="AE164" s="5707"/>
      <c r="AF164" s="5708"/>
      <c r="AG164" s="5708"/>
      <c r="AH164" s="5708"/>
      <c r="AI164" s="5708"/>
      <c r="AJ164" s="5708"/>
      <c r="AK164" s="2013"/>
      <c r="AL164" s="253"/>
      <c r="AM164" s="253"/>
      <c r="AN164" s="253"/>
      <c r="AO164" s="2013"/>
      <c r="AP164" s="253"/>
      <c r="AQ164" s="253"/>
    </row>
    <row r="165" spans="1:55" s="815" customFormat="1" ht="18" customHeight="1">
      <c r="A165" s="2013"/>
      <c r="B165" s="253"/>
      <c r="C165" s="2917">
        <v>28</v>
      </c>
      <c r="D165" s="1323" t="str">
        <f>"Enter the amount from line 4 of your "&amp;LastYear&amp;" Qualified Dividends and Capital Gain Tax Worksheet, the"</f>
        <v>Enter the amount from line 4 of your 2024 Qualified Dividends and Capital Gain Tax Worksheet, the</v>
      </c>
      <c r="E165" s="253"/>
      <c r="F165" s="511"/>
      <c r="G165" s="511"/>
      <c r="H165" s="253"/>
      <c r="I165" s="253"/>
      <c r="J165" s="253"/>
      <c r="K165" s="253"/>
      <c r="L165" s="253"/>
      <c r="M165" s="253"/>
      <c r="N165" s="253"/>
      <c r="O165" s="253"/>
      <c r="P165" s="253"/>
      <c r="Q165" s="253"/>
      <c r="R165" s="253"/>
      <c r="S165" s="253"/>
      <c r="T165" s="253"/>
      <c r="U165" s="253"/>
      <c r="V165" s="253"/>
      <c r="W165" s="253"/>
      <c r="X165" s="253"/>
      <c r="Y165" s="253"/>
      <c r="Z165" s="253"/>
      <c r="AA165" s="253"/>
      <c r="AB165" s="253"/>
      <c r="AC165" s="1657"/>
      <c r="AD165" s="5743"/>
      <c r="AE165" s="10890"/>
      <c r="AF165" s="10891"/>
      <c r="AG165" s="10891"/>
      <c r="AH165" s="10891"/>
      <c r="AI165" s="10891"/>
      <c r="AJ165" s="10891"/>
      <c r="AK165" s="2013"/>
      <c r="AL165" s="253"/>
      <c r="AM165" s="253"/>
      <c r="AN165" s="253"/>
      <c r="AO165" s="2013"/>
      <c r="AP165" s="253"/>
      <c r="AQ165" s="253"/>
      <c r="AR165" s="658"/>
      <c r="AS165" s="658"/>
      <c r="AT165" s="658"/>
      <c r="AU165" s="658"/>
      <c r="AV165" s="658"/>
      <c r="AW165" s="658"/>
      <c r="AX165" s="658"/>
      <c r="AY165" s="658"/>
      <c r="AZ165" s="658"/>
      <c r="BA165" s="658"/>
      <c r="BB165"/>
      <c r="BC165"/>
    </row>
    <row r="166" spans="1:55" s="815" customFormat="1" ht="18" customHeight="1" thickBot="1">
      <c r="A166" s="2013"/>
      <c r="B166" s="253"/>
      <c r="C166" s="2917"/>
      <c r="D166" s="1323" t="str">
        <f>"amount from line 13 of your "&amp;LastYear&amp;" Schedule D Tax Worksheet, or the amount from line 26 of the "&amp;LastYear</f>
        <v>amount from line 13 of your 2024 Schedule D Tax Worksheet, or the amount from line 26 of the 2024</v>
      </c>
      <c r="E166" s="253"/>
      <c r="F166" s="511"/>
      <c r="G166" s="511"/>
      <c r="H166" s="253"/>
      <c r="I166" s="253"/>
      <c r="J166" s="253"/>
      <c r="K166" s="253"/>
      <c r="L166" s="253"/>
      <c r="M166" s="253"/>
      <c r="N166" s="253"/>
      <c r="O166" s="253"/>
      <c r="P166" s="253"/>
      <c r="Q166" s="253"/>
      <c r="R166" s="253"/>
      <c r="S166" s="253"/>
      <c r="T166" s="253"/>
      <c r="U166" s="253"/>
      <c r="V166" s="253"/>
      <c r="W166" s="253"/>
      <c r="X166" s="253"/>
      <c r="Y166" s="253"/>
      <c r="Z166" s="253"/>
      <c r="AA166" s="253"/>
      <c r="AB166" s="253"/>
      <c r="AC166" s="1657"/>
      <c r="AD166" s="5743"/>
      <c r="AE166" s="5699"/>
      <c r="AF166" s="5700"/>
      <c r="AG166" s="5700"/>
      <c r="AH166" s="5700"/>
      <c r="AI166" s="5700"/>
      <c r="AJ166" s="5700"/>
      <c r="AK166" s="2013"/>
      <c r="AL166" s="253"/>
      <c r="AM166" s="253"/>
      <c r="AN166" s="253"/>
      <c r="AO166" s="2013"/>
      <c r="AP166" s="253"/>
      <c r="AQ166" s="253"/>
      <c r="AR166" s="658"/>
      <c r="AS166" s="658"/>
      <c r="AT166" s="658"/>
      <c r="AU166" s="658"/>
      <c r="AV166" s="658"/>
      <c r="AW166" s="658"/>
      <c r="AX166" s="658"/>
      <c r="AY166" s="658"/>
      <c r="AZ166" s="658"/>
      <c r="BA166" s="658"/>
      <c r="BB166"/>
      <c r="BC166"/>
    </row>
    <row r="167" spans="1:55" s="815" customFormat="1" ht="18" customHeight="1" thickBot="1">
      <c r="A167" s="2013"/>
      <c r="B167" s="253"/>
      <c r="C167" s="2917"/>
      <c r="D167" s="1323" t="s">
        <v>5581</v>
      </c>
      <c r="E167" s="253"/>
      <c r="F167" s="511"/>
      <c r="G167" s="511"/>
      <c r="H167" s="253"/>
      <c r="I167" s="253"/>
      <c r="J167" s="253"/>
      <c r="K167" s="253"/>
      <c r="L167" s="253"/>
      <c r="M167" s="253"/>
      <c r="N167" s="253"/>
      <c r="O167" s="253"/>
      <c r="P167" s="253"/>
      <c r="Q167" s="253"/>
      <c r="R167" s="253"/>
      <c r="S167" s="253"/>
      <c r="T167" s="253"/>
      <c r="U167" s="253"/>
      <c r="V167" s="253"/>
      <c r="W167" s="253"/>
      <c r="X167" s="253"/>
      <c r="Y167" s="253"/>
      <c r="Z167" s="253"/>
      <c r="AA167" s="253"/>
      <c r="AB167" s="253"/>
      <c r="AC167" s="1657" t="s">
        <v>717</v>
      </c>
      <c r="AD167" s="4448">
        <v>28</v>
      </c>
      <c r="AE167" s="10881" t="str">
        <f>IF(AM167&lt;&gt;"",ROUND(AM167,0),IF($O$54&lt;&gt;"",ROUND($O$54,0),IF($O$63&lt;&gt;"",ROUND($O$63,0),"")))</f>
        <v/>
      </c>
      <c r="AF167" s="7655"/>
      <c r="AG167" s="7655"/>
      <c r="AH167" s="7655"/>
      <c r="AI167" s="7655"/>
      <c r="AJ167" s="7655"/>
      <c r="AK167" s="2013"/>
      <c r="AL167" s="253"/>
      <c r="AM167" s="5719"/>
      <c r="AN167" s="253"/>
      <c r="AO167" s="2013"/>
      <c r="AP167" s="253"/>
      <c r="AQ167" s="253"/>
      <c r="AR167" s="658"/>
      <c r="AS167" s="658"/>
      <c r="AT167" s="658"/>
      <c r="AU167" s="658"/>
      <c r="AV167" s="658"/>
      <c r="AW167" s="658"/>
      <c r="AX167" s="658"/>
      <c r="AY167" s="658"/>
      <c r="AZ167" s="658"/>
      <c r="BA167" s="658"/>
      <c r="BB167"/>
      <c r="BC167"/>
    </row>
    <row r="168" spans="1:55" s="815" customFormat="1" ht="18" customHeight="1">
      <c r="A168" s="2013"/>
      <c r="B168" s="5704"/>
      <c r="C168" s="5705"/>
      <c r="D168" s="5218" t="str">
        <f>"If you figured your "&amp;LastYear&amp;" tax using the "&amp;LastYear&amp;" Qualified Dividends and Capital Gain Tax"</f>
        <v>If you figured your 2024 tax using the 2024 Qualified Dividends and Capital Gain Tax</v>
      </c>
      <c r="E168" s="2311"/>
      <c r="F168" s="5704"/>
      <c r="G168" s="5704"/>
      <c r="H168" s="5704"/>
      <c r="I168" s="5704"/>
      <c r="J168" s="5704"/>
      <c r="K168" s="5704"/>
      <c r="L168" s="5704"/>
      <c r="M168" s="5704"/>
      <c r="N168" s="5704"/>
      <c r="O168" s="5704"/>
      <c r="P168" s="5704"/>
      <c r="Q168" s="5704"/>
      <c r="R168" s="5704"/>
      <c r="S168" s="5704"/>
      <c r="T168" s="5704"/>
      <c r="U168" s="5704"/>
      <c r="V168" s="5704"/>
      <c r="W168" s="5704"/>
      <c r="X168" s="5704"/>
      <c r="Y168" s="5704"/>
      <c r="Z168" s="5704"/>
      <c r="AA168" s="5704"/>
      <c r="AB168" s="5704"/>
      <c r="AC168" s="5704"/>
      <c r="AD168" s="5743"/>
      <c r="AE168" s="10911" t="e">
        <f>ROUND(AE167,0)</f>
        <v>#VALUE!</v>
      </c>
      <c r="AF168" s="10912"/>
      <c r="AG168" s="10912"/>
      <c r="AH168" s="10912"/>
      <c r="AI168" s="10912"/>
      <c r="AJ168" s="10912"/>
      <c r="AK168" s="2013"/>
      <c r="AL168" s="4477"/>
      <c r="AM168" s="5773" t="b">
        <f>OR($O$54&lt;&gt;"",$O$56&lt;&gt;"")</f>
        <v>0</v>
      </c>
      <c r="AN168" s="4477"/>
      <c r="AO168" s="2013"/>
      <c r="AP168" s="4477"/>
      <c r="AQ168" s="4477"/>
      <c r="AR168" s="658"/>
      <c r="AS168" s="658"/>
      <c r="AT168" s="658"/>
      <c r="AU168" s="658"/>
      <c r="AV168" s="658"/>
      <c r="AW168" s="658"/>
      <c r="AX168" s="658"/>
      <c r="AY168" s="658"/>
      <c r="AZ168" s="658"/>
      <c r="BA168" s="658"/>
      <c r="BB168"/>
      <c r="BC168"/>
    </row>
    <row r="169" spans="1:55" s="1115" customFormat="1" ht="18" customHeight="1">
      <c r="A169" s="2290"/>
      <c r="B169" s="5704"/>
      <c r="C169" s="5705"/>
      <c r="D169" s="342" t="s">
        <v>5583</v>
      </c>
      <c r="E169" s="5704"/>
      <c r="F169" s="5704"/>
      <c r="G169" s="5704"/>
      <c r="H169" s="5704"/>
      <c r="I169" s="5704"/>
      <c r="J169" s="5704"/>
      <c r="K169" s="5704"/>
      <c r="L169" s="5704"/>
      <c r="M169" s="5704"/>
      <c r="N169" s="5704"/>
      <c r="O169" s="5704"/>
      <c r="P169" s="5704"/>
      <c r="Q169" s="5704"/>
      <c r="R169" s="5704"/>
      <c r="S169" s="5704"/>
      <c r="T169" s="2311"/>
      <c r="U169" s="5704"/>
      <c r="V169" s="5704"/>
      <c r="W169" s="5704"/>
      <c r="X169" s="5704"/>
      <c r="Y169" s="5704"/>
      <c r="Z169" s="5704"/>
      <c r="AA169" s="5704"/>
      <c r="AB169" s="5704"/>
      <c r="AC169" s="5704"/>
      <c r="AD169" s="5743"/>
      <c r="AE169" s="10900"/>
      <c r="AF169" s="10901"/>
      <c r="AG169" s="10901"/>
      <c r="AH169" s="10901"/>
      <c r="AI169" s="10901"/>
      <c r="AJ169" s="10901"/>
      <c r="AK169" s="2290"/>
      <c r="AL169" s="4477"/>
      <c r="AM169" s="5772" t="str">
        <f>IF(AM168,"Skip line 29.","")</f>
        <v/>
      </c>
      <c r="AN169" s="4477"/>
      <c r="AO169" s="2290"/>
      <c r="AP169" s="4477"/>
      <c r="AQ169" s="4477"/>
      <c r="AR169" s="1114"/>
      <c r="AS169" s="1114"/>
      <c r="AT169" s="1114"/>
      <c r="AU169" s="1114"/>
      <c r="AV169" s="1114"/>
      <c r="AW169" s="1114"/>
      <c r="AX169" s="1114"/>
      <c r="AY169" s="1114"/>
      <c r="AZ169" s="1114"/>
      <c r="BA169" s="1114"/>
      <c r="BB169" s="2293"/>
      <c r="BC169" s="2293"/>
    </row>
    <row r="170" spans="1:55" s="815" customFormat="1" ht="18" customHeight="1" thickBot="1">
      <c r="A170" s="2013"/>
      <c r="B170" s="253"/>
      <c r="C170" s="2917">
        <v>29</v>
      </c>
      <c r="D170" s="1323" t="str">
        <f>"Enter the amount from line 19 of your "&amp;LastYear&amp;" Schedule D (Form 1040), or line 18b, column (2), of the"</f>
        <v>Enter the amount from line 19 of your 2024 Schedule D (Form 1040), or line 18b, column (2), of the</v>
      </c>
      <c r="E170" s="253"/>
      <c r="F170" s="511"/>
      <c r="G170" s="511"/>
      <c r="H170" s="253"/>
      <c r="I170" s="253"/>
      <c r="J170" s="1323"/>
      <c r="K170" s="253"/>
      <c r="L170" s="253"/>
      <c r="M170" s="253"/>
      <c r="N170" s="253"/>
      <c r="O170" s="253"/>
      <c r="P170" s="253"/>
      <c r="Q170" s="253"/>
      <c r="R170" s="253"/>
      <c r="S170" s="253"/>
      <c r="T170" s="253"/>
      <c r="U170" s="253"/>
      <c r="V170" s="253"/>
      <c r="W170" s="253"/>
      <c r="X170" s="253"/>
      <c r="Y170" s="253"/>
      <c r="Z170" s="253"/>
      <c r="AA170" s="253"/>
      <c r="AB170" s="253"/>
      <c r="AC170" s="1657"/>
      <c r="AD170" s="5743"/>
      <c r="AE170" s="10902" t="b">
        <f>AND(AE162="",AE167="",AE171="")</f>
        <v>1</v>
      </c>
      <c r="AF170" s="10903"/>
      <c r="AG170" s="10903"/>
      <c r="AH170" s="10903"/>
      <c r="AI170" s="10903"/>
      <c r="AJ170" s="10903"/>
      <c r="AK170" s="2013"/>
      <c r="AL170" s="253"/>
      <c r="AM170" s="4231"/>
      <c r="AN170" s="4231"/>
      <c r="AO170" s="2013"/>
      <c r="AP170" s="253"/>
      <c r="AQ170" s="253"/>
      <c r="AR170" s="658"/>
      <c r="AS170" s="658"/>
      <c r="AT170" s="658"/>
      <c r="AU170" s="658"/>
      <c r="AV170" s="658"/>
      <c r="AW170" s="658"/>
      <c r="AX170" s="658"/>
      <c r="AY170" s="658"/>
      <c r="AZ170" s="658"/>
      <c r="BA170" s="658"/>
      <c r="BB170"/>
      <c r="BC170"/>
    </row>
    <row r="171" spans="1:55" s="815" customFormat="1" ht="18" customHeight="1" thickBot="1">
      <c r="A171" s="2013"/>
      <c r="B171" s="253"/>
      <c r="C171" s="2917"/>
      <c r="D171" s="1323" t="str">
        <f>LastYear&amp;" Schedule D (Form 1041)"</f>
        <v>2024 Schedule D (Form 1041)</v>
      </c>
      <c r="E171" s="253"/>
      <c r="F171" s="511"/>
      <c r="G171" s="511"/>
      <c r="H171" s="253"/>
      <c r="I171" s="253"/>
      <c r="J171" s="253"/>
      <c r="K171" s="253"/>
      <c r="L171" s="253"/>
      <c r="M171" s="253"/>
      <c r="N171" s="253"/>
      <c r="O171" s="253"/>
      <c r="P171" s="253"/>
      <c r="Q171" s="253"/>
      <c r="R171" s="253"/>
      <c r="S171" s="253"/>
      <c r="T171" s="253"/>
      <c r="U171" s="253"/>
      <c r="V171" s="253"/>
      <c r="W171" s="253"/>
      <c r="X171" s="253"/>
      <c r="Y171" s="253"/>
      <c r="Z171" s="253"/>
      <c r="AA171" s="253"/>
      <c r="AB171" s="253"/>
      <c r="AC171" s="1657" t="s">
        <v>1877</v>
      </c>
      <c r="AD171" s="4448">
        <v>29</v>
      </c>
      <c r="AE171" s="10881" t="str">
        <f>IF(AM171&lt;&gt;"",ROUND(AM171,0),IF(AE51="","",ROUND(AE51,0)))</f>
        <v/>
      </c>
      <c r="AF171" s="7655"/>
      <c r="AG171" s="7655"/>
      <c r="AH171" s="7655"/>
      <c r="AI171" s="7655"/>
      <c r="AJ171" s="7655"/>
      <c r="AK171" s="2013"/>
      <c r="AL171" s="253"/>
      <c r="AM171" s="5719"/>
      <c r="AN171" s="344"/>
      <c r="AO171" s="2013"/>
      <c r="AP171" s="253"/>
      <c r="AQ171" s="253"/>
      <c r="AR171" s="658"/>
      <c r="AS171" s="658"/>
      <c r="AT171" s="658"/>
      <c r="AU171" s="658"/>
      <c r="AV171" s="658"/>
      <c r="AW171" s="658"/>
      <c r="AX171" s="658"/>
      <c r="AY171" s="658"/>
      <c r="AZ171" s="658"/>
      <c r="BA171" s="658"/>
      <c r="BB171"/>
      <c r="BC171"/>
    </row>
    <row r="172" spans="1:55" s="815" customFormat="1" ht="18" customHeight="1" thickBot="1">
      <c r="A172" s="2013"/>
      <c r="B172" s="253"/>
      <c r="C172" s="2917">
        <v>30</v>
      </c>
      <c r="D172" s="1323" t="s">
        <v>5640</v>
      </c>
      <c r="E172" s="253"/>
      <c r="F172" s="511"/>
      <c r="G172" s="511"/>
      <c r="H172" s="253"/>
      <c r="I172" s="253"/>
      <c r="J172" s="1323"/>
      <c r="K172" s="253"/>
      <c r="L172" s="253"/>
      <c r="M172" s="253"/>
      <c r="N172" s="253"/>
      <c r="O172" s="253"/>
      <c r="P172" s="253"/>
      <c r="Q172" s="253"/>
      <c r="R172" s="253"/>
      <c r="S172" s="253"/>
      <c r="T172" s="253"/>
      <c r="U172" s="253"/>
      <c r="V172" s="253"/>
      <c r="W172" s="253"/>
      <c r="X172" s="253"/>
      <c r="Y172" s="253"/>
      <c r="Z172" s="514"/>
      <c r="AA172" s="10899">
        <f>LastYear</f>
        <v>2024</v>
      </c>
      <c r="AB172" s="10899"/>
      <c r="AC172" s="5747"/>
      <c r="AD172" s="5743"/>
      <c r="AE172" s="10911" t="e">
        <f>ROUND(AE171,0)</f>
        <v>#VALUE!</v>
      </c>
      <c r="AF172" s="10912"/>
      <c r="AG172" s="10912"/>
      <c r="AH172" s="10912"/>
      <c r="AI172" s="10912"/>
      <c r="AJ172" s="10912"/>
      <c r="AK172" s="2013"/>
      <c r="AL172" s="253"/>
      <c r="AM172" s="344"/>
      <c r="AN172" s="344"/>
      <c r="AO172" s="2013"/>
      <c r="AP172" s="253"/>
      <c r="AQ172" s="253"/>
      <c r="AR172" s="658"/>
      <c r="AS172" s="658"/>
      <c r="AT172" s="658"/>
      <c r="AU172" s="658"/>
      <c r="AV172" s="658"/>
      <c r="AW172" s="658"/>
      <c r="AX172" s="658"/>
      <c r="AY172" s="658"/>
      <c r="AZ172" s="658"/>
      <c r="BA172" s="658"/>
      <c r="BB172"/>
      <c r="BC172"/>
    </row>
    <row r="173" spans="1:55" s="815" customFormat="1" ht="18" customHeight="1" thickBot="1">
      <c r="A173" s="2013"/>
      <c r="B173" s="253"/>
      <c r="C173" s="2917"/>
      <c r="D173" s="1323" t="s">
        <v>1482</v>
      </c>
      <c r="E173" s="253"/>
      <c r="F173" s="511"/>
      <c r="G173" s="511"/>
      <c r="H173" s="253"/>
      <c r="I173" s="253"/>
      <c r="J173" s="253"/>
      <c r="K173" s="253"/>
      <c r="L173" s="253"/>
      <c r="M173" s="253"/>
      <c r="N173" s="253"/>
      <c r="O173" s="253"/>
      <c r="P173" s="253"/>
      <c r="Q173" s="253"/>
      <c r="R173" s="253"/>
      <c r="S173" s="253"/>
      <c r="T173" s="253"/>
      <c r="U173" s="253"/>
      <c r="V173" s="253"/>
      <c r="W173" s="253"/>
      <c r="X173" s="253"/>
      <c r="Y173" s="253"/>
      <c r="Z173" s="253"/>
      <c r="AA173" s="253"/>
      <c r="AB173" s="253"/>
      <c r="AC173" s="1657" t="s">
        <v>1877</v>
      </c>
      <c r="AD173" s="4448">
        <v>30</v>
      </c>
      <c r="AE173" s="10881" t="str">
        <f>IF(AM173&lt;&gt;"",ROUND(AM173,0),IF(NOT(AE156),"",IF(AM168,AE167,MIN(SUM(AE167,AE171),ROUND(O61,0)))))</f>
        <v/>
      </c>
      <c r="AF173" s="7655"/>
      <c r="AG173" s="7655"/>
      <c r="AH173" s="7655"/>
      <c r="AI173" s="7655"/>
      <c r="AJ173" s="7655"/>
      <c r="AK173" s="2013"/>
      <c r="AL173" s="253"/>
      <c r="AM173" s="5719"/>
      <c r="AN173" s="1806"/>
      <c r="AO173" s="2013"/>
      <c r="AP173" s="253"/>
      <c r="AQ173" s="253"/>
      <c r="AR173" s="658"/>
      <c r="AS173" s="658"/>
      <c r="AT173" s="658"/>
      <c r="AU173" s="658"/>
      <c r="AV173" s="658"/>
      <c r="AW173" s="658"/>
      <c r="AX173" s="658"/>
      <c r="AY173" s="658"/>
      <c r="AZ173" s="658"/>
      <c r="BA173" s="658"/>
      <c r="BB173"/>
      <c r="BC173"/>
    </row>
    <row r="174" spans="1:55" s="815" customFormat="1" ht="18" customHeight="1">
      <c r="A174" s="2013"/>
      <c r="B174" s="253"/>
      <c r="C174" s="2917">
        <v>31</v>
      </c>
      <c r="D174" s="1323" t="s">
        <v>5641</v>
      </c>
      <c r="E174" s="253"/>
      <c r="F174" s="511"/>
      <c r="G174" s="511"/>
      <c r="H174" s="253"/>
      <c r="I174" s="253"/>
      <c r="J174" s="253"/>
      <c r="K174" s="253"/>
      <c r="L174" s="253"/>
      <c r="M174" s="253"/>
      <c r="N174" s="253"/>
      <c r="O174" s="253"/>
      <c r="P174" s="253"/>
      <c r="Q174" s="253"/>
      <c r="R174" s="253"/>
      <c r="S174" s="253"/>
      <c r="T174" s="253"/>
      <c r="U174" s="253"/>
      <c r="V174" s="253"/>
      <c r="W174" s="253"/>
      <c r="X174" s="253"/>
      <c r="Y174" s="253"/>
      <c r="Z174" s="253"/>
      <c r="AA174" s="253"/>
      <c r="AB174" s="253"/>
      <c r="AC174" s="1657" t="s">
        <v>691</v>
      </c>
      <c r="AD174" s="4448">
        <v>31</v>
      </c>
      <c r="AE174" s="10881" t="str">
        <f>IF(AND(AE162="",AE173=""),"",IF(OR(AE162="",AE173=""),0,MIN(AE162,AE173)))</f>
        <v/>
      </c>
      <c r="AF174" s="7655"/>
      <c r="AG174" s="7655"/>
      <c r="AH174" s="7655"/>
      <c r="AI174" s="7655"/>
      <c r="AJ174" s="7655"/>
      <c r="AK174" s="2013"/>
      <c r="AL174" s="253"/>
      <c r="AM174" s="253"/>
      <c r="AN174" s="253"/>
      <c r="AO174" s="2013"/>
      <c r="AP174" s="253"/>
      <c r="AQ174" s="1193">
        <f>AQ113</f>
        <v>232600</v>
      </c>
      <c r="AR174" s="658"/>
      <c r="AS174" s="658"/>
      <c r="AT174" s="658"/>
      <c r="AU174" s="658"/>
      <c r="AV174" s="658"/>
      <c r="AW174" s="658"/>
      <c r="AX174" s="658"/>
      <c r="AY174" s="658"/>
      <c r="AZ174" s="658"/>
      <c r="BA174" s="658"/>
      <c r="BB174"/>
      <c r="BC174"/>
    </row>
    <row r="175" spans="1:55" s="815" customFormat="1" ht="18" customHeight="1">
      <c r="A175" s="2013"/>
      <c r="B175" s="253"/>
      <c r="C175" s="2917">
        <v>32</v>
      </c>
      <c r="D175" s="1323" t="s">
        <v>5584</v>
      </c>
      <c r="E175" s="253"/>
      <c r="F175" s="511"/>
      <c r="G175" s="511"/>
      <c r="H175" s="253"/>
      <c r="I175" s="253"/>
      <c r="J175" s="253"/>
      <c r="K175" s="253"/>
      <c r="L175" s="253"/>
      <c r="M175" s="253"/>
      <c r="N175" s="253"/>
      <c r="O175" s="253"/>
      <c r="P175" s="253"/>
      <c r="Q175" s="253"/>
      <c r="R175" s="253"/>
      <c r="S175" s="253"/>
      <c r="T175" s="253"/>
      <c r="U175" s="253"/>
      <c r="V175" s="253"/>
      <c r="W175" s="253"/>
      <c r="X175" s="253"/>
      <c r="Y175" s="253"/>
      <c r="Z175" s="253"/>
      <c r="AA175" s="253"/>
      <c r="AB175" s="253"/>
      <c r="AC175" s="1657" t="s">
        <v>1877</v>
      </c>
      <c r="AD175" s="4448">
        <v>32</v>
      </c>
      <c r="AE175" s="10881" t="str">
        <f>IF(AE170,"",SUM(AE162,-AE174))</f>
        <v/>
      </c>
      <c r="AF175" s="7655"/>
      <c r="AG175" s="7655"/>
      <c r="AH175" s="7655"/>
      <c r="AI175" s="7655"/>
      <c r="AJ175" s="7655"/>
      <c r="AK175" s="2013"/>
      <c r="AL175" s="253"/>
      <c r="AM175" s="512" t="b">
        <f>AND(AE175&lt;&gt;"",AE175&gt;0)</f>
        <v>0</v>
      </c>
      <c r="AN175" s="512"/>
      <c r="AO175" s="2013"/>
      <c r="AP175" s="253"/>
      <c r="AQ175" s="1193">
        <f>AQ114</f>
        <v>116300</v>
      </c>
      <c r="AR175" s="658"/>
      <c r="AS175" s="658"/>
      <c r="AT175" s="658"/>
      <c r="AU175" s="658"/>
      <c r="AV175" s="658"/>
      <c r="AW175" s="658"/>
      <c r="AX175" s="658"/>
      <c r="AY175" s="658"/>
      <c r="AZ175" s="658"/>
      <c r="BA175" s="658"/>
      <c r="BB175"/>
      <c r="BC175"/>
    </row>
    <row r="176" spans="1:55" s="815" customFormat="1" ht="18" customHeight="1">
      <c r="A176" s="2013"/>
      <c r="B176" s="253"/>
      <c r="C176" s="2917">
        <v>33</v>
      </c>
      <c r="D176" s="1323" t="str">
        <f>"If line 32 is "&amp;TEXT($AQ$174,"$0,000")&amp;" or less ("&amp;TEXT($AQ$175,"$0,000")&amp;" or less if married filing separately for "&amp;LastYear&amp;"), multiply line 32"</f>
        <v>If line 32 is $232,600 or less ($116,300 or less if married filing separately for 2024), multiply line 32</v>
      </c>
      <c r="E176" s="253"/>
      <c r="F176" s="511"/>
      <c r="G176" s="511"/>
      <c r="H176" s="253"/>
      <c r="I176" s="253"/>
      <c r="J176" s="253"/>
      <c r="K176" s="253"/>
      <c r="L176" s="253"/>
      <c r="M176" s="253"/>
      <c r="N176" s="253"/>
      <c r="O176" s="253"/>
      <c r="P176" s="253"/>
      <c r="Q176" s="253"/>
      <c r="R176" s="253"/>
      <c r="S176" s="253"/>
      <c r="T176" s="253"/>
      <c r="U176" s="253"/>
      <c r="V176" s="253"/>
      <c r="W176" s="253"/>
      <c r="X176" s="253"/>
      <c r="Y176" s="253"/>
      <c r="Z176" s="253"/>
      <c r="AA176" s="253"/>
      <c r="AB176" s="253"/>
      <c r="AC176" s="1657"/>
      <c r="AD176" s="5743"/>
      <c r="AE176" s="10890"/>
      <c r="AF176" s="10891"/>
      <c r="AG176" s="10891"/>
      <c r="AH176" s="10891"/>
      <c r="AI176" s="10891"/>
      <c r="AJ176" s="10891"/>
      <c r="AK176" s="2013"/>
      <c r="AL176" s="253"/>
      <c r="AM176" s="253"/>
      <c r="AN176" s="253"/>
      <c r="AO176" s="2013"/>
      <c r="AP176" s="990">
        <f>IF(AE175="",0,ROUND(AE175*$AQ$176,0))</f>
        <v>0</v>
      </c>
      <c r="AQ176" s="253">
        <f>AQ115</f>
        <v>0.26</v>
      </c>
      <c r="AR176" s="658"/>
      <c r="AS176" s="658"/>
      <c r="AT176" s="658"/>
      <c r="AU176" s="658"/>
      <c r="AV176" s="658"/>
      <c r="AW176" s="658"/>
      <c r="AX176" s="658"/>
      <c r="AY176" s="658"/>
      <c r="AZ176" s="658"/>
      <c r="BA176" s="658"/>
      <c r="BB176"/>
      <c r="BC176"/>
    </row>
    <row r="177" spans="1:55" s="815" customFormat="1" ht="18" customHeight="1" thickBot="1">
      <c r="A177" s="2013"/>
      <c r="B177" s="253"/>
      <c r="C177" s="2917"/>
      <c r="D177" s="1323" t="str">
        <f>"by "&amp;TEXT($AQ$176,"0%")&amp;" ("&amp;TEXT($AQ$176,"0.00")&amp;"). Otherwise, multiply line 32 by "&amp;TEXT($AQ$179,"0%")&amp;" ("&amp;TEXT($AQ$179,"0.00")&amp;") and subtract "&amp;TEXT($AQ$177,"$0,000")&amp;" ("&amp;TEXT($AQ$178,"$0,000")&amp;" if married filing"</f>
        <v>by 26% (0.26). Otherwise, multiply line 32 by 28% (0.28) and subtract $4,652 ($2,326 if married filing</v>
      </c>
      <c r="E177" s="253"/>
      <c r="F177" s="511"/>
      <c r="G177" s="511"/>
      <c r="H177" s="253"/>
      <c r="I177" s="253"/>
      <c r="J177" s="253"/>
      <c r="K177" s="253"/>
      <c r="L177" s="253"/>
      <c r="M177" s="253"/>
      <c r="N177" s="253"/>
      <c r="O177" s="253"/>
      <c r="P177" s="253"/>
      <c r="Q177" s="253"/>
      <c r="R177" s="253"/>
      <c r="S177" s="253"/>
      <c r="T177" s="253"/>
      <c r="U177" s="253"/>
      <c r="V177" s="253"/>
      <c r="W177" s="253"/>
      <c r="X177" s="253"/>
      <c r="Y177" s="253"/>
      <c r="Z177" s="253"/>
      <c r="AA177" s="253"/>
      <c r="AB177" s="253"/>
      <c r="AC177" s="1657"/>
      <c r="AD177" s="5743"/>
      <c r="AE177" s="10902" t="b">
        <f>AND(AE170,AE173="")</f>
        <v>1</v>
      </c>
      <c r="AF177" s="10903"/>
      <c r="AG177" s="10903"/>
      <c r="AH177" s="10903"/>
      <c r="AI177" s="10903"/>
      <c r="AJ177" s="10903"/>
      <c r="AK177" s="2013"/>
      <c r="AL177" s="253"/>
      <c r="AM177" s="253"/>
      <c r="AN177" s="253"/>
      <c r="AO177" s="2013"/>
      <c r="AP177" s="990">
        <f>IF(AE175="",0,SUM(ROUND(AE175*$AQ$179,0),-$AQ$177))</f>
        <v>0</v>
      </c>
      <c r="AQ177" s="1193">
        <f>AQ116</f>
        <v>4652</v>
      </c>
      <c r="AR177" s="658"/>
      <c r="AS177" s="658"/>
      <c r="AT177" s="658"/>
      <c r="AU177" s="658"/>
      <c r="AV177" s="658"/>
      <c r="AW177" s="658"/>
      <c r="AX177" s="658"/>
      <c r="AY177" s="658"/>
      <c r="AZ177" s="658"/>
      <c r="BA177" s="658"/>
      <c r="BB177"/>
      <c r="BC177"/>
    </row>
    <row r="178" spans="1:55" s="815" customFormat="1" ht="18" customHeight="1" thickBot="1">
      <c r="A178" s="2013"/>
      <c r="B178" s="253"/>
      <c r="C178" s="2917"/>
      <c r="D178" s="1323" t="str">
        <f>"separately for "&amp;LastYear&amp;") from the result"</f>
        <v>separately for 2024) from the result</v>
      </c>
      <c r="E178" s="253"/>
      <c r="F178" s="511"/>
      <c r="G178" s="511"/>
      <c r="H178" s="253"/>
      <c r="I178" s="253"/>
      <c r="J178" s="253"/>
      <c r="K178" s="253"/>
      <c r="L178" s="253"/>
      <c r="M178" s="253"/>
      <c r="N178" s="253"/>
      <c r="O178" s="253"/>
      <c r="P178" s="253"/>
      <c r="Q178" s="253"/>
      <c r="R178" s="253"/>
      <c r="S178" s="253"/>
      <c r="T178" s="253"/>
      <c r="U178" s="253"/>
      <c r="V178" s="253"/>
      <c r="W178" s="253"/>
      <c r="X178" s="253"/>
      <c r="Y178" s="253"/>
      <c r="Z178" s="253"/>
      <c r="AA178" s="253"/>
      <c r="AB178" s="253"/>
      <c r="AC178" s="1657" t="s">
        <v>717</v>
      </c>
      <c r="AD178" s="4448">
        <v>33</v>
      </c>
      <c r="AE178" s="10881" t="str">
        <f>IF(AM178&lt;&gt;"",AM178,IF(AE177,"",IF(AND(AQ83=3,AE175&lt;=$AQ$175),$AP$176,IF(AE175&lt;=AQ174,$AP$176,IF(AQ83=3,$AP$178,$AP$177)))))</f>
        <v/>
      </c>
      <c r="AF178" s="7655"/>
      <c r="AG178" s="7655"/>
      <c r="AH178" s="7655"/>
      <c r="AI178" s="7655"/>
      <c r="AJ178" s="7655"/>
      <c r="AK178" s="2013"/>
      <c r="AL178" s="253"/>
      <c r="AM178" s="5719"/>
      <c r="AN178" s="1806"/>
      <c r="AO178" s="2013"/>
      <c r="AP178" s="990">
        <f>IF(AE175="",0,SUM(ROUND(AE175*$AQ$179,0),-$AQ$178))</f>
        <v>0</v>
      </c>
      <c r="AQ178" s="1193">
        <v>2326</v>
      </c>
      <c r="AR178" s="658"/>
      <c r="AS178" s="658"/>
      <c r="AT178" s="658"/>
      <c r="AU178" s="658"/>
      <c r="AV178" s="658"/>
      <c r="AW178" s="658"/>
      <c r="AX178" s="658"/>
      <c r="AY178" s="658"/>
      <c r="AZ178" s="658"/>
      <c r="BA178" s="658"/>
      <c r="BB178"/>
      <c r="BC178"/>
    </row>
    <row r="179" spans="1:55" s="815" customFormat="1" ht="18" customHeight="1">
      <c r="A179" s="2013"/>
      <c r="B179" s="253"/>
      <c r="C179" s="2917">
        <v>34</v>
      </c>
      <c r="D179" s="1323" t="s">
        <v>2644</v>
      </c>
      <c r="E179" s="253"/>
      <c r="F179" s="1323"/>
      <c r="G179" s="1323"/>
      <c r="H179" s="1323"/>
      <c r="I179" s="1323"/>
      <c r="J179" s="1323"/>
      <c r="K179" s="1323"/>
      <c r="L179" s="1323"/>
      <c r="M179" s="253"/>
      <c r="N179" s="253"/>
      <c r="O179" s="253"/>
      <c r="P179" s="253"/>
      <c r="Q179" s="253"/>
      <c r="R179" s="253"/>
      <c r="S179" s="253"/>
      <c r="T179" s="253"/>
      <c r="U179" s="253"/>
      <c r="V179" s="253"/>
      <c r="W179" s="253"/>
      <c r="X179" s="253"/>
      <c r="Y179" s="253"/>
      <c r="Z179" s="253"/>
      <c r="AA179" s="253"/>
      <c r="AB179" s="253"/>
      <c r="AC179" s="1657"/>
      <c r="AD179" s="5743"/>
      <c r="AE179" s="5699"/>
      <c r="AF179" s="5700"/>
      <c r="AG179" s="5700"/>
      <c r="AH179" s="5700"/>
      <c r="AI179" s="5700"/>
      <c r="AJ179" s="5700"/>
      <c r="AK179" s="2013"/>
      <c r="AL179" s="253"/>
      <c r="AM179" s="253"/>
      <c r="AN179" s="253"/>
      <c r="AO179" s="2013"/>
      <c r="AP179" s="253"/>
      <c r="AQ179" s="253">
        <f>AQ118</f>
        <v>0.28000000000000003</v>
      </c>
      <c r="AR179" s="658"/>
      <c r="AS179" s="658"/>
      <c r="AT179" s="658"/>
      <c r="AU179" s="658"/>
      <c r="AV179" s="658"/>
      <c r="AW179" s="658"/>
      <c r="AX179" s="658"/>
      <c r="AY179" s="658"/>
      <c r="AZ179" s="658"/>
      <c r="BA179" s="658"/>
      <c r="BB179"/>
      <c r="BC179"/>
    </row>
    <row r="180" spans="1:55" s="1115" customFormat="1" ht="18" customHeight="1" thickBot="1">
      <c r="A180" s="2290"/>
      <c r="B180" s="5704"/>
      <c r="C180" s="5705"/>
      <c r="D180" s="4242"/>
      <c r="E180" s="4242" t="s">
        <v>637</v>
      </c>
      <c r="F180" s="1323" t="str">
        <f>TEXT(AQ180,"$0,000")&amp;" if married filing jointly or qualifying surviving spouse for "&amp;LastYear&amp;","</f>
        <v>$94,050 if married filing jointly or qualifying surviving spouse for 2024,</v>
      </c>
      <c r="G180" s="1323"/>
      <c r="H180" s="1323"/>
      <c r="I180" s="1323"/>
      <c r="J180" s="1323"/>
      <c r="K180" s="1323"/>
      <c r="L180" s="1323"/>
      <c r="M180" s="5704"/>
      <c r="N180" s="5704"/>
      <c r="O180" s="5704"/>
      <c r="P180" s="5704"/>
      <c r="Q180" s="5704"/>
      <c r="R180" s="5704"/>
      <c r="S180" s="5704"/>
      <c r="T180" s="5704"/>
      <c r="U180" s="5704"/>
      <c r="V180" s="5704"/>
      <c r="W180" s="5704"/>
      <c r="X180" s="5704"/>
      <c r="Y180" s="5704"/>
      <c r="Z180" s="5704"/>
      <c r="AA180" s="5704"/>
      <c r="AB180" s="5704"/>
      <c r="AC180" s="5704"/>
      <c r="AD180" s="5743"/>
      <c r="AE180" s="10902" t="b">
        <f>AND(AE174,AE178="")</f>
        <v>1</v>
      </c>
      <c r="AF180" s="10903"/>
      <c r="AG180" s="10903"/>
      <c r="AH180" s="10903"/>
      <c r="AI180" s="10903"/>
      <c r="AJ180" s="10903"/>
      <c r="AK180" s="2290"/>
      <c r="AL180" s="4477"/>
      <c r="AM180" s="4477"/>
      <c r="AN180" s="4477"/>
      <c r="AO180" s="2290"/>
      <c r="AP180" s="4477"/>
      <c r="AQ180" s="1193">
        <v>94050</v>
      </c>
      <c r="AR180" s="1114"/>
      <c r="AS180" s="1114"/>
      <c r="AT180" s="1114"/>
      <c r="AU180" s="1114"/>
      <c r="AV180" s="1114"/>
      <c r="AW180" s="1114"/>
      <c r="AX180" s="1114"/>
      <c r="AY180" s="1114"/>
      <c r="AZ180" s="1114"/>
      <c r="BA180" s="1114"/>
      <c r="BB180" s="2293"/>
      <c r="BC180" s="2293"/>
    </row>
    <row r="181" spans="1:55" s="815" customFormat="1" ht="18" customHeight="1" thickBot="1">
      <c r="A181" s="2013"/>
      <c r="B181" s="5706"/>
      <c r="C181" s="2917"/>
      <c r="D181" s="1323"/>
      <c r="E181" s="4242" t="s">
        <v>637</v>
      </c>
      <c r="F181" s="1323" t="str">
        <f>TEXT(AQ181,"$0,000")&amp;" if single or married filing separately for "&amp;LastYear&amp;","</f>
        <v>$47,025 if single or married filing separately for 2024,</v>
      </c>
      <c r="G181" s="1323"/>
      <c r="H181" s="1323"/>
      <c r="I181" s="1323"/>
      <c r="J181" s="1323"/>
      <c r="K181" s="1323"/>
      <c r="L181" s="1323"/>
      <c r="M181" s="344"/>
      <c r="N181" s="344"/>
      <c r="O181" s="344"/>
      <c r="P181" s="344"/>
      <c r="Q181" s="344"/>
      <c r="R181" s="344"/>
      <c r="S181" s="344"/>
      <c r="T181" s="344"/>
      <c r="U181" s="344"/>
      <c r="V181" s="344"/>
      <c r="W181" s="344"/>
      <c r="X181" s="344"/>
      <c r="Y181" s="344"/>
      <c r="Z181" s="344"/>
      <c r="AA181" s="344"/>
      <c r="AB181" s="344"/>
      <c r="AC181" s="1657" t="s">
        <v>624</v>
      </c>
      <c r="AD181" s="4448">
        <v>34</v>
      </c>
      <c r="AE181" s="10881" t="str">
        <f>IF(AM181&lt;&gt;"",ROUND(AM181,0),IF(AE180,"",IF(AL76&lt;&gt;"",AQ183,IF(OR(AQ83=2,AQ83=4),AQ180,IF(OR(AQ83=1,AQ83=3),AQ181,IF(AQ83=5,AQ182,""))))))</f>
        <v/>
      </c>
      <c r="AF181" s="7655"/>
      <c r="AG181" s="7655"/>
      <c r="AH181" s="7655"/>
      <c r="AI181" s="7655"/>
      <c r="AJ181" s="7655"/>
      <c r="AK181" s="2013"/>
      <c r="AL181" s="253"/>
      <c r="AM181" s="5719"/>
      <c r="AN181" s="253"/>
      <c r="AO181" s="2013"/>
      <c r="AP181" s="253"/>
      <c r="AQ181" s="1193">
        <v>47025</v>
      </c>
      <c r="AR181" s="658"/>
      <c r="AS181" s="658"/>
      <c r="AT181" s="658"/>
      <c r="AU181" s="658"/>
      <c r="AV181" s="658"/>
      <c r="AW181" s="658"/>
      <c r="AX181" s="658"/>
      <c r="AY181" s="658"/>
      <c r="AZ181" s="658"/>
      <c r="BA181" s="658"/>
      <c r="BB181"/>
      <c r="BC181"/>
    </row>
    <row r="182" spans="1:55" s="815" customFormat="1" ht="18" customHeight="1">
      <c r="A182" s="2013"/>
      <c r="B182" s="4500"/>
      <c r="C182" s="2723"/>
      <c r="D182" s="1323"/>
      <c r="E182" s="4242" t="s">
        <v>637</v>
      </c>
      <c r="F182" s="1323" t="str">
        <f>TEXT(AQ182,"$0,000")&amp;" if head of household for "&amp;LastYear&amp;","</f>
        <v>$63,000 if head of household for 2024,</v>
      </c>
      <c r="G182" s="1323"/>
      <c r="H182" s="1323"/>
      <c r="I182" s="1323"/>
      <c r="J182" s="1323"/>
      <c r="K182" s="1323"/>
      <c r="L182" s="1323"/>
      <c r="M182" s="344"/>
      <c r="N182" s="4231"/>
      <c r="O182" s="344"/>
      <c r="P182" s="344"/>
      <c r="Q182" s="344"/>
      <c r="R182" s="344"/>
      <c r="S182" s="344"/>
      <c r="T182" s="2298"/>
      <c r="U182" s="2100"/>
      <c r="V182" s="344"/>
      <c r="W182" s="344"/>
      <c r="X182" s="344"/>
      <c r="Y182" s="344"/>
      <c r="Z182" s="344"/>
      <c r="AA182" s="344"/>
      <c r="AB182" s="4231"/>
      <c r="AC182" s="1657"/>
      <c r="AD182" s="5743"/>
      <c r="AE182" s="5699"/>
      <c r="AF182" s="5700"/>
      <c r="AG182" s="5700"/>
      <c r="AH182" s="5700"/>
      <c r="AI182" s="5700"/>
      <c r="AJ182" s="5700"/>
      <c r="AK182" s="2013"/>
      <c r="AL182" s="253"/>
      <c r="AM182" s="253"/>
      <c r="AN182" s="1806"/>
      <c r="AO182" s="2013"/>
      <c r="AP182" s="253"/>
      <c r="AQ182" s="1193">
        <v>63000</v>
      </c>
      <c r="AR182" s="658"/>
      <c r="AS182" s="658"/>
      <c r="AT182" s="5769"/>
      <c r="AU182" s="658"/>
      <c r="AV182" s="658"/>
      <c r="AW182" s="658"/>
      <c r="AX182" s="658"/>
      <c r="AY182" s="658"/>
      <c r="AZ182" s="658"/>
      <c r="BA182" s="658"/>
      <c r="BB182"/>
      <c r="BC182"/>
    </row>
    <row r="183" spans="1:55" s="815" customFormat="1" ht="18" customHeight="1">
      <c r="A183" s="2013"/>
      <c r="B183" s="4500"/>
      <c r="C183" s="2723"/>
      <c r="D183" s="1323"/>
      <c r="E183" s="4242" t="s">
        <v>637</v>
      </c>
      <c r="F183" s="1323" t="str">
        <f>TEXT(AQ183,"$0,000")&amp;" for an estate or trust."</f>
        <v>$3,150 for an estate or trust.</v>
      </c>
      <c r="G183" s="1323"/>
      <c r="H183" s="1323"/>
      <c r="I183" s="1323"/>
      <c r="J183" s="1323"/>
      <c r="K183" s="1323"/>
      <c r="L183" s="1323"/>
      <c r="M183" s="344"/>
      <c r="N183" s="4231"/>
      <c r="O183" s="344"/>
      <c r="P183" s="344"/>
      <c r="Q183" s="344"/>
      <c r="R183" s="344"/>
      <c r="S183" s="344"/>
      <c r="T183" s="2298"/>
      <c r="U183" s="2100"/>
      <c r="V183" s="344"/>
      <c r="W183" s="344"/>
      <c r="X183" s="344"/>
      <c r="Y183" s="344"/>
      <c r="Z183" s="344"/>
      <c r="AA183" s="344"/>
      <c r="AB183" s="4231"/>
      <c r="AC183" s="344"/>
      <c r="AD183" s="5743"/>
      <c r="AE183" s="5699"/>
      <c r="AF183" s="5700"/>
      <c r="AG183" s="5700"/>
      <c r="AH183" s="5700"/>
      <c r="AI183" s="5700"/>
      <c r="AJ183" s="5700"/>
      <c r="AK183" s="2013"/>
      <c r="AL183" s="253"/>
      <c r="AM183" s="253"/>
      <c r="AN183" s="1061"/>
      <c r="AO183" s="2013"/>
      <c r="AP183" s="253"/>
      <c r="AQ183" s="1193">
        <v>3150</v>
      </c>
      <c r="AR183" s="658"/>
      <c r="AS183" s="658"/>
      <c r="AT183" s="658"/>
      <c r="AU183" s="658"/>
      <c r="AV183" s="658"/>
      <c r="AW183" s="658"/>
      <c r="AX183" s="658"/>
      <c r="AY183" s="658"/>
      <c r="AZ183" s="658"/>
      <c r="BA183" s="658"/>
      <c r="BB183"/>
      <c r="BC183"/>
    </row>
    <row r="184" spans="1:55" s="815" customFormat="1" ht="15.75">
      <c r="A184" s="2013"/>
      <c r="B184" s="253"/>
      <c r="C184" s="2917">
        <v>35</v>
      </c>
      <c r="D184" s="1323" t="str">
        <f>"Enter the amount from line 5 of your "&amp;LastYear&amp;" Qualified Dividends and Capital Gain Tax Worksheet, the"</f>
        <v>Enter the amount from line 5 of your 2024 Qualified Dividends and Capital Gain Tax Worksheet, the</v>
      </c>
      <c r="E184" s="253"/>
      <c r="F184" s="511"/>
      <c r="G184" s="511"/>
      <c r="H184" s="253"/>
      <c r="I184" s="253"/>
      <c r="J184" s="253"/>
      <c r="K184" s="253"/>
      <c r="L184" s="253"/>
      <c r="M184" s="253"/>
      <c r="N184" s="253"/>
      <c r="O184" s="253"/>
      <c r="P184" s="253"/>
      <c r="Q184" s="253"/>
      <c r="R184" s="253"/>
      <c r="S184" s="253"/>
      <c r="T184" s="253"/>
      <c r="U184" s="253"/>
      <c r="V184" s="253"/>
      <c r="W184" s="253"/>
      <c r="X184" s="253"/>
      <c r="Y184" s="253"/>
      <c r="Z184" s="253"/>
      <c r="AA184" s="253"/>
      <c r="AB184" s="253"/>
      <c r="AC184" s="1657"/>
      <c r="AD184" s="5743"/>
      <c r="AE184" s="10890"/>
      <c r="AF184" s="10891"/>
      <c r="AG184" s="10891"/>
      <c r="AH184" s="10891"/>
      <c r="AI184" s="10891"/>
      <c r="AJ184" s="10891"/>
      <c r="AK184" s="2013"/>
      <c r="AL184" s="253"/>
      <c r="AM184" s="344"/>
      <c r="AN184" s="344"/>
      <c r="AO184" s="2013"/>
      <c r="AP184" s="253"/>
      <c r="AQ184" s="1193">
        <f>IF($O$54="",0,ROUND($O$54,0))</f>
        <v>0</v>
      </c>
      <c r="AR184" s="664"/>
      <c r="AS184" s="658"/>
      <c r="AT184" s="658"/>
      <c r="AU184" s="658"/>
      <c r="AV184" s="658"/>
      <c r="AW184" s="658"/>
      <c r="AX184" s="658"/>
      <c r="AY184" s="658"/>
      <c r="AZ184" s="658"/>
      <c r="BA184" s="658"/>
      <c r="BB184"/>
      <c r="BC184"/>
    </row>
    <row r="185" spans="1:55" s="815" customFormat="1" ht="15.75">
      <c r="A185" s="2013"/>
      <c r="B185" s="253"/>
      <c r="C185" s="2917"/>
      <c r="D185" s="1323" t="str">
        <f>"amount from line 14 of your "&amp;LastYear&amp;" Schedule D Tax Worksheet, or the amount from line 27 of the "&amp;LastYear</f>
        <v>amount from line 14 of your 2024 Schedule D Tax Worksheet, or the amount from line 27 of the 2024</v>
      </c>
      <c r="E185" s="253"/>
      <c r="F185" s="511"/>
      <c r="G185" s="511"/>
      <c r="H185" s="253"/>
      <c r="I185" s="253"/>
      <c r="J185" s="253"/>
      <c r="K185" s="253"/>
      <c r="L185" s="253"/>
      <c r="M185" s="253"/>
      <c r="N185" s="253"/>
      <c r="O185" s="253"/>
      <c r="P185" s="253"/>
      <c r="Q185" s="253"/>
      <c r="R185" s="253"/>
      <c r="S185" s="253"/>
      <c r="T185" s="253"/>
      <c r="U185" s="253"/>
      <c r="V185" s="253"/>
      <c r="W185" s="253"/>
      <c r="X185" s="253"/>
      <c r="Y185" s="253"/>
      <c r="Z185" s="253"/>
      <c r="AA185" s="253"/>
      <c r="AB185" s="253"/>
      <c r="AC185" s="1657"/>
      <c r="AD185" s="5743"/>
      <c r="AE185" s="5699"/>
      <c r="AF185" s="5700"/>
      <c r="AG185" s="5700"/>
      <c r="AH185" s="5700"/>
      <c r="AI185" s="5700"/>
      <c r="AJ185" s="5700"/>
      <c r="AK185" s="2013"/>
      <c r="AL185" s="253"/>
      <c r="AM185" s="344"/>
      <c r="AN185" s="344"/>
      <c r="AO185" s="2013"/>
      <c r="AP185" s="253"/>
      <c r="AQ185" s="1193">
        <f>IF($O$56="",0,ROUND($O$56,0))</f>
        <v>0</v>
      </c>
      <c r="AR185" s="664"/>
      <c r="AS185" s="658"/>
      <c r="AT185" s="658"/>
      <c r="AU185" s="658"/>
      <c r="AV185" s="658"/>
      <c r="AW185" s="658"/>
      <c r="AX185" s="658"/>
      <c r="AY185" s="658"/>
      <c r="AZ185" s="658"/>
      <c r="BA185" s="658"/>
      <c r="BB185"/>
      <c r="BC185"/>
    </row>
    <row r="186" spans="1:55" s="815" customFormat="1" ht="15.75">
      <c r="A186" s="2013"/>
      <c r="B186" s="253"/>
      <c r="C186" s="2917"/>
      <c r="D186" s="1323" t="str">
        <f>"Sch. D (Form 1041), whichever applies. If you didn’t complete either worksheet or Part V of the "&amp;LastYear</f>
        <v>Sch. D (Form 1041), whichever applies. If you didn’t complete either worksheet or Part V of the 2024</v>
      </c>
      <c r="E186" s="253"/>
      <c r="F186" s="511"/>
      <c r="G186" s="511"/>
      <c r="H186" s="253"/>
      <c r="I186" s="253"/>
      <c r="J186" s="253"/>
      <c r="K186" s="253"/>
      <c r="L186" s="253"/>
      <c r="M186" s="253"/>
      <c r="N186" s="253"/>
      <c r="O186" s="253"/>
      <c r="P186" s="253"/>
      <c r="Q186" s="253"/>
      <c r="R186" s="253"/>
      <c r="S186" s="253"/>
      <c r="T186" s="253"/>
      <c r="U186" s="253"/>
      <c r="V186" s="253"/>
      <c r="W186" s="253"/>
      <c r="X186" s="253"/>
      <c r="Y186" s="253"/>
      <c r="Z186" s="253"/>
      <c r="AA186" s="253"/>
      <c r="AB186" s="253"/>
      <c r="AC186" s="1657"/>
      <c r="AD186" s="5743"/>
      <c r="AE186" s="5699"/>
      <c r="AF186" s="5700"/>
      <c r="AG186" s="5700"/>
      <c r="AH186" s="5700"/>
      <c r="AI186" s="5700"/>
      <c r="AJ186" s="5700"/>
      <c r="AK186" s="2013"/>
      <c r="AL186" s="253"/>
      <c r="AM186" s="344"/>
      <c r="AN186" s="344"/>
      <c r="AO186" s="10882" t="str">
        <f>IF(AQ190,"If your "&amp;LastYear&amp;" taxable income was zero or less, enter -0- on Form 8801, line 35. Also, you must take one of the following actions, whichever applies to you, before completing lines 28, 29, and 30 of Part III:"&amp;CHAR(10)&amp;CHAR(10)&amp;"• Complete lines 2 through 4 of the QDCG Tax Worksheet in the "&amp;LastYear&amp;" Instructions for Form 1040."&amp;CHAR(10)&amp;CHAR(10)&amp;"• Complete lines 2 through 13 of the Schedule D Tax Worksheet in the "&amp;LastYear&amp;" Instructions for Schedule D (Form 1040), whichever applies.","")</f>
        <v/>
      </c>
      <c r="AP186" s="253"/>
      <c r="AQ186" s="1193">
        <f>IF($O$59="",0,ROUND($O$59,0))</f>
        <v>0</v>
      </c>
      <c r="AR186" s="664"/>
      <c r="AS186" s="658"/>
      <c r="AT186" s="658"/>
      <c r="AU186" s="658"/>
      <c r="AV186" s="658"/>
      <c r="AW186" s="658"/>
      <c r="AX186" s="658"/>
      <c r="AY186" s="658"/>
      <c r="AZ186" s="658"/>
      <c r="BA186" s="658"/>
      <c r="BB186"/>
      <c r="BC186"/>
    </row>
    <row r="187" spans="1:55" s="815" customFormat="1" ht="16.5" thickBot="1">
      <c r="A187" s="2013"/>
      <c r="B187" s="253"/>
      <c r="C187" s="2917"/>
      <c r="D187" s="1323" t="str">
        <f>"Sch. D (Form 1041), enter the amount from your "&amp;LastYear&amp;" Form 1040, 1040-SR, or 1040-NR, line 15, or"</f>
        <v>Sch. D (Form 1041), enter the amount from your 2024 Form 1040, 1040-SR, or 1040-NR, line 15, or</v>
      </c>
      <c r="E187" s="253"/>
      <c r="F187" s="511"/>
      <c r="G187" s="511"/>
      <c r="H187" s="253"/>
      <c r="I187" s="253"/>
      <c r="J187" s="253"/>
      <c r="K187" s="253"/>
      <c r="L187" s="253"/>
      <c r="M187" s="253"/>
      <c r="N187" s="253"/>
      <c r="O187" s="253"/>
      <c r="P187" s="253"/>
      <c r="Q187" s="253"/>
      <c r="R187" s="253"/>
      <c r="S187" s="253"/>
      <c r="T187" s="253"/>
      <c r="U187" s="253"/>
      <c r="V187" s="253"/>
      <c r="W187" s="253"/>
      <c r="X187" s="253"/>
      <c r="Y187" s="253"/>
      <c r="Z187" s="253"/>
      <c r="AA187" s="253"/>
      <c r="AB187" s="253"/>
      <c r="AC187" s="1657"/>
      <c r="AD187" s="5743"/>
      <c r="AE187" s="10902" t="b">
        <f>AND(AE180,AE181="",AE188="")</f>
        <v>1</v>
      </c>
      <c r="AF187" s="10903"/>
      <c r="AG187" s="10903"/>
      <c r="AH187" s="10903"/>
      <c r="AI187" s="10903"/>
      <c r="AJ187" s="10903"/>
      <c r="AK187" s="2013"/>
      <c r="AL187" s="253"/>
      <c r="AM187" s="344"/>
      <c r="AN187" s="344"/>
      <c r="AO187" s="10882"/>
      <c r="AP187" s="253"/>
      <c r="AQ187" s="1193">
        <f>IF($O$65="",0,ROUND($O$65,0))</f>
        <v>0</v>
      </c>
      <c r="AR187" s="664"/>
      <c r="AS187" s="658"/>
      <c r="AT187" s="658"/>
      <c r="AU187" s="658"/>
      <c r="AV187" s="658"/>
      <c r="AW187" s="658"/>
      <c r="AX187" s="658"/>
      <c r="AY187" s="658"/>
      <c r="AZ187" s="658"/>
      <c r="BA187" s="658"/>
      <c r="BB187"/>
      <c r="BC187"/>
    </row>
    <row r="188" spans="1:55" s="815" customFormat="1" ht="16.5" thickBot="1">
      <c r="A188" s="2013"/>
      <c r="B188" s="253"/>
      <c r="C188" s="2917"/>
      <c r="D188" s="1323" t="str">
        <f>LastYear&amp;" Form 1041, line 23, whichever applies; if zero or less, enter -0-"</f>
        <v>2024 Form 1041, line 23, whichever applies; if zero or less, enter -0-</v>
      </c>
      <c r="E188" s="253"/>
      <c r="F188" s="511"/>
      <c r="G188" s="511"/>
      <c r="H188" s="253"/>
      <c r="I188" s="253"/>
      <c r="J188" s="253"/>
      <c r="K188" s="253"/>
      <c r="L188" s="253"/>
      <c r="M188" s="253"/>
      <c r="N188" s="253"/>
      <c r="O188" s="253"/>
      <c r="P188" s="253"/>
      <c r="Q188" s="253"/>
      <c r="R188" s="253"/>
      <c r="S188" s="253"/>
      <c r="T188" s="253"/>
      <c r="U188" s="253"/>
      <c r="V188" s="253"/>
      <c r="W188" s="253"/>
      <c r="X188" s="253"/>
      <c r="Y188" s="253"/>
      <c r="Z188" s="253"/>
      <c r="AA188" s="253"/>
      <c r="AB188" s="253"/>
      <c r="AC188" s="1657" t="s">
        <v>676</v>
      </c>
      <c r="AD188" s="4448">
        <v>35</v>
      </c>
      <c r="AE188" s="10881" t="str">
        <f>IF(AM188&lt;&gt;"",ROUND(AM188,0),
 IF(AND($AE$42="",$AQ$67),"",
 IF($AQ$67,MAX(0,$AQ$189),
 IF($O$65&lt;&gt;"",MAX(0,$AQ$187),
 IF($O$56&lt;&gt;"",MAX(0,$AQ$185),
    "")))))</f>
        <v/>
      </c>
      <c r="AF188" s="7655"/>
      <c r="AG188" s="7655"/>
      <c r="AH188" s="7655"/>
      <c r="AI188" s="7655"/>
      <c r="AJ188" s="7655"/>
      <c r="AK188" s="2013"/>
      <c r="AL188" s="253"/>
      <c r="AM188" s="5719"/>
      <c r="AN188" s="344"/>
      <c r="AO188" s="10882"/>
      <c r="AP188" s="253"/>
      <c r="AQ188" s="1193">
        <f>IF($O$67="",0,ROUND($O$67,0))</f>
        <v>0</v>
      </c>
      <c r="AR188" s="664"/>
      <c r="AS188" s="658"/>
      <c r="AT188" s="658"/>
      <c r="AU188" s="658"/>
      <c r="AV188" s="658"/>
      <c r="AW188" s="658"/>
      <c r="AX188" s="658"/>
      <c r="AY188" s="658"/>
      <c r="AZ188" s="658"/>
      <c r="BA188" s="658"/>
      <c r="BB188"/>
      <c r="BC188"/>
    </row>
    <row r="189" spans="1:55" s="815" customFormat="1" ht="18" customHeight="1" thickBot="1">
      <c r="A189" s="2013"/>
      <c r="B189" s="253"/>
      <c r="C189" s="2917">
        <v>36</v>
      </c>
      <c r="D189" s="1323" t="s">
        <v>5585</v>
      </c>
      <c r="E189" s="253"/>
      <c r="F189" s="511"/>
      <c r="G189" s="511"/>
      <c r="H189" s="253"/>
      <c r="I189" s="253"/>
      <c r="J189" s="253"/>
      <c r="K189" s="253"/>
      <c r="L189" s="253"/>
      <c r="M189" s="253"/>
      <c r="N189" s="253"/>
      <c r="O189" s="253"/>
      <c r="P189" s="253"/>
      <c r="Q189" s="253"/>
      <c r="R189" s="253"/>
      <c r="S189" s="253"/>
      <c r="T189" s="253"/>
      <c r="U189" s="253"/>
      <c r="V189" s="253"/>
      <c r="W189" s="253"/>
      <c r="X189" s="253"/>
      <c r="Y189" s="253"/>
      <c r="Z189" s="253"/>
      <c r="AA189" s="253"/>
      <c r="AB189" s="253"/>
      <c r="AC189" s="1657" t="s">
        <v>2186</v>
      </c>
      <c r="AD189" s="4448">
        <v>36</v>
      </c>
      <c r="AE189" s="10881" t="str">
        <f>IF(AM189&lt;&gt;"",ROUND(AM189,0),IF(AE188="","",MAX(0,SUM(AE181,-AE188))))</f>
        <v/>
      </c>
      <c r="AF189" s="7655"/>
      <c r="AG189" s="7655"/>
      <c r="AH189" s="7655"/>
      <c r="AI189" s="7655"/>
      <c r="AJ189" s="7655"/>
      <c r="AK189" s="2013"/>
      <c r="AL189" s="253"/>
      <c r="AM189" s="5719"/>
      <c r="AN189" s="344"/>
      <c r="AO189" s="10882"/>
      <c r="AP189" s="253"/>
      <c r="AQ189" s="1193">
        <f>IF($AE$42="",0,ROUND($AE$42,0))</f>
        <v>0</v>
      </c>
      <c r="AR189" s="664"/>
      <c r="AS189" s="658"/>
      <c r="AT189" s="658"/>
      <c r="AU189" s="658"/>
      <c r="AV189" s="658"/>
      <c r="AW189" s="658"/>
      <c r="AX189" s="658"/>
      <c r="AY189" s="658"/>
      <c r="AZ189" s="658"/>
      <c r="BA189" s="658"/>
      <c r="BB189"/>
      <c r="BC189"/>
    </row>
    <row r="190" spans="1:55" s="815" customFormat="1" ht="18" customHeight="1">
      <c r="A190" s="2013"/>
      <c r="B190" s="253"/>
      <c r="C190" s="2917">
        <v>37</v>
      </c>
      <c r="D190" s="1323" t="s">
        <v>5642</v>
      </c>
      <c r="E190" s="253"/>
      <c r="F190" s="511"/>
      <c r="G190" s="511"/>
      <c r="H190" s="253"/>
      <c r="I190" s="253"/>
      <c r="J190" s="253"/>
      <c r="K190" s="253"/>
      <c r="L190" s="253"/>
      <c r="M190" s="253"/>
      <c r="N190" s="253"/>
      <c r="O190" s="253"/>
      <c r="P190" s="253"/>
      <c r="Q190" s="253"/>
      <c r="R190" s="253"/>
      <c r="S190" s="253"/>
      <c r="T190" s="253"/>
      <c r="U190" s="253"/>
      <c r="V190" s="253"/>
      <c r="W190" s="253"/>
      <c r="X190" s="253"/>
      <c r="Y190" s="253"/>
      <c r="Z190" s="253"/>
      <c r="AA190" s="253"/>
      <c r="AB190" s="253"/>
      <c r="AC190" s="1657" t="s">
        <v>691</v>
      </c>
      <c r="AD190" s="4448">
        <v>37</v>
      </c>
      <c r="AE190" s="10881" t="str">
        <f>IF(AND(AE188="",AE189=""),"",MIN(AE163,AE168))</f>
        <v/>
      </c>
      <c r="AF190" s="7655"/>
      <c r="AG190" s="7655"/>
      <c r="AH190" s="7655"/>
      <c r="AI190" s="7655"/>
      <c r="AJ190" s="7655"/>
      <c r="AK190" s="2013"/>
      <c r="AL190" s="253"/>
      <c r="AM190" s="253"/>
      <c r="AN190" s="253"/>
      <c r="AO190" s="10882"/>
      <c r="AP190" s="253"/>
      <c r="AQ190" s="5765" t="b">
        <f>AND($AE$42&lt;&gt;"",AQ189&lt;=0,$AQ$67)</f>
        <v>0</v>
      </c>
      <c r="AR190" s="658"/>
      <c r="AS190" s="658"/>
      <c r="AT190" s="658"/>
      <c r="AU190" s="658"/>
      <c r="AV190" s="658"/>
      <c r="AW190" s="658"/>
      <c r="AX190" s="658"/>
      <c r="AY190" s="658"/>
      <c r="AZ190" s="658"/>
      <c r="BA190" s="658"/>
      <c r="BB190"/>
      <c r="BC190"/>
    </row>
    <row r="191" spans="1:55" s="815" customFormat="1" ht="18" customHeight="1">
      <c r="A191" s="2013"/>
      <c r="B191" s="253"/>
      <c r="C191" s="2917">
        <v>38</v>
      </c>
      <c r="D191" s="1323" t="s">
        <v>5643</v>
      </c>
      <c r="E191" s="253"/>
      <c r="F191" s="511"/>
      <c r="G191" s="511"/>
      <c r="H191" s="253"/>
      <c r="I191" s="253"/>
      <c r="J191" s="253"/>
      <c r="K191" s="253"/>
      <c r="L191" s="253"/>
      <c r="M191" s="253"/>
      <c r="N191" s="253"/>
      <c r="O191" s="253"/>
      <c r="P191" s="253"/>
      <c r="Q191" s="253"/>
      <c r="R191" s="253"/>
      <c r="S191" s="253"/>
      <c r="T191" s="253"/>
      <c r="U191" s="253"/>
      <c r="V191" s="253"/>
      <c r="W191" s="253"/>
      <c r="X191" s="253"/>
      <c r="Y191" s="253"/>
      <c r="Z191" s="253"/>
      <c r="AA191" s="253"/>
      <c r="AB191" s="253"/>
      <c r="AC191" s="1657" t="s">
        <v>691</v>
      </c>
      <c r="AD191" s="4448">
        <v>38</v>
      </c>
      <c r="AE191" s="10881" t="str">
        <f>IF(AND(AE188="",AE189="",AE190=""),"",MIN(AE189,AE190))</f>
        <v/>
      </c>
      <c r="AF191" s="7655"/>
      <c r="AG191" s="7655"/>
      <c r="AH191" s="7655"/>
      <c r="AI191" s="7655"/>
      <c r="AJ191" s="7655"/>
      <c r="AK191" s="2013"/>
      <c r="AL191" s="253"/>
      <c r="AM191" s="253"/>
      <c r="AN191" s="253"/>
      <c r="AO191" s="10882"/>
      <c r="AP191" s="253"/>
      <c r="AQ191" s="1193"/>
      <c r="AR191" s="658"/>
      <c r="AS191" s="658"/>
      <c r="AT191" s="658"/>
      <c r="AU191" s="658"/>
      <c r="AV191" s="658"/>
      <c r="AW191" s="658"/>
      <c r="AX191" s="658"/>
      <c r="AY191" s="658"/>
      <c r="AZ191" s="658"/>
      <c r="BA191" s="658"/>
      <c r="BB191"/>
      <c r="BC191"/>
    </row>
    <row r="192" spans="1:55" s="815" customFormat="1" ht="18" customHeight="1">
      <c r="A192" s="2013"/>
      <c r="B192" s="253"/>
      <c r="C192" s="2917">
        <v>39</v>
      </c>
      <c r="D192" s="1323" t="s">
        <v>5586</v>
      </c>
      <c r="E192" s="253"/>
      <c r="F192" s="511"/>
      <c r="G192" s="511"/>
      <c r="H192" s="253"/>
      <c r="I192" s="253"/>
      <c r="J192" s="253"/>
      <c r="K192" s="253"/>
      <c r="L192" s="253"/>
      <c r="M192" s="253"/>
      <c r="N192" s="253"/>
      <c r="O192" s="253"/>
      <c r="P192" s="253"/>
      <c r="Q192" s="253"/>
      <c r="R192" s="253"/>
      <c r="S192" s="253"/>
      <c r="T192" s="253"/>
      <c r="U192" s="253"/>
      <c r="V192" s="253"/>
      <c r="W192" s="253"/>
      <c r="X192" s="253"/>
      <c r="Y192" s="253"/>
      <c r="Z192" s="253"/>
      <c r="AA192" s="253"/>
      <c r="AB192" s="253"/>
      <c r="AC192" s="1657" t="s">
        <v>1877</v>
      </c>
      <c r="AD192" s="4448">
        <v>39</v>
      </c>
      <c r="AE192" s="10881" t="str">
        <f>IF(AND(AE188="",AE189="",AE190="",AE191=""),"",SUM(AE190,-AE191))</f>
        <v/>
      </c>
      <c r="AF192" s="7655"/>
      <c r="AG192" s="7655"/>
      <c r="AH192" s="7655"/>
      <c r="AI192" s="7655"/>
      <c r="AJ192" s="7655"/>
      <c r="AK192" s="2013"/>
      <c r="AL192" s="253"/>
      <c r="AM192" s="253"/>
      <c r="AN192" s="253"/>
      <c r="AO192" s="10882"/>
      <c r="AP192" s="253"/>
      <c r="AQ192" s="1193"/>
      <c r="AR192" s="658"/>
      <c r="AS192" s="658"/>
      <c r="AT192" s="658"/>
      <c r="AU192" s="658"/>
      <c r="AV192" s="658"/>
      <c r="AW192" s="658"/>
      <c r="AX192" s="658"/>
      <c r="AY192" s="658"/>
      <c r="AZ192" s="658"/>
      <c r="BA192" s="658"/>
      <c r="BB192"/>
      <c r="BC192"/>
    </row>
    <row r="193" spans="1:55" s="815" customFormat="1" ht="18" customHeight="1">
      <c r="A193" s="2013"/>
      <c r="B193" s="253"/>
      <c r="C193" s="2917">
        <v>40</v>
      </c>
      <c r="D193" s="1323" t="s">
        <v>2644</v>
      </c>
      <c r="E193" s="253"/>
      <c r="F193" s="1323"/>
      <c r="G193" s="1323"/>
      <c r="H193" s="1323"/>
      <c r="I193" s="1323"/>
      <c r="J193" s="1323"/>
      <c r="K193" s="1323"/>
      <c r="L193" s="1323"/>
      <c r="M193" s="253"/>
      <c r="N193" s="253"/>
      <c r="O193" s="253"/>
      <c r="P193" s="253"/>
      <c r="Q193" s="253"/>
      <c r="R193" s="253"/>
      <c r="S193" s="253"/>
      <c r="T193" s="253"/>
      <c r="U193" s="253"/>
      <c r="V193" s="253"/>
      <c r="W193" s="253"/>
      <c r="X193" s="253"/>
      <c r="Y193" s="253"/>
      <c r="Z193" s="253"/>
      <c r="AA193" s="253"/>
      <c r="AB193" s="253"/>
      <c r="AC193" s="1657"/>
      <c r="AD193" s="5743"/>
      <c r="AE193" s="5699"/>
      <c r="AF193" s="5700"/>
      <c r="AG193" s="5700"/>
      <c r="AH193" s="5700"/>
      <c r="AI193" s="5700"/>
      <c r="AJ193" s="5700"/>
      <c r="AK193" s="2013"/>
      <c r="AL193" s="253"/>
      <c r="AM193" s="253"/>
      <c r="AN193" s="253"/>
      <c r="AO193" s="10882"/>
      <c r="AP193" s="253"/>
      <c r="AQ193" s="1193"/>
      <c r="AR193" s="658"/>
      <c r="AS193" s="658"/>
      <c r="AT193" s="658"/>
      <c r="AU193" s="658"/>
      <c r="AV193" s="658"/>
      <c r="AW193" s="658"/>
      <c r="AX193" s="658"/>
      <c r="AY193" s="658"/>
      <c r="AZ193" s="658"/>
      <c r="BA193" s="658"/>
      <c r="BB193"/>
      <c r="BC193"/>
    </row>
    <row r="194" spans="1:55" s="1115" customFormat="1" ht="18" customHeight="1">
      <c r="A194" s="2290"/>
      <c r="B194" s="5704"/>
      <c r="C194" s="5705"/>
      <c r="D194" s="4242"/>
      <c r="E194" s="4242" t="s">
        <v>637</v>
      </c>
      <c r="F194" s="1323" t="str">
        <f>TEXT(AQ194,"$0,000")&amp;" if single for "&amp;LastYear&amp;","</f>
        <v>$518,900 if single for 2024,</v>
      </c>
      <c r="G194" s="1323"/>
      <c r="H194" s="1323"/>
      <c r="I194" s="1323"/>
      <c r="J194" s="1323"/>
      <c r="K194" s="1323"/>
      <c r="L194" s="1323"/>
      <c r="M194" s="5704"/>
      <c r="N194" s="5704"/>
      <c r="O194" s="5704"/>
      <c r="P194" s="5704"/>
      <c r="Q194" s="5704"/>
      <c r="R194" s="5704"/>
      <c r="S194" s="5704"/>
      <c r="T194" s="5704"/>
      <c r="U194" s="5704"/>
      <c r="V194" s="5704"/>
      <c r="W194" s="5704"/>
      <c r="X194" s="5704"/>
      <c r="Y194" s="5704"/>
      <c r="Z194" s="5704"/>
      <c r="AA194" s="5704"/>
      <c r="AB194" s="5704"/>
      <c r="AC194" s="5704"/>
      <c r="AD194" s="5743"/>
      <c r="AE194" s="5699"/>
      <c r="AF194" s="5700"/>
      <c r="AG194" s="5700"/>
      <c r="AH194" s="5700"/>
      <c r="AI194" s="5700"/>
      <c r="AJ194" s="5700"/>
      <c r="AK194" s="2290"/>
      <c r="AL194" s="4477"/>
      <c r="AM194" s="4477"/>
      <c r="AN194" s="4477"/>
      <c r="AO194" s="10882"/>
      <c r="AP194" s="4477"/>
      <c r="AQ194" s="1193">
        <v>518900</v>
      </c>
      <c r="AR194" s="1114"/>
      <c r="AS194" s="1114"/>
      <c r="AT194" s="1114"/>
      <c r="AU194" s="1114"/>
      <c r="AV194" s="1114"/>
      <c r="AW194" s="1114"/>
      <c r="AX194" s="1114"/>
      <c r="AY194" s="1114"/>
      <c r="AZ194" s="1114"/>
      <c r="BA194" s="1114"/>
      <c r="BB194" s="2293"/>
      <c r="BC194" s="2293"/>
    </row>
    <row r="195" spans="1:55" s="815" customFormat="1" ht="18" customHeight="1" thickBot="1">
      <c r="A195" s="2013"/>
      <c r="B195" s="5706"/>
      <c r="C195" s="2917"/>
      <c r="D195" s="1323"/>
      <c r="E195" s="4242" t="s">
        <v>637</v>
      </c>
      <c r="F195" s="1323" t="str">
        <f>TEXT(AQ195,"$0,000")&amp;" if married filing separately for "&amp;LastYear&amp;","</f>
        <v>$291,850 if married filing separately for 2024,</v>
      </c>
      <c r="G195" s="1323"/>
      <c r="H195" s="1323"/>
      <c r="I195" s="1323"/>
      <c r="J195" s="1323"/>
      <c r="K195" s="1323"/>
      <c r="L195" s="1323"/>
      <c r="M195" s="344"/>
      <c r="N195" s="344"/>
      <c r="O195" s="344"/>
      <c r="P195" s="344"/>
      <c r="Q195" s="344"/>
      <c r="R195" s="344"/>
      <c r="S195" s="344"/>
      <c r="T195" s="344"/>
      <c r="U195" s="344"/>
      <c r="V195" s="344"/>
      <c r="W195" s="344"/>
      <c r="X195" s="344"/>
      <c r="Y195" s="344"/>
      <c r="Z195" s="344"/>
      <c r="AA195" s="344"/>
      <c r="AB195" s="344"/>
      <c r="AC195" s="344"/>
      <c r="AD195" s="5743"/>
      <c r="AE195" s="10902" t="b">
        <f>AND(AE187,AE189="")</f>
        <v>1</v>
      </c>
      <c r="AF195" s="10903"/>
      <c r="AG195" s="10903"/>
      <c r="AH195" s="10903"/>
      <c r="AI195" s="10903"/>
      <c r="AJ195" s="10903"/>
      <c r="AK195" s="2013"/>
      <c r="AL195" s="253"/>
      <c r="AM195" s="253"/>
      <c r="AN195" s="253"/>
      <c r="AO195" s="10882"/>
      <c r="AP195" s="253"/>
      <c r="AQ195" s="1193">
        <v>291850</v>
      </c>
      <c r="AR195" s="658"/>
      <c r="AS195" s="658"/>
      <c r="AT195" s="658"/>
      <c r="AU195" s="658"/>
      <c r="AV195" s="658"/>
      <c r="AW195" s="658"/>
      <c r="AX195" s="658"/>
      <c r="AY195" s="658"/>
      <c r="AZ195" s="658"/>
      <c r="BA195" s="658"/>
      <c r="BB195"/>
      <c r="BC195"/>
    </row>
    <row r="196" spans="1:55" s="815" customFormat="1" ht="18" customHeight="1" thickBot="1">
      <c r="A196" s="2013"/>
      <c r="B196" s="5706"/>
      <c r="C196" s="2917"/>
      <c r="D196" s="1323"/>
      <c r="E196" s="4242" t="s">
        <v>637</v>
      </c>
      <c r="F196" s="1323" t="str">
        <f>TEXT(AQ196,"$0,000")&amp;" if married filing jointly or qualifying surviving spouse for "&amp;LastYear&amp;","</f>
        <v>$583,750 if married filing jointly or qualifying surviving spouse for 2024,</v>
      </c>
      <c r="G196" s="1323"/>
      <c r="H196" s="1323"/>
      <c r="I196" s="1323"/>
      <c r="J196" s="1323"/>
      <c r="K196" s="1323"/>
      <c r="L196" s="1323"/>
      <c r="M196" s="344"/>
      <c r="N196" s="344"/>
      <c r="O196" s="344"/>
      <c r="P196" s="344"/>
      <c r="Q196" s="344"/>
      <c r="R196" s="344"/>
      <c r="S196" s="344"/>
      <c r="T196" s="344"/>
      <c r="U196" s="344"/>
      <c r="V196" s="344"/>
      <c r="W196" s="344"/>
      <c r="X196" s="344"/>
      <c r="Y196" s="344"/>
      <c r="Z196" s="344"/>
      <c r="AA196" s="344"/>
      <c r="AB196" s="344"/>
      <c r="AC196" s="1657" t="s">
        <v>624</v>
      </c>
      <c r="AD196" s="4448">
        <v>40</v>
      </c>
      <c r="AE196" s="10881" t="str">
        <f>IF(AM196&lt;&gt;"",ROUND(AM196,0),IF(AE192="","",IF(AE195,"",IF(AL76&lt;&gt;"",AQ198,IF(AQ83=1,AQ194,IF(AQ83=3,AQ195,IF(OR(AQ83=2,AQ83=4),AQ196,IF(AQ83=5,AQ197,""))))))))</f>
        <v/>
      </c>
      <c r="AF196" s="7655"/>
      <c r="AG196" s="7655"/>
      <c r="AH196" s="7655"/>
      <c r="AI196" s="7655"/>
      <c r="AJ196" s="7655"/>
      <c r="AK196" s="2013"/>
      <c r="AL196" s="253"/>
      <c r="AM196" s="5719"/>
      <c r="AN196" s="1806"/>
      <c r="AO196" s="10882"/>
      <c r="AP196" s="253"/>
      <c r="AQ196" s="1193">
        <v>583750</v>
      </c>
      <c r="AR196" s="658"/>
      <c r="AS196" s="658"/>
      <c r="AT196" s="658"/>
      <c r="AU196" s="658"/>
      <c r="AV196" s="658"/>
      <c r="AW196" s="658"/>
      <c r="AX196" s="658"/>
      <c r="AY196" s="658"/>
      <c r="AZ196" s="658"/>
      <c r="BA196" s="658"/>
      <c r="BB196"/>
      <c r="BC196"/>
    </row>
    <row r="197" spans="1:55" s="815" customFormat="1" ht="18" customHeight="1">
      <c r="A197" s="2013"/>
      <c r="B197" s="4500"/>
      <c r="C197" s="2723"/>
      <c r="D197" s="1323"/>
      <c r="E197" s="4242" t="s">
        <v>637</v>
      </c>
      <c r="F197" s="1323" t="str">
        <f>TEXT(AQ197,"$0,000")&amp;" if head of household for "&amp;LastYear&amp;","</f>
        <v>$551,350 if head of household for 2024,</v>
      </c>
      <c r="G197" s="1323"/>
      <c r="H197" s="1323"/>
      <c r="I197" s="1323"/>
      <c r="J197" s="1323"/>
      <c r="K197" s="1323"/>
      <c r="L197" s="1323"/>
      <c r="M197" s="344"/>
      <c r="N197" s="4231"/>
      <c r="O197" s="344"/>
      <c r="P197" s="344"/>
      <c r="Q197" s="344"/>
      <c r="R197" s="344"/>
      <c r="S197" s="344"/>
      <c r="T197" s="2298"/>
      <c r="U197" s="2100"/>
      <c r="V197" s="344"/>
      <c r="W197" s="344"/>
      <c r="X197" s="344"/>
      <c r="Y197" s="344"/>
      <c r="Z197" s="344"/>
      <c r="AA197" s="344"/>
      <c r="AB197" s="4231"/>
      <c r="AC197" s="344"/>
      <c r="AD197" s="5743"/>
      <c r="AE197" s="5699"/>
      <c r="AF197" s="5700"/>
      <c r="AG197" s="5700"/>
      <c r="AH197" s="5700"/>
      <c r="AI197" s="5700"/>
      <c r="AJ197" s="5700"/>
      <c r="AK197" s="2013"/>
      <c r="AL197" s="253"/>
      <c r="AM197" s="253"/>
      <c r="AN197" s="253"/>
      <c r="AO197" s="10882"/>
      <c r="AP197" s="253"/>
      <c r="AQ197" s="1193">
        <v>551350</v>
      </c>
      <c r="AR197" s="658"/>
      <c r="AS197" s="658"/>
      <c r="AT197" s="658"/>
      <c r="AU197" s="658"/>
      <c r="AV197" s="658"/>
      <c r="AW197" s="658"/>
      <c r="AX197" s="658"/>
      <c r="AY197" s="658"/>
      <c r="AZ197" s="658"/>
      <c r="BA197" s="658"/>
      <c r="BB197"/>
      <c r="BC197"/>
    </row>
    <row r="198" spans="1:55" s="815" customFormat="1" ht="18" customHeight="1">
      <c r="A198" s="2013"/>
      <c r="B198" s="4500"/>
      <c r="C198" s="2723"/>
      <c r="D198" s="1323"/>
      <c r="E198" s="4242" t="s">
        <v>637</v>
      </c>
      <c r="F198" s="1323" t="str">
        <f>TEXT(AQ198,"$0,000")&amp;" for an estate or trust."</f>
        <v>$15,450 for an estate or trust.</v>
      </c>
      <c r="G198" s="1323"/>
      <c r="H198" s="1323"/>
      <c r="I198" s="1323"/>
      <c r="J198" s="1323"/>
      <c r="K198" s="1323"/>
      <c r="L198" s="1323"/>
      <c r="M198" s="344"/>
      <c r="N198" s="4231"/>
      <c r="O198" s="344"/>
      <c r="P198" s="344"/>
      <c r="Q198" s="344"/>
      <c r="R198" s="344"/>
      <c r="S198" s="344"/>
      <c r="T198" s="2298"/>
      <c r="U198" s="2100"/>
      <c r="V198" s="344"/>
      <c r="W198" s="344"/>
      <c r="X198" s="344"/>
      <c r="Y198" s="344"/>
      <c r="Z198" s="344"/>
      <c r="AA198" s="344"/>
      <c r="AB198" s="4231"/>
      <c r="AC198" s="344"/>
      <c r="AD198" s="5743"/>
      <c r="AE198" s="10902" t="b">
        <f>AND(AE195,AE196="")</f>
        <v>1</v>
      </c>
      <c r="AF198" s="10903"/>
      <c r="AG198" s="10903"/>
      <c r="AH198" s="10903"/>
      <c r="AI198" s="10903"/>
      <c r="AJ198" s="10903"/>
      <c r="AK198" s="2013"/>
      <c r="AL198" s="253"/>
      <c r="AM198" s="253"/>
      <c r="AN198" s="253"/>
      <c r="AO198" s="2013"/>
      <c r="AP198" s="253"/>
      <c r="AQ198" s="1193">
        <v>15450</v>
      </c>
      <c r="AR198" s="658"/>
      <c r="AS198" s="658"/>
      <c r="AT198" s="658"/>
      <c r="AU198" s="658"/>
      <c r="AV198" s="658"/>
      <c r="AW198" s="658"/>
      <c r="AX198" s="658"/>
      <c r="AY198" s="658"/>
      <c r="AZ198" s="658"/>
      <c r="BA198" s="658"/>
      <c r="BB198"/>
      <c r="BC198"/>
    </row>
    <row r="199" spans="1:55" s="815" customFormat="1" ht="18" customHeight="1">
      <c r="A199" s="2013"/>
      <c r="B199" s="253"/>
      <c r="C199" s="2917">
        <v>41</v>
      </c>
      <c r="D199" s="1323" t="s">
        <v>6473</v>
      </c>
      <c r="E199" s="253"/>
      <c r="F199" s="511"/>
      <c r="G199" s="511"/>
      <c r="H199" s="253"/>
      <c r="I199" s="253"/>
      <c r="J199" s="253"/>
      <c r="K199" s="253"/>
      <c r="L199" s="253"/>
      <c r="M199" s="253"/>
      <c r="N199" s="253"/>
      <c r="O199" s="253"/>
      <c r="P199" s="253"/>
      <c r="Q199" s="253"/>
      <c r="R199" s="253"/>
      <c r="S199" s="253"/>
      <c r="T199" s="253"/>
      <c r="U199" s="253"/>
      <c r="V199" s="253"/>
      <c r="W199" s="253"/>
      <c r="X199" s="253"/>
      <c r="Y199" s="253"/>
      <c r="Z199" s="253"/>
      <c r="AA199" s="253"/>
      <c r="AB199" s="253"/>
      <c r="AC199" s="1657" t="s">
        <v>2167</v>
      </c>
      <c r="AD199" s="4448">
        <v>41</v>
      </c>
      <c r="AE199" s="10881" t="str">
        <f>IF(OR(AE198,AE174="",AE196=""),"",AE189)</f>
        <v/>
      </c>
      <c r="AF199" s="7655"/>
      <c r="AG199" s="7655"/>
      <c r="AH199" s="7655"/>
      <c r="AI199" s="7655"/>
      <c r="AJ199" s="7655"/>
      <c r="AK199" s="2013"/>
      <c r="AL199" s="253"/>
      <c r="AM199" s="253"/>
      <c r="AN199" s="253"/>
      <c r="AO199" s="2013"/>
      <c r="AP199" s="253"/>
      <c r="AQ199" s="253"/>
      <c r="AR199" s="658"/>
      <c r="AS199" s="658"/>
      <c r="AT199" s="658"/>
      <c r="AU199" s="658"/>
      <c r="AV199" s="658"/>
      <c r="AW199" s="658"/>
      <c r="AX199" s="658"/>
      <c r="AY199" s="658"/>
      <c r="AZ199" s="658"/>
      <c r="BA199" s="658"/>
      <c r="BB199"/>
      <c r="BC199"/>
    </row>
    <row r="200" spans="1:55" s="815" customFormat="1" ht="16.5" customHeight="1">
      <c r="A200" s="2013"/>
      <c r="B200" s="253"/>
      <c r="C200" s="2917">
        <v>42</v>
      </c>
      <c r="D200" s="1323" t="str">
        <f>"Form 1040 or 1040-NR filers, enter the amount from line 5 of your "&amp;LastYear&amp;" Qualified Dividends"</f>
        <v>Form 1040 or 1040-NR filers, enter the amount from line 5 of your 2024 Qualified Dividends</v>
      </c>
      <c r="E200" s="253"/>
      <c r="F200" s="511"/>
      <c r="G200" s="511"/>
      <c r="H200" s="253"/>
      <c r="I200" s="253"/>
      <c r="J200" s="253"/>
      <c r="K200" s="253"/>
      <c r="L200" s="253"/>
      <c r="M200" s="253"/>
      <c r="N200" s="253"/>
      <c r="O200" s="253"/>
      <c r="P200" s="253"/>
      <c r="Q200" s="253"/>
      <c r="R200" s="253"/>
      <c r="S200" s="253"/>
      <c r="T200" s="253"/>
      <c r="U200" s="253"/>
      <c r="V200" s="253"/>
      <c r="W200" s="253"/>
      <c r="X200" s="253"/>
      <c r="Y200" s="253"/>
      <c r="Z200" s="253"/>
      <c r="AA200" s="253"/>
      <c r="AB200" s="253"/>
      <c r="AC200" s="1657"/>
      <c r="AD200" s="5743"/>
      <c r="AE200" s="10890"/>
      <c r="AF200" s="10891"/>
      <c r="AG200" s="10891"/>
      <c r="AH200" s="10891"/>
      <c r="AI200" s="10891"/>
      <c r="AJ200" s="10891"/>
      <c r="AK200" s="2013"/>
      <c r="AL200" s="253"/>
      <c r="AM200" s="253"/>
      <c r="AN200" s="253"/>
      <c r="AO200" s="2013"/>
      <c r="AP200" s="253"/>
      <c r="AQ200" s="253"/>
      <c r="AR200" s="658"/>
      <c r="AS200" s="658"/>
      <c r="AT200" s="658"/>
      <c r="AU200" s="658"/>
      <c r="AV200" s="658"/>
      <c r="AW200" s="658"/>
      <c r="AX200" s="658"/>
      <c r="AY200" s="658"/>
      <c r="AZ200" s="658"/>
      <c r="BA200" s="658"/>
      <c r="BB200"/>
      <c r="BC200"/>
    </row>
    <row r="201" spans="1:55" s="815" customFormat="1" ht="16.5" customHeight="1">
      <c r="A201" s="2013"/>
      <c r="B201" s="253"/>
      <c r="C201" s="2917"/>
      <c r="D201" s="1323" t="str">
        <f>"and Capital Gain Tax Worksheet or the amount from line 21 of your "&amp;LastYear&amp;" Sch. D Tax Worksheet,"</f>
        <v>and Capital Gain Tax Worksheet or the amount from line 21 of your 2024 Sch. D Tax Worksheet,</v>
      </c>
      <c r="E201" s="253"/>
      <c r="F201" s="511"/>
      <c r="G201" s="511"/>
      <c r="H201" s="253"/>
      <c r="I201" s="253"/>
      <c r="J201" s="253"/>
      <c r="K201" s="253"/>
      <c r="L201" s="253"/>
      <c r="M201" s="253"/>
      <c r="N201" s="253"/>
      <c r="O201" s="253"/>
      <c r="P201" s="253"/>
      <c r="Q201" s="253"/>
      <c r="R201" s="253"/>
      <c r="S201" s="253"/>
      <c r="T201" s="253"/>
      <c r="U201" s="253"/>
      <c r="V201" s="253"/>
      <c r="W201" s="253"/>
      <c r="X201" s="253"/>
      <c r="Y201" s="253"/>
      <c r="Z201" s="253"/>
      <c r="AA201" s="253"/>
      <c r="AB201" s="253"/>
      <c r="AC201" s="1657"/>
      <c r="AD201" s="5743"/>
      <c r="AE201" s="5699"/>
      <c r="AF201" s="5700"/>
      <c r="AG201" s="5700"/>
      <c r="AH201" s="5700"/>
      <c r="AI201" s="5700"/>
      <c r="AJ201" s="5700"/>
      <c r="AK201" s="2013"/>
      <c r="AL201" s="253"/>
      <c r="AM201" s="253"/>
      <c r="AN201" s="253"/>
      <c r="AO201" s="2013"/>
      <c r="AP201" s="253"/>
      <c r="AQ201" s="253"/>
      <c r="AR201" s="658"/>
      <c r="AS201" s="658"/>
      <c r="AT201" s="658"/>
      <c r="AU201" s="658"/>
      <c r="AV201" s="658"/>
      <c r="AW201" s="658"/>
      <c r="AX201" s="658"/>
      <c r="AY201" s="658"/>
      <c r="AZ201" s="658"/>
      <c r="BA201" s="658"/>
      <c r="BB201"/>
      <c r="BC201"/>
    </row>
    <row r="202" spans="1:55" s="815" customFormat="1" ht="16.5" customHeight="1">
      <c r="A202" s="2013"/>
      <c r="B202" s="253"/>
      <c r="C202" s="2917"/>
      <c r="D202" s="1323" t="s">
        <v>5587</v>
      </c>
      <c r="E202" s="253"/>
      <c r="F202" s="511"/>
      <c r="G202" s="511"/>
      <c r="H202" s="253"/>
      <c r="I202" s="253"/>
      <c r="J202" s="253"/>
      <c r="K202" s="253"/>
      <c r="L202" s="253"/>
      <c r="M202" s="253"/>
      <c r="N202" s="253"/>
      <c r="O202" s="253"/>
      <c r="P202" s="253"/>
      <c r="Q202" s="253"/>
      <c r="R202" s="253"/>
      <c r="S202" s="253"/>
      <c r="T202" s="253"/>
      <c r="U202" s="253"/>
      <c r="V202" s="253"/>
      <c r="W202" s="253"/>
      <c r="X202" s="253"/>
      <c r="Y202" s="253"/>
      <c r="Z202" s="253"/>
      <c r="AA202" s="253"/>
      <c r="AB202" s="253"/>
      <c r="AC202" s="1657"/>
      <c r="AD202" s="5743"/>
      <c r="AE202" s="5699"/>
      <c r="AF202" s="5700"/>
      <c r="AG202" s="5700"/>
      <c r="AH202" s="5700"/>
      <c r="AI202" s="5700"/>
      <c r="AJ202" s="5700"/>
      <c r="AK202" s="2013"/>
      <c r="AL202" s="253"/>
      <c r="AM202" s="253"/>
      <c r="AN202" s="253"/>
      <c r="AO202" s="2013"/>
      <c r="AP202" s="253"/>
      <c r="AQ202" s="253"/>
      <c r="AR202" s="658"/>
      <c r="AS202" s="658"/>
      <c r="AT202" s="658"/>
      <c r="AU202" s="658"/>
      <c r="AV202" s="658"/>
      <c r="AW202" s="658"/>
      <c r="AX202" s="658"/>
      <c r="AY202" s="658"/>
      <c r="AZ202" s="658"/>
      <c r="BA202" s="658"/>
      <c r="BB202"/>
      <c r="BC202"/>
    </row>
    <row r="203" spans="1:55" s="815" customFormat="1" ht="16.5" customHeight="1">
      <c r="A203" s="2013"/>
      <c r="B203" s="253"/>
      <c r="C203" s="2917"/>
      <c r="D203" s="1323" t="str">
        <f>"the amount from line 27 of your "&amp;LastYear&amp;" Sch. D (Form 1041) or line 18 of your "&amp;LastYear&amp;" Sch. D Tax"</f>
        <v>the amount from line 27 of your 2024 Sch. D (Form 1041) or line 18 of your 2024 Sch. D Tax</v>
      </c>
      <c r="E203" s="253"/>
      <c r="F203" s="511"/>
      <c r="G203" s="511"/>
      <c r="H203" s="253"/>
      <c r="I203" s="253"/>
      <c r="J203" s="253"/>
      <c r="K203" s="253"/>
      <c r="L203" s="253"/>
      <c r="M203" s="253"/>
      <c r="N203" s="253"/>
      <c r="O203" s="253"/>
      <c r="P203" s="253"/>
      <c r="Q203" s="253"/>
      <c r="R203" s="253"/>
      <c r="S203" s="253"/>
      <c r="T203" s="253"/>
      <c r="U203" s="253"/>
      <c r="V203" s="253"/>
      <c r="W203" s="253"/>
      <c r="X203" s="253"/>
      <c r="Y203" s="253"/>
      <c r="Z203" s="253"/>
      <c r="AA203" s="253"/>
      <c r="AB203" s="253"/>
      <c r="AC203" s="1657"/>
      <c r="AD203" s="5743"/>
      <c r="AE203" s="5699"/>
      <c r="AF203" s="5700"/>
      <c r="AG203" s="5700"/>
      <c r="AH203" s="5700"/>
      <c r="AI203" s="5700"/>
      <c r="AJ203" s="5700"/>
      <c r="AK203" s="2013"/>
      <c r="AL203" s="253"/>
      <c r="AM203" s="253"/>
      <c r="AN203" s="253"/>
      <c r="AO203" s="2013"/>
      <c r="AP203" s="253"/>
      <c r="AQ203" s="253"/>
      <c r="AR203" s="658"/>
      <c r="AS203" s="658"/>
      <c r="AT203" s="658"/>
      <c r="AU203" s="658"/>
      <c r="AV203" s="658"/>
      <c r="AW203" s="658"/>
      <c r="AX203" s="658"/>
      <c r="AY203" s="658"/>
      <c r="AZ203" s="658"/>
      <c r="BA203" s="658"/>
      <c r="BB203"/>
      <c r="BC203"/>
    </row>
    <row r="204" spans="1:55" s="815" customFormat="1" ht="16.5" customHeight="1" thickBot="1">
      <c r="A204" s="2013"/>
      <c r="B204" s="253"/>
      <c r="C204" s="2917"/>
      <c r="D204" s="1323" t="str">
        <f>"Worksheet, whichever applies. If you didn’t complete either the worksheet or Part V of the "&amp;LastYear</f>
        <v>Worksheet, whichever applies. If you didn’t complete either the worksheet or Part V of the 2024</v>
      </c>
      <c r="E204" s="253"/>
      <c r="F204" s="511"/>
      <c r="G204" s="511"/>
      <c r="H204" s="253"/>
      <c r="I204" s="253"/>
      <c r="J204" s="253"/>
      <c r="K204" s="253"/>
      <c r="L204" s="253"/>
      <c r="M204" s="253"/>
      <c r="N204" s="253"/>
      <c r="O204" s="253"/>
      <c r="P204" s="253"/>
      <c r="Q204" s="253"/>
      <c r="R204" s="253"/>
      <c r="S204" s="253"/>
      <c r="T204" s="253"/>
      <c r="U204" s="253"/>
      <c r="V204" s="253"/>
      <c r="W204" s="253"/>
      <c r="X204" s="253"/>
      <c r="Y204" s="253"/>
      <c r="Z204" s="253"/>
      <c r="AA204" s="253"/>
      <c r="AB204" s="253"/>
      <c r="AC204" s="1657"/>
      <c r="AD204" s="5743"/>
      <c r="AE204" s="10902" t="b">
        <f>AND(AE198,AE205="")</f>
        <v>1</v>
      </c>
      <c r="AF204" s="10903"/>
      <c r="AG204" s="10903"/>
      <c r="AH204" s="10903"/>
      <c r="AI204" s="10903"/>
      <c r="AJ204" s="10903"/>
      <c r="AK204" s="2013"/>
      <c r="AL204" s="253"/>
      <c r="AM204" s="253"/>
      <c r="AN204" s="253"/>
      <c r="AO204" s="2013"/>
      <c r="AP204" s="253"/>
      <c r="AQ204" s="253"/>
      <c r="AR204" s="658"/>
      <c r="AS204" s="658"/>
      <c r="AT204" s="658"/>
      <c r="AU204" s="658"/>
      <c r="AV204" s="658"/>
      <c r="AW204" s="658"/>
      <c r="AX204" s="658"/>
      <c r="AY204" s="658"/>
      <c r="AZ204" s="658"/>
      <c r="BA204" s="658"/>
      <c r="BB204"/>
      <c r="BC204"/>
    </row>
    <row r="205" spans="1:55" s="815" customFormat="1" ht="16.5" customHeight="1" thickBot="1">
      <c r="A205" s="2013"/>
      <c r="B205" s="253"/>
      <c r="C205" s="2917"/>
      <c r="D205" s="1323" t="str">
        <f>"Sch. D (Form 1041), enter the amount from your "&amp;LastYear&amp;" Form 1041, line 23; if zero or less, enter -0-"</f>
        <v>Sch. D (Form 1041), enter the amount from your 2024 Form 1041, line 23; if zero or less, enter -0-</v>
      </c>
      <c r="E205" s="253"/>
      <c r="F205" s="511"/>
      <c r="G205" s="511"/>
      <c r="H205" s="253"/>
      <c r="I205" s="253"/>
      <c r="J205" s="253"/>
      <c r="K205" s="253"/>
      <c r="L205" s="253"/>
      <c r="M205" s="253"/>
      <c r="N205" s="253"/>
      <c r="O205" s="253"/>
      <c r="P205" s="253"/>
      <c r="Q205" s="253"/>
      <c r="R205" s="253"/>
      <c r="S205" s="253"/>
      <c r="T205" s="253"/>
      <c r="U205" s="253"/>
      <c r="V205" s="253"/>
      <c r="W205" s="253"/>
      <c r="X205" s="253"/>
      <c r="Y205" s="253"/>
      <c r="Z205" s="253"/>
      <c r="AA205" s="253"/>
      <c r="AB205" s="253"/>
      <c r="AC205" s="1657"/>
      <c r="AD205" s="4448">
        <v>42</v>
      </c>
      <c r="AE205" s="10881" t="str">
        <f>IF(AM205&lt;&gt;"",ROUND(AM205,0),IF(AND($AE$42="",$AQ$67),"",IF(AND($AQ$67,$AQ$32),$AQ$24,IF($AQ$67,MAX(0,$AQ$189),IF($O$67&lt;&gt;"",$AQ$188,IF($O$56&lt;&gt;"",$AQ$185,""))))))</f>
        <v/>
      </c>
      <c r="AF205" s="7655"/>
      <c r="AG205" s="7655"/>
      <c r="AH205" s="7655"/>
      <c r="AI205" s="7655"/>
      <c r="AJ205" s="7655"/>
      <c r="AK205" s="2013"/>
      <c r="AL205" s="253"/>
      <c r="AM205" s="5719"/>
      <c r="AN205" s="1806"/>
      <c r="AO205" s="2013"/>
      <c r="AP205" s="253"/>
      <c r="AQ205" s="253"/>
      <c r="AR205" s="658"/>
      <c r="AS205" s="658"/>
      <c r="AT205" s="658"/>
      <c r="AU205" s="658"/>
      <c r="AV205" s="658"/>
      <c r="AW205" s="658"/>
      <c r="AX205" s="658"/>
      <c r="AY205" s="658"/>
      <c r="AZ205" s="658"/>
      <c r="BA205" s="658"/>
      <c r="BB205"/>
      <c r="BC205"/>
    </row>
    <row r="206" spans="1:55" ht="17.25" customHeight="1">
      <c r="A206" s="2013"/>
      <c r="B206" s="253"/>
      <c r="C206" s="2855" t="str">
        <f>"*The "&amp;LastYear&amp;" Qualified Dividends and Capital Gain Tax Worksheet is in the "&amp;LastYear&amp;" Instructions for Form 1040. The "&amp;LastYear&amp;" Schedule D Tax Worksheet is in the "&amp;LastYear</f>
        <v>*The 2024 Qualified Dividends and Capital Gain Tax Worksheet is in the 2024 Instructions for Form 1040. The 2024 Schedule D Tax Worksheet is in the 2024</v>
      </c>
      <c r="D206" s="1323"/>
      <c r="E206" s="416"/>
      <c r="F206" s="1323"/>
      <c r="G206" s="1323"/>
      <c r="H206" s="1323"/>
      <c r="I206" s="1323"/>
      <c r="J206" s="1323"/>
      <c r="K206" s="1323"/>
      <c r="L206" s="1323"/>
      <c r="M206" s="253"/>
      <c r="N206" s="253"/>
      <c r="O206" s="253"/>
      <c r="P206" s="253"/>
      <c r="Q206" s="253"/>
      <c r="R206" s="253"/>
      <c r="S206" s="253"/>
      <c r="T206" s="253"/>
      <c r="U206" s="253"/>
      <c r="V206" s="253"/>
      <c r="W206" s="253"/>
      <c r="X206" s="253"/>
      <c r="Y206" s="253"/>
      <c r="Z206" s="253"/>
      <c r="AA206" s="253"/>
      <c r="AB206" s="253"/>
      <c r="AC206" s="253"/>
      <c r="AD206" s="1323"/>
      <c r="AE206" s="253"/>
      <c r="AF206" s="253"/>
      <c r="AG206" s="253"/>
      <c r="AH206" s="5700"/>
      <c r="AI206" s="5700"/>
      <c r="AJ206" s="5700"/>
      <c r="AK206" s="2013"/>
      <c r="AL206" s="817"/>
      <c r="AM206" s="817"/>
      <c r="AN206" s="817"/>
      <c r="AO206" s="2013"/>
      <c r="AP206" s="253"/>
      <c r="AQ206" s="253"/>
    </row>
    <row r="207" spans="1:55" s="141" customFormat="1" ht="12" customHeight="1" thickBot="1">
      <c r="A207" s="2306"/>
      <c r="B207" s="2182"/>
      <c r="C207" s="5709" t="str">
        <f>"Instructions for Schedule D (Form 1040) (or the "&amp;LastYear&amp;" Instructions for Schedule D (Form 1041))."</f>
        <v>Instructions for Schedule D (Form 1040) (or the 2024 Instructions for Schedule D (Form 1041)).</v>
      </c>
      <c r="D207" s="5710"/>
      <c r="E207" s="5711"/>
      <c r="F207" s="5711"/>
      <c r="G207" s="5711"/>
      <c r="H207" s="2182"/>
      <c r="I207" s="2182"/>
      <c r="J207" s="2182"/>
      <c r="K207" s="2182"/>
      <c r="L207" s="2182"/>
      <c r="M207" s="2182"/>
      <c r="N207" s="2182"/>
      <c r="O207" s="2182"/>
      <c r="P207" s="2182"/>
      <c r="Q207" s="2182"/>
      <c r="R207" s="5712"/>
      <c r="S207" s="5712"/>
      <c r="T207" s="2182"/>
      <c r="U207" s="2182"/>
      <c r="V207" s="2182"/>
      <c r="W207" s="2182"/>
      <c r="X207" s="5712"/>
      <c r="Y207" s="5712"/>
      <c r="Z207" s="2182"/>
      <c r="AA207" s="2182"/>
      <c r="AB207" s="2182"/>
      <c r="AC207" s="2182"/>
      <c r="AD207" s="5710"/>
      <c r="AE207" s="2182"/>
      <c r="AF207" s="2182"/>
      <c r="AG207" s="2182"/>
      <c r="AH207" s="5713"/>
      <c r="AI207" s="5713"/>
      <c r="AJ207" s="5713"/>
      <c r="AK207" s="2306"/>
      <c r="AL207" s="411"/>
      <c r="AM207" s="411"/>
      <c r="AN207" s="411"/>
      <c r="AO207" s="2306"/>
      <c r="AP207" s="411"/>
      <c r="AQ207" s="411"/>
      <c r="AR207" s="665"/>
      <c r="AS207" s="665"/>
      <c r="AT207" s="665"/>
      <c r="AU207" s="665"/>
      <c r="AV207" s="665"/>
      <c r="AW207" s="665"/>
      <c r="AX207" s="665"/>
      <c r="AY207" s="665"/>
      <c r="AZ207" s="665"/>
      <c r="BA207" s="665"/>
    </row>
    <row r="208" spans="1:55" s="815" customFormat="1" ht="18" customHeight="1" thickTop="1">
      <c r="A208" s="2013"/>
      <c r="B208" s="2447"/>
      <c r="C208" s="728"/>
      <c r="D208" s="1560"/>
      <c r="E208" s="1560"/>
      <c r="F208" s="1560"/>
      <c r="G208" s="1560"/>
      <c r="H208" s="1560"/>
      <c r="I208" s="1560"/>
      <c r="J208" s="1560"/>
      <c r="K208" s="1560"/>
      <c r="L208" s="1560"/>
      <c r="M208" s="1560"/>
      <c r="N208" s="1560"/>
      <c r="O208" s="1560"/>
      <c r="P208" s="1560"/>
      <c r="Q208" s="88"/>
      <c r="R208" s="88"/>
      <c r="S208" s="88"/>
      <c r="T208" s="88"/>
      <c r="U208" s="3931"/>
      <c r="V208" s="88"/>
      <c r="W208" s="3931"/>
      <c r="X208" s="88"/>
      <c r="Y208" s="88"/>
      <c r="Z208" s="88"/>
      <c r="AA208" s="88"/>
      <c r="AB208" s="88"/>
      <c r="AC208" s="88"/>
      <c r="AD208" s="2445"/>
      <c r="AE208" s="88"/>
      <c r="AF208" s="88"/>
      <c r="AG208" s="88"/>
      <c r="AH208" s="2052" t="s">
        <v>5566</v>
      </c>
      <c r="AI208" s="88"/>
      <c r="AJ208" s="2052" t="str">
        <f>"("&amp;TaxYear&amp;")"</f>
        <v>(2025)</v>
      </c>
      <c r="AK208" s="2013"/>
      <c r="AL208" s="253"/>
      <c r="AM208" s="253"/>
      <c r="AN208" s="253"/>
      <c r="AO208" s="2013"/>
      <c r="AP208" s="253"/>
      <c r="AQ208" s="253"/>
      <c r="AR208" s="658"/>
      <c r="AS208" s="658"/>
      <c r="AT208" s="658"/>
      <c r="AU208" s="658"/>
      <c r="AV208" s="658"/>
      <c r="AW208" s="658"/>
      <c r="AX208" s="658"/>
      <c r="AY208" s="658"/>
      <c r="AZ208" s="658"/>
      <c r="BA208" s="658"/>
      <c r="BB208"/>
      <c r="BC208"/>
    </row>
    <row r="209" spans="1:55" s="815" customFormat="1" ht="18" customHeight="1" thickBot="1">
      <c r="A209" s="2013"/>
      <c r="B209" s="721" t="str">
        <f>"Form 8801 ("&amp;TaxYear&amp;")"</f>
        <v>Form 8801 (2025)</v>
      </c>
      <c r="C209" s="4484"/>
      <c r="D209" s="721"/>
      <c r="E209" s="721"/>
      <c r="F209" s="721"/>
      <c r="G209" s="721"/>
      <c r="H209" s="721"/>
      <c r="I209" s="721"/>
      <c r="J209" s="721"/>
      <c r="K209" s="721"/>
      <c r="L209" s="721"/>
      <c r="M209" s="721"/>
      <c r="N209" s="721"/>
      <c r="O209" s="721"/>
      <c r="P209" s="721"/>
      <c r="Q209" s="721"/>
      <c r="R209" s="721"/>
      <c r="S209" s="721"/>
      <c r="T209" s="721"/>
      <c r="U209" s="721"/>
      <c r="V209" s="721"/>
      <c r="W209" s="721"/>
      <c r="X209" s="721"/>
      <c r="Y209" s="721"/>
      <c r="Z209" s="721"/>
      <c r="AA209" s="721"/>
      <c r="AB209" s="721"/>
      <c r="AC209" s="721"/>
      <c r="AD209" s="4459"/>
      <c r="AE209" s="721"/>
      <c r="AF209" s="721"/>
      <c r="AG209" s="721"/>
      <c r="AH209" s="721"/>
      <c r="AI209" s="2053" t="s">
        <v>2079</v>
      </c>
      <c r="AJ209" s="2054">
        <v>4</v>
      </c>
      <c r="AK209" s="2013"/>
      <c r="AL209" s="253"/>
      <c r="AM209" s="253"/>
      <c r="AN209" s="253"/>
      <c r="AO209" s="2013"/>
      <c r="AP209" s="253"/>
      <c r="AQ209" s="253"/>
      <c r="AR209" s="658"/>
      <c r="AS209" s="658"/>
      <c r="AT209" s="658"/>
      <c r="AU209" s="658"/>
      <c r="AV209" s="658"/>
      <c r="AW209" s="658"/>
      <c r="AX209" s="658"/>
      <c r="AY209" s="658"/>
      <c r="AZ209" s="658"/>
      <c r="BA209" s="658"/>
      <c r="BB209"/>
      <c r="BC209"/>
    </row>
    <row r="210" spans="1:55" s="815" customFormat="1" ht="19.5" customHeight="1" thickTop="1">
      <c r="A210" s="2013"/>
      <c r="B210" s="10756" t="s">
        <v>1938</v>
      </c>
      <c r="C210" s="10756"/>
      <c r="D210" s="5701"/>
      <c r="E210" s="5701" t="s">
        <v>5588</v>
      </c>
      <c r="F210" s="5045"/>
      <c r="G210" s="5045"/>
      <c r="H210" s="5045"/>
      <c r="I210" s="5045"/>
      <c r="J210" s="5045"/>
      <c r="K210" s="5045"/>
      <c r="L210" s="5045"/>
      <c r="M210" s="5045"/>
      <c r="N210" s="5045"/>
      <c r="O210" s="5045"/>
      <c r="P210" s="5045"/>
      <c r="Q210" s="5045"/>
      <c r="R210" s="5045"/>
      <c r="S210" s="5045"/>
      <c r="T210" s="5045"/>
      <c r="U210" s="5045"/>
      <c r="V210" s="5045"/>
      <c r="W210" s="5045"/>
      <c r="X210" s="5045"/>
      <c r="Y210" s="5045"/>
      <c r="Z210" s="5045"/>
      <c r="AA210" s="5045"/>
      <c r="AB210" s="5045"/>
      <c r="AC210" s="5045"/>
      <c r="AD210" s="4211"/>
      <c r="AE210" s="5045"/>
      <c r="AF210" s="5045"/>
      <c r="AG210" s="5045"/>
      <c r="AH210" s="5045"/>
      <c r="AI210" s="5045"/>
      <c r="AJ210" s="5045"/>
      <c r="AK210" s="2013"/>
      <c r="AL210" s="253"/>
      <c r="AM210" s="253"/>
      <c r="AN210" s="253"/>
      <c r="AO210" s="2013"/>
      <c r="AP210" s="253"/>
      <c r="AQ210" s="253"/>
      <c r="AR210" s="658"/>
      <c r="AS210" s="658"/>
      <c r="AT210" s="658"/>
      <c r="AU210" s="658"/>
      <c r="AV210" s="658"/>
      <c r="AW210" s="658"/>
      <c r="AX210" s="658"/>
      <c r="AY210" s="658"/>
      <c r="AZ210" s="658"/>
      <c r="BA210" s="658"/>
      <c r="BB210"/>
      <c r="BC210"/>
    </row>
    <row r="211" spans="1:55" s="815" customFormat="1" ht="15" customHeight="1" thickBot="1">
      <c r="A211" s="2013"/>
      <c r="B211" s="253"/>
      <c r="C211" s="2723"/>
      <c r="D211" s="1323"/>
      <c r="E211" s="253"/>
      <c r="F211" s="253"/>
      <c r="G211" s="253"/>
      <c r="H211" s="253"/>
      <c r="I211" s="253"/>
      <c r="J211" s="253"/>
      <c r="K211" s="253"/>
      <c r="L211" s="253"/>
      <c r="M211" s="253"/>
      <c r="N211" s="253"/>
      <c r="O211" s="253"/>
      <c r="P211" s="253"/>
      <c r="Q211" s="253"/>
      <c r="R211" s="253"/>
      <c r="S211" s="253"/>
      <c r="T211" s="253"/>
      <c r="U211" s="253"/>
      <c r="V211" s="253"/>
      <c r="W211" s="253"/>
      <c r="X211" s="253"/>
      <c r="Y211" s="253"/>
      <c r="Z211" s="253"/>
      <c r="AA211" s="253"/>
      <c r="AB211" s="253"/>
      <c r="AC211" s="1657"/>
      <c r="AD211" s="5743"/>
      <c r="AE211" s="10902" t="b">
        <f>AND(AE204,AE205="")</f>
        <v>1</v>
      </c>
      <c r="AF211" s="10903"/>
      <c r="AG211" s="10903"/>
      <c r="AH211" s="10903"/>
      <c r="AI211" s="10903"/>
      <c r="AJ211" s="10903"/>
      <c r="AK211" s="2013"/>
      <c r="AL211" s="253"/>
      <c r="AM211" s="253"/>
      <c r="AN211" s="253"/>
      <c r="AO211" s="2013"/>
      <c r="AP211" s="253"/>
      <c r="AQ211" s="253"/>
      <c r="AR211" s="658"/>
      <c r="AS211" s="658"/>
      <c r="AT211" s="658"/>
      <c r="AU211" s="658"/>
      <c r="AV211" s="658"/>
      <c r="AW211" s="658"/>
      <c r="AX211" s="658"/>
      <c r="AY211" s="658"/>
      <c r="AZ211" s="658"/>
      <c r="BA211" s="658"/>
      <c r="BB211"/>
      <c r="BC211"/>
    </row>
    <row r="212" spans="1:55" s="815" customFormat="1" ht="16.5" thickBot="1">
      <c r="A212" s="2013"/>
      <c r="B212" s="253"/>
      <c r="C212" s="2917">
        <v>43</v>
      </c>
      <c r="D212" s="1323" t="s">
        <v>5644</v>
      </c>
      <c r="E212" s="253"/>
      <c r="F212" s="511"/>
      <c r="G212" s="511"/>
      <c r="H212" s="253"/>
      <c r="I212" s="253"/>
      <c r="J212" s="253"/>
      <c r="K212" s="253"/>
      <c r="L212" s="253"/>
      <c r="M212" s="253"/>
      <c r="N212" s="253"/>
      <c r="O212" s="253"/>
      <c r="P212" s="253"/>
      <c r="Q212" s="253"/>
      <c r="R212" s="253"/>
      <c r="S212" s="253"/>
      <c r="T212" s="253"/>
      <c r="U212" s="253"/>
      <c r="V212" s="253"/>
      <c r="W212" s="253"/>
      <c r="X212" s="253"/>
      <c r="Y212" s="253"/>
      <c r="Z212" s="253"/>
      <c r="AA212" s="253"/>
      <c r="AB212" s="253"/>
      <c r="AC212" s="1657" t="s">
        <v>1877</v>
      </c>
      <c r="AD212" s="4448">
        <v>43</v>
      </c>
      <c r="AE212" s="10881" t="str">
        <f>IF(AM212&lt;&gt;"",ROUND(AM212,0),IF(NOT(AE156),"",SUM(AE199,AE205)))</f>
        <v/>
      </c>
      <c r="AF212" s="7655"/>
      <c r="AG212" s="7655"/>
      <c r="AH212" s="7655"/>
      <c r="AI212" s="7655"/>
      <c r="AJ212" s="7655"/>
      <c r="AK212" s="2013"/>
      <c r="AL212" s="253"/>
      <c r="AM212" s="5719"/>
      <c r="AN212" s="253"/>
      <c r="AO212" s="2013"/>
      <c r="AP212" s="253"/>
      <c r="AQ212" s="253"/>
      <c r="AR212" s="658"/>
      <c r="AS212" s="658"/>
      <c r="AT212" s="658"/>
      <c r="AU212" s="658"/>
      <c r="AV212" s="658"/>
      <c r="AW212" s="658"/>
      <c r="AX212" s="658"/>
      <c r="AY212" s="658"/>
      <c r="AZ212" s="658"/>
      <c r="BA212" s="658"/>
      <c r="BB212"/>
      <c r="BC212"/>
    </row>
    <row r="213" spans="1:55" s="815" customFormat="1" ht="15.75">
      <c r="A213" s="2013"/>
      <c r="B213" s="253"/>
      <c r="C213" s="2917">
        <v>44</v>
      </c>
      <c r="D213" s="1323" t="s">
        <v>5589</v>
      </c>
      <c r="E213" s="253"/>
      <c r="F213" s="511"/>
      <c r="G213" s="511"/>
      <c r="H213" s="253"/>
      <c r="I213" s="253"/>
      <c r="J213" s="253"/>
      <c r="K213" s="253"/>
      <c r="L213" s="253"/>
      <c r="M213" s="253"/>
      <c r="N213" s="253"/>
      <c r="O213" s="253"/>
      <c r="P213" s="253"/>
      <c r="Q213" s="253"/>
      <c r="R213" s="253"/>
      <c r="S213" s="253"/>
      <c r="T213" s="253"/>
      <c r="U213" s="253"/>
      <c r="V213" s="253"/>
      <c r="W213" s="253"/>
      <c r="X213" s="253"/>
      <c r="Y213" s="253"/>
      <c r="Z213" s="253"/>
      <c r="AA213" s="253"/>
      <c r="AB213" s="253"/>
      <c r="AC213" s="1657" t="s">
        <v>650</v>
      </c>
      <c r="AD213" s="4448">
        <v>44</v>
      </c>
      <c r="AE213" s="10881" t="str">
        <f>IF($AE$211,"",MAX(0,SUM(AE196,-AE212)))</f>
        <v/>
      </c>
      <c r="AF213" s="7655"/>
      <c r="AG213" s="7655"/>
      <c r="AH213" s="7655"/>
      <c r="AI213" s="7655"/>
      <c r="AJ213" s="7655"/>
      <c r="AK213" s="2013"/>
      <c r="AL213" s="253"/>
      <c r="AM213" s="253"/>
      <c r="AN213" s="253"/>
      <c r="AO213" s="2013"/>
      <c r="AP213" s="253"/>
      <c r="AQ213" s="253"/>
      <c r="AR213" s="658"/>
      <c r="AS213" s="658"/>
      <c r="AT213" s="658"/>
      <c r="AU213" s="658"/>
      <c r="AV213" s="658"/>
      <c r="AW213" s="658"/>
      <c r="AX213" s="658"/>
      <c r="AY213" s="658"/>
      <c r="AZ213" s="658"/>
      <c r="BA213" s="658"/>
      <c r="BB213"/>
      <c r="BC213"/>
    </row>
    <row r="214" spans="1:55" s="815" customFormat="1" ht="15.75">
      <c r="A214" s="2013"/>
      <c r="B214" s="253"/>
      <c r="C214" s="2917">
        <v>45</v>
      </c>
      <c r="D214" s="1323" t="s">
        <v>5590</v>
      </c>
      <c r="E214" s="253"/>
      <c r="F214" s="511"/>
      <c r="G214" s="511"/>
      <c r="H214" s="253"/>
      <c r="I214" s="253"/>
      <c r="J214" s="253"/>
      <c r="K214" s="253"/>
      <c r="L214" s="253"/>
      <c r="M214" s="253"/>
      <c r="N214" s="253"/>
      <c r="O214" s="253"/>
      <c r="P214" s="253"/>
      <c r="Q214" s="253"/>
      <c r="R214" s="253"/>
      <c r="S214" s="253"/>
      <c r="T214" s="253"/>
      <c r="U214" s="253"/>
      <c r="V214" s="253"/>
      <c r="W214" s="253"/>
      <c r="X214" s="253"/>
      <c r="Y214" s="253"/>
      <c r="Z214" s="253"/>
      <c r="AA214" s="253"/>
      <c r="AB214" s="253"/>
      <c r="AC214" s="1657" t="s">
        <v>691</v>
      </c>
      <c r="AD214" s="4448">
        <v>45</v>
      </c>
      <c r="AE214" s="10881" t="str">
        <f>IF($AE$211,"",MIN(AE192,AE213))</f>
        <v/>
      </c>
      <c r="AF214" s="7655"/>
      <c r="AG214" s="7655"/>
      <c r="AH214" s="7655"/>
      <c r="AI214" s="7655"/>
      <c r="AJ214" s="7655"/>
      <c r="AK214" s="2013"/>
      <c r="AL214" s="253"/>
      <c r="AM214" s="253"/>
      <c r="AN214" s="253"/>
      <c r="AO214" s="2013"/>
      <c r="AP214" s="253"/>
      <c r="AQ214" s="253"/>
      <c r="AR214" s="658"/>
      <c r="AS214" s="658"/>
      <c r="AT214" s="658"/>
      <c r="AU214" s="658"/>
      <c r="AV214" s="658"/>
      <c r="AW214" s="658"/>
      <c r="AX214" s="658"/>
      <c r="AY214" s="658"/>
      <c r="AZ214" s="658"/>
      <c r="BA214" s="658"/>
      <c r="BB214"/>
      <c r="BC214"/>
    </row>
    <row r="215" spans="1:55" s="815" customFormat="1" ht="15.75">
      <c r="A215" s="2013"/>
      <c r="B215" s="253"/>
      <c r="C215" s="2917">
        <v>46</v>
      </c>
      <c r="D215" s="1323" t="str">
        <f>"Multiply line 45 by "&amp;TEXT(AQ215,"0%")&amp;" ("&amp;TEXT(AQ215,"0.00")&amp;")"</f>
        <v>Multiply line 45 by 15% (0.15)</v>
      </c>
      <c r="E215" s="253"/>
      <c r="F215" s="511"/>
      <c r="G215" s="511"/>
      <c r="H215" s="253"/>
      <c r="I215" s="253"/>
      <c r="J215" s="253"/>
      <c r="K215" s="253"/>
      <c r="L215" s="253"/>
      <c r="M215" s="253"/>
      <c r="N215" s="253"/>
      <c r="O215" s="253"/>
      <c r="P215" s="253"/>
      <c r="Q215" s="253"/>
      <c r="R215" s="253"/>
      <c r="S215" s="253"/>
      <c r="T215" s="253"/>
      <c r="U215" s="253"/>
      <c r="V215" s="253"/>
      <c r="W215" s="253"/>
      <c r="X215" s="253"/>
      <c r="Y215" s="253"/>
      <c r="Z215" s="253"/>
      <c r="AA215" s="253"/>
      <c r="AB215" s="253"/>
      <c r="AC215" s="1657" t="s">
        <v>1877</v>
      </c>
      <c r="AD215" s="4448">
        <v>46</v>
      </c>
      <c r="AE215" s="10881" t="str">
        <f>IF($AE$211,"",ROUND(AE214*AQ215,0))</f>
        <v/>
      </c>
      <c r="AF215" s="7655"/>
      <c r="AG215" s="7655"/>
      <c r="AH215" s="7655"/>
      <c r="AI215" s="7655"/>
      <c r="AJ215" s="7655"/>
      <c r="AK215" s="2013"/>
      <c r="AL215" s="253"/>
      <c r="AM215" s="253"/>
      <c r="AN215" s="253"/>
      <c r="AO215" s="2013"/>
      <c r="AP215" s="253"/>
      <c r="AQ215" s="253">
        <v>0.15</v>
      </c>
      <c r="AR215" s="658"/>
      <c r="AS215" s="658"/>
      <c r="AT215" s="658"/>
      <c r="AU215" s="658"/>
      <c r="AV215" s="658"/>
      <c r="AW215" s="658"/>
      <c r="AX215" s="658"/>
      <c r="AY215" s="658"/>
      <c r="AZ215" s="658"/>
      <c r="BA215" s="658"/>
      <c r="BB215"/>
      <c r="BC215"/>
    </row>
    <row r="216" spans="1:55" s="815" customFormat="1" ht="15.75">
      <c r="A216" s="2013"/>
      <c r="B216" s="253"/>
      <c r="C216" s="2917">
        <v>47</v>
      </c>
      <c r="D216" s="1323" t="s">
        <v>5591</v>
      </c>
      <c r="E216" s="253"/>
      <c r="F216" s="511"/>
      <c r="G216" s="511"/>
      <c r="H216" s="253"/>
      <c r="I216" s="253"/>
      <c r="J216" s="253"/>
      <c r="K216" s="253"/>
      <c r="L216" s="253"/>
      <c r="M216" s="253"/>
      <c r="N216" s="253"/>
      <c r="O216" s="253"/>
      <c r="P216" s="253"/>
      <c r="Q216" s="253"/>
      <c r="R216" s="253"/>
      <c r="S216" s="253"/>
      <c r="T216" s="253"/>
      <c r="U216" s="253"/>
      <c r="V216" s="253"/>
      <c r="W216" s="253"/>
      <c r="X216" s="253"/>
      <c r="Y216" s="253"/>
      <c r="Z216" s="253"/>
      <c r="AA216" s="253"/>
      <c r="AB216" s="253"/>
      <c r="AC216" s="1657" t="s">
        <v>3343</v>
      </c>
      <c r="AD216" s="4448">
        <v>47</v>
      </c>
      <c r="AE216" s="10881" t="str">
        <f>IF($AE$211,"",SUM(AE191,AE214))</f>
        <v/>
      </c>
      <c r="AF216" s="7655"/>
      <c r="AG216" s="7655"/>
      <c r="AH216" s="7655"/>
      <c r="AI216" s="7655"/>
      <c r="AJ216" s="7655"/>
      <c r="AK216" s="2013"/>
      <c r="AL216" s="253"/>
      <c r="AM216" s="512" t="b">
        <f>AND(AE216&lt;&gt;"",AE162&lt;&gt;"",AE216=AE163)</f>
        <v>0</v>
      </c>
      <c r="AN216" s="253"/>
      <c r="AO216" s="2013"/>
      <c r="AP216" s="253"/>
      <c r="AQ216" s="253"/>
      <c r="AR216" s="658"/>
      <c r="AS216" s="658"/>
      <c r="AT216" s="658"/>
      <c r="AU216" s="658"/>
      <c r="AV216" s="658"/>
      <c r="AW216" s="658"/>
      <c r="AX216" s="658"/>
      <c r="AY216" s="658"/>
      <c r="AZ216" s="658"/>
      <c r="BA216" s="658"/>
      <c r="BB216"/>
      <c r="BC216"/>
    </row>
    <row r="217" spans="1:55" s="815" customFormat="1" ht="16.5" customHeight="1">
      <c r="A217" s="2013"/>
      <c r="B217" s="2447"/>
      <c r="C217" s="728"/>
      <c r="D217" s="2539" t="s">
        <v>5607</v>
      </c>
      <c r="E217" s="1560"/>
      <c r="F217" s="1560"/>
      <c r="G217" s="1560"/>
      <c r="H217" s="1560"/>
      <c r="I217" s="1560"/>
      <c r="J217" s="1560"/>
      <c r="K217" s="1560"/>
      <c r="L217" s="1560"/>
      <c r="M217" s="1560"/>
      <c r="N217" s="1560"/>
      <c r="O217" s="1560"/>
      <c r="P217" s="1560"/>
      <c r="Q217" s="88"/>
      <c r="R217" s="88"/>
      <c r="S217" s="88"/>
      <c r="T217" s="88"/>
      <c r="U217" s="3931"/>
      <c r="V217" s="88"/>
      <c r="W217" s="3931"/>
      <c r="X217" s="88"/>
      <c r="Y217" s="88"/>
      <c r="Z217" s="88"/>
      <c r="AA217" s="88"/>
      <c r="AB217" s="88"/>
      <c r="AC217" s="88"/>
      <c r="AD217" s="5743"/>
      <c r="AE217" s="10902" t="b">
        <f>AE163=AE216</f>
        <v>0</v>
      </c>
      <c r="AF217" s="10903"/>
      <c r="AG217" s="10903"/>
      <c r="AH217" s="10903"/>
      <c r="AI217" s="10903"/>
      <c r="AJ217" s="10903"/>
      <c r="AK217" s="2013"/>
      <c r="AL217" s="253"/>
      <c r="AM217" s="2741" t="str">
        <f>IF(AM216,"Go to line 53.","")</f>
        <v/>
      </c>
      <c r="AN217" s="253"/>
      <c r="AO217" s="2013"/>
      <c r="AP217" s="253"/>
      <c r="AQ217" s="253"/>
      <c r="AR217" s="658"/>
      <c r="AS217" s="658"/>
      <c r="AT217" s="658"/>
      <c r="AU217" s="658"/>
      <c r="AV217" s="658"/>
      <c r="AW217" s="658"/>
      <c r="AX217" s="658"/>
      <c r="AY217" s="658"/>
      <c r="AZ217" s="658"/>
      <c r="BA217" s="658"/>
      <c r="BB217"/>
      <c r="BC217"/>
    </row>
    <row r="218" spans="1:55" s="815" customFormat="1" ht="16.5" customHeight="1">
      <c r="A218" s="2013"/>
      <c r="B218" s="2447"/>
      <c r="C218" s="728"/>
      <c r="D218" s="2539" t="s">
        <v>5608</v>
      </c>
      <c r="E218" s="1560"/>
      <c r="F218" s="1560"/>
      <c r="G218" s="1560"/>
      <c r="H218" s="1560"/>
      <c r="I218" s="1560"/>
      <c r="J218" s="1560"/>
      <c r="K218" s="1560"/>
      <c r="L218" s="1560"/>
      <c r="M218" s="1560"/>
      <c r="N218" s="1560"/>
      <c r="O218" s="1560"/>
      <c r="P218" s="1560"/>
      <c r="Q218" s="88"/>
      <c r="R218" s="88"/>
      <c r="S218" s="88"/>
      <c r="T218" s="88"/>
      <c r="U218" s="3931"/>
      <c r="V218" s="88"/>
      <c r="W218" s="3931"/>
      <c r="X218" s="88"/>
      <c r="Y218" s="88"/>
      <c r="Z218" s="88"/>
      <c r="AA218" s="88"/>
      <c r="AB218" s="88"/>
      <c r="AC218" s="88"/>
      <c r="AD218" s="5743"/>
      <c r="AE218" s="10904"/>
      <c r="AF218" s="10905"/>
      <c r="AG218" s="10905"/>
      <c r="AH218" s="10905"/>
      <c r="AI218" s="10905"/>
      <c r="AJ218" s="10905"/>
      <c r="AK218" s="2013"/>
      <c r="AL218" s="253"/>
      <c r="AM218" s="253"/>
      <c r="AN218" s="253"/>
      <c r="AO218" s="2013"/>
      <c r="AP218" s="253"/>
      <c r="AQ218" s="253"/>
      <c r="AR218" s="658"/>
      <c r="AS218" s="658"/>
      <c r="AT218" s="658"/>
      <c r="AU218" s="658"/>
      <c r="AV218" s="658"/>
      <c r="AW218" s="658"/>
      <c r="AX218" s="658"/>
      <c r="AY218" s="658"/>
      <c r="AZ218" s="658"/>
      <c r="BA218" s="658"/>
      <c r="BB218"/>
      <c r="BC218"/>
    </row>
    <row r="219" spans="1:55" s="815" customFormat="1" ht="15.75">
      <c r="A219" s="2013"/>
      <c r="B219" s="253"/>
      <c r="C219" s="2917">
        <v>48</v>
      </c>
      <c r="D219" s="1323" t="s">
        <v>5592</v>
      </c>
      <c r="E219" s="253"/>
      <c r="F219" s="511"/>
      <c r="G219" s="511"/>
      <c r="H219" s="253"/>
      <c r="I219" s="253"/>
      <c r="J219" s="253"/>
      <c r="K219" s="253"/>
      <c r="L219" s="253"/>
      <c r="M219" s="253"/>
      <c r="N219" s="253"/>
      <c r="O219" s="253"/>
      <c r="P219" s="253"/>
      <c r="Q219" s="253"/>
      <c r="R219" s="253"/>
      <c r="S219" s="253"/>
      <c r="T219" s="253"/>
      <c r="U219" s="253"/>
      <c r="V219" s="253"/>
      <c r="W219" s="253"/>
      <c r="X219" s="253"/>
      <c r="Y219" s="253"/>
      <c r="Z219" s="253"/>
      <c r="AA219" s="253"/>
      <c r="AB219" s="253"/>
      <c r="AC219" s="1657" t="s">
        <v>1877</v>
      </c>
      <c r="AD219" s="4448">
        <v>48</v>
      </c>
      <c r="AE219" s="10881" t="str">
        <f>IF(OR($AE$217,AE190=""),"",SUM(AE190,-AE216))</f>
        <v/>
      </c>
      <c r="AF219" s="7655"/>
      <c r="AG219" s="7655"/>
      <c r="AH219" s="7655"/>
      <c r="AI219" s="7655"/>
      <c r="AJ219" s="7655"/>
      <c r="AK219" s="2013"/>
      <c r="AL219" s="253"/>
      <c r="AM219" s="253"/>
      <c r="AN219" s="253"/>
      <c r="AO219" s="2013"/>
      <c r="AP219" s="253"/>
      <c r="AQ219" s="253"/>
      <c r="AR219" s="658"/>
      <c r="AS219" s="658"/>
      <c r="AT219" s="658"/>
      <c r="AU219" s="658"/>
      <c r="AV219" s="658"/>
      <c r="AW219" s="658"/>
      <c r="AX219" s="658"/>
      <c r="AY219" s="658"/>
      <c r="AZ219" s="658"/>
      <c r="BA219" s="658"/>
      <c r="BB219"/>
      <c r="BC219"/>
    </row>
    <row r="220" spans="1:55" s="815" customFormat="1" ht="15.75">
      <c r="A220" s="2013"/>
      <c r="B220" s="253"/>
      <c r="C220" s="2917">
        <v>49</v>
      </c>
      <c r="D220" s="1323" t="str">
        <f>"Multiply line 48 by "&amp;TEXT(AQ220,"0%")&amp;" ("&amp;TEXT(AQ220,"0.00")&amp;")"</f>
        <v>Multiply line 48 by 20% (0.20)</v>
      </c>
      <c r="E220" s="253"/>
      <c r="F220" s="511"/>
      <c r="G220" s="511"/>
      <c r="H220" s="253"/>
      <c r="I220" s="253"/>
      <c r="J220" s="253"/>
      <c r="K220" s="253"/>
      <c r="L220" s="253"/>
      <c r="M220" s="253"/>
      <c r="N220" s="253"/>
      <c r="O220" s="253"/>
      <c r="P220" s="253"/>
      <c r="Q220" s="253"/>
      <c r="R220" s="253"/>
      <c r="S220" s="253"/>
      <c r="T220" s="253"/>
      <c r="U220" s="253"/>
      <c r="V220" s="253"/>
      <c r="W220" s="253"/>
      <c r="X220" s="253"/>
      <c r="Y220" s="253"/>
      <c r="Z220" s="253"/>
      <c r="AA220" s="253"/>
      <c r="AB220" s="253"/>
      <c r="AC220" s="1657" t="s">
        <v>1877</v>
      </c>
      <c r="AD220" s="4448">
        <v>49</v>
      </c>
      <c r="AE220" s="10881" t="str">
        <f>IF(OR($AE$211,AE219=""),"",ROUND(AE219*AQ220,0))</f>
        <v/>
      </c>
      <c r="AF220" s="7655"/>
      <c r="AG220" s="7655"/>
      <c r="AH220" s="7655"/>
      <c r="AI220" s="7655"/>
      <c r="AJ220" s="7655"/>
      <c r="AK220" s="2013"/>
      <c r="AL220" s="253"/>
      <c r="AM220" s="253"/>
      <c r="AN220" s="253"/>
      <c r="AO220" s="2013"/>
      <c r="AP220" s="253"/>
      <c r="AQ220" s="253">
        <v>0.2</v>
      </c>
      <c r="AR220" s="658"/>
      <c r="AS220" s="658"/>
      <c r="AT220" s="658"/>
      <c r="AU220" s="658"/>
      <c r="AV220" s="658"/>
      <c r="AW220" s="658"/>
      <c r="AX220" s="658"/>
      <c r="AY220" s="658"/>
      <c r="AZ220" s="658"/>
      <c r="BA220" s="658"/>
      <c r="BB220"/>
      <c r="BC220"/>
    </row>
    <row r="221" spans="1:55" s="815" customFormat="1" ht="16.5" customHeight="1">
      <c r="A221" s="2013"/>
      <c r="B221" s="2447"/>
      <c r="C221" s="728"/>
      <c r="D221" s="2539" t="s">
        <v>5593</v>
      </c>
      <c r="E221" s="1560"/>
      <c r="F221" s="1560"/>
      <c r="G221" s="1560"/>
      <c r="H221" s="1560"/>
      <c r="I221" s="1560"/>
      <c r="J221" s="1560"/>
      <c r="K221" s="1560"/>
      <c r="L221" s="1560"/>
      <c r="M221" s="1560"/>
      <c r="N221" s="1560"/>
      <c r="O221" s="1560"/>
      <c r="P221" s="1560"/>
      <c r="Q221" s="88"/>
      <c r="R221" s="88"/>
      <c r="S221" s="88"/>
      <c r="T221" s="88"/>
      <c r="U221" s="3931"/>
      <c r="V221" s="88"/>
      <c r="W221" s="3931"/>
      <c r="X221" s="88"/>
      <c r="Y221" s="88"/>
      <c r="Z221" s="88"/>
      <c r="AA221" s="88"/>
      <c r="AB221" s="88"/>
      <c r="AC221" s="88"/>
      <c r="AD221" s="5743"/>
      <c r="AE221" s="10902" t="b">
        <f>OR(AE171=0,AE171="")</f>
        <v>1</v>
      </c>
      <c r="AF221" s="10903"/>
      <c r="AG221" s="10903"/>
      <c r="AH221" s="10903"/>
      <c r="AI221" s="10903"/>
      <c r="AJ221" s="10903"/>
      <c r="AK221" s="2013"/>
      <c r="AL221" s="253"/>
      <c r="AM221" s="253"/>
      <c r="AN221" s="253"/>
      <c r="AO221" s="2013"/>
      <c r="AP221" s="253"/>
      <c r="AQ221" s="253"/>
      <c r="AR221" s="658"/>
      <c r="AS221" s="658"/>
      <c r="AT221" s="658"/>
      <c r="AU221" s="658"/>
      <c r="AV221" s="658"/>
      <c r="AW221" s="658"/>
      <c r="AX221" s="658"/>
      <c r="AY221" s="658"/>
      <c r="AZ221" s="658"/>
      <c r="BA221" s="658"/>
      <c r="BB221"/>
      <c r="BC221"/>
    </row>
    <row r="222" spans="1:55" s="815" customFormat="1" ht="15.75">
      <c r="A222" s="2013"/>
      <c r="B222" s="253"/>
      <c r="C222" s="2917">
        <v>50</v>
      </c>
      <c r="D222" s="1323" t="s">
        <v>5594</v>
      </c>
      <c r="E222" s="253"/>
      <c r="F222" s="511"/>
      <c r="G222" s="511"/>
      <c r="H222" s="253"/>
      <c r="I222" s="253"/>
      <c r="J222" s="253"/>
      <c r="K222" s="253"/>
      <c r="L222" s="253"/>
      <c r="M222" s="253"/>
      <c r="N222" s="253"/>
      <c r="O222" s="253"/>
      <c r="P222" s="253"/>
      <c r="Q222" s="253"/>
      <c r="R222" s="253"/>
      <c r="S222" s="253"/>
      <c r="T222" s="253"/>
      <c r="U222" s="253"/>
      <c r="V222" s="253"/>
      <c r="W222" s="253"/>
      <c r="X222" s="253"/>
      <c r="Y222" s="253"/>
      <c r="Z222" s="253"/>
      <c r="AA222" s="253"/>
      <c r="AB222" s="253"/>
      <c r="AC222" s="1657" t="s">
        <v>1877</v>
      </c>
      <c r="AD222" s="4448">
        <v>50</v>
      </c>
      <c r="AE222" s="10881" t="str">
        <f>IF($AE$221,"",SUM(AE175,AE216,AE219))</f>
        <v/>
      </c>
      <c r="AF222" s="7655"/>
      <c r="AG222" s="7655"/>
      <c r="AH222" s="7655"/>
      <c r="AI222" s="7655"/>
      <c r="AJ222" s="7655"/>
      <c r="AK222" s="2013"/>
      <c r="AL222" s="253"/>
      <c r="AM222" s="253"/>
      <c r="AN222" s="253"/>
      <c r="AO222" s="2013"/>
      <c r="AP222" s="253"/>
      <c r="AQ222" s="253"/>
      <c r="AR222" s="658"/>
      <c r="AS222" s="658"/>
      <c r="AT222" s="658"/>
      <c r="AU222" s="658"/>
      <c r="AV222" s="658"/>
      <c r="AW222" s="658"/>
      <c r="AX222" s="658"/>
      <c r="AY222" s="658"/>
      <c r="AZ222" s="658"/>
      <c r="BA222" s="658"/>
      <c r="BB222"/>
      <c r="BC222"/>
    </row>
    <row r="223" spans="1:55" s="815" customFormat="1" ht="15.75">
      <c r="A223" s="2013"/>
      <c r="B223" s="253"/>
      <c r="C223" s="2917">
        <v>51</v>
      </c>
      <c r="D223" s="1323" t="s">
        <v>5595</v>
      </c>
      <c r="E223" s="253"/>
      <c r="F223" s="511"/>
      <c r="G223" s="511"/>
      <c r="H223" s="253"/>
      <c r="I223" s="253"/>
      <c r="J223" s="253"/>
      <c r="K223" s="253"/>
      <c r="L223" s="253"/>
      <c r="M223" s="253"/>
      <c r="N223" s="253"/>
      <c r="O223" s="253"/>
      <c r="P223" s="253"/>
      <c r="Q223" s="253"/>
      <c r="R223" s="253"/>
      <c r="S223" s="253"/>
      <c r="T223" s="253"/>
      <c r="U223" s="253"/>
      <c r="V223" s="253"/>
      <c r="W223" s="253"/>
      <c r="X223" s="253"/>
      <c r="Y223" s="253"/>
      <c r="Z223" s="253"/>
      <c r="AA223" s="253"/>
      <c r="AB223" s="253"/>
      <c r="AC223" s="1657" t="s">
        <v>1877</v>
      </c>
      <c r="AD223" s="4448">
        <v>51</v>
      </c>
      <c r="AE223" s="10881" t="str">
        <f>IF($AE$221,"",SUM(AE163,-AE222))</f>
        <v/>
      </c>
      <c r="AF223" s="7655"/>
      <c r="AG223" s="7655"/>
      <c r="AH223" s="7655"/>
      <c r="AI223" s="7655"/>
      <c r="AJ223" s="7655"/>
      <c r="AK223" s="2013"/>
      <c r="AL223" s="253"/>
      <c r="AM223" s="253"/>
      <c r="AN223" s="253"/>
      <c r="AO223" s="2013"/>
      <c r="AP223" s="253"/>
      <c r="AQ223" s="253"/>
      <c r="AR223" s="658"/>
      <c r="AS223" s="658"/>
      <c r="AT223" s="658"/>
      <c r="AU223" s="658"/>
      <c r="AV223" s="658"/>
      <c r="AW223" s="658"/>
      <c r="AX223" s="658"/>
      <c r="AY223" s="658"/>
      <c r="AZ223" s="658"/>
      <c r="BA223" s="658"/>
      <c r="BB223"/>
      <c r="BC223"/>
    </row>
    <row r="224" spans="1:55" s="815" customFormat="1" ht="15.75">
      <c r="A224" s="2013"/>
      <c r="B224" s="253"/>
      <c r="C224" s="2917">
        <v>52</v>
      </c>
      <c r="D224" s="1323" t="str">
        <f>"Multiply line 51 by "&amp;TEXT(AQ224,"0%")&amp;" ("&amp;TEXT(AQ224,"0.00")&amp;")"</f>
        <v>Multiply line 51 by 25% (0.25)</v>
      </c>
      <c r="E224" s="253"/>
      <c r="F224" s="511"/>
      <c r="G224" s="511"/>
      <c r="H224" s="253"/>
      <c r="I224" s="253"/>
      <c r="J224" s="253"/>
      <c r="K224" s="253"/>
      <c r="L224" s="253"/>
      <c r="M224" s="253"/>
      <c r="N224" s="253"/>
      <c r="O224" s="253"/>
      <c r="P224" s="253"/>
      <c r="Q224" s="253"/>
      <c r="R224" s="253"/>
      <c r="S224" s="253"/>
      <c r="T224" s="253"/>
      <c r="U224" s="253"/>
      <c r="V224" s="253"/>
      <c r="W224" s="253"/>
      <c r="X224" s="253"/>
      <c r="Y224" s="253"/>
      <c r="Z224" s="253"/>
      <c r="AA224" s="253"/>
      <c r="AB224" s="253"/>
      <c r="AC224" s="1657" t="s">
        <v>1877</v>
      </c>
      <c r="AD224" s="4448">
        <v>52</v>
      </c>
      <c r="AE224" s="10881" t="str">
        <f>IF(OR($AE$211,AE223=""),"",ROUND(AE223*AQ224,0))</f>
        <v/>
      </c>
      <c r="AF224" s="7655"/>
      <c r="AG224" s="7655"/>
      <c r="AH224" s="7655"/>
      <c r="AI224" s="7655"/>
      <c r="AJ224" s="7655"/>
      <c r="AK224" s="2013"/>
      <c r="AL224" s="253"/>
      <c r="AM224" s="253"/>
      <c r="AN224" s="253"/>
      <c r="AO224" s="2013"/>
      <c r="AP224" s="253"/>
      <c r="AQ224" s="253">
        <v>0.25</v>
      </c>
      <c r="AR224" s="658"/>
      <c r="AS224" s="658"/>
      <c r="AT224" s="658"/>
      <c r="AU224" s="658"/>
      <c r="AV224" s="658"/>
      <c r="AW224" s="658"/>
      <c r="AX224" s="658"/>
      <c r="AY224" s="658"/>
      <c r="AZ224" s="658"/>
      <c r="BA224" s="658"/>
      <c r="BB224"/>
      <c r="BC224"/>
    </row>
    <row r="225" spans="1:55" s="815" customFormat="1" ht="15.75">
      <c r="A225" s="2013"/>
      <c r="B225" s="253"/>
      <c r="C225" s="2917">
        <v>53</v>
      </c>
      <c r="D225" s="1323" t="s">
        <v>5596</v>
      </c>
      <c r="E225" s="253"/>
      <c r="F225" s="511"/>
      <c r="G225" s="511"/>
      <c r="H225" s="253"/>
      <c r="I225" s="253"/>
      <c r="J225" s="253"/>
      <c r="K225" s="253"/>
      <c r="L225" s="253"/>
      <c r="M225" s="253"/>
      <c r="N225" s="253"/>
      <c r="O225" s="253"/>
      <c r="P225" s="253"/>
      <c r="Q225" s="253"/>
      <c r="R225" s="253"/>
      <c r="S225" s="253"/>
      <c r="T225" s="253"/>
      <c r="U225" s="253"/>
      <c r="V225" s="253"/>
      <c r="W225" s="253"/>
      <c r="X225" s="253"/>
      <c r="Y225" s="253"/>
      <c r="Z225" s="253"/>
      <c r="AA225" s="253"/>
      <c r="AB225" s="253"/>
      <c r="AC225" s="1657" t="s">
        <v>1877</v>
      </c>
      <c r="AD225" s="4448">
        <v>53</v>
      </c>
      <c r="AE225" s="10881" t="str">
        <f>IF($AE$211,"",SUM(AE178,AE215,AE220,AE224))</f>
        <v/>
      </c>
      <c r="AF225" s="7655"/>
      <c r="AG225" s="7655"/>
      <c r="AH225" s="7655"/>
      <c r="AI225" s="7655"/>
      <c r="AJ225" s="7655"/>
      <c r="AK225" s="2013"/>
      <c r="AL225" s="253"/>
      <c r="AM225" s="253"/>
      <c r="AN225" s="253"/>
      <c r="AO225" s="2013"/>
      <c r="AP225" s="253"/>
      <c r="AQ225" s="253"/>
      <c r="AR225" s="658"/>
      <c r="AS225" s="658"/>
      <c r="AT225" s="658"/>
      <c r="AU225" s="658"/>
      <c r="AV225" s="658"/>
      <c r="AW225" s="658"/>
      <c r="AX225" s="658"/>
      <c r="AY225" s="658"/>
      <c r="AZ225" s="658"/>
      <c r="BA225" s="658"/>
      <c r="BB225"/>
      <c r="BC225"/>
    </row>
    <row r="226" spans="1:55" s="815" customFormat="1" ht="15.75">
      <c r="A226" s="2013"/>
      <c r="B226" s="253"/>
      <c r="C226" s="2917">
        <v>54</v>
      </c>
      <c r="D226" s="1323" t="str">
        <f>"If line 27 is "&amp;TEXT($AQ$174,"$0,000")&amp;" or less ("&amp;TEXT($AQ$175,"$0,000")&amp;" or less if married filing separately for "&amp;LastYear&amp;"), multiply line 27"</f>
        <v>If line 27 is $232,600 or less ($116,300 or less if married filing separately for 2024), multiply line 27</v>
      </c>
      <c r="E226" s="253"/>
      <c r="F226" s="511"/>
      <c r="G226" s="511"/>
      <c r="H226" s="253"/>
      <c r="I226" s="253"/>
      <c r="J226" s="253"/>
      <c r="K226" s="253"/>
      <c r="L226" s="253"/>
      <c r="M226" s="253"/>
      <c r="N226" s="253"/>
      <c r="O226" s="253"/>
      <c r="P226" s="253"/>
      <c r="Q226" s="253"/>
      <c r="R226" s="253"/>
      <c r="S226" s="253"/>
      <c r="T226" s="253"/>
      <c r="U226" s="253"/>
      <c r="V226" s="253"/>
      <c r="W226" s="253"/>
      <c r="X226" s="253"/>
      <c r="Y226" s="253"/>
      <c r="Z226" s="253"/>
      <c r="AA226" s="253"/>
      <c r="AB226" s="253"/>
      <c r="AC226" s="1657"/>
      <c r="AD226" s="5743"/>
      <c r="AE226" s="10890"/>
      <c r="AF226" s="10891"/>
      <c r="AG226" s="10891"/>
      <c r="AH226" s="10891"/>
      <c r="AI226" s="10891"/>
      <c r="AJ226" s="10891"/>
      <c r="AK226" s="2013"/>
      <c r="AL226" s="253"/>
      <c r="AM226" s="253"/>
      <c r="AN226" s="253"/>
      <c r="AO226" s="2013"/>
      <c r="AP226" s="990">
        <f>ROUND(AE163*$AQ$176,0)</f>
        <v>0</v>
      </c>
      <c r="AQ226" s="253"/>
      <c r="AR226" s="658"/>
      <c r="AS226" s="658"/>
      <c r="AT226" s="658"/>
      <c r="AU226" s="658"/>
      <c r="AV226" s="658"/>
      <c r="AW226" s="658"/>
      <c r="AX226" s="658"/>
      <c r="AY226" s="658"/>
      <c r="AZ226" s="658"/>
      <c r="BA226" s="658"/>
      <c r="BB226"/>
      <c r="BC226"/>
    </row>
    <row r="227" spans="1:55" s="815" customFormat="1" ht="16.5" thickBot="1">
      <c r="A227" s="2013"/>
      <c r="B227" s="253"/>
      <c r="C227" s="2917"/>
      <c r="D227" s="1323" t="str">
        <f>"by "&amp;TEXT($AQ$176,"0%")&amp;" ("&amp;TEXT($AQ$176,"0.00")&amp;"). Otherwise, multiply line 27 by "&amp;TEXT($AQ$179,"0%")&amp;" ("&amp;TEXT($AQ$179,"0.00")&amp;") and subtract "&amp;TEXT($AQ$177,"$0,000")&amp;" ("&amp;TEXT($AQ$178,"$0,000")&amp;" if married filing"</f>
        <v>by 26% (0.26). Otherwise, multiply line 27 by 28% (0.28) and subtract $4,652 ($2,326 if married filing</v>
      </c>
      <c r="E227" s="253"/>
      <c r="F227" s="511"/>
      <c r="G227" s="511"/>
      <c r="H227" s="253"/>
      <c r="I227" s="253"/>
      <c r="J227" s="253"/>
      <c r="K227" s="253"/>
      <c r="L227" s="253"/>
      <c r="M227" s="253"/>
      <c r="N227" s="253"/>
      <c r="O227" s="253"/>
      <c r="P227" s="253"/>
      <c r="Q227" s="253"/>
      <c r="R227" s="253"/>
      <c r="S227" s="253"/>
      <c r="T227" s="253"/>
      <c r="U227" s="253"/>
      <c r="V227" s="253"/>
      <c r="W227" s="253"/>
      <c r="X227" s="253"/>
      <c r="Y227" s="253"/>
      <c r="Z227" s="253"/>
      <c r="AA227" s="253"/>
      <c r="AB227" s="253"/>
      <c r="AC227" s="1657"/>
      <c r="AD227" s="5743"/>
      <c r="AE227" s="5699"/>
      <c r="AF227" s="5700"/>
      <c r="AG227" s="5700"/>
      <c r="AH227" s="5700"/>
      <c r="AI227" s="5700"/>
      <c r="AJ227" s="5700"/>
      <c r="AK227" s="2013"/>
      <c r="AL227" s="253"/>
      <c r="AM227" s="253"/>
      <c r="AN227" s="253"/>
      <c r="AO227" s="2013"/>
      <c r="AP227" s="990">
        <f>SUM(ROUND(AE163*$AQ$179,0),-$AQ$177)</f>
        <v>-4652</v>
      </c>
      <c r="AQ227" s="253"/>
      <c r="AR227" s="658"/>
      <c r="AS227" s="658"/>
      <c r="AT227" s="658"/>
      <c r="AU227" s="658"/>
      <c r="AV227" s="658"/>
      <c r="AW227" s="658"/>
      <c r="AX227" s="658"/>
      <c r="AY227" s="658"/>
      <c r="AZ227" s="658"/>
      <c r="BA227" s="658"/>
      <c r="BB227"/>
      <c r="BC227"/>
    </row>
    <row r="228" spans="1:55" s="815" customFormat="1" ht="16.5" thickBot="1">
      <c r="A228" s="2013"/>
      <c r="B228" s="253"/>
      <c r="C228" s="2917"/>
      <c r="D228" s="1323" t="str">
        <f>"separately for "&amp;LastYear&amp;") from the result"</f>
        <v>separately for 2024) from the result</v>
      </c>
      <c r="E228" s="253"/>
      <c r="F228" s="511"/>
      <c r="G228" s="511"/>
      <c r="H228" s="253"/>
      <c r="I228" s="253"/>
      <c r="J228" s="253"/>
      <c r="K228" s="253"/>
      <c r="L228" s="253"/>
      <c r="M228" s="253"/>
      <c r="N228" s="253"/>
      <c r="O228" s="253"/>
      <c r="P228" s="253"/>
      <c r="Q228" s="253"/>
      <c r="R228" s="253"/>
      <c r="S228" s="253"/>
      <c r="T228" s="253"/>
      <c r="U228" s="253"/>
      <c r="V228" s="253"/>
      <c r="W228" s="253"/>
      <c r="X228" s="253"/>
      <c r="Y228" s="253"/>
      <c r="Z228" s="253"/>
      <c r="AA228" s="253"/>
      <c r="AB228" s="253"/>
      <c r="AC228" s="1657" t="s">
        <v>1877</v>
      </c>
      <c r="AD228" s="4448">
        <v>54</v>
      </c>
      <c r="AE228" s="10881" t="str">
        <f>IF(AM228&lt;&gt;"",ROUND(AM228,0),IF($AE$211,"",IF(AND(AP135=3,AE163&lt;=$AQ$175),$AP$226,IF(AE163&lt;=$AQ$174,$AP$226,IF(AP135=3,$AP$228,$AP$227)))))</f>
        <v/>
      </c>
      <c r="AF228" s="7655"/>
      <c r="AG228" s="7655"/>
      <c r="AH228" s="7655"/>
      <c r="AI228" s="7655"/>
      <c r="AJ228" s="7655"/>
      <c r="AK228" s="2013"/>
      <c r="AL228" s="253"/>
      <c r="AM228" s="5719"/>
      <c r="AN228" s="1806"/>
      <c r="AO228" s="2013"/>
      <c r="AP228" s="990">
        <f>SUM(ROUND(AE163*$AQ$179,0),-$AQ$178)</f>
        <v>-2326</v>
      </c>
      <c r="AQ228" s="253"/>
      <c r="AR228" s="658"/>
      <c r="AS228" s="658"/>
      <c r="AT228" s="658"/>
      <c r="AU228" s="658"/>
      <c r="AV228" s="658"/>
      <c r="AW228" s="658"/>
      <c r="AX228" s="658"/>
      <c r="AY228" s="658"/>
      <c r="AZ228" s="658"/>
      <c r="BA228" s="658"/>
      <c r="BB228"/>
      <c r="BC228"/>
    </row>
    <row r="229" spans="1:55" s="815" customFormat="1" ht="15.75">
      <c r="A229" s="2013"/>
      <c r="B229" s="253"/>
      <c r="C229" s="2917">
        <v>55</v>
      </c>
      <c r="D229" s="1323" t="s">
        <v>5645</v>
      </c>
      <c r="E229" s="253"/>
      <c r="F229" s="511"/>
      <c r="G229" s="511"/>
      <c r="H229" s="253"/>
      <c r="I229" s="253"/>
      <c r="J229" s="253"/>
      <c r="K229" s="253"/>
      <c r="L229" s="253"/>
      <c r="M229" s="253"/>
      <c r="N229" s="253"/>
      <c r="O229" s="253"/>
      <c r="P229" s="253"/>
      <c r="Q229" s="253"/>
      <c r="R229" s="1323" t="str">
        <f>"If you filed Form 2555 for "&amp;LastYear&amp;", don’t enter"</f>
        <v>If you filed Form 2555 for 2024, don’t enter</v>
      </c>
      <c r="S229" s="253"/>
      <c r="T229" s="253"/>
      <c r="U229" s="253"/>
      <c r="V229" s="253"/>
      <c r="W229" s="253"/>
      <c r="X229" s="253"/>
      <c r="Y229" s="253"/>
      <c r="Z229" s="253"/>
      <c r="AA229" s="253"/>
      <c r="AB229" s="253"/>
      <c r="AC229" s="1657"/>
      <c r="AD229" s="5743"/>
      <c r="AE229" s="10890"/>
      <c r="AF229" s="10891"/>
      <c r="AG229" s="10891"/>
      <c r="AH229" s="10891"/>
      <c r="AI229" s="10891"/>
      <c r="AJ229" s="10891"/>
      <c r="AK229" s="2013"/>
      <c r="AL229" s="253"/>
      <c r="AM229" s="253"/>
      <c r="AN229" s="253"/>
      <c r="AO229" s="2013"/>
      <c r="AP229" s="253"/>
      <c r="AQ229" s="253"/>
      <c r="AR229" s="658"/>
      <c r="AS229" s="658"/>
      <c r="AT229" s="658"/>
      <c r="AU229" s="658"/>
      <c r="AV229" s="658"/>
      <c r="AW229" s="658"/>
      <c r="AX229" s="658"/>
      <c r="AY229" s="658"/>
      <c r="AZ229" s="658"/>
      <c r="BA229" s="658"/>
      <c r="BB229"/>
      <c r="BC229"/>
    </row>
    <row r="230" spans="1:55" s="815" customFormat="1" ht="16.5" thickBot="1">
      <c r="A230" s="2013"/>
      <c r="B230" s="253"/>
      <c r="C230" s="2917"/>
      <c r="D230" s="1323" t="s">
        <v>5597</v>
      </c>
      <c r="E230" s="253"/>
      <c r="F230" s="511"/>
      <c r="G230" s="511"/>
      <c r="H230" s="253"/>
      <c r="I230" s="253"/>
      <c r="J230" s="253"/>
      <c r="K230" s="253"/>
      <c r="L230" s="253"/>
      <c r="M230" s="253"/>
      <c r="N230" s="253"/>
      <c r="O230" s="253"/>
      <c r="P230" s="253"/>
      <c r="Q230" s="253"/>
      <c r="R230" s="253"/>
      <c r="S230" s="253"/>
      <c r="T230" s="253"/>
      <c r="U230" s="253"/>
      <c r="V230" s="253"/>
      <c r="W230" s="253"/>
      <c r="X230" s="253"/>
      <c r="Y230" s="253"/>
      <c r="Z230" s="253"/>
      <c r="AA230" s="253"/>
      <c r="AB230" s="253"/>
      <c r="AC230" s="1657"/>
      <c r="AD230" s="5743"/>
      <c r="AE230" s="5699"/>
      <c r="AF230" s="5700"/>
      <c r="AG230" s="5700"/>
      <c r="AH230" s="5700"/>
      <c r="AI230" s="5700"/>
      <c r="AJ230" s="5700"/>
      <c r="AK230" s="2013"/>
      <c r="AL230" s="253"/>
      <c r="AM230" s="253"/>
      <c r="AN230" s="253"/>
      <c r="AO230" s="2013"/>
      <c r="AP230" s="253"/>
      <c r="AQ230" s="253"/>
      <c r="AR230" s="658"/>
      <c r="AS230" s="658"/>
      <c r="AT230" s="658"/>
      <c r="AU230" s="658"/>
      <c r="AV230" s="658"/>
      <c r="AW230" s="658"/>
      <c r="AX230" s="658"/>
      <c r="AY230" s="658"/>
      <c r="AZ230" s="658"/>
      <c r="BA230" s="658"/>
      <c r="BB230"/>
      <c r="BC230"/>
    </row>
    <row r="231" spans="1:55" s="815" customFormat="1" ht="16.5" thickBot="1">
      <c r="A231" s="2013"/>
      <c r="B231" s="721"/>
      <c r="C231" s="5714"/>
      <c r="D231" s="4459" t="s">
        <v>5598</v>
      </c>
      <c r="E231" s="721"/>
      <c r="F231" s="5715"/>
      <c r="G231" s="5715"/>
      <c r="H231" s="721"/>
      <c r="I231" s="721"/>
      <c r="J231" s="721"/>
      <c r="K231" s="721"/>
      <c r="L231" s="721"/>
      <c r="M231" s="721"/>
      <c r="N231" s="721"/>
      <c r="O231" s="721"/>
      <c r="P231" s="721"/>
      <c r="Q231" s="721"/>
      <c r="R231" s="721"/>
      <c r="S231" s="721"/>
      <c r="T231" s="721"/>
      <c r="U231" s="721"/>
      <c r="V231" s="721"/>
      <c r="W231" s="721"/>
      <c r="X231" s="721"/>
      <c r="Y231" s="721"/>
      <c r="Z231" s="721"/>
      <c r="AA231" s="721"/>
      <c r="AB231" s="721"/>
      <c r="AC231" s="5716" t="s">
        <v>1882</v>
      </c>
      <c r="AD231" s="4463">
        <v>55</v>
      </c>
      <c r="AE231" s="10893" t="str">
        <f>IF(AM231&lt;&gt;"",ROUND(AM231,0),IF($AE$211,"",MIN(AE225,AE228)))</f>
        <v/>
      </c>
      <c r="AF231" s="10894"/>
      <c r="AG231" s="10894"/>
      <c r="AH231" s="10894"/>
      <c r="AI231" s="10894"/>
      <c r="AJ231" s="10894"/>
      <c r="AK231" s="2013"/>
      <c r="AL231" s="253"/>
      <c r="AM231" s="5719"/>
      <c r="AN231" s="1806"/>
      <c r="AO231" s="2013"/>
      <c r="AP231" s="253"/>
      <c r="AQ231" s="253"/>
      <c r="AR231" s="658"/>
      <c r="AS231" s="658"/>
      <c r="AT231" s="658"/>
      <c r="AU231" s="658"/>
      <c r="AV231" s="658"/>
      <c r="AW231" s="658"/>
      <c r="AX231" s="658"/>
      <c r="AY231" s="658"/>
      <c r="AZ231" s="658"/>
      <c r="BA231" s="658"/>
      <c r="BB231"/>
      <c r="BC231"/>
    </row>
    <row r="232" spans="1:55" s="815" customFormat="1" ht="16.5" thickTop="1">
      <c r="A232" s="2013"/>
      <c r="B232" s="2447"/>
      <c r="C232" s="728"/>
      <c r="D232" s="1560"/>
      <c r="E232" s="1560"/>
      <c r="F232" s="1560"/>
      <c r="G232" s="1560"/>
      <c r="H232" s="1560"/>
      <c r="I232" s="1560"/>
      <c r="J232" s="1560"/>
      <c r="K232" s="1560"/>
      <c r="L232" s="1560"/>
      <c r="M232" s="1560"/>
      <c r="N232" s="1560"/>
      <c r="O232" s="1560"/>
      <c r="P232" s="1560"/>
      <c r="Q232" s="88"/>
      <c r="R232" s="88"/>
      <c r="S232" s="88"/>
      <c r="T232" s="88"/>
      <c r="U232" s="3931"/>
      <c r="V232" s="88"/>
      <c r="W232" s="3931"/>
      <c r="X232" s="88"/>
      <c r="Y232" s="88"/>
      <c r="Z232" s="88"/>
      <c r="AA232" s="88"/>
      <c r="AB232" s="88"/>
      <c r="AC232" s="88"/>
      <c r="AD232" s="88"/>
      <c r="AE232" s="88"/>
      <c r="AF232" s="88"/>
      <c r="AG232" s="88"/>
      <c r="AH232" s="2052" t="s">
        <v>5566</v>
      </c>
      <c r="AI232" s="88"/>
      <c r="AJ232" s="2052" t="str">
        <f>"("&amp;TaxYear&amp;")"</f>
        <v>(2025)</v>
      </c>
      <c r="AK232" s="2013"/>
      <c r="AL232" s="253"/>
      <c r="AM232" s="253"/>
      <c r="AN232" s="253"/>
      <c r="AO232" s="2013"/>
      <c r="AP232" s="253"/>
      <c r="AQ232" s="253"/>
      <c r="AR232" s="658"/>
      <c r="AS232" s="658"/>
      <c r="AT232" s="658"/>
      <c r="AU232" s="658"/>
      <c r="AV232" s="658"/>
      <c r="AW232" s="658"/>
      <c r="AX232" s="658"/>
      <c r="AY232" s="658"/>
      <c r="AZ232" s="658"/>
      <c r="BA232" s="658"/>
      <c r="BB232"/>
      <c r="BC232"/>
    </row>
    <row r="233" spans="1:55" s="815" customFormat="1">
      <c r="A233" s="2013"/>
      <c r="B233" s="2447"/>
      <c r="C233" s="728"/>
      <c r="D233" s="1560"/>
      <c r="E233" s="1560"/>
      <c r="F233" s="1560"/>
      <c r="G233" s="1560"/>
      <c r="H233" s="1560"/>
      <c r="I233" s="1560"/>
      <c r="J233" s="1560"/>
      <c r="K233" s="1560"/>
      <c r="L233" s="1560"/>
      <c r="M233" s="1560"/>
      <c r="N233" s="1560"/>
      <c r="O233" s="1560"/>
      <c r="P233" s="1560"/>
      <c r="Q233" s="88"/>
      <c r="R233" s="88"/>
      <c r="S233" s="88"/>
      <c r="T233" s="88"/>
      <c r="U233" s="3931"/>
      <c r="V233" s="88"/>
      <c r="W233" s="3931"/>
      <c r="X233" s="88"/>
      <c r="Y233" s="88"/>
      <c r="Z233" s="88"/>
      <c r="AA233" s="88"/>
      <c r="AB233" s="88"/>
      <c r="AC233" s="88"/>
      <c r="AD233" s="88"/>
      <c r="AE233" s="88"/>
      <c r="AF233" s="88"/>
      <c r="AG233" s="88"/>
      <c r="AH233" s="2052"/>
      <c r="AI233" s="88"/>
      <c r="AJ233" s="2052"/>
      <c r="AK233" s="2013"/>
      <c r="AL233" s="253"/>
      <c r="AM233" s="253"/>
      <c r="AN233" s="253"/>
      <c r="AO233" s="2013"/>
      <c r="AP233" s="253"/>
      <c r="AQ233" s="253"/>
      <c r="AR233" s="658"/>
      <c r="AS233" s="658"/>
      <c r="AT233" s="658"/>
      <c r="AU233" s="658"/>
      <c r="AV233" s="658"/>
      <c r="AW233" s="658"/>
      <c r="AX233" s="658"/>
      <c r="AY233" s="658"/>
      <c r="AZ233" s="658"/>
      <c r="BA233" s="658"/>
      <c r="BB233"/>
      <c r="BC233"/>
    </row>
    <row r="234" spans="1:55" s="815" customFormat="1" ht="29.25" customHeight="1">
      <c r="A234" s="2013"/>
      <c r="B234" s="2447"/>
      <c r="C234" s="5727" t="s">
        <v>5613</v>
      </c>
      <c r="D234" s="2594"/>
      <c r="E234" s="2594"/>
      <c r="F234" s="2594"/>
      <c r="G234" s="2594"/>
      <c r="H234" s="2594"/>
      <c r="I234" s="2594"/>
      <c r="J234" s="2594"/>
      <c r="K234" s="2594"/>
      <c r="L234" s="2594"/>
      <c r="M234" s="2594"/>
      <c r="N234" s="2594"/>
      <c r="O234" s="2594"/>
      <c r="P234" s="2594"/>
      <c r="Q234" s="2432"/>
      <c r="R234" s="2432"/>
      <c r="S234" s="2432"/>
      <c r="T234" s="2432"/>
      <c r="U234" s="5728"/>
      <c r="V234" s="2432"/>
      <c r="W234" s="5728"/>
      <c r="X234" s="2432"/>
      <c r="Y234" s="2432"/>
      <c r="Z234" s="2432"/>
      <c r="AA234" s="2432"/>
      <c r="AB234" s="2432"/>
      <c r="AC234" s="2432"/>
      <c r="AD234" s="2432"/>
      <c r="AE234" s="2432"/>
      <c r="AF234" s="2432"/>
      <c r="AG234" s="5729" t="s">
        <v>926</v>
      </c>
      <c r="AH234" s="5730"/>
      <c r="AI234" s="2432"/>
      <c r="AJ234" s="5730"/>
      <c r="AK234" s="2013"/>
      <c r="AL234" s="253"/>
      <c r="AM234" s="253"/>
      <c r="AN234" s="253"/>
      <c r="AO234" s="2013"/>
      <c r="AP234" s="253"/>
      <c r="AQ234" s="253"/>
      <c r="AR234" s="658"/>
      <c r="AS234" s="658"/>
      <c r="AT234" s="658"/>
      <c r="AU234" s="658"/>
      <c r="AV234" s="658"/>
      <c r="AW234" s="658"/>
      <c r="AX234" s="658"/>
      <c r="AY234" s="658"/>
      <c r="AZ234" s="658"/>
      <c r="BA234" s="658"/>
      <c r="BB234"/>
      <c r="BC234"/>
    </row>
    <row r="235" spans="1:55" s="815" customFormat="1" ht="26.25" customHeight="1">
      <c r="A235" s="2013"/>
      <c r="B235" s="2447"/>
      <c r="C235" s="5733" t="s">
        <v>927</v>
      </c>
      <c r="D235" s="5731"/>
      <c r="E235" s="5731"/>
      <c r="F235" s="5731"/>
      <c r="G235" s="5731"/>
      <c r="H235" s="5731"/>
      <c r="I235" s="5731"/>
      <c r="J235" s="5731"/>
      <c r="K235" s="5734" t="s">
        <v>5614</v>
      </c>
      <c r="L235" s="5731"/>
      <c r="M235" s="5731"/>
      <c r="N235" s="5731"/>
      <c r="O235" s="5731"/>
      <c r="P235" s="5731"/>
      <c r="Q235" s="5661"/>
      <c r="R235" s="5661"/>
      <c r="S235" s="5661"/>
      <c r="T235" s="5661"/>
      <c r="U235" s="5732"/>
      <c r="V235" s="5661"/>
      <c r="W235" s="5732"/>
      <c r="X235" s="5661"/>
      <c r="Y235" s="5771"/>
      <c r="Z235" s="5778"/>
      <c r="AA235" s="5778"/>
      <c r="AB235" s="10918" t="b">
        <f>OR(AE103="",AE103=0)</f>
        <v>1</v>
      </c>
      <c r="AC235" s="10918"/>
      <c r="AD235" s="10918"/>
      <c r="AE235" s="10918" t="b">
        <f>AND($AQ$32,NOT(AB235))</f>
        <v>0</v>
      </c>
      <c r="AF235" s="10918"/>
      <c r="AG235" s="10918"/>
      <c r="AH235" s="10918"/>
      <c r="AI235" s="10918"/>
      <c r="AJ235" s="10918"/>
      <c r="AK235" s="2013"/>
      <c r="AL235" s="253"/>
      <c r="AM235" s="226" t="s">
        <v>979</v>
      </c>
      <c r="AN235" s="253"/>
      <c r="AO235" s="2013"/>
      <c r="AP235" s="253"/>
      <c r="AQ235" s="253"/>
      <c r="AR235" s="658"/>
      <c r="AS235" s="658"/>
      <c r="AT235" s="658"/>
      <c r="AU235" s="658"/>
      <c r="AV235" s="658"/>
      <c r="AW235" s="658"/>
      <c r="AX235" s="658"/>
      <c r="AY235" s="658"/>
      <c r="AZ235" s="658"/>
      <c r="BA235" s="658"/>
      <c r="BB235"/>
      <c r="BC235"/>
    </row>
    <row r="236" spans="1:55" s="815" customFormat="1" ht="13.5" thickBot="1">
      <c r="A236" s="2013"/>
      <c r="B236" s="2447"/>
      <c r="C236" s="728"/>
      <c r="D236" s="1560"/>
      <c r="E236" s="1560"/>
      <c r="F236" s="1560"/>
      <c r="G236" s="1560"/>
      <c r="H236" s="1560"/>
      <c r="I236" s="1560"/>
      <c r="J236" s="1560"/>
      <c r="K236" s="1560"/>
      <c r="L236" s="1560"/>
      <c r="M236" s="1560"/>
      <c r="N236" s="1560"/>
      <c r="O236" s="1560"/>
      <c r="P236" s="1560"/>
      <c r="Q236" s="88"/>
      <c r="R236" s="88"/>
      <c r="S236" s="88"/>
      <c r="T236" s="88"/>
      <c r="U236" s="3931"/>
      <c r="V236" s="88"/>
      <c r="W236" s="3931"/>
      <c r="X236" s="88"/>
      <c r="Y236" s="88"/>
      <c r="Z236" s="88"/>
      <c r="AA236" s="88"/>
      <c r="AB236" s="88"/>
      <c r="AC236" s="88"/>
      <c r="AD236" s="88"/>
      <c r="AE236" s="88"/>
      <c r="AF236" s="88"/>
      <c r="AG236" s="88"/>
      <c r="AH236" s="2052"/>
      <c r="AI236" s="88"/>
      <c r="AJ236" s="2052"/>
      <c r="AK236" s="2013"/>
      <c r="AL236" s="253"/>
      <c r="AM236" s="226" t="s">
        <v>931</v>
      </c>
      <c r="AN236" s="253"/>
      <c r="AO236" s="2013"/>
      <c r="AP236" s="253"/>
      <c r="AQ236" s="253"/>
      <c r="AR236" s="658"/>
      <c r="AS236" s="658"/>
      <c r="AT236" s="658"/>
      <c r="AU236" s="658"/>
      <c r="AV236" s="658"/>
      <c r="AW236" s="658"/>
      <c r="AX236" s="658"/>
      <c r="AY236" s="658"/>
      <c r="AZ236" s="658"/>
      <c r="BA236" s="658"/>
      <c r="BB236"/>
      <c r="BC236"/>
    </row>
    <row r="237" spans="1:55" s="1239" customFormat="1" ht="21.75" customHeight="1" thickBot="1">
      <c r="A237" s="2306"/>
      <c r="B237" s="5425"/>
      <c r="C237" s="5735" t="s">
        <v>157</v>
      </c>
      <c r="D237" s="3406" t="s">
        <v>5615</v>
      </c>
      <c r="E237" s="2617"/>
      <c r="F237" s="2617"/>
      <c r="G237" s="2617"/>
      <c r="H237" s="2617"/>
      <c r="I237" s="2617"/>
      <c r="J237" s="2617"/>
      <c r="K237" s="2617"/>
      <c r="L237" s="2617"/>
      <c r="M237" s="2617"/>
      <c r="N237" s="2617"/>
      <c r="O237" s="2617"/>
      <c r="P237" s="2617"/>
      <c r="Q237" s="182"/>
      <c r="R237" s="182"/>
      <c r="S237" s="182"/>
      <c r="T237" s="182"/>
      <c r="U237" s="3268"/>
      <c r="V237" s="182"/>
      <c r="W237" s="3268"/>
      <c r="X237" s="1401"/>
      <c r="Y237" s="182"/>
      <c r="Z237" s="182"/>
      <c r="AA237" s="182"/>
      <c r="AB237" s="182"/>
      <c r="AC237" s="1401" t="s">
        <v>677</v>
      </c>
      <c r="AD237" s="5735" t="s">
        <v>157</v>
      </c>
      <c r="AE237" s="10881" t="str">
        <f>IF(AM237&lt;&gt;"",ROUND(AM237,0),IF(NOT(AE235),"",IF($AQ$32,$AE$103,"")))</f>
        <v/>
      </c>
      <c r="AF237" s="7655"/>
      <c r="AG237" s="7655"/>
      <c r="AH237" s="7655"/>
      <c r="AI237" s="7655"/>
      <c r="AJ237" s="7655"/>
      <c r="AK237" s="2306"/>
      <c r="AL237" s="411"/>
      <c r="AM237" s="5719"/>
      <c r="AN237" s="411"/>
      <c r="AO237" s="2306"/>
      <c r="AP237" s="411"/>
      <c r="AQ237" s="411"/>
      <c r="AR237" s="665"/>
      <c r="AS237" s="665"/>
      <c r="AT237" s="665"/>
      <c r="AU237" s="665"/>
      <c r="AV237" s="665"/>
      <c r="AW237" s="665"/>
      <c r="AX237" s="665"/>
      <c r="AY237" s="665"/>
      <c r="AZ237" s="665"/>
      <c r="BA237" s="665"/>
      <c r="BB237" s="141"/>
      <c r="BC237" s="141"/>
    </row>
    <row r="238" spans="1:55" s="815" customFormat="1" ht="21.75" customHeight="1" thickBot="1">
      <c r="A238" s="2013"/>
      <c r="B238" s="226"/>
      <c r="C238" s="4478" t="s">
        <v>1186</v>
      </c>
      <c r="D238" s="2445" t="str">
        <f>"Enter the amount from your (and your spouse's if filing jointly) "&amp;LastYear&amp;" Form 2555, lines 45"</f>
        <v>Enter the amount from your (and your spouse's if filing jointly) 2024 Form 2555, lines 45</v>
      </c>
      <c r="E238" s="1560"/>
      <c r="F238" s="1560"/>
      <c r="G238" s="1560"/>
      <c r="H238" s="1560"/>
      <c r="I238" s="1560"/>
      <c r="J238" s="1560"/>
      <c r="K238" s="1560"/>
      <c r="L238" s="1560"/>
      <c r="M238" s="1560"/>
      <c r="N238" s="1560"/>
      <c r="O238" s="1560"/>
      <c r="P238" s="1560"/>
      <c r="Q238" s="88"/>
      <c r="R238" s="88"/>
      <c r="S238" s="88"/>
      <c r="T238" s="88"/>
      <c r="U238" s="229"/>
      <c r="V238" s="88"/>
      <c r="W238" s="229"/>
      <c r="X238" s="88"/>
      <c r="Y238" s="88"/>
      <c r="Z238" s="88"/>
      <c r="AA238" s="88"/>
      <c r="AB238" s="88"/>
      <c r="AC238" s="88"/>
      <c r="AD238" s="88"/>
      <c r="AE238" s="88"/>
      <c r="AF238" s="88"/>
      <c r="AG238" s="88"/>
      <c r="AH238" s="88"/>
      <c r="AI238" s="88"/>
      <c r="AJ238" s="88"/>
      <c r="AK238" s="2013"/>
      <c r="AL238" s="253"/>
      <c r="AM238" s="253"/>
      <c r="AN238" s="253"/>
      <c r="AO238" s="2013"/>
      <c r="AP238" s="253"/>
      <c r="AQ238" s="253"/>
      <c r="AR238" s="658"/>
      <c r="AS238" s="658"/>
      <c r="AT238" s="658"/>
      <c r="AU238" s="658"/>
      <c r="AV238" s="658"/>
      <c r="AW238" s="658"/>
      <c r="AX238" s="658"/>
      <c r="AY238" s="658"/>
      <c r="AZ238" s="658"/>
      <c r="BA238" s="658"/>
      <c r="BB238"/>
      <c r="BC238"/>
    </row>
    <row r="239" spans="1:55" s="815" customFormat="1" ht="16.5" thickBot="1">
      <c r="A239" s="2013"/>
      <c r="B239" s="2447"/>
      <c r="C239" s="4478"/>
      <c r="D239" s="2445" t="s">
        <v>5616</v>
      </c>
      <c r="E239" s="2445"/>
      <c r="F239" s="2445"/>
      <c r="G239" s="2445"/>
      <c r="H239" s="2445"/>
      <c r="I239" s="2445"/>
      <c r="J239" s="2445"/>
      <c r="K239" s="2445"/>
      <c r="L239" s="2445"/>
      <c r="M239" s="2445"/>
      <c r="N239" s="2445"/>
      <c r="O239" s="2445"/>
      <c r="P239" s="2445"/>
      <c r="Q239" s="2445"/>
      <c r="R239" s="2445"/>
      <c r="S239" s="2445"/>
      <c r="T239" s="2445"/>
      <c r="U239" s="2445"/>
      <c r="V239" s="2445"/>
      <c r="W239" s="1401" t="s">
        <v>653</v>
      </c>
      <c r="X239" s="5735" t="s">
        <v>1186</v>
      </c>
      <c r="Y239" s="10881" t="str">
        <f>IF(AM239&lt;&gt;"",ROUND(AM239,0),IF(NOT(AE235),"",SUM($AQ$30,$AQ$34)))</f>
        <v/>
      </c>
      <c r="Z239" s="7655"/>
      <c r="AA239" s="7655"/>
      <c r="AB239" s="7655"/>
      <c r="AC239" s="7655"/>
      <c r="AD239" s="7655"/>
      <c r="AE239" s="2445"/>
      <c r="AF239" s="2445"/>
      <c r="AG239" s="2445"/>
      <c r="AH239" s="2445"/>
      <c r="AI239" s="2445"/>
      <c r="AJ239" s="2445"/>
      <c r="AK239" s="2013"/>
      <c r="AL239" s="253"/>
      <c r="AM239" s="5719"/>
      <c r="AN239" s="253"/>
      <c r="AO239" s="2013"/>
      <c r="AP239" s="253"/>
      <c r="AQ239" s="253"/>
      <c r="AR239" s="658"/>
      <c r="AS239" s="658"/>
      <c r="AT239" s="658"/>
      <c r="AU239" s="658"/>
      <c r="AV239" s="658"/>
      <c r="AW239" s="658"/>
      <c r="AX239" s="658"/>
      <c r="AY239" s="658"/>
      <c r="AZ239" s="658"/>
      <c r="BA239" s="658"/>
      <c r="BB239"/>
      <c r="BC239"/>
    </row>
    <row r="240" spans="1:55" s="815" customFormat="1" ht="21.75" customHeight="1">
      <c r="A240" s="2013"/>
      <c r="B240" s="226"/>
      <c r="C240" s="4478" t="s">
        <v>1181</v>
      </c>
      <c r="D240" s="2445" t="s">
        <v>5617</v>
      </c>
      <c r="E240" s="1560"/>
      <c r="F240" s="1560"/>
      <c r="G240" s="1560"/>
      <c r="H240" s="1560"/>
      <c r="I240" s="1560"/>
      <c r="J240" s="1560"/>
      <c r="K240" s="1560"/>
      <c r="L240" s="1560"/>
      <c r="M240" s="1560"/>
      <c r="N240" s="1560"/>
      <c r="O240" s="1560"/>
      <c r="P240" s="1560"/>
      <c r="Q240" s="88"/>
      <c r="R240" s="88"/>
      <c r="S240" s="88"/>
      <c r="T240" s="88"/>
      <c r="U240" s="229"/>
      <c r="V240" s="88"/>
      <c r="W240" s="229"/>
      <c r="X240" s="88"/>
      <c r="Y240" s="88"/>
      <c r="Z240" s="88"/>
      <c r="AA240" s="88"/>
      <c r="AB240" s="88"/>
      <c r="AC240" s="88"/>
      <c r="AD240" s="88"/>
      <c r="AE240" s="88"/>
      <c r="AF240" s="88"/>
      <c r="AG240" s="88"/>
      <c r="AH240" s="88"/>
      <c r="AI240" s="88"/>
      <c r="AJ240" s="88"/>
      <c r="AK240" s="2013"/>
      <c r="AL240" s="253"/>
      <c r="AM240" s="253"/>
      <c r="AN240" s="253"/>
      <c r="AO240" s="2013"/>
      <c r="AP240" s="253"/>
      <c r="AQ240" s="253"/>
      <c r="AR240" s="658"/>
      <c r="AS240" s="658"/>
      <c r="AT240" s="658"/>
      <c r="AU240" s="658"/>
      <c r="AV240" s="658"/>
      <c r="AW240" s="658"/>
      <c r="AX240" s="658"/>
      <c r="AY240" s="658"/>
      <c r="AZ240" s="658"/>
      <c r="BA240" s="658"/>
      <c r="BB240"/>
      <c r="BC240"/>
    </row>
    <row r="241" spans="1:55" s="815" customFormat="1" ht="16.5" thickBot="1">
      <c r="A241" s="2013"/>
      <c r="B241" s="2447"/>
      <c r="C241" s="4478"/>
      <c r="D241" s="2445" t="s">
        <v>5618</v>
      </c>
      <c r="E241" s="2445"/>
      <c r="F241" s="2445"/>
      <c r="G241" s="2445"/>
      <c r="H241" s="2445"/>
      <c r="I241" s="2445"/>
      <c r="J241" s="2445"/>
      <c r="K241" s="2445"/>
      <c r="L241" s="2445"/>
      <c r="M241" s="2445"/>
      <c r="N241" s="2445"/>
      <c r="O241" s="2445"/>
      <c r="P241" s="2445"/>
      <c r="Q241" s="2445"/>
      <c r="R241" s="2445"/>
      <c r="S241" s="2445"/>
      <c r="T241" s="2445"/>
      <c r="U241" s="2445"/>
      <c r="V241" s="2445"/>
      <c r="W241" s="1401" t="s">
        <v>648</v>
      </c>
      <c r="X241" s="5735" t="s">
        <v>1194</v>
      </c>
      <c r="Y241" s="10898"/>
      <c r="Z241" s="7585"/>
      <c r="AA241" s="7585"/>
      <c r="AB241" s="7585"/>
      <c r="AC241" s="7585"/>
      <c r="AD241" s="7585"/>
      <c r="AE241" s="2445"/>
      <c r="AF241" s="2445"/>
      <c r="AG241" s="2445"/>
      <c r="AH241" s="2445"/>
      <c r="AI241" s="2445"/>
      <c r="AJ241" s="2445"/>
      <c r="AK241" s="2013"/>
      <c r="AL241" s="253"/>
      <c r="AM241" s="253"/>
      <c r="AN241" s="253"/>
      <c r="AO241" s="2013"/>
      <c r="AP241" s="253"/>
      <c r="AQ241" s="253">
        <f>IF(Y241&lt;&gt;"",ROUND(Y241,0),0)</f>
        <v>0</v>
      </c>
      <c r="AR241" s="658"/>
      <c r="AS241" s="658"/>
      <c r="AT241" s="658"/>
      <c r="AU241" s="658"/>
      <c r="AV241" s="658"/>
      <c r="AW241" s="658"/>
      <c r="AX241" s="658"/>
      <c r="AY241" s="658"/>
      <c r="AZ241" s="658"/>
      <c r="BA241" s="658"/>
      <c r="BB241"/>
      <c r="BC241"/>
    </row>
    <row r="242" spans="1:55" s="1239" customFormat="1" ht="21.75" customHeight="1" thickBot="1">
      <c r="A242" s="2306"/>
      <c r="B242" s="5425"/>
      <c r="C242" s="5735" t="s">
        <v>1196</v>
      </c>
      <c r="D242" s="2311" t="s">
        <v>1454</v>
      </c>
      <c r="E242" s="516"/>
      <c r="F242" s="516"/>
      <c r="G242" s="2617"/>
      <c r="H242" s="2617"/>
      <c r="I242" s="2617"/>
      <c r="J242" s="2617"/>
      <c r="K242" s="2617"/>
      <c r="L242" s="2617"/>
      <c r="M242" s="2617"/>
      <c r="N242" s="2617"/>
      <c r="O242" s="2617"/>
      <c r="P242" s="2617"/>
      <c r="Q242" s="182"/>
      <c r="R242" s="182"/>
      <c r="S242" s="182"/>
      <c r="T242" s="182"/>
      <c r="U242" s="3268"/>
      <c r="V242" s="182"/>
      <c r="W242" s="3268"/>
      <c r="X242" s="1401"/>
      <c r="Y242" s="182"/>
      <c r="Z242" s="182"/>
      <c r="AA242" s="182"/>
      <c r="AB242" s="182"/>
      <c r="AC242" s="1401" t="s">
        <v>650</v>
      </c>
      <c r="AD242" s="5735" t="s">
        <v>1202</v>
      </c>
      <c r="AE242" s="10881" t="str">
        <f>IF(AM242&lt;&gt;"",ROUND(AM242,0),IF(NOT(AE235),"",MAX(0,SUM(Y239,-AQ241))))</f>
        <v/>
      </c>
      <c r="AF242" s="7655"/>
      <c r="AG242" s="7655"/>
      <c r="AH242" s="7655"/>
      <c r="AI242" s="7655"/>
      <c r="AJ242" s="7655"/>
      <c r="AK242" s="2306"/>
      <c r="AL242" s="411"/>
      <c r="AM242" s="5719"/>
      <c r="AN242" s="411"/>
      <c r="AO242" s="2306"/>
      <c r="AP242" s="411"/>
      <c r="AQ242" s="411"/>
      <c r="AR242" s="665"/>
      <c r="AS242" s="665"/>
      <c r="AT242" s="665"/>
      <c r="AU242" s="665"/>
      <c r="AV242" s="665"/>
      <c r="AW242" s="665"/>
      <c r="AX242" s="665"/>
      <c r="AY242" s="665"/>
      <c r="AZ242" s="665"/>
      <c r="BA242" s="665"/>
      <c r="BB242" s="141"/>
      <c r="BC242" s="141"/>
    </row>
    <row r="243" spans="1:55" s="1239" customFormat="1" ht="21.75" customHeight="1" thickBot="1">
      <c r="A243" s="2306"/>
      <c r="B243" s="5425"/>
      <c r="C243" s="5735" t="s">
        <v>167</v>
      </c>
      <c r="D243" s="2311" t="s">
        <v>1456</v>
      </c>
      <c r="E243" s="516"/>
      <c r="F243" s="516"/>
      <c r="G243" s="2617"/>
      <c r="H243" s="2617"/>
      <c r="I243" s="2617"/>
      <c r="J243" s="2617"/>
      <c r="K243" s="2617"/>
      <c r="L243" s="2617"/>
      <c r="M243" s="2617"/>
      <c r="N243" s="2617"/>
      <c r="O243" s="2617"/>
      <c r="P243" s="2617"/>
      <c r="Q243" s="182"/>
      <c r="R243" s="182"/>
      <c r="S243" s="182"/>
      <c r="T243" s="182"/>
      <c r="U243" s="3268"/>
      <c r="V243" s="182"/>
      <c r="W243" s="3268"/>
      <c r="X243" s="1401"/>
      <c r="Y243" s="182"/>
      <c r="Z243" s="182"/>
      <c r="AA243" s="182"/>
      <c r="AB243" s="182"/>
      <c r="AC243" s="1401" t="s">
        <v>5387</v>
      </c>
      <c r="AD243" s="5735" t="s">
        <v>167</v>
      </c>
      <c r="AE243" s="10881" t="str">
        <f>IF(AM243&lt;&gt;"",ROUND(AM243,0),IF(NOT(AE235),"",SUM(AE237,AE242)))</f>
        <v/>
      </c>
      <c r="AF243" s="7655"/>
      <c r="AG243" s="7655"/>
      <c r="AH243" s="7655"/>
      <c r="AI243" s="7655"/>
      <c r="AJ243" s="7655"/>
      <c r="AK243" s="2306"/>
      <c r="AL243" s="411"/>
      <c r="AM243" s="5719"/>
      <c r="AN243" s="411"/>
      <c r="AO243" s="5756"/>
      <c r="AP243" s="411"/>
      <c r="AQ243" s="2201" t="b">
        <f>AND($AE$40&lt;&gt;"",$AE$40&lt;&gt;0)</f>
        <v>0</v>
      </c>
      <c r="AR243" s="665"/>
      <c r="AS243" s="665"/>
      <c r="AT243" s="665"/>
      <c r="AU243" s="665"/>
      <c r="AV243" s="665"/>
      <c r="AW243" s="665"/>
      <c r="AX243" s="665"/>
      <c r="AY243" s="665"/>
      <c r="AZ243" s="665"/>
      <c r="BA243" s="665"/>
      <c r="BB243" s="141"/>
      <c r="BC243" s="141"/>
    </row>
    <row r="244" spans="1:55" s="815" customFormat="1" ht="16.5" customHeight="1">
      <c r="A244" s="2013"/>
      <c r="B244" s="5425"/>
      <c r="C244" s="5735" t="s">
        <v>171</v>
      </c>
      <c r="D244" s="342" t="s">
        <v>3073</v>
      </c>
      <c r="E244" s="1323"/>
      <c r="F244" s="1323"/>
      <c r="G244" s="2445"/>
      <c r="H244" s="2445"/>
      <c r="I244" s="2445"/>
      <c r="J244" s="2445"/>
      <c r="K244" s="2445"/>
      <c r="L244" s="2445"/>
      <c r="M244" s="2445"/>
      <c r="N244" s="2445"/>
      <c r="O244" s="2445"/>
      <c r="P244" s="2445"/>
      <c r="Q244" s="2445"/>
      <c r="R244" s="2445"/>
      <c r="S244" s="2445"/>
      <c r="T244" s="2445"/>
      <c r="U244" s="2445"/>
      <c r="V244" s="2445"/>
      <c r="W244" s="2445"/>
      <c r="X244" s="2445"/>
      <c r="Y244" s="2445"/>
      <c r="Z244" s="2445"/>
      <c r="AA244" s="2445"/>
      <c r="AB244" s="2445"/>
      <c r="AC244" s="2445"/>
      <c r="AD244" s="2445"/>
      <c r="AE244" s="2445"/>
      <c r="AF244" s="2445"/>
      <c r="AG244" s="2445"/>
      <c r="AH244" s="2445"/>
      <c r="AI244" s="2445"/>
      <c r="AJ244" s="2445"/>
      <c r="AK244" s="2013"/>
      <c r="AL244" s="253"/>
      <c r="AM244" s="5752"/>
      <c r="AN244" s="253"/>
      <c r="AO244" s="5756"/>
      <c r="AP244" s="253"/>
      <c r="AQ244" s="5766" t="b">
        <f>$AQ$38</f>
        <v>0</v>
      </c>
      <c r="AR244" s="665"/>
      <c r="AS244" s="658"/>
      <c r="AT244" s="658"/>
      <c r="AU244" s="658"/>
      <c r="AV244" s="658"/>
      <c r="AW244" s="658"/>
      <c r="AX244" s="658"/>
      <c r="AY244" s="658"/>
      <c r="AZ244" s="658"/>
      <c r="BA244" s="658"/>
      <c r="BB244"/>
      <c r="BC244"/>
    </row>
    <row r="245" spans="1:55" s="815" customFormat="1" ht="15" customHeight="1">
      <c r="A245" s="2013"/>
      <c r="B245" s="344"/>
      <c r="C245" s="2917"/>
      <c r="D245" s="4242" t="s">
        <v>637</v>
      </c>
      <c r="E245" s="514" t="s">
        <v>5601</v>
      </c>
      <c r="F245" s="253"/>
      <c r="G245" s="10899">
        <f>LastYear</f>
        <v>2024</v>
      </c>
      <c r="H245" s="10899"/>
      <c r="I245" s="1323" t="s">
        <v>5619</v>
      </c>
      <c r="J245" s="253"/>
      <c r="K245" s="253"/>
      <c r="L245" s="253"/>
      <c r="M245" s="253"/>
      <c r="N245" s="253"/>
      <c r="O245" s="253"/>
      <c r="P245" s="253"/>
      <c r="Q245" s="253"/>
      <c r="R245" s="253"/>
      <c r="S245" s="253"/>
      <c r="T245" s="253"/>
      <c r="U245" s="253"/>
      <c r="V245" s="253"/>
      <c r="W245" s="253"/>
      <c r="X245" s="253"/>
      <c r="Y245" s="253"/>
      <c r="Z245" s="253"/>
      <c r="AA245" s="253"/>
      <c r="AB245" s="253"/>
      <c r="AC245" s="1401"/>
      <c r="AD245" s="1323"/>
      <c r="AE245" s="253"/>
      <c r="AF245" s="253"/>
      <c r="AG245" s="253"/>
      <c r="AH245" s="253"/>
      <c r="AI245" s="253"/>
      <c r="AJ245" s="253"/>
      <c r="AK245" s="2013"/>
      <c r="AL245" s="253"/>
      <c r="AM245" s="5753"/>
      <c r="AN245" s="253"/>
      <c r="AO245" s="5756"/>
      <c r="AP245" s="253"/>
      <c r="AQ245" s="2201" t="b">
        <f>AND($AE$46&lt;&gt;"",$AE$46&gt;0,$AE$48&lt;&gt;"",$AE$48&gt;0)</f>
        <v>0</v>
      </c>
      <c r="AR245" s="665"/>
      <c r="AS245" s="658"/>
      <c r="AT245" s="658"/>
      <c r="AU245" s="658"/>
      <c r="AV245" s="658"/>
      <c r="AW245" s="658"/>
      <c r="AX245" s="658"/>
      <c r="AY245" s="658"/>
      <c r="AZ245" s="658"/>
      <c r="BA245" s="658"/>
      <c r="BB245"/>
      <c r="BC245"/>
    </row>
    <row r="246" spans="1:55" s="815" customFormat="1" ht="15" customHeight="1">
      <c r="A246" s="2013"/>
      <c r="B246" s="344"/>
      <c r="C246" s="2917"/>
      <c r="D246" s="1323" t="s">
        <v>5620</v>
      </c>
      <c r="E246" s="1323"/>
      <c r="F246" s="253"/>
      <c r="G246" s="253"/>
      <c r="H246" s="253"/>
      <c r="I246" s="253"/>
      <c r="J246" s="253"/>
      <c r="K246" s="253"/>
      <c r="L246" s="253"/>
      <c r="M246" s="253"/>
      <c r="N246" s="253"/>
      <c r="O246" s="253"/>
      <c r="P246" s="253"/>
      <c r="Q246" s="253"/>
      <c r="R246" s="253"/>
      <c r="S246" s="253"/>
      <c r="T246" s="253"/>
      <c r="U246" s="253"/>
      <c r="V246" s="253"/>
      <c r="W246" s="1401"/>
      <c r="X246" s="253"/>
      <c r="Y246" s="253"/>
      <c r="Z246" s="253"/>
      <c r="AA246" s="253"/>
      <c r="AB246" s="253"/>
      <c r="AC246" s="253"/>
      <c r="AD246" s="1323"/>
      <c r="AE246" s="253"/>
      <c r="AF246" s="253"/>
      <c r="AG246" s="253"/>
      <c r="AH246" s="253"/>
      <c r="AI246" s="253"/>
      <c r="AJ246" s="253"/>
      <c r="AK246" s="2013"/>
      <c r="AL246" s="253"/>
      <c r="AM246" s="5753"/>
      <c r="AN246" s="253"/>
      <c r="AO246" s="5755"/>
      <c r="AP246" s="253"/>
      <c r="AQ246" s="724" t="b">
        <f>AND(OR(AB235,AE235),OR(AQ243,AQ244,AQ245))</f>
        <v>0</v>
      </c>
      <c r="AR246" s="665"/>
      <c r="AS246" s="658"/>
      <c r="AT246" s="658"/>
      <c r="AU246" s="658"/>
      <c r="AV246" s="658"/>
      <c r="AW246" s="658"/>
      <c r="AX246" s="658"/>
      <c r="AY246" s="658"/>
      <c r="AZ246" s="658"/>
      <c r="BA246" s="658"/>
      <c r="BB246"/>
      <c r="BC246"/>
    </row>
    <row r="247" spans="1:55" s="815" customFormat="1" ht="15.75" customHeight="1" thickBot="1">
      <c r="A247" s="2013"/>
      <c r="B247" s="344"/>
      <c r="C247" s="2917"/>
      <c r="D247" s="1323" t="s">
        <v>5621</v>
      </c>
      <c r="E247" s="1323"/>
      <c r="F247" s="253"/>
      <c r="G247" s="253"/>
      <c r="H247" s="253"/>
      <c r="I247" s="253"/>
      <c r="J247" s="253"/>
      <c r="K247" s="253"/>
      <c r="L247" s="253"/>
      <c r="M247" s="253"/>
      <c r="N247" s="253"/>
      <c r="O247" s="253"/>
      <c r="P247" s="253"/>
      <c r="Q247" s="253"/>
      <c r="R247" s="253"/>
      <c r="S247" s="253"/>
      <c r="T247" s="253"/>
      <c r="U247" s="253"/>
      <c r="V247" s="253"/>
      <c r="W247" s="253"/>
      <c r="X247" s="253"/>
      <c r="Y247" s="253"/>
      <c r="Z247" s="253"/>
      <c r="AA247" s="253"/>
      <c r="AB247" s="253"/>
      <c r="AC247" s="1401"/>
      <c r="AD247" s="1323"/>
      <c r="AE247" s="10892" t="b">
        <f>AE242=""</f>
        <v>1</v>
      </c>
      <c r="AF247" s="10880"/>
      <c r="AG247" s="10880"/>
      <c r="AH247" s="10880"/>
      <c r="AI247" s="10880"/>
      <c r="AJ247" s="10880"/>
      <c r="AK247" s="2013"/>
      <c r="AL247" s="253"/>
      <c r="AM247" s="5754"/>
      <c r="AN247" s="253"/>
      <c r="AO247" s="5755"/>
      <c r="AP247" s="253"/>
      <c r="AQ247" s="253"/>
      <c r="AR247" s="658"/>
      <c r="AS247" s="658"/>
      <c r="AT247" s="658"/>
      <c r="AU247" s="658"/>
      <c r="AV247" s="658"/>
      <c r="AW247" s="658"/>
      <c r="AX247" s="658"/>
      <c r="AY247" s="658"/>
      <c r="AZ247" s="658"/>
      <c r="BA247" s="658"/>
      <c r="BB247"/>
      <c r="BC247"/>
    </row>
    <row r="248" spans="1:55" s="815" customFormat="1" ht="15" customHeight="1" thickBot="1">
      <c r="A248" s="2013"/>
      <c r="B248" s="344"/>
      <c r="C248" s="2917"/>
      <c r="D248" s="1323" t="s">
        <v>5622</v>
      </c>
      <c r="E248" s="1323"/>
      <c r="F248" s="253"/>
      <c r="G248" s="253"/>
      <c r="H248" s="253"/>
      <c r="I248" s="253"/>
      <c r="J248" s="253"/>
      <c r="K248" s="512"/>
      <c r="L248" s="512"/>
      <c r="M248" s="512"/>
      <c r="N248" s="512"/>
      <c r="O248" s="512"/>
      <c r="P248" s="512"/>
      <c r="Q248" s="253"/>
      <c r="R248" s="253"/>
      <c r="S248" s="253"/>
      <c r="T248" s="253"/>
      <c r="U248" s="253"/>
      <c r="V248" s="253"/>
      <c r="W248" s="253"/>
      <c r="X248" s="253"/>
      <c r="Y248" s="253"/>
      <c r="Z248" s="253"/>
      <c r="AA248" s="253"/>
      <c r="AB248" s="253"/>
      <c r="AC248" s="253"/>
      <c r="AD248" s="5735" t="s">
        <v>171</v>
      </c>
      <c r="AE248" s="10881" t="str">
        <f>IF(AM248&lt;&gt;"",ROUND(AM248,0),IF(OR(AE247,AND($AL$76="",$AQ$83=0),NOT(AE235)),"",AQ248))</f>
        <v/>
      </c>
      <c r="AF248" s="7655"/>
      <c r="AG248" s="7655"/>
      <c r="AH248" s="7655"/>
      <c r="AI248" s="7655"/>
      <c r="AJ248" s="7655"/>
      <c r="AK248" s="2013"/>
      <c r="AL248" s="253"/>
      <c r="AM248" s="5719"/>
      <c r="AN248" s="1806"/>
      <c r="AO248" s="2013"/>
      <c r="AP248" s="253"/>
      <c r="AQ248" s="1193">
        <f>IF(OR(NOT(AE235),$AQ$83=0),0,IF(AND($AQ$83=3&lt;&gt;"",AE243&lt;=$AQ$114),ROUND(AE243*$AQ$115,0),IF(AE243&lt;=$AQ$113,ROUND(AE243*$AQ$115,0),IF($AQ$83=3,SUM(ROUND(AE243*$AQ$118,0),-$AQ$117),SUM(ROUND(AE243*$AQ$118,0)-$AQ$116)))))</f>
        <v>0</v>
      </c>
      <c r="AR248" s="658"/>
      <c r="AS248" s="658"/>
      <c r="AT248" s="658"/>
      <c r="AU248" s="658"/>
      <c r="AV248" s="658"/>
      <c r="AW248" s="658"/>
      <c r="AX248" s="658"/>
      <c r="AY248" s="658"/>
      <c r="AZ248" s="658"/>
      <c r="BA248" s="658"/>
      <c r="BB248"/>
      <c r="BC248"/>
    </row>
    <row r="249" spans="1:55" s="815" customFormat="1" ht="15" customHeight="1">
      <c r="A249" s="2013"/>
      <c r="B249" s="344"/>
      <c r="C249" s="2723"/>
      <c r="D249" s="1323" t="s">
        <v>5623</v>
      </c>
      <c r="E249" s="1323"/>
      <c r="F249" s="253"/>
      <c r="G249" s="253"/>
      <c r="H249" s="253"/>
      <c r="I249" s="253"/>
      <c r="J249" s="253"/>
      <c r="K249" s="512"/>
      <c r="L249" s="512"/>
      <c r="M249" s="512"/>
      <c r="N249" s="512"/>
      <c r="O249" s="512"/>
      <c r="P249" s="512"/>
      <c r="Q249" s="253"/>
      <c r="R249" s="253"/>
      <c r="S249" s="253"/>
      <c r="T249" s="253"/>
      <c r="U249" s="253"/>
      <c r="V249" s="253"/>
      <c r="W249" s="253"/>
      <c r="X249" s="253"/>
      <c r="Y249" s="253"/>
      <c r="Z249" s="253"/>
      <c r="AA249" s="253"/>
      <c r="AB249" s="253"/>
      <c r="AC249" s="253"/>
      <c r="AD249" s="1323"/>
      <c r="AE249" s="253"/>
      <c r="AF249" s="253"/>
      <c r="AG249" s="253"/>
      <c r="AH249" s="253"/>
      <c r="AI249" s="253"/>
      <c r="AJ249" s="253"/>
      <c r="AK249" s="2013"/>
      <c r="AL249" s="253"/>
      <c r="AM249" s="253"/>
      <c r="AN249" s="253"/>
      <c r="AO249" s="2013"/>
      <c r="AP249" s="253"/>
      <c r="AQ249" s="1193"/>
      <c r="AR249" s="658"/>
      <c r="AS249" s="658"/>
      <c r="AT249" s="658"/>
      <c r="AU249" s="658"/>
      <c r="AV249" s="658"/>
      <c r="AW249" s="658"/>
      <c r="AX249" s="658"/>
      <c r="AY249" s="658"/>
      <c r="AZ249" s="658"/>
      <c r="BA249" s="658"/>
      <c r="BB249"/>
      <c r="BC249"/>
    </row>
    <row r="250" spans="1:55" s="815" customFormat="1" ht="15.75">
      <c r="A250" s="2013"/>
      <c r="B250" s="344"/>
      <c r="C250" s="4478"/>
      <c r="D250" s="1323" t="s">
        <v>5624</v>
      </c>
      <c r="E250" s="1323"/>
      <c r="F250" s="1323"/>
      <c r="G250" s="1323"/>
      <c r="H250" s="1323"/>
      <c r="I250" s="1323"/>
      <c r="J250" s="1323"/>
      <c r="K250" s="1323"/>
      <c r="L250" s="1323"/>
      <c r="M250" s="1323"/>
      <c r="N250" s="1323"/>
      <c r="O250" s="1323"/>
      <c r="P250" s="1323"/>
      <c r="Q250" s="1323"/>
      <c r="R250" s="1323"/>
      <c r="S250" s="1323"/>
      <c r="T250" s="1323"/>
      <c r="U250" s="1323"/>
      <c r="V250" s="1323"/>
      <c r="W250" s="1323"/>
      <c r="X250" s="1323"/>
      <c r="Y250" s="1323"/>
      <c r="Z250" s="1323"/>
      <c r="AA250" s="1323"/>
      <c r="AB250" s="1323"/>
      <c r="AC250" s="1323"/>
      <c r="AD250" s="1323"/>
      <c r="AE250" s="2445"/>
      <c r="AF250" s="2445"/>
      <c r="AG250" s="2445"/>
      <c r="AH250" s="2445"/>
      <c r="AI250" s="2445"/>
      <c r="AJ250" s="2445"/>
      <c r="AK250" s="2013"/>
      <c r="AL250" s="253"/>
      <c r="AM250" s="253"/>
      <c r="AN250" s="253"/>
      <c r="AO250" s="2013"/>
      <c r="AP250" s="253"/>
      <c r="AQ250" s="253"/>
      <c r="AR250" s="658"/>
      <c r="AS250" s="658"/>
      <c r="AT250" s="658"/>
      <c r="AU250" s="658"/>
      <c r="AV250" s="658"/>
      <c r="AW250" s="658"/>
      <c r="AX250" s="658"/>
      <c r="AY250" s="658"/>
      <c r="AZ250" s="658"/>
      <c r="BA250" s="658"/>
      <c r="BB250"/>
      <c r="BC250"/>
    </row>
    <row r="251" spans="1:55" s="815" customFormat="1" ht="14.25" customHeight="1">
      <c r="A251" s="2013"/>
      <c r="B251" s="8824"/>
      <c r="C251" s="8824"/>
      <c r="D251" s="4242" t="s">
        <v>637</v>
      </c>
      <c r="E251" s="514" t="s">
        <v>3708</v>
      </c>
      <c r="F251" s="253"/>
      <c r="G251" s="1323"/>
      <c r="H251" s="1323" t="str">
        <f>"If line 3 is "&amp;TEXT($AQ$113,"$0,000")&amp;" or less ("&amp;TEXT($AQ$114,"$0,000")&amp;" or less if married filing separately for "&amp;LastYear&amp;"),"</f>
        <v>If line 3 is $232,600 or less ($116,300 or less if married filing separately for 2024),</v>
      </c>
      <c r="I251" s="253"/>
      <c r="J251" s="253"/>
      <c r="K251" s="512"/>
      <c r="L251" s="512"/>
      <c r="M251" s="512"/>
      <c r="N251" s="512"/>
      <c r="O251" s="512"/>
      <c r="P251" s="512"/>
      <c r="Q251" s="253"/>
      <c r="R251" s="253"/>
      <c r="S251" s="253"/>
      <c r="T251" s="253"/>
      <c r="U251" s="253"/>
      <c r="V251" s="253"/>
      <c r="W251" s="253"/>
      <c r="X251" s="253"/>
      <c r="Y251" s="253"/>
      <c r="Z251" s="3817"/>
      <c r="AA251" s="253"/>
      <c r="AB251" s="3817"/>
      <c r="AC251" s="5361"/>
      <c r="AD251" s="253"/>
      <c r="AE251" s="253"/>
      <c r="AF251" s="253"/>
      <c r="AG251" s="253"/>
      <c r="AH251" s="253"/>
      <c r="AI251" s="253"/>
      <c r="AJ251" s="253"/>
      <c r="AK251" s="2013"/>
      <c r="AL251" s="253"/>
      <c r="AM251" s="253"/>
      <c r="AN251" s="253"/>
      <c r="AO251" s="2013"/>
      <c r="AP251" s="253"/>
      <c r="AQ251" s="1193">
        <f>IF(AE243="",0,ROUND(AE243*$AQ$115,0))</f>
        <v>0</v>
      </c>
      <c r="AR251" s="658"/>
      <c r="AS251" s="658"/>
      <c r="AT251" s="658"/>
      <c r="AU251" s="658"/>
      <c r="AV251" s="658"/>
      <c r="AW251" s="658"/>
      <c r="AX251" s="658"/>
      <c r="AY251" s="658"/>
      <c r="AZ251" s="658"/>
      <c r="BA251" s="658"/>
      <c r="BB251"/>
      <c r="BC251"/>
    </row>
    <row r="252" spans="1:55" s="815" customFormat="1" ht="14.25" customHeight="1">
      <c r="A252" s="2013"/>
      <c r="B252" s="253"/>
      <c r="C252" s="2917"/>
      <c r="D252" s="1323" t="str">
        <f>"multiply line 3 by "&amp;TEXT($AQ$115,"0%")&amp;" ("&amp;TEXT($AQ$115,"0.00")&amp;"). Otherwise, multiply line 3 by "&amp;TEXT($AQ$118,"0%")&amp;" ("&amp;TEXT($AQ$118,"0.00")&amp;") and subtract "&amp;TEXT($AQ$116,"$0,000")</f>
        <v>multiply line 3 by 26% (0.26). Otherwise, multiply line 3 by 28% (0.28) and subtract $4,652</v>
      </c>
      <c r="E252" s="1323"/>
      <c r="F252" s="253"/>
      <c r="G252" s="253"/>
      <c r="H252" s="253"/>
      <c r="I252" s="253"/>
      <c r="J252" s="253"/>
      <c r="K252" s="512"/>
      <c r="L252" s="512"/>
      <c r="M252" s="512"/>
      <c r="N252" s="512"/>
      <c r="O252" s="512"/>
      <c r="P252" s="512"/>
      <c r="Q252" s="253"/>
      <c r="R252" s="253"/>
      <c r="S252" s="253"/>
      <c r="T252" s="253"/>
      <c r="U252" s="253"/>
      <c r="V252" s="253"/>
      <c r="W252" s="253"/>
      <c r="X252" s="253"/>
      <c r="Y252" s="253"/>
      <c r="Z252" s="253"/>
      <c r="AA252" s="253"/>
      <c r="AB252" s="253"/>
      <c r="AC252" s="253"/>
      <c r="AD252" s="253"/>
      <c r="AE252" s="253"/>
      <c r="AF252" s="253"/>
      <c r="AG252" s="253"/>
      <c r="AH252" s="253"/>
      <c r="AI252" s="253"/>
      <c r="AJ252" s="253"/>
      <c r="AK252" s="2013"/>
      <c r="AL252" s="253"/>
      <c r="AM252" s="253"/>
      <c r="AN252" s="253"/>
      <c r="AO252" s="2013"/>
      <c r="AP252" s="253"/>
      <c r="AQ252" s="1193">
        <f>IF(AE243="",0,SUM(ROUND(AE243*$AQ$118,0),-$AQ$116))</f>
        <v>0</v>
      </c>
      <c r="AR252" s="658"/>
      <c r="AS252" s="658"/>
      <c r="AT252" s="658"/>
      <c r="AU252" s="658"/>
      <c r="AV252" s="658"/>
      <c r="AW252" s="658"/>
      <c r="AX252" s="658"/>
      <c r="AY252" s="658"/>
      <c r="AZ252" s="658"/>
      <c r="BA252" s="658"/>
      <c r="BB252"/>
      <c r="BC252"/>
    </row>
    <row r="253" spans="1:55" s="815" customFormat="1" ht="14.25" customHeight="1">
      <c r="A253" s="2013"/>
      <c r="B253" s="253"/>
      <c r="C253" s="2917"/>
      <c r="D253" s="1323" t="str">
        <f>"("&amp;TEXT($AQ$117,"$0,000")&amp;" if married filing separately for "&amp;LastYear&amp;") from the result."</f>
        <v>($2,326 if married filing separately for 2024) from the result.</v>
      </c>
      <c r="E253" s="1323"/>
      <c r="F253" s="253"/>
      <c r="G253" s="253"/>
      <c r="H253" s="253"/>
      <c r="I253" s="253"/>
      <c r="J253" s="253"/>
      <c r="K253" s="512"/>
      <c r="L253" s="512"/>
      <c r="M253" s="512"/>
      <c r="N253" s="512"/>
      <c r="O253" s="512"/>
      <c r="P253" s="512"/>
      <c r="Q253" s="253"/>
      <c r="R253" s="253"/>
      <c r="S253" s="253"/>
      <c r="T253" s="253"/>
      <c r="U253" s="253"/>
      <c r="V253" s="253"/>
      <c r="W253" s="253"/>
      <c r="X253" s="253"/>
      <c r="Y253" s="253"/>
      <c r="Z253" s="253"/>
      <c r="AA253" s="253"/>
      <c r="AB253" s="253"/>
      <c r="AC253" s="253"/>
      <c r="AD253" s="253"/>
      <c r="AE253" s="253"/>
      <c r="AF253" s="253"/>
      <c r="AG253" s="253"/>
      <c r="AH253" s="253"/>
      <c r="AI253" s="253"/>
      <c r="AJ253" s="253"/>
      <c r="AK253" s="2013"/>
      <c r="AL253" s="512"/>
      <c r="AM253" s="253"/>
      <c r="AN253" s="253"/>
      <c r="AO253" s="2013"/>
      <c r="AP253" s="253"/>
      <c r="AQ253" s="1193">
        <f>IF(AE243="",0,SUM(ROUND(AE243*$AQ$118,0),-$AQ$117))</f>
        <v>0</v>
      </c>
      <c r="AR253" s="658"/>
      <c r="AS253" s="658"/>
      <c r="AT253" s="658"/>
      <c r="AU253" s="658"/>
      <c r="AV253" s="658"/>
      <c r="AW253" s="658"/>
      <c r="AX253" s="658"/>
      <c r="AY253" s="658"/>
      <c r="AZ253" s="658"/>
      <c r="BA253" s="658"/>
      <c r="BB253"/>
      <c r="BC253"/>
    </row>
    <row r="254" spans="1:55" s="815" customFormat="1" ht="15.75">
      <c r="A254" s="2013"/>
      <c r="B254" s="5425"/>
      <c r="C254" s="5735" t="s">
        <v>184</v>
      </c>
      <c r="D254" s="342" t="s">
        <v>5625</v>
      </c>
      <c r="E254" s="1323"/>
      <c r="F254" s="1323"/>
      <c r="G254" s="2445"/>
      <c r="H254" s="2445"/>
      <c r="I254" s="2445"/>
      <c r="J254" s="2445"/>
      <c r="K254" s="2445"/>
      <c r="L254" s="2445"/>
      <c r="M254" s="1323" t="str">
        <f>"If line 2c is "&amp;TEXT($AQ$113,"$0,000")&amp;" or less ("&amp;TEXT($AQ$114,"$0,000")&amp;" or less if married filing"</f>
        <v>If line 2c is $232,600 or less ($116,300 or less if married filing</v>
      </c>
      <c r="N254" s="2445"/>
      <c r="O254" s="2445"/>
      <c r="P254" s="2445"/>
      <c r="Q254" s="2445"/>
      <c r="R254" s="2445"/>
      <c r="S254" s="2445"/>
      <c r="T254" s="2445"/>
      <c r="U254" s="2445"/>
      <c r="V254" s="2445"/>
      <c r="W254" s="2445"/>
      <c r="X254" s="2445"/>
      <c r="Y254" s="2445"/>
      <c r="Z254" s="2445"/>
      <c r="AA254" s="2445"/>
      <c r="AB254" s="2445"/>
      <c r="AC254" s="2445"/>
      <c r="AD254" s="2445"/>
      <c r="AE254" s="2445"/>
      <c r="AF254" s="2445"/>
      <c r="AG254" s="2445"/>
      <c r="AH254" s="2445"/>
      <c r="AI254" s="2445"/>
      <c r="AJ254" s="2445"/>
      <c r="AK254" s="2013"/>
      <c r="AL254" s="253"/>
      <c r="AM254" s="253"/>
      <c r="AN254" s="253"/>
      <c r="AO254" s="2013"/>
      <c r="AP254" s="253"/>
      <c r="AQ254" s="253"/>
      <c r="AR254" s="658"/>
      <c r="AS254" s="658"/>
      <c r="AT254" s="658"/>
      <c r="AU254" s="658"/>
      <c r="AV254" s="658"/>
      <c r="AW254" s="658"/>
      <c r="AX254" s="658"/>
      <c r="AY254" s="658"/>
      <c r="AZ254" s="658"/>
      <c r="BA254" s="658"/>
      <c r="BB254"/>
      <c r="BC254"/>
    </row>
    <row r="255" spans="1:55" s="815" customFormat="1" ht="16.5" thickBot="1">
      <c r="A255" s="2013"/>
      <c r="B255" s="5014"/>
      <c r="C255" s="4478"/>
      <c r="D255" s="1323" t="str">
        <f>"separately for "&amp;LastYear&amp;"), multiply line 2c by "&amp;TEXT($AQ$115,"0%")&amp;" ("&amp;TEXT($AQ$115,"0.00")&amp;"). Otherwise, multiply line 2c by "&amp;TEXT($AQ$118,"0%")&amp;" ("&amp;TEXT($AQ$118,"0.00")&amp;") and"</f>
        <v>separately for 2024), multiply line 2c by 26% (0.26). Otherwise, multiply line 2c by 28% (0.28) and</v>
      </c>
      <c r="E255" s="1323"/>
      <c r="F255" s="1323"/>
      <c r="G255" s="1323"/>
      <c r="H255" s="1323"/>
      <c r="I255" s="1323"/>
      <c r="J255" s="1323"/>
      <c r="K255" s="1323"/>
      <c r="L255" s="1323"/>
      <c r="M255" s="1323"/>
      <c r="N255" s="1323"/>
      <c r="O255" s="1323"/>
      <c r="P255" s="1323"/>
      <c r="Q255" s="1323"/>
      <c r="R255" s="1323"/>
      <c r="S255" s="1323"/>
      <c r="T255" s="1323"/>
      <c r="U255" s="1323"/>
      <c r="V255" s="1323"/>
      <c r="W255" s="1323"/>
      <c r="X255" s="1323"/>
      <c r="Y255" s="1323"/>
      <c r="Z255" s="1323"/>
      <c r="AA255" s="1323"/>
      <c r="AB255" s="1323"/>
      <c r="AC255" s="1323"/>
      <c r="AD255" s="1323"/>
      <c r="AE255" s="2445"/>
      <c r="AF255" s="2445"/>
      <c r="AG255" s="2445"/>
      <c r="AH255" s="2445"/>
      <c r="AI255" s="2445"/>
      <c r="AJ255" s="2445"/>
      <c r="AK255" s="2013"/>
      <c r="AL255" s="253"/>
      <c r="AM255" s="253"/>
      <c r="AN255" s="253"/>
      <c r="AO255" s="2013"/>
      <c r="AP255" s="253"/>
      <c r="AQ255" s="411"/>
      <c r="AR255" s="658"/>
      <c r="AS255" s="658"/>
      <c r="AT255" s="658"/>
      <c r="AU255" s="658"/>
      <c r="AV255" s="658"/>
      <c r="AW255" s="658"/>
      <c r="AX255" s="658"/>
      <c r="AY255" s="658"/>
      <c r="AZ255" s="658"/>
      <c r="BA255" s="658"/>
      <c r="BB255"/>
      <c r="BC255"/>
    </row>
    <row r="256" spans="1:55" s="815" customFormat="1" ht="16.5" thickBot="1">
      <c r="A256" s="2013"/>
      <c r="B256" s="5014"/>
      <c r="C256" s="4478"/>
      <c r="D256" s="1323" t="str">
        <f>"subtract "&amp;TEXT($AQ$116,"$0,000")&amp;" ("&amp;TEXT($AQ$117,"$0,000")&amp;" if married filing separately for "&amp;LastYear&amp;") from the result."</f>
        <v>subtract $4,652 ($2,326 if married filing separately for 2024) from the result.</v>
      </c>
      <c r="E256" s="1323"/>
      <c r="F256" s="1323"/>
      <c r="G256" s="1323"/>
      <c r="H256" s="1323"/>
      <c r="I256" s="1323"/>
      <c r="J256" s="1323"/>
      <c r="K256" s="1323"/>
      <c r="L256" s="1323"/>
      <c r="M256" s="1323"/>
      <c r="N256" s="1323"/>
      <c r="O256" s="1323"/>
      <c r="P256" s="1323"/>
      <c r="Q256" s="1323"/>
      <c r="R256" s="1323"/>
      <c r="S256" s="1323"/>
      <c r="T256" s="1323"/>
      <c r="U256" s="1323"/>
      <c r="V256" s="1323"/>
      <c r="W256" s="1323"/>
      <c r="X256" s="1401"/>
      <c r="Y256" s="1323"/>
      <c r="Z256" s="1323"/>
      <c r="AA256" s="1323"/>
      <c r="AB256" s="1323"/>
      <c r="AC256" s="1401" t="s">
        <v>702</v>
      </c>
      <c r="AD256" s="5735" t="s">
        <v>184</v>
      </c>
      <c r="AE256" s="10881" t="str">
        <f>IF(AM256&lt;&gt;"",ROUND(AM256,0),IF(NOT(AE235),"",AQ256))</f>
        <v/>
      </c>
      <c r="AF256" s="7655"/>
      <c r="AG256" s="7655"/>
      <c r="AH256" s="7655"/>
      <c r="AI256" s="7655"/>
      <c r="AJ256" s="7655"/>
      <c r="AK256" s="2013"/>
      <c r="AL256" s="253"/>
      <c r="AM256" s="5719"/>
      <c r="AN256" s="253"/>
      <c r="AO256" s="2013"/>
      <c r="AP256" s="253"/>
      <c r="AQ256" s="1193">
        <f>IF(AE242="",0,IF(AND($AQ$83=3&lt;&gt;"",AE242&lt;=$AQ$114),ROUND(AE242*$AQ$115,0),IF(AE242&lt;=$AQ$113,ROUND(AE242*$AQ$115,0),IF($AQ$83=3,SUM(ROUND(AE242*$AQ$118,0),-$AQ$117),SUM(ROUND(AE242*$AQ$118,0)-$AQ$116)))))</f>
        <v>0</v>
      </c>
      <c r="AR256" s="658"/>
      <c r="AS256" s="658"/>
      <c r="AT256" s="658"/>
      <c r="AU256" s="658"/>
      <c r="AV256" s="658"/>
      <c r="AW256" s="658"/>
      <c r="AX256" s="658"/>
      <c r="AY256" s="658"/>
      <c r="AZ256" s="658"/>
      <c r="BA256" s="658"/>
      <c r="BB256"/>
      <c r="BC256"/>
    </row>
    <row r="257" spans="1:55" s="1239" customFormat="1" ht="21.75" customHeight="1" thickBot="1">
      <c r="A257" s="2306"/>
      <c r="B257" s="5425"/>
      <c r="C257" s="5735" t="s">
        <v>188</v>
      </c>
      <c r="D257" s="2311" t="s">
        <v>5626</v>
      </c>
      <c r="E257" s="516"/>
      <c r="F257" s="516"/>
      <c r="G257" s="2617"/>
      <c r="H257" s="2617"/>
      <c r="I257" s="2617"/>
      <c r="J257" s="2617"/>
      <c r="K257" s="2617"/>
      <c r="L257" s="2617"/>
      <c r="M257" s="2617"/>
      <c r="N257" s="2617"/>
      <c r="O257" s="2617"/>
      <c r="P257" s="2617"/>
      <c r="Q257" s="182"/>
      <c r="R257" s="182"/>
      <c r="S257" s="182"/>
      <c r="T257" s="182"/>
      <c r="U257" s="3268"/>
      <c r="V257" s="182"/>
      <c r="W257" s="3268"/>
      <c r="X257" s="1401" t="s">
        <v>3023</v>
      </c>
      <c r="Y257" s="182"/>
      <c r="Z257" s="182"/>
      <c r="AA257" s="182"/>
      <c r="AB257" s="182"/>
      <c r="AC257" s="1401" t="s">
        <v>702</v>
      </c>
      <c r="AD257" s="5735" t="s">
        <v>188</v>
      </c>
      <c r="AE257" s="10881" t="str">
        <f>IF(AM248&lt;&gt;"",ROUND(AM248,0),IF(OR(AE247,AND($AL$76="",$AQ$83=0),NOT(AE235)),"",SUM(AE248,-AE256)))</f>
        <v/>
      </c>
      <c r="AF257" s="7655"/>
      <c r="AG257" s="7655"/>
      <c r="AH257" s="7655"/>
      <c r="AI257" s="7655"/>
      <c r="AJ257" s="7655"/>
      <c r="AK257" s="2306"/>
      <c r="AL257" s="411"/>
      <c r="AM257" s="5719"/>
      <c r="AN257" s="411"/>
      <c r="AO257" s="2306"/>
      <c r="AP257" s="411"/>
      <c r="AQ257" s="1193"/>
      <c r="AR257" s="665"/>
      <c r="AS257" s="665"/>
      <c r="AT257" s="665"/>
      <c r="AU257" s="665"/>
      <c r="AV257" s="665"/>
      <c r="AW257" s="665"/>
      <c r="AX257" s="665"/>
      <c r="AY257" s="665"/>
      <c r="AZ257" s="665"/>
      <c r="BA257" s="665"/>
      <c r="BB257" s="141"/>
      <c r="BC257" s="141"/>
    </row>
    <row r="258" spans="1:55" s="815" customFormat="1" ht="18" customHeight="1" thickBot="1">
      <c r="A258" s="2013"/>
      <c r="B258" s="380"/>
      <c r="C258" s="4225"/>
      <c r="D258" s="380"/>
      <c r="E258" s="380"/>
      <c r="F258" s="380"/>
      <c r="G258" s="380"/>
      <c r="H258" s="380"/>
      <c r="I258" s="380"/>
      <c r="J258" s="380"/>
      <c r="K258" s="380"/>
      <c r="L258" s="380"/>
      <c r="M258" s="380"/>
      <c r="N258" s="380"/>
      <c r="O258" s="380"/>
      <c r="P258" s="380"/>
      <c r="Q258" s="380"/>
      <c r="R258" s="380"/>
      <c r="S258" s="380"/>
      <c r="T258" s="380"/>
      <c r="U258" s="380"/>
      <c r="V258" s="380"/>
      <c r="W258" s="380"/>
      <c r="X258" s="380"/>
      <c r="Y258" s="380"/>
      <c r="Z258" s="380"/>
      <c r="AA258" s="380"/>
      <c r="AB258" s="380"/>
      <c r="AC258" s="380"/>
      <c r="AD258" s="380"/>
      <c r="AE258" s="380"/>
      <c r="AF258" s="380"/>
      <c r="AG258" s="380"/>
      <c r="AH258" s="380"/>
      <c r="AI258" s="5725"/>
      <c r="AJ258" s="5726"/>
      <c r="AK258" s="2013"/>
      <c r="AL258" s="253"/>
      <c r="AM258" s="253"/>
      <c r="AN258" s="253"/>
      <c r="AO258" s="2013"/>
      <c r="AP258" s="253"/>
      <c r="AQ258" s="253"/>
      <c r="AR258" s="658"/>
      <c r="AS258" s="658"/>
      <c r="AT258" s="658"/>
      <c r="AU258" s="658"/>
      <c r="AV258" s="658"/>
      <c r="AW258" s="658"/>
      <c r="AX258" s="658"/>
      <c r="AY258" s="658"/>
      <c r="AZ258" s="658"/>
      <c r="BA258" s="658"/>
      <c r="BB258"/>
      <c r="BC258"/>
    </row>
  </sheetData>
  <sheetProtection algorithmName="SHA-512" hashValue="lpd5y5CA12AMl8BNq+hJbWv8KSZ+U8J6ks11f2WCOAT3ZDZOLF2B0nZhezq3gIKhnLSjMGcsmkRmFWtSz2a3tQ==" saltValue="S+P8Do0y1uMuSQfN/gGtQg==" spinCount="100000" sheet="1" objects="1" scenarios="1" formatCells="0" formatColumns="0" formatRows="0"/>
  <mergeCells count="212">
    <mergeCell ref="AB235:AD235"/>
    <mergeCell ref="AO136:AO139"/>
    <mergeCell ref="AE235:AJ235"/>
    <mergeCell ref="O63:R63"/>
    <mergeCell ref="O61:R61"/>
    <mergeCell ref="D78:O78"/>
    <mergeCell ref="AO86:AO96"/>
    <mergeCell ref="AO77:AO83"/>
    <mergeCell ref="AE48:AJ48"/>
    <mergeCell ref="AA172:AB172"/>
    <mergeCell ref="O56:R56"/>
    <mergeCell ref="AM88:AM89"/>
    <mergeCell ref="AE223:AJ223"/>
    <mergeCell ref="AE224:AJ224"/>
    <mergeCell ref="AE225:AJ225"/>
    <mergeCell ref="AE226:AJ226"/>
    <mergeCell ref="AE228:AJ228"/>
    <mergeCell ref="AO104:AO110"/>
    <mergeCell ref="AE161:AJ161"/>
    <mergeCell ref="AE162:AJ162"/>
    <mergeCell ref="AE165:AJ165"/>
    <mergeCell ref="AE170:AJ170"/>
    <mergeCell ref="AE172:AJ172"/>
    <mergeCell ref="AE120:AJ120"/>
    <mergeCell ref="I38:J38"/>
    <mergeCell ref="K38:N38"/>
    <mergeCell ref="AE46:AJ46"/>
    <mergeCell ref="M46:Q46"/>
    <mergeCell ref="C46:K46"/>
    <mergeCell ref="B77:Z77"/>
    <mergeCell ref="B156:C156"/>
    <mergeCell ref="B127:C127"/>
    <mergeCell ref="AE138:AJ138"/>
    <mergeCell ref="AE139:AJ139"/>
    <mergeCell ref="AE141:AJ141"/>
    <mergeCell ref="AE142:AJ142"/>
    <mergeCell ref="AE144:AJ144"/>
    <mergeCell ref="AE145:AJ145"/>
    <mergeCell ref="AE146:AJ146"/>
    <mergeCell ref="AE147:AJ147"/>
    <mergeCell ref="AE130:AJ130"/>
    <mergeCell ref="AE135:AJ135"/>
    <mergeCell ref="AE84:AJ84"/>
    <mergeCell ref="AE89:AJ89"/>
    <mergeCell ref="AE103:AJ103"/>
    <mergeCell ref="AE118:AJ118"/>
    <mergeCell ref="AE122:AJ122"/>
    <mergeCell ref="AC33:AD33"/>
    <mergeCell ref="AE33:AF33"/>
    <mergeCell ref="AG33:AH33"/>
    <mergeCell ref="AI33:AJ33"/>
    <mergeCell ref="AC34:AD34"/>
    <mergeCell ref="AE34:AJ34"/>
    <mergeCell ref="AE40:AJ40"/>
    <mergeCell ref="AC40:AD40"/>
    <mergeCell ref="AC28:AD28"/>
    <mergeCell ref="AE28:AJ28"/>
    <mergeCell ref="AC29:AD29"/>
    <mergeCell ref="AE29:AJ29"/>
    <mergeCell ref="AC30:AD30"/>
    <mergeCell ref="AE30:AJ30"/>
    <mergeCell ref="AC32:AD32"/>
    <mergeCell ref="AE32:AF32"/>
    <mergeCell ref="AG32:AH32"/>
    <mergeCell ref="AI32:AJ32"/>
    <mergeCell ref="AE229:AJ229"/>
    <mergeCell ref="AA77:AJ77"/>
    <mergeCell ref="AE98:AJ98"/>
    <mergeCell ref="AE99:AJ99"/>
    <mergeCell ref="AE100:AJ100"/>
    <mergeCell ref="AE97:AJ97"/>
    <mergeCell ref="AE124:AJ124"/>
    <mergeCell ref="AE111:AJ111"/>
    <mergeCell ref="AE110:AJ110"/>
    <mergeCell ref="AE167:AJ167"/>
    <mergeCell ref="AE171:AJ171"/>
    <mergeCell ref="AE168:AJ168"/>
    <mergeCell ref="AE169:AJ169"/>
    <mergeCell ref="AE163:AJ163"/>
    <mergeCell ref="AE101:AJ101"/>
    <mergeCell ref="AE102:AJ102"/>
    <mergeCell ref="AE177:AJ177"/>
    <mergeCell ref="AE181:AJ181"/>
    <mergeCell ref="AE187:AJ187"/>
    <mergeCell ref="AE195:AJ195"/>
    <mergeCell ref="AE198:AJ198"/>
    <mergeCell ref="AE204:AJ204"/>
    <mergeCell ref="AE174:AJ174"/>
    <mergeCell ref="AE184:AJ184"/>
    <mergeCell ref="AE188:AJ188"/>
    <mergeCell ref="B210:C210"/>
    <mergeCell ref="AE211:AJ211"/>
    <mergeCell ref="AE191:AJ191"/>
    <mergeCell ref="AE199:AJ199"/>
    <mergeCell ref="AE200:AJ200"/>
    <mergeCell ref="AE205:AJ205"/>
    <mergeCell ref="AE175:AJ175"/>
    <mergeCell ref="AE192:AJ192"/>
    <mergeCell ref="AE196:AJ196"/>
    <mergeCell ref="AE180:AJ180"/>
    <mergeCell ref="AE212:AJ212"/>
    <mergeCell ref="AE222:AJ222"/>
    <mergeCell ref="AE217:AJ217"/>
    <mergeCell ref="AE218:AJ218"/>
    <mergeCell ref="AE219:AJ219"/>
    <mergeCell ref="AE220:AJ220"/>
    <mergeCell ref="AE221:AJ221"/>
    <mergeCell ref="B78:C78"/>
    <mergeCell ref="AE80:AJ80"/>
    <mergeCell ref="AE82:AJ82"/>
    <mergeCell ref="AE83:AJ83"/>
    <mergeCell ref="AE85:AJ85"/>
    <mergeCell ref="AE86:AJ86"/>
    <mergeCell ref="AE88:AJ88"/>
    <mergeCell ref="AE87:AJ87"/>
    <mergeCell ref="AE91:AJ91"/>
    <mergeCell ref="AE90:AJ90"/>
    <mergeCell ref="R87:Y87"/>
    <mergeCell ref="AE156:AJ156"/>
    <mergeCell ref="AE173:AJ173"/>
    <mergeCell ref="AE176:AJ176"/>
    <mergeCell ref="AE178:AJ178"/>
    <mergeCell ref="AE189:AJ189"/>
    <mergeCell ref="AE190:AJ190"/>
    <mergeCell ref="AE256:AJ256"/>
    <mergeCell ref="AE257:AJ257"/>
    <mergeCell ref="AE237:AJ237"/>
    <mergeCell ref="Y239:AD239"/>
    <mergeCell ref="Y241:AD241"/>
    <mergeCell ref="AE242:AJ242"/>
    <mergeCell ref="AE243:AJ243"/>
    <mergeCell ref="G245:H245"/>
    <mergeCell ref="G105:H105"/>
    <mergeCell ref="G108:H108"/>
    <mergeCell ref="H163:I163"/>
    <mergeCell ref="AE128:AJ128"/>
    <mergeCell ref="AE129:AJ129"/>
    <mergeCell ref="AE131:AJ131"/>
    <mergeCell ref="AE132:AJ132"/>
    <mergeCell ref="AE133:AJ133"/>
    <mergeCell ref="AE134:AJ134"/>
    <mergeCell ref="AE136:AJ136"/>
    <mergeCell ref="AE137:AJ137"/>
    <mergeCell ref="AE140:AJ140"/>
    <mergeCell ref="AE143:AJ143"/>
    <mergeCell ref="AE149:AJ149"/>
    <mergeCell ref="AE150:AJ150"/>
    <mergeCell ref="AE119:AJ119"/>
    <mergeCell ref="AC11:AD11"/>
    <mergeCell ref="AE11:AJ11"/>
    <mergeCell ref="AC17:AD17"/>
    <mergeCell ref="AE17:AJ17"/>
    <mergeCell ref="AE20:AJ20"/>
    <mergeCell ref="AE21:AJ21"/>
    <mergeCell ref="AC20:AD20"/>
    <mergeCell ref="B251:C251"/>
    <mergeCell ref="AE247:AJ247"/>
    <mergeCell ref="AE248:AJ248"/>
    <mergeCell ref="AE148:AJ148"/>
    <mergeCell ref="AE151:AJ151"/>
    <mergeCell ref="AE231:AJ231"/>
    <mergeCell ref="AE213:AJ213"/>
    <mergeCell ref="AE214:AJ214"/>
    <mergeCell ref="AE215:AJ215"/>
    <mergeCell ref="AE216:AJ216"/>
    <mergeCell ref="D71:G72"/>
    <mergeCell ref="I71:AB72"/>
    <mergeCell ref="AC71:AJ71"/>
    <mergeCell ref="B72:C72"/>
    <mergeCell ref="AC72:AJ73"/>
    <mergeCell ref="I73:AB74"/>
    <mergeCell ref="AD74:AG74"/>
    <mergeCell ref="AO186:AO197"/>
    <mergeCell ref="O67:R67"/>
    <mergeCell ref="O24:R24"/>
    <mergeCell ref="AC21:AD21"/>
    <mergeCell ref="AE51:AJ51"/>
    <mergeCell ref="AE50:AJ50"/>
    <mergeCell ref="T46:AC46"/>
    <mergeCell ref="AC5:AD5"/>
    <mergeCell ref="AE5:AJ5"/>
    <mergeCell ref="AC6:AD6"/>
    <mergeCell ref="AE6:AJ6"/>
    <mergeCell ref="AC7:AD7"/>
    <mergeCell ref="AE7:AJ7"/>
    <mergeCell ref="AC9:AD9"/>
    <mergeCell ref="AE9:AJ9"/>
    <mergeCell ref="AC13:AD13"/>
    <mergeCell ref="AE13:AJ13"/>
    <mergeCell ref="AC14:AD14"/>
    <mergeCell ref="AE14:AJ14"/>
    <mergeCell ref="AC15:AD15"/>
    <mergeCell ref="AE15:AJ15"/>
    <mergeCell ref="AC12:AD12"/>
    <mergeCell ref="AE12:AJ12"/>
    <mergeCell ref="AM46:AN48"/>
    <mergeCell ref="AM40:AN43"/>
    <mergeCell ref="Z40:AA40"/>
    <mergeCell ref="O54:R54"/>
    <mergeCell ref="O59:R59"/>
    <mergeCell ref="O65:R65"/>
    <mergeCell ref="AC42:AD42"/>
    <mergeCell ref="AE42:AJ42"/>
    <mergeCell ref="AE158:AJ158"/>
    <mergeCell ref="I75:AB75"/>
    <mergeCell ref="AD75:AG75"/>
    <mergeCell ref="AH74:AJ75"/>
    <mergeCell ref="AE92:AJ92"/>
    <mergeCell ref="AE93:AJ93"/>
    <mergeCell ref="AE95:AJ95"/>
    <mergeCell ref="AE96:AJ96"/>
    <mergeCell ref="AE94:AJ94"/>
  </mergeCells>
  <conditionalFormatting sqref="B168">
    <cfRule type="expression" dxfId="984" priority="326">
      <formula>IF(AND(File_Marr_Sep&lt;&gt;"",#REF!=""),1,0)</formula>
    </cfRule>
  </conditionalFormatting>
  <conditionalFormatting sqref="B42:C42 E42:N42">
    <cfRule type="expression" dxfId="983" priority="29">
      <formula>IF(NoColor,1,0)</formula>
    </cfRule>
  </conditionalFormatting>
  <conditionalFormatting sqref="B38:I38">
    <cfRule type="expression" dxfId="982" priority="81">
      <formula>IF(NoColor,1,0)</formula>
    </cfRule>
  </conditionalFormatting>
  <conditionalFormatting sqref="B40:Y40 B77">
    <cfRule type="expression" dxfId="981" priority="248">
      <formula>IF(NoColor,1,0)</formula>
    </cfRule>
  </conditionalFormatting>
  <conditionalFormatting sqref="D42">
    <cfRule type="expression" dxfId="980" priority="24">
      <formula>NoColor</formula>
    </cfRule>
  </conditionalFormatting>
  <conditionalFormatting sqref="I24">
    <cfRule type="expression" dxfId="979" priority="9">
      <formula>AND(O24&lt;&gt;"",O24&lt;0)</formula>
    </cfRule>
  </conditionalFormatting>
  <conditionalFormatting sqref="I56 I67">
    <cfRule type="expression" dxfId="978" priority="22">
      <formula>AND(O56&lt;&gt;"",O56&lt;0)</formula>
    </cfRule>
  </conditionalFormatting>
  <conditionalFormatting sqref="I59">
    <cfRule type="expression" dxfId="977" priority="21">
      <formula>AND(O59&lt;&gt;"",O59&lt;0)</formula>
    </cfRule>
  </conditionalFormatting>
  <conditionalFormatting sqref="I61">
    <cfRule type="expression" dxfId="976" priority="4">
      <formula>AND(O61&lt;&gt;"",O61&lt;0)</formula>
    </cfRule>
  </conditionalFormatting>
  <conditionalFormatting sqref="I63">
    <cfRule type="expression" dxfId="975" priority="6">
      <formula>AND(O63&lt;&gt;"",O63&lt;0)</formula>
    </cfRule>
  </conditionalFormatting>
  <conditionalFormatting sqref="I65">
    <cfRule type="expression" dxfId="974" priority="19">
      <formula>AND(O65&lt;&gt;"",O65&lt;0)</formula>
    </cfRule>
  </conditionalFormatting>
  <conditionalFormatting sqref="K38">
    <cfRule type="expression" dxfId="973" priority="83">
      <formula>IF(NoColor,1,0)</formula>
    </cfRule>
  </conditionalFormatting>
  <conditionalFormatting sqref="K102">
    <cfRule type="expression" dxfId="972" priority="55">
      <formula>AND($AE$103&lt;&gt;"",$AE$103&lt;0)</formula>
    </cfRule>
  </conditionalFormatting>
  <conditionalFormatting sqref="K235">
    <cfRule type="expression" dxfId="971" priority="102">
      <formula>AND(NOT(NoColor),OR($AE$103&lt;=0,$AE$103=""))</formula>
    </cfRule>
  </conditionalFormatting>
  <conditionalFormatting sqref="L139">
    <cfRule type="expression" dxfId="970" priority="5963">
      <formula>AND($AQ$139,$AK$139="")</formula>
    </cfRule>
  </conditionalFormatting>
  <conditionalFormatting sqref="L46:Q46">
    <cfRule type="expression" dxfId="969" priority="15">
      <formula>IF(NoColor,1,0)</formula>
    </cfRule>
  </conditionalFormatting>
  <conditionalFormatting sqref="O42">
    <cfRule type="expression" dxfId="968" priority="23">
      <formula>NoColor</formula>
    </cfRule>
  </conditionalFormatting>
  <conditionalFormatting sqref="O24:R24 B46:C46 S46:T46 O56:R56 O67:R67">
    <cfRule type="expression" dxfId="967" priority="77">
      <formula>IF(NoColor,1,0)</formula>
    </cfRule>
  </conditionalFormatting>
  <conditionalFormatting sqref="O54:R54">
    <cfRule type="expression" dxfId="966" priority="14">
      <formula>IF(NoColor,1,0)</formula>
    </cfRule>
  </conditionalFormatting>
  <conditionalFormatting sqref="O59:R59">
    <cfRule type="expression" dxfId="965" priority="12">
      <formula>IF(NoColor,1,0)</formula>
    </cfRule>
  </conditionalFormatting>
  <conditionalFormatting sqref="O61:R61">
    <cfRule type="expression" dxfId="964" priority="3">
      <formula>IF(NoColor,1,0)</formula>
    </cfRule>
  </conditionalFormatting>
  <conditionalFormatting sqref="O63:R63">
    <cfRule type="expression" dxfId="963" priority="5">
      <formula>IF(NoColor,1,0)</formula>
    </cfRule>
  </conditionalFormatting>
  <conditionalFormatting sqref="O65:R65">
    <cfRule type="expression" dxfId="962" priority="11">
      <formula>IF(NoColor,1,0)</formula>
    </cfRule>
  </conditionalFormatting>
  <conditionalFormatting sqref="P42:AC42">
    <cfRule type="expression" dxfId="961" priority="25">
      <formula>IF(NoColor,1,0)</formula>
    </cfRule>
  </conditionalFormatting>
  <conditionalFormatting sqref="R9 S11:S12 I15">
    <cfRule type="expression" dxfId="960" priority="57">
      <formula>AND($AE$9&lt;&gt;"",$AE$9&lt;0)</formula>
    </cfRule>
  </conditionalFormatting>
  <conditionalFormatting sqref="R87">
    <cfRule type="expression" dxfId="959" priority="151">
      <formula>AND($AE$88,$AK$89="")</formula>
    </cfRule>
  </conditionalFormatting>
  <conditionalFormatting sqref="R207:S207 X207:Y207">
    <cfRule type="expression" dxfId="958" priority="5680">
      <formula>#REF!&gt;$AE$207</formula>
    </cfRule>
  </conditionalFormatting>
  <conditionalFormatting sqref="S48:U48">
    <cfRule type="expression" dxfId="957" priority="62">
      <formula>IF(NoColor,1,0)</formula>
    </cfRule>
  </conditionalFormatting>
  <conditionalFormatting sqref="U57:AI58">
    <cfRule type="expression" dxfId="956" priority="7">
      <formula>$AQ$58</formula>
    </cfRule>
  </conditionalFormatting>
  <conditionalFormatting sqref="Y239:AD239">
    <cfRule type="expression" dxfId="955" priority="100">
      <formula>IF(NoColor,1,0)</formula>
    </cfRule>
  </conditionalFormatting>
  <conditionalFormatting sqref="Y241:AD241">
    <cfRule type="expression" dxfId="954" priority="99">
      <formula>IF(NoColor,1,0)</formula>
    </cfRule>
  </conditionalFormatting>
  <conditionalFormatting sqref="Z40">
    <cfRule type="expression" dxfId="953" priority="87">
      <formula>NoColor</formula>
    </cfRule>
  </conditionalFormatting>
  <conditionalFormatting sqref="AA77:AJ77">
    <cfRule type="expression" dxfId="952" priority="108">
      <formula>NoColor</formula>
    </cfRule>
  </conditionalFormatting>
  <conditionalFormatting sqref="AB40:AC40">
    <cfRule type="expression" dxfId="951" priority="84">
      <formula>IF(NoColor,1,0)</formula>
    </cfRule>
  </conditionalFormatting>
  <conditionalFormatting sqref="AD48:AE48">
    <cfRule type="expression" dxfId="950" priority="64">
      <formula>IF(NoColor,1,0)</formula>
    </cfRule>
  </conditionalFormatting>
  <conditionalFormatting sqref="AD46:AJ46">
    <cfRule type="expression" dxfId="949" priority="16">
      <formula>IF(NoColor,1,0)</formula>
    </cfRule>
  </conditionalFormatting>
  <conditionalFormatting sqref="AE7:AJ7">
    <cfRule type="expression" dxfId="948" priority="59">
      <formula>IF(NoColor,1,0)</formula>
    </cfRule>
  </conditionalFormatting>
  <conditionalFormatting sqref="AE9:AJ9">
    <cfRule type="expression" dxfId="947" priority="42">
      <formula>IF(NoColor,1,0)</formula>
    </cfRule>
  </conditionalFormatting>
  <conditionalFormatting sqref="AE15:AJ15">
    <cfRule type="expression" dxfId="946" priority="41">
      <formula>IF(NoColor,1,0)</formula>
    </cfRule>
  </conditionalFormatting>
  <conditionalFormatting sqref="AE17:AJ17">
    <cfRule type="expression" dxfId="945" priority="40">
      <formula>IF(NoColor,1,0)</formula>
    </cfRule>
  </conditionalFormatting>
  <conditionalFormatting sqref="AE20:AJ21">
    <cfRule type="expression" dxfId="944" priority="39">
      <formula>IF(NoColor,1,0)</formula>
    </cfRule>
  </conditionalFormatting>
  <conditionalFormatting sqref="AE30:AJ30">
    <cfRule type="expression" dxfId="943" priority="37">
      <formula>IF(NoColor,1,0)</formula>
    </cfRule>
  </conditionalFormatting>
  <conditionalFormatting sqref="AE34:AJ34">
    <cfRule type="expression" dxfId="942" priority="2">
      <formula>IF(NoColor,1,0)</formula>
    </cfRule>
  </conditionalFormatting>
  <conditionalFormatting sqref="AE40:AJ40">
    <cfRule type="expression" dxfId="941" priority="17">
      <formula>IF(NoColor,1,0)</formula>
    </cfRule>
  </conditionalFormatting>
  <conditionalFormatting sqref="AE42:AJ42">
    <cfRule type="expression" dxfId="940" priority="18">
      <formula>IF(NoColor,1,0)</formula>
    </cfRule>
  </conditionalFormatting>
  <conditionalFormatting sqref="AE51:AJ51">
    <cfRule type="expression" dxfId="939" priority="34">
      <formula>IF(NoColor,1,0)</formula>
    </cfRule>
  </conditionalFormatting>
  <conditionalFormatting sqref="AE80:AJ88 AE89 AE90:AJ103">
    <cfRule type="expression" dxfId="938" priority="202">
      <formula>IF(NoColor,1,0)</formula>
    </cfRule>
  </conditionalFormatting>
  <conditionalFormatting sqref="AE110:AJ111">
    <cfRule type="expression" dxfId="937" priority="147">
      <formula>IF(NoColor,1,0)</formula>
    </cfRule>
  </conditionalFormatting>
  <conditionalFormatting sqref="AE118:AJ120">
    <cfRule type="expression" dxfId="936" priority="125">
      <formula>IF(NoColor,1,0)</formula>
    </cfRule>
  </conditionalFormatting>
  <conditionalFormatting sqref="AE122:AJ122">
    <cfRule type="expression" dxfId="935" priority="52">
      <formula>IF(NoColor,1,0)</formula>
    </cfRule>
  </conditionalFormatting>
  <conditionalFormatting sqref="AE124:AJ124">
    <cfRule type="expression" dxfId="934" priority="123">
      <formula>IF(NoColor,1,0)</formula>
    </cfRule>
  </conditionalFormatting>
  <conditionalFormatting sqref="AE128:AJ151">
    <cfRule type="expression" dxfId="933" priority="49">
      <formula>IF(NoColor,1,0)</formula>
    </cfRule>
  </conditionalFormatting>
  <conditionalFormatting sqref="AE157:AJ157 AE158 AE159:AJ179 AE180 AE181:AJ205">
    <cfRule type="expression" dxfId="932" priority="137">
      <formula>IF(NoColor,1,0)</formula>
    </cfRule>
  </conditionalFormatting>
  <conditionalFormatting sqref="AE211:AJ231">
    <cfRule type="expression" dxfId="931" priority="127">
      <formula>IF(NoColor,1,0)</formula>
    </cfRule>
  </conditionalFormatting>
  <conditionalFormatting sqref="AE237:AJ237">
    <cfRule type="expression" dxfId="930" priority="101">
      <formula>IF(NoColor,1,0)</formula>
    </cfRule>
  </conditionalFormatting>
  <conditionalFormatting sqref="AE242:AJ243">
    <cfRule type="expression" dxfId="929" priority="93">
      <formula>IF(NoColor,1,0)</formula>
    </cfRule>
  </conditionalFormatting>
  <conditionalFormatting sqref="AE247:AJ248">
    <cfRule type="expression" dxfId="928" priority="92">
      <formula>IF(NoColor,1,0)</formula>
    </cfRule>
  </conditionalFormatting>
  <conditionalFormatting sqref="AE256:AJ257">
    <cfRule type="expression" dxfId="927" priority="94">
      <formula>IF(NoColor,1,0)</formula>
    </cfRule>
  </conditionalFormatting>
  <conditionalFormatting sqref="AH206:AJ207">
    <cfRule type="expression" dxfId="926" priority="175">
      <formula>IF(NoColor,1,0)</formula>
    </cfRule>
  </conditionalFormatting>
  <conditionalFormatting sqref="AK89">
    <cfRule type="expression" dxfId="925" priority="150">
      <formula>$AE$88</formula>
    </cfRule>
  </conditionalFormatting>
  <conditionalFormatting sqref="AK90">
    <cfRule type="expression" dxfId="924" priority="149">
      <formula>$AE$88</formula>
    </cfRule>
  </conditionalFormatting>
  <conditionalFormatting sqref="AK139">
    <cfRule type="expression" dxfId="923" priority="5842">
      <formula>$AE$139</formula>
    </cfRule>
  </conditionalFormatting>
  <conditionalFormatting sqref="AK140">
    <cfRule type="expression" dxfId="922" priority="5843">
      <formula>$AQ$139</formula>
    </cfRule>
  </conditionalFormatting>
  <conditionalFormatting sqref="AO76">
    <cfRule type="expression" dxfId="921" priority="104">
      <formula>$AL$76&lt;&gt;""</formula>
    </cfRule>
  </conditionalFormatting>
  <conditionalFormatting sqref="AO77">
    <cfRule type="expression" dxfId="920" priority="105">
      <formula>$AL$76&lt;&gt;""</formula>
    </cfRule>
  </conditionalFormatting>
  <conditionalFormatting sqref="AO86">
    <cfRule type="expression" dxfId="919" priority="107">
      <formula>$AQ$85</formula>
    </cfRule>
  </conditionalFormatting>
  <conditionalFormatting sqref="AO98">
    <cfRule type="expression" dxfId="918" priority="106">
      <formula>$AQ$85</formula>
    </cfRule>
  </conditionalFormatting>
  <conditionalFormatting sqref="AO136:AO139">
    <cfRule type="expression" dxfId="917" priority="1">
      <formula>AE139&lt;0</formula>
    </cfRule>
  </conditionalFormatting>
  <conditionalFormatting sqref="AO186:AO197">
    <cfRule type="expression" dxfId="916" priority="10">
      <formula>$AQ$190</formula>
    </cfRule>
  </conditionalFormatting>
  <pageMargins left="0.5" right="0.25" top="0.36" bottom="0.28999999999999998" header="0.36" footer="0.21"/>
  <pageSetup scale="74" fitToHeight="0" orientation="portrait" r:id="rId1"/>
  <rowBreaks count="5" manualBreakCount="5">
    <brk id="70" min="1" max="35" man="1"/>
    <brk id="125" min="1" max="35" man="1"/>
    <brk id="154" max="16383" man="1"/>
    <brk id="208" min="1" max="35" man="1"/>
    <brk id="232" max="16383" man="1"/>
  </rowBreaks>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pageSetUpPr fitToPage="1"/>
  </sheetPr>
  <dimension ref="A1:BH229"/>
  <sheetViews>
    <sheetView zoomScaleNormal="100" zoomScaleSheetLayoutView="130" workbookViewId="0"/>
  </sheetViews>
  <sheetFormatPr defaultColWidth="3.42578125" defaultRowHeight="12.75"/>
  <cols>
    <col min="1" max="1" width="3.42578125" customWidth="1"/>
    <col min="2" max="2" width="4.28515625" customWidth="1"/>
    <col min="3" max="3" width="2.5703125" customWidth="1"/>
    <col min="4" max="4" width="2.85546875" customWidth="1"/>
    <col min="5" max="10" width="3" customWidth="1"/>
    <col min="11" max="11" width="4.28515625" customWidth="1"/>
    <col min="12" max="33" width="3" customWidth="1"/>
    <col min="34" max="34" width="3.140625" customWidth="1"/>
    <col min="36" max="36" width="3" customWidth="1"/>
    <col min="37" max="38" width="3.42578125" customWidth="1"/>
    <col min="39" max="39" width="3.85546875" customWidth="1"/>
    <col min="40" max="40" width="4.140625" customWidth="1"/>
    <col min="41" max="41" width="2.7109375" customWidth="1"/>
    <col min="42" max="42" width="2" customWidth="1"/>
    <col min="45" max="45" width="17.28515625" customWidth="1"/>
    <col min="46" max="46" width="6" customWidth="1"/>
    <col min="47" max="47" width="2.28515625" customWidth="1"/>
    <col min="48" max="48" width="10.28515625" customWidth="1"/>
    <col min="49" max="49" width="2.28515625" customWidth="1"/>
    <col min="50" max="60" width="10.7109375" style="658" customWidth="1"/>
  </cols>
  <sheetData>
    <row r="1" spans="1:60" ht="6.75" customHeight="1">
      <c r="A1" s="1277"/>
      <c r="B1" s="1277"/>
      <c r="C1" s="1277"/>
      <c r="D1" s="1277"/>
      <c r="E1" s="1277"/>
      <c r="F1" s="1277"/>
      <c r="G1" s="1277"/>
      <c r="H1" s="1277"/>
      <c r="I1" s="1277"/>
      <c r="J1" s="1277"/>
      <c r="K1" s="1277"/>
      <c r="L1" s="1277"/>
      <c r="M1" s="1277"/>
      <c r="N1" s="1277"/>
      <c r="O1" s="1277"/>
      <c r="P1" s="1277"/>
      <c r="Q1" s="1277"/>
      <c r="R1" s="1277"/>
      <c r="S1" s="1277"/>
      <c r="T1" s="1277"/>
      <c r="U1" s="1277"/>
      <c r="V1" s="1277"/>
      <c r="W1" s="1277"/>
      <c r="X1" s="1277"/>
      <c r="Y1" s="1277"/>
      <c r="Z1" s="1277"/>
      <c r="AA1" s="1277"/>
      <c r="AB1" s="1277"/>
      <c r="AC1" s="1277"/>
      <c r="AD1" s="1277"/>
      <c r="AE1" s="1277"/>
      <c r="AF1" s="1277"/>
      <c r="AG1" s="1277"/>
      <c r="AH1" s="1277"/>
      <c r="AI1" s="1277"/>
      <c r="AJ1" s="1277"/>
      <c r="AK1" s="1277"/>
      <c r="AL1" s="1277"/>
      <c r="AM1" s="1277"/>
      <c r="AN1" s="1277"/>
      <c r="AO1" s="1277"/>
      <c r="AP1" s="1277"/>
      <c r="AQ1" s="1277"/>
      <c r="AR1" s="1277"/>
      <c r="AS1" s="1277"/>
      <c r="AT1" s="1277"/>
      <c r="AU1" s="1277"/>
    </row>
    <row r="2" spans="1:60" ht="15">
      <c r="A2" s="1277"/>
      <c r="B2" s="2110" t="str">
        <f>IF(AS2,"X","")</f>
        <v/>
      </c>
      <c r="C2" s="2111" t="str">
        <f>IF(AS2,"Check this box if you are a bona fide resident of Puerto Rico.  If not, clear this box by selecting it and pressing &lt; Delete &gt;.","")</f>
        <v/>
      </c>
      <c r="D2" s="1277"/>
      <c r="E2" s="1277"/>
      <c r="F2" s="1277"/>
      <c r="G2" s="1277"/>
      <c r="H2" s="1277"/>
      <c r="I2" s="1277"/>
      <c r="J2" s="1277"/>
      <c r="K2" s="1277"/>
      <c r="L2" s="1277"/>
      <c r="M2" s="1277"/>
      <c r="N2" s="1277"/>
      <c r="O2" s="1277"/>
      <c r="P2" s="1277"/>
      <c r="Q2" s="1277"/>
      <c r="R2" s="1277"/>
      <c r="S2" s="1277"/>
      <c r="T2" s="1277"/>
      <c r="U2" s="1277"/>
      <c r="V2" s="1277"/>
      <c r="W2" s="1277"/>
      <c r="X2" s="1277"/>
      <c r="Y2" s="1277"/>
      <c r="Z2" s="1277"/>
      <c r="AA2" s="1277"/>
      <c r="AB2" s="1277"/>
      <c r="AC2" s="1277"/>
      <c r="AD2" s="1277"/>
      <c r="AE2" s="1277"/>
      <c r="AF2" s="1277"/>
      <c r="AG2" s="1277"/>
      <c r="AH2" s="1277"/>
      <c r="AI2" s="1277"/>
      <c r="AJ2" s="1277"/>
      <c r="AK2" s="1277"/>
      <c r="AL2" s="1277"/>
      <c r="AM2" s="1277"/>
      <c r="AN2" s="1277"/>
      <c r="AO2" s="1277"/>
      <c r="AP2" s="1277"/>
      <c r="AQ2" s="1277"/>
      <c r="AR2" s="1277"/>
      <c r="AS2" s="2112" t="b">
        <f>OR(State="pr",State="PR")</f>
        <v>0</v>
      </c>
      <c r="AT2" s="1277"/>
      <c r="AU2" s="1277"/>
      <c r="AX2" s="657" t="s">
        <v>223</v>
      </c>
    </row>
    <row r="3" spans="1:60" ht="12.75" customHeight="1">
      <c r="A3" s="1277"/>
      <c r="B3" s="1277"/>
      <c r="C3" s="1277"/>
      <c r="D3" s="1277"/>
      <c r="E3" s="1277"/>
      <c r="F3" s="1277"/>
      <c r="G3" s="1277"/>
      <c r="H3" s="1277"/>
      <c r="I3" s="1277"/>
      <c r="J3" s="1277"/>
      <c r="K3" s="1277"/>
      <c r="L3" s="1277"/>
      <c r="M3" s="1277"/>
      <c r="N3" s="1277"/>
      <c r="O3" s="1277"/>
      <c r="P3" s="1277"/>
      <c r="Q3" s="1277"/>
      <c r="R3" s="1277"/>
      <c r="S3" s="1277"/>
      <c r="T3" s="1277"/>
      <c r="U3" s="1277"/>
      <c r="V3" s="1277"/>
      <c r="W3" s="1277"/>
      <c r="X3" s="1277"/>
      <c r="Y3" s="1277"/>
      <c r="Z3" s="1277"/>
      <c r="AA3" s="1277"/>
      <c r="AB3" s="1277"/>
      <c r="AC3" s="1277"/>
      <c r="AD3" s="1277"/>
      <c r="AE3" s="1277"/>
      <c r="AF3" s="1277"/>
      <c r="AG3" s="1277"/>
      <c r="AH3" s="1277"/>
      <c r="AI3" s="1277"/>
      <c r="AJ3" s="11064" t="str">
        <f>IF('Table of Contents'!A55="D","DRAFT","")</f>
        <v/>
      </c>
      <c r="AK3" s="11064"/>
      <c r="AL3" s="11064"/>
      <c r="AM3" s="11064"/>
      <c r="AN3" s="11064"/>
      <c r="AO3" s="11064"/>
      <c r="AP3" s="11064"/>
      <c r="AQ3" s="1277"/>
      <c r="AR3" s="2113"/>
      <c r="AS3" s="2114" t="b">
        <f>B2&lt;&gt;""</f>
        <v>0</v>
      </c>
      <c r="AT3" s="2113"/>
      <c r="AU3" s="1277"/>
      <c r="AX3" s="657"/>
    </row>
    <row r="4" spans="1:60" ht="15.75" customHeight="1">
      <c r="A4" s="1277"/>
      <c r="B4" s="11013" t="s">
        <v>3987</v>
      </c>
      <c r="C4" s="11014"/>
      <c r="D4" s="11014"/>
      <c r="E4" s="11014"/>
      <c r="F4" s="11014"/>
      <c r="G4" s="11014"/>
      <c r="H4" s="11015"/>
      <c r="I4" s="9953" t="s">
        <v>3988</v>
      </c>
      <c r="J4" s="11030"/>
      <c r="K4" s="11030"/>
      <c r="L4" s="11030"/>
      <c r="M4" s="11030"/>
      <c r="N4" s="11030"/>
      <c r="O4" s="11030"/>
      <c r="P4" s="11030"/>
      <c r="Q4" s="11030"/>
      <c r="R4" s="11030"/>
      <c r="S4" s="11030"/>
      <c r="T4" s="11030"/>
      <c r="U4" s="11030"/>
      <c r="V4" s="11030"/>
      <c r="W4" s="11030"/>
      <c r="X4" s="11030"/>
      <c r="Y4" s="11030"/>
      <c r="Z4" s="11030"/>
      <c r="AA4" s="11030"/>
      <c r="AB4" s="11030"/>
      <c r="AC4" s="11030"/>
      <c r="AD4" s="11030"/>
      <c r="AE4" s="11030"/>
      <c r="AF4" s="11030"/>
      <c r="AG4" s="11030"/>
      <c r="AH4" s="11030"/>
      <c r="AI4" s="11031"/>
      <c r="AJ4" s="11006" t="str">
        <f>IF(AND('Table of Contents'!A55="D",AQ4=""),"DRAFT","OMB No. 1545-0074")</f>
        <v>OMB No. 1545-0074</v>
      </c>
      <c r="AK4" s="11007"/>
      <c r="AL4" s="11007"/>
      <c r="AM4" s="11007"/>
      <c r="AN4" s="11007"/>
      <c r="AO4" s="11007"/>
      <c r="AP4" s="11007"/>
      <c r="AQ4" s="1821"/>
      <c r="AR4" s="10986" t="str">
        <f>IF(AND(B2&lt;&gt;"",AS2),"Generally, you were a bona fide resident of Puerto Rico, if you:"&amp;CHAR(10)&amp;"- Met the presence test,"&amp;CHAR(10)&amp;"- No tax home outside of PR, and"&amp;CHAR(10)&amp;"- No closer connection to the US or "&amp;CHAR(10)&amp;"   foreign country.","")</f>
        <v/>
      </c>
      <c r="AS4" s="10986"/>
      <c r="AT4" s="10986"/>
      <c r="AU4" s="1277"/>
    </row>
    <row r="5" spans="1:60" ht="14.25" customHeight="1">
      <c r="A5" s="1277"/>
      <c r="B5" s="11016" t="s">
        <v>1815</v>
      </c>
      <c r="C5" s="11017"/>
      <c r="D5" s="11017"/>
      <c r="E5" s="11017"/>
      <c r="F5" s="11017"/>
      <c r="G5" s="11017"/>
      <c r="H5" s="11018"/>
      <c r="I5" s="9953"/>
      <c r="J5" s="11030"/>
      <c r="K5" s="11030"/>
      <c r="L5" s="11030"/>
      <c r="M5" s="11030"/>
      <c r="N5" s="11030"/>
      <c r="O5" s="11030"/>
      <c r="P5" s="11030"/>
      <c r="Q5" s="11030"/>
      <c r="R5" s="11030"/>
      <c r="S5" s="11030"/>
      <c r="T5" s="11030"/>
      <c r="U5" s="11030"/>
      <c r="V5" s="11030"/>
      <c r="W5" s="11030"/>
      <c r="X5" s="11030"/>
      <c r="Y5" s="11030"/>
      <c r="Z5" s="11030"/>
      <c r="AA5" s="11030"/>
      <c r="AB5" s="11030"/>
      <c r="AC5" s="11030"/>
      <c r="AD5" s="11030"/>
      <c r="AE5" s="11030"/>
      <c r="AF5" s="11030"/>
      <c r="AG5" s="11030"/>
      <c r="AH5" s="11030"/>
      <c r="AI5" s="11031"/>
      <c r="AJ5" s="8946">
        <f>TaxYear</f>
        <v>2025</v>
      </c>
      <c r="AK5" s="11027"/>
      <c r="AL5" s="11027"/>
      <c r="AM5" s="11027"/>
      <c r="AN5" s="11027"/>
      <c r="AO5" s="11027"/>
      <c r="AP5" s="11027"/>
      <c r="AQ5" s="1277"/>
      <c r="AR5" s="10986"/>
      <c r="AS5" s="10986"/>
      <c r="AT5" s="10986"/>
      <c r="AU5" s="1277"/>
    </row>
    <row r="6" spans="1:60" ht="9.75" customHeight="1">
      <c r="A6" s="1277"/>
      <c r="B6" s="11023"/>
      <c r="C6" s="11024"/>
      <c r="D6" s="11024"/>
      <c r="E6" s="11024"/>
      <c r="F6" s="11024"/>
      <c r="G6" s="11024"/>
      <c r="H6" s="11025"/>
      <c r="I6" s="9953"/>
      <c r="J6" s="11030"/>
      <c r="K6" s="11030"/>
      <c r="L6" s="11030"/>
      <c r="M6" s="11030"/>
      <c r="N6" s="11030"/>
      <c r="O6" s="11030"/>
      <c r="P6" s="11030"/>
      <c r="Q6" s="11030"/>
      <c r="R6" s="11030"/>
      <c r="S6" s="11030"/>
      <c r="T6" s="11030"/>
      <c r="U6" s="11030"/>
      <c r="V6" s="11030"/>
      <c r="W6" s="11030"/>
      <c r="X6" s="11030"/>
      <c r="Y6" s="11030"/>
      <c r="Z6" s="11030"/>
      <c r="AA6" s="11030"/>
      <c r="AB6" s="11030"/>
      <c r="AC6" s="11030"/>
      <c r="AD6" s="11030"/>
      <c r="AE6" s="11030"/>
      <c r="AF6" s="11030"/>
      <c r="AG6" s="11030"/>
      <c r="AH6" s="11030"/>
      <c r="AI6" s="11031"/>
      <c r="AJ6" s="11028"/>
      <c r="AK6" s="11029"/>
      <c r="AL6" s="11029"/>
      <c r="AM6" s="11029"/>
      <c r="AN6" s="11029"/>
      <c r="AO6" s="11029"/>
      <c r="AP6" s="11029"/>
      <c r="AQ6" s="1277"/>
      <c r="AR6" s="10986"/>
      <c r="AS6" s="10986"/>
      <c r="AT6" s="10986"/>
      <c r="AU6" s="1277"/>
    </row>
    <row r="7" spans="1:60" ht="13.5" customHeight="1">
      <c r="A7" s="1277"/>
      <c r="B7" s="11024"/>
      <c r="C7" s="11024"/>
      <c r="D7" s="11024"/>
      <c r="E7" s="11024"/>
      <c r="F7" s="11024"/>
      <c r="G7" s="11024"/>
      <c r="H7" s="11025"/>
      <c r="I7" s="9830" t="s">
        <v>2144</v>
      </c>
      <c r="J7" s="7879"/>
      <c r="K7" s="7879"/>
      <c r="L7" s="7879"/>
      <c r="M7" s="7879"/>
      <c r="N7" s="7879"/>
      <c r="O7" s="7879"/>
      <c r="P7" s="7879"/>
      <c r="Q7" s="7879"/>
      <c r="R7" s="7879"/>
      <c r="S7" s="7879"/>
      <c r="T7" s="7879"/>
      <c r="U7" s="7879"/>
      <c r="V7" s="7879"/>
      <c r="W7" s="7879"/>
      <c r="X7" s="7879"/>
      <c r="Y7" s="7879"/>
      <c r="Z7" s="7879"/>
      <c r="AA7" s="7879"/>
      <c r="AB7" s="7879"/>
      <c r="AC7" s="7879"/>
      <c r="AD7" s="7879"/>
      <c r="AE7" s="7879"/>
      <c r="AF7" s="7879"/>
      <c r="AG7" s="7879"/>
      <c r="AH7" s="7879"/>
      <c r="AI7" s="7880"/>
      <c r="AJ7" s="11028"/>
      <c r="AK7" s="11029"/>
      <c r="AL7" s="11029"/>
      <c r="AM7" s="11029"/>
      <c r="AN7" s="11029"/>
      <c r="AO7" s="11029"/>
      <c r="AP7" s="11029"/>
      <c r="AQ7" s="1277"/>
      <c r="AR7" s="10986"/>
      <c r="AS7" s="10986"/>
      <c r="AT7" s="10986"/>
      <c r="AU7" s="1277"/>
    </row>
    <row r="8" spans="1:60" ht="12" customHeight="1">
      <c r="A8" s="1277"/>
      <c r="B8" s="7613" t="s">
        <v>2318</v>
      </c>
      <c r="C8" s="7925"/>
      <c r="D8" s="7925"/>
      <c r="E8" s="7925"/>
      <c r="F8" s="7925"/>
      <c r="G8" s="7925"/>
      <c r="H8" s="8579"/>
      <c r="I8" s="11032" t="s">
        <v>3989</v>
      </c>
      <c r="J8" s="11033"/>
      <c r="K8" s="11033"/>
      <c r="L8" s="11033"/>
      <c r="M8" s="11033"/>
      <c r="N8" s="11033"/>
      <c r="O8" s="11033"/>
      <c r="P8" s="11033"/>
      <c r="Q8" s="11033"/>
      <c r="R8" s="11033"/>
      <c r="S8" s="11033"/>
      <c r="T8" s="11033"/>
      <c r="U8" s="11033"/>
      <c r="V8" s="11033"/>
      <c r="W8" s="11033"/>
      <c r="X8" s="11033"/>
      <c r="Y8" s="11033"/>
      <c r="Z8" s="11033"/>
      <c r="AA8" s="11033"/>
      <c r="AB8" s="11033"/>
      <c r="AC8" s="11033"/>
      <c r="AD8" s="11033"/>
      <c r="AE8" s="11033"/>
      <c r="AF8" s="11033"/>
      <c r="AG8" s="11033"/>
      <c r="AH8" s="11033"/>
      <c r="AI8" s="11034"/>
      <c r="AJ8" s="2115"/>
      <c r="AK8" s="7613" t="s">
        <v>2320</v>
      </c>
      <c r="AL8" s="8370"/>
      <c r="AM8" s="8370"/>
      <c r="AN8" s="11021">
        <v>47</v>
      </c>
      <c r="AO8" s="11019"/>
      <c r="AP8" s="2011"/>
      <c r="AQ8" s="1277"/>
      <c r="AR8" s="10986"/>
      <c r="AS8" s="10986"/>
      <c r="AT8" s="10986"/>
      <c r="AU8" s="1277"/>
    </row>
    <row r="9" spans="1:60" ht="12" customHeight="1" thickBot="1">
      <c r="A9" s="1277"/>
      <c r="B9" s="11008"/>
      <c r="C9" s="11008"/>
      <c r="D9" s="11008"/>
      <c r="E9" s="11008"/>
      <c r="F9" s="11008"/>
      <c r="G9" s="11008"/>
      <c r="H9" s="11009"/>
      <c r="I9" s="11035"/>
      <c r="J9" s="11036"/>
      <c r="K9" s="11036"/>
      <c r="L9" s="11036"/>
      <c r="M9" s="11036"/>
      <c r="N9" s="11036"/>
      <c r="O9" s="11036"/>
      <c r="P9" s="11036"/>
      <c r="Q9" s="11036"/>
      <c r="R9" s="11036"/>
      <c r="S9" s="11036"/>
      <c r="T9" s="11036"/>
      <c r="U9" s="11036"/>
      <c r="V9" s="11036"/>
      <c r="W9" s="11036"/>
      <c r="X9" s="11036"/>
      <c r="Y9" s="11036"/>
      <c r="Z9" s="11036"/>
      <c r="AA9" s="11036"/>
      <c r="AB9" s="11036"/>
      <c r="AC9" s="11036"/>
      <c r="AD9" s="11036"/>
      <c r="AE9" s="11036"/>
      <c r="AF9" s="11036"/>
      <c r="AG9" s="11036"/>
      <c r="AH9" s="11036"/>
      <c r="AI9" s="11037"/>
      <c r="AJ9" s="2116"/>
      <c r="AK9" s="11020"/>
      <c r="AL9" s="11020"/>
      <c r="AM9" s="11020"/>
      <c r="AN9" s="11022"/>
      <c r="AO9" s="11020"/>
      <c r="AP9" s="2117"/>
      <c r="AQ9" s="1277"/>
      <c r="AR9" s="10986"/>
      <c r="AS9" s="10986"/>
      <c r="AT9" s="10986"/>
      <c r="AU9" s="1277"/>
    </row>
    <row r="10" spans="1:60" ht="13.5" thickTop="1">
      <c r="A10" s="1277"/>
      <c r="B10" s="504" t="s">
        <v>1918</v>
      </c>
      <c r="C10" s="253"/>
      <c r="D10" s="253"/>
      <c r="E10" s="253"/>
      <c r="F10" s="253"/>
      <c r="G10" s="253"/>
      <c r="H10" s="253"/>
      <c r="I10" s="253"/>
      <c r="J10" s="253"/>
      <c r="K10" s="253"/>
      <c r="L10" s="253"/>
      <c r="M10" s="253"/>
      <c r="N10" s="11026"/>
      <c r="O10" s="11026"/>
      <c r="P10" s="11026"/>
      <c r="Q10" s="11026"/>
      <c r="R10" s="11026"/>
      <c r="S10" s="11026"/>
      <c r="T10" s="11026"/>
      <c r="U10" s="11026"/>
      <c r="V10" s="11026"/>
      <c r="W10" s="11026"/>
      <c r="X10" s="11026"/>
      <c r="Y10" s="11026"/>
      <c r="Z10" s="11026"/>
      <c r="AA10" s="253"/>
      <c r="AB10" s="253"/>
      <c r="AC10" s="253"/>
      <c r="AD10" s="253"/>
      <c r="AE10" s="253"/>
      <c r="AF10" s="253"/>
      <c r="AG10" s="253"/>
      <c r="AH10" s="253"/>
      <c r="AI10" s="253"/>
      <c r="AJ10" s="2118" t="s">
        <v>549</v>
      </c>
      <c r="AK10" s="253"/>
      <c r="AL10" s="253"/>
      <c r="AM10" s="253"/>
      <c r="AN10" s="253"/>
      <c r="AO10" s="253"/>
      <c r="AP10" s="253"/>
      <c r="AQ10" s="1277"/>
      <c r="AR10" s="1277"/>
      <c r="AS10" s="1181" t="s">
        <v>771</v>
      </c>
      <c r="AT10" s="1277"/>
      <c r="AU10" s="1277"/>
    </row>
    <row r="11" spans="1:60" ht="9.75" customHeight="1">
      <c r="A11" s="1277"/>
      <c r="B11" s="7600" t="str">
        <f>Names</f>
        <v/>
      </c>
      <c r="C11" s="7600"/>
      <c r="D11" s="7600"/>
      <c r="E11" s="7600"/>
      <c r="F11" s="7600"/>
      <c r="G11" s="7600"/>
      <c r="H11" s="7600"/>
      <c r="I11" s="7600"/>
      <c r="J11" s="7600"/>
      <c r="K11" s="7600"/>
      <c r="L11" s="7600"/>
      <c r="M11" s="7600"/>
      <c r="N11" s="7600"/>
      <c r="O11" s="7600"/>
      <c r="P11" s="7600"/>
      <c r="Q11" s="7600"/>
      <c r="R11" s="7600"/>
      <c r="S11" s="7600"/>
      <c r="T11" s="7600"/>
      <c r="U11" s="7600"/>
      <c r="V11" s="7600"/>
      <c r="W11" s="7600"/>
      <c r="X11" s="7600"/>
      <c r="Y11" s="7600"/>
      <c r="Z11" s="7600"/>
      <c r="AA11" s="7600"/>
      <c r="AB11" s="7600"/>
      <c r="AC11" s="7600"/>
      <c r="AD11" s="7600"/>
      <c r="AE11" s="7600"/>
      <c r="AF11" s="7600"/>
      <c r="AG11" s="7600"/>
      <c r="AH11" s="7600"/>
      <c r="AI11" s="7600"/>
      <c r="AJ11" s="11010">
        <f>IF(NoSSN,"",SS_Yours)</f>
        <v>1010001</v>
      </c>
      <c r="AK11" s="11011"/>
      <c r="AL11" s="11011"/>
      <c r="AM11" s="11011"/>
      <c r="AN11" s="11011"/>
      <c r="AO11" s="11011"/>
      <c r="AP11" s="11011"/>
      <c r="AQ11" s="1277"/>
      <c r="AR11" s="1277"/>
      <c r="AS11" s="1277"/>
      <c r="AT11" s="1277"/>
      <c r="AU11" s="1277"/>
    </row>
    <row r="12" spans="1:60" ht="9.75" customHeight="1">
      <c r="A12" s="1277"/>
      <c r="B12" s="7600"/>
      <c r="C12" s="7600"/>
      <c r="D12" s="7600"/>
      <c r="E12" s="7600"/>
      <c r="F12" s="7600"/>
      <c r="G12" s="7600"/>
      <c r="H12" s="7600"/>
      <c r="I12" s="7600"/>
      <c r="J12" s="7600"/>
      <c r="K12" s="7600"/>
      <c r="L12" s="7600"/>
      <c r="M12" s="7600"/>
      <c r="N12" s="7600"/>
      <c r="O12" s="7600"/>
      <c r="P12" s="7600"/>
      <c r="Q12" s="7600"/>
      <c r="R12" s="7600"/>
      <c r="S12" s="7600"/>
      <c r="T12" s="7600"/>
      <c r="U12" s="7600"/>
      <c r="V12" s="7600"/>
      <c r="W12" s="7600"/>
      <c r="X12" s="7600"/>
      <c r="Y12" s="7600"/>
      <c r="Z12" s="7600"/>
      <c r="AA12" s="7600"/>
      <c r="AB12" s="7600"/>
      <c r="AC12" s="7600"/>
      <c r="AD12" s="7600"/>
      <c r="AE12" s="7600"/>
      <c r="AF12" s="7600"/>
      <c r="AG12" s="7600"/>
      <c r="AH12" s="7600"/>
      <c r="AI12" s="7600"/>
      <c r="AJ12" s="11012"/>
      <c r="AK12" s="9973"/>
      <c r="AL12" s="9973"/>
      <c r="AM12" s="9973"/>
      <c r="AN12" s="9973"/>
      <c r="AO12" s="9973"/>
      <c r="AP12" s="9973"/>
      <c r="AQ12" s="1277"/>
      <c r="AR12" s="1277"/>
      <c r="AS12" s="1277"/>
      <c r="AT12" s="1277"/>
      <c r="AU12" s="1277"/>
    </row>
    <row r="13" spans="1:60" s="1405" customFormat="1" ht="16.5" customHeight="1">
      <c r="A13" s="2119"/>
      <c r="B13" s="9151" t="s">
        <v>780</v>
      </c>
      <c r="C13" s="9151"/>
      <c r="D13" s="9191"/>
      <c r="E13" s="2120"/>
      <c r="F13" s="2120"/>
      <c r="G13" s="2121" t="s">
        <v>3990</v>
      </c>
      <c r="H13" s="2120"/>
      <c r="I13" s="2120"/>
      <c r="J13" s="2120"/>
      <c r="K13" s="2120"/>
      <c r="L13" s="2120"/>
      <c r="M13" s="2120"/>
      <c r="N13" s="2120"/>
      <c r="O13" s="2120"/>
      <c r="P13" s="2120"/>
      <c r="Q13" s="2120"/>
      <c r="R13" s="2120"/>
      <c r="S13" s="2120"/>
      <c r="T13" s="2120"/>
      <c r="U13" s="2120"/>
      <c r="V13" s="2120"/>
      <c r="W13" s="2120"/>
      <c r="X13" s="2120"/>
      <c r="Y13" s="2120"/>
      <c r="Z13" s="2120"/>
      <c r="AA13" s="2120"/>
      <c r="AB13" s="2120"/>
      <c r="AC13" s="2120"/>
      <c r="AD13" s="2120"/>
      <c r="AE13" s="2120"/>
      <c r="AF13" s="2120"/>
      <c r="AG13" s="2120"/>
      <c r="AH13" s="2120"/>
      <c r="AI13" s="2120"/>
      <c r="AJ13" s="2120"/>
      <c r="AK13" s="2120"/>
      <c r="AL13" s="2120"/>
      <c r="AM13" s="2120"/>
      <c r="AN13" s="2120"/>
      <c r="AO13" s="2120"/>
      <c r="AP13" s="2120"/>
      <c r="AQ13" s="1277"/>
      <c r="AR13" s="1277"/>
      <c r="AS13" s="1277"/>
      <c r="AT13" s="1277"/>
      <c r="AU13" s="1277"/>
      <c r="AX13" s="658"/>
      <c r="AY13" s="658"/>
      <c r="AZ13" s="658"/>
      <c r="BA13" s="658"/>
      <c r="BB13" s="658"/>
      <c r="BC13" s="658"/>
      <c r="BD13" s="658"/>
      <c r="BE13" s="658"/>
      <c r="BF13" s="658"/>
      <c r="BG13" s="658"/>
      <c r="BH13" s="658"/>
    </row>
    <row r="14" spans="1:60" ht="14.25" customHeight="1">
      <c r="A14" s="1277"/>
      <c r="B14" s="2122" t="s">
        <v>228</v>
      </c>
      <c r="C14" s="2123" t="s">
        <v>5993</v>
      </c>
      <c r="D14" s="2124"/>
      <c r="E14" s="2124"/>
      <c r="F14" s="2124"/>
      <c r="G14" s="2124"/>
      <c r="H14" s="2124"/>
      <c r="I14" s="2124"/>
      <c r="J14" s="2124"/>
      <c r="K14" s="2124"/>
      <c r="L14" s="2124"/>
      <c r="M14" s="2124"/>
      <c r="N14" s="2124"/>
      <c r="O14" s="2124"/>
      <c r="P14" s="2124"/>
      <c r="Q14" s="2124"/>
      <c r="R14" s="2124"/>
      <c r="S14" s="2124"/>
      <c r="T14" s="2124"/>
      <c r="U14" s="2124"/>
      <c r="V14" s="2124"/>
      <c r="W14" s="2124"/>
      <c r="X14" s="2124"/>
      <c r="Y14" s="2124"/>
      <c r="Z14" s="2124"/>
      <c r="AA14" s="2124"/>
      <c r="AB14" s="2124"/>
      <c r="AC14" s="2124"/>
      <c r="AD14" s="2124"/>
      <c r="AE14" s="2124"/>
      <c r="AF14" s="2124"/>
      <c r="AG14" s="2124"/>
      <c r="AH14" s="2124"/>
      <c r="AI14" s="1401" t="s">
        <v>811</v>
      </c>
      <c r="AJ14" s="10962" t="s">
        <v>228</v>
      </c>
      <c r="AK14" s="8494"/>
      <c r="AL14" s="10994">
        <f>IF(AS14&lt;&gt;"",ROUND(AS14,0),Adj_Gross_Inc)</f>
        <v>0</v>
      </c>
      <c r="AM14" s="10995"/>
      <c r="AN14" s="10995"/>
      <c r="AO14" s="10995"/>
      <c r="AP14" s="10995"/>
      <c r="AQ14" s="1277"/>
      <c r="AR14" s="723"/>
      <c r="AS14" s="804"/>
      <c r="AT14" s="723"/>
      <c r="AU14" s="723"/>
    </row>
    <row r="15" spans="1:60" ht="14.25">
      <c r="A15" s="1277"/>
      <c r="B15" s="1401" t="s">
        <v>337</v>
      </c>
      <c r="C15" s="2123" t="s">
        <v>3991</v>
      </c>
      <c r="D15" s="2125"/>
      <c r="E15" s="2125"/>
      <c r="F15" s="2125"/>
      <c r="G15" s="2125"/>
      <c r="H15" s="2125"/>
      <c r="I15" s="2125"/>
      <c r="J15" s="2125"/>
      <c r="K15" s="2125"/>
      <c r="L15" s="2125"/>
      <c r="M15" s="2125"/>
      <c r="N15" s="2125"/>
      <c r="O15" s="2125"/>
      <c r="P15" s="2125"/>
      <c r="Q15" s="2125"/>
      <c r="R15" s="2125"/>
      <c r="S15" s="2125"/>
      <c r="T15" s="2125"/>
      <c r="U15" s="2125"/>
      <c r="V15" s="2125"/>
      <c r="W15" s="2125"/>
      <c r="X15" s="2125"/>
      <c r="Y15" s="2125"/>
      <c r="Z15" s="2125"/>
      <c r="AA15" s="2125"/>
      <c r="AB15" s="1401" t="s">
        <v>894</v>
      </c>
      <c r="AC15" s="10953" t="s">
        <v>337</v>
      </c>
      <c r="AD15" s="11001"/>
      <c r="AE15" s="11044"/>
      <c r="AF15" s="11045"/>
      <c r="AG15" s="11045"/>
      <c r="AH15" s="11045"/>
      <c r="AI15" s="11046"/>
      <c r="AJ15" s="11038"/>
      <c r="AK15" s="11039"/>
      <c r="AL15" s="2126"/>
      <c r="AM15" s="2126"/>
      <c r="AN15" s="2126"/>
      <c r="AO15" s="2126"/>
      <c r="AP15" s="2126"/>
      <c r="AQ15" s="1277"/>
      <c r="AR15" s="1277"/>
      <c r="AS15" s="1277"/>
      <c r="AT15" s="1277"/>
      <c r="AU15" s="1277"/>
    </row>
    <row r="16" spans="1:60" ht="14.25" customHeight="1">
      <c r="A16" s="1277"/>
      <c r="B16" s="1401" t="s">
        <v>592</v>
      </c>
      <c r="C16" s="2123" t="s">
        <v>3992</v>
      </c>
      <c r="D16" s="2127"/>
      <c r="E16" s="2127"/>
      <c r="F16" s="2127"/>
      <c r="G16" s="2127"/>
      <c r="H16" s="2127"/>
      <c r="I16" s="2127"/>
      <c r="J16" s="2127"/>
      <c r="K16" s="2127"/>
      <c r="L16" s="2127"/>
      <c r="M16" s="2127"/>
      <c r="N16" s="2127"/>
      <c r="O16" s="2127"/>
      <c r="P16" s="2127"/>
      <c r="Q16" s="2127"/>
      <c r="R16" s="2127"/>
      <c r="S16" s="2127"/>
      <c r="T16" s="2127"/>
      <c r="U16" s="2127"/>
      <c r="V16" s="2127"/>
      <c r="W16" s="2127"/>
      <c r="X16" s="2127"/>
      <c r="Y16" s="2127"/>
      <c r="Z16" s="2127"/>
      <c r="AA16" s="2127"/>
      <c r="AB16" s="1401" t="s">
        <v>911</v>
      </c>
      <c r="AC16" s="10953" t="s">
        <v>339</v>
      </c>
      <c r="AD16" s="8494"/>
      <c r="AE16" s="10992">
        <f>IF(AS16&lt;&gt;"",ROUND(AS16,0),SUM(F2555_Line45_Total,ForeignHousingDeductionTotal))</f>
        <v>0</v>
      </c>
      <c r="AF16" s="10993"/>
      <c r="AG16" s="10993"/>
      <c r="AH16" s="10993"/>
      <c r="AI16" s="10993"/>
      <c r="AJ16" s="11002"/>
      <c r="AK16" s="11003"/>
      <c r="AL16" s="2130"/>
      <c r="AM16" s="2131"/>
      <c r="AN16" s="2131"/>
      <c r="AO16" s="2131"/>
      <c r="AP16" s="2131"/>
      <c r="AQ16" s="1277"/>
      <c r="AR16" s="1277"/>
      <c r="AS16" s="804"/>
      <c r="AT16" s="1277"/>
      <c r="AU16" s="1277"/>
    </row>
    <row r="17" spans="1:60" ht="13.5" customHeight="1">
      <c r="A17" s="1277"/>
      <c r="B17" s="1401" t="s">
        <v>595</v>
      </c>
      <c r="C17" s="2123" t="s">
        <v>3993</v>
      </c>
      <c r="D17" s="2125"/>
      <c r="E17" s="2127"/>
      <c r="F17" s="2127"/>
      <c r="G17" s="2127"/>
      <c r="H17" s="759"/>
      <c r="I17" s="2127"/>
      <c r="J17" s="2127"/>
      <c r="K17" s="2127"/>
      <c r="L17" s="2127"/>
      <c r="M17" s="2132"/>
      <c r="N17" s="2133"/>
      <c r="O17" s="2133"/>
      <c r="P17" s="2133"/>
      <c r="Q17" s="2133"/>
      <c r="R17" s="2133"/>
      <c r="S17" s="2133"/>
      <c r="T17" s="2133"/>
      <c r="U17" s="2133"/>
      <c r="V17" s="2133"/>
      <c r="W17" s="2133"/>
      <c r="X17" s="2133"/>
      <c r="Y17" s="2133"/>
      <c r="Z17" s="2133"/>
      <c r="AA17" s="2133"/>
      <c r="AB17" s="1401" t="s">
        <v>894</v>
      </c>
      <c r="AC17" s="10953" t="s">
        <v>341</v>
      </c>
      <c r="AD17" s="8494"/>
      <c r="AE17" s="11047"/>
      <c r="AF17" s="11048"/>
      <c r="AG17" s="11048"/>
      <c r="AH17" s="11048"/>
      <c r="AI17" s="11048"/>
      <c r="AJ17" s="2134"/>
      <c r="AK17" s="2135"/>
      <c r="AL17" s="410"/>
      <c r="AM17" s="411"/>
      <c r="AN17" s="411"/>
      <c r="AO17" s="411"/>
      <c r="AP17" s="411"/>
      <c r="AQ17" s="1277"/>
      <c r="AR17" s="1277"/>
      <c r="AS17" s="1277"/>
      <c r="AT17" s="1277"/>
      <c r="AU17" s="1277"/>
    </row>
    <row r="18" spans="1:60" ht="13.5" customHeight="1" thickBot="1">
      <c r="A18" s="1277"/>
      <c r="B18" s="2136" t="s">
        <v>599</v>
      </c>
      <c r="C18" s="2123" t="s">
        <v>3994</v>
      </c>
      <c r="D18" s="2125"/>
      <c r="E18" s="2127"/>
      <c r="F18" s="2127"/>
      <c r="G18" s="2127"/>
      <c r="H18" s="2127"/>
      <c r="I18" s="2127"/>
      <c r="J18" s="2127"/>
      <c r="K18" s="2127"/>
      <c r="L18" s="2127"/>
      <c r="M18" s="2132"/>
      <c r="N18" s="2133"/>
      <c r="O18" s="2133"/>
      <c r="P18" s="2133"/>
      <c r="Q18" s="2133"/>
      <c r="R18" s="2133"/>
      <c r="S18" s="2133"/>
      <c r="T18" s="2133"/>
      <c r="U18" s="2133"/>
      <c r="V18" s="2133"/>
      <c r="W18" s="2133"/>
      <c r="X18" s="2133"/>
      <c r="Y18" s="2133"/>
      <c r="Z18" s="2133"/>
      <c r="AA18" s="2133"/>
      <c r="AB18" s="2133"/>
      <c r="AC18" s="2133"/>
      <c r="AD18" s="2133"/>
      <c r="AE18" s="2137"/>
      <c r="AF18" s="2137"/>
      <c r="AG18" s="2137"/>
      <c r="AH18" s="2137"/>
      <c r="AI18" s="1401" t="s">
        <v>1121</v>
      </c>
      <c r="AJ18" s="11049" t="s">
        <v>343</v>
      </c>
      <c r="AK18" s="11050"/>
      <c r="AL18" s="11054">
        <f>SUM(ROUND(AE15,0),AE16,ROUND(AE17,0))</f>
        <v>0</v>
      </c>
      <c r="AM18" s="11055"/>
      <c r="AN18" s="11055"/>
      <c r="AO18" s="11055"/>
      <c r="AP18" s="11055"/>
      <c r="AQ18" s="1277"/>
      <c r="AR18" s="1277"/>
      <c r="AS18" s="2138"/>
      <c r="AT18" s="1277"/>
      <c r="AU18" s="1277"/>
    </row>
    <row r="19" spans="1:60" ht="13.5" customHeight="1">
      <c r="A19" s="1277"/>
      <c r="B19" s="2122" t="s">
        <v>232</v>
      </c>
      <c r="C19" s="2123" t="s">
        <v>3995</v>
      </c>
      <c r="D19" s="2127"/>
      <c r="E19" s="2127"/>
      <c r="F19" s="2127"/>
      <c r="G19" s="2127"/>
      <c r="H19" s="2127"/>
      <c r="I19" s="2127"/>
      <c r="J19" s="2127"/>
      <c r="K19" s="759"/>
      <c r="L19" s="2127"/>
      <c r="M19" s="2132"/>
      <c r="N19" s="2132"/>
      <c r="O19" s="2132"/>
      <c r="P19" s="2132"/>
      <c r="Q19" s="2132"/>
      <c r="R19" s="2132"/>
      <c r="S19" s="2132"/>
      <c r="T19" s="2132"/>
      <c r="U19" s="2137"/>
      <c r="V19" s="2132"/>
      <c r="W19" s="2132"/>
      <c r="X19" s="2132"/>
      <c r="Y19" s="2132"/>
      <c r="Z19" s="2132"/>
      <c r="AA19" s="2132"/>
      <c r="AB19" s="2132"/>
      <c r="AC19" s="2132"/>
      <c r="AD19" s="2132"/>
      <c r="AE19" s="2137"/>
      <c r="AF19" s="2137"/>
      <c r="AG19" s="2137"/>
      <c r="AH19" s="2139"/>
      <c r="AI19" s="1401" t="s">
        <v>1989</v>
      </c>
      <c r="AJ19" s="10962" t="s">
        <v>232</v>
      </c>
      <c r="AK19" s="8494"/>
      <c r="AL19" s="10992">
        <f>SUM(AL14,AL18)</f>
        <v>0</v>
      </c>
      <c r="AM19" s="10993"/>
      <c r="AN19" s="10993"/>
      <c r="AO19" s="10993"/>
      <c r="AP19" s="10993"/>
      <c r="AQ19" s="1277"/>
      <c r="AR19" s="1277"/>
      <c r="AS19" s="2138"/>
      <c r="AT19" s="1277"/>
      <c r="AU19" s="1277"/>
      <c r="AV19" s="854" t="b">
        <f>(AL19=0)</f>
        <v>1</v>
      </c>
    </row>
    <row r="20" spans="1:60" ht="13.5" customHeight="1">
      <c r="A20" s="1277"/>
      <c r="B20" s="1291">
        <v>4</v>
      </c>
      <c r="C20" s="2140" t="s">
        <v>5996</v>
      </c>
      <c r="D20" s="2141"/>
      <c r="E20" s="2141"/>
      <c r="F20" s="2141"/>
      <c r="G20" s="2141"/>
      <c r="H20" s="2141"/>
      <c r="I20" s="2141"/>
      <c r="J20" s="2141"/>
      <c r="K20" s="2141"/>
      <c r="L20" s="2141"/>
      <c r="M20" s="2141"/>
      <c r="N20" s="2141"/>
      <c r="O20" s="2141"/>
      <c r="P20" s="2141"/>
      <c r="Q20" s="2141"/>
      <c r="R20" s="2141"/>
      <c r="S20" s="2141"/>
      <c r="T20" s="2141"/>
      <c r="U20" s="2133"/>
      <c r="V20" s="2133"/>
      <c r="W20" s="2133"/>
      <c r="X20" s="2133"/>
      <c r="Y20" s="2133"/>
      <c r="Z20" s="2133"/>
      <c r="AA20" s="2133"/>
      <c r="AB20" s="1401"/>
      <c r="AC20" s="10953">
        <v>4</v>
      </c>
      <c r="AD20" s="11001"/>
      <c r="AE20" s="11040">
        <f>IF(AS20&lt;&gt;"",ROUND(AS20,0),Qual_Childen_Under_17)</f>
        <v>0</v>
      </c>
      <c r="AF20" s="11041"/>
      <c r="AG20" s="11041"/>
      <c r="AH20" s="11041"/>
      <c r="AI20" s="11042"/>
      <c r="AJ20" s="2128"/>
      <c r="AK20" s="2129"/>
      <c r="AL20" s="11056">
        <v>2200</v>
      </c>
      <c r="AM20" s="11057"/>
      <c r="AN20" s="11057"/>
      <c r="AO20" s="11057"/>
      <c r="AP20" s="11057"/>
      <c r="AQ20" s="1277"/>
      <c r="AR20" s="1277"/>
      <c r="AS20" s="804"/>
      <c r="AT20" s="1277"/>
      <c r="AU20" s="1277"/>
    </row>
    <row r="21" spans="1:60" ht="13.5" customHeight="1">
      <c r="A21" s="1277"/>
      <c r="B21" s="2142" t="s">
        <v>237</v>
      </c>
      <c r="C21" s="2123" t="str">
        <f>"Multiply line 4 by "&amp;TEXT(AL20,"$0,000")</f>
        <v>Multiply line 4 by $2,200</v>
      </c>
      <c r="D21" s="2125"/>
      <c r="E21" s="2127"/>
      <c r="F21" s="2127"/>
      <c r="G21" s="2127"/>
      <c r="H21" s="2127"/>
      <c r="I21" s="2127"/>
      <c r="J21" s="2127"/>
      <c r="K21" s="2127"/>
      <c r="L21" s="2127"/>
      <c r="M21" s="2132"/>
      <c r="N21" s="2133"/>
      <c r="O21" s="2133"/>
      <c r="P21" s="2133"/>
      <c r="Q21" s="2133"/>
      <c r="R21" s="2133"/>
      <c r="S21" s="2133"/>
      <c r="T21" s="2133"/>
      <c r="U21" s="2133"/>
      <c r="V21" s="2133"/>
      <c r="W21" s="2133"/>
      <c r="X21" s="2133"/>
      <c r="Y21" s="2133"/>
      <c r="Z21" s="2133"/>
      <c r="AA21" s="2133"/>
      <c r="AB21" s="2133"/>
      <c r="AC21" s="2133"/>
      <c r="AD21" s="2133"/>
      <c r="AE21" s="2137"/>
      <c r="AF21" s="2137"/>
      <c r="AG21" s="2137"/>
      <c r="AH21" s="2137"/>
      <c r="AI21" s="1401" t="s">
        <v>2090</v>
      </c>
      <c r="AJ21" s="10962" t="s">
        <v>237</v>
      </c>
      <c r="AK21" s="11001"/>
      <c r="AL21" s="10992">
        <f>ROUND(AL20*AE20,0)</f>
        <v>0</v>
      </c>
      <c r="AM21" s="10993"/>
      <c r="AN21" s="10993"/>
      <c r="AO21" s="10993"/>
      <c r="AP21" s="10993"/>
      <c r="AQ21" s="1277"/>
      <c r="AR21" s="1277"/>
      <c r="AS21" s="2138"/>
      <c r="AT21" s="1277"/>
      <c r="AU21" s="1277"/>
    </row>
    <row r="22" spans="1:60" ht="13.5" customHeight="1">
      <c r="A22" s="1277"/>
      <c r="B22" s="2142" t="s">
        <v>239</v>
      </c>
      <c r="C22" s="2123" t="s">
        <v>3996</v>
      </c>
      <c r="D22" s="2125"/>
      <c r="E22" s="2127"/>
      <c r="F22" s="2127"/>
      <c r="G22" s="2127"/>
      <c r="H22" s="2127"/>
      <c r="I22" s="2127"/>
      <c r="J22" s="2127"/>
      <c r="K22" s="2127"/>
      <c r="L22" s="2127"/>
      <c r="M22" s="2132"/>
      <c r="N22" s="2133"/>
      <c r="O22" s="2133"/>
      <c r="P22" s="2133"/>
      <c r="Q22" s="2133"/>
      <c r="R22" s="2133"/>
      <c r="S22" s="2133"/>
      <c r="T22" s="2133"/>
      <c r="U22" s="2133"/>
      <c r="V22" s="2133"/>
      <c r="W22" s="2133"/>
      <c r="X22" s="2133"/>
      <c r="Y22" s="2133"/>
      <c r="Z22" s="2133"/>
      <c r="AA22" s="2133"/>
      <c r="AB22" s="2133"/>
      <c r="AC22" s="2133"/>
      <c r="AD22" s="2133"/>
      <c r="AE22" s="2137"/>
      <c r="AF22" s="2137"/>
      <c r="AG22" s="2137"/>
      <c r="AH22" s="2137"/>
      <c r="AI22" s="2139"/>
      <c r="AJ22" s="2143"/>
      <c r="AK22" s="2144"/>
      <c r="AL22" s="2134"/>
      <c r="AM22" s="510"/>
      <c r="AN22" s="510"/>
      <c r="AO22" s="510"/>
      <c r="AP22" s="510"/>
      <c r="AQ22" s="1277"/>
      <c r="AR22" s="1277"/>
      <c r="AS22" s="2138"/>
      <c r="AT22" s="1277"/>
      <c r="AU22" s="1277"/>
    </row>
    <row r="23" spans="1:60" ht="13.5" customHeight="1">
      <c r="A23" s="1277"/>
      <c r="B23" s="2145"/>
      <c r="C23" s="2123" t="s">
        <v>6004</v>
      </c>
      <c r="D23" s="759"/>
      <c r="E23" s="759"/>
      <c r="F23" s="759"/>
      <c r="G23" s="759"/>
      <c r="H23" s="759"/>
      <c r="I23" s="759"/>
      <c r="J23" s="759"/>
      <c r="K23" s="759"/>
      <c r="L23" s="759"/>
      <c r="M23" s="344"/>
      <c r="N23" s="817"/>
      <c r="O23" s="817"/>
      <c r="P23" s="817"/>
      <c r="Q23" s="817"/>
      <c r="R23" s="817"/>
      <c r="S23" s="817"/>
      <c r="T23" s="817"/>
      <c r="U23" s="817"/>
      <c r="V23" s="817"/>
      <c r="W23" s="817"/>
      <c r="X23" s="817"/>
      <c r="Y23" s="817"/>
      <c r="Z23" s="817"/>
      <c r="AA23" s="817"/>
      <c r="AB23" s="1401" t="s">
        <v>911</v>
      </c>
      <c r="AC23" s="10962" t="s">
        <v>239</v>
      </c>
      <c r="AD23" s="8494"/>
      <c r="AE23" s="11040">
        <f>IF(AS23&lt;&gt;"",ROUND(AS23,0),SUM(CFOD_QC_Under_17,CFOD_Other_Depend))</f>
        <v>0</v>
      </c>
      <c r="AF23" s="11041"/>
      <c r="AG23" s="11041"/>
      <c r="AH23" s="11041"/>
      <c r="AI23" s="11042"/>
      <c r="AJ23" s="2146"/>
      <c r="AK23" s="2147"/>
      <c r="AL23" s="10955">
        <v>500</v>
      </c>
      <c r="AM23" s="10935"/>
      <c r="AN23" s="10935"/>
      <c r="AO23" s="10935"/>
      <c r="AP23" s="10935"/>
      <c r="AQ23" s="1277"/>
      <c r="AR23" s="1277"/>
      <c r="AS23" s="1272"/>
      <c r="AT23" s="1277"/>
      <c r="AU23" s="1277"/>
    </row>
    <row r="24" spans="1:60" ht="13.5" customHeight="1">
      <c r="A24" s="1277"/>
      <c r="B24" s="2145"/>
      <c r="C24" s="2125" t="s">
        <v>4915</v>
      </c>
      <c r="D24" s="759"/>
      <c r="E24" s="759"/>
      <c r="F24" s="759"/>
      <c r="G24" s="759"/>
      <c r="H24" s="759"/>
      <c r="I24" s="759"/>
      <c r="J24" s="759"/>
      <c r="K24" s="759"/>
      <c r="L24" s="759"/>
      <c r="M24" s="344"/>
      <c r="N24" s="817"/>
      <c r="O24" s="817"/>
      <c r="P24" s="817"/>
      <c r="Q24" s="817"/>
      <c r="R24" s="817"/>
      <c r="S24" s="817"/>
      <c r="T24" s="817"/>
      <c r="U24" s="817"/>
      <c r="V24" s="817"/>
      <c r="W24" s="817"/>
      <c r="X24" s="817"/>
      <c r="Y24" s="817"/>
      <c r="Z24" s="817"/>
      <c r="AA24" s="817"/>
      <c r="AB24" s="817"/>
      <c r="AC24" s="817"/>
      <c r="AD24" s="817"/>
      <c r="AE24" s="817"/>
      <c r="AF24" s="817"/>
      <c r="AG24" s="817"/>
      <c r="AH24" s="817"/>
      <c r="AI24" s="817"/>
      <c r="AJ24" s="2146"/>
      <c r="AK24" s="2147"/>
      <c r="AL24" s="2148"/>
      <c r="AM24" s="2149"/>
      <c r="AN24" s="2149"/>
      <c r="AO24" s="2149"/>
      <c r="AP24" s="2149"/>
      <c r="AQ24" s="1277"/>
      <c r="AR24" s="1277"/>
      <c r="AS24" s="2138"/>
      <c r="AT24" s="1277"/>
      <c r="AU24" s="1277"/>
    </row>
    <row r="25" spans="1:60" ht="13.5" customHeight="1">
      <c r="A25" s="1277"/>
      <c r="B25" s="2145"/>
      <c r="C25" s="2125" t="s">
        <v>4914</v>
      </c>
      <c r="D25" s="759"/>
      <c r="E25" s="759"/>
      <c r="F25" s="759"/>
      <c r="G25" s="759"/>
      <c r="H25" s="759"/>
      <c r="I25" s="759"/>
      <c r="J25" s="759"/>
      <c r="K25" s="759"/>
      <c r="L25" s="759"/>
      <c r="M25" s="344"/>
      <c r="N25" s="817"/>
      <c r="O25" s="817"/>
      <c r="P25" s="817"/>
      <c r="Q25" s="817"/>
      <c r="R25" s="817"/>
      <c r="S25" s="817"/>
      <c r="T25" s="817"/>
      <c r="U25" s="817"/>
      <c r="V25" s="817"/>
      <c r="W25" s="817"/>
      <c r="X25" s="817"/>
      <c r="Y25" s="817"/>
      <c r="Z25" s="817"/>
      <c r="AA25" s="817"/>
      <c r="AB25" s="817"/>
      <c r="AC25" s="817"/>
      <c r="AD25" s="817"/>
      <c r="AE25" s="817"/>
      <c r="AF25" s="817"/>
      <c r="AG25" s="817"/>
      <c r="AH25" s="817"/>
      <c r="AI25" s="817"/>
      <c r="AJ25" s="2146"/>
      <c r="AK25" s="2147"/>
      <c r="AL25" s="2148"/>
      <c r="AM25" s="2149"/>
      <c r="AN25" s="2149"/>
      <c r="AO25" s="2149"/>
      <c r="AP25" s="2149"/>
      <c r="AQ25" s="1277"/>
      <c r="AR25" s="1277"/>
      <c r="AS25" s="2138"/>
      <c r="AT25" s="1277"/>
      <c r="AU25" s="1277"/>
    </row>
    <row r="26" spans="1:60" ht="15.75" customHeight="1">
      <c r="A26" s="1277"/>
      <c r="B26" s="2142" t="s">
        <v>242</v>
      </c>
      <c r="C26" s="2123" t="str">
        <f>"Multiply line 6 by "&amp;TEXT(AL23,"$0")</f>
        <v>Multiply line 6 by $500</v>
      </c>
      <c r="D26" s="2005"/>
      <c r="E26" s="344"/>
      <c r="F26" s="344"/>
      <c r="G26" s="344"/>
      <c r="H26" s="344"/>
      <c r="I26" s="344"/>
      <c r="J26" s="344"/>
      <c r="K26" s="344"/>
      <c r="L26" s="344"/>
      <c r="M26" s="344"/>
      <c r="N26" s="873"/>
      <c r="O26" s="873"/>
      <c r="P26" s="873"/>
      <c r="Q26" s="873"/>
      <c r="R26" s="873"/>
      <c r="S26" s="2132"/>
      <c r="T26" s="2132"/>
      <c r="U26" s="2137"/>
      <c r="V26" s="2132"/>
      <c r="W26" s="2132"/>
      <c r="X26" s="2132"/>
      <c r="Y26" s="2132"/>
      <c r="Z26" s="2132"/>
      <c r="AA26" s="2132"/>
      <c r="AB26" s="2132"/>
      <c r="AC26" s="2132"/>
      <c r="AD26" s="2132"/>
      <c r="AE26" s="2137"/>
      <c r="AF26" s="2137"/>
      <c r="AG26" s="2137"/>
      <c r="AH26" s="2139"/>
      <c r="AI26" s="1401" t="s">
        <v>1121</v>
      </c>
      <c r="AJ26" s="10962" t="s">
        <v>242</v>
      </c>
      <c r="AK26" s="11001"/>
      <c r="AL26" s="10992">
        <f>ROUND(AE23*AL23,0)</f>
        <v>0</v>
      </c>
      <c r="AM26" s="10993"/>
      <c r="AN26" s="10993"/>
      <c r="AO26" s="10993"/>
      <c r="AP26" s="10993"/>
      <c r="AQ26" s="1277"/>
      <c r="AR26" s="1277"/>
      <c r="AS26" s="1277"/>
      <c r="AT26" s="1277"/>
      <c r="AU26" s="1277"/>
    </row>
    <row r="27" spans="1:60" ht="15.75" customHeight="1">
      <c r="A27" s="1277"/>
      <c r="B27" s="2142" t="s">
        <v>244</v>
      </c>
      <c r="C27" s="2123" t="s">
        <v>3997</v>
      </c>
      <c r="D27" s="344"/>
      <c r="E27" s="344"/>
      <c r="F27" s="344"/>
      <c r="G27" s="344"/>
      <c r="H27" s="344"/>
      <c r="I27" s="344"/>
      <c r="J27" s="344"/>
      <c r="K27" s="344"/>
      <c r="L27" s="344"/>
      <c r="M27" s="344"/>
      <c r="N27" s="873"/>
      <c r="O27" s="873"/>
      <c r="P27" s="873"/>
      <c r="Q27" s="873"/>
      <c r="R27" s="873"/>
      <c r="S27" s="2132"/>
      <c r="T27" s="2132"/>
      <c r="U27" s="2137"/>
      <c r="V27" s="2132"/>
      <c r="W27" s="2132"/>
      <c r="X27" s="2132"/>
      <c r="Y27" s="2132"/>
      <c r="Z27" s="2132"/>
      <c r="AA27" s="2132"/>
      <c r="AB27" s="2132"/>
      <c r="AC27" s="2132"/>
      <c r="AD27" s="2132"/>
      <c r="AE27" s="2137"/>
      <c r="AF27" s="2137"/>
      <c r="AG27" s="2137"/>
      <c r="AH27" s="2139"/>
      <c r="AI27" s="1401" t="s">
        <v>1989</v>
      </c>
      <c r="AJ27" s="10962" t="s">
        <v>244</v>
      </c>
      <c r="AK27" s="11001"/>
      <c r="AL27" s="10992">
        <f>IF(AS27&lt;&gt;"",ROUND(AS27,0),SUM(AL21,AL26))</f>
        <v>0</v>
      </c>
      <c r="AM27" s="10993"/>
      <c r="AN27" s="10993"/>
      <c r="AO27" s="10993"/>
      <c r="AP27" s="10993"/>
      <c r="AQ27" s="1277"/>
      <c r="AR27" s="1277"/>
      <c r="AS27" s="1272"/>
      <c r="AT27" s="1277"/>
      <c r="AU27" s="1277"/>
    </row>
    <row r="28" spans="1:60" s="141" customFormat="1">
      <c r="A28" s="2113"/>
      <c r="B28" s="2142" t="s">
        <v>377</v>
      </c>
      <c r="C28" s="2123" t="s">
        <v>1046</v>
      </c>
      <c r="D28" s="516"/>
      <c r="E28" s="516"/>
      <c r="F28" s="516"/>
      <c r="G28" s="516"/>
      <c r="H28" s="516"/>
      <c r="I28" s="516"/>
      <c r="J28" s="516"/>
      <c r="K28" s="516"/>
      <c r="L28" s="516"/>
      <c r="M28" s="516"/>
      <c r="N28" s="2005"/>
      <c r="O28" s="2005"/>
      <c r="P28" s="2005"/>
      <c r="Q28" s="2005"/>
      <c r="R28" s="2005"/>
      <c r="S28" s="2005"/>
      <c r="T28" s="2005"/>
      <c r="U28" s="2005"/>
      <c r="V28" s="2005"/>
      <c r="W28" s="2005"/>
      <c r="X28" s="2005"/>
      <c r="Y28" s="2005"/>
      <c r="Z28" s="2005"/>
      <c r="AA28" s="2005"/>
      <c r="AB28" s="2005"/>
      <c r="AC28" s="2005"/>
      <c r="AD28" s="2005"/>
      <c r="AE28" s="2005"/>
      <c r="AF28" s="2005"/>
      <c r="AG28" s="2005"/>
      <c r="AH28" s="2005"/>
      <c r="AI28" s="2005"/>
      <c r="AJ28" s="2150"/>
      <c r="AK28" s="2151"/>
      <c r="AL28" s="2024"/>
      <c r="AM28" s="2024"/>
      <c r="AN28" s="2024"/>
      <c r="AO28" s="2024"/>
      <c r="AP28" s="2024"/>
      <c r="AQ28" s="2113"/>
      <c r="AR28" s="1277"/>
      <c r="AS28" s="2138"/>
      <c r="AT28" s="1277"/>
      <c r="AU28" s="1277"/>
      <c r="AX28" s="665"/>
      <c r="AY28" s="665"/>
      <c r="AZ28" s="665"/>
      <c r="BA28" s="665"/>
      <c r="BB28" s="665"/>
      <c r="BC28" s="665"/>
      <c r="BD28" s="665"/>
      <c r="BE28" s="665"/>
      <c r="BF28" s="665"/>
      <c r="BG28" s="665"/>
      <c r="BH28" s="665"/>
    </row>
    <row r="29" spans="1:60" ht="11.25" customHeight="1">
      <c r="A29" s="1277"/>
      <c r="B29" s="2005"/>
      <c r="C29" s="2007" t="s">
        <v>637</v>
      </c>
      <c r="D29" s="2152" t="s">
        <v>3998</v>
      </c>
      <c r="E29" s="344"/>
      <c r="F29" s="344"/>
      <c r="G29" s="344"/>
      <c r="H29" s="344"/>
      <c r="I29" s="344"/>
      <c r="J29" s="1679"/>
      <c r="K29" s="11059">
        <v>400000</v>
      </c>
      <c r="L29" s="11059"/>
      <c r="M29" s="11059"/>
      <c r="N29" s="11059"/>
      <c r="O29" s="873"/>
      <c r="P29" s="873"/>
      <c r="Q29" s="873"/>
      <c r="R29" s="873"/>
      <c r="S29" s="873"/>
      <c r="T29" s="873"/>
      <c r="U29" s="873"/>
      <c r="V29" s="873"/>
      <c r="W29" s="873"/>
      <c r="X29" s="873"/>
      <c r="Y29" s="873"/>
      <c r="Z29" s="873"/>
      <c r="AA29" s="873"/>
      <c r="AB29" s="873"/>
      <c r="AC29" s="873"/>
      <c r="AD29" s="873"/>
      <c r="AE29" s="873"/>
      <c r="AF29" s="873"/>
      <c r="AG29" s="873"/>
      <c r="AH29" s="873"/>
      <c r="AI29" s="873"/>
      <c r="AJ29" s="2150"/>
      <c r="AK29" s="2151"/>
      <c r="AL29" s="2024"/>
      <c r="AM29" s="2024"/>
      <c r="AN29" s="2024"/>
      <c r="AO29" s="2024"/>
      <c r="AP29" s="2024"/>
      <c r="AQ29" s="1277"/>
      <c r="AR29" s="1277"/>
      <c r="AS29" s="2138"/>
      <c r="AT29" s="1277"/>
      <c r="AU29" s="1277"/>
    </row>
    <row r="30" spans="1:60" ht="15">
      <c r="A30" s="1277"/>
      <c r="B30" s="873"/>
      <c r="C30" s="2007" t="s">
        <v>637</v>
      </c>
      <c r="D30" s="2152" t="s">
        <v>3999</v>
      </c>
      <c r="E30" s="344"/>
      <c r="F30" s="344"/>
      <c r="G30" s="2132"/>
      <c r="H30" s="344"/>
      <c r="I30" s="344"/>
      <c r="J30" s="350"/>
      <c r="K30" s="1679"/>
      <c r="L30" s="11058">
        <v>200000</v>
      </c>
      <c r="M30" s="11058"/>
      <c r="N30" s="11058"/>
      <c r="O30" s="11058"/>
      <c r="P30" s="344"/>
      <c r="Q30" s="344"/>
      <c r="R30" s="344"/>
      <c r="S30" s="344"/>
      <c r="T30" s="344"/>
      <c r="U30" s="2005"/>
      <c r="V30" s="344"/>
      <c r="W30" s="344"/>
      <c r="X30" s="344"/>
      <c r="Y30" s="344"/>
      <c r="Z30" s="344"/>
      <c r="AA30" s="344"/>
      <c r="AB30" s="344"/>
      <c r="AC30" s="344"/>
      <c r="AD30" s="344"/>
      <c r="AE30" s="344"/>
      <c r="AF30" s="344"/>
      <c r="AG30" s="344"/>
      <c r="AH30" s="344"/>
      <c r="AI30" s="1401" t="s">
        <v>871</v>
      </c>
      <c r="AJ30" s="10962" t="s">
        <v>377</v>
      </c>
      <c r="AK30" s="11001"/>
      <c r="AL30" s="10990" t="str">
        <f>IF(AV30,"&lt;Filing status?&gt;",IF(File_Marr_Joint&lt;&gt;"",K29,L30))</f>
        <v>&lt;Filing status?&gt;</v>
      </c>
      <c r="AM30" s="10991"/>
      <c r="AN30" s="10991"/>
      <c r="AO30" s="10991"/>
      <c r="AP30" s="10991"/>
      <c r="AQ30" s="1277"/>
      <c r="AR30" s="1277"/>
      <c r="AS30" s="2138"/>
      <c r="AT30" s="2153"/>
      <c r="AU30" s="1277"/>
      <c r="AV30" s="304" t="b">
        <f>NumFileStatusBoxes=0</f>
        <v>1</v>
      </c>
    </row>
    <row r="31" spans="1:60" ht="11.25" customHeight="1">
      <c r="A31" s="1277"/>
      <c r="B31" s="2142" t="s">
        <v>246</v>
      </c>
      <c r="C31" s="2123" t="s">
        <v>4000</v>
      </c>
      <c r="D31" s="1218"/>
      <c r="E31" s="344"/>
      <c r="F31" s="344"/>
      <c r="G31" s="344"/>
      <c r="H31" s="344"/>
      <c r="I31" s="344"/>
      <c r="J31" s="344"/>
      <c r="K31" s="344"/>
      <c r="L31" s="344"/>
      <c r="M31" s="344"/>
      <c r="N31" s="817"/>
      <c r="O31" s="817"/>
      <c r="P31" s="817"/>
      <c r="Q31" s="817"/>
      <c r="R31" s="817"/>
      <c r="S31" s="817"/>
      <c r="T31" s="817"/>
      <c r="U31" s="817"/>
      <c r="V31" s="817"/>
      <c r="W31" s="817"/>
      <c r="X31" s="817"/>
      <c r="Y31" s="817"/>
      <c r="Z31" s="817"/>
      <c r="AA31" s="817"/>
      <c r="AB31" s="817"/>
      <c r="AC31" s="817"/>
      <c r="AD31" s="817"/>
      <c r="AE31" s="817"/>
      <c r="AF31" s="817"/>
      <c r="AG31" s="817"/>
      <c r="AH31" s="817"/>
      <c r="AI31" s="817"/>
      <c r="AJ31" s="2150"/>
      <c r="AK31" s="2151"/>
      <c r="AL31" s="2024"/>
      <c r="AM31" s="2024"/>
      <c r="AN31" s="2024"/>
      <c r="AO31" s="2024"/>
      <c r="AP31" s="2024"/>
      <c r="AQ31" s="1277"/>
      <c r="AR31" s="1277"/>
      <c r="AS31" s="2138"/>
      <c r="AT31" s="1277"/>
      <c r="AU31" s="1277"/>
    </row>
    <row r="32" spans="1:60" ht="15">
      <c r="A32" s="1277"/>
      <c r="B32" s="349"/>
      <c r="C32" s="2007" t="s">
        <v>637</v>
      </c>
      <c r="D32" s="2152" t="s">
        <v>655</v>
      </c>
      <c r="E32" s="344"/>
      <c r="F32" s="344"/>
      <c r="G32" s="2132"/>
      <c r="H32" s="344"/>
      <c r="I32" s="344"/>
      <c r="J32" s="344"/>
      <c r="K32" s="344"/>
      <c r="L32" s="344"/>
      <c r="M32" s="344"/>
      <c r="N32" s="344"/>
      <c r="O32" s="344"/>
      <c r="P32" s="344"/>
      <c r="Q32" s="344"/>
      <c r="R32" s="344"/>
      <c r="S32" s="344"/>
      <c r="T32" s="344"/>
      <c r="U32" s="344"/>
      <c r="V32" s="344"/>
      <c r="W32" s="344"/>
      <c r="X32" s="344"/>
      <c r="Y32" s="344"/>
      <c r="Z32" s="344"/>
      <c r="AA32" s="344"/>
      <c r="AB32" s="344"/>
      <c r="AC32" s="344"/>
      <c r="AD32" s="344"/>
      <c r="AE32" s="344"/>
      <c r="AF32" s="344"/>
      <c r="AG32" s="344"/>
      <c r="AH32" s="344"/>
      <c r="AI32" s="344"/>
      <c r="AJ32" s="2150"/>
      <c r="AK32" s="2151"/>
      <c r="AL32" s="10998">
        <f>IF(AV30,0,IF(SUM(AL19,-AL30)=ROUND(SUM(AL19,-AL30),-3),SUM(AL19,-AL30),ROUNDUP(SUM(AL19,-AL30),-3)))</f>
        <v>0</v>
      </c>
      <c r="AM32" s="10999"/>
      <c r="AN32" s="10999"/>
      <c r="AO32" s="10999"/>
      <c r="AP32" s="10999"/>
      <c r="AQ32" s="1277"/>
      <c r="AR32" s="1277"/>
      <c r="AS32" s="2138"/>
      <c r="AT32" s="1277"/>
      <c r="AU32" s="1277"/>
    </row>
    <row r="33" spans="1:60" ht="15">
      <c r="A33" s="1277"/>
      <c r="B33" s="349"/>
      <c r="C33" s="2007" t="s">
        <v>637</v>
      </c>
      <c r="D33" s="2152" t="s">
        <v>4001</v>
      </c>
      <c r="E33" s="344"/>
      <c r="F33" s="344"/>
      <c r="G33" s="2132"/>
      <c r="H33" s="344"/>
      <c r="I33" s="344"/>
      <c r="J33" s="344"/>
      <c r="K33" s="344"/>
      <c r="L33" s="344"/>
      <c r="M33" s="344"/>
      <c r="N33" s="344"/>
      <c r="O33" s="344"/>
      <c r="P33" s="344"/>
      <c r="Q33" s="344"/>
      <c r="R33" s="344"/>
      <c r="S33" s="344"/>
      <c r="T33" s="344"/>
      <c r="U33" s="344"/>
      <c r="V33" s="344"/>
      <c r="W33" s="344"/>
      <c r="X33" s="344"/>
      <c r="Y33" s="344"/>
      <c r="Z33" s="344"/>
      <c r="AA33" s="344"/>
      <c r="AB33" s="344"/>
      <c r="AC33" s="344"/>
      <c r="AD33" s="344"/>
      <c r="AE33" s="344"/>
      <c r="AF33" s="344"/>
      <c r="AG33" s="344"/>
      <c r="AH33" s="344"/>
      <c r="AI33" s="344"/>
      <c r="AJ33" s="2150"/>
      <c r="AK33" s="2151"/>
      <c r="AL33" s="10996">
        <v>0.05</v>
      </c>
      <c r="AM33" s="10997"/>
      <c r="AN33" s="10997"/>
      <c r="AO33" s="10997"/>
      <c r="AP33" s="10997"/>
      <c r="AQ33" s="1277"/>
      <c r="AR33" s="1277"/>
      <c r="AS33" s="2138"/>
      <c r="AT33" s="1277"/>
      <c r="AU33" s="1277"/>
    </row>
    <row r="34" spans="1:60" ht="14.25">
      <c r="A34" s="2153" t="s">
        <v>1892</v>
      </c>
      <c r="B34" s="349"/>
      <c r="C34" s="2123" t="s">
        <v>4002</v>
      </c>
      <c r="D34" s="344"/>
      <c r="E34" s="344"/>
      <c r="F34" s="344"/>
      <c r="G34" s="2132"/>
      <c r="H34" s="344"/>
      <c r="I34" s="344"/>
      <c r="J34" s="344"/>
      <c r="K34" s="344"/>
      <c r="L34" s="344"/>
      <c r="M34" s="344"/>
      <c r="N34" s="344"/>
      <c r="O34" s="344"/>
      <c r="P34" s="344"/>
      <c r="Q34" s="344"/>
      <c r="R34" s="344"/>
      <c r="S34" s="344"/>
      <c r="T34" s="344"/>
      <c r="U34" s="344"/>
      <c r="V34" s="344"/>
      <c r="W34" s="344"/>
      <c r="X34" s="344"/>
      <c r="Y34" s="344"/>
      <c r="Z34" s="344"/>
      <c r="AA34" s="344"/>
      <c r="AB34" s="344"/>
      <c r="AC34" s="344"/>
      <c r="AD34" s="344"/>
      <c r="AE34" s="344"/>
      <c r="AF34" s="344"/>
      <c r="AG34" s="344"/>
      <c r="AH34" s="344"/>
      <c r="AI34" s="1401" t="s">
        <v>824</v>
      </c>
      <c r="AJ34" s="10962" t="s">
        <v>246</v>
      </c>
      <c r="AK34" s="8494"/>
      <c r="AL34" s="10992" t="str">
        <f>IF(AV30,"",IF(SUM(AL19,-AL30)&lt;=0,0,AL32))</f>
        <v/>
      </c>
      <c r="AM34" s="10993"/>
      <c r="AN34" s="10993"/>
      <c r="AO34" s="10993"/>
      <c r="AP34" s="10993"/>
      <c r="AQ34" s="1277"/>
      <c r="AR34" s="1277"/>
      <c r="AS34" s="2138"/>
      <c r="AT34" s="1277"/>
      <c r="AU34" s="1277"/>
    </row>
    <row r="35" spans="1:60" ht="14.25">
      <c r="A35" s="1277"/>
      <c r="B35" s="2154" t="s">
        <v>248</v>
      </c>
      <c r="C35" s="2123" t="str">
        <f>"Multiply line 10 by "&amp;TEXT(AL33,"0%")&amp;" ("&amp;TEXT(AL33,"0.00")&amp;")"</f>
        <v>Multiply line 10 by 5% (0.05)</v>
      </c>
      <c r="D35" s="344"/>
      <c r="E35" s="344"/>
      <c r="F35" s="344"/>
      <c r="G35" s="2132"/>
      <c r="H35" s="344"/>
      <c r="I35" s="344"/>
      <c r="J35" s="344"/>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1401" t="s">
        <v>1888</v>
      </c>
      <c r="AJ35" s="10962" t="s">
        <v>248</v>
      </c>
      <c r="AK35" s="8494"/>
      <c r="AL35" s="10992" t="str">
        <f>IF(AV30,"",ROUND(SUM(AL34*AL33),0))</f>
        <v/>
      </c>
      <c r="AM35" s="10993"/>
      <c r="AN35" s="10993"/>
      <c r="AO35" s="10993"/>
      <c r="AP35" s="10993"/>
      <c r="AQ35" s="1277"/>
      <c r="AR35" s="1277"/>
      <c r="AS35" s="2138"/>
      <c r="AT35" s="1277"/>
      <c r="AU35" s="1277"/>
    </row>
    <row r="36" spans="1:60" ht="16.5" customHeight="1">
      <c r="A36" s="1277"/>
      <c r="B36" s="2154" t="s">
        <v>1020</v>
      </c>
      <c r="C36" s="2123" t="s">
        <v>4003</v>
      </c>
      <c r="D36" s="2133"/>
      <c r="E36" s="2133"/>
      <c r="F36" s="2133"/>
      <c r="G36" s="873"/>
      <c r="H36" s="873"/>
      <c r="I36" s="873"/>
      <c r="J36" s="873"/>
      <c r="K36" s="873"/>
      <c r="L36" s="873"/>
      <c r="M36" s="344"/>
      <c r="N36" s="873"/>
      <c r="O36" s="873"/>
      <c r="P36" s="873"/>
      <c r="Q36" s="873"/>
      <c r="R36" s="873"/>
      <c r="S36" s="873"/>
      <c r="T36" s="873"/>
      <c r="U36" s="873"/>
      <c r="V36" s="873"/>
      <c r="W36" s="873"/>
      <c r="X36" s="873"/>
      <c r="Y36" s="873"/>
      <c r="Z36" s="873"/>
      <c r="AA36" s="873"/>
      <c r="AB36" s="873"/>
      <c r="AC36" s="873"/>
      <c r="AD36" s="873"/>
      <c r="AE36" s="873"/>
      <c r="AF36" s="873"/>
      <c r="AG36" s="873"/>
      <c r="AH36" s="873"/>
      <c r="AI36" s="1401" t="s">
        <v>802</v>
      </c>
      <c r="AJ36" s="10962" t="s">
        <v>1020</v>
      </c>
      <c r="AK36" s="8494"/>
      <c r="AL36" s="10992" t="str">
        <f>IF(AV30,"",IF(SUM(AL27,-AL35)&lt;=0,0,SUM(AL27,-AL35)))</f>
        <v/>
      </c>
      <c r="AM36" s="10993"/>
      <c r="AN36" s="10993"/>
      <c r="AO36" s="10993"/>
      <c r="AP36" s="10993"/>
      <c r="AQ36" s="1277"/>
      <c r="AR36" s="1277"/>
      <c r="AS36" s="2155" t="b">
        <f>AL27&gt;AL35</f>
        <v>0</v>
      </c>
      <c r="AT36" s="1277"/>
      <c r="AU36" s="1277"/>
      <c r="AV36" s="854" t="b">
        <f>(AL36=0)</f>
        <v>0</v>
      </c>
    </row>
    <row r="37" spans="1:60" s="141" customFormat="1" ht="13.5" customHeight="1">
      <c r="A37" s="2113"/>
      <c r="B37" s="2122"/>
      <c r="C37" s="1846" t="str">
        <f>IF(AND(AL19&lt;&gt;0,AL19&lt;&gt;"",NOT(AS36)),"X","")</f>
        <v/>
      </c>
      <c r="D37" s="2133"/>
      <c r="E37" s="2156" t="s">
        <v>4004</v>
      </c>
      <c r="F37" s="2133"/>
      <c r="G37" s="873"/>
      <c r="H37" s="2123" t="s">
        <v>4005</v>
      </c>
      <c r="I37" s="873"/>
      <c r="J37" s="873"/>
      <c r="K37" s="873"/>
      <c r="L37" s="873"/>
      <c r="M37" s="516"/>
      <c r="N37" s="873"/>
      <c r="O37" s="873"/>
      <c r="P37" s="873"/>
      <c r="Q37" s="873"/>
      <c r="R37" s="873"/>
      <c r="S37" s="873"/>
      <c r="T37" s="873"/>
      <c r="U37" s="873"/>
      <c r="V37" s="873"/>
      <c r="W37" s="873"/>
      <c r="X37" s="873"/>
      <c r="Y37" s="873"/>
      <c r="Z37" s="873"/>
      <c r="AA37" s="873"/>
      <c r="AB37" s="873"/>
      <c r="AC37" s="873"/>
      <c r="AD37" s="993"/>
      <c r="AE37" s="2157"/>
      <c r="AF37" s="2158"/>
      <c r="AG37" s="2159"/>
      <c r="AH37" s="2158"/>
      <c r="AI37" s="2160"/>
      <c r="AJ37" s="2128"/>
      <c r="AK37" s="2161"/>
      <c r="AL37" s="2161"/>
      <c r="AM37" s="2161"/>
      <c r="AN37" s="2161"/>
      <c r="AO37" s="2161"/>
      <c r="AP37" s="2161"/>
      <c r="AQ37" s="2113"/>
      <c r="AR37" s="2161"/>
      <c r="AS37" s="2138"/>
      <c r="AT37" s="1277"/>
      <c r="AU37" s="1277"/>
      <c r="AX37" s="665"/>
      <c r="AY37" s="665"/>
      <c r="AZ37" s="665"/>
      <c r="BA37" s="665"/>
      <c r="BB37" s="665"/>
      <c r="BC37" s="665"/>
      <c r="BD37" s="665"/>
      <c r="BE37" s="665"/>
      <c r="BF37" s="665"/>
      <c r="BG37" s="665"/>
      <c r="BH37" s="665"/>
    </row>
    <row r="38" spans="1:60" ht="15.75" customHeight="1">
      <c r="A38" s="1277"/>
      <c r="B38" s="2005"/>
      <c r="C38" s="2162"/>
      <c r="D38" s="2123"/>
      <c r="E38" s="2123" t="s">
        <v>4006</v>
      </c>
      <c r="F38" s="2132"/>
      <c r="G38" s="2152"/>
      <c r="H38" s="2152"/>
      <c r="I38" s="2152"/>
      <c r="J38" s="2152"/>
      <c r="K38" s="2152"/>
      <c r="L38" s="2152"/>
      <c r="M38" s="2152"/>
      <c r="N38" s="2163"/>
      <c r="O38" s="2163"/>
      <c r="P38" s="2163"/>
      <c r="Q38" s="2163"/>
      <c r="R38" s="2163"/>
      <c r="S38" s="2163"/>
      <c r="T38" s="2163"/>
      <c r="U38" s="2163"/>
      <c r="V38" s="2123"/>
      <c r="W38" s="2163"/>
      <c r="X38" s="2163"/>
      <c r="Y38" s="2163"/>
      <c r="Z38" s="2163"/>
      <c r="AA38" s="2163"/>
      <c r="AB38" s="2163"/>
      <c r="AC38" s="2163"/>
      <c r="AD38" s="2163"/>
      <c r="AE38" s="2164"/>
      <c r="AF38" s="2164"/>
      <c r="AG38" s="2005"/>
      <c r="AH38" s="2158"/>
      <c r="AI38" s="2165"/>
      <c r="AJ38" s="2128"/>
      <c r="AK38" s="2161"/>
      <c r="AL38" s="2161"/>
      <c r="AM38" s="2161"/>
      <c r="AN38" s="2161"/>
      <c r="AO38" s="2161"/>
      <c r="AP38" s="2161"/>
      <c r="AQ38" s="2113"/>
      <c r="AR38" s="2161"/>
      <c r="AS38" s="2138"/>
      <c r="AT38" s="2161"/>
      <c r="AU38" s="2161"/>
    </row>
    <row r="39" spans="1:60" ht="13.5" customHeight="1">
      <c r="A39" s="1277"/>
      <c r="B39" s="2126"/>
      <c r="C39" s="1846" t="str">
        <f>IF(AND(AL19&lt;&gt;0,AL19&lt;&gt;"",AS36),"X","")</f>
        <v/>
      </c>
      <c r="D39" s="2166"/>
      <c r="E39" s="2166" t="s">
        <v>4007</v>
      </c>
      <c r="F39" s="2166"/>
      <c r="G39" s="2166"/>
      <c r="H39" s="2166"/>
      <c r="I39" s="2166"/>
      <c r="J39" s="2166"/>
      <c r="K39" s="2166"/>
      <c r="L39" s="2166"/>
      <c r="M39" s="2166"/>
      <c r="N39" s="2166"/>
      <c r="O39" s="2166"/>
      <c r="P39" s="2166"/>
      <c r="Q39" s="2166"/>
      <c r="R39" s="2166"/>
      <c r="S39" s="2166"/>
      <c r="T39" s="2166"/>
      <c r="U39" s="2166"/>
      <c r="V39" s="2166"/>
      <c r="W39" s="2166"/>
      <c r="X39" s="2166"/>
      <c r="Y39" s="2166"/>
      <c r="Z39" s="2166"/>
      <c r="AA39" s="2166"/>
      <c r="AB39" s="2166"/>
      <c r="AC39" s="2166"/>
      <c r="AD39" s="2166"/>
      <c r="AE39" s="2166"/>
      <c r="AF39" s="2166"/>
      <c r="AG39" s="2126"/>
      <c r="AH39" s="2158"/>
      <c r="AI39" s="2126"/>
      <c r="AJ39" s="2128"/>
      <c r="AK39" s="2161"/>
      <c r="AL39" s="2161"/>
      <c r="AM39" s="2161"/>
      <c r="AN39" s="2161"/>
      <c r="AO39" s="2161"/>
      <c r="AP39" s="2161"/>
      <c r="AQ39" s="2161"/>
      <c r="AR39" s="2161"/>
      <c r="AS39" s="2161"/>
      <c r="AT39" s="2161"/>
      <c r="AU39" s="2161"/>
    </row>
    <row r="40" spans="1:60" ht="14.25" customHeight="1">
      <c r="A40" s="1277"/>
      <c r="B40" s="2154">
        <v>13</v>
      </c>
      <c r="C40" s="2140" t="s">
        <v>4008</v>
      </c>
      <c r="D40" s="2152"/>
      <c r="E40" s="2152"/>
      <c r="F40" s="2152"/>
      <c r="G40" s="2152"/>
      <c r="H40" s="2152"/>
      <c r="I40" s="2152"/>
      <c r="J40" s="2152"/>
      <c r="K40" s="2152"/>
      <c r="L40" s="2152"/>
      <c r="M40" s="2152"/>
      <c r="N40" s="2152"/>
      <c r="O40" s="2152"/>
      <c r="P40" s="2152"/>
      <c r="Q40" s="2152"/>
      <c r="R40" s="2152"/>
      <c r="S40" s="2152"/>
      <c r="T40" s="2152"/>
      <c r="U40" s="2152"/>
      <c r="V40" s="2152"/>
      <c r="W40" s="2152"/>
      <c r="X40" s="2152"/>
      <c r="Y40" s="2152"/>
      <c r="Z40" s="2152"/>
      <c r="AA40" s="2152"/>
      <c r="AB40" s="2152"/>
      <c r="AC40" s="2152"/>
      <c r="AD40" s="2152"/>
      <c r="AE40" s="2152"/>
      <c r="AF40" s="2152"/>
      <c r="AG40" s="759"/>
      <c r="AH40" s="512"/>
      <c r="AI40" s="1401" t="s">
        <v>802</v>
      </c>
      <c r="AJ40" s="11060">
        <v>13</v>
      </c>
      <c r="AK40" s="8464"/>
      <c r="AL40" s="11061" t="str">
        <f>IF(C39="X",AK119,"")</f>
        <v/>
      </c>
      <c r="AM40" s="11062"/>
      <c r="AN40" s="11062"/>
      <c r="AO40" s="11062"/>
      <c r="AP40" s="11062"/>
      <c r="AQ40" s="1181"/>
      <c r="AR40" s="1181"/>
      <c r="AS40" s="2285"/>
      <c r="AT40" s="1181"/>
      <c r="AU40" s="1181"/>
    </row>
    <row r="41" spans="1:60" ht="14.25" customHeight="1">
      <c r="A41" s="1277"/>
      <c r="B41" s="2154">
        <v>14</v>
      </c>
      <c r="C41" s="2123" t="s">
        <v>4009</v>
      </c>
      <c r="D41" s="2123"/>
      <c r="E41" s="2123"/>
      <c r="F41" s="2123"/>
      <c r="G41" s="2123"/>
      <c r="H41" s="2123"/>
      <c r="I41" s="2123"/>
      <c r="J41" s="2123"/>
      <c r="K41" s="2123"/>
      <c r="L41" s="2123"/>
      <c r="M41" s="2123"/>
      <c r="N41" s="2123"/>
      <c r="O41" s="2123"/>
      <c r="P41" s="2123"/>
      <c r="Q41" s="2123"/>
      <c r="R41" s="2123"/>
      <c r="S41" s="2123"/>
      <c r="T41" s="2123"/>
      <c r="U41" s="2123"/>
      <c r="V41" s="2123"/>
      <c r="W41" s="2123"/>
      <c r="X41" s="2123"/>
      <c r="Y41" s="2123"/>
      <c r="Z41" s="2123"/>
      <c r="AA41" s="2123"/>
      <c r="AB41" s="2123"/>
      <c r="AC41" s="2123"/>
      <c r="AD41" s="2123"/>
      <c r="AE41" s="2123"/>
      <c r="AF41" s="2123"/>
      <c r="AG41" s="2126"/>
      <c r="AH41" s="2158"/>
      <c r="AI41" s="1401" t="s">
        <v>842</v>
      </c>
      <c r="AJ41" s="11063">
        <v>14</v>
      </c>
      <c r="AK41" s="8411"/>
      <c r="AL41" s="11004" t="str">
        <f>IF(AS41&lt;&gt;"",ROUND(AS41,0),IF(AND(AL36="",AL40=""),"",MIN(AL36,AL40)))</f>
        <v/>
      </c>
      <c r="AM41" s="11005"/>
      <c r="AN41" s="11005"/>
      <c r="AO41" s="11005"/>
      <c r="AP41" s="11005"/>
      <c r="AQ41" s="1277"/>
      <c r="AR41" s="1277"/>
      <c r="AS41" s="1272"/>
      <c r="AT41" s="1277"/>
      <c r="AU41" s="1277"/>
    </row>
    <row r="42" spans="1:60" ht="14.25" customHeight="1" thickBot="1">
      <c r="A42" s="1277"/>
      <c r="B42" s="2126"/>
      <c r="C42" s="2156" t="s">
        <v>4010</v>
      </c>
      <c r="D42" s="2123"/>
      <c r="E42" s="2123"/>
      <c r="F42" s="2123"/>
      <c r="G42" s="2123"/>
      <c r="H42" s="2123"/>
      <c r="I42" s="2123"/>
      <c r="J42" s="2123"/>
      <c r="K42" s="2123"/>
      <c r="L42" s="2123"/>
      <c r="M42" s="2123"/>
      <c r="N42" s="2123"/>
      <c r="O42" s="2123"/>
      <c r="P42" s="2123"/>
      <c r="Q42" s="2123"/>
      <c r="R42" s="2123"/>
      <c r="S42" s="2123"/>
      <c r="T42" s="2123"/>
      <c r="U42" s="2123"/>
      <c r="V42" s="2123"/>
      <c r="W42" s="2123"/>
      <c r="X42" s="2123"/>
      <c r="Y42" s="2123"/>
      <c r="Z42" s="2123"/>
      <c r="AA42" s="2123"/>
      <c r="AB42" s="2123"/>
      <c r="AC42" s="2123"/>
      <c r="AD42" s="2123"/>
      <c r="AE42" s="2123"/>
      <c r="AF42" s="2123"/>
      <c r="AG42" s="2126"/>
      <c r="AH42" s="2158"/>
      <c r="AI42" s="2126"/>
      <c r="AJ42" s="2005"/>
      <c r="AK42" s="2005"/>
      <c r="AL42" s="2005"/>
      <c r="AM42" s="2005"/>
      <c r="AN42" s="2005"/>
      <c r="AO42" s="2005"/>
      <c r="AP42" s="2005"/>
      <c r="AQ42" s="1277"/>
      <c r="AR42" s="1277"/>
      <c r="AS42" s="2138"/>
      <c r="AT42" s="1277"/>
      <c r="AU42" s="1277"/>
    </row>
    <row r="43" spans="1:60" ht="14.25">
      <c r="A43" s="1277"/>
      <c r="B43" s="2167"/>
      <c r="C43" s="2168"/>
      <c r="D43" s="2169"/>
      <c r="E43" s="2169"/>
      <c r="F43" s="2169"/>
      <c r="G43" s="2169"/>
      <c r="H43" s="2169"/>
      <c r="I43" s="2169"/>
      <c r="J43" s="2169"/>
      <c r="K43" s="2169"/>
      <c r="L43" s="2169"/>
      <c r="M43" s="2169"/>
      <c r="N43" s="2169"/>
      <c r="O43" s="2169"/>
      <c r="P43" s="2169"/>
      <c r="Q43" s="2169"/>
      <c r="R43" s="2170"/>
      <c r="S43" s="2169"/>
      <c r="T43" s="2169"/>
      <c r="U43" s="2171" t="s">
        <v>5529</v>
      </c>
      <c r="V43" s="2169"/>
      <c r="W43" s="2169"/>
      <c r="X43" s="2169"/>
      <c r="Y43" s="2169"/>
      <c r="Z43" s="2169"/>
      <c r="AA43" s="2169"/>
      <c r="AB43" s="2169"/>
      <c r="AC43" s="2169"/>
      <c r="AD43" s="2169"/>
      <c r="AE43" s="2169"/>
      <c r="AF43" s="2169"/>
      <c r="AG43" s="2167"/>
      <c r="AH43" s="2172"/>
      <c r="AI43" s="2167"/>
      <c r="AJ43" s="2173"/>
      <c r="AK43" s="2173"/>
      <c r="AL43" s="2173"/>
      <c r="AM43" s="2173"/>
      <c r="AN43" s="2173"/>
      <c r="AO43" s="2173"/>
      <c r="AP43" s="2173"/>
      <c r="AQ43" s="1277"/>
      <c r="AR43" s="1277"/>
      <c r="AS43" s="2138"/>
      <c r="AT43" s="1277"/>
      <c r="AU43" s="1277"/>
    </row>
    <row r="44" spans="1:60" ht="14.25">
      <c r="A44" s="1277"/>
      <c r="B44" s="2126"/>
      <c r="C44" s="2156"/>
      <c r="D44" s="2123"/>
      <c r="E44" s="2126"/>
      <c r="F44" s="2156"/>
      <c r="G44" s="2123"/>
      <c r="H44" s="2126"/>
      <c r="I44" s="2156"/>
      <c r="J44" s="2123"/>
      <c r="K44" s="2126"/>
      <c r="L44" s="2156"/>
      <c r="M44" s="2123"/>
      <c r="N44" s="2126"/>
      <c r="O44" s="2156"/>
      <c r="P44" s="2123"/>
      <c r="Q44" s="2126"/>
      <c r="R44" s="2156"/>
      <c r="S44" s="2123"/>
      <c r="T44" s="2126"/>
      <c r="U44" s="2133" t="s">
        <v>5530</v>
      </c>
      <c r="V44" s="2123"/>
      <c r="W44" s="2126"/>
      <c r="X44" s="2156"/>
      <c r="Y44" s="2123"/>
      <c r="Z44" s="2126"/>
      <c r="AA44" s="2156"/>
      <c r="AB44" s="2123"/>
      <c r="AC44" s="2126"/>
      <c r="AD44" s="2156"/>
      <c r="AE44" s="2123"/>
      <c r="AF44" s="2126"/>
      <c r="AG44" s="2156"/>
      <c r="AH44" s="2123"/>
      <c r="AI44" s="2126"/>
      <c r="AJ44" s="2126"/>
      <c r="AK44" s="2156"/>
      <c r="AL44" s="2123"/>
      <c r="AM44" s="2126"/>
      <c r="AN44" s="2156"/>
      <c r="AO44" s="2123"/>
      <c r="AP44" s="2126"/>
      <c r="AQ44" s="1277"/>
      <c r="AR44" s="1277"/>
      <c r="AS44" s="2138"/>
      <c r="AT44" s="1277"/>
      <c r="AU44" s="1277"/>
    </row>
    <row r="45" spans="1:60" ht="16.5" customHeight="1" thickBot="1">
      <c r="A45" s="1277"/>
      <c r="B45" s="2126"/>
      <c r="C45" s="2162"/>
      <c r="D45" s="2126"/>
      <c r="E45" s="2126"/>
      <c r="F45" s="2126"/>
      <c r="G45" s="2126"/>
      <c r="H45" s="2126"/>
      <c r="I45" s="2126"/>
      <c r="J45" s="2126"/>
      <c r="K45" s="2126"/>
      <c r="L45" s="2126"/>
      <c r="M45" s="2126"/>
      <c r="N45" s="2126"/>
      <c r="O45" s="2126"/>
      <c r="P45" s="2126"/>
      <c r="Q45" s="2126"/>
      <c r="R45" s="2126"/>
      <c r="S45" s="2126"/>
      <c r="T45" s="2126"/>
      <c r="U45" s="2133" t="s">
        <v>5531</v>
      </c>
      <c r="V45" s="2126"/>
      <c r="W45" s="2126"/>
      <c r="X45" s="2126"/>
      <c r="Y45" s="2126"/>
      <c r="Z45" s="2126"/>
      <c r="AA45" s="2126"/>
      <c r="AB45" s="2126"/>
      <c r="AC45" s="2126"/>
      <c r="AD45" s="2126"/>
      <c r="AE45" s="2126"/>
      <c r="AF45" s="2126"/>
      <c r="AG45" s="2126"/>
      <c r="AH45" s="2126"/>
      <c r="AI45" s="507"/>
      <c r="AJ45" s="2174"/>
      <c r="AK45" s="2174"/>
      <c r="AL45" s="2174"/>
      <c r="AM45" s="2174"/>
      <c r="AN45" s="2174"/>
      <c r="AO45" s="2174"/>
      <c r="AP45" s="2174"/>
      <c r="AQ45" s="1277"/>
      <c r="AR45" s="1277"/>
      <c r="AS45" s="2138"/>
      <c r="AT45" s="1277"/>
      <c r="AU45" s="1277"/>
    </row>
    <row r="46" spans="1:60" ht="17.25" customHeight="1">
      <c r="A46" s="1277"/>
      <c r="B46" s="2175" t="s">
        <v>865</v>
      </c>
      <c r="C46" s="2176"/>
      <c r="D46" s="1199"/>
      <c r="E46" s="1199"/>
      <c r="F46" s="1199"/>
      <c r="G46" s="1199"/>
      <c r="H46" s="1199"/>
      <c r="I46" s="1199"/>
      <c r="J46" s="1199"/>
      <c r="K46" s="1199"/>
      <c r="L46" s="1199"/>
      <c r="M46" s="1199"/>
      <c r="N46" s="1199"/>
      <c r="O46" s="1199"/>
      <c r="P46" s="1199"/>
      <c r="Q46" s="1199"/>
      <c r="R46" s="1199"/>
      <c r="S46" s="1199"/>
      <c r="T46" s="1199"/>
      <c r="U46" s="1199"/>
      <c r="V46" s="1199"/>
      <c r="W46" s="1199"/>
      <c r="X46" s="1199"/>
      <c r="Y46" s="1054"/>
      <c r="Z46" s="2177" t="s">
        <v>4011</v>
      </c>
      <c r="AA46" s="1054"/>
      <c r="AB46" s="1199"/>
      <c r="AC46" s="1199"/>
      <c r="AD46" s="1199"/>
      <c r="AE46" s="1199"/>
      <c r="AF46" s="1199"/>
      <c r="AG46" s="1199"/>
      <c r="AH46" s="1199"/>
      <c r="AI46" s="1199"/>
      <c r="AJ46" s="411"/>
      <c r="AK46" s="411"/>
      <c r="AL46" s="2178"/>
      <c r="AM46" s="411"/>
      <c r="AN46" s="411"/>
      <c r="AO46" s="411"/>
      <c r="AP46" s="2004" t="str">
        <f>"Schedule 8812 (Form 1040) "&amp;TaxYear</f>
        <v>Schedule 8812 (Form 1040) 2025</v>
      </c>
      <c r="AQ46" s="1277"/>
      <c r="AR46" s="1277"/>
      <c r="AS46" s="2179" t="s">
        <v>4013</v>
      </c>
      <c r="AT46" s="1277"/>
      <c r="AU46" s="1277"/>
    </row>
    <row r="47" spans="1:60" ht="20.25" customHeight="1" thickBot="1">
      <c r="A47" s="1277"/>
      <c r="B47" s="2180" t="str">
        <f>"Schedule 8812 (Form 1040) "&amp;TaxYear</f>
        <v>Schedule 8812 (Form 1040) 2025</v>
      </c>
      <c r="C47" s="2181"/>
      <c r="D47" s="2182"/>
      <c r="E47" s="2182"/>
      <c r="F47" s="2182"/>
      <c r="G47" s="2182"/>
      <c r="H47" s="2182"/>
      <c r="I47" s="2182"/>
      <c r="J47" s="2182"/>
      <c r="K47" s="2182"/>
      <c r="L47" s="2182"/>
      <c r="M47" s="2182"/>
      <c r="N47" s="2182"/>
      <c r="O47" s="2182"/>
      <c r="P47" s="2182"/>
      <c r="Q47" s="2182"/>
      <c r="R47" s="2182"/>
      <c r="S47" s="2182"/>
      <c r="T47" s="2182"/>
      <c r="U47" s="2182"/>
      <c r="V47" s="2182"/>
      <c r="W47" s="2182"/>
      <c r="X47" s="2182"/>
      <c r="Y47" s="2183"/>
      <c r="Z47" s="2184"/>
      <c r="AA47" s="2183"/>
      <c r="AB47" s="2182"/>
      <c r="AC47" s="2182"/>
      <c r="AD47" s="2182"/>
      <c r="AE47" s="2182"/>
      <c r="AF47" s="2182"/>
      <c r="AG47" s="2182"/>
      <c r="AH47" s="2182"/>
      <c r="AI47" s="2182"/>
      <c r="AJ47" s="2182"/>
      <c r="AK47" s="2182"/>
      <c r="AL47" s="2185"/>
      <c r="AM47" s="2182"/>
      <c r="AN47" s="2182"/>
      <c r="AO47" s="2182"/>
      <c r="AP47" s="2186" t="s">
        <v>4012</v>
      </c>
      <c r="AQ47" s="1277"/>
      <c r="AR47" s="1277"/>
      <c r="AS47" s="2187" t="s">
        <v>4016</v>
      </c>
      <c r="AT47" s="1277"/>
      <c r="AU47" s="1277"/>
    </row>
    <row r="48" spans="1:60" s="1405" customFormat="1" ht="16.5" thickTop="1">
      <c r="A48" s="2119"/>
      <c r="B48" s="9189" t="s">
        <v>4014</v>
      </c>
      <c r="C48" s="9189"/>
      <c r="D48" s="9190"/>
      <c r="E48" s="2188" t="s">
        <v>4015</v>
      </c>
      <c r="F48" s="1997"/>
      <c r="G48" s="1997"/>
      <c r="H48" s="1998"/>
      <c r="I48" s="1998"/>
      <c r="J48" s="1998"/>
      <c r="K48" s="1998"/>
      <c r="L48" s="1998"/>
      <c r="M48" s="1998"/>
      <c r="N48" s="1998"/>
      <c r="O48" s="1998"/>
      <c r="P48" s="1998"/>
      <c r="Q48" s="1998"/>
      <c r="R48" s="1998"/>
      <c r="S48" s="1998"/>
      <c r="T48" s="1998"/>
      <c r="U48" s="1998"/>
      <c r="V48" s="1998"/>
      <c r="W48" s="1998"/>
      <c r="X48" s="1998"/>
      <c r="Y48" s="1998"/>
      <c r="Z48" s="1998"/>
      <c r="AA48" s="1998"/>
      <c r="AB48" s="1998"/>
      <c r="AC48" s="1998"/>
      <c r="AD48" s="1998"/>
      <c r="AE48" s="1998"/>
      <c r="AF48" s="1998"/>
      <c r="AG48" s="1998"/>
      <c r="AH48" s="1998"/>
      <c r="AI48" s="2189"/>
      <c r="AJ48" s="1998"/>
      <c r="AK48" s="1998"/>
      <c r="AL48" s="10954"/>
      <c r="AM48" s="10954"/>
      <c r="AN48" s="10954"/>
      <c r="AO48" s="10954"/>
      <c r="AP48" s="10954"/>
      <c r="AQ48" s="1277"/>
      <c r="AR48" s="1277"/>
      <c r="AS48" s="2190" t="str">
        <f>IF(F8812_Skip_Part_II_A,"Skip Part II-A.","")</f>
        <v>Skip Part II-A.</v>
      </c>
      <c r="AT48" s="1277"/>
      <c r="AU48" s="1277"/>
      <c r="AV48"/>
      <c r="AW48"/>
      <c r="AX48" s="658"/>
      <c r="AY48" s="658"/>
      <c r="AZ48" s="658"/>
      <c r="BA48" s="658"/>
      <c r="BB48" s="658"/>
      <c r="BC48" s="658"/>
      <c r="BD48" s="658"/>
      <c r="BE48" s="658"/>
      <c r="BF48" s="658"/>
      <c r="BG48" s="658"/>
      <c r="BH48" s="658"/>
    </row>
    <row r="49" spans="1:48" ht="17.25" customHeight="1">
      <c r="A49" s="1277"/>
      <c r="B49" s="2191" t="s">
        <v>4017</v>
      </c>
      <c r="C49" s="2192"/>
      <c r="D49" s="2193"/>
      <c r="E49" s="2193"/>
      <c r="F49" s="2193"/>
      <c r="G49" s="2193"/>
      <c r="H49" s="2193"/>
      <c r="I49" s="2193"/>
      <c r="J49" s="2193"/>
      <c r="K49" s="2193"/>
      <c r="L49" s="2193"/>
      <c r="M49" s="2193"/>
      <c r="N49" s="2193"/>
      <c r="O49" s="2193"/>
      <c r="P49" s="2193"/>
      <c r="Q49" s="2193"/>
      <c r="R49" s="2193"/>
      <c r="S49" s="2193"/>
      <c r="T49" s="2193"/>
      <c r="U49" s="2193"/>
      <c r="V49" s="2193"/>
      <c r="W49" s="2193"/>
      <c r="X49" s="2193"/>
      <c r="Y49" s="2194"/>
      <c r="Z49" s="2021"/>
      <c r="AA49" s="2194"/>
      <c r="AB49" s="2193"/>
      <c r="AC49" s="2193"/>
      <c r="AD49" s="2193"/>
      <c r="AE49" s="2193"/>
      <c r="AF49" s="2193"/>
      <c r="AG49" s="2193"/>
      <c r="AH49" s="2193"/>
      <c r="AI49" s="2193"/>
      <c r="AJ49" s="2193"/>
      <c r="AK49" s="2193"/>
      <c r="AL49" s="10959" t="b">
        <f>Form2555_Used</f>
        <v>0</v>
      </c>
      <c r="AM49" s="10959"/>
      <c r="AN49" s="10959"/>
      <c r="AO49" s="10959"/>
      <c r="AP49" s="10959"/>
      <c r="AQ49" s="1277"/>
      <c r="AR49" s="1277"/>
      <c r="AS49" s="2195" t="s">
        <v>771</v>
      </c>
      <c r="AT49" s="1277"/>
      <c r="AU49" s="1277"/>
    </row>
    <row r="50" spans="1:48" ht="3.75" customHeight="1">
      <c r="A50" s="1277"/>
      <c r="B50" s="2156"/>
      <c r="C50" s="2196"/>
      <c r="D50" s="510"/>
      <c r="E50" s="510"/>
      <c r="F50" s="510"/>
      <c r="G50" s="510"/>
      <c r="H50" s="510"/>
      <c r="I50" s="510"/>
      <c r="J50" s="510"/>
      <c r="K50" s="510"/>
      <c r="L50" s="510"/>
      <c r="M50" s="510"/>
      <c r="N50" s="510"/>
      <c r="O50" s="510"/>
      <c r="P50" s="510"/>
      <c r="Q50" s="510"/>
      <c r="R50" s="510"/>
      <c r="S50" s="510"/>
      <c r="T50" s="510"/>
      <c r="U50" s="510"/>
      <c r="V50" s="510"/>
      <c r="W50" s="510"/>
      <c r="X50" s="510"/>
      <c r="Y50" s="1320"/>
      <c r="Z50" s="2036"/>
      <c r="AA50" s="1320"/>
      <c r="AB50" s="510"/>
      <c r="AC50" s="510"/>
      <c r="AD50" s="510"/>
      <c r="AE50" s="510"/>
      <c r="AF50" s="510"/>
      <c r="AG50" s="510"/>
      <c r="AH50" s="510"/>
      <c r="AI50" s="510"/>
      <c r="AJ50" s="10960">
        <v>15</v>
      </c>
      <c r="AK50" s="10961"/>
      <c r="AL50" s="10964"/>
      <c r="AM50" s="10965"/>
      <c r="AN50" s="10965"/>
      <c r="AO50" s="10965"/>
      <c r="AP50" s="10965"/>
      <c r="AQ50" s="1277"/>
      <c r="AR50" s="1277"/>
      <c r="AS50" s="2195"/>
      <c r="AT50" s="1277"/>
      <c r="AU50" s="1277"/>
    </row>
    <row r="51" spans="1:48" ht="13.5" customHeight="1">
      <c r="A51" s="1277"/>
      <c r="B51" s="1321">
        <v>15</v>
      </c>
      <c r="C51" s="2197"/>
      <c r="D51" s="2166" t="s">
        <v>704</v>
      </c>
      <c r="E51" s="411"/>
      <c r="F51" s="411"/>
      <c r="G51" s="411"/>
      <c r="H51" s="411"/>
      <c r="I51" s="411"/>
      <c r="J51" s="411"/>
      <c r="K51" s="411"/>
      <c r="L51" s="411"/>
      <c r="M51" s="411"/>
      <c r="N51" s="411"/>
      <c r="O51" s="411"/>
      <c r="P51" s="411"/>
      <c r="Q51" s="411"/>
      <c r="R51" s="411"/>
      <c r="S51" s="411"/>
      <c r="T51" s="411"/>
      <c r="U51" s="411"/>
      <c r="V51" s="411"/>
      <c r="W51" s="411"/>
      <c r="X51" s="411"/>
      <c r="Y51" s="1052"/>
      <c r="Z51" s="1990"/>
      <c r="AA51" s="1052"/>
      <c r="AB51" s="411"/>
      <c r="AC51" s="411"/>
      <c r="AD51" s="411"/>
      <c r="AE51" s="411"/>
      <c r="AF51" s="411"/>
      <c r="AG51" s="411"/>
      <c r="AH51" s="411"/>
      <c r="AI51" s="1321" t="s">
        <v>1991</v>
      </c>
      <c r="AJ51" s="10962"/>
      <c r="AK51" s="10963"/>
      <c r="AL51" s="10966"/>
      <c r="AM51" s="10967"/>
      <c r="AN51" s="10967"/>
      <c r="AO51" s="10967"/>
      <c r="AP51" s="10967"/>
      <c r="AQ51" s="1277"/>
      <c r="AR51" s="1277"/>
      <c r="AS51" s="2202" t="b">
        <f>AL52&lt;=0</f>
        <v>0</v>
      </c>
      <c r="AT51" s="10926" t="b">
        <f>AND(AS64,OR(AL49,AS37,AL53))</f>
        <v>1</v>
      </c>
      <c r="AU51" s="10926"/>
    </row>
    <row r="52" spans="1:48" ht="13.5" customHeight="1">
      <c r="A52" s="1277"/>
      <c r="B52" s="1321" t="s">
        <v>2027</v>
      </c>
      <c r="C52" s="2126"/>
      <c r="D52" s="2123" t="s">
        <v>4018</v>
      </c>
      <c r="E52" s="411"/>
      <c r="F52" s="411"/>
      <c r="G52" s="411"/>
      <c r="H52" s="411"/>
      <c r="I52" s="411"/>
      <c r="J52" s="411"/>
      <c r="K52" s="411"/>
      <c r="L52" s="2123" t="s">
        <v>4019</v>
      </c>
      <c r="M52" s="516"/>
      <c r="N52" s="2126" t="s">
        <v>4020</v>
      </c>
      <c r="O52" s="873"/>
      <c r="P52" s="411"/>
      <c r="Q52" s="2123"/>
      <c r="R52" s="2123" t="s">
        <v>6188</v>
      </c>
      <c r="S52" s="411"/>
      <c r="T52" s="411"/>
      <c r="U52" s="411"/>
      <c r="V52" s="411"/>
      <c r="W52" s="411"/>
      <c r="X52" s="411"/>
      <c r="Y52" s="1052"/>
      <c r="Z52" s="1990"/>
      <c r="AA52" s="2199"/>
      <c r="AB52" s="2199"/>
      <c r="AC52" s="2199"/>
      <c r="AD52" s="2200"/>
      <c r="AE52" s="2200"/>
      <c r="AF52" s="2200"/>
      <c r="AG52" s="2201"/>
      <c r="AH52" s="2201"/>
      <c r="AI52" s="2198" t="s">
        <v>1838</v>
      </c>
      <c r="AJ52" s="11000" t="s">
        <v>2027</v>
      </c>
      <c r="AK52" s="10945"/>
      <c r="AL52" s="10938" t="str">
        <f>IF(AS52&lt;&gt;"",ROUND(AS52,0),IF(AL36="","",IF(SUM(AL36,-AL41)&lt;=0,0,SUM(AL36,-AL41))))</f>
        <v/>
      </c>
      <c r="AM52" s="10939"/>
      <c r="AN52" s="10939"/>
      <c r="AO52" s="10939"/>
      <c r="AP52" s="10940"/>
      <c r="AQ52" s="10927" t="b">
        <f>AND(AL36&lt;&gt;"",AL52&lt;&gt;"",AL52&lt;=0)</f>
        <v>0</v>
      </c>
      <c r="AR52" s="10927"/>
      <c r="AS52" s="6247"/>
      <c r="AT52" s="1277"/>
      <c r="AU52" s="1277"/>
    </row>
    <row r="53" spans="1:48" ht="13.5" customHeight="1">
      <c r="A53" s="1277"/>
      <c r="B53" s="1321" t="s">
        <v>592</v>
      </c>
      <c r="C53" s="2178"/>
      <c r="D53" s="2166" t="s">
        <v>4021</v>
      </c>
      <c r="E53" s="411"/>
      <c r="F53" s="411"/>
      <c r="G53" s="411"/>
      <c r="H53" s="411"/>
      <c r="I53" s="411"/>
      <c r="J53" s="411"/>
      <c r="K53" s="411"/>
      <c r="L53" s="411"/>
      <c r="M53" s="411"/>
      <c r="N53" s="411"/>
      <c r="O53" s="411"/>
      <c r="P53" s="411"/>
      <c r="Q53" s="411"/>
      <c r="R53" s="411"/>
      <c r="S53" s="411"/>
      <c r="T53" s="411"/>
      <c r="U53" s="411"/>
      <c r="V53" s="411"/>
      <c r="W53" s="411"/>
      <c r="X53" s="411"/>
      <c r="Y53" s="1052"/>
      <c r="Z53" s="1990"/>
      <c r="AA53" s="1052"/>
      <c r="AB53" s="10972">
        <f>IF(AS53&lt;&gt;"",ROUND(AS53,0),IF(AS51,"",AE20))</f>
        <v>0</v>
      </c>
      <c r="AC53" s="10972"/>
      <c r="AD53" s="10972"/>
      <c r="AE53" s="873" t="s">
        <v>1962</v>
      </c>
      <c r="AF53" s="10951">
        <v>1700</v>
      </c>
      <c r="AG53" s="10952"/>
      <c r="AH53" s="10952"/>
      <c r="AI53" s="411"/>
      <c r="AJ53" s="2134"/>
      <c r="AK53" s="2135"/>
      <c r="AL53" s="10947" t="b">
        <f>OR(AB53="",AB53=0)</f>
        <v>1</v>
      </c>
      <c r="AM53" s="10948"/>
      <c r="AN53" s="10948"/>
      <c r="AO53" s="10948"/>
      <c r="AP53" s="10948"/>
      <c r="AQ53" s="1277"/>
      <c r="AR53" s="1277"/>
      <c r="AS53" s="1410"/>
      <c r="AT53" s="1277"/>
      <c r="AU53" s="1277"/>
    </row>
    <row r="54" spans="1:48" ht="13.5" customHeight="1">
      <c r="A54" s="1277"/>
      <c r="B54" s="1321"/>
      <c r="C54" s="2178"/>
      <c r="D54" s="2166" t="s">
        <v>4022</v>
      </c>
      <c r="E54" s="411"/>
      <c r="F54" s="411"/>
      <c r="G54" s="411"/>
      <c r="H54" s="411"/>
      <c r="I54" s="2166"/>
      <c r="J54" s="2203" t="s">
        <v>4019</v>
      </c>
      <c r="K54" s="2204" t="s">
        <v>4023</v>
      </c>
      <c r="L54" s="2204"/>
      <c r="M54" s="411"/>
      <c r="N54" s="2166" t="s">
        <v>6187</v>
      </c>
      <c r="O54" s="411"/>
      <c r="P54" s="2166"/>
      <c r="Q54" s="411"/>
      <c r="R54" s="411"/>
      <c r="S54" s="411"/>
      <c r="T54" s="411"/>
      <c r="U54" s="411"/>
      <c r="V54" s="411"/>
      <c r="W54" s="411"/>
      <c r="X54" s="411"/>
      <c r="Y54" s="1052"/>
      <c r="Z54" s="1990"/>
      <c r="AA54" s="1052"/>
      <c r="AB54" s="411"/>
      <c r="AC54" s="516"/>
      <c r="AD54" s="516"/>
      <c r="AE54" s="516"/>
      <c r="AF54" s="516"/>
      <c r="AG54" s="516"/>
      <c r="AH54" s="516"/>
      <c r="AI54" s="2198" t="s">
        <v>784</v>
      </c>
      <c r="AJ54" s="11000" t="s">
        <v>2030</v>
      </c>
      <c r="AK54" s="10945"/>
      <c r="AL54" s="10938" t="str">
        <f>IF(AS54&lt;&gt;"",ROUND(AS54,0),IF(OR(AL49,AT51),"",ROUND(AB53*AF53,0)))</f>
        <v/>
      </c>
      <c r="AM54" s="10939"/>
      <c r="AN54" s="10939"/>
      <c r="AO54" s="10939"/>
      <c r="AP54" s="10940"/>
      <c r="AQ54" s="10927" t="b">
        <f>AND(AL54&lt;&gt;"",AL54&lt;=0)</f>
        <v>0</v>
      </c>
      <c r="AR54" s="10927"/>
      <c r="AS54" s="1410"/>
      <c r="AT54" s="1277"/>
      <c r="AU54" s="1277"/>
      <c r="AV54" s="304" t="b">
        <f>OR(AS51,AT51,AL53)</f>
        <v>1</v>
      </c>
    </row>
    <row r="55" spans="1:48" ht="13.5" customHeight="1">
      <c r="A55" s="1277"/>
      <c r="B55" s="1321"/>
      <c r="C55" s="2178"/>
      <c r="D55" s="2166" t="s">
        <v>4024</v>
      </c>
      <c r="E55" s="411"/>
      <c r="F55" s="411"/>
      <c r="G55" s="411"/>
      <c r="H55" s="411"/>
      <c r="I55" s="411"/>
      <c r="J55" s="411"/>
      <c r="K55" s="411"/>
      <c r="L55" s="411"/>
      <c r="M55" s="411"/>
      <c r="N55" s="411"/>
      <c r="O55" s="411"/>
      <c r="P55" s="411"/>
      <c r="Q55" s="411"/>
      <c r="R55" s="411"/>
      <c r="S55" s="411"/>
      <c r="T55" s="411"/>
      <c r="U55" s="411"/>
      <c r="V55" s="411"/>
      <c r="W55" s="411"/>
      <c r="X55" s="411"/>
      <c r="Y55" s="1052"/>
      <c r="Z55" s="1990"/>
      <c r="AA55" s="1052"/>
      <c r="AB55" s="411"/>
      <c r="AC55" s="411"/>
      <c r="AD55" s="411"/>
      <c r="AE55" s="411"/>
      <c r="AF55" s="411"/>
      <c r="AG55" s="10935" t="b">
        <f>OR(AL49,AT51,F8812_Skip_Part_II_A)</f>
        <v>1</v>
      </c>
      <c r="AH55" s="10935"/>
      <c r="AI55" s="10936"/>
      <c r="AJ55" s="2205"/>
      <c r="AK55" s="2206"/>
      <c r="AL55" s="2178"/>
      <c r="AM55" s="411"/>
      <c r="AN55" s="411"/>
      <c r="AO55" s="411"/>
      <c r="AP55" s="2004"/>
      <c r="AQ55" s="1277"/>
      <c r="AR55" s="1277"/>
      <c r="AS55" s="1277"/>
      <c r="AT55" s="1277"/>
      <c r="AU55" s="1277"/>
    </row>
    <row r="56" spans="1:48" ht="13.5" customHeight="1">
      <c r="A56" s="1277"/>
      <c r="B56" s="2207" t="s">
        <v>262</v>
      </c>
      <c r="C56" s="2178"/>
      <c r="D56" s="2166" t="s">
        <v>4025</v>
      </c>
      <c r="E56" s="411"/>
      <c r="F56" s="411"/>
      <c r="G56" s="411"/>
      <c r="H56" s="411"/>
      <c r="I56" s="411"/>
      <c r="J56" s="411"/>
      <c r="K56" s="411"/>
      <c r="L56" s="411"/>
      <c r="M56" s="411"/>
      <c r="N56" s="411"/>
      <c r="O56" s="411"/>
      <c r="P56" s="411"/>
      <c r="Q56" s="411"/>
      <c r="R56" s="411"/>
      <c r="S56" s="411"/>
      <c r="T56" s="411"/>
      <c r="U56" s="411"/>
      <c r="V56" s="411"/>
      <c r="W56" s="411"/>
      <c r="X56" s="411"/>
      <c r="Y56" s="1052"/>
      <c r="Z56" s="1990"/>
      <c r="AA56" s="1052"/>
      <c r="AB56" s="411"/>
      <c r="AC56" s="411"/>
      <c r="AD56" s="411"/>
      <c r="AE56" s="411"/>
      <c r="AF56" s="411"/>
      <c r="AG56" s="411"/>
      <c r="AH56" s="411"/>
      <c r="AI56" s="2198" t="s">
        <v>891</v>
      </c>
      <c r="AJ56" s="10944" t="s">
        <v>262</v>
      </c>
      <c r="AK56" s="10945"/>
      <c r="AL56" s="10938" t="str">
        <f>IF(AG55,"",MIN(AL52,AL54))</f>
        <v/>
      </c>
      <c r="AM56" s="10939"/>
      <c r="AN56" s="10939"/>
      <c r="AO56" s="10939"/>
      <c r="AP56" s="10940"/>
      <c r="AQ56" s="1277"/>
      <c r="AR56" s="1277"/>
      <c r="AS56" s="1277"/>
      <c r="AT56" s="1277"/>
      <c r="AU56" s="1277"/>
    </row>
    <row r="57" spans="1:48" ht="13.5" customHeight="1">
      <c r="A57" s="1277"/>
      <c r="B57" s="1321" t="s">
        <v>4026</v>
      </c>
      <c r="C57" s="2178"/>
      <c r="D57" s="2166" t="s">
        <v>4027</v>
      </c>
      <c r="E57" s="411"/>
      <c r="F57" s="411"/>
      <c r="G57" s="411"/>
      <c r="H57" s="411"/>
      <c r="I57" s="411"/>
      <c r="J57" s="411"/>
      <c r="K57" s="411"/>
      <c r="L57" s="411"/>
      <c r="M57" s="411"/>
      <c r="N57" s="411"/>
      <c r="O57" s="411"/>
      <c r="P57" s="411"/>
      <c r="Q57" s="411"/>
      <c r="R57" s="411"/>
      <c r="S57" s="411"/>
      <c r="T57" s="411"/>
      <c r="U57" s="411"/>
      <c r="V57" s="411"/>
      <c r="W57" s="411"/>
      <c r="X57" s="411"/>
      <c r="Y57" s="1052"/>
      <c r="Z57" s="1990"/>
      <c r="AA57" s="1052"/>
      <c r="AB57" s="2198" t="s">
        <v>805</v>
      </c>
      <c r="AC57" s="10953" t="s">
        <v>4026</v>
      </c>
      <c r="AD57" s="8494"/>
      <c r="AE57" s="10987" t="str">
        <f>IF(AS57&lt;&gt;"",ROUND(AS57,0),IF(AG55,"",IF(AL48,"",Earned_Income)))</f>
        <v/>
      </c>
      <c r="AF57" s="10988"/>
      <c r="AG57" s="10988"/>
      <c r="AH57" s="10988"/>
      <c r="AI57" s="10989"/>
      <c r="AJ57" s="2208"/>
      <c r="AK57" s="2209"/>
      <c r="AL57" s="2178"/>
      <c r="AM57" s="411"/>
      <c r="AN57" s="411"/>
      <c r="AO57" s="411"/>
      <c r="AP57" s="2004"/>
      <c r="AQ57" s="1277"/>
      <c r="AR57" s="1277"/>
      <c r="AS57" s="1410"/>
      <c r="AT57" s="1277"/>
      <c r="AU57" s="1277"/>
    </row>
    <row r="58" spans="1:48" ht="13.5" customHeight="1">
      <c r="A58" s="1277"/>
      <c r="B58" s="1321" t="s">
        <v>592</v>
      </c>
      <c r="C58" s="2178"/>
      <c r="D58" s="2166" t="s">
        <v>5532</v>
      </c>
      <c r="E58" s="411"/>
      <c r="F58" s="411"/>
      <c r="G58" s="411"/>
      <c r="H58" s="411"/>
      <c r="I58" s="411"/>
      <c r="J58" s="411"/>
      <c r="K58" s="411"/>
      <c r="L58" s="411"/>
      <c r="M58" s="411"/>
      <c r="N58" s="411"/>
      <c r="O58" s="411"/>
      <c r="P58" s="411"/>
      <c r="Q58" s="411"/>
      <c r="R58" s="411"/>
      <c r="S58" s="411"/>
      <c r="T58" s="411"/>
      <c r="U58" s="2198" t="s">
        <v>842</v>
      </c>
      <c r="V58" s="10953" t="s">
        <v>4028</v>
      </c>
      <c r="W58" s="8494"/>
      <c r="X58" s="10987" t="str">
        <f>IF(AG55,"",IF(AS58&lt;&gt;"",ROUND(AS58,0),CombatPayNoTax))</f>
        <v/>
      </c>
      <c r="Y58" s="10988"/>
      <c r="Z58" s="10988"/>
      <c r="AA58" s="10988"/>
      <c r="AB58" s="10989"/>
      <c r="AC58" s="2205"/>
      <c r="AD58" s="2206"/>
      <c r="AE58" s="2178"/>
      <c r="AF58" s="411"/>
      <c r="AG58" s="411"/>
      <c r="AH58" s="411"/>
      <c r="AI58" s="2004"/>
      <c r="AJ58" s="2205"/>
      <c r="AK58" s="2206"/>
      <c r="AL58" s="2178"/>
      <c r="AM58" s="411"/>
      <c r="AN58" s="411"/>
      <c r="AO58" s="411"/>
      <c r="AP58" s="2004"/>
      <c r="AQ58" s="1277"/>
      <c r="AR58" s="1277"/>
      <c r="AS58" s="1410"/>
      <c r="AT58" s="1277"/>
      <c r="AU58" s="1277"/>
    </row>
    <row r="59" spans="1:48" ht="13.5" customHeight="1">
      <c r="A59" s="1277"/>
      <c r="B59" s="2207" t="s">
        <v>266</v>
      </c>
      <c r="C59" s="2178"/>
      <c r="D59" s="2166" t="str">
        <f>"Is the amount on line 18a more than "&amp;TEXT(AE60,"$0,000")&amp;"?"</f>
        <v>Is the amount on line 18a more than $2,500?</v>
      </c>
      <c r="E59" s="411"/>
      <c r="F59" s="411"/>
      <c r="G59" s="411"/>
      <c r="H59" s="411"/>
      <c r="I59" s="411"/>
      <c r="J59" s="411"/>
      <c r="K59" s="411"/>
      <c r="L59" s="411"/>
      <c r="M59" s="411"/>
      <c r="N59" s="411"/>
      <c r="O59" s="411"/>
      <c r="P59" s="411"/>
      <c r="Q59" s="411"/>
      <c r="R59" s="411"/>
      <c r="S59" s="411"/>
      <c r="T59" s="411"/>
      <c r="U59" s="411"/>
      <c r="V59" s="411"/>
      <c r="W59" s="411"/>
      <c r="X59" s="411"/>
      <c r="Y59" s="1052"/>
      <c r="Z59" s="1990"/>
      <c r="AA59" s="1052"/>
      <c r="AB59" s="411"/>
      <c r="AC59" s="2205"/>
      <c r="AD59" s="2206"/>
      <c r="AE59" s="2178"/>
      <c r="AF59" s="411"/>
      <c r="AG59" s="411"/>
      <c r="AH59" s="411"/>
      <c r="AI59" s="2004"/>
      <c r="AJ59" s="2205"/>
      <c r="AK59" s="2206"/>
      <c r="AL59" s="2178"/>
      <c r="AM59" s="411"/>
      <c r="AN59" s="411"/>
      <c r="AO59" s="411"/>
      <c r="AP59" s="2004"/>
      <c r="AQ59" s="1277"/>
      <c r="AR59" s="1277"/>
      <c r="AS59" s="1277"/>
      <c r="AT59" s="1277"/>
      <c r="AU59" s="1277"/>
    </row>
    <row r="60" spans="1:48" ht="13.5" customHeight="1">
      <c r="A60" s="1277"/>
      <c r="B60" s="1321"/>
      <c r="C60" s="2178"/>
      <c r="D60" s="276" t="str">
        <f>IF(F8812_Skip_Part_II_A,"",IF(AE57="","X",IF(AE57&gt;AE60,"","X")))</f>
        <v/>
      </c>
      <c r="E60" s="2123" t="s">
        <v>4029</v>
      </c>
      <c r="F60" s="411"/>
      <c r="G60" s="2166" t="s">
        <v>4030</v>
      </c>
      <c r="H60" s="411"/>
      <c r="I60" s="411"/>
      <c r="J60" s="411"/>
      <c r="K60" s="411"/>
      <c r="L60" s="411"/>
      <c r="M60" s="411"/>
      <c r="N60" s="411"/>
      <c r="O60" s="411"/>
      <c r="P60" s="411"/>
      <c r="Q60" s="411"/>
      <c r="R60" s="411"/>
      <c r="S60" s="411"/>
      <c r="T60" s="411"/>
      <c r="U60" s="411"/>
      <c r="V60" s="411"/>
      <c r="W60" s="411"/>
      <c r="X60" s="411"/>
      <c r="Y60" s="1052"/>
      <c r="Z60" s="1990"/>
      <c r="AA60" s="1052"/>
      <c r="AB60" s="411"/>
      <c r="AC60" s="2205"/>
      <c r="AD60" s="2206"/>
      <c r="AE60" s="10956">
        <v>2500</v>
      </c>
      <c r="AF60" s="10957"/>
      <c r="AG60" s="10957"/>
      <c r="AH60" s="10957"/>
      <c r="AI60" s="10958"/>
      <c r="AJ60" s="2205"/>
      <c r="AK60" s="2206"/>
      <c r="AL60" s="10955">
        <v>0.15</v>
      </c>
      <c r="AM60" s="10935"/>
      <c r="AN60" s="10935"/>
      <c r="AO60" s="10935"/>
      <c r="AP60" s="10935"/>
      <c r="AQ60" s="1277"/>
      <c r="AR60" s="1277"/>
      <c r="AS60" s="1277"/>
      <c r="AT60" s="1277"/>
      <c r="AU60" s="1277"/>
    </row>
    <row r="61" spans="1:48" ht="3.75" customHeight="1">
      <c r="A61" s="1277"/>
      <c r="B61" s="1321"/>
      <c r="C61" s="2178"/>
      <c r="D61" s="411"/>
      <c r="E61" s="2166"/>
      <c r="F61" s="411"/>
      <c r="G61" s="2166"/>
      <c r="H61" s="411"/>
      <c r="I61" s="411"/>
      <c r="J61" s="411"/>
      <c r="K61" s="411"/>
      <c r="L61" s="411"/>
      <c r="M61" s="411"/>
      <c r="N61" s="411"/>
      <c r="O61" s="411"/>
      <c r="P61" s="411"/>
      <c r="Q61" s="411"/>
      <c r="R61" s="411"/>
      <c r="S61" s="411"/>
      <c r="T61" s="411"/>
      <c r="U61" s="411"/>
      <c r="V61" s="411"/>
      <c r="W61" s="411"/>
      <c r="X61" s="411"/>
      <c r="Y61" s="1052"/>
      <c r="Z61" s="1990"/>
      <c r="AA61" s="1052"/>
      <c r="AB61" s="411"/>
      <c r="AC61" s="2205"/>
      <c r="AD61" s="2206"/>
      <c r="AE61" s="411"/>
      <c r="AF61" s="411"/>
      <c r="AG61" s="411"/>
      <c r="AH61" s="411"/>
      <c r="AI61" s="411"/>
      <c r="AJ61" s="2205"/>
      <c r="AK61" s="2206"/>
      <c r="AL61" s="2178"/>
      <c r="AM61" s="411"/>
      <c r="AN61" s="411"/>
      <c r="AO61" s="411"/>
      <c r="AP61" s="2004"/>
      <c r="AQ61" s="1277"/>
      <c r="AR61" s="1277"/>
      <c r="AS61" s="1277"/>
      <c r="AT61" s="1277"/>
      <c r="AU61" s="1277"/>
    </row>
    <row r="62" spans="1:48" ht="13.5" customHeight="1">
      <c r="A62" s="1277"/>
      <c r="B62" s="1321"/>
      <c r="C62" s="2178"/>
      <c r="D62" s="276" t="str">
        <f>IF(F8812_Skip_Part_II_A,"",IF(AE57="","",IF(AE57&gt;AE60,"X","")))</f>
        <v/>
      </c>
      <c r="E62" s="2156" t="s">
        <v>945</v>
      </c>
      <c r="F62" s="411"/>
      <c r="G62" s="2166" t="str">
        <f>"Subtract "&amp;TEXT(AE60,"$0,000")&amp;" from the amount on line 18a. Enter the result"</f>
        <v>Subtract $2,500 from the amount on line 18a. Enter the result</v>
      </c>
      <c r="H62" s="411"/>
      <c r="I62" s="411"/>
      <c r="J62" s="411"/>
      <c r="K62" s="411"/>
      <c r="L62" s="411"/>
      <c r="M62" s="411"/>
      <c r="N62" s="411"/>
      <c r="O62" s="411"/>
      <c r="P62" s="411"/>
      <c r="Q62" s="411"/>
      <c r="R62" s="411"/>
      <c r="S62" s="411"/>
      <c r="T62" s="411"/>
      <c r="U62" s="411"/>
      <c r="V62" s="411"/>
      <c r="W62" s="411"/>
      <c r="X62" s="411"/>
      <c r="Y62" s="2210"/>
      <c r="Z62" s="2210"/>
      <c r="AA62" s="2210"/>
      <c r="AB62" s="2198" t="s">
        <v>1838</v>
      </c>
      <c r="AC62" s="10944" t="s">
        <v>266</v>
      </c>
      <c r="AD62" s="10945"/>
      <c r="AE62" s="11051" t="str">
        <f>IF(AG55,"",IF(D60&lt;&gt;"","",SUM(AE57,-AE60)))</f>
        <v/>
      </c>
      <c r="AF62" s="11052"/>
      <c r="AG62" s="11052"/>
      <c r="AH62" s="11052"/>
      <c r="AI62" s="11053"/>
      <c r="AJ62" s="2205"/>
      <c r="AK62" s="2206"/>
      <c r="AL62" s="253"/>
      <c r="AM62" s="253"/>
      <c r="AN62" s="253"/>
      <c r="AO62" s="253"/>
      <c r="AP62" s="253"/>
      <c r="AQ62" s="1277"/>
      <c r="AR62" s="1277"/>
      <c r="AS62" s="1277"/>
      <c r="AT62" s="1277"/>
      <c r="AU62" s="1277"/>
    </row>
    <row r="63" spans="1:48" ht="17.25" customHeight="1">
      <c r="A63" s="1277"/>
      <c r="B63" s="2207" t="s">
        <v>268</v>
      </c>
      <c r="C63" s="2178"/>
      <c r="D63" s="2166" t="str">
        <f>"Multiply the amount on line 19 by "&amp;TEXT(AL60,"0%")&amp;" ("&amp;TEXT(AL60,"0.00")&amp;") and enter the result"</f>
        <v>Multiply the amount on line 19 by 15% (0.15) and enter the result</v>
      </c>
      <c r="E63" s="411"/>
      <c r="F63" s="411"/>
      <c r="G63" s="411"/>
      <c r="H63" s="411"/>
      <c r="I63" s="411"/>
      <c r="J63" s="411"/>
      <c r="K63" s="411"/>
      <c r="L63" s="411"/>
      <c r="M63" s="411"/>
      <c r="N63" s="411"/>
      <c r="O63" s="411"/>
      <c r="P63" s="411"/>
      <c r="Q63" s="411"/>
      <c r="R63" s="411"/>
      <c r="S63" s="411"/>
      <c r="T63" s="411"/>
      <c r="U63" s="411"/>
      <c r="V63" s="411"/>
      <c r="W63" s="411"/>
      <c r="X63" s="411"/>
      <c r="Y63" s="1052"/>
      <c r="Z63" s="1990"/>
      <c r="AA63" s="1052"/>
      <c r="AB63" s="411"/>
      <c r="AC63" s="411"/>
      <c r="AD63" s="411"/>
      <c r="AE63" s="2211"/>
      <c r="AF63" s="2211"/>
      <c r="AG63" s="2211"/>
      <c r="AH63" s="2211"/>
      <c r="AI63" s="2198" t="s">
        <v>805</v>
      </c>
      <c r="AJ63" s="10944" t="s">
        <v>268</v>
      </c>
      <c r="AK63" s="10945"/>
      <c r="AL63" s="10938" t="str">
        <f>IF(AG55,"",IF(AS63&lt;&gt;"",ROUND(AS63,0),IF(D60&lt;&gt;"",0,ROUND(AL60*AE62,0))))</f>
        <v/>
      </c>
      <c r="AM63" s="10939"/>
      <c r="AN63" s="10939"/>
      <c r="AO63" s="10939"/>
      <c r="AP63" s="10940"/>
      <c r="AQ63" s="1277"/>
      <c r="AR63" s="1277"/>
      <c r="AS63" s="1272"/>
      <c r="AT63" s="1277"/>
      <c r="AU63" s="1277"/>
    </row>
    <row r="64" spans="1:48" ht="13.5" customHeight="1">
      <c r="A64" s="1277"/>
      <c r="B64" s="1321"/>
      <c r="C64" s="2178"/>
      <c r="D64" s="2204" t="s">
        <v>4031</v>
      </c>
      <c r="E64" s="2166"/>
      <c r="F64" s="2166" t="str">
        <f>"On line 16b, is the amount "&amp;TEXT(AE64,"$0,000")&amp;" or more?"</f>
        <v>On line 16b, is the amount $5,100 or more?</v>
      </c>
      <c r="G64" s="411"/>
      <c r="H64" s="411"/>
      <c r="I64" s="411"/>
      <c r="J64" s="411"/>
      <c r="K64" s="411"/>
      <c r="L64" s="411"/>
      <c r="M64" s="411"/>
      <c r="N64" s="411"/>
      <c r="O64" s="411"/>
      <c r="P64" s="411"/>
      <c r="Q64" s="411"/>
      <c r="R64" s="411"/>
      <c r="S64" s="411"/>
      <c r="T64" s="411"/>
      <c r="U64" s="411"/>
      <c r="V64" s="411"/>
      <c r="W64" s="411"/>
      <c r="X64" s="411"/>
      <c r="Y64" s="1052"/>
      <c r="Z64" s="1990"/>
      <c r="AA64" s="1052"/>
      <c r="AB64" s="411"/>
      <c r="AC64" s="411"/>
      <c r="AD64" s="411"/>
      <c r="AE64" s="10935">
        <v>5100</v>
      </c>
      <c r="AF64" s="10935"/>
      <c r="AG64" s="10935"/>
      <c r="AH64" s="10935"/>
      <c r="AI64" s="10936"/>
      <c r="AJ64" s="2143"/>
      <c r="AK64" s="2212"/>
      <c r="AL64" s="2213"/>
      <c r="AM64" s="2212"/>
      <c r="AN64" s="2212"/>
      <c r="AO64" s="2212"/>
      <c r="AP64" s="2214"/>
      <c r="AQ64" s="1277"/>
      <c r="AR64" s="1277"/>
      <c r="AS64" s="1277"/>
      <c r="AT64" s="1277"/>
      <c r="AU64" s="1277"/>
    </row>
    <row r="65" spans="1:60" ht="13.5" customHeight="1">
      <c r="A65" s="1277"/>
      <c r="B65" s="10935" t="b">
        <f>NOT(B67)</f>
        <v>0</v>
      </c>
      <c r="C65" s="10936"/>
      <c r="D65" s="276" t="str">
        <f>IF(F8812_Skip_Part_II_A,"",IF(B65,"X",""))</f>
        <v/>
      </c>
      <c r="E65" s="2215" t="s">
        <v>936</v>
      </c>
      <c r="F65" s="411"/>
      <c r="G65" s="2166" t="s">
        <v>4032</v>
      </c>
      <c r="H65" s="411"/>
      <c r="I65" s="411"/>
      <c r="J65" s="411"/>
      <c r="K65" s="411"/>
      <c r="L65" s="411"/>
      <c r="M65" s="411"/>
      <c r="N65" s="411"/>
      <c r="O65" s="411"/>
      <c r="P65" s="411"/>
      <c r="Q65" s="411"/>
      <c r="R65" s="411"/>
      <c r="S65" s="411"/>
      <c r="T65" s="411"/>
      <c r="U65" s="411"/>
      <c r="V65" s="411"/>
      <c r="W65" s="411"/>
      <c r="X65" s="411"/>
      <c r="Y65" s="1052"/>
      <c r="Z65" s="1990"/>
      <c r="AA65" s="1052"/>
      <c r="AB65" s="411"/>
      <c r="AC65" s="411"/>
      <c r="AD65" s="411"/>
      <c r="AE65" s="411"/>
      <c r="AF65" s="411"/>
      <c r="AG65" s="411"/>
      <c r="AH65" s="411"/>
      <c r="AI65" s="411"/>
      <c r="AJ65" s="2146"/>
      <c r="AK65" s="2216"/>
      <c r="AL65" s="2217"/>
      <c r="AM65" s="2216"/>
      <c r="AN65" s="2216"/>
      <c r="AO65" s="2216"/>
      <c r="AP65" s="2218"/>
      <c r="AQ65" s="1277"/>
      <c r="AR65" s="1277"/>
      <c r="AS65" s="2111"/>
      <c r="AT65" s="1277"/>
      <c r="AU65" s="1277"/>
    </row>
    <row r="66" spans="1:60" ht="13.5" customHeight="1">
      <c r="A66" s="1277"/>
      <c r="B66" s="1321"/>
      <c r="C66" s="2178"/>
      <c r="D66" s="411"/>
      <c r="E66" s="2166"/>
      <c r="F66" s="411"/>
      <c r="G66" s="2166" t="s">
        <v>4033</v>
      </c>
      <c r="H66" s="411"/>
      <c r="I66" s="411"/>
      <c r="J66" s="411"/>
      <c r="K66" s="411"/>
      <c r="L66" s="411"/>
      <c r="M66" s="411"/>
      <c r="N66" s="411"/>
      <c r="O66" s="411"/>
      <c r="P66" s="411"/>
      <c r="Q66" s="411"/>
      <c r="R66" s="411"/>
      <c r="S66" s="411"/>
      <c r="T66" s="411"/>
      <c r="U66" s="411"/>
      <c r="V66" s="411"/>
      <c r="W66" s="411"/>
      <c r="X66" s="411"/>
      <c r="Y66" s="1052"/>
      <c r="Z66" s="1990"/>
      <c r="AA66" s="1052"/>
      <c r="AB66" s="411"/>
      <c r="AC66" s="411"/>
      <c r="AD66" s="10935" t="b">
        <f>AND(D65&lt;&gt;"",PuertoRicoResident)</f>
        <v>0</v>
      </c>
      <c r="AE66" s="10935"/>
      <c r="AF66" s="10935"/>
      <c r="AG66" s="10935" t="b">
        <f>AND(D65&lt;&gt;"",NOT(PuertoRicoResident))</f>
        <v>0</v>
      </c>
      <c r="AH66" s="10935"/>
      <c r="AI66" s="10936"/>
      <c r="AJ66" s="2146"/>
      <c r="AK66" s="2216"/>
      <c r="AL66" s="2217"/>
      <c r="AM66" s="2216"/>
      <c r="AN66" s="2216"/>
      <c r="AO66" s="2216"/>
      <c r="AP66" s="2218"/>
      <c r="AQ66" s="1277"/>
      <c r="AR66" s="1277"/>
      <c r="AS66" s="2219"/>
      <c r="AT66" s="1277"/>
      <c r="AU66" s="1277"/>
    </row>
    <row r="67" spans="1:60" ht="13.5" customHeight="1">
      <c r="A67" s="1277"/>
      <c r="B67" s="10935" t="b">
        <f>(AL54&gt;=AE64)</f>
        <v>1</v>
      </c>
      <c r="C67" s="10936"/>
      <c r="D67" s="276" t="str">
        <f>IF(F8812_Skip_Part_II_A,"",IF(B67,"X",""))</f>
        <v/>
      </c>
      <c r="E67" s="2215" t="s">
        <v>938</v>
      </c>
      <c r="F67" s="411"/>
      <c r="G67" s="2166" t="s">
        <v>4034</v>
      </c>
      <c r="H67" s="411"/>
      <c r="I67" s="411"/>
      <c r="J67" s="411"/>
      <c r="K67" s="411"/>
      <c r="L67" s="411"/>
      <c r="M67" s="411"/>
      <c r="N67" s="411"/>
      <c r="O67" s="411"/>
      <c r="P67" s="411"/>
      <c r="Q67" s="411"/>
      <c r="R67" s="411"/>
      <c r="S67" s="411"/>
      <c r="T67" s="411"/>
      <c r="U67" s="411"/>
      <c r="V67" s="411"/>
      <c r="W67" s="411"/>
      <c r="X67" s="411"/>
      <c r="Y67" s="1052"/>
      <c r="Z67" s="1990"/>
      <c r="AA67" s="1052"/>
      <c r="AB67" s="411"/>
      <c r="AC67" s="411"/>
      <c r="AD67" s="411"/>
      <c r="AE67" s="411"/>
      <c r="AF67" s="411"/>
      <c r="AG67" s="411"/>
      <c r="AH67" s="411"/>
      <c r="AI67" s="411"/>
      <c r="AJ67" s="2146"/>
      <c r="AK67" s="2216"/>
      <c r="AL67" s="2217"/>
      <c r="AM67" s="2216"/>
      <c r="AN67" s="2216"/>
      <c r="AO67" s="2216"/>
      <c r="AP67" s="2218"/>
      <c r="AQ67" s="1277"/>
      <c r="AR67" s="1277"/>
      <c r="AS67" s="1277"/>
      <c r="AT67" s="1277"/>
      <c r="AU67" s="1277"/>
    </row>
    <row r="68" spans="1:60" ht="13.5" customHeight="1" thickBot="1">
      <c r="A68" s="1277"/>
      <c r="B68" s="2220"/>
      <c r="C68" s="2221"/>
      <c r="D68" s="2222"/>
      <c r="E68" s="2222"/>
      <c r="F68" s="2222"/>
      <c r="G68" s="2223" t="s">
        <v>4035</v>
      </c>
      <c r="H68" s="2222"/>
      <c r="I68" s="2222"/>
      <c r="J68" s="2222"/>
      <c r="K68" s="2222"/>
      <c r="L68" s="2222"/>
      <c r="M68" s="2222"/>
      <c r="N68" s="2222"/>
      <c r="O68" s="2222"/>
      <c r="P68" s="2222"/>
      <c r="Q68" s="2222"/>
      <c r="R68" s="2222"/>
      <c r="S68" s="2222"/>
      <c r="T68" s="2222"/>
      <c r="U68" s="2222"/>
      <c r="V68" s="2222"/>
      <c r="W68" s="2222"/>
      <c r="X68" s="2222"/>
      <c r="Y68" s="2224"/>
      <c r="Z68" s="2225"/>
      <c r="AA68" s="2224"/>
      <c r="AB68" s="2226"/>
      <c r="AC68" s="2226"/>
      <c r="AD68" s="10937" t="b">
        <f>AND(D67&lt;&gt;"",AL63&gt;=AL56)</f>
        <v>0</v>
      </c>
      <c r="AE68" s="10937"/>
      <c r="AF68" s="10937"/>
      <c r="AG68" s="10937" t="b">
        <f>AND(D67&lt;&gt;"",AL63&lt;AL56)</f>
        <v>0</v>
      </c>
      <c r="AH68" s="10937"/>
      <c r="AI68" s="10973"/>
      <c r="AJ68" s="2227"/>
      <c r="AK68" s="2228"/>
      <c r="AL68" s="2229"/>
      <c r="AM68" s="2228"/>
      <c r="AN68" s="2228"/>
      <c r="AO68" s="2228"/>
      <c r="AP68" s="2230"/>
      <c r="AQ68" s="1277"/>
      <c r="AR68" s="1277"/>
      <c r="AS68" s="1277"/>
      <c r="AT68" s="1277"/>
      <c r="AU68" s="1277"/>
    </row>
    <row r="69" spans="1:60" s="1405" customFormat="1" ht="15.75">
      <c r="A69" s="2119"/>
      <c r="B69" s="10949" t="s">
        <v>4036</v>
      </c>
      <c r="C69" s="10949"/>
      <c r="D69" s="10950"/>
      <c r="E69" s="2009" t="s">
        <v>4037</v>
      </c>
      <c r="F69" s="1998"/>
      <c r="G69" s="1997"/>
      <c r="H69" s="1998"/>
      <c r="I69" s="1998"/>
      <c r="J69" s="1998"/>
      <c r="K69" s="1998"/>
      <c r="L69" s="1998"/>
      <c r="M69" s="1998"/>
      <c r="N69" s="1998"/>
      <c r="O69" s="1998"/>
      <c r="P69" s="1998"/>
      <c r="Q69" s="1998"/>
      <c r="R69" s="1998"/>
      <c r="S69" s="1998"/>
      <c r="T69" s="1998"/>
      <c r="U69" s="1998"/>
      <c r="V69" s="1998"/>
      <c r="W69" s="1998"/>
      <c r="X69" s="1998"/>
      <c r="Y69" s="1998"/>
      <c r="Z69" s="1998"/>
      <c r="AA69" s="1998"/>
      <c r="AB69" s="1998"/>
      <c r="AC69" s="1323"/>
      <c r="AD69" s="1323"/>
      <c r="AE69" s="1998"/>
      <c r="AF69" s="1998"/>
      <c r="AG69" s="1998"/>
      <c r="AH69" s="1998"/>
      <c r="AI69" s="1998"/>
      <c r="AJ69" s="1998"/>
      <c r="AK69" s="1998"/>
      <c r="AL69" s="2231"/>
      <c r="AM69" s="2231"/>
      <c r="AN69" s="2231"/>
      <c r="AO69" s="2231"/>
      <c r="AP69" s="2231"/>
      <c r="AQ69" s="1277"/>
      <c r="AR69" s="1277"/>
      <c r="AS69" s="2190" t="str">
        <f>IF(F8812_Skip_Part_II_B,"Skip Part II-B.","")</f>
        <v/>
      </c>
      <c r="AT69" s="1277"/>
      <c r="AU69" s="1277"/>
      <c r="AV69"/>
      <c r="AW69"/>
      <c r="AX69" s="658"/>
      <c r="AY69" s="658"/>
      <c r="AZ69" s="658"/>
      <c r="BA69" s="658"/>
      <c r="BB69" s="658"/>
      <c r="BC69" s="658"/>
      <c r="BD69" s="658"/>
      <c r="BE69" s="658"/>
      <c r="BF69" s="658"/>
      <c r="BG69" s="658"/>
      <c r="BH69" s="658"/>
    </row>
    <row r="70" spans="1:60" ht="13.5" customHeight="1">
      <c r="A70" s="1277"/>
      <c r="B70" s="2207" t="s">
        <v>3929</v>
      </c>
      <c r="C70" s="2178"/>
      <c r="D70" s="2166" t="s">
        <v>4038</v>
      </c>
      <c r="E70" s="411"/>
      <c r="F70" s="411"/>
      <c r="G70" s="411"/>
      <c r="H70" s="411"/>
      <c r="I70" s="411"/>
      <c r="J70" s="411"/>
      <c r="K70" s="411"/>
      <c r="L70" s="411"/>
      <c r="M70" s="411"/>
      <c r="N70" s="411"/>
      <c r="O70" s="411"/>
      <c r="P70" s="411"/>
      <c r="Q70" s="411"/>
      <c r="R70" s="411"/>
      <c r="S70" s="411"/>
      <c r="T70" s="411"/>
      <c r="U70" s="411"/>
      <c r="V70" s="411"/>
      <c r="W70" s="411"/>
      <c r="X70" s="411"/>
      <c r="Y70" s="1052"/>
      <c r="Z70" s="1990"/>
      <c r="AA70" s="1052"/>
      <c r="AB70" s="411"/>
      <c r="AC70" s="2134"/>
      <c r="AD70" s="2135"/>
      <c r="AE70" s="2178"/>
      <c r="AF70" s="411"/>
      <c r="AG70" s="411"/>
      <c r="AH70" s="411"/>
      <c r="AI70" s="2004"/>
      <c r="AJ70" s="2205"/>
      <c r="AK70" s="2206"/>
      <c r="AL70" s="10947" t="b">
        <f>AND(AS83,OR(AS51,AL55,AG66,AD68))</f>
        <v>0</v>
      </c>
      <c r="AM70" s="10948"/>
      <c r="AN70" s="10948"/>
      <c r="AO70" s="10948"/>
      <c r="AP70" s="10948"/>
      <c r="AQ70" s="1277"/>
      <c r="AR70" s="1277"/>
      <c r="AS70" s="1277"/>
      <c r="AT70" s="1277"/>
      <c r="AU70" s="1277"/>
    </row>
    <row r="71" spans="1:60" ht="13.5" customHeight="1">
      <c r="A71" s="1277"/>
      <c r="B71" s="1321"/>
      <c r="C71" s="2178"/>
      <c r="D71" s="2166" t="s">
        <v>4039</v>
      </c>
      <c r="E71" s="411"/>
      <c r="F71" s="411"/>
      <c r="G71" s="411"/>
      <c r="H71" s="411"/>
      <c r="I71" s="411"/>
      <c r="J71" s="411"/>
      <c r="K71" s="411"/>
      <c r="L71" s="411"/>
      <c r="M71" s="411"/>
      <c r="N71" s="411"/>
      <c r="O71" s="411"/>
      <c r="P71" s="411"/>
      <c r="Q71" s="411"/>
      <c r="R71" s="411"/>
      <c r="S71" s="411"/>
      <c r="T71" s="411"/>
      <c r="U71" s="411"/>
      <c r="V71" s="411"/>
      <c r="W71" s="411"/>
      <c r="X71" s="411"/>
      <c r="Y71" s="1052"/>
      <c r="Z71" s="1990"/>
      <c r="AA71" s="1052"/>
      <c r="AB71" s="411"/>
      <c r="AC71" s="410"/>
      <c r="AD71" s="1450"/>
      <c r="AE71" s="2178"/>
      <c r="AF71" s="411"/>
      <c r="AG71" s="411"/>
      <c r="AH71" s="411"/>
      <c r="AI71" s="2004"/>
      <c r="AJ71" s="2205"/>
      <c r="AK71" s="2206"/>
      <c r="AL71" s="2178"/>
      <c r="AM71" s="411"/>
      <c r="AN71" s="411"/>
      <c r="AO71" s="411"/>
      <c r="AP71" s="2004"/>
      <c r="AQ71" s="1277"/>
      <c r="AR71" s="1277"/>
      <c r="AS71" s="1277"/>
      <c r="AT71" s="1277"/>
      <c r="AU71" s="1277"/>
    </row>
    <row r="72" spans="1:60" ht="13.5" customHeight="1">
      <c r="A72" s="1277"/>
      <c r="B72" s="1321"/>
      <c r="C72" s="2178"/>
      <c r="D72" s="2166" t="s">
        <v>4936</v>
      </c>
      <c r="E72" s="411"/>
      <c r="F72" s="411"/>
      <c r="G72" s="411"/>
      <c r="H72" s="411"/>
      <c r="I72" s="411"/>
      <c r="J72" s="411"/>
      <c r="K72" s="411"/>
      <c r="L72" s="411"/>
      <c r="M72" s="411"/>
      <c r="N72" s="411"/>
      <c r="O72" s="411"/>
      <c r="P72" s="411"/>
      <c r="Q72" s="411"/>
      <c r="R72" s="411"/>
      <c r="S72" s="411"/>
      <c r="T72" s="411"/>
      <c r="U72" s="411"/>
      <c r="V72" s="411"/>
      <c r="W72" s="411"/>
      <c r="X72" s="411"/>
      <c r="Y72" s="1052"/>
      <c r="Z72" s="1990"/>
      <c r="AA72" s="1052"/>
      <c r="AB72" s="411"/>
      <c r="AC72" s="410"/>
      <c r="AD72" s="1450"/>
      <c r="AE72" s="2178"/>
      <c r="AF72" s="411"/>
      <c r="AG72" s="411"/>
      <c r="AH72" s="411"/>
      <c r="AI72" s="2004"/>
      <c r="AJ72" s="2205"/>
      <c r="AK72" s="2206"/>
      <c r="AL72" s="2178"/>
      <c r="AM72" s="411"/>
      <c r="AN72" s="411"/>
      <c r="AO72" s="411"/>
      <c r="AP72" s="2004"/>
      <c r="AQ72" s="1277"/>
      <c r="AR72" s="1277"/>
      <c r="AS72" s="1277"/>
      <c r="AT72" s="1277"/>
      <c r="AU72" s="1277"/>
    </row>
    <row r="73" spans="1:60" ht="13.5" customHeight="1">
      <c r="A73" s="1277"/>
      <c r="B73" s="1321"/>
      <c r="C73" s="2178"/>
      <c r="D73" s="2166" t="s">
        <v>4937</v>
      </c>
      <c r="E73" s="411"/>
      <c r="F73" s="411"/>
      <c r="G73" s="411"/>
      <c r="H73" s="411"/>
      <c r="I73" s="411"/>
      <c r="J73" s="411"/>
      <c r="K73" s="411"/>
      <c r="L73" s="411"/>
      <c r="M73" s="411"/>
      <c r="N73" s="411"/>
      <c r="O73" s="411"/>
      <c r="P73" s="411"/>
      <c r="Q73" s="411"/>
      <c r="R73" s="411"/>
      <c r="S73" s="411"/>
      <c r="T73" s="411"/>
      <c r="U73" s="411"/>
      <c r="V73" s="411"/>
      <c r="W73" s="411"/>
      <c r="X73" s="411"/>
      <c r="Y73" s="1052"/>
      <c r="Z73" s="1990"/>
      <c r="AA73" s="1052"/>
      <c r="AB73" s="2198" t="s">
        <v>784</v>
      </c>
      <c r="AC73" s="10944" t="s">
        <v>3929</v>
      </c>
      <c r="AD73" s="10945"/>
      <c r="AE73" s="10938">
        <f>IF(AS73&lt;&gt;"",ROUND(AS73,0),IF(F8812_Skip_Part_II_B,"",SUM('W-2s'!C79,'W-2s'!C81)))</f>
        <v>0</v>
      </c>
      <c r="AF73" s="10939"/>
      <c r="AG73" s="10939"/>
      <c r="AH73" s="10939"/>
      <c r="AI73" s="10940"/>
      <c r="AJ73" s="2205"/>
      <c r="AK73" s="2206"/>
      <c r="AL73" s="2178"/>
      <c r="AM73" s="411"/>
      <c r="AN73" s="411"/>
      <c r="AO73" s="411"/>
      <c r="AP73" s="2004"/>
      <c r="AQ73" s="1277"/>
      <c r="AR73" s="1277"/>
      <c r="AS73" s="1272"/>
      <c r="AT73" s="1277"/>
      <c r="AU73" s="1277"/>
    </row>
    <row r="74" spans="1:60" ht="13.5" customHeight="1">
      <c r="A74" s="1277"/>
      <c r="B74" s="2207" t="s">
        <v>3931</v>
      </c>
      <c r="C74" s="2178"/>
      <c r="D74" s="2166" t="s">
        <v>4040</v>
      </c>
      <c r="E74" s="411"/>
      <c r="F74" s="411"/>
      <c r="G74" s="411"/>
      <c r="H74" s="411"/>
      <c r="I74" s="411"/>
      <c r="J74" s="411"/>
      <c r="K74" s="411"/>
      <c r="L74" s="411"/>
      <c r="M74" s="411"/>
      <c r="N74" s="411"/>
      <c r="O74" s="411"/>
      <c r="P74" s="411"/>
      <c r="Q74" s="411"/>
      <c r="R74" s="411"/>
      <c r="S74" s="411"/>
      <c r="T74" s="411"/>
      <c r="U74" s="411"/>
      <c r="V74" s="411"/>
      <c r="W74" s="411"/>
      <c r="X74" s="411"/>
      <c r="Y74" s="1052"/>
      <c r="Z74" s="1990"/>
      <c r="AA74" s="1052"/>
      <c r="AB74" s="411"/>
      <c r="AC74" s="410"/>
      <c r="AD74" s="1450"/>
      <c r="AE74" s="2178"/>
      <c r="AF74" s="411"/>
      <c r="AG74" s="411"/>
      <c r="AH74" s="411"/>
      <c r="AI74" s="2004"/>
      <c r="AJ74" s="2205"/>
      <c r="AK74" s="2206"/>
      <c r="AL74" s="2178"/>
      <c r="AM74" s="411"/>
      <c r="AN74" s="411"/>
      <c r="AO74" s="411"/>
      <c r="AP74" s="2004"/>
      <c r="AQ74" s="1277"/>
      <c r="AR74" s="1277"/>
      <c r="AS74" s="1277"/>
      <c r="AT74" s="1277"/>
      <c r="AU74" s="1277"/>
    </row>
    <row r="75" spans="1:60" ht="13.5" customHeight="1">
      <c r="A75" s="1277"/>
      <c r="B75" s="1321"/>
      <c r="C75" s="2178"/>
      <c r="D75" s="2166" t="s">
        <v>4041</v>
      </c>
      <c r="E75" s="411"/>
      <c r="F75" s="411"/>
      <c r="G75" s="411"/>
      <c r="H75" s="411"/>
      <c r="I75" s="411"/>
      <c r="J75" s="411"/>
      <c r="K75" s="411"/>
      <c r="L75" s="411"/>
      <c r="M75" s="411"/>
      <c r="N75" s="411"/>
      <c r="O75" s="411"/>
      <c r="P75" s="411"/>
      <c r="Q75" s="411"/>
      <c r="R75" s="411"/>
      <c r="S75" s="411"/>
      <c r="T75" s="411"/>
      <c r="U75" s="411"/>
      <c r="V75" s="411"/>
      <c r="W75" s="411"/>
      <c r="X75" s="411"/>
      <c r="Y75" s="1052"/>
      <c r="Z75" s="1990"/>
      <c r="AA75" s="1052"/>
      <c r="AB75" s="2198" t="s">
        <v>832</v>
      </c>
      <c r="AC75" s="10944" t="s">
        <v>3931</v>
      </c>
      <c r="AD75" s="10945"/>
      <c r="AE75" s="10938">
        <f>IF(AS75&lt;&gt;"",ROUND(AS75,0),IF(F8812_Skip_Part_II_B,"",SUM(SE_Deduct,'Sch. 2'!W39,'Sch. 2'!W40,'Sch. 2'!AD49)))</f>
        <v>0</v>
      </c>
      <c r="AF75" s="10939"/>
      <c r="AG75" s="10939"/>
      <c r="AH75" s="10939"/>
      <c r="AI75" s="10940"/>
      <c r="AJ75" s="2205"/>
      <c r="AK75" s="2206"/>
      <c r="AL75" s="2178"/>
      <c r="AM75" s="411"/>
      <c r="AN75" s="411"/>
      <c r="AO75" s="411"/>
      <c r="AP75" s="2004"/>
      <c r="AQ75" s="1277"/>
      <c r="AR75" s="1277"/>
      <c r="AS75" s="1272"/>
      <c r="AT75" s="1277"/>
      <c r="AU75" s="1277"/>
    </row>
    <row r="76" spans="1:60" ht="13.5" customHeight="1">
      <c r="A76" s="1277"/>
      <c r="B76" s="2207" t="s">
        <v>4042</v>
      </c>
      <c r="C76" s="2178"/>
      <c r="D76" s="2166" t="s">
        <v>1516</v>
      </c>
      <c r="E76" s="411"/>
      <c r="F76" s="411"/>
      <c r="G76" s="411"/>
      <c r="H76" s="411"/>
      <c r="I76" s="411"/>
      <c r="J76" s="411"/>
      <c r="K76" s="411"/>
      <c r="L76" s="411"/>
      <c r="M76" s="411"/>
      <c r="N76" s="411"/>
      <c r="O76" s="411"/>
      <c r="P76" s="411"/>
      <c r="Q76" s="411"/>
      <c r="R76" s="411"/>
      <c r="S76" s="411"/>
      <c r="T76" s="411"/>
      <c r="U76" s="411"/>
      <c r="V76" s="411"/>
      <c r="W76" s="411"/>
      <c r="X76" s="411"/>
      <c r="Y76" s="1052"/>
      <c r="Z76" s="1990"/>
      <c r="AA76" s="1052"/>
      <c r="AB76" s="2198" t="s">
        <v>872</v>
      </c>
      <c r="AC76" s="10944" t="s">
        <v>4042</v>
      </c>
      <c r="AD76" s="10945"/>
      <c r="AE76" s="10938">
        <f>IF(AS73&lt;&gt;"",ROUND(AS73,0),IF(F8812_Skip_Part_II_B,"",SUM(AE73,AE75)))</f>
        <v>0</v>
      </c>
      <c r="AF76" s="10939"/>
      <c r="AG76" s="10939"/>
      <c r="AH76" s="10939"/>
      <c r="AI76" s="10940"/>
      <c r="AJ76" s="2205"/>
      <c r="AK76" s="2206"/>
      <c r="AL76" s="2178"/>
      <c r="AM76" s="411"/>
      <c r="AN76" s="411"/>
      <c r="AO76" s="411"/>
      <c r="AP76" s="2004"/>
      <c r="AQ76" s="1277"/>
      <c r="AR76" s="1277"/>
      <c r="AS76" s="1277"/>
      <c r="AT76" s="1277"/>
      <c r="AU76" s="1277"/>
    </row>
    <row r="77" spans="1:60" ht="15" customHeight="1">
      <c r="A77" s="1277"/>
      <c r="B77" s="2207" t="s">
        <v>4043</v>
      </c>
      <c r="C77" s="2178"/>
      <c r="D77" s="2204" t="s">
        <v>4044</v>
      </c>
      <c r="E77" s="411"/>
      <c r="F77" s="411"/>
      <c r="G77" s="411"/>
      <c r="H77" s="411"/>
      <c r="I77" s="411"/>
      <c r="J77" s="411"/>
      <c r="K77" s="411"/>
      <c r="L77" s="411"/>
      <c r="M77" s="411"/>
      <c r="N77" s="411"/>
      <c r="O77" s="411"/>
      <c r="P77" s="411"/>
      <c r="Q77" s="411"/>
      <c r="R77" s="411"/>
      <c r="S77" s="411"/>
      <c r="T77" s="411"/>
      <c r="U77" s="411"/>
      <c r="V77" s="411"/>
      <c r="W77" s="411"/>
      <c r="X77" s="411"/>
      <c r="Y77" s="1052"/>
      <c r="Z77" s="1990"/>
      <c r="AA77" s="1052"/>
      <c r="AB77" s="411"/>
      <c r="AC77" s="2134"/>
      <c r="AD77" s="2135"/>
      <c r="AE77" s="2178"/>
      <c r="AF77" s="411"/>
      <c r="AG77" s="411"/>
      <c r="AH77" s="411"/>
      <c r="AI77" s="2004"/>
      <c r="AJ77" s="2205"/>
      <c r="AK77" s="2206"/>
      <c r="AL77" s="2178"/>
      <c r="AM77" s="411"/>
      <c r="AN77" s="411"/>
      <c r="AO77" s="411"/>
      <c r="AP77" s="2004"/>
      <c r="AQ77" s="1277"/>
      <c r="AR77" s="1277"/>
      <c r="AS77" s="1277"/>
      <c r="AT77" s="1277"/>
      <c r="AU77" s="1277"/>
    </row>
    <row r="78" spans="1:60" ht="15" customHeight="1">
      <c r="A78" s="1277"/>
      <c r="B78" s="1321"/>
      <c r="C78" s="2178"/>
      <c r="D78" s="2204" t="s">
        <v>4045</v>
      </c>
      <c r="E78" s="411"/>
      <c r="F78" s="411"/>
      <c r="G78" s="411"/>
      <c r="H78" s="411"/>
      <c r="I78" s="2166" t="s">
        <v>5533</v>
      </c>
      <c r="J78" s="411"/>
      <c r="K78" s="411"/>
      <c r="L78" s="411"/>
      <c r="M78" s="411"/>
      <c r="N78" s="411"/>
      <c r="O78" s="411"/>
      <c r="P78" s="411"/>
      <c r="Q78" s="411"/>
      <c r="R78" s="411"/>
      <c r="S78" s="411"/>
      <c r="T78" s="411"/>
      <c r="U78" s="411"/>
      <c r="V78" s="411"/>
      <c r="W78" s="411"/>
      <c r="X78" s="411"/>
      <c r="Y78" s="1052"/>
      <c r="Z78" s="1990"/>
      <c r="AA78" s="1052"/>
      <c r="AB78" s="411"/>
      <c r="AC78" s="410"/>
      <c r="AD78" s="1450"/>
      <c r="AE78" s="2178"/>
      <c r="AF78" s="411"/>
      <c r="AG78" s="411"/>
      <c r="AH78" s="411"/>
      <c r="AI78" s="2004"/>
      <c r="AJ78" s="2205"/>
      <c r="AK78" s="2206"/>
      <c r="AL78" s="2178"/>
      <c r="AM78" s="411"/>
      <c r="AN78" s="411"/>
      <c r="AO78" s="411"/>
      <c r="AP78" s="2004"/>
      <c r="AQ78" s="1277"/>
      <c r="AR78" s="1277"/>
      <c r="AS78" s="1277"/>
      <c r="AT78" s="1277"/>
      <c r="AU78" s="1277"/>
    </row>
    <row r="79" spans="1:60" ht="15" customHeight="1">
      <c r="A79" s="1277"/>
      <c r="B79" s="1321"/>
      <c r="C79" s="2178"/>
      <c r="D79" s="2166"/>
      <c r="E79" s="411"/>
      <c r="F79" s="411"/>
      <c r="G79" s="411"/>
      <c r="H79" s="411"/>
      <c r="I79" s="2166" t="s">
        <v>4046</v>
      </c>
      <c r="J79" s="411"/>
      <c r="K79" s="411"/>
      <c r="L79" s="411"/>
      <c r="M79" s="411"/>
      <c r="N79" s="411"/>
      <c r="O79" s="411"/>
      <c r="P79" s="411"/>
      <c r="Q79" s="411"/>
      <c r="R79" s="411"/>
      <c r="S79" s="411"/>
      <c r="T79" s="411"/>
      <c r="U79" s="411"/>
      <c r="V79" s="411"/>
      <c r="W79" s="411"/>
      <c r="X79" s="411"/>
      <c r="Y79" s="1052"/>
      <c r="Z79" s="1990"/>
      <c r="AA79" s="1052"/>
      <c r="AB79" s="411"/>
      <c r="AC79" s="410"/>
      <c r="AD79" s="1450"/>
      <c r="AE79" s="2178"/>
      <c r="AF79" s="411"/>
      <c r="AG79" s="411"/>
      <c r="AH79" s="411"/>
      <c r="AI79" s="2004"/>
      <c r="AJ79" s="2205"/>
      <c r="AK79" s="2206"/>
      <c r="AL79" s="2178"/>
      <c r="AM79" s="411"/>
      <c r="AN79" s="411"/>
      <c r="AO79" s="411"/>
      <c r="AP79" s="2004"/>
      <c r="AQ79" s="1277"/>
      <c r="AR79" s="1277"/>
      <c r="AS79" s="1277"/>
      <c r="AT79" s="1277"/>
      <c r="AU79" s="1277"/>
    </row>
    <row r="80" spans="1:60" ht="15" customHeight="1">
      <c r="A80" s="1277"/>
      <c r="B80" s="1321"/>
      <c r="C80" s="2178"/>
      <c r="D80" s="2204" t="s">
        <v>4047</v>
      </c>
      <c r="E80" s="411"/>
      <c r="F80" s="411"/>
      <c r="G80" s="411"/>
      <c r="H80" s="411"/>
      <c r="I80" s="2166" t="s">
        <v>4048</v>
      </c>
      <c r="J80" s="411"/>
      <c r="K80" s="411"/>
      <c r="L80" s="411"/>
      <c r="M80" s="411"/>
      <c r="N80" s="411"/>
      <c r="O80" s="411"/>
      <c r="P80" s="411"/>
      <c r="Q80" s="411"/>
      <c r="R80" s="411"/>
      <c r="S80" s="411"/>
      <c r="T80" s="411"/>
      <c r="U80" s="411"/>
      <c r="V80" s="411"/>
      <c r="W80" s="411"/>
      <c r="X80" s="411"/>
      <c r="Y80" s="1052"/>
      <c r="Z80" s="1990"/>
      <c r="AA80" s="1052"/>
      <c r="AB80" s="411"/>
      <c r="AC80" s="10944" t="s">
        <v>4043</v>
      </c>
      <c r="AD80" s="10945"/>
      <c r="AE80" s="10938">
        <f>IF(F8812_Skip_Part_II_B,"",SUM('1040'!AF113,'Sch. 3'!AC39))</f>
        <v>0</v>
      </c>
      <c r="AF80" s="10939"/>
      <c r="AG80" s="10939"/>
      <c r="AH80" s="10939"/>
      <c r="AI80" s="10940"/>
      <c r="AJ80" s="2205"/>
      <c r="AK80" s="2206"/>
      <c r="AL80" s="2178"/>
      <c r="AM80" s="411"/>
      <c r="AN80" s="411"/>
      <c r="AO80" s="411"/>
      <c r="AP80" s="2004"/>
      <c r="AQ80" s="1277"/>
      <c r="AR80" s="1277"/>
      <c r="AS80" s="1277"/>
      <c r="AT80" s="1277"/>
      <c r="AU80" s="1277"/>
    </row>
    <row r="81" spans="1:60" ht="13.5" customHeight="1">
      <c r="A81" s="1277"/>
      <c r="B81" s="2207" t="s">
        <v>4049</v>
      </c>
      <c r="C81" s="2178"/>
      <c r="D81" s="2166" t="s">
        <v>2287</v>
      </c>
      <c r="E81" s="411"/>
      <c r="F81" s="411"/>
      <c r="G81" s="411"/>
      <c r="H81" s="411"/>
      <c r="I81" s="411"/>
      <c r="J81" s="411"/>
      <c r="K81" s="411"/>
      <c r="L81" s="411"/>
      <c r="M81" s="411"/>
      <c r="N81" s="411"/>
      <c r="O81" s="411"/>
      <c r="P81" s="411"/>
      <c r="Q81" s="411"/>
      <c r="R81" s="411"/>
      <c r="S81" s="411"/>
      <c r="T81" s="411"/>
      <c r="U81" s="411"/>
      <c r="V81" s="411"/>
      <c r="W81" s="411"/>
      <c r="X81" s="411"/>
      <c r="Y81" s="1052"/>
      <c r="Z81" s="1990"/>
      <c r="AA81" s="1052"/>
      <c r="AB81" s="411"/>
      <c r="AC81" s="411"/>
      <c r="AD81" s="411"/>
      <c r="AE81" s="411"/>
      <c r="AF81" s="411"/>
      <c r="AG81" s="411"/>
      <c r="AH81" s="411"/>
      <c r="AI81" s="2198" t="s">
        <v>6189</v>
      </c>
      <c r="AJ81" s="10944" t="s">
        <v>4049</v>
      </c>
      <c r="AK81" s="10945"/>
      <c r="AL81" s="10938">
        <f>IF(F8812_Skip_Part_II_B,"",IF(SUM(AE76,-AE80)&lt;=0,0,SUM(AE76,-AE80)))</f>
        <v>0</v>
      </c>
      <c r="AM81" s="10939"/>
      <c r="AN81" s="10939"/>
      <c r="AO81" s="10939"/>
      <c r="AP81" s="10940"/>
      <c r="AQ81" s="1277"/>
      <c r="AR81" s="1277"/>
      <c r="AS81" s="1277"/>
      <c r="AT81" s="1277"/>
      <c r="AU81" s="1277"/>
    </row>
    <row r="82" spans="1:60" ht="13.5" customHeight="1">
      <c r="A82" s="1277"/>
      <c r="B82" s="2207" t="s">
        <v>4050</v>
      </c>
      <c r="C82" s="2178"/>
      <c r="D82" s="2166" t="s">
        <v>4051</v>
      </c>
      <c r="E82" s="411"/>
      <c r="F82" s="411"/>
      <c r="G82" s="411"/>
      <c r="H82" s="411"/>
      <c r="I82" s="411"/>
      <c r="J82" s="411"/>
      <c r="K82" s="411"/>
      <c r="L82" s="411"/>
      <c r="M82" s="411"/>
      <c r="N82" s="411"/>
      <c r="O82" s="411"/>
      <c r="P82" s="411"/>
      <c r="Q82" s="411"/>
      <c r="R82" s="411"/>
      <c r="S82" s="411"/>
      <c r="T82" s="411"/>
      <c r="U82" s="411"/>
      <c r="V82" s="411"/>
      <c r="W82" s="411"/>
      <c r="X82" s="411"/>
      <c r="Y82" s="1052"/>
      <c r="Z82" s="1990"/>
      <c r="AA82" s="1052"/>
      <c r="AB82" s="411"/>
      <c r="AC82" s="411"/>
      <c r="AD82" s="411"/>
      <c r="AE82" s="411"/>
      <c r="AF82" s="411"/>
      <c r="AG82" s="411"/>
      <c r="AH82" s="411"/>
      <c r="AI82" s="2198" t="s">
        <v>1075</v>
      </c>
      <c r="AJ82" s="10944" t="s">
        <v>4050</v>
      </c>
      <c r="AK82" s="10945"/>
      <c r="AL82" s="10938">
        <f>IF(AS82&lt;&gt;"",ROUND(AS82,0),IF(F8812_Skip_Part_II_B,"",MAX(AL63,AL81)))</f>
        <v>0</v>
      </c>
      <c r="AM82" s="10939"/>
      <c r="AN82" s="10939"/>
      <c r="AO82" s="10939"/>
      <c r="AP82" s="10940"/>
      <c r="AQ82" s="1277"/>
      <c r="AR82" s="1277"/>
      <c r="AS82" s="1272"/>
      <c r="AT82" s="1277"/>
      <c r="AU82" s="1277"/>
    </row>
    <row r="83" spans="1:60" ht="13.5" customHeight="1" thickBot="1">
      <c r="A83" s="1277"/>
      <c r="B83" s="2220"/>
      <c r="C83" s="2221"/>
      <c r="D83" s="2223" t="s">
        <v>4052</v>
      </c>
      <c r="E83" s="2222"/>
      <c r="F83" s="2222"/>
      <c r="G83" s="2222"/>
      <c r="H83" s="2222"/>
      <c r="I83" s="2222"/>
      <c r="J83" s="2222"/>
      <c r="K83" s="2222"/>
      <c r="L83" s="2222"/>
      <c r="M83" s="2222"/>
      <c r="N83" s="2222"/>
      <c r="O83" s="2222"/>
      <c r="P83" s="2222"/>
      <c r="Q83" s="2222"/>
      <c r="R83" s="2222"/>
      <c r="S83" s="2222"/>
      <c r="T83" s="2222"/>
      <c r="U83" s="2222"/>
      <c r="V83" s="2222"/>
      <c r="W83" s="2222"/>
      <c r="X83" s="2222"/>
      <c r="Y83" s="2232"/>
      <c r="Z83" s="2233"/>
      <c r="AA83" s="2232"/>
      <c r="AB83" s="2222"/>
      <c r="AC83" s="2222"/>
      <c r="AD83" s="2222"/>
      <c r="AE83" s="2222"/>
      <c r="AF83" s="2222"/>
      <c r="AG83" s="2222"/>
      <c r="AH83" s="2222"/>
      <c r="AI83" s="2222"/>
      <c r="AJ83" s="2234"/>
      <c r="AK83" s="2235"/>
      <c r="AL83" s="2213"/>
      <c r="AM83" s="2212"/>
      <c r="AN83" s="2212"/>
      <c r="AO83" s="2212"/>
      <c r="AP83" s="2214"/>
      <c r="AQ83" s="1277"/>
      <c r="AR83" s="1277"/>
      <c r="AS83" s="1277"/>
      <c r="AT83" s="1277"/>
      <c r="AU83" s="1277"/>
    </row>
    <row r="84" spans="1:60" s="1405" customFormat="1" ht="15.75">
      <c r="A84" s="2119"/>
      <c r="B84" s="9189" t="s">
        <v>4053</v>
      </c>
      <c r="C84" s="9189"/>
      <c r="D84" s="9190"/>
      <c r="E84" s="1998"/>
      <c r="F84" s="1998"/>
      <c r="G84" s="1997" t="s">
        <v>4013</v>
      </c>
      <c r="H84" s="1998"/>
      <c r="I84" s="1998"/>
      <c r="J84" s="1998"/>
      <c r="K84" s="1998"/>
      <c r="L84" s="1998"/>
      <c r="M84" s="1998"/>
      <c r="N84" s="1998"/>
      <c r="O84" s="1998"/>
      <c r="P84" s="1998"/>
      <c r="Q84" s="1998"/>
      <c r="R84" s="1998"/>
      <c r="S84" s="1998"/>
      <c r="T84" s="1998"/>
      <c r="U84" s="1998"/>
      <c r="V84" s="1998"/>
      <c r="W84" s="1998"/>
      <c r="X84" s="1998"/>
      <c r="Y84" s="1998"/>
      <c r="Z84" s="1998"/>
      <c r="AA84" s="1998"/>
      <c r="AB84" s="1998"/>
      <c r="AC84" s="1998"/>
      <c r="AD84" s="1998"/>
      <c r="AE84" s="1998"/>
      <c r="AF84" s="1998"/>
      <c r="AG84" s="1998"/>
      <c r="AH84" s="1998"/>
      <c r="AI84" s="1998"/>
      <c r="AJ84" s="1998"/>
      <c r="AK84" s="1998"/>
      <c r="AL84" s="10974" t="b">
        <f>OR(AS37,AL49,AS51,AL53)</f>
        <v>1</v>
      </c>
      <c r="AM84" s="10974"/>
      <c r="AN84" s="10974"/>
      <c r="AO84" s="10974"/>
      <c r="AP84" s="10974"/>
      <c r="AQ84" s="1277"/>
      <c r="AR84" s="1277"/>
      <c r="AS84" s="2195" t="s">
        <v>771</v>
      </c>
      <c r="AT84" s="1277"/>
      <c r="AU84" s="1277"/>
      <c r="AV84"/>
      <c r="AW84"/>
      <c r="AX84" s="658"/>
      <c r="AY84" s="658"/>
      <c r="AZ84" s="658"/>
      <c r="BA84" s="658"/>
      <c r="BB84" s="658"/>
      <c r="BC84" s="658"/>
      <c r="BD84" s="658"/>
      <c r="BE84" s="658"/>
      <c r="BF84" s="658"/>
      <c r="BG84" s="658"/>
      <c r="BH84" s="658"/>
    </row>
    <row r="85" spans="1:60" ht="17.25" customHeight="1" thickBot="1">
      <c r="A85" s="1277"/>
      <c r="B85" s="2236" t="s">
        <v>696</v>
      </c>
      <c r="C85" s="2237"/>
      <c r="D85" s="2238" t="s">
        <v>4054</v>
      </c>
      <c r="E85" s="2239"/>
      <c r="F85" s="2239"/>
      <c r="G85" s="2239"/>
      <c r="H85" s="2239"/>
      <c r="I85" s="2239"/>
      <c r="J85" s="2239"/>
      <c r="K85" s="2239"/>
      <c r="L85" s="2239"/>
      <c r="M85" s="2239"/>
      <c r="N85" s="2239"/>
      <c r="O85" s="2239"/>
      <c r="P85" s="2239"/>
      <c r="Q85" s="2239"/>
      <c r="R85" s="2239"/>
      <c r="S85" s="2239"/>
      <c r="T85" s="2239"/>
      <c r="U85" s="2239"/>
      <c r="V85" s="2239"/>
      <c r="W85" s="2239"/>
      <c r="X85" s="2239"/>
      <c r="Y85" s="2240"/>
      <c r="Z85" s="2241"/>
      <c r="AA85" s="2240"/>
      <c r="AB85" s="2239"/>
      <c r="AC85" s="2239"/>
      <c r="AD85" s="2239"/>
      <c r="AE85" s="2239"/>
      <c r="AF85" s="2239"/>
      <c r="AG85" s="2239"/>
      <c r="AH85" s="2239"/>
      <c r="AI85" s="2198" t="s">
        <v>828</v>
      </c>
      <c r="AJ85" s="10944" t="s">
        <v>696</v>
      </c>
      <c r="AK85" s="10945"/>
      <c r="AL85" s="10938">
        <f>IF(AS85&lt;&gt;"",ROUND(AS85,0),IF(F8812_NoAdditionalCTC,0,IF(AD68,AL56,IF(AG66,MIN(AL56,AL63),MIN(AL56,AL82)))))</f>
        <v>0</v>
      </c>
      <c r="AM85" s="10939"/>
      <c r="AN85" s="10939"/>
      <c r="AO85" s="10939"/>
      <c r="AP85" s="10940"/>
      <c r="AQ85" s="1277"/>
      <c r="AR85" s="1277"/>
      <c r="AS85" s="1272"/>
      <c r="AT85" s="1277"/>
      <c r="AU85" s="1277"/>
    </row>
    <row r="86" spans="1:60" ht="17.25" customHeight="1" thickTop="1">
      <c r="A86" s="1277"/>
      <c r="B86" s="2242"/>
      <c r="C86" s="2101"/>
      <c r="D86" s="2243"/>
      <c r="E86" s="2243"/>
      <c r="F86" s="2243"/>
      <c r="G86" s="2243"/>
      <c r="H86" s="2243"/>
      <c r="I86" s="2243"/>
      <c r="J86" s="2243"/>
      <c r="K86" s="2243"/>
      <c r="L86" s="2243"/>
      <c r="M86" s="2243"/>
      <c r="N86" s="2243"/>
      <c r="O86" s="2243"/>
      <c r="P86" s="2243"/>
      <c r="Q86" s="2243"/>
      <c r="R86" s="2243"/>
      <c r="S86" s="2243"/>
      <c r="T86" s="2243"/>
      <c r="U86" s="2243"/>
      <c r="V86" s="2243"/>
      <c r="W86" s="2243"/>
      <c r="X86" s="2243"/>
      <c r="Y86" s="2244"/>
      <c r="Z86" s="2245"/>
      <c r="AA86" s="2244"/>
      <c r="AB86" s="2243"/>
      <c r="AC86" s="2243"/>
      <c r="AD86" s="2243"/>
      <c r="AE86" s="2243"/>
      <c r="AF86" s="2243"/>
      <c r="AG86" s="2243"/>
      <c r="AH86" s="2243"/>
      <c r="AI86" s="2243"/>
      <c r="AJ86" s="2243"/>
      <c r="AK86" s="2243"/>
      <c r="AL86" s="2101"/>
      <c r="AM86" s="2243"/>
      <c r="AN86" s="2246" t="s">
        <v>4055</v>
      </c>
      <c r="AO86" s="10969">
        <f>TaxYear</f>
        <v>2025</v>
      </c>
      <c r="AP86" s="10969"/>
      <c r="AQ86" s="1277"/>
      <c r="AR86" s="1277"/>
      <c r="AS86" s="1277"/>
      <c r="AT86" s="1277"/>
      <c r="AU86" s="1277"/>
    </row>
    <row r="87" spans="1:60" ht="12" customHeight="1">
      <c r="A87" s="1277"/>
      <c r="B87" s="504"/>
      <c r="C87" s="504"/>
      <c r="D87" s="504"/>
      <c r="E87" s="504"/>
      <c r="F87" s="504"/>
      <c r="G87" s="504"/>
      <c r="H87" s="504"/>
      <c r="I87" s="504"/>
      <c r="J87" s="504"/>
      <c r="K87" s="504"/>
      <c r="L87" s="504"/>
      <c r="M87" s="504"/>
      <c r="N87" s="504"/>
      <c r="O87" s="504"/>
      <c r="P87" s="504"/>
      <c r="Q87" s="504"/>
      <c r="R87" s="504"/>
      <c r="S87" s="504"/>
      <c r="T87" s="504"/>
      <c r="U87" s="504"/>
      <c r="V87" s="504"/>
      <c r="W87" s="504"/>
      <c r="X87" s="504"/>
      <c r="Y87" s="504"/>
      <c r="Z87" s="504"/>
      <c r="AA87" s="504"/>
      <c r="AB87" s="504"/>
      <c r="AC87" s="504"/>
      <c r="AD87" s="504"/>
      <c r="AE87" s="504"/>
      <c r="AF87" s="504"/>
      <c r="AG87" s="504"/>
      <c r="AH87" s="504"/>
      <c r="AI87" s="504"/>
      <c r="AJ87" s="504"/>
      <c r="AK87" s="504"/>
      <c r="AL87" s="504"/>
      <c r="AM87" s="504"/>
      <c r="AN87" s="504"/>
      <c r="AO87" s="504"/>
      <c r="AP87" s="504"/>
      <c r="AQ87" s="1277"/>
      <c r="AR87" s="1277"/>
      <c r="AS87" s="1277"/>
      <c r="AT87" s="1277"/>
      <c r="AU87" s="1277"/>
    </row>
    <row r="88" spans="1:60" ht="12" customHeight="1">
      <c r="A88" s="1277"/>
      <c r="B88" s="504"/>
      <c r="C88" s="810" t="s">
        <v>4056</v>
      </c>
      <c r="D88" s="504"/>
      <c r="E88" s="504"/>
      <c r="F88" s="504"/>
      <c r="G88" s="504"/>
      <c r="H88" s="504"/>
      <c r="I88" s="504"/>
      <c r="J88" s="504"/>
      <c r="K88" s="504"/>
      <c r="L88" s="504"/>
      <c r="M88" s="504"/>
      <c r="N88" s="504"/>
      <c r="O88" s="504"/>
      <c r="P88" s="504"/>
      <c r="Q88" s="504"/>
      <c r="R88" s="504"/>
      <c r="S88" s="504"/>
      <c r="T88" s="504"/>
      <c r="U88" s="504"/>
      <c r="V88" s="504"/>
      <c r="W88" s="504"/>
      <c r="X88" s="504"/>
      <c r="Y88" s="504"/>
      <c r="Z88" s="504"/>
      <c r="AA88" s="504"/>
      <c r="AB88" s="504"/>
      <c r="AC88" s="504"/>
      <c r="AD88" s="504"/>
      <c r="AE88" s="504"/>
      <c r="AF88" s="504"/>
      <c r="AG88" s="504"/>
      <c r="AH88" s="504"/>
      <c r="AI88" s="504"/>
      <c r="AJ88" s="504"/>
      <c r="AK88" s="504"/>
      <c r="AL88" s="504"/>
      <c r="AM88" s="504"/>
      <c r="AN88" s="6144" t="s">
        <v>926</v>
      </c>
      <c r="AO88" s="504"/>
      <c r="AP88" s="504"/>
      <c r="AQ88" s="1277"/>
      <c r="AR88" s="1277"/>
      <c r="AS88" s="1277"/>
      <c r="AT88" s="1277"/>
      <c r="AU88" s="1277"/>
    </row>
    <row r="89" spans="1:60" ht="12" customHeight="1" thickBot="1">
      <c r="A89" s="1277"/>
      <c r="B89" s="504"/>
      <c r="C89" s="2247"/>
      <c r="D89" s="2247"/>
      <c r="E89" s="2247"/>
      <c r="F89" s="2247"/>
      <c r="G89" s="2247"/>
      <c r="H89" s="2247"/>
      <c r="I89" s="2247"/>
      <c r="J89" s="2247"/>
      <c r="K89" s="2247"/>
      <c r="L89" s="2247"/>
      <c r="M89" s="2247"/>
      <c r="N89" s="2247"/>
      <c r="O89" s="2247"/>
      <c r="P89" s="2247"/>
      <c r="Q89" s="2247"/>
      <c r="R89" s="2247"/>
      <c r="S89" s="2247"/>
      <c r="T89" s="2247"/>
      <c r="U89" s="2247"/>
      <c r="V89" s="2247"/>
      <c r="W89" s="2247"/>
      <c r="X89" s="2247"/>
      <c r="Y89" s="2247"/>
      <c r="Z89" s="2247"/>
      <c r="AA89" s="2247"/>
      <c r="AB89" s="2247"/>
      <c r="AC89" s="2247"/>
      <c r="AD89" s="2247"/>
      <c r="AE89" s="2247"/>
      <c r="AF89" s="2247"/>
      <c r="AG89" s="2247"/>
      <c r="AH89" s="2247"/>
      <c r="AI89" s="2247"/>
      <c r="AJ89" s="2247"/>
      <c r="AK89" s="2247"/>
      <c r="AL89" s="2247"/>
      <c r="AM89" s="2247"/>
      <c r="AN89" s="2247"/>
      <c r="AO89" s="2247"/>
      <c r="AP89" s="504"/>
      <c r="AQ89" s="1277"/>
      <c r="AR89" s="1277"/>
      <c r="AS89" s="1277"/>
      <c r="AT89" s="1277"/>
      <c r="AU89" s="1277"/>
    </row>
    <row r="90" spans="1:60" ht="6" customHeight="1" thickTop="1">
      <c r="A90" s="1277"/>
      <c r="B90" s="504"/>
      <c r="C90" s="504"/>
      <c r="D90" s="504"/>
      <c r="E90" s="504"/>
      <c r="F90" s="504"/>
      <c r="G90" s="504"/>
      <c r="H90" s="504"/>
      <c r="I90" s="504"/>
      <c r="J90" s="504"/>
      <c r="K90" s="504"/>
      <c r="L90" s="504"/>
      <c r="M90" s="504"/>
      <c r="N90" s="504"/>
      <c r="O90" s="504"/>
      <c r="P90" s="504"/>
      <c r="Q90" s="504"/>
      <c r="R90" s="504"/>
      <c r="S90" s="504"/>
      <c r="T90" s="504"/>
      <c r="U90" s="504"/>
      <c r="V90" s="504"/>
      <c r="W90" s="504"/>
      <c r="X90" s="504"/>
      <c r="Y90" s="504"/>
      <c r="Z90" s="504"/>
      <c r="AA90" s="504"/>
      <c r="AB90" s="504"/>
      <c r="AC90" s="504"/>
      <c r="AD90" s="504"/>
      <c r="AE90" s="504"/>
      <c r="AF90" s="504"/>
      <c r="AG90" s="504"/>
      <c r="AH90" s="504"/>
      <c r="AI90" s="504"/>
      <c r="AJ90" s="504"/>
      <c r="AK90" s="504"/>
      <c r="AL90" s="504"/>
      <c r="AM90" s="504"/>
      <c r="AN90" s="504"/>
      <c r="AO90" s="504"/>
      <c r="AP90" s="504"/>
      <c r="AQ90" s="1277"/>
      <c r="AR90" s="1277"/>
      <c r="AS90" s="1277"/>
      <c r="AT90" s="1277"/>
      <c r="AU90" s="1277"/>
    </row>
    <row r="91" spans="1:60" ht="20.25" customHeight="1">
      <c r="A91" s="1277"/>
      <c r="B91" s="504"/>
      <c r="C91" s="504"/>
      <c r="D91" s="504"/>
      <c r="E91" s="504"/>
      <c r="F91" s="2248" t="s">
        <v>157</v>
      </c>
      <c r="G91" s="504" t="s">
        <v>4057</v>
      </c>
      <c r="H91" s="504"/>
      <c r="I91" s="504"/>
      <c r="J91" s="504"/>
      <c r="K91" s="504"/>
      <c r="L91" s="504"/>
      <c r="M91" s="504"/>
      <c r="N91" s="504"/>
      <c r="O91" s="504"/>
      <c r="P91" s="504"/>
      <c r="Q91" s="504"/>
      <c r="R91" s="504"/>
      <c r="S91" s="504"/>
      <c r="T91" s="504"/>
      <c r="U91" s="504"/>
      <c r="V91" s="504"/>
      <c r="W91" s="504"/>
      <c r="X91" s="504"/>
      <c r="Y91" s="504"/>
      <c r="Z91" s="504"/>
      <c r="AA91" s="504"/>
      <c r="AB91" s="504"/>
      <c r="AC91" s="504"/>
      <c r="AD91" s="504"/>
      <c r="AE91" s="504"/>
      <c r="AF91" s="504"/>
      <c r="AG91" s="504"/>
      <c r="AH91" s="504"/>
      <c r="AI91" s="2249" t="s">
        <v>594</v>
      </c>
      <c r="AJ91" s="4230" t="s">
        <v>157</v>
      </c>
      <c r="AK91" s="10930">
        <f>'1040'!AL98</f>
        <v>0</v>
      </c>
      <c r="AL91" s="10930"/>
      <c r="AM91" s="10930"/>
      <c r="AN91" s="10930"/>
      <c r="AO91" s="10930"/>
      <c r="AP91" s="504"/>
      <c r="AQ91" s="1277"/>
      <c r="AR91" s="1277"/>
      <c r="AS91" s="1277"/>
      <c r="AT91" s="1277"/>
      <c r="AU91" s="1277"/>
    </row>
    <row r="92" spans="1:60" ht="12" customHeight="1">
      <c r="A92" s="1277"/>
      <c r="B92" s="504"/>
      <c r="C92" s="504"/>
      <c r="D92" s="504"/>
      <c r="E92" s="504"/>
      <c r="F92" s="504"/>
      <c r="G92" s="504"/>
      <c r="H92" s="504"/>
      <c r="I92" s="504"/>
      <c r="J92" s="504"/>
      <c r="K92" s="504"/>
      <c r="L92" s="504"/>
      <c r="M92" s="504"/>
      <c r="N92" s="504"/>
      <c r="O92" s="504"/>
      <c r="P92" s="504"/>
      <c r="Q92" s="504"/>
      <c r="R92" s="504"/>
      <c r="S92" s="504"/>
      <c r="T92" s="504"/>
      <c r="U92" s="504"/>
      <c r="V92" s="504"/>
      <c r="W92" s="504"/>
      <c r="X92" s="504"/>
      <c r="Y92" s="504"/>
      <c r="Z92" s="504"/>
      <c r="AA92" s="504"/>
      <c r="AB92" s="504"/>
      <c r="AC92" s="504"/>
      <c r="AD92" s="504"/>
      <c r="AE92" s="504"/>
      <c r="AF92" s="504"/>
      <c r="AG92" s="504"/>
      <c r="AH92" s="504"/>
      <c r="AI92" s="504"/>
      <c r="AJ92" s="504"/>
      <c r="AK92" s="504"/>
      <c r="AL92" s="504"/>
      <c r="AM92" s="504"/>
      <c r="AN92" s="504"/>
      <c r="AO92" s="504"/>
      <c r="AP92" s="504"/>
      <c r="AQ92" s="1277"/>
      <c r="AR92" s="1277"/>
      <c r="AS92" s="2195" t="s">
        <v>771</v>
      </c>
      <c r="AT92" s="1277"/>
      <c r="AU92" s="1277"/>
    </row>
    <row r="93" spans="1:60" ht="12" customHeight="1">
      <c r="A93" s="1277"/>
      <c r="B93" s="504"/>
      <c r="C93" s="504"/>
      <c r="D93" s="504"/>
      <c r="E93" s="504"/>
      <c r="F93" s="2248" t="s">
        <v>161</v>
      </c>
      <c r="G93" s="504" t="s">
        <v>4058</v>
      </c>
      <c r="H93" s="504"/>
      <c r="I93" s="504"/>
      <c r="J93" s="504"/>
      <c r="K93" s="504"/>
      <c r="L93" s="504"/>
      <c r="M93" s="504"/>
      <c r="N93" s="504"/>
      <c r="O93" s="504"/>
      <c r="P93" s="504"/>
      <c r="Q93" s="504"/>
      <c r="R93" s="504"/>
      <c r="S93" s="504"/>
      <c r="T93" s="504"/>
      <c r="U93" s="504"/>
      <c r="V93" s="504"/>
      <c r="W93" s="504"/>
      <c r="X93" s="504"/>
      <c r="Y93" s="504"/>
      <c r="Z93" s="504"/>
      <c r="AA93" s="504"/>
      <c r="AB93" s="504"/>
      <c r="AC93" s="504"/>
      <c r="AD93" s="504"/>
      <c r="AE93" s="504"/>
      <c r="AF93" s="504"/>
      <c r="AG93" s="504"/>
      <c r="AH93" s="504"/>
      <c r="AI93" s="504"/>
      <c r="AJ93" s="504"/>
      <c r="AK93" s="504"/>
      <c r="AL93" s="504"/>
      <c r="AM93" s="504"/>
      <c r="AN93" s="504"/>
      <c r="AO93" s="504"/>
      <c r="AP93" s="504"/>
      <c r="AQ93" s="1277"/>
      <c r="AR93" s="1277"/>
      <c r="AS93" s="1277"/>
      <c r="AT93" s="1277"/>
      <c r="AU93" s="1277"/>
    </row>
    <row r="94" spans="1:60" ht="16.5" customHeight="1">
      <c r="A94" s="1277"/>
      <c r="B94" s="504"/>
      <c r="C94" s="504"/>
      <c r="D94" s="504"/>
      <c r="E94" s="504"/>
      <c r="F94" s="2248"/>
      <c r="G94" s="504"/>
      <c r="H94" s="504" t="s">
        <v>4059</v>
      </c>
      <c r="I94" s="504"/>
      <c r="J94" s="504"/>
      <c r="K94" s="504"/>
      <c r="L94" s="504"/>
      <c r="M94" s="504"/>
      <c r="N94" s="504"/>
      <c r="O94" s="504"/>
      <c r="P94" s="504"/>
      <c r="Q94" s="504"/>
      <c r="R94" s="504"/>
      <c r="S94" s="504"/>
      <c r="T94" s="504"/>
      <c r="U94" s="504"/>
      <c r="V94" s="504"/>
      <c r="W94" s="504"/>
      <c r="X94" s="504"/>
      <c r="Y94" s="504"/>
      <c r="Z94" s="504"/>
      <c r="AA94" s="504"/>
      <c r="AB94" s="2249" t="s">
        <v>617</v>
      </c>
      <c r="AC94" s="10946" t="s">
        <v>4060</v>
      </c>
      <c r="AD94" s="7589"/>
      <c r="AE94" s="10941" t="str">
        <f>IF(AS94&lt;&gt;"",ROUND(AS94,0),IF(Foreign_Tax_Credit=0,"",Foreign_Tax_Credit))</f>
        <v/>
      </c>
      <c r="AF94" s="10941"/>
      <c r="AG94" s="10941"/>
      <c r="AH94" s="10941"/>
      <c r="AI94" s="10941"/>
      <c r="AJ94" s="504"/>
      <c r="AK94" s="504"/>
      <c r="AL94" s="504"/>
      <c r="AM94" s="504"/>
      <c r="AN94" s="504"/>
      <c r="AO94" s="504"/>
      <c r="AP94" s="504"/>
      <c r="AQ94" s="1277"/>
      <c r="AR94" s="1277"/>
      <c r="AS94" s="1272"/>
      <c r="AT94" s="1277"/>
      <c r="AU94" s="1277"/>
    </row>
    <row r="95" spans="1:60" ht="16.5" customHeight="1">
      <c r="A95" s="1277"/>
      <c r="B95" s="504"/>
      <c r="C95" s="504"/>
      <c r="D95" s="504"/>
      <c r="E95" s="504"/>
      <c r="F95" s="2248"/>
      <c r="G95" s="504"/>
      <c r="H95" s="504" t="s">
        <v>4061</v>
      </c>
      <c r="I95" s="504"/>
      <c r="J95" s="504"/>
      <c r="K95" s="504"/>
      <c r="L95" s="504"/>
      <c r="M95" s="504"/>
      <c r="N95" s="504"/>
      <c r="O95" s="504"/>
      <c r="P95" s="504"/>
      <c r="Q95" s="504"/>
      <c r="R95" s="504"/>
      <c r="S95" s="504"/>
      <c r="T95" s="504"/>
      <c r="U95" s="504"/>
      <c r="V95" s="504"/>
      <c r="W95" s="504"/>
      <c r="X95" s="504"/>
      <c r="Y95" s="504"/>
      <c r="Z95" s="504"/>
      <c r="AA95" s="504"/>
      <c r="AB95" s="2249" t="s">
        <v>617</v>
      </c>
      <c r="AC95" s="10946" t="s">
        <v>4060</v>
      </c>
      <c r="AD95" s="7589"/>
      <c r="AE95" s="10941" t="str">
        <f>IF(AS95&lt;&gt;"",ROUND(AS95,0),IF(OR(Care_Expenses="",Care_Expenses=0),"",Care_Expenses))</f>
        <v/>
      </c>
      <c r="AF95" s="10941"/>
      <c r="AG95" s="10941"/>
      <c r="AH95" s="10941"/>
      <c r="AI95" s="10941"/>
      <c r="AJ95" s="504"/>
      <c r="AK95" s="504"/>
      <c r="AL95" s="504"/>
      <c r="AM95" s="504"/>
      <c r="AN95" s="504"/>
      <c r="AO95" s="504"/>
      <c r="AP95" s="504"/>
      <c r="AQ95" s="1277"/>
      <c r="AR95" s="1277"/>
      <c r="AS95" s="1272"/>
      <c r="AT95" s="1277"/>
      <c r="AU95" s="1277"/>
    </row>
    <row r="96" spans="1:60" ht="16.5" customHeight="1">
      <c r="A96" s="1277"/>
      <c r="B96" s="504"/>
      <c r="C96" s="504"/>
      <c r="D96" s="504"/>
      <c r="E96" s="504"/>
      <c r="F96" s="2248"/>
      <c r="G96" s="504"/>
      <c r="H96" s="504" t="s">
        <v>4062</v>
      </c>
      <c r="I96" s="504"/>
      <c r="J96" s="504"/>
      <c r="K96" s="504"/>
      <c r="L96" s="504"/>
      <c r="M96" s="504"/>
      <c r="N96" s="504"/>
      <c r="O96" s="504"/>
      <c r="P96" s="504"/>
      <c r="Q96" s="504"/>
      <c r="R96" s="504"/>
      <c r="S96" s="504"/>
      <c r="T96" s="504"/>
      <c r="U96" s="504"/>
      <c r="V96" s="504"/>
      <c r="W96" s="504"/>
      <c r="X96" s="504"/>
      <c r="Y96" s="504"/>
      <c r="Z96" s="504"/>
      <c r="AA96" s="504"/>
      <c r="AB96" s="2249" t="s">
        <v>617</v>
      </c>
      <c r="AC96" s="10946" t="s">
        <v>4060</v>
      </c>
      <c r="AD96" s="7589"/>
      <c r="AE96" s="10941" t="str">
        <f>IF(AS96&lt;&gt;"",ROUND(AS96,0),IF(OR(Education="",Education=0),"",Education))</f>
        <v/>
      </c>
      <c r="AF96" s="10941"/>
      <c r="AG96" s="10941"/>
      <c r="AH96" s="10941"/>
      <c r="AI96" s="10941"/>
      <c r="AJ96" s="504"/>
      <c r="AK96" s="504"/>
      <c r="AL96" s="504"/>
      <c r="AM96" s="504"/>
      <c r="AN96" s="504"/>
      <c r="AO96" s="504"/>
      <c r="AP96" s="504"/>
      <c r="AQ96" s="1277"/>
      <c r="AR96" s="1277"/>
      <c r="AS96" s="1272"/>
      <c r="AT96" s="1277"/>
      <c r="AU96" s="1277"/>
    </row>
    <row r="97" spans="1:47" ht="16.5" customHeight="1">
      <c r="A97" s="1277"/>
      <c r="B97" s="504"/>
      <c r="C97" s="504"/>
      <c r="D97" s="504"/>
      <c r="E97" s="504"/>
      <c r="F97" s="2248"/>
      <c r="G97" s="504"/>
      <c r="H97" s="504" t="s">
        <v>4063</v>
      </c>
      <c r="I97" s="504"/>
      <c r="J97" s="504"/>
      <c r="K97" s="504"/>
      <c r="L97" s="504"/>
      <c r="M97" s="504"/>
      <c r="N97" s="504"/>
      <c r="O97" s="504"/>
      <c r="P97" s="504"/>
      <c r="Q97" s="504"/>
      <c r="R97" s="504"/>
      <c r="S97" s="504"/>
      <c r="T97" s="504"/>
      <c r="U97" s="504"/>
      <c r="V97" s="504"/>
      <c r="W97" s="504"/>
      <c r="X97" s="504"/>
      <c r="Y97" s="504"/>
      <c r="Z97" s="504"/>
      <c r="AA97" s="504"/>
      <c r="AB97" s="2249" t="s">
        <v>617</v>
      </c>
      <c r="AC97" s="10946" t="s">
        <v>4060</v>
      </c>
      <c r="AD97" s="7589"/>
      <c r="AE97" s="10941" t="str">
        <f>IF(AS97&lt;&gt;"",ROUND(AS97,0),IF(OR(Retirement_Savings="",Retirement_Savings=0),"",Retirement_Savings))</f>
        <v/>
      </c>
      <c r="AF97" s="10941"/>
      <c r="AG97" s="10941"/>
      <c r="AH97" s="10941"/>
      <c r="AI97" s="10941"/>
      <c r="AJ97" s="504"/>
      <c r="AK97" s="504"/>
      <c r="AL97" s="504"/>
      <c r="AM97" s="504"/>
      <c r="AN97" s="504"/>
      <c r="AO97" s="504"/>
      <c r="AP97" s="504"/>
      <c r="AQ97" s="1277"/>
      <c r="AR97" s="1277"/>
      <c r="AS97" s="1272"/>
      <c r="AT97" s="1277"/>
      <c r="AU97" s="1277"/>
    </row>
    <row r="98" spans="1:47" ht="16.5" customHeight="1">
      <c r="A98" s="1277"/>
      <c r="B98" s="504"/>
      <c r="C98" s="504"/>
      <c r="D98" s="504"/>
      <c r="E98" s="504"/>
      <c r="F98" s="2248"/>
      <c r="G98" s="504"/>
      <c r="H98" s="504" t="s">
        <v>4938</v>
      </c>
      <c r="I98" s="504"/>
      <c r="J98" s="504"/>
      <c r="K98" s="504"/>
      <c r="L98" s="504"/>
      <c r="M98" s="504"/>
      <c r="N98" s="504"/>
      <c r="O98" s="504"/>
      <c r="P98" s="504"/>
      <c r="Q98" s="504"/>
      <c r="R98" s="504"/>
      <c r="S98" s="504"/>
      <c r="T98" s="504"/>
      <c r="U98" s="504"/>
      <c r="V98" s="504"/>
      <c r="W98" s="504"/>
      <c r="X98" s="504"/>
      <c r="Y98" s="504"/>
      <c r="Z98" s="504"/>
      <c r="AA98" s="504"/>
      <c r="AB98" s="2249" t="s">
        <v>617</v>
      </c>
      <c r="AC98" s="10946" t="s">
        <v>4060</v>
      </c>
      <c r="AD98" s="7589"/>
      <c r="AE98" s="10941" t="str">
        <f>IF(AS98&lt;&gt;"",ROUND(AS98,0),IF(EEHI_Credit=0,"",EEHI_Credit))</f>
        <v/>
      </c>
      <c r="AF98" s="10941"/>
      <c r="AG98" s="10941"/>
      <c r="AH98" s="10941"/>
      <c r="AI98" s="10941"/>
      <c r="AJ98" s="504"/>
      <c r="AK98" s="504"/>
      <c r="AL98" s="504"/>
      <c r="AM98" s="504"/>
      <c r="AN98" s="504"/>
      <c r="AO98" s="504"/>
      <c r="AP98" s="504"/>
      <c r="AQ98" s="1277"/>
      <c r="AR98" s="1277"/>
      <c r="AS98" s="1272"/>
      <c r="AT98" s="1277"/>
      <c r="AU98" s="1277"/>
    </row>
    <row r="99" spans="1:47" ht="16.5" customHeight="1">
      <c r="A99" s="1277"/>
      <c r="B99" s="504"/>
      <c r="C99" s="504"/>
      <c r="D99" s="504"/>
      <c r="E99" s="504"/>
      <c r="F99" s="2248"/>
      <c r="G99" s="504"/>
      <c r="H99" s="504" t="s">
        <v>4064</v>
      </c>
      <c r="I99" s="504"/>
      <c r="J99" s="504"/>
      <c r="K99" s="504"/>
      <c r="L99" s="504"/>
      <c r="M99" s="504"/>
      <c r="N99" s="504"/>
      <c r="O99" s="504"/>
      <c r="P99" s="504"/>
      <c r="Q99" s="504"/>
      <c r="R99" s="504"/>
      <c r="S99" s="504"/>
      <c r="T99" s="504"/>
      <c r="U99" s="504"/>
      <c r="V99" s="504"/>
      <c r="W99" s="504"/>
      <c r="X99" s="504"/>
      <c r="Y99" s="504"/>
      <c r="Z99" s="504"/>
      <c r="AA99" s="504"/>
      <c r="AB99" s="2249" t="s">
        <v>617</v>
      </c>
      <c r="AC99" s="10946" t="s">
        <v>4060</v>
      </c>
      <c r="AD99" s="7589"/>
      <c r="AE99" s="10941" t="str">
        <f>IF(AS99&lt;&gt;"",ROUND(AS99,0),IF(OR(Elderly_Credit="",Elderly_Credit=0),"",Elderly_Credit))</f>
        <v/>
      </c>
      <c r="AF99" s="10941"/>
      <c r="AG99" s="10941"/>
      <c r="AH99" s="10941"/>
      <c r="AI99" s="10941"/>
      <c r="AJ99" s="504"/>
      <c r="AK99" s="504"/>
      <c r="AL99" s="504"/>
      <c r="AM99" s="504"/>
      <c r="AN99" s="504"/>
      <c r="AO99" s="504"/>
      <c r="AP99" s="504"/>
      <c r="AQ99" s="1277"/>
      <c r="AR99" s="1277"/>
      <c r="AS99" s="1272"/>
      <c r="AT99" s="1277"/>
      <c r="AU99" s="1277"/>
    </row>
    <row r="100" spans="1:47" ht="16.5" customHeight="1">
      <c r="A100" s="1277"/>
      <c r="B100" s="504"/>
      <c r="C100" s="504"/>
      <c r="D100" s="504"/>
      <c r="E100" s="504"/>
      <c r="F100" s="2248"/>
      <c r="G100" s="504"/>
      <c r="H100" s="504" t="s">
        <v>4065</v>
      </c>
      <c r="I100" s="504"/>
      <c r="J100" s="504"/>
      <c r="K100" s="504"/>
      <c r="L100" s="504"/>
      <c r="M100" s="504"/>
      <c r="N100" s="504"/>
      <c r="O100" s="504"/>
      <c r="P100" s="504"/>
      <c r="Q100" s="504"/>
      <c r="R100" s="504"/>
      <c r="S100" s="504"/>
      <c r="T100" s="504"/>
      <c r="U100" s="504"/>
      <c r="V100" s="504"/>
      <c r="W100" s="504"/>
      <c r="X100" s="504"/>
      <c r="Y100" s="504"/>
      <c r="Z100" s="504"/>
      <c r="AA100" s="504"/>
      <c r="AB100" s="2249" t="s">
        <v>617</v>
      </c>
      <c r="AC100" s="10946" t="s">
        <v>4060</v>
      </c>
      <c r="AD100" s="7589"/>
      <c r="AE100" s="10941" t="str">
        <f>IF(AS100&lt;&gt;"",ROUND(AS100,0),IF(OR(QPIMV_Credit="",QPIMV_Credit=0),"",QPIMV_Credit))</f>
        <v/>
      </c>
      <c r="AF100" s="10941"/>
      <c r="AG100" s="10941"/>
      <c r="AH100" s="10941"/>
      <c r="AI100" s="10941"/>
      <c r="AJ100" s="504"/>
      <c r="AK100" s="504"/>
      <c r="AL100" s="504"/>
      <c r="AM100" s="504"/>
      <c r="AN100" s="504"/>
      <c r="AO100" s="504"/>
      <c r="AP100" s="504"/>
      <c r="AQ100" s="1277"/>
      <c r="AR100" s="1277"/>
      <c r="AS100" s="1272"/>
      <c r="AT100" s="1277"/>
      <c r="AU100" s="1277"/>
    </row>
    <row r="101" spans="1:47" ht="16.5" customHeight="1">
      <c r="A101" s="1277"/>
      <c r="B101" s="504"/>
      <c r="C101" s="504"/>
      <c r="D101" s="504"/>
      <c r="E101" s="504"/>
      <c r="F101" s="2248"/>
      <c r="G101" s="504"/>
      <c r="H101" s="504" t="s">
        <v>4066</v>
      </c>
      <c r="I101" s="504"/>
      <c r="J101" s="504"/>
      <c r="K101" s="504"/>
      <c r="L101" s="504"/>
      <c r="M101" s="504"/>
      <c r="N101" s="504"/>
      <c r="O101" s="504"/>
      <c r="P101" s="504"/>
      <c r="Q101" s="504"/>
      <c r="R101" s="504"/>
      <c r="S101" s="504"/>
      <c r="T101" s="504"/>
      <c r="U101" s="504"/>
      <c r="V101" s="504"/>
      <c r="W101" s="504"/>
      <c r="X101" s="504"/>
      <c r="Y101" s="504"/>
      <c r="Z101" s="504"/>
      <c r="AA101" s="504"/>
      <c r="AB101" s="2249" t="s">
        <v>4067</v>
      </c>
      <c r="AC101" s="10946" t="s">
        <v>4060</v>
      </c>
      <c r="AD101" s="7589"/>
      <c r="AE101" s="10941" t="str">
        <f>IF(AS101&lt;&gt;"",ROUND(AS101,0),IF(OR(F8978_Credit="",F8978_Credit=0),"",F8978_Credit))</f>
        <v/>
      </c>
      <c r="AF101" s="10941"/>
      <c r="AG101" s="10941"/>
      <c r="AH101" s="10941"/>
      <c r="AI101" s="10941"/>
      <c r="AJ101" s="504"/>
      <c r="AK101" s="504"/>
      <c r="AL101" s="504"/>
      <c r="AM101" s="504"/>
      <c r="AN101" s="504"/>
      <c r="AO101" s="504"/>
      <c r="AP101" s="504"/>
      <c r="AQ101" s="1277"/>
      <c r="AR101" s="1277"/>
      <c r="AS101" s="1272"/>
      <c r="AT101" s="1277"/>
      <c r="AU101" s="1277"/>
    </row>
    <row r="102" spans="1:47" ht="16.5" customHeight="1">
      <c r="A102" s="1277"/>
      <c r="B102" s="504"/>
      <c r="C102" s="504"/>
      <c r="D102" s="504"/>
      <c r="E102" s="504"/>
      <c r="F102" s="2248"/>
      <c r="G102" s="504"/>
      <c r="H102" s="504" t="s">
        <v>4939</v>
      </c>
      <c r="I102" s="504"/>
      <c r="J102" s="504"/>
      <c r="K102" s="504"/>
      <c r="L102" s="504"/>
      <c r="M102" s="504"/>
      <c r="N102" s="504"/>
      <c r="O102" s="504"/>
      <c r="P102" s="504"/>
      <c r="Q102" s="504"/>
      <c r="R102" s="504"/>
      <c r="S102" s="504"/>
      <c r="T102" s="504"/>
      <c r="U102" s="504"/>
      <c r="V102" s="504"/>
      <c r="W102" s="504"/>
      <c r="X102" s="504"/>
      <c r="Y102" s="504"/>
      <c r="Z102" s="504"/>
      <c r="AA102" s="504"/>
      <c r="AB102" s="2249" t="s">
        <v>617</v>
      </c>
      <c r="AC102" s="10946" t="s">
        <v>4060</v>
      </c>
      <c r="AD102" s="7589"/>
      <c r="AE102" s="10941" t="str">
        <f>IF(AS102&lt;&gt;"",ROUND(AS102,0),IF(OR(POCV_Credit="",POCV_Credit=0),"",POCV_Credit))</f>
        <v/>
      </c>
      <c r="AF102" s="10941"/>
      <c r="AG102" s="10941"/>
      <c r="AH102" s="10941"/>
      <c r="AI102" s="10941"/>
      <c r="AJ102" s="504"/>
      <c r="AK102" s="504"/>
      <c r="AL102" s="504"/>
      <c r="AM102" s="504"/>
      <c r="AN102" s="504"/>
      <c r="AO102" s="504"/>
      <c r="AP102" s="504"/>
      <c r="AQ102" s="1277"/>
      <c r="AR102" s="1277"/>
      <c r="AS102" s="1272"/>
      <c r="AT102" s="1277"/>
      <c r="AU102" s="1277"/>
    </row>
    <row r="103" spans="1:47" ht="12" customHeight="1">
      <c r="A103" s="1277"/>
      <c r="B103" s="504"/>
      <c r="C103" s="504"/>
      <c r="D103" s="504"/>
      <c r="E103" s="504"/>
      <c r="F103" s="2248"/>
      <c r="G103" s="504"/>
      <c r="H103" s="504"/>
      <c r="I103" s="504"/>
      <c r="J103" s="504"/>
      <c r="K103" s="504"/>
      <c r="L103" s="504"/>
      <c r="M103" s="504"/>
      <c r="N103" s="504"/>
      <c r="O103" s="504"/>
      <c r="P103" s="504"/>
      <c r="Q103" s="504"/>
      <c r="R103" s="504"/>
      <c r="S103" s="504"/>
      <c r="T103" s="504"/>
      <c r="U103" s="504"/>
      <c r="V103" s="504"/>
      <c r="W103" s="504"/>
      <c r="X103" s="504"/>
      <c r="Y103" s="504"/>
      <c r="Z103" s="504"/>
      <c r="AA103" s="504"/>
      <c r="AB103" s="504"/>
      <c r="AC103" s="504"/>
      <c r="AD103" s="504"/>
      <c r="AE103" s="504"/>
      <c r="AF103" s="504"/>
      <c r="AG103" s="504"/>
      <c r="AH103" s="504"/>
      <c r="AI103" s="504"/>
      <c r="AJ103" s="504"/>
      <c r="AK103" s="504"/>
      <c r="AL103" s="504"/>
      <c r="AM103" s="504"/>
      <c r="AN103" s="504"/>
      <c r="AO103" s="504"/>
      <c r="AP103" s="504"/>
      <c r="AQ103" s="1277"/>
      <c r="AR103" s="1277"/>
      <c r="AS103" s="1272"/>
      <c r="AT103" s="1277"/>
      <c r="AU103" s="1277"/>
    </row>
    <row r="104" spans="1:47" ht="25.5" customHeight="1">
      <c r="A104" s="1277"/>
      <c r="B104" s="504"/>
      <c r="C104" s="504"/>
      <c r="D104" s="504"/>
      <c r="E104" s="504"/>
      <c r="F104" s="2248"/>
      <c r="G104" s="504"/>
      <c r="H104" s="504"/>
      <c r="I104" s="504"/>
      <c r="J104" s="504"/>
      <c r="K104" s="504"/>
      <c r="L104" s="504"/>
      <c r="M104" s="504"/>
      <c r="N104" s="504"/>
      <c r="O104" s="504"/>
      <c r="P104" s="504"/>
      <c r="Q104" s="504"/>
      <c r="R104" s="504"/>
      <c r="S104" s="504"/>
      <c r="T104" s="504"/>
      <c r="U104" s="504"/>
      <c r="V104" s="504"/>
      <c r="W104" s="504"/>
      <c r="X104" s="504"/>
      <c r="Y104" s="504"/>
      <c r="Z104" s="504"/>
      <c r="AA104" s="1989" t="s">
        <v>4068</v>
      </c>
      <c r="AB104" s="504"/>
      <c r="AC104" s="504"/>
      <c r="AD104" s="1400" t="s">
        <v>161</v>
      </c>
      <c r="AE104" s="10984">
        <f>IF(AS103&lt;&gt;"",ROUND(AS103,0),SUM(AE94:AI102))</f>
        <v>0</v>
      </c>
      <c r="AF104" s="10985"/>
      <c r="AG104" s="10985"/>
      <c r="AH104" s="10985"/>
      <c r="AI104" s="10985"/>
      <c r="AJ104" s="504"/>
      <c r="AK104" s="504"/>
      <c r="AL104" s="504"/>
      <c r="AM104" s="504"/>
      <c r="AN104" s="504"/>
      <c r="AO104" s="504"/>
      <c r="AP104" s="504"/>
      <c r="AQ104" s="1277"/>
      <c r="AR104" s="1277"/>
      <c r="AS104" s="10981" t="s">
        <v>4069</v>
      </c>
      <c r="AT104" s="1277"/>
      <c r="AU104" s="1277"/>
    </row>
    <row r="105" spans="1:47" ht="7.5" customHeight="1">
      <c r="A105" s="1277"/>
      <c r="B105" s="504"/>
      <c r="C105" s="504"/>
      <c r="D105" s="504"/>
      <c r="E105" s="504"/>
      <c r="F105" s="2248"/>
      <c r="G105" s="504"/>
      <c r="H105" s="504"/>
      <c r="I105" s="504"/>
      <c r="J105" s="504"/>
      <c r="K105" s="504"/>
      <c r="L105" s="504"/>
      <c r="M105" s="504"/>
      <c r="N105" s="504"/>
      <c r="O105" s="504"/>
      <c r="P105" s="504"/>
      <c r="Q105" s="504"/>
      <c r="R105" s="504"/>
      <c r="S105" s="504"/>
      <c r="T105" s="504"/>
      <c r="U105" s="504"/>
      <c r="V105" s="504"/>
      <c r="W105" s="504"/>
      <c r="X105" s="504"/>
      <c r="Y105" s="504"/>
      <c r="Z105" s="504"/>
      <c r="AA105" s="504"/>
      <c r="AB105" s="504"/>
      <c r="AC105" s="504"/>
      <c r="AD105" s="504"/>
      <c r="AE105" s="504"/>
      <c r="AF105" s="504"/>
      <c r="AG105" s="504"/>
      <c r="AH105" s="504"/>
      <c r="AI105" s="504"/>
      <c r="AJ105" s="504"/>
      <c r="AK105" s="504"/>
      <c r="AL105" s="504"/>
      <c r="AM105" s="504"/>
      <c r="AN105" s="504"/>
      <c r="AO105" s="504"/>
      <c r="AP105" s="504"/>
      <c r="AQ105" s="1277"/>
      <c r="AR105" s="1277"/>
      <c r="AS105" s="10981"/>
      <c r="AT105" s="1277"/>
      <c r="AU105" s="1277"/>
    </row>
    <row r="106" spans="1:47" ht="21.75" customHeight="1" thickBot="1">
      <c r="A106" s="1277"/>
      <c r="B106" s="504"/>
      <c r="C106" s="504"/>
      <c r="D106" s="504"/>
      <c r="E106" s="504"/>
      <c r="F106" s="1400" t="s">
        <v>167</v>
      </c>
      <c r="G106" s="504" t="s">
        <v>946</v>
      </c>
      <c r="H106" s="504"/>
      <c r="I106" s="504"/>
      <c r="J106" s="504"/>
      <c r="K106" s="504"/>
      <c r="L106" s="504"/>
      <c r="M106" s="504"/>
      <c r="N106" s="504"/>
      <c r="O106" s="504"/>
      <c r="P106" s="504"/>
      <c r="Q106" s="504"/>
      <c r="R106" s="504"/>
      <c r="S106" s="504"/>
      <c r="T106" s="504"/>
      <c r="U106" s="504"/>
      <c r="V106" s="504"/>
      <c r="W106" s="504"/>
      <c r="X106" s="504"/>
      <c r="Y106" s="504"/>
      <c r="Z106" s="504"/>
      <c r="AA106" s="504"/>
      <c r="AB106" s="504"/>
      <c r="AC106" s="504"/>
      <c r="AD106" s="504"/>
      <c r="AE106" s="504"/>
      <c r="AF106" s="504"/>
      <c r="AG106" s="504"/>
      <c r="AH106" s="504"/>
      <c r="AI106" s="1989" t="s">
        <v>5997</v>
      </c>
      <c r="AJ106" s="6248" t="s">
        <v>167</v>
      </c>
      <c r="AK106" s="10982">
        <f>SUM(AK91,-AE104)</f>
        <v>0</v>
      </c>
      <c r="AL106" s="10982"/>
      <c r="AM106" s="10982"/>
      <c r="AN106" s="10982"/>
      <c r="AO106" s="10983"/>
      <c r="AP106" s="504"/>
      <c r="AQ106" s="1277"/>
      <c r="AR106" s="1277"/>
      <c r="AS106" s="10981"/>
      <c r="AT106" s="1277"/>
      <c r="AU106" s="1277"/>
    </row>
    <row r="107" spans="1:47" ht="17.25" customHeight="1" thickBot="1">
      <c r="A107" s="1277"/>
      <c r="B107" s="504"/>
      <c r="C107" s="10970" t="b">
        <f>AND(C108,C113,C114)</f>
        <v>0</v>
      </c>
      <c r="D107" s="10970"/>
      <c r="E107" s="10970"/>
      <c r="F107" s="504"/>
      <c r="G107" s="2251" t="s">
        <v>4941</v>
      </c>
      <c r="H107" s="504"/>
      <c r="I107" s="504"/>
      <c r="J107" s="504"/>
      <c r="K107" s="504"/>
      <c r="L107" s="504"/>
      <c r="M107" s="504"/>
      <c r="N107" s="504"/>
      <c r="O107" s="504"/>
      <c r="P107" s="504"/>
      <c r="Q107" s="807"/>
      <c r="R107" s="807"/>
      <c r="S107" s="504"/>
      <c r="T107" s="504"/>
      <c r="U107" s="504"/>
      <c r="V107" s="504"/>
      <c r="W107" s="504"/>
      <c r="X107" s="504"/>
      <c r="Y107" s="504"/>
      <c r="Z107" s="504"/>
      <c r="AA107" s="504"/>
      <c r="AB107" s="504"/>
      <c r="AC107" s="504"/>
      <c r="AD107" s="504"/>
      <c r="AE107" s="504"/>
      <c r="AF107" s="504"/>
      <c r="AG107" s="504"/>
      <c r="AH107" s="504"/>
      <c r="AI107" s="504"/>
      <c r="AJ107" s="504"/>
      <c r="AK107" s="504"/>
      <c r="AL107" s="504"/>
      <c r="AM107" s="504"/>
      <c r="AN107" s="504"/>
      <c r="AO107" s="504"/>
      <c r="AP107" s="504"/>
      <c r="AQ107" s="1277"/>
      <c r="AR107" s="1277"/>
      <c r="AS107" s="2252" t="str">
        <f>IF(C107,"Yes","No")</f>
        <v>No</v>
      </c>
      <c r="AT107" s="1277"/>
      <c r="AU107" s="1277"/>
    </row>
    <row r="108" spans="1:47" ht="15" customHeight="1">
      <c r="A108" s="1277"/>
      <c r="B108" s="504"/>
      <c r="C108" s="10971" t="b">
        <f>OR(F109&lt;&gt;"",F110&lt;&gt;"",F111&lt;&gt;"",F112&lt;&gt;"")</f>
        <v>0</v>
      </c>
      <c r="D108" s="10971"/>
      <c r="E108" s="10971"/>
      <c r="F108" s="504"/>
      <c r="G108" s="2254" t="s">
        <v>157</v>
      </c>
      <c r="H108" s="504" t="s">
        <v>4070</v>
      </c>
      <c r="I108" s="504"/>
      <c r="J108" s="504"/>
      <c r="K108" s="504"/>
      <c r="L108" s="504"/>
      <c r="M108" s="504"/>
      <c r="N108" s="504"/>
      <c r="O108" s="504"/>
      <c r="P108" s="504"/>
      <c r="Q108" s="504"/>
      <c r="R108" s="504"/>
      <c r="S108" s="504"/>
      <c r="T108" s="504"/>
      <c r="U108" s="504"/>
      <c r="V108" s="504"/>
      <c r="W108" s="504"/>
      <c r="X108" s="504"/>
      <c r="Y108" s="504"/>
      <c r="Z108" s="504"/>
      <c r="AA108" s="504"/>
      <c r="AB108" s="504"/>
      <c r="AC108" s="504"/>
      <c r="AD108" s="504"/>
      <c r="AE108" s="504"/>
      <c r="AF108" s="504"/>
      <c r="AG108" s="504"/>
      <c r="AH108" s="504"/>
      <c r="AI108" s="504"/>
      <c r="AJ108" s="504"/>
      <c r="AK108" s="504"/>
      <c r="AL108" s="504"/>
      <c r="AM108" s="504"/>
      <c r="AN108" s="504"/>
      <c r="AO108" s="504"/>
      <c r="AP108" s="504"/>
      <c r="AQ108" s="1277"/>
      <c r="AR108" s="2255" t="s">
        <v>4071</v>
      </c>
      <c r="AS108" s="2256" t="str">
        <f>IF(C108,"Yes","No")</f>
        <v>No</v>
      </c>
      <c r="AT108" s="1277"/>
      <c r="AU108" s="1277"/>
    </row>
    <row r="109" spans="1:47" ht="12" customHeight="1">
      <c r="A109" s="1277"/>
      <c r="B109" s="504"/>
      <c r="C109" s="2250"/>
      <c r="D109" s="2012"/>
      <c r="E109" s="2012"/>
      <c r="F109" s="278"/>
      <c r="G109" s="2254"/>
      <c r="H109" s="504" t="s">
        <v>1214</v>
      </c>
      <c r="I109" s="504" t="s">
        <v>4072</v>
      </c>
      <c r="J109" s="504"/>
      <c r="K109" s="504"/>
      <c r="L109" s="504"/>
      <c r="M109" s="504"/>
      <c r="N109" s="504"/>
      <c r="O109" s="504"/>
      <c r="P109" s="504"/>
      <c r="Q109" s="504"/>
      <c r="R109" s="504"/>
      <c r="S109" s="504"/>
      <c r="T109" s="504"/>
      <c r="U109" s="504"/>
      <c r="V109" s="504"/>
      <c r="W109" s="504"/>
      <c r="X109" s="504"/>
      <c r="Y109" s="504"/>
      <c r="Z109" s="504"/>
      <c r="AA109" s="504"/>
      <c r="AB109" s="504"/>
      <c r="AC109" s="504"/>
      <c r="AD109" s="504"/>
      <c r="AE109" s="504"/>
      <c r="AF109" s="504"/>
      <c r="AG109" s="504"/>
      <c r="AH109" s="504"/>
      <c r="AI109" s="504"/>
      <c r="AJ109" s="504"/>
      <c r="AK109" s="504"/>
      <c r="AL109" s="504"/>
      <c r="AM109" s="504"/>
      <c r="AN109" s="504"/>
      <c r="AO109" s="504"/>
      <c r="AP109" s="504"/>
      <c r="AQ109" s="1277"/>
      <c r="AR109" s="1277"/>
      <c r="AS109" s="1277"/>
      <c r="AT109" s="1277"/>
      <c r="AU109" s="1277"/>
    </row>
    <row r="110" spans="1:47" ht="12" customHeight="1">
      <c r="A110" s="1277"/>
      <c r="B110" s="504"/>
      <c r="C110" s="2250"/>
      <c r="D110" s="2012"/>
      <c r="E110" s="2012"/>
      <c r="F110" s="278"/>
      <c r="G110" s="2257"/>
      <c r="H110" s="2258" t="s">
        <v>1181</v>
      </c>
      <c r="I110" s="504" t="s">
        <v>4073</v>
      </c>
      <c r="J110" s="504"/>
      <c r="K110" s="504"/>
      <c r="L110" s="504"/>
      <c r="M110" s="504"/>
      <c r="N110" s="504"/>
      <c r="O110" s="504"/>
      <c r="P110" s="504"/>
      <c r="Q110" s="504"/>
      <c r="R110" s="504"/>
      <c r="S110" s="504"/>
      <c r="T110" s="504"/>
      <c r="U110" s="504"/>
      <c r="V110" s="504"/>
      <c r="W110" s="504"/>
      <c r="X110" s="504"/>
      <c r="Y110" s="504"/>
      <c r="Z110" s="504"/>
      <c r="AA110" s="504"/>
      <c r="AB110" s="504"/>
      <c r="AC110" s="504"/>
      <c r="AD110" s="504"/>
      <c r="AE110" s="504"/>
      <c r="AF110" s="504"/>
      <c r="AG110" s="504"/>
      <c r="AH110" s="504"/>
      <c r="AI110" s="504"/>
      <c r="AJ110" s="504"/>
      <c r="AK110" s="504"/>
      <c r="AL110" s="504"/>
      <c r="AM110" s="504"/>
      <c r="AN110" s="504"/>
      <c r="AO110" s="504"/>
      <c r="AP110" s="504"/>
      <c r="AQ110" s="1277"/>
      <c r="AR110" s="1277"/>
      <c r="AS110" s="1277"/>
      <c r="AT110" s="1277"/>
      <c r="AU110" s="1277"/>
    </row>
    <row r="111" spans="1:47" ht="12" customHeight="1">
      <c r="A111" s="1277"/>
      <c r="B111" s="504"/>
      <c r="C111" s="2250"/>
      <c r="D111" s="2012"/>
      <c r="E111" s="2012"/>
      <c r="F111" s="278"/>
      <c r="G111" s="2257"/>
      <c r="H111" s="504" t="s">
        <v>1196</v>
      </c>
      <c r="I111" s="504" t="s">
        <v>4074</v>
      </c>
      <c r="J111" s="504"/>
      <c r="K111" s="504"/>
      <c r="L111" s="504"/>
      <c r="M111" s="504"/>
      <c r="N111" s="504"/>
      <c r="O111" s="504"/>
      <c r="P111" s="504"/>
      <c r="Q111" s="504"/>
      <c r="R111" s="504"/>
      <c r="S111" s="504"/>
      <c r="T111" s="504"/>
      <c r="U111" s="504"/>
      <c r="V111" s="504"/>
      <c r="W111" s="504"/>
      <c r="X111" s="504"/>
      <c r="Y111" s="504"/>
      <c r="Z111" s="504"/>
      <c r="AA111" s="504"/>
      <c r="AB111" s="504"/>
      <c r="AC111" s="504"/>
      <c r="AD111" s="504"/>
      <c r="AE111" s="504"/>
      <c r="AF111" s="504"/>
      <c r="AG111" s="504"/>
      <c r="AH111" s="504"/>
      <c r="AI111" s="504"/>
      <c r="AJ111" s="504"/>
      <c r="AK111" s="504"/>
      <c r="AL111" s="504"/>
      <c r="AM111" s="504"/>
      <c r="AN111" s="504"/>
      <c r="AO111" s="504"/>
      <c r="AP111" s="504"/>
      <c r="AQ111" s="1277"/>
      <c r="AR111" s="1277"/>
      <c r="AS111" s="2259"/>
      <c r="AT111" s="2260" t="s">
        <v>4075</v>
      </c>
      <c r="AU111" s="2260"/>
    </row>
    <row r="112" spans="1:47" ht="12" customHeight="1">
      <c r="A112" s="1277"/>
      <c r="B112" s="504"/>
      <c r="C112" s="2250"/>
      <c r="D112" s="2012"/>
      <c r="E112" s="2012"/>
      <c r="F112" s="278"/>
      <c r="G112" s="504"/>
      <c r="H112" s="504" t="s">
        <v>1204</v>
      </c>
      <c r="I112" s="504" t="s">
        <v>4076</v>
      </c>
      <c r="J112" s="504"/>
      <c r="K112" s="504"/>
      <c r="L112" s="504"/>
      <c r="M112" s="504"/>
      <c r="N112" s="504"/>
      <c r="O112" s="504"/>
      <c r="P112" s="504"/>
      <c r="Q112" s="504"/>
      <c r="R112" s="504"/>
      <c r="S112" s="504"/>
      <c r="T112" s="504"/>
      <c r="U112" s="504"/>
      <c r="V112" s="504"/>
      <c r="W112" s="504"/>
      <c r="X112" s="504"/>
      <c r="Y112" s="504"/>
      <c r="Z112" s="504"/>
      <c r="AA112" s="504"/>
      <c r="AB112" s="504"/>
      <c r="AC112" s="504"/>
      <c r="AD112" s="504"/>
      <c r="AE112" s="504"/>
      <c r="AF112" s="504"/>
      <c r="AG112" s="504"/>
      <c r="AH112" s="504"/>
      <c r="AI112" s="504"/>
      <c r="AJ112" s="504"/>
      <c r="AK112" s="504"/>
      <c r="AL112" s="504"/>
      <c r="AM112" s="504"/>
      <c r="AN112" s="504"/>
      <c r="AO112" s="504"/>
      <c r="AP112" s="504"/>
      <c r="AQ112" s="1277"/>
      <c r="AR112" s="1277"/>
      <c r="AS112" s="1277"/>
      <c r="AT112" s="1277"/>
      <c r="AU112" s="1277"/>
    </row>
    <row r="113" spans="1:47" ht="15" customHeight="1">
      <c r="A113" s="1277"/>
      <c r="B113" s="504"/>
      <c r="C113" s="10971" t="b">
        <f>NOT(Form2555_Used)</f>
        <v>1</v>
      </c>
      <c r="D113" s="10971"/>
      <c r="E113" s="10971"/>
      <c r="F113" s="504"/>
      <c r="G113" s="2258" t="s">
        <v>161</v>
      </c>
      <c r="H113" s="504" t="s">
        <v>4077</v>
      </c>
      <c r="I113" s="504"/>
      <c r="J113" s="504"/>
      <c r="K113" s="504"/>
      <c r="L113" s="504"/>
      <c r="M113" s="504"/>
      <c r="N113" s="504"/>
      <c r="O113" s="504"/>
      <c r="P113" s="504"/>
      <c r="Q113" s="504"/>
      <c r="R113" s="504"/>
      <c r="S113" s="504"/>
      <c r="T113" s="504"/>
      <c r="U113" s="504"/>
      <c r="V113" s="504"/>
      <c r="W113" s="504"/>
      <c r="X113" s="504"/>
      <c r="Y113" s="504"/>
      <c r="Z113" s="504"/>
      <c r="AA113" s="504"/>
      <c r="AB113" s="504"/>
      <c r="AC113" s="504"/>
      <c r="AD113" s="504"/>
      <c r="AE113" s="504"/>
      <c r="AF113" s="504"/>
      <c r="AG113" s="504"/>
      <c r="AH113" s="504"/>
      <c r="AI113" s="504"/>
      <c r="AJ113" s="504"/>
      <c r="AK113" s="504"/>
      <c r="AL113" s="504"/>
      <c r="AM113" s="504"/>
      <c r="AN113" s="504"/>
      <c r="AO113" s="504"/>
      <c r="AP113" s="504"/>
      <c r="AQ113" s="1277"/>
      <c r="AR113" s="2255" t="s">
        <v>4078</v>
      </c>
      <c r="AS113" s="2256" t="str">
        <f>IF(C113,"Yes","No")</f>
        <v>Yes</v>
      </c>
      <c r="AT113" s="1277"/>
      <c r="AU113" s="1277"/>
    </row>
    <row r="114" spans="1:47" ht="15" customHeight="1">
      <c r="A114" s="1277"/>
      <c r="B114" s="504"/>
      <c r="C114" s="10971" t="b">
        <f>(Qual_Childen_Under_17&gt;0)</f>
        <v>0</v>
      </c>
      <c r="D114" s="10971"/>
      <c r="E114" s="10971"/>
      <c r="F114" s="504"/>
      <c r="G114" s="2258" t="s">
        <v>167</v>
      </c>
      <c r="H114" s="504" t="s">
        <v>4079</v>
      </c>
      <c r="I114" s="504"/>
      <c r="J114" s="504"/>
      <c r="K114" s="504"/>
      <c r="L114" s="504"/>
      <c r="M114" s="504"/>
      <c r="N114" s="504"/>
      <c r="O114" s="504"/>
      <c r="P114" s="504"/>
      <c r="Q114" s="504"/>
      <c r="R114" s="504"/>
      <c r="S114" s="504"/>
      <c r="T114" s="504"/>
      <c r="U114" s="504"/>
      <c r="V114" s="504"/>
      <c r="W114" s="504"/>
      <c r="X114" s="504"/>
      <c r="Y114" s="504"/>
      <c r="Z114" s="504"/>
      <c r="AA114" s="504"/>
      <c r="AB114" s="504"/>
      <c r="AC114" s="504"/>
      <c r="AD114" s="504"/>
      <c r="AE114" s="504"/>
      <c r="AF114" s="504"/>
      <c r="AG114" s="504"/>
      <c r="AH114" s="504"/>
      <c r="AI114" s="504"/>
      <c r="AJ114" s="504"/>
      <c r="AK114" s="504"/>
      <c r="AL114" s="504"/>
      <c r="AM114" s="504"/>
      <c r="AN114" s="504"/>
      <c r="AO114" s="504"/>
      <c r="AP114" s="504"/>
      <c r="AQ114" s="1277"/>
      <c r="AR114" s="2255" t="s">
        <v>4080</v>
      </c>
      <c r="AS114" s="2256" t="str">
        <f>IF(C114,"Yes","No")</f>
        <v>No</v>
      </c>
      <c r="AT114" s="1277"/>
      <c r="AU114" s="1277"/>
    </row>
    <row r="115" spans="1:47" ht="6.75" customHeight="1">
      <c r="A115" s="1277"/>
      <c r="B115" s="504"/>
      <c r="C115" s="2253"/>
      <c r="D115" s="2253"/>
      <c r="E115" s="2253"/>
      <c r="F115" s="504"/>
      <c r="G115" s="2258"/>
      <c r="H115" s="504"/>
      <c r="I115" s="504"/>
      <c r="J115" s="504"/>
      <c r="K115" s="504"/>
      <c r="L115" s="504"/>
      <c r="M115" s="504"/>
      <c r="N115" s="504"/>
      <c r="O115" s="504"/>
      <c r="P115" s="504"/>
      <c r="Q115" s="504"/>
      <c r="R115" s="504"/>
      <c r="S115" s="504"/>
      <c r="T115" s="504"/>
      <c r="U115" s="504"/>
      <c r="V115" s="504"/>
      <c r="W115" s="504"/>
      <c r="X115" s="504"/>
      <c r="Y115" s="504"/>
      <c r="Z115" s="504"/>
      <c r="AA115" s="504"/>
      <c r="AB115" s="504"/>
      <c r="AC115" s="504"/>
      <c r="AD115" s="504"/>
      <c r="AE115" s="504"/>
      <c r="AF115" s="504"/>
      <c r="AG115" s="504"/>
      <c r="AH115" s="504"/>
      <c r="AI115" s="504"/>
      <c r="AJ115" s="504"/>
      <c r="AK115" s="504"/>
      <c r="AL115" s="504"/>
      <c r="AM115" s="504"/>
      <c r="AN115" s="504"/>
      <c r="AO115" s="504"/>
      <c r="AP115" s="504"/>
      <c r="AQ115" s="1277"/>
      <c r="AR115" s="2255"/>
      <c r="AS115" s="2256"/>
      <c r="AT115" s="1277"/>
      <c r="AU115" s="1277"/>
    </row>
    <row r="116" spans="1:47" ht="16.5" customHeight="1">
      <c r="A116" s="1277"/>
      <c r="B116" s="504"/>
      <c r="C116" s="2253"/>
      <c r="D116" s="2253"/>
      <c r="E116" s="2253"/>
      <c r="F116" s="1400" t="s">
        <v>171</v>
      </c>
      <c r="G116" s="504" t="s">
        <v>6001</v>
      </c>
      <c r="H116" s="504"/>
      <c r="I116" s="504"/>
      <c r="J116" s="504"/>
      <c r="K116" s="504"/>
      <c r="L116" s="504"/>
      <c r="M116" s="504"/>
      <c r="N116" s="504"/>
      <c r="O116" s="504"/>
      <c r="P116" s="504"/>
      <c r="Q116" s="504"/>
      <c r="R116" s="504"/>
      <c r="S116" s="504"/>
      <c r="T116" s="504"/>
      <c r="U116" s="504"/>
      <c r="V116" s="504"/>
      <c r="W116" s="504"/>
      <c r="X116" s="504"/>
      <c r="Y116" s="504"/>
      <c r="Z116" s="504"/>
      <c r="AA116" s="504"/>
      <c r="AB116" s="504"/>
      <c r="AC116" s="504"/>
      <c r="AD116" s="504"/>
      <c r="AE116" s="504"/>
      <c r="AF116" s="504"/>
      <c r="AG116" s="504"/>
      <c r="AH116" s="504"/>
      <c r="AI116" s="504"/>
      <c r="AJ116" s="10946" t="s">
        <v>171</v>
      </c>
      <c r="AK116" s="11065">
        <f>IF(NOT(C107),0,CredLimitWS_Line15)</f>
        <v>0</v>
      </c>
      <c r="AL116" s="11065"/>
      <c r="AM116" s="11065"/>
      <c r="AN116" s="11065"/>
      <c r="AO116" s="11066"/>
      <c r="AP116" s="504"/>
      <c r="AQ116" s="1277"/>
      <c r="AR116" s="2255"/>
      <c r="AS116" s="2256"/>
      <c r="AT116" s="1277"/>
      <c r="AU116" s="1277"/>
    </row>
    <row r="117" spans="1:47" ht="16.5" customHeight="1">
      <c r="A117" s="1277"/>
      <c r="B117" s="504"/>
      <c r="C117" s="2253"/>
      <c r="D117" s="2253"/>
      <c r="E117" s="2253"/>
      <c r="F117" s="504"/>
      <c r="G117" s="2261" t="s">
        <v>6002</v>
      </c>
      <c r="H117" s="504"/>
      <c r="I117" s="504"/>
      <c r="J117" s="504"/>
      <c r="K117" s="504"/>
      <c r="L117" s="504"/>
      <c r="M117" s="504"/>
      <c r="N117" s="504"/>
      <c r="O117" s="504"/>
      <c r="P117" s="504"/>
      <c r="Q117" s="504"/>
      <c r="R117" s="504"/>
      <c r="S117" s="504"/>
      <c r="T117" s="504"/>
      <c r="U117" s="504"/>
      <c r="V117" s="504"/>
      <c r="W117" s="504"/>
      <c r="X117" s="504"/>
      <c r="Y117" s="504"/>
      <c r="Z117" s="504"/>
      <c r="AA117" s="504"/>
      <c r="AB117" s="504"/>
      <c r="AC117" s="504"/>
      <c r="AD117" s="504"/>
      <c r="AE117" s="504"/>
      <c r="AF117" s="504"/>
      <c r="AG117" s="504"/>
      <c r="AH117" s="504"/>
      <c r="AI117" s="6143" t="s">
        <v>6003</v>
      </c>
      <c r="AJ117" s="10946"/>
      <c r="AK117" s="8207"/>
      <c r="AL117" s="8207"/>
      <c r="AM117" s="8207"/>
      <c r="AN117" s="8207"/>
      <c r="AO117" s="11067"/>
      <c r="AP117" s="504"/>
      <c r="AQ117" s="1277"/>
      <c r="AR117" s="2255"/>
      <c r="AS117" s="2256"/>
      <c r="AT117" s="1277"/>
      <c r="AU117" s="1277"/>
    </row>
    <row r="118" spans="1:47" ht="15" customHeight="1">
      <c r="A118" s="1277"/>
      <c r="B118" s="504"/>
      <c r="C118" s="2253"/>
      <c r="D118" s="2253"/>
      <c r="E118" s="2253"/>
      <c r="F118" s="504"/>
      <c r="G118" s="2258"/>
      <c r="H118" s="504"/>
      <c r="I118" s="504"/>
      <c r="J118" s="504"/>
      <c r="K118" s="504"/>
      <c r="L118" s="504"/>
      <c r="M118" s="504"/>
      <c r="N118" s="504"/>
      <c r="O118" s="504"/>
      <c r="P118" s="504"/>
      <c r="Q118" s="504"/>
      <c r="R118" s="504"/>
      <c r="S118" s="504"/>
      <c r="T118" s="504"/>
      <c r="U118" s="504"/>
      <c r="V118" s="504"/>
      <c r="W118" s="504"/>
      <c r="X118" s="504"/>
      <c r="Y118" s="504"/>
      <c r="Z118" s="504"/>
      <c r="AA118" s="504"/>
      <c r="AB118" s="504"/>
      <c r="AC118" s="504"/>
      <c r="AD118" s="504"/>
      <c r="AE118" s="504"/>
      <c r="AF118" s="504"/>
      <c r="AG118" s="504"/>
      <c r="AH118" s="504"/>
      <c r="AI118" s="504"/>
      <c r="AJ118" s="504"/>
      <c r="AK118" s="504"/>
      <c r="AL118" s="504"/>
      <c r="AM118" s="504"/>
      <c r="AN118" s="504"/>
      <c r="AO118" s="504"/>
      <c r="AP118" s="504"/>
      <c r="AQ118" s="1277"/>
      <c r="AR118" s="2255"/>
      <c r="AS118" s="2256"/>
      <c r="AT118" s="1277"/>
      <c r="AU118" s="1277"/>
    </row>
    <row r="119" spans="1:47" ht="15" customHeight="1">
      <c r="A119" s="1277"/>
      <c r="B119" s="504"/>
      <c r="C119" s="2253"/>
      <c r="D119" s="2253"/>
      <c r="E119" s="2253"/>
      <c r="F119" s="1400" t="s">
        <v>184</v>
      </c>
      <c r="G119" s="504" t="s">
        <v>4081</v>
      </c>
      <c r="H119" s="504"/>
      <c r="I119" s="504"/>
      <c r="J119" s="504"/>
      <c r="K119" s="504"/>
      <c r="L119" s="504"/>
      <c r="M119" s="504"/>
      <c r="N119" s="504"/>
      <c r="O119" s="504"/>
      <c r="P119" s="504"/>
      <c r="Q119" s="504"/>
      <c r="R119" s="504"/>
      <c r="S119" s="504"/>
      <c r="T119" s="504"/>
      <c r="U119" s="504"/>
      <c r="V119" s="504"/>
      <c r="W119" s="504"/>
      <c r="X119" s="504"/>
      <c r="Y119" s="504"/>
      <c r="Z119" s="504"/>
      <c r="AA119" s="504"/>
      <c r="AB119" s="504"/>
      <c r="AC119" s="504"/>
      <c r="AD119" s="504"/>
      <c r="AE119" s="504"/>
      <c r="AF119" s="504"/>
      <c r="AG119" s="504"/>
      <c r="AH119" s="504"/>
      <c r="AI119" s="1989" t="s">
        <v>2473</v>
      </c>
      <c r="AJ119" s="10946" t="s">
        <v>184</v>
      </c>
      <c r="AK119" s="11065">
        <f>SUM(AK106,-AK116)</f>
        <v>0</v>
      </c>
      <c r="AL119" s="11065"/>
      <c r="AM119" s="11065"/>
      <c r="AN119" s="11065"/>
      <c r="AO119" s="11066"/>
      <c r="AP119" s="504"/>
      <c r="AQ119" s="1277"/>
      <c r="AR119" s="2255"/>
      <c r="AS119" s="2256"/>
      <c r="AT119" s="1277"/>
      <c r="AU119" s="1277"/>
    </row>
    <row r="120" spans="1:47" ht="15" customHeight="1">
      <c r="A120" s="1277"/>
      <c r="B120" s="504"/>
      <c r="C120" s="2253"/>
      <c r="D120" s="2253"/>
      <c r="E120" s="2253"/>
      <c r="F120" s="504"/>
      <c r="G120" s="2258"/>
      <c r="H120" s="504"/>
      <c r="I120" s="504"/>
      <c r="J120" s="504"/>
      <c r="K120" s="504"/>
      <c r="L120" s="504"/>
      <c r="M120" s="504"/>
      <c r="N120" s="504"/>
      <c r="O120" s="504"/>
      <c r="P120" s="504"/>
      <c r="Q120" s="504"/>
      <c r="R120" s="504"/>
      <c r="S120" s="504"/>
      <c r="T120" s="504"/>
      <c r="U120" s="504"/>
      <c r="V120" s="504"/>
      <c r="W120" s="504"/>
      <c r="X120" s="504"/>
      <c r="Y120" s="504"/>
      <c r="Z120" s="504"/>
      <c r="AA120" s="504"/>
      <c r="AB120" s="504"/>
      <c r="AC120" s="504"/>
      <c r="AD120" s="504"/>
      <c r="AE120" s="504"/>
      <c r="AF120" s="504"/>
      <c r="AG120" s="504"/>
      <c r="AH120" s="504"/>
      <c r="AI120" s="504"/>
      <c r="AJ120" s="10946"/>
      <c r="AK120" s="8207"/>
      <c r="AL120" s="8207"/>
      <c r="AM120" s="8207"/>
      <c r="AN120" s="8207"/>
      <c r="AO120" s="11067"/>
      <c r="AP120" s="504"/>
      <c r="AQ120" s="1277"/>
      <c r="AR120" s="2255"/>
      <c r="AS120" s="2256"/>
      <c r="AT120" s="1277"/>
      <c r="AU120" s="1277"/>
    </row>
    <row r="121" spans="1:47" ht="12" customHeight="1" thickBot="1">
      <c r="A121" s="1277"/>
      <c r="B121" s="504"/>
      <c r="C121" s="2262"/>
      <c r="D121" s="2247"/>
      <c r="E121" s="2247"/>
      <c r="F121" s="2247"/>
      <c r="G121" s="2247"/>
      <c r="H121" s="2247"/>
      <c r="I121" s="2247"/>
      <c r="J121" s="2247"/>
      <c r="K121" s="2247"/>
      <c r="L121" s="2247"/>
      <c r="M121" s="2247"/>
      <c r="N121" s="2247"/>
      <c r="O121" s="2247"/>
      <c r="P121" s="2247"/>
      <c r="Q121" s="2247"/>
      <c r="R121" s="2247"/>
      <c r="S121" s="2247"/>
      <c r="T121" s="2247"/>
      <c r="U121" s="2247"/>
      <c r="V121" s="2247"/>
      <c r="W121" s="2247"/>
      <c r="X121" s="2247"/>
      <c r="Y121" s="2247"/>
      <c r="Z121" s="2247"/>
      <c r="AA121" s="2247"/>
      <c r="AB121" s="2247"/>
      <c r="AC121" s="2247"/>
      <c r="AD121" s="2247"/>
      <c r="AE121" s="2247"/>
      <c r="AF121" s="2247"/>
      <c r="AG121" s="2247"/>
      <c r="AH121" s="2247"/>
      <c r="AI121" s="2247"/>
      <c r="AJ121" s="2247"/>
      <c r="AK121" s="2247"/>
      <c r="AL121" s="2247"/>
      <c r="AM121" s="2247"/>
      <c r="AN121" s="2247"/>
      <c r="AO121" s="2247"/>
      <c r="AP121" s="504"/>
      <c r="AQ121" s="1277"/>
      <c r="AR121" s="1277"/>
      <c r="AS121" s="1277"/>
      <c r="AT121" s="1277"/>
      <c r="AU121" s="1277"/>
    </row>
    <row r="122" spans="1:47" ht="6.75" customHeight="1" thickTop="1">
      <c r="A122" s="1277"/>
      <c r="B122" s="504"/>
      <c r="C122" s="2263"/>
      <c r="D122" s="2263"/>
      <c r="E122" s="2263"/>
      <c r="F122" s="2263"/>
      <c r="G122" s="2263"/>
      <c r="H122" s="2263"/>
      <c r="I122" s="2263"/>
      <c r="J122" s="2263"/>
      <c r="K122" s="2263"/>
      <c r="L122" s="2263"/>
      <c r="M122" s="2263"/>
      <c r="N122" s="2263"/>
      <c r="O122" s="2263"/>
      <c r="P122" s="2263"/>
      <c r="Q122" s="2263"/>
      <c r="R122" s="2263"/>
      <c r="S122" s="2263"/>
      <c r="T122" s="2263"/>
      <c r="U122" s="2263"/>
      <c r="V122" s="2263"/>
      <c r="W122" s="2263"/>
      <c r="X122" s="2263"/>
      <c r="Y122" s="2263"/>
      <c r="Z122" s="2263"/>
      <c r="AA122" s="2263"/>
      <c r="AB122" s="2263"/>
      <c r="AC122" s="2263"/>
      <c r="AD122" s="2263"/>
      <c r="AE122" s="2263"/>
      <c r="AF122" s="2263"/>
      <c r="AG122" s="2263"/>
      <c r="AH122" s="2263"/>
      <c r="AI122" s="2263"/>
      <c r="AJ122" s="2263"/>
      <c r="AK122" s="2263"/>
      <c r="AL122" s="2263"/>
      <c r="AM122" s="2263"/>
      <c r="AN122" s="2263"/>
      <c r="AO122" s="2263"/>
      <c r="AP122" s="504"/>
      <c r="AQ122" s="1277"/>
      <c r="AR122" s="1277"/>
      <c r="AS122" s="1277"/>
      <c r="AT122" s="1277"/>
      <c r="AU122" s="1277"/>
    </row>
    <row r="123" spans="1:47" ht="14.25" customHeight="1">
      <c r="A123" s="1277"/>
      <c r="B123" s="504"/>
      <c r="C123" s="504"/>
      <c r="D123" s="50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c r="AA123" s="504"/>
      <c r="AB123" s="504"/>
      <c r="AC123" s="504"/>
      <c r="AD123" s="504"/>
      <c r="AE123" s="504"/>
      <c r="AF123" s="504"/>
      <c r="AG123" s="504"/>
      <c r="AH123" s="504"/>
      <c r="AI123" s="504"/>
      <c r="AJ123" s="504"/>
      <c r="AK123" s="504"/>
      <c r="AL123" s="504"/>
      <c r="AM123" s="504"/>
      <c r="AN123" s="504"/>
      <c r="AO123" s="504"/>
      <c r="AP123" s="504"/>
      <c r="AQ123" s="1277"/>
      <c r="AR123" s="1277"/>
      <c r="AS123" s="1277"/>
      <c r="AT123" s="1277"/>
      <c r="AU123" s="1277"/>
    </row>
    <row r="124" spans="1:47" ht="12" customHeight="1">
      <c r="A124" s="1277"/>
      <c r="B124" s="504"/>
      <c r="C124" s="504"/>
      <c r="D124" s="504"/>
      <c r="E124" s="504"/>
      <c r="F124" s="504"/>
      <c r="G124" s="504"/>
      <c r="H124" s="504"/>
      <c r="I124" s="504"/>
      <c r="J124" s="504"/>
      <c r="K124" s="504"/>
      <c r="L124" s="504"/>
      <c r="M124" s="504"/>
      <c r="N124" s="504"/>
      <c r="O124" s="504"/>
      <c r="P124" s="504"/>
      <c r="Q124" s="504"/>
      <c r="R124" s="504"/>
      <c r="S124" s="504"/>
      <c r="T124" s="504"/>
      <c r="U124" s="504"/>
      <c r="V124" s="2264" t="s">
        <v>4082</v>
      </c>
      <c r="W124" s="504"/>
      <c r="X124" s="504"/>
      <c r="Y124" s="504"/>
      <c r="Z124" s="504"/>
      <c r="AA124" s="504"/>
      <c r="AB124" s="504"/>
      <c r="AC124" s="504"/>
      <c r="AD124" s="504"/>
      <c r="AE124" s="504"/>
      <c r="AF124" s="504"/>
      <c r="AG124" s="504"/>
      <c r="AH124" s="504"/>
      <c r="AI124" s="504"/>
      <c r="AJ124" s="504"/>
      <c r="AK124" s="504"/>
      <c r="AL124" s="6144"/>
      <c r="AM124" s="504"/>
      <c r="AN124" s="504"/>
      <c r="AO124" s="504"/>
      <c r="AP124" s="504"/>
      <c r="AQ124" s="1277"/>
      <c r="AR124" s="1277"/>
      <c r="AS124" s="1277"/>
      <c r="AT124" s="1277"/>
      <c r="AU124" s="1277"/>
    </row>
    <row r="125" spans="1:47" ht="21.75" customHeight="1" thickBot="1">
      <c r="A125" s="1277"/>
      <c r="B125" s="504"/>
      <c r="C125" s="2265" t="s">
        <v>4083</v>
      </c>
      <c r="D125" s="2266"/>
      <c r="E125" s="2266"/>
      <c r="F125" s="2266"/>
      <c r="G125" s="2266"/>
      <c r="H125" s="2266"/>
      <c r="I125" s="2266"/>
      <c r="J125" s="2266"/>
      <c r="K125" s="2266"/>
      <c r="L125" s="2266"/>
      <c r="M125" s="2266"/>
      <c r="N125" s="2266"/>
      <c r="O125" s="2266"/>
      <c r="P125" s="2266"/>
      <c r="Q125" s="2266"/>
      <c r="R125" s="2266"/>
      <c r="S125" s="2266"/>
      <c r="T125" s="2266"/>
      <c r="U125" s="2266"/>
      <c r="V125" s="2266"/>
      <c r="W125" s="2266"/>
      <c r="X125" s="2266"/>
      <c r="Y125" s="2266"/>
      <c r="Z125" s="2266"/>
      <c r="AA125" s="2266"/>
      <c r="AB125" s="2266"/>
      <c r="AC125" s="2266"/>
      <c r="AD125" s="2266"/>
      <c r="AE125" s="2266"/>
      <c r="AF125" s="2266"/>
      <c r="AG125" s="2266"/>
      <c r="AH125" s="2266"/>
      <c r="AI125" s="2266"/>
      <c r="AJ125" s="2266"/>
      <c r="AK125" s="2266"/>
      <c r="AL125" s="6145" t="s">
        <v>926</v>
      </c>
      <c r="AM125" s="2266"/>
      <c r="AN125" s="2266"/>
      <c r="AO125" s="2266"/>
      <c r="AP125" s="504"/>
      <c r="AQ125" s="1277"/>
      <c r="AR125" s="1277"/>
      <c r="AS125" s="1277"/>
      <c r="AT125" s="1277"/>
      <c r="AU125" s="1277"/>
    </row>
    <row r="126" spans="1:47" ht="12" customHeight="1">
      <c r="A126" s="1277"/>
      <c r="B126" s="504"/>
      <c r="C126" s="2267"/>
      <c r="D126" s="2267"/>
      <c r="E126" s="2267"/>
      <c r="F126" s="2267"/>
      <c r="G126" s="2267"/>
      <c r="H126" s="2267"/>
      <c r="I126" s="2267"/>
      <c r="J126" s="2267"/>
      <c r="K126" s="2267"/>
      <c r="L126" s="2267"/>
      <c r="M126" s="2267"/>
      <c r="N126" s="2267"/>
      <c r="O126" s="2267"/>
      <c r="P126" s="2267"/>
      <c r="Q126" s="2267"/>
      <c r="R126" s="2267"/>
      <c r="S126" s="2267"/>
      <c r="T126" s="2267"/>
      <c r="U126" s="2267"/>
      <c r="V126" s="2267"/>
      <c r="W126" s="2267"/>
      <c r="X126" s="2267"/>
      <c r="Y126" s="2267"/>
      <c r="Z126" s="2267"/>
      <c r="AA126" s="2267"/>
      <c r="AB126" s="2267"/>
      <c r="AC126" s="2267"/>
      <c r="AD126" s="2267"/>
      <c r="AE126" s="2267"/>
      <c r="AF126" s="2267"/>
      <c r="AG126" s="2267"/>
      <c r="AH126" s="2267"/>
      <c r="AI126" s="2267"/>
      <c r="AJ126" s="2267"/>
      <c r="AK126" s="2267"/>
      <c r="AL126" s="2267"/>
      <c r="AM126" s="2267"/>
      <c r="AN126" s="2267"/>
      <c r="AO126" s="2267"/>
      <c r="AP126" s="504"/>
      <c r="AQ126" s="1277"/>
      <c r="AR126" s="1277"/>
      <c r="AS126" s="1277"/>
      <c r="AT126" s="1277"/>
      <c r="AU126" s="1277"/>
    </row>
    <row r="127" spans="1:47" ht="6" customHeight="1">
      <c r="A127" s="1277"/>
      <c r="B127" s="504"/>
      <c r="C127" s="504"/>
      <c r="D127" s="50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c r="AA127" s="504"/>
      <c r="AB127" s="504"/>
      <c r="AC127" s="504"/>
      <c r="AD127" s="504"/>
      <c r="AE127" s="504"/>
      <c r="AF127" s="504"/>
      <c r="AG127" s="504"/>
      <c r="AH127" s="504"/>
      <c r="AI127" s="504"/>
      <c r="AJ127" s="504"/>
      <c r="AK127" s="504"/>
      <c r="AL127" s="504"/>
      <c r="AM127" s="504"/>
      <c r="AN127" s="504"/>
      <c r="AO127" s="504"/>
      <c r="AP127" s="504"/>
      <c r="AQ127" s="1277"/>
      <c r="AR127" s="1277"/>
      <c r="AS127" s="1277"/>
      <c r="AT127" s="1277"/>
      <c r="AU127" s="1277"/>
    </row>
    <row r="128" spans="1:47" ht="12.75" customHeight="1">
      <c r="A128" s="1277"/>
      <c r="B128" s="504"/>
      <c r="C128" s="514" t="s">
        <v>927</v>
      </c>
      <c r="D128" s="504"/>
      <c r="E128" s="504"/>
      <c r="F128" s="504"/>
      <c r="G128" s="504"/>
      <c r="H128" s="504"/>
      <c r="I128" s="504"/>
      <c r="J128" s="504"/>
      <c r="K128" s="2268" t="s">
        <v>4084</v>
      </c>
      <c r="L128" s="504" t="s">
        <v>4085</v>
      </c>
      <c r="M128" s="504"/>
      <c r="N128" s="504"/>
      <c r="O128" s="504"/>
      <c r="P128" s="504"/>
      <c r="Q128" s="504"/>
      <c r="R128" s="504"/>
      <c r="S128" s="504"/>
      <c r="T128" s="504"/>
      <c r="U128" s="504"/>
      <c r="V128" s="504"/>
      <c r="W128" s="504"/>
      <c r="X128" s="504"/>
      <c r="Y128" s="504"/>
      <c r="Z128" s="504"/>
      <c r="AA128" s="504"/>
      <c r="AB128" s="504"/>
      <c r="AC128" s="504"/>
      <c r="AD128" s="504"/>
      <c r="AE128" s="504"/>
      <c r="AF128" s="504"/>
      <c r="AG128" s="504"/>
      <c r="AH128" s="504"/>
      <c r="AI128" s="504"/>
      <c r="AJ128" s="504"/>
      <c r="AK128" s="504"/>
      <c r="AL128" s="504"/>
      <c r="AM128" s="504"/>
      <c r="AN128" s="504"/>
      <c r="AO128" s="504"/>
      <c r="AP128" s="504"/>
      <c r="AQ128" s="1277"/>
      <c r="AR128" s="1277"/>
      <c r="AS128" s="1277"/>
      <c r="AT128" s="1277"/>
      <c r="AU128" s="1277"/>
    </row>
    <row r="129" spans="1:47" ht="12.75" customHeight="1">
      <c r="A129" s="1277"/>
      <c r="B129" s="504"/>
      <c r="C129" s="504"/>
      <c r="D129" s="50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c r="AA129" s="504"/>
      <c r="AB129" s="504"/>
      <c r="AC129" s="504"/>
      <c r="AD129" s="504"/>
      <c r="AE129" s="504"/>
      <c r="AF129" s="504"/>
      <c r="AG129" s="504"/>
      <c r="AH129" s="504"/>
      <c r="AI129" s="504"/>
      <c r="AJ129" s="504"/>
      <c r="AK129" s="504"/>
      <c r="AL129" s="504"/>
      <c r="AM129" s="504"/>
      <c r="AN129" s="504"/>
      <c r="AO129" s="504"/>
      <c r="AP129" s="504"/>
      <c r="AQ129" s="1277"/>
      <c r="AR129" s="1277"/>
      <c r="AS129" s="1277"/>
      <c r="AT129" s="1277"/>
      <c r="AU129" s="1277"/>
    </row>
    <row r="130" spans="1:47" ht="12.75" customHeight="1">
      <c r="A130" s="1277"/>
      <c r="B130" s="504"/>
      <c r="C130" s="504"/>
      <c r="D130" s="504"/>
      <c r="E130" s="504"/>
      <c r="F130" s="504"/>
      <c r="G130" s="504"/>
      <c r="H130" s="504"/>
      <c r="I130" s="504"/>
      <c r="J130" s="504"/>
      <c r="K130" s="2268" t="s">
        <v>4084</v>
      </c>
      <c r="L130" s="504" t="s">
        <v>6191</v>
      </c>
      <c r="M130" s="504"/>
      <c r="N130" s="504"/>
      <c r="O130" s="504"/>
      <c r="P130" s="504"/>
      <c r="Q130" s="504"/>
      <c r="R130" s="504"/>
      <c r="S130" s="504"/>
      <c r="T130" s="504"/>
      <c r="U130" s="504"/>
      <c r="V130" s="504"/>
      <c r="W130" s="504"/>
      <c r="X130" s="504"/>
      <c r="Y130" s="504"/>
      <c r="Z130" s="504"/>
      <c r="AA130" s="504"/>
      <c r="AB130" s="504"/>
      <c r="AC130" s="504"/>
      <c r="AD130" s="504"/>
      <c r="AE130" s="504"/>
      <c r="AF130" s="504"/>
      <c r="AG130" s="504"/>
      <c r="AH130" s="504"/>
      <c r="AI130" s="504"/>
      <c r="AJ130" s="504"/>
      <c r="AK130" s="504"/>
      <c r="AL130" s="504"/>
      <c r="AM130" s="504"/>
      <c r="AN130" s="504"/>
      <c r="AO130" s="504"/>
      <c r="AP130" s="504"/>
      <c r="AQ130" s="1277"/>
      <c r="AR130" s="1277"/>
      <c r="AS130" s="1277"/>
      <c r="AT130" s="1277"/>
      <c r="AU130" s="1277"/>
    </row>
    <row r="131" spans="1:47">
      <c r="A131" s="1277"/>
      <c r="B131" s="504"/>
      <c r="C131" s="504"/>
      <c r="D131" s="504"/>
      <c r="E131" s="504"/>
      <c r="F131" s="504"/>
      <c r="G131" s="504"/>
      <c r="H131" s="504"/>
      <c r="I131" s="504"/>
      <c r="J131" s="504"/>
      <c r="K131" s="504"/>
      <c r="L131" s="504" t="s">
        <v>4086</v>
      </c>
      <c r="M131" s="504"/>
      <c r="N131" s="504"/>
      <c r="O131" s="504"/>
      <c r="P131" s="504"/>
      <c r="Q131" s="504"/>
      <c r="R131" s="504"/>
      <c r="S131" s="504"/>
      <c r="T131" s="504"/>
      <c r="U131" s="504"/>
      <c r="V131" s="504"/>
      <c r="W131" s="504"/>
      <c r="X131" s="504"/>
      <c r="Y131" s="504"/>
      <c r="Z131" s="504"/>
      <c r="AA131" s="504"/>
      <c r="AB131" s="504"/>
      <c r="AC131" s="504"/>
      <c r="AD131" s="504"/>
      <c r="AE131" s="504"/>
      <c r="AF131" s="504"/>
      <c r="AG131" s="504"/>
      <c r="AH131" s="504"/>
      <c r="AI131" s="504"/>
      <c r="AJ131" s="504"/>
      <c r="AK131" s="504"/>
      <c r="AL131" s="504"/>
      <c r="AM131" s="504"/>
      <c r="AN131" s="504"/>
      <c r="AO131" s="504"/>
      <c r="AP131" s="504"/>
      <c r="AQ131" s="1277"/>
      <c r="AR131" s="1277"/>
      <c r="AS131" s="1277"/>
      <c r="AT131" s="1277"/>
      <c r="AU131" s="1277"/>
    </row>
    <row r="132" spans="1:47">
      <c r="A132" s="1277"/>
      <c r="B132" s="504"/>
      <c r="C132" s="504"/>
      <c r="D132" s="50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c r="AA132" s="504"/>
      <c r="AB132" s="504"/>
      <c r="AC132" s="504"/>
      <c r="AD132" s="504"/>
      <c r="AE132" s="504"/>
      <c r="AF132" s="504"/>
      <c r="AG132" s="504"/>
      <c r="AH132" s="504"/>
      <c r="AI132" s="504"/>
      <c r="AJ132" s="504"/>
      <c r="AK132" s="504"/>
      <c r="AL132" s="504"/>
      <c r="AM132" s="504"/>
      <c r="AN132" s="504"/>
      <c r="AO132" s="504"/>
      <c r="AP132" s="504"/>
      <c r="AQ132" s="1277"/>
      <c r="AR132" s="1277"/>
      <c r="AS132" s="1277"/>
      <c r="AT132" s="1277"/>
      <c r="AU132" s="1277"/>
    </row>
    <row r="133" spans="1:47" ht="12.75" customHeight="1">
      <c r="A133" s="1277"/>
      <c r="B133" s="504"/>
      <c r="C133" s="504"/>
      <c r="D133" s="504"/>
      <c r="E133" s="504"/>
      <c r="F133" s="504"/>
      <c r="G133" s="504"/>
      <c r="H133" s="504"/>
      <c r="I133" s="504"/>
      <c r="J133" s="504"/>
      <c r="K133" s="2268" t="s">
        <v>4084</v>
      </c>
      <c r="L133" s="504" t="s">
        <v>4942</v>
      </c>
      <c r="M133" s="504"/>
      <c r="N133" s="504"/>
      <c r="O133" s="504"/>
      <c r="P133" s="504"/>
      <c r="Q133" s="504"/>
      <c r="R133" s="504"/>
      <c r="S133" s="504"/>
      <c r="T133" s="504"/>
      <c r="U133" s="504"/>
      <c r="V133" s="504"/>
      <c r="W133" s="504"/>
      <c r="X133" s="504"/>
      <c r="Y133" s="504"/>
      <c r="Z133" s="504"/>
      <c r="AA133" s="504"/>
      <c r="AB133" s="504"/>
      <c r="AC133" s="504"/>
      <c r="AD133" s="504"/>
      <c r="AE133" s="504"/>
      <c r="AF133" s="504"/>
      <c r="AG133" s="504"/>
      <c r="AH133" s="504"/>
      <c r="AI133" s="504"/>
      <c r="AJ133" s="504"/>
      <c r="AK133" s="504"/>
      <c r="AL133" s="504"/>
      <c r="AM133" s="504"/>
      <c r="AN133" s="504"/>
      <c r="AO133" s="504"/>
      <c r="AP133" s="504"/>
      <c r="AQ133" s="1277"/>
      <c r="AR133" s="1277"/>
      <c r="AS133" s="1277"/>
      <c r="AT133" s="1277"/>
      <c r="AU133" s="1277"/>
    </row>
    <row r="134" spans="1:47" ht="12.75" customHeight="1">
      <c r="A134" s="1277"/>
      <c r="B134" s="504"/>
      <c r="C134" s="504"/>
      <c r="D134" s="504"/>
      <c r="E134" s="504"/>
      <c r="F134" s="504"/>
      <c r="G134" s="504"/>
      <c r="H134" s="504"/>
      <c r="I134" s="504"/>
      <c r="J134" s="504"/>
      <c r="K134" s="504"/>
      <c r="L134" s="504" t="s">
        <v>4087</v>
      </c>
      <c r="M134" s="504"/>
      <c r="N134" s="504"/>
      <c r="O134" s="504"/>
      <c r="P134" s="504"/>
      <c r="Q134" s="504"/>
      <c r="R134" s="504"/>
      <c r="S134" s="504"/>
      <c r="T134" s="504"/>
      <c r="U134" s="504"/>
      <c r="V134" s="504"/>
      <c r="W134" s="504"/>
      <c r="X134" s="504"/>
      <c r="Y134" s="504"/>
      <c r="Z134" s="504"/>
      <c r="AA134" s="504"/>
      <c r="AB134" s="504"/>
      <c r="AC134" s="504"/>
      <c r="AD134" s="504"/>
      <c r="AE134" s="504"/>
      <c r="AF134" s="504"/>
      <c r="AG134" s="504"/>
      <c r="AH134" s="504"/>
      <c r="AI134" s="504"/>
      <c r="AJ134" s="504"/>
      <c r="AK134" s="504"/>
      <c r="AL134" s="504"/>
      <c r="AM134" s="504"/>
      <c r="AN134" s="504"/>
      <c r="AO134" s="504"/>
      <c r="AP134" s="504"/>
      <c r="AQ134" s="1277"/>
      <c r="AR134" s="1277"/>
      <c r="AS134" s="1277"/>
      <c r="AT134" s="1277"/>
      <c r="AU134" s="1277"/>
    </row>
    <row r="135" spans="1:47">
      <c r="A135" s="1277"/>
      <c r="B135" s="504"/>
      <c r="C135" s="504"/>
      <c r="D135" s="50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c r="AA135" s="504"/>
      <c r="AB135" s="504"/>
      <c r="AC135" s="504"/>
      <c r="AD135" s="504"/>
      <c r="AE135" s="504"/>
      <c r="AF135" s="504"/>
      <c r="AG135" s="504"/>
      <c r="AH135" s="504"/>
      <c r="AI135" s="504"/>
      <c r="AJ135" s="504"/>
      <c r="AK135" s="504"/>
      <c r="AL135" s="504"/>
      <c r="AM135" s="504"/>
      <c r="AN135" s="504"/>
      <c r="AO135" s="504"/>
      <c r="AP135" s="504"/>
      <c r="AQ135" s="1277"/>
      <c r="AR135" s="1277"/>
      <c r="AS135" s="1277"/>
      <c r="AT135" s="1277"/>
      <c r="AU135" s="1277"/>
    </row>
    <row r="136" spans="1:47" ht="12.75" customHeight="1">
      <c r="A136" s="1277"/>
      <c r="B136" s="504"/>
      <c r="C136" s="504"/>
      <c r="D136" s="504"/>
      <c r="E136" s="733"/>
      <c r="F136" s="2269"/>
      <c r="G136" s="2269" t="s">
        <v>4943</v>
      </c>
      <c r="H136" s="504"/>
      <c r="I136" s="504"/>
      <c r="J136" s="504"/>
      <c r="K136" s="504"/>
      <c r="L136" s="504"/>
      <c r="M136" s="504"/>
      <c r="N136" s="504"/>
      <c r="O136" s="504"/>
      <c r="P136" s="504"/>
      <c r="Q136" s="504"/>
      <c r="R136" s="504"/>
      <c r="S136" s="504"/>
      <c r="T136" s="504"/>
      <c r="U136" s="504"/>
      <c r="V136" s="504"/>
      <c r="W136" s="504"/>
      <c r="X136" s="504"/>
      <c r="Y136" s="504"/>
      <c r="Z136" s="504"/>
      <c r="AA136" s="504"/>
      <c r="AB136" s="504"/>
      <c r="AC136" s="504"/>
      <c r="AD136" s="504"/>
      <c r="AE136" s="504"/>
      <c r="AF136" s="504"/>
      <c r="AG136" s="504"/>
      <c r="AH136" s="504"/>
      <c r="AI136" s="504"/>
      <c r="AJ136" s="504"/>
      <c r="AK136" s="504"/>
      <c r="AL136" s="10928" t="b">
        <f>C107</f>
        <v>0</v>
      </c>
      <c r="AM136" s="10928"/>
      <c r="AN136" s="10928"/>
      <c r="AO136" s="504"/>
      <c r="AP136" s="504"/>
      <c r="AQ136" s="1277"/>
      <c r="AR136" s="1277"/>
      <c r="AS136" s="1277"/>
      <c r="AT136" s="1277"/>
      <c r="AU136" s="1277"/>
    </row>
    <row r="137" spans="1:47" ht="12.75" customHeight="1">
      <c r="A137" s="1277"/>
      <c r="B137" s="504"/>
      <c r="C137" s="504"/>
      <c r="D137" s="504"/>
      <c r="E137" s="504"/>
      <c r="F137" s="2269"/>
      <c r="G137" s="2269" t="s">
        <v>4961</v>
      </c>
      <c r="H137" s="504"/>
      <c r="I137" s="504"/>
      <c r="J137" s="504"/>
      <c r="K137" s="504"/>
      <c r="L137" s="504"/>
      <c r="M137" s="504"/>
      <c r="N137" s="504"/>
      <c r="O137" s="504"/>
      <c r="P137" s="504"/>
      <c r="Q137" s="504"/>
      <c r="R137" s="504"/>
      <c r="S137" s="504"/>
      <c r="T137" s="504"/>
      <c r="U137" s="504"/>
      <c r="V137" s="504"/>
      <c r="W137" s="504"/>
      <c r="X137" s="504"/>
      <c r="Y137" s="504"/>
      <c r="Z137" s="504"/>
      <c r="AA137" s="504"/>
      <c r="AB137" s="504"/>
      <c r="AC137" s="504"/>
      <c r="AD137" s="504"/>
      <c r="AE137" s="504"/>
      <c r="AF137" s="504"/>
      <c r="AG137" s="504"/>
      <c r="AH137" s="504"/>
      <c r="AI137" s="504"/>
      <c r="AJ137" s="504"/>
      <c r="AK137" s="504"/>
      <c r="AL137" s="504"/>
      <c r="AM137" s="504"/>
      <c r="AN137" s="504"/>
      <c r="AO137" s="504"/>
      <c r="AP137" s="504"/>
      <c r="AQ137" s="1277"/>
      <c r="AR137" s="1277"/>
      <c r="AS137" s="1277"/>
      <c r="AT137" s="1277"/>
      <c r="AU137" s="1277"/>
    </row>
    <row r="138" spans="1:47" ht="9" customHeight="1" thickBot="1">
      <c r="A138" s="1277"/>
      <c r="B138" s="504"/>
      <c r="C138" s="2247"/>
      <c r="D138" s="2247"/>
      <c r="E138" s="2247"/>
      <c r="F138" s="2247"/>
      <c r="G138" s="2247"/>
      <c r="H138" s="2247"/>
      <c r="I138" s="2247"/>
      <c r="J138" s="2247"/>
      <c r="K138" s="2247"/>
      <c r="L138" s="2247"/>
      <c r="M138" s="2247"/>
      <c r="N138" s="2247"/>
      <c r="O138" s="2247"/>
      <c r="P138" s="2247"/>
      <c r="Q138" s="2247"/>
      <c r="R138" s="2247"/>
      <c r="S138" s="2247"/>
      <c r="T138" s="2247"/>
      <c r="U138" s="2247"/>
      <c r="V138" s="2247"/>
      <c r="W138" s="2247"/>
      <c r="X138" s="2247"/>
      <c r="Y138" s="2247"/>
      <c r="Z138" s="2247"/>
      <c r="AA138" s="2247"/>
      <c r="AB138" s="2247"/>
      <c r="AC138" s="2247"/>
      <c r="AD138" s="2247"/>
      <c r="AE138" s="2247"/>
      <c r="AF138" s="2247"/>
      <c r="AG138" s="2247"/>
      <c r="AH138" s="2247"/>
      <c r="AI138" s="2247"/>
      <c r="AJ138" s="2247"/>
      <c r="AK138" s="2247"/>
      <c r="AL138" s="2247"/>
      <c r="AM138" s="2247"/>
      <c r="AN138" s="2247"/>
      <c r="AO138" s="2247"/>
      <c r="AP138" s="504"/>
      <c r="AQ138" s="1277"/>
      <c r="AR138" s="1277"/>
      <c r="AS138" s="1277"/>
      <c r="AT138" s="1277"/>
      <c r="AU138" s="1277"/>
    </row>
    <row r="139" spans="1:47" ht="7.5" customHeight="1" thickTop="1">
      <c r="A139" s="1277"/>
      <c r="B139" s="504"/>
      <c r="C139" s="504"/>
      <c r="D139" s="50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c r="AA139" s="504"/>
      <c r="AB139" s="504"/>
      <c r="AC139" s="504"/>
      <c r="AD139" s="504"/>
      <c r="AE139" s="504"/>
      <c r="AF139" s="504"/>
      <c r="AG139" s="504"/>
      <c r="AH139" s="504"/>
      <c r="AI139" s="504"/>
      <c r="AJ139" s="504"/>
      <c r="AK139" s="504"/>
      <c r="AL139" s="504"/>
      <c r="AM139" s="504"/>
      <c r="AN139" s="504"/>
      <c r="AO139" s="504"/>
      <c r="AP139" s="504"/>
      <c r="AQ139" s="1277"/>
      <c r="AR139" s="1277"/>
      <c r="AS139" s="1277"/>
      <c r="AT139" s="1277"/>
      <c r="AU139" s="1277"/>
    </row>
    <row r="140" spans="1:47" ht="20.25" customHeight="1">
      <c r="A140" s="1277"/>
      <c r="B140" s="504"/>
      <c r="C140" s="504"/>
      <c r="D140" s="504"/>
      <c r="E140" s="504"/>
      <c r="F140" s="2248" t="s">
        <v>157</v>
      </c>
      <c r="G140" s="504" t="s">
        <v>4088</v>
      </c>
      <c r="H140" s="504"/>
      <c r="I140" s="504"/>
      <c r="J140" s="504"/>
      <c r="K140" s="504"/>
      <c r="L140" s="504"/>
      <c r="M140" s="504"/>
      <c r="N140" s="504"/>
      <c r="O140" s="504"/>
      <c r="P140" s="504"/>
      <c r="Q140" s="504"/>
      <c r="R140" s="504"/>
      <c r="S140" s="504"/>
      <c r="T140" s="504"/>
      <c r="U140" s="504"/>
      <c r="V140" s="504"/>
      <c r="W140" s="504"/>
      <c r="X140" s="504"/>
      <c r="Y140" s="504"/>
      <c r="Z140" s="504"/>
      <c r="AA140" s="504"/>
      <c r="AB140" s="504"/>
      <c r="AC140" s="504"/>
      <c r="AD140" s="504"/>
      <c r="AE140" s="504"/>
      <c r="AF140" s="504"/>
      <c r="AG140" s="504"/>
      <c r="AH140" s="1989" t="s">
        <v>1318</v>
      </c>
      <c r="AI140" s="2249"/>
      <c r="AJ140" s="2270" t="s">
        <v>228</v>
      </c>
      <c r="AK140" s="7238" t="str">
        <f>IF(AL136,AL36,"")</f>
        <v/>
      </c>
      <c r="AL140" s="7238"/>
      <c r="AM140" s="7238"/>
      <c r="AN140" s="7238"/>
      <c r="AO140" s="7238"/>
      <c r="AP140" s="504"/>
      <c r="AQ140" s="1277"/>
      <c r="AR140" s="1277"/>
      <c r="AS140" s="1277"/>
      <c r="AT140" s="1277"/>
      <c r="AU140" s="1277"/>
    </row>
    <row r="141" spans="1:47" ht="20.25" customHeight="1">
      <c r="A141" s="1277"/>
      <c r="B141" s="504"/>
      <c r="C141" s="504"/>
      <c r="D141" s="504"/>
      <c r="E141" s="504"/>
      <c r="F141" s="2248" t="s">
        <v>161</v>
      </c>
      <c r="G141" s="504" t="str">
        <f>"Number of qualifying children under "&amp;CTC_AgeLimit&amp;" with the required social security"</f>
        <v>Number of qualifying children under 17 with the required social security</v>
      </c>
      <c r="H141" s="504"/>
      <c r="I141" s="504"/>
      <c r="J141" s="504"/>
      <c r="K141" s="504"/>
      <c r="L141" s="504"/>
      <c r="M141" s="504"/>
      <c r="N141" s="504"/>
      <c r="O141" s="504"/>
      <c r="P141" s="504"/>
      <c r="Q141" s="504"/>
      <c r="R141" s="504"/>
      <c r="S141" s="504"/>
      <c r="T141" s="504"/>
      <c r="U141" s="504"/>
      <c r="V141" s="504"/>
      <c r="W141" s="504"/>
      <c r="X141" s="504"/>
      <c r="Y141" s="504"/>
      <c r="Z141" s="504"/>
      <c r="AA141" s="504"/>
      <c r="AB141" s="504"/>
      <c r="AC141" s="504"/>
      <c r="AD141" s="504"/>
      <c r="AE141" s="504"/>
      <c r="AF141" s="504"/>
      <c r="AG141" s="504"/>
      <c r="AH141" s="504"/>
      <c r="AI141" s="2249"/>
      <c r="AJ141" s="504"/>
      <c r="AK141" s="504"/>
      <c r="AL141" s="504"/>
      <c r="AM141" s="504"/>
      <c r="AN141" s="504"/>
      <c r="AO141" s="504"/>
      <c r="AP141" s="504"/>
      <c r="AQ141" s="1277"/>
      <c r="AR141" s="1277"/>
      <c r="AS141" s="1277"/>
      <c r="AT141" s="1277"/>
      <c r="AU141" s="1277"/>
    </row>
    <row r="142" spans="1:47" ht="17.25" customHeight="1">
      <c r="A142" s="1277"/>
      <c r="B142" s="504"/>
      <c r="C142" s="504"/>
      <c r="D142" s="504"/>
      <c r="E142" s="504"/>
      <c r="F142" s="504"/>
      <c r="G142" s="504" t="s">
        <v>4089</v>
      </c>
      <c r="H142" s="504"/>
      <c r="I142" s="504"/>
      <c r="J142" s="10943" t="str">
        <f>IF(AL136,AE20,"")</f>
        <v/>
      </c>
      <c r="K142" s="10943"/>
      <c r="L142" s="2257" t="s">
        <v>1962</v>
      </c>
      <c r="M142" s="10942">
        <f>AF53</f>
        <v>1700</v>
      </c>
      <c r="N142" s="10942"/>
      <c r="O142" s="10942"/>
      <c r="P142" s="504" t="s">
        <v>4022</v>
      </c>
      <c r="Q142" s="504"/>
      <c r="R142" s="504"/>
      <c r="S142" s="504"/>
      <c r="T142" s="504"/>
      <c r="U142" s="504"/>
      <c r="V142" s="504"/>
      <c r="W142" s="504"/>
      <c r="X142" s="504"/>
      <c r="Y142" s="504"/>
      <c r="Z142" s="504"/>
      <c r="AA142" s="504"/>
      <c r="AB142" s="504"/>
      <c r="AC142" s="504"/>
      <c r="AD142" s="504"/>
      <c r="AE142" s="504"/>
      <c r="AF142" s="504"/>
      <c r="AG142" s="504"/>
      <c r="AH142" s="1989" t="s">
        <v>1281</v>
      </c>
      <c r="AI142" s="504"/>
      <c r="AJ142" s="2270" t="s">
        <v>230</v>
      </c>
      <c r="AK142" s="7067" t="str">
        <f>IF(AL136,ROUND(J142*M142,0),"")</f>
        <v/>
      </c>
      <c r="AL142" s="7238"/>
      <c r="AM142" s="7238"/>
      <c r="AN142" s="7238"/>
      <c r="AO142" s="7238"/>
      <c r="AP142" s="504"/>
      <c r="AQ142" s="1277"/>
      <c r="AR142" s="1277"/>
      <c r="AS142" s="1277"/>
      <c r="AT142" s="1277"/>
      <c r="AU142" s="1277"/>
    </row>
    <row r="143" spans="1:47" ht="12" customHeight="1">
      <c r="A143" s="1277"/>
      <c r="B143" s="504"/>
      <c r="C143" s="504"/>
      <c r="D143" s="50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c r="AA143" s="504"/>
      <c r="AB143" s="504"/>
      <c r="AC143" s="504"/>
      <c r="AD143" s="504"/>
      <c r="AE143" s="504"/>
      <c r="AF143" s="504"/>
      <c r="AG143" s="504"/>
      <c r="AH143" s="504"/>
      <c r="AI143" s="504"/>
      <c r="AJ143" s="504"/>
      <c r="AK143" s="504"/>
      <c r="AL143" s="504"/>
      <c r="AM143" s="504"/>
      <c r="AN143" s="504"/>
      <c r="AO143" s="504"/>
      <c r="AP143" s="504"/>
      <c r="AQ143" s="1277"/>
      <c r="AR143" s="1277"/>
      <c r="AS143" s="1277"/>
      <c r="AT143" s="1277"/>
      <c r="AU143" s="1277"/>
    </row>
    <row r="144" spans="1:47" ht="12" customHeight="1">
      <c r="A144" s="1277"/>
      <c r="B144" s="504"/>
      <c r="C144" s="504"/>
      <c r="D144" s="504"/>
      <c r="E144" s="504"/>
      <c r="F144" s="504"/>
      <c r="G144" s="504" t="s">
        <v>4090</v>
      </c>
      <c r="H144" s="504"/>
      <c r="I144" s="504"/>
      <c r="J144" s="504"/>
      <c r="K144" s="504"/>
      <c r="L144" s="504"/>
      <c r="M144" s="504"/>
      <c r="N144" s="504"/>
      <c r="O144" s="504"/>
      <c r="P144" s="504"/>
      <c r="Q144" s="504"/>
      <c r="R144" s="504"/>
      <c r="S144" s="504"/>
      <c r="T144" s="504"/>
      <c r="U144" s="504"/>
      <c r="V144" s="504"/>
      <c r="W144" s="504"/>
      <c r="X144" s="504"/>
      <c r="Y144" s="504"/>
      <c r="Z144" s="504"/>
      <c r="AA144" s="504"/>
      <c r="AB144" s="504"/>
      <c r="AC144" s="504"/>
      <c r="AD144" s="504"/>
      <c r="AE144" s="504"/>
      <c r="AF144" s="504"/>
      <c r="AG144" s="504"/>
      <c r="AH144" s="504"/>
      <c r="AI144" s="504"/>
      <c r="AJ144" s="504"/>
      <c r="AK144" s="504"/>
      <c r="AL144" s="504"/>
      <c r="AM144" s="504"/>
      <c r="AN144" s="504"/>
      <c r="AO144" s="504"/>
      <c r="AP144" s="504"/>
      <c r="AQ144" s="1277"/>
      <c r="AR144" s="1277"/>
      <c r="AS144" s="1277"/>
      <c r="AT144" s="1277"/>
      <c r="AU144" s="1277"/>
    </row>
    <row r="145" spans="1:47" ht="12" customHeight="1">
      <c r="A145" s="1277"/>
      <c r="B145" s="504"/>
      <c r="C145" s="504"/>
      <c r="D145" s="504"/>
      <c r="E145" s="504"/>
      <c r="F145" s="504"/>
      <c r="G145" s="504" t="s">
        <v>4091</v>
      </c>
      <c r="H145" s="504"/>
      <c r="I145" s="504"/>
      <c r="J145" s="504"/>
      <c r="K145" s="504"/>
      <c r="L145" s="504"/>
      <c r="M145" s="504"/>
      <c r="N145" s="504"/>
      <c r="O145" s="504"/>
      <c r="P145" s="504"/>
      <c r="Q145" s="504"/>
      <c r="R145" s="504"/>
      <c r="S145" s="504"/>
      <c r="T145" s="504"/>
      <c r="U145" s="504"/>
      <c r="V145" s="504"/>
      <c r="W145" s="504"/>
      <c r="X145" s="504"/>
      <c r="Y145" s="504"/>
      <c r="Z145" s="504"/>
      <c r="AA145" s="504"/>
      <c r="AB145" s="504"/>
      <c r="AC145" s="504"/>
      <c r="AD145" s="504"/>
      <c r="AE145" s="504"/>
      <c r="AF145" s="504"/>
      <c r="AG145" s="504"/>
      <c r="AH145" s="504"/>
      <c r="AI145" s="504"/>
      <c r="AJ145" s="504"/>
      <c r="AK145" s="504"/>
      <c r="AL145" s="504"/>
      <c r="AM145" s="504"/>
      <c r="AN145" s="504"/>
      <c r="AO145" s="504"/>
      <c r="AP145" s="504"/>
      <c r="AQ145" s="1277"/>
      <c r="AR145" s="1277"/>
      <c r="AS145" s="2195" t="s">
        <v>771</v>
      </c>
      <c r="AT145" s="1277"/>
      <c r="AU145" s="1277"/>
    </row>
    <row r="146" spans="1:47" ht="6.75" customHeight="1">
      <c r="A146" s="1277"/>
      <c r="B146" s="504"/>
      <c r="C146" s="504"/>
      <c r="D146" s="50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c r="AA146" s="504"/>
      <c r="AB146" s="504"/>
      <c r="AC146" s="504"/>
      <c r="AD146" s="2271"/>
      <c r="AE146" s="504"/>
      <c r="AF146" s="504"/>
      <c r="AG146" s="504"/>
      <c r="AH146" s="504"/>
      <c r="AI146" s="504"/>
      <c r="AJ146" s="504"/>
      <c r="AK146" s="504"/>
      <c r="AL146" s="504"/>
      <c r="AM146" s="504"/>
      <c r="AN146" s="504"/>
      <c r="AO146" s="504"/>
      <c r="AP146" s="504"/>
      <c r="AQ146" s="1277"/>
      <c r="AR146" s="1277"/>
      <c r="AS146" s="1277"/>
      <c r="AT146" s="1277"/>
      <c r="AU146" s="1277"/>
    </row>
    <row r="147" spans="1:47" ht="18" customHeight="1">
      <c r="A147" s="1277"/>
      <c r="B147" s="504"/>
      <c r="C147" s="504"/>
      <c r="D147" s="504"/>
      <c r="E147" s="504"/>
      <c r="F147" s="2272" t="s">
        <v>167</v>
      </c>
      <c r="G147" s="1171" t="s">
        <v>4092</v>
      </c>
      <c r="H147" s="504"/>
      <c r="I147" s="504"/>
      <c r="J147" s="504"/>
      <c r="K147" s="504"/>
      <c r="L147" s="504"/>
      <c r="M147" s="504"/>
      <c r="N147" s="504"/>
      <c r="O147" s="504"/>
      <c r="P147" s="504"/>
      <c r="Q147" s="504"/>
      <c r="R147" s="504"/>
      <c r="S147" s="504"/>
      <c r="T147" s="504"/>
      <c r="U147" s="504"/>
      <c r="V147" s="504"/>
      <c r="W147" s="504"/>
      <c r="X147" s="504"/>
      <c r="Y147" s="504"/>
      <c r="Z147" s="504"/>
      <c r="AA147" s="504"/>
      <c r="AB147" s="1989" t="s">
        <v>1322</v>
      </c>
      <c r="AC147" s="504"/>
      <c r="AD147" s="2270" t="s">
        <v>232</v>
      </c>
      <c r="AE147" s="7067" t="str">
        <f>IF(AS147&lt;&gt;"",ROUND(AS147,0),IF(AL136,Earned_Income,""))</f>
        <v/>
      </c>
      <c r="AF147" s="7238"/>
      <c r="AG147" s="7238"/>
      <c r="AH147" s="7238"/>
      <c r="AI147" s="7238"/>
      <c r="AJ147" s="504"/>
      <c r="AK147" s="504"/>
      <c r="AL147" s="504"/>
      <c r="AM147" s="504"/>
      <c r="AN147" s="504"/>
      <c r="AO147" s="504"/>
      <c r="AP147" s="504"/>
      <c r="AQ147" s="1277"/>
      <c r="AR147" s="1277"/>
      <c r="AS147" s="1296"/>
      <c r="AT147" s="1277"/>
      <c r="AU147" s="1277"/>
    </row>
    <row r="148" spans="1:47" ht="12" customHeight="1">
      <c r="A148" s="1277"/>
      <c r="B148" s="504"/>
      <c r="C148" s="504"/>
      <c r="D148" s="504"/>
      <c r="E148" s="504"/>
      <c r="F148" s="504"/>
      <c r="G148" s="504" t="s">
        <v>4093</v>
      </c>
      <c r="H148" s="504"/>
      <c r="I148" s="504"/>
      <c r="J148" s="504"/>
      <c r="K148" s="504"/>
      <c r="L148" s="504"/>
      <c r="M148" s="504"/>
      <c r="N148" s="504"/>
      <c r="O148" s="504"/>
      <c r="P148" s="504"/>
      <c r="Q148" s="504"/>
      <c r="R148" s="504"/>
      <c r="S148" s="504"/>
      <c r="T148" s="504"/>
      <c r="U148" s="504"/>
      <c r="V148" s="504"/>
      <c r="W148" s="504"/>
      <c r="X148" s="504"/>
      <c r="Y148" s="504"/>
      <c r="Z148" s="504"/>
      <c r="AA148" s="504"/>
      <c r="AB148" s="504"/>
      <c r="AC148" s="504"/>
      <c r="AD148" s="504"/>
      <c r="AE148" s="504"/>
      <c r="AF148" s="504"/>
      <c r="AG148" s="504"/>
      <c r="AH148" s="504"/>
      <c r="AI148" s="504"/>
      <c r="AJ148" s="504"/>
      <c r="AK148" s="504"/>
      <c r="AL148" s="504"/>
      <c r="AM148" s="504"/>
      <c r="AN148" s="504"/>
      <c r="AO148" s="504"/>
      <c r="AP148" s="504"/>
      <c r="AQ148" s="1277"/>
      <c r="AR148" s="1277"/>
      <c r="AS148" s="1277"/>
      <c r="AT148" s="1277"/>
      <c r="AU148" s="1277"/>
    </row>
    <row r="149" spans="1:47" ht="6" customHeight="1">
      <c r="A149" s="1277"/>
      <c r="B149" s="504"/>
      <c r="C149" s="504"/>
      <c r="D149" s="50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c r="AA149" s="504"/>
      <c r="AB149" s="504"/>
      <c r="AC149" s="504"/>
      <c r="AD149" s="504"/>
      <c r="AE149" s="504"/>
      <c r="AF149" s="504"/>
      <c r="AG149" s="504"/>
      <c r="AH149" s="504"/>
      <c r="AI149" s="504"/>
      <c r="AJ149" s="504"/>
      <c r="AK149" s="504"/>
      <c r="AL149" s="504"/>
      <c r="AM149" s="504"/>
      <c r="AN149" s="504"/>
      <c r="AO149" s="504"/>
      <c r="AP149" s="504"/>
      <c r="AQ149" s="1277"/>
      <c r="AR149" s="1277"/>
      <c r="AS149" s="1277"/>
      <c r="AT149" s="1277"/>
      <c r="AU149" s="1277"/>
    </row>
    <row r="150" spans="1:47" ht="20.25" customHeight="1">
      <c r="A150" s="1277"/>
      <c r="B150" s="504"/>
      <c r="C150" s="504"/>
      <c r="D150" s="504"/>
      <c r="E150" s="504"/>
      <c r="F150" s="2248" t="s">
        <v>171</v>
      </c>
      <c r="G150" s="504" t="str">
        <f>"Is the amount on line 3 more than "&amp;TEXT(AK150,"$0,000")&amp;"?"</f>
        <v>Is the amount on line 3 more than $2,500?</v>
      </c>
      <c r="H150" s="504"/>
      <c r="I150" s="504"/>
      <c r="J150" s="504"/>
      <c r="K150" s="504"/>
      <c r="L150" s="504"/>
      <c r="M150" s="504"/>
      <c r="N150" s="504"/>
      <c r="O150" s="504"/>
      <c r="P150" s="504"/>
      <c r="Q150" s="504"/>
      <c r="R150" s="504"/>
      <c r="S150" s="504"/>
      <c r="T150" s="504"/>
      <c r="U150" s="504"/>
      <c r="V150" s="504"/>
      <c r="W150" s="504"/>
      <c r="X150" s="504"/>
      <c r="Y150" s="504"/>
      <c r="Z150" s="2273"/>
      <c r="AA150" s="2273"/>
      <c r="AB150" s="1989" t="s">
        <v>1279</v>
      </c>
      <c r="AC150" s="504"/>
      <c r="AD150" s="2270" t="s">
        <v>235</v>
      </c>
      <c r="AE150" s="7067" t="str">
        <f>IF(AND(AL136,G155&lt;&gt;""),SUM(AE147,-AK150),"")</f>
        <v/>
      </c>
      <c r="AF150" s="7238"/>
      <c r="AG150" s="7238"/>
      <c r="AH150" s="7238"/>
      <c r="AI150" s="7238"/>
      <c r="AJ150" s="504"/>
      <c r="AK150" s="10928">
        <v>2500</v>
      </c>
      <c r="AL150" s="10928"/>
      <c r="AM150" s="10928"/>
      <c r="AN150" s="10928"/>
      <c r="AO150" s="10928"/>
      <c r="AP150" s="504"/>
      <c r="AQ150" s="1277"/>
      <c r="AR150" s="1277"/>
      <c r="AS150" s="1277"/>
      <c r="AT150" s="1277"/>
      <c r="AU150" s="1277"/>
    </row>
    <row r="151" spans="1:47" ht="6.75" customHeight="1" thickBot="1">
      <c r="A151" s="1277"/>
      <c r="B151" s="504"/>
      <c r="C151" s="504"/>
      <c r="D151" s="50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c r="AA151" s="504"/>
      <c r="AB151" s="504"/>
      <c r="AC151" s="504"/>
      <c r="AD151" s="504"/>
      <c r="AE151" s="504"/>
      <c r="AF151" s="504"/>
      <c r="AG151" s="504"/>
      <c r="AH151" s="504"/>
      <c r="AI151" s="504"/>
      <c r="AJ151" s="504"/>
      <c r="AK151" s="504"/>
      <c r="AL151" s="504"/>
      <c r="AM151" s="504"/>
      <c r="AN151" s="504"/>
      <c r="AO151" s="504"/>
      <c r="AP151" s="504"/>
      <c r="AQ151" s="1277"/>
      <c r="AR151" s="1277"/>
      <c r="AS151" s="1277"/>
      <c r="AT151" s="1277"/>
      <c r="AU151" s="1277"/>
    </row>
    <row r="152" spans="1:47" ht="12" customHeight="1" thickBot="1">
      <c r="A152" s="1277"/>
      <c r="B152" s="504"/>
      <c r="C152" s="504"/>
      <c r="D152" s="11043"/>
      <c r="E152" s="11043"/>
      <c r="F152" s="504"/>
      <c r="G152" s="2274" t="str">
        <f>IF(NOT(AL136),"",IF(AE147&gt;AK150,"","X"))</f>
        <v/>
      </c>
      <c r="H152" s="504"/>
      <c r="I152" s="807" t="s">
        <v>936</v>
      </c>
      <c r="J152" s="504"/>
      <c r="K152" s="504" t="s">
        <v>4094</v>
      </c>
      <c r="L152" s="504"/>
      <c r="M152" s="504"/>
      <c r="N152" s="504"/>
      <c r="O152" s="504"/>
      <c r="P152" s="504"/>
      <c r="Q152" s="504"/>
      <c r="R152" s="504"/>
      <c r="S152" s="504"/>
      <c r="T152" s="504"/>
      <c r="U152" s="504"/>
      <c r="V152" s="504"/>
      <c r="W152" s="504"/>
      <c r="X152" s="504"/>
      <c r="Y152" s="504"/>
      <c r="Z152" s="504"/>
      <c r="AA152" s="504"/>
      <c r="AB152" s="504"/>
      <c r="AC152" s="504"/>
      <c r="AD152" s="504"/>
      <c r="AE152" s="504"/>
      <c r="AF152" s="504"/>
      <c r="AG152" s="504"/>
      <c r="AH152" s="504"/>
      <c r="AI152" s="504"/>
      <c r="AJ152" s="504"/>
      <c r="AK152" s="504"/>
      <c r="AL152" s="504"/>
      <c r="AM152" s="504"/>
      <c r="AN152" s="504"/>
      <c r="AO152" s="504"/>
      <c r="AP152" s="504"/>
      <c r="AQ152" s="1277"/>
      <c r="AR152" s="1277"/>
      <c r="AS152" s="1277"/>
      <c r="AT152" s="1277"/>
      <c r="AU152" s="1277"/>
    </row>
    <row r="153" spans="1:47" ht="12" customHeight="1">
      <c r="A153" s="1277"/>
      <c r="B153" s="504"/>
      <c r="C153" s="504"/>
      <c r="D153" s="504"/>
      <c r="E153" s="504"/>
      <c r="F153" s="504"/>
      <c r="G153" s="504"/>
      <c r="H153" s="504"/>
      <c r="I153" s="504"/>
      <c r="J153" s="504"/>
      <c r="K153" s="504" t="s">
        <v>4095</v>
      </c>
      <c r="L153" s="504"/>
      <c r="M153" s="504"/>
      <c r="N153" s="504"/>
      <c r="O153" s="504"/>
      <c r="P153" s="504"/>
      <c r="Q153" s="504"/>
      <c r="R153" s="504"/>
      <c r="S153" s="504"/>
      <c r="T153" s="504"/>
      <c r="U153" s="504"/>
      <c r="V153" s="504"/>
      <c r="W153" s="504"/>
      <c r="X153" s="504"/>
      <c r="Y153" s="504"/>
      <c r="Z153" s="504"/>
      <c r="AA153" s="504"/>
      <c r="AB153" s="504"/>
      <c r="AC153" s="504"/>
      <c r="AD153" s="504"/>
      <c r="AE153" s="504"/>
      <c r="AF153" s="504"/>
      <c r="AG153" s="504"/>
      <c r="AH153" s="504"/>
      <c r="AI153" s="504"/>
      <c r="AJ153" s="504"/>
      <c r="AK153" s="504"/>
      <c r="AL153" s="504"/>
      <c r="AM153" s="504"/>
      <c r="AN153" s="504"/>
      <c r="AO153" s="504"/>
      <c r="AP153" s="504"/>
      <c r="AQ153" s="1277"/>
      <c r="AR153" s="1277"/>
      <c r="AS153" s="1277"/>
      <c r="AT153" s="1277"/>
      <c r="AU153" s="1277"/>
    </row>
    <row r="154" spans="1:47" ht="6.75" customHeight="1" thickBot="1">
      <c r="A154" s="1277"/>
      <c r="B154" s="504"/>
      <c r="C154" s="504"/>
      <c r="D154" s="50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c r="AA154" s="504"/>
      <c r="AB154" s="504"/>
      <c r="AC154" s="504"/>
      <c r="AD154" s="504"/>
      <c r="AE154" s="504"/>
      <c r="AF154" s="504"/>
      <c r="AG154" s="504"/>
      <c r="AH154" s="504"/>
      <c r="AI154" s="504"/>
      <c r="AJ154" s="504"/>
      <c r="AK154" s="504"/>
      <c r="AL154" s="504"/>
      <c r="AM154" s="504"/>
      <c r="AN154" s="504"/>
      <c r="AO154" s="504"/>
      <c r="AP154" s="504"/>
      <c r="AQ154" s="1277"/>
      <c r="AR154" s="1277"/>
      <c r="AS154" s="1277"/>
      <c r="AT154" s="1277"/>
      <c r="AU154" s="1277"/>
    </row>
    <row r="155" spans="1:47" ht="12" customHeight="1" thickBot="1">
      <c r="A155" s="1277"/>
      <c r="B155" s="504"/>
      <c r="C155" s="504"/>
      <c r="D155" s="11043"/>
      <c r="E155" s="11043"/>
      <c r="F155" s="504"/>
      <c r="G155" s="2274" t="str">
        <f>IF(NOT(AL136),"",IF(AE147&gt;AK150,"X",""))</f>
        <v/>
      </c>
      <c r="H155" s="504"/>
      <c r="I155" s="807" t="s">
        <v>938</v>
      </c>
      <c r="J155" s="504"/>
      <c r="K155" s="504" t="str">
        <f>"Subtract "&amp;TEXT(AK150,"$0,000")&amp;" from the amount on line 3."</f>
        <v>Subtract $2,500 from the amount on line 3.</v>
      </c>
      <c r="L155" s="504"/>
      <c r="M155" s="504"/>
      <c r="N155" s="504"/>
      <c r="O155" s="504"/>
      <c r="P155" s="504"/>
      <c r="Q155" s="504"/>
      <c r="R155" s="504"/>
      <c r="S155" s="504"/>
      <c r="T155" s="504"/>
      <c r="U155" s="504"/>
      <c r="V155" s="504"/>
      <c r="W155" s="504"/>
      <c r="X155" s="504"/>
      <c r="Y155" s="504"/>
      <c r="Z155" s="504"/>
      <c r="AA155" s="504"/>
      <c r="AB155" s="504"/>
      <c r="AC155" s="504"/>
      <c r="AD155" s="504"/>
      <c r="AE155" s="504"/>
      <c r="AF155" s="504"/>
      <c r="AG155" s="504"/>
      <c r="AH155" s="504"/>
      <c r="AI155" s="504"/>
      <c r="AJ155" s="504"/>
      <c r="AK155" s="504"/>
      <c r="AL155" s="504"/>
      <c r="AM155" s="504"/>
      <c r="AN155" s="504"/>
      <c r="AO155" s="504"/>
      <c r="AP155" s="504"/>
      <c r="AQ155" s="1277"/>
      <c r="AR155" s="1277"/>
      <c r="AS155" s="1277"/>
      <c r="AT155" s="1277"/>
      <c r="AU155" s="1277"/>
    </row>
    <row r="156" spans="1:47" ht="12" customHeight="1">
      <c r="A156" s="1277"/>
      <c r="B156" s="504"/>
      <c r="C156" s="504"/>
      <c r="D156" s="504"/>
      <c r="E156" s="504"/>
      <c r="F156" s="504"/>
      <c r="G156" s="504"/>
      <c r="H156" s="504"/>
      <c r="I156" s="504"/>
      <c r="J156" s="504"/>
      <c r="K156" s="504" t="s">
        <v>4022</v>
      </c>
      <c r="L156" s="504"/>
      <c r="M156" s="504"/>
      <c r="N156" s="504"/>
      <c r="O156" s="504"/>
      <c r="P156" s="504"/>
      <c r="Q156" s="504"/>
      <c r="R156" s="504"/>
      <c r="S156" s="504"/>
      <c r="T156" s="504"/>
      <c r="U156" s="504"/>
      <c r="V156" s="504"/>
      <c r="W156" s="504"/>
      <c r="X156" s="504"/>
      <c r="Y156" s="504"/>
      <c r="Z156" s="504"/>
      <c r="AA156" s="504"/>
      <c r="AB156" s="504"/>
      <c r="AC156" s="504"/>
      <c r="AD156" s="504"/>
      <c r="AE156" s="504"/>
      <c r="AF156" s="504"/>
      <c r="AG156" s="504"/>
      <c r="AH156" s="504"/>
      <c r="AI156" s="504"/>
      <c r="AJ156" s="504"/>
      <c r="AK156" s="504"/>
      <c r="AL156" s="504"/>
      <c r="AM156" s="504"/>
      <c r="AN156" s="504"/>
      <c r="AO156" s="504"/>
      <c r="AP156" s="504"/>
      <c r="AQ156" s="1277"/>
      <c r="AR156" s="1277"/>
      <c r="AS156" s="1277"/>
      <c r="AT156" s="1277"/>
      <c r="AU156" s="1277"/>
    </row>
    <row r="157" spans="1:47" ht="6" customHeight="1">
      <c r="A157" s="1277"/>
      <c r="B157" s="504"/>
      <c r="C157" s="504"/>
      <c r="D157" s="50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c r="AA157" s="504"/>
      <c r="AB157" s="504"/>
      <c r="AC157" s="504"/>
      <c r="AD157" s="504"/>
      <c r="AE157" s="504"/>
      <c r="AF157" s="504"/>
      <c r="AG157" s="504"/>
      <c r="AH157" s="504"/>
      <c r="AI157" s="504"/>
      <c r="AJ157" s="504"/>
      <c r="AK157" s="504"/>
      <c r="AL157" s="504"/>
      <c r="AM157" s="504"/>
      <c r="AN157" s="504"/>
      <c r="AO157" s="504"/>
      <c r="AP157" s="504"/>
      <c r="AQ157" s="1277"/>
      <c r="AR157" s="1277"/>
      <c r="AS157" s="1277"/>
      <c r="AT157" s="1277"/>
      <c r="AU157" s="1277"/>
    </row>
    <row r="158" spans="1:47" ht="20.25" customHeight="1">
      <c r="A158" s="1277"/>
      <c r="B158" s="504"/>
      <c r="C158" s="10928">
        <v>0.15</v>
      </c>
      <c r="D158" s="10928"/>
      <c r="E158" s="504"/>
      <c r="F158" s="2248" t="s">
        <v>184</v>
      </c>
      <c r="G158" s="504" t="str">
        <f>"Multiply the amount on line 4 by "&amp;TEXT(C158,"0%")&amp;" ("&amp;TEXT(C158,"0.00")&amp;") and enter the result"</f>
        <v>Multiply the amount on line 4 by 15% (0.15) and enter the result</v>
      </c>
      <c r="H158" s="504"/>
      <c r="I158" s="504"/>
      <c r="J158" s="504"/>
      <c r="K158" s="504"/>
      <c r="L158" s="504"/>
      <c r="M158" s="504"/>
      <c r="N158" s="504"/>
      <c r="O158" s="504"/>
      <c r="P158" s="504"/>
      <c r="Q158" s="504"/>
      <c r="R158" s="504"/>
      <c r="S158" s="504"/>
      <c r="T158" s="504"/>
      <c r="U158" s="504"/>
      <c r="V158" s="504"/>
      <c r="W158" s="504"/>
      <c r="X158" s="504"/>
      <c r="Y158" s="504"/>
      <c r="Z158" s="504"/>
      <c r="AA158" s="2012"/>
      <c r="AB158" s="2012"/>
      <c r="AC158" s="504"/>
      <c r="AD158" s="504"/>
      <c r="AE158" s="504"/>
      <c r="AF158" s="504"/>
      <c r="AG158" s="504"/>
      <c r="AH158" s="1989" t="s">
        <v>523</v>
      </c>
      <c r="AI158" s="2249"/>
      <c r="AJ158" s="2270" t="s">
        <v>237</v>
      </c>
      <c r="AK158" s="7067" t="str">
        <f>IF(G152&lt;&gt;"",0,IF(AND(AL136,G155&lt;&gt;""),ROUND(C158*AE150,0),""))</f>
        <v/>
      </c>
      <c r="AL158" s="7238"/>
      <c r="AM158" s="7238"/>
      <c r="AN158" s="7238"/>
      <c r="AO158" s="7238"/>
      <c r="AP158" s="504"/>
      <c r="AQ158" s="1277"/>
      <c r="AR158" s="1277"/>
      <c r="AS158" s="1277"/>
      <c r="AT158" s="1277"/>
      <c r="AU158" s="1277"/>
    </row>
    <row r="159" spans="1:47" ht="6" customHeight="1">
      <c r="A159" s="1277"/>
      <c r="B159" s="504"/>
      <c r="C159" s="504"/>
      <c r="D159" s="50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c r="AA159" s="504"/>
      <c r="AB159" s="504"/>
      <c r="AC159" s="504"/>
      <c r="AD159" s="504"/>
      <c r="AE159" s="504"/>
      <c r="AF159" s="504"/>
      <c r="AG159" s="504"/>
      <c r="AH159" s="504"/>
      <c r="AI159" s="504"/>
      <c r="AJ159" s="504"/>
      <c r="AK159" s="504"/>
      <c r="AL159" s="504"/>
      <c r="AM159" s="504"/>
      <c r="AN159" s="504"/>
      <c r="AO159" s="504"/>
      <c r="AP159" s="504"/>
      <c r="AQ159" s="1277"/>
      <c r="AR159" s="1277"/>
      <c r="AS159" s="1277"/>
      <c r="AT159" s="1277"/>
      <c r="AU159" s="1277"/>
    </row>
    <row r="160" spans="1:47" ht="12" customHeight="1">
      <c r="A160" s="1277"/>
      <c r="B160" s="504"/>
      <c r="C160" s="504"/>
      <c r="D160" s="504"/>
      <c r="E160" s="504"/>
      <c r="F160" s="2248" t="s">
        <v>188</v>
      </c>
      <c r="G160" s="504" t="str">
        <f>"On line 2 of this worksheet, is the amount "&amp;TEXT(AA160,"$0,000")&amp;" or more?"</f>
        <v>On line 2 of this worksheet, is the amount $5,100 or more?</v>
      </c>
      <c r="H160" s="504"/>
      <c r="I160" s="504"/>
      <c r="J160" s="504"/>
      <c r="K160" s="504"/>
      <c r="L160" s="504"/>
      <c r="M160" s="504"/>
      <c r="N160" s="504"/>
      <c r="O160" s="504"/>
      <c r="P160" s="504"/>
      <c r="Q160" s="504"/>
      <c r="R160" s="504"/>
      <c r="S160" s="504"/>
      <c r="T160" s="504"/>
      <c r="U160" s="504"/>
      <c r="V160" s="504"/>
      <c r="W160" s="504"/>
      <c r="X160" s="504"/>
      <c r="Y160" s="504"/>
      <c r="Z160" s="504"/>
      <c r="AA160" s="10928">
        <f>AE64</f>
        <v>5100</v>
      </c>
      <c r="AB160" s="10928"/>
      <c r="AC160" s="504"/>
      <c r="AD160" s="504"/>
      <c r="AE160" s="504"/>
      <c r="AF160" s="504"/>
      <c r="AG160" s="504"/>
      <c r="AH160" s="504"/>
      <c r="AI160" s="504"/>
      <c r="AJ160" s="504"/>
      <c r="AK160" s="504"/>
      <c r="AL160" s="504"/>
      <c r="AM160" s="504"/>
      <c r="AN160" s="504"/>
      <c r="AO160" s="504"/>
      <c r="AP160" s="504"/>
      <c r="AQ160" s="1277"/>
      <c r="AR160" s="1277"/>
      <c r="AS160" s="1277"/>
      <c r="AT160" s="1277"/>
      <c r="AU160" s="1277"/>
    </row>
    <row r="161" spans="1:47" ht="12" customHeight="1" thickBot="1">
      <c r="A161" s="1277"/>
      <c r="B161" s="504"/>
      <c r="C161" s="504"/>
      <c r="D161" s="50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c r="AA161" s="504"/>
      <c r="AB161" s="504"/>
      <c r="AC161" s="504"/>
      <c r="AD161" s="504"/>
      <c r="AE161" s="504"/>
      <c r="AF161" s="504"/>
      <c r="AG161" s="504"/>
      <c r="AH161" s="504"/>
      <c r="AI161" s="504"/>
      <c r="AJ161" s="504"/>
      <c r="AK161" s="504"/>
      <c r="AL161" s="504"/>
      <c r="AM161" s="504"/>
      <c r="AN161" s="504"/>
      <c r="AO161" s="504"/>
      <c r="AP161" s="504"/>
      <c r="AQ161" s="1277"/>
      <c r="AR161" s="1277"/>
      <c r="AS161" s="1277"/>
      <c r="AT161" s="1277"/>
      <c r="AU161" s="1277"/>
    </row>
    <row r="162" spans="1:47" ht="13.5" thickBot="1">
      <c r="A162" s="1277"/>
      <c r="B162" s="504"/>
      <c r="C162" s="10928" t="b">
        <f>(G162&lt;&gt;"")</f>
        <v>0</v>
      </c>
      <c r="D162" s="10928"/>
      <c r="E162" s="10928"/>
      <c r="F162" s="2248"/>
      <c r="G162" s="2274" t="str">
        <f>IF(NOT(AL136),"",IF(AK142&gt;=AA160,"","X"))</f>
        <v/>
      </c>
      <c r="H162" s="504"/>
      <c r="I162" s="807" t="s">
        <v>936</v>
      </c>
      <c r="J162" s="504"/>
      <c r="K162" s="504"/>
      <c r="L162" s="504"/>
      <c r="M162" s="504"/>
      <c r="N162" s="504"/>
      <c r="O162" s="504"/>
      <c r="P162" s="504"/>
      <c r="Q162" s="504"/>
      <c r="R162" s="504"/>
      <c r="S162" s="504"/>
      <c r="T162" s="504"/>
      <c r="U162" s="504"/>
      <c r="V162" s="504"/>
      <c r="W162" s="504"/>
      <c r="X162" s="504"/>
      <c r="Y162" s="504"/>
      <c r="Z162" s="504"/>
      <c r="AA162" s="504"/>
      <c r="AB162" s="504"/>
      <c r="AC162" s="504"/>
      <c r="AD162" s="504"/>
      <c r="AE162" s="504"/>
      <c r="AF162" s="504"/>
      <c r="AG162" s="504"/>
      <c r="AH162" s="504"/>
      <c r="AI162" s="504"/>
      <c r="AJ162" s="504"/>
      <c r="AK162" s="504"/>
      <c r="AL162" s="504"/>
      <c r="AM162" s="504"/>
      <c r="AN162" s="504"/>
      <c r="AO162" s="504"/>
      <c r="AP162" s="504"/>
      <c r="AQ162" s="1277"/>
      <c r="AR162" s="1277"/>
      <c r="AS162" s="1277"/>
      <c r="AT162" s="1277"/>
      <c r="AU162" s="1277"/>
    </row>
    <row r="163" spans="1:47" ht="12" customHeight="1">
      <c r="A163" s="1277"/>
      <c r="B163" s="504"/>
      <c r="C163" s="10928" t="b">
        <f>AND(C162,PuertoRicoResident,AK158&lt;AK140)</f>
        <v>0</v>
      </c>
      <c r="D163" s="10928"/>
      <c r="E163" s="10928"/>
      <c r="F163" s="504"/>
      <c r="G163" s="504"/>
      <c r="H163" s="504"/>
      <c r="I163" s="504" t="s">
        <v>4096</v>
      </c>
      <c r="J163" s="504"/>
      <c r="K163" s="504"/>
      <c r="L163" s="504"/>
      <c r="M163" s="504"/>
      <c r="N163" s="504"/>
      <c r="O163" s="504"/>
      <c r="P163" s="504"/>
      <c r="Q163" s="504"/>
      <c r="R163" s="504"/>
      <c r="S163" s="504"/>
      <c r="T163" s="504"/>
      <c r="U163" s="504"/>
      <c r="V163" s="504"/>
      <c r="W163" s="504"/>
      <c r="X163" s="504"/>
      <c r="Y163" s="504"/>
      <c r="Z163" s="504"/>
      <c r="AA163" s="504"/>
      <c r="AB163" s="504"/>
      <c r="AC163" s="504"/>
      <c r="AD163" s="504"/>
      <c r="AE163" s="504"/>
      <c r="AF163" s="504"/>
      <c r="AG163" s="504"/>
      <c r="AH163" s="504"/>
      <c r="AI163" s="504"/>
      <c r="AJ163" s="504"/>
      <c r="AK163" s="504"/>
      <c r="AL163" s="504"/>
      <c r="AM163" s="504"/>
      <c r="AN163" s="504"/>
      <c r="AO163" s="504"/>
      <c r="AP163" s="504"/>
      <c r="AQ163" s="1277"/>
      <c r="AR163" s="1277"/>
      <c r="AS163" s="2153"/>
      <c r="AT163" s="1277"/>
      <c r="AU163" s="1277"/>
    </row>
    <row r="164" spans="1:47" ht="12" customHeight="1">
      <c r="A164" s="1277"/>
      <c r="B164" s="504"/>
      <c r="C164" s="2012"/>
      <c r="D164" s="2012"/>
      <c r="E164" s="2012"/>
      <c r="F164" s="504"/>
      <c r="G164" s="504"/>
      <c r="H164" s="504"/>
      <c r="I164" s="504" t="s">
        <v>4097</v>
      </c>
      <c r="J164" s="504"/>
      <c r="K164" s="504"/>
      <c r="L164" s="504"/>
      <c r="M164" s="504"/>
      <c r="N164" s="504"/>
      <c r="O164" s="504"/>
      <c r="P164" s="504" t="s">
        <v>4945</v>
      </c>
      <c r="Q164" s="504"/>
      <c r="R164" s="504"/>
      <c r="S164" s="504"/>
      <c r="T164" s="504"/>
      <c r="U164" s="504"/>
      <c r="V164" s="504"/>
      <c r="W164" s="504"/>
      <c r="X164" s="504"/>
      <c r="Y164" s="504"/>
      <c r="Z164" s="504"/>
      <c r="AA164" s="504"/>
      <c r="AB164" s="504"/>
      <c r="AC164" s="504"/>
      <c r="AD164" s="504"/>
      <c r="AE164" s="504"/>
      <c r="AF164" s="504"/>
      <c r="AG164" s="504"/>
      <c r="AH164" s="504"/>
      <c r="AI164" s="504"/>
      <c r="AJ164" s="504"/>
      <c r="AK164" s="504"/>
      <c r="AL164" s="504"/>
      <c r="AM164" s="504"/>
      <c r="AN164" s="504"/>
      <c r="AO164" s="504"/>
      <c r="AP164" s="504"/>
      <c r="AQ164" s="1277"/>
      <c r="AR164" s="1277"/>
      <c r="AS164" s="1277"/>
      <c r="AT164" s="1277"/>
      <c r="AU164" s="1277"/>
    </row>
    <row r="165" spans="1:47">
      <c r="A165" s="1277"/>
      <c r="B165" s="504"/>
      <c r="C165" s="2012"/>
      <c r="D165" s="2012"/>
      <c r="E165" s="2012"/>
      <c r="F165" s="2248"/>
      <c r="G165" s="504"/>
      <c r="H165" s="504"/>
      <c r="I165" s="2258" t="s">
        <v>4944</v>
      </c>
      <c r="J165" s="504"/>
      <c r="K165" s="504"/>
      <c r="L165" s="504"/>
      <c r="M165" s="504"/>
      <c r="N165" s="504"/>
      <c r="O165" s="504"/>
      <c r="P165" s="504"/>
      <c r="Q165" s="504"/>
      <c r="R165" s="504"/>
      <c r="S165" s="504"/>
      <c r="T165" s="504"/>
      <c r="U165" s="504"/>
      <c r="V165" s="504"/>
      <c r="W165" s="504"/>
      <c r="X165" s="504"/>
      <c r="Y165" s="504"/>
      <c r="Z165" s="504"/>
      <c r="AA165" s="504"/>
      <c r="AB165" s="504"/>
      <c r="AC165" s="504"/>
      <c r="AD165" s="504"/>
      <c r="AE165" s="504"/>
      <c r="AF165" s="504"/>
      <c r="AG165" s="504"/>
      <c r="AH165" s="504"/>
      <c r="AI165" s="504"/>
      <c r="AJ165" s="504"/>
      <c r="AK165" s="504"/>
      <c r="AL165" s="504"/>
      <c r="AM165" s="504"/>
      <c r="AN165" s="504"/>
      <c r="AO165" s="504"/>
      <c r="AP165" s="504"/>
      <c r="AQ165" s="1277"/>
      <c r="AR165" s="1277"/>
      <c r="AS165" s="1277"/>
      <c r="AT165" s="1277"/>
      <c r="AU165" s="1277"/>
    </row>
    <row r="166" spans="1:47" ht="12" customHeight="1" thickBot="1">
      <c r="A166" s="1277"/>
      <c r="B166" s="504"/>
      <c r="C166" s="2012"/>
      <c r="D166" s="2012"/>
      <c r="E166" s="2012"/>
      <c r="F166" s="504"/>
      <c r="G166" s="504"/>
      <c r="H166" s="504"/>
      <c r="I166" s="504"/>
      <c r="J166" s="504"/>
      <c r="K166" s="504"/>
      <c r="L166" s="504"/>
      <c r="M166" s="504"/>
      <c r="N166" s="504"/>
      <c r="O166" s="504"/>
      <c r="P166" s="504"/>
      <c r="Q166" s="504"/>
      <c r="R166" s="504"/>
      <c r="S166" s="504"/>
      <c r="T166" s="504"/>
      <c r="U166" s="504"/>
      <c r="V166" s="504"/>
      <c r="W166" s="504"/>
      <c r="X166" s="504"/>
      <c r="Y166" s="504"/>
      <c r="Z166" s="504"/>
      <c r="AA166" s="504"/>
      <c r="AB166" s="504"/>
      <c r="AC166" s="504"/>
      <c r="AD166" s="504"/>
      <c r="AE166" s="504"/>
      <c r="AF166" s="504"/>
      <c r="AG166" s="504"/>
      <c r="AH166" s="504"/>
      <c r="AI166" s="504"/>
      <c r="AJ166" s="504"/>
      <c r="AK166" s="504"/>
      <c r="AL166" s="504"/>
      <c r="AM166" s="504"/>
      <c r="AN166" s="504"/>
      <c r="AO166" s="504"/>
      <c r="AP166" s="504"/>
      <c r="AQ166" s="1277"/>
      <c r="AR166" s="1277"/>
      <c r="AS166" s="1277"/>
      <c r="AT166" s="1277"/>
      <c r="AU166" s="1277"/>
    </row>
    <row r="167" spans="1:47" ht="13.5" thickBot="1">
      <c r="A167" s="1277"/>
      <c r="B167" s="504"/>
      <c r="C167" s="10928" t="b">
        <f>(G167&lt;&gt;"")</f>
        <v>0</v>
      </c>
      <c r="D167" s="10928"/>
      <c r="E167" s="10928"/>
      <c r="F167" s="2248"/>
      <c r="G167" s="2274" t="str">
        <f>IF(NOT(AL136),"",IF(AK142&gt;=AA160,"X",""))</f>
        <v/>
      </c>
      <c r="H167" s="504"/>
      <c r="I167" s="807" t="s">
        <v>938</v>
      </c>
      <c r="J167" s="504"/>
      <c r="K167" s="504" t="s">
        <v>4098</v>
      </c>
      <c r="L167" s="504"/>
      <c r="M167" s="504"/>
      <c r="N167" s="504"/>
      <c r="O167" s="504"/>
      <c r="P167" s="504"/>
      <c r="Q167" s="504"/>
      <c r="R167" s="504"/>
      <c r="S167" s="504"/>
      <c r="T167" s="504"/>
      <c r="U167" s="504"/>
      <c r="V167" s="504"/>
      <c r="W167" s="504"/>
      <c r="X167" s="504"/>
      <c r="Y167" s="504"/>
      <c r="Z167" s="504"/>
      <c r="AA167" s="504"/>
      <c r="AB167" s="504"/>
      <c r="AC167" s="504"/>
      <c r="AD167" s="504"/>
      <c r="AE167" s="504"/>
      <c r="AF167" s="504"/>
      <c r="AG167" s="504"/>
      <c r="AH167" s="504"/>
      <c r="AI167" s="504"/>
      <c r="AJ167" s="504"/>
      <c r="AK167" s="504"/>
      <c r="AL167" s="504"/>
      <c r="AM167" s="504"/>
      <c r="AN167" s="504"/>
      <c r="AO167" s="504"/>
      <c r="AP167" s="504"/>
      <c r="AQ167" s="1277"/>
      <c r="AR167" s="1277"/>
      <c r="AS167" s="1277"/>
      <c r="AT167" s="1277"/>
      <c r="AU167" s="1277"/>
    </row>
    <row r="168" spans="1:47" ht="12" customHeight="1">
      <c r="A168" s="1277"/>
      <c r="B168" s="504"/>
      <c r="C168" s="10928" t="b">
        <f>AND(C167,AK158&gt;=AK140)</f>
        <v>0</v>
      </c>
      <c r="D168" s="10928"/>
      <c r="E168" s="10928"/>
      <c r="F168" s="504"/>
      <c r="G168" s="504"/>
      <c r="H168" s="504"/>
      <c r="I168" s="504"/>
      <c r="J168" s="504" t="s">
        <v>4099</v>
      </c>
      <c r="K168" s="504"/>
      <c r="L168" s="504"/>
      <c r="M168" s="504"/>
      <c r="N168" s="504"/>
      <c r="O168" s="504"/>
      <c r="P168" s="504"/>
      <c r="Q168" s="504"/>
      <c r="R168" s="504"/>
      <c r="S168" s="504"/>
      <c r="T168" s="504"/>
      <c r="U168" s="504"/>
      <c r="V168" s="504"/>
      <c r="W168" s="504"/>
      <c r="X168" s="504"/>
      <c r="Y168" s="504"/>
      <c r="Z168" s="504"/>
      <c r="AA168" s="504"/>
      <c r="AB168" s="504"/>
      <c r="AC168" s="504"/>
      <c r="AD168" s="504"/>
      <c r="AE168" s="504"/>
      <c r="AF168" s="504"/>
      <c r="AG168" s="504"/>
      <c r="AH168" s="504"/>
      <c r="AI168" s="504"/>
      <c r="AJ168" s="504"/>
      <c r="AK168" s="504"/>
      <c r="AL168" s="504"/>
      <c r="AM168" s="504"/>
      <c r="AN168" s="504"/>
      <c r="AO168" s="504"/>
      <c r="AP168" s="504"/>
      <c r="AQ168" s="1277"/>
      <c r="AR168" s="1277"/>
      <c r="AS168" s="2195"/>
      <c r="AT168" s="1277"/>
      <c r="AU168" s="1277"/>
    </row>
    <row r="169" spans="1:47" ht="6.75" customHeight="1">
      <c r="A169" s="1277"/>
      <c r="B169" s="504"/>
      <c r="C169" s="504"/>
      <c r="D169" s="50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c r="AA169" s="504"/>
      <c r="AB169" s="504"/>
      <c r="AC169" s="504"/>
      <c r="AD169" s="504"/>
      <c r="AE169" s="504"/>
      <c r="AF169" s="504"/>
      <c r="AG169" s="504"/>
      <c r="AH169" s="504"/>
      <c r="AI169" s="504"/>
      <c r="AJ169" s="504"/>
      <c r="AK169" s="504"/>
      <c r="AL169" s="504"/>
      <c r="AM169" s="504"/>
      <c r="AN169" s="504"/>
      <c r="AO169" s="504"/>
      <c r="AP169" s="504"/>
      <c r="AQ169" s="1277"/>
      <c r="AR169" s="1277"/>
      <c r="AS169" s="1277"/>
      <c r="AT169" s="1277"/>
      <c r="AU169" s="1277"/>
    </row>
    <row r="170" spans="1:47" ht="18" customHeight="1">
      <c r="A170" s="1277"/>
      <c r="B170" s="2275"/>
      <c r="C170" s="2275"/>
      <c r="D170" s="2275"/>
      <c r="E170" s="2275"/>
      <c r="F170" s="2272" t="s">
        <v>198</v>
      </c>
      <c r="G170" s="1171" t="s">
        <v>4946</v>
      </c>
      <c r="H170" s="504"/>
      <c r="I170" s="504"/>
      <c r="J170" s="504"/>
      <c r="K170" s="504"/>
      <c r="L170" s="504"/>
      <c r="M170" s="504"/>
      <c r="N170" s="504"/>
      <c r="O170" s="504"/>
      <c r="P170" s="504"/>
      <c r="Q170" s="504"/>
      <c r="R170" s="504"/>
      <c r="S170" s="504"/>
      <c r="T170" s="504"/>
      <c r="U170" s="504"/>
      <c r="V170" s="504"/>
      <c r="W170" s="504"/>
      <c r="X170" s="504"/>
      <c r="Y170" s="504"/>
      <c r="Z170" s="504"/>
      <c r="AA170" s="504"/>
      <c r="AB170" s="504"/>
      <c r="AC170" s="504"/>
      <c r="AD170" s="504"/>
      <c r="AE170" s="504"/>
      <c r="AF170" s="504"/>
      <c r="AG170" s="504"/>
      <c r="AH170" s="504"/>
      <c r="AI170" s="504"/>
      <c r="AJ170" s="504"/>
      <c r="AK170" s="504"/>
      <c r="AL170" s="10928" t="b">
        <f>OR(C163,NOT(C168))</f>
        <v>1</v>
      </c>
      <c r="AM170" s="10928"/>
      <c r="AN170" s="10928"/>
      <c r="AO170" s="504"/>
      <c r="AP170" s="504"/>
      <c r="AQ170" s="1277"/>
      <c r="AR170" s="1277"/>
      <c r="AS170" s="1277"/>
      <c r="AT170" s="1277"/>
      <c r="AU170" s="1277"/>
    </row>
    <row r="171" spans="1:47" ht="15">
      <c r="A171" s="1277"/>
      <c r="B171" s="2275"/>
      <c r="C171" s="2275"/>
      <c r="D171" s="2275"/>
      <c r="E171" s="2275"/>
      <c r="F171" s="2272"/>
      <c r="G171" s="319" t="s">
        <v>4100</v>
      </c>
      <c r="H171" s="504"/>
      <c r="I171" s="504"/>
      <c r="J171" s="504"/>
      <c r="K171" s="504"/>
      <c r="L171" s="504"/>
      <c r="M171" s="504"/>
      <c r="N171" s="504"/>
      <c r="O171" s="504"/>
      <c r="P171" s="504"/>
      <c r="Q171" s="504"/>
      <c r="R171" s="504"/>
      <c r="S171" s="504"/>
      <c r="T171" s="504"/>
      <c r="U171" s="504"/>
      <c r="V171" s="504"/>
      <c r="W171" s="504"/>
      <c r="X171" s="504"/>
      <c r="Y171" s="504"/>
      <c r="Z171" s="504"/>
      <c r="AA171" s="504"/>
      <c r="AB171" s="504"/>
      <c r="AC171" s="504"/>
      <c r="AD171" s="504"/>
      <c r="AE171" s="504"/>
      <c r="AF171" s="504"/>
      <c r="AG171" s="504"/>
      <c r="AH171" s="504"/>
      <c r="AI171" s="504"/>
      <c r="AJ171" s="504"/>
      <c r="AK171" s="504"/>
      <c r="AL171" s="504"/>
      <c r="AM171" s="504"/>
      <c r="AN171" s="504"/>
      <c r="AO171" s="504"/>
      <c r="AP171" s="504"/>
      <c r="AQ171" s="1277"/>
      <c r="AR171" s="1277"/>
      <c r="AS171" s="2195" t="s">
        <v>771</v>
      </c>
      <c r="AT171" s="1277"/>
      <c r="AU171" s="1277"/>
    </row>
    <row r="172" spans="1:47" ht="12" customHeight="1">
      <c r="A172" s="1277"/>
      <c r="B172" s="2275"/>
      <c r="C172" s="2275"/>
      <c r="D172" s="2275"/>
      <c r="E172" s="2275"/>
      <c r="F172" s="504"/>
      <c r="G172" s="504" t="s">
        <v>4947</v>
      </c>
      <c r="H172" s="504"/>
      <c r="I172" s="504"/>
      <c r="J172" s="504"/>
      <c r="K172" s="504"/>
      <c r="L172" s="504"/>
      <c r="M172" s="504"/>
      <c r="N172" s="504"/>
      <c r="O172" s="504"/>
      <c r="P172" s="504"/>
      <c r="Q172" s="504"/>
      <c r="R172" s="504"/>
      <c r="S172" s="504"/>
      <c r="T172" s="504"/>
      <c r="U172" s="504"/>
      <c r="V172" s="504"/>
      <c r="W172" s="504"/>
      <c r="X172" s="504"/>
      <c r="Y172" s="504"/>
      <c r="Z172" s="504"/>
      <c r="AA172" s="504"/>
      <c r="AB172" s="1989"/>
      <c r="AC172" s="504"/>
      <c r="AD172" s="10977" t="s">
        <v>242</v>
      </c>
      <c r="AE172" s="10933">
        <f>IF(NOT(AL170),"",IF(NOT(AL173),ROUND(AS172,0),SUM(ROUND(AS174,0),ROUND(AS176,0))))</f>
        <v>0</v>
      </c>
      <c r="AF172" s="10934"/>
      <c r="AG172" s="10934"/>
      <c r="AH172" s="10934"/>
      <c r="AI172" s="10934"/>
      <c r="AJ172" s="504"/>
      <c r="AK172" s="504"/>
      <c r="AL172" s="504"/>
      <c r="AM172" s="504"/>
      <c r="AN172" s="504"/>
      <c r="AO172" s="504"/>
      <c r="AP172" s="504"/>
      <c r="AQ172" s="1277"/>
      <c r="AR172" s="1277"/>
      <c r="AS172" s="1296"/>
      <c r="AT172" s="1277"/>
      <c r="AU172" s="1277"/>
    </row>
    <row r="173" spans="1:47" ht="12" customHeight="1">
      <c r="A173" s="1277"/>
      <c r="B173" s="2275"/>
      <c r="C173" s="2275"/>
      <c r="D173" s="2275"/>
      <c r="E173" s="2275"/>
      <c r="F173" s="504"/>
      <c r="G173" s="504" t="s">
        <v>4948</v>
      </c>
      <c r="H173" s="504"/>
      <c r="I173" s="504"/>
      <c r="J173" s="504"/>
      <c r="K173" s="504"/>
      <c r="L173" s="504"/>
      <c r="M173" s="504"/>
      <c r="N173" s="504"/>
      <c r="O173" s="504"/>
      <c r="P173" s="504"/>
      <c r="Q173" s="504"/>
      <c r="R173" s="504"/>
      <c r="S173" s="504"/>
      <c r="T173" s="504"/>
      <c r="U173" s="504"/>
      <c r="V173" s="504"/>
      <c r="W173" s="504"/>
      <c r="X173" s="504"/>
      <c r="Y173" s="504"/>
      <c r="Z173" s="504"/>
      <c r="AA173" s="504"/>
      <c r="AB173" s="1989" t="s">
        <v>1322</v>
      </c>
      <c r="AC173" s="504"/>
      <c r="AD173" s="10978"/>
      <c r="AE173" s="7377"/>
      <c r="AF173" s="7378"/>
      <c r="AG173" s="7378"/>
      <c r="AH173" s="7378"/>
      <c r="AI173" s="7378"/>
      <c r="AJ173" s="504"/>
      <c r="AK173" s="504"/>
      <c r="AL173" s="10928" t="b">
        <f>AND(AL136,C168,AL170,PuertoRicoResident)</f>
        <v>0</v>
      </c>
      <c r="AM173" s="10928"/>
      <c r="AN173" s="10928"/>
      <c r="AO173" s="504"/>
      <c r="AP173" s="504"/>
      <c r="AQ173" s="1277"/>
      <c r="AR173" s="1277"/>
      <c r="AS173" s="2187" t="str">
        <f>IF($AL$173,"PR From 499-R2/W-2PR, box 21","")</f>
        <v/>
      </c>
      <c r="AT173" s="1277"/>
      <c r="AU173" s="1277"/>
    </row>
    <row r="174" spans="1:47" ht="12" customHeight="1">
      <c r="A174" s="1277"/>
      <c r="B174" s="2275"/>
      <c r="C174" s="2275"/>
      <c r="D174" s="2275"/>
      <c r="E174" s="2275"/>
      <c r="F174" s="504"/>
      <c r="G174" s="2007" t="s">
        <v>637</v>
      </c>
      <c r="H174" s="504" t="s">
        <v>4949</v>
      </c>
      <c r="I174" s="504"/>
      <c r="J174" s="504"/>
      <c r="K174" s="504"/>
      <c r="L174" s="504"/>
      <c r="M174" s="504"/>
      <c r="N174" s="504"/>
      <c r="O174" s="504"/>
      <c r="P174" s="504"/>
      <c r="Q174" s="504"/>
      <c r="R174" s="504"/>
      <c r="S174" s="504"/>
      <c r="T174" s="504"/>
      <c r="U174" s="504"/>
      <c r="V174" s="504"/>
      <c r="W174" s="504"/>
      <c r="X174" s="504"/>
      <c r="Y174" s="504"/>
      <c r="Z174" s="504"/>
      <c r="AA174" s="504"/>
      <c r="AB174" s="504"/>
      <c r="AC174" s="504"/>
      <c r="AD174" s="504"/>
      <c r="AE174" s="504"/>
      <c r="AF174" s="504"/>
      <c r="AG174" s="504"/>
      <c r="AH174" s="504"/>
      <c r="AI174" s="504"/>
      <c r="AJ174" s="504"/>
      <c r="AK174" s="504"/>
      <c r="AL174" s="504"/>
      <c r="AM174" s="504"/>
      <c r="AN174" s="504"/>
      <c r="AO174" s="504"/>
      <c r="AP174" s="504"/>
      <c r="AQ174" s="1277"/>
      <c r="AR174" s="1277"/>
      <c r="AS174" s="2276"/>
      <c r="AT174" s="1277"/>
      <c r="AU174" s="1277"/>
    </row>
    <row r="175" spans="1:47" ht="12" customHeight="1">
      <c r="A175" s="1277"/>
      <c r="B175" s="2275"/>
      <c r="C175" s="2275"/>
      <c r="D175" s="2275"/>
      <c r="E175" s="2275"/>
      <c r="F175" s="504"/>
      <c r="G175" s="2007"/>
      <c r="H175" s="2853" t="s">
        <v>4950</v>
      </c>
      <c r="I175" s="504"/>
      <c r="J175" s="504"/>
      <c r="K175" s="504"/>
      <c r="L175" s="504"/>
      <c r="M175" s="504"/>
      <c r="N175" s="504"/>
      <c r="O175" s="504"/>
      <c r="P175" s="504"/>
      <c r="Q175" s="504"/>
      <c r="R175" s="504"/>
      <c r="S175" s="504"/>
      <c r="T175" s="504"/>
      <c r="U175" s="504"/>
      <c r="V175" s="504"/>
      <c r="W175" s="504"/>
      <c r="X175" s="504"/>
      <c r="Y175" s="504"/>
      <c r="Z175" s="504"/>
      <c r="AA175" s="504"/>
      <c r="AB175" s="504"/>
      <c r="AC175" s="504"/>
      <c r="AD175" s="504"/>
      <c r="AE175" s="504"/>
      <c r="AF175" s="504"/>
      <c r="AG175" s="504"/>
      <c r="AH175" s="504"/>
      <c r="AI175" s="504"/>
      <c r="AJ175" s="504"/>
      <c r="AK175" s="504"/>
      <c r="AL175" s="504"/>
      <c r="AM175" s="504"/>
      <c r="AN175" s="504"/>
      <c r="AO175" s="504"/>
      <c r="AP175" s="504"/>
      <c r="AQ175" s="1277"/>
      <c r="AR175" s="1277"/>
      <c r="AS175" s="2187" t="str">
        <f>IF($AL$173,"PR From 499-R2/W-2PR, box 23","")</f>
        <v/>
      </c>
      <c r="AT175" s="1277"/>
      <c r="AU175" s="1277"/>
    </row>
    <row r="176" spans="1:47" ht="12" customHeight="1">
      <c r="A176" s="1277"/>
      <c r="B176" s="2275"/>
      <c r="C176" s="2275"/>
      <c r="D176" s="2275"/>
      <c r="E176" s="2275"/>
      <c r="F176" s="504"/>
      <c r="G176" s="2007" t="s">
        <v>637</v>
      </c>
      <c r="H176" s="504" t="s">
        <v>4952</v>
      </c>
      <c r="I176" s="504"/>
      <c r="J176" s="504"/>
      <c r="K176" s="504"/>
      <c r="L176" s="504"/>
      <c r="M176" s="504"/>
      <c r="N176" s="504"/>
      <c r="O176" s="504"/>
      <c r="P176" s="504"/>
      <c r="Q176" s="504"/>
      <c r="R176" s="504"/>
      <c r="S176" s="504"/>
      <c r="T176" s="504"/>
      <c r="U176" s="504"/>
      <c r="V176" s="504"/>
      <c r="W176" s="504"/>
      <c r="X176" s="504"/>
      <c r="Y176" s="504"/>
      <c r="Z176" s="504"/>
      <c r="AA176" s="504"/>
      <c r="AB176" s="504"/>
      <c r="AC176" s="504"/>
      <c r="AD176" s="504"/>
      <c r="AE176" s="504"/>
      <c r="AF176" s="504"/>
      <c r="AG176" s="504"/>
      <c r="AH176" s="504"/>
      <c r="AI176" s="504"/>
      <c r="AJ176" s="504"/>
      <c r="AK176" s="504"/>
      <c r="AL176" s="504"/>
      <c r="AM176" s="504"/>
      <c r="AN176" s="504"/>
      <c r="AO176" s="504"/>
      <c r="AP176" s="504"/>
      <c r="AQ176" s="1277"/>
      <c r="AR176" s="1277"/>
      <c r="AS176" s="2276"/>
      <c r="AT176" s="1277"/>
      <c r="AU176" s="1277"/>
    </row>
    <row r="177" spans="1:47" ht="12" customHeight="1">
      <c r="A177" s="1277"/>
      <c r="B177" s="2275"/>
      <c r="C177" s="2275"/>
      <c r="D177" s="2275"/>
      <c r="E177" s="2275"/>
      <c r="F177" s="504"/>
      <c r="G177" s="2007"/>
      <c r="H177" s="2853" t="s">
        <v>4951</v>
      </c>
      <c r="I177" s="504"/>
      <c r="J177" s="504"/>
      <c r="K177" s="504"/>
      <c r="L177" s="504"/>
      <c r="M177" s="504"/>
      <c r="N177" s="504"/>
      <c r="O177" s="504"/>
      <c r="P177" s="504"/>
      <c r="Q177" s="504"/>
      <c r="R177" s="504"/>
      <c r="S177" s="504"/>
      <c r="T177" s="504"/>
      <c r="U177" s="504"/>
      <c r="V177" s="504"/>
      <c r="W177" s="504"/>
      <c r="X177" s="504"/>
      <c r="Y177" s="504"/>
      <c r="Z177" s="504"/>
      <c r="AA177" s="504"/>
      <c r="AB177" s="504"/>
      <c r="AC177" s="504"/>
      <c r="AD177" s="504"/>
      <c r="AE177" s="504"/>
      <c r="AF177" s="504"/>
      <c r="AG177" s="504"/>
      <c r="AH177" s="504"/>
      <c r="AI177" s="504"/>
      <c r="AJ177" s="504"/>
      <c r="AK177" s="504"/>
      <c r="AL177" s="504"/>
      <c r="AM177" s="504"/>
      <c r="AN177" s="504"/>
      <c r="AO177" s="504"/>
      <c r="AP177" s="504"/>
      <c r="AQ177" s="1277"/>
      <c r="AR177" s="1277"/>
      <c r="AS177" s="1277"/>
      <c r="AT177" s="1277"/>
      <c r="AU177" s="1277"/>
    </row>
    <row r="178" spans="1:47" ht="13.5" customHeight="1">
      <c r="A178" s="1277"/>
      <c r="B178" s="2275"/>
      <c r="C178" s="2275"/>
      <c r="D178" s="2275"/>
      <c r="E178" s="2275"/>
      <c r="F178" s="504"/>
      <c r="G178" s="504"/>
      <c r="H178" s="504"/>
      <c r="I178" s="504"/>
      <c r="J178" s="504"/>
      <c r="K178" s="504"/>
      <c r="L178" s="504"/>
      <c r="M178" s="504"/>
      <c r="N178" s="504"/>
      <c r="O178" s="504"/>
      <c r="P178" s="504"/>
      <c r="Q178" s="504"/>
      <c r="R178" s="504"/>
      <c r="S178" s="504"/>
      <c r="T178" s="504"/>
      <c r="U178" s="504"/>
      <c r="V178" s="504"/>
      <c r="W178" s="504"/>
      <c r="X178" s="504"/>
      <c r="Y178" s="504"/>
      <c r="Z178" s="504"/>
      <c r="AA178" s="504"/>
      <c r="AB178" s="504"/>
      <c r="AC178" s="504"/>
      <c r="AD178" s="504"/>
      <c r="AE178" s="504"/>
      <c r="AF178" s="504"/>
      <c r="AG178" s="504"/>
      <c r="AH178" s="504"/>
      <c r="AI178" s="504"/>
      <c r="AJ178" s="504"/>
      <c r="AK178" s="504"/>
      <c r="AL178" s="504"/>
      <c r="AM178" s="504"/>
      <c r="AN178" s="504"/>
      <c r="AO178" s="504"/>
      <c r="AP178" s="504"/>
      <c r="AQ178" s="1277"/>
      <c r="AR178" s="1277"/>
      <c r="AS178" s="1277"/>
      <c r="AT178" s="1277"/>
      <c r="AU178" s="1277"/>
    </row>
    <row r="179" spans="1:47" ht="6" customHeight="1">
      <c r="A179" s="1277"/>
      <c r="B179" s="2275"/>
      <c r="C179" s="2275"/>
      <c r="D179" s="2275"/>
      <c r="E179" s="2275"/>
      <c r="F179" s="504"/>
      <c r="G179" s="504"/>
      <c r="H179" s="504"/>
      <c r="I179" s="504"/>
      <c r="J179" s="504"/>
      <c r="K179" s="504"/>
      <c r="L179" s="504"/>
      <c r="M179" s="504"/>
      <c r="N179" s="504"/>
      <c r="O179" s="504"/>
      <c r="P179" s="504"/>
      <c r="Q179" s="504"/>
      <c r="R179" s="504"/>
      <c r="S179" s="504"/>
      <c r="T179" s="504"/>
      <c r="U179" s="504"/>
      <c r="V179" s="504"/>
      <c r="W179" s="504"/>
      <c r="X179" s="504"/>
      <c r="Y179" s="504"/>
      <c r="Z179" s="504"/>
      <c r="AA179" s="504"/>
      <c r="AB179" s="504"/>
      <c r="AC179" s="504"/>
      <c r="AD179" s="504"/>
      <c r="AE179" s="504"/>
      <c r="AF179" s="504"/>
      <c r="AG179" s="504"/>
      <c r="AH179" s="504"/>
      <c r="AI179" s="504"/>
      <c r="AJ179" s="504"/>
      <c r="AK179" s="504"/>
      <c r="AL179" s="504"/>
      <c r="AM179" s="504"/>
      <c r="AN179" s="504"/>
      <c r="AO179" s="504"/>
      <c r="AP179" s="504"/>
      <c r="AQ179" s="1277"/>
      <c r="AR179" s="1277"/>
      <c r="AS179" s="1277"/>
      <c r="AT179" s="1277"/>
      <c r="AU179" s="1277"/>
    </row>
    <row r="180" spans="1:47" ht="12" customHeight="1">
      <c r="A180" s="1277"/>
      <c r="B180" s="504"/>
      <c r="C180" s="504"/>
      <c r="D180" s="504"/>
      <c r="E180" s="504"/>
      <c r="F180" s="2272" t="s">
        <v>200</v>
      </c>
      <c r="G180" s="1171" t="s">
        <v>4954</v>
      </c>
      <c r="H180" s="504"/>
      <c r="I180" s="504"/>
      <c r="J180" s="504"/>
      <c r="K180" s="504"/>
      <c r="L180" s="504"/>
      <c r="M180" s="504"/>
      <c r="N180" s="504"/>
      <c r="O180" s="504"/>
      <c r="P180" s="504"/>
      <c r="Q180" s="504"/>
      <c r="R180" s="504"/>
      <c r="S180" s="504"/>
      <c r="T180" s="504"/>
      <c r="U180" s="504"/>
      <c r="V180" s="504"/>
      <c r="W180" s="504"/>
      <c r="X180" s="504"/>
      <c r="Y180" s="504"/>
      <c r="Z180" s="504"/>
      <c r="AA180" s="504"/>
      <c r="AB180" s="504"/>
      <c r="AC180" s="504"/>
      <c r="AD180" s="504"/>
      <c r="AE180" s="504"/>
      <c r="AF180" s="504"/>
      <c r="AG180" s="504"/>
      <c r="AH180" s="504"/>
      <c r="AI180" s="504"/>
      <c r="AJ180" s="504"/>
      <c r="AK180" s="504"/>
      <c r="AL180" s="504"/>
      <c r="AM180" s="504"/>
      <c r="AN180" s="504"/>
      <c r="AO180" s="504"/>
      <c r="AP180" s="504"/>
      <c r="AQ180" s="1277"/>
      <c r="AR180" s="1277"/>
      <c r="AS180" s="1277"/>
      <c r="AT180" s="1277"/>
      <c r="AU180" s="1277"/>
    </row>
    <row r="181" spans="1:47" ht="12" customHeight="1">
      <c r="A181" s="1277"/>
      <c r="B181" s="504"/>
      <c r="C181" s="504"/>
      <c r="D181" s="504"/>
      <c r="E181" s="504"/>
      <c r="F181" s="504"/>
      <c r="G181" s="2007" t="s">
        <v>637</v>
      </c>
      <c r="H181" s="504" t="s">
        <v>4101</v>
      </c>
      <c r="I181" s="504"/>
      <c r="J181" s="504"/>
      <c r="K181" s="504"/>
      <c r="L181" s="504"/>
      <c r="M181" s="504"/>
      <c r="N181" s="504"/>
      <c r="O181" s="504"/>
      <c r="P181" s="8207">
        <f>IF(NOT(AL170),"",SE_Deduct)</f>
        <v>0</v>
      </c>
      <c r="Q181" s="8207"/>
      <c r="R181" s="8207"/>
      <c r="S181" s="8207"/>
      <c r="T181" s="504"/>
      <c r="U181" s="504"/>
      <c r="V181" s="504"/>
      <c r="W181" s="504"/>
      <c r="X181" s="504"/>
      <c r="Y181" s="504"/>
      <c r="Z181" s="504"/>
      <c r="AA181" s="504"/>
      <c r="AB181" s="504"/>
      <c r="AC181" s="504"/>
      <c r="AD181" s="504"/>
      <c r="AE181" s="504"/>
      <c r="AF181" s="504"/>
      <c r="AG181" s="504"/>
      <c r="AH181" s="504"/>
      <c r="AI181" s="504"/>
      <c r="AJ181" s="504"/>
      <c r="AK181" s="504"/>
      <c r="AL181" s="504"/>
      <c r="AM181" s="504"/>
      <c r="AN181" s="504"/>
      <c r="AO181" s="504"/>
      <c r="AP181" s="504"/>
      <c r="AQ181" s="1277"/>
      <c r="AR181" s="1277"/>
      <c r="AS181" s="1277"/>
      <c r="AT181" s="1277"/>
      <c r="AU181" s="1277"/>
    </row>
    <row r="182" spans="1:47" ht="12" customHeight="1">
      <c r="A182" s="1277"/>
      <c r="B182" s="504"/>
      <c r="C182" s="504"/>
      <c r="D182" s="504"/>
      <c r="E182" s="504"/>
      <c r="F182" s="504"/>
      <c r="G182" s="2007" t="s">
        <v>637</v>
      </c>
      <c r="H182" s="504" t="s">
        <v>4102</v>
      </c>
      <c r="I182" s="504"/>
      <c r="J182" s="504"/>
      <c r="K182" s="504"/>
      <c r="L182" s="504"/>
      <c r="M182" s="504"/>
      <c r="N182" s="504"/>
      <c r="O182" s="504"/>
      <c r="P182" s="8207" t="str">
        <f>IF(NOT(AL170),"",'Sch. 2'!Z39)</f>
        <v/>
      </c>
      <c r="Q182" s="8207"/>
      <c r="R182" s="8207"/>
      <c r="S182" s="8207"/>
      <c r="T182" s="504"/>
      <c r="U182" s="504"/>
      <c r="V182" s="504"/>
      <c r="W182" s="504"/>
      <c r="X182" s="504"/>
      <c r="Y182" s="504"/>
      <c r="Z182" s="504"/>
      <c r="AA182" s="504"/>
      <c r="AB182" s="1989"/>
      <c r="AC182" s="504"/>
      <c r="AD182" s="10977" t="s">
        <v>244</v>
      </c>
      <c r="AE182" s="10979">
        <f>IF(NOT(AL170),"",SUM(P181:S184))</f>
        <v>0</v>
      </c>
      <c r="AF182" s="10980"/>
      <c r="AG182" s="10980"/>
      <c r="AH182" s="10980"/>
      <c r="AI182" s="10980"/>
      <c r="AJ182" s="504"/>
      <c r="AK182" s="504"/>
      <c r="AL182" s="504"/>
      <c r="AM182" s="504"/>
      <c r="AN182" s="504"/>
      <c r="AO182" s="504"/>
      <c r="AP182" s="504"/>
      <c r="AQ182" s="1277"/>
      <c r="AR182" s="1277"/>
      <c r="AS182" s="1277"/>
      <c r="AT182" s="1277"/>
      <c r="AU182" s="1277"/>
    </row>
    <row r="183" spans="1:47" ht="12" customHeight="1">
      <c r="A183" s="1277"/>
      <c r="B183" s="504"/>
      <c r="C183" s="504"/>
      <c r="D183" s="504"/>
      <c r="E183" s="504"/>
      <c r="F183" s="504"/>
      <c r="G183" s="2007" t="s">
        <v>637</v>
      </c>
      <c r="H183" s="504" t="s">
        <v>4103</v>
      </c>
      <c r="I183" s="504"/>
      <c r="J183" s="504"/>
      <c r="K183" s="504"/>
      <c r="L183" s="504"/>
      <c r="M183" s="504"/>
      <c r="N183" s="504"/>
      <c r="O183" s="504"/>
      <c r="P183" s="8207" t="str">
        <f>IF(NOT(AL170),"",'Sch. 2'!Z40)</f>
        <v/>
      </c>
      <c r="Q183" s="8207"/>
      <c r="R183" s="8207"/>
      <c r="S183" s="8207"/>
      <c r="T183" s="504"/>
      <c r="U183" s="504"/>
      <c r="V183" s="504"/>
      <c r="W183" s="504"/>
      <c r="X183" s="504"/>
      <c r="Y183" s="504"/>
      <c r="Z183" s="504"/>
      <c r="AA183" s="504"/>
      <c r="AB183" s="1989" t="s">
        <v>1036</v>
      </c>
      <c r="AC183" s="504"/>
      <c r="AD183" s="10978"/>
      <c r="AE183" s="8222"/>
      <c r="AF183" s="8207"/>
      <c r="AG183" s="8207"/>
      <c r="AH183" s="8207"/>
      <c r="AI183" s="8207"/>
      <c r="AJ183" s="504"/>
      <c r="AK183" s="504"/>
      <c r="AL183" s="504"/>
      <c r="AM183" s="504"/>
      <c r="AN183" s="504"/>
      <c r="AO183" s="504"/>
      <c r="AP183" s="504"/>
      <c r="AQ183" s="1277"/>
      <c r="AR183" s="1277"/>
      <c r="AS183" s="1277"/>
      <c r="AT183" s="1277"/>
      <c r="AU183" s="1277"/>
    </row>
    <row r="184" spans="1:47" ht="12" customHeight="1">
      <c r="A184" s="1277"/>
      <c r="B184" s="504"/>
      <c r="C184" s="504"/>
      <c r="D184" s="504"/>
      <c r="E184" s="504"/>
      <c r="F184" s="2248"/>
      <c r="G184" s="2007" t="s">
        <v>637</v>
      </c>
      <c r="H184" s="504" t="s">
        <v>4104</v>
      </c>
      <c r="I184" s="504"/>
      <c r="J184" s="504"/>
      <c r="K184" s="504"/>
      <c r="L184" s="504"/>
      <c r="M184" s="504"/>
      <c r="N184" s="504"/>
      <c r="O184" s="504"/>
      <c r="P184" s="8207">
        <f>IF(NOT(AL170),"",'Sch. 2'!AO49)</f>
        <v>0</v>
      </c>
      <c r="Q184" s="8207"/>
      <c r="R184" s="8207"/>
      <c r="S184" s="8207"/>
      <c r="T184" s="504"/>
      <c r="U184" s="504"/>
      <c r="V184" s="504"/>
      <c r="W184" s="504"/>
      <c r="X184" s="504"/>
      <c r="Y184" s="504"/>
      <c r="Z184" s="504"/>
      <c r="AA184" s="504"/>
      <c r="AB184" s="504"/>
      <c r="AC184" s="504"/>
      <c r="AD184" s="504"/>
      <c r="AE184" s="504"/>
      <c r="AF184" s="504"/>
      <c r="AG184" s="504"/>
      <c r="AH184" s="504"/>
      <c r="AI184" s="504"/>
      <c r="AJ184" s="504"/>
      <c r="AK184" s="504"/>
      <c r="AL184" s="504"/>
      <c r="AM184" s="504"/>
      <c r="AN184" s="504"/>
      <c r="AO184" s="504"/>
      <c r="AP184" s="504"/>
      <c r="AQ184" s="1277"/>
      <c r="AR184" s="1277"/>
      <c r="AS184" s="1277"/>
      <c r="AT184" s="1277"/>
      <c r="AU184" s="1277"/>
    </row>
    <row r="185" spans="1:47" ht="6" customHeight="1">
      <c r="A185" s="1277"/>
      <c r="B185" s="504"/>
      <c r="C185" s="504"/>
      <c r="D185" s="50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c r="AA185" s="504"/>
      <c r="AB185" s="504"/>
      <c r="AC185" s="504"/>
      <c r="AD185" s="504"/>
      <c r="AE185" s="504"/>
      <c r="AF185" s="504"/>
      <c r="AG185" s="504"/>
      <c r="AH185" s="504"/>
      <c r="AI185" s="504"/>
      <c r="AJ185" s="504"/>
      <c r="AK185" s="504"/>
      <c r="AL185" s="504"/>
      <c r="AM185" s="504"/>
      <c r="AN185" s="504"/>
      <c r="AO185" s="504"/>
      <c r="AP185" s="504"/>
      <c r="AQ185" s="1277"/>
      <c r="AR185" s="1277"/>
      <c r="AS185" s="1277"/>
      <c r="AT185" s="1277"/>
      <c r="AU185" s="1277"/>
    </row>
    <row r="186" spans="1:47" ht="20.25" customHeight="1">
      <c r="A186" s="1277"/>
      <c r="B186" s="504"/>
      <c r="C186" s="504"/>
      <c r="D186" s="504"/>
      <c r="E186" s="504"/>
      <c r="F186" s="2248" t="s">
        <v>205</v>
      </c>
      <c r="G186" s="504" t="s">
        <v>4955</v>
      </c>
      <c r="H186" s="504"/>
      <c r="I186" s="504"/>
      <c r="J186" s="504"/>
      <c r="K186" s="504"/>
      <c r="L186" s="504"/>
      <c r="M186" s="504"/>
      <c r="N186" s="504"/>
      <c r="O186" s="504"/>
      <c r="P186" s="504"/>
      <c r="Q186" s="504"/>
      <c r="R186" s="504"/>
      <c r="S186" s="504"/>
      <c r="T186" s="504"/>
      <c r="U186" s="504"/>
      <c r="V186" s="504"/>
      <c r="W186" s="504"/>
      <c r="X186" s="504"/>
      <c r="Y186" s="504"/>
      <c r="Z186" s="504"/>
      <c r="AA186" s="504"/>
      <c r="AB186" s="504"/>
      <c r="AC186" s="504"/>
      <c r="AD186" s="504"/>
      <c r="AE186" s="504"/>
      <c r="AF186" s="504"/>
      <c r="AG186" s="504"/>
      <c r="AH186" s="1989" t="s">
        <v>1330</v>
      </c>
      <c r="AI186" s="2249"/>
      <c r="AJ186" s="2270" t="s">
        <v>377</v>
      </c>
      <c r="AK186" s="10929">
        <f>IF(NOT(AL170),"",SUM(AE172,AE182))</f>
        <v>0</v>
      </c>
      <c r="AL186" s="10930"/>
      <c r="AM186" s="10930"/>
      <c r="AN186" s="10930"/>
      <c r="AO186" s="10930"/>
      <c r="AP186" s="504"/>
      <c r="AQ186" s="1277"/>
      <c r="AR186" s="1277"/>
      <c r="AS186" s="1277"/>
      <c r="AT186" s="1277"/>
      <c r="AU186" s="1277"/>
    </row>
    <row r="187" spans="1:47" ht="6" customHeight="1">
      <c r="A187" s="1277"/>
      <c r="B187" s="504"/>
      <c r="C187" s="504"/>
      <c r="D187" s="50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c r="AA187" s="504"/>
      <c r="AB187" s="504"/>
      <c r="AC187" s="504"/>
      <c r="AD187" s="504"/>
      <c r="AE187" s="504"/>
      <c r="AF187" s="504"/>
      <c r="AG187" s="504"/>
      <c r="AH187" s="504"/>
      <c r="AI187" s="504"/>
      <c r="AJ187" s="504"/>
      <c r="AK187" s="504"/>
      <c r="AL187" s="504"/>
      <c r="AM187" s="504"/>
      <c r="AN187" s="504"/>
      <c r="AO187" s="504"/>
      <c r="AP187" s="504"/>
      <c r="AQ187" s="1277"/>
      <c r="AR187" s="1277"/>
      <c r="AS187" s="1277"/>
      <c r="AT187" s="1277"/>
      <c r="AU187" s="1277"/>
    </row>
    <row r="188" spans="1:47" ht="21" customHeight="1">
      <c r="A188" s="1277"/>
      <c r="B188" s="504"/>
      <c r="C188" s="504"/>
      <c r="D188" s="504"/>
      <c r="E188" s="504"/>
      <c r="F188" s="807" t="s">
        <v>4953</v>
      </c>
      <c r="G188" s="504"/>
      <c r="H188" s="504"/>
      <c r="I188" s="504"/>
      <c r="J188" s="504"/>
      <c r="K188" s="504"/>
      <c r="L188" s="504"/>
      <c r="M188" s="504"/>
      <c r="N188" s="504"/>
      <c r="O188" s="504"/>
      <c r="P188" s="504"/>
      <c r="Q188" s="504"/>
      <c r="R188" s="504"/>
      <c r="S188" s="504"/>
      <c r="T188" s="504"/>
      <c r="U188" s="504"/>
      <c r="V188" s="2264"/>
      <c r="W188" s="504"/>
      <c r="X188" s="504"/>
      <c r="Y188" s="504"/>
      <c r="Z188" s="504"/>
      <c r="AA188" s="504"/>
      <c r="AB188" s="504"/>
      <c r="AC188" s="504"/>
      <c r="AD188" s="504"/>
      <c r="AE188" s="504"/>
      <c r="AF188" s="504"/>
      <c r="AG188" s="504"/>
      <c r="AH188" s="504"/>
      <c r="AI188" s="504"/>
      <c r="AJ188" s="504"/>
      <c r="AK188" s="504"/>
      <c r="AL188" s="504"/>
      <c r="AM188" s="504"/>
      <c r="AN188" s="504"/>
      <c r="AO188" s="504"/>
      <c r="AP188" s="504"/>
      <c r="AQ188" s="1277"/>
      <c r="AR188" s="1277"/>
      <c r="AS188" s="1277"/>
      <c r="AT188" s="1277"/>
      <c r="AU188" s="1277"/>
    </row>
    <row r="189" spans="1:47" ht="18.75" customHeight="1">
      <c r="A189" s="1277"/>
      <c r="B189" s="504"/>
      <c r="C189" s="504"/>
      <c r="D189" s="504"/>
      <c r="E189" s="504"/>
      <c r="F189" s="504"/>
      <c r="G189" s="504"/>
      <c r="H189" s="504"/>
      <c r="I189" s="504"/>
      <c r="J189" s="504"/>
      <c r="K189" s="504"/>
      <c r="L189" s="504"/>
      <c r="M189" s="504"/>
      <c r="N189" s="504"/>
      <c r="O189" s="504"/>
      <c r="P189" s="504"/>
      <c r="Q189" s="504"/>
      <c r="R189" s="504"/>
      <c r="S189" s="504"/>
      <c r="T189" s="504"/>
      <c r="U189" s="504"/>
      <c r="V189" s="2264" t="s">
        <v>4105</v>
      </c>
      <c r="W189" s="504"/>
      <c r="X189" s="504"/>
      <c r="Y189" s="504"/>
      <c r="Z189" s="504"/>
      <c r="AA189" s="504"/>
      <c r="AB189" s="504"/>
      <c r="AC189" s="504"/>
      <c r="AD189" s="504"/>
      <c r="AE189" s="504"/>
      <c r="AF189" s="504"/>
      <c r="AG189" s="504"/>
      <c r="AH189" s="504"/>
      <c r="AI189" s="504"/>
      <c r="AJ189" s="504"/>
      <c r="AK189" s="504"/>
      <c r="AL189" s="504"/>
      <c r="AM189" s="504"/>
      <c r="AN189" s="504"/>
      <c r="AO189" s="504"/>
      <c r="AP189" s="504"/>
      <c r="AQ189" s="1277"/>
      <c r="AR189" s="1277"/>
      <c r="AS189" s="1277"/>
      <c r="AT189" s="1277"/>
      <c r="AU189" s="1277"/>
    </row>
    <row r="190" spans="1:47" ht="12" customHeight="1">
      <c r="A190" s="1277"/>
      <c r="B190" s="2271"/>
      <c r="C190" s="2271"/>
      <c r="D190" s="2271"/>
      <c r="E190" s="2271"/>
      <c r="F190" s="2271"/>
      <c r="G190" s="2271"/>
      <c r="H190" s="2271"/>
      <c r="I190" s="2271"/>
      <c r="J190" s="2271"/>
      <c r="K190" s="2271"/>
      <c r="L190" s="2271"/>
      <c r="M190" s="2271"/>
      <c r="N190" s="2271"/>
      <c r="O190" s="2271"/>
      <c r="P190" s="2271"/>
      <c r="Q190" s="2271"/>
      <c r="R190" s="2271"/>
      <c r="S190" s="2271"/>
      <c r="T190" s="2271"/>
      <c r="U190" s="2271"/>
      <c r="V190" s="2271"/>
      <c r="W190" s="2271"/>
      <c r="X190" s="2271"/>
      <c r="Y190" s="2271"/>
      <c r="Z190" s="2271"/>
      <c r="AA190" s="2271"/>
      <c r="AB190" s="2271"/>
      <c r="AC190" s="2271"/>
      <c r="AD190" s="2271"/>
      <c r="AE190" s="2271"/>
      <c r="AF190" s="2271"/>
      <c r="AG190" s="2271"/>
      <c r="AH190" s="2271"/>
      <c r="AI190" s="2271"/>
      <c r="AJ190" s="2271"/>
      <c r="AK190" s="2271"/>
      <c r="AL190" s="2271"/>
      <c r="AM190" s="2271"/>
      <c r="AN190" s="2271"/>
      <c r="AO190" s="2271"/>
      <c r="AP190" s="2271"/>
      <c r="AQ190" s="1277"/>
      <c r="AR190" s="1277"/>
      <c r="AS190" s="1277"/>
      <c r="AT190" s="1277"/>
      <c r="AU190" s="1277"/>
    </row>
    <row r="191" spans="1:47" ht="6.75" customHeight="1">
      <c r="A191" s="1277"/>
      <c r="B191" s="2263"/>
      <c r="C191" s="2263"/>
      <c r="D191" s="2263"/>
      <c r="E191" s="2263"/>
      <c r="F191" s="2263"/>
      <c r="G191" s="2263"/>
      <c r="H191" s="2263"/>
      <c r="I191" s="2263"/>
      <c r="J191" s="2263"/>
      <c r="K191" s="2263"/>
      <c r="L191" s="2263"/>
      <c r="M191" s="2263"/>
      <c r="N191" s="2263"/>
      <c r="O191" s="2263"/>
      <c r="P191" s="2263"/>
      <c r="Q191" s="2263"/>
      <c r="R191" s="2263"/>
      <c r="S191" s="2263"/>
      <c r="T191" s="2263"/>
      <c r="U191" s="2263"/>
      <c r="V191" s="2263"/>
      <c r="W191" s="2263"/>
      <c r="X191" s="2263"/>
      <c r="Y191" s="2263"/>
      <c r="Z191" s="2263"/>
      <c r="AA191" s="2263"/>
      <c r="AB191" s="2263"/>
      <c r="AC191" s="2263"/>
      <c r="AD191" s="2263"/>
      <c r="AE191" s="2263"/>
      <c r="AF191" s="2263"/>
      <c r="AG191" s="2263"/>
      <c r="AH191" s="2263"/>
      <c r="AI191" s="2263"/>
      <c r="AJ191" s="2263"/>
      <c r="AK191" s="2263"/>
      <c r="AL191" s="2263"/>
      <c r="AM191" s="2263"/>
      <c r="AN191" s="2263"/>
      <c r="AO191" s="2263"/>
      <c r="AP191" s="2263"/>
      <c r="AQ191" s="1277"/>
      <c r="AR191" s="1277"/>
      <c r="AS191" s="1277"/>
      <c r="AT191" s="1277"/>
      <c r="AU191" s="1277"/>
    </row>
    <row r="192" spans="1:47" ht="21.75" customHeight="1" thickBot="1">
      <c r="A192" s="1277"/>
      <c r="B192" s="504"/>
      <c r="C192" s="2277" t="s">
        <v>4956</v>
      </c>
      <c r="D192" s="50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c r="AA192" s="504"/>
      <c r="AB192" s="504"/>
      <c r="AC192" s="504"/>
      <c r="AD192" s="504"/>
      <c r="AE192" s="504"/>
      <c r="AF192" s="504"/>
      <c r="AG192" s="504"/>
      <c r="AH192" s="504"/>
      <c r="AI192" s="504"/>
      <c r="AJ192" s="504"/>
      <c r="AK192" s="504"/>
      <c r="AL192" s="504"/>
      <c r="AM192" s="504"/>
      <c r="AN192" s="504"/>
      <c r="AO192" s="504"/>
      <c r="AP192" s="504"/>
      <c r="AQ192" s="1277"/>
      <c r="AR192" s="1277"/>
      <c r="AS192" s="1277"/>
      <c r="AT192" s="1277"/>
      <c r="AU192" s="1277"/>
    </row>
    <row r="193" spans="1:47" ht="10.5" customHeight="1" thickTop="1">
      <c r="A193" s="1277"/>
      <c r="B193" s="504"/>
      <c r="C193" s="2278"/>
      <c r="D193" s="2279"/>
      <c r="E193" s="2279"/>
      <c r="F193" s="2279"/>
      <c r="G193" s="2279"/>
      <c r="H193" s="2279"/>
      <c r="I193" s="2279"/>
      <c r="J193" s="2279"/>
      <c r="K193" s="2279"/>
      <c r="L193" s="2279"/>
      <c r="M193" s="2279"/>
      <c r="N193" s="2279"/>
      <c r="O193" s="2279"/>
      <c r="P193" s="2279"/>
      <c r="Q193" s="2279"/>
      <c r="R193" s="2279"/>
      <c r="S193" s="2279"/>
      <c r="T193" s="2279"/>
      <c r="U193" s="2279"/>
      <c r="V193" s="2279"/>
      <c r="W193" s="2279"/>
      <c r="X193" s="2279"/>
      <c r="Y193" s="2279"/>
      <c r="Z193" s="2279"/>
      <c r="AA193" s="2279"/>
      <c r="AB193" s="2279"/>
      <c r="AC193" s="2279"/>
      <c r="AD193" s="2279"/>
      <c r="AE193" s="2279"/>
      <c r="AF193" s="2279"/>
      <c r="AG193" s="2279"/>
      <c r="AH193" s="2279"/>
      <c r="AI193" s="2279"/>
      <c r="AJ193" s="2279"/>
      <c r="AK193" s="2279"/>
      <c r="AL193" s="2279"/>
      <c r="AM193" s="2279"/>
      <c r="AN193" s="2279"/>
      <c r="AO193" s="2279"/>
      <c r="AP193" s="504"/>
      <c r="AQ193" s="1277"/>
      <c r="AR193" s="1277"/>
      <c r="AS193" s="1277"/>
      <c r="AT193" s="1277"/>
      <c r="AU193" s="1277"/>
    </row>
    <row r="194" spans="1:47">
      <c r="A194" s="1277"/>
      <c r="B194" s="504"/>
      <c r="C194" s="504"/>
      <c r="D194" s="504"/>
      <c r="E194" s="504"/>
      <c r="F194" s="2272" t="s">
        <v>210</v>
      </c>
      <c r="G194" s="1171" t="s">
        <v>4106</v>
      </c>
      <c r="H194" s="504"/>
      <c r="I194" s="504"/>
      <c r="J194" s="504"/>
      <c r="K194" s="504"/>
      <c r="L194" s="504"/>
      <c r="M194" s="504"/>
      <c r="N194" s="504"/>
      <c r="O194" s="504"/>
      <c r="P194" s="504"/>
      <c r="Q194" s="504"/>
      <c r="R194" s="504"/>
      <c r="S194" s="504"/>
      <c r="T194" s="504"/>
      <c r="U194" s="504"/>
      <c r="V194" s="504"/>
      <c r="W194" s="504"/>
      <c r="X194" s="504"/>
      <c r="Y194" s="504"/>
      <c r="Z194" s="504"/>
      <c r="AA194" s="504"/>
      <c r="AB194" s="504"/>
      <c r="AC194" s="504"/>
      <c r="AD194" s="504"/>
      <c r="AE194" s="504"/>
      <c r="AF194" s="504"/>
      <c r="AG194" s="504"/>
      <c r="AH194" s="504"/>
      <c r="AI194" s="504"/>
      <c r="AJ194" s="504"/>
      <c r="AK194" s="504"/>
      <c r="AL194" s="504"/>
      <c r="AM194" s="504"/>
      <c r="AN194" s="504"/>
      <c r="AO194" s="504"/>
      <c r="AP194" s="504"/>
      <c r="AQ194" s="1277"/>
      <c r="AR194" s="1277"/>
      <c r="AS194" s="1277"/>
      <c r="AT194" s="1277"/>
      <c r="AU194" s="1277"/>
    </row>
    <row r="195" spans="1:47">
      <c r="A195" s="1277"/>
      <c r="B195" s="504"/>
      <c r="C195" s="504"/>
      <c r="D195" s="504"/>
      <c r="E195" s="504"/>
      <c r="F195" s="2272"/>
      <c r="G195" s="1171" t="s">
        <v>6190</v>
      </c>
      <c r="H195" s="504"/>
      <c r="I195" s="504"/>
      <c r="J195" s="504"/>
      <c r="K195" s="504"/>
      <c r="L195" s="504"/>
      <c r="M195" s="504"/>
      <c r="N195" s="504"/>
      <c r="O195" s="504"/>
      <c r="P195" s="504"/>
      <c r="Q195" s="504"/>
      <c r="R195" s="504"/>
      <c r="S195" s="504"/>
      <c r="T195" s="504"/>
      <c r="U195" s="504"/>
      <c r="V195" s="504"/>
      <c r="W195" s="504"/>
      <c r="X195" s="504"/>
      <c r="Y195" s="504"/>
      <c r="Z195" s="504"/>
      <c r="AA195" s="504"/>
      <c r="AB195" s="504"/>
      <c r="AC195" s="504"/>
      <c r="AD195" s="10931" t="s">
        <v>246</v>
      </c>
      <c r="AE195" s="10933">
        <f>IF(NOT(AL170),"",SUM('1040'!AF113,'Sch. 3'!AC39))</f>
        <v>0</v>
      </c>
      <c r="AF195" s="10934"/>
      <c r="AG195" s="10934"/>
      <c r="AH195" s="10934"/>
      <c r="AI195" s="10934"/>
      <c r="AJ195" s="504"/>
      <c r="AK195" s="504"/>
      <c r="AL195" s="504"/>
      <c r="AM195" s="504"/>
      <c r="AN195" s="504"/>
      <c r="AO195" s="504"/>
      <c r="AP195" s="504"/>
      <c r="AQ195" s="1277"/>
      <c r="AR195" s="1277"/>
      <c r="AS195" s="1277"/>
      <c r="AT195" s="1277"/>
      <c r="AU195" s="1277"/>
    </row>
    <row r="196" spans="1:47">
      <c r="A196" s="1277"/>
      <c r="B196" s="504"/>
      <c r="C196" s="504"/>
      <c r="D196" s="504"/>
      <c r="E196" s="504"/>
      <c r="F196" s="2272"/>
      <c r="G196" s="1171" t="s">
        <v>5998</v>
      </c>
      <c r="H196" s="504"/>
      <c r="I196" s="504"/>
      <c r="J196" s="504"/>
      <c r="K196" s="504"/>
      <c r="L196" s="504"/>
      <c r="M196" s="504"/>
      <c r="N196" s="504"/>
      <c r="O196" s="504"/>
      <c r="P196" s="504"/>
      <c r="Q196" s="504"/>
      <c r="R196" s="504"/>
      <c r="S196" s="504"/>
      <c r="T196" s="504"/>
      <c r="U196" s="504"/>
      <c r="V196" s="504"/>
      <c r="W196" s="504"/>
      <c r="X196" s="504"/>
      <c r="Y196" s="504"/>
      <c r="Z196" s="504"/>
      <c r="AA196" s="504"/>
      <c r="AB196" s="1989" t="s">
        <v>3699</v>
      </c>
      <c r="AC196" s="504"/>
      <c r="AD196" s="10932"/>
      <c r="AE196" s="7377"/>
      <c r="AF196" s="7378"/>
      <c r="AG196" s="7378"/>
      <c r="AH196" s="7378"/>
      <c r="AI196" s="7378"/>
      <c r="AJ196" s="504"/>
      <c r="AK196" s="504"/>
      <c r="AL196" s="504"/>
      <c r="AM196" s="504"/>
      <c r="AN196" s="504"/>
      <c r="AO196" s="504"/>
      <c r="AP196" s="504"/>
      <c r="AQ196" s="1277"/>
      <c r="AR196" s="1277"/>
      <c r="AS196" s="1277"/>
      <c r="AT196" s="1277"/>
      <c r="AU196" s="1277"/>
    </row>
    <row r="197" spans="1:47">
      <c r="A197" s="1277"/>
      <c r="B197" s="504"/>
      <c r="C197" s="504"/>
      <c r="D197" s="504"/>
      <c r="E197" s="504"/>
      <c r="F197" s="2272"/>
      <c r="G197" s="1171" t="s">
        <v>4108</v>
      </c>
      <c r="H197" s="504"/>
      <c r="I197" s="504"/>
      <c r="J197" s="504"/>
      <c r="K197" s="504"/>
      <c r="L197" s="504"/>
      <c r="M197" s="504"/>
      <c r="N197" s="504"/>
      <c r="O197" s="504"/>
      <c r="P197" s="504"/>
      <c r="Q197" s="504"/>
      <c r="R197" s="504"/>
      <c r="S197" s="504"/>
      <c r="T197" s="504"/>
      <c r="U197" s="504"/>
      <c r="V197" s="504"/>
      <c r="W197" s="504"/>
      <c r="X197" s="504"/>
      <c r="Y197" s="504"/>
      <c r="Z197" s="504"/>
      <c r="AA197" s="504"/>
      <c r="AB197" s="504"/>
      <c r="AC197" s="504"/>
      <c r="AD197" s="504"/>
      <c r="AE197" s="504"/>
      <c r="AF197" s="504"/>
      <c r="AG197" s="504"/>
      <c r="AH197" s="504"/>
      <c r="AI197" s="504"/>
      <c r="AJ197" s="504"/>
      <c r="AK197" s="504"/>
      <c r="AL197" s="504"/>
      <c r="AM197" s="504"/>
      <c r="AN197" s="504"/>
      <c r="AO197" s="504"/>
      <c r="AP197" s="504"/>
      <c r="AQ197" s="1277"/>
      <c r="AR197" s="1277"/>
      <c r="AS197" s="1277"/>
      <c r="AT197" s="1277"/>
      <c r="AU197" s="1277"/>
    </row>
    <row r="198" spans="1:47">
      <c r="A198" s="1277"/>
      <c r="B198" s="504"/>
      <c r="C198" s="504"/>
      <c r="D198" s="504"/>
      <c r="E198" s="504"/>
      <c r="F198" s="2272"/>
      <c r="G198" s="1171" t="s">
        <v>4107</v>
      </c>
      <c r="H198" s="504"/>
      <c r="I198" s="504"/>
      <c r="J198" s="504"/>
      <c r="K198" s="504"/>
      <c r="L198" s="504"/>
      <c r="M198" s="504"/>
      <c r="N198" s="504"/>
      <c r="O198" s="504"/>
      <c r="P198" s="504"/>
      <c r="Q198" s="504"/>
      <c r="R198" s="504"/>
      <c r="S198" s="504"/>
      <c r="T198" s="504"/>
      <c r="U198" s="504"/>
      <c r="V198" s="504"/>
      <c r="W198" s="2280"/>
      <c r="X198" s="2280"/>
      <c r="Y198" s="2280"/>
      <c r="Z198" s="2280"/>
      <c r="AA198" s="2280"/>
      <c r="AB198" s="2280"/>
      <c r="AC198" s="2280"/>
      <c r="AD198" s="2280"/>
      <c r="AE198" s="2280"/>
      <c r="AF198" s="2280"/>
      <c r="AG198" s="2280"/>
      <c r="AH198" s="2280"/>
      <c r="AI198" s="504"/>
      <c r="AJ198" s="504"/>
      <c r="AK198" s="504"/>
      <c r="AL198" s="504"/>
      <c r="AM198" s="504"/>
      <c r="AN198" s="504"/>
      <c r="AO198" s="504"/>
      <c r="AP198" s="504"/>
      <c r="AQ198" s="1277"/>
      <c r="AR198" s="1277"/>
      <c r="AS198" s="1277"/>
      <c r="AT198" s="1277"/>
      <c r="AU198" s="1277"/>
    </row>
    <row r="199" spans="1:47" ht="6" customHeight="1">
      <c r="A199" s="1277"/>
      <c r="B199" s="504"/>
      <c r="C199" s="504"/>
      <c r="D199" s="504"/>
      <c r="E199" s="504"/>
      <c r="F199" s="504"/>
      <c r="G199" s="504"/>
      <c r="H199" s="504"/>
      <c r="I199" s="504"/>
      <c r="J199" s="504"/>
      <c r="K199" s="504"/>
      <c r="L199" s="504"/>
      <c r="M199" s="504"/>
      <c r="N199" s="504"/>
      <c r="O199" s="504"/>
      <c r="P199" s="504"/>
      <c r="Q199" s="504"/>
      <c r="R199" s="504"/>
      <c r="S199" s="504"/>
      <c r="T199" s="504"/>
      <c r="U199" s="504"/>
      <c r="V199" s="504"/>
      <c r="W199" s="2280"/>
      <c r="X199" s="2280"/>
      <c r="Y199" s="2280"/>
      <c r="Z199" s="2280"/>
      <c r="AA199" s="2280"/>
      <c r="AB199" s="2280"/>
      <c r="AC199" s="2280"/>
      <c r="AD199" s="2280"/>
      <c r="AE199" s="2280"/>
      <c r="AF199" s="2280"/>
      <c r="AG199" s="2280"/>
      <c r="AH199" s="2280"/>
      <c r="AI199" s="504"/>
      <c r="AJ199" s="504"/>
      <c r="AK199" s="504"/>
      <c r="AL199" s="504"/>
      <c r="AM199" s="504"/>
      <c r="AN199" s="504"/>
      <c r="AO199" s="504"/>
      <c r="AP199" s="504"/>
      <c r="AQ199" s="1277"/>
      <c r="AR199" s="1277"/>
      <c r="AS199" s="1277"/>
      <c r="AT199" s="1277"/>
      <c r="AU199" s="1277"/>
    </row>
    <row r="200" spans="1:47" ht="15.75" customHeight="1">
      <c r="A200" s="1277"/>
      <c r="B200" s="504"/>
      <c r="C200" s="504"/>
      <c r="D200" s="504"/>
      <c r="E200" s="504"/>
      <c r="F200" s="2248" t="s">
        <v>212</v>
      </c>
      <c r="G200" s="504" t="s">
        <v>4957</v>
      </c>
      <c r="H200" s="504"/>
      <c r="I200" s="504"/>
      <c r="J200" s="504"/>
      <c r="K200" s="504"/>
      <c r="L200" s="504"/>
      <c r="M200" s="504"/>
      <c r="N200" s="504"/>
      <c r="O200" s="504"/>
      <c r="P200" s="504"/>
      <c r="Q200" s="504"/>
      <c r="R200" s="504"/>
      <c r="S200" s="504"/>
      <c r="T200" s="504"/>
      <c r="U200" s="504"/>
      <c r="V200" s="504"/>
      <c r="W200" s="2280"/>
      <c r="X200" s="2280"/>
      <c r="Y200" s="2280"/>
      <c r="Z200" s="2280"/>
      <c r="AA200" s="2280"/>
      <c r="AB200" s="2280"/>
      <c r="AC200" s="2280"/>
      <c r="AD200" s="2280"/>
      <c r="AE200" s="2280"/>
      <c r="AF200" s="2280"/>
      <c r="AG200" s="2280"/>
      <c r="AH200" s="2281" t="s">
        <v>1279</v>
      </c>
      <c r="AI200" s="504"/>
      <c r="AJ200" s="2270" t="s">
        <v>248</v>
      </c>
      <c r="AK200" s="7067" t="str">
        <f>IF(NOT(C107),"",IF(C163,0,IF(C168,0,SUM(AK186,-AE195))))</f>
        <v/>
      </c>
      <c r="AL200" s="7238"/>
      <c r="AM200" s="7238"/>
      <c r="AN200" s="7238"/>
      <c r="AO200" s="7238"/>
      <c r="AP200" s="504"/>
      <c r="AQ200" s="1277"/>
      <c r="AR200" s="1277"/>
      <c r="AS200" s="1277"/>
      <c r="AT200" s="1277"/>
      <c r="AU200" s="1277"/>
    </row>
    <row r="201" spans="1:47" ht="8.25" customHeight="1">
      <c r="A201" s="1277"/>
      <c r="B201" s="504"/>
      <c r="C201" s="504"/>
      <c r="D201" s="504"/>
      <c r="E201" s="504"/>
      <c r="F201" s="504"/>
      <c r="G201" s="504"/>
      <c r="H201" s="504"/>
      <c r="I201" s="504"/>
      <c r="J201" s="504"/>
      <c r="K201" s="504"/>
      <c r="L201" s="504"/>
      <c r="M201" s="504"/>
      <c r="N201" s="504"/>
      <c r="O201" s="504"/>
      <c r="P201" s="504"/>
      <c r="Q201" s="504"/>
      <c r="R201" s="504"/>
      <c r="S201" s="504"/>
      <c r="T201" s="504"/>
      <c r="U201" s="504"/>
      <c r="V201" s="504"/>
      <c r="W201" s="2280"/>
      <c r="X201" s="2280"/>
      <c r="Y201" s="2280"/>
      <c r="Z201" s="2280"/>
      <c r="AA201" s="2280"/>
      <c r="AB201" s="2280"/>
      <c r="AC201" s="2280"/>
      <c r="AD201" s="2280"/>
      <c r="AE201" s="2280"/>
      <c r="AF201" s="2280"/>
      <c r="AG201" s="2280"/>
      <c r="AH201" s="2280"/>
      <c r="AI201" s="504"/>
      <c r="AJ201" s="504"/>
      <c r="AK201" s="504"/>
      <c r="AL201" s="504"/>
      <c r="AM201" s="504"/>
      <c r="AN201" s="504"/>
      <c r="AO201" s="504"/>
      <c r="AP201" s="504"/>
      <c r="AQ201" s="1277"/>
      <c r="AR201" s="1277"/>
      <c r="AS201" s="1277"/>
      <c r="AT201" s="1277"/>
      <c r="AU201" s="1277"/>
    </row>
    <row r="202" spans="1:47" ht="15.75" customHeight="1">
      <c r="A202" s="1277"/>
      <c r="B202" s="504"/>
      <c r="C202" s="504"/>
      <c r="D202" s="504"/>
      <c r="E202" s="504"/>
      <c r="F202" s="2248" t="s">
        <v>1366</v>
      </c>
      <c r="G202" s="504" t="s">
        <v>5999</v>
      </c>
      <c r="H202" s="504"/>
      <c r="I202" s="504"/>
      <c r="J202" s="504"/>
      <c r="K202" s="504"/>
      <c r="L202" s="504"/>
      <c r="M202" s="504"/>
      <c r="N202" s="504"/>
      <c r="O202" s="504"/>
      <c r="P202" s="504"/>
      <c r="Q202" s="504"/>
      <c r="R202" s="504"/>
      <c r="S202" s="504"/>
      <c r="T202" s="504"/>
      <c r="U202" s="504"/>
      <c r="V202" s="504"/>
      <c r="W202" s="2280"/>
      <c r="X202" s="2280"/>
      <c r="Y202" s="2280"/>
      <c r="Z202" s="2280"/>
      <c r="AA202" s="2280"/>
      <c r="AB202" s="2280"/>
      <c r="AC202" s="2280"/>
      <c r="AD202" s="2280"/>
      <c r="AE202" s="2280"/>
      <c r="AF202" s="2280"/>
      <c r="AG202" s="2280"/>
      <c r="AH202" s="1989" t="s">
        <v>1868</v>
      </c>
      <c r="AI202" s="504"/>
      <c r="AJ202" s="2270" t="s">
        <v>1020</v>
      </c>
      <c r="AK202" s="7067" t="str">
        <f>IF(NOT(C107),"",MAX(AK158,AK200))</f>
        <v/>
      </c>
      <c r="AL202" s="7238"/>
      <c r="AM202" s="7238"/>
      <c r="AN202" s="7238"/>
      <c r="AO202" s="7238"/>
      <c r="AP202" s="504"/>
      <c r="AQ202" s="1277"/>
      <c r="AR202" s="1277"/>
      <c r="AS202" s="1277"/>
      <c r="AT202" s="1277"/>
      <c r="AU202" s="1277"/>
    </row>
    <row r="203" spans="1:47" ht="8.25" customHeight="1">
      <c r="A203" s="1277"/>
      <c r="B203" s="504"/>
      <c r="C203" s="504"/>
      <c r="D203" s="504"/>
      <c r="E203" s="504"/>
      <c r="F203" s="504"/>
      <c r="G203" s="504"/>
      <c r="H203" s="504"/>
      <c r="I203" s="504"/>
      <c r="J203" s="504"/>
      <c r="K203" s="504"/>
      <c r="L203" s="504"/>
      <c r="M203" s="504"/>
      <c r="N203" s="504"/>
      <c r="O203" s="504"/>
      <c r="P203" s="2199"/>
      <c r="Q203" s="2199"/>
      <c r="R203" s="2199"/>
      <c r="S203" s="2199"/>
      <c r="T203" s="2199"/>
      <c r="U203" s="2199"/>
      <c r="V203" s="2199"/>
      <c r="W203" s="2199"/>
      <c r="X203" s="2199"/>
      <c r="Y203" s="2199"/>
      <c r="Z203" s="2199"/>
      <c r="AA203" s="2199"/>
      <c r="AB203" s="2199"/>
      <c r="AC203" s="2199"/>
      <c r="AD203" s="2199"/>
      <c r="AE203" s="2199"/>
      <c r="AF203" s="2199"/>
      <c r="AG203" s="2199"/>
      <c r="AH203" s="2199"/>
      <c r="AI203" s="504"/>
      <c r="AJ203" s="504"/>
      <c r="AK203" s="504"/>
      <c r="AL203" s="504"/>
      <c r="AM203" s="504"/>
      <c r="AN203" s="504"/>
      <c r="AO203" s="504"/>
      <c r="AP203" s="504"/>
      <c r="AQ203" s="1277"/>
      <c r="AR203" s="1277"/>
      <c r="AS203" s="1277"/>
      <c r="AT203" s="1277"/>
      <c r="AU203" s="1277"/>
    </row>
    <row r="204" spans="1:47">
      <c r="A204" s="1277"/>
      <c r="B204" s="504"/>
      <c r="C204" s="504"/>
      <c r="D204" s="504"/>
      <c r="E204" s="504"/>
      <c r="F204" s="2248" t="s">
        <v>1368</v>
      </c>
      <c r="G204" s="504" t="s">
        <v>6000</v>
      </c>
      <c r="H204" s="504"/>
      <c r="I204" s="504"/>
      <c r="J204" s="504"/>
      <c r="K204" s="504"/>
      <c r="L204" s="504"/>
      <c r="M204" s="504"/>
      <c r="N204" s="504"/>
      <c r="O204" s="504"/>
      <c r="P204" s="2199"/>
      <c r="Q204" s="2199"/>
      <c r="R204" s="2199"/>
      <c r="S204" s="2199"/>
      <c r="T204" s="2199"/>
      <c r="U204" s="2199"/>
      <c r="V204" s="2199"/>
      <c r="W204" s="2199"/>
      <c r="X204" s="2199"/>
      <c r="Y204" s="2199"/>
      <c r="Z204" s="2199"/>
      <c r="AA204" s="2199"/>
      <c r="AB204" s="2199"/>
      <c r="AC204" s="2199"/>
      <c r="AD204" s="2199"/>
      <c r="AE204" s="2199"/>
      <c r="AF204" s="2199"/>
      <c r="AG204" s="2199"/>
      <c r="AH204" s="1989" t="s">
        <v>1868</v>
      </c>
      <c r="AI204" s="504"/>
      <c r="AJ204" s="2270" t="s">
        <v>251</v>
      </c>
      <c r="AK204" s="7067" t="str">
        <f>IF(NOT(C107),"",MIN(AK142,AK202))</f>
        <v/>
      </c>
      <c r="AL204" s="7238"/>
      <c r="AM204" s="7238"/>
      <c r="AN204" s="7238"/>
      <c r="AO204" s="7238"/>
      <c r="AP204" s="504"/>
      <c r="AQ204" s="1277"/>
      <c r="AR204" s="1277"/>
      <c r="AS204" s="1277"/>
      <c r="AT204" s="1277"/>
      <c r="AU204" s="1277"/>
    </row>
    <row r="205" spans="1:47" ht="8.25" customHeight="1">
      <c r="A205" s="1277"/>
      <c r="B205" s="504"/>
      <c r="C205" s="504"/>
      <c r="D205" s="504"/>
      <c r="E205" s="504"/>
      <c r="F205" s="504"/>
      <c r="G205" s="504"/>
      <c r="H205" s="504"/>
      <c r="I205" s="504"/>
      <c r="J205" s="504"/>
      <c r="K205" s="504"/>
      <c r="L205" s="504"/>
      <c r="M205" s="504"/>
      <c r="N205" s="504"/>
      <c r="O205" s="504"/>
      <c r="P205" s="2199"/>
      <c r="Q205" s="2199"/>
      <c r="R205" s="2199"/>
      <c r="S205" s="2199"/>
      <c r="T205" s="2199"/>
      <c r="U205" s="2199"/>
      <c r="V205" s="2199"/>
      <c r="W205" s="2199"/>
      <c r="X205" s="2199"/>
      <c r="Y205" s="2199"/>
      <c r="Z205" s="2199"/>
      <c r="AA205" s="2199"/>
      <c r="AB205" s="2199"/>
      <c r="AC205" s="2199"/>
      <c r="AD205" s="2199"/>
      <c r="AE205" s="2199"/>
      <c r="AF205" s="2199"/>
      <c r="AG205" s="2199"/>
      <c r="AH205" s="2199"/>
      <c r="AI205" s="504"/>
      <c r="AJ205" s="504"/>
      <c r="AK205" s="504"/>
      <c r="AL205" s="504"/>
      <c r="AM205" s="504"/>
      <c r="AN205" s="504"/>
      <c r="AO205" s="504"/>
      <c r="AP205" s="504"/>
      <c r="AQ205" s="1277"/>
      <c r="AR205" s="1277"/>
      <c r="AS205" s="1277"/>
      <c r="AT205" s="1277"/>
      <c r="AU205" s="1277"/>
    </row>
    <row r="206" spans="1:47" ht="15.75" customHeight="1">
      <c r="A206" s="1277"/>
      <c r="B206" s="504"/>
      <c r="C206" s="504"/>
      <c r="D206" s="504"/>
      <c r="E206" s="504"/>
      <c r="F206" s="2248" t="s">
        <v>1369</v>
      </c>
      <c r="G206" s="504" t="s">
        <v>4109</v>
      </c>
      <c r="H206" s="504"/>
      <c r="I206" s="504"/>
      <c r="J206" s="504"/>
      <c r="K206" s="504"/>
      <c r="L206" s="504"/>
      <c r="M206" s="504"/>
      <c r="N206" s="504"/>
      <c r="O206" s="504"/>
      <c r="P206" s="504"/>
      <c r="Q206" s="504"/>
      <c r="R206" s="504"/>
      <c r="S206" s="504"/>
      <c r="T206" s="504"/>
      <c r="U206" s="504"/>
      <c r="V206" s="504"/>
      <c r="W206" s="504"/>
      <c r="X206" s="504"/>
      <c r="Y206" s="504"/>
      <c r="Z206" s="504"/>
      <c r="AA206" s="504"/>
      <c r="AB206" s="504"/>
      <c r="AC206" s="504"/>
      <c r="AD206" s="504"/>
      <c r="AE206" s="504"/>
      <c r="AF206" s="2199"/>
      <c r="AG206" s="2199"/>
      <c r="AH206" s="1989"/>
      <c r="AI206" s="504"/>
      <c r="AJ206" s="504"/>
      <c r="AK206" s="504"/>
      <c r="AL206" s="504"/>
      <c r="AM206" s="504"/>
      <c r="AN206" s="504"/>
      <c r="AO206" s="504"/>
      <c r="AP206" s="504"/>
      <c r="AQ206" s="1277"/>
      <c r="AR206" s="1277"/>
      <c r="AS206" s="1277"/>
      <c r="AT206" s="1277"/>
      <c r="AU206" s="1277"/>
    </row>
    <row r="207" spans="1:47" ht="6.75" customHeight="1" thickBot="1">
      <c r="A207" s="1277"/>
      <c r="B207" s="504"/>
      <c r="C207" s="504"/>
      <c r="D207" s="50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c r="AA207" s="504"/>
      <c r="AB207" s="504"/>
      <c r="AC207" s="504"/>
      <c r="AD207" s="504"/>
      <c r="AE207" s="504"/>
      <c r="AF207" s="504"/>
      <c r="AG207" s="504"/>
      <c r="AH207" s="504"/>
      <c r="AI207" s="504"/>
      <c r="AJ207" s="504"/>
      <c r="AK207" s="504"/>
      <c r="AL207" s="504"/>
      <c r="AM207" s="504"/>
      <c r="AN207" s="504"/>
      <c r="AO207" s="504"/>
      <c r="AP207" s="504"/>
      <c r="AQ207" s="1277"/>
      <c r="AR207" s="1277"/>
      <c r="AS207" s="1277"/>
      <c r="AT207" s="1277"/>
      <c r="AU207" s="1277"/>
    </row>
    <row r="208" spans="1:47" ht="12" customHeight="1" thickBot="1">
      <c r="A208" s="1277"/>
      <c r="B208" s="504"/>
      <c r="C208" s="10928" t="b">
        <f>(G208&lt;&gt;"")</f>
        <v>0</v>
      </c>
      <c r="D208" s="10928"/>
      <c r="E208" s="10928"/>
      <c r="F208" s="504"/>
      <c r="G208" s="2282" t="str">
        <f>IF(OR(NOT(AL136),C163),"",IF(AK204&gt;AK140,"","X"))</f>
        <v/>
      </c>
      <c r="H208" s="504"/>
      <c r="I208" s="807" t="s">
        <v>936</v>
      </c>
      <c r="J208" s="504"/>
      <c r="K208" s="504" t="s">
        <v>4110</v>
      </c>
      <c r="L208" s="504"/>
      <c r="M208" s="504"/>
      <c r="N208" s="504"/>
      <c r="O208" s="504"/>
      <c r="P208" s="504"/>
      <c r="Q208" s="504"/>
      <c r="R208" s="504"/>
      <c r="S208" s="504"/>
      <c r="T208" s="504"/>
      <c r="U208" s="504"/>
      <c r="V208" s="504"/>
      <c r="W208" s="504"/>
      <c r="X208" s="504"/>
      <c r="Y208" s="504"/>
      <c r="Z208" s="504"/>
      <c r="AA208" s="504"/>
      <c r="AB208" s="504"/>
      <c r="AC208" s="504"/>
      <c r="AD208" s="504"/>
      <c r="AE208" s="504"/>
      <c r="AF208" s="504"/>
      <c r="AG208" s="504"/>
      <c r="AH208" s="1989" t="s">
        <v>1322</v>
      </c>
      <c r="AI208" s="504"/>
      <c r="AJ208" s="10977" t="s">
        <v>253</v>
      </c>
      <c r="AK208" s="10979" t="str">
        <f>IF(NOT(C107),"",IF(C163,AK140,IF(C208,SUM(AK140,-AK204),0)))</f>
        <v/>
      </c>
      <c r="AL208" s="10980"/>
      <c r="AM208" s="10980"/>
      <c r="AN208" s="10980"/>
      <c r="AO208" s="10980"/>
      <c r="AP208" s="504"/>
      <c r="AQ208" s="1277"/>
      <c r="AR208" s="1277"/>
      <c r="AS208" s="1277"/>
      <c r="AT208" s="1277"/>
      <c r="AU208" s="1277"/>
    </row>
    <row r="209" spans="1:47" ht="6.75" customHeight="1" thickBot="1">
      <c r="A209" s="1277"/>
      <c r="B209" s="504"/>
      <c r="C209" s="504"/>
      <c r="D209" s="50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c r="AA209" s="504"/>
      <c r="AB209" s="504"/>
      <c r="AC209" s="504"/>
      <c r="AD209" s="504"/>
      <c r="AE209" s="504"/>
      <c r="AF209" s="504"/>
      <c r="AG209" s="504"/>
      <c r="AH209" s="504"/>
      <c r="AI209" s="504"/>
      <c r="AJ209" s="10978"/>
      <c r="AK209" s="8222"/>
      <c r="AL209" s="8207"/>
      <c r="AM209" s="8207"/>
      <c r="AN209" s="8207"/>
      <c r="AO209" s="8207"/>
      <c r="AP209" s="504"/>
      <c r="AQ209" s="1277"/>
      <c r="AR209" s="1277"/>
      <c r="AS209" s="1277"/>
      <c r="AT209" s="1277"/>
      <c r="AU209" s="1277"/>
    </row>
    <row r="210" spans="1:47" ht="12" customHeight="1" thickBot="1">
      <c r="A210" s="1277"/>
      <c r="B210" s="504"/>
      <c r="C210" s="10928" t="b">
        <f>(G210&lt;&gt;"")</f>
        <v>0</v>
      </c>
      <c r="D210" s="10928"/>
      <c r="E210" s="10928"/>
      <c r="F210" s="504"/>
      <c r="G210" s="2282" t="str">
        <f>IF(OR(NOT(AL136),C163),"",IF(AK204&gt;AK140,"X",""))</f>
        <v/>
      </c>
      <c r="H210" s="504"/>
      <c r="I210" s="807" t="s">
        <v>938</v>
      </c>
      <c r="J210" s="504"/>
      <c r="K210" s="504" t="s">
        <v>4111</v>
      </c>
      <c r="L210" s="504"/>
      <c r="M210" s="504"/>
      <c r="N210" s="504"/>
      <c r="O210" s="504"/>
      <c r="P210" s="504"/>
      <c r="Q210" s="504"/>
      <c r="R210" s="504"/>
      <c r="S210" s="504"/>
      <c r="T210" s="504"/>
      <c r="U210" s="504"/>
      <c r="V210" s="504"/>
      <c r="W210" s="504"/>
      <c r="X210" s="504"/>
      <c r="Y210" s="504"/>
      <c r="Z210" s="504"/>
      <c r="AA210" s="504"/>
      <c r="AB210" s="504"/>
      <c r="AC210" s="504"/>
      <c r="AD210" s="504"/>
      <c r="AE210" s="504"/>
      <c r="AF210" s="504"/>
      <c r="AG210" s="504"/>
      <c r="AH210" s="504"/>
      <c r="AI210" s="504"/>
      <c r="AJ210" s="504"/>
      <c r="AK210" s="504"/>
      <c r="AL210" s="504"/>
      <c r="AM210" s="504"/>
      <c r="AN210" s="504"/>
      <c r="AO210" s="504"/>
      <c r="AP210" s="504"/>
      <c r="AQ210" s="1277"/>
      <c r="AR210" s="1277"/>
      <c r="AS210" s="1277"/>
      <c r="AT210" s="1277"/>
      <c r="AU210" s="1277"/>
    </row>
    <row r="211" spans="1:47" ht="6" customHeight="1">
      <c r="A211" s="1277"/>
      <c r="B211" s="504"/>
      <c r="C211" s="504"/>
      <c r="D211" s="504"/>
      <c r="E211" s="504"/>
      <c r="F211" s="504"/>
      <c r="G211" s="2271"/>
      <c r="H211" s="2271"/>
      <c r="I211" s="2271"/>
      <c r="J211" s="2271"/>
      <c r="K211" s="2271"/>
      <c r="L211" s="2271"/>
      <c r="M211" s="2271"/>
      <c r="N211" s="2271"/>
      <c r="O211" s="2271"/>
      <c r="P211" s="2271"/>
      <c r="Q211" s="2271"/>
      <c r="R211" s="2271"/>
      <c r="S211" s="2271"/>
      <c r="T211" s="2271"/>
      <c r="U211" s="2271"/>
      <c r="V211" s="2271"/>
      <c r="W211" s="2271"/>
      <c r="X211" s="2271"/>
      <c r="Y211" s="2271"/>
      <c r="Z211" s="2271"/>
      <c r="AA211" s="2271"/>
      <c r="AB211" s="2271"/>
      <c r="AC211" s="2271"/>
      <c r="AD211" s="2271"/>
      <c r="AE211" s="2271"/>
      <c r="AF211" s="2271"/>
      <c r="AG211" s="2271"/>
      <c r="AH211" s="2271"/>
      <c r="AI211" s="2271"/>
      <c r="AJ211" s="504"/>
      <c r="AK211" s="504"/>
      <c r="AL211" s="504"/>
      <c r="AM211" s="504"/>
      <c r="AN211" s="504"/>
      <c r="AO211" s="504"/>
      <c r="AP211" s="504"/>
      <c r="AQ211" s="1277"/>
      <c r="AR211" s="1277"/>
      <c r="AS211" s="1277"/>
      <c r="AT211" s="1277"/>
      <c r="AU211" s="1277"/>
    </row>
    <row r="212" spans="1:47" ht="6" customHeight="1">
      <c r="A212" s="1277"/>
      <c r="B212" s="504"/>
      <c r="C212" s="504"/>
      <c r="D212" s="50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c r="AA212" s="504"/>
      <c r="AB212" s="504"/>
      <c r="AC212" s="504"/>
      <c r="AD212" s="504"/>
      <c r="AE212" s="504"/>
      <c r="AF212" s="504"/>
      <c r="AG212" s="504"/>
      <c r="AH212" s="504"/>
      <c r="AI212" s="504"/>
      <c r="AJ212" s="504"/>
      <c r="AK212" s="504"/>
      <c r="AL212" s="504"/>
      <c r="AM212" s="504"/>
      <c r="AN212" s="504"/>
      <c r="AO212" s="504"/>
      <c r="AP212" s="504"/>
      <c r="AQ212" s="1277"/>
      <c r="AR212" s="1277"/>
      <c r="AS212" s="1277"/>
      <c r="AT212" s="1277"/>
      <c r="AU212" s="1277"/>
    </row>
    <row r="213" spans="1:47">
      <c r="A213" s="1277"/>
      <c r="B213" s="504"/>
      <c r="C213" s="504"/>
      <c r="D213" s="504"/>
      <c r="E213" s="504"/>
      <c r="F213" s="2248"/>
      <c r="G213" s="504" t="s">
        <v>4112</v>
      </c>
      <c r="H213" s="504"/>
      <c r="I213" s="504"/>
      <c r="J213" s="504"/>
      <c r="K213" s="504"/>
      <c r="L213" s="504"/>
      <c r="M213" s="504"/>
      <c r="N213" s="504"/>
      <c r="O213" s="504"/>
      <c r="P213" s="504"/>
      <c r="Q213" s="504"/>
      <c r="R213" s="504"/>
      <c r="S213" s="504"/>
      <c r="T213" s="504"/>
      <c r="U213" s="504"/>
      <c r="V213" s="504"/>
      <c r="W213" s="504"/>
      <c r="X213" s="504"/>
      <c r="Y213" s="504"/>
      <c r="Z213" s="504"/>
      <c r="AA213" s="504"/>
      <c r="AB213" s="504"/>
      <c r="AC213" s="504"/>
      <c r="AD213" s="504"/>
      <c r="AE213" s="504"/>
      <c r="AF213" s="504"/>
      <c r="AG213" s="504"/>
      <c r="AH213" s="504"/>
      <c r="AI213" s="504"/>
      <c r="AJ213" s="504"/>
      <c r="AK213" s="504"/>
      <c r="AL213" s="504"/>
      <c r="AM213" s="504"/>
      <c r="AN213" s="504"/>
      <c r="AO213" s="504"/>
      <c r="AP213" s="504"/>
      <c r="AQ213" s="1277"/>
      <c r="AR213" s="1277"/>
      <c r="AS213" s="1277"/>
      <c r="AT213" s="1277"/>
      <c r="AU213" s="1277"/>
    </row>
    <row r="214" spans="1:47" ht="12.75" customHeight="1">
      <c r="A214" s="1277"/>
      <c r="B214" s="504"/>
      <c r="C214" s="504"/>
      <c r="D214" s="504"/>
      <c r="E214" s="504"/>
      <c r="F214" s="2248"/>
      <c r="G214" s="2007" t="s">
        <v>637</v>
      </c>
      <c r="H214" s="504" t="s">
        <v>4072</v>
      </c>
      <c r="I214" s="504"/>
      <c r="J214" s="504"/>
      <c r="K214" s="504"/>
      <c r="L214" s="504"/>
      <c r="M214" s="504"/>
      <c r="N214" s="504"/>
      <c r="O214" s="504"/>
      <c r="P214" s="504"/>
      <c r="Q214" s="504"/>
      <c r="R214" s="504"/>
      <c r="S214" s="504"/>
      <c r="T214" s="504"/>
      <c r="U214" s="504"/>
      <c r="V214" s="504"/>
      <c r="W214" s="504"/>
      <c r="X214" s="504"/>
      <c r="Y214" s="504"/>
      <c r="Z214" s="504"/>
      <c r="AA214" s="504"/>
      <c r="AB214" s="504"/>
      <c r="AC214" s="504"/>
      <c r="AD214" s="504"/>
      <c r="AE214" s="504"/>
      <c r="AF214" s="504"/>
      <c r="AG214" s="504"/>
      <c r="AH214" s="504"/>
      <c r="AI214" s="504"/>
      <c r="AJ214" s="504"/>
      <c r="AK214" s="504"/>
      <c r="AL214" s="504"/>
      <c r="AM214" s="504"/>
      <c r="AN214" s="504"/>
      <c r="AO214" s="504"/>
      <c r="AP214" s="504"/>
      <c r="AQ214" s="1277"/>
      <c r="AR214" s="1277"/>
      <c r="AS214" s="1277"/>
      <c r="AT214" s="1277"/>
      <c r="AU214" s="1277"/>
    </row>
    <row r="215" spans="1:47" ht="12.75" customHeight="1">
      <c r="A215" s="1277"/>
      <c r="B215" s="504"/>
      <c r="C215" s="504"/>
      <c r="D215" s="504"/>
      <c r="E215" s="504"/>
      <c r="F215" s="2248"/>
      <c r="G215" s="2007" t="s">
        <v>637</v>
      </c>
      <c r="H215" s="504" t="s">
        <v>4073</v>
      </c>
      <c r="I215" s="504"/>
      <c r="J215" s="504"/>
      <c r="K215" s="504"/>
      <c r="L215" s="504"/>
      <c r="M215" s="504"/>
      <c r="N215" s="504"/>
      <c r="O215" s="504"/>
      <c r="P215" s="504"/>
      <c r="Q215" s="504"/>
      <c r="R215" s="504"/>
      <c r="S215" s="504"/>
      <c r="T215" s="504"/>
      <c r="U215" s="504"/>
      <c r="V215" s="504"/>
      <c r="W215" s="504"/>
      <c r="X215" s="504"/>
      <c r="Y215" s="504"/>
      <c r="Z215" s="504"/>
      <c r="AA215" s="504"/>
      <c r="AB215" s="504"/>
      <c r="AC215" s="504"/>
      <c r="AD215" s="504"/>
      <c r="AE215" s="504"/>
      <c r="AF215" s="504"/>
      <c r="AG215" s="504"/>
      <c r="AH215" s="504"/>
      <c r="AI215" s="504"/>
      <c r="AJ215" s="504"/>
      <c r="AK215" s="504"/>
      <c r="AL215" s="504"/>
      <c r="AM215" s="504"/>
      <c r="AN215" s="504"/>
      <c r="AO215" s="504"/>
      <c r="AP215" s="504"/>
      <c r="AQ215" s="1277"/>
      <c r="AR215" s="1277"/>
      <c r="AS215" s="1277"/>
      <c r="AT215" s="1277"/>
      <c r="AU215" s="1277"/>
    </row>
    <row r="216" spans="1:47" ht="12.75" customHeight="1">
      <c r="A216" s="1277"/>
      <c r="B216" s="504"/>
      <c r="C216" s="504"/>
      <c r="D216" s="504"/>
      <c r="E216" s="504"/>
      <c r="F216" s="2248"/>
      <c r="G216" s="2007" t="s">
        <v>637</v>
      </c>
      <c r="H216" s="504" t="s">
        <v>5265</v>
      </c>
      <c r="I216" s="504"/>
      <c r="J216" s="504"/>
      <c r="K216" s="504"/>
      <c r="L216" s="504"/>
      <c r="M216" s="504"/>
      <c r="N216" s="504"/>
      <c r="O216" s="504"/>
      <c r="P216" s="504"/>
      <c r="Q216" s="504"/>
      <c r="R216" s="504"/>
      <c r="S216" s="504"/>
      <c r="T216" s="504"/>
      <c r="U216" s="504"/>
      <c r="V216" s="504"/>
      <c r="W216" s="504"/>
      <c r="X216" s="504"/>
      <c r="Y216" s="504"/>
      <c r="Z216" s="504"/>
      <c r="AA216" s="504"/>
      <c r="AB216" s="504"/>
      <c r="AC216" s="504"/>
      <c r="AD216" s="504"/>
      <c r="AE216" s="504"/>
      <c r="AF216" s="504"/>
      <c r="AG216" s="504"/>
      <c r="AH216" s="504"/>
      <c r="AI216" s="504"/>
      <c r="AJ216" s="504"/>
      <c r="AK216" s="504"/>
      <c r="AL216" s="504"/>
      <c r="AM216" s="504"/>
      <c r="AN216" s="504"/>
      <c r="AO216" s="504"/>
      <c r="AP216" s="504"/>
      <c r="AQ216" s="1277"/>
      <c r="AR216" s="1277"/>
      <c r="AS216" s="1277"/>
      <c r="AT216" s="1277"/>
      <c r="AU216" s="1277"/>
    </row>
    <row r="217" spans="1:47" ht="12.75" customHeight="1">
      <c r="A217" s="1277"/>
      <c r="B217" s="504"/>
      <c r="C217" s="504"/>
      <c r="D217" s="504"/>
      <c r="E217" s="504"/>
      <c r="F217" s="2248"/>
      <c r="G217" s="2007" t="s">
        <v>637</v>
      </c>
      <c r="H217" s="504" t="s">
        <v>5266</v>
      </c>
      <c r="I217" s="504"/>
      <c r="J217" s="504"/>
      <c r="K217" s="504"/>
      <c r="L217" s="504"/>
      <c r="M217" s="504"/>
      <c r="N217" s="504"/>
      <c r="O217" s="504"/>
      <c r="P217" s="504"/>
      <c r="Q217" s="504"/>
      <c r="R217" s="504"/>
      <c r="S217" s="504"/>
      <c r="T217" s="504"/>
      <c r="U217" s="504"/>
      <c r="V217" s="504"/>
      <c r="W217" s="504"/>
      <c r="X217" s="504"/>
      <c r="Y217" s="504"/>
      <c r="Z217" s="504"/>
      <c r="AA217" s="504"/>
      <c r="AB217" s="504"/>
      <c r="AC217" s="504"/>
      <c r="AD217" s="504"/>
      <c r="AE217" s="504"/>
      <c r="AF217" s="504"/>
      <c r="AG217" s="504"/>
      <c r="AH217" s="504"/>
      <c r="AI217" s="504"/>
      <c r="AJ217" s="504"/>
      <c r="AK217" s="504"/>
      <c r="AL217" s="504"/>
      <c r="AM217" s="504"/>
      <c r="AN217" s="504"/>
      <c r="AO217" s="504"/>
      <c r="AP217" s="504"/>
      <c r="AQ217" s="1277"/>
      <c r="AR217" s="1277"/>
      <c r="AS217" s="1277"/>
      <c r="AT217" s="1277"/>
      <c r="AU217" s="1277"/>
    </row>
    <row r="218" spans="1:47" ht="15.75" customHeight="1">
      <c r="A218" s="1277"/>
      <c r="B218" s="504"/>
      <c r="C218" s="504"/>
      <c r="D218" s="504"/>
      <c r="E218" s="504"/>
      <c r="F218" s="2248"/>
      <c r="G218" s="2269" t="s">
        <v>4113</v>
      </c>
      <c r="H218" s="504"/>
      <c r="I218" s="504"/>
      <c r="J218" s="504"/>
      <c r="K218" s="504"/>
      <c r="L218" s="504"/>
      <c r="M218" s="504"/>
      <c r="N218" s="504"/>
      <c r="O218" s="504"/>
      <c r="P218" s="504"/>
      <c r="Q218" s="504"/>
      <c r="R218" s="504"/>
      <c r="S218" s="504"/>
      <c r="T218" s="504"/>
      <c r="U218" s="504"/>
      <c r="V218" s="504"/>
      <c r="W218" s="504"/>
      <c r="X218" s="504"/>
      <c r="Y218" s="504"/>
      <c r="Z218" s="504"/>
      <c r="AA218" s="504"/>
      <c r="AB218" s="504"/>
      <c r="AC218" s="504"/>
      <c r="AD218" s="504"/>
      <c r="AE218" s="504"/>
      <c r="AF218" s="504"/>
      <c r="AG218" s="504"/>
      <c r="AH218" s="504"/>
      <c r="AI218" s="504"/>
      <c r="AJ218" s="504"/>
      <c r="AK218" s="504"/>
      <c r="AL218" s="504"/>
      <c r="AM218" s="504"/>
      <c r="AN218" s="504"/>
      <c r="AO218" s="504"/>
      <c r="AP218" s="504"/>
      <c r="AQ218" s="1277"/>
      <c r="AR218" s="1277"/>
      <c r="AS218" s="1277"/>
      <c r="AT218" s="1277"/>
      <c r="AU218" s="1277"/>
    </row>
    <row r="219" spans="1:47" ht="6" customHeight="1">
      <c r="A219" s="1277"/>
      <c r="B219" s="504"/>
      <c r="C219" s="504"/>
      <c r="D219" s="504"/>
      <c r="E219" s="504"/>
      <c r="F219" s="504"/>
      <c r="G219" s="2271"/>
      <c r="H219" s="2271"/>
      <c r="I219" s="2271"/>
      <c r="J219" s="2271"/>
      <c r="K219" s="2271"/>
      <c r="L219" s="2271"/>
      <c r="M219" s="2271"/>
      <c r="N219" s="2271"/>
      <c r="O219" s="2271"/>
      <c r="P219" s="2271"/>
      <c r="Q219" s="2271"/>
      <c r="R219" s="2271"/>
      <c r="S219" s="2271"/>
      <c r="T219" s="2271"/>
      <c r="U219" s="2271"/>
      <c r="V219" s="2271"/>
      <c r="W219" s="2271"/>
      <c r="X219" s="2271"/>
      <c r="Y219" s="2271"/>
      <c r="Z219" s="2271"/>
      <c r="AA219" s="2271"/>
      <c r="AB219" s="2271"/>
      <c r="AC219" s="2271"/>
      <c r="AD219" s="2271"/>
      <c r="AE219" s="2271"/>
      <c r="AF219" s="2271"/>
      <c r="AG219" s="2271"/>
      <c r="AH219" s="2271"/>
      <c r="AI219" s="2271"/>
      <c r="AJ219" s="504"/>
      <c r="AK219" s="504"/>
      <c r="AL219" s="504"/>
      <c r="AM219" s="504"/>
      <c r="AN219" s="504"/>
      <c r="AO219" s="504"/>
      <c r="AP219" s="504"/>
      <c r="AQ219" s="1277"/>
      <c r="AR219" s="1277"/>
      <c r="AS219" s="1277"/>
      <c r="AT219" s="1277"/>
      <c r="AU219" s="1277"/>
    </row>
    <row r="220" spans="1:47" ht="6" customHeight="1">
      <c r="A220" s="1277"/>
      <c r="B220" s="504"/>
      <c r="C220" s="504"/>
      <c r="D220" s="50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c r="AA220" s="504"/>
      <c r="AB220" s="504"/>
      <c r="AC220" s="504"/>
      <c r="AD220" s="504"/>
      <c r="AE220" s="504"/>
      <c r="AF220" s="504"/>
      <c r="AG220" s="504"/>
      <c r="AH220" s="504"/>
      <c r="AI220" s="504"/>
      <c r="AJ220" s="504"/>
      <c r="AK220" s="504"/>
      <c r="AL220" s="504"/>
      <c r="AM220" s="504"/>
      <c r="AN220" s="504"/>
      <c r="AO220" s="504"/>
      <c r="AP220" s="504"/>
      <c r="AQ220" s="1277"/>
      <c r="AR220" s="1277"/>
      <c r="AS220" s="1277"/>
      <c r="AT220" s="1277"/>
      <c r="AU220" s="1277"/>
    </row>
    <row r="221" spans="1:47" ht="15.75" customHeight="1">
      <c r="A221" s="1277"/>
      <c r="B221" s="504"/>
      <c r="C221" s="504"/>
      <c r="D221" s="504"/>
      <c r="E221" s="504"/>
      <c r="F221" s="2248" t="s">
        <v>1371</v>
      </c>
      <c r="G221" s="504" t="s">
        <v>4114</v>
      </c>
      <c r="H221" s="504"/>
      <c r="I221" s="504"/>
      <c r="J221" s="504"/>
      <c r="K221" s="504"/>
      <c r="L221" s="504"/>
      <c r="M221" s="504"/>
      <c r="N221" s="504"/>
      <c r="O221" s="504"/>
      <c r="P221" s="504"/>
      <c r="Q221" s="504"/>
      <c r="R221" s="504"/>
      <c r="S221" s="504"/>
      <c r="T221" s="504"/>
      <c r="U221" s="504"/>
      <c r="V221" s="504"/>
      <c r="W221" s="504"/>
      <c r="X221" s="504"/>
      <c r="Y221" s="504"/>
      <c r="Z221" s="504"/>
      <c r="AA221" s="504"/>
      <c r="AB221" s="504"/>
      <c r="AC221" s="504"/>
      <c r="AD221" s="504"/>
      <c r="AE221" s="504"/>
      <c r="AF221" s="504"/>
      <c r="AG221" s="504"/>
      <c r="AH221" s="504"/>
      <c r="AI221" s="504"/>
      <c r="AJ221" s="504"/>
      <c r="AK221" s="504"/>
      <c r="AL221" s="504"/>
      <c r="AM221" s="504"/>
      <c r="AN221" s="504"/>
      <c r="AO221" s="504"/>
      <c r="AP221" s="504"/>
      <c r="AQ221" s="1277"/>
      <c r="AR221" s="1277"/>
      <c r="AS221" s="2195" t="s">
        <v>771</v>
      </c>
      <c r="AT221" s="1277"/>
      <c r="AU221" s="1277"/>
    </row>
    <row r="222" spans="1:47" ht="13.5" customHeight="1" thickBot="1">
      <c r="A222" s="1277"/>
      <c r="B222" s="504"/>
      <c r="C222" s="504"/>
      <c r="D222" s="504"/>
      <c r="E222" s="10968" t="str">
        <f>IF(F109&lt;&gt;"","→","")</f>
        <v/>
      </c>
      <c r="F222" s="10968"/>
      <c r="G222" s="2007" t="s">
        <v>637</v>
      </c>
      <c r="H222" s="1680" t="s">
        <v>4960</v>
      </c>
      <c r="I222" s="504"/>
      <c r="J222" s="504"/>
      <c r="K222" s="504"/>
      <c r="L222" s="504"/>
      <c r="M222" s="504"/>
      <c r="N222" s="504"/>
      <c r="O222" s="504"/>
      <c r="P222" s="504"/>
      <c r="Q222" s="11072" t="str">
        <f>IF(OR(NOT(C107),'Sch. 3'!AC15=0),"",'Sch. 3'!AC15)</f>
        <v/>
      </c>
      <c r="R222" s="11072"/>
      <c r="S222" s="11072"/>
      <c r="T222" s="11072"/>
      <c r="U222" s="504"/>
      <c r="V222" s="504"/>
      <c r="W222" s="504"/>
      <c r="X222" s="504"/>
      <c r="Y222" s="504"/>
      <c r="Z222" s="504"/>
      <c r="AA222" s="504"/>
      <c r="AB222" s="504"/>
      <c r="AC222" s="504"/>
      <c r="AD222" s="504"/>
      <c r="AE222" s="504"/>
      <c r="AF222" s="504"/>
      <c r="AG222" s="504"/>
      <c r="AH222" s="504"/>
      <c r="AI222" s="504"/>
      <c r="AJ222" s="504"/>
      <c r="AK222" s="504"/>
      <c r="AL222" s="504"/>
      <c r="AM222" s="504"/>
      <c r="AN222" s="504"/>
      <c r="AO222" s="504"/>
      <c r="AP222" s="504"/>
      <c r="AQ222" s="1277"/>
      <c r="AR222" s="1277"/>
      <c r="AS222" s="1277"/>
      <c r="AT222" s="1277"/>
      <c r="AU222" s="1277"/>
    </row>
    <row r="223" spans="1:47" ht="13.5" customHeight="1" thickTop="1">
      <c r="A223" s="1277"/>
      <c r="B223" s="504"/>
      <c r="C223" s="504"/>
      <c r="D223" s="504"/>
      <c r="E223" s="10968" t="str">
        <f>IF(F110&lt;&gt;"","→","")</f>
        <v/>
      </c>
      <c r="F223" s="10968"/>
      <c r="G223" s="2007" t="s">
        <v>637</v>
      </c>
      <c r="H223" s="1052" t="s">
        <v>4115</v>
      </c>
      <c r="I223" s="504"/>
      <c r="J223" s="504"/>
      <c r="K223" s="504"/>
      <c r="L223" s="504"/>
      <c r="M223" s="504"/>
      <c r="N223" s="504"/>
      <c r="O223" s="504"/>
      <c r="P223" s="504"/>
      <c r="Q223" s="11072" t="str">
        <f>IF(OR(NOT(C107),'Sch. 3'!AC20=0),"",'Sch. 3'!AC20)</f>
        <v/>
      </c>
      <c r="R223" s="11072"/>
      <c r="S223" s="11072"/>
      <c r="T223" s="11072"/>
      <c r="U223" s="504"/>
      <c r="V223" s="504"/>
      <c r="W223" s="504"/>
      <c r="X223" s="504"/>
      <c r="Y223" s="504"/>
      <c r="Z223" s="504"/>
      <c r="AA223" s="504"/>
      <c r="AB223" s="504"/>
      <c r="AC223" s="504"/>
      <c r="AD223" s="504"/>
      <c r="AE223" s="504"/>
      <c r="AF223" s="504"/>
      <c r="AG223" s="504"/>
      <c r="AH223" s="1989" t="s">
        <v>1322</v>
      </c>
      <c r="AI223" s="504"/>
      <c r="AJ223" s="11068" t="s">
        <v>257</v>
      </c>
      <c r="AK223" s="11070" t="str">
        <f>IF(AS223&lt;&gt;"",ROUND(AS223,0),IF(NOT(C107),"",SUM(Q222,Q223,Q224,Q225,0)))</f>
        <v/>
      </c>
      <c r="AL223" s="11070"/>
      <c r="AM223" s="11070"/>
      <c r="AN223" s="11070"/>
      <c r="AO223" s="11070"/>
      <c r="AP223" s="504"/>
      <c r="AQ223" s="1277"/>
      <c r="AR223" s="1277"/>
      <c r="AS223" s="10975"/>
      <c r="AT223" s="1277"/>
      <c r="AU223" s="1277"/>
    </row>
    <row r="224" spans="1:47" ht="13.5" customHeight="1" thickBot="1">
      <c r="A224" s="1277"/>
      <c r="B224" s="504"/>
      <c r="C224" s="504"/>
      <c r="D224" s="504"/>
      <c r="E224" s="10968" t="str">
        <f>IF(F111&lt;&gt;"","→","")</f>
        <v/>
      </c>
      <c r="F224" s="10968"/>
      <c r="G224" s="2007" t="s">
        <v>637</v>
      </c>
      <c r="H224" s="1052" t="s">
        <v>4959</v>
      </c>
      <c r="I224" s="504"/>
      <c r="J224" s="504"/>
      <c r="K224" s="504"/>
      <c r="L224" s="504"/>
      <c r="M224" s="504"/>
      <c r="N224" s="504"/>
      <c r="O224" s="504"/>
      <c r="P224" s="504"/>
      <c r="Q224" s="11072" t="str">
        <f>IF(OR(NOT(C107),'Sch. 3'!AC24=0),"",'Sch. 3'!AC24)</f>
        <v/>
      </c>
      <c r="R224" s="11072"/>
      <c r="S224" s="11072"/>
      <c r="T224" s="11072"/>
      <c r="U224" s="504"/>
      <c r="V224" s="504"/>
      <c r="W224" s="504"/>
      <c r="X224" s="504"/>
      <c r="Y224" s="504"/>
      <c r="Z224" s="504"/>
      <c r="AA224" s="504"/>
      <c r="AB224" s="504"/>
      <c r="AC224" s="504"/>
      <c r="AD224" s="504"/>
      <c r="AE224" s="504"/>
      <c r="AF224" s="504"/>
      <c r="AG224" s="504"/>
      <c r="AH224" s="504"/>
      <c r="AI224" s="504"/>
      <c r="AJ224" s="11069"/>
      <c r="AK224" s="11071"/>
      <c r="AL224" s="11071"/>
      <c r="AM224" s="11071"/>
      <c r="AN224" s="11071"/>
      <c r="AO224" s="11071"/>
      <c r="AP224" s="504"/>
      <c r="AQ224" s="1277"/>
      <c r="AR224" s="1277"/>
      <c r="AS224" s="10976"/>
      <c r="AT224" s="1277"/>
      <c r="AU224" s="1277"/>
    </row>
    <row r="225" spans="1:47" ht="13.5" customHeight="1" thickTop="1">
      <c r="A225" s="1277"/>
      <c r="B225" s="504"/>
      <c r="C225" s="504"/>
      <c r="D225" s="504"/>
      <c r="E225" s="10968" t="str">
        <f>IF(F112&lt;&gt;"","→","")</f>
        <v/>
      </c>
      <c r="F225" s="10968"/>
      <c r="G225" s="2283" t="s">
        <v>637</v>
      </c>
      <c r="H225" s="1052" t="s">
        <v>4958</v>
      </c>
      <c r="I225" s="504"/>
      <c r="J225" s="504"/>
      <c r="K225" s="504"/>
      <c r="L225" s="504"/>
      <c r="M225" s="504"/>
      <c r="N225" s="504"/>
      <c r="O225" s="504"/>
      <c r="P225" s="504"/>
      <c r="Q225" s="11072" t="str">
        <f>IF(OR(NOT(C107),'Sch. 3'!AC25=0),"",'Sch. 3'!AC25)</f>
        <v/>
      </c>
      <c r="R225" s="11072"/>
      <c r="S225" s="11072"/>
      <c r="T225" s="11072"/>
      <c r="U225" s="504"/>
      <c r="V225" s="504"/>
      <c r="W225" s="504"/>
      <c r="X225" s="504"/>
      <c r="Y225" s="504"/>
      <c r="Z225" s="504"/>
      <c r="AA225" s="504"/>
      <c r="AB225" s="504"/>
      <c r="AC225" s="504"/>
      <c r="AD225" s="504"/>
      <c r="AE225" s="504"/>
      <c r="AF225" s="504"/>
      <c r="AG225" s="504"/>
      <c r="AH225" s="504"/>
      <c r="AI225" s="504"/>
      <c r="AJ225" s="2269" t="s">
        <v>4116</v>
      </c>
      <c r="AK225" s="504"/>
      <c r="AL225" s="504"/>
      <c r="AM225" s="504"/>
      <c r="AN225" s="504"/>
      <c r="AO225" s="504"/>
      <c r="AP225" s="504"/>
      <c r="AQ225" s="1277"/>
      <c r="AR225" s="1277"/>
      <c r="AS225" s="1277"/>
      <c r="AT225" s="1277"/>
      <c r="AU225" s="1277"/>
    </row>
    <row r="226" spans="1:47">
      <c r="A226" s="1277"/>
      <c r="B226" s="504"/>
      <c r="C226" s="504"/>
      <c r="D226" s="504"/>
      <c r="E226" s="504"/>
      <c r="F226" s="2248"/>
      <c r="G226" s="504"/>
      <c r="H226" s="504"/>
      <c r="I226" s="504"/>
      <c r="J226" s="504"/>
      <c r="K226" s="504"/>
      <c r="L226" s="504"/>
      <c r="M226" s="504"/>
      <c r="N226" s="504"/>
      <c r="O226" s="504"/>
      <c r="P226" s="504"/>
      <c r="Q226" s="504"/>
      <c r="R226" s="504"/>
      <c r="S226" s="504"/>
      <c r="T226" s="504"/>
      <c r="U226" s="504"/>
      <c r="V226" s="504"/>
      <c r="W226" s="504"/>
      <c r="X226" s="504"/>
      <c r="Y226" s="504"/>
      <c r="Z226" s="504"/>
      <c r="AA226" s="504"/>
      <c r="AB226" s="504"/>
      <c r="AC226" s="504"/>
      <c r="AD226" s="504"/>
      <c r="AE226" s="504"/>
      <c r="AF226" s="504"/>
      <c r="AG226" s="504"/>
      <c r="AH226" s="504"/>
      <c r="AI226" s="504"/>
      <c r="AJ226" s="2284" t="s">
        <v>4117</v>
      </c>
      <c r="AK226" s="504"/>
      <c r="AL226" s="504"/>
      <c r="AM226" s="504"/>
      <c r="AN226" s="504"/>
      <c r="AO226" s="504"/>
      <c r="AP226" s="504"/>
      <c r="AQ226" s="1277"/>
      <c r="AR226" s="1277"/>
      <c r="AS226" s="1277"/>
      <c r="AT226" s="1277"/>
      <c r="AU226" s="1277"/>
    </row>
    <row r="227" spans="1:47" ht="21.75" customHeight="1">
      <c r="A227" s="1277"/>
      <c r="B227" s="504"/>
      <c r="C227" s="504"/>
      <c r="D227" s="504"/>
      <c r="E227" s="504"/>
      <c r="F227" s="2248"/>
      <c r="G227" s="504"/>
      <c r="H227" s="504"/>
      <c r="I227" s="504"/>
      <c r="J227" s="504"/>
      <c r="K227" s="504"/>
      <c r="L227" s="504"/>
      <c r="M227" s="504"/>
      <c r="N227" s="504"/>
      <c r="O227" s="504"/>
      <c r="P227" s="504"/>
      <c r="Q227" s="504"/>
      <c r="R227" s="504"/>
      <c r="S227" s="504"/>
      <c r="T227" s="504"/>
      <c r="U227" s="504"/>
      <c r="V227" s="504"/>
      <c r="W227" s="504"/>
      <c r="X227" s="504"/>
      <c r="Y227" s="504"/>
      <c r="Z227" s="504"/>
      <c r="AA227" s="504"/>
      <c r="AB227" s="504"/>
      <c r="AC227" s="504"/>
      <c r="AD227" s="504"/>
      <c r="AE227" s="504"/>
      <c r="AF227" s="504"/>
      <c r="AG227" s="504"/>
      <c r="AH227" s="504"/>
      <c r="AI227" s="504"/>
      <c r="AJ227" s="2284" t="s">
        <v>3219</v>
      </c>
      <c r="AK227" s="504"/>
      <c r="AL227" s="504"/>
      <c r="AM227" s="504"/>
      <c r="AN227" s="504"/>
      <c r="AO227" s="504"/>
      <c r="AP227" s="504"/>
      <c r="AQ227" s="1277"/>
      <c r="AR227" s="1277"/>
      <c r="AS227" s="1277"/>
      <c r="AT227" s="1277"/>
      <c r="AU227" s="1277"/>
    </row>
    <row r="228" spans="1:47" ht="10.5" customHeight="1">
      <c r="A228" s="1277"/>
      <c r="B228" s="504"/>
      <c r="C228" s="2277"/>
      <c r="D228" s="50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c r="AA228" s="504"/>
      <c r="AB228" s="504"/>
      <c r="AC228" s="504"/>
      <c r="AD228" s="504"/>
      <c r="AE228" s="504"/>
      <c r="AF228" s="504"/>
      <c r="AG228" s="504"/>
      <c r="AH228" s="504"/>
      <c r="AI228" s="504"/>
      <c r="AJ228" s="504"/>
      <c r="AK228" s="504"/>
      <c r="AL228" s="504"/>
      <c r="AM228" s="504"/>
      <c r="AN228" s="504"/>
      <c r="AO228" s="504"/>
      <c r="AP228" s="504"/>
      <c r="AQ228" s="1277"/>
      <c r="AR228" s="1277"/>
      <c r="AS228" s="1277"/>
      <c r="AT228" s="1277"/>
      <c r="AU228" s="1277"/>
    </row>
    <row r="229" spans="1:47" ht="27" customHeight="1">
      <c r="A229" s="1277"/>
      <c r="B229" s="1277"/>
      <c r="C229" s="1277"/>
      <c r="D229" s="1277"/>
      <c r="E229" s="1277"/>
      <c r="F229" s="1277"/>
      <c r="G229" s="1277"/>
      <c r="H229" s="1277"/>
      <c r="I229" s="1277"/>
      <c r="J229" s="1277"/>
      <c r="K229" s="1277"/>
      <c r="L229" s="1277"/>
      <c r="M229" s="1277"/>
      <c r="N229" s="1277"/>
      <c r="O229" s="1277"/>
      <c r="P229" s="1277"/>
      <c r="Q229" s="1277"/>
      <c r="R229" s="1277"/>
      <c r="S229" s="1277"/>
      <c r="T229" s="1277"/>
      <c r="U229" s="1277"/>
      <c r="V229" s="1277"/>
      <c r="W229" s="1277"/>
      <c r="X229" s="1277"/>
      <c r="Y229" s="1277"/>
      <c r="Z229" s="1277"/>
      <c r="AA229" s="1277"/>
      <c r="AB229" s="1277"/>
      <c r="AC229" s="1277"/>
      <c r="AD229" s="1277"/>
      <c r="AE229" s="1277"/>
      <c r="AF229" s="1277"/>
      <c r="AG229" s="1277"/>
      <c r="AH229" s="1277"/>
      <c r="AI229" s="1277"/>
      <c r="AJ229" s="1277"/>
      <c r="AK229" s="1277"/>
      <c r="AL229" s="1277"/>
      <c r="AM229" s="1277"/>
      <c r="AN229" s="1277"/>
      <c r="AO229" s="1277"/>
      <c r="AP229" s="1277"/>
      <c r="AQ229" s="1277"/>
      <c r="AR229" s="1277"/>
      <c r="AS229" s="1277"/>
      <c r="AT229" s="1277"/>
      <c r="AU229" s="1277"/>
    </row>
  </sheetData>
  <sheetProtection algorithmName="SHA-512" hashValue="wS7Qv+HcmQjGmpW7MPCeKVyzOr9A5az+CyJ1C388dWPqOsoTkIFwjGG+mtFLtpTtyuxU/T98lUcVIN1piVHVpQ==" saltValue="Fx/Bd+kMYV0SBlOFt28lFg==" spinCount="100000" sheet="1" formatCells="0" formatColumns="0" formatRows="0"/>
  <mergeCells count="192">
    <mergeCell ref="AJ3:AP3"/>
    <mergeCell ref="AL81:AP81"/>
    <mergeCell ref="AJ82:AK82"/>
    <mergeCell ref="AL82:AP82"/>
    <mergeCell ref="AJ85:AK85"/>
    <mergeCell ref="C158:D158"/>
    <mergeCell ref="AE99:AI99"/>
    <mergeCell ref="E225:F225"/>
    <mergeCell ref="AK200:AO200"/>
    <mergeCell ref="AK116:AO117"/>
    <mergeCell ref="AJ116:AJ117"/>
    <mergeCell ref="AJ119:AJ120"/>
    <mergeCell ref="AK119:AO120"/>
    <mergeCell ref="AE182:AI183"/>
    <mergeCell ref="AE172:AI173"/>
    <mergeCell ref="AJ223:AJ224"/>
    <mergeCell ref="AK223:AO224"/>
    <mergeCell ref="Q222:T222"/>
    <mergeCell ref="Q223:T223"/>
    <mergeCell ref="Q224:T224"/>
    <mergeCell ref="Q225:T225"/>
    <mergeCell ref="AK202:AO202"/>
    <mergeCell ref="AK204:AO204"/>
    <mergeCell ref="E224:F224"/>
    <mergeCell ref="C168:E168"/>
    <mergeCell ref="C210:E210"/>
    <mergeCell ref="C208:E208"/>
    <mergeCell ref="AK142:AO142"/>
    <mergeCell ref="AL18:AP18"/>
    <mergeCell ref="AJ19:AK19"/>
    <mergeCell ref="AC20:AD20"/>
    <mergeCell ref="AL19:AP19"/>
    <mergeCell ref="AE20:AI20"/>
    <mergeCell ref="AL21:AP21"/>
    <mergeCell ref="AL20:AP20"/>
    <mergeCell ref="AJ21:AK21"/>
    <mergeCell ref="L30:O30"/>
    <mergeCell ref="K29:N29"/>
    <mergeCell ref="AJ34:AK34"/>
    <mergeCell ref="AJ40:AK40"/>
    <mergeCell ref="AL40:AP40"/>
    <mergeCell ref="AJ41:AK41"/>
    <mergeCell ref="AL36:AP36"/>
    <mergeCell ref="AJ30:AK30"/>
    <mergeCell ref="AJ36:AK36"/>
    <mergeCell ref="B65:C65"/>
    <mergeCell ref="B67:C67"/>
    <mergeCell ref="C167:E167"/>
    <mergeCell ref="AC17:AD17"/>
    <mergeCell ref="AJ14:AK14"/>
    <mergeCell ref="AJ15:AK15"/>
    <mergeCell ref="AE23:AI23"/>
    <mergeCell ref="AC23:AD23"/>
    <mergeCell ref="AC15:AD15"/>
    <mergeCell ref="D152:E152"/>
    <mergeCell ref="D155:E155"/>
    <mergeCell ref="AE15:AI15"/>
    <mergeCell ref="AE17:AI17"/>
    <mergeCell ref="AJ18:AK18"/>
    <mergeCell ref="AE64:AI64"/>
    <mergeCell ref="AE76:AI76"/>
    <mergeCell ref="AJ52:AK52"/>
    <mergeCell ref="AG55:AI55"/>
    <mergeCell ref="AE62:AI62"/>
    <mergeCell ref="AE75:AI75"/>
    <mergeCell ref="AC76:AD76"/>
    <mergeCell ref="AC73:AD73"/>
    <mergeCell ref="AC75:AD75"/>
    <mergeCell ref="C114:E114"/>
    <mergeCell ref="AC96:AD96"/>
    <mergeCell ref="B13:D13"/>
    <mergeCell ref="AJ4:AP4"/>
    <mergeCell ref="B8:H9"/>
    <mergeCell ref="B11:AI12"/>
    <mergeCell ref="AJ11:AP12"/>
    <mergeCell ref="B4:H4"/>
    <mergeCell ref="B5:H5"/>
    <mergeCell ref="AO8:AO9"/>
    <mergeCell ref="AK8:AM9"/>
    <mergeCell ref="AN8:AN9"/>
    <mergeCell ref="B6:H7"/>
    <mergeCell ref="N10:Z10"/>
    <mergeCell ref="AJ5:AP7"/>
    <mergeCell ref="I4:AI6"/>
    <mergeCell ref="I7:AI7"/>
    <mergeCell ref="I8:AI9"/>
    <mergeCell ref="AR4:AT9"/>
    <mergeCell ref="X58:AB58"/>
    <mergeCell ref="AL53:AP53"/>
    <mergeCell ref="AL56:AP56"/>
    <mergeCell ref="AC57:AD57"/>
    <mergeCell ref="AE57:AI57"/>
    <mergeCell ref="AL30:AP30"/>
    <mergeCell ref="AJ35:AK35"/>
    <mergeCell ref="AL35:AP35"/>
    <mergeCell ref="AL34:AP34"/>
    <mergeCell ref="AL14:AP14"/>
    <mergeCell ref="AL23:AP23"/>
    <mergeCell ref="AL27:AP27"/>
    <mergeCell ref="AL33:AP33"/>
    <mergeCell ref="AL32:AP32"/>
    <mergeCell ref="AJ54:AK54"/>
    <mergeCell ref="AL54:AP54"/>
    <mergeCell ref="AJ26:AK26"/>
    <mergeCell ref="AL26:AP26"/>
    <mergeCell ref="AJ27:AK27"/>
    <mergeCell ref="AJ16:AK16"/>
    <mergeCell ref="AC16:AD16"/>
    <mergeCell ref="AL41:AP41"/>
    <mergeCell ref="AE16:AI16"/>
    <mergeCell ref="AS223:AS224"/>
    <mergeCell ref="AK150:AO150"/>
    <mergeCell ref="AJ208:AJ209"/>
    <mergeCell ref="AK208:AO209"/>
    <mergeCell ref="AS104:AS106"/>
    <mergeCell ref="AC101:AD101"/>
    <mergeCell ref="AE101:AI101"/>
    <mergeCell ref="AC102:AD102"/>
    <mergeCell ref="AE102:AI102"/>
    <mergeCell ref="AD182:AD183"/>
    <mergeCell ref="AD172:AD173"/>
    <mergeCell ref="AK106:AO106"/>
    <mergeCell ref="AE104:AI104"/>
    <mergeCell ref="AE150:AI150"/>
    <mergeCell ref="AK158:AO158"/>
    <mergeCell ref="AE147:AI147"/>
    <mergeCell ref="AK140:AO140"/>
    <mergeCell ref="AL173:AN173"/>
    <mergeCell ref="AL170:AN170"/>
    <mergeCell ref="AL136:AN136"/>
    <mergeCell ref="E223:F223"/>
    <mergeCell ref="AO86:AP86"/>
    <mergeCell ref="C107:E107"/>
    <mergeCell ref="C108:E108"/>
    <mergeCell ref="C113:E113"/>
    <mergeCell ref="E222:F222"/>
    <mergeCell ref="B48:D48"/>
    <mergeCell ref="AB53:AD53"/>
    <mergeCell ref="AG68:AI68"/>
    <mergeCell ref="B84:D84"/>
    <mergeCell ref="AL85:AP85"/>
    <mergeCell ref="AL84:AP84"/>
    <mergeCell ref="AC80:AD80"/>
    <mergeCell ref="AE80:AI80"/>
    <mergeCell ref="AC98:AD98"/>
    <mergeCell ref="AL52:AP52"/>
    <mergeCell ref="AC94:AD94"/>
    <mergeCell ref="AE94:AI94"/>
    <mergeCell ref="AC95:AD95"/>
    <mergeCell ref="AE95:AI95"/>
    <mergeCell ref="AC100:AD100"/>
    <mergeCell ref="AC99:AD99"/>
    <mergeCell ref="AE98:AI98"/>
    <mergeCell ref="C163:E163"/>
    <mergeCell ref="AL63:AP63"/>
    <mergeCell ref="AL70:AP70"/>
    <mergeCell ref="B69:D69"/>
    <mergeCell ref="AF53:AH53"/>
    <mergeCell ref="V58:W58"/>
    <mergeCell ref="AL48:AP48"/>
    <mergeCell ref="AJ63:AK63"/>
    <mergeCell ref="AL60:AP60"/>
    <mergeCell ref="AJ56:AK56"/>
    <mergeCell ref="AC62:AD62"/>
    <mergeCell ref="AE60:AI60"/>
    <mergeCell ref="AL49:AP49"/>
    <mergeCell ref="AJ50:AK51"/>
    <mergeCell ref="AL50:AP51"/>
    <mergeCell ref="AT51:AU51"/>
    <mergeCell ref="AQ54:AR54"/>
    <mergeCell ref="AQ52:AR52"/>
    <mergeCell ref="P181:S181"/>
    <mergeCell ref="P182:S182"/>
    <mergeCell ref="AA160:AB160"/>
    <mergeCell ref="C162:E162"/>
    <mergeCell ref="AK186:AO186"/>
    <mergeCell ref="AD195:AD196"/>
    <mergeCell ref="AE195:AI196"/>
    <mergeCell ref="AG66:AI66"/>
    <mergeCell ref="AD66:AF66"/>
    <mergeCell ref="AD68:AF68"/>
    <mergeCell ref="AE73:AI73"/>
    <mergeCell ref="P183:S183"/>
    <mergeCell ref="P184:S184"/>
    <mergeCell ref="AK91:AO91"/>
    <mergeCell ref="AE97:AI97"/>
    <mergeCell ref="M142:O142"/>
    <mergeCell ref="J142:K142"/>
    <mergeCell ref="AE100:AI100"/>
    <mergeCell ref="AJ81:AK81"/>
    <mergeCell ref="AE96:AI96"/>
    <mergeCell ref="AC97:AD97"/>
  </mergeCells>
  <conditionalFormatting sqref="B2">
    <cfRule type="expression" dxfId="915" priority="27">
      <formula>$AS$2</formula>
    </cfRule>
  </conditionalFormatting>
  <conditionalFormatting sqref="B11:AP12 AJ52 AC94:AC102 AE94:AE102">
    <cfRule type="expression" dxfId="914" priority="438">
      <formula>NoColor</formula>
    </cfRule>
  </conditionalFormatting>
  <conditionalFormatting sqref="D29:K30">
    <cfRule type="expression" dxfId="913" priority="133">
      <formula>NoColor</formula>
    </cfRule>
  </conditionalFormatting>
  <conditionalFormatting sqref="D21:M27">
    <cfRule type="expression" dxfId="912" priority="263">
      <formula>NoColor</formula>
    </cfRule>
  </conditionalFormatting>
  <conditionalFormatting sqref="D16:AA16 D17:M19">
    <cfRule type="expression" dxfId="911" priority="506">
      <formula>NoColor</formula>
    </cfRule>
  </conditionalFormatting>
  <conditionalFormatting sqref="D28:AI28">
    <cfRule type="expression" dxfId="910" priority="502">
      <formula>NoColor</formula>
    </cfRule>
  </conditionalFormatting>
  <conditionalFormatting sqref="D31:AI31">
    <cfRule type="expression" dxfId="909" priority="501">
      <formula>NoColor</formula>
    </cfRule>
  </conditionalFormatting>
  <conditionalFormatting sqref="E37">
    <cfRule type="expression" dxfId="908" priority="31">
      <formula>$C$37&lt;&gt;""</formula>
    </cfRule>
  </conditionalFormatting>
  <conditionalFormatting sqref="F109:F112">
    <cfRule type="expression" dxfId="907" priority="21">
      <formula>NoColor</formula>
    </cfRule>
  </conditionalFormatting>
  <conditionalFormatting sqref="F38:M38">
    <cfRule type="expression" dxfId="906" priority="430">
      <formula>NoColor</formula>
    </cfRule>
  </conditionalFormatting>
  <conditionalFormatting sqref="G38">
    <cfRule type="expression" dxfId="905" priority="292">
      <formula>AND(NOT(NoColor),$AV$36)</formula>
    </cfRule>
  </conditionalFormatting>
  <conditionalFormatting sqref="I163:I164">
    <cfRule type="expression" dxfId="904" priority="22">
      <formula>AND(NOT(NoColor),$C$163)</formula>
    </cfRule>
  </conditionalFormatting>
  <conditionalFormatting sqref="J142:K142">
    <cfRule type="expression" dxfId="903" priority="57">
      <formula>NoColor</formula>
    </cfRule>
  </conditionalFormatting>
  <conditionalFormatting sqref="K19">
    <cfRule type="expression" dxfId="902" priority="312">
      <formula>AND($AV$19,NOT(NoColor))</formula>
    </cfRule>
  </conditionalFormatting>
  <conditionalFormatting sqref="K54">
    <cfRule type="expression" dxfId="901" priority="20">
      <formula>$AQ$54</formula>
    </cfRule>
  </conditionalFormatting>
  <conditionalFormatting sqref="L30">
    <cfRule type="expression" dxfId="900" priority="134">
      <formula>NoColor</formula>
    </cfRule>
  </conditionalFormatting>
  <conditionalFormatting sqref="L54">
    <cfRule type="expression" dxfId="899" priority="33">
      <formula>$AG$54</formula>
    </cfRule>
  </conditionalFormatting>
  <conditionalFormatting sqref="L52:M52">
    <cfRule type="expression" dxfId="898" priority="6797">
      <formula>#REF!</formula>
    </cfRule>
  </conditionalFormatting>
  <conditionalFormatting sqref="N52">
    <cfRule type="expression" dxfId="897" priority="28">
      <formula>$AQ$52</formula>
    </cfRule>
  </conditionalFormatting>
  <conditionalFormatting sqref="N23:AA23 N24:AI25">
    <cfRule type="expression" dxfId="896" priority="503">
      <formula>NoColor</formula>
    </cfRule>
  </conditionalFormatting>
  <conditionalFormatting sqref="Q107:R107">
    <cfRule type="expression" dxfId="895" priority="26">
      <formula>$C$107</formula>
    </cfRule>
  </conditionalFormatting>
  <conditionalFormatting sqref="S107">
    <cfRule type="expression" dxfId="894" priority="25">
      <formula>$C$107</formula>
    </cfRule>
  </conditionalFormatting>
  <conditionalFormatting sqref="U19">
    <cfRule type="expression" dxfId="893" priority="498">
      <formula>NoColor</formula>
    </cfRule>
  </conditionalFormatting>
  <conditionalFormatting sqref="U26:U27">
    <cfRule type="expression" dxfId="892" priority="262">
      <formula>NoColor</formula>
    </cfRule>
  </conditionalFormatting>
  <conditionalFormatting sqref="U30">
    <cfRule type="expression" dxfId="891" priority="496">
      <formula>NoColor</formula>
    </cfRule>
  </conditionalFormatting>
  <conditionalFormatting sqref="V58">
    <cfRule type="expression" dxfId="890" priority="160">
      <formula>NoColor</formula>
    </cfRule>
  </conditionalFormatting>
  <conditionalFormatting sqref="X58">
    <cfRule type="expression" dxfId="889" priority="137">
      <formula>NoColor</formula>
    </cfRule>
  </conditionalFormatting>
  <conditionalFormatting sqref="AC15:AC17">
    <cfRule type="expression" dxfId="888" priority="276">
      <formula>NoColor</formula>
    </cfRule>
  </conditionalFormatting>
  <conditionalFormatting sqref="AC20">
    <cfRule type="expression" dxfId="887" priority="268">
      <formula>NoColor</formula>
    </cfRule>
  </conditionalFormatting>
  <conditionalFormatting sqref="AC23">
    <cfRule type="expression" dxfId="886" priority="414">
      <formula>NoColor</formula>
    </cfRule>
  </conditionalFormatting>
  <conditionalFormatting sqref="AC57">
    <cfRule type="expression" dxfId="885" priority="162">
      <formula>NoColor</formula>
    </cfRule>
  </conditionalFormatting>
  <conditionalFormatting sqref="AC62">
    <cfRule type="expression" dxfId="884" priority="157">
      <formula>NoColor</formula>
    </cfRule>
  </conditionalFormatting>
  <conditionalFormatting sqref="AC73">
    <cfRule type="expression" dxfId="883" priority="151">
      <formula>NoColor</formula>
    </cfRule>
  </conditionalFormatting>
  <conditionalFormatting sqref="AC75:AC76">
    <cfRule type="expression" dxfId="882" priority="145">
      <formula>NoColor</formula>
    </cfRule>
  </conditionalFormatting>
  <conditionalFormatting sqref="AC80">
    <cfRule type="expression" dxfId="881" priority="143">
      <formula>NoColor</formula>
    </cfRule>
  </conditionalFormatting>
  <conditionalFormatting sqref="AD104:AE104">
    <cfRule type="expression" dxfId="880" priority="190">
      <formula>NoColor</formula>
    </cfRule>
  </conditionalFormatting>
  <conditionalFormatting sqref="AE15">
    <cfRule type="expression" dxfId="879" priority="279">
      <formula>NoColor</formula>
    </cfRule>
  </conditionalFormatting>
  <conditionalFormatting sqref="AE20">
    <cfRule type="expression" dxfId="878" priority="269">
      <formula>NoColor</formula>
    </cfRule>
  </conditionalFormatting>
  <conditionalFormatting sqref="AE23">
    <cfRule type="expression" dxfId="877" priority="267">
      <formula>NoColor</formula>
    </cfRule>
  </conditionalFormatting>
  <conditionalFormatting sqref="AE57">
    <cfRule type="expression" dxfId="876" priority="158">
      <formula>NoColor</formula>
    </cfRule>
  </conditionalFormatting>
  <conditionalFormatting sqref="AE172">
    <cfRule type="expression" dxfId="875" priority="14">
      <formula>NoColor</formula>
    </cfRule>
  </conditionalFormatting>
  <conditionalFormatting sqref="AE182">
    <cfRule type="expression" dxfId="874" priority="70">
      <formula>NoColor</formula>
    </cfRule>
  </conditionalFormatting>
  <conditionalFormatting sqref="AE195">
    <cfRule type="expression" dxfId="873" priority="68">
      <formula>NoColor</formula>
    </cfRule>
  </conditionalFormatting>
  <conditionalFormatting sqref="AE38:AG38">
    <cfRule type="expression" dxfId="872" priority="427">
      <formula>NoColor</formula>
    </cfRule>
  </conditionalFormatting>
  <conditionalFormatting sqref="AE16:AI17">
    <cfRule type="expression" dxfId="871" priority="275">
      <formula>NoColor</formula>
    </cfRule>
  </conditionalFormatting>
  <conditionalFormatting sqref="AE62:AI62">
    <cfRule type="expression" dxfId="870" priority="156">
      <formula>NoColor</formula>
    </cfRule>
  </conditionalFormatting>
  <conditionalFormatting sqref="AE73:AI73">
    <cfRule type="expression" dxfId="869" priority="150">
      <formula>NoColor</formula>
    </cfRule>
  </conditionalFormatting>
  <conditionalFormatting sqref="AE75:AI76">
    <cfRule type="expression" dxfId="868" priority="144">
      <formula>NoColor</formula>
    </cfRule>
  </conditionalFormatting>
  <conditionalFormatting sqref="AE80:AI80">
    <cfRule type="expression" dxfId="867" priority="142">
      <formula>NoColor</formula>
    </cfRule>
  </conditionalFormatting>
  <conditionalFormatting sqref="AE147:AI147">
    <cfRule type="expression" dxfId="866" priority="61">
      <formula>NoColor</formula>
    </cfRule>
  </conditionalFormatting>
  <conditionalFormatting sqref="AE150:AI150">
    <cfRule type="expression" dxfId="865" priority="16">
      <formula>NoColor</formula>
    </cfRule>
  </conditionalFormatting>
  <conditionalFormatting sqref="AJ18:AJ19">
    <cfRule type="expression" dxfId="864" priority="416">
      <formula>NoColor</formula>
    </cfRule>
  </conditionalFormatting>
  <conditionalFormatting sqref="AJ34:AJ36">
    <cfRule type="expression" dxfId="863" priority="132">
      <formula>NoColor</formula>
    </cfRule>
  </conditionalFormatting>
  <conditionalFormatting sqref="AJ40:AJ41">
    <cfRule type="expression" dxfId="862" priority="39">
      <formula>NoColor</formula>
    </cfRule>
  </conditionalFormatting>
  <conditionalFormatting sqref="AJ50">
    <cfRule type="expression" dxfId="861" priority="3">
      <formula>NoColor</formula>
    </cfRule>
  </conditionalFormatting>
  <conditionalFormatting sqref="AJ54">
    <cfRule type="expression" dxfId="860" priority="166">
      <formula>NoColor</formula>
    </cfRule>
  </conditionalFormatting>
  <conditionalFormatting sqref="AJ56">
    <cfRule type="expression" dxfId="859" priority="164">
      <formula>NoColor</formula>
    </cfRule>
  </conditionalFormatting>
  <conditionalFormatting sqref="AJ63">
    <cfRule type="expression" dxfId="858" priority="155">
      <formula>NoColor</formula>
    </cfRule>
  </conditionalFormatting>
  <conditionalFormatting sqref="AJ81:AJ82">
    <cfRule type="expression" dxfId="857" priority="139">
      <formula>NoColor</formula>
    </cfRule>
  </conditionalFormatting>
  <conditionalFormatting sqref="AJ85">
    <cfRule type="expression" dxfId="856" priority="136">
      <formula>NoColor</formula>
    </cfRule>
  </conditionalFormatting>
  <conditionalFormatting sqref="AK116">
    <cfRule type="expression" dxfId="854" priority="30">
      <formula>NoColor</formula>
    </cfRule>
  </conditionalFormatting>
  <conditionalFormatting sqref="AK119">
    <cfRule type="expression" dxfId="853" priority="29">
      <formula>NoColor</formula>
    </cfRule>
  </conditionalFormatting>
  <conditionalFormatting sqref="AK208">
    <cfRule type="expression" dxfId="852" priority="64">
      <formula>NoColor</formula>
    </cfRule>
  </conditionalFormatting>
  <conditionalFormatting sqref="AK223">
    <cfRule type="expression" dxfId="851" priority="62">
      <formula>NoColor</formula>
    </cfRule>
  </conditionalFormatting>
  <conditionalFormatting sqref="AK91:AO91">
    <cfRule type="expression" dxfId="850" priority="221">
      <formula>NoColor</formula>
    </cfRule>
  </conditionalFormatting>
  <conditionalFormatting sqref="AK106:AO106">
    <cfRule type="expression" dxfId="849" priority="189">
      <formula>NoColor</formula>
    </cfRule>
  </conditionalFormatting>
  <conditionalFormatting sqref="AK140:AO140">
    <cfRule type="expression" dxfId="848" priority="79">
      <formula>NoColor</formula>
    </cfRule>
  </conditionalFormatting>
  <conditionalFormatting sqref="AK142:AO142">
    <cfRule type="expression" dxfId="847" priority="58">
      <formula>NoColor</formula>
    </cfRule>
  </conditionalFormatting>
  <conditionalFormatting sqref="AK158:AO158">
    <cfRule type="expression" dxfId="846" priority="15">
      <formula>NoColor</formula>
    </cfRule>
  </conditionalFormatting>
  <conditionalFormatting sqref="AK186:AO186">
    <cfRule type="expression" dxfId="845" priority="69">
      <formula>NoColor</formula>
    </cfRule>
  </conditionalFormatting>
  <conditionalFormatting sqref="AK200:AO200">
    <cfRule type="expression" dxfId="844" priority="67">
      <formula>NoColor</formula>
    </cfRule>
  </conditionalFormatting>
  <conditionalFormatting sqref="AK202:AO202">
    <cfRule type="expression" dxfId="843" priority="13">
      <formula>NoColor</formula>
    </cfRule>
  </conditionalFormatting>
  <conditionalFormatting sqref="AK204:AO204">
    <cfRule type="expression" dxfId="842" priority="12">
      <formula>NoColor</formula>
    </cfRule>
  </conditionalFormatting>
  <conditionalFormatting sqref="AL20">
    <cfRule type="expression" dxfId="841" priority="333">
      <formula>NoColor</formula>
    </cfRule>
  </conditionalFormatting>
  <conditionalFormatting sqref="AL14:AP14">
    <cfRule type="expression" dxfId="840" priority="234">
      <formula>NoColor</formula>
    </cfRule>
  </conditionalFormatting>
  <conditionalFormatting sqref="AL16:AP16">
    <cfRule type="expression" dxfId="839" priority="334">
      <formula>NoColor</formula>
    </cfRule>
  </conditionalFormatting>
  <conditionalFormatting sqref="AL18:AP19">
    <cfRule type="expression" dxfId="838" priority="332">
      <formula>NoColor</formula>
    </cfRule>
  </conditionalFormatting>
  <conditionalFormatting sqref="AL21:AP21">
    <cfRule type="expression" dxfId="837" priority="297">
      <formula>NoColor</formula>
    </cfRule>
  </conditionalFormatting>
  <conditionalFormatting sqref="AL26:AP27">
    <cfRule type="expression" dxfId="836" priority="261">
      <formula>NoColor</formula>
    </cfRule>
  </conditionalFormatting>
  <conditionalFormatting sqref="AL30:AP30">
    <cfRule type="expression" dxfId="835" priority="32">
      <formula>NoColor</formula>
    </cfRule>
  </conditionalFormatting>
  <conditionalFormatting sqref="AL34:AP36">
    <cfRule type="expression" dxfId="834" priority="131">
      <formula>NoColor</formula>
    </cfRule>
  </conditionalFormatting>
  <conditionalFormatting sqref="AL40:AP41">
    <cfRule type="expression" dxfId="833" priority="37">
      <formula>NoColor</formula>
    </cfRule>
  </conditionalFormatting>
  <conditionalFormatting sqref="AL52:AP52">
    <cfRule type="expression" dxfId="832" priority="1">
      <formula>NoColor</formula>
    </cfRule>
  </conditionalFormatting>
  <conditionalFormatting sqref="AL54:AP54">
    <cfRule type="expression" dxfId="831" priority="165">
      <formula>NoColor</formula>
    </cfRule>
  </conditionalFormatting>
  <conditionalFormatting sqref="AL56:AP56">
    <cfRule type="expression" dxfId="830" priority="163">
      <formula>NoColor</formula>
    </cfRule>
  </conditionalFormatting>
  <conditionalFormatting sqref="AL63:AP63">
    <cfRule type="expression" dxfId="829" priority="154">
      <formula>NoColor</formula>
    </cfRule>
  </conditionalFormatting>
  <conditionalFormatting sqref="AL81:AP82">
    <cfRule type="expression" dxfId="828" priority="138">
      <formula>NoColor</formula>
    </cfRule>
  </conditionalFormatting>
  <conditionalFormatting sqref="AL85:AP85">
    <cfRule type="expression" dxfId="827" priority="135">
      <formula>NoColor</formula>
    </cfRule>
  </conditionalFormatting>
  <conditionalFormatting sqref="AS18:AS19">
    <cfRule type="expression" dxfId="825" priority="229">
      <formula>(#REF!&lt;&gt;"")</formula>
    </cfRule>
  </conditionalFormatting>
  <conditionalFormatting sqref="AS21:AS22">
    <cfRule type="expression" dxfId="824" priority="129">
      <formula>(#REF!&lt;&gt;"")</formula>
    </cfRule>
  </conditionalFormatting>
  <conditionalFormatting sqref="AS24:AS25">
    <cfRule type="expression" dxfId="823" priority="18">
      <formula>(#REF!&lt;&gt;"")</formula>
    </cfRule>
  </conditionalFormatting>
  <conditionalFormatting sqref="AS28:AS38 AS40 AS42:AS45">
    <cfRule type="expression" dxfId="822" priority="4399">
      <formula>(#REF!&lt;&gt;"")</formula>
    </cfRule>
  </conditionalFormatting>
  <conditionalFormatting sqref="AS51">
    <cfRule type="expression" dxfId="821" priority="6">
      <formula>(#REF!&lt;&gt;"")</formula>
    </cfRule>
  </conditionalFormatting>
  <conditionalFormatting sqref="AS174">
    <cfRule type="expression" dxfId="820" priority="11">
      <formula>$AL$173</formula>
    </cfRule>
  </conditionalFormatting>
  <conditionalFormatting sqref="AS176">
    <cfRule type="expression" dxfId="819" priority="9">
      <formula>$AL$173</formula>
    </cfRule>
  </conditionalFormatting>
  <pageMargins left="0.75" right="0.25" top="0.36" bottom="0.28999999999999998" header="0.36" footer="0.21"/>
  <pageSetup scale="76" fitToHeight="0" orientation="portrait" r:id="rId1"/>
  <rowBreaks count="4" manualBreakCount="4">
    <brk id="46" min="1" max="41" man="1"/>
    <brk id="86" min="1" max="41" man="1"/>
    <brk id="124" max="16383" man="1"/>
    <brk id="190" min="1" max="41" man="1"/>
  </rowBreaks>
  <ignoredErrors>
    <ignoredError sqref="AJ30 AJ27" numberStoredAsText="1"/>
  </ignoredErrors>
  <drawing r:id="rId2"/>
  <extLst>
    <ext xmlns:x14="http://schemas.microsoft.com/office/spreadsheetml/2009/9/main" uri="{78C0D931-6437-407d-A8EE-F0AAD7539E65}">
      <x14:conditionalFormattings>
        <x14:conditionalFormatting xmlns:xm="http://schemas.microsoft.com/office/excel/2006/main">
          <x14:cfRule type="expression" priority="4" id="{088FF02F-F76E-47BE-B2D5-760384D76FE3}">
            <xm:f>AND('Table of Contents'!A55="D",AQ4="")</xm:f>
            <x14:dxf>
              <font>
                <b/>
                <i val="0"/>
                <color rgb="FFC00000"/>
              </font>
            </x14:dxf>
          </x14:cfRule>
          <xm:sqref>AJ4:AP4</xm:sqref>
        </x14:conditionalFormatting>
        <x14:conditionalFormatting xmlns:xm="http://schemas.microsoft.com/office/excel/2006/main">
          <x14:cfRule type="expression" priority="5" id="{7954FD15-333C-4052-BEAD-ECD34BD0D590}">
            <xm:f>'Table of Contents'!A55="D"</xm:f>
            <x14:dxf>
              <fill>
                <patternFill>
                  <bgColor theme="0"/>
                </patternFill>
              </fill>
              <border>
                <right style="thin">
                  <color auto="1"/>
                </right>
                <top style="thin">
                  <color auto="1"/>
                </top>
                <bottom style="thin">
                  <color auto="1"/>
                </bottom>
                <vertical/>
                <horizontal/>
              </border>
            </x14:dxf>
          </x14:cfRule>
          <xm:sqref>AQ4</xm:sqref>
        </x14:conditionalFormatting>
      </x14:conditionalFormatting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pageSetUpPr fitToPage="1"/>
  </sheetPr>
  <dimension ref="A1:CC85"/>
  <sheetViews>
    <sheetView zoomScaleNormal="100" zoomScaleSheetLayoutView="100" workbookViewId="0"/>
  </sheetViews>
  <sheetFormatPr defaultColWidth="9.140625" defaultRowHeight="12.75"/>
  <cols>
    <col min="1" max="1" width="3.7109375" customWidth="1"/>
    <col min="2" max="2" width="5.140625" customWidth="1"/>
    <col min="3" max="3" width="5.5703125" customWidth="1"/>
    <col min="4" max="8" width="3.7109375" customWidth="1"/>
    <col min="9" max="9" width="4.7109375" customWidth="1"/>
    <col min="10" max="10" width="3.7109375" customWidth="1"/>
    <col min="11" max="11" width="4.85546875" customWidth="1"/>
    <col min="12" max="12" width="3.7109375" customWidth="1"/>
    <col min="13" max="13" width="4.7109375" customWidth="1"/>
    <col min="14" max="14" width="4.42578125" customWidth="1"/>
    <col min="15" max="15" width="3.7109375" customWidth="1"/>
    <col min="16" max="16" width="5.42578125" customWidth="1"/>
    <col min="17" max="17" width="5.140625" customWidth="1"/>
    <col min="18" max="29" width="3.7109375" customWidth="1"/>
    <col min="30" max="30" width="5.5703125" customWidth="1"/>
    <col min="31" max="32" width="3.7109375" customWidth="1"/>
    <col min="33" max="33" width="4.42578125" customWidth="1"/>
    <col min="34" max="36" width="3.7109375" customWidth="1"/>
    <col min="37" max="37" width="4.5703125" customWidth="1"/>
    <col min="38" max="38" width="4.42578125" customWidth="1"/>
    <col min="39" max="39" width="12.5703125" customWidth="1"/>
    <col min="40" max="40" width="2" customWidth="1"/>
    <col min="41" max="41" width="5.140625" customWidth="1"/>
    <col min="42" max="42" width="7.28515625" customWidth="1"/>
    <col min="43" max="43" width="37.5703125" customWidth="1"/>
    <col min="44" max="44" width="4.5703125" customWidth="1"/>
    <col min="45" max="45" width="9" customWidth="1"/>
    <col min="46" max="46" width="6.85546875" customWidth="1"/>
    <col min="47" max="47" width="6.42578125" customWidth="1"/>
    <col min="48" max="48" width="13.140625" style="1366" customWidth="1"/>
    <col min="49" max="56" width="10.7109375" style="815" customWidth="1"/>
  </cols>
  <sheetData>
    <row r="1" spans="1:81" ht="23.25" customHeight="1">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7038" t="str">
        <f>IF('Table of Contents'!A56="D","DRAFT","")</f>
        <v/>
      </c>
      <c r="AD1" s="7038"/>
      <c r="AE1" s="7038"/>
      <c r="AF1" s="7038"/>
      <c r="AG1" s="7038"/>
      <c r="AH1" s="7038"/>
      <c r="AI1" s="7038"/>
      <c r="AJ1" s="7038"/>
      <c r="AK1" s="2013"/>
      <c r="AL1" s="253"/>
      <c r="AM1" s="253"/>
      <c r="AN1" s="253"/>
      <c r="AO1" s="253"/>
      <c r="AP1" s="253"/>
      <c r="AQ1" s="253"/>
      <c r="AR1" s="253"/>
      <c r="AS1" s="253"/>
      <c r="AT1" s="253"/>
      <c r="AU1" s="253"/>
      <c r="AV1" s="1356"/>
      <c r="AW1" s="658"/>
      <c r="AX1" s="658"/>
      <c r="AY1" s="658"/>
      <c r="AZ1" s="658"/>
      <c r="BA1" s="658"/>
      <c r="BB1" s="658"/>
      <c r="BC1" s="658"/>
      <c r="BD1" s="658"/>
    </row>
    <row r="2" spans="1:81" ht="18" customHeight="1">
      <c r="A2" s="2013"/>
      <c r="B2" s="253"/>
      <c r="C2" s="253"/>
      <c r="D2" s="9823" t="s">
        <v>4118</v>
      </c>
      <c r="E2" s="7601"/>
      <c r="F2" s="7601"/>
      <c r="G2" s="7601"/>
      <c r="H2" s="379"/>
      <c r="I2" s="2741"/>
      <c r="J2" s="253"/>
      <c r="K2" s="253"/>
      <c r="L2" s="253"/>
      <c r="M2" s="253"/>
      <c r="N2" s="253"/>
      <c r="O2" s="253"/>
      <c r="P2" s="253"/>
      <c r="Q2" s="253"/>
      <c r="R2" s="253"/>
      <c r="S2" s="253"/>
      <c r="T2" s="253"/>
      <c r="U2" s="253"/>
      <c r="V2" s="253"/>
      <c r="W2" s="253"/>
      <c r="X2" s="253"/>
      <c r="Y2" s="253"/>
      <c r="Z2" s="253"/>
      <c r="AA2" s="253"/>
      <c r="AB2" s="2910"/>
      <c r="AC2" s="11112" t="str">
        <f>IF(AND(AK2="",'Table of Contents'!A56="D"),"DRAFT","OMB No. 1545-0074")</f>
        <v>OMB No. 1545-0074</v>
      </c>
      <c r="AD2" s="9894"/>
      <c r="AE2" s="9894"/>
      <c r="AF2" s="9894"/>
      <c r="AG2" s="9894"/>
      <c r="AH2" s="9894"/>
      <c r="AI2" s="9894"/>
      <c r="AJ2" s="9894"/>
      <c r="AK2" s="2389"/>
      <c r="AL2" s="253"/>
      <c r="AM2" s="253"/>
      <c r="AN2" s="253"/>
      <c r="AO2" s="253"/>
      <c r="AP2" s="253"/>
      <c r="AQ2" s="253"/>
      <c r="AR2" s="253"/>
      <c r="AS2" s="253"/>
      <c r="AT2" s="253"/>
      <c r="AU2" s="253"/>
      <c r="AV2" s="1356" t="s">
        <v>223</v>
      </c>
      <c r="AW2" s="658"/>
      <c r="AX2" s="658"/>
      <c r="AY2" s="658"/>
      <c r="AZ2" s="658"/>
      <c r="BA2" s="658"/>
      <c r="BB2" s="658"/>
      <c r="BC2" s="658"/>
      <c r="BD2" s="658"/>
    </row>
    <row r="3" spans="1:81" ht="24" customHeight="1">
      <c r="A3" s="2013"/>
      <c r="B3" s="9825" t="s">
        <v>46</v>
      </c>
      <c r="C3" s="9617"/>
      <c r="D3" s="7601"/>
      <c r="E3" s="7601"/>
      <c r="F3" s="7601"/>
      <c r="G3" s="7601"/>
      <c r="H3" s="379"/>
      <c r="I3" s="7931" t="s">
        <v>4119</v>
      </c>
      <c r="J3" s="7932"/>
      <c r="K3" s="7932"/>
      <c r="L3" s="7932"/>
      <c r="M3" s="7932"/>
      <c r="N3" s="7932"/>
      <c r="O3" s="7932"/>
      <c r="P3" s="7932"/>
      <c r="Q3" s="7932"/>
      <c r="R3" s="7932"/>
      <c r="S3" s="7932"/>
      <c r="T3" s="7932"/>
      <c r="U3" s="7932"/>
      <c r="V3" s="7932"/>
      <c r="W3" s="7932"/>
      <c r="X3" s="7932"/>
      <c r="Y3" s="7932"/>
      <c r="Z3" s="7932"/>
      <c r="AA3" s="7932"/>
      <c r="AB3" s="7933"/>
      <c r="AC3" s="9826">
        <f>TaxYear</f>
        <v>2025</v>
      </c>
      <c r="AD3" s="9827"/>
      <c r="AE3" s="9827"/>
      <c r="AF3" s="9827"/>
      <c r="AG3" s="9827"/>
      <c r="AH3" s="9827"/>
      <c r="AI3" s="9827"/>
      <c r="AJ3" s="9827"/>
      <c r="AK3" s="2013"/>
      <c r="AL3" s="253"/>
      <c r="AM3" s="253"/>
      <c r="AN3" s="253"/>
      <c r="AO3" s="253"/>
      <c r="AP3" s="253"/>
      <c r="AQ3" s="253"/>
      <c r="AR3" s="253"/>
      <c r="AS3" s="253"/>
      <c r="AT3" s="253"/>
      <c r="AU3" s="253"/>
      <c r="AV3" s="1365" t="s">
        <v>227</v>
      </c>
      <c r="AW3" s="658"/>
      <c r="AX3" s="658"/>
      <c r="AY3" s="658"/>
      <c r="AZ3" s="658"/>
      <c r="BA3" s="658"/>
      <c r="BB3" s="658"/>
      <c r="BC3" s="658"/>
      <c r="BD3" s="658"/>
    </row>
    <row r="4" spans="1:81" ht="12.75" customHeight="1">
      <c r="A4" s="2013"/>
      <c r="B4" s="253"/>
      <c r="C4" s="253"/>
      <c r="D4" s="253"/>
      <c r="E4" s="253"/>
      <c r="F4" s="253"/>
      <c r="G4" s="253"/>
      <c r="H4" s="379"/>
      <c r="I4" s="11115" t="s">
        <v>4120</v>
      </c>
      <c r="J4" s="6992"/>
      <c r="K4" s="6992"/>
      <c r="L4" s="6992"/>
      <c r="M4" s="6992"/>
      <c r="N4" s="6992"/>
      <c r="O4" s="6992"/>
      <c r="P4" s="6992"/>
      <c r="Q4" s="6992"/>
      <c r="R4" s="6992"/>
      <c r="S4" s="6992"/>
      <c r="T4" s="6992"/>
      <c r="U4" s="6992"/>
      <c r="V4" s="6992"/>
      <c r="W4" s="6992"/>
      <c r="X4" s="6992"/>
      <c r="Y4" s="6992"/>
      <c r="Z4" s="6992"/>
      <c r="AA4" s="6992"/>
      <c r="AB4" s="6993"/>
      <c r="AC4" s="9828"/>
      <c r="AD4" s="9829"/>
      <c r="AE4" s="9829"/>
      <c r="AF4" s="9829"/>
      <c r="AG4" s="9829"/>
      <c r="AH4" s="9829"/>
      <c r="AI4" s="9829"/>
      <c r="AJ4" s="9829"/>
      <c r="AK4" s="2013"/>
      <c r="AL4" s="253"/>
      <c r="AM4" s="253"/>
      <c r="AN4" s="253"/>
      <c r="AO4" s="253"/>
      <c r="AP4" s="253"/>
      <c r="AQ4" s="253"/>
      <c r="AR4" s="253"/>
      <c r="AS4" s="253"/>
      <c r="AT4" s="253"/>
      <c r="AU4" s="253"/>
      <c r="AV4" s="1357"/>
      <c r="AW4" s="658"/>
      <c r="AX4" s="658"/>
      <c r="AY4" s="658"/>
      <c r="AZ4" s="658"/>
      <c r="BA4" s="658"/>
      <c r="BB4" s="658"/>
      <c r="BC4" s="658"/>
      <c r="BD4" s="658"/>
    </row>
    <row r="5" spans="1:81" ht="12.75" customHeight="1">
      <c r="A5" s="2013"/>
      <c r="B5" s="253" t="s">
        <v>503</v>
      </c>
      <c r="C5" s="253"/>
      <c r="D5" s="253"/>
      <c r="E5" s="253"/>
      <c r="F5" s="253"/>
      <c r="G5" s="253"/>
      <c r="H5" s="379"/>
      <c r="I5" s="11118" t="s">
        <v>4121</v>
      </c>
      <c r="J5" s="11119"/>
      <c r="K5" s="11119"/>
      <c r="L5" s="11119"/>
      <c r="M5" s="11119"/>
      <c r="N5" s="11119"/>
      <c r="O5" s="11119"/>
      <c r="P5" s="11119"/>
      <c r="Q5" s="11119"/>
      <c r="R5" s="11119"/>
      <c r="S5" s="11119"/>
      <c r="T5" s="11119"/>
      <c r="U5" s="11119"/>
      <c r="V5" s="11119"/>
      <c r="W5" s="11119"/>
      <c r="X5" s="11119"/>
      <c r="Y5" s="11119"/>
      <c r="Z5" s="11119"/>
      <c r="AA5" s="11119"/>
      <c r="AB5" s="11120"/>
      <c r="AC5" s="341"/>
      <c r="AD5" s="9515" t="s">
        <v>3475</v>
      </c>
      <c r="AE5" s="7844"/>
      <c r="AF5" s="7844"/>
      <c r="AG5" s="7844"/>
      <c r="AH5" s="9193">
        <v>176</v>
      </c>
      <c r="AI5" s="9193"/>
      <c r="AJ5" s="253"/>
      <c r="AK5" s="2013"/>
      <c r="AL5" s="253"/>
      <c r="AM5" s="253"/>
      <c r="AN5" s="253"/>
      <c r="AO5" s="253"/>
      <c r="AP5" s="253"/>
      <c r="AQ5" s="253"/>
      <c r="AR5" s="253"/>
      <c r="AS5" s="253"/>
      <c r="AT5" s="253"/>
      <c r="AU5" s="253"/>
      <c r="AV5" s="1357"/>
      <c r="AW5" s="658"/>
      <c r="AX5" s="658"/>
      <c r="AY5" s="658"/>
      <c r="AZ5" s="658"/>
      <c r="BA5" s="658"/>
      <c r="BB5" s="658"/>
      <c r="BC5" s="658"/>
      <c r="BD5" s="658"/>
    </row>
    <row r="6" spans="1:81" ht="13.5" customHeight="1" thickBot="1">
      <c r="A6" s="2013"/>
      <c r="B6" s="380" t="s">
        <v>505</v>
      </c>
      <c r="C6" s="380"/>
      <c r="D6" s="380"/>
      <c r="E6" s="380"/>
      <c r="F6" s="380"/>
      <c r="G6" s="380"/>
      <c r="H6" s="381"/>
      <c r="I6" s="11096" t="s">
        <v>4122</v>
      </c>
      <c r="J6" s="11097"/>
      <c r="K6" s="11097"/>
      <c r="L6" s="11097"/>
      <c r="M6" s="11097"/>
      <c r="N6" s="11097"/>
      <c r="O6" s="11097"/>
      <c r="P6" s="11097"/>
      <c r="Q6" s="11097"/>
      <c r="R6" s="11097"/>
      <c r="S6" s="11097"/>
      <c r="T6" s="11097"/>
      <c r="U6" s="11097"/>
      <c r="V6" s="11097"/>
      <c r="W6" s="11097"/>
      <c r="X6" s="11097"/>
      <c r="Y6" s="11097"/>
      <c r="Z6" s="11097"/>
      <c r="AA6" s="11097"/>
      <c r="AB6" s="11098"/>
      <c r="AC6" s="1197"/>
      <c r="AD6" s="9966" t="s">
        <v>3488</v>
      </c>
      <c r="AE6" s="9967"/>
      <c r="AF6" s="9967"/>
      <c r="AG6" s="9967"/>
      <c r="AH6" s="9974"/>
      <c r="AI6" s="9974"/>
      <c r="AJ6" s="380"/>
      <c r="AK6" s="2013"/>
      <c r="AL6" s="253"/>
      <c r="AM6" s="253"/>
      <c r="AN6" s="253"/>
      <c r="AO6" s="253"/>
      <c r="AP6" s="253"/>
      <c r="AQ6" s="253"/>
      <c r="AR6" s="253"/>
      <c r="AS6" s="253"/>
      <c r="AT6" s="253"/>
      <c r="AU6" s="253"/>
      <c r="AV6" s="1357"/>
      <c r="AW6" s="658"/>
      <c r="AX6" s="658"/>
      <c r="AY6" s="658"/>
      <c r="AZ6" s="658"/>
      <c r="BA6" s="658"/>
      <c r="BB6" s="658"/>
      <c r="BC6" s="658"/>
      <c r="BD6" s="658"/>
    </row>
    <row r="7" spans="1:81">
      <c r="A7" s="2013"/>
      <c r="B7" s="339" t="s">
        <v>4123</v>
      </c>
      <c r="C7" s="339"/>
      <c r="D7" s="339"/>
      <c r="E7" s="339"/>
      <c r="F7" s="339"/>
      <c r="G7" s="339"/>
      <c r="H7" s="339"/>
      <c r="I7" s="339"/>
      <c r="J7" s="339"/>
      <c r="K7" s="339"/>
      <c r="L7" s="339"/>
      <c r="M7" s="339"/>
      <c r="N7" s="339"/>
      <c r="O7" s="339"/>
      <c r="P7" s="339"/>
      <c r="Q7" s="339"/>
      <c r="R7" s="339"/>
      <c r="S7" s="339"/>
      <c r="T7" s="339"/>
      <c r="U7" s="339"/>
      <c r="V7" s="339"/>
      <c r="W7" s="339"/>
      <c r="X7" s="339"/>
      <c r="Y7" s="2913" t="s">
        <v>549</v>
      </c>
      <c r="Z7" s="377"/>
      <c r="AA7" s="377"/>
      <c r="AB7" s="377"/>
      <c r="AC7" s="408"/>
      <c r="AD7" s="2019"/>
      <c r="AE7" s="2019"/>
      <c r="AF7" s="2019"/>
      <c r="AG7" s="2019"/>
      <c r="AH7" s="2019"/>
      <c r="AI7" s="2019"/>
      <c r="AJ7" s="2019"/>
      <c r="AK7" s="2013"/>
      <c r="AL7" s="253"/>
      <c r="AM7" s="253"/>
      <c r="AN7" s="253"/>
      <c r="AO7" s="253"/>
      <c r="AP7" s="253"/>
      <c r="AQ7" s="253"/>
      <c r="AR7" s="253"/>
      <c r="AS7" s="253"/>
      <c r="AT7" s="253"/>
      <c r="AU7" s="253"/>
      <c r="AV7" s="1357"/>
      <c r="AW7" s="658"/>
      <c r="AX7" s="658"/>
      <c r="AY7" s="658"/>
      <c r="AZ7" s="658"/>
      <c r="BA7" s="658"/>
      <c r="BB7" s="658"/>
      <c r="BC7" s="658"/>
      <c r="BD7" s="658"/>
    </row>
    <row r="8" spans="1:81" ht="13.5" customHeight="1">
      <c r="A8" s="2013"/>
      <c r="B8" s="11099" t="str">
        <f>IF(Names="","",Names)</f>
        <v/>
      </c>
      <c r="C8" s="11100"/>
      <c r="D8" s="11100"/>
      <c r="E8" s="11100"/>
      <c r="F8" s="11100"/>
      <c r="G8" s="11100"/>
      <c r="H8" s="11100"/>
      <c r="I8" s="11100"/>
      <c r="J8" s="11100"/>
      <c r="K8" s="11100"/>
      <c r="L8" s="11101"/>
      <c r="M8" s="11101"/>
      <c r="N8" s="11101"/>
      <c r="O8" s="11101"/>
      <c r="P8" s="11101"/>
      <c r="Q8" s="11101"/>
      <c r="R8" s="11101"/>
      <c r="S8" s="11101"/>
      <c r="T8" s="11101"/>
      <c r="U8" s="11101"/>
      <c r="V8" s="11101"/>
      <c r="W8" s="11101"/>
      <c r="X8" s="11102"/>
      <c r="Y8" s="11105">
        <f>IF(OR(NoSSN,SS_Yours=""),"",SS_Yours)</f>
        <v>1010001</v>
      </c>
      <c r="Z8" s="11106"/>
      <c r="AA8" s="11106"/>
      <c r="AB8" s="11106"/>
      <c r="AC8" s="11106"/>
      <c r="AD8" s="11106"/>
      <c r="AE8" s="11106"/>
      <c r="AF8" s="11106"/>
      <c r="AG8" s="11106"/>
      <c r="AH8" s="11106"/>
      <c r="AI8" s="11106"/>
      <c r="AJ8" s="11106"/>
      <c r="AK8" s="2013"/>
      <c r="AL8" s="253"/>
      <c r="AM8" s="253"/>
      <c r="AN8" s="253"/>
      <c r="AO8" s="253"/>
      <c r="AP8" s="253"/>
      <c r="AQ8" s="253"/>
      <c r="AR8" s="253"/>
      <c r="AS8" s="253"/>
      <c r="AT8" s="253"/>
      <c r="AU8" s="253"/>
      <c r="AV8" s="1357"/>
      <c r="AW8" s="658"/>
      <c r="AX8" s="658"/>
      <c r="AY8" s="658"/>
      <c r="AZ8" s="658"/>
      <c r="BA8" s="658"/>
      <c r="BB8" s="658"/>
      <c r="BC8" s="658"/>
      <c r="BD8" s="658"/>
    </row>
    <row r="9" spans="1:81" ht="5.25" customHeight="1">
      <c r="A9" s="2013"/>
      <c r="B9" s="11103"/>
      <c r="C9" s="11103"/>
      <c r="D9" s="11103"/>
      <c r="E9" s="11103"/>
      <c r="F9" s="11103"/>
      <c r="G9" s="11103"/>
      <c r="H9" s="11103"/>
      <c r="I9" s="11103"/>
      <c r="J9" s="11103"/>
      <c r="K9" s="11103"/>
      <c r="L9" s="11103"/>
      <c r="M9" s="11103"/>
      <c r="N9" s="11103"/>
      <c r="O9" s="11103"/>
      <c r="P9" s="11103"/>
      <c r="Q9" s="11103"/>
      <c r="R9" s="11103"/>
      <c r="S9" s="11103"/>
      <c r="T9" s="11103"/>
      <c r="U9" s="11103"/>
      <c r="V9" s="11103"/>
      <c r="W9" s="11103"/>
      <c r="X9" s="11104"/>
      <c r="Y9" s="11107"/>
      <c r="Z9" s="11108"/>
      <c r="AA9" s="11108"/>
      <c r="AB9" s="11108"/>
      <c r="AC9" s="11108"/>
      <c r="AD9" s="11108"/>
      <c r="AE9" s="11108"/>
      <c r="AF9" s="11108"/>
      <c r="AG9" s="11108"/>
      <c r="AH9" s="11108"/>
      <c r="AI9" s="11108"/>
      <c r="AJ9" s="11108"/>
      <c r="AK9" s="2013"/>
      <c r="AL9" s="253"/>
      <c r="AM9" s="253"/>
      <c r="AN9" s="253"/>
      <c r="AO9" s="253"/>
      <c r="AP9" s="253"/>
      <c r="AQ9" s="253"/>
      <c r="AR9" s="253"/>
      <c r="AS9" s="253"/>
      <c r="AT9" s="253"/>
      <c r="AU9" s="253"/>
      <c r="AV9" s="1357"/>
      <c r="AW9" s="658"/>
      <c r="AX9" s="658"/>
      <c r="AY9" s="658"/>
      <c r="AZ9" s="658"/>
      <c r="BA9" s="658"/>
      <c r="BB9" s="658"/>
      <c r="BC9" s="658"/>
      <c r="BD9" s="658"/>
    </row>
    <row r="10" spans="1:81" ht="5.25" customHeight="1">
      <c r="A10" s="2013"/>
      <c r="B10" s="1320"/>
      <c r="C10" s="1320"/>
      <c r="D10" s="1320"/>
      <c r="E10" s="1320"/>
      <c r="F10" s="1320"/>
      <c r="G10" s="1320"/>
      <c r="H10" s="1320"/>
      <c r="I10" s="1320"/>
      <c r="J10" s="1320"/>
      <c r="K10" s="1320"/>
      <c r="L10" s="1320"/>
      <c r="M10" s="1320"/>
      <c r="N10" s="1320"/>
      <c r="O10" s="1320"/>
      <c r="P10" s="1320"/>
      <c r="Q10" s="1320"/>
      <c r="R10" s="1320"/>
      <c r="S10" s="1320"/>
      <c r="T10" s="1320"/>
      <c r="U10" s="1320"/>
      <c r="V10" s="1320"/>
      <c r="W10" s="1320"/>
      <c r="X10" s="1320"/>
      <c r="Y10" s="1320"/>
      <c r="Z10" s="1320"/>
      <c r="AA10" s="1320"/>
      <c r="AB10" s="1320"/>
      <c r="AC10" s="1320"/>
      <c r="AD10" s="1320"/>
      <c r="AE10" s="1320"/>
      <c r="AF10" s="1320"/>
      <c r="AG10" s="1320"/>
      <c r="AH10" s="1320"/>
      <c r="AI10" s="253"/>
      <c r="AJ10" s="253"/>
      <c r="AK10" s="2013"/>
      <c r="AL10" s="253"/>
      <c r="AM10" s="253"/>
      <c r="AN10" s="253"/>
      <c r="AO10" s="253"/>
      <c r="AP10" s="253"/>
      <c r="AQ10" s="253"/>
      <c r="AR10" s="253"/>
      <c r="AS10" s="253"/>
      <c r="AT10" s="253"/>
      <c r="AU10" s="253"/>
      <c r="AV10" s="1357"/>
      <c r="AW10" s="658"/>
      <c r="AX10" s="658"/>
      <c r="AY10" s="658"/>
      <c r="AZ10" s="658"/>
      <c r="BA10" s="658"/>
      <c r="BB10" s="658"/>
      <c r="BC10" s="658"/>
      <c r="BD10" s="658"/>
    </row>
    <row r="11" spans="1:81" s="658" customFormat="1" ht="18" customHeight="1">
      <c r="A11" s="2013"/>
      <c r="B11" s="7934" t="s">
        <v>780</v>
      </c>
      <c r="C11" s="7934"/>
      <c r="D11" s="2085"/>
      <c r="E11" s="3376" t="s">
        <v>4124</v>
      </c>
      <c r="F11" s="773"/>
      <c r="G11" s="773"/>
      <c r="H11" s="773"/>
      <c r="I11" s="3376"/>
      <c r="J11" s="773"/>
      <c r="K11" s="773"/>
      <c r="L11" s="773"/>
      <c r="M11" s="773"/>
      <c r="N11" s="773"/>
      <c r="O11" s="773"/>
      <c r="P11" s="773"/>
      <c r="Q11" s="773"/>
      <c r="R11" s="773"/>
      <c r="S11" s="773"/>
      <c r="T11" s="773"/>
      <c r="U11" s="773"/>
      <c r="V11" s="773"/>
      <c r="W11" s="773"/>
      <c r="X11" s="773"/>
      <c r="Y11" s="773"/>
      <c r="Z11" s="773"/>
      <c r="AA11" s="773"/>
      <c r="AB11" s="773"/>
      <c r="AC11" s="773"/>
      <c r="AD11" s="773"/>
      <c r="AE11" s="773"/>
      <c r="AF11" s="773"/>
      <c r="AG11" s="773"/>
      <c r="AH11" s="773"/>
      <c r="AI11" s="773"/>
      <c r="AJ11" s="773"/>
      <c r="AK11" s="2013"/>
      <c r="AL11" s="712"/>
      <c r="AM11" s="253"/>
      <c r="AN11" s="253"/>
      <c r="AO11" s="253"/>
      <c r="AP11" s="253"/>
      <c r="AQ11" s="253"/>
      <c r="AR11" s="253"/>
      <c r="AS11" s="253"/>
      <c r="AT11" s="253"/>
      <c r="AU11" s="253"/>
      <c r="AV11" s="1357"/>
      <c r="BE11"/>
      <c r="BF11"/>
      <c r="BG11"/>
      <c r="BH11"/>
      <c r="BI11"/>
      <c r="BJ11"/>
      <c r="BK11"/>
      <c r="BL11"/>
      <c r="BM11"/>
      <c r="BN11"/>
      <c r="BO11"/>
      <c r="BP11"/>
      <c r="BQ11"/>
      <c r="BR11"/>
      <c r="BS11"/>
      <c r="BT11"/>
      <c r="BU11"/>
      <c r="BV11"/>
      <c r="BW11"/>
      <c r="BX11"/>
      <c r="BY11"/>
      <c r="BZ11"/>
      <c r="CA11"/>
      <c r="CB11"/>
      <c r="CC11"/>
    </row>
    <row r="12" spans="1:81" s="658" customFormat="1" ht="18" customHeight="1">
      <c r="A12" s="2013"/>
      <c r="B12" s="253"/>
      <c r="C12" s="2022" t="s">
        <v>228</v>
      </c>
      <c r="D12" s="1323" t="s">
        <v>4125</v>
      </c>
      <c r="E12" s="253"/>
      <c r="F12" s="253"/>
      <c r="G12" s="253"/>
      <c r="H12" s="253"/>
      <c r="I12" s="253"/>
      <c r="J12" s="253"/>
      <c r="K12" s="253"/>
      <c r="L12" s="253"/>
      <c r="M12" s="253"/>
      <c r="N12" s="253"/>
      <c r="O12" s="253"/>
      <c r="P12" s="253"/>
      <c r="Q12" s="253"/>
      <c r="R12" s="253"/>
      <c r="S12" s="253"/>
      <c r="T12" s="253"/>
      <c r="U12" s="253"/>
      <c r="V12" s="253"/>
      <c r="W12" s="253"/>
      <c r="X12" s="253"/>
      <c r="Y12" s="253"/>
      <c r="Z12" s="253"/>
      <c r="AA12" s="253"/>
      <c r="AB12" s="253"/>
      <c r="AC12" s="253"/>
      <c r="AD12" s="2890"/>
      <c r="AE12" s="253"/>
      <c r="AF12" s="253"/>
      <c r="AG12" s="253"/>
      <c r="AH12" s="253"/>
      <c r="AI12" s="253"/>
      <c r="AJ12" s="253"/>
      <c r="AK12" s="2013"/>
      <c r="AL12" s="712"/>
      <c r="AM12" s="253"/>
      <c r="AN12" s="253"/>
      <c r="AO12" s="253"/>
      <c r="AP12" s="253"/>
      <c r="AQ12" s="253"/>
      <c r="AR12" s="253"/>
      <c r="AS12" s="253"/>
      <c r="AT12" s="253"/>
      <c r="AU12" s="253"/>
      <c r="AV12" s="1357"/>
      <c r="BE12"/>
      <c r="BF12"/>
      <c r="BG12"/>
      <c r="BH12"/>
      <c r="BI12"/>
      <c r="BJ12"/>
      <c r="BK12"/>
      <c r="BL12"/>
      <c r="BM12"/>
      <c r="BN12"/>
      <c r="BO12"/>
      <c r="BP12"/>
      <c r="BQ12"/>
      <c r="BR12"/>
      <c r="BS12"/>
      <c r="BT12"/>
      <c r="BU12"/>
      <c r="BV12"/>
      <c r="BW12"/>
      <c r="BX12"/>
      <c r="BY12"/>
      <c r="BZ12"/>
      <c r="CA12"/>
      <c r="CB12"/>
      <c r="CC12"/>
    </row>
    <row r="13" spans="1:81" s="658" customFormat="1" ht="15" customHeight="1">
      <c r="A13" s="2013"/>
      <c r="B13" s="253"/>
      <c r="C13" s="2022"/>
      <c r="D13" s="1323" t="s">
        <v>4126</v>
      </c>
      <c r="E13" s="253"/>
      <c r="F13" s="253"/>
      <c r="G13" s="253"/>
      <c r="H13" s="253"/>
      <c r="I13" s="253"/>
      <c r="J13" s="253"/>
      <c r="K13" s="253"/>
      <c r="L13" s="253"/>
      <c r="M13" s="253"/>
      <c r="N13" s="253"/>
      <c r="O13" s="253"/>
      <c r="P13" s="253"/>
      <c r="Q13" s="253"/>
      <c r="R13" s="253"/>
      <c r="S13" s="253"/>
      <c r="T13" s="253"/>
      <c r="U13" s="253"/>
      <c r="V13" s="253"/>
      <c r="W13" s="253"/>
      <c r="X13" s="253"/>
      <c r="Y13" s="253"/>
      <c r="Z13" s="253"/>
      <c r="AA13" s="253"/>
      <c r="AB13" s="253"/>
      <c r="AC13" s="1401" t="s">
        <v>691</v>
      </c>
      <c r="AD13" s="2895">
        <v>1</v>
      </c>
      <c r="AE13" s="10762"/>
      <c r="AF13" s="11087"/>
      <c r="AG13" s="11087"/>
      <c r="AH13" s="11087"/>
      <c r="AI13" s="11087"/>
      <c r="AJ13" s="11087"/>
      <c r="AK13" s="2013"/>
      <c r="AL13" s="712"/>
      <c r="AM13" s="253"/>
      <c r="AN13" s="253"/>
      <c r="AO13" s="253"/>
      <c r="AP13" s="253"/>
      <c r="AQ13" s="253"/>
      <c r="AR13" s="253"/>
      <c r="AS13" s="253"/>
      <c r="AT13" s="253"/>
      <c r="AU13" s="253"/>
      <c r="AV13" s="1357"/>
      <c r="BE13"/>
      <c r="BF13"/>
      <c r="BG13"/>
      <c r="BH13"/>
      <c r="BI13"/>
      <c r="BJ13"/>
      <c r="BK13"/>
      <c r="BL13"/>
      <c r="BM13"/>
      <c r="BN13"/>
      <c r="BO13"/>
      <c r="BP13"/>
      <c r="BQ13"/>
      <c r="BR13"/>
      <c r="BS13"/>
      <c r="BT13"/>
      <c r="BU13"/>
      <c r="BV13"/>
      <c r="BW13"/>
      <c r="BX13"/>
      <c r="BY13"/>
      <c r="BZ13"/>
      <c r="CA13"/>
      <c r="CB13"/>
      <c r="CC13"/>
    </row>
    <row r="14" spans="1:81" s="658" customFormat="1" ht="15" customHeight="1">
      <c r="A14" s="2013"/>
      <c r="B14" s="253"/>
      <c r="C14" s="2022">
        <v>2</v>
      </c>
      <c r="D14" s="1323" t="s">
        <v>4127</v>
      </c>
      <c r="E14" s="253"/>
      <c r="F14" s="253"/>
      <c r="G14" s="253"/>
      <c r="H14" s="253"/>
      <c r="I14" s="253"/>
      <c r="J14" s="253"/>
      <c r="K14" s="253"/>
      <c r="L14" s="253"/>
      <c r="M14" s="253"/>
      <c r="N14" s="253"/>
      <c r="O14" s="253"/>
      <c r="P14" s="253"/>
      <c r="Q14" s="253"/>
      <c r="R14" s="253"/>
      <c r="S14" s="253"/>
      <c r="T14" s="253"/>
      <c r="U14" s="253"/>
      <c r="V14" s="253"/>
      <c r="W14" s="253"/>
      <c r="X14" s="253"/>
      <c r="Y14" s="253"/>
      <c r="Z14" s="253"/>
      <c r="AA14" s="253"/>
      <c r="AB14" s="253"/>
      <c r="AC14" s="1401" t="s">
        <v>5387</v>
      </c>
      <c r="AD14" s="2895">
        <v>2</v>
      </c>
      <c r="AE14" s="10762"/>
      <c r="AF14" s="11087"/>
      <c r="AG14" s="11087"/>
      <c r="AH14" s="11087"/>
      <c r="AI14" s="11087"/>
      <c r="AJ14" s="11087"/>
      <c r="AK14" s="2013"/>
      <c r="AL14" s="712"/>
      <c r="AM14" s="253"/>
      <c r="AN14" s="253"/>
      <c r="AO14" s="253"/>
      <c r="AP14" s="253"/>
      <c r="AQ14" s="253"/>
      <c r="AR14" s="253"/>
      <c r="AS14" s="253"/>
      <c r="AT14" s="253"/>
      <c r="AU14" s="253"/>
      <c r="AV14" s="1357"/>
      <c r="BE14"/>
      <c r="BF14"/>
      <c r="BG14"/>
      <c r="BH14"/>
      <c r="BI14"/>
      <c r="BJ14"/>
      <c r="BK14"/>
      <c r="BL14"/>
      <c r="BM14"/>
      <c r="BN14"/>
      <c r="BO14"/>
      <c r="BP14"/>
      <c r="BQ14"/>
      <c r="BR14"/>
      <c r="BS14"/>
      <c r="BT14"/>
      <c r="BU14"/>
      <c r="BV14"/>
      <c r="BW14"/>
      <c r="BX14"/>
      <c r="BY14"/>
      <c r="BZ14"/>
      <c r="CA14"/>
      <c r="CB14"/>
      <c r="CC14"/>
    </row>
    <row r="15" spans="1:81" s="658" customFormat="1" ht="15" customHeight="1">
      <c r="A15" s="2013"/>
      <c r="B15" s="253"/>
      <c r="C15" s="2022">
        <v>3</v>
      </c>
      <c r="D15" s="1323" t="s">
        <v>4128</v>
      </c>
      <c r="E15" s="253"/>
      <c r="F15" s="253"/>
      <c r="G15" s="253"/>
      <c r="H15" s="253"/>
      <c r="I15" s="253"/>
      <c r="J15" s="253"/>
      <c r="K15" s="253"/>
      <c r="L15" s="253"/>
      <c r="M15" s="253"/>
      <c r="N15" s="253"/>
      <c r="O15" s="253"/>
      <c r="P15" s="253"/>
      <c r="Q15" s="253"/>
      <c r="R15" s="253"/>
      <c r="S15" s="253"/>
      <c r="T15" s="253"/>
      <c r="U15" s="253"/>
      <c r="V15" s="253"/>
      <c r="W15" s="253"/>
      <c r="X15" s="253"/>
      <c r="Y15" s="253"/>
      <c r="Z15" s="253"/>
      <c r="AA15" s="253"/>
      <c r="AB15" s="253"/>
      <c r="AC15" s="1401" t="s">
        <v>2186</v>
      </c>
      <c r="AD15" s="2895">
        <v>3</v>
      </c>
      <c r="AE15" s="11088" t="str">
        <f>IF(NOT(AM15),"",IF(AE13&gt;AE14,1,ROUND(AE13/AE14*100,2)))</f>
        <v/>
      </c>
      <c r="AF15" s="11089"/>
      <c r="AG15" s="11089"/>
      <c r="AH15" s="11089"/>
      <c r="AI15" s="11089"/>
      <c r="AJ15" s="6716" t="str">
        <f>"%"</f>
        <v>%</v>
      </c>
      <c r="AK15" s="2013"/>
      <c r="AL15" s="712"/>
      <c r="AM15" s="512" t="b">
        <f>AND(AE13&lt;&gt;"",AE14&lt;&gt;"",AE14&lt;&gt;0)</f>
        <v>0</v>
      </c>
      <c r="AN15" s="253"/>
      <c r="AO15" s="253"/>
      <c r="AP15" s="253"/>
      <c r="AQ15" s="253"/>
      <c r="AR15" s="253"/>
      <c r="AS15" s="253"/>
      <c r="AT15" s="253"/>
      <c r="AU15" s="253"/>
      <c r="AV15" s="1357"/>
      <c r="BE15"/>
      <c r="BF15"/>
      <c r="BG15"/>
      <c r="BH15"/>
      <c r="BI15"/>
      <c r="BJ15"/>
      <c r="BK15"/>
      <c r="BL15"/>
      <c r="BM15"/>
      <c r="BN15"/>
      <c r="BO15"/>
      <c r="BP15"/>
      <c r="BQ15"/>
      <c r="BR15"/>
      <c r="BS15"/>
      <c r="BT15"/>
      <c r="BU15"/>
      <c r="BV15"/>
      <c r="BW15"/>
      <c r="BX15"/>
      <c r="BY15"/>
      <c r="BZ15"/>
      <c r="CA15"/>
      <c r="CB15"/>
      <c r="CC15"/>
    </row>
    <row r="16" spans="1:81" s="658" customFormat="1" ht="16.5" thickBot="1">
      <c r="A16" s="2013"/>
      <c r="B16" s="253"/>
      <c r="C16" s="253"/>
      <c r="D16" s="514" t="s">
        <v>4129</v>
      </c>
      <c r="E16" s="253"/>
      <c r="F16" s="253"/>
      <c r="G16" s="253"/>
      <c r="H16" s="253"/>
      <c r="I16" s="253"/>
      <c r="J16" s="253"/>
      <c r="K16" s="253"/>
      <c r="L16" s="253"/>
      <c r="M16" s="253"/>
      <c r="N16" s="253"/>
      <c r="O16" s="253"/>
      <c r="P16" s="253"/>
      <c r="Q16" s="253"/>
      <c r="R16" s="253"/>
      <c r="S16" s="253"/>
      <c r="T16" s="253"/>
      <c r="U16" s="253"/>
      <c r="V16" s="253"/>
      <c r="W16" s="253"/>
      <c r="X16" s="253"/>
      <c r="Y16" s="253"/>
      <c r="Z16" s="253"/>
      <c r="AA16" s="253"/>
      <c r="AB16" s="253"/>
      <c r="AC16" s="409"/>
      <c r="AD16" s="2924"/>
      <c r="AE16" s="511"/>
      <c r="AF16" s="511"/>
      <c r="AG16" s="511"/>
      <c r="AH16" s="511"/>
      <c r="AI16" s="511"/>
      <c r="AJ16" s="511"/>
      <c r="AK16" s="2013"/>
      <c r="AL16" s="712"/>
      <c r="AM16" s="253"/>
      <c r="AN16" s="253"/>
      <c r="AO16" s="253"/>
      <c r="AP16" s="253"/>
      <c r="AQ16" s="253"/>
      <c r="AR16" s="253"/>
      <c r="AS16" s="253"/>
      <c r="AT16" s="253"/>
      <c r="AU16" s="253"/>
      <c r="AV16" s="1357"/>
      <c r="BE16"/>
      <c r="BF16"/>
      <c r="BG16"/>
      <c r="BH16"/>
      <c r="BI16"/>
      <c r="BJ16"/>
      <c r="BK16"/>
      <c r="BL16"/>
      <c r="BM16"/>
      <c r="BN16"/>
      <c r="BO16"/>
      <c r="BP16"/>
      <c r="BQ16"/>
      <c r="BR16"/>
      <c r="BS16"/>
      <c r="BT16"/>
      <c r="BU16"/>
      <c r="BV16"/>
      <c r="BW16"/>
      <c r="BX16"/>
      <c r="BY16"/>
      <c r="BZ16"/>
      <c r="CA16"/>
      <c r="CB16"/>
      <c r="CC16"/>
    </row>
    <row r="17" spans="1:81" s="658" customFormat="1" ht="16.5" thickBot="1">
      <c r="A17" s="2013"/>
      <c r="B17" s="253"/>
      <c r="C17" s="2022">
        <v>4</v>
      </c>
      <c r="D17" s="1323" t="s">
        <v>4130</v>
      </c>
      <c r="E17" s="253"/>
      <c r="F17" s="253"/>
      <c r="G17" s="253"/>
      <c r="H17" s="253"/>
      <c r="I17" s="253"/>
      <c r="J17" s="253"/>
      <c r="K17" s="253"/>
      <c r="L17" s="253"/>
      <c r="M17" s="253"/>
      <c r="N17" s="253"/>
      <c r="O17" s="253"/>
      <c r="P17" s="253"/>
      <c r="Q17" s="253"/>
      <c r="R17" s="253"/>
      <c r="S17" s="2022"/>
      <c r="T17" s="253"/>
      <c r="U17" s="253"/>
      <c r="V17" s="1401" t="s">
        <v>636</v>
      </c>
      <c r="W17" s="2895">
        <v>4</v>
      </c>
      <c r="X17" s="10761"/>
      <c r="Y17" s="10762"/>
      <c r="Z17" s="10762"/>
      <c r="AA17" s="10762"/>
      <c r="AB17" s="10762"/>
      <c r="AC17" s="1452" t="s">
        <v>4131</v>
      </c>
      <c r="AD17" s="2924"/>
      <c r="AE17" s="511"/>
      <c r="AF17" s="511"/>
      <c r="AG17" s="511"/>
      <c r="AH17" s="511"/>
      <c r="AI17" s="511"/>
      <c r="AJ17" s="511"/>
      <c r="AK17" s="2013"/>
      <c r="AL17" s="277"/>
      <c r="AM17" s="511" t="s">
        <v>4132</v>
      </c>
      <c r="AN17" s="253"/>
      <c r="AO17" s="253"/>
      <c r="AP17" s="253"/>
      <c r="AQ17" s="253"/>
      <c r="AR17" s="253"/>
      <c r="AS17" s="253"/>
      <c r="AT17" s="253"/>
      <c r="AU17" s="253"/>
      <c r="AV17" s="1357"/>
      <c r="BE17"/>
      <c r="BF17"/>
      <c r="BG17"/>
      <c r="BH17"/>
      <c r="BI17"/>
      <c r="BJ17"/>
      <c r="BK17"/>
      <c r="BL17"/>
      <c r="BM17"/>
      <c r="BN17"/>
      <c r="BO17"/>
      <c r="BP17"/>
      <c r="BQ17"/>
      <c r="BR17"/>
      <c r="BS17"/>
      <c r="BT17"/>
      <c r="BU17"/>
      <c r="BV17"/>
      <c r="BW17"/>
      <c r="BX17"/>
      <c r="BY17"/>
      <c r="BZ17"/>
      <c r="CA17"/>
      <c r="CB17"/>
      <c r="CC17"/>
    </row>
    <row r="18" spans="1:81" s="658" customFormat="1" ht="15.75">
      <c r="A18" s="2013"/>
      <c r="B18" s="253"/>
      <c r="C18" s="2022">
        <v>5</v>
      </c>
      <c r="D18" s="1323" t="s">
        <v>4133</v>
      </c>
      <c r="E18" s="253"/>
      <c r="F18" s="253"/>
      <c r="G18" s="253"/>
      <c r="H18" s="253"/>
      <c r="I18" s="253"/>
      <c r="J18" s="253"/>
      <c r="K18" s="253"/>
      <c r="L18" s="253"/>
      <c r="M18" s="253"/>
      <c r="N18" s="253"/>
      <c r="O18" s="253"/>
      <c r="P18" s="253"/>
      <c r="Q18" s="1401"/>
      <c r="R18" s="1401"/>
      <c r="S18" s="253"/>
      <c r="T18" s="253"/>
      <c r="U18" s="253"/>
      <c r="V18" s="253"/>
      <c r="W18" s="2898"/>
      <c r="X18" s="6717"/>
      <c r="Y18" s="6718"/>
      <c r="Z18" s="6718"/>
      <c r="AA18" s="6718"/>
      <c r="AB18" s="11090">
        <f>DaysInTaxYear*24</f>
        <v>8760</v>
      </c>
      <c r="AC18" s="11091"/>
      <c r="AD18" s="2924"/>
      <c r="AE18" s="511"/>
      <c r="AF18" s="511"/>
      <c r="AG18" s="511"/>
      <c r="AH18" s="511"/>
      <c r="AI18" s="511"/>
      <c r="AJ18" s="511"/>
      <c r="AK18" s="2013"/>
      <c r="AL18" s="712"/>
      <c r="AM18" s="512" t="b">
        <f>AL17&lt;&gt;""</f>
        <v>0</v>
      </c>
      <c r="AN18" s="253"/>
      <c r="AO18" s="253"/>
      <c r="AP18" s="253"/>
      <c r="AQ18" s="253"/>
      <c r="AR18" s="253"/>
      <c r="AS18" s="253"/>
      <c r="AT18" s="253"/>
      <c r="AU18" s="253"/>
      <c r="AV18" s="1357"/>
      <c r="BE18"/>
      <c r="BF18"/>
      <c r="BG18"/>
      <c r="BH18"/>
      <c r="BI18"/>
      <c r="BJ18"/>
      <c r="BK18"/>
      <c r="BL18"/>
      <c r="BM18"/>
      <c r="BN18"/>
      <c r="BO18"/>
      <c r="BP18"/>
      <c r="BQ18"/>
      <c r="BR18"/>
      <c r="BS18"/>
      <c r="BT18"/>
      <c r="BU18"/>
      <c r="BV18"/>
      <c r="BW18"/>
      <c r="BX18"/>
      <c r="BY18"/>
      <c r="BZ18"/>
      <c r="CA18"/>
      <c r="CB18"/>
      <c r="CC18"/>
    </row>
    <row r="19" spans="1:81" s="658" customFormat="1" ht="16.5" thickBot="1">
      <c r="A19" s="2013" t="s">
        <v>1892</v>
      </c>
      <c r="B19" s="253"/>
      <c r="C19" s="3827"/>
      <c r="D19" s="1323" t="str">
        <f>"see instructions; otherwise, enter "&amp;TEXT(AB18,"0,000")</f>
        <v>see instructions; otherwise, enter 8,760</v>
      </c>
      <c r="E19" s="253"/>
      <c r="F19" s="253"/>
      <c r="G19" s="253"/>
      <c r="H19" s="253"/>
      <c r="I19" s="253"/>
      <c r="J19" s="253"/>
      <c r="K19" s="253"/>
      <c r="L19" s="253"/>
      <c r="M19" s="253"/>
      <c r="N19" s="253"/>
      <c r="O19" s="253"/>
      <c r="P19" s="253"/>
      <c r="Q19" s="1401"/>
      <c r="R19" s="1401"/>
      <c r="S19" s="253"/>
      <c r="T19" s="253"/>
      <c r="U19" s="253"/>
      <c r="V19" s="1401" t="s">
        <v>648</v>
      </c>
      <c r="W19" s="3840">
        <v>5</v>
      </c>
      <c r="X19" s="11116"/>
      <c r="Y19" s="11117"/>
      <c r="Z19" s="11117"/>
      <c r="AA19" s="11117"/>
      <c r="AB19" s="11117"/>
      <c r="AC19" s="1452" t="s">
        <v>4131</v>
      </c>
      <c r="AD19" s="2924"/>
      <c r="AE19" s="511"/>
      <c r="AF19" s="511"/>
      <c r="AG19" s="511"/>
      <c r="AH19" s="511"/>
      <c r="AI19" s="511"/>
      <c r="AJ19" s="511"/>
      <c r="AK19" s="2013"/>
      <c r="AL19" s="712"/>
      <c r="AM19" s="512" t="b">
        <f>OR(AND(AM15,NOT(AM18)),AND(AM15,AM18,X17&lt;&gt;"",X19&lt;&gt;""))</f>
        <v>0</v>
      </c>
      <c r="AN19" s="253"/>
      <c r="AO19" s="253"/>
      <c r="AP19" s="253"/>
      <c r="AQ19" s="253"/>
      <c r="AR19" s="253"/>
      <c r="AS19" s="253"/>
      <c r="AT19" s="253"/>
      <c r="AU19" s="253"/>
      <c r="AV19" s="1357"/>
      <c r="BE19"/>
      <c r="BF19"/>
      <c r="BG19"/>
      <c r="BH19"/>
      <c r="BI19"/>
      <c r="BJ19"/>
      <c r="BK19"/>
      <c r="BL19"/>
      <c r="BM19"/>
      <c r="BN19"/>
      <c r="BO19"/>
      <c r="BP19"/>
      <c r="BQ19"/>
      <c r="BR19"/>
      <c r="BS19"/>
      <c r="BT19"/>
      <c r="BU19"/>
      <c r="BV19"/>
      <c r="BW19"/>
      <c r="BX19"/>
      <c r="BY19"/>
      <c r="BZ19"/>
      <c r="CA19"/>
      <c r="CB19"/>
      <c r="CC19"/>
    </row>
    <row r="20" spans="1:81" s="658" customFormat="1" ht="15.75" customHeight="1">
      <c r="A20" s="2013"/>
      <c r="B20" s="253"/>
      <c r="C20" s="2022">
        <v>6</v>
      </c>
      <c r="D20" s="1323" t="s">
        <v>4134</v>
      </c>
      <c r="E20" s="253"/>
      <c r="F20" s="253"/>
      <c r="G20" s="253"/>
      <c r="H20" s="253"/>
      <c r="I20" s="253"/>
      <c r="J20" s="253"/>
      <c r="K20" s="253"/>
      <c r="L20" s="253"/>
      <c r="M20" s="253"/>
      <c r="N20" s="253"/>
      <c r="O20" s="253"/>
      <c r="P20" s="253"/>
      <c r="Q20" s="253"/>
      <c r="R20" s="253"/>
      <c r="S20" s="2022"/>
      <c r="T20" s="253"/>
      <c r="U20" s="253"/>
      <c r="V20" s="1401" t="s">
        <v>708</v>
      </c>
      <c r="W20" s="2895">
        <v>6</v>
      </c>
      <c r="X20" s="11092" t="str">
        <f>IF(OR(NOT(AM19),AE13="",AE14="",X19=""),"",ROUND(X17/X19,3))</f>
        <v/>
      </c>
      <c r="Y20" s="11093"/>
      <c r="Z20" s="11093"/>
      <c r="AA20" s="11093"/>
      <c r="AB20" s="11093"/>
      <c r="AC20" s="11094"/>
      <c r="AD20" s="2924"/>
      <c r="AE20" s="511"/>
      <c r="AF20" s="511"/>
      <c r="AG20" s="511"/>
      <c r="AH20" s="511"/>
      <c r="AI20" s="511"/>
      <c r="AJ20" s="511"/>
      <c r="AK20" s="2013"/>
      <c r="AL20" s="712"/>
      <c r="AM20" s="253"/>
      <c r="AN20" s="253"/>
      <c r="AO20" s="253"/>
      <c r="AP20" s="253"/>
      <c r="AQ20" s="253"/>
      <c r="AR20" s="253"/>
      <c r="AS20" s="253"/>
      <c r="AT20" s="253"/>
      <c r="AU20" s="253"/>
      <c r="AV20" s="1357"/>
      <c r="BE20"/>
      <c r="BF20"/>
      <c r="BG20"/>
      <c r="BH20"/>
      <c r="BI20"/>
      <c r="BJ20"/>
      <c r="BK20"/>
      <c r="BL20"/>
      <c r="BM20"/>
      <c r="BN20"/>
      <c r="BO20"/>
      <c r="BP20"/>
      <c r="BQ20"/>
      <c r="BR20"/>
      <c r="BS20"/>
      <c r="BT20"/>
      <c r="BU20"/>
      <c r="BV20"/>
      <c r="BW20"/>
      <c r="BX20"/>
      <c r="BY20"/>
      <c r="BZ20"/>
      <c r="CA20"/>
      <c r="CB20"/>
      <c r="CC20"/>
    </row>
    <row r="21" spans="1:81" s="658" customFormat="1" ht="15.75">
      <c r="A21" s="2013"/>
      <c r="B21" s="253"/>
      <c r="C21" s="2022">
        <v>7</v>
      </c>
      <c r="D21" s="1323" t="s">
        <v>4135</v>
      </c>
      <c r="E21" s="253"/>
      <c r="F21" s="253"/>
      <c r="G21" s="253"/>
      <c r="H21" s="253"/>
      <c r="I21" s="253"/>
      <c r="J21" s="253"/>
      <c r="K21" s="253"/>
      <c r="L21" s="253"/>
      <c r="M21" s="253"/>
      <c r="N21" s="253"/>
      <c r="O21" s="253"/>
      <c r="P21" s="253"/>
      <c r="Q21" s="253"/>
      <c r="R21" s="253"/>
      <c r="S21" s="253"/>
      <c r="T21" s="253"/>
      <c r="U21" s="253"/>
      <c r="V21" s="253"/>
      <c r="W21" s="253"/>
      <c r="X21" s="253"/>
      <c r="Y21" s="253"/>
      <c r="Z21" s="253"/>
      <c r="AA21" s="253"/>
      <c r="AB21" s="253"/>
      <c r="AC21" s="253"/>
      <c r="AD21" s="2924"/>
      <c r="AE21" s="511"/>
      <c r="AF21" s="511"/>
      <c r="AG21" s="511"/>
      <c r="AH21" s="511"/>
      <c r="AI21" s="511"/>
      <c r="AJ21" s="511"/>
      <c r="AK21" s="2013"/>
      <c r="AL21" s="712"/>
      <c r="AM21" s="253"/>
      <c r="AN21" s="253"/>
      <c r="AO21" s="253"/>
      <c r="AP21" s="253"/>
      <c r="AQ21" s="253"/>
      <c r="AR21" s="253"/>
      <c r="AS21" s="253"/>
      <c r="AT21" s="253"/>
      <c r="AU21" s="253"/>
      <c r="AV21" s="1357"/>
      <c r="BE21"/>
      <c r="BF21"/>
      <c r="BG21"/>
      <c r="BH21"/>
      <c r="BI21"/>
      <c r="BJ21"/>
      <c r="BK21"/>
      <c r="BL21"/>
      <c r="BM21"/>
      <c r="BN21"/>
      <c r="BO21"/>
      <c r="BP21"/>
      <c r="BQ21"/>
      <c r="BR21"/>
      <c r="BS21"/>
      <c r="BT21"/>
      <c r="BU21"/>
      <c r="BV21"/>
      <c r="BW21"/>
      <c r="BX21"/>
      <c r="BY21"/>
      <c r="BZ21"/>
      <c r="CA21"/>
      <c r="CB21"/>
      <c r="CC21"/>
    </row>
    <row r="22" spans="1:81" s="658" customFormat="1" ht="15" customHeight="1" thickBot="1">
      <c r="A22" s="2013"/>
      <c r="B22" s="380"/>
      <c r="C22" s="6719"/>
      <c r="D22" s="5003" t="s">
        <v>4136</v>
      </c>
      <c r="E22" s="380"/>
      <c r="F22" s="380"/>
      <c r="G22" s="380"/>
      <c r="H22" s="380"/>
      <c r="I22" s="380"/>
      <c r="J22" s="380"/>
      <c r="K22" s="380"/>
      <c r="L22" s="380"/>
      <c r="M22" s="380"/>
      <c r="N22" s="380"/>
      <c r="O22" s="380"/>
      <c r="P22" s="380"/>
      <c r="Q22" s="380"/>
      <c r="R22" s="380"/>
      <c r="S22" s="380"/>
      <c r="T22" s="380"/>
      <c r="U22" s="380"/>
      <c r="V22" s="380"/>
      <c r="W22" s="380"/>
      <c r="X22" s="380"/>
      <c r="Y22" s="380"/>
      <c r="Z22" s="380"/>
      <c r="AA22" s="380"/>
      <c r="AB22" s="380"/>
      <c r="AC22" s="4488" t="s">
        <v>631</v>
      </c>
      <c r="AD22" s="3840">
        <v>7</v>
      </c>
      <c r="AE22" s="11113" t="str">
        <f>IF(NOT(AM19),"",IF(AM18,ROUND(X20*AE15,3),AE15))</f>
        <v/>
      </c>
      <c r="AF22" s="11114"/>
      <c r="AG22" s="11114"/>
      <c r="AH22" s="11114"/>
      <c r="AI22" s="11114"/>
      <c r="AJ22" s="6720" t="str">
        <f>"%"</f>
        <v>%</v>
      </c>
      <c r="AK22" s="2013"/>
      <c r="AL22" s="712"/>
      <c r="AM22" s="253"/>
      <c r="AN22" s="253"/>
      <c r="AO22" s="344"/>
      <c r="AP22" s="253"/>
      <c r="AQ22" s="253"/>
      <c r="AR22" s="253"/>
      <c r="AS22" s="253"/>
      <c r="AT22" s="253"/>
      <c r="AU22" s="253"/>
      <c r="AV22" s="1357"/>
      <c r="BE22"/>
      <c r="BF22"/>
      <c r="BG22"/>
      <c r="BH22"/>
      <c r="BI22"/>
      <c r="BJ22"/>
      <c r="BK22"/>
      <c r="BL22"/>
      <c r="BM22"/>
      <c r="BN22"/>
      <c r="BO22"/>
      <c r="BP22"/>
      <c r="BQ22"/>
      <c r="BR22"/>
      <c r="BS22"/>
      <c r="BT22"/>
      <c r="BU22"/>
      <c r="BV22"/>
      <c r="BW22"/>
      <c r="BX22"/>
      <c r="BY22"/>
      <c r="BZ22"/>
      <c r="CA22"/>
      <c r="CB22"/>
      <c r="CC22"/>
    </row>
    <row r="23" spans="1:81" s="658" customFormat="1" ht="18">
      <c r="A23" s="2013"/>
      <c r="B23" s="8882" t="s">
        <v>868</v>
      </c>
      <c r="C23" s="8882"/>
      <c r="D23" s="4534"/>
      <c r="E23" s="5388" t="s">
        <v>4137</v>
      </c>
      <c r="F23" s="413"/>
      <c r="G23" s="413"/>
      <c r="H23" s="413"/>
      <c r="I23" s="5388"/>
      <c r="J23" s="413"/>
      <c r="K23" s="413"/>
      <c r="L23" s="413"/>
      <c r="M23" s="413"/>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2013"/>
      <c r="AL23" s="712"/>
      <c r="AM23" s="349" t="s">
        <v>4138</v>
      </c>
      <c r="AN23" s="253"/>
      <c r="AO23" s="344" t="s">
        <v>4139</v>
      </c>
      <c r="AP23" s="344"/>
      <c r="AQ23" s="344"/>
      <c r="AR23" s="344"/>
      <c r="AS23" s="344"/>
      <c r="AT23" s="344"/>
      <c r="AU23" s="344"/>
      <c r="AV23" s="1357"/>
      <c r="BE23"/>
      <c r="BF23"/>
      <c r="BG23"/>
      <c r="BH23"/>
      <c r="BI23"/>
      <c r="BJ23"/>
      <c r="BK23"/>
      <c r="BL23"/>
      <c r="BM23"/>
      <c r="BN23"/>
      <c r="BO23"/>
      <c r="BP23"/>
      <c r="BQ23"/>
      <c r="BR23"/>
      <c r="BS23"/>
      <c r="BT23"/>
      <c r="BU23"/>
      <c r="BV23"/>
      <c r="BW23"/>
      <c r="BX23"/>
      <c r="BY23"/>
      <c r="BZ23"/>
      <c r="CA23"/>
      <c r="CB23"/>
      <c r="CC23"/>
    </row>
    <row r="24" spans="1:81" s="658" customFormat="1" ht="15">
      <c r="A24" s="2013"/>
      <c r="B24" s="253"/>
      <c r="C24" s="2022">
        <v>8</v>
      </c>
      <c r="D24" s="511" t="s">
        <v>4140</v>
      </c>
      <c r="E24" s="253"/>
      <c r="F24" s="253"/>
      <c r="G24" s="253"/>
      <c r="H24" s="253"/>
      <c r="I24" s="253"/>
      <c r="J24" s="253"/>
      <c r="K24" s="253"/>
      <c r="L24" s="253"/>
      <c r="M24" s="253"/>
      <c r="N24" s="253"/>
      <c r="O24" s="253"/>
      <c r="P24" s="253"/>
      <c r="Q24" s="253"/>
      <c r="R24" s="253"/>
      <c r="S24" s="253"/>
      <c r="T24" s="253"/>
      <c r="U24" s="253"/>
      <c r="V24" s="253"/>
      <c r="W24" s="253"/>
      <c r="X24" s="253"/>
      <c r="Y24" s="253"/>
      <c r="Z24" s="253"/>
      <c r="AA24" s="253"/>
      <c r="AB24" s="253"/>
      <c r="AC24" s="253"/>
      <c r="AD24" s="726"/>
      <c r="AE24" s="253"/>
      <c r="AF24" s="253"/>
      <c r="AG24" s="253"/>
      <c r="AH24" s="253"/>
      <c r="AI24" s="253"/>
      <c r="AJ24" s="253"/>
      <c r="AK24" s="2013"/>
      <c r="AL24" s="1846" t="str">
        <f>IF(AL25="","X","")</f>
        <v>X</v>
      </c>
      <c r="AM24" s="6721">
        <f>IF(SchC_TentativeProfit1="",0,SchC_TentativeProfit1)</f>
        <v>0</v>
      </c>
      <c r="AN24" s="253"/>
      <c r="AO24" s="2927">
        <v>1</v>
      </c>
      <c r="AP24" s="416"/>
      <c r="AQ24" s="416"/>
      <c r="AR24" s="416"/>
      <c r="AS24" s="8824" t="b">
        <f>AE22&lt;&gt;""</f>
        <v>0</v>
      </c>
      <c r="AT24" s="8824"/>
      <c r="AU24" s="416"/>
      <c r="AV24" s="1357"/>
      <c r="BE24"/>
      <c r="BF24"/>
      <c r="BG24"/>
      <c r="BH24"/>
      <c r="BI24"/>
      <c r="BJ24"/>
      <c r="BK24"/>
      <c r="BL24"/>
      <c r="BM24"/>
      <c r="BN24"/>
      <c r="BO24"/>
      <c r="BP24"/>
      <c r="BQ24"/>
      <c r="BR24"/>
      <c r="BS24"/>
      <c r="BT24"/>
      <c r="BU24"/>
      <c r="BV24"/>
      <c r="BW24"/>
      <c r="BX24"/>
      <c r="BY24"/>
      <c r="BZ24"/>
      <c r="CA24"/>
      <c r="CB24"/>
      <c r="CC24"/>
    </row>
    <row r="25" spans="1:81" s="658" customFormat="1" ht="14.25" customHeight="1">
      <c r="A25" s="2013"/>
      <c r="B25" s="511"/>
      <c r="C25" s="511"/>
      <c r="D25" s="511" t="s">
        <v>4141</v>
      </c>
      <c r="E25" s="511"/>
      <c r="F25" s="511"/>
      <c r="G25" s="511"/>
      <c r="H25" s="511"/>
      <c r="I25" s="511"/>
      <c r="J25" s="511"/>
      <c r="K25" s="511"/>
      <c r="L25" s="511"/>
      <c r="M25" s="511"/>
      <c r="N25" s="511"/>
      <c r="O25" s="511"/>
      <c r="P25" s="511"/>
      <c r="Q25" s="511"/>
      <c r="R25" s="511"/>
      <c r="S25" s="511"/>
      <c r="T25" s="511"/>
      <c r="U25" s="511"/>
      <c r="V25" s="511"/>
      <c r="W25" s="511"/>
      <c r="X25" s="511"/>
      <c r="Y25" s="511"/>
      <c r="Z25" s="511"/>
      <c r="AA25" s="511"/>
      <c r="AB25" s="511"/>
      <c r="AC25" s="511"/>
      <c r="AD25" s="2895">
        <v>8</v>
      </c>
      <c r="AE25" s="10753" t="str">
        <f>IF(AM26&lt;&gt;"",ROUND(AM26,0),IF(AND($AM$19,AL24&lt;&gt;""),ROUND(AM24,0),IF(AND($AM$19,AL25&lt;&gt;""),ROUND(AM25,0),"")))</f>
        <v/>
      </c>
      <c r="AF25" s="11080"/>
      <c r="AG25" s="11080"/>
      <c r="AH25" s="11080"/>
      <c r="AI25" s="11080"/>
      <c r="AJ25" s="11080"/>
      <c r="AK25" s="2013"/>
      <c r="AL25" s="276"/>
      <c r="AM25" s="6721">
        <f>IF(SchC_TentativeProfit2="",0,SchC_TentativeProfit2)</f>
        <v>0</v>
      </c>
      <c r="AN25" s="253"/>
      <c r="AO25" s="2927">
        <v>2</v>
      </c>
      <c r="AP25" s="759" t="s">
        <v>4142</v>
      </c>
      <c r="AQ25" s="416"/>
      <c r="AR25" s="416"/>
      <c r="AS25" s="1039" t="b">
        <f>AL25&lt;&gt;""</f>
        <v>0</v>
      </c>
      <c r="AT25" s="416"/>
      <c r="AU25" s="416"/>
      <c r="AV25" s="1357"/>
      <c r="BE25"/>
      <c r="BF25"/>
      <c r="BG25"/>
      <c r="BH25"/>
      <c r="BI25"/>
      <c r="BJ25"/>
      <c r="BK25"/>
      <c r="BL25"/>
      <c r="BM25"/>
      <c r="BN25"/>
      <c r="BO25"/>
      <c r="BP25"/>
      <c r="BQ25"/>
      <c r="BR25"/>
      <c r="BS25"/>
      <c r="BT25"/>
      <c r="BU25"/>
      <c r="BV25"/>
      <c r="BW25"/>
      <c r="BX25"/>
      <c r="BY25"/>
      <c r="BZ25"/>
      <c r="CA25"/>
      <c r="CB25"/>
      <c r="CC25"/>
    </row>
    <row r="26" spans="1:81" s="658" customFormat="1" ht="15">
      <c r="A26" s="2013"/>
      <c r="B26" s="3827"/>
      <c r="C26" s="2022"/>
      <c r="D26" s="807" t="s">
        <v>4143</v>
      </c>
      <c r="E26" s="511"/>
      <c r="F26" s="511"/>
      <c r="G26" s="511"/>
      <c r="H26" s="511"/>
      <c r="I26" s="511"/>
      <c r="J26" s="511"/>
      <c r="K26" s="511"/>
      <c r="L26" s="511"/>
      <c r="M26" s="511"/>
      <c r="N26" s="511"/>
      <c r="O26" s="511"/>
      <c r="P26" s="511"/>
      <c r="Q26" s="511"/>
      <c r="R26" s="11109" t="s">
        <v>4144</v>
      </c>
      <c r="S26" s="8553"/>
      <c r="T26" s="8553"/>
      <c r="U26" s="8553"/>
      <c r="V26" s="8553"/>
      <c r="W26" s="8554"/>
      <c r="X26" s="11109" t="s">
        <v>4145</v>
      </c>
      <c r="Y26" s="8553"/>
      <c r="Z26" s="8553"/>
      <c r="AA26" s="8553"/>
      <c r="AB26" s="8553"/>
      <c r="AC26" s="8554"/>
      <c r="AD26" s="2924"/>
      <c r="AE26" s="253"/>
      <c r="AF26" s="253"/>
      <c r="AG26" s="253"/>
      <c r="AH26" s="253"/>
      <c r="AI26" s="253"/>
      <c r="AJ26" s="253"/>
      <c r="AK26" s="2013"/>
      <c r="AL26" s="1373"/>
      <c r="AM26" s="1374"/>
      <c r="AN26" s="1373"/>
      <c r="AO26" s="1373"/>
      <c r="AP26" s="253"/>
      <c r="AQ26" s="253"/>
      <c r="AR26" s="253"/>
      <c r="AS26" s="253"/>
      <c r="AT26" s="253"/>
      <c r="AU26" s="253"/>
      <c r="AV26" s="1357"/>
      <c r="BE26"/>
      <c r="BF26"/>
      <c r="BG26"/>
      <c r="BH26"/>
      <c r="BI26"/>
      <c r="BJ26"/>
      <c r="BK26"/>
      <c r="BL26"/>
      <c r="BM26"/>
      <c r="BN26"/>
      <c r="BO26"/>
      <c r="BP26"/>
      <c r="BQ26"/>
      <c r="BR26"/>
      <c r="BS26"/>
      <c r="BT26"/>
      <c r="BU26"/>
      <c r="BV26"/>
      <c r="BW26"/>
      <c r="BX26"/>
      <c r="BY26"/>
      <c r="BZ26"/>
      <c r="CA26"/>
      <c r="CB26"/>
      <c r="CC26"/>
    </row>
    <row r="27" spans="1:81" s="658" customFormat="1" ht="15.75">
      <c r="A27" s="2013"/>
      <c r="B27" s="511"/>
      <c r="C27" s="2022">
        <v>9</v>
      </c>
      <c r="D27" s="1323" t="s">
        <v>4146</v>
      </c>
      <c r="E27" s="511"/>
      <c r="F27" s="511"/>
      <c r="G27" s="511"/>
      <c r="H27" s="511"/>
      <c r="I27" s="511"/>
      <c r="J27" s="511"/>
      <c r="K27" s="511"/>
      <c r="L27" s="511"/>
      <c r="M27" s="511"/>
      <c r="N27" s="511"/>
      <c r="O27" s="511"/>
      <c r="P27" s="1401" t="s">
        <v>1838</v>
      </c>
      <c r="Q27" s="2926">
        <v>9</v>
      </c>
      <c r="R27" s="11081"/>
      <c r="S27" s="11082"/>
      <c r="T27" s="11082"/>
      <c r="U27" s="11082"/>
      <c r="V27" s="11082"/>
      <c r="W27" s="11082"/>
      <c r="X27" s="11081"/>
      <c r="Y27" s="11082"/>
      <c r="Z27" s="11082"/>
      <c r="AA27" s="11082"/>
      <c r="AB27" s="11082"/>
      <c r="AC27" s="11082"/>
      <c r="AD27" s="2924"/>
      <c r="AE27" s="253"/>
      <c r="AF27" s="253"/>
      <c r="AG27" s="253"/>
      <c r="AH27" s="253"/>
      <c r="AI27" s="253"/>
      <c r="AJ27" s="253"/>
      <c r="AK27" s="2013"/>
      <c r="AL27" s="712"/>
      <c r="AM27" s="6722" t="s">
        <v>771</v>
      </c>
      <c r="AN27" s="253"/>
      <c r="AO27" s="253"/>
      <c r="AP27" s="3541" t="s">
        <v>4147</v>
      </c>
      <c r="AQ27" s="1371"/>
      <c r="AR27" s="1371"/>
      <c r="AS27" s="1371"/>
      <c r="AT27" s="1372"/>
      <c r="AU27" s="416"/>
      <c r="AV27" s="1357"/>
      <c r="BE27"/>
      <c r="BF27"/>
      <c r="BG27"/>
      <c r="BH27"/>
      <c r="BI27"/>
      <c r="BJ27"/>
      <c r="BK27"/>
      <c r="BL27"/>
      <c r="BM27"/>
      <c r="BN27"/>
      <c r="BO27"/>
      <c r="BP27"/>
      <c r="BQ27"/>
      <c r="BR27"/>
      <c r="BS27"/>
      <c r="BT27"/>
      <c r="BU27"/>
      <c r="BV27"/>
      <c r="BW27"/>
      <c r="BX27"/>
      <c r="BY27"/>
      <c r="BZ27"/>
      <c r="CA27"/>
      <c r="CB27"/>
      <c r="CC27"/>
    </row>
    <row r="28" spans="1:81" s="658" customFormat="1" ht="15.75">
      <c r="A28" s="2013"/>
      <c r="B28" s="511"/>
      <c r="C28" s="2022">
        <v>10</v>
      </c>
      <c r="D28" s="1323" t="s">
        <v>4148</v>
      </c>
      <c r="E28" s="511"/>
      <c r="F28" s="511"/>
      <c r="G28" s="511"/>
      <c r="H28" s="511"/>
      <c r="I28" s="511"/>
      <c r="J28" s="511"/>
      <c r="K28" s="511"/>
      <c r="L28" s="511"/>
      <c r="M28" s="511"/>
      <c r="N28" s="511"/>
      <c r="O28" s="511"/>
      <c r="P28" s="1401" t="s">
        <v>2823</v>
      </c>
      <c r="Q28" s="2895">
        <v>10</v>
      </c>
      <c r="R28" s="11081"/>
      <c r="S28" s="11082"/>
      <c r="T28" s="11082"/>
      <c r="U28" s="11082"/>
      <c r="V28" s="11082"/>
      <c r="W28" s="11082"/>
      <c r="X28" s="11081"/>
      <c r="Y28" s="11082"/>
      <c r="Z28" s="11082"/>
      <c r="AA28" s="11082"/>
      <c r="AB28" s="11082"/>
      <c r="AC28" s="11082"/>
      <c r="AD28" s="2924"/>
      <c r="AE28" s="253"/>
      <c r="AF28" s="253"/>
      <c r="AG28" s="253"/>
      <c r="AH28" s="253"/>
      <c r="AI28" s="253"/>
      <c r="AJ28" s="253"/>
      <c r="AK28" s="2013"/>
      <c r="AL28" s="712"/>
      <c r="AM28" s="253"/>
      <c r="AN28" s="253"/>
      <c r="AO28" s="253"/>
      <c r="AP28" s="566" t="str">
        <f>"  local taxes are more than "&amp;TEXT(AM45,"$0,000")&amp;" ("&amp;TEXT(AM46,"$0,000")&amp;" if married filing separately)."</f>
        <v xml:space="preserve">  local taxes are more than $10,000 ($5,000 if married filing separately).</v>
      </c>
      <c r="AQ28" s="344"/>
      <c r="AR28" s="253"/>
      <c r="AS28" s="253"/>
      <c r="AT28" s="409"/>
      <c r="AU28" s="1367"/>
      <c r="AV28" s="1357"/>
      <c r="BE28"/>
      <c r="BF28"/>
      <c r="BG28"/>
      <c r="BH28"/>
      <c r="BI28"/>
      <c r="BJ28"/>
      <c r="BK28"/>
      <c r="BL28"/>
      <c r="BM28"/>
      <c r="BN28"/>
      <c r="BO28"/>
      <c r="BP28"/>
      <c r="BQ28"/>
      <c r="BR28"/>
      <c r="BS28"/>
      <c r="BT28"/>
      <c r="BU28"/>
      <c r="BV28"/>
      <c r="BW28"/>
      <c r="BX28"/>
      <c r="BY28"/>
      <c r="BZ28"/>
      <c r="CA28"/>
      <c r="CB28"/>
      <c r="CC28"/>
    </row>
    <row r="29" spans="1:81" s="658" customFormat="1" ht="15.75">
      <c r="A29" s="2013"/>
      <c r="B29" s="511"/>
      <c r="C29" s="2022">
        <v>11</v>
      </c>
      <c r="D29" s="1323" t="s">
        <v>4149</v>
      </c>
      <c r="E29" s="511"/>
      <c r="F29" s="511"/>
      <c r="G29" s="511"/>
      <c r="H29" s="511"/>
      <c r="I29" s="511"/>
      <c r="J29" s="511"/>
      <c r="K29" s="511"/>
      <c r="L29" s="511"/>
      <c r="M29" s="511"/>
      <c r="N29" s="511"/>
      <c r="O29" s="511"/>
      <c r="P29" s="1401" t="s">
        <v>905</v>
      </c>
      <c r="Q29" s="2895">
        <v>11</v>
      </c>
      <c r="R29" s="11083" t="str">
        <f>IF(AM29&lt;&gt;"",ROUND(AM29,0),AS51)</f>
        <v/>
      </c>
      <c r="S29" s="11084"/>
      <c r="T29" s="11084"/>
      <c r="U29" s="11084"/>
      <c r="V29" s="11084"/>
      <c r="W29" s="11084"/>
      <c r="X29" s="11081"/>
      <c r="Y29" s="11082"/>
      <c r="Z29" s="11082"/>
      <c r="AA29" s="11082"/>
      <c r="AB29" s="11082"/>
      <c r="AC29" s="11082"/>
      <c r="AD29" s="2924"/>
      <c r="AE29" s="11073">
        <f>IF(R29="",0,R29)</f>
        <v>0</v>
      </c>
      <c r="AF29" s="11074"/>
      <c r="AG29" s="11074"/>
      <c r="AH29" s="253"/>
      <c r="AI29" s="253"/>
      <c r="AJ29" s="253"/>
      <c r="AK29" s="2013"/>
      <c r="AL29" s="712"/>
      <c r="AM29" s="1374"/>
      <c r="AN29" s="253"/>
      <c r="AO29" s="253"/>
      <c r="AP29" s="566"/>
      <c r="AQ29" s="344"/>
      <c r="AR29" s="253"/>
      <c r="AS29" s="253"/>
      <c r="AT29" s="409"/>
      <c r="AU29" s="253"/>
      <c r="AV29" s="1357"/>
      <c r="BE29"/>
      <c r="BF29"/>
      <c r="BG29"/>
      <c r="BH29"/>
      <c r="BI29"/>
      <c r="BJ29"/>
      <c r="BK29"/>
      <c r="BL29"/>
      <c r="BM29"/>
      <c r="BN29"/>
      <c r="BO29"/>
      <c r="BP29"/>
      <c r="BQ29"/>
      <c r="BR29"/>
      <c r="BS29"/>
      <c r="BT29"/>
      <c r="BU29"/>
      <c r="BV29"/>
      <c r="BW29"/>
      <c r="BX29"/>
      <c r="BY29"/>
      <c r="BZ29"/>
      <c r="CA29"/>
      <c r="CB29"/>
      <c r="CC29"/>
    </row>
    <row r="30" spans="1:81" s="658" customFormat="1" ht="15.75">
      <c r="A30" s="2013"/>
      <c r="B30" s="511"/>
      <c r="C30" s="2022">
        <v>12</v>
      </c>
      <c r="D30" s="1323" t="s">
        <v>4150</v>
      </c>
      <c r="E30" s="511"/>
      <c r="F30" s="511"/>
      <c r="G30" s="511"/>
      <c r="H30" s="511"/>
      <c r="I30" s="511"/>
      <c r="J30" s="511"/>
      <c r="K30" s="511"/>
      <c r="L30" s="511"/>
      <c r="M30" s="511"/>
      <c r="N30" s="511"/>
      <c r="O30" s="511"/>
      <c r="P30" s="1401" t="s">
        <v>5389</v>
      </c>
      <c r="Q30" s="2895">
        <v>12</v>
      </c>
      <c r="R30" s="11083" t="str">
        <f>IF(OR(NOT($AM$19),AND(R27="",R28="",R29="")),"",SUM(ROUND(R27,0),ROUND(R28,0),AE29))</f>
        <v/>
      </c>
      <c r="S30" s="11084"/>
      <c r="T30" s="11084"/>
      <c r="U30" s="11084"/>
      <c r="V30" s="11084"/>
      <c r="W30" s="11084"/>
      <c r="X30" s="11083" t="str">
        <f>IF(OR(NOT($AM$19),AND(X27="",X28="",X29="")),"",SUM(ROUND(X27,0),ROUND(X28,0),ROUND(X29,0)))</f>
        <v/>
      </c>
      <c r="Y30" s="11084"/>
      <c r="Z30" s="11084"/>
      <c r="AA30" s="11084"/>
      <c r="AB30" s="11084"/>
      <c r="AC30" s="11084"/>
      <c r="AD30" s="2924"/>
      <c r="AE30" s="253"/>
      <c r="AF30" s="253"/>
      <c r="AG30" s="253"/>
      <c r="AH30" s="253"/>
      <c r="AI30" s="253"/>
      <c r="AJ30" s="253"/>
      <c r="AK30" s="2013"/>
      <c r="AL30" s="712"/>
      <c r="AM30" s="6722" t="s">
        <v>771</v>
      </c>
      <c r="AN30" s="253"/>
      <c r="AO30" s="253"/>
      <c r="AP30" s="408"/>
      <c r="AQ30" s="514" t="s">
        <v>4151</v>
      </c>
      <c r="AR30" s="253"/>
      <c r="AS30" s="253"/>
      <c r="AT30" s="409"/>
      <c r="AU30" s="253"/>
      <c r="AV30" s="1357"/>
      <c r="BE30"/>
      <c r="BF30"/>
      <c r="BG30"/>
      <c r="BH30"/>
      <c r="BI30"/>
      <c r="BJ30"/>
      <c r="BK30"/>
      <c r="BL30"/>
      <c r="BM30"/>
      <c r="BN30"/>
      <c r="BO30"/>
      <c r="BP30"/>
      <c r="BQ30"/>
      <c r="BR30"/>
      <c r="BS30"/>
      <c r="BT30"/>
      <c r="BU30"/>
      <c r="BV30"/>
      <c r="BW30"/>
      <c r="BX30"/>
      <c r="BY30"/>
      <c r="BZ30"/>
      <c r="CA30"/>
      <c r="CB30"/>
      <c r="CC30"/>
    </row>
    <row r="31" spans="1:81" s="658" customFormat="1" ht="15.75">
      <c r="A31" s="2013"/>
      <c r="B31" s="511"/>
      <c r="C31" s="2022">
        <v>13</v>
      </c>
      <c r="D31" s="1323" t="s">
        <v>4152</v>
      </c>
      <c r="E31" s="511"/>
      <c r="F31" s="511"/>
      <c r="G31" s="511"/>
      <c r="H31" s="511"/>
      <c r="I31" s="511"/>
      <c r="J31" s="511"/>
      <c r="K31" s="511"/>
      <c r="L31" s="511"/>
      <c r="M31" s="511"/>
      <c r="N31" s="511"/>
      <c r="O31" s="511"/>
      <c r="P31" s="511"/>
      <c r="Q31" s="511"/>
      <c r="R31" s="511"/>
      <c r="S31" s="511"/>
      <c r="T31" s="511"/>
      <c r="U31" s="511"/>
      <c r="V31" s="1401" t="s">
        <v>908</v>
      </c>
      <c r="W31" s="2895">
        <v>13</v>
      </c>
      <c r="X31" s="11083" t="str">
        <f>IF(OR(NOT($AM$19),X30=""),"",ROUND(X30*$AE$22/100,0))</f>
        <v/>
      </c>
      <c r="Y31" s="11084"/>
      <c r="Z31" s="11084"/>
      <c r="AA31" s="11084"/>
      <c r="AB31" s="11084"/>
      <c r="AC31" s="11084"/>
      <c r="AD31" s="2924"/>
      <c r="AE31" s="253"/>
      <c r="AF31" s="253"/>
      <c r="AG31" s="253"/>
      <c r="AH31" s="253"/>
      <c r="AI31" s="253"/>
      <c r="AJ31" s="253"/>
      <c r="AK31" s="2013"/>
      <c r="AL31" s="712"/>
      <c r="AM31" s="253"/>
      <c r="AN31" s="253"/>
      <c r="AO31" s="253"/>
      <c r="AP31" s="3781" t="s">
        <v>157</v>
      </c>
      <c r="AQ31" s="344" t="s">
        <v>4153</v>
      </c>
      <c r="AR31" s="253"/>
      <c r="AS31" s="253"/>
      <c r="AT31" s="409"/>
      <c r="AU31" s="253"/>
      <c r="AV31" s="1357"/>
      <c r="BE31"/>
      <c r="BF31"/>
      <c r="BG31"/>
      <c r="BH31"/>
      <c r="BI31"/>
      <c r="BJ31"/>
      <c r="BK31"/>
      <c r="BL31"/>
      <c r="BM31"/>
      <c r="BN31"/>
      <c r="BO31"/>
      <c r="BP31"/>
      <c r="BQ31"/>
      <c r="BR31"/>
      <c r="BS31"/>
      <c r="BT31"/>
      <c r="BU31"/>
      <c r="BV31"/>
      <c r="BW31"/>
      <c r="BX31"/>
      <c r="BY31"/>
      <c r="BZ31"/>
      <c r="CA31"/>
      <c r="CB31"/>
      <c r="CC31"/>
    </row>
    <row r="32" spans="1:81" s="658" customFormat="1" ht="14.25" customHeight="1">
      <c r="A32" s="2013"/>
      <c r="B32" s="253"/>
      <c r="C32" s="2022">
        <v>14</v>
      </c>
      <c r="D32" s="1323" t="s">
        <v>4154</v>
      </c>
      <c r="E32" s="253"/>
      <c r="F32" s="253"/>
      <c r="G32" s="253"/>
      <c r="H32" s="253"/>
      <c r="I32" s="253"/>
      <c r="J32" s="253"/>
      <c r="K32" s="253"/>
      <c r="L32" s="253"/>
      <c r="M32" s="253"/>
      <c r="N32" s="253"/>
      <c r="O32" s="253"/>
      <c r="P32" s="253"/>
      <c r="Q32" s="253"/>
      <c r="R32" s="253"/>
      <c r="S32" s="253"/>
      <c r="T32" s="253"/>
      <c r="U32" s="253"/>
      <c r="V32" s="253"/>
      <c r="W32" s="253"/>
      <c r="X32" s="253"/>
      <c r="Y32" s="253"/>
      <c r="Z32" s="253"/>
      <c r="AA32" s="253"/>
      <c r="AB32" s="253"/>
      <c r="AC32" s="1401" t="s">
        <v>668</v>
      </c>
      <c r="AD32" s="2895">
        <v>14</v>
      </c>
      <c r="AE32" s="10753" t="str">
        <f>IF(OR(NOT($AM$19),AND(R30="",X31="")),"",SUM(R30,X31))</f>
        <v/>
      </c>
      <c r="AF32" s="11080"/>
      <c r="AG32" s="11080"/>
      <c r="AH32" s="11080"/>
      <c r="AI32" s="11080"/>
      <c r="AJ32" s="11080"/>
      <c r="AK32" s="2013"/>
      <c r="AL32" s="712"/>
      <c r="AM32" s="253"/>
      <c r="AN32" s="253"/>
      <c r="AO32" s="253"/>
      <c r="AP32" s="6723"/>
      <c r="AQ32" s="344" t="s">
        <v>4155</v>
      </c>
      <c r="AR32" s="253"/>
      <c r="AS32" s="253"/>
      <c r="AT32" s="409"/>
      <c r="AU32" s="253"/>
      <c r="AV32" s="1357"/>
      <c r="BE32"/>
      <c r="BF32"/>
      <c r="BG32"/>
      <c r="BH32"/>
      <c r="BI32"/>
      <c r="BJ32"/>
      <c r="BK32"/>
      <c r="BL32"/>
      <c r="BM32"/>
      <c r="BN32"/>
      <c r="BO32"/>
      <c r="BP32"/>
      <c r="BQ32"/>
      <c r="BR32"/>
      <c r="BS32"/>
      <c r="BT32"/>
      <c r="BU32"/>
      <c r="BV32"/>
      <c r="BW32"/>
      <c r="BX32"/>
      <c r="BY32"/>
      <c r="BZ32"/>
      <c r="CA32"/>
      <c r="CB32"/>
      <c r="CC32"/>
    </row>
    <row r="33" spans="1:81" s="658" customFormat="1" ht="14.25" customHeight="1">
      <c r="A33" s="2013"/>
      <c r="B33" s="253"/>
      <c r="C33" s="2022">
        <v>15</v>
      </c>
      <c r="D33" s="1323" t="s">
        <v>4156</v>
      </c>
      <c r="E33" s="253"/>
      <c r="F33" s="253"/>
      <c r="G33" s="253"/>
      <c r="H33" s="253"/>
      <c r="I33" s="253"/>
      <c r="J33" s="253"/>
      <c r="K33" s="253"/>
      <c r="L33" s="253"/>
      <c r="M33" s="253"/>
      <c r="N33" s="253"/>
      <c r="O33" s="253"/>
      <c r="P33" s="253"/>
      <c r="Q33" s="253"/>
      <c r="R33" s="253"/>
      <c r="S33" s="253"/>
      <c r="T33" s="253"/>
      <c r="U33" s="253"/>
      <c r="V33" s="253"/>
      <c r="W33" s="253"/>
      <c r="X33" s="253"/>
      <c r="Y33" s="253"/>
      <c r="Z33" s="253"/>
      <c r="AA33" s="253"/>
      <c r="AB33" s="253"/>
      <c r="AC33" s="1401" t="s">
        <v>650</v>
      </c>
      <c r="AD33" s="2895">
        <v>15</v>
      </c>
      <c r="AE33" s="10753" t="str">
        <f>IF(OR(NOT($AM$19),AND(AE25="",AE32="")),"",IF(AE32="",MAX(0,AE25),MAX(0,SUM(AE25,-AE32))))</f>
        <v/>
      </c>
      <c r="AF33" s="11080"/>
      <c r="AG33" s="11080"/>
      <c r="AH33" s="11080"/>
      <c r="AI33" s="11080"/>
      <c r="AJ33" s="11080"/>
      <c r="AK33" s="2013"/>
      <c r="AL33" s="712"/>
      <c r="AM33" s="253"/>
      <c r="AN33" s="253"/>
      <c r="AO33" s="253"/>
      <c r="AP33" s="6723"/>
      <c r="AQ33" s="344" t="s">
        <v>4157</v>
      </c>
      <c r="AR33" s="253"/>
      <c r="AS33" s="253"/>
      <c r="AT33" s="409"/>
      <c r="AU33" s="253"/>
      <c r="AV33" s="1357"/>
      <c r="BE33"/>
      <c r="BF33"/>
      <c r="BG33"/>
      <c r="BH33"/>
      <c r="BI33"/>
      <c r="BJ33"/>
      <c r="BK33"/>
      <c r="BL33"/>
      <c r="BM33"/>
      <c r="BN33"/>
      <c r="BO33"/>
      <c r="BP33"/>
      <c r="BQ33"/>
      <c r="BR33"/>
      <c r="BS33"/>
      <c r="BT33"/>
      <c r="BU33"/>
      <c r="BV33"/>
      <c r="BW33"/>
      <c r="BX33"/>
      <c r="BY33"/>
      <c r="BZ33"/>
      <c r="CA33"/>
      <c r="CB33"/>
      <c r="CC33"/>
    </row>
    <row r="34" spans="1:81" s="658" customFormat="1" ht="15.75">
      <c r="A34" s="2013"/>
      <c r="B34" s="511"/>
      <c r="C34" s="2022">
        <v>16</v>
      </c>
      <c r="D34" s="1323" t="s">
        <v>4158</v>
      </c>
      <c r="E34" s="511"/>
      <c r="F34" s="511"/>
      <c r="G34" s="511"/>
      <c r="H34" s="511"/>
      <c r="I34" s="511"/>
      <c r="J34" s="511"/>
      <c r="K34" s="511"/>
      <c r="L34" s="511"/>
      <c r="M34" s="511"/>
      <c r="N34" s="511"/>
      <c r="O34" s="511"/>
      <c r="P34" s="1401" t="s">
        <v>5222</v>
      </c>
      <c r="Q34" s="2926">
        <v>16</v>
      </c>
      <c r="R34" s="11081"/>
      <c r="S34" s="11082"/>
      <c r="T34" s="11082"/>
      <c r="U34" s="11082"/>
      <c r="V34" s="11082"/>
      <c r="W34" s="11082"/>
      <c r="X34" s="11081"/>
      <c r="Y34" s="11082"/>
      <c r="Z34" s="11082"/>
      <c r="AA34" s="11082"/>
      <c r="AB34" s="11082"/>
      <c r="AC34" s="11082"/>
      <c r="AD34" s="2924"/>
      <c r="AE34" s="253"/>
      <c r="AF34" s="253"/>
      <c r="AG34" s="253"/>
      <c r="AH34" s="253"/>
      <c r="AI34" s="253"/>
      <c r="AJ34" s="253"/>
      <c r="AK34" s="2013"/>
      <c r="AL34" s="712"/>
      <c r="AM34" s="253"/>
      <c r="AN34" s="253"/>
      <c r="AO34" s="253"/>
      <c r="AP34" s="6723"/>
      <c r="AQ34" s="344" t="s">
        <v>4159</v>
      </c>
      <c r="AR34" s="253"/>
      <c r="AS34" s="443"/>
      <c r="AT34" s="6724">
        <f>IF(AS34&lt;&gt;"",ROUND(AS34,0),0)</f>
        <v>0</v>
      </c>
      <c r="AU34" s="253"/>
      <c r="AV34" s="1357"/>
      <c r="BE34"/>
      <c r="BF34"/>
      <c r="BG34"/>
      <c r="BH34"/>
      <c r="BI34"/>
      <c r="BJ34"/>
      <c r="BK34"/>
      <c r="BL34"/>
      <c r="BM34"/>
      <c r="BN34"/>
      <c r="BO34"/>
      <c r="BP34"/>
      <c r="BQ34"/>
      <c r="BR34"/>
      <c r="BS34"/>
      <c r="BT34"/>
      <c r="BU34"/>
      <c r="BV34"/>
      <c r="BW34"/>
      <c r="BX34"/>
      <c r="BY34"/>
      <c r="BZ34"/>
      <c r="CA34"/>
      <c r="CB34"/>
      <c r="CC34"/>
    </row>
    <row r="35" spans="1:81" s="658" customFormat="1" ht="15.75">
      <c r="A35" s="2013"/>
      <c r="B35" s="511"/>
      <c r="C35" s="2022">
        <v>17</v>
      </c>
      <c r="D35" s="1323" t="s">
        <v>4160</v>
      </c>
      <c r="E35" s="511"/>
      <c r="F35" s="511"/>
      <c r="G35" s="511"/>
      <c r="H35" s="511"/>
      <c r="I35" s="511"/>
      <c r="J35" s="511"/>
      <c r="K35" s="511"/>
      <c r="L35" s="511"/>
      <c r="M35" s="511"/>
      <c r="N35" s="511"/>
      <c r="O35" s="511"/>
      <c r="P35" s="1401" t="s">
        <v>1063</v>
      </c>
      <c r="Q35" s="2895">
        <v>17</v>
      </c>
      <c r="R35" s="11081">
        <f>IF(AT43,AS53,0)</f>
        <v>0</v>
      </c>
      <c r="S35" s="11082"/>
      <c r="T35" s="11082"/>
      <c r="U35" s="11082"/>
      <c r="V35" s="11082"/>
      <c r="W35" s="11082"/>
      <c r="X35" s="11081"/>
      <c r="Y35" s="11082"/>
      <c r="Z35" s="11082"/>
      <c r="AA35" s="11082"/>
      <c r="AB35" s="11082"/>
      <c r="AC35" s="11082"/>
      <c r="AD35" s="2924"/>
      <c r="AE35" s="253"/>
      <c r="AF35" s="253"/>
      <c r="AG35" s="253"/>
      <c r="AH35" s="253"/>
      <c r="AI35" s="253"/>
      <c r="AJ35" s="253"/>
      <c r="AK35" s="2013"/>
      <c r="AL35" s="712"/>
      <c r="AM35" s="253"/>
      <c r="AN35" s="253"/>
      <c r="AO35" s="253"/>
      <c r="AP35" s="3781" t="s">
        <v>161</v>
      </c>
      <c r="AQ35" s="344" t="s">
        <v>4161</v>
      </c>
      <c r="AR35" s="253"/>
      <c r="AS35" s="253"/>
      <c r="AT35" s="5943"/>
      <c r="AU35" s="253"/>
      <c r="AV35" s="1357"/>
      <c r="BE35"/>
      <c r="BF35"/>
      <c r="BG35"/>
      <c r="BH35"/>
      <c r="BI35"/>
      <c r="BJ35"/>
      <c r="BK35"/>
      <c r="BL35"/>
      <c r="BM35"/>
      <c r="BN35"/>
      <c r="BO35"/>
      <c r="BP35"/>
      <c r="BQ35"/>
      <c r="BR35"/>
      <c r="BS35"/>
      <c r="BT35"/>
      <c r="BU35"/>
      <c r="BV35"/>
      <c r="BW35"/>
      <c r="BX35"/>
      <c r="BY35"/>
      <c r="BZ35"/>
      <c r="CA35"/>
      <c r="CB35"/>
      <c r="CC35"/>
    </row>
    <row r="36" spans="1:81" s="658" customFormat="1" ht="15.75">
      <c r="A36" s="2013"/>
      <c r="B36" s="511"/>
      <c r="C36" s="2022">
        <v>18</v>
      </c>
      <c r="D36" s="1323" t="s">
        <v>2352</v>
      </c>
      <c r="E36" s="511"/>
      <c r="F36" s="511"/>
      <c r="G36" s="511"/>
      <c r="H36" s="511"/>
      <c r="I36" s="511"/>
      <c r="J36" s="511"/>
      <c r="K36" s="511"/>
      <c r="L36" s="511"/>
      <c r="M36" s="511"/>
      <c r="N36" s="511"/>
      <c r="O36" s="511"/>
      <c r="P36" s="1401" t="s">
        <v>792</v>
      </c>
      <c r="Q36" s="2895">
        <v>18</v>
      </c>
      <c r="R36" s="11081"/>
      <c r="S36" s="11082"/>
      <c r="T36" s="11082"/>
      <c r="U36" s="11082"/>
      <c r="V36" s="11082"/>
      <c r="W36" s="11082"/>
      <c r="X36" s="11081"/>
      <c r="Y36" s="11082"/>
      <c r="Z36" s="11082"/>
      <c r="AA36" s="11082"/>
      <c r="AB36" s="11082"/>
      <c r="AC36" s="11082"/>
      <c r="AD36" s="2924"/>
      <c r="AE36" s="253"/>
      <c r="AF36" s="253"/>
      <c r="AG36" s="253"/>
      <c r="AH36" s="253"/>
      <c r="AI36" s="253"/>
      <c r="AJ36" s="253"/>
      <c r="AK36" s="2013"/>
      <c r="AL36" s="712"/>
      <c r="AM36" s="253"/>
      <c r="AN36" s="253"/>
      <c r="AO36" s="253"/>
      <c r="AP36" s="6723"/>
      <c r="AQ36" s="344" t="s">
        <v>4162</v>
      </c>
      <c r="AR36" s="253"/>
      <c r="AS36" s="253"/>
      <c r="AT36" s="5943"/>
      <c r="AU36" s="253"/>
      <c r="AV36" s="1357"/>
      <c r="BE36"/>
      <c r="BF36"/>
      <c r="BG36"/>
      <c r="BH36"/>
      <c r="BI36"/>
      <c r="BJ36"/>
      <c r="BK36"/>
      <c r="BL36"/>
      <c r="BM36"/>
      <c r="BN36"/>
      <c r="BO36"/>
      <c r="BP36"/>
      <c r="BQ36"/>
      <c r="BR36"/>
      <c r="BS36"/>
      <c r="BT36"/>
      <c r="BU36"/>
      <c r="BV36"/>
      <c r="BW36"/>
      <c r="BX36"/>
      <c r="BY36"/>
      <c r="BZ36"/>
      <c r="CA36"/>
      <c r="CB36"/>
      <c r="CC36"/>
    </row>
    <row r="37" spans="1:81" s="658" customFormat="1" ht="15.75">
      <c r="A37" s="2013"/>
      <c r="B37" s="511"/>
      <c r="C37" s="2022">
        <v>19</v>
      </c>
      <c r="D37" s="1323" t="s">
        <v>4163</v>
      </c>
      <c r="E37" s="511"/>
      <c r="F37" s="511"/>
      <c r="G37" s="511"/>
      <c r="H37" s="511"/>
      <c r="I37" s="511"/>
      <c r="J37" s="511"/>
      <c r="K37" s="511"/>
      <c r="L37" s="511"/>
      <c r="M37" s="511"/>
      <c r="N37" s="511"/>
      <c r="O37" s="511"/>
      <c r="P37" s="1401" t="s">
        <v>793</v>
      </c>
      <c r="Q37" s="2895">
        <v>19</v>
      </c>
      <c r="R37" s="11081"/>
      <c r="S37" s="11082"/>
      <c r="T37" s="11082"/>
      <c r="U37" s="11082"/>
      <c r="V37" s="11082"/>
      <c r="W37" s="11082"/>
      <c r="X37" s="11081"/>
      <c r="Y37" s="11082"/>
      <c r="Z37" s="11082"/>
      <c r="AA37" s="11082"/>
      <c r="AB37" s="11082"/>
      <c r="AC37" s="11082"/>
      <c r="AD37" s="2924"/>
      <c r="AE37" s="253"/>
      <c r="AF37" s="253"/>
      <c r="AG37" s="253"/>
      <c r="AH37" s="253"/>
      <c r="AI37" s="253"/>
      <c r="AJ37" s="253"/>
      <c r="AK37" s="2013"/>
      <c r="AL37" s="712"/>
      <c r="AM37" s="253"/>
      <c r="AN37" s="253"/>
      <c r="AO37" s="253"/>
      <c r="AP37" s="6723"/>
      <c r="AQ37" s="344" t="s">
        <v>4164</v>
      </c>
      <c r="AR37" s="253"/>
      <c r="AS37" s="443"/>
      <c r="AT37" s="6724">
        <f>IF(AS37&lt;&gt;"",ROUND(AS37,0),0)</f>
        <v>0</v>
      </c>
      <c r="AU37" s="253"/>
      <c r="AV37" s="1357"/>
      <c r="BE37"/>
      <c r="BF37"/>
      <c r="BG37"/>
      <c r="BH37"/>
      <c r="BI37"/>
      <c r="BJ37"/>
      <c r="BK37"/>
      <c r="BL37"/>
      <c r="BM37"/>
      <c r="BN37"/>
      <c r="BO37"/>
      <c r="BP37"/>
      <c r="BQ37"/>
      <c r="BR37"/>
      <c r="BS37"/>
      <c r="BT37"/>
      <c r="BU37"/>
      <c r="BV37"/>
      <c r="BW37"/>
      <c r="BX37"/>
      <c r="BY37"/>
      <c r="BZ37"/>
      <c r="CA37"/>
      <c r="CB37"/>
      <c r="CC37"/>
    </row>
    <row r="38" spans="1:81" s="658" customFormat="1" ht="15.75">
      <c r="A38" s="2013"/>
      <c r="B38" s="511"/>
      <c r="C38" s="2022">
        <v>20</v>
      </c>
      <c r="D38" s="1323" t="s">
        <v>2012</v>
      </c>
      <c r="E38" s="511"/>
      <c r="F38" s="511"/>
      <c r="G38" s="511"/>
      <c r="H38" s="511"/>
      <c r="I38" s="511"/>
      <c r="J38" s="511"/>
      <c r="K38" s="511"/>
      <c r="L38" s="511"/>
      <c r="M38" s="511"/>
      <c r="N38" s="511"/>
      <c r="O38" s="511"/>
      <c r="P38" s="1401" t="s">
        <v>824</v>
      </c>
      <c r="Q38" s="2926">
        <v>20</v>
      </c>
      <c r="R38" s="11081"/>
      <c r="S38" s="11082"/>
      <c r="T38" s="11082"/>
      <c r="U38" s="11082"/>
      <c r="V38" s="11082"/>
      <c r="W38" s="11082"/>
      <c r="X38" s="11081"/>
      <c r="Y38" s="11082"/>
      <c r="Z38" s="11082"/>
      <c r="AA38" s="11082"/>
      <c r="AB38" s="11082"/>
      <c r="AC38" s="11082"/>
      <c r="AD38" s="2924"/>
      <c r="AE38" s="253"/>
      <c r="AF38" s="253"/>
      <c r="AG38" s="253"/>
      <c r="AH38" s="253"/>
      <c r="AI38" s="253"/>
      <c r="AJ38" s="253"/>
      <c r="AK38" s="2013"/>
      <c r="AL38" s="712"/>
      <c r="AM38" s="253"/>
      <c r="AN38" s="253"/>
      <c r="AO38" s="253"/>
      <c r="AP38" s="3781" t="s">
        <v>167</v>
      </c>
      <c r="AQ38" s="344" t="s">
        <v>4165</v>
      </c>
      <c r="AR38" s="253"/>
      <c r="AS38" s="253"/>
      <c r="AT38" s="5943"/>
      <c r="AU38" s="253"/>
      <c r="AV38" s="1357"/>
      <c r="BE38"/>
      <c r="BF38"/>
      <c r="BG38"/>
      <c r="BH38"/>
      <c r="BI38"/>
      <c r="BJ38"/>
      <c r="BK38"/>
      <c r="BL38"/>
      <c r="BM38"/>
      <c r="BN38"/>
      <c r="BO38"/>
      <c r="BP38"/>
      <c r="BQ38"/>
      <c r="BR38"/>
      <c r="BS38"/>
      <c r="BT38"/>
      <c r="BU38"/>
      <c r="BV38"/>
      <c r="BW38"/>
      <c r="BX38"/>
      <c r="BY38"/>
      <c r="BZ38"/>
      <c r="CA38"/>
      <c r="CB38"/>
      <c r="CC38"/>
    </row>
    <row r="39" spans="1:81" s="658" customFormat="1" ht="15.75">
      <c r="A39" s="2013"/>
      <c r="B39" s="511"/>
      <c r="C39" s="2022">
        <v>21</v>
      </c>
      <c r="D39" s="1323" t="s">
        <v>2025</v>
      </c>
      <c r="E39" s="511"/>
      <c r="F39" s="511"/>
      <c r="G39" s="511"/>
      <c r="H39" s="511"/>
      <c r="I39" s="511"/>
      <c r="J39" s="511"/>
      <c r="K39" s="511"/>
      <c r="L39" s="511"/>
      <c r="M39" s="511"/>
      <c r="N39" s="511"/>
      <c r="O39" s="511"/>
      <c r="P39" s="1401" t="s">
        <v>805</v>
      </c>
      <c r="Q39" s="2895">
        <v>21</v>
      </c>
      <c r="R39" s="11081"/>
      <c r="S39" s="11082"/>
      <c r="T39" s="11082"/>
      <c r="U39" s="11082"/>
      <c r="V39" s="11082"/>
      <c r="W39" s="11082"/>
      <c r="X39" s="11081"/>
      <c r="Y39" s="11082"/>
      <c r="Z39" s="11082"/>
      <c r="AA39" s="11082"/>
      <c r="AB39" s="11082"/>
      <c r="AC39" s="11082"/>
      <c r="AD39" s="2924"/>
      <c r="AE39" s="253"/>
      <c r="AF39" s="253"/>
      <c r="AG39" s="253"/>
      <c r="AH39" s="253"/>
      <c r="AI39" s="253"/>
      <c r="AJ39" s="253"/>
      <c r="AK39" s="2013"/>
      <c r="AL39" s="712"/>
      <c r="AM39" s="253"/>
      <c r="AN39" s="253"/>
      <c r="AO39" s="253"/>
      <c r="AP39" s="6723"/>
      <c r="AQ39" s="344" t="s">
        <v>4166</v>
      </c>
      <c r="AR39" s="253"/>
      <c r="AS39" s="253"/>
      <c r="AT39" s="5943"/>
      <c r="AU39" s="253"/>
      <c r="AV39" s="1357"/>
      <c r="BE39"/>
      <c r="BF39"/>
      <c r="BG39"/>
      <c r="BH39"/>
      <c r="BI39"/>
      <c r="BJ39"/>
      <c r="BK39"/>
      <c r="BL39"/>
      <c r="BM39"/>
      <c r="BN39"/>
      <c r="BO39"/>
      <c r="BP39"/>
      <c r="BQ39"/>
      <c r="BR39"/>
      <c r="BS39"/>
      <c r="BT39"/>
      <c r="BU39"/>
      <c r="BV39"/>
      <c r="BW39"/>
      <c r="BX39"/>
      <c r="BY39"/>
      <c r="BZ39"/>
      <c r="CA39"/>
      <c r="CB39"/>
      <c r="CC39"/>
    </row>
    <row r="40" spans="1:81" s="658" customFormat="1" ht="15.75">
      <c r="A40" s="2013"/>
      <c r="B40" s="511"/>
      <c r="C40" s="2022">
        <v>22</v>
      </c>
      <c r="D40" s="1323" t="s">
        <v>4167</v>
      </c>
      <c r="E40" s="511"/>
      <c r="F40" s="511"/>
      <c r="G40" s="511"/>
      <c r="H40" s="511"/>
      <c r="I40" s="511"/>
      <c r="J40" s="511"/>
      <c r="K40" s="511"/>
      <c r="L40" s="511"/>
      <c r="M40" s="511"/>
      <c r="N40" s="511"/>
      <c r="O40" s="511"/>
      <c r="P40" s="1401" t="s">
        <v>808</v>
      </c>
      <c r="Q40" s="2895">
        <v>22</v>
      </c>
      <c r="R40" s="11081"/>
      <c r="S40" s="11082"/>
      <c r="T40" s="11082"/>
      <c r="U40" s="11082"/>
      <c r="V40" s="11082"/>
      <c r="W40" s="11082"/>
      <c r="X40" s="11081"/>
      <c r="Y40" s="11082"/>
      <c r="Z40" s="11082"/>
      <c r="AA40" s="11082"/>
      <c r="AB40" s="11082"/>
      <c r="AC40" s="11082"/>
      <c r="AD40" s="2924"/>
      <c r="AE40" s="253"/>
      <c r="AF40" s="253"/>
      <c r="AG40" s="253"/>
      <c r="AH40" s="253"/>
      <c r="AI40" s="253"/>
      <c r="AJ40" s="253"/>
      <c r="AK40" s="2013"/>
      <c r="AL40" s="712"/>
      <c r="AM40" s="253"/>
      <c r="AN40" s="253"/>
      <c r="AO40" s="253"/>
      <c r="AP40" s="6723"/>
      <c r="AQ40" s="344" t="s">
        <v>4168</v>
      </c>
      <c r="AR40" s="253"/>
      <c r="AS40" s="443"/>
      <c r="AT40" s="6724">
        <f>IF(AS40&lt;&gt;"",ROUND(AS40,0),0)</f>
        <v>0</v>
      </c>
      <c r="AU40" s="253"/>
      <c r="AV40" s="1357"/>
      <c r="BE40"/>
      <c r="BF40"/>
      <c r="BG40"/>
      <c r="BH40"/>
      <c r="BI40"/>
      <c r="BJ40"/>
      <c r="BK40"/>
      <c r="BL40"/>
      <c r="BM40"/>
      <c r="BN40"/>
      <c r="BO40"/>
      <c r="BP40"/>
      <c r="BQ40"/>
      <c r="BR40"/>
      <c r="BS40"/>
      <c r="BT40"/>
      <c r="BU40"/>
      <c r="BV40"/>
      <c r="BW40"/>
      <c r="BX40"/>
      <c r="BY40"/>
      <c r="BZ40"/>
      <c r="CA40"/>
      <c r="CB40"/>
      <c r="CC40"/>
    </row>
    <row r="41" spans="1:81" s="658" customFormat="1" ht="15.75">
      <c r="A41" s="2013"/>
      <c r="B41" s="511"/>
      <c r="C41" s="2022">
        <v>23</v>
      </c>
      <c r="D41" s="1323" t="s">
        <v>4169</v>
      </c>
      <c r="E41" s="511"/>
      <c r="F41" s="511"/>
      <c r="G41" s="511"/>
      <c r="H41" s="511"/>
      <c r="I41" s="511"/>
      <c r="J41" s="511"/>
      <c r="K41" s="511"/>
      <c r="L41" s="511"/>
      <c r="M41" s="511"/>
      <c r="N41" s="511"/>
      <c r="O41" s="511"/>
      <c r="P41" s="1401" t="s">
        <v>874</v>
      </c>
      <c r="Q41" s="2895">
        <v>23</v>
      </c>
      <c r="R41" s="11083" t="str">
        <f>IF(OR(NOT($AM$19),AND(R34="",R35="",R36="",R37="",R38="",R39="",R40="")),"",SUM(ROUND(R34,0),ROUND(R35,0),ROUND(R36,0),ROUND(R37,0),ROUND(R38,0),ROUND(R39,0),ROUND(R40,0)))</f>
        <v/>
      </c>
      <c r="S41" s="11084"/>
      <c r="T41" s="11084"/>
      <c r="U41" s="11084"/>
      <c r="V41" s="11084"/>
      <c r="W41" s="11084"/>
      <c r="X41" s="11083" t="str">
        <f>IF(OR(NOT($AM$19),AND(X34="",X35="",X36="",X37="",X38="",X39="",X40="")),"",SUM(ROUND(X34,0),ROUND(X35,0),ROUND(X36,0),ROUND(X37,0),ROUND(X38,0),ROUND(X39,0),ROUND(X40,0)))</f>
        <v/>
      </c>
      <c r="Y41" s="11084"/>
      <c r="Z41" s="11084"/>
      <c r="AA41" s="11084"/>
      <c r="AB41" s="11084"/>
      <c r="AC41" s="11084"/>
      <c r="AD41" s="2924"/>
      <c r="AE41" s="253"/>
      <c r="AF41" s="253"/>
      <c r="AG41" s="253"/>
      <c r="AH41" s="253"/>
      <c r="AI41" s="253"/>
      <c r="AJ41" s="253"/>
      <c r="AK41" s="2013"/>
      <c r="AL41" s="712"/>
      <c r="AM41" s="253"/>
      <c r="AN41" s="253"/>
      <c r="AO41" s="253"/>
      <c r="AP41" s="3781" t="s">
        <v>171</v>
      </c>
      <c r="AQ41" s="344" t="s">
        <v>4170</v>
      </c>
      <c r="AR41" s="253"/>
      <c r="AS41" s="253"/>
      <c r="AT41" s="5943"/>
      <c r="AU41" s="253"/>
      <c r="AV41" s="1357"/>
      <c r="BE41"/>
      <c r="BF41"/>
      <c r="BG41"/>
      <c r="BH41"/>
      <c r="BI41"/>
      <c r="BJ41"/>
      <c r="BK41"/>
      <c r="BL41"/>
      <c r="BM41"/>
      <c r="BN41"/>
      <c r="BO41"/>
      <c r="BP41"/>
      <c r="BQ41"/>
      <c r="BR41"/>
      <c r="BS41"/>
      <c r="BT41"/>
      <c r="BU41"/>
      <c r="BV41"/>
      <c r="BW41"/>
      <c r="BX41"/>
      <c r="BY41"/>
      <c r="BZ41"/>
      <c r="CA41"/>
      <c r="CB41"/>
      <c r="CC41"/>
    </row>
    <row r="42" spans="1:81" s="658" customFormat="1" ht="15.75">
      <c r="A42" s="2013"/>
      <c r="B42" s="511"/>
      <c r="C42" s="2022">
        <v>24</v>
      </c>
      <c r="D42" s="1323" t="s">
        <v>4171</v>
      </c>
      <c r="E42" s="511"/>
      <c r="F42" s="511"/>
      <c r="G42" s="511"/>
      <c r="H42" s="511"/>
      <c r="I42" s="511"/>
      <c r="J42" s="511"/>
      <c r="K42" s="511"/>
      <c r="L42" s="511"/>
      <c r="M42" s="511"/>
      <c r="N42" s="511"/>
      <c r="O42" s="511"/>
      <c r="P42" s="511"/>
      <c r="Q42" s="511"/>
      <c r="R42" s="511"/>
      <c r="S42" s="511"/>
      <c r="T42" s="511"/>
      <c r="U42" s="511"/>
      <c r="V42" s="1401" t="s">
        <v>908</v>
      </c>
      <c r="W42" s="2895">
        <v>24</v>
      </c>
      <c r="X42" s="11083" t="str">
        <f>IF(OR(NOT($AM$19),X41=""),"",ROUND(X41*$AE$22/100,0))</f>
        <v/>
      </c>
      <c r="Y42" s="11084"/>
      <c r="Z42" s="11084"/>
      <c r="AA42" s="11084"/>
      <c r="AB42" s="11084"/>
      <c r="AC42" s="11084"/>
      <c r="AD42" s="2924"/>
      <c r="AE42" s="253"/>
      <c r="AF42" s="253"/>
      <c r="AG42" s="253"/>
      <c r="AH42" s="253"/>
      <c r="AI42" s="253"/>
      <c r="AJ42" s="253"/>
      <c r="AK42" s="2013"/>
      <c r="AL42" s="712"/>
      <c r="AM42" s="253"/>
      <c r="AN42" s="253"/>
      <c r="AO42" s="253"/>
      <c r="AP42" s="6723"/>
      <c r="AQ42" s="344" t="s">
        <v>4172</v>
      </c>
      <c r="AR42" s="253"/>
      <c r="AS42" s="443"/>
      <c r="AT42" s="6724">
        <f>IF(AS42&lt;&gt;"",ROUND(AS42,0),0)</f>
        <v>0</v>
      </c>
      <c r="AU42" s="253"/>
      <c r="AV42" s="1357"/>
      <c r="BE42"/>
      <c r="BF42"/>
      <c r="BG42"/>
      <c r="BH42"/>
      <c r="BI42"/>
      <c r="BJ42"/>
      <c r="BK42"/>
      <c r="BL42"/>
      <c r="BM42"/>
      <c r="BN42"/>
      <c r="BO42"/>
      <c r="BP42"/>
      <c r="BQ42"/>
      <c r="BR42"/>
      <c r="BS42"/>
      <c r="BT42"/>
      <c r="BU42"/>
      <c r="BV42"/>
      <c r="BW42"/>
      <c r="BX42"/>
      <c r="BY42"/>
      <c r="BZ42"/>
      <c r="CA42"/>
      <c r="CB42"/>
      <c r="CC42"/>
    </row>
    <row r="43" spans="1:81" s="658" customFormat="1" ht="15.75">
      <c r="A43" s="2013"/>
      <c r="B43" s="511"/>
      <c r="C43" s="2022">
        <v>25</v>
      </c>
      <c r="D43" s="1323" t="s">
        <v>4173</v>
      </c>
      <c r="E43" s="511"/>
      <c r="F43" s="511"/>
      <c r="G43" s="511"/>
      <c r="H43" s="511"/>
      <c r="I43" s="511"/>
      <c r="J43" s="511"/>
      <c r="K43" s="511"/>
      <c r="L43" s="511"/>
      <c r="M43" s="511"/>
      <c r="N43" s="511"/>
      <c r="O43" s="511"/>
      <c r="P43" s="511"/>
      <c r="Q43" s="511"/>
      <c r="R43" s="511"/>
      <c r="S43" s="511"/>
      <c r="T43" s="511"/>
      <c r="U43" s="511"/>
      <c r="V43" s="1401" t="s">
        <v>905</v>
      </c>
      <c r="W43" s="2895">
        <v>25</v>
      </c>
      <c r="X43" s="11081"/>
      <c r="Y43" s="11082"/>
      <c r="Z43" s="11082"/>
      <c r="AA43" s="11082"/>
      <c r="AB43" s="11082"/>
      <c r="AC43" s="11082"/>
      <c r="AD43" s="2924"/>
      <c r="AE43" s="253"/>
      <c r="AF43" s="253"/>
      <c r="AG43" s="253"/>
      <c r="AH43" s="253"/>
      <c r="AI43" s="253"/>
      <c r="AJ43" s="253"/>
      <c r="AK43" s="2013"/>
      <c r="AL43" s="712"/>
      <c r="AM43" s="253"/>
      <c r="AN43" s="253"/>
      <c r="AO43" s="253"/>
      <c r="AP43" s="3781" t="s">
        <v>184</v>
      </c>
      <c r="AQ43" s="253" t="s">
        <v>4174</v>
      </c>
      <c r="AR43" s="253"/>
      <c r="AS43" s="2499" t="str">
        <f>IF(AT43,AU43,"")</f>
        <v/>
      </c>
      <c r="AT43" s="6724" t="b">
        <f>OR(AS34&lt;&gt;"",AS37&lt;&gt;"",AS40&lt;&gt;"",AS42&lt;&gt;"")</f>
        <v>0</v>
      </c>
      <c r="AU43" s="990">
        <f>SUM(AS34,AS37,AS40,AS42)</f>
        <v>0</v>
      </c>
      <c r="AV43" s="1357"/>
      <c r="BE43"/>
      <c r="BF43"/>
      <c r="BG43"/>
      <c r="BH43"/>
      <c r="BI43"/>
      <c r="BJ43"/>
      <c r="BK43"/>
      <c r="BL43"/>
      <c r="BM43"/>
      <c r="BN43"/>
      <c r="BO43"/>
      <c r="BP43"/>
      <c r="BQ43"/>
      <c r="BR43"/>
      <c r="BS43"/>
      <c r="BT43"/>
      <c r="BU43"/>
      <c r="BV43"/>
      <c r="BW43"/>
      <c r="BX43"/>
      <c r="BY43"/>
      <c r="BZ43"/>
      <c r="CA43"/>
      <c r="CB43"/>
      <c r="CC43"/>
    </row>
    <row r="44" spans="1:81" s="658" customFormat="1" ht="14.25" customHeight="1">
      <c r="A44" s="2013"/>
      <c r="B44" s="253"/>
      <c r="C44" s="2022">
        <v>26</v>
      </c>
      <c r="D44" s="1323" t="s">
        <v>4175</v>
      </c>
      <c r="E44" s="253"/>
      <c r="F44" s="253"/>
      <c r="G44" s="253"/>
      <c r="H44" s="253"/>
      <c r="I44" s="253"/>
      <c r="J44" s="253"/>
      <c r="K44" s="253"/>
      <c r="L44" s="253"/>
      <c r="M44" s="253"/>
      <c r="N44" s="253"/>
      <c r="O44" s="253"/>
      <c r="P44" s="253"/>
      <c r="Q44" s="253"/>
      <c r="R44" s="253"/>
      <c r="S44" s="253"/>
      <c r="T44" s="253"/>
      <c r="U44" s="253"/>
      <c r="V44" s="253"/>
      <c r="W44" s="253"/>
      <c r="X44" s="253"/>
      <c r="Y44" s="253"/>
      <c r="Z44" s="253"/>
      <c r="AA44" s="253"/>
      <c r="AB44" s="253"/>
      <c r="AC44" s="1401" t="s">
        <v>665</v>
      </c>
      <c r="AD44" s="2895">
        <v>26</v>
      </c>
      <c r="AE44" s="10753" t="str">
        <f>IF($AM$19,SUM(R41,X42,X43),"")</f>
        <v/>
      </c>
      <c r="AF44" s="11080"/>
      <c r="AG44" s="11080"/>
      <c r="AH44" s="11080"/>
      <c r="AI44" s="11080"/>
      <c r="AJ44" s="11080"/>
      <c r="AK44" s="2013"/>
      <c r="AL44" s="712"/>
      <c r="AM44" s="253"/>
      <c r="AN44" s="253"/>
      <c r="AO44" s="253"/>
      <c r="AP44" s="3781" t="s">
        <v>188</v>
      </c>
      <c r="AQ44" s="344" t="s">
        <v>4176</v>
      </c>
      <c r="AR44" s="253"/>
      <c r="AS44" s="4982" t="str">
        <f>IF(AND(AT43,AT45),"Must be &gt;" &amp;TEXT(AM47,"$0,000")&amp;".","")</f>
        <v/>
      </c>
      <c r="AT44" s="5870"/>
      <c r="AU44" s="253"/>
      <c r="AV44" s="1357"/>
      <c r="BE44"/>
      <c r="BF44"/>
      <c r="BG44"/>
      <c r="BH44"/>
      <c r="BI44"/>
      <c r="BJ44"/>
      <c r="BK44"/>
      <c r="BL44"/>
      <c r="BM44"/>
      <c r="BN44"/>
      <c r="BO44"/>
      <c r="BP44"/>
      <c r="BQ44"/>
      <c r="BR44"/>
      <c r="BS44"/>
      <c r="BT44"/>
      <c r="BU44"/>
      <c r="BV44"/>
      <c r="BW44"/>
      <c r="BX44"/>
      <c r="BY44"/>
      <c r="BZ44"/>
      <c r="CA44"/>
      <c r="CB44"/>
      <c r="CC44"/>
    </row>
    <row r="45" spans="1:81" s="658" customFormat="1" ht="14.25" customHeight="1">
      <c r="A45" s="2013"/>
      <c r="B45" s="253"/>
      <c r="C45" s="2022">
        <v>27</v>
      </c>
      <c r="D45" s="1323" t="s">
        <v>5388</v>
      </c>
      <c r="E45" s="253"/>
      <c r="F45" s="253"/>
      <c r="G45" s="253"/>
      <c r="H45" s="253"/>
      <c r="I45" s="253"/>
      <c r="J45" s="253"/>
      <c r="K45" s="253"/>
      <c r="L45" s="253"/>
      <c r="M45" s="253"/>
      <c r="N45" s="253"/>
      <c r="O45" s="253"/>
      <c r="P45" s="253"/>
      <c r="Q45" s="253"/>
      <c r="R45" s="253"/>
      <c r="S45" s="253"/>
      <c r="T45" s="253"/>
      <c r="U45" s="253"/>
      <c r="V45" s="253"/>
      <c r="W45" s="253"/>
      <c r="X45" s="253"/>
      <c r="Y45" s="253"/>
      <c r="Z45" s="253"/>
      <c r="AA45" s="253"/>
      <c r="AB45" s="253"/>
      <c r="AC45" s="1401" t="s">
        <v>648</v>
      </c>
      <c r="AD45" s="2895">
        <v>27</v>
      </c>
      <c r="AE45" s="10753" t="str">
        <f>IF($AM$19,MIN(AE33,AE44),"")</f>
        <v/>
      </c>
      <c r="AF45" s="11080"/>
      <c r="AG45" s="11080"/>
      <c r="AH45" s="11080"/>
      <c r="AI45" s="11080"/>
      <c r="AJ45" s="11080"/>
      <c r="AK45" s="2013"/>
      <c r="AL45" s="712"/>
      <c r="AM45" s="512">
        <v>10000</v>
      </c>
      <c r="AN45" s="253"/>
      <c r="AO45" s="253"/>
      <c r="AP45" s="6723"/>
      <c r="AQ45" s="344" t="s">
        <v>4177</v>
      </c>
      <c r="AR45" s="253"/>
      <c r="AS45" s="2499" t="str">
        <f>IF(OR(NOT(AT43),AT45,AE22=""),"",IF(AS37="",0,ROUND(ROUND(AS37,0)*AE22/100,0)))</f>
        <v/>
      </c>
      <c r="AT45" s="6724" t="b">
        <f>AS43&lt;AM47</f>
        <v>0</v>
      </c>
      <c r="AU45" s="253"/>
      <c r="AV45" s="1357"/>
      <c r="BE45"/>
      <c r="BF45"/>
      <c r="BG45"/>
      <c r="BH45"/>
      <c r="BI45"/>
      <c r="BJ45"/>
      <c r="BK45"/>
      <c r="BL45"/>
      <c r="BM45"/>
      <c r="BN45"/>
      <c r="BO45"/>
      <c r="BP45"/>
      <c r="BQ45"/>
      <c r="BR45"/>
      <c r="BS45"/>
      <c r="BT45"/>
      <c r="BU45"/>
      <c r="BV45"/>
      <c r="BW45"/>
      <c r="BX45"/>
      <c r="BY45"/>
      <c r="BZ45"/>
      <c r="CA45"/>
      <c r="CB45"/>
      <c r="CC45"/>
    </row>
    <row r="46" spans="1:81" s="658" customFormat="1" ht="14.25" customHeight="1">
      <c r="A46" s="2013"/>
      <c r="B46" s="253"/>
      <c r="C46" s="2022">
        <v>28</v>
      </c>
      <c r="D46" s="1323" t="s">
        <v>4178</v>
      </c>
      <c r="E46" s="253"/>
      <c r="F46" s="253"/>
      <c r="G46" s="253"/>
      <c r="H46" s="253"/>
      <c r="I46" s="253"/>
      <c r="J46" s="253"/>
      <c r="K46" s="253"/>
      <c r="L46" s="253"/>
      <c r="M46" s="253"/>
      <c r="N46" s="253"/>
      <c r="O46" s="253"/>
      <c r="P46" s="253"/>
      <c r="Q46" s="253"/>
      <c r="R46" s="253"/>
      <c r="S46" s="253"/>
      <c r="T46" s="253"/>
      <c r="U46" s="253"/>
      <c r="V46" s="253"/>
      <c r="W46" s="253"/>
      <c r="X46" s="253"/>
      <c r="Y46" s="253"/>
      <c r="Z46" s="253"/>
      <c r="AA46" s="253"/>
      <c r="AB46" s="253"/>
      <c r="AC46" s="1401" t="s">
        <v>624</v>
      </c>
      <c r="AD46" s="2895">
        <v>28</v>
      </c>
      <c r="AE46" s="10753" t="str">
        <f>IF(AND($AM$19,AE45=""),AE33,IF($AM$19,SUM(AE33,-AE45),""))</f>
        <v/>
      </c>
      <c r="AF46" s="11080"/>
      <c r="AG46" s="11080"/>
      <c r="AH46" s="11080"/>
      <c r="AI46" s="11080"/>
      <c r="AJ46" s="11080"/>
      <c r="AK46" s="2013"/>
      <c r="AL46" s="712"/>
      <c r="AM46" s="512">
        <v>5000</v>
      </c>
      <c r="AN46" s="253"/>
      <c r="AO46" s="253"/>
      <c r="AP46" s="3781" t="s">
        <v>198</v>
      </c>
      <c r="AQ46" s="344" t="s">
        <v>3686</v>
      </c>
      <c r="AR46" s="253"/>
      <c r="AS46" s="2499" t="str">
        <f>IF(OR(NOT(AT43),AND(AS43="",AS45=""),AT45),"",IF(AS45="",AS43,SUM(AS43,-AS45)))</f>
        <v/>
      </c>
      <c r="AT46" s="409"/>
      <c r="AU46" s="253"/>
      <c r="AV46" s="1357"/>
      <c r="BE46"/>
      <c r="BF46"/>
      <c r="BG46"/>
      <c r="BH46"/>
      <c r="BI46"/>
      <c r="BJ46"/>
      <c r="BK46"/>
      <c r="BL46"/>
      <c r="BM46"/>
      <c r="BN46"/>
      <c r="BO46"/>
      <c r="BP46"/>
      <c r="BQ46"/>
      <c r="BR46"/>
      <c r="BS46"/>
      <c r="BT46"/>
      <c r="BU46"/>
      <c r="BV46"/>
      <c r="BW46"/>
      <c r="BX46"/>
      <c r="BY46"/>
      <c r="BZ46"/>
      <c r="CA46"/>
      <c r="CB46"/>
      <c r="CC46"/>
    </row>
    <row r="47" spans="1:81" s="658" customFormat="1" ht="15.75">
      <c r="A47" s="2013"/>
      <c r="B47" s="511"/>
      <c r="C47" s="2022">
        <v>29</v>
      </c>
      <c r="D47" s="1323" t="s">
        <v>4179</v>
      </c>
      <c r="E47" s="511"/>
      <c r="F47" s="511"/>
      <c r="G47" s="511"/>
      <c r="H47" s="511"/>
      <c r="I47" s="511"/>
      <c r="J47" s="511"/>
      <c r="K47" s="511"/>
      <c r="L47" s="511"/>
      <c r="M47" s="511"/>
      <c r="N47" s="511"/>
      <c r="O47" s="511"/>
      <c r="P47" s="511"/>
      <c r="Q47" s="511"/>
      <c r="R47" s="511"/>
      <c r="S47" s="511"/>
      <c r="T47" s="511"/>
      <c r="U47" s="511"/>
      <c r="V47" s="1401" t="s">
        <v>816</v>
      </c>
      <c r="W47" s="2895">
        <v>29</v>
      </c>
      <c r="X47" s="11081"/>
      <c r="Y47" s="11082"/>
      <c r="Z47" s="11082"/>
      <c r="AA47" s="11082"/>
      <c r="AB47" s="11082"/>
      <c r="AC47" s="11082"/>
      <c r="AD47" s="2924"/>
      <c r="AE47" s="253"/>
      <c r="AF47" s="253"/>
      <c r="AG47" s="253"/>
      <c r="AH47" s="253"/>
      <c r="AI47" s="253"/>
      <c r="AJ47" s="253"/>
      <c r="AK47" s="2013"/>
      <c r="AL47" s="712"/>
      <c r="AM47" s="512">
        <f>IF(File_Marr_Sep&lt;&gt;"",AM46,AM45)</f>
        <v>10000</v>
      </c>
      <c r="AN47" s="253"/>
      <c r="AO47" s="253"/>
      <c r="AP47" s="3781" t="s">
        <v>200</v>
      </c>
      <c r="AQ47" s="344" t="str">
        <f>"Subtract line 7 from "&amp;TEXT(AM45,"$0,000")&amp;" ("&amp;TEXT(AM46,"$0,000")&amp;" if married"</f>
        <v>Subtract line 7 from $10,000 ($5,000 if married</v>
      </c>
      <c r="AR47" s="253"/>
      <c r="AS47" s="253"/>
      <c r="AT47" s="409"/>
      <c r="AU47" s="253"/>
      <c r="AV47" s="1357"/>
      <c r="BE47"/>
      <c r="BF47"/>
      <c r="BG47"/>
      <c r="BH47"/>
      <c r="BI47"/>
      <c r="BJ47"/>
      <c r="BK47"/>
      <c r="BL47"/>
      <c r="BM47"/>
      <c r="BN47"/>
      <c r="BO47"/>
      <c r="BP47"/>
      <c r="BQ47"/>
      <c r="BR47"/>
      <c r="BS47"/>
      <c r="BT47"/>
      <c r="BU47"/>
      <c r="BV47"/>
      <c r="BW47"/>
      <c r="BX47"/>
      <c r="BY47"/>
      <c r="BZ47"/>
      <c r="CA47"/>
      <c r="CB47"/>
      <c r="CC47"/>
    </row>
    <row r="48" spans="1:81" s="658" customFormat="1" ht="15.75">
      <c r="A48" s="2013"/>
      <c r="B48" s="511"/>
      <c r="C48" s="2022">
        <v>30</v>
      </c>
      <c r="D48" s="1323" t="s">
        <v>4180</v>
      </c>
      <c r="E48" s="511"/>
      <c r="F48" s="511"/>
      <c r="G48" s="511"/>
      <c r="H48" s="511"/>
      <c r="I48" s="511"/>
      <c r="J48" s="511"/>
      <c r="K48" s="511"/>
      <c r="L48" s="511"/>
      <c r="M48" s="511"/>
      <c r="N48" s="511"/>
      <c r="O48" s="511"/>
      <c r="P48" s="511"/>
      <c r="Q48" s="511"/>
      <c r="R48" s="511"/>
      <c r="S48" s="511"/>
      <c r="T48" s="511"/>
      <c r="U48" s="511"/>
      <c r="V48" s="1401" t="s">
        <v>894</v>
      </c>
      <c r="W48" s="2895">
        <v>30</v>
      </c>
      <c r="X48" s="11083" t="str">
        <f>IF(AND($AM$19,AE57&lt;&gt;"",AE61&lt;&gt;""),AE62,"")</f>
        <v/>
      </c>
      <c r="Y48" s="11084"/>
      <c r="Z48" s="11084"/>
      <c r="AA48" s="11084"/>
      <c r="AB48" s="11084"/>
      <c r="AC48" s="11084"/>
      <c r="AD48" s="2924"/>
      <c r="AE48" s="253"/>
      <c r="AF48" s="253"/>
      <c r="AG48" s="253"/>
      <c r="AH48" s="253"/>
      <c r="AI48" s="253"/>
      <c r="AJ48" s="253"/>
      <c r="AK48" s="2013"/>
      <c r="AL48" s="712"/>
      <c r="AM48" s="253"/>
      <c r="AN48" s="253"/>
      <c r="AO48" s="253"/>
      <c r="AP48" s="6723"/>
      <c r="AQ48" s="344" t="s">
        <v>4181</v>
      </c>
      <c r="AR48" s="253"/>
      <c r="AS48" s="2499" t="str">
        <f>IF(OR(NOT(AT43),AT45),"",MAX(0,SUM(AM47,-AS46)))</f>
        <v/>
      </c>
      <c r="AT48" s="409"/>
      <c r="AU48" s="253"/>
      <c r="AV48" s="1357"/>
      <c r="BE48"/>
      <c r="BF48"/>
      <c r="BG48"/>
      <c r="BH48"/>
      <c r="BI48"/>
      <c r="BJ48"/>
      <c r="BK48"/>
      <c r="BL48"/>
      <c r="BM48"/>
      <c r="BN48"/>
      <c r="BO48"/>
      <c r="BP48"/>
      <c r="BQ48"/>
      <c r="BR48"/>
      <c r="BS48"/>
      <c r="BT48"/>
      <c r="BU48"/>
      <c r="BV48"/>
      <c r="BW48"/>
      <c r="BX48"/>
      <c r="BY48"/>
      <c r="BZ48"/>
      <c r="CA48"/>
      <c r="CB48"/>
      <c r="CC48"/>
    </row>
    <row r="49" spans="1:81" s="658" customFormat="1" ht="15">
      <c r="A49" s="2013"/>
      <c r="B49" s="511"/>
      <c r="C49" s="2022">
        <v>31</v>
      </c>
      <c r="D49" s="511" t="s">
        <v>4182</v>
      </c>
      <c r="E49" s="511"/>
      <c r="F49" s="511"/>
      <c r="G49" s="511"/>
      <c r="H49" s="511"/>
      <c r="I49" s="511"/>
      <c r="J49" s="511"/>
      <c r="K49" s="511"/>
      <c r="L49" s="511"/>
      <c r="M49" s="511"/>
      <c r="N49" s="511"/>
      <c r="O49" s="511"/>
      <c r="P49" s="511"/>
      <c r="Q49" s="511"/>
      <c r="R49" s="511"/>
      <c r="S49" s="511"/>
      <c r="T49" s="511"/>
      <c r="U49" s="511"/>
      <c r="V49" s="1401"/>
      <c r="W49" s="2895">
        <v>31</v>
      </c>
      <c r="X49" s="11081"/>
      <c r="Y49" s="11082"/>
      <c r="Z49" s="11082"/>
      <c r="AA49" s="11082"/>
      <c r="AB49" s="11082"/>
      <c r="AC49" s="11082"/>
      <c r="AD49" s="2924"/>
      <c r="AE49" s="253"/>
      <c r="AF49" s="253"/>
      <c r="AG49" s="253"/>
      <c r="AH49" s="253"/>
      <c r="AI49" s="253"/>
      <c r="AJ49" s="253"/>
      <c r="AK49" s="2013"/>
      <c r="AL49" s="712"/>
      <c r="AM49" s="253"/>
      <c r="AN49" s="253"/>
      <c r="AO49" s="253"/>
      <c r="AP49" s="3781" t="s">
        <v>205</v>
      </c>
      <c r="AQ49" s="349" t="s">
        <v>4183</v>
      </c>
      <c r="AR49" s="253"/>
      <c r="AS49" s="253"/>
      <c r="AT49" s="409"/>
      <c r="AU49" s="253"/>
      <c r="AV49" s="1357"/>
      <c r="BE49"/>
      <c r="BF49"/>
      <c r="BG49"/>
      <c r="BH49"/>
      <c r="BI49"/>
      <c r="BJ49"/>
      <c r="BK49"/>
      <c r="BL49"/>
      <c r="BM49"/>
      <c r="BN49"/>
      <c r="BO49"/>
      <c r="BP49"/>
      <c r="BQ49"/>
      <c r="BR49"/>
      <c r="BS49"/>
      <c r="BT49"/>
      <c r="BU49"/>
      <c r="BV49"/>
      <c r="BW49"/>
      <c r="BX49"/>
      <c r="BY49"/>
      <c r="BZ49"/>
      <c r="CA49"/>
      <c r="CB49"/>
      <c r="CC49"/>
    </row>
    <row r="50" spans="1:81" s="658" customFormat="1" ht="14.25" customHeight="1">
      <c r="A50" s="2013"/>
      <c r="B50" s="253"/>
      <c r="C50" s="2022">
        <v>32</v>
      </c>
      <c r="D50" s="1323" t="s">
        <v>4184</v>
      </c>
      <c r="E50" s="253"/>
      <c r="F50" s="253"/>
      <c r="G50" s="253"/>
      <c r="H50" s="253"/>
      <c r="I50" s="253"/>
      <c r="J50" s="253"/>
      <c r="K50" s="253"/>
      <c r="L50" s="253"/>
      <c r="M50" s="253"/>
      <c r="N50" s="253"/>
      <c r="O50" s="253"/>
      <c r="P50" s="253"/>
      <c r="Q50" s="253"/>
      <c r="R50" s="253"/>
      <c r="S50" s="253"/>
      <c r="T50" s="253"/>
      <c r="U50" s="253"/>
      <c r="V50" s="253"/>
      <c r="W50" s="253"/>
      <c r="X50" s="253"/>
      <c r="Y50" s="253"/>
      <c r="Z50" s="253"/>
      <c r="AA50" s="253"/>
      <c r="AB50" s="253"/>
      <c r="AC50" s="1401" t="s">
        <v>3343</v>
      </c>
      <c r="AD50" s="2895">
        <v>32</v>
      </c>
      <c r="AE50" s="10753" t="str">
        <f>IF(NOT($AM$19),"",IF(X48="",SUM(ROUND(X47,0),ROUND(X49,0)),SUM(ROUND(X47,0),ROUND(X48,0),ROUND(X49,0))))</f>
        <v/>
      </c>
      <c r="AF50" s="11080"/>
      <c r="AG50" s="11080"/>
      <c r="AH50" s="11080"/>
      <c r="AI50" s="11080"/>
      <c r="AJ50" s="11080"/>
      <c r="AK50" s="2013"/>
      <c r="AL50" s="712"/>
      <c r="AM50" s="253"/>
      <c r="AN50" s="253"/>
      <c r="AO50" s="253"/>
      <c r="AP50" s="6723"/>
      <c r="AQ50" s="344" t="s">
        <v>4185</v>
      </c>
      <c r="AR50" s="253"/>
      <c r="AS50" s="253"/>
      <c r="AT50" s="409"/>
      <c r="AU50" s="253"/>
      <c r="AV50" s="1357"/>
      <c r="BE50"/>
      <c r="BF50"/>
      <c r="BG50"/>
      <c r="BH50"/>
      <c r="BI50"/>
      <c r="BJ50"/>
      <c r="BK50"/>
      <c r="BL50"/>
      <c r="BM50"/>
      <c r="BN50"/>
      <c r="BO50"/>
      <c r="BP50"/>
      <c r="BQ50"/>
      <c r="BR50"/>
      <c r="BS50"/>
      <c r="BT50"/>
      <c r="BU50"/>
      <c r="BV50"/>
      <c r="BW50"/>
      <c r="BX50"/>
      <c r="BY50"/>
      <c r="BZ50"/>
      <c r="CA50"/>
      <c r="CB50"/>
      <c r="CC50"/>
    </row>
    <row r="51" spans="1:81" s="658" customFormat="1" ht="14.25" customHeight="1">
      <c r="A51" s="2013"/>
      <c r="B51" s="253"/>
      <c r="C51" s="2022">
        <v>33</v>
      </c>
      <c r="D51" s="1323" t="s">
        <v>5390</v>
      </c>
      <c r="E51" s="253"/>
      <c r="F51" s="253"/>
      <c r="G51" s="253"/>
      <c r="H51" s="253"/>
      <c r="I51" s="253"/>
      <c r="J51" s="253"/>
      <c r="K51" s="253"/>
      <c r="L51" s="253"/>
      <c r="M51" s="253"/>
      <c r="N51" s="253"/>
      <c r="O51" s="253"/>
      <c r="P51" s="253"/>
      <c r="Q51" s="253"/>
      <c r="R51" s="253"/>
      <c r="S51" s="253"/>
      <c r="T51" s="253"/>
      <c r="U51" s="253"/>
      <c r="V51" s="253"/>
      <c r="W51" s="253"/>
      <c r="X51" s="253"/>
      <c r="Y51" s="253"/>
      <c r="Z51" s="253"/>
      <c r="AA51" s="253"/>
      <c r="AB51" s="253"/>
      <c r="AC51" s="1401" t="s">
        <v>643</v>
      </c>
      <c r="AD51" s="2895">
        <v>33</v>
      </c>
      <c r="AE51" s="10753" t="str">
        <f>IF($AM$19,MIN(AE46,AE50),"")</f>
        <v/>
      </c>
      <c r="AF51" s="11080"/>
      <c r="AG51" s="11080"/>
      <c r="AH51" s="11080"/>
      <c r="AI51" s="11080"/>
      <c r="AJ51" s="11080"/>
      <c r="AK51" s="2013"/>
      <c r="AL51" s="712"/>
      <c r="AM51" s="253"/>
      <c r="AN51" s="253"/>
      <c r="AO51" s="253"/>
      <c r="AP51" s="6723"/>
      <c r="AQ51" s="344" t="s">
        <v>4186</v>
      </c>
      <c r="AR51" s="253"/>
      <c r="AS51" s="2499" t="str">
        <f>IF(OR(NOT(AT43),AT45),"",MIN(AS45,AS48))</f>
        <v/>
      </c>
      <c r="AT51" s="409"/>
      <c r="AU51" s="253"/>
      <c r="AV51" s="1357"/>
      <c r="BE51"/>
      <c r="BF51"/>
      <c r="BG51"/>
      <c r="BH51"/>
      <c r="BI51"/>
      <c r="BJ51"/>
      <c r="BK51"/>
      <c r="BL51"/>
      <c r="BM51"/>
      <c r="BN51"/>
      <c r="BO51"/>
      <c r="BP51"/>
      <c r="BQ51"/>
      <c r="BR51"/>
      <c r="BS51"/>
      <c r="BT51"/>
      <c r="BU51"/>
      <c r="BV51"/>
      <c r="BW51"/>
      <c r="BX51"/>
      <c r="BY51"/>
      <c r="BZ51"/>
      <c r="CA51"/>
      <c r="CB51"/>
      <c r="CC51"/>
    </row>
    <row r="52" spans="1:81" s="658" customFormat="1" ht="14.25" customHeight="1">
      <c r="A52" s="2013"/>
      <c r="B52" s="253"/>
      <c r="C52" s="2022">
        <v>34</v>
      </c>
      <c r="D52" s="1323" t="s">
        <v>4187</v>
      </c>
      <c r="E52" s="253"/>
      <c r="F52" s="253"/>
      <c r="G52" s="253"/>
      <c r="H52" s="253"/>
      <c r="I52" s="253"/>
      <c r="J52" s="253"/>
      <c r="K52" s="253"/>
      <c r="L52" s="253"/>
      <c r="M52" s="253"/>
      <c r="N52" s="253"/>
      <c r="O52" s="253"/>
      <c r="P52" s="253"/>
      <c r="Q52" s="253"/>
      <c r="R52" s="253"/>
      <c r="S52" s="253"/>
      <c r="T52" s="253"/>
      <c r="U52" s="253"/>
      <c r="V52" s="253"/>
      <c r="W52" s="253"/>
      <c r="X52" s="253"/>
      <c r="Y52" s="253"/>
      <c r="Z52" s="253"/>
      <c r="AA52" s="253"/>
      <c r="AB52" s="253"/>
      <c r="AC52" s="1401" t="s">
        <v>3343</v>
      </c>
      <c r="AD52" s="2895">
        <v>34</v>
      </c>
      <c r="AE52" s="10753" t="str">
        <f>IF($AM$19,SUM(AE32,AE45,AE51),"")</f>
        <v/>
      </c>
      <c r="AF52" s="11080"/>
      <c r="AG52" s="11080"/>
      <c r="AH52" s="11080"/>
      <c r="AI52" s="11080"/>
      <c r="AJ52" s="11080"/>
      <c r="AK52" s="2013"/>
      <c r="AL52" s="712"/>
      <c r="AM52" s="253"/>
      <c r="AN52" s="253"/>
      <c r="AO52" s="253"/>
      <c r="AP52" s="3781" t="s">
        <v>210</v>
      </c>
      <c r="AQ52" s="349" t="s">
        <v>4188</v>
      </c>
      <c r="AR52" s="253"/>
      <c r="AS52" s="253"/>
      <c r="AT52" s="409"/>
      <c r="AU52" s="253"/>
      <c r="AV52" s="1357"/>
      <c r="BE52"/>
      <c r="BF52"/>
      <c r="BG52"/>
      <c r="BH52"/>
      <c r="BI52"/>
      <c r="BJ52"/>
      <c r="BK52"/>
      <c r="BL52"/>
      <c r="BM52"/>
      <c r="BN52"/>
      <c r="BO52"/>
      <c r="BP52"/>
      <c r="BQ52"/>
      <c r="BR52"/>
      <c r="BS52"/>
      <c r="BT52"/>
      <c r="BU52"/>
      <c r="BV52"/>
      <c r="BW52"/>
      <c r="BX52"/>
      <c r="BY52"/>
      <c r="BZ52"/>
      <c r="CA52"/>
      <c r="CB52"/>
      <c r="CC52"/>
    </row>
    <row r="53" spans="1:81" s="658" customFormat="1" ht="14.25" customHeight="1">
      <c r="A53" s="2013"/>
      <c r="B53" s="253"/>
      <c r="C53" s="2022">
        <v>35</v>
      </c>
      <c r="D53" s="1323" t="s">
        <v>5395</v>
      </c>
      <c r="E53" s="253"/>
      <c r="F53" s="253"/>
      <c r="G53" s="253"/>
      <c r="H53" s="253"/>
      <c r="I53" s="253"/>
      <c r="J53" s="253"/>
      <c r="K53" s="253"/>
      <c r="L53" s="253"/>
      <c r="M53" s="253"/>
      <c r="N53" s="253"/>
      <c r="O53" s="253"/>
      <c r="P53" s="253"/>
      <c r="Q53" s="253"/>
      <c r="R53" s="253"/>
      <c r="S53" s="253"/>
      <c r="T53" s="253"/>
      <c r="U53" s="253"/>
      <c r="V53" s="253"/>
      <c r="W53" s="253"/>
      <c r="X53" s="253"/>
      <c r="Y53" s="253"/>
      <c r="Z53" s="253"/>
      <c r="AA53" s="253"/>
      <c r="AB53" s="253"/>
      <c r="AC53" s="1401"/>
      <c r="AD53" s="2895">
        <v>35</v>
      </c>
      <c r="AE53" s="8264"/>
      <c r="AF53" s="11095"/>
      <c r="AG53" s="11095"/>
      <c r="AH53" s="11095"/>
      <c r="AI53" s="11095"/>
      <c r="AJ53" s="11095"/>
      <c r="AK53" s="2013"/>
      <c r="AL53" s="712"/>
      <c r="AM53" s="253"/>
      <c r="AN53" s="253"/>
      <c r="AO53" s="253"/>
      <c r="AP53" s="408"/>
      <c r="AQ53" s="344" t="s">
        <v>4189</v>
      </c>
      <c r="AR53" s="253"/>
      <c r="AS53" s="2499">
        <f>IF(OR(NOT(AT43),AT45),0,IF(AS51="",AS45,SUM(AS45,-AS51)))</f>
        <v>0</v>
      </c>
      <c r="AT53" s="409"/>
      <c r="AU53" s="253"/>
      <c r="AV53" s="1357"/>
      <c r="BE53"/>
      <c r="BF53"/>
      <c r="BG53"/>
      <c r="BH53"/>
      <c r="BI53"/>
      <c r="BJ53"/>
      <c r="BK53"/>
      <c r="BL53"/>
      <c r="BM53"/>
      <c r="BN53"/>
      <c r="BO53"/>
      <c r="BP53"/>
      <c r="BQ53"/>
      <c r="BR53"/>
      <c r="BS53"/>
      <c r="BT53"/>
      <c r="BU53"/>
      <c r="BV53"/>
      <c r="BW53"/>
      <c r="BX53"/>
      <c r="BY53"/>
      <c r="BZ53"/>
      <c r="CA53"/>
      <c r="CB53"/>
      <c r="CC53"/>
    </row>
    <row r="54" spans="1:81" s="658" customFormat="1" ht="14.25" customHeight="1">
      <c r="A54" s="2013"/>
      <c r="B54" s="253"/>
      <c r="C54" s="2022">
        <v>36</v>
      </c>
      <c r="D54" s="1323" t="s">
        <v>5391</v>
      </c>
      <c r="E54" s="253"/>
      <c r="F54" s="253"/>
      <c r="G54" s="253"/>
      <c r="H54" s="253"/>
      <c r="I54" s="253"/>
      <c r="J54" s="253"/>
      <c r="K54" s="253"/>
      <c r="L54" s="253"/>
      <c r="M54" s="253"/>
      <c r="N54" s="253"/>
      <c r="O54" s="253"/>
      <c r="P54" s="253"/>
      <c r="Q54" s="253"/>
      <c r="R54" s="253"/>
      <c r="S54" s="253"/>
      <c r="T54" s="253"/>
      <c r="U54" s="253"/>
      <c r="V54" s="253"/>
      <c r="W54" s="253"/>
      <c r="X54" s="253"/>
      <c r="Y54" s="253"/>
      <c r="Z54" s="253"/>
      <c r="AA54" s="253"/>
      <c r="AB54" s="253"/>
      <c r="AC54" s="253"/>
      <c r="AD54" s="2890"/>
      <c r="AE54" s="253"/>
      <c r="AF54" s="253"/>
      <c r="AG54" s="253"/>
      <c r="AH54" s="253"/>
      <c r="AI54" s="253"/>
      <c r="AJ54" s="253"/>
      <c r="AK54" s="2013"/>
      <c r="AL54" s="712"/>
      <c r="AM54" s="253"/>
      <c r="AN54" s="253"/>
      <c r="AO54" s="253"/>
      <c r="AP54" s="412"/>
      <c r="AQ54" s="413"/>
      <c r="AR54" s="413"/>
      <c r="AS54" s="413"/>
      <c r="AT54" s="414"/>
      <c r="AU54" s="253"/>
      <c r="AV54" s="1357"/>
      <c r="BE54"/>
      <c r="BF54"/>
      <c r="BG54"/>
      <c r="BH54"/>
      <c r="BI54"/>
      <c r="BJ54"/>
      <c r="BK54"/>
      <c r="BL54"/>
      <c r="BM54"/>
      <c r="BN54"/>
      <c r="BO54"/>
      <c r="BP54"/>
      <c r="BQ54"/>
      <c r="BR54"/>
      <c r="BS54"/>
      <c r="BT54"/>
      <c r="BU54"/>
      <c r="BV54"/>
      <c r="BW54"/>
      <c r="BX54"/>
      <c r="BY54"/>
      <c r="BZ54"/>
      <c r="CA54"/>
      <c r="CB54"/>
      <c r="CC54"/>
    </row>
    <row r="55" spans="1:81" s="658" customFormat="1" ht="16.5" thickBot="1">
      <c r="A55" s="2013"/>
      <c r="B55" s="380"/>
      <c r="C55" s="6719"/>
      <c r="D55" s="5003" t="s">
        <v>5396</v>
      </c>
      <c r="E55" s="380"/>
      <c r="F55" s="380"/>
      <c r="G55" s="380"/>
      <c r="H55" s="380"/>
      <c r="I55" s="380"/>
      <c r="J55" s="380"/>
      <c r="K55" s="380"/>
      <c r="L55" s="380"/>
      <c r="M55" s="380"/>
      <c r="N55" s="380"/>
      <c r="O55" s="380"/>
      <c r="P55" s="380"/>
      <c r="Q55" s="380"/>
      <c r="R55" s="380"/>
      <c r="S55" s="380"/>
      <c r="T55" s="380"/>
      <c r="U55" s="380"/>
      <c r="V55" s="380"/>
      <c r="W55" s="380"/>
      <c r="X55" s="380"/>
      <c r="Y55" s="380"/>
      <c r="Z55" s="380"/>
      <c r="AA55" s="380"/>
      <c r="AB55" s="380"/>
      <c r="AC55" s="4488"/>
      <c r="AD55" s="3840">
        <v>36</v>
      </c>
      <c r="AE55" s="11085" t="str">
        <f>IF(AND($AM$19,AE53=""),AE52,IF($AM$19,SUM(AE52,-AE53),""))</f>
        <v/>
      </c>
      <c r="AF55" s="11086"/>
      <c r="AG55" s="11086"/>
      <c r="AH55" s="11086"/>
      <c r="AI55" s="11086"/>
      <c r="AJ55" s="11086"/>
      <c r="AK55" s="2013"/>
      <c r="AL55" s="712"/>
      <c r="AM55" s="253"/>
      <c r="AN55" s="253"/>
      <c r="AO55" s="253"/>
      <c r="AP55" s="253"/>
      <c r="AQ55" s="253"/>
      <c r="AR55" s="253"/>
      <c r="AS55" s="253"/>
      <c r="AT55" s="253"/>
      <c r="AU55" s="253"/>
      <c r="AV55" s="1357"/>
      <c r="BE55"/>
      <c r="BF55"/>
      <c r="BG55"/>
      <c r="BH55"/>
      <c r="BI55"/>
      <c r="BJ55"/>
      <c r="BK55"/>
      <c r="BL55"/>
      <c r="BM55"/>
      <c r="BN55"/>
      <c r="BO55"/>
      <c r="BP55"/>
      <c r="BQ55"/>
      <c r="BR55"/>
      <c r="BS55"/>
      <c r="BT55"/>
      <c r="BU55"/>
      <c r="BV55"/>
      <c r="BW55"/>
      <c r="BX55"/>
      <c r="BY55"/>
      <c r="BZ55"/>
      <c r="CA55"/>
      <c r="CB55"/>
      <c r="CC55"/>
    </row>
    <row r="56" spans="1:81" s="658" customFormat="1" ht="18">
      <c r="A56" s="2013"/>
      <c r="B56" s="8882" t="s">
        <v>1938</v>
      </c>
      <c r="C56" s="8882"/>
      <c r="D56" s="4534"/>
      <c r="E56" s="5388" t="s">
        <v>4190</v>
      </c>
      <c r="F56" s="413"/>
      <c r="G56" s="413"/>
      <c r="H56" s="413"/>
      <c r="I56" s="5388"/>
      <c r="J56" s="413"/>
      <c r="K56" s="413"/>
      <c r="L56" s="413"/>
      <c r="M56" s="413"/>
      <c r="N56" s="413"/>
      <c r="O56" s="413"/>
      <c r="P56" s="413"/>
      <c r="Q56" s="413"/>
      <c r="R56" s="413"/>
      <c r="S56" s="413"/>
      <c r="T56" s="413"/>
      <c r="U56" s="413"/>
      <c r="V56" s="413"/>
      <c r="W56" s="413"/>
      <c r="X56" s="413"/>
      <c r="Y56" s="413"/>
      <c r="Z56" s="413"/>
      <c r="AA56" s="413"/>
      <c r="AB56" s="413"/>
      <c r="AC56" s="413"/>
      <c r="AD56" s="413"/>
      <c r="AE56" s="413"/>
      <c r="AF56" s="413"/>
      <c r="AG56" s="413"/>
      <c r="AH56" s="413"/>
      <c r="AI56" s="413"/>
      <c r="AJ56" s="413"/>
      <c r="AK56" s="2013"/>
      <c r="AL56" s="712"/>
      <c r="AM56" s="253"/>
      <c r="AN56" s="253"/>
      <c r="AO56" s="253"/>
      <c r="AP56" s="253"/>
      <c r="AQ56" s="253"/>
      <c r="AR56" s="6725">
        <v>1</v>
      </c>
      <c r="AS56" s="6726">
        <f>(246.1/100)%</f>
        <v>2.461E-2</v>
      </c>
      <c r="AT56" s="253"/>
      <c r="AU56" s="253"/>
      <c r="AV56" s="1357"/>
      <c r="BE56"/>
      <c r="BF56"/>
      <c r="BG56"/>
      <c r="BH56"/>
      <c r="BI56"/>
      <c r="BJ56"/>
      <c r="BK56"/>
      <c r="BL56"/>
      <c r="BM56"/>
      <c r="BN56"/>
      <c r="BO56"/>
      <c r="BP56"/>
      <c r="BQ56"/>
      <c r="BR56"/>
      <c r="BS56"/>
      <c r="BT56"/>
      <c r="BU56"/>
      <c r="BV56"/>
      <c r="BW56"/>
      <c r="BX56"/>
      <c r="BY56"/>
      <c r="BZ56"/>
      <c r="CA56"/>
      <c r="CB56"/>
      <c r="CC56"/>
    </row>
    <row r="57" spans="1:81" s="658" customFormat="1" ht="14.25" customHeight="1">
      <c r="A57" s="2013"/>
      <c r="B57" s="253"/>
      <c r="C57" s="2022">
        <v>37</v>
      </c>
      <c r="D57" s="1323" t="s">
        <v>5392</v>
      </c>
      <c r="E57" s="253"/>
      <c r="F57" s="253"/>
      <c r="G57" s="253"/>
      <c r="H57" s="253"/>
      <c r="I57" s="253"/>
      <c r="J57" s="253"/>
      <c r="K57" s="253"/>
      <c r="L57" s="253"/>
      <c r="M57" s="253"/>
      <c r="N57" s="253"/>
      <c r="O57" s="253"/>
      <c r="P57" s="253"/>
      <c r="Q57" s="253"/>
      <c r="R57" s="253"/>
      <c r="S57" s="253"/>
      <c r="T57" s="253"/>
      <c r="U57" s="253"/>
      <c r="V57" s="253"/>
      <c r="W57" s="253"/>
      <c r="X57" s="253"/>
      <c r="Y57" s="253"/>
      <c r="Z57" s="253"/>
      <c r="AA57" s="253"/>
      <c r="AB57" s="253"/>
      <c r="AC57" s="1401" t="s">
        <v>631</v>
      </c>
      <c r="AD57" s="2895">
        <v>37</v>
      </c>
      <c r="AE57" s="10762"/>
      <c r="AF57" s="10833"/>
      <c r="AG57" s="10833"/>
      <c r="AH57" s="10833"/>
      <c r="AI57" s="10833"/>
      <c r="AJ57" s="10833"/>
      <c r="AK57" s="2013"/>
      <c r="AL57" s="712"/>
      <c r="AM57" s="253"/>
      <c r="AN57" s="253"/>
      <c r="AO57" s="253"/>
      <c r="AP57" s="253"/>
      <c r="AQ57" s="253"/>
      <c r="AR57" s="6727">
        <v>2</v>
      </c>
      <c r="AS57" s="6728">
        <f>(224.7/100)%</f>
        <v>2.247E-2</v>
      </c>
      <c r="AT57" s="253"/>
      <c r="AU57" s="253"/>
      <c r="AV57" s="1357"/>
      <c r="BE57"/>
      <c r="BF57"/>
      <c r="BG57"/>
      <c r="BH57"/>
      <c r="BI57"/>
      <c r="BJ57"/>
      <c r="BK57"/>
      <c r="BL57"/>
      <c r="BM57"/>
      <c r="BN57"/>
      <c r="BO57"/>
      <c r="BP57"/>
      <c r="BQ57"/>
      <c r="BR57"/>
      <c r="BS57"/>
      <c r="BT57"/>
      <c r="BU57"/>
      <c r="BV57"/>
      <c r="BW57"/>
      <c r="BX57"/>
      <c r="BY57"/>
      <c r="BZ57"/>
      <c r="CA57"/>
      <c r="CB57"/>
      <c r="CC57"/>
    </row>
    <row r="58" spans="1:81" s="658" customFormat="1" ht="14.25" customHeight="1">
      <c r="A58" s="2013"/>
      <c r="B58" s="253"/>
      <c r="C58" s="2022">
        <v>38</v>
      </c>
      <c r="D58" s="1323" t="s">
        <v>4191</v>
      </c>
      <c r="E58" s="253"/>
      <c r="F58" s="253"/>
      <c r="G58" s="253"/>
      <c r="H58" s="253"/>
      <c r="I58" s="253"/>
      <c r="J58" s="253"/>
      <c r="K58" s="253"/>
      <c r="L58" s="253"/>
      <c r="M58" s="253"/>
      <c r="N58" s="253"/>
      <c r="O58" s="253"/>
      <c r="P58" s="253"/>
      <c r="Q58" s="253"/>
      <c r="R58" s="253"/>
      <c r="S58" s="253"/>
      <c r="T58" s="253"/>
      <c r="U58" s="253"/>
      <c r="V58" s="253"/>
      <c r="W58" s="253"/>
      <c r="X58" s="253"/>
      <c r="Y58" s="253"/>
      <c r="Z58" s="253"/>
      <c r="AA58" s="253"/>
      <c r="AB58" s="253"/>
      <c r="AC58" s="1401" t="s">
        <v>2167</v>
      </c>
      <c r="AD58" s="2895">
        <v>38</v>
      </c>
      <c r="AE58" s="10762"/>
      <c r="AF58" s="10833"/>
      <c r="AG58" s="10833"/>
      <c r="AH58" s="10833"/>
      <c r="AI58" s="10833"/>
      <c r="AJ58" s="10833"/>
      <c r="AK58" s="2013"/>
      <c r="AL58" s="712"/>
      <c r="AM58" s="512">
        <f>IF(AE58="",ROUND(AE57,0),SUM(ROUND(AE57,0),-ROUND(AE58,0)))</f>
        <v>0</v>
      </c>
      <c r="AN58" s="253"/>
      <c r="AO58" s="253"/>
      <c r="AP58" s="253"/>
      <c r="AQ58" s="253"/>
      <c r="AR58" s="6727">
        <v>3</v>
      </c>
      <c r="AS58" s="6729">
        <f>(203.3/100)%</f>
        <v>2.0330000000000001E-2</v>
      </c>
      <c r="AT58" s="253"/>
      <c r="AU58" s="253"/>
      <c r="AV58" s="1357"/>
      <c r="BE58"/>
      <c r="BF58"/>
      <c r="BG58"/>
      <c r="BH58"/>
      <c r="BI58"/>
      <c r="BJ58"/>
      <c r="BK58"/>
      <c r="BL58"/>
      <c r="BM58"/>
      <c r="BN58"/>
      <c r="BO58"/>
      <c r="BP58"/>
      <c r="BQ58"/>
      <c r="BR58"/>
      <c r="BS58"/>
      <c r="BT58"/>
      <c r="BU58"/>
      <c r="BV58"/>
      <c r="BW58"/>
      <c r="BX58"/>
      <c r="BY58"/>
      <c r="BZ58"/>
      <c r="CA58"/>
      <c r="CB58"/>
      <c r="CC58"/>
    </row>
    <row r="59" spans="1:81" s="658" customFormat="1" ht="14.25" customHeight="1">
      <c r="A59" s="2013"/>
      <c r="B59" s="253"/>
      <c r="C59" s="2022">
        <v>39</v>
      </c>
      <c r="D59" s="1323" t="s">
        <v>4192</v>
      </c>
      <c r="E59" s="253"/>
      <c r="F59" s="253"/>
      <c r="G59" s="253"/>
      <c r="H59" s="253"/>
      <c r="I59" s="253"/>
      <c r="J59" s="253"/>
      <c r="K59" s="253"/>
      <c r="L59" s="253"/>
      <c r="M59" s="253"/>
      <c r="N59" s="253"/>
      <c r="O59" s="253"/>
      <c r="P59" s="253"/>
      <c r="Q59" s="253"/>
      <c r="R59" s="253"/>
      <c r="S59" s="253"/>
      <c r="T59" s="253"/>
      <c r="U59" s="253"/>
      <c r="V59" s="253"/>
      <c r="W59" s="253"/>
      <c r="X59" s="253"/>
      <c r="Y59" s="253"/>
      <c r="Z59" s="253"/>
      <c r="AA59" s="253"/>
      <c r="AB59" s="253"/>
      <c r="AC59" s="1401" t="s">
        <v>677</v>
      </c>
      <c r="AD59" s="2895">
        <v>39</v>
      </c>
      <c r="AE59" s="10753" t="str">
        <f>IF(AE57&lt;&gt;"",AM58,"")</f>
        <v/>
      </c>
      <c r="AF59" s="11080"/>
      <c r="AG59" s="11080"/>
      <c r="AH59" s="11080"/>
      <c r="AI59" s="11080"/>
      <c r="AJ59" s="11080"/>
      <c r="AK59" s="2013"/>
      <c r="AL59" s="712"/>
      <c r="AM59" s="253"/>
      <c r="AN59" s="253"/>
      <c r="AO59" s="253"/>
      <c r="AP59" s="253"/>
      <c r="AQ59" s="253"/>
      <c r="AR59" s="6727">
        <v>4</v>
      </c>
      <c r="AS59" s="6729">
        <f>(181.9/100)%</f>
        <v>1.8189999999999998E-2</v>
      </c>
      <c r="AT59" s="253"/>
      <c r="AU59" s="253"/>
      <c r="AV59" s="1357"/>
      <c r="BE59"/>
      <c r="BF59"/>
      <c r="BG59"/>
      <c r="BH59"/>
      <c r="BI59"/>
      <c r="BJ59"/>
      <c r="BK59"/>
      <c r="BL59"/>
      <c r="BM59"/>
      <c r="BN59"/>
      <c r="BO59"/>
      <c r="BP59"/>
      <c r="BQ59"/>
      <c r="BR59"/>
      <c r="BS59"/>
      <c r="BT59"/>
      <c r="BU59"/>
      <c r="BV59"/>
      <c r="BW59"/>
      <c r="BX59"/>
      <c r="BY59"/>
      <c r="BZ59"/>
      <c r="CA59"/>
      <c r="CB59"/>
      <c r="CC59"/>
    </row>
    <row r="60" spans="1:81" s="658" customFormat="1" ht="14.25" customHeight="1">
      <c r="A60" s="2013"/>
      <c r="B60" s="253"/>
      <c r="C60" s="2022">
        <v>40</v>
      </c>
      <c r="D60" s="1323" t="s">
        <v>4193</v>
      </c>
      <c r="E60" s="253"/>
      <c r="F60" s="253"/>
      <c r="G60" s="253"/>
      <c r="H60" s="253"/>
      <c r="I60" s="253"/>
      <c r="J60" s="253"/>
      <c r="K60" s="253"/>
      <c r="L60" s="253"/>
      <c r="M60" s="253"/>
      <c r="N60" s="253"/>
      <c r="O60" s="253"/>
      <c r="P60" s="253"/>
      <c r="Q60" s="253"/>
      <c r="R60" s="253"/>
      <c r="S60" s="253"/>
      <c r="T60" s="253"/>
      <c r="U60" s="253"/>
      <c r="V60" s="253"/>
      <c r="W60" s="253"/>
      <c r="X60" s="253"/>
      <c r="Y60" s="253"/>
      <c r="Z60" s="253"/>
      <c r="AA60" s="253"/>
      <c r="AB60" s="253"/>
      <c r="AC60" s="1401" t="s">
        <v>647</v>
      </c>
      <c r="AD60" s="2895">
        <v>40</v>
      </c>
      <c r="AE60" s="10753" t="str">
        <f>IF(AND($AM$19,$AE$57&lt;&gt;""),ROUND(AE59*AE22/100,0),"")</f>
        <v/>
      </c>
      <c r="AF60" s="11080"/>
      <c r="AG60" s="11080"/>
      <c r="AH60" s="11080"/>
      <c r="AI60" s="11080"/>
      <c r="AJ60" s="11080"/>
      <c r="AK60" s="2013"/>
      <c r="AL60" s="712"/>
      <c r="AM60" s="253"/>
      <c r="AN60" s="253"/>
      <c r="AO60" s="253"/>
      <c r="AP60" s="253"/>
      <c r="AQ60" s="253"/>
      <c r="AR60" s="6727">
        <v>5</v>
      </c>
      <c r="AS60" s="6728">
        <f>(160.5/100)%</f>
        <v>1.6049999999999998E-2</v>
      </c>
      <c r="AT60" s="253"/>
      <c r="AU60" s="253"/>
      <c r="AV60" s="1357"/>
      <c r="BE60"/>
      <c r="BF60"/>
      <c r="BG60"/>
      <c r="BH60"/>
      <c r="BI60"/>
      <c r="BJ60"/>
      <c r="BK60"/>
      <c r="BL60"/>
      <c r="BM60"/>
      <c r="BN60"/>
      <c r="BO60"/>
      <c r="BP60"/>
      <c r="BQ60"/>
      <c r="BR60"/>
      <c r="BS60"/>
      <c r="BT60"/>
      <c r="BU60"/>
      <c r="BV60"/>
      <c r="BW60"/>
      <c r="BX60"/>
      <c r="BY60"/>
      <c r="BZ60"/>
      <c r="CA60"/>
      <c r="CB60"/>
      <c r="CC60"/>
    </row>
    <row r="61" spans="1:81" s="658" customFormat="1" ht="14.25" customHeight="1">
      <c r="A61" s="2013"/>
      <c r="B61" s="253"/>
      <c r="C61" s="2022">
        <v>41</v>
      </c>
      <c r="D61" s="1323" t="s">
        <v>4194</v>
      </c>
      <c r="E61" s="253"/>
      <c r="F61" s="253"/>
      <c r="G61" s="253"/>
      <c r="H61" s="253"/>
      <c r="I61" s="253"/>
      <c r="J61" s="253"/>
      <c r="K61" s="253"/>
      <c r="L61" s="253"/>
      <c r="M61" s="253"/>
      <c r="N61" s="253"/>
      <c r="O61" s="253"/>
      <c r="P61" s="253"/>
      <c r="Q61" s="253"/>
      <c r="R61" s="253"/>
      <c r="S61" s="253"/>
      <c r="T61" s="253"/>
      <c r="U61" s="253"/>
      <c r="V61" s="253"/>
      <c r="W61" s="253"/>
      <c r="X61" s="253"/>
      <c r="Y61" s="253"/>
      <c r="Z61" s="253"/>
      <c r="AA61" s="253"/>
      <c r="AB61" s="253"/>
      <c r="AC61" s="1401" t="s">
        <v>677</v>
      </c>
      <c r="AD61" s="2895">
        <v>41</v>
      </c>
      <c r="AE61" s="11110" t="str">
        <f>IF(AM61="","",100*LOOKUP(AM64,AR56:AR68,AS56:AS68))</f>
        <v/>
      </c>
      <c r="AF61" s="11111"/>
      <c r="AG61" s="11111"/>
      <c r="AH61" s="11111"/>
      <c r="AI61" s="11111"/>
      <c r="AJ61" s="6716" t="str">
        <f>"%"</f>
        <v>%</v>
      </c>
      <c r="AK61" s="2013"/>
      <c r="AL61" s="712"/>
      <c r="AM61" s="1645"/>
      <c r="AN61" s="253"/>
      <c r="AO61" s="344" t="str">
        <f>IF(AM61="","Enter date you first used your home for business…",IF(YEAR(AM61)&lt;1987,"See Publication 534.",IF(AM61&lt;AM65,"See Publication 946.","")))</f>
        <v>Enter date you first used your home for business…</v>
      </c>
      <c r="AP61" s="253"/>
      <c r="AQ61" s="253"/>
      <c r="AR61" s="6727">
        <v>6</v>
      </c>
      <c r="AS61" s="6729">
        <f>(139.1/100)%</f>
        <v>1.391E-2</v>
      </c>
      <c r="AT61" s="253"/>
      <c r="AU61" s="253"/>
      <c r="AV61" s="1357"/>
      <c r="BE61"/>
      <c r="BF61"/>
      <c r="BG61"/>
      <c r="BH61"/>
      <c r="BI61"/>
      <c r="BJ61"/>
      <c r="BK61"/>
      <c r="BL61"/>
      <c r="BM61"/>
      <c r="BN61"/>
      <c r="BO61"/>
      <c r="BP61"/>
      <c r="BQ61"/>
      <c r="BR61"/>
      <c r="BS61"/>
      <c r="BT61"/>
      <c r="BU61"/>
      <c r="BV61"/>
      <c r="BW61"/>
      <c r="BX61"/>
      <c r="BY61"/>
      <c r="BZ61"/>
      <c r="CA61"/>
      <c r="CB61"/>
      <c r="CC61"/>
    </row>
    <row r="62" spans="1:81" s="658" customFormat="1" ht="14.25" customHeight="1" thickBot="1">
      <c r="A62" s="2013"/>
      <c r="B62" s="253"/>
      <c r="C62" s="2022">
        <v>42</v>
      </c>
      <c r="D62" s="1323" t="s">
        <v>5393</v>
      </c>
      <c r="E62" s="253"/>
      <c r="F62" s="253"/>
      <c r="G62" s="253"/>
      <c r="H62" s="253"/>
      <c r="I62" s="253"/>
      <c r="J62" s="253"/>
      <c r="K62" s="253"/>
      <c r="L62" s="253"/>
      <c r="M62" s="253"/>
      <c r="N62" s="253"/>
      <c r="O62" s="253"/>
      <c r="P62" s="253"/>
      <c r="Q62" s="253"/>
      <c r="R62" s="253"/>
      <c r="S62" s="253"/>
      <c r="T62" s="253"/>
      <c r="U62" s="253"/>
      <c r="V62" s="253"/>
      <c r="W62" s="253"/>
      <c r="X62" s="253"/>
      <c r="Y62" s="253"/>
      <c r="Z62" s="253"/>
      <c r="AA62" s="253"/>
      <c r="AB62" s="253"/>
      <c r="AC62" s="1401"/>
      <c r="AD62" s="2921">
        <v>42</v>
      </c>
      <c r="AE62" s="11075" t="str">
        <f>IF(AM62&lt;&gt;"",ROUND(AM62,0),IF(AND(AE57&lt;&gt;"",$AM$19,AE61&lt;&gt;""),ROUND(AE60*AE61/100,0),""))</f>
        <v/>
      </c>
      <c r="AF62" s="11076"/>
      <c r="AG62" s="11076"/>
      <c r="AH62" s="11076"/>
      <c r="AI62" s="11076"/>
      <c r="AJ62" s="11076"/>
      <c r="AK62" s="2013"/>
      <c r="AL62" s="712"/>
      <c r="AM62" s="1521"/>
      <c r="AN62" s="253"/>
      <c r="AO62" s="344"/>
      <c r="AP62" s="253"/>
      <c r="AQ62" s="253"/>
      <c r="AR62" s="6727">
        <v>7</v>
      </c>
      <c r="AS62" s="6729">
        <f>(117.7/100)%</f>
        <v>1.1770000000000001E-2</v>
      </c>
      <c r="AT62" s="253"/>
      <c r="AU62" s="253"/>
      <c r="AV62" s="1357"/>
      <c r="BE62"/>
      <c r="BF62"/>
      <c r="BG62"/>
      <c r="BH62"/>
      <c r="BI62"/>
      <c r="BJ62"/>
      <c r="BK62"/>
      <c r="BL62"/>
      <c r="BM62"/>
      <c r="BN62"/>
      <c r="BO62"/>
      <c r="BP62"/>
      <c r="BQ62"/>
      <c r="BR62"/>
      <c r="BS62"/>
      <c r="BT62"/>
      <c r="BU62"/>
      <c r="BV62"/>
      <c r="BW62"/>
      <c r="BX62"/>
      <c r="BY62"/>
      <c r="BZ62"/>
      <c r="CA62"/>
      <c r="CB62"/>
      <c r="CC62"/>
    </row>
    <row r="63" spans="1:81" s="658" customFormat="1" ht="18">
      <c r="A63" s="2013"/>
      <c r="B63" s="11077" t="s">
        <v>2102</v>
      </c>
      <c r="C63" s="11077"/>
      <c r="D63" s="2090"/>
      <c r="E63" s="6421" t="str">
        <f>"Carryover of Unallowed Expenses to "&amp;TaxYear+1</f>
        <v>Carryover of Unallowed Expenses to 2026</v>
      </c>
      <c r="F63" s="3927"/>
      <c r="G63" s="3927"/>
      <c r="H63" s="3927"/>
      <c r="I63" s="6421"/>
      <c r="J63" s="3927"/>
      <c r="K63" s="3927"/>
      <c r="L63" s="3927"/>
      <c r="M63" s="3927"/>
      <c r="N63" s="3927"/>
      <c r="O63" s="3927"/>
      <c r="P63" s="3927"/>
      <c r="Q63" s="3927"/>
      <c r="R63" s="3927"/>
      <c r="S63" s="3927"/>
      <c r="T63" s="3927"/>
      <c r="U63" s="3927"/>
      <c r="V63" s="3927"/>
      <c r="W63" s="3927"/>
      <c r="X63" s="3927"/>
      <c r="Y63" s="3927"/>
      <c r="Z63" s="3927"/>
      <c r="AA63" s="3927"/>
      <c r="AB63" s="3927"/>
      <c r="AC63" s="3927"/>
      <c r="AD63" s="3927"/>
      <c r="AE63" s="3927"/>
      <c r="AF63" s="3927"/>
      <c r="AG63" s="3927"/>
      <c r="AH63" s="3927"/>
      <c r="AI63" s="3927"/>
      <c r="AJ63" s="3927"/>
      <c r="AK63" s="2013"/>
      <c r="AL63" s="712"/>
      <c r="AM63" s="6722" t="s">
        <v>4195</v>
      </c>
      <c r="AN63" s="253"/>
      <c r="AO63" s="253"/>
      <c r="AP63" s="253"/>
      <c r="AQ63" s="253"/>
      <c r="AR63" s="6727">
        <v>8</v>
      </c>
      <c r="AS63" s="6729">
        <f>(96.3/100)%</f>
        <v>9.6299999999999997E-3</v>
      </c>
      <c r="AT63" s="253"/>
      <c r="AU63" s="253"/>
      <c r="AV63" s="1357"/>
      <c r="BE63"/>
      <c r="BF63"/>
      <c r="BG63"/>
      <c r="BH63"/>
      <c r="BI63"/>
      <c r="BJ63"/>
      <c r="BK63"/>
      <c r="BL63"/>
      <c r="BM63"/>
      <c r="BN63"/>
      <c r="BO63"/>
      <c r="BP63"/>
      <c r="BQ63"/>
      <c r="BR63"/>
      <c r="BS63"/>
      <c r="BT63"/>
      <c r="BU63"/>
      <c r="BV63"/>
      <c r="BW63"/>
      <c r="BX63"/>
      <c r="BY63"/>
      <c r="BZ63"/>
      <c r="CA63"/>
      <c r="CB63"/>
      <c r="CC63"/>
    </row>
    <row r="64" spans="1:81" s="658" customFormat="1" ht="14.25" customHeight="1">
      <c r="A64" s="2013"/>
      <c r="B64" s="253"/>
      <c r="C64" s="2022">
        <v>43</v>
      </c>
      <c r="D64" s="1323" t="s">
        <v>4196</v>
      </c>
      <c r="E64" s="253"/>
      <c r="F64" s="253"/>
      <c r="G64" s="253"/>
      <c r="H64" s="253"/>
      <c r="I64" s="253"/>
      <c r="J64" s="253"/>
      <c r="K64" s="253"/>
      <c r="L64" s="253"/>
      <c r="M64" s="253"/>
      <c r="N64" s="253"/>
      <c r="O64" s="253"/>
      <c r="P64" s="253"/>
      <c r="Q64" s="253"/>
      <c r="R64" s="253"/>
      <c r="S64" s="253"/>
      <c r="T64" s="253"/>
      <c r="U64" s="253"/>
      <c r="V64" s="253"/>
      <c r="W64" s="253"/>
      <c r="X64" s="253"/>
      <c r="Y64" s="253"/>
      <c r="Z64" s="253"/>
      <c r="AA64" s="253"/>
      <c r="AB64" s="253"/>
      <c r="AC64" s="1401" t="s">
        <v>670</v>
      </c>
      <c r="AD64" s="2895">
        <v>43</v>
      </c>
      <c r="AE64" s="10753" t="str">
        <f>IF($AM$19,MAX(0,SUM(AE44,-AE45)),"")</f>
        <v/>
      </c>
      <c r="AF64" s="11080"/>
      <c r="AG64" s="11080"/>
      <c r="AH64" s="11080"/>
      <c r="AI64" s="11080"/>
      <c r="AJ64" s="11080"/>
      <c r="AK64" s="2013"/>
      <c r="AL64" s="712"/>
      <c r="AM64" s="512">
        <f>IF(YEAR(AM61)=TaxYear,MONTH(AM61),IF(AM61&gt;=AM65,13,14))</f>
        <v>14</v>
      </c>
      <c r="AN64" s="253"/>
      <c r="AO64" s="253"/>
      <c r="AP64" s="253"/>
      <c r="AQ64" s="253"/>
      <c r="AR64" s="6727">
        <v>9</v>
      </c>
      <c r="AS64" s="6729">
        <f>(74.9/100)%</f>
        <v>7.490000000000001E-3</v>
      </c>
      <c r="AT64" s="253"/>
      <c r="AU64" s="253"/>
      <c r="AV64" s="1357"/>
      <c r="BE64"/>
      <c r="BF64"/>
      <c r="BG64"/>
      <c r="BH64"/>
      <c r="BI64"/>
      <c r="BJ64"/>
      <c r="BK64"/>
      <c r="BL64"/>
      <c r="BM64"/>
      <c r="BN64"/>
      <c r="BO64"/>
      <c r="BP64"/>
      <c r="BQ64"/>
      <c r="BR64"/>
      <c r="BS64"/>
      <c r="BT64"/>
      <c r="BU64"/>
      <c r="BV64"/>
      <c r="BW64"/>
      <c r="BX64"/>
      <c r="BY64"/>
      <c r="BZ64"/>
      <c r="CA64"/>
      <c r="CB64"/>
      <c r="CC64"/>
    </row>
    <row r="65" spans="1:81" s="658" customFormat="1" ht="14.25" customHeight="1" thickBot="1">
      <c r="A65" s="2013"/>
      <c r="B65" s="721"/>
      <c r="C65" s="6730">
        <v>44</v>
      </c>
      <c r="D65" s="4459" t="s">
        <v>4197</v>
      </c>
      <c r="E65" s="721"/>
      <c r="F65" s="721"/>
      <c r="G65" s="721"/>
      <c r="H65" s="721"/>
      <c r="I65" s="721"/>
      <c r="J65" s="721"/>
      <c r="K65" s="721"/>
      <c r="L65" s="721"/>
      <c r="M65" s="721"/>
      <c r="N65" s="721"/>
      <c r="O65" s="721"/>
      <c r="P65" s="721"/>
      <c r="Q65" s="721"/>
      <c r="R65" s="721"/>
      <c r="S65" s="721"/>
      <c r="T65" s="721"/>
      <c r="U65" s="721"/>
      <c r="V65" s="721"/>
      <c r="W65" s="721"/>
      <c r="X65" s="721"/>
      <c r="Y65" s="721"/>
      <c r="Z65" s="721"/>
      <c r="AA65" s="721"/>
      <c r="AB65" s="721"/>
      <c r="AC65" s="4462" t="s">
        <v>3429</v>
      </c>
      <c r="AD65" s="6731">
        <v>44</v>
      </c>
      <c r="AE65" s="11078" t="str">
        <f>IF(OR(NOT($AM$19),AE61=""),"",MAX(0,SUM(AE50,-AE51)))</f>
        <v/>
      </c>
      <c r="AF65" s="11079"/>
      <c r="AG65" s="11079"/>
      <c r="AH65" s="11079"/>
      <c r="AI65" s="11079"/>
      <c r="AJ65" s="11079"/>
      <c r="AK65" s="2013"/>
      <c r="AL65" s="712"/>
      <c r="AM65" s="6732">
        <v>34101</v>
      </c>
      <c r="AN65" s="253"/>
      <c r="AO65" s="253"/>
      <c r="AP65" s="253"/>
      <c r="AQ65" s="253"/>
      <c r="AR65" s="6727">
        <v>10</v>
      </c>
      <c r="AS65" s="6729">
        <f>(53.5/100)%</f>
        <v>5.3500000000000006E-3</v>
      </c>
      <c r="AT65" s="253"/>
      <c r="AU65" s="253"/>
      <c r="AV65" s="1357"/>
      <c r="BE65"/>
      <c r="BF65"/>
      <c r="BG65"/>
      <c r="BH65"/>
      <c r="BI65"/>
      <c r="BJ65"/>
      <c r="BK65"/>
      <c r="BL65"/>
      <c r="BM65"/>
      <c r="BN65"/>
      <c r="BO65"/>
      <c r="BP65"/>
      <c r="BQ65"/>
      <c r="BR65"/>
      <c r="BS65"/>
      <c r="BT65"/>
      <c r="BU65"/>
      <c r="BV65"/>
      <c r="BW65"/>
      <c r="BX65"/>
      <c r="BY65"/>
      <c r="BZ65"/>
      <c r="CA65"/>
      <c r="CB65"/>
      <c r="CC65"/>
    </row>
    <row r="66" spans="1:81" ht="18" customHeight="1" thickTop="1">
      <c r="A66" s="2013"/>
      <c r="B66" s="6733" t="s">
        <v>865</v>
      </c>
      <c r="C66" s="2933"/>
      <c r="D66" s="2933"/>
      <c r="E66" s="2933"/>
      <c r="F66" s="2933"/>
      <c r="G66" s="2933"/>
      <c r="H66" s="2933"/>
      <c r="I66" s="2933"/>
      <c r="J66" s="2933"/>
      <c r="K66" s="2933"/>
      <c r="L66" s="2933"/>
      <c r="M66" s="2933"/>
      <c r="N66" s="2933"/>
      <c r="O66" s="2933"/>
      <c r="P66" s="2933"/>
      <c r="Q66" s="257"/>
      <c r="R66" s="257"/>
      <c r="S66" s="257"/>
      <c r="T66" s="257"/>
      <c r="U66" s="2934"/>
      <c r="V66" s="257"/>
      <c r="W66" s="2244" t="s">
        <v>4198</v>
      </c>
      <c r="X66" s="257"/>
      <c r="Y66" s="257"/>
      <c r="Z66" s="257"/>
      <c r="AA66" s="257"/>
      <c r="AB66" s="257"/>
      <c r="AC66" s="257"/>
      <c r="AD66" s="257"/>
      <c r="AE66" s="257"/>
      <c r="AF66" s="257"/>
      <c r="AG66" s="257"/>
      <c r="AH66" s="6734" t="s">
        <v>5394</v>
      </c>
      <c r="AI66" s="257"/>
      <c r="AJ66" s="6735" t="str">
        <f>"("&amp;TaxYear&amp;")"</f>
        <v>(2025)</v>
      </c>
      <c r="AK66" s="2013"/>
      <c r="AL66" s="712"/>
      <c r="AM66" s="253"/>
      <c r="AN66" s="253"/>
      <c r="AO66" s="253"/>
      <c r="AP66" s="253"/>
      <c r="AQ66" s="253"/>
      <c r="AR66" s="6727">
        <v>11</v>
      </c>
      <c r="AS66" s="6729">
        <f>(32.1/100)%</f>
        <v>3.2100000000000002E-3</v>
      </c>
      <c r="AT66" s="253"/>
      <c r="AU66" s="253"/>
      <c r="AV66" s="1357"/>
      <c r="AW66" s="658"/>
      <c r="AX66" s="658"/>
      <c r="AY66" s="658"/>
      <c r="AZ66" s="658"/>
      <c r="BA66" s="658"/>
      <c r="BB66" s="658"/>
      <c r="BC66" s="658"/>
      <c r="BD66" s="658"/>
      <c r="BF66" s="2936"/>
      <c r="BI66" s="2937"/>
      <c r="BJ66" s="421"/>
      <c r="BK66" s="421"/>
      <c r="BL66" s="690"/>
      <c r="BM66" s="421"/>
      <c r="BN66" s="421"/>
      <c r="BO66" s="421"/>
      <c r="BP66" s="421"/>
      <c r="BQ66" s="421"/>
      <c r="BS66" s="815"/>
      <c r="BT66" s="815"/>
      <c r="BU66" s="815"/>
      <c r="BV66" s="815"/>
      <c r="BW66" s="815"/>
      <c r="BX66" s="815"/>
      <c r="BY66" s="815"/>
      <c r="BZ66" s="815"/>
      <c r="CA66" s="815"/>
    </row>
    <row r="67" spans="1:81" ht="18" customHeight="1">
      <c r="A67" s="2013"/>
      <c r="B67" s="2013"/>
      <c r="C67" s="2013"/>
      <c r="D67" s="2013"/>
      <c r="E67" s="2013"/>
      <c r="F67" s="2013"/>
      <c r="G67" s="2013"/>
      <c r="H67" s="2013"/>
      <c r="I67" s="2013"/>
      <c r="J67" s="2013"/>
      <c r="K67" s="2013"/>
      <c r="L67" s="2013"/>
      <c r="M67" s="2013"/>
      <c r="N67" s="2013"/>
      <c r="O67" s="2013"/>
      <c r="P67" s="2013"/>
      <c r="Q67" s="2013"/>
      <c r="R67" s="2013"/>
      <c r="S67" s="2013"/>
      <c r="T67" s="2013"/>
      <c r="U67" s="2013"/>
      <c r="V67" s="2013"/>
      <c r="W67" s="2013"/>
      <c r="X67" s="2013"/>
      <c r="Y67" s="2013"/>
      <c r="Z67" s="2013"/>
      <c r="AA67" s="2013"/>
      <c r="AB67" s="2013"/>
      <c r="AC67" s="2013"/>
      <c r="AD67" s="2013"/>
      <c r="AE67" s="2013"/>
      <c r="AF67" s="2013"/>
      <c r="AG67" s="2013"/>
      <c r="AH67" s="2013"/>
      <c r="AI67" s="2013"/>
      <c r="AJ67" s="2013"/>
      <c r="AK67" s="2013"/>
      <c r="AL67" s="712"/>
      <c r="AM67" s="253"/>
      <c r="AN67" s="253"/>
      <c r="AO67" s="253"/>
      <c r="AP67" s="253"/>
      <c r="AQ67" s="253"/>
      <c r="AR67" s="6736">
        <v>12</v>
      </c>
      <c r="AS67" s="6737">
        <f>(10.7/100)%</f>
        <v>1.07E-3</v>
      </c>
      <c r="AT67" s="253"/>
      <c r="AU67" s="253"/>
      <c r="AV67" s="1357"/>
      <c r="AW67" s="658"/>
      <c r="AX67" s="658"/>
      <c r="AY67" s="658"/>
      <c r="AZ67" s="658"/>
      <c r="BA67" s="658"/>
      <c r="BB67" s="658"/>
      <c r="BC67" s="658"/>
      <c r="BD67" s="658"/>
      <c r="BF67" s="2936"/>
      <c r="BI67" s="2937"/>
      <c r="BJ67" s="421"/>
      <c r="BK67" s="421"/>
      <c r="BL67" s="690"/>
      <c r="BM67" s="421"/>
      <c r="BN67" s="421"/>
      <c r="BO67" s="421"/>
      <c r="BP67" s="421"/>
      <c r="BQ67" s="421"/>
      <c r="BS67" s="815"/>
      <c r="BT67" s="815"/>
      <c r="BU67" s="815"/>
      <c r="BV67" s="815"/>
      <c r="BW67" s="815"/>
      <c r="BX67" s="815"/>
      <c r="BY67" s="815"/>
      <c r="BZ67" s="815"/>
      <c r="CA67" s="815"/>
    </row>
    <row r="68" spans="1:81" s="658" customFormat="1" ht="25.5" customHeight="1" thickBot="1">
      <c r="A68"/>
      <c r="B68" s="2938"/>
      <c r="C68" s="2938"/>
      <c r="D68" s="2939"/>
      <c r="E68" s="2939"/>
      <c r="F68" s="2939"/>
      <c r="G68" s="2939"/>
      <c r="H68" s="2939"/>
      <c r="I68" s="2939"/>
      <c r="J68"/>
      <c r="K68"/>
      <c r="L68"/>
      <c r="M68"/>
      <c r="N68"/>
      <c r="O68"/>
      <c r="P68"/>
      <c r="Q68"/>
      <c r="R68"/>
      <c r="S68"/>
      <c r="T68"/>
      <c r="U68"/>
      <c r="V68"/>
      <c r="W68"/>
      <c r="X68"/>
      <c r="Y68"/>
      <c r="Z68"/>
      <c r="AA68"/>
      <c r="AB68"/>
      <c r="AC68"/>
      <c r="AD68"/>
      <c r="AE68"/>
      <c r="AF68"/>
      <c r="AG68"/>
      <c r="AH68"/>
      <c r="AI68"/>
      <c r="AJ68"/>
      <c r="AK68"/>
      <c r="AL68"/>
      <c r="AM68"/>
      <c r="AN68"/>
      <c r="AO68"/>
      <c r="AP68"/>
      <c r="AQ68"/>
      <c r="AR68" s="6738">
        <v>13</v>
      </c>
      <c r="AS68" s="6739">
        <v>2.564E-2</v>
      </c>
      <c r="AT68"/>
      <c r="AU68"/>
      <c r="AV68" s="1366"/>
      <c r="AW68" s="815"/>
      <c r="AX68" s="815"/>
      <c r="AY68" s="815"/>
      <c r="AZ68" s="815"/>
      <c r="BA68" s="815"/>
      <c r="BB68" s="815"/>
      <c r="BC68" s="815"/>
      <c r="BD68" s="815"/>
      <c r="BE68"/>
      <c r="BF68"/>
      <c r="BG68"/>
      <c r="BH68"/>
      <c r="BI68"/>
      <c r="BJ68"/>
      <c r="BK68"/>
      <c r="BL68"/>
      <c r="BM68"/>
      <c r="BN68"/>
      <c r="BO68"/>
      <c r="BP68"/>
      <c r="BQ68"/>
      <c r="BR68"/>
      <c r="BS68"/>
      <c r="BT68"/>
      <c r="BU68"/>
      <c r="BV68"/>
      <c r="BW68"/>
      <c r="BX68"/>
      <c r="BY68"/>
      <c r="BZ68"/>
      <c r="CA68"/>
      <c r="CB68"/>
      <c r="CC68"/>
    </row>
    <row r="69" spans="1:81" s="658" customFormat="1" ht="13.5" thickBot="1">
      <c r="A69"/>
      <c r="B69" s="8811" t="s">
        <v>4199</v>
      </c>
      <c r="C69" s="8812"/>
      <c r="D69" s="8812"/>
      <c r="E69" s="8812"/>
      <c r="F69" s="8812"/>
      <c r="G69" s="8812"/>
      <c r="H69" s="8812"/>
      <c r="I69" s="8812"/>
      <c r="J69" s="8812"/>
      <c r="K69" s="8812"/>
      <c r="L69" s="8813"/>
      <c r="M69"/>
      <c r="N69"/>
      <c r="O69"/>
      <c r="P69"/>
      <c r="Q69"/>
      <c r="R69"/>
      <c r="S69"/>
      <c r="T69"/>
      <c r="U69"/>
      <c r="V69"/>
      <c r="W69"/>
      <c r="X69"/>
      <c r="Y69"/>
      <c r="Z69"/>
      <c r="AA69"/>
      <c r="AB69"/>
      <c r="AC69"/>
      <c r="AD69"/>
      <c r="AE69"/>
      <c r="AF69"/>
      <c r="AG69"/>
      <c r="AH69"/>
      <c r="AI69"/>
      <c r="AJ69"/>
      <c r="AK69"/>
      <c r="AL69"/>
      <c r="AM69"/>
      <c r="AN69"/>
      <c r="AO69"/>
      <c r="AP69"/>
      <c r="AQ69"/>
      <c r="AR69"/>
      <c r="AS69"/>
      <c r="AT69"/>
      <c r="AU69"/>
      <c r="AV69" s="1366"/>
      <c r="AW69" s="815"/>
      <c r="AX69" s="815"/>
      <c r="AY69" s="815"/>
      <c r="AZ69" s="815"/>
      <c r="BA69" s="815"/>
      <c r="BB69" s="815"/>
      <c r="BC69" s="815"/>
      <c r="BD69" s="815"/>
      <c r="BE69"/>
      <c r="BF69"/>
      <c r="BG69"/>
      <c r="BH69"/>
      <c r="BI69"/>
      <c r="BJ69"/>
      <c r="BK69"/>
      <c r="BL69"/>
      <c r="BM69"/>
      <c r="BN69"/>
      <c r="BO69"/>
      <c r="BP69"/>
      <c r="BQ69"/>
      <c r="BR69"/>
      <c r="BS69"/>
      <c r="BT69"/>
      <c r="BU69"/>
      <c r="BV69"/>
      <c r="BW69"/>
      <c r="BX69"/>
      <c r="BY69"/>
      <c r="BZ69"/>
      <c r="CA69"/>
      <c r="CB69"/>
      <c r="CC69"/>
    </row>
    <row r="70" spans="1:81" s="658" customFormat="1" ht="27" customHeight="1" thickBot="1">
      <c r="A70"/>
      <c r="B70" s="2940"/>
      <c r="C70" s="2940"/>
      <c r="D70" s="2941"/>
      <c r="E70" s="2941"/>
      <c r="F70" s="2941"/>
      <c r="G70" s="2941"/>
      <c r="H70" s="2941"/>
      <c r="I70" s="2941"/>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s="1366"/>
      <c r="AW70" s="815"/>
      <c r="AX70" s="815"/>
      <c r="AY70" s="815"/>
      <c r="AZ70" s="815"/>
      <c r="BA70" s="815"/>
      <c r="BB70" s="815"/>
      <c r="BC70" s="815"/>
      <c r="BD70" s="815"/>
      <c r="BE70"/>
      <c r="BF70"/>
      <c r="BG70"/>
      <c r="BH70"/>
      <c r="BI70"/>
      <c r="BJ70"/>
      <c r="BK70"/>
      <c r="BL70"/>
      <c r="BM70"/>
      <c r="BN70"/>
      <c r="BO70"/>
      <c r="BP70"/>
      <c r="BQ70"/>
      <c r="BR70"/>
      <c r="BS70"/>
      <c r="BT70"/>
      <c r="BU70"/>
      <c r="BV70"/>
      <c r="BW70"/>
      <c r="BX70"/>
      <c r="BY70"/>
      <c r="BZ70"/>
      <c r="CA70"/>
      <c r="CB70"/>
      <c r="CC70"/>
    </row>
    <row r="71" spans="1:81" s="658" customFormat="1" ht="13.5" thickBot="1">
      <c r="A71"/>
      <c r="B71" s="8808" t="s">
        <v>4200</v>
      </c>
      <c r="C71" s="8809"/>
      <c r="D71" s="8809"/>
      <c r="E71" s="8809"/>
      <c r="F71" s="8809"/>
      <c r="G71" s="8809"/>
      <c r="H71" s="8809"/>
      <c r="I71" s="8809"/>
      <c r="J71" s="8809"/>
      <c r="K71" s="8809"/>
      <c r="L71" s="8810"/>
      <c r="M71"/>
      <c r="N71"/>
      <c r="O71"/>
      <c r="P71"/>
      <c r="Q71"/>
      <c r="R71"/>
      <c r="S71"/>
      <c r="T71"/>
      <c r="U71"/>
      <c r="V71"/>
      <c r="W71"/>
      <c r="X71"/>
      <c r="Y71"/>
      <c r="Z71"/>
      <c r="AA71"/>
      <c r="AB71"/>
      <c r="AC71"/>
      <c r="AD71"/>
      <c r="AE71"/>
      <c r="AF71"/>
      <c r="AG71"/>
      <c r="AH71"/>
      <c r="AI71"/>
      <c r="AJ71"/>
      <c r="AK71"/>
      <c r="AL71"/>
      <c r="AM71"/>
      <c r="AN71"/>
      <c r="AO71"/>
      <c r="AP71"/>
      <c r="AQ71"/>
      <c r="AR71"/>
      <c r="AS71"/>
      <c r="AT71"/>
      <c r="AU71"/>
      <c r="AV71" s="1366"/>
      <c r="AW71" s="815"/>
      <c r="AX71" s="815"/>
      <c r="AY71" s="815"/>
      <c r="AZ71" s="815"/>
      <c r="BA71" s="815"/>
      <c r="BB71" s="815"/>
      <c r="BC71" s="815"/>
      <c r="BD71" s="815"/>
      <c r="BE71"/>
      <c r="BF71"/>
      <c r="BG71"/>
      <c r="BH71"/>
      <c r="BI71"/>
      <c r="BJ71"/>
      <c r="BK71"/>
      <c r="BL71"/>
      <c r="BM71"/>
      <c r="BN71"/>
      <c r="BO71"/>
      <c r="BP71"/>
      <c r="BQ71"/>
      <c r="BR71"/>
      <c r="BS71"/>
      <c r="BT71"/>
      <c r="BU71"/>
      <c r="BV71"/>
      <c r="BW71"/>
      <c r="BX71"/>
      <c r="BY71"/>
      <c r="BZ71"/>
      <c r="CA71"/>
      <c r="CB71"/>
      <c r="CC71"/>
    </row>
    <row r="72" spans="1:81" s="658" customFormat="1" ht="21.75" customHeight="1">
      <c r="A72"/>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s="1366"/>
      <c r="AW72" s="815"/>
      <c r="AX72" s="815"/>
      <c r="AY72" s="815"/>
      <c r="AZ72" s="815"/>
      <c r="BA72" s="815"/>
      <c r="BB72" s="815"/>
      <c r="BC72" s="815"/>
      <c r="BD72" s="815"/>
      <c r="BE72"/>
      <c r="BF72"/>
      <c r="BG72"/>
      <c r="BH72"/>
      <c r="BI72"/>
      <c r="BJ72"/>
      <c r="BK72"/>
      <c r="BL72"/>
      <c r="BM72"/>
      <c r="BN72"/>
      <c r="BO72"/>
      <c r="BP72"/>
      <c r="BQ72"/>
      <c r="BR72"/>
      <c r="BS72"/>
      <c r="BT72"/>
      <c r="BU72"/>
      <c r="BV72"/>
      <c r="BW72"/>
      <c r="BX72"/>
      <c r="BY72"/>
      <c r="BZ72"/>
      <c r="CA72"/>
      <c r="CB72"/>
      <c r="CC72"/>
    </row>
    <row r="73" spans="1:81" s="658" customFormat="1" ht="13.5" thickBot="1">
      <c r="A73"/>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s="1366"/>
      <c r="AW73" s="815"/>
      <c r="AX73" s="815"/>
      <c r="AY73" s="815"/>
      <c r="AZ73" s="815"/>
      <c r="BA73" s="815"/>
      <c r="BB73" s="815"/>
      <c r="BC73" s="815"/>
      <c r="BD73" s="815"/>
      <c r="BE73"/>
      <c r="BF73"/>
      <c r="BG73"/>
      <c r="BH73"/>
      <c r="BI73"/>
      <c r="BJ73"/>
      <c r="BK73"/>
      <c r="BL73"/>
      <c r="BM73"/>
      <c r="BN73"/>
      <c r="BO73"/>
      <c r="BP73"/>
      <c r="BQ73"/>
      <c r="BR73"/>
      <c r="BS73"/>
      <c r="BT73"/>
      <c r="BU73"/>
      <c r="BV73"/>
      <c r="BW73"/>
      <c r="BX73"/>
      <c r="BY73"/>
      <c r="BZ73"/>
      <c r="CA73"/>
      <c r="CB73"/>
      <c r="CC73"/>
    </row>
    <row r="74" spans="1:81" s="658" customFormat="1">
      <c r="A74"/>
      <c r="B74" s="7219" t="s">
        <v>42</v>
      </c>
      <c r="C74" s="7220"/>
      <c r="D74" s="7220"/>
      <c r="E74" s="7221"/>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s="1366"/>
      <c r="AW74" s="815"/>
      <c r="AX74" s="815"/>
      <c r="AY74" s="815"/>
      <c r="AZ74" s="815"/>
      <c r="BA74" s="815"/>
      <c r="BB74" s="815"/>
      <c r="BC74" s="815"/>
      <c r="BD74" s="815"/>
      <c r="BE74"/>
      <c r="BF74"/>
      <c r="BG74"/>
      <c r="BH74"/>
      <c r="BI74"/>
      <c r="BJ74"/>
      <c r="BK74"/>
      <c r="BL74"/>
      <c r="BM74"/>
      <c r="BN74"/>
      <c r="BO74"/>
      <c r="BP74"/>
      <c r="BQ74"/>
      <c r="BR74"/>
      <c r="BS74"/>
      <c r="BT74"/>
      <c r="BU74"/>
      <c r="BV74"/>
      <c r="BW74"/>
      <c r="BX74"/>
      <c r="BY74"/>
      <c r="BZ74"/>
      <c r="CA74"/>
      <c r="CB74"/>
      <c r="CC74"/>
    </row>
    <row r="75" spans="1:81" s="658" customFormat="1">
      <c r="A75"/>
      <c r="B75" s="7222"/>
      <c r="C75" s="7223"/>
      <c r="D75" s="7223"/>
      <c r="E75" s="722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s="1366"/>
      <c r="AW75" s="815"/>
      <c r="AX75" s="815"/>
      <c r="AY75" s="815"/>
      <c r="AZ75" s="815"/>
      <c r="BA75" s="815"/>
      <c r="BB75" s="815"/>
      <c r="BC75" s="815"/>
      <c r="BD75" s="815"/>
      <c r="BE75"/>
      <c r="BF75"/>
      <c r="BG75"/>
      <c r="BH75"/>
      <c r="BI75"/>
      <c r="BJ75"/>
      <c r="BK75"/>
      <c r="BL75"/>
      <c r="BM75"/>
      <c r="BN75"/>
      <c r="BO75"/>
      <c r="BP75"/>
      <c r="BQ75"/>
      <c r="BR75"/>
      <c r="BS75"/>
      <c r="BT75"/>
      <c r="BU75"/>
      <c r="BV75"/>
      <c r="BW75"/>
      <c r="BX75"/>
      <c r="BY75"/>
      <c r="BZ75"/>
      <c r="CA75"/>
      <c r="CB75"/>
      <c r="CC75"/>
    </row>
    <row r="76" spans="1:81" s="658" customFormat="1" ht="13.5" thickBot="1">
      <c r="A76"/>
      <c r="B76" s="7226"/>
      <c r="C76" s="7227"/>
      <c r="D76" s="7227"/>
      <c r="E76" s="7228"/>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s="1366"/>
      <c r="AW76" s="815"/>
      <c r="AX76" s="815"/>
      <c r="AY76" s="815"/>
      <c r="AZ76" s="815"/>
      <c r="BA76" s="815"/>
      <c r="BB76" s="815"/>
      <c r="BC76" s="815"/>
      <c r="BD76" s="815"/>
      <c r="BE76"/>
      <c r="BF76"/>
      <c r="BG76"/>
      <c r="BH76"/>
      <c r="BI76"/>
      <c r="BJ76"/>
      <c r="BK76"/>
      <c r="BL76"/>
      <c r="BM76"/>
      <c r="BN76"/>
      <c r="BO76"/>
      <c r="BP76"/>
      <c r="BQ76"/>
      <c r="BR76"/>
      <c r="BS76"/>
      <c r="BT76"/>
      <c r="BU76"/>
      <c r="BV76"/>
      <c r="BW76"/>
      <c r="BX76"/>
      <c r="BY76"/>
      <c r="BZ76"/>
      <c r="CA76"/>
      <c r="CB76"/>
      <c r="CC76"/>
    </row>
    <row r="77" spans="1:81" s="658" customFormat="1" ht="13.5" customHeight="1">
      <c r="A77"/>
      <c r="B77"/>
      <c r="C77"/>
      <c r="D77"/>
      <c r="E77"/>
      <c r="F77"/>
      <c r="G77"/>
      <c r="H77"/>
      <c r="I77"/>
      <c r="J77"/>
      <c r="K77"/>
      <c r="L77"/>
      <c r="M77"/>
      <c r="N77"/>
      <c r="O77"/>
      <c r="P77"/>
      <c r="Q77"/>
      <c r="R77"/>
      <c r="S77"/>
      <c r="T77"/>
      <c r="U77"/>
      <c r="V77"/>
      <c r="W77"/>
      <c r="X77"/>
      <c r="Y77"/>
      <c r="Z77"/>
      <c r="AA77"/>
      <c r="AB77"/>
      <c r="AC77"/>
      <c r="AD77"/>
      <c r="AE77"/>
      <c r="AF77"/>
      <c r="AG77"/>
      <c r="AH77"/>
      <c r="AI77"/>
      <c r="AJ77"/>
      <c r="AK77"/>
      <c r="AL77"/>
      <c r="AM77"/>
      <c r="AN77"/>
      <c r="AO77"/>
      <c r="AP77"/>
      <c r="AQ77"/>
      <c r="AR77"/>
      <c r="AS77"/>
      <c r="AT77"/>
      <c r="AU77"/>
      <c r="AV77" s="1366"/>
      <c r="AW77" s="815"/>
      <c r="AX77" s="815"/>
      <c r="AY77" s="815"/>
      <c r="AZ77" s="815"/>
      <c r="BA77" s="815"/>
      <c r="BB77" s="815"/>
      <c r="BC77" s="815"/>
      <c r="BD77" s="815"/>
      <c r="BE77"/>
      <c r="BF77"/>
      <c r="BG77"/>
      <c r="BH77"/>
      <c r="BI77"/>
      <c r="BJ77"/>
      <c r="BK77"/>
      <c r="BL77"/>
      <c r="BM77"/>
      <c r="BN77"/>
      <c r="BO77"/>
      <c r="BP77"/>
      <c r="BQ77"/>
      <c r="BR77"/>
      <c r="BS77"/>
      <c r="BT77"/>
      <c r="BU77"/>
      <c r="BV77"/>
      <c r="BW77"/>
      <c r="BX77"/>
      <c r="BY77"/>
      <c r="BZ77"/>
      <c r="CA77"/>
      <c r="CB77"/>
      <c r="CC77"/>
    </row>
    <row r="78" spans="1:81" s="658" customFormat="1">
      <c r="A78"/>
      <c r="B78"/>
      <c r="C78"/>
      <c r="D78"/>
      <c r="E78"/>
      <c r="F78"/>
      <c r="G78"/>
      <c r="H78"/>
      <c r="I78"/>
      <c r="J78"/>
      <c r="K78"/>
      <c r="L78"/>
      <c r="M78"/>
      <c r="N78"/>
      <c r="O78"/>
      <c r="P78"/>
      <c r="Q78"/>
      <c r="R78"/>
      <c r="S78"/>
      <c r="T78"/>
      <c r="U78"/>
      <c r="V78"/>
      <c r="W78"/>
      <c r="X78"/>
      <c r="Y78"/>
      <c r="Z78"/>
      <c r="AA78"/>
      <c r="AB78"/>
      <c r="AC78"/>
      <c r="AD78"/>
      <c r="AE78"/>
      <c r="AF78"/>
      <c r="AG78"/>
      <c r="AH78"/>
      <c r="AI78"/>
      <c r="AJ78"/>
      <c r="AK78"/>
      <c r="AL78"/>
      <c r="AM78"/>
      <c r="AN78"/>
      <c r="AO78"/>
      <c r="AP78"/>
      <c r="AQ78"/>
      <c r="AR78"/>
      <c r="AS78"/>
      <c r="AT78"/>
      <c r="AU78"/>
      <c r="AV78" s="1366"/>
      <c r="AW78" s="815"/>
      <c r="AX78" s="815"/>
      <c r="AY78" s="815"/>
      <c r="AZ78" s="815"/>
      <c r="BA78" s="815"/>
      <c r="BB78" s="815"/>
      <c r="BC78" s="815"/>
      <c r="BD78" s="815"/>
      <c r="BE78"/>
      <c r="BF78"/>
      <c r="BG78"/>
      <c r="BH78"/>
      <c r="BI78"/>
      <c r="BJ78"/>
      <c r="BK78"/>
      <c r="BL78"/>
      <c r="BM78"/>
      <c r="BN78"/>
      <c r="BO78"/>
      <c r="BP78"/>
      <c r="BQ78"/>
      <c r="BR78"/>
      <c r="BS78"/>
      <c r="BT78"/>
      <c r="BU78"/>
      <c r="BV78"/>
      <c r="BW78"/>
      <c r="BX78"/>
      <c r="BY78"/>
      <c r="BZ78"/>
      <c r="CA78"/>
      <c r="CB78"/>
      <c r="CC78"/>
    </row>
    <row r="79" spans="1:81" s="658" customFormat="1">
      <c r="A79"/>
      <c r="B79"/>
      <c r="C79"/>
      <c r="D79"/>
      <c r="E79"/>
      <c r="F79"/>
      <c r="G79"/>
      <c r="H79"/>
      <c r="I79"/>
      <c r="J79"/>
      <c r="K79"/>
      <c r="L79"/>
      <c r="M79"/>
      <c r="N79"/>
      <c r="O79"/>
      <c r="P79"/>
      <c r="Q79"/>
      <c r="R79"/>
      <c r="S79"/>
      <c r="T79"/>
      <c r="U79"/>
      <c r="V79"/>
      <c r="W79"/>
      <c r="X79"/>
      <c r="Y79"/>
      <c r="Z79"/>
      <c r="AA79"/>
      <c r="AB79"/>
      <c r="AC79"/>
      <c r="AD79"/>
      <c r="AE79"/>
      <c r="AF79"/>
      <c r="AG79"/>
      <c r="AH79"/>
      <c r="AI79"/>
      <c r="AJ79"/>
      <c r="AK79"/>
      <c r="AL79"/>
      <c r="AM79"/>
      <c r="AN79"/>
      <c r="AO79"/>
      <c r="AP79"/>
      <c r="AQ79"/>
      <c r="AR79"/>
      <c r="AS79"/>
      <c r="AT79"/>
      <c r="AU79"/>
      <c r="AV79" s="1366"/>
      <c r="AW79" s="815"/>
      <c r="AX79" s="815"/>
      <c r="AY79" s="815"/>
      <c r="AZ79" s="815"/>
      <c r="BA79" s="815"/>
      <c r="BB79" s="815"/>
      <c r="BC79" s="815"/>
      <c r="BD79" s="815"/>
      <c r="BE79"/>
      <c r="BF79"/>
      <c r="BG79"/>
      <c r="BH79"/>
      <c r="BI79"/>
      <c r="BJ79"/>
      <c r="BK79"/>
      <c r="BL79"/>
      <c r="BM79"/>
      <c r="BN79"/>
      <c r="BO79"/>
      <c r="BP79"/>
      <c r="BQ79"/>
      <c r="BR79"/>
      <c r="BS79"/>
      <c r="BT79"/>
      <c r="BU79"/>
      <c r="BV79"/>
      <c r="BW79"/>
      <c r="BX79"/>
      <c r="BY79"/>
      <c r="BZ79"/>
      <c r="CA79"/>
      <c r="CB79"/>
      <c r="CC79"/>
    </row>
    <row r="80" spans="1:81" s="658" customFormat="1">
      <c r="A80"/>
      <c r="B80"/>
      <c r="C80"/>
      <c r="D80"/>
      <c r="E80"/>
      <c r="F80"/>
      <c r="G80"/>
      <c r="H80"/>
      <c r="I80"/>
      <c r="J80"/>
      <c r="K80"/>
      <c r="L80"/>
      <c r="M80"/>
      <c r="N80"/>
      <c r="O80"/>
      <c r="P80"/>
      <c r="Q80"/>
      <c r="R80"/>
      <c r="S80"/>
      <c r="T80"/>
      <c r="U80"/>
      <c r="V80"/>
      <c r="W80"/>
      <c r="X80"/>
      <c r="Y80"/>
      <c r="Z80"/>
      <c r="AA80"/>
      <c r="AB80"/>
      <c r="AC80"/>
      <c r="AD80"/>
      <c r="AE80"/>
      <c r="AF80"/>
      <c r="AG80"/>
      <c r="AH80"/>
      <c r="AI80"/>
      <c r="AJ80"/>
      <c r="AK80"/>
      <c r="AL80"/>
      <c r="AM80"/>
      <c r="AN80"/>
      <c r="AO80"/>
      <c r="AP80"/>
      <c r="AQ80"/>
      <c r="AR80"/>
      <c r="AS80"/>
      <c r="AT80"/>
      <c r="AU80"/>
      <c r="AV80" s="1366"/>
      <c r="AW80" s="815"/>
      <c r="AX80" s="815"/>
      <c r="AY80" s="815"/>
      <c r="AZ80" s="815"/>
      <c r="BA80" s="815"/>
      <c r="BB80" s="815"/>
      <c r="BC80" s="815"/>
      <c r="BD80" s="815"/>
      <c r="BE80"/>
      <c r="BF80"/>
      <c r="BG80"/>
      <c r="BH80"/>
      <c r="BI80"/>
      <c r="BJ80"/>
      <c r="BK80"/>
      <c r="BL80"/>
      <c r="BM80"/>
      <c r="BN80"/>
      <c r="BO80"/>
      <c r="BP80"/>
      <c r="BQ80"/>
      <c r="BR80"/>
      <c r="BS80"/>
      <c r="BT80"/>
      <c r="BU80"/>
      <c r="BV80"/>
      <c r="BW80"/>
      <c r="BX80"/>
      <c r="BY80"/>
      <c r="BZ80"/>
      <c r="CA80"/>
      <c r="CB80"/>
      <c r="CC80"/>
    </row>
    <row r="81" spans="1:81" s="658" customFormat="1">
      <c r="A81"/>
      <c r="B81"/>
      <c r="C81"/>
      <c r="D81"/>
      <c r="E81"/>
      <c r="F81"/>
      <c r="G81"/>
      <c r="H81"/>
      <c r="I81"/>
      <c r="J81"/>
      <c r="K81"/>
      <c r="L81"/>
      <c r="M81"/>
      <c r="N81"/>
      <c r="O81"/>
      <c r="P81"/>
      <c r="Q81"/>
      <c r="R81"/>
      <c r="S81"/>
      <c r="T81"/>
      <c r="U81"/>
      <c r="V81"/>
      <c r="W81"/>
      <c r="X81"/>
      <c r="Y81"/>
      <c r="Z81"/>
      <c r="AA81"/>
      <c r="AB81"/>
      <c r="AC81"/>
      <c r="AD81"/>
      <c r="AE81"/>
      <c r="AF81"/>
      <c r="AG81"/>
      <c r="AH81"/>
      <c r="AI81"/>
      <c r="AJ81"/>
      <c r="AK81"/>
      <c r="AL81"/>
      <c r="AM81"/>
      <c r="AN81"/>
      <c r="AO81"/>
      <c r="AP81"/>
      <c r="AQ81"/>
      <c r="AR81"/>
      <c r="AS81"/>
      <c r="AT81"/>
      <c r="AU81"/>
      <c r="AV81" s="1366"/>
      <c r="AW81" s="815"/>
      <c r="AX81" s="815"/>
      <c r="AY81" s="815"/>
      <c r="AZ81" s="815"/>
      <c r="BA81" s="815"/>
      <c r="BB81" s="815"/>
      <c r="BC81" s="815"/>
      <c r="BD81" s="815"/>
      <c r="BE81"/>
      <c r="BF81"/>
      <c r="BG81"/>
      <c r="BH81"/>
      <c r="BI81"/>
      <c r="BJ81"/>
      <c r="BK81"/>
      <c r="BL81"/>
      <c r="BM81"/>
      <c r="BN81"/>
      <c r="BO81"/>
      <c r="BP81"/>
      <c r="BQ81"/>
      <c r="BR81"/>
      <c r="BS81"/>
      <c r="BT81"/>
      <c r="BU81"/>
      <c r="BV81"/>
      <c r="BW81"/>
      <c r="BX81"/>
      <c r="BY81"/>
      <c r="BZ81"/>
      <c r="CA81"/>
      <c r="CB81"/>
      <c r="CC81"/>
    </row>
    <row r="82" spans="1:81" s="658" customFormat="1">
      <c r="A82"/>
      <c r="B82"/>
      <c r="C82"/>
      <c r="D82"/>
      <c r="E82"/>
      <c r="F82"/>
      <c r="G82"/>
      <c r="H82"/>
      <c r="I82"/>
      <c r="J82"/>
      <c r="K82"/>
      <c r="L82"/>
      <c r="M82"/>
      <c r="N82"/>
      <c r="O82"/>
      <c r="P82"/>
      <c r="Q82"/>
      <c r="R82"/>
      <c r="S82"/>
      <c r="T82"/>
      <c r="U82"/>
      <c r="V82"/>
      <c r="W82"/>
      <c r="X82"/>
      <c r="Y82"/>
      <c r="Z82"/>
      <c r="AA82"/>
      <c r="AB82"/>
      <c r="AC82"/>
      <c r="AD82"/>
      <c r="AE82"/>
      <c r="AF82"/>
      <c r="AG82"/>
      <c r="AH82"/>
      <c r="AI82"/>
      <c r="AJ82"/>
      <c r="AK82"/>
      <c r="AL82"/>
      <c r="AM82"/>
      <c r="AN82"/>
      <c r="AO82"/>
      <c r="AP82"/>
      <c r="AQ82"/>
      <c r="AR82"/>
      <c r="AS82"/>
      <c r="AT82"/>
      <c r="AU82"/>
      <c r="AV82" s="1366"/>
      <c r="AW82" s="815"/>
      <c r="AX82" s="815"/>
      <c r="AY82" s="815"/>
      <c r="AZ82" s="815"/>
      <c r="BA82" s="815"/>
      <c r="BB82" s="815"/>
      <c r="BC82" s="815"/>
      <c r="BD82" s="815"/>
      <c r="BE82"/>
      <c r="BF82"/>
      <c r="BG82"/>
      <c r="BH82"/>
      <c r="BI82"/>
      <c r="BJ82"/>
      <c r="BK82"/>
      <c r="BL82"/>
      <c r="BM82"/>
      <c r="BN82"/>
      <c r="BO82"/>
      <c r="BP82"/>
      <c r="BQ82"/>
      <c r="BR82"/>
      <c r="BS82"/>
      <c r="BT82"/>
      <c r="BU82"/>
      <c r="BV82"/>
      <c r="BW82"/>
      <c r="BX82"/>
      <c r="BY82"/>
      <c r="BZ82"/>
      <c r="CA82"/>
      <c r="CB82"/>
      <c r="CC82"/>
    </row>
    <row r="83" spans="1:81" s="658" customFormat="1">
      <c r="A83"/>
      <c r="B83"/>
      <c r="C83"/>
      <c r="D83"/>
      <c r="E83"/>
      <c r="F83"/>
      <c r="G83"/>
      <c r="H83"/>
      <c r="I83"/>
      <c r="J83"/>
      <c r="K83"/>
      <c r="L83"/>
      <c r="M83"/>
      <c r="N83"/>
      <c r="O83"/>
      <c r="P83"/>
      <c r="Q83"/>
      <c r="R83"/>
      <c r="S83"/>
      <c r="T83"/>
      <c r="U83"/>
      <c r="V83"/>
      <c r="W83"/>
      <c r="X83"/>
      <c r="Y83"/>
      <c r="Z83"/>
      <c r="AA83"/>
      <c r="AB83"/>
      <c r="AC83"/>
      <c r="AD83"/>
      <c r="AE83"/>
      <c r="AF83"/>
      <c r="AG83"/>
      <c r="AH83"/>
      <c r="AI83"/>
      <c r="AJ83"/>
      <c r="AK83"/>
      <c r="AL83"/>
      <c r="AM83"/>
      <c r="AN83"/>
      <c r="AO83"/>
      <c r="AP83"/>
      <c r="AQ83"/>
      <c r="AR83"/>
      <c r="AS83"/>
      <c r="AT83"/>
      <c r="AU83"/>
      <c r="AV83" s="1366"/>
      <c r="AW83" s="815"/>
      <c r="AX83" s="815"/>
      <c r="AY83" s="815"/>
      <c r="AZ83" s="815"/>
      <c r="BA83" s="815"/>
      <c r="BB83" s="815"/>
      <c r="BC83" s="815"/>
      <c r="BD83" s="815"/>
      <c r="BE83"/>
      <c r="BF83"/>
      <c r="BG83"/>
      <c r="BH83"/>
      <c r="BI83"/>
      <c r="BJ83"/>
      <c r="BK83"/>
      <c r="BL83"/>
      <c r="BM83"/>
      <c r="BN83"/>
      <c r="BO83"/>
      <c r="BP83"/>
      <c r="BQ83"/>
      <c r="BR83"/>
      <c r="BS83"/>
      <c r="BT83"/>
      <c r="BU83"/>
      <c r="BV83"/>
      <c r="BW83"/>
      <c r="BX83"/>
      <c r="BY83"/>
      <c r="BZ83"/>
      <c r="CA83"/>
      <c r="CB83"/>
      <c r="CC83"/>
    </row>
    <row r="84" spans="1:81" s="658" customFormat="1">
      <c r="A84"/>
      <c r="B84"/>
      <c r="C84"/>
      <c r="D84"/>
      <c r="E84"/>
      <c r="F84"/>
      <c r="G84"/>
      <c r="H84"/>
      <c r="I84"/>
      <c r="J84"/>
      <c r="K84"/>
      <c r="L84"/>
      <c r="M84"/>
      <c r="N84"/>
      <c r="O84"/>
      <c r="P84"/>
      <c r="Q84"/>
      <c r="R84"/>
      <c r="S84"/>
      <c r="T84"/>
      <c r="U84"/>
      <c r="V84"/>
      <c r="W84"/>
      <c r="X84"/>
      <c r="Y84"/>
      <c r="Z84"/>
      <c r="AA84"/>
      <c r="AB84"/>
      <c r="AC84"/>
      <c r="AD84"/>
      <c r="AE84"/>
      <c r="AF84"/>
      <c r="AG84"/>
      <c r="AH84"/>
      <c r="AI84"/>
      <c r="AJ84"/>
      <c r="AK84"/>
      <c r="AL84"/>
      <c r="AM84"/>
      <c r="AN84"/>
      <c r="AO84"/>
      <c r="AP84"/>
      <c r="AQ84"/>
      <c r="AR84"/>
      <c r="AS84"/>
      <c r="AT84"/>
      <c r="AU84"/>
      <c r="AV84" s="1366"/>
      <c r="AW84" s="815"/>
      <c r="AX84" s="815"/>
      <c r="AY84" s="815"/>
      <c r="AZ84" s="815"/>
      <c r="BA84" s="815"/>
      <c r="BB84" s="815"/>
      <c r="BC84" s="815"/>
      <c r="BD84" s="815"/>
      <c r="BE84"/>
      <c r="BF84"/>
      <c r="BG84"/>
      <c r="BH84"/>
      <c r="BI84"/>
      <c r="BJ84"/>
      <c r="BK84"/>
      <c r="BL84"/>
      <c r="BM84"/>
      <c r="BN84"/>
      <c r="BO84"/>
      <c r="BP84"/>
      <c r="BQ84"/>
      <c r="BR84"/>
      <c r="BS84"/>
      <c r="BT84"/>
      <c r="BU84"/>
      <c r="BV84"/>
      <c r="BW84"/>
      <c r="BX84"/>
      <c r="BY84"/>
      <c r="BZ84"/>
      <c r="CA84"/>
      <c r="CB84"/>
      <c r="CC84"/>
    </row>
    <row r="85" spans="1:81" s="658" customFormat="1">
      <c r="A85"/>
      <c r="B85"/>
      <c r="C85"/>
      <c r="D85"/>
      <c r="E85"/>
      <c r="F85"/>
      <c r="G85"/>
      <c r="H85"/>
      <c r="I85"/>
      <c r="J85"/>
      <c r="K85"/>
      <c r="L85"/>
      <c r="M85"/>
      <c r="N85"/>
      <c r="O85"/>
      <c r="P85"/>
      <c r="Q85"/>
      <c r="R85"/>
      <c r="S85"/>
      <c r="T85"/>
      <c r="U85"/>
      <c r="V85"/>
      <c r="W85"/>
      <c r="X85"/>
      <c r="Y85"/>
      <c r="Z85"/>
      <c r="AA85"/>
      <c r="AB85"/>
      <c r="AC85"/>
      <c r="AD85"/>
      <c r="AE85"/>
      <c r="AF85"/>
      <c r="AG85"/>
      <c r="AH85"/>
      <c r="AI85"/>
      <c r="AJ85"/>
      <c r="AK85"/>
      <c r="AL85"/>
      <c r="AM85"/>
      <c r="AN85"/>
      <c r="AO85"/>
      <c r="AP85"/>
      <c r="AQ85"/>
      <c r="AR85"/>
      <c r="AS85"/>
      <c r="AT85"/>
      <c r="AU85"/>
      <c r="AV85" s="1366"/>
      <c r="AW85" s="815"/>
      <c r="AX85" s="815"/>
      <c r="AY85" s="815"/>
      <c r="AZ85" s="815"/>
      <c r="BA85" s="815"/>
      <c r="BB85" s="815"/>
      <c r="BC85" s="815"/>
      <c r="BD85" s="815"/>
      <c r="BE85"/>
      <c r="BF85"/>
      <c r="BG85"/>
      <c r="BH85"/>
      <c r="BI85"/>
      <c r="BJ85"/>
      <c r="BK85"/>
      <c r="BL85"/>
      <c r="BM85"/>
      <c r="BN85"/>
      <c r="BO85"/>
      <c r="BP85"/>
      <c r="BQ85"/>
      <c r="BR85"/>
      <c r="BS85"/>
      <c r="BT85"/>
      <c r="BU85"/>
      <c r="BV85"/>
      <c r="BW85"/>
      <c r="BX85"/>
      <c r="BY85"/>
      <c r="BZ85"/>
      <c r="CA85"/>
      <c r="CB85"/>
      <c r="CC85"/>
    </row>
  </sheetData>
  <sheetProtection algorithmName="SHA-512" hashValue="uh/Q8+DXTAXVKjWP3kyr42578JhHS0M9vj18d5op8IRW67L9FDueWXyoWSliwvQq3OIfiLhkDlictT0cOMoMWA==" saltValue="Uu2ZacS7KD8zZs2O4fTGnw==" spinCount="100000" sheet="1" objects="1" scenarios="1"/>
  <mergeCells count="82">
    <mergeCell ref="AC1:AJ1"/>
    <mergeCell ref="I4:AB4"/>
    <mergeCell ref="X17:AB17"/>
    <mergeCell ref="X19:AB19"/>
    <mergeCell ref="I5:AB5"/>
    <mergeCell ref="AD5:AG5"/>
    <mergeCell ref="AH5:AI6"/>
    <mergeCell ref="AE61:AI61"/>
    <mergeCell ref="D2:G3"/>
    <mergeCell ref="AC2:AJ2"/>
    <mergeCell ref="X42:AC42"/>
    <mergeCell ref="X43:AC43"/>
    <mergeCell ref="AE44:AJ44"/>
    <mergeCell ref="R38:W38"/>
    <mergeCell ref="AE51:AJ51"/>
    <mergeCell ref="AE52:AJ52"/>
    <mergeCell ref="X27:AC27"/>
    <mergeCell ref="X31:AC31"/>
    <mergeCell ref="AE22:AI22"/>
    <mergeCell ref="AE33:AJ33"/>
    <mergeCell ref="X34:AC34"/>
    <mergeCell ref="X28:AC28"/>
    <mergeCell ref="R29:W29"/>
    <mergeCell ref="B3:C3"/>
    <mergeCell ref="I3:AB3"/>
    <mergeCell ref="AC3:AJ4"/>
    <mergeCell ref="AE32:AJ32"/>
    <mergeCell ref="I6:AB6"/>
    <mergeCell ref="AD6:AG6"/>
    <mergeCell ref="B8:X9"/>
    <mergeCell ref="Y8:AJ9"/>
    <mergeCell ref="B11:C11"/>
    <mergeCell ref="AE13:AJ13"/>
    <mergeCell ref="B23:C23"/>
    <mergeCell ref="AE25:AJ25"/>
    <mergeCell ref="X26:AC26"/>
    <mergeCell ref="R26:W26"/>
    <mergeCell ref="R27:W27"/>
    <mergeCell ref="R28:W28"/>
    <mergeCell ref="B56:C56"/>
    <mergeCell ref="AE55:AJ55"/>
    <mergeCell ref="B71:L71"/>
    <mergeCell ref="B74:E76"/>
    <mergeCell ref="AE14:AJ14"/>
    <mergeCell ref="AE15:AI15"/>
    <mergeCell ref="AB18:AC18"/>
    <mergeCell ref="X20:AC20"/>
    <mergeCell ref="B69:L69"/>
    <mergeCell ref="AE64:AJ64"/>
    <mergeCell ref="AE57:AJ57"/>
    <mergeCell ref="AE58:AJ58"/>
    <mergeCell ref="AE60:AJ60"/>
    <mergeCell ref="AE59:AJ59"/>
    <mergeCell ref="AE53:AJ53"/>
    <mergeCell ref="R34:W34"/>
    <mergeCell ref="R41:W41"/>
    <mergeCell ref="X29:AC29"/>
    <mergeCell ref="R30:W30"/>
    <mergeCell ref="X30:AC30"/>
    <mergeCell ref="X41:AC41"/>
    <mergeCell ref="R35:W35"/>
    <mergeCell ref="X35:AC35"/>
    <mergeCell ref="R36:W36"/>
    <mergeCell ref="X36:AC36"/>
    <mergeCell ref="R37:W37"/>
    <mergeCell ref="X37:AC37"/>
    <mergeCell ref="AS24:AT24"/>
    <mergeCell ref="AE29:AG29"/>
    <mergeCell ref="AE62:AJ62"/>
    <mergeCell ref="B63:C63"/>
    <mergeCell ref="AE65:AJ65"/>
    <mergeCell ref="AE45:AJ45"/>
    <mergeCell ref="AE46:AJ46"/>
    <mergeCell ref="X47:AC47"/>
    <mergeCell ref="X48:AC48"/>
    <mergeCell ref="X49:AC49"/>
    <mergeCell ref="AE50:AJ50"/>
    <mergeCell ref="X38:AC38"/>
    <mergeCell ref="R39:W39"/>
    <mergeCell ref="X39:AC39"/>
    <mergeCell ref="R40:W40"/>
    <mergeCell ref="X40:AC40"/>
  </mergeCells>
  <conditionalFormatting sqref="B8:K8">
    <cfRule type="expression" dxfId="818" priority="210">
      <formula>IF(NoColor,1,0)</formula>
    </cfRule>
  </conditionalFormatting>
  <conditionalFormatting sqref="Q18:R19">
    <cfRule type="expression" dxfId="817" priority="201">
      <formula>IF(NoColor,1,0)</formula>
    </cfRule>
  </conditionalFormatting>
  <conditionalFormatting sqref="R26:R30">
    <cfRule type="expression" dxfId="816" priority="6">
      <formula>IF(NoColor,1,0)</formula>
    </cfRule>
  </conditionalFormatting>
  <conditionalFormatting sqref="R27:W30">
    <cfRule type="expression" dxfId="815" priority="5">
      <formula>IF(NoColor,1,0)</formula>
    </cfRule>
  </conditionalFormatting>
  <conditionalFormatting sqref="R34:W41">
    <cfRule type="expression" dxfId="814" priority="12">
      <formula>IF(NoColor,1,0)</formula>
    </cfRule>
  </conditionalFormatting>
  <conditionalFormatting sqref="R35:W35">
    <cfRule type="expression" dxfId="813" priority="10">
      <formula>AND(NoColor,R35=0)</formula>
    </cfRule>
    <cfRule type="expression" dxfId="812" priority="11">
      <formula>AND(NOT(NoColor),R35=0)</formula>
    </cfRule>
  </conditionalFormatting>
  <conditionalFormatting sqref="R26:AC26">
    <cfRule type="expression" dxfId="811" priority="78">
      <formula>IF(NoColor,1,0)</formula>
    </cfRule>
  </conditionalFormatting>
  <conditionalFormatting sqref="X17:X20">
    <cfRule type="expression" dxfId="810" priority="41">
      <formula>IF(NoColor,1,0)</formula>
    </cfRule>
  </conditionalFormatting>
  <conditionalFormatting sqref="X26:X31">
    <cfRule type="expression" dxfId="809" priority="40">
      <formula>IF(NoColor,1,0)</formula>
    </cfRule>
  </conditionalFormatting>
  <conditionalFormatting sqref="X18:AB18">
    <cfRule type="expression" dxfId="808" priority="109">
      <formula>IF(NoColor,1,0)</formula>
    </cfRule>
  </conditionalFormatting>
  <conditionalFormatting sqref="X20:AC20">
    <cfRule type="expression" dxfId="807" priority="84">
      <formula>IF(NoColor,1,0)</formula>
    </cfRule>
  </conditionalFormatting>
  <conditionalFormatting sqref="X27:AC31">
    <cfRule type="expression" dxfId="806" priority="39">
      <formula>IF(NoColor,1,0)</formula>
    </cfRule>
  </conditionalFormatting>
  <conditionalFormatting sqref="X34:AC43">
    <cfRule type="expression" dxfId="805" priority="15">
      <formula>IF(NoColor,1,0)</formula>
    </cfRule>
  </conditionalFormatting>
  <conditionalFormatting sqref="X47:AC49">
    <cfRule type="expression" dxfId="804" priority="55">
      <formula>IF(NoColor,1,0)</formula>
    </cfRule>
  </conditionalFormatting>
  <conditionalFormatting sqref="Y8">
    <cfRule type="expression" dxfId="803" priority="141">
      <formula>IF(NoColor,1,0)</formula>
    </cfRule>
  </conditionalFormatting>
  <conditionalFormatting sqref="AC17">
    <cfRule type="expression" dxfId="802" priority="43">
      <formula>IF(NoColor,1,0)</formula>
    </cfRule>
  </conditionalFormatting>
  <conditionalFormatting sqref="AC19">
    <cfRule type="expression" dxfId="801" priority="14">
      <formula>IF(NoColor,1,0)</formula>
    </cfRule>
  </conditionalFormatting>
  <conditionalFormatting sqref="AE13:AE15">
    <cfRule type="expression" dxfId="799" priority="87">
      <formula>IF(NoColor,1,0)</formula>
    </cfRule>
  </conditionalFormatting>
  <conditionalFormatting sqref="AE22">
    <cfRule type="expression" dxfId="798" priority="70">
      <formula>IF(NoColor,1,0)</formula>
    </cfRule>
  </conditionalFormatting>
  <conditionalFormatting sqref="AE55">
    <cfRule type="expression" dxfId="797" priority="51">
      <formula>IF(NoColor,1,0)</formula>
    </cfRule>
  </conditionalFormatting>
  <conditionalFormatting sqref="AE57:AE62">
    <cfRule type="expression" dxfId="796" priority="20">
      <formula>IF(NoColor,1,0)</formula>
    </cfRule>
  </conditionalFormatting>
  <conditionalFormatting sqref="AE13:AJ14">
    <cfRule type="expression" dxfId="795" priority="45">
      <formula>IF(NoColor,1,0)</formula>
    </cfRule>
  </conditionalFormatting>
  <conditionalFormatting sqref="AE25:AJ25">
    <cfRule type="expression" dxfId="794" priority="80">
      <formula>IF(NoColor,1,0)</formula>
    </cfRule>
  </conditionalFormatting>
  <conditionalFormatting sqref="AE32:AJ33">
    <cfRule type="expression" dxfId="793" priority="197">
      <formula>IF(NoColor,1,0)</formula>
    </cfRule>
  </conditionalFormatting>
  <conditionalFormatting sqref="AE44:AJ46">
    <cfRule type="expression" dxfId="792" priority="22">
      <formula>IF(NoColor,1,0)</formula>
    </cfRule>
  </conditionalFormatting>
  <conditionalFormatting sqref="AE50:AJ53">
    <cfRule type="expression" dxfId="791" priority="53">
      <formula>IF(NoColor,1,0)</formula>
    </cfRule>
  </conditionalFormatting>
  <conditionalFormatting sqref="AE57:AJ60 AE62:AJ62">
    <cfRule type="expression" dxfId="790" priority="48">
      <formula>IF(NoColor,1,0)</formula>
    </cfRule>
  </conditionalFormatting>
  <conditionalFormatting sqref="AE64:AJ65">
    <cfRule type="expression" dxfId="789" priority="46">
      <formula>IF(NoColor,1,0)</formula>
    </cfRule>
  </conditionalFormatting>
  <conditionalFormatting sqref="AJ15">
    <cfRule type="expression" dxfId="788" priority="86">
      <formula>IF(NoColor,1,0)</formula>
    </cfRule>
  </conditionalFormatting>
  <conditionalFormatting sqref="AJ22">
    <cfRule type="expression" dxfId="787" priority="69">
      <formula>IF(NoColor,1,0)</formula>
    </cfRule>
  </conditionalFormatting>
  <conditionalFormatting sqref="AJ61">
    <cfRule type="expression" dxfId="786" priority="19">
      <formula>IF(NoColor,1,0)</formula>
    </cfRule>
  </conditionalFormatting>
  <conditionalFormatting sqref="AL24:AM25">
    <cfRule type="expression" dxfId="784" priority="18">
      <formula>NoColor</formula>
    </cfRule>
  </conditionalFormatting>
  <conditionalFormatting sqref="AM26">
    <cfRule type="expression" dxfId="783" priority="17">
      <formula>NoColor</formula>
    </cfRule>
  </conditionalFormatting>
  <conditionalFormatting sqref="AM29">
    <cfRule type="expression" dxfId="782" priority="7">
      <formula>NoColor</formula>
    </cfRule>
  </conditionalFormatting>
  <conditionalFormatting sqref="AO61">
    <cfRule type="expression" dxfId="781" priority="3">
      <formula>$AM$61=""</formula>
    </cfRule>
    <cfRule type="expression" dxfId="780" priority="4">
      <formula>OR(YEAR(AM61)&lt;TaxYear,$AM$64=14)</formula>
    </cfRule>
  </conditionalFormatting>
  <conditionalFormatting sqref="AS53">
    <cfRule type="expression" dxfId="779" priority="8">
      <formula>AND(NoColor,AS53=0)</formula>
    </cfRule>
    <cfRule type="expression" dxfId="778" priority="9">
      <formula>AND(NOT(NoColor),AS53=0)</formula>
    </cfRule>
  </conditionalFormatting>
  <hyperlinks>
    <hyperlink ref="C74:D76" location="'Table of Contents'!A1" display="Table of Contents" xr:uid="{00000000-0004-0000-3200-000000000000}"/>
    <hyperlink ref="B69:H69" r:id="rId1" display="Download Form 1040 Schedule R" xr:uid="{00000000-0004-0000-3200-000001000000}"/>
    <hyperlink ref="B71:H71" r:id="rId2" display="Download Form 1040 Schedule R Instructions" xr:uid="{00000000-0004-0000-3200-000002000000}"/>
    <hyperlink ref="B69:I69" r:id="rId3" display="Download Form 1040 Form 8962" xr:uid="{00000000-0004-0000-3200-000003000000}"/>
    <hyperlink ref="B71:L71" r:id="rId4" display="Download Form 8829 Instructions" xr:uid="{00000000-0004-0000-3200-000004000000}"/>
    <hyperlink ref="B69:L69" r:id="rId5" display="Download Form 8829" xr:uid="{00000000-0004-0000-3200-000005000000}"/>
  </hyperlinks>
  <pageMargins left="0.75" right="0.25" top="0.36" bottom="0.28999999999999998" header="0.36" footer="0.21"/>
  <pageSetup scale="69" fitToHeight="0" orientation="portrait" r:id="rId6"/>
  <extLst>
    <ext xmlns:x14="http://schemas.microsoft.com/office/spreadsheetml/2009/9/main" uri="{78C0D931-6437-407d-A8EE-F0AAD7539E65}">
      <x14:conditionalFormattings>
        <x14:conditionalFormatting xmlns:xm="http://schemas.microsoft.com/office/excel/2006/main">
          <x14:cfRule type="expression" priority="1" id="{8636D063-29BF-425E-9FAA-B70D7EBA98E5}">
            <xm:f>AND(AK2="",'Table of Contents'!A56="D")</xm:f>
            <x14:dxf>
              <font>
                <b/>
                <i val="0"/>
                <color rgb="FFC00000"/>
              </font>
            </x14:dxf>
          </x14:cfRule>
          <xm:sqref>AC2:AJ2</xm:sqref>
        </x14:conditionalFormatting>
        <x14:conditionalFormatting xmlns:xm="http://schemas.microsoft.com/office/excel/2006/main">
          <x14:cfRule type="expression" priority="2" id="{D1A7D06E-C904-453C-8037-5D35B85335B9}">
            <xm:f>'Table of Contents'!A56="D"</xm:f>
            <x14:dxf>
              <fill>
                <patternFill>
                  <bgColor theme="0"/>
                </patternFill>
              </fill>
              <border>
                <right style="thin">
                  <color auto="1"/>
                </right>
                <top style="thin">
                  <color auto="1"/>
                </top>
                <bottom style="thin">
                  <color auto="1"/>
                </bottom>
                <vertical/>
                <horizontal/>
              </border>
            </x14:dxf>
          </x14:cfRule>
          <xm:sqref>AK2</xm:sqref>
        </x14:conditionalFormatting>
      </x14:conditionalFormatting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pageSetUpPr fitToPage="1"/>
  </sheetPr>
  <dimension ref="A1:BB289"/>
  <sheetViews>
    <sheetView zoomScaleNormal="100" zoomScaleSheetLayoutView="100" workbookViewId="0"/>
  </sheetViews>
  <sheetFormatPr defaultColWidth="9.140625" defaultRowHeight="12.75"/>
  <cols>
    <col min="1" max="1" width="2.7109375" customWidth="1"/>
    <col min="2" max="2" width="4.7109375" customWidth="1"/>
    <col min="3" max="3" width="4" customWidth="1"/>
    <col min="4" max="10" width="3.7109375" customWidth="1"/>
    <col min="11" max="11" width="4.42578125" customWidth="1"/>
    <col min="12" max="16" width="3.7109375" customWidth="1"/>
    <col min="17" max="17" width="4.28515625" customWidth="1"/>
    <col min="18" max="19" width="3.7109375" customWidth="1"/>
    <col min="20" max="20" width="4.42578125" customWidth="1"/>
    <col min="21" max="23" width="3.7109375" customWidth="1"/>
    <col min="24" max="24" width="4.42578125" customWidth="1"/>
    <col min="25" max="32" width="3.7109375" customWidth="1"/>
    <col min="33" max="33" width="4.42578125" customWidth="1"/>
    <col min="34" max="36" width="3.7109375" customWidth="1"/>
    <col min="37" max="37" width="2" customWidth="1"/>
    <col min="38" max="38" width="3.28515625" customWidth="1"/>
    <col min="39" max="39" width="2" customWidth="1"/>
    <col min="40" max="40" width="2.85546875" customWidth="1"/>
    <col min="41" max="41" width="14.42578125" customWidth="1"/>
    <col min="42" max="42" width="3.28515625" customWidth="1"/>
    <col min="43" max="51" width="10.7109375" style="658" customWidth="1"/>
    <col min="52" max="52" width="4.140625" style="658" customWidth="1"/>
  </cols>
  <sheetData>
    <row r="1" spans="1:54" s="815" customFormat="1" ht="12" customHeight="1">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2013"/>
      <c r="AD1" s="2013"/>
      <c r="AE1" s="2013"/>
      <c r="AF1" s="2013"/>
      <c r="AG1" s="2013"/>
      <c r="AH1" s="2013"/>
      <c r="AI1" s="2013"/>
      <c r="AJ1" s="2013"/>
      <c r="AK1" s="2013"/>
      <c r="AL1" s="2013"/>
      <c r="AM1" s="2013"/>
      <c r="AN1" s="253"/>
      <c r="AO1" s="253"/>
      <c r="AP1" s="253"/>
      <c r="AQ1" s="658"/>
      <c r="AR1" s="658"/>
      <c r="AS1" s="658"/>
      <c r="AT1" s="658"/>
      <c r="AU1" s="658"/>
      <c r="AV1" s="658"/>
      <c r="AW1" s="658"/>
      <c r="AX1" s="658"/>
      <c r="AY1" s="658"/>
      <c r="AZ1" s="658"/>
      <c r="BA1"/>
      <c r="BB1"/>
    </row>
    <row r="2" spans="1:54" s="815" customFormat="1" ht="24" customHeight="1">
      <c r="A2" s="2013"/>
      <c r="B2" s="253"/>
      <c r="C2" s="253"/>
      <c r="D2" s="9823" t="s">
        <v>130</v>
      </c>
      <c r="E2" s="7601"/>
      <c r="F2" s="7601"/>
      <c r="G2" s="7601"/>
      <c r="H2" s="379"/>
      <c r="I2" s="11171" t="s">
        <v>5049</v>
      </c>
      <c r="J2" s="11172"/>
      <c r="K2" s="11172"/>
      <c r="L2" s="11172"/>
      <c r="M2" s="11172"/>
      <c r="N2" s="11172"/>
      <c r="O2" s="11172"/>
      <c r="P2" s="11172"/>
      <c r="Q2" s="11172"/>
      <c r="R2" s="11172"/>
      <c r="S2" s="11172"/>
      <c r="T2" s="11172"/>
      <c r="U2" s="11172"/>
      <c r="V2" s="11172"/>
      <c r="W2" s="11172"/>
      <c r="X2" s="11172"/>
      <c r="Y2" s="11172"/>
      <c r="Z2" s="11172"/>
      <c r="AA2" s="11172"/>
      <c r="AB2" s="11173"/>
      <c r="AC2" s="11112" t="s">
        <v>543</v>
      </c>
      <c r="AD2" s="9894"/>
      <c r="AE2" s="9894"/>
      <c r="AF2" s="9894"/>
      <c r="AG2" s="9894"/>
      <c r="AH2" s="9894"/>
      <c r="AI2" s="9894"/>
      <c r="AJ2" s="9894"/>
      <c r="AK2" s="2013"/>
      <c r="AL2" s="2013"/>
      <c r="AM2" s="2013"/>
      <c r="AN2" s="253"/>
      <c r="AO2" s="253"/>
      <c r="AP2" s="253"/>
      <c r="AQ2" s="658"/>
      <c r="AR2" s="658"/>
      <c r="AS2" s="658"/>
      <c r="AT2" s="658"/>
      <c r="AU2" s="658"/>
      <c r="AV2" s="658"/>
      <c r="AW2" s="658"/>
      <c r="AX2" s="658"/>
      <c r="AY2" s="658"/>
      <c r="AZ2" s="658"/>
      <c r="BA2"/>
      <c r="BB2"/>
    </row>
    <row r="3" spans="1:54" s="815" customFormat="1" ht="24" customHeight="1">
      <c r="A3" s="2013"/>
      <c r="B3" s="9825" t="s">
        <v>46</v>
      </c>
      <c r="C3" s="9617"/>
      <c r="D3" s="7601"/>
      <c r="E3" s="7601"/>
      <c r="F3" s="7601"/>
      <c r="G3" s="7601"/>
      <c r="H3" s="379"/>
      <c r="I3" s="11174"/>
      <c r="J3" s="11172"/>
      <c r="K3" s="11172"/>
      <c r="L3" s="11172"/>
      <c r="M3" s="11172"/>
      <c r="N3" s="11172"/>
      <c r="O3" s="11172"/>
      <c r="P3" s="11172"/>
      <c r="Q3" s="11172"/>
      <c r="R3" s="11172"/>
      <c r="S3" s="11172"/>
      <c r="T3" s="11172"/>
      <c r="U3" s="11172"/>
      <c r="V3" s="11172"/>
      <c r="W3" s="11172"/>
      <c r="X3" s="11172"/>
      <c r="Y3" s="11172"/>
      <c r="Z3" s="11172"/>
      <c r="AA3" s="11172"/>
      <c r="AB3" s="11173"/>
      <c r="AC3" s="9826">
        <f>TaxYear</f>
        <v>2025</v>
      </c>
      <c r="AD3" s="9827"/>
      <c r="AE3" s="9827"/>
      <c r="AF3" s="9827"/>
      <c r="AG3" s="9827"/>
      <c r="AH3" s="9827"/>
      <c r="AI3" s="9827"/>
      <c r="AJ3" s="9827"/>
      <c r="AK3" s="2013"/>
      <c r="AL3" s="2013"/>
      <c r="AM3" s="2013"/>
      <c r="AN3" s="253"/>
      <c r="AO3" s="253"/>
      <c r="AP3" s="253"/>
      <c r="AQ3" s="658"/>
      <c r="AR3" s="658"/>
      <c r="AS3" s="658"/>
      <c r="AT3" s="658"/>
      <c r="AU3" s="658"/>
      <c r="AV3" s="658"/>
      <c r="AW3" s="658"/>
      <c r="AX3" s="658"/>
      <c r="AY3" s="658"/>
      <c r="AZ3" s="658"/>
      <c r="BA3"/>
      <c r="BB3"/>
    </row>
    <row r="4" spans="1:54" s="815" customFormat="1" ht="6.75" customHeight="1">
      <c r="A4" s="2013"/>
      <c r="B4" s="253"/>
      <c r="C4" s="253"/>
      <c r="D4" s="253"/>
      <c r="E4" s="253"/>
      <c r="F4" s="253"/>
      <c r="G4" s="253"/>
      <c r="H4" s="379"/>
      <c r="I4" s="2911"/>
      <c r="J4" s="362"/>
      <c r="K4" s="362"/>
      <c r="L4" s="362"/>
      <c r="M4" s="362"/>
      <c r="N4" s="362"/>
      <c r="O4" s="362"/>
      <c r="P4" s="362"/>
      <c r="Q4" s="362"/>
      <c r="R4" s="362"/>
      <c r="S4" s="362"/>
      <c r="T4" s="362"/>
      <c r="U4" s="362"/>
      <c r="V4" s="362"/>
      <c r="W4" s="362"/>
      <c r="X4" s="362"/>
      <c r="Y4" s="362"/>
      <c r="Z4" s="362"/>
      <c r="AA4" s="362"/>
      <c r="AB4" s="2912"/>
      <c r="AC4" s="9828"/>
      <c r="AD4" s="9829"/>
      <c r="AE4" s="9829"/>
      <c r="AF4" s="9829"/>
      <c r="AG4" s="9829"/>
      <c r="AH4" s="9829"/>
      <c r="AI4" s="9829"/>
      <c r="AJ4" s="9829"/>
      <c r="AK4" s="2013"/>
      <c r="AL4" s="2013"/>
      <c r="AM4" s="2013"/>
      <c r="AN4" s="253"/>
      <c r="AO4" s="253"/>
      <c r="AP4" s="253"/>
      <c r="AQ4" s="658"/>
      <c r="AR4" s="658"/>
      <c r="AS4" s="658"/>
      <c r="AT4" s="658"/>
      <c r="AU4" s="658"/>
      <c r="AV4" s="658"/>
      <c r="AW4" s="658"/>
      <c r="AX4" s="658"/>
      <c r="AY4" s="658"/>
      <c r="AZ4" s="658"/>
      <c r="BA4"/>
      <c r="BB4"/>
    </row>
    <row r="5" spans="1:54" s="815" customFormat="1" ht="12.75" customHeight="1">
      <c r="A5" s="2013"/>
      <c r="B5" s="253" t="s">
        <v>503</v>
      </c>
      <c r="C5" s="253"/>
      <c r="D5" s="253"/>
      <c r="E5" s="253"/>
      <c r="F5" s="253"/>
      <c r="G5" s="253"/>
      <c r="H5" s="379"/>
      <c r="I5" s="11118" t="s">
        <v>1817</v>
      </c>
      <c r="J5" s="11119"/>
      <c r="K5" s="11119"/>
      <c r="L5" s="11119"/>
      <c r="M5" s="11119"/>
      <c r="N5" s="11119"/>
      <c r="O5" s="11119"/>
      <c r="P5" s="11119"/>
      <c r="Q5" s="11119"/>
      <c r="R5" s="11119"/>
      <c r="S5" s="11119"/>
      <c r="T5" s="11119"/>
      <c r="U5" s="11119"/>
      <c r="V5" s="11119"/>
      <c r="W5" s="11119"/>
      <c r="X5" s="11119"/>
      <c r="Y5" s="11119"/>
      <c r="Z5" s="11119"/>
      <c r="AA5" s="11119"/>
      <c r="AB5" s="11120"/>
      <c r="AC5" s="341"/>
      <c r="AD5" s="9515" t="s">
        <v>3475</v>
      </c>
      <c r="AE5" s="7844"/>
      <c r="AF5" s="7844"/>
      <c r="AG5" s="7844"/>
      <c r="AH5" s="9193">
        <v>50</v>
      </c>
      <c r="AI5" s="9193"/>
      <c r="AJ5" s="253"/>
      <c r="AK5" s="2013"/>
      <c r="AL5" s="2013"/>
      <c r="AM5" s="2013"/>
      <c r="AN5" s="253"/>
      <c r="AO5" s="253"/>
      <c r="AP5" s="253"/>
      <c r="AQ5" s="658"/>
      <c r="AR5" s="658"/>
      <c r="AS5" s="658"/>
      <c r="AT5" s="658"/>
      <c r="AU5" s="658"/>
      <c r="AV5" s="658"/>
      <c r="AW5" s="658"/>
      <c r="AX5" s="658"/>
      <c r="AY5" s="658"/>
      <c r="AZ5" s="658"/>
      <c r="BA5"/>
      <c r="BB5"/>
    </row>
    <row r="6" spans="1:54" s="815" customFormat="1" ht="13.5" customHeight="1" thickBot="1">
      <c r="A6" s="2013"/>
      <c r="B6" s="498" t="s">
        <v>505</v>
      </c>
      <c r="C6" s="380"/>
      <c r="D6" s="380"/>
      <c r="E6" s="380"/>
      <c r="F6" s="380"/>
      <c r="G6" s="380"/>
      <c r="H6" s="381"/>
      <c r="I6" s="11096" t="s">
        <v>4201</v>
      </c>
      <c r="J6" s="11097"/>
      <c r="K6" s="11097"/>
      <c r="L6" s="11097"/>
      <c r="M6" s="11097"/>
      <c r="N6" s="11097"/>
      <c r="O6" s="11097"/>
      <c r="P6" s="11097"/>
      <c r="Q6" s="11097"/>
      <c r="R6" s="11097"/>
      <c r="S6" s="11097"/>
      <c r="T6" s="11097"/>
      <c r="U6" s="11097"/>
      <c r="V6" s="11097"/>
      <c r="W6" s="11097"/>
      <c r="X6" s="11097"/>
      <c r="Y6" s="11097"/>
      <c r="Z6" s="11097"/>
      <c r="AA6" s="11097"/>
      <c r="AB6" s="11098"/>
      <c r="AC6" s="1197"/>
      <c r="AD6" s="9966" t="s">
        <v>3488</v>
      </c>
      <c r="AE6" s="9967"/>
      <c r="AF6" s="9967"/>
      <c r="AG6" s="9967"/>
      <c r="AH6" s="9974"/>
      <c r="AI6" s="9974"/>
      <c r="AJ6" s="380"/>
      <c r="AK6" s="2013"/>
      <c r="AL6" s="2013"/>
      <c r="AM6" s="2013"/>
      <c r="AN6" s="253"/>
      <c r="AO6" s="253"/>
      <c r="AP6" s="253"/>
      <c r="AQ6" s="658"/>
      <c r="AR6" s="658"/>
      <c r="AS6" s="658"/>
      <c r="AT6" s="658"/>
      <c r="AU6" s="658"/>
      <c r="AV6" s="658"/>
      <c r="AW6" s="658"/>
      <c r="AX6" s="658"/>
      <c r="AY6" s="658"/>
      <c r="AZ6" s="658"/>
      <c r="BA6"/>
      <c r="BB6"/>
    </row>
    <row r="7" spans="1:54" s="815" customFormat="1">
      <c r="A7" s="2013"/>
      <c r="B7" s="339" t="s">
        <v>1918</v>
      </c>
      <c r="C7" s="339"/>
      <c r="D7" s="339"/>
      <c r="E7" s="339"/>
      <c r="F7" s="339"/>
      <c r="G7" s="339"/>
      <c r="H7" s="339"/>
      <c r="I7" s="339"/>
      <c r="J7" s="339"/>
      <c r="K7" s="339"/>
      <c r="L7" s="339"/>
      <c r="M7" s="339"/>
      <c r="N7" s="339"/>
      <c r="O7" s="339"/>
      <c r="P7" s="339"/>
      <c r="Q7" s="339"/>
      <c r="R7" s="339"/>
      <c r="S7" s="339"/>
      <c r="T7" s="339"/>
      <c r="U7" s="339"/>
      <c r="V7" s="339"/>
      <c r="W7" s="339"/>
      <c r="X7" s="339"/>
      <c r="Y7" s="3816" t="s">
        <v>549</v>
      </c>
      <c r="Z7" s="377"/>
      <c r="AA7" s="377"/>
      <c r="AB7" s="377"/>
      <c r="AC7" s="408"/>
      <c r="AD7" s="2019"/>
      <c r="AE7" s="2019"/>
      <c r="AF7" s="2019"/>
      <c r="AG7" s="2019"/>
      <c r="AH7" s="2019"/>
      <c r="AI7" s="2019"/>
      <c r="AJ7" s="2019"/>
      <c r="AK7" s="2013"/>
      <c r="AL7" s="2013"/>
      <c r="AM7" s="2013"/>
      <c r="AN7" s="253"/>
      <c r="AO7" s="253"/>
      <c r="AP7" s="253"/>
      <c r="AQ7" s="658"/>
      <c r="AR7" s="658"/>
      <c r="AS7" s="658"/>
      <c r="AT7" s="658"/>
      <c r="AU7" s="658"/>
      <c r="AV7" s="658"/>
      <c r="AW7" s="658"/>
      <c r="AX7" s="658"/>
      <c r="AY7" s="658"/>
      <c r="AZ7" s="658"/>
      <c r="BA7"/>
      <c r="BB7"/>
    </row>
    <row r="8" spans="1:54" s="815" customFormat="1" ht="13.5" customHeight="1">
      <c r="A8" s="2013"/>
      <c r="B8" s="11160" t="str">
        <f>IF(Names="","",Names)</f>
        <v/>
      </c>
      <c r="C8" s="11161"/>
      <c r="D8" s="11161"/>
      <c r="E8" s="11161"/>
      <c r="F8" s="11161"/>
      <c r="G8" s="11161"/>
      <c r="H8" s="11161"/>
      <c r="I8" s="11161"/>
      <c r="J8" s="11161"/>
      <c r="K8" s="11161"/>
      <c r="L8" s="11162"/>
      <c r="M8" s="11162"/>
      <c r="N8" s="11162"/>
      <c r="O8" s="11162"/>
      <c r="P8" s="11162"/>
      <c r="Q8" s="11162"/>
      <c r="R8" s="11162"/>
      <c r="S8" s="11162"/>
      <c r="T8" s="11162"/>
      <c r="U8" s="11162"/>
      <c r="V8" s="11162"/>
      <c r="W8" s="11162"/>
      <c r="X8" s="11163"/>
      <c r="Y8" s="11166">
        <f>IF(OR(NoSSN,SS_Yours=""),"",SS_Yours)</f>
        <v>1010001</v>
      </c>
      <c r="Z8" s="11167"/>
      <c r="AA8" s="11167"/>
      <c r="AB8" s="11167"/>
      <c r="AC8" s="11167"/>
      <c r="AD8" s="11167"/>
      <c r="AE8" s="11167"/>
      <c r="AF8" s="11167"/>
      <c r="AG8" s="11167"/>
      <c r="AH8" s="11167"/>
      <c r="AI8" s="11167"/>
      <c r="AJ8" s="11167"/>
      <c r="AK8" s="2013"/>
      <c r="AL8" s="2013"/>
      <c r="AM8" s="2013"/>
      <c r="AN8" s="253"/>
      <c r="AO8" s="9029" t="s">
        <v>4202</v>
      </c>
      <c r="AP8" s="4521"/>
      <c r="AQ8" s="658"/>
      <c r="AR8" s="658"/>
      <c r="AS8" s="658"/>
      <c r="AT8" s="658"/>
      <c r="AU8" s="658"/>
      <c r="AV8" s="658"/>
      <c r="AW8" s="658"/>
      <c r="AX8" s="658"/>
      <c r="AY8" s="658"/>
      <c r="AZ8" s="658"/>
      <c r="BA8"/>
      <c r="BB8"/>
    </row>
    <row r="9" spans="1:54" s="815" customFormat="1" ht="5.25" customHeight="1">
      <c r="A9" s="2013"/>
      <c r="B9" s="11164"/>
      <c r="C9" s="11164"/>
      <c r="D9" s="11164"/>
      <c r="E9" s="11164"/>
      <c r="F9" s="11164"/>
      <c r="G9" s="11164"/>
      <c r="H9" s="11164"/>
      <c r="I9" s="11164"/>
      <c r="J9" s="11164"/>
      <c r="K9" s="11164"/>
      <c r="L9" s="11164"/>
      <c r="M9" s="11164"/>
      <c r="N9" s="11164"/>
      <c r="O9" s="11164"/>
      <c r="P9" s="11164"/>
      <c r="Q9" s="11164"/>
      <c r="R9" s="11164"/>
      <c r="S9" s="11164"/>
      <c r="T9" s="11164"/>
      <c r="U9" s="11164"/>
      <c r="V9" s="11164"/>
      <c r="W9" s="11164"/>
      <c r="X9" s="11165"/>
      <c r="Y9" s="11168"/>
      <c r="Z9" s="11169"/>
      <c r="AA9" s="11169"/>
      <c r="AB9" s="11169"/>
      <c r="AC9" s="11169"/>
      <c r="AD9" s="11169"/>
      <c r="AE9" s="11169"/>
      <c r="AF9" s="11169"/>
      <c r="AG9" s="11169"/>
      <c r="AH9" s="11169"/>
      <c r="AI9" s="11169"/>
      <c r="AJ9" s="11169"/>
      <c r="AK9" s="2013"/>
      <c r="AL9" s="2013"/>
      <c r="AM9" s="2013"/>
      <c r="AN9" s="11170" t="s">
        <v>4203</v>
      </c>
      <c r="AO9" s="9029"/>
      <c r="AP9" s="253"/>
      <c r="AQ9" s="658"/>
      <c r="AR9" s="658"/>
      <c r="AS9" s="658"/>
      <c r="AT9" s="658"/>
      <c r="AU9" s="658"/>
      <c r="AV9" s="658"/>
      <c r="AW9" s="658"/>
      <c r="AX9" s="658"/>
      <c r="AY9" s="658"/>
      <c r="AZ9" s="658"/>
      <c r="BA9"/>
      <c r="BB9"/>
    </row>
    <row r="10" spans="1:54" s="1115" customFormat="1" ht="25.5" customHeight="1">
      <c r="A10" s="2290"/>
      <c r="B10" s="6531"/>
      <c r="C10" s="4904"/>
      <c r="D10" s="6532" t="s">
        <v>5578</v>
      </c>
      <c r="E10" s="1323" t="s">
        <v>6453</v>
      </c>
      <c r="F10" s="4524"/>
      <c r="G10" s="4524"/>
      <c r="H10" s="4524"/>
      <c r="I10" s="4524"/>
      <c r="J10" s="4524"/>
      <c r="K10" s="4524"/>
      <c r="L10" s="4524"/>
      <c r="M10" s="4524"/>
      <c r="N10" s="4524"/>
      <c r="O10" s="4524"/>
      <c r="P10" s="4524"/>
      <c r="Q10" s="4524"/>
      <c r="R10" s="4524"/>
      <c r="S10" s="4524"/>
      <c r="T10" s="4524"/>
      <c r="U10" s="4524"/>
      <c r="V10" s="4524"/>
      <c r="W10" s="4524"/>
      <c r="X10" s="4524"/>
      <c r="Y10" s="4524"/>
      <c r="Z10" s="4524"/>
      <c r="AA10" s="4524"/>
      <c r="AB10" s="4524"/>
      <c r="AC10" s="4524"/>
      <c r="AD10" s="4524"/>
      <c r="AE10" s="4524"/>
      <c r="AF10" s="4524"/>
      <c r="AG10" s="4524"/>
      <c r="AH10" s="4524"/>
      <c r="AI10" s="4521"/>
      <c r="AJ10" s="4521"/>
      <c r="AK10" s="2290"/>
      <c r="AL10" s="2290"/>
      <c r="AM10" s="2290"/>
      <c r="AN10" s="7601"/>
      <c r="AO10" s="9029"/>
      <c r="AP10" s="253"/>
      <c r="AQ10" s="1114"/>
      <c r="AR10" s="1114"/>
      <c r="AS10" s="1114"/>
      <c r="AT10" s="1114"/>
      <c r="AU10" s="1114"/>
      <c r="AV10" s="1114"/>
      <c r="AW10" s="1114"/>
      <c r="AX10" s="1114"/>
      <c r="AY10" s="1114"/>
      <c r="AZ10" s="1114"/>
      <c r="BA10" s="2293"/>
      <c r="BB10" s="2293"/>
    </row>
    <row r="11" spans="1:54" s="1115" customFormat="1" ht="25.5" customHeight="1">
      <c r="A11" s="2290"/>
      <c r="B11" s="4524"/>
      <c r="C11" s="4524"/>
      <c r="D11" s="6533"/>
      <c r="E11" s="6534" t="s">
        <v>6454</v>
      </c>
      <c r="F11" s="4524"/>
      <c r="G11" s="4524"/>
      <c r="H11" s="4524"/>
      <c r="I11" s="4524"/>
      <c r="J11" s="4524"/>
      <c r="K11" s="4524"/>
      <c r="L11" s="4524"/>
      <c r="M11" s="4524"/>
      <c r="N11" s="4524"/>
      <c r="O11" s="4524"/>
      <c r="P11" s="4524"/>
      <c r="Q11" s="4524"/>
      <c r="R11" s="4524"/>
      <c r="S11" s="4524"/>
      <c r="T11" s="4524"/>
      <c r="U11" s="4524"/>
      <c r="V11" s="4524"/>
      <c r="W11" s="4524"/>
      <c r="X11" s="4524"/>
      <c r="Y11" s="4524"/>
      <c r="Z11" s="4524"/>
      <c r="AA11" s="4524"/>
      <c r="AB11" s="4524"/>
      <c r="AC11" s="4524"/>
      <c r="AD11" s="4524"/>
      <c r="AE11" s="4524"/>
      <c r="AF11" s="4524"/>
      <c r="AG11" s="4524"/>
      <c r="AH11" s="4524"/>
      <c r="AI11" s="4521"/>
      <c r="AJ11" s="4521"/>
      <c r="AK11" s="2290"/>
      <c r="AL11" s="2290"/>
      <c r="AM11" s="2290"/>
      <c r="AN11" s="7601"/>
      <c r="AO11" s="817" t="s">
        <v>4204</v>
      </c>
      <c r="AP11" s="253"/>
      <c r="AQ11" s="1114"/>
      <c r="AR11" s="1114"/>
      <c r="AS11" s="1114"/>
      <c r="AT11" s="1114"/>
      <c r="AU11" s="1114"/>
      <c r="AV11" s="1114"/>
      <c r="AW11" s="1114"/>
      <c r="AX11" s="1114"/>
      <c r="AY11" s="1114"/>
      <c r="AZ11" s="1114"/>
      <c r="BA11" s="2293"/>
      <c r="BB11" s="2293"/>
    </row>
    <row r="12" spans="1:54" s="815" customFormat="1" ht="18" customHeight="1" thickBot="1">
      <c r="A12" s="2013"/>
      <c r="B12" s="9755" t="s">
        <v>780</v>
      </c>
      <c r="C12" s="9755"/>
      <c r="D12" s="2020" t="s">
        <v>4205</v>
      </c>
      <c r="E12" s="773"/>
      <c r="F12" s="773"/>
      <c r="G12" s="773"/>
      <c r="H12" s="773"/>
      <c r="I12" s="773"/>
      <c r="J12" s="773"/>
      <c r="K12" s="773"/>
      <c r="L12" s="773"/>
      <c r="M12" s="773"/>
      <c r="N12" s="773"/>
      <c r="O12" s="773"/>
      <c r="P12" s="773"/>
      <c r="Q12" s="773"/>
      <c r="R12" s="773"/>
      <c r="S12" s="773"/>
      <c r="T12" s="773"/>
      <c r="U12" s="773"/>
      <c r="V12" s="773"/>
      <c r="W12" s="773"/>
      <c r="X12" s="773"/>
      <c r="Y12" s="773"/>
      <c r="Z12" s="773"/>
      <c r="AA12" s="773"/>
      <c r="AB12" s="773"/>
      <c r="AC12" s="773"/>
      <c r="AD12" s="773"/>
      <c r="AE12" s="773"/>
      <c r="AF12" s="773"/>
      <c r="AG12" s="773"/>
      <c r="AH12" s="11124" t="b">
        <f>AND(OR(AO17="",AO17=0),OR(AO46="",AO46=0))</f>
        <v>1</v>
      </c>
      <c r="AI12" s="11124"/>
      <c r="AJ12" s="11124"/>
      <c r="AK12" s="2013"/>
      <c r="AL12" s="2013"/>
      <c r="AM12" s="2013"/>
      <c r="AN12" s="7601"/>
      <c r="AO12" s="4525" t="s">
        <v>4206</v>
      </c>
      <c r="AP12" s="253"/>
      <c r="AQ12" s="658"/>
      <c r="AR12" s="1114"/>
      <c r="AS12" s="658"/>
      <c r="AT12" s="658"/>
      <c r="AU12" s="658"/>
      <c r="AV12" s="658"/>
      <c r="AW12" s="658"/>
      <c r="AX12" s="658"/>
      <c r="AY12" s="658"/>
      <c r="AZ12" s="658"/>
      <c r="BA12"/>
      <c r="BB12"/>
    </row>
    <row r="13" spans="1:54" s="815" customFormat="1">
      <c r="A13" s="2013"/>
      <c r="B13" s="253"/>
      <c r="C13" s="362"/>
      <c r="D13" s="253"/>
      <c r="E13" s="253"/>
      <c r="F13" s="253"/>
      <c r="G13" s="253"/>
      <c r="H13" s="253"/>
      <c r="I13" s="253"/>
      <c r="J13" s="253"/>
      <c r="K13" s="253"/>
      <c r="L13" s="253"/>
      <c r="M13" s="253"/>
      <c r="N13" s="253"/>
      <c r="O13" s="253"/>
      <c r="P13" s="253"/>
      <c r="Q13" s="253"/>
      <c r="R13" s="253"/>
      <c r="S13" s="253"/>
      <c r="T13" s="253"/>
      <c r="U13" s="253"/>
      <c r="V13" s="253"/>
      <c r="W13" s="253"/>
      <c r="X13" s="253"/>
      <c r="Y13" s="253"/>
      <c r="Z13" s="253"/>
      <c r="AA13" s="253"/>
      <c r="AB13" s="253"/>
      <c r="AC13" s="253"/>
      <c r="AD13" s="2890"/>
      <c r="AE13" s="253"/>
      <c r="AF13" s="253"/>
      <c r="AG13" s="253"/>
      <c r="AH13" s="253"/>
      <c r="AI13" s="253"/>
      <c r="AJ13" s="253"/>
      <c r="AK13" s="2013"/>
      <c r="AL13" s="2013"/>
      <c r="AM13" s="2013"/>
      <c r="AN13" s="817">
        <v>1</v>
      </c>
      <c r="AO13" s="4526" t="str">
        <f>AOC_1</f>
        <v/>
      </c>
      <c r="AP13" s="253"/>
      <c r="AQ13" s="658"/>
      <c r="AR13" s="1114"/>
      <c r="AS13" s="658"/>
      <c r="AT13" s="658"/>
      <c r="AU13" s="658"/>
      <c r="AV13" s="658"/>
      <c r="AW13" s="658"/>
      <c r="AX13" s="658"/>
      <c r="AY13" s="658"/>
      <c r="AZ13" s="658"/>
      <c r="BA13"/>
      <c r="BB13"/>
    </row>
    <row r="14" spans="1:54" s="815" customFormat="1" ht="15" customHeight="1">
      <c r="A14" s="2013"/>
      <c r="B14" s="253"/>
      <c r="C14" s="4527" t="s">
        <v>228</v>
      </c>
      <c r="D14" s="511" t="s">
        <v>4207</v>
      </c>
      <c r="E14" s="253"/>
      <c r="F14" s="253"/>
      <c r="G14" s="253"/>
      <c r="H14" s="253"/>
      <c r="I14" s="253"/>
      <c r="J14" s="253"/>
      <c r="K14" s="253"/>
      <c r="L14" s="253"/>
      <c r="M14" s="253"/>
      <c r="N14" s="253"/>
      <c r="O14" s="253"/>
      <c r="P14" s="253"/>
      <c r="Q14" s="253"/>
      <c r="R14" s="253"/>
      <c r="S14" s="253"/>
      <c r="T14" s="253"/>
      <c r="U14" s="253"/>
      <c r="V14" s="253"/>
      <c r="W14" s="253"/>
      <c r="X14" s="253"/>
      <c r="Y14" s="253"/>
      <c r="Z14" s="253"/>
      <c r="AA14" s="253"/>
      <c r="AB14" s="253"/>
      <c r="AC14" s="1401" t="s">
        <v>717</v>
      </c>
      <c r="AD14" s="2895">
        <v>1</v>
      </c>
      <c r="AE14" s="10757" t="str">
        <f>IF(AH12,"",AO17)</f>
        <v/>
      </c>
      <c r="AF14" s="10815"/>
      <c r="AG14" s="10815"/>
      <c r="AH14" s="10815"/>
      <c r="AI14" s="10815"/>
      <c r="AJ14" s="10815"/>
      <c r="AK14" s="2013"/>
      <c r="AL14" s="2013"/>
      <c r="AM14" s="2013"/>
      <c r="AN14" s="817">
        <v>2</v>
      </c>
      <c r="AO14" s="4528" t="str">
        <f>AOC_2</f>
        <v/>
      </c>
      <c r="AP14" s="253"/>
      <c r="AQ14" s="658"/>
      <c r="AR14" s="1114"/>
      <c r="AS14" s="658"/>
      <c r="AT14" s="658"/>
      <c r="AU14" s="658"/>
      <c r="AV14" s="658"/>
      <c r="AW14" s="658"/>
      <c r="AX14" s="658"/>
      <c r="AY14" s="658"/>
      <c r="AZ14" s="658"/>
      <c r="BA14"/>
      <c r="BB14"/>
    </row>
    <row r="15" spans="1:54" s="815" customFormat="1" ht="15" customHeight="1">
      <c r="A15" s="2013"/>
      <c r="B15" s="253"/>
      <c r="C15" s="4527" t="s">
        <v>230</v>
      </c>
      <c r="D15" s="511" t="str">
        <f>"Enter: "&amp;TEXT(AE15,"$0,000")&amp;" if married filing jointly; "&amp;TEXT(AE16,"$0,000")&amp;" if single, head of household,"</f>
        <v>Enter: $180,000 if married filing jointly; $90,000 if single, head of household,</v>
      </c>
      <c r="E15" s="253"/>
      <c r="F15" s="253"/>
      <c r="G15" s="253"/>
      <c r="H15" s="253"/>
      <c r="I15" s="253"/>
      <c r="J15" s="253"/>
      <c r="K15" s="253"/>
      <c r="L15" s="253"/>
      <c r="M15" s="253"/>
      <c r="N15" s="253"/>
      <c r="O15" s="253"/>
      <c r="P15" s="253"/>
      <c r="Q15" s="253"/>
      <c r="R15" s="253"/>
      <c r="S15" s="2022"/>
      <c r="T15" s="253"/>
      <c r="U15" s="253"/>
      <c r="V15" s="253"/>
      <c r="W15" s="2922"/>
      <c r="X15" s="11175"/>
      <c r="Y15" s="11176"/>
      <c r="Z15" s="11176"/>
      <c r="AA15" s="11176"/>
      <c r="AB15" s="11176"/>
      <c r="AC15" s="11177"/>
      <c r="AD15" s="2924"/>
      <c r="AE15" s="8995">
        <v>180000</v>
      </c>
      <c r="AF15" s="11154"/>
      <c r="AG15" s="11154"/>
      <c r="AH15" s="11154"/>
      <c r="AI15" s="11154"/>
      <c r="AJ15" s="11154"/>
      <c r="AK15" s="2013"/>
      <c r="AL15" s="2013"/>
      <c r="AM15" s="2013"/>
      <c r="AN15" s="817">
        <v>3</v>
      </c>
      <c r="AO15" s="4528" t="str">
        <f>AOC_3</f>
        <v/>
      </c>
      <c r="AP15" s="253"/>
      <c r="AQ15" s="658"/>
      <c r="AR15" s="1114"/>
      <c r="AS15" s="658"/>
      <c r="AT15" s="658"/>
      <c r="AU15" s="658"/>
      <c r="AV15" s="658"/>
      <c r="AW15" s="658"/>
      <c r="AX15" s="658"/>
      <c r="AY15" s="658"/>
      <c r="AZ15" s="658"/>
      <c r="BA15"/>
      <c r="BB15"/>
    </row>
    <row r="16" spans="1:54" s="815" customFormat="1" ht="15.75" thickBot="1">
      <c r="A16" s="2013"/>
      <c r="B16" s="253"/>
      <c r="C16" s="4527"/>
      <c r="D16" s="511" t="s">
        <v>4208</v>
      </c>
      <c r="E16" s="253"/>
      <c r="F16" s="253"/>
      <c r="G16" s="253"/>
      <c r="H16" s="253"/>
      <c r="I16" s="253"/>
      <c r="J16" s="253"/>
      <c r="K16" s="1401"/>
      <c r="L16" s="2022"/>
      <c r="M16" s="4529"/>
      <c r="N16" s="1401"/>
      <c r="O16" s="1401"/>
      <c r="P16" s="1401"/>
      <c r="Q16" s="1401"/>
      <c r="R16" s="1401"/>
      <c r="S16" s="253"/>
      <c r="T16" s="253"/>
      <c r="U16" s="253"/>
      <c r="V16" s="1401" t="s">
        <v>617</v>
      </c>
      <c r="W16" s="2918" t="s">
        <v>230</v>
      </c>
      <c r="X16" s="10757" t="str">
        <f>IF(AH12,"",IF(NumFileStatusBoxes=0,"Filing status?",IF(File_Marr_Joint&lt;&gt;"",AE15,AE16)))</f>
        <v/>
      </c>
      <c r="Y16" s="10815"/>
      <c r="Z16" s="10815"/>
      <c r="AA16" s="10815"/>
      <c r="AB16" s="10815"/>
      <c r="AC16" s="10865"/>
      <c r="AD16" s="2924"/>
      <c r="AE16" s="8995">
        <v>90000</v>
      </c>
      <c r="AF16" s="11154"/>
      <c r="AG16" s="11154"/>
      <c r="AH16" s="11154"/>
      <c r="AI16" s="11154"/>
      <c r="AJ16" s="11154"/>
      <c r="AK16" s="2013"/>
      <c r="AL16" s="2013"/>
      <c r="AM16" s="2013"/>
      <c r="AN16" s="817">
        <v>4</v>
      </c>
      <c r="AO16" s="4530" t="str">
        <f>AOC_4</f>
        <v/>
      </c>
      <c r="AP16" s="253"/>
      <c r="AQ16" s="658"/>
      <c r="AR16" s="658"/>
      <c r="AS16" s="658"/>
      <c r="AT16" s="658"/>
      <c r="AU16" s="658"/>
      <c r="AV16" s="658"/>
      <c r="AW16" s="658"/>
      <c r="AX16" s="658"/>
      <c r="AY16" s="658"/>
      <c r="AZ16" s="658"/>
      <c r="BA16"/>
      <c r="BB16"/>
    </row>
    <row r="17" spans="1:54" s="815" customFormat="1" ht="15" customHeight="1" thickBot="1">
      <c r="A17" s="2013"/>
      <c r="B17" s="253"/>
      <c r="C17" s="4527" t="s">
        <v>232</v>
      </c>
      <c r="D17" s="511" t="s">
        <v>6455</v>
      </c>
      <c r="E17" s="253"/>
      <c r="F17" s="253"/>
      <c r="G17" s="253"/>
      <c r="H17" s="253"/>
      <c r="I17" s="253"/>
      <c r="J17" s="253"/>
      <c r="K17" s="253"/>
      <c r="L17" s="253"/>
      <c r="M17" s="253"/>
      <c r="N17" s="253"/>
      <c r="O17" s="253"/>
      <c r="P17" s="253"/>
      <c r="Q17" s="253"/>
      <c r="R17" s="253"/>
      <c r="S17" s="253"/>
      <c r="T17" s="253"/>
      <c r="U17" s="253"/>
      <c r="V17" s="253"/>
      <c r="W17" s="2922"/>
      <c r="X17" s="408"/>
      <c r="Y17" s="253"/>
      <c r="Z17" s="253"/>
      <c r="AA17" s="253"/>
      <c r="AB17" s="253"/>
      <c r="AC17" s="409"/>
      <c r="AD17" s="2924"/>
      <c r="AE17" s="512"/>
      <c r="AF17" s="512"/>
      <c r="AG17" s="512"/>
      <c r="AH17" s="512"/>
      <c r="AI17" s="512"/>
      <c r="AJ17" s="512"/>
      <c r="AK17" s="2013"/>
      <c r="AL17" s="2013"/>
      <c r="AM17" s="2013"/>
      <c r="AN17" s="817" t="s">
        <v>4209</v>
      </c>
      <c r="AO17" s="4531">
        <f>SUM(AO13:AO16)</f>
        <v>0</v>
      </c>
      <c r="AP17" s="253"/>
      <c r="AQ17" s="658"/>
      <c r="AR17" s="658"/>
      <c r="AS17" s="658"/>
      <c r="AT17" s="658"/>
      <c r="AU17" s="658"/>
      <c r="AV17" s="658"/>
      <c r="AW17" s="658"/>
      <c r="AX17" s="658"/>
      <c r="AY17" s="658"/>
      <c r="AZ17" s="658"/>
      <c r="BA17"/>
      <c r="BB17"/>
    </row>
    <row r="18" spans="1:54" s="815" customFormat="1" ht="15.75" thickBot="1">
      <c r="A18" s="2013"/>
      <c r="B18" s="3827"/>
      <c r="C18" s="4527"/>
      <c r="D18" s="511" t="s">
        <v>4210</v>
      </c>
      <c r="E18" s="253"/>
      <c r="F18" s="253"/>
      <c r="G18" s="253"/>
      <c r="H18" s="253"/>
      <c r="I18" s="253"/>
      <c r="J18" s="253"/>
      <c r="K18" s="253"/>
      <c r="L18" s="253"/>
      <c r="M18" s="253"/>
      <c r="N18" s="253"/>
      <c r="O18" s="253"/>
      <c r="P18" s="253"/>
      <c r="Q18" s="253"/>
      <c r="R18" s="253"/>
      <c r="S18" s="253"/>
      <c r="T18" s="253"/>
      <c r="U18" s="253"/>
      <c r="V18" s="253"/>
      <c r="W18" s="2922"/>
      <c r="X18" s="408"/>
      <c r="Y18" s="253"/>
      <c r="Z18" s="253"/>
      <c r="AA18" s="253"/>
      <c r="AB18" s="253"/>
      <c r="AC18" s="409"/>
      <c r="AD18" s="2924"/>
      <c r="AE18" s="512"/>
      <c r="AF18" s="512"/>
      <c r="AG18" s="512"/>
      <c r="AH18" s="512"/>
      <c r="AI18" s="512"/>
      <c r="AJ18" s="512"/>
      <c r="AK18" s="2013"/>
      <c r="AL18" s="2013"/>
      <c r="AM18" s="2013"/>
      <c r="AN18" s="253"/>
      <c r="AO18" s="253"/>
      <c r="AP18" s="253"/>
      <c r="AQ18" s="658"/>
      <c r="AR18" s="658"/>
      <c r="AS18" s="658"/>
      <c r="AT18" s="658"/>
      <c r="AU18" s="658"/>
      <c r="AV18" s="658"/>
      <c r="AW18" s="658"/>
      <c r="AX18" s="658"/>
      <c r="AY18" s="658"/>
      <c r="AZ18" s="658"/>
      <c r="BA18"/>
      <c r="BB18"/>
    </row>
    <row r="19" spans="1:54" s="815" customFormat="1" ht="15" customHeight="1" thickBot="1">
      <c r="A19" s="2013"/>
      <c r="B19" s="253"/>
      <c r="C19" s="362"/>
      <c r="D19" s="511" t="s">
        <v>4211</v>
      </c>
      <c r="E19" s="253"/>
      <c r="F19" s="253"/>
      <c r="G19" s="253"/>
      <c r="H19" s="253"/>
      <c r="I19" s="253"/>
      <c r="J19" s="253"/>
      <c r="K19" s="253"/>
      <c r="L19" s="253"/>
      <c r="M19" s="253"/>
      <c r="N19" s="253"/>
      <c r="O19" s="253"/>
      <c r="P19" s="253"/>
      <c r="Q19" s="253"/>
      <c r="R19" s="253"/>
      <c r="S19" s="253"/>
      <c r="T19" s="253"/>
      <c r="U19" s="253"/>
      <c r="V19" s="1401" t="s">
        <v>647</v>
      </c>
      <c r="W19" s="2918">
        <v>3</v>
      </c>
      <c r="X19" s="10757" t="str">
        <f>IF(AH12,"",IF(AO19&lt;&gt;"",ROUND(AO19,0),Adj_Gross_Inc))</f>
        <v/>
      </c>
      <c r="Y19" s="10815"/>
      <c r="Z19" s="10815"/>
      <c r="AA19" s="10815"/>
      <c r="AB19" s="10815"/>
      <c r="AC19" s="10865"/>
      <c r="AD19" s="2924"/>
      <c r="AE19" s="512"/>
      <c r="AF19" s="512"/>
      <c r="AG19" s="512"/>
      <c r="AH19" s="512"/>
      <c r="AI19" s="512"/>
      <c r="AJ19" s="512"/>
      <c r="AK19" s="2013"/>
      <c r="AL19" s="2013"/>
      <c r="AM19" s="2013"/>
      <c r="AN19" s="253"/>
      <c r="AO19" s="1112"/>
      <c r="AP19" s="253"/>
      <c r="AQ19" s="658"/>
      <c r="AR19" s="658"/>
      <c r="AS19" s="658"/>
      <c r="AT19" s="658"/>
      <c r="AU19" s="658"/>
      <c r="AV19" s="658"/>
      <c r="AW19" s="658"/>
      <c r="AX19" s="658"/>
      <c r="AY19" s="658"/>
      <c r="AZ19" s="658"/>
      <c r="BA19"/>
      <c r="BB19"/>
    </row>
    <row r="20" spans="1:54" s="815" customFormat="1" ht="15">
      <c r="A20" s="2013"/>
      <c r="B20" s="253"/>
      <c r="C20" s="4527" t="s">
        <v>235</v>
      </c>
      <c r="D20" s="511" t="s">
        <v>5050</v>
      </c>
      <c r="E20" s="253"/>
      <c r="F20" s="253"/>
      <c r="G20" s="253"/>
      <c r="H20" s="253"/>
      <c r="I20" s="253"/>
      <c r="J20" s="253"/>
      <c r="K20" s="253"/>
      <c r="L20" s="253"/>
      <c r="M20" s="253"/>
      <c r="N20" s="1469" t="s">
        <v>5051</v>
      </c>
      <c r="O20" s="511" t="s">
        <v>4212</v>
      </c>
      <c r="P20" s="253"/>
      <c r="Q20" s="253"/>
      <c r="R20" s="253"/>
      <c r="S20" s="253"/>
      <c r="T20" s="253"/>
      <c r="U20" s="253"/>
      <c r="V20" s="253"/>
      <c r="W20" s="2922"/>
      <c r="X20" s="11178"/>
      <c r="Y20" s="11179"/>
      <c r="Z20" s="11179"/>
      <c r="AA20" s="11179"/>
      <c r="AB20" s="11179"/>
      <c r="AC20" s="11180"/>
      <c r="AD20" s="2924"/>
      <c r="AE20" s="11151" t="b">
        <f>OR(X21="",X21&lt;=0)</f>
        <v>1</v>
      </c>
      <c r="AF20" s="8824"/>
      <c r="AG20" s="8824"/>
      <c r="AH20" s="8824"/>
      <c r="AI20" s="8824"/>
      <c r="AJ20" s="8824"/>
      <c r="AK20" s="2013"/>
      <c r="AL20" s="2013"/>
      <c r="AM20" s="2013"/>
      <c r="AN20" s="253"/>
      <c r="AO20" s="253"/>
      <c r="AP20" s="4521"/>
      <c r="AQ20" s="658"/>
      <c r="AR20" s="658"/>
      <c r="AS20" s="658"/>
      <c r="AT20" s="658"/>
      <c r="AU20" s="658"/>
      <c r="AV20" s="658"/>
      <c r="AW20" s="658"/>
      <c r="AX20" s="658"/>
      <c r="AY20" s="658"/>
      <c r="AZ20" s="658"/>
      <c r="BA20"/>
      <c r="BB20"/>
    </row>
    <row r="21" spans="1:54" s="815" customFormat="1" ht="14.25" customHeight="1">
      <c r="A21" s="2013"/>
      <c r="B21" s="253"/>
      <c r="C21" s="362"/>
      <c r="D21" s="511" t="s">
        <v>4213</v>
      </c>
      <c r="E21" s="253"/>
      <c r="F21" s="253"/>
      <c r="G21" s="253"/>
      <c r="H21" s="253"/>
      <c r="I21" s="253"/>
      <c r="J21" s="253"/>
      <c r="K21" s="253"/>
      <c r="L21" s="253"/>
      <c r="M21" s="253"/>
      <c r="N21" s="253"/>
      <c r="O21" s="253"/>
      <c r="P21" s="253"/>
      <c r="Q21" s="253"/>
      <c r="R21" s="253"/>
      <c r="S21" s="253"/>
      <c r="T21" s="253"/>
      <c r="U21" s="253"/>
      <c r="V21" s="1401" t="s">
        <v>647</v>
      </c>
      <c r="W21" s="2918">
        <v>4</v>
      </c>
      <c r="X21" s="10757" t="str">
        <f>IF(AH12,"",SUM(X16,-X19))</f>
        <v/>
      </c>
      <c r="Y21" s="10815"/>
      <c r="Z21" s="10815"/>
      <c r="AA21" s="10815"/>
      <c r="AB21" s="10815"/>
      <c r="AC21" s="10865"/>
      <c r="AD21" s="2924"/>
      <c r="AE21" s="11151"/>
      <c r="AF21" s="8824"/>
      <c r="AG21" s="8824"/>
      <c r="AH21" s="8824"/>
      <c r="AI21" s="8824"/>
      <c r="AJ21" s="8824"/>
      <c r="AK21" s="2013"/>
      <c r="AL21" s="2013"/>
      <c r="AM21" s="2013"/>
      <c r="AN21" s="253"/>
      <c r="AO21" s="253"/>
      <c r="AP21" s="253"/>
      <c r="AQ21" s="658"/>
      <c r="AR21" s="658"/>
      <c r="AS21" s="658"/>
      <c r="AT21" s="658"/>
      <c r="AU21" s="658"/>
      <c r="AV21" s="658"/>
      <c r="AW21" s="658"/>
      <c r="AX21" s="658"/>
      <c r="AY21" s="658"/>
      <c r="AZ21" s="658"/>
      <c r="BA21"/>
      <c r="BB21"/>
    </row>
    <row r="22" spans="1:54" s="815" customFormat="1" ht="6.75" customHeight="1">
      <c r="A22" s="2013"/>
      <c r="B22" s="253"/>
      <c r="C22" s="362"/>
      <c r="D22" s="253"/>
      <c r="E22" s="253"/>
      <c r="F22" s="253"/>
      <c r="G22" s="253"/>
      <c r="H22" s="253"/>
      <c r="I22" s="253"/>
      <c r="J22" s="253"/>
      <c r="K22" s="253"/>
      <c r="L22" s="253"/>
      <c r="M22" s="253"/>
      <c r="N22" s="253"/>
      <c r="O22" s="253"/>
      <c r="P22" s="253"/>
      <c r="Q22" s="253"/>
      <c r="R22" s="253"/>
      <c r="S22" s="253"/>
      <c r="T22" s="253"/>
      <c r="U22" s="253"/>
      <c r="V22" s="253"/>
      <c r="W22" s="2922"/>
      <c r="X22" s="253"/>
      <c r="Y22" s="253"/>
      <c r="Z22" s="253"/>
      <c r="AA22" s="253"/>
      <c r="AB22" s="253"/>
      <c r="AC22" s="253"/>
      <c r="AD22" s="2924"/>
      <c r="AE22" s="512"/>
      <c r="AF22" s="512"/>
      <c r="AG22" s="512"/>
      <c r="AH22" s="512"/>
      <c r="AI22" s="512"/>
      <c r="AJ22" s="512"/>
      <c r="AK22" s="2013"/>
      <c r="AL22" s="2013"/>
      <c r="AM22" s="2013"/>
      <c r="AN22" s="253"/>
      <c r="AO22" s="253"/>
      <c r="AP22" s="253"/>
      <c r="AQ22" s="658"/>
      <c r="AR22" s="658"/>
      <c r="AS22" s="658"/>
      <c r="AT22" s="658"/>
      <c r="AU22" s="658"/>
      <c r="AV22" s="658"/>
      <c r="AW22" s="658"/>
      <c r="AX22" s="658"/>
      <c r="AY22" s="658"/>
      <c r="AZ22" s="658"/>
      <c r="BA22"/>
      <c r="BB22"/>
    </row>
    <row r="23" spans="1:54" s="815" customFormat="1" ht="15.75" customHeight="1">
      <c r="A23" s="2013"/>
      <c r="B23" s="253"/>
      <c r="C23" s="4527" t="s">
        <v>237</v>
      </c>
      <c r="D23" s="511" t="str">
        <f>"Enter: "&amp;TEXT(AE23,"$0,000")&amp;" if married filing jointly; "&amp;TEXT(AE24,"$0,000")&amp;" if single, head of household, or"</f>
        <v>Enter: $20,000 if married filing jointly; $10,000 if single, head of household, or</v>
      </c>
      <c r="E23" s="253"/>
      <c r="F23" s="253"/>
      <c r="G23" s="253"/>
      <c r="H23" s="253"/>
      <c r="I23" s="253"/>
      <c r="J23" s="253"/>
      <c r="K23" s="253"/>
      <c r="L23" s="253"/>
      <c r="M23" s="253"/>
      <c r="N23" s="253"/>
      <c r="O23" s="253"/>
      <c r="P23" s="253"/>
      <c r="Q23" s="253"/>
      <c r="R23" s="253"/>
      <c r="S23" s="253"/>
      <c r="T23" s="253"/>
      <c r="U23" s="253"/>
      <c r="V23" s="253"/>
      <c r="W23" s="2922"/>
      <c r="X23" s="408"/>
      <c r="Y23" s="253"/>
      <c r="Z23" s="253"/>
      <c r="AA23" s="253"/>
      <c r="AB23" s="253"/>
      <c r="AC23" s="409"/>
      <c r="AD23" s="2924"/>
      <c r="AE23" s="8995">
        <v>20000</v>
      </c>
      <c r="AF23" s="11154"/>
      <c r="AG23" s="11154"/>
      <c r="AH23" s="11154"/>
      <c r="AI23" s="11154"/>
      <c r="AJ23" s="11154"/>
      <c r="AK23" s="2013"/>
      <c r="AL23" s="2013"/>
      <c r="AM23" s="2013"/>
      <c r="AN23" s="817"/>
      <c r="AO23" s="817"/>
      <c r="AP23" s="253"/>
      <c r="AQ23" s="658"/>
      <c r="AR23" s="658"/>
      <c r="AS23" s="658"/>
      <c r="AT23" s="658"/>
      <c r="AU23" s="658"/>
      <c r="AV23" s="658"/>
      <c r="AW23" s="658"/>
      <c r="AX23" s="658"/>
      <c r="AY23" s="658"/>
      <c r="AZ23" s="658"/>
      <c r="BA23"/>
      <c r="BB23"/>
    </row>
    <row r="24" spans="1:54" s="815" customFormat="1" ht="15" customHeight="1">
      <c r="A24" s="2013"/>
      <c r="B24" s="253"/>
      <c r="C24" s="4527"/>
      <c r="D24" s="511" t="s">
        <v>4214</v>
      </c>
      <c r="E24" s="253"/>
      <c r="F24" s="253"/>
      <c r="G24" s="253"/>
      <c r="H24" s="253"/>
      <c r="I24" s="253"/>
      <c r="J24" s="253"/>
      <c r="K24" s="253"/>
      <c r="L24" s="253"/>
      <c r="M24" s="253"/>
      <c r="N24" s="253"/>
      <c r="O24" s="253"/>
      <c r="P24" s="253"/>
      <c r="Q24" s="253"/>
      <c r="R24" s="253"/>
      <c r="S24" s="253"/>
      <c r="T24" s="253"/>
      <c r="U24" s="253"/>
      <c r="V24" s="1401" t="s">
        <v>617</v>
      </c>
      <c r="W24" s="2918" t="s">
        <v>237</v>
      </c>
      <c r="X24" s="10757" t="str">
        <f>IF(OR(AH12,AE20),"",IF(File_Marr_Joint&lt;&gt;"",AE23,AE24))</f>
        <v/>
      </c>
      <c r="Y24" s="10815"/>
      <c r="Z24" s="10815"/>
      <c r="AA24" s="10815"/>
      <c r="AB24" s="10815"/>
      <c r="AC24" s="10865"/>
      <c r="AD24" s="2924"/>
      <c r="AE24" s="8995">
        <v>10000</v>
      </c>
      <c r="AF24" s="11154"/>
      <c r="AG24" s="11154"/>
      <c r="AH24" s="11154"/>
      <c r="AI24" s="11154"/>
      <c r="AJ24" s="11154"/>
      <c r="AK24" s="2013"/>
      <c r="AL24" s="2013"/>
      <c r="AM24" s="2013"/>
      <c r="AN24" s="253"/>
      <c r="AO24" s="253"/>
      <c r="AP24" s="253"/>
      <c r="AQ24" s="658"/>
      <c r="AR24" s="658"/>
      <c r="AS24" s="658"/>
      <c r="AT24" s="658"/>
      <c r="AU24" s="658"/>
      <c r="AV24" s="658"/>
      <c r="AW24" s="658"/>
      <c r="AX24" s="658"/>
      <c r="AY24" s="658"/>
      <c r="AZ24" s="658"/>
      <c r="BA24"/>
      <c r="BB24"/>
    </row>
    <row r="25" spans="1:54" s="815" customFormat="1" ht="17.25" customHeight="1">
      <c r="A25" s="2013"/>
      <c r="B25" s="253"/>
      <c r="C25" s="4527" t="s">
        <v>239</v>
      </c>
      <c r="D25" s="511" t="s">
        <v>4215</v>
      </c>
      <c r="E25" s="349"/>
      <c r="F25" s="253"/>
      <c r="G25" s="253"/>
      <c r="H25" s="253"/>
      <c r="I25" s="253"/>
      <c r="J25" s="253"/>
      <c r="K25" s="253"/>
      <c r="L25" s="253"/>
      <c r="M25" s="253"/>
      <c r="N25" s="253"/>
      <c r="O25" s="253"/>
      <c r="P25" s="253"/>
      <c r="Q25" s="253"/>
      <c r="R25" s="253"/>
      <c r="S25" s="253"/>
      <c r="T25" s="253"/>
      <c r="U25" s="253"/>
      <c r="V25" s="253"/>
      <c r="W25" s="253"/>
      <c r="X25" s="253"/>
      <c r="Y25" s="253"/>
      <c r="Z25" s="253"/>
      <c r="AA25" s="253"/>
      <c r="AB25" s="253"/>
      <c r="AC25" s="253"/>
      <c r="AD25" s="2924"/>
      <c r="AE25" s="512"/>
      <c r="AF25" s="512"/>
      <c r="AG25" s="512"/>
      <c r="AH25" s="512"/>
      <c r="AI25" s="512"/>
      <c r="AJ25" s="512"/>
      <c r="AK25" s="2013"/>
      <c r="AL25" s="2013"/>
      <c r="AM25" s="2013"/>
      <c r="AN25" s="253"/>
      <c r="AO25" s="253"/>
      <c r="AP25" s="253"/>
      <c r="AQ25" s="658"/>
      <c r="AR25" s="658"/>
      <c r="AS25" s="658"/>
      <c r="AT25" s="658"/>
      <c r="AU25" s="658"/>
      <c r="AV25" s="658"/>
      <c r="AW25" s="658"/>
      <c r="AX25" s="658"/>
      <c r="AY25" s="658"/>
      <c r="AZ25" s="658"/>
      <c r="BA25"/>
      <c r="BB25"/>
    </row>
    <row r="26" spans="1:54" s="815" customFormat="1" ht="14.25" customHeight="1" thickBot="1">
      <c r="A26" s="2013"/>
      <c r="B26" s="253"/>
      <c r="C26" s="362"/>
      <c r="D26" s="873" t="s">
        <v>1554</v>
      </c>
      <c r="E26" s="511" t="s">
        <v>4216</v>
      </c>
      <c r="F26" s="253"/>
      <c r="G26" s="253"/>
      <c r="H26" s="253"/>
      <c r="I26" s="253"/>
      <c r="J26" s="253"/>
      <c r="K26" s="253"/>
      <c r="L26" s="253"/>
      <c r="M26" s="253"/>
      <c r="N26" s="253"/>
      <c r="O26" s="253"/>
      <c r="P26" s="253"/>
      <c r="Q26" s="253"/>
      <c r="R26" s="253"/>
      <c r="S26" s="253"/>
      <c r="T26" s="253"/>
      <c r="U26" s="253"/>
      <c r="V26" s="253"/>
      <c r="W26" s="1401" t="s">
        <v>2513</v>
      </c>
      <c r="X26" s="253"/>
      <c r="Y26" s="253"/>
      <c r="Z26" s="253"/>
      <c r="AA26" s="253"/>
      <c r="AB26" s="253"/>
      <c r="AC26" s="253"/>
      <c r="AD26" s="2924"/>
      <c r="AE26" s="512"/>
      <c r="AF26" s="512"/>
      <c r="AG26" s="512"/>
      <c r="AH26" s="512"/>
      <c r="AI26" s="512"/>
      <c r="AJ26" s="512"/>
      <c r="AK26" s="2013"/>
      <c r="AL26" s="2013"/>
      <c r="AM26" s="2013"/>
      <c r="AN26" s="253"/>
      <c r="AO26" s="253"/>
      <c r="AP26" s="253"/>
      <c r="AQ26" s="658"/>
      <c r="AR26" s="658"/>
      <c r="AS26" s="658"/>
      <c r="AT26" s="658"/>
      <c r="AU26" s="658"/>
      <c r="AV26" s="658"/>
      <c r="AW26" s="658"/>
      <c r="AX26" s="658"/>
      <c r="AY26" s="658"/>
      <c r="AZ26" s="658"/>
      <c r="BA26"/>
      <c r="BB26"/>
    </row>
    <row r="27" spans="1:54" s="815" customFormat="1" ht="17.25" customHeight="1" thickBot="1">
      <c r="A27" s="2013"/>
      <c r="B27" s="253"/>
      <c r="C27" s="362"/>
      <c r="D27" s="873" t="s">
        <v>1554</v>
      </c>
      <c r="E27" s="511" t="s">
        <v>4217</v>
      </c>
      <c r="F27" s="253"/>
      <c r="G27" s="253"/>
      <c r="H27" s="253"/>
      <c r="I27" s="253"/>
      <c r="J27" s="253"/>
      <c r="K27" s="253"/>
      <c r="L27" s="253"/>
      <c r="M27" s="253"/>
      <c r="N27" s="253"/>
      <c r="O27" s="253"/>
      <c r="P27" s="253"/>
      <c r="Q27" s="253"/>
      <c r="R27" s="253"/>
      <c r="S27" s="253"/>
      <c r="T27" s="253"/>
      <c r="U27" s="253"/>
      <c r="V27" s="253"/>
      <c r="W27" s="253"/>
      <c r="X27" s="253"/>
      <c r="Y27" s="253"/>
      <c r="Z27" s="253"/>
      <c r="AA27" s="253"/>
      <c r="AB27" s="253"/>
      <c r="AC27" s="1401" t="s">
        <v>631</v>
      </c>
      <c r="AD27" s="2918" t="s">
        <v>239</v>
      </c>
      <c r="AE27" s="11155" t="str">
        <f>IF(OR(AH12,AE20),"",IF(AO27&lt;&gt;"",ROUND(AO27,3),IF(X21&gt;=X24,1,ROUND(X21/X24,3))))</f>
        <v/>
      </c>
      <c r="AF27" s="11156"/>
      <c r="AG27" s="11156"/>
      <c r="AH27" s="11156"/>
      <c r="AI27" s="11156"/>
      <c r="AJ27" s="11156"/>
      <c r="AK27" s="2013"/>
      <c r="AL27" s="2013"/>
      <c r="AM27" s="2013"/>
      <c r="AN27" s="253"/>
      <c r="AO27" s="1112"/>
      <c r="AP27" s="253"/>
      <c r="AQ27" s="658"/>
      <c r="AR27" s="658"/>
      <c r="AS27" s="658"/>
      <c r="AT27" s="658"/>
      <c r="AU27" s="658"/>
      <c r="AV27" s="658"/>
      <c r="AW27" s="658"/>
      <c r="AX27" s="658"/>
      <c r="AY27" s="658"/>
      <c r="AZ27" s="658"/>
      <c r="BA27"/>
      <c r="BB27"/>
    </row>
    <row r="28" spans="1:54" s="815" customFormat="1" ht="13.5" customHeight="1">
      <c r="A28" s="2013"/>
      <c r="B28" s="253"/>
      <c r="C28" s="362"/>
      <c r="D28" s="511"/>
      <c r="E28" s="511" t="s">
        <v>4218</v>
      </c>
      <c r="F28" s="253"/>
      <c r="G28" s="253"/>
      <c r="H28" s="253"/>
      <c r="I28" s="253"/>
      <c r="J28" s="253"/>
      <c r="K28" s="253"/>
      <c r="L28" s="253"/>
      <c r="M28" s="253"/>
      <c r="N28" s="253"/>
      <c r="O28" s="253"/>
      <c r="P28" s="253"/>
      <c r="Q28" s="253"/>
      <c r="R28" s="253"/>
      <c r="S28" s="253"/>
      <c r="T28" s="253"/>
      <c r="U28" s="253"/>
      <c r="V28" s="253"/>
      <c r="W28" s="1401" t="s">
        <v>4219</v>
      </c>
      <c r="X28" s="253"/>
      <c r="Y28" s="253"/>
      <c r="Z28" s="253"/>
      <c r="AA28" s="253"/>
      <c r="AB28" s="253"/>
      <c r="AC28" s="253"/>
      <c r="AD28" s="2924"/>
      <c r="AE28" s="253"/>
      <c r="AF28" s="253"/>
      <c r="AG28" s="253"/>
      <c r="AH28" s="253"/>
      <c r="AI28" s="253"/>
      <c r="AJ28" s="253"/>
      <c r="AK28" s="2013"/>
      <c r="AL28" s="2013"/>
      <c r="AM28" s="2013"/>
      <c r="AN28" s="253"/>
      <c r="AO28" s="253"/>
      <c r="AP28" s="253"/>
      <c r="AQ28" s="658"/>
      <c r="AR28" s="658"/>
      <c r="AS28" s="658"/>
      <c r="AT28" s="658"/>
      <c r="AU28" s="658"/>
      <c r="AV28" s="658"/>
      <c r="AW28" s="658"/>
      <c r="AX28" s="658"/>
      <c r="AY28" s="658"/>
      <c r="AZ28" s="658"/>
      <c r="BA28"/>
      <c r="BB28"/>
    </row>
    <row r="29" spans="1:54" s="815" customFormat="1" ht="13.5" customHeight="1">
      <c r="A29" s="2013"/>
      <c r="B29" s="253"/>
      <c r="C29" s="4527" t="s">
        <v>242</v>
      </c>
      <c r="D29" s="511" t="s">
        <v>4220</v>
      </c>
      <c r="E29" s="253"/>
      <c r="F29" s="253"/>
      <c r="G29" s="253"/>
      <c r="H29" s="253"/>
      <c r="I29" s="253"/>
      <c r="J29" s="253"/>
      <c r="K29" s="253"/>
      <c r="L29" s="253"/>
      <c r="M29" s="253"/>
      <c r="N29" s="253"/>
      <c r="O29" s="253"/>
      <c r="P29" s="253"/>
      <c r="Q29" s="253"/>
      <c r="R29" s="253"/>
      <c r="S29" s="253"/>
      <c r="T29" s="253"/>
      <c r="U29" s="253"/>
      <c r="V29" s="253"/>
      <c r="W29" s="253"/>
      <c r="X29" s="253"/>
      <c r="Y29" s="253"/>
      <c r="Z29" s="253"/>
      <c r="AA29" s="253"/>
      <c r="AB29" s="253"/>
      <c r="AC29" s="253"/>
      <c r="AD29" s="2924"/>
      <c r="AE29" s="253"/>
      <c r="AF29" s="253"/>
      <c r="AG29" s="253"/>
      <c r="AH29" s="253"/>
      <c r="AI29" s="253"/>
      <c r="AJ29" s="253"/>
      <c r="AK29" s="2013"/>
      <c r="AL29" s="2013"/>
      <c r="AM29" s="2013"/>
      <c r="AN29" s="253"/>
      <c r="AO29" s="253"/>
      <c r="AP29" s="253"/>
      <c r="AQ29" s="658"/>
      <c r="AR29" s="658"/>
      <c r="AS29" s="658"/>
      <c r="AT29" s="658"/>
      <c r="AU29" s="658"/>
      <c r="AV29" s="658"/>
      <c r="AW29" s="658"/>
      <c r="AX29" s="658"/>
      <c r="AY29" s="658"/>
      <c r="AZ29" s="658"/>
      <c r="BA29"/>
      <c r="BB29"/>
    </row>
    <row r="30" spans="1:54" s="815" customFormat="1" ht="15" customHeight="1" thickBot="1">
      <c r="A30" s="2013"/>
      <c r="B30" s="253"/>
      <c r="C30" s="362"/>
      <c r="D30" s="511" t="s">
        <v>4221</v>
      </c>
      <c r="E30" s="253"/>
      <c r="F30" s="253"/>
      <c r="G30" s="253"/>
      <c r="H30" s="253"/>
      <c r="I30" s="253"/>
      <c r="J30" s="253"/>
      <c r="K30" s="253"/>
      <c r="L30" s="253"/>
      <c r="M30" s="253"/>
      <c r="N30" s="253"/>
      <c r="O30" s="253"/>
      <c r="P30" s="253"/>
      <c r="Q30" s="253"/>
      <c r="R30" s="253"/>
      <c r="S30" s="253"/>
      <c r="T30" s="253"/>
      <c r="U30" s="253"/>
      <c r="V30" s="253"/>
      <c r="W30" s="253"/>
      <c r="X30" s="253"/>
      <c r="Y30" s="253"/>
      <c r="Z30" s="253"/>
      <c r="AA30" s="253"/>
      <c r="AB30" s="253"/>
      <c r="AC30" s="253"/>
      <c r="AD30" s="2924"/>
      <c r="AE30" s="11151" t="b">
        <f>AB31&lt;&gt;""</f>
        <v>0</v>
      </c>
      <c r="AF30" s="8824"/>
      <c r="AG30" s="8824"/>
      <c r="AH30" s="8824"/>
      <c r="AI30" s="8824"/>
      <c r="AJ30" s="8824"/>
      <c r="AK30" s="2013"/>
      <c r="AL30" s="2013"/>
      <c r="AM30" s="2013"/>
      <c r="AN30" s="253"/>
      <c r="AO30" s="253"/>
      <c r="AP30" s="253"/>
      <c r="AQ30" s="658"/>
      <c r="AR30" s="658"/>
      <c r="AS30" s="658"/>
      <c r="AT30" s="658"/>
      <c r="AU30" s="658"/>
      <c r="AV30" s="658"/>
      <c r="AW30" s="658"/>
      <c r="AX30" s="658"/>
      <c r="AY30" s="658"/>
      <c r="AZ30" s="658"/>
      <c r="BA30"/>
      <c r="BB30"/>
    </row>
    <row r="31" spans="1:54" s="815" customFormat="1" ht="15" customHeight="1" thickBot="1">
      <c r="A31" s="2013"/>
      <c r="B31" s="253"/>
      <c r="C31" s="362"/>
      <c r="D31" s="511" t="s">
        <v>4222</v>
      </c>
      <c r="E31" s="253"/>
      <c r="F31" s="253"/>
      <c r="G31" s="253"/>
      <c r="H31" s="253"/>
      <c r="I31" s="253"/>
      <c r="J31" s="253"/>
      <c r="K31" s="253"/>
      <c r="L31" s="253"/>
      <c r="M31" s="253"/>
      <c r="N31" s="253"/>
      <c r="O31" s="253"/>
      <c r="P31" s="253"/>
      <c r="Q31" s="253"/>
      <c r="R31" s="253"/>
      <c r="S31" s="253"/>
      <c r="T31" s="253"/>
      <c r="U31" s="253"/>
      <c r="V31" s="253"/>
      <c r="W31" s="253"/>
      <c r="X31" s="253"/>
      <c r="Y31" s="253"/>
      <c r="Z31" s="1401" t="s">
        <v>601</v>
      </c>
      <c r="AA31" s="1401"/>
      <c r="AB31" s="277"/>
      <c r="AC31" s="253"/>
      <c r="AD31" s="2895">
        <v>7</v>
      </c>
      <c r="AE31" s="10757" t="str">
        <f>IF(OR(AH12,AE20),"",ROUND(AE14*AE27,0))</f>
        <v/>
      </c>
      <c r="AF31" s="10815"/>
      <c r="AG31" s="10815"/>
      <c r="AH31" s="10815"/>
      <c r="AI31" s="10815"/>
      <c r="AJ31" s="10815"/>
      <c r="AK31" s="2013"/>
      <c r="AL31" s="2013"/>
      <c r="AM31" s="2013"/>
      <c r="AN31" s="253"/>
      <c r="AO31" s="253"/>
      <c r="AP31" s="253"/>
      <c r="AQ31" s="658"/>
      <c r="AR31" s="658"/>
      <c r="AS31" s="658"/>
      <c r="AT31" s="658"/>
      <c r="AU31" s="658"/>
      <c r="AV31" s="658"/>
      <c r="AW31" s="658"/>
      <c r="AX31" s="658"/>
      <c r="AY31" s="658"/>
      <c r="AZ31" s="658"/>
      <c r="BA31"/>
      <c r="BB31"/>
    </row>
    <row r="32" spans="1:54" s="815" customFormat="1" ht="15" customHeight="1" thickBot="1">
      <c r="A32" s="2013"/>
      <c r="B32" s="253"/>
      <c r="C32" s="4527" t="s">
        <v>244</v>
      </c>
      <c r="D32" s="810" t="s">
        <v>4223</v>
      </c>
      <c r="E32" s="253"/>
      <c r="F32" s="253"/>
      <c r="G32" s="253"/>
      <c r="H32" s="253"/>
      <c r="I32" s="253"/>
      <c r="J32" s="253"/>
      <c r="K32" s="253"/>
      <c r="L32" s="253"/>
      <c r="M32" s="253"/>
      <c r="N32" s="511"/>
      <c r="O32" s="511" t="str">
        <f>"Multiply line 7 by "&amp;TEXT(AE32,"0%")&amp;" ("&amp;TEXT(AE32,"0.00")&amp;"). Enter the amount here and"</f>
        <v>Multiply line 7 by 40% (0.40). Enter the amount here and</v>
      </c>
      <c r="P32" s="253"/>
      <c r="Q32" s="253"/>
      <c r="R32" s="253"/>
      <c r="S32" s="253"/>
      <c r="T32" s="253"/>
      <c r="U32" s="253"/>
      <c r="V32" s="253"/>
      <c r="W32" s="253"/>
      <c r="X32" s="253"/>
      <c r="Y32" s="253"/>
      <c r="Z32" s="253"/>
      <c r="AA32" s="253"/>
      <c r="AB32" s="253"/>
      <c r="AC32" s="253"/>
      <c r="AD32" s="726"/>
      <c r="AE32" s="10751">
        <v>0.4</v>
      </c>
      <c r="AF32" s="10752"/>
      <c r="AG32" s="10752"/>
      <c r="AH32" s="10752"/>
      <c r="AI32" s="10752"/>
      <c r="AJ32" s="10752"/>
      <c r="AK32" s="2013"/>
      <c r="AL32" s="2013"/>
      <c r="AM32" s="2013"/>
      <c r="AN32" s="817"/>
      <c r="AO32" s="817"/>
      <c r="AP32" s="253"/>
      <c r="AQ32" s="658"/>
      <c r="AR32" s="658"/>
      <c r="AS32" s="658"/>
      <c r="AT32" s="658"/>
      <c r="AU32" s="658"/>
      <c r="AV32" s="658"/>
      <c r="AW32" s="658"/>
      <c r="AX32" s="658"/>
      <c r="AY32" s="658"/>
      <c r="AZ32" s="658"/>
      <c r="BA32"/>
      <c r="BB32"/>
    </row>
    <row r="33" spans="1:54" s="815" customFormat="1" ht="18.75" customHeight="1" thickBot="1">
      <c r="A33" s="2013"/>
      <c r="B33" s="380"/>
      <c r="C33" s="380"/>
      <c r="D33" s="4532" t="s">
        <v>4224</v>
      </c>
      <c r="E33" s="380"/>
      <c r="F33" s="380"/>
      <c r="G33" s="380"/>
      <c r="H33" s="380"/>
      <c r="I33" s="380"/>
      <c r="J33" s="380"/>
      <c r="K33" s="380"/>
      <c r="L33" s="380"/>
      <c r="M33" s="380"/>
      <c r="N33" s="380"/>
      <c r="O33" s="380"/>
      <c r="P33" s="380"/>
      <c r="Q33" s="380"/>
      <c r="R33" s="380"/>
      <c r="S33" s="380"/>
      <c r="T33" s="380"/>
      <c r="U33" s="380"/>
      <c r="V33" s="380"/>
      <c r="W33" s="380"/>
      <c r="X33" s="380"/>
      <c r="Y33" s="380"/>
      <c r="Z33" s="380"/>
      <c r="AA33" s="380"/>
      <c r="AB33" s="380"/>
      <c r="AC33" s="4533" t="s">
        <v>1876</v>
      </c>
      <c r="AD33" s="3840">
        <v>8</v>
      </c>
      <c r="AE33" s="11086" t="str">
        <f>IF(AO33&lt;&gt;"",ROUND(AO33,0),IF(OR(AH12,AE20,AE30),"",ROUND(AE31*AE32,0)))</f>
        <v/>
      </c>
      <c r="AF33" s="11181"/>
      <c r="AG33" s="11181"/>
      <c r="AH33" s="11181"/>
      <c r="AI33" s="11181"/>
      <c r="AJ33" s="11181"/>
      <c r="AK33" s="2013"/>
      <c r="AL33" s="2013"/>
      <c r="AM33" s="2013"/>
      <c r="AN33" s="344"/>
      <c r="AO33" s="1112"/>
      <c r="AP33" s="253"/>
      <c r="AQ33" s="658"/>
      <c r="AR33" s="658"/>
      <c r="AS33" s="658"/>
      <c r="AT33" s="658"/>
      <c r="AU33" s="658"/>
      <c r="AV33" s="658"/>
      <c r="AW33" s="658"/>
      <c r="AX33" s="658"/>
      <c r="AY33" s="658"/>
      <c r="AZ33" s="658"/>
      <c r="BA33"/>
      <c r="BB33"/>
    </row>
    <row r="34" spans="1:54" s="815" customFormat="1" ht="18.75" customHeight="1">
      <c r="A34" s="2013"/>
      <c r="B34" s="11152" t="s">
        <v>868</v>
      </c>
      <c r="C34" s="11152"/>
      <c r="D34" s="4534" t="s">
        <v>4225</v>
      </c>
      <c r="E34" s="413"/>
      <c r="F34" s="413"/>
      <c r="G34" s="773"/>
      <c r="H34" s="773"/>
      <c r="I34" s="773"/>
      <c r="J34" s="773"/>
      <c r="K34" s="773"/>
      <c r="L34" s="773"/>
      <c r="M34" s="413"/>
      <c r="N34" s="413"/>
      <c r="O34" s="413"/>
      <c r="P34" s="413"/>
      <c r="Q34" s="413"/>
      <c r="R34" s="413"/>
      <c r="S34" s="773"/>
      <c r="T34" s="773"/>
      <c r="U34" s="773"/>
      <c r="V34" s="773"/>
      <c r="W34" s="773"/>
      <c r="X34" s="773"/>
      <c r="Y34" s="773"/>
      <c r="Z34" s="773"/>
      <c r="AA34" s="773"/>
      <c r="AB34" s="773"/>
      <c r="AC34" s="413"/>
      <c r="AD34" s="773"/>
      <c r="AE34" s="773"/>
      <c r="AF34" s="773"/>
      <c r="AG34" s="773"/>
      <c r="AH34" s="773"/>
      <c r="AI34" s="773"/>
      <c r="AJ34" s="773"/>
      <c r="AK34" s="2013"/>
      <c r="AL34" s="2013"/>
      <c r="AM34" s="2013"/>
      <c r="AN34" s="253"/>
      <c r="AO34" s="253"/>
      <c r="AP34" s="253"/>
      <c r="AQ34" s="658"/>
      <c r="AR34" s="658"/>
      <c r="AS34" s="658"/>
      <c r="AT34" s="658"/>
      <c r="AU34" s="658"/>
      <c r="AV34" s="658"/>
      <c r="AW34" s="658"/>
      <c r="AX34" s="658"/>
      <c r="AY34" s="658"/>
      <c r="AZ34" s="658"/>
      <c r="BA34"/>
      <c r="BB34"/>
    </row>
    <row r="35" spans="1:54" s="815" customFormat="1" ht="16.5" customHeight="1">
      <c r="A35" s="2013"/>
      <c r="B35" s="253"/>
      <c r="C35" s="2022" t="s">
        <v>377</v>
      </c>
      <c r="D35" s="511" t="s">
        <v>4226</v>
      </c>
      <c r="E35" s="511"/>
      <c r="F35" s="253"/>
      <c r="G35" s="253"/>
      <c r="H35" s="253"/>
      <c r="I35" s="253"/>
      <c r="J35" s="253"/>
      <c r="K35" s="253"/>
      <c r="L35" s="253"/>
      <c r="M35" s="253"/>
      <c r="N35" s="253"/>
      <c r="O35" s="253"/>
      <c r="P35" s="253"/>
      <c r="Q35" s="253"/>
      <c r="R35" s="253"/>
      <c r="S35" s="253"/>
      <c r="T35" s="253"/>
      <c r="U35" s="253"/>
      <c r="V35" s="253"/>
      <c r="W35" s="253"/>
      <c r="X35" s="253"/>
      <c r="Y35" s="253"/>
      <c r="Z35" s="253"/>
      <c r="AA35" s="253"/>
      <c r="AB35" s="253"/>
      <c r="AC35" s="2198" t="s">
        <v>636</v>
      </c>
      <c r="AD35" s="2918">
        <v>9</v>
      </c>
      <c r="AE35" s="10753" t="str">
        <f>IF(OR(AH12,AE20),"",IF(AE30,AE31,ROUND(SUM(AE31,-AE33),0)))</f>
        <v/>
      </c>
      <c r="AF35" s="11153"/>
      <c r="AG35" s="11153"/>
      <c r="AH35" s="11153"/>
      <c r="AI35" s="11153"/>
      <c r="AJ35" s="11153"/>
      <c r="AK35" s="2013"/>
      <c r="AL35" s="2013"/>
      <c r="AM35" s="2013"/>
      <c r="AN35" s="253"/>
      <c r="AO35" s="253"/>
      <c r="AP35" s="253"/>
      <c r="AQ35" s="658"/>
      <c r="AR35" s="658"/>
      <c r="AS35" s="658"/>
      <c r="AT35" s="658"/>
      <c r="AU35" s="658"/>
      <c r="AV35" s="658"/>
      <c r="AW35" s="658"/>
      <c r="AX35" s="658"/>
      <c r="AY35" s="658"/>
      <c r="AZ35" s="658"/>
      <c r="BA35"/>
      <c r="BB35"/>
    </row>
    <row r="36" spans="1:54" s="815" customFormat="1" ht="16.5" customHeight="1">
      <c r="A36" s="2013"/>
      <c r="B36" s="253"/>
      <c r="C36" s="2022" t="s">
        <v>246</v>
      </c>
      <c r="D36" s="1323" t="s">
        <v>4227</v>
      </c>
      <c r="E36" s="511"/>
      <c r="F36" s="253"/>
      <c r="G36" s="253"/>
      <c r="H36" s="253"/>
      <c r="I36" s="253"/>
      <c r="J36" s="253"/>
      <c r="K36" s="253"/>
      <c r="L36" s="253"/>
      <c r="M36" s="253"/>
      <c r="N36" s="253"/>
      <c r="O36" s="253"/>
      <c r="P36" s="253"/>
      <c r="Q36" s="253"/>
      <c r="R36" s="253"/>
      <c r="S36" s="253"/>
      <c r="T36" s="253"/>
      <c r="U36" s="253"/>
      <c r="V36" s="253"/>
      <c r="W36" s="253"/>
      <c r="X36" s="253"/>
      <c r="Y36" s="253"/>
      <c r="Z36" s="253"/>
      <c r="AA36" s="253"/>
      <c r="AB36" s="253"/>
      <c r="AC36" s="253"/>
      <c r="AD36" s="726"/>
      <c r="AE36" s="10825" t="b">
        <f>OR(AO46="",AO46=0)</f>
        <v>1</v>
      </c>
      <c r="AF36" s="10540"/>
      <c r="AG36" s="10540"/>
      <c r="AH36" s="10540"/>
      <c r="AI36" s="10540"/>
      <c r="AJ36" s="10540"/>
      <c r="AK36" s="2013"/>
      <c r="AL36" s="2013"/>
      <c r="AM36" s="2013"/>
      <c r="AN36" s="253"/>
      <c r="AO36" s="3790"/>
      <c r="AP36" s="253"/>
      <c r="AQ36" s="658"/>
      <c r="AR36" s="658"/>
      <c r="AS36" s="658"/>
      <c r="AT36" s="658"/>
      <c r="AU36" s="658"/>
      <c r="AV36" s="658"/>
      <c r="AW36" s="658"/>
      <c r="AX36" s="658"/>
      <c r="AY36" s="658"/>
      <c r="AZ36" s="658"/>
      <c r="BA36"/>
      <c r="BB36"/>
    </row>
    <row r="37" spans="1:54" s="815" customFormat="1" ht="16.5" customHeight="1">
      <c r="A37" s="2013"/>
      <c r="B37" s="253"/>
      <c r="C37" s="253"/>
      <c r="D37" s="2006" t="s">
        <v>4228</v>
      </c>
      <c r="E37" s="511"/>
      <c r="F37" s="253"/>
      <c r="G37" s="253"/>
      <c r="H37" s="253"/>
      <c r="I37" s="253"/>
      <c r="J37" s="253"/>
      <c r="K37" s="253"/>
      <c r="L37" s="253"/>
      <c r="M37" s="253"/>
      <c r="N37" s="253"/>
      <c r="O37" s="253"/>
      <c r="P37" s="253"/>
      <c r="Q37" s="253"/>
      <c r="R37" s="253"/>
      <c r="S37" s="253"/>
      <c r="T37" s="253"/>
      <c r="U37" s="253"/>
      <c r="V37" s="253"/>
      <c r="W37" s="253"/>
      <c r="X37" s="253"/>
      <c r="Y37" s="253"/>
      <c r="Z37" s="253"/>
      <c r="AA37" s="253"/>
      <c r="AB37" s="253"/>
      <c r="AC37" s="2198" t="s">
        <v>676</v>
      </c>
      <c r="AD37" s="2918">
        <v>10</v>
      </c>
      <c r="AE37" s="10753" t="str">
        <f>IF(AH12,"",IF(OR(AO46="",AO46=0),0,AO46))</f>
        <v/>
      </c>
      <c r="AF37" s="11153"/>
      <c r="AG37" s="11153"/>
      <c r="AH37" s="11153"/>
      <c r="AI37" s="11153"/>
      <c r="AJ37" s="11153"/>
      <c r="AK37" s="2013"/>
      <c r="AL37" s="2013"/>
      <c r="AM37" s="2013"/>
      <c r="AN37" s="253"/>
      <c r="AO37" s="9029" t="s">
        <v>4229</v>
      </c>
      <c r="AP37" s="253"/>
      <c r="AQ37" s="658"/>
      <c r="AR37" s="658"/>
      <c r="AS37" s="658"/>
      <c r="AT37" s="658"/>
      <c r="AU37" s="658"/>
      <c r="AV37" s="658"/>
      <c r="AW37" s="658"/>
      <c r="AX37" s="658"/>
      <c r="AY37" s="658"/>
      <c r="AZ37" s="658"/>
      <c r="BA37"/>
      <c r="BB37"/>
    </row>
    <row r="38" spans="1:54" s="815" customFormat="1" ht="16.5" customHeight="1">
      <c r="A38" s="2013"/>
      <c r="B38" s="253"/>
      <c r="C38" s="2022" t="s">
        <v>248</v>
      </c>
      <c r="D38" s="511" t="str">
        <f>"Enter the smaller of line 10 or "&amp;TEXT(Z40,"$0,000")</f>
        <v>Enter the smaller of line 10 or $10,000</v>
      </c>
      <c r="E38" s="511"/>
      <c r="F38" s="253"/>
      <c r="G38" s="253"/>
      <c r="H38" s="253"/>
      <c r="I38" s="253"/>
      <c r="J38" s="253"/>
      <c r="K38" s="253"/>
      <c r="L38" s="253"/>
      <c r="M38" s="253"/>
      <c r="N38" s="1900"/>
      <c r="O38" s="1900"/>
      <c r="P38" s="1900"/>
      <c r="Q38" s="1900"/>
      <c r="R38" s="1900"/>
      <c r="S38" s="1900"/>
      <c r="T38" s="1900"/>
      <c r="U38" s="1900"/>
      <c r="V38" s="1900"/>
      <c r="W38" s="1900"/>
      <c r="X38" s="1900"/>
      <c r="Y38" s="1900"/>
      <c r="Z38" s="1900"/>
      <c r="AA38" s="1900"/>
      <c r="AB38" s="1900"/>
      <c r="AC38" s="1938" t="s">
        <v>691</v>
      </c>
      <c r="AD38" s="2918">
        <v>11</v>
      </c>
      <c r="AE38" s="10753" t="str">
        <f>IF(OR($AE$20,$AE$36),"",MIN(AE37,Z40))</f>
        <v/>
      </c>
      <c r="AF38" s="11153"/>
      <c r="AG38" s="11153"/>
      <c r="AH38" s="11153"/>
      <c r="AI38" s="11153"/>
      <c r="AJ38" s="11153"/>
      <c r="AK38" s="2013"/>
      <c r="AL38" s="2013"/>
      <c r="AM38" s="2013"/>
      <c r="AN38" s="11170" t="s">
        <v>4203</v>
      </c>
      <c r="AO38" s="9029"/>
      <c r="AP38" s="253"/>
      <c r="AQ38" s="658"/>
      <c r="AR38" s="658"/>
      <c r="AS38" s="658"/>
      <c r="AT38" s="658"/>
      <c r="AU38" s="658"/>
      <c r="AV38" s="658"/>
      <c r="AW38" s="658"/>
      <c r="AX38" s="658"/>
      <c r="AY38" s="658"/>
      <c r="AZ38" s="658"/>
      <c r="BA38"/>
      <c r="BB38"/>
    </row>
    <row r="39" spans="1:54" s="815" customFormat="1" ht="16.5" customHeight="1">
      <c r="A39" s="2013"/>
      <c r="B39" s="253"/>
      <c r="C39" s="2022" t="s">
        <v>1020</v>
      </c>
      <c r="D39" s="511" t="str">
        <f>"Multiply line 11 by "&amp;TEXT(AB40,"0%")&amp;" ("&amp;TEXT(AB40,"0.00")&amp;")"</f>
        <v>Multiply line 11 by 20% (0.20)</v>
      </c>
      <c r="E39" s="511"/>
      <c r="F39" s="253"/>
      <c r="G39" s="253"/>
      <c r="H39" s="253"/>
      <c r="I39" s="253"/>
      <c r="J39" s="253"/>
      <c r="K39" s="253"/>
      <c r="L39" s="253"/>
      <c r="M39" s="253"/>
      <c r="N39" s="253"/>
      <c r="O39" s="253"/>
      <c r="P39" s="253"/>
      <c r="Q39" s="253"/>
      <c r="R39" s="253"/>
      <c r="S39" s="253"/>
      <c r="T39" s="253"/>
      <c r="U39" s="253"/>
      <c r="V39" s="253"/>
      <c r="W39" s="1400"/>
      <c r="X39" s="253"/>
      <c r="Y39" s="253"/>
      <c r="Z39" s="4474"/>
      <c r="AA39" s="4474"/>
      <c r="AB39" s="4474"/>
      <c r="AC39" s="1938" t="s">
        <v>2167</v>
      </c>
      <c r="AD39" s="2918">
        <v>12</v>
      </c>
      <c r="AE39" s="10753" t="str">
        <f>IF(OR($AE$20,$AE$36),"",ROUND(AE38*AB40,0))</f>
        <v/>
      </c>
      <c r="AF39" s="11153"/>
      <c r="AG39" s="11153"/>
      <c r="AH39" s="11153"/>
      <c r="AI39" s="11153"/>
      <c r="AJ39" s="11153"/>
      <c r="AK39" s="2013"/>
      <c r="AL39" s="2013"/>
      <c r="AM39" s="2013"/>
      <c r="AN39" s="7601"/>
      <c r="AO39" s="9029"/>
      <c r="AP39" s="253"/>
      <c r="AQ39" s="658"/>
      <c r="AR39" s="658"/>
      <c r="AS39" s="658"/>
      <c r="AT39" s="658"/>
      <c r="AU39" s="658"/>
      <c r="AV39" s="658"/>
      <c r="AW39" s="658"/>
      <c r="AX39" s="658"/>
      <c r="AY39" s="658"/>
      <c r="AZ39" s="658"/>
      <c r="BA39"/>
      <c r="BB39"/>
    </row>
    <row r="40" spans="1:54" s="815" customFormat="1" ht="16.5" customHeight="1">
      <c r="A40" s="2013"/>
      <c r="B40" s="253"/>
      <c r="C40" s="2022" t="s">
        <v>251</v>
      </c>
      <c r="D40" s="511" t="str">
        <f>"Enter: "&amp;TEXT(AE40,"$0,000")&amp;" if married filing jointly; "&amp;TEXT(AE41,"$0,000")&amp;" if single, head of household, or"</f>
        <v>Enter: $180,000 if married filing jointly; $90,000 if single, head of household, or</v>
      </c>
      <c r="E40" s="511"/>
      <c r="F40" s="253"/>
      <c r="G40" s="253"/>
      <c r="H40" s="253"/>
      <c r="I40" s="253"/>
      <c r="J40" s="253"/>
      <c r="K40" s="253"/>
      <c r="L40" s="253"/>
      <c r="M40" s="253"/>
      <c r="N40" s="253"/>
      <c r="O40" s="253"/>
      <c r="P40" s="253"/>
      <c r="Q40" s="253"/>
      <c r="R40" s="253"/>
      <c r="S40" s="253"/>
      <c r="T40" s="253"/>
      <c r="U40" s="253"/>
      <c r="V40" s="253"/>
      <c r="W40" s="2922"/>
      <c r="X40" s="408"/>
      <c r="Y40" s="253"/>
      <c r="Z40" s="8824">
        <v>10000</v>
      </c>
      <c r="AA40" s="8824"/>
      <c r="AB40" s="8824">
        <v>0.2</v>
      </c>
      <c r="AC40" s="10850"/>
      <c r="AD40" s="2924"/>
      <c r="AE40" s="10763">
        <v>180000</v>
      </c>
      <c r="AF40" s="10764"/>
      <c r="AG40" s="10764"/>
      <c r="AH40" s="10764"/>
      <c r="AI40" s="10764"/>
      <c r="AJ40" s="10764"/>
      <c r="AK40" s="2013"/>
      <c r="AL40" s="2013"/>
      <c r="AM40" s="2013"/>
      <c r="AN40" s="7601"/>
      <c r="AO40" s="817" t="s">
        <v>4204</v>
      </c>
      <c r="AP40" s="253"/>
      <c r="AQ40" s="658"/>
      <c r="AR40" s="658"/>
      <c r="AS40" s="658"/>
      <c r="AT40" s="658"/>
      <c r="AU40" s="658"/>
      <c r="AV40" s="658"/>
      <c r="AW40" s="658"/>
      <c r="AX40" s="658"/>
      <c r="AY40" s="658"/>
      <c r="AZ40" s="658"/>
      <c r="BA40"/>
      <c r="BB40"/>
    </row>
    <row r="41" spans="1:54" s="815" customFormat="1" ht="16.5" customHeight="1" thickBot="1">
      <c r="A41" s="2013"/>
      <c r="B41" s="253"/>
      <c r="C41" s="253"/>
      <c r="D41" s="511" t="s">
        <v>4214</v>
      </c>
      <c r="E41" s="511"/>
      <c r="F41" s="253"/>
      <c r="G41" s="253"/>
      <c r="H41" s="253"/>
      <c r="I41" s="253"/>
      <c r="J41" s="253"/>
      <c r="K41" s="253"/>
      <c r="L41" s="253"/>
      <c r="M41" s="253"/>
      <c r="N41" s="253"/>
      <c r="O41" s="253"/>
      <c r="P41" s="253"/>
      <c r="Q41" s="253"/>
      <c r="R41" s="253"/>
      <c r="S41" s="253"/>
      <c r="T41" s="253"/>
      <c r="U41" s="253"/>
      <c r="V41" s="2198" t="s">
        <v>647</v>
      </c>
      <c r="W41" s="2918" t="s">
        <v>251</v>
      </c>
      <c r="X41" s="10757" t="str">
        <f>IF(OR($AE$20,$AE$36),"",IF(File_Marr_Joint&lt;&gt;"",AE40,AE41))</f>
        <v/>
      </c>
      <c r="Y41" s="10815"/>
      <c r="Z41" s="10815"/>
      <c r="AA41" s="10815"/>
      <c r="AB41" s="10815"/>
      <c r="AC41" s="10865"/>
      <c r="AD41" s="2924"/>
      <c r="AE41" s="8995">
        <v>90000</v>
      </c>
      <c r="AF41" s="11154"/>
      <c r="AG41" s="11154"/>
      <c r="AH41" s="11154"/>
      <c r="AI41" s="11154"/>
      <c r="AJ41" s="11154"/>
      <c r="AK41" s="2013"/>
      <c r="AL41" s="2013"/>
      <c r="AM41" s="2013"/>
      <c r="AN41" s="7601"/>
      <c r="AO41" s="4525" t="s">
        <v>4230</v>
      </c>
      <c r="AP41" s="253"/>
      <c r="AQ41" s="658"/>
      <c r="AR41" s="658"/>
      <c r="AS41" s="658"/>
      <c r="AT41" s="658"/>
      <c r="AU41" s="658"/>
      <c r="AV41" s="658"/>
      <c r="AW41" s="658"/>
      <c r="AX41" s="658"/>
      <c r="AY41" s="658"/>
      <c r="AZ41" s="658"/>
      <c r="BA41"/>
      <c r="BB41"/>
    </row>
    <row r="42" spans="1:54" s="815" customFormat="1" ht="16.5" customHeight="1">
      <c r="A42" s="2013"/>
      <c r="B42" s="253"/>
      <c r="C42" s="2022" t="s">
        <v>253</v>
      </c>
      <c r="D42" s="511" t="s">
        <v>4231</v>
      </c>
      <c r="E42" s="511"/>
      <c r="F42" s="253"/>
      <c r="G42" s="253"/>
      <c r="H42" s="253"/>
      <c r="I42" s="253"/>
      <c r="J42" s="253"/>
      <c r="K42" s="253"/>
      <c r="L42" s="253"/>
      <c r="M42" s="253"/>
      <c r="N42" s="253"/>
      <c r="O42" s="253"/>
      <c r="P42" s="253"/>
      <c r="Q42" s="253"/>
      <c r="R42" s="253"/>
      <c r="S42" s="253"/>
      <c r="T42" s="253"/>
      <c r="U42" s="253"/>
      <c r="V42" s="253"/>
      <c r="W42" s="2922"/>
      <c r="X42" s="253"/>
      <c r="Y42" s="253"/>
      <c r="Z42" s="253"/>
      <c r="AA42" s="253"/>
      <c r="AB42" s="253"/>
      <c r="AC42" s="253"/>
      <c r="AD42" s="2924"/>
      <c r="AE42" s="253"/>
      <c r="AF42" s="253"/>
      <c r="AG42" s="253"/>
      <c r="AH42" s="253"/>
      <c r="AI42" s="253"/>
      <c r="AJ42" s="253"/>
      <c r="AK42" s="2013"/>
      <c r="AL42" s="2013"/>
      <c r="AM42" s="2013"/>
      <c r="AN42" s="817">
        <v>1</v>
      </c>
      <c r="AO42" s="4526" t="str">
        <f>LLC_1</f>
        <v/>
      </c>
      <c r="AP42" s="253"/>
      <c r="AQ42" s="658"/>
      <c r="AR42" s="658"/>
      <c r="AS42" s="658"/>
      <c r="AT42" s="658"/>
      <c r="AU42" s="658"/>
      <c r="AV42" s="658"/>
      <c r="AW42" s="658"/>
      <c r="AX42" s="658"/>
      <c r="AY42" s="658"/>
      <c r="AZ42" s="658"/>
      <c r="BA42"/>
      <c r="BB42"/>
    </row>
    <row r="43" spans="1:54" s="815" customFormat="1" ht="14.25">
      <c r="A43" s="2013"/>
      <c r="B43" s="253"/>
      <c r="C43" s="253"/>
      <c r="D43" s="511" t="s">
        <v>4210</v>
      </c>
      <c r="E43" s="511"/>
      <c r="F43" s="253"/>
      <c r="G43" s="253"/>
      <c r="H43" s="253"/>
      <c r="I43" s="253"/>
      <c r="J43" s="253"/>
      <c r="K43" s="253"/>
      <c r="L43" s="253"/>
      <c r="M43" s="253"/>
      <c r="N43" s="253"/>
      <c r="O43" s="253"/>
      <c r="P43" s="253"/>
      <c r="Q43" s="253"/>
      <c r="R43" s="253"/>
      <c r="S43" s="253"/>
      <c r="T43" s="253"/>
      <c r="U43" s="253"/>
      <c r="V43" s="253"/>
      <c r="W43" s="2922"/>
      <c r="X43" s="408"/>
      <c r="Y43" s="253"/>
      <c r="Z43" s="253"/>
      <c r="AA43" s="253"/>
      <c r="AB43" s="253"/>
      <c r="AC43" s="409"/>
      <c r="AD43" s="2924"/>
      <c r="AE43" s="253"/>
      <c r="AF43" s="253"/>
      <c r="AG43" s="253"/>
      <c r="AH43" s="253"/>
      <c r="AI43" s="253"/>
      <c r="AJ43" s="253"/>
      <c r="AK43" s="2013"/>
      <c r="AL43" s="2013"/>
      <c r="AM43" s="2013"/>
      <c r="AN43" s="817">
        <v>2</v>
      </c>
      <c r="AO43" s="4528" t="str">
        <f>LLC_2</f>
        <v/>
      </c>
      <c r="AP43" s="253"/>
      <c r="AQ43" s="658"/>
      <c r="AR43" s="658"/>
      <c r="AS43" s="658"/>
      <c r="AT43" s="658"/>
      <c r="AU43" s="658"/>
      <c r="AV43" s="658"/>
      <c r="AW43" s="658"/>
      <c r="AX43" s="658"/>
      <c r="AY43" s="658"/>
      <c r="AZ43" s="658"/>
      <c r="BA43"/>
      <c r="BB43"/>
    </row>
    <row r="44" spans="1:54" s="815" customFormat="1" ht="15.75" thickBot="1">
      <c r="A44" s="2013"/>
      <c r="B44" s="253"/>
      <c r="C44" s="253"/>
      <c r="D44" s="511" t="s">
        <v>4211</v>
      </c>
      <c r="E44" s="511"/>
      <c r="F44" s="253"/>
      <c r="G44" s="253"/>
      <c r="H44" s="253"/>
      <c r="I44" s="253"/>
      <c r="J44" s="253"/>
      <c r="K44" s="253"/>
      <c r="L44" s="253"/>
      <c r="M44" s="253"/>
      <c r="N44" s="253"/>
      <c r="O44" s="253"/>
      <c r="P44" s="253"/>
      <c r="Q44" s="253"/>
      <c r="R44" s="253"/>
      <c r="S44" s="253"/>
      <c r="T44" s="253"/>
      <c r="U44" s="253"/>
      <c r="V44" s="2198" t="s">
        <v>647</v>
      </c>
      <c r="W44" s="2918">
        <v>14</v>
      </c>
      <c r="X44" s="10757" t="str">
        <f>IF(OR($AE$20,$AE$36),"",Adj_Gross_Inc)</f>
        <v/>
      </c>
      <c r="Y44" s="10815"/>
      <c r="Z44" s="10815"/>
      <c r="AA44" s="10815"/>
      <c r="AB44" s="10815"/>
      <c r="AC44" s="10865"/>
      <c r="AD44" s="2924"/>
      <c r="AE44" s="253"/>
      <c r="AF44" s="253"/>
      <c r="AG44" s="253"/>
      <c r="AH44" s="253"/>
      <c r="AI44" s="253"/>
      <c r="AJ44" s="253"/>
      <c r="AK44" s="2013"/>
      <c r="AL44" s="2013"/>
      <c r="AM44" s="2013"/>
      <c r="AN44" s="817">
        <v>3</v>
      </c>
      <c r="AO44" s="4528" t="str">
        <f>LLC_3</f>
        <v/>
      </c>
      <c r="AP44" s="253"/>
      <c r="AQ44" s="658"/>
      <c r="AR44" s="658"/>
      <c r="AS44" s="658"/>
      <c r="AT44" s="658"/>
      <c r="AU44" s="658"/>
      <c r="AV44" s="658"/>
      <c r="AW44" s="658"/>
      <c r="AX44" s="658"/>
      <c r="AY44" s="658"/>
      <c r="AZ44" s="658"/>
      <c r="BA44"/>
      <c r="BB44"/>
    </row>
    <row r="45" spans="1:54" ht="16.5" customHeight="1" thickBot="1">
      <c r="A45" s="2013"/>
      <c r="B45" s="253"/>
      <c r="C45" s="2022" t="s">
        <v>257</v>
      </c>
      <c r="D45" s="511" t="s">
        <v>4232</v>
      </c>
      <c r="E45" s="511"/>
      <c r="F45" s="253"/>
      <c r="G45" s="253"/>
      <c r="H45" s="253"/>
      <c r="I45" s="253"/>
      <c r="J45" s="253"/>
      <c r="K45" s="253"/>
      <c r="L45" s="253"/>
      <c r="M45" s="253"/>
      <c r="N45" s="253"/>
      <c r="O45" s="253"/>
      <c r="P45" s="253"/>
      <c r="Q45" s="253"/>
      <c r="R45" s="253"/>
      <c r="S45" s="253"/>
      <c r="T45" s="253"/>
      <c r="U45" s="253"/>
      <c r="V45" s="253"/>
      <c r="W45" s="2922"/>
      <c r="X45" s="10825" t="b">
        <f>X46&lt;=0</f>
        <v>0</v>
      </c>
      <c r="Y45" s="10540"/>
      <c r="Z45" s="10540"/>
      <c r="AA45" s="10540"/>
      <c r="AB45" s="10540"/>
      <c r="AC45" s="10826"/>
      <c r="AD45" s="2924"/>
      <c r="AE45" s="253"/>
      <c r="AF45" s="253"/>
      <c r="AG45" s="253"/>
      <c r="AH45" s="253"/>
      <c r="AI45" s="253"/>
      <c r="AJ45" s="253"/>
      <c r="AK45" s="2013"/>
      <c r="AL45" s="2013"/>
      <c r="AM45" s="2013"/>
      <c r="AN45" s="817">
        <v>4</v>
      </c>
      <c r="AO45" s="4530" t="str">
        <f>LLC_4</f>
        <v/>
      </c>
      <c r="AP45" s="253"/>
      <c r="AQ45" s="11157" t="s">
        <v>4233</v>
      </c>
      <c r="AR45" s="11158"/>
      <c r="AS45" s="11158"/>
      <c r="AT45" s="11158"/>
      <c r="AU45" s="11158"/>
      <c r="AV45" s="11158"/>
      <c r="AW45" s="11158"/>
      <c r="AX45" s="11158"/>
      <c r="AY45" s="11159"/>
      <c r="BA45" s="421"/>
      <c r="BB45" s="421"/>
    </row>
    <row r="46" spans="1:54" ht="16.5" customHeight="1" thickBot="1">
      <c r="A46" s="2013"/>
      <c r="B46" s="253"/>
      <c r="C46" s="253"/>
      <c r="D46" s="511" t="s">
        <v>4234</v>
      </c>
      <c r="E46" s="511"/>
      <c r="F46" s="253"/>
      <c r="G46" s="253"/>
      <c r="H46" s="253"/>
      <c r="I46" s="253"/>
      <c r="J46" s="253"/>
      <c r="K46" s="253"/>
      <c r="L46" s="253"/>
      <c r="M46" s="253"/>
      <c r="N46" s="253"/>
      <c r="O46" s="253"/>
      <c r="P46" s="253"/>
      <c r="Q46" s="253"/>
      <c r="R46" s="253"/>
      <c r="S46" s="253"/>
      <c r="T46" s="253"/>
      <c r="U46" s="253"/>
      <c r="V46" s="2198" t="s">
        <v>617</v>
      </c>
      <c r="W46" s="2918" t="s">
        <v>257</v>
      </c>
      <c r="X46" s="10757" t="str">
        <f>IF(OR($AE$20,$AE$36),"",SUM(X41,-X44))</f>
        <v/>
      </c>
      <c r="Y46" s="10815"/>
      <c r="Z46" s="10815"/>
      <c r="AA46" s="10815"/>
      <c r="AB46" s="10815"/>
      <c r="AC46" s="10865"/>
      <c r="AD46" s="2924"/>
      <c r="AE46" s="253"/>
      <c r="AF46" s="253"/>
      <c r="AG46" s="253"/>
      <c r="AH46" s="253"/>
      <c r="AI46" s="253"/>
      <c r="AJ46" s="253"/>
      <c r="AK46" s="2013"/>
      <c r="AL46" s="2013"/>
      <c r="AM46" s="2013"/>
      <c r="AN46" s="817" t="s">
        <v>4209</v>
      </c>
      <c r="AO46" s="4531">
        <f>SUM(AO42:AO45)</f>
        <v>0</v>
      </c>
      <c r="AP46" s="253"/>
      <c r="AQ46" s="4535" t="s">
        <v>4235</v>
      </c>
      <c r="AR46" s="4536"/>
      <c r="AS46" s="4536"/>
      <c r="AT46" s="4536"/>
      <c r="AU46" s="4536"/>
      <c r="AV46" s="4536"/>
      <c r="AW46" s="4536"/>
      <c r="AX46" s="4536"/>
      <c r="AY46" s="4537"/>
      <c r="BA46" s="421"/>
      <c r="BB46" s="421"/>
    </row>
    <row r="47" spans="1:54" ht="16.5" customHeight="1">
      <c r="A47" s="2013"/>
      <c r="B47" s="253"/>
      <c r="C47" s="2022" t="s">
        <v>260</v>
      </c>
      <c r="D47" s="511" t="str">
        <f>"Enter: "&amp;TEXT(AE23,"$0,000")&amp;" if married filing jointly; "&amp;TEXT(AE24,"$0,000")&amp;" if single, head of household, or"</f>
        <v>Enter: $20,000 if married filing jointly; $10,000 if single, head of household, or</v>
      </c>
      <c r="E47" s="511"/>
      <c r="F47" s="253"/>
      <c r="G47" s="253"/>
      <c r="H47" s="253"/>
      <c r="I47" s="253"/>
      <c r="J47" s="253"/>
      <c r="K47" s="253"/>
      <c r="L47" s="253"/>
      <c r="M47" s="253"/>
      <c r="N47" s="253"/>
      <c r="O47" s="253"/>
      <c r="P47" s="253"/>
      <c r="Q47" s="253"/>
      <c r="R47" s="253"/>
      <c r="S47" s="253"/>
      <c r="T47" s="253"/>
      <c r="U47" s="253"/>
      <c r="V47" s="253"/>
      <c r="W47" s="2922"/>
      <c r="X47" s="408"/>
      <c r="Y47" s="253"/>
      <c r="Z47" s="253"/>
      <c r="AA47" s="253"/>
      <c r="AB47" s="253"/>
      <c r="AC47" s="409"/>
      <c r="AD47" s="2924"/>
      <c r="AE47" s="253"/>
      <c r="AF47" s="253"/>
      <c r="AG47" s="253"/>
      <c r="AH47" s="253"/>
      <c r="AI47" s="253"/>
      <c r="AJ47" s="253"/>
      <c r="AK47" s="2013"/>
      <c r="AL47" s="2013"/>
      <c r="AM47" s="2013"/>
      <c r="AN47" s="253"/>
      <c r="AO47" s="253"/>
      <c r="AP47" s="253"/>
      <c r="AQ47" s="4538" t="s">
        <v>4236</v>
      </c>
      <c r="AR47" s="4536"/>
      <c r="AS47" s="4536"/>
      <c r="AT47" s="4536"/>
      <c r="AU47" s="4536"/>
      <c r="AV47" s="4536"/>
      <c r="AW47" s="4539" t="s">
        <v>157</v>
      </c>
      <c r="AX47" s="2499" t="str">
        <f>AE53</f>
        <v/>
      </c>
      <c r="AY47" s="4537"/>
      <c r="BA47" s="421"/>
      <c r="BB47" s="421"/>
    </row>
    <row r="48" spans="1:54" ht="16.5" customHeight="1">
      <c r="A48" s="2013"/>
      <c r="B48" s="253"/>
      <c r="C48" s="253"/>
      <c r="D48" s="1672" t="s">
        <v>4214</v>
      </c>
      <c r="E48" s="511"/>
      <c r="F48" s="253"/>
      <c r="G48" s="253"/>
      <c r="H48" s="253"/>
      <c r="I48" s="253"/>
      <c r="J48" s="253"/>
      <c r="K48" s="253"/>
      <c r="L48" s="253"/>
      <c r="M48" s="253"/>
      <c r="N48" s="253"/>
      <c r="O48" s="253"/>
      <c r="P48" s="253"/>
      <c r="Q48" s="253"/>
      <c r="R48" s="253"/>
      <c r="S48" s="253"/>
      <c r="T48" s="253"/>
      <c r="U48" s="253"/>
      <c r="V48" s="2198" t="s">
        <v>647</v>
      </c>
      <c r="W48" s="2918" t="s">
        <v>260</v>
      </c>
      <c r="X48" s="10757" t="str">
        <f>IF(OR($AE$20,$AE$36,$X$45),"",IF(File_Marr_Joint&lt;&gt;"",AE23,AE24))</f>
        <v/>
      </c>
      <c r="Y48" s="10815"/>
      <c r="Z48" s="10815"/>
      <c r="AA48" s="10815"/>
      <c r="AB48" s="10815"/>
      <c r="AC48" s="10865"/>
      <c r="AD48" s="2924"/>
      <c r="AE48" s="253"/>
      <c r="AF48" s="253"/>
      <c r="AG48" s="253"/>
      <c r="AH48" s="253"/>
      <c r="AI48" s="253"/>
      <c r="AJ48" s="253"/>
      <c r="AK48" s="2013"/>
      <c r="AL48" s="2013"/>
      <c r="AM48" s="2013"/>
      <c r="AN48" s="344"/>
      <c r="AO48" s="344"/>
      <c r="AP48" s="253"/>
      <c r="AQ48" s="4538" t="s">
        <v>4237</v>
      </c>
      <c r="AR48" s="4536"/>
      <c r="AS48" s="4536"/>
      <c r="AT48" s="4536"/>
      <c r="AU48" s="4536"/>
      <c r="AV48" s="4536"/>
      <c r="AW48" s="4539" t="s">
        <v>161</v>
      </c>
      <c r="AX48" s="2499" t="str">
        <f>AE35</f>
        <v/>
      </c>
      <c r="AY48" s="4537"/>
      <c r="BA48" s="421"/>
      <c r="BB48" s="421"/>
    </row>
    <row r="49" spans="1:54" ht="16.5" customHeight="1">
      <c r="A49" s="2013"/>
      <c r="B49" s="253"/>
      <c r="C49" s="2022" t="s">
        <v>262</v>
      </c>
      <c r="D49" s="511" t="s">
        <v>4238</v>
      </c>
      <c r="E49" s="511"/>
      <c r="F49" s="253"/>
      <c r="G49" s="253"/>
      <c r="H49" s="253"/>
      <c r="I49" s="253"/>
      <c r="J49" s="253"/>
      <c r="K49" s="253"/>
      <c r="L49" s="253"/>
      <c r="M49" s="253"/>
      <c r="N49" s="253"/>
      <c r="O49" s="253"/>
      <c r="P49" s="253"/>
      <c r="Q49" s="253"/>
      <c r="R49" s="253"/>
      <c r="S49" s="253"/>
      <c r="T49" s="253"/>
      <c r="U49" s="253"/>
      <c r="V49" s="253"/>
      <c r="W49" s="253"/>
      <c r="X49" s="253"/>
      <c r="Y49" s="253"/>
      <c r="Z49" s="253"/>
      <c r="AA49" s="253"/>
      <c r="AB49" s="253"/>
      <c r="AC49" s="253"/>
      <c r="AD49" s="2924"/>
      <c r="AE49" s="253"/>
      <c r="AF49" s="253"/>
      <c r="AG49" s="253"/>
      <c r="AH49" s="253"/>
      <c r="AI49" s="253"/>
      <c r="AJ49" s="253"/>
      <c r="AK49" s="2013"/>
      <c r="AL49" s="2013"/>
      <c r="AM49" s="2013"/>
      <c r="AN49" s="253"/>
      <c r="AO49" s="226" t="s">
        <v>979</v>
      </c>
      <c r="AP49" s="253"/>
      <c r="AQ49" s="4538" t="s">
        <v>4239</v>
      </c>
      <c r="AR49" s="4536"/>
      <c r="AS49" s="4536"/>
      <c r="AT49" s="4536"/>
      <c r="AU49" s="4536"/>
      <c r="AV49" s="4536"/>
      <c r="AW49" s="4539" t="s">
        <v>167</v>
      </c>
      <c r="AX49" s="2499">
        <f>SUM(AX47,AX48)</f>
        <v>0</v>
      </c>
      <c r="AY49" s="4537"/>
    </row>
    <row r="50" spans="1:54" ht="16.5" customHeight="1" thickBot="1">
      <c r="A50" s="2013"/>
      <c r="B50" s="253"/>
      <c r="C50" s="253"/>
      <c r="D50" s="873" t="s">
        <v>1554</v>
      </c>
      <c r="E50" s="511" t="s">
        <v>4240</v>
      </c>
      <c r="F50" s="253"/>
      <c r="G50" s="253"/>
      <c r="H50" s="253"/>
      <c r="I50" s="253"/>
      <c r="J50" s="253"/>
      <c r="K50" s="253"/>
      <c r="L50" s="253"/>
      <c r="M50" s="253"/>
      <c r="N50" s="253"/>
      <c r="O50" s="253"/>
      <c r="P50" s="253"/>
      <c r="Q50" s="253"/>
      <c r="R50" s="253"/>
      <c r="S50" s="253"/>
      <c r="T50" s="253"/>
      <c r="U50" s="253"/>
      <c r="V50" s="253"/>
      <c r="W50" s="253"/>
      <c r="X50" s="253"/>
      <c r="Y50" s="253"/>
      <c r="Z50" s="253"/>
      <c r="AA50" s="253"/>
      <c r="AB50" s="253"/>
      <c r="AC50" s="253"/>
      <c r="AD50" s="2924"/>
      <c r="AE50" s="253"/>
      <c r="AF50" s="253"/>
      <c r="AG50" s="253"/>
      <c r="AH50" s="253"/>
      <c r="AI50" s="253"/>
      <c r="AJ50" s="253"/>
      <c r="AK50" s="2013"/>
      <c r="AL50" s="2013"/>
      <c r="AM50" s="2013"/>
      <c r="AN50" s="253"/>
      <c r="AO50" s="226" t="s">
        <v>931</v>
      </c>
      <c r="AP50" s="253"/>
      <c r="AQ50" s="4538" t="s">
        <v>4241</v>
      </c>
      <c r="AR50" s="4536"/>
      <c r="AS50" s="4536"/>
      <c r="AT50" s="4536"/>
      <c r="AU50" s="4536"/>
      <c r="AV50" s="4536"/>
      <c r="AW50" s="4539" t="s">
        <v>171</v>
      </c>
      <c r="AX50" s="2499">
        <f>Tax</f>
        <v>0</v>
      </c>
      <c r="AY50" s="4537"/>
    </row>
    <row r="51" spans="1:54" ht="16.5" customHeight="1" thickBot="1">
      <c r="A51" s="2013"/>
      <c r="B51" s="253"/>
      <c r="C51" s="253"/>
      <c r="D51" s="873" t="s">
        <v>1554</v>
      </c>
      <c r="E51" s="511" t="s">
        <v>6457</v>
      </c>
      <c r="F51" s="253"/>
      <c r="G51" s="253"/>
      <c r="H51" s="253"/>
      <c r="I51" s="253"/>
      <c r="J51" s="253"/>
      <c r="K51" s="253"/>
      <c r="L51" s="253"/>
      <c r="M51" s="253"/>
      <c r="N51" s="253"/>
      <c r="O51" s="253"/>
      <c r="P51" s="253"/>
      <c r="Q51" s="253"/>
      <c r="R51" s="253"/>
      <c r="S51" s="253"/>
      <c r="T51" s="253"/>
      <c r="U51" s="253"/>
      <c r="V51" s="253"/>
      <c r="W51" s="253"/>
      <c r="X51" s="253"/>
      <c r="Y51" s="253"/>
      <c r="Z51" s="253"/>
      <c r="AA51" s="253"/>
      <c r="AB51" s="253"/>
      <c r="AC51" s="1321" t="s">
        <v>5241</v>
      </c>
      <c r="AD51" s="2895">
        <v>17</v>
      </c>
      <c r="AE51" s="11155" t="str">
        <f>IF(AO51&lt;&gt;"",ROUND(AO51,3),IF(OR($AE$20,$AE$36,$X$45),"",IF(X46&gt;=X48,1,ROUND(X46/X48,3))))</f>
        <v/>
      </c>
      <c r="AF51" s="11156"/>
      <c r="AG51" s="11156"/>
      <c r="AH51" s="11156"/>
      <c r="AI51" s="11156"/>
      <c r="AJ51" s="11156"/>
      <c r="AK51" s="2013"/>
      <c r="AL51" s="2013"/>
      <c r="AM51" s="2013"/>
      <c r="AN51" s="817"/>
      <c r="AO51" s="6535"/>
      <c r="AP51" s="253"/>
      <c r="AQ51" s="4538" t="s">
        <v>4242</v>
      </c>
      <c r="AR51" s="4536"/>
      <c r="AS51" s="4536"/>
      <c r="AT51" s="4536"/>
      <c r="AU51" s="4536"/>
      <c r="AV51" s="4536"/>
      <c r="AW51" s="4536"/>
      <c r="AX51" s="4536"/>
      <c r="AY51" s="4537"/>
    </row>
    <row r="52" spans="1:54" ht="16.5" customHeight="1">
      <c r="A52" s="2013"/>
      <c r="B52" s="253"/>
      <c r="C52" s="253"/>
      <c r="D52" s="511"/>
      <c r="E52" s="511" t="s">
        <v>6456</v>
      </c>
      <c r="F52" s="253"/>
      <c r="G52" s="253"/>
      <c r="H52" s="253"/>
      <c r="I52" s="253"/>
      <c r="J52" s="253"/>
      <c r="K52" s="253"/>
      <c r="L52" s="253"/>
      <c r="M52" s="253"/>
      <c r="N52" s="253"/>
      <c r="O52" s="253"/>
      <c r="P52" s="253"/>
      <c r="Q52" s="253"/>
      <c r="R52" s="253"/>
      <c r="S52" s="253"/>
      <c r="T52" s="253"/>
      <c r="U52" s="253"/>
      <c r="V52" s="253"/>
      <c r="W52" s="253"/>
      <c r="X52" s="253"/>
      <c r="Y52" s="253"/>
      <c r="Z52" s="253"/>
      <c r="AA52" s="253"/>
      <c r="AB52" s="253"/>
      <c r="AC52" s="1321"/>
      <c r="AD52" s="2924"/>
      <c r="AE52" s="253"/>
      <c r="AF52" s="253"/>
      <c r="AG52" s="253"/>
      <c r="AH52" s="253"/>
      <c r="AI52" s="253"/>
      <c r="AJ52" s="253"/>
      <c r="AK52" s="2013"/>
      <c r="AL52" s="2013"/>
      <c r="AM52" s="2013"/>
      <c r="AN52" s="817"/>
      <c r="AO52" s="817"/>
      <c r="AP52" s="253"/>
      <c r="AQ52" s="11145" t="s">
        <v>4243</v>
      </c>
      <c r="AR52" s="11146"/>
      <c r="AS52" s="11146"/>
      <c r="AT52" s="11146"/>
      <c r="AU52" s="11146"/>
      <c r="AV52" s="11146"/>
      <c r="AW52" s="4539" t="s">
        <v>184</v>
      </c>
      <c r="AX52" s="2499">
        <f>SUM(Foreign_Tax_Credit,Care_Expenses,Elderly_Credit,F8978_Credit)</f>
        <v>0</v>
      </c>
      <c r="AY52" s="4537"/>
    </row>
    <row r="53" spans="1:54" ht="16.5" customHeight="1">
      <c r="A53" s="2013"/>
      <c r="B53" s="253"/>
      <c r="C53" s="2022" t="s">
        <v>264</v>
      </c>
      <c r="D53" s="511" t="s">
        <v>4244</v>
      </c>
      <c r="E53" s="511"/>
      <c r="F53" s="253"/>
      <c r="G53" s="253"/>
      <c r="H53" s="253"/>
      <c r="I53" s="253"/>
      <c r="J53" s="253"/>
      <c r="K53" s="253"/>
      <c r="L53" s="253"/>
      <c r="M53" s="253"/>
      <c r="N53" s="253"/>
      <c r="O53" s="253"/>
      <c r="P53" s="253"/>
      <c r="Q53" s="253"/>
      <c r="R53" s="253"/>
      <c r="S53" s="253"/>
      <c r="T53" s="253"/>
      <c r="U53" s="253"/>
      <c r="V53" s="253"/>
      <c r="W53" s="253"/>
      <c r="X53" s="253"/>
      <c r="Y53" s="253"/>
      <c r="Z53" s="253"/>
      <c r="AA53" s="253"/>
      <c r="AB53" s="253"/>
      <c r="AC53" s="2198" t="s">
        <v>4245</v>
      </c>
      <c r="AD53" s="2895">
        <v>18</v>
      </c>
      <c r="AE53" s="10753" t="str">
        <f>IF($AE$20,"",IF($AE$36,0,IF($X$45,0,ROUND(AE39*AE51,0))))</f>
        <v/>
      </c>
      <c r="AF53" s="11153"/>
      <c r="AG53" s="11153"/>
      <c r="AH53" s="11153"/>
      <c r="AI53" s="11153"/>
      <c r="AJ53" s="11153"/>
      <c r="AK53" s="2013"/>
      <c r="AL53" s="2013"/>
      <c r="AM53" s="2013"/>
      <c r="AN53" s="817"/>
      <c r="AO53" s="226" t="s">
        <v>979</v>
      </c>
      <c r="AP53" s="253"/>
      <c r="AQ53" s="4538" t="s">
        <v>4246</v>
      </c>
      <c r="AR53" s="4536"/>
      <c r="AS53" s="4536"/>
      <c r="AT53" s="4536"/>
      <c r="AU53" s="4536"/>
      <c r="AV53" s="4536"/>
      <c r="AW53" s="4539" t="s">
        <v>188</v>
      </c>
      <c r="AX53" s="2499">
        <f>SUM(AX50,-AX52)</f>
        <v>0</v>
      </c>
      <c r="AY53" s="4537"/>
    </row>
    <row r="54" spans="1:54" ht="16.5" customHeight="1" thickBot="1">
      <c r="A54" s="2013"/>
      <c r="B54" s="253"/>
      <c r="C54" s="2022" t="s">
        <v>266</v>
      </c>
      <c r="D54" s="511" t="s">
        <v>4247</v>
      </c>
      <c r="E54" s="511"/>
      <c r="F54" s="253"/>
      <c r="G54" s="253"/>
      <c r="H54" s="253"/>
      <c r="I54" s="253"/>
      <c r="J54" s="253"/>
      <c r="K54" s="253"/>
      <c r="L54" s="253"/>
      <c r="M54" s="253"/>
      <c r="N54" s="253"/>
      <c r="O54" s="253"/>
      <c r="P54" s="253"/>
      <c r="Q54" s="253"/>
      <c r="R54" s="253"/>
      <c r="S54" s="253"/>
      <c r="T54" s="253"/>
      <c r="U54" s="253"/>
      <c r="V54" s="253"/>
      <c r="W54" s="253"/>
      <c r="X54" s="253"/>
      <c r="Y54" s="253"/>
      <c r="Z54" s="253"/>
      <c r="AA54" s="253"/>
      <c r="AB54" s="253"/>
      <c r="AC54" s="253"/>
      <c r="AD54" s="726"/>
      <c r="AE54" s="253"/>
      <c r="AF54" s="253"/>
      <c r="AG54" s="253"/>
      <c r="AH54" s="253"/>
      <c r="AI54" s="253"/>
      <c r="AJ54" s="253"/>
      <c r="AK54" s="2013"/>
      <c r="AL54" s="2013"/>
      <c r="AM54" s="2013"/>
      <c r="AN54" s="817"/>
      <c r="AO54" s="226" t="s">
        <v>931</v>
      </c>
      <c r="AP54" s="253"/>
      <c r="AQ54" s="4538" t="s">
        <v>4248</v>
      </c>
      <c r="AR54" s="4536"/>
      <c r="AS54" s="4536"/>
      <c r="AT54" s="4536"/>
      <c r="AU54" s="4536"/>
      <c r="AV54" s="4536"/>
      <c r="AW54" s="4539" t="s">
        <v>198</v>
      </c>
      <c r="AX54" s="2499">
        <f>MIN(AX49,AX53)</f>
        <v>0</v>
      </c>
      <c r="AY54" s="4537"/>
    </row>
    <row r="55" spans="1:54" ht="16.5" customHeight="1" thickBot="1">
      <c r="A55" s="2013"/>
      <c r="B55" s="253"/>
      <c r="C55" s="253"/>
      <c r="D55" s="2046" t="s">
        <v>4249</v>
      </c>
      <c r="E55" s="511"/>
      <c r="F55" s="253"/>
      <c r="G55" s="253"/>
      <c r="H55" s="253"/>
      <c r="I55" s="253"/>
      <c r="J55" s="253"/>
      <c r="K55" s="253"/>
      <c r="L55" s="253"/>
      <c r="M55" s="253"/>
      <c r="N55" s="253"/>
      <c r="O55" s="253"/>
      <c r="P55" s="253"/>
      <c r="Q55" s="253"/>
      <c r="R55" s="253"/>
      <c r="S55" s="253"/>
      <c r="T55" s="253"/>
      <c r="U55" s="253"/>
      <c r="V55" s="253"/>
      <c r="W55" s="253"/>
      <c r="X55" s="253"/>
      <c r="Y55" s="253"/>
      <c r="Z55" s="253"/>
      <c r="AA55" s="253"/>
      <c r="AB55" s="253"/>
      <c r="AC55" s="2198" t="s">
        <v>608</v>
      </c>
      <c r="AD55" s="2895">
        <v>19</v>
      </c>
      <c r="AE55" s="10753" t="str">
        <f>IF(AO55&lt;&gt;"",ROUND(AO55,0),IF($AE$20,"",AX54))</f>
        <v/>
      </c>
      <c r="AF55" s="10754"/>
      <c r="AG55" s="10754"/>
      <c r="AH55" s="10754"/>
      <c r="AI55" s="10754"/>
      <c r="AJ55" s="10754"/>
      <c r="AK55" s="2013"/>
      <c r="AL55" s="2013"/>
      <c r="AM55" s="2013"/>
      <c r="AN55" s="817"/>
      <c r="AO55" s="1113"/>
      <c r="AP55" s="253"/>
      <c r="AQ55" s="4540"/>
      <c r="AR55" s="4541"/>
      <c r="AS55" s="4541"/>
      <c r="AT55" s="4541"/>
      <c r="AU55" s="4541"/>
      <c r="AV55" s="4541"/>
      <c r="AW55" s="4541"/>
      <c r="AX55" s="4541"/>
      <c r="AY55" s="4542"/>
    </row>
    <row r="56" spans="1:54" s="815" customFormat="1" ht="15.75">
      <c r="A56" s="3888"/>
      <c r="B56" s="3889" t="s">
        <v>865</v>
      </c>
      <c r="C56" s="2344"/>
      <c r="D56" s="2344"/>
      <c r="E56" s="2344"/>
      <c r="F56" s="2344"/>
      <c r="G56" s="2344"/>
      <c r="H56" s="2344"/>
      <c r="I56" s="2344"/>
      <c r="J56" s="2344"/>
      <c r="K56" s="2344"/>
      <c r="L56" s="2344"/>
      <c r="M56" s="2344"/>
      <c r="N56" s="2344"/>
      <c r="O56" s="2344"/>
      <c r="P56" s="2344"/>
      <c r="Q56" s="89"/>
      <c r="R56" s="89"/>
      <c r="S56" s="89"/>
      <c r="T56" s="89"/>
      <c r="U56" s="3890"/>
      <c r="V56" s="89"/>
      <c r="W56" s="3890" t="s">
        <v>4250</v>
      </c>
      <c r="X56" s="89"/>
      <c r="Y56" s="89"/>
      <c r="Z56" s="89"/>
      <c r="AA56" s="89"/>
      <c r="AB56" s="89"/>
      <c r="AC56" s="89"/>
      <c r="AD56" s="2345" t="s">
        <v>4251</v>
      </c>
      <c r="AE56" s="2345"/>
      <c r="AF56" s="89"/>
      <c r="AG56" s="89"/>
      <c r="AH56" s="2345"/>
      <c r="AI56" s="89"/>
      <c r="AJ56" s="2345" t="str">
        <f>"("&amp;TaxYear&amp;")   Created 9/23/25"</f>
        <v>(2025)   Created 9/23/25</v>
      </c>
      <c r="AK56" s="2013"/>
      <c r="AL56" s="2013"/>
      <c r="AM56" s="2013"/>
      <c r="AN56" s="253"/>
      <c r="AO56" s="253"/>
      <c r="AP56" s="253"/>
      <c r="AQ56" s="658"/>
      <c r="AR56" s="658"/>
      <c r="AS56" s="658"/>
      <c r="AT56" s="658"/>
      <c r="AU56" s="658"/>
      <c r="AV56" s="658"/>
      <c r="AW56" s="658"/>
      <c r="AX56" s="658"/>
      <c r="AY56" s="658"/>
      <c r="AZ56" s="658"/>
      <c r="BA56"/>
      <c r="BB56"/>
    </row>
    <row r="57" spans="1:54" s="815" customFormat="1" ht="18" customHeight="1" thickBot="1">
      <c r="A57" s="2013"/>
      <c r="B57" s="721" t="str">
        <f>"Form 8863 ("&amp;TaxYear&amp;")"</f>
        <v>Form 8863 (2025)</v>
      </c>
      <c r="C57" s="721"/>
      <c r="D57" s="721"/>
      <c r="E57" s="721"/>
      <c r="F57" s="721"/>
      <c r="G57" s="721"/>
      <c r="H57" s="721"/>
      <c r="I57" s="721"/>
      <c r="J57" s="721"/>
      <c r="K57" s="721"/>
      <c r="L57" s="721"/>
      <c r="M57" s="721"/>
      <c r="N57" s="721"/>
      <c r="O57" s="721"/>
      <c r="P57" s="721"/>
      <c r="Q57" s="721"/>
      <c r="R57" s="721"/>
      <c r="S57" s="721"/>
      <c r="T57" s="721"/>
      <c r="U57" s="721"/>
      <c r="V57" s="721"/>
      <c r="W57" s="721"/>
      <c r="X57" s="721"/>
      <c r="Y57" s="721"/>
      <c r="Z57" s="721"/>
      <c r="AA57" s="721"/>
      <c r="AB57" s="721"/>
      <c r="AC57" s="721"/>
      <c r="AD57" s="721"/>
      <c r="AE57" s="721"/>
      <c r="AF57" s="721"/>
      <c r="AG57" s="721"/>
      <c r="AH57" s="721"/>
      <c r="AI57" s="2053" t="s">
        <v>2079</v>
      </c>
      <c r="AJ57" s="2054">
        <v>2</v>
      </c>
      <c r="AK57" s="2013"/>
      <c r="AL57" s="2013"/>
      <c r="AM57" s="2013"/>
      <c r="AN57" s="253"/>
      <c r="AO57" s="253"/>
      <c r="AP57" s="253"/>
      <c r="AQ57" s="658"/>
      <c r="AR57" s="658"/>
      <c r="AS57" s="658"/>
      <c r="AT57" s="658"/>
      <c r="AU57" s="658"/>
      <c r="AV57" s="658"/>
      <c r="AW57" s="658"/>
      <c r="AX57" s="658"/>
      <c r="AY57" s="658"/>
      <c r="AZ57" s="658"/>
      <c r="BA57"/>
      <c r="BB57"/>
    </row>
    <row r="58" spans="1:54" s="815" customFormat="1" ht="16.5" customHeight="1" thickTop="1">
      <c r="A58" s="2013"/>
      <c r="B58" s="2002" t="s">
        <v>1918</v>
      </c>
      <c r="C58" s="413"/>
      <c r="D58" s="413"/>
      <c r="E58" s="413"/>
      <c r="F58" s="413"/>
      <c r="G58" s="413"/>
      <c r="H58" s="413"/>
      <c r="I58" s="413"/>
      <c r="J58" s="413"/>
      <c r="K58" s="413"/>
      <c r="L58" s="413"/>
      <c r="M58" s="413"/>
      <c r="N58" s="413"/>
      <c r="O58" s="413"/>
      <c r="P58" s="413"/>
      <c r="Q58" s="413"/>
      <c r="R58" s="413"/>
      <c r="S58" s="413"/>
      <c r="T58" s="413"/>
      <c r="U58" s="413"/>
      <c r="V58" s="413"/>
      <c r="W58" s="413"/>
      <c r="X58" s="413"/>
      <c r="Y58" s="413"/>
      <c r="Z58" s="413"/>
      <c r="AA58" s="413"/>
      <c r="AB58" s="413"/>
      <c r="AC58" s="11126" t="s">
        <v>549</v>
      </c>
      <c r="AD58" s="11127"/>
      <c r="AE58" s="11127"/>
      <c r="AF58" s="11127"/>
      <c r="AG58" s="11127"/>
      <c r="AH58" s="11127"/>
      <c r="AI58" s="11127"/>
      <c r="AJ58" s="11127"/>
      <c r="AK58" s="2013"/>
      <c r="AL58" s="2013"/>
      <c r="AM58" s="2013"/>
      <c r="AN58" s="253"/>
      <c r="AO58" s="253"/>
      <c r="AP58" s="253"/>
      <c r="AQ58" s="658"/>
      <c r="AR58" s="658"/>
      <c r="AS58" s="658"/>
      <c r="AT58" s="658"/>
      <c r="AU58" s="658"/>
      <c r="AV58" s="658"/>
      <c r="AW58" s="658"/>
      <c r="AX58" s="658"/>
      <c r="AY58" s="658"/>
      <c r="AZ58" s="658"/>
      <c r="BA58"/>
      <c r="BB58"/>
    </row>
    <row r="59" spans="1:54" s="815" customFormat="1" ht="21.75" customHeight="1">
      <c r="A59" s="2013"/>
      <c r="B59" s="11128" t="str">
        <f>Names</f>
        <v/>
      </c>
      <c r="C59" s="11129"/>
      <c r="D59" s="11129"/>
      <c r="E59" s="11129"/>
      <c r="F59" s="11129"/>
      <c r="G59" s="11129"/>
      <c r="H59" s="11129"/>
      <c r="I59" s="11129"/>
      <c r="J59" s="11129"/>
      <c r="K59" s="11129"/>
      <c r="L59" s="11129"/>
      <c r="M59" s="11129"/>
      <c r="N59" s="11129"/>
      <c r="O59" s="11129"/>
      <c r="P59" s="11129"/>
      <c r="Q59" s="11129"/>
      <c r="R59" s="11129"/>
      <c r="S59" s="11129"/>
      <c r="T59" s="11129"/>
      <c r="U59" s="11129"/>
      <c r="V59" s="11129"/>
      <c r="W59" s="11129"/>
      <c r="X59" s="11129"/>
      <c r="Y59" s="11129"/>
      <c r="Z59" s="11129"/>
      <c r="AA59" s="11129"/>
      <c r="AB59" s="11130"/>
      <c r="AC59" s="11131">
        <f>IF(OR(NoSSN,SS_Yours=""),"",SS_Yours)</f>
        <v>1010001</v>
      </c>
      <c r="AD59" s="11132"/>
      <c r="AE59" s="11132"/>
      <c r="AF59" s="11132"/>
      <c r="AG59" s="11132"/>
      <c r="AH59" s="11132"/>
      <c r="AI59" s="11132"/>
      <c r="AJ59" s="11132"/>
      <c r="AK59" s="2013"/>
      <c r="AL59" s="2013"/>
      <c r="AM59" s="2013"/>
      <c r="AN59" s="253"/>
      <c r="AO59" s="253"/>
      <c r="AP59" s="253"/>
      <c r="AQ59" s="658"/>
      <c r="AR59" s="658"/>
      <c r="AS59" s="658"/>
      <c r="AT59" s="658"/>
      <c r="AU59" s="658"/>
      <c r="AV59" s="658"/>
      <c r="AW59" s="658"/>
      <c r="AX59" s="658"/>
      <c r="AY59" s="658"/>
      <c r="AZ59" s="658"/>
      <c r="BA59"/>
      <c r="BB59"/>
    </row>
    <row r="60" spans="1:54" s="815" customFormat="1" ht="6" customHeight="1">
      <c r="A60" s="2013"/>
      <c r="B60" s="4543"/>
      <c r="C60" s="4543"/>
      <c r="D60" s="4543" t="s">
        <v>3982</v>
      </c>
      <c r="E60" s="4543"/>
      <c r="F60" s="4543"/>
      <c r="G60" s="4543"/>
      <c r="H60" s="4543"/>
      <c r="I60" s="4543"/>
      <c r="J60" s="4543"/>
      <c r="K60" s="4543"/>
      <c r="L60" s="4543"/>
      <c r="M60" s="4543"/>
      <c r="N60" s="4543"/>
      <c r="O60" s="4543"/>
      <c r="P60" s="4543"/>
      <c r="Q60" s="4543"/>
      <c r="R60" s="4543"/>
      <c r="S60" s="4543"/>
      <c r="T60" s="4543"/>
      <c r="U60" s="4543"/>
      <c r="V60" s="4543"/>
      <c r="W60" s="4543"/>
      <c r="X60" s="4543"/>
      <c r="Y60" s="4543"/>
      <c r="Z60" s="4543"/>
      <c r="AA60" s="4543"/>
      <c r="AB60" s="4543"/>
      <c r="AC60" s="4543"/>
      <c r="AD60" s="4543"/>
      <c r="AE60" s="4543"/>
      <c r="AF60" s="4543"/>
      <c r="AG60" s="4543"/>
      <c r="AH60" s="4543"/>
      <c r="AI60" s="4543"/>
      <c r="AJ60" s="4543"/>
      <c r="AK60" s="2013"/>
      <c r="AL60" s="2013"/>
      <c r="AM60" s="2013"/>
      <c r="AN60" s="253"/>
      <c r="AO60" s="253"/>
      <c r="AP60" s="253"/>
      <c r="AQ60" s="658"/>
      <c r="AR60" s="658"/>
      <c r="AS60" s="658"/>
      <c r="AT60" s="658"/>
      <c r="AU60" s="658"/>
      <c r="AV60" s="658"/>
      <c r="AW60" s="658"/>
      <c r="AX60" s="658"/>
      <c r="AY60" s="658"/>
      <c r="AZ60" s="658"/>
      <c r="BA60"/>
      <c r="BB60"/>
    </row>
    <row r="61" spans="1:54" s="1115" customFormat="1" ht="15.75" customHeight="1">
      <c r="A61" s="2290"/>
      <c r="B61" s="5969" t="s">
        <v>6458</v>
      </c>
      <c r="C61" s="4492"/>
      <c r="D61" s="6536"/>
      <c r="E61" s="2325"/>
      <c r="F61" s="2325"/>
      <c r="G61" s="2325"/>
      <c r="H61" s="2325"/>
      <c r="I61" s="2325"/>
      <c r="J61" s="2325"/>
      <c r="K61" s="2325"/>
      <c r="L61" s="2325"/>
      <c r="M61" s="2325"/>
      <c r="N61" s="2325"/>
      <c r="O61" s="2325"/>
      <c r="P61" s="2325"/>
      <c r="Q61" s="2325"/>
      <c r="R61" s="2325"/>
      <c r="S61" s="2325"/>
      <c r="T61" s="2325"/>
      <c r="U61" s="2325"/>
      <c r="V61" s="2325"/>
      <c r="W61" s="2325"/>
      <c r="X61" s="2325"/>
      <c r="Y61" s="2325"/>
      <c r="Z61" s="2325"/>
      <c r="AA61" s="2325"/>
      <c r="AB61" s="2325"/>
      <c r="AC61" s="2325"/>
      <c r="AD61" s="2325"/>
      <c r="AE61" s="2325"/>
      <c r="AF61" s="2325"/>
      <c r="AG61" s="2325"/>
      <c r="AH61" s="2325"/>
      <c r="AI61" s="2325"/>
      <c r="AJ61" s="2325"/>
      <c r="AK61" s="2290"/>
      <c r="AL61" s="2290"/>
      <c r="AM61" s="2290"/>
      <c r="AN61" s="4520"/>
      <c r="AO61" s="4520"/>
      <c r="AP61" s="4521"/>
      <c r="AQ61" s="1114"/>
      <c r="AR61" s="1114"/>
      <c r="AS61" s="1114"/>
      <c r="AT61" s="1114"/>
      <c r="AU61" s="1114"/>
      <c r="AV61" s="1114"/>
      <c r="AW61" s="1114"/>
      <c r="AX61" s="1114"/>
      <c r="AY61" s="1114"/>
      <c r="AZ61" s="1114"/>
      <c r="BA61" s="2293"/>
      <c r="BB61" s="2293"/>
    </row>
    <row r="62" spans="1:54" s="1115" customFormat="1" ht="15.75" customHeight="1">
      <c r="A62" s="2290"/>
      <c r="B62" s="5969" t="s">
        <v>6459</v>
      </c>
      <c r="C62" s="4492"/>
      <c r="D62" s="2325"/>
      <c r="E62" s="2325"/>
      <c r="F62" s="2325"/>
      <c r="G62" s="2325"/>
      <c r="H62" s="2325"/>
      <c r="I62" s="2325"/>
      <c r="J62" s="2325"/>
      <c r="K62" s="2325"/>
      <c r="L62" s="2325"/>
      <c r="M62" s="2325"/>
      <c r="N62" s="2325"/>
      <c r="O62" s="2325"/>
      <c r="P62" s="2325"/>
      <c r="Q62" s="2325"/>
      <c r="R62" s="2325"/>
      <c r="S62" s="2325"/>
      <c r="T62" s="2325"/>
      <c r="U62" s="2325"/>
      <c r="V62" s="2325"/>
      <c r="W62" s="2325"/>
      <c r="X62" s="2325"/>
      <c r="Y62" s="2325"/>
      <c r="Z62" s="2325"/>
      <c r="AA62" s="2325"/>
      <c r="AB62" s="2325"/>
      <c r="AC62" s="2325"/>
      <c r="AD62" s="2325"/>
      <c r="AE62" s="2325"/>
      <c r="AF62" s="2325"/>
      <c r="AG62" s="2325"/>
      <c r="AH62" s="2325"/>
      <c r="AI62" s="2325"/>
      <c r="AJ62" s="2325"/>
      <c r="AK62" s="2290"/>
      <c r="AL62" s="2290"/>
      <c r="AM62" s="2290"/>
      <c r="AN62" s="4520"/>
      <c r="AO62" s="4520"/>
      <c r="AP62" s="4521"/>
      <c r="AQ62" s="1114"/>
      <c r="AR62" s="1114"/>
      <c r="AS62" s="1114"/>
      <c r="AT62" s="1114"/>
      <c r="AU62" s="1114"/>
      <c r="AV62" s="1114"/>
      <c r="AW62" s="1114"/>
      <c r="AX62" s="1114"/>
      <c r="AY62" s="1114"/>
      <c r="AZ62" s="1114"/>
      <c r="BA62" s="2293"/>
      <c r="BB62" s="2293"/>
    </row>
    <row r="63" spans="1:54" s="815" customFormat="1" ht="7.5" customHeight="1">
      <c r="A63" s="2013"/>
      <c r="B63" s="4544"/>
      <c r="C63" s="4544"/>
      <c r="D63" s="4544"/>
      <c r="E63" s="4544"/>
      <c r="F63" s="4544"/>
      <c r="G63" s="4544"/>
      <c r="H63" s="4544"/>
      <c r="I63" s="4544"/>
      <c r="J63" s="4544"/>
      <c r="K63" s="4544"/>
      <c r="L63" s="4544"/>
      <c r="M63" s="4544"/>
      <c r="N63" s="4544"/>
      <c r="O63" s="4544"/>
      <c r="P63" s="4544"/>
      <c r="Q63" s="4544"/>
      <c r="R63" s="4544"/>
      <c r="S63" s="4544"/>
      <c r="T63" s="4544"/>
      <c r="U63" s="4544"/>
      <c r="V63" s="4544"/>
      <c r="W63" s="4544"/>
      <c r="X63" s="4544"/>
      <c r="Y63" s="4544"/>
      <c r="Z63" s="4544"/>
      <c r="AA63" s="4544"/>
      <c r="AB63" s="4544"/>
      <c r="AC63" s="4544"/>
      <c r="AD63" s="4544"/>
      <c r="AE63" s="4544"/>
      <c r="AF63" s="4544"/>
      <c r="AG63" s="4544"/>
      <c r="AH63" s="4544"/>
      <c r="AI63" s="4544"/>
      <c r="AJ63" s="4544"/>
      <c r="AK63" s="2013"/>
      <c r="AL63" s="2013"/>
      <c r="AM63" s="2013"/>
      <c r="AN63" s="253"/>
      <c r="AO63" s="253"/>
      <c r="AP63" s="253"/>
      <c r="AQ63" s="658"/>
      <c r="AR63" s="658"/>
      <c r="AS63" s="658"/>
      <c r="AT63" s="658"/>
      <c r="AU63" s="658"/>
      <c r="AV63" s="658"/>
      <c r="AW63" s="658"/>
      <c r="AX63" s="658"/>
      <c r="AY63" s="658"/>
      <c r="AZ63" s="658"/>
      <c r="BA63"/>
      <c r="BB63"/>
    </row>
    <row r="64" spans="1:54" s="815" customFormat="1" ht="19.5" customHeight="1">
      <c r="A64" s="2013"/>
      <c r="B64" s="7934" t="s">
        <v>1938</v>
      </c>
      <c r="C64" s="7934"/>
      <c r="D64" s="3879"/>
      <c r="E64" s="2873" t="s">
        <v>4252</v>
      </c>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2013"/>
      <c r="AL64" s="2013"/>
      <c r="AM64" s="2013"/>
      <c r="AN64" s="253"/>
      <c r="AO64" s="253"/>
      <c r="AP64" s="253"/>
      <c r="AQ64" s="658"/>
      <c r="AR64" s="658"/>
      <c r="AS64" s="658"/>
      <c r="AT64" s="658"/>
      <c r="AU64" s="658"/>
      <c r="AV64" s="658"/>
      <c r="AW64" s="658"/>
      <c r="AX64" s="658"/>
      <c r="AY64" s="658"/>
      <c r="AZ64" s="658"/>
      <c r="BA64"/>
      <c r="BB64"/>
    </row>
    <row r="65" spans="1:54" s="815" customFormat="1" ht="16.5" customHeight="1">
      <c r="A65" s="2013"/>
      <c r="B65" s="3827" t="s">
        <v>268</v>
      </c>
      <c r="C65" s="253"/>
      <c r="D65" s="4545" t="s">
        <v>4253</v>
      </c>
      <c r="E65" s="406"/>
      <c r="F65" s="406"/>
      <c r="G65" s="406"/>
      <c r="H65" s="406"/>
      <c r="I65" s="406"/>
      <c r="J65" s="406"/>
      <c r="K65" s="406"/>
      <c r="L65" s="406"/>
      <c r="M65" s="407"/>
      <c r="N65" s="3807"/>
      <c r="O65" s="565"/>
      <c r="P65" s="406"/>
      <c r="Q65" s="406"/>
      <c r="R65" s="565"/>
      <c r="S65" s="565"/>
      <c r="T65" s="3807">
        <v>21</v>
      </c>
      <c r="U65" s="4545" t="s">
        <v>4254</v>
      </c>
      <c r="V65" s="565"/>
      <c r="W65" s="565"/>
      <c r="X65" s="565"/>
      <c r="Y65" s="565"/>
      <c r="Z65" s="565"/>
      <c r="AA65" s="565"/>
      <c r="AB65" s="4546"/>
      <c r="AC65" s="565"/>
      <c r="AD65" s="565"/>
      <c r="AE65" s="565"/>
      <c r="AF65" s="565"/>
      <c r="AG65" s="406"/>
      <c r="AH65" s="565"/>
      <c r="AI65" s="565"/>
      <c r="AJ65" s="565"/>
      <c r="AK65" s="2013"/>
      <c r="AL65" s="2013"/>
      <c r="AM65" s="2013"/>
      <c r="AN65" s="253"/>
      <c r="AO65" s="253"/>
      <c r="AP65" s="253"/>
      <c r="AQ65" s="658"/>
      <c r="AR65" s="658"/>
      <c r="AS65" s="658"/>
      <c r="AT65" s="658"/>
      <c r="AU65" s="658"/>
      <c r="AV65" s="658"/>
      <c r="AW65" s="658"/>
      <c r="AX65" s="658"/>
      <c r="AY65" s="658"/>
      <c r="AZ65" s="658"/>
      <c r="BA65"/>
      <c r="BB65"/>
    </row>
    <row r="66" spans="1:54" s="815" customFormat="1" ht="15">
      <c r="A66" s="2013"/>
      <c r="B66" s="3827"/>
      <c r="C66" s="253"/>
      <c r="D66" s="11138"/>
      <c r="E66" s="11138"/>
      <c r="F66" s="11138"/>
      <c r="G66" s="11138"/>
      <c r="H66" s="11138"/>
      <c r="I66" s="11138"/>
      <c r="J66" s="11138"/>
      <c r="K66" s="11138"/>
      <c r="L66" s="11138"/>
      <c r="M66" s="11138"/>
      <c r="N66" s="11138"/>
      <c r="O66" s="11138"/>
      <c r="P66" s="11138"/>
      <c r="Q66" s="11138"/>
      <c r="R66" s="11138"/>
      <c r="S66" s="11139"/>
      <c r="T66" s="4547"/>
      <c r="U66" s="2100" t="s">
        <v>4255</v>
      </c>
      <c r="V66" s="4548"/>
      <c r="W66" s="4548"/>
      <c r="X66" s="4548"/>
      <c r="Y66" s="4548"/>
      <c r="Z66" s="4548"/>
      <c r="AA66" s="4548"/>
      <c r="AB66" s="4548"/>
      <c r="AC66" s="4548"/>
      <c r="AD66" s="4548"/>
      <c r="AE66" s="4548"/>
      <c r="AF66" s="4548"/>
      <c r="AG66" s="4548"/>
      <c r="AH66" s="4548"/>
      <c r="AI66" s="4548"/>
      <c r="AJ66" s="4548"/>
      <c r="AK66" s="2013"/>
      <c r="AL66" s="2013"/>
      <c r="AM66" s="2013"/>
      <c r="AN66" s="253"/>
      <c r="AO66" s="253"/>
      <c r="AP66" s="253"/>
      <c r="AQ66" s="658"/>
      <c r="AR66" s="658"/>
      <c r="AS66" s="658"/>
      <c r="AT66" s="658"/>
      <c r="AU66" s="658"/>
      <c r="AV66" s="658"/>
      <c r="AW66" s="658"/>
      <c r="AX66" s="658"/>
      <c r="AY66" s="658"/>
      <c r="AZ66" s="658"/>
      <c r="BA66"/>
      <c r="BB66"/>
    </row>
    <row r="67" spans="1:54" s="815" customFormat="1" ht="18" customHeight="1">
      <c r="A67" s="2013"/>
      <c r="B67" s="3827"/>
      <c r="C67" s="253"/>
      <c r="D67" s="11140"/>
      <c r="E67" s="11140"/>
      <c r="F67" s="11140"/>
      <c r="G67" s="11140"/>
      <c r="H67" s="11140"/>
      <c r="I67" s="11140"/>
      <c r="J67" s="11140"/>
      <c r="K67" s="11140"/>
      <c r="L67" s="11140"/>
      <c r="M67" s="11140"/>
      <c r="N67" s="11140"/>
      <c r="O67" s="11140"/>
      <c r="P67" s="11140"/>
      <c r="Q67" s="11140"/>
      <c r="R67" s="11140"/>
      <c r="S67" s="11141"/>
      <c r="T67" s="1110"/>
      <c r="U67" s="11142"/>
      <c r="V67" s="11142"/>
      <c r="W67" s="11142"/>
      <c r="X67" s="11142"/>
      <c r="Y67" s="11142"/>
      <c r="Z67" s="11142"/>
      <c r="AA67" s="11142"/>
      <c r="AB67" s="11142"/>
      <c r="AC67" s="11142"/>
      <c r="AD67" s="11142"/>
      <c r="AE67" s="11142"/>
      <c r="AF67" s="11142"/>
      <c r="AG67" s="11142"/>
      <c r="AH67" s="11142"/>
      <c r="AI67" s="11142"/>
      <c r="AJ67" s="11142"/>
      <c r="AK67" s="2013"/>
      <c r="AL67" s="2013"/>
      <c r="AM67" s="2013"/>
      <c r="AN67" s="253"/>
      <c r="AO67" s="253"/>
      <c r="AP67" s="253"/>
      <c r="AQ67" s="658"/>
      <c r="AR67" s="658"/>
      <c r="AS67" s="658"/>
      <c r="AT67" s="658"/>
      <c r="AU67" s="658"/>
      <c r="AV67" s="658"/>
      <c r="AW67" s="658"/>
      <c r="AX67" s="658"/>
      <c r="AY67" s="658"/>
      <c r="AZ67" s="658"/>
      <c r="BA67"/>
      <c r="BB67"/>
    </row>
    <row r="68" spans="1:54" s="815" customFormat="1" ht="16.5" customHeight="1">
      <c r="A68" s="2013"/>
      <c r="B68" s="3844">
        <v>22</v>
      </c>
      <c r="C68" s="773"/>
      <c r="D68" s="1996" t="s">
        <v>4256</v>
      </c>
      <c r="E68" s="413"/>
      <c r="F68" s="413"/>
      <c r="G68" s="413"/>
      <c r="H68" s="413"/>
      <c r="I68" s="413"/>
      <c r="J68" s="413"/>
      <c r="K68" s="413"/>
      <c r="L68" s="413"/>
      <c r="M68" s="413"/>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2013"/>
      <c r="AL68" s="2013"/>
      <c r="AM68" s="2013"/>
      <c r="AN68" s="253"/>
      <c r="AO68" s="253"/>
      <c r="AP68" s="253"/>
      <c r="AQ68" s="658"/>
      <c r="AR68" s="658"/>
      <c r="AS68" s="658"/>
      <c r="AT68" s="658"/>
      <c r="AU68" s="658"/>
      <c r="AV68" s="658"/>
      <c r="AW68" s="658"/>
      <c r="AX68" s="658"/>
      <c r="AY68" s="658"/>
      <c r="AZ68" s="658"/>
      <c r="BA68"/>
      <c r="BB68"/>
    </row>
    <row r="69" spans="1:54" s="815" customFormat="1" ht="16.5" customHeight="1">
      <c r="A69" s="2013"/>
      <c r="B69" s="3827"/>
      <c r="C69" s="253"/>
      <c r="D69" s="3903" t="s">
        <v>1214</v>
      </c>
      <c r="E69" s="565" t="s">
        <v>4257</v>
      </c>
      <c r="F69" s="406"/>
      <c r="G69" s="406"/>
      <c r="H69" s="406"/>
      <c r="I69" s="406"/>
      <c r="J69" s="406"/>
      <c r="K69" s="406"/>
      <c r="L69" s="406"/>
      <c r="M69" s="406"/>
      <c r="N69" s="3903"/>
      <c r="O69" s="565"/>
      <c r="P69" s="406"/>
      <c r="Q69" s="406"/>
      <c r="R69" s="565"/>
      <c r="S69" s="3542"/>
      <c r="T69" s="3807"/>
      <c r="U69" s="3903" t="s">
        <v>1181</v>
      </c>
      <c r="V69" s="565" t="s">
        <v>4258</v>
      </c>
      <c r="W69" s="565"/>
      <c r="X69" s="565"/>
      <c r="Y69" s="565"/>
      <c r="Z69" s="565"/>
      <c r="AA69" s="565"/>
      <c r="AB69" s="4546"/>
      <c r="AC69" s="565"/>
      <c r="AD69" s="565"/>
      <c r="AE69" s="565"/>
      <c r="AF69" s="406"/>
      <c r="AG69" s="565"/>
      <c r="AH69" s="565"/>
      <c r="AI69" s="565"/>
      <c r="AJ69" s="565"/>
      <c r="AK69" s="2013"/>
      <c r="AL69" s="2013"/>
      <c r="AM69" s="2013"/>
      <c r="AN69" s="253"/>
      <c r="AO69" s="253"/>
      <c r="AP69" s="253"/>
      <c r="AQ69" s="658"/>
      <c r="AR69" s="658"/>
      <c r="AS69" s="658"/>
      <c r="AT69" s="658"/>
      <c r="AU69" s="658"/>
      <c r="AV69" s="658"/>
      <c r="AW69" s="658"/>
      <c r="AX69" s="658"/>
      <c r="AY69" s="658"/>
      <c r="AZ69" s="658"/>
      <c r="BA69"/>
      <c r="BB69"/>
    </row>
    <row r="70" spans="1:54" s="815" customFormat="1" ht="18">
      <c r="A70" s="2013"/>
      <c r="B70" s="3827"/>
      <c r="C70"/>
      <c r="D70" s="11143"/>
      <c r="E70" s="11143"/>
      <c r="F70" s="11143"/>
      <c r="G70" s="11143"/>
      <c r="H70" s="11143"/>
      <c r="I70" s="11143"/>
      <c r="J70" s="11143"/>
      <c r="K70" s="11143"/>
      <c r="L70" s="11143"/>
      <c r="M70" s="11143"/>
      <c r="N70" s="11143"/>
      <c r="O70" s="11143"/>
      <c r="P70" s="11143"/>
      <c r="Q70" s="11143"/>
      <c r="R70" s="11143"/>
      <c r="S70" s="11144"/>
      <c r="T70" s="11148"/>
      <c r="U70" s="11149"/>
      <c r="V70" s="11149"/>
      <c r="W70" s="11149"/>
      <c r="X70" s="11149"/>
      <c r="Y70" s="11149"/>
      <c r="Z70" s="11149"/>
      <c r="AA70" s="11149"/>
      <c r="AB70" s="11149"/>
      <c r="AC70" s="11149"/>
      <c r="AD70" s="11149"/>
      <c r="AE70" s="11149"/>
      <c r="AF70" s="11149"/>
      <c r="AG70" s="11149"/>
      <c r="AH70" s="11149"/>
      <c r="AI70" s="11149"/>
      <c r="AJ70" s="11149"/>
      <c r="AK70" s="2013"/>
      <c r="AL70" s="2013"/>
      <c r="AM70" s="2013"/>
      <c r="AN70" s="253"/>
      <c r="AO70" s="253"/>
      <c r="AP70" s="253"/>
      <c r="AQ70" s="658"/>
      <c r="AR70" s="658"/>
      <c r="AS70" s="658"/>
      <c r="AT70" s="658"/>
      <c r="AU70" s="658"/>
      <c r="AV70" s="658"/>
      <c r="AW70" s="658"/>
      <c r="AX70" s="658"/>
      <c r="AY70" s="658"/>
      <c r="AZ70" s="658"/>
      <c r="BA70"/>
      <c r="BB70"/>
    </row>
    <row r="71" spans="1:54" s="815" customFormat="1" ht="12.75" customHeight="1">
      <c r="A71" s="2013"/>
      <c r="B71" s="253"/>
      <c r="C71" s="253"/>
      <c r="D71" s="1400" t="s">
        <v>3847</v>
      </c>
      <c r="E71" s="511" t="s">
        <v>4259</v>
      </c>
      <c r="F71" s="253"/>
      <c r="G71" s="253"/>
      <c r="H71" s="253"/>
      <c r="I71" s="253"/>
      <c r="J71" s="253"/>
      <c r="K71" s="253"/>
      <c r="L71" s="253"/>
      <c r="M71" s="253"/>
      <c r="N71" s="253"/>
      <c r="O71" s="253"/>
      <c r="P71" s="253"/>
      <c r="Q71" s="253"/>
      <c r="R71" s="253"/>
      <c r="S71" s="407"/>
      <c r="T71" s="253"/>
      <c r="U71" s="1400" t="s">
        <v>3847</v>
      </c>
      <c r="V71" s="511" t="s">
        <v>4259</v>
      </c>
      <c r="W71" s="253"/>
      <c r="X71" s="253"/>
      <c r="Y71" s="253"/>
      <c r="Z71" s="253"/>
      <c r="AA71" s="253"/>
      <c r="AB71" s="253"/>
      <c r="AC71" s="253"/>
      <c r="AD71" s="253"/>
      <c r="AE71" s="253"/>
      <c r="AF71" s="253"/>
      <c r="AG71" s="253"/>
      <c r="AH71" s="253"/>
      <c r="AI71" s="253"/>
      <c r="AJ71" s="253"/>
      <c r="AK71" s="2013"/>
      <c r="AL71" s="2013"/>
      <c r="AM71" s="2013"/>
      <c r="AN71" s="253"/>
      <c r="AO71" s="253"/>
      <c r="AP71" s="253"/>
      <c r="AQ71" s="658"/>
      <c r="AR71" s="658"/>
      <c r="AS71" s="658"/>
      <c r="AT71" s="658"/>
      <c r="AU71" s="658"/>
      <c r="AV71" s="658"/>
      <c r="AW71" s="658"/>
      <c r="AX71" s="658"/>
      <c r="AY71" s="658"/>
      <c r="AZ71" s="658"/>
      <c r="BA71"/>
      <c r="BB71"/>
    </row>
    <row r="72" spans="1:54" s="815" customFormat="1" ht="14.25">
      <c r="A72" s="2013"/>
      <c r="B72" s="253"/>
      <c r="C72" s="253"/>
      <c r="D72" s="253"/>
      <c r="E72" s="511" t="s">
        <v>4260</v>
      </c>
      <c r="F72" s="253"/>
      <c r="G72" s="253"/>
      <c r="H72" s="253"/>
      <c r="I72" s="253"/>
      <c r="J72" s="253"/>
      <c r="K72" s="253"/>
      <c r="L72" s="253"/>
      <c r="M72" s="253"/>
      <c r="N72" s="253"/>
      <c r="O72" s="253"/>
      <c r="P72" s="253"/>
      <c r="Q72" s="253"/>
      <c r="R72" s="253"/>
      <c r="S72" s="409"/>
      <c r="T72" s="253"/>
      <c r="U72" s="253"/>
      <c r="V72" s="511" t="s">
        <v>4260</v>
      </c>
      <c r="W72" s="253"/>
      <c r="X72" s="253"/>
      <c r="Y72" s="253"/>
      <c r="Z72" s="253"/>
      <c r="AA72" s="253"/>
      <c r="AB72" s="253"/>
      <c r="AC72" s="253"/>
      <c r="AD72" s="253"/>
      <c r="AE72" s="253"/>
      <c r="AF72" s="253"/>
      <c r="AG72" s="253"/>
      <c r="AH72" s="253"/>
      <c r="AI72" s="253"/>
      <c r="AJ72" s="253"/>
      <c r="AK72" s="2013"/>
      <c r="AL72" s="2013"/>
      <c r="AM72" s="2013"/>
      <c r="AN72" s="253"/>
      <c r="AO72" s="253"/>
      <c r="AP72" s="253"/>
      <c r="AQ72" s="658"/>
      <c r="AR72" s="658"/>
      <c r="AS72" s="658"/>
      <c r="AT72" s="658"/>
      <c r="AU72" s="658"/>
      <c r="AV72" s="658"/>
      <c r="AW72" s="658"/>
      <c r="AX72" s="658"/>
      <c r="AY72" s="658"/>
      <c r="AZ72" s="658"/>
      <c r="BA72"/>
      <c r="BB72"/>
    </row>
    <row r="73" spans="1:54" s="815" customFormat="1" ht="14.25">
      <c r="A73" s="2013"/>
      <c r="B73" s="253"/>
      <c r="C73" s="253"/>
      <c r="D73" s="253"/>
      <c r="E73" s="511" t="s">
        <v>2882</v>
      </c>
      <c r="F73" s="253"/>
      <c r="G73" s="253"/>
      <c r="H73" s="253"/>
      <c r="I73" s="253"/>
      <c r="J73" s="253"/>
      <c r="K73" s="253"/>
      <c r="L73" s="253"/>
      <c r="M73" s="253"/>
      <c r="N73" s="253"/>
      <c r="O73" s="253"/>
      <c r="P73" s="253"/>
      <c r="Q73" s="253"/>
      <c r="R73" s="253"/>
      <c r="S73" s="409"/>
      <c r="T73" s="253"/>
      <c r="U73" s="253"/>
      <c r="V73" s="511" t="s">
        <v>2882</v>
      </c>
      <c r="W73" s="253"/>
      <c r="X73" s="253"/>
      <c r="Y73" s="253"/>
      <c r="Z73" s="253"/>
      <c r="AA73" s="253"/>
      <c r="AB73" s="253"/>
      <c r="AC73" s="253"/>
      <c r="AD73" s="253"/>
      <c r="AE73" s="253"/>
      <c r="AF73" s="253"/>
      <c r="AG73" s="253"/>
      <c r="AH73" s="253"/>
      <c r="AI73" s="253"/>
      <c r="AJ73" s="253"/>
      <c r="AK73" s="2013"/>
      <c r="AL73" s="2013"/>
      <c r="AM73" s="2013"/>
      <c r="AN73" s="253"/>
      <c r="AO73" s="253"/>
      <c r="AP73" s="253"/>
      <c r="AQ73" s="658"/>
      <c r="AR73" s="658"/>
      <c r="AS73" s="658"/>
      <c r="AT73" s="658"/>
      <c r="AU73" s="658"/>
      <c r="AV73" s="658"/>
      <c r="AW73" s="658"/>
      <c r="AX73" s="658"/>
      <c r="AY73" s="658"/>
      <c r="AZ73" s="658"/>
      <c r="BA73"/>
      <c r="BB73"/>
    </row>
    <row r="74" spans="1:54" s="815" customFormat="1" ht="15.75" customHeight="1">
      <c r="A74" s="2013"/>
      <c r="B74" s="3827"/>
      <c r="C74"/>
      <c r="D74" s="7146"/>
      <c r="E74" s="7146"/>
      <c r="F74" s="7146"/>
      <c r="G74" s="7146"/>
      <c r="H74" s="7146"/>
      <c r="I74" s="7146"/>
      <c r="J74" s="7146"/>
      <c r="K74" s="7146"/>
      <c r="L74" s="7146"/>
      <c r="M74" s="7146"/>
      <c r="N74" s="7146"/>
      <c r="O74" s="7146"/>
      <c r="P74" s="7146"/>
      <c r="Q74" s="7146"/>
      <c r="R74" s="7146"/>
      <c r="S74" s="7147"/>
      <c r="T74" s="11150"/>
      <c r="U74" s="7130"/>
      <c r="V74" s="7130"/>
      <c r="W74" s="7130"/>
      <c r="X74" s="7130"/>
      <c r="Y74" s="7130"/>
      <c r="Z74" s="7130"/>
      <c r="AA74" s="7130"/>
      <c r="AB74" s="7130"/>
      <c r="AC74" s="7130"/>
      <c r="AD74" s="7130"/>
      <c r="AE74" s="7130"/>
      <c r="AF74" s="7130"/>
      <c r="AG74" s="7130"/>
      <c r="AH74" s="7130"/>
      <c r="AI74" s="7130"/>
      <c r="AJ74" s="7130"/>
      <c r="AK74" s="2013"/>
      <c r="AL74" s="2013"/>
      <c r="AM74" s="2013"/>
      <c r="AN74" s="253"/>
      <c r="AO74" s="253"/>
      <c r="AP74" s="253"/>
      <c r="AQ74" s="658"/>
      <c r="AR74" s="658"/>
      <c r="AS74" s="658"/>
      <c r="AT74" s="658"/>
      <c r="AU74" s="658"/>
      <c r="AV74" s="658"/>
      <c r="AW74" s="658"/>
      <c r="AX74" s="658"/>
      <c r="AY74" s="658"/>
      <c r="AZ74" s="658"/>
      <c r="BA74"/>
      <c r="BB74"/>
    </row>
    <row r="75" spans="1:54" s="815" customFormat="1" ht="16.5" customHeight="1">
      <c r="A75" s="2013"/>
      <c r="B75" s="253"/>
      <c r="C75" s="253"/>
      <c r="D75" s="1400" t="s">
        <v>3849</v>
      </c>
      <c r="E75" s="11133" t="str">
        <f>"Did the student receive Form 1098-T"&amp;CHAR(10)&amp;"from this institution for "&amp;TaxYear&amp;"?"</f>
        <v>Did the student receive Form 1098-T
from this institution for 2025?</v>
      </c>
      <c r="F75" s="11133"/>
      <c r="G75" s="11133"/>
      <c r="H75" s="11133"/>
      <c r="I75" s="11133"/>
      <c r="J75" s="11133"/>
      <c r="K75" s="11133"/>
      <c r="L75" s="11133"/>
      <c r="M75" s="11133"/>
      <c r="N75" s="11133"/>
      <c r="O75" s="253"/>
      <c r="P75" s="253"/>
      <c r="Q75" s="253"/>
      <c r="R75" s="253"/>
      <c r="S75" s="253"/>
      <c r="T75" s="405"/>
      <c r="U75" s="1400" t="s">
        <v>3849</v>
      </c>
      <c r="V75" s="11133" t="str">
        <f>"Did the student receive Form 1098-T"&amp;CHAR(10)&amp;"from this institution for "&amp;TaxYear&amp;"?"</f>
        <v>Did the student receive Form 1098-T
from this institution for 2025?</v>
      </c>
      <c r="W75" s="11133"/>
      <c r="X75" s="11133"/>
      <c r="Y75" s="11133"/>
      <c r="Z75" s="11133"/>
      <c r="AA75" s="11133"/>
      <c r="AB75" s="11133"/>
      <c r="AC75" s="11133"/>
      <c r="AD75" s="11133"/>
      <c r="AE75" s="11133"/>
      <c r="AF75" s="253"/>
      <c r="AG75" s="253"/>
      <c r="AH75" s="253"/>
      <c r="AI75" s="253"/>
      <c r="AJ75" s="253"/>
      <c r="AK75" s="2013"/>
      <c r="AL75" s="2013"/>
      <c r="AM75" s="2013"/>
      <c r="AN75" s="253"/>
      <c r="AO75" s="253"/>
      <c r="AP75" s="253"/>
      <c r="AQ75" s="658"/>
      <c r="AR75" s="658"/>
      <c r="AS75" s="658"/>
      <c r="AT75" s="658"/>
      <c r="AU75" s="658"/>
      <c r="AV75" s="658"/>
      <c r="AW75" s="658"/>
      <c r="AX75" s="658"/>
      <c r="AY75" s="658"/>
      <c r="AZ75" s="658"/>
      <c r="BA75"/>
      <c r="BB75"/>
    </row>
    <row r="76" spans="1:54" s="815" customFormat="1" ht="14.25" customHeight="1">
      <c r="A76" s="2013"/>
      <c r="B76" s="253"/>
      <c r="C76" s="253"/>
      <c r="D76" s="253"/>
      <c r="E76" s="11134"/>
      <c r="F76" s="11134"/>
      <c r="G76" s="11134"/>
      <c r="H76" s="11134"/>
      <c r="I76" s="11134"/>
      <c r="J76" s="11134"/>
      <c r="K76" s="11134"/>
      <c r="L76" s="11134"/>
      <c r="M76" s="11134"/>
      <c r="N76" s="11134"/>
      <c r="O76" s="1111"/>
      <c r="P76" s="349" t="s">
        <v>1238</v>
      </c>
      <c r="Q76" s="253"/>
      <c r="R76" s="1111"/>
      <c r="S76" s="349" t="s">
        <v>734</v>
      </c>
      <c r="T76" s="2018"/>
      <c r="U76" s="253"/>
      <c r="V76" s="11134"/>
      <c r="W76" s="11134"/>
      <c r="X76" s="11134"/>
      <c r="Y76" s="11134"/>
      <c r="Z76" s="11134"/>
      <c r="AA76" s="11134"/>
      <c r="AB76" s="11134"/>
      <c r="AC76" s="11134"/>
      <c r="AD76" s="11134"/>
      <c r="AE76" s="11134"/>
      <c r="AF76" s="1111"/>
      <c r="AG76" s="349" t="s">
        <v>1238</v>
      </c>
      <c r="AH76" s="253"/>
      <c r="AI76" s="1111"/>
      <c r="AJ76" s="349" t="s">
        <v>734</v>
      </c>
      <c r="AK76" s="2013"/>
      <c r="AL76" s="2013"/>
      <c r="AM76" s="2013"/>
      <c r="AN76" s="253"/>
      <c r="AO76" s="253"/>
      <c r="AP76" s="253"/>
      <c r="AQ76" s="658"/>
      <c r="AR76" s="658"/>
      <c r="AS76" s="658"/>
      <c r="AT76" s="658"/>
      <c r="AU76" s="658"/>
      <c r="AV76" s="658"/>
      <c r="AW76" s="658"/>
      <c r="AX76" s="658"/>
      <c r="AY76" s="658"/>
      <c r="AZ76" s="658"/>
      <c r="BA76"/>
      <c r="BB76"/>
    </row>
    <row r="77" spans="1:54" s="815" customFormat="1" ht="7.5" customHeight="1">
      <c r="A77" s="2013"/>
      <c r="B77" s="413"/>
      <c r="C77" s="413"/>
      <c r="D77" s="413"/>
      <c r="E77" s="11135"/>
      <c r="F77" s="11135"/>
      <c r="G77" s="11135"/>
      <c r="H77" s="11135"/>
      <c r="I77" s="11135"/>
      <c r="J77" s="11135"/>
      <c r="K77" s="11135"/>
      <c r="L77" s="11135"/>
      <c r="M77" s="11135"/>
      <c r="N77" s="11135"/>
      <c r="O77" s="413"/>
      <c r="P77" s="413"/>
      <c r="Q77" s="413"/>
      <c r="R77" s="413"/>
      <c r="S77" s="413"/>
      <c r="T77" s="412"/>
      <c r="U77" s="413"/>
      <c r="V77" s="11135"/>
      <c r="W77" s="11135"/>
      <c r="X77" s="11135"/>
      <c r="Y77" s="11135"/>
      <c r="Z77" s="11135"/>
      <c r="AA77" s="11135"/>
      <c r="AB77" s="11135"/>
      <c r="AC77" s="11135"/>
      <c r="AD77" s="11135"/>
      <c r="AE77" s="11135"/>
      <c r="AF77" s="413"/>
      <c r="AG77" s="413"/>
      <c r="AH77" s="413"/>
      <c r="AI77" s="413"/>
      <c r="AJ77" s="413"/>
      <c r="AK77" s="2013"/>
      <c r="AL77" s="2013"/>
      <c r="AM77" s="2013"/>
      <c r="AN77" s="253"/>
      <c r="AO77" s="253"/>
      <c r="AP77" s="253"/>
      <c r="AQ77" s="662"/>
      <c r="AR77" s="662"/>
      <c r="AS77" s="662"/>
      <c r="AT77" s="662"/>
      <c r="AU77" s="662"/>
      <c r="AV77" s="662"/>
      <c r="AW77" s="662"/>
      <c r="AX77" s="662"/>
      <c r="AY77" s="662"/>
      <c r="AZ77" s="662"/>
      <c r="BA77"/>
      <c r="BB77"/>
    </row>
    <row r="78" spans="1:54" s="815" customFormat="1" ht="16.5" customHeight="1">
      <c r="A78" s="2013"/>
      <c r="B78" s="253"/>
      <c r="C78" s="253"/>
      <c r="D78" s="4230" t="s">
        <v>4261</v>
      </c>
      <c r="E78" s="11133" t="str">
        <f>"Did the student receive Form 1098-T"&amp;CHAR(10)&amp;"from this institution for "&amp;TaxYear-1&amp;" with box"&amp;CHAR(10)&amp;"7 checked?"</f>
        <v>Did the student receive Form 1098-T
from this institution for 2024 with box
7 checked?</v>
      </c>
      <c r="F78" s="11133"/>
      <c r="G78" s="11133"/>
      <c r="H78" s="11133"/>
      <c r="I78" s="11133"/>
      <c r="J78" s="11133"/>
      <c r="K78" s="11133"/>
      <c r="L78" s="11133"/>
      <c r="M78" s="11133"/>
      <c r="N78" s="11133"/>
      <c r="O78" s="253"/>
      <c r="P78" s="253"/>
      <c r="Q78" s="253"/>
      <c r="R78" s="253"/>
      <c r="S78" s="253"/>
      <c r="T78" s="408"/>
      <c r="U78" s="4230" t="s">
        <v>4261</v>
      </c>
      <c r="V78" s="11133" t="str">
        <f>"Did the student receive Form 1098-T"&amp;CHAR(10)&amp;"from this institution for "&amp;TaxYear-1&amp;" with box"&amp;CHAR(10)&amp;"7 checked?"</f>
        <v>Did the student receive Form 1098-T
from this institution for 2024 with box
7 checked?</v>
      </c>
      <c r="W78" s="11133"/>
      <c r="X78" s="11133"/>
      <c r="Y78" s="11133"/>
      <c r="Z78" s="11133"/>
      <c r="AA78" s="11133"/>
      <c r="AB78" s="11133"/>
      <c r="AC78" s="11133"/>
      <c r="AD78" s="11133"/>
      <c r="AE78" s="11133"/>
      <c r="AF78" s="253"/>
      <c r="AG78" s="253"/>
      <c r="AH78" s="253"/>
      <c r="AI78" s="253"/>
      <c r="AJ78" s="253"/>
      <c r="AK78" s="2013"/>
      <c r="AL78" s="2013"/>
      <c r="AM78" s="2013"/>
      <c r="AN78" s="253"/>
      <c r="AO78" s="253"/>
      <c r="AP78" s="253"/>
      <c r="AQ78" s="658"/>
      <c r="AR78" s="658"/>
      <c r="AS78" s="658"/>
      <c r="AT78" s="658"/>
      <c r="AU78" s="658"/>
      <c r="AV78" s="658"/>
      <c r="AW78" s="658"/>
      <c r="AX78" s="658"/>
      <c r="AY78" s="658"/>
      <c r="AZ78" s="658"/>
      <c r="BA78"/>
      <c r="BB78"/>
    </row>
    <row r="79" spans="1:54" s="815" customFormat="1" ht="14.25" customHeight="1">
      <c r="A79" s="2013"/>
      <c r="B79" s="253"/>
      <c r="C79" s="253"/>
      <c r="D79" s="253"/>
      <c r="E79" s="11134"/>
      <c r="F79" s="11134"/>
      <c r="G79" s="11134"/>
      <c r="H79" s="11134"/>
      <c r="I79" s="11134"/>
      <c r="J79" s="11134"/>
      <c r="K79" s="11134"/>
      <c r="L79" s="11134"/>
      <c r="M79" s="11134"/>
      <c r="N79" s="11134"/>
      <c r="O79" s="1111"/>
      <c r="P79" s="349" t="s">
        <v>1238</v>
      </c>
      <c r="Q79" s="253"/>
      <c r="R79" s="1111"/>
      <c r="S79" s="349" t="s">
        <v>734</v>
      </c>
      <c r="T79" s="2018"/>
      <c r="U79" s="253"/>
      <c r="V79" s="11134"/>
      <c r="W79" s="11134"/>
      <c r="X79" s="11134"/>
      <c r="Y79" s="11134"/>
      <c r="Z79" s="11134"/>
      <c r="AA79" s="11134"/>
      <c r="AB79" s="11134"/>
      <c r="AC79" s="11134"/>
      <c r="AD79" s="11134"/>
      <c r="AE79" s="11134"/>
      <c r="AF79" s="1111"/>
      <c r="AG79" s="349" t="s">
        <v>1238</v>
      </c>
      <c r="AH79" s="253"/>
      <c r="AI79" s="1111"/>
      <c r="AJ79" s="349" t="s">
        <v>734</v>
      </c>
      <c r="AK79" s="2013"/>
      <c r="AL79" s="2013"/>
      <c r="AM79" s="2013"/>
      <c r="AN79" s="253"/>
      <c r="AO79" s="253"/>
      <c r="AP79" s="253"/>
      <c r="AQ79" s="658"/>
      <c r="AR79" s="658"/>
      <c r="AS79" s="658"/>
      <c r="AT79" s="658"/>
      <c r="AU79" s="658"/>
      <c r="AV79" s="658"/>
      <c r="AW79" s="658"/>
      <c r="AX79" s="658"/>
      <c r="AY79" s="658"/>
      <c r="AZ79" s="658"/>
      <c r="BA79"/>
      <c r="BB79"/>
    </row>
    <row r="80" spans="1:54" s="815" customFormat="1" ht="13.5" customHeight="1">
      <c r="A80" s="2013"/>
      <c r="B80" s="413"/>
      <c r="C80" s="413"/>
      <c r="D80" s="413"/>
      <c r="E80" s="11135"/>
      <c r="F80" s="11135"/>
      <c r="G80" s="11135"/>
      <c r="H80" s="11135"/>
      <c r="I80" s="11135"/>
      <c r="J80" s="11135"/>
      <c r="K80" s="11135"/>
      <c r="L80" s="11135"/>
      <c r="M80" s="11135"/>
      <c r="N80" s="11135"/>
      <c r="O80" s="413"/>
      <c r="P80" s="413"/>
      <c r="Q80" s="413"/>
      <c r="R80" s="413"/>
      <c r="S80" s="413"/>
      <c r="T80" s="412"/>
      <c r="U80" s="413"/>
      <c r="V80" s="11135"/>
      <c r="W80" s="11135"/>
      <c r="X80" s="11135"/>
      <c r="Y80" s="11135"/>
      <c r="Z80" s="11135"/>
      <c r="AA80" s="11135"/>
      <c r="AB80" s="11135"/>
      <c r="AC80" s="11135"/>
      <c r="AD80" s="11135"/>
      <c r="AE80" s="11135"/>
      <c r="AF80" s="413"/>
      <c r="AG80" s="413"/>
      <c r="AH80" s="413"/>
      <c r="AI80" s="413"/>
      <c r="AJ80" s="413"/>
      <c r="AK80" s="2013"/>
      <c r="AL80" s="2013"/>
      <c r="AM80" s="2013"/>
      <c r="AN80" s="253"/>
      <c r="AO80" s="253"/>
      <c r="AP80" s="253"/>
      <c r="AQ80" s="658"/>
      <c r="AR80" s="658"/>
      <c r="AS80" s="658"/>
      <c r="AT80" s="658"/>
      <c r="AU80" s="658"/>
      <c r="AV80" s="658"/>
      <c r="AW80" s="658"/>
      <c r="AX80" s="658"/>
      <c r="AY80" s="658"/>
      <c r="AZ80" s="658"/>
      <c r="BA80"/>
      <c r="BB80"/>
    </row>
    <row r="81" spans="1:54" s="815" customFormat="1" ht="21" customHeight="1" thickBot="1">
      <c r="A81" s="2013"/>
      <c r="B81" s="253"/>
      <c r="C81" s="253"/>
      <c r="D81" s="4230" t="s">
        <v>576</v>
      </c>
      <c r="E81" s="11133" t="s">
        <v>4262</v>
      </c>
      <c r="F81" s="11133"/>
      <c r="G81" s="11133"/>
      <c r="H81" s="11133"/>
      <c r="I81" s="11133"/>
      <c r="J81" s="11133"/>
      <c r="K81" s="11133"/>
      <c r="L81" s="11133"/>
      <c r="M81" s="11133"/>
      <c r="N81" s="11133"/>
      <c r="O81" s="11133"/>
      <c r="P81" s="11133"/>
      <c r="Q81" s="11133"/>
      <c r="R81" s="11133"/>
      <c r="S81" s="11136"/>
      <c r="T81" s="408"/>
      <c r="U81" s="4230" t="s">
        <v>576</v>
      </c>
      <c r="V81" s="11133" t="s">
        <v>4262</v>
      </c>
      <c r="W81" s="11133"/>
      <c r="X81" s="11133"/>
      <c r="Y81" s="11133"/>
      <c r="Z81" s="11133"/>
      <c r="AA81" s="11133"/>
      <c r="AB81" s="11133"/>
      <c r="AC81" s="11133"/>
      <c r="AD81" s="11133"/>
      <c r="AE81" s="11133"/>
      <c r="AF81" s="11133"/>
      <c r="AG81" s="11133"/>
      <c r="AH81" s="11133"/>
      <c r="AI81" s="11133"/>
      <c r="AJ81" s="11133"/>
      <c r="AK81" s="2013"/>
      <c r="AL81" s="2013"/>
      <c r="AM81" s="2013"/>
      <c r="AN81" s="253"/>
      <c r="AO81" s="253"/>
      <c r="AP81" s="253"/>
      <c r="AQ81" s="658"/>
      <c r="AR81" s="658"/>
      <c r="AS81" s="658"/>
      <c r="AT81" s="658"/>
      <c r="AU81" s="658"/>
      <c r="AV81" s="658"/>
      <c r="AW81" s="658"/>
      <c r="AX81" s="658"/>
      <c r="AY81" s="658"/>
      <c r="AZ81" s="658"/>
      <c r="BA81"/>
      <c r="BB81"/>
    </row>
    <row r="82" spans="1:54" s="815" customFormat="1" ht="14.25" customHeight="1">
      <c r="A82" s="2013"/>
      <c r="B82" s="253"/>
      <c r="C82" s="253"/>
      <c r="D82" s="253"/>
      <c r="E82" s="11134"/>
      <c r="F82" s="11134"/>
      <c r="G82" s="11134"/>
      <c r="H82" s="11134"/>
      <c r="I82" s="11134"/>
      <c r="J82" s="11134"/>
      <c r="K82" s="11134"/>
      <c r="L82" s="11134"/>
      <c r="M82" s="11134"/>
      <c r="N82" s="11134"/>
      <c r="O82" s="11134"/>
      <c r="P82" s="11134"/>
      <c r="Q82" s="11134"/>
      <c r="R82" s="11134"/>
      <c r="S82" s="11137"/>
      <c r="T82" s="2018"/>
      <c r="U82" s="253"/>
      <c r="V82" s="11134"/>
      <c r="W82" s="11134"/>
      <c r="X82" s="11134"/>
      <c r="Y82" s="11134"/>
      <c r="Z82" s="11134"/>
      <c r="AA82" s="11134"/>
      <c r="AB82" s="11134"/>
      <c r="AC82" s="11134"/>
      <c r="AD82" s="11134"/>
      <c r="AE82" s="11134"/>
      <c r="AF82" s="11134"/>
      <c r="AG82" s="11134"/>
      <c r="AH82" s="11134"/>
      <c r="AI82" s="11134"/>
      <c r="AJ82" s="11134"/>
      <c r="AK82" s="2013"/>
      <c r="AL82" s="2013"/>
      <c r="AM82" s="2013"/>
      <c r="AN82" s="253"/>
      <c r="AO82" s="253"/>
      <c r="AP82" s="253"/>
      <c r="AQ82" s="1126" t="s">
        <v>4263</v>
      </c>
      <c r="AR82" s="1127"/>
      <c r="AS82" s="1127"/>
      <c r="AT82" s="1127"/>
      <c r="AU82" s="1127"/>
      <c r="AV82" s="1127"/>
      <c r="AW82" s="1127"/>
      <c r="AX82" s="1127"/>
      <c r="AY82" s="1127"/>
      <c r="AZ82" s="1128"/>
      <c r="BA82"/>
      <c r="BB82"/>
    </row>
    <row r="83" spans="1:54" s="815" customFormat="1" ht="26.25" customHeight="1">
      <c r="A83" s="2013"/>
      <c r="B83" s="253"/>
      <c r="C83" s="253"/>
      <c r="D83" s="253"/>
      <c r="E83" s="11134"/>
      <c r="F83" s="11134"/>
      <c r="G83" s="11134"/>
      <c r="H83" s="11134"/>
      <c r="I83" s="11134"/>
      <c r="J83" s="11134"/>
      <c r="K83" s="11134"/>
      <c r="L83" s="11134"/>
      <c r="M83" s="11134"/>
      <c r="N83" s="11134"/>
      <c r="O83" s="11134"/>
      <c r="P83" s="11134"/>
      <c r="Q83" s="11134"/>
      <c r="R83" s="11134"/>
      <c r="S83" s="11137"/>
      <c r="T83" s="408"/>
      <c r="U83" s="253"/>
      <c r="V83" s="11134"/>
      <c r="W83" s="11134"/>
      <c r="X83" s="11134"/>
      <c r="Y83" s="11134"/>
      <c r="Z83" s="11134"/>
      <c r="AA83" s="11134"/>
      <c r="AB83" s="11134"/>
      <c r="AC83" s="11134"/>
      <c r="AD83" s="11134"/>
      <c r="AE83" s="11134"/>
      <c r="AF83" s="11134"/>
      <c r="AG83" s="11134"/>
      <c r="AH83" s="11134"/>
      <c r="AI83" s="11134"/>
      <c r="AJ83" s="11134"/>
      <c r="AK83" s="2013"/>
      <c r="AL83" s="2013"/>
      <c r="AM83" s="2013"/>
      <c r="AN83" s="253"/>
      <c r="AO83" s="253"/>
      <c r="AP83" s="253"/>
      <c r="AQ83" s="1129" t="s">
        <v>4264</v>
      </c>
      <c r="AR83" s="1130"/>
      <c r="AS83" s="1130"/>
      <c r="AT83" s="1130"/>
      <c r="AU83" s="1130"/>
      <c r="AV83" s="1130"/>
      <c r="AW83" s="1130"/>
      <c r="AX83" s="1130"/>
      <c r="AY83" s="1130"/>
      <c r="AZ83" s="1131"/>
      <c r="BA83"/>
      <c r="BB83"/>
    </row>
    <row r="84" spans="1:54" s="815" customFormat="1" ht="17.25" customHeight="1">
      <c r="A84" s="2013"/>
      <c r="B84" s="253"/>
      <c r="C84" s="253"/>
      <c r="D84" s="253"/>
      <c r="E84" s="1111"/>
      <c r="F84" s="1111"/>
      <c r="G84" s="4551" t="s">
        <v>4265</v>
      </c>
      <c r="H84" s="1111"/>
      <c r="I84" s="1111"/>
      <c r="J84" s="1111"/>
      <c r="K84" s="1111"/>
      <c r="L84" s="1111"/>
      <c r="M84" s="1111"/>
      <c r="N84" s="1111"/>
      <c r="O84" s="4549"/>
      <c r="P84" s="4549"/>
      <c r="Q84" s="4549"/>
      <c r="R84" s="4549"/>
      <c r="S84" s="4550"/>
      <c r="T84" s="408"/>
      <c r="U84" s="253"/>
      <c r="V84" s="1111"/>
      <c r="W84" s="1111"/>
      <c r="X84" s="4551" t="s">
        <v>4265</v>
      </c>
      <c r="Y84" s="1111"/>
      <c r="Z84" s="1111"/>
      <c r="AA84" s="1111"/>
      <c r="AB84" s="1111"/>
      <c r="AC84" s="1111"/>
      <c r="AD84" s="1111"/>
      <c r="AE84" s="1111"/>
      <c r="AF84" s="253"/>
      <c r="AG84" s="253"/>
      <c r="AH84" s="253"/>
      <c r="AI84" s="253"/>
      <c r="AJ84" s="253"/>
      <c r="AK84" s="2013"/>
      <c r="AL84" s="2013"/>
      <c r="AM84" s="2013"/>
      <c r="AN84" s="253"/>
      <c r="AO84" s="253"/>
      <c r="AP84" s="253"/>
      <c r="AQ84" s="1132" t="str">
        <f>"(see below) in "&amp;TaxYear&amp;" for which you paid (or are treated as having paid) qualified education expenses in "&amp;TaxYear&amp;"."</f>
        <v>(see below) in 2025 for which you paid (or are treated as having paid) qualified education expenses in 2025.</v>
      </c>
      <c r="AR84" s="1133"/>
      <c r="AS84" s="1133"/>
      <c r="AT84" s="1133"/>
      <c r="AU84" s="1133"/>
      <c r="AV84" s="1133"/>
      <c r="AW84" s="1133"/>
      <c r="AX84" s="1133"/>
      <c r="AY84" s="1133"/>
      <c r="AZ84" s="1134"/>
      <c r="BA84"/>
      <c r="BB84"/>
    </row>
    <row r="85" spans="1:54" s="815" customFormat="1" ht="14.25">
      <c r="A85" s="2013"/>
      <c r="B85" s="413"/>
      <c r="C85" s="413"/>
      <c r="D85" s="413"/>
      <c r="E85" s="1996"/>
      <c r="F85" s="413"/>
      <c r="G85" s="413"/>
      <c r="H85" s="413"/>
      <c r="I85" s="413"/>
      <c r="J85" s="413"/>
      <c r="K85" s="413"/>
      <c r="L85" s="413"/>
      <c r="M85" s="413"/>
      <c r="N85" s="413"/>
      <c r="O85" s="413"/>
      <c r="P85" s="413"/>
      <c r="Q85" s="413"/>
      <c r="R85" s="413"/>
      <c r="S85" s="414"/>
      <c r="T85" s="412"/>
      <c r="U85" s="413"/>
      <c r="V85" s="413"/>
      <c r="W85" s="413"/>
      <c r="X85" s="413"/>
      <c r="Y85" s="413"/>
      <c r="Z85" s="413"/>
      <c r="AA85" s="413"/>
      <c r="AB85" s="413"/>
      <c r="AC85" s="413"/>
      <c r="AD85" s="413"/>
      <c r="AE85" s="413"/>
      <c r="AF85" s="413"/>
      <c r="AG85" s="413"/>
      <c r="AH85" s="413"/>
      <c r="AI85" s="413"/>
      <c r="AJ85" s="413"/>
      <c r="AK85" s="2013"/>
      <c r="AL85" s="2013"/>
      <c r="AM85" s="2013"/>
      <c r="AN85" s="253"/>
      <c r="AO85" s="253"/>
      <c r="AP85" s="253"/>
      <c r="AQ85" s="1135"/>
      <c r="AR85" s="946"/>
      <c r="AS85" s="946"/>
      <c r="AT85" s="946"/>
      <c r="AU85" s="946"/>
      <c r="AV85" s="946"/>
      <c r="AW85" s="946"/>
      <c r="AX85" s="946"/>
      <c r="AY85" s="946"/>
      <c r="AZ85" s="1136"/>
      <c r="BA85"/>
      <c r="BB85"/>
    </row>
    <row r="86" spans="1:54" s="815" customFormat="1" ht="15">
      <c r="A86" s="2013"/>
      <c r="B86" s="3827">
        <v>23</v>
      </c>
      <c r="C86" s="253"/>
      <c r="D86" s="253"/>
      <c r="E86" s="511" t="s">
        <v>4266</v>
      </c>
      <c r="F86" s="253"/>
      <c r="G86" s="253"/>
      <c r="H86" s="253"/>
      <c r="I86" s="253"/>
      <c r="J86" s="253"/>
      <c r="K86" s="253"/>
      <c r="L86" s="253"/>
      <c r="M86" s="253"/>
      <c r="N86" s="253"/>
      <c r="O86" s="253"/>
      <c r="P86" s="253"/>
      <c r="Q86" s="253"/>
      <c r="R86" s="253"/>
      <c r="S86" s="253"/>
      <c r="T86" s="253"/>
      <c r="U86" s="253"/>
      <c r="V86" s="253"/>
      <c r="W86" s="253"/>
      <c r="X86" s="253"/>
      <c r="Y86" s="253"/>
      <c r="Z86" s="253"/>
      <c r="AA86" s="253"/>
      <c r="AB86" s="253"/>
      <c r="AC86" s="253"/>
      <c r="AD86" s="253"/>
      <c r="AE86" s="253"/>
      <c r="AF86" s="253"/>
      <c r="AG86" s="253"/>
      <c r="AH86" s="253"/>
      <c r="AI86" s="253"/>
      <c r="AJ86" s="253"/>
      <c r="AK86" s="2013"/>
      <c r="AL86" s="2013"/>
      <c r="AM86" s="2013"/>
      <c r="AN86" s="253"/>
      <c r="AO86" s="253"/>
      <c r="AP86" s="253"/>
      <c r="AQ86" s="4552" t="s">
        <v>4267</v>
      </c>
      <c r="AR86" s="946"/>
      <c r="AS86" s="946"/>
      <c r="AT86" s="946"/>
      <c r="AU86" s="946"/>
      <c r="AV86" s="946"/>
      <c r="AW86" s="946"/>
      <c r="AX86" s="946"/>
      <c r="AY86" s="946"/>
      <c r="AZ86" s="1136"/>
      <c r="BA86"/>
      <c r="BB86"/>
    </row>
    <row r="87" spans="1:54" s="815" customFormat="1" ht="15">
      <c r="A87" s="2013"/>
      <c r="B87" s="253"/>
      <c r="C87" s="253"/>
      <c r="D87" s="253"/>
      <c r="E87" s="1672" t="s">
        <v>4268</v>
      </c>
      <c r="F87" s="253"/>
      <c r="G87" s="253"/>
      <c r="H87" s="253"/>
      <c r="I87" s="253"/>
      <c r="J87" s="253"/>
      <c r="K87" s="253"/>
      <c r="L87" s="253"/>
      <c r="M87" s="253"/>
      <c r="N87" s="253"/>
      <c r="O87" s="253"/>
      <c r="P87" s="253"/>
      <c r="Q87" s="253"/>
      <c r="R87" s="253"/>
      <c r="S87" s="253"/>
      <c r="T87" s="1111"/>
      <c r="U87" s="344" t="s">
        <v>4269</v>
      </c>
      <c r="V87" s="253"/>
      <c r="W87" s="253"/>
      <c r="X87" s="253"/>
      <c r="Y87" s="253"/>
      <c r="Z87" s="253"/>
      <c r="AA87" s="253"/>
      <c r="AB87" s="253"/>
      <c r="AC87" s="1963" t="str">
        <f>IF(T87&lt;&gt;"","","X")</f>
        <v>X</v>
      </c>
      <c r="AD87" s="344" t="s">
        <v>4270</v>
      </c>
      <c r="AE87" s="253"/>
      <c r="AF87" s="253"/>
      <c r="AG87" s="253"/>
      <c r="AH87" s="253"/>
      <c r="AI87" s="253"/>
      <c r="AJ87" s="253"/>
      <c r="AK87" s="2013"/>
      <c r="AL87" s="2013"/>
      <c r="AM87" s="2013"/>
      <c r="AN87" s="253"/>
      <c r="AO87" s="253"/>
      <c r="AP87" s="253"/>
      <c r="AQ87" s="4553" t="str">
        <f>TaxYear&amp;" for the academic period"</f>
        <v>2025 for the academic period</v>
      </c>
      <c r="AR87" s="4536"/>
      <c r="AS87" s="4536"/>
      <c r="AT87" s="4536"/>
      <c r="AU87" s="4536"/>
      <c r="AV87" s="4536"/>
      <c r="AW87" s="4539"/>
      <c r="AX87" s="4539" t="s">
        <v>157</v>
      </c>
      <c r="AY87" s="443"/>
      <c r="AZ87" s="4537"/>
      <c r="BA87"/>
      <c r="BB87"/>
    </row>
    <row r="88" spans="1:54" s="1116" customFormat="1" ht="16.5" customHeight="1">
      <c r="A88" s="2067"/>
      <c r="B88" s="571"/>
      <c r="C88" s="571"/>
      <c r="D88" s="571"/>
      <c r="E88" s="2046"/>
      <c r="F88" s="571"/>
      <c r="G88" s="571"/>
      <c r="H88" s="571"/>
      <c r="I88" s="571"/>
      <c r="J88" s="571"/>
      <c r="K88" s="571"/>
      <c r="L88" s="571"/>
      <c r="M88" s="571"/>
      <c r="N88" s="571"/>
      <c r="O88" s="571"/>
      <c r="P88" s="571"/>
      <c r="Q88" s="571"/>
      <c r="R88" s="571"/>
      <c r="S88" s="571"/>
      <c r="T88" s="571"/>
      <c r="U88" s="571" t="s">
        <v>4271</v>
      </c>
      <c r="V88" s="571"/>
      <c r="W88" s="571"/>
      <c r="X88" s="571"/>
      <c r="Y88" s="571"/>
      <c r="Z88" s="571"/>
      <c r="AA88" s="571"/>
      <c r="AB88" s="571"/>
      <c r="AC88" s="571"/>
      <c r="AD88" s="571"/>
      <c r="AE88" s="571"/>
      <c r="AF88" s="571"/>
      <c r="AG88" s="571"/>
      <c r="AH88" s="571"/>
      <c r="AI88" s="571"/>
      <c r="AJ88" s="571"/>
      <c r="AK88" s="2067"/>
      <c r="AL88" s="2067"/>
      <c r="AM88" s="2067"/>
      <c r="AN88" s="571"/>
      <c r="AO88" s="571"/>
      <c r="AP88" s="571"/>
      <c r="AQ88" s="4554"/>
      <c r="AR88" s="4536"/>
      <c r="AS88" s="4536"/>
      <c r="AT88" s="4536"/>
      <c r="AU88" s="4536"/>
      <c r="AV88" s="4536"/>
      <c r="AW88" s="4539"/>
      <c r="AX88" s="4539"/>
      <c r="AY88" s="4539"/>
      <c r="AZ88" s="4537"/>
      <c r="BA88" s="138"/>
      <c r="BB88" s="138"/>
    </row>
    <row r="89" spans="1:54" s="815" customFormat="1" ht="15">
      <c r="A89" s="2013"/>
      <c r="B89" s="4555">
        <v>24</v>
      </c>
      <c r="C89" s="406"/>
      <c r="D89" s="406"/>
      <c r="E89" s="2354" t="s">
        <v>4272</v>
      </c>
      <c r="F89" s="406"/>
      <c r="G89" s="406"/>
      <c r="H89" s="406"/>
      <c r="I89" s="406"/>
      <c r="J89" s="406"/>
      <c r="K89" s="406"/>
      <c r="L89" s="406"/>
      <c r="M89" s="406"/>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2013"/>
      <c r="AL89" s="2013"/>
      <c r="AM89" s="2013"/>
      <c r="AN89" s="253"/>
      <c r="AO89" s="253"/>
      <c r="AP89" s="253"/>
      <c r="AQ89" s="4552" t="s">
        <v>4273</v>
      </c>
      <c r="AR89" s="1130"/>
      <c r="AS89" s="1130"/>
      <c r="AT89" s="1130"/>
      <c r="AU89" s="1130"/>
      <c r="AV89" s="1130"/>
      <c r="AW89" s="1130"/>
      <c r="AX89" s="1130"/>
      <c r="AY89" s="946"/>
      <c r="AZ89" s="1131"/>
      <c r="BA89"/>
      <c r="BB89"/>
    </row>
    <row r="90" spans="1:54" s="815" customFormat="1" ht="15">
      <c r="A90" s="2013"/>
      <c r="B90" s="3827"/>
      <c r="C90" s="253"/>
      <c r="D90" s="253"/>
      <c r="E90" s="511" t="s">
        <v>4274</v>
      </c>
      <c r="F90" s="253"/>
      <c r="G90" s="253"/>
      <c r="H90" s="253"/>
      <c r="I90" s="253"/>
      <c r="J90" s="253"/>
      <c r="K90" s="253"/>
      <c r="L90" s="253"/>
      <c r="M90" s="253"/>
      <c r="N90" s="253"/>
      <c r="O90" s="253"/>
      <c r="P90" s="253"/>
      <c r="Q90" s="253"/>
      <c r="R90" s="253"/>
      <c r="S90" s="253"/>
      <c r="T90" s="253"/>
      <c r="U90" s="253"/>
      <c r="V90" s="253"/>
      <c r="W90" s="253"/>
      <c r="X90" s="253"/>
      <c r="Y90" s="253"/>
      <c r="Z90" s="253"/>
      <c r="AA90" s="253"/>
      <c r="AB90" s="253"/>
      <c r="AC90" s="253"/>
      <c r="AD90" s="253"/>
      <c r="AE90" s="253"/>
      <c r="AF90" s="253"/>
      <c r="AG90" s="253"/>
      <c r="AH90" s="253"/>
      <c r="AI90" s="253"/>
      <c r="AJ90" s="253"/>
      <c r="AK90" s="2013"/>
      <c r="AL90" s="2013"/>
      <c r="AM90" s="2013"/>
      <c r="AN90" s="253"/>
      <c r="AO90" s="253"/>
      <c r="AP90" s="253"/>
      <c r="AQ90" s="1137" t="s">
        <v>1214</v>
      </c>
      <c r="AR90" s="1138" t="str">
        <f>"Tax-free educational assistance received in "&amp;TaxYear&amp;" allocable to"</f>
        <v>Tax-free educational assistance received in 2025 allocable to</v>
      </c>
      <c r="AS90" s="946"/>
      <c r="AT90" s="946"/>
      <c r="AU90" s="946"/>
      <c r="AV90" s="946"/>
      <c r="AW90" s="946"/>
      <c r="AX90" s="946"/>
      <c r="AY90" s="946"/>
      <c r="AZ90" s="1136"/>
      <c r="BA90"/>
      <c r="BB90"/>
    </row>
    <row r="91" spans="1:54" s="815" customFormat="1" ht="15">
      <c r="A91" s="2013"/>
      <c r="B91" s="3827"/>
      <c r="C91" s="253"/>
      <c r="D91" s="253"/>
      <c r="E91" s="511" t="str">
        <f>"in "&amp;TaxYear&amp;" at an eligible educational institution in a program"</f>
        <v>in 2025 at an eligible educational institution in a program</v>
      </c>
      <c r="F91" s="253"/>
      <c r="G91" s="253"/>
      <c r="H91" s="253"/>
      <c r="I91" s="253"/>
      <c r="J91" s="253"/>
      <c r="K91" s="253"/>
      <c r="L91" s="253"/>
      <c r="M91" s="253"/>
      <c r="N91" s="253"/>
      <c r="O91" s="253"/>
      <c r="P91" s="253"/>
      <c r="Q91" s="253"/>
      <c r="R91" s="253"/>
      <c r="S91" s="253"/>
      <c r="T91" s="253"/>
      <c r="U91" s="253"/>
      <c r="V91" s="253"/>
      <c r="W91" s="253"/>
      <c r="X91" s="253"/>
      <c r="Y91" s="253"/>
      <c r="Z91" s="253"/>
      <c r="AA91" s="253"/>
      <c r="AB91" s="253"/>
      <c r="AC91" s="253"/>
      <c r="AD91" s="253"/>
      <c r="AE91" s="253"/>
      <c r="AF91" s="253"/>
      <c r="AG91" s="253"/>
      <c r="AH91" s="253"/>
      <c r="AI91" s="253"/>
      <c r="AJ91" s="253"/>
      <c r="AK91" s="2013"/>
      <c r="AL91" s="2013"/>
      <c r="AM91" s="2013"/>
      <c r="AN91" s="253"/>
      <c r="AO91" s="253"/>
      <c r="AP91" s="253"/>
      <c r="AQ91" s="1140"/>
      <c r="AR91" s="1138" t="s">
        <v>4275</v>
      </c>
      <c r="AS91" s="1141"/>
      <c r="AT91" s="1141"/>
      <c r="AU91" s="1141"/>
      <c r="AV91" s="1141"/>
      <c r="AW91" s="4539" t="s">
        <v>1186</v>
      </c>
      <c r="AX91" s="443"/>
      <c r="AY91" s="946"/>
      <c r="AZ91" s="1139"/>
      <c r="BA91"/>
      <c r="BB91"/>
    </row>
    <row r="92" spans="1:54" s="815" customFormat="1" ht="15">
      <c r="A92" s="2013"/>
      <c r="B92" s="253"/>
      <c r="C92" s="253"/>
      <c r="D92" s="253"/>
      <c r="E92" s="1672" t="s">
        <v>4276</v>
      </c>
      <c r="F92" s="253"/>
      <c r="G92" s="253"/>
      <c r="H92" s="253"/>
      <c r="I92" s="253"/>
      <c r="J92" s="253"/>
      <c r="K92" s="253"/>
      <c r="L92" s="253"/>
      <c r="M92" s="253"/>
      <c r="N92" s="253"/>
      <c r="O92" s="253"/>
      <c r="P92" s="253"/>
      <c r="Q92" s="253"/>
      <c r="R92" s="253"/>
      <c r="S92" s="253"/>
      <c r="T92" s="1963" t="str">
        <f>IF(AC92&lt;&gt;"","","X")</f>
        <v>X</v>
      </c>
      <c r="U92" s="344" t="s">
        <v>4277</v>
      </c>
      <c r="V92" s="253"/>
      <c r="W92" s="253"/>
      <c r="X92" s="253"/>
      <c r="Y92" s="253"/>
      <c r="Z92" s="253"/>
      <c r="AA92" s="253"/>
      <c r="AB92" s="253"/>
      <c r="AC92" s="1111"/>
      <c r="AD92" s="344" t="s">
        <v>4278</v>
      </c>
      <c r="AE92" s="253"/>
      <c r="AF92" s="253"/>
      <c r="AG92" s="253"/>
      <c r="AH92" s="253"/>
      <c r="AI92" s="253"/>
      <c r="AJ92" s="253"/>
      <c r="AK92" s="2013"/>
      <c r="AL92" s="2013"/>
      <c r="AM92" s="2013"/>
      <c r="AN92" s="253"/>
      <c r="AO92" s="253"/>
      <c r="AP92" s="253"/>
      <c r="AQ92" s="1137" t="s">
        <v>1181</v>
      </c>
      <c r="AR92" s="1138" t="str">
        <f>"Tax-free educational assistance received in "&amp;TaxYear+1&amp;" (and before you"</f>
        <v>Tax-free educational assistance received in 2026 (and before you</v>
      </c>
      <c r="AS92" s="946"/>
      <c r="AT92" s="946"/>
      <c r="AU92" s="946"/>
      <c r="AV92" s="946"/>
      <c r="AW92" s="946"/>
      <c r="AX92" s="946"/>
      <c r="AY92" s="946"/>
      <c r="AZ92" s="1136"/>
      <c r="BA92"/>
      <c r="BB92"/>
    </row>
    <row r="93" spans="1:54" s="815" customFormat="1" ht="14.25">
      <c r="A93" s="2013"/>
      <c r="B93" s="253"/>
      <c r="C93" s="253"/>
      <c r="D93" s="253"/>
      <c r="E93" s="1672" t="s">
        <v>4279</v>
      </c>
      <c r="F93" s="253"/>
      <c r="G93" s="253"/>
      <c r="H93" s="253"/>
      <c r="I93" s="253"/>
      <c r="J93" s="253"/>
      <c r="K93" s="253"/>
      <c r="L93" s="253"/>
      <c r="M93" s="253"/>
      <c r="N93" s="253"/>
      <c r="O93" s="253"/>
      <c r="P93" s="253"/>
      <c r="Q93" s="253"/>
      <c r="R93" s="253"/>
      <c r="S93" s="253"/>
      <c r="T93" s="253"/>
      <c r="U93" s="253"/>
      <c r="V93" s="253"/>
      <c r="W93" s="253"/>
      <c r="X93" s="253"/>
      <c r="Y93" s="253"/>
      <c r="Z93" s="253"/>
      <c r="AA93" s="253"/>
      <c r="AB93" s="253"/>
      <c r="AC93" s="253"/>
      <c r="AD93" s="344" t="s">
        <v>4280</v>
      </c>
      <c r="AE93" s="253"/>
      <c r="AF93" s="253"/>
      <c r="AG93" s="253"/>
      <c r="AH93" s="253"/>
      <c r="AI93" s="253"/>
      <c r="AJ93" s="253"/>
      <c r="AK93" s="2013"/>
      <c r="AL93" s="2013"/>
      <c r="AM93" s="2013"/>
      <c r="AN93" s="253"/>
      <c r="AO93" s="253"/>
      <c r="AP93" s="253"/>
      <c r="AQ93" s="1140"/>
      <c r="AR93" s="1138" t="str">
        <f>"file your "&amp;TaxYear&amp;" tax return) allocable to the academic period"</f>
        <v>file your 2025 tax return) allocable to the academic period</v>
      </c>
      <c r="AS93" s="1141"/>
      <c r="AT93" s="1141"/>
      <c r="AU93" s="1141"/>
      <c r="AV93" s="1141"/>
      <c r="AW93" s="4539" t="s">
        <v>1194</v>
      </c>
      <c r="AX93" s="443"/>
      <c r="AY93" s="946"/>
      <c r="AZ93" s="1139"/>
      <c r="BA93"/>
      <c r="BB93"/>
    </row>
    <row r="94" spans="1:54" s="1116" customFormat="1" ht="16.5" customHeight="1">
      <c r="A94" s="2067"/>
      <c r="B94" s="571"/>
      <c r="C94" s="571"/>
      <c r="D94" s="571"/>
      <c r="E94" s="2046" t="s">
        <v>746</v>
      </c>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2067"/>
      <c r="AL94" s="2067"/>
      <c r="AM94" s="2067"/>
      <c r="AN94" s="571"/>
      <c r="AO94" s="571"/>
      <c r="AP94" s="571"/>
      <c r="AQ94" s="1137" t="s">
        <v>1196</v>
      </c>
      <c r="AR94" s="1138" t="str">
        <f>"Refunds of qualified education expenses paid in "&amp;TaxYear&amp;" if the refund"</f>
        <v>Refunds of qualified education expenses paid in 2025 if the refund</v>
      </c>
      <c r="AS94" s="946"/>
      <c r="AT94" s="946"/>
      <c r="AU94" s="946"/>
      <c r="AV94" s="946"/>
      <c r="AW94" s="946"/>
      <c r="AX94" s="946"/>
      <c r="AY94" s="946"/>
      <c r="AZ94" s="1136"/>
      <c r="BA94" s="138"/>
      <c r="BB94" s="138"/>
    </row>
    <row r="95" spans="1:54" s="815" customFormat="1" ht="15">
      <c r="A95" s="2013"/>
      <c r="B95" s="4555">
        <v>25</v>
      </c>
      <c r="C95" s="406"/>
      <c r="D95" s="406"/>
      <c r="E95" s="2354" t="s">
        <v>4281</v>
      </c>
      <c r="F95" s="406"/>
      <c r="G95" s="406"/>
      <c r="H95" s="406"/>
      <c r="I95" s="406"/>
      <c r="J95" s="406"/>
      <c r="K95" s="406"/>
      <c r="L95" s="406"/>
      <c r="M95" s="406"/>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2013"/>
      <c r="AL95" s="2013"/>
      <c r="AM95" s="2013"/>
      <c r="AN95" s="253"/>
      <c r="AO95" s="253"/>
      <c r="AP95" s="253"/>
      <c r="AQ95" s="1140"/>
      <c r="AR95" s="1138" t="str">
        <f>"is received in "&amp;TaxYear&amp;" or in "&amp;TaxYear+1&amp;" before you file your "&amp;TaxYear&amp;" tax return."</f>
        <v>is received in 2025 or in 2026 before you file your 2025 tax return.</v>
      </c>
      <c r="AS95" s="1141"/>
      <c r="AT95" s="1141"/>
      <c r="AU95" s="1141"/>
      <c r="AV95" s="1141"/>
      <c r="AW95" s="4539" t="s">
        <v>1202</v>
      </c>
      <c r="AX95" s="443"/>
      <c r="AY95" s="946"/>
      <c r="AZ95" s="1139"/>
      <c r="BA95"/>
      <c r="BB95"/>
    </row>
    <row r="96" spans="1:54" s="815" customFormat="1" ht="15">
      <c r="A96" s="2013"/>
      <c r="B96" s="253"/>
      <c r="C96" s="253"/>
      <c r="D96" s="253"/>
      <c r="E96" s="1672" t="str">
        <f>"education before "&amp;TaxYear&amp;"? See instructions."</f>
        <v>education before 2025? See instructions.</v>
      </c>
      <c r="F96" s="253"/>
      <c r="G96" s="253"/>
      <c r="H96" s="253"/>
      <c r="I96" s="253"/>
      <c r="J96" s="253"/>
      <c r="K96" s="253"/>
      <c r="L96" s="253"/>
      <c r="M96" s="253"/>
      <c r="N96" s="253"/>
      <c r="O96" s="253"/>
      <c r="P96" s="253"/>
      <c r="Q96" s="253"/>
      <c r="R96" s="253"/>
      <c r="S96" s="253"/>
      <c r="T96" s="1111"/>
      <c r="U96" s="344" t="s">
        <v>4269</v>
      </c>
      <c r="V96" s="253"/>
      <c r="W96" s="253"/>
      <c r="X96" s="253"/>
      <c r="Y96" s="253"/>
      <c r="Z96" s="253"/>
      <c r="AA96" s="253"/>
      <c r="AB96" s="253"/>
      <c r="AC96" s="1963" t="str">
        <f>IF(T96&lt;&gt;"","","X")</f>
        <v>X</v>
      </c>
      <c r="AD96" s="344" t="s">
        <v>4282</v>
      </c>
      <c r="AE96" s="253"/>
      <c r="AF96" s="253"/>
      <c r="AG96" s="253"/>
      <c r="AH96" s="253"/>
      <c r="AI96" s="253"/>
      <c r="AJ96" s="253"/>
      <c r="AK96" s="2013"/>
      <c r="AL96" s="2013"/>
      <c r="AM96" s="2013"/>
      <c r="AN96" s="253"/>
      <c r="AO96" s="253"/>
      <c r="AP96" s="253"/>
      <c r="AQ96" s="1140"/>
      <c r="AR96" s="1138"/>
      <c r="AS96" s="1141"/>
      <c r="AT96" s="1141"/>
      <c r="AU96" s="1141"/>
      <c r="AV96" s="1141"/>
      <c r="AW96" s="1141"/>
      <c r="AX96" s="1141"/>
      <c r="AY96" s="946"/>
      <c r="AZ96" s="1139"/>
      <c r="BA96"/>
      <c r="BB96"/>
    </row>
    <row r="97" spans="1:54" s="1116" customFormat="1" ht="16.5" customHeight="1">
      <c r="A97" s="2067"/>
      <c r="B97" s="571"/>
      <c r="C97" s="571"/>
      <c r="D97" s="571"/>
      <c r="E97" s="2046"/>
      <c r="F97" s="571"/>
      <c r="G97" s="571"/>
      <c r="H97" s="571"/>
      <c r="I97" s="571"/>
      <c r="J97" s="571"/>
      <c r="K97" s="571"/>
      <c r="L97" s="571"/>
      <c r="M97" s="571"/>
      <c r="N97" s="571"/>
      <c r="O97" s="571"/>
      <c r="P97" s="571"/>
      <c r="Q97" s="571"/>
      <c r="R97" s="571"/>
      <c r="S97" s="571"/>
      <c r="T97" s="571"/>
      <c r="U97" s="571" t="s">
        <v>4271</v>
      </c>
      <c r="V97" s="571"/>
      <c r="W97" s="571"/>
      <c r="X97" s="571"/>
      <c r="Y97" s="571"/>
      <c r="Z97" s="571"/>
      <c r="AA97" s="571"/>
      <c r="AB97" s="571"/>
      <c r="AC97" s="571"/>
      <c r="AD97" s="571"/>
      <c r="AE97" s="571"/>
      <c r="AF97" s="571"/>
      <c r="AG97" s="571"/>
      <c r="AH97" s="571"/>
      <c r="AI97" s="571"/>
      <c r="AJ97" s="571"/>
      <c r="AK97" s="2067"/>
      <c r="AL97" s="2067"/>
      <c r="AM97" s="2067"/>
      <c r="AN97" s="571"/>
      <c r="AO97" s="571"/>
      <c r="AP97" s="571"/>
      <c r="AQ97" s="4552" t="s">
        <v>4283</v>
      </c>
      <c r="AR97" s="4536"/>
      <c r="AS97" s="4536"/>
      <c r="AT97" s="4536"/>
      <c r="AU97" s="4536"/>
      <c r="AV97" s="4536"/>
      <c r="AW97" s="4539"/>
      <c r="AX97" s="4539" t="s">
        <v>167</v>
      </c>
      <c r="AY97" s="2499">
        <f>SUM(AX91,AX93,AX95)</f>
        <v>0</v>
      </c>
      <c r="AZ97" s="4537"/>
      <c r="BA97" s="138"/>
      <c r="BB97" s="138"/>
    </row>
    <row r="98" spans="1:54" s="815" customFormat="1" ht="15">
      <c r="A98" s="2013"/>
      <c r="B98" s="4555">
        <v>26</v>
      </c>
      <c r="C98" s="406"/>
      <c r="D98" s="406"/>
      <c r="E98" s="2354" t="str">
        <f>"Was the student convicted, before the end of "&amp;TaxYear&amp;", of a"</f>
        <v>Was the student convicted, before the end of 2025, of a</v>
      </c>
      <c r="F98" s="406"/>
      <c r="G98" s="406"/>
      <c r="H98" s="406"/>
      <c r="I98" s="406"/>
      <c r="J98" s="406"/>
      <c r="K98" s="406"/>
      <c r="L98" s="406"/>
      <c r="M98" s="406"/>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2013"/>
      <c r="AL98" s="2013"/>
      <c r="AM98" s="2013"/>
      <c r="AN98" s="253"/>
      <c r="AO98" s="253"/>
      <c r="AP98" s="253"/>
      <c r="AQ98" s="1140"/>
      <c r="AR98" s="1138"/>
      <c r="AS98" s="1141"/>
      <c r="AT98" s="1141"/>
      <c r="AU98" s="1141"/>
      <c r="AV98" s="1141"/>
      <c r="AW98" s="1141"/>
      <c r="AX98" s="1141"/>
      <c r="AY98" s="946"/>
      <c r="AZ98" s="1139"/>
      <c r="BA98"/>
      <c r="BB98"/>
    </row>
    <row r="99" spans="1:54" s="815" customFormat="1" ht="15">
      <c r="A99" s="2013"/>
      <c r="B99" s="253"/>
      <c r="C99" s="253"/>
      <c r="D99" s="253"/>
      <c r="E99" s="1672" t="s">
        <v>4284</v>
      </c>
      <c r="F99" s="253"/>
      <c r="G99" s="253"/>
      <c r="H99" s="253"/>
      <c r="I99" s="253"/>
      <c r="J99" s="253"/>
      <c r="K99" s="253"/>
      <c r="L99" s="253"/>
      <c r="M99" s="253"/>
      <c r="N99" s="253"/>
      <c r="O99" s="253"/>
      <c r="P99" s="253"/>
      <c r="Q99" s="253"/>
      <c r="R99" s="253"/>
      <c r="S99" s="253"/>
      <c r="T99" s="1111"/>
      <c r="U99" s="344" t="s">
        <v>4269</v>
      </c>
      <c r="V99" s="253"/>
      <c r="W99" s="253"/>
      <c r="X99" s="253"/>
      <c r="Y99" s="253"/>
      <c r="Z99" s="253"/>
      <c r="AA99" s="253"/>
      <c r="AB99" s="253"/>
      <c r="AC99" s="1963" t="str">
        <f>IF(T99&lt;&gt;"","","X")</f>
        <v>X</v>
      </c>
      <c r="AD99" s="344" t="s">
        <v>4285</v>
      </c>
      <c r="AE99" s="253"/>
      <c r="AF99" s="253"/>
      <c r="AG99" s="253"/>
      <c r="AH99" s="253"/>
      <c r="AI99" s="253"/>
      <c r="AJ99" s="253"/>
      <c r="AK99" s="2013"/>
      <c r="AL99" s="2013"/>
      <c r="AM99" s="2013"/>
      <c r="AN99" s="253"/>
      <c r="AO99" s="226" t="s">
        <v>979</v>
      </c>
      <c r="AP99" s="253"/>
      <c r="AQ99" s="4552" t="s">
        <v>4286</v>
      </c>
      <c r="AR99" s="1138"/>
      <c r="AS99" s="1141"/>
      <c r="AT99" s="1141"/>
      <c r="AU99" s="1141"/>
      <c r="AV99" s="1141"/>
      <c r="AW99" s="1141"/>
      <c r="AX99" s="1141"/>
      <c r="AY99" s="946"/>
      <c r="AZ99" s="1139"/>
      <c r="BA99"/>
      <c r="BB99"/>
    </row>
    <row r="100" spans="1:54" s="1116" customFormat="1" ht="16.5" customHeight="1">
      <c r="A100" s="2067"/>
      <c r="B100" s="2068"/>
      <c r="C100" s="2068"/>
      <c r="D100" s="2068"/>
      <c r="E100" s="4556" t="s">
        <v>4287</v>
      </c>
      <c r="F100" s="2068"/>
      <c r="G100" s="2068"/>
      <c r="H100" s="2068"/>
      <c r="I100" s="2068"/>
      <c r="J100" s="2068"/>
      <c r="K100" s="2068"/>
      <c r="L100" s="2068"/>
      <c r="M100" s="2068"/>
      <c r="N100" s="2068"/>
      <c r="O100" s="2068"/>
      <c r="P100" s="2068"/>
      <c r="Q100" s="2068"/>
      <c r="R100" s="2068"/>
      <c r="S100" s="2068"/>
      <c r="T100" s="2068"/>
      <c r="U100" s="2068" t="s">
        <v>4271</v>
      </c>
      <c r="V100" s="2068"/>
      <c r="W100" s="2068"/>
      <c r="X100" s="2068"/>
      <c r="Y100" s="2068"/>
      <c r="Z100" s="2068"/>
      <c r="AA100" s="2068"/>
      <c r="AB100" s="2068"/>
      <c r="AC100" s="2068"/>
      <c r="AD100" s="4162" t="s">
        <v>4288</v>
      </c>
      <c r="AE100" s="2068"/>
      <c r="AF100" s="2068"/>
      <c r="AG100" s="2068"/>
      <c r="AH100" s="2068"/>
      <c r="AI100" s="2068"/>
      <c r="AJ100" s="2068"/>
      <c r="AK100" s="2067"/>
      <c r="AL100" s="2067"/>
      <c r="AM100" s="2067"/>
      <c r="AN100" s="571"/>
      <c r="AO100" s="226" t="s">
        <v>931</v>
      </c>
      <c r="AP100" s="571"/>
      <c r="AQ100" s="4554" t="s">
        <v>4289</v>
      </c>
      <c r="AR100" s="4536"/>
      <c r="AS100" s="4536"/>
      <c r="AT100" s="4557" t="s">
        <v>4290</v>
      </c>
      <c r="AU100" s="4536"/>
      <c r="AV100" s="4536"/>
      <c r="AW100" s="4539"/>
      <c r="AX100" s="4539" t="s">
        <v>171</v>
      </c>
      <c r="AY100" s="2499" t="str">
        <f>IF(AY87="","",MAX(0,SUM(AY87,-AY97)))</f>
        <v/>
      </c>
      <c r="AZ100" s="4537"/>
      <c r="BA100" s="138"/>
      <c r="BB100" s="138"/>
    </row>
    <row r="101" spans="1:54" s="815" customFormat="1" ht="9.75" customHeight="1" thickBot="1">
      <c r="A101" s="2013"/>
      <c r="B101" s="4558"/>
      <c r="C101" s="4558"/>
      <c r="D101" s="4558"/>
      <c r="E101" s="4558"/>
      <c r="F101" s="4558"/>
      <c r="G101" s="4558"/>
      <c r="H101" s="4558"/>
      <c r="I101" s="4558"/>
      <c r="J101" s="4558"/>
      <c r="K101" s="4558"/>
      <c r="L101" s="4558"/>
      <c r="M101" s="4558"/>
      <c r="N101" s="4558"/>
      <c r="O101" s="4558"/>
      <c r="P101" s="4558"/>
      <c r="Q101" s="4558"/>
      <c r="R101" s="4558"/>
      <c r="S101" s="4558"/>
      <c r="T101" s="4558"/>
      <c r="U101" s="4558"/>
      <c r="V101" s="4558"/>
      <c r="W101" s="4558"/>
      <c r="X101" s="4558"/>
      <c r="Y101" s="4558"/>
      <c r="Z101" s="4558"/>
      <c r="AA101" s="4558"/>
      <c r="AB101" s="4558"/>
      <c r="AC101" s="4558"/>
      <c r="AD101" s="4558"/>
      <c r="AE101" s="4558"/>
      <c r="AF101" s="4558"/>
      <c r="AG101" s="4558"/>
      <c r="AH101" s="4558"/>
      <c r="AI101" s="4558"/>
      <c r="AJ101" s="4558"/>
      <c r="AK101" s="2013"/>
      <c r="AL101" s="2013"/>
      <c r="AM101" s="2013"/>
      <c r="AN101" s="253"/>
      <c r="AO101" s="253"/>
      <c r="AP101" s="253"/>
      <c r="AQ101" s="1142"/>
      <c r="AR101" s="1143"/>
      <c r="AS101" s="1144"/>
      <c r="AT101" s="1144"/>
      <c r="AU101" s="1144"/>
      <c r="AV101" s="1144"/>
      <c r="AW101" s="1144"/>
      <c r="AX101" s="1144"/>
      <c r="AY101" s="1144"/>
      <c r="AZ101" s="1145"/>
      <c r="BA101"/>
      <c r="BB101"/>
    </row>
    <row r="102" spans="1:54" s="1115" customFormat="1" ht="14.25" customHeight="1">
      <c r="A102" s="2290"/>
      <c r="B102" s="342" t="s">
        <v>5578</v>
      </c>
      <c r="C102" s="2319"/>
      <c r="D102" s="2319"/>
      <c r="E102" s="1117" t="s">
        <v>4301</v>
      </c>
      <c r="F102" s="2319"/>
      <c r="G102" s="2319"/>
      <c r="H102" s="2319"/>
      <c r="I102" s="2319"/>
      <c r="J102" s="2319"/>
      <c r="K102" s="2319"/>
      <c r="L102" s="2319"/>
      <c r="M102" s="2319"/>
      <c r="N102" s="2319"/>
      <c r="O102" s="2319"/>
      <c r="P102" s="2319"/>
      <c r="Q102" s="2319"/>
      <c r="R102" s="2319"/>
      <c r="S102" s="2319"/>
      <c r="T102" s="2319"/>
      <c r="U102" s="2319"/>
      <c r="V102" s="2319"/>
      <c r="W102" s="2319"/>
      <c r="X102" s="2319"/>
      <c r="Y102" s="2319"/>
      <c r="Z102" s="2319"/>
      <c r="AA102" s="2319"/>
      <c r="AB102" s="2319"/>
      <c r="AC102" s="2319"/>
      <c r="AD102" s="2319"/>
      <c r="AE102" s="2319"/>
      <c r="AF102" s="2319"/>
      <c r="AG102" s="2319"/>
      <c r="AH102" s="2319"/>
      <c r="AI102" s="2319"/>
      <c r="AJ102" s="2319"/>
      <c r="AK102" s="2290"/>
      <c r="AL102" s="2290"/>
      <c r="AM102" s="2290"/>
      <c r="AN102" s="4520"/>
      <c r="AO102" s="2158" t="b">
        <f>OR(AND(AH105,AO113&lt;&gt;""),AND(NOT(AH105),AO110&lt;&gt;""))</f>
        <v>0</v>
      </c>
      <c r="AP102" s="4521"/>
      <c r="AQ102" s="658"/>
      <c r="AR102" s="664"/>
      <c r="AS102" s="658"/>
      <c r="AT102" s="658"/>
      <c r="AU102" s="658"/>
      <c r="AV102" s="658"/>
      <c r="AW102" s="658"/>
      <c r="AX102" s="658"/>
      <c r="AY102" s="658"/>
      <c r="AZ102" s="658"/>
      <c r="BA102" s="2293"/>
      <c r="BB102" s="2293"/>
    </row>
    <row r="103" spans="1:54" s="1115" customFormat="1" ht="16.5" customHeight="1">
      <c r="A103" s="2290"/>
      <c r="B103" s="2319"/>
      <c r="C103" s="2319"/>
      <c r="D103" s="2319"/>
      <c r="E103" s="1118" t="s">
        <v>4291</v>
      </c>
      <c r="F103" s="2319"/>
      <c r="G103" s="2319"/>
      <c r="H103" s="2319"/>
      <c r="I103" s="2319"/>
      <c r="J103" s="2319"/>
      <c r="K103" s="2319"/>
      <c r="L103" s="2319"/>
      <c r="M103" s="2319"/>
      <c r="N103" s="2319"/>
      <c r="O103" s="2319"/>
      <c r="P103" s="2319"/>
      <c r="Q103" s="2319"/>
      <c r="R103" s="2319"/>
      <c r="S103" s="2319"/>
      <c r="T103" s="2319"/>
      <c r="U103" s="2319"/>
      <c r="V103" s="2319"/>
      <c r="W103" s="2319"/>
      <c r="X103" s="2319"/>
      <c r="Y103" s="2319"/>
      <c r="Z103" s="2319"/>
      <c r="AA103" s="2319"/>
      <c r="AB103" s="2319"/>
      <c r="AC103" s="2319"/>
      <c r="AD103" s="2319"/>
      <c r="AE103" s="2319"/>
      <c r="AF103" s="2319"/>
      <c r="AG103" s="2319"/>
      <c r="AH103" s="2319"/>
      <c r="AI103" s="2319"/>
      <c r="AJ103" s="2319"/>
      <c r="AK103" s="2290"/>
      <c r="AL103" s="1245"/>
      <c r="AM103" s="2290"/>
      <c r="AN103" s="11147" t="s">
        <v>4292</v>
      </c>
      <c r="AO103" s="11147"/>
      <c r="AP103" s="11147"/>
      <c r="AQ103" s="658"/>
      <c r="AR103" s="664"/>
      <c r="AS103" s="658"/>
      <c r="AT103" s="658"/>
      <c r="AU103" s="658"/>
      <c r="AV103" s="658"/>
      <c r="AW103" s="658"/>
      <c r="AX103" s="658"/>
      <c r="AY103" s="658"/>
      <c r="AZ103" s="658"/>
      <c r="BA103" s="2293"/>
      <c r="BB103" s="2293"/>
    </row>
    <row r="104" spans="1:54" s="815" customFormat="1" ht="6" customHeight="1">
      <c r="A104" s="2013"/>
      <c r="B104" s="4559"/>
      <c r="C104" s="4559"/>
      <c r="D104" s="4559"/>
      <c r="E104" s="4559"/>
      <c r="F104" s="4559"/>
      <c r="G104" s="4559"/>
      <c r="H104" s="4559"/>
      <c r="I104" s="4559"/>
      <c r="J104" s="4559"/>
      <c r="K104" s="4559"/>
      <c r="L104" s="4559"/>
      <c r="M104" s="4559"/>
      <c r="N104" s="4559"/>
      <c r="O104" s="4559"/>
      <c r="P104" s="4559"/>
      <c r="Q104" s="4559"/>
      <c r="R104" s="4559"/>
      <c r="S104" s="4559"/>
      <c r="T104" s="4559"/>
      <c r="U104" s="4559"/>
      <c r="V104" s="4559"/>
      <c r="W104" s="4559"/>
      <c r="X104" s="4559"/>
      <c r="Y104" s="4559"/>
      <c r="Z104" s="4559"/>
      <c r="AA104" s="4559"/>
      <c r="AB104" s="4559"/>
      <c r="AC104" s="4559"/>
      <c r="AD104" s="4559"/>
      <c r="AE104" s="4559"/>
      <c r="AF104" s="4559"/>
      <c r="AG104" s="4559"/>
      <c r="AH104" s="4559"/>
      <c r="AI104" s="4559"/>
      <c r="AJ104" s="4559"/>
      <c r="AK104" s="2013"/>
      <c r="AL104" s="2013"/>
      <c r="AM104" s="2013"/>
      <c r="AN104" s="11147"/>
      <c r="AO104" s="11147"/>
      <c r="AP104" s="11147"/>
      <c r="AQ104" s="658"/>
      <c r="AR104" s="658"/>
      <c r="AS104" s="658"/>
      <c r="AT104" s="658"/>
      <c r="AU104" s="658"/>
      <c r="AV104" s="658"/>
      <c r="AW104" s="658"/>
      <c r="AX104" s="658"/>
      <c r="AY104" s="658"/>
      <c r="AZ104" s="658"/>
      <c r="BA104"/>
      <c r="BB104"/>
    </row>
    <row r="105" spans="1:54" s="815" customFormat="1" ht="16.5" customHeight="1" thickBot="1">
      <c r="A105" s="2013"/>
      <c r="B105" s="3844"/>
      <c r="C105" s="4560" t="s">
        <v>4202</v>
      </c>
      <c r="D105" s="413"/>
      <c r="E105" s="413"/>
      <c r="F105" s="413"/>
      <c r="G105" s="413"/>
      <c r="H105" s="413"/>
      <c r="I105" s="413"/>
      <c r="J105" s="413"/>
      <c r="K105" s="413"/>
      <c r="L105" s="413"/>
      <c r="M105" s="413"/>
      <c r="N105" s="413"/>
      <c r="O105" s="413"/>
      <c r="P105" s="413"/>
      <c r="Q105" s="413"/>
      <c r="R105" s="413"/>
      <c r="S105" s="413"/>
      <c r="T105" s="413"/>
      <c r="U105" s="413"/>
      <c r="V105" s="413"/>
      <c r="W105" s="413"/>
      <c r="X105" s="413"/>
      <c r="Y105" s="413"/>
      <c r="Z105" s="413"/>
      <c r="AA105" s="413"/>
      <c r="AB105" s="11124" t="b">
        <f>AND(AE106&lt;&gt;"",AE106&gt;AO107)</f>
        <v>0</v>
      </c>
      <c r="AC105" s="11124"/>
      <c r="AD105" s="413"/>
      <c r="AE105" s="413"/>
      <c r="AF105" s="413"/>
      <c r="AG105" s="413"/>
      <c r="AH105" s="11124" t="b">
        <f>AND(T87="",AC92="",T96="",T99="")</f>
        <v>1</v>
      </c>
      <c r="AI105" s="11124"/>
      <c r="AJ105" s="11124"/>
      <c r="AK105" s="2013"/>
      <c r="AL105" s="2013"/>
      <c r="AM105" s="2013"/>
      <c r="AN105" s="11147"/>
      <c r="AO105" s="11147"/>
      <c r="AP105" s="11147"/>
      <c r="AQ105" s="658"/>
      <c r="AR105" s="658"/>
      <c r="AS105" s="658"/>
      <c r="AT105" s="658"/>
      <c r="AU105" s="658"/>
      <c r="AV105" s="658"/>
      <c r="AW105" s="658"/>
      <c r="AX105" s="658"/>
      <c r="AY105" s="658"/>
      <c r="AZ105" s="658"/>
      <c r="BA105"/>
      <c r="BB105"/>
    </row>
    <row r="106" spans="1:54" s="815" customFormat="1" ht="16.5" customHeight="1" thickBot="1">
      <c r="A106" s="2013"/>
      <c r="B106" s="4555">
        <v>27</v>
      </c>
      <c r="C106" s="253"/>
      <c r="D106" s="511" t="s">
        <v>4293</v>
      </c>
      <c r="E106" s="511"/>
      <c r="F106" s="253"/>
      <c r="G106" s="253"/>
      <c r="H106" s="253"/>
      <c r="I106" s="253"/>
      <c r="J106" s="253"/>
      <c r="K106" s="253"/>
      <c r="L106" s="253"/>
      <c r="M106" s="253"/>
      <c r="N106" s="253"/>
      <c r="O106" s="253"/>
      <c r="P106" s="253"/>
      <c r="Q106" s="253"/>
      <c r="R106" s="4561" t="str">
        <f>"Don't enter more than "&amp;TEXT(AO107,"$0,000")&amp;"."</f>
        <v>Don't enter more than $4,000.</v>
      </c>
      <c r="S106" s="253"/>
      <c r="T106" s="253"/>
      <c r="U106" s="253"/>
      <c r="V106" s="253"/>
      <c r="W106" s="253"/>
      <c r="X106" s="253"/>
      <c r="Y106" s="253"/>
      <c r="Z106" s="4562"/>
      <c r="AA106" s="4562"/>
      <c r="AB106" s="4229"/>
      <c r="AC106" s="4563"/>
      <c r="AD106" s="2918">
        <v>27</v>
      </c>
      <c r="AE106" s="10758" t="str">
        <f>IF(AO106&lt;&gt;"",ROUND(AO106,0),IF(OR(NOT(AH105),AY100=""),"",MIN(AO107,AY100)))</f>
        <v/>
      </c>
      <c r="AF106" s="11125"/>
      <c r="AG106" s="11125"/>
      <c r="AH106" s="11125"/>
      <c r="AI106" s="11125"/>
      <c r="AJ106" s="11125"/>
      <c r="AK106" s="2013"/>
      <c r="AL106" s="2013"/>
      <c r="AM106" s="2013"/>
      <c r="AN106" s="253"/>
      <c r="AO106" s="1113"/>
      <c r="AP106" s="253"/>
      <c r="AQ106" s="658"/>
      <c r="AR106" s="658"/>
      <c r="AS106" s="658"/>
      <c r="AT106" s="658"/>
      <c r="AU106" s="658"/>
      <c r="AV106" s="658"/>
      <c r="AW106" s="658"/>
      <c r="AX106" s="658"/>
      <c r="AY106" s="658"/>
      <c r="AZ106" s="658"/>
      <c r="BA106"/>
      <c r="BB106"/>
    </row>
    <row r="107" spans="1:54" s="815" customFormat="1" ht="17.25" customHeight="1">
      <c r="A107" s="2013"/>
      <c r="B107" s="3827">
        <v>28</v>
      </c>
      <c r="C107" s="253"/>
      <c r="D107" s="511" t="str">
        <f>"Subtract "&amp;TEXT(AO108,"$0,000")&amp;" from line 27. If zero or less, enter -0-"</f>
        <v>Subtract $2,000 from line 27. If zero or less, enter -0-</v>
      </c>
      <c r="E107" s="253"/>
      <c r="F107" s="253"/>
      <c r="G107" s="253"/>
      <c r="H107" s="253"/>
      <c r="I107" s="253"/>
      <c r="J107" s="253"/>
      <c r="K107" s="253"/>
      <c r="L107" s="253"/>
      <c r="M107" s="253"/>
      <c r="N107" s="253"/>
      <c r="O107" s="253"/>
      <c r="P107" s="253"/>
      <c r="Q107" s="253"/>
      <c r="R107" s="253"/>
      <c r="S107" s="253"/>
      <c r="T107" s="253"/>
      <c r="U107" s="253"/>
      <c r="V107" s="253"/>
      <c r="W107" s="253"/>
      <c r="X107" s="253"/>
      <c r="Y107" s="253"/>
      <c r="Z107" s="3830"/>
      <c r="AA107" s="3830"/>
      <c r="AB107" s="253"/>
      <c r="AC107" s="1401" t="s">
        <v>4294</v>
      </c>
      <c r="AD107" s="2918">
        <v>28</v>
      </c>
      <c r="AE107" s="10758" t="str">
        <f>IF(OR(NOT(AH105),AY100=""),"",MAX(0,SUM(AE106,-AO108)))</f>
        <v/>
      </c>
      <c r="AF107" s="11125"/>
      <c r="AG107" s="11125"/>
      <c r="AH107" s="11125"/>
      <c r="AI107" s="11125"/>
      <c r="AJ107" s="11125"/>
      <c r="AK107" s="2013"/>
      <c r="AL107" s="2013"/>
      <c r="AM107" s="2013"/>
      <c r="AN107" s="253"/>
      <c r="AO107" s="512">
        <v>4000</v>
      </c>
      <c r="AP107" s="253"/>
      <c r="AQ107" s="658"/>
      <c r="AR107" s="658"/>
      <c r="AS107" s="658"/>
      <c r="AT107" s="658"/>
      <c r="AU107" s="658"/>
      <c r="AV107" s="658"/>
      <c r="AW107" s="658"/>
      <c r="AX107" s="658"/>
      <c r="AY107" s="658"/>
      <c r="AZ107" s="658"/>
      <c r="BA107"/>
      <c r="BB107"/>
    </row>
    <row r="108" spans="1:54" s="815" customFormat="1" ht="17.25" customHeight="1">
      <c r="A108" s="2013"/>
      <c r="B108" s="3827">
        <v>29</v>
      </c>
      <c r="C108" s="253"/>
      <c r="D108" s="511" t="str">
        <f>"Multiply line 28 by "&amp;TEXT(AB109,"0%")&amp;" ("&amp;TEXT(AB109,"0.00")&amp;")"</f>
        <v>Multiply line 28 by 25% (0.25)</v>
      </c>
      <c r="E108" s="511"/>
      <c r="F108" s="511"/>
      <c r="G108" s="253"/>
      <c r="H108" s="253"/>
      <c r="I108" s="253"/>
      <c r="J108" s="253"/>
      <c r="K108" s="253"/>
      <c r="L108" s="349"/>
      <c r="M108" s="349"/>
      <c r="N108" s="349"/>
      <c r="O108" s="349"/>
      <c r="P108" s="349"/>
      <c r="Q108" s="349"/>
      <c r="R108" s="349"/>
      <c r="S108" s="349"/>
      <c r="T108" s="349"/>
      <c r="U108" s="349"/>
      <c r="V108" s="349"/>
      <c r="W108" s="349"/>
      <c r="X108" s="349"/>
      <c r="Y108" s="349"/>
      <c r="Z108" s="349"/>
      <c r="AA108" s="349"/>
      <c r="AB108" s="349"/>
      <c r="AC108" s="1401" t="s">
        <v>4295</v>
      </c>
      <c r="AD108" s="2918">
        <v>29</v>
      </c>
      <c r="AE108" s="10758" t="str">
        <f>IF(OR(NOT(AH105),AY100=""),"",ROUND(AE107*AB109,0))</f>
        <v/>
      </c>
      <c r="AF108" s="11125"/>
      <c r="AG108" s="11125"/>
      <c r="AH108" s="11125"/>
      <c r="AI108" s="11125"/>
      <c r="AJ108" s="11125"/>
      <c r="AK108" s="2013"/>
      <c r="AL108" s="2013"/>
      <c r="AM108" s="2013"/>
      <c r="AN108" s="253"/>
      <c r="AO108" s="512">
        <v>2000</v>
      </c>
      <c r="AP108" s="253"/>
      <c r="AQ108" s="658"/>
      <c r="AR108" s="658"/>
      <c r="AS108" s="658"/>
      <c r="AT108" s="658"/>
      <c r="AU108" s="658"/>
      <c r="AV108" s="658"/>
      <c r="AW108" s="658"/>
      <c r="AX108" s="658"/>
      <c r="AY108" s="658"/>
      <c r="AZ108" s="658"/>
      <c r="BA108"/>
      <c r="BB108"/>
    </row>
    <row r="109" spans="1:54" s="815" customFormat="1" ht="15.75" customHeight="1" thickBot="1">
      <c r="A109" s="2013"/>
      <c r="B109" s="3827">
        <v>30</v>
      </c>
      <c r="C109" s="253"/>
      <c r="D109" s="511" t="s">
        <v>4296</v>
      </c>
      <c r="E109" s="511"/>
      <c r="F109" s="511"/>
      <c r="G109" s="253"/>
      <c r="H109" s="253"/>
      <c r="I109" s="253"/>
      <c r="J109" s="253"/>
      <c r="K109" s="253"/>
      <c r="L109" s="253"/>
      <c r="M109" s="253"/>
      <c r="N109" s="253"/>
      <c r="O109" s="253"/>
      <c r="P109" s="253"/>
      <c r="Q109" s="253"/>
      <c r="R109" s="253"/>
      <c r="S109" s="253"/>
      <c r="T109" s="253"/>
      <c r="U109" s="253"/>
      <c r="V109" s="253"/>
      <c r="W109" s="253"/>
      <c r="X109" s="253"/>
      <c r="Y109" s="253"/>
      <c r="Z109" s="253"/>
      <c r="AA109" s="253"/>
      <c r="AB109" s="8824">
        <v>0.25</v>
      </c>
      <c r="AC109" s="10850"/>
      <c r="AD109" s="2890"/>
      <c r="AE109" s="253"/>
      <c r="AF109" s="253"/>
      <c r="AG109" s="253"/>
      <c r="AH109" s="253"/>
      <c r="AI109" s="253"/>
      <c r="AJ109" s="253"/>
      <c r="AK109" s="2013"/>
      <c r="AL109" s="2013"/>
      <c r="AM109" s="2013"/>
      <c r="AN109" s="253"/>
      <c r="AO109" s="253"/>
      <c r="AP109" s="253"/>
      <c r="AQ109" s="658"/>
      <c r="AR109" s="658"/>
      <c r="AS109" s="658"/>
      <c r="AT109" s="658"/>
      <c r="AU109" s="658"/>
      <c r="AV109" s="658"/>
      <c r="AW109" s="658"/>
      <c r="AX109" s="658"/>
      <c r="AY109" s="658"/>
      <c r="AZ109" s="658"/>
      <c r="BA109"/>
      <c r="BB109"/>
    </row>
    <row r="110" spans="1:54" s="815" customFormat="1" ht="15.75" thickBot="1">
      <c r="A110" s="2013"/>
      <c r="B110" s="253"/>
      <c r="C110" s="253"/>
      <c r="D110" s="511" t="s">
        <v>4297</v>
      </c>
      <c r="E110" s="511"/>
      <c r="F110" s="511"/>
      <c r="G110" s="253"/>
      <c r="H110" s="253"/>
      <c r="I110" s="253"/>
      <c r="J110" s="253"/>
      <c r="K110" s="253"/>
      <c r="L110" s="253"/>
      <c r="M110" s="253"/>
      <c r="N110" s="253"/>
      <c r="O110" s="253"/>
      <c r="P110" s="253"/>
      <c r="Q110" s="253"/>
      <c r="R110" s="253"/>
      <c r="S110" s="253"/>
      <c r="T110" s="253"/>
      <c r="U110" s="253"/>
      <c r="V110" s="253"/>
      <c r="W110" s="253"/>
      <c r="X110" s="253"/>
      <c r="Y110" s="253"/>
      <c r="Z110" s="253"/>
      <c r="AA110" s="253"/>
      <c r="AB110" s="253"/>
      <c r="AC110" s="1401" t="s">
        <v>636</v>
      </c>
      <c r="AD110" s="2922">
        <v>30</v>
      </c>
      <c r="AE110" s="11121" t="str">
        <f>IF(AO110&lt;&gt;"",ROUND(AO110,0),IF(OR(NOT(AH105),AE106=0,AE106="",AY100=""),"",IF(OR(AE107=0,AE107=""),AE106,SUM(AE108,AO108))))</f>
        <v/>
      </c>
      <c r="AF110" s="11122"/>
      <c r="AG110" s="11122"/>
      <c r="AH110" s="11122"/>
      <c r="AI110" s="11122"/>
      <c r="AJ110" s="11122"/>
      <c r="AK110" s="2013"/>
      <c r="AL110" s="2013"/>
      <c r="AM110" s="2013"/>
      <c r="AN110" s="253"/>
      <c r="AO110" s="1113"/>
      <c r="AP110" s="253"/>
      <c r="AQ110" s="658"/>
      <c r="AR110" s="658"/>
      <c r="AS110" s="658"/>
      <c r="AT110" s="658"/>
      <c r="AU110" s="658"/>
      <c r="AV110" s="658"/>
      <c r="AW110" s="658"/>
      <c r="AX110" s="658"/>
      <c r="AY110" s="658"/>
      <c r="AZ110" s="658"/>
      <c r="BA110"/>
      <c r="BB110"/>
    </row>
    <row r="111" spans="1:54" s="815" customFormat="1" ht="16.5" customHeight="1">
      <c r="A111" s="2013"/>
      <c r="B111" s="3844"/>
      <c r="C111" s="4560" t="s">
        <v>4229</v>
      </c>
      <c r="D111" s="773"/>
      <c r="E111" s="773"/>
      <c r="F111" s="773"/>
      <c r="G111" s="773"/>
      <c r="H111" s="773"/>
      <c r="I111" s="773"/>
      <c r="J111" s="773"/>
      <c r="K111" s="773"/>
      <c r="L111" s="773"/>
      <c r="M111" s="773"/>
      <c r="N111" s="773"/>
      <c r="O111" s="773"/>
      <c r="P111" s="773"/>
      <c r="Q111" s="773"/>
      <c r="R111" s="773"/>
      <c r="S111" s="773"/>
      <c r="T111" s="773"/>
      <c r="U111" s="773"/>
      <c r="V111" s="773"/>
      <c r="W111" s="773"/>
      <c r="X111" s="773"/>
      <c r="Y111" s="773"/>
      <c r="Z111" s="773"/>
      <c r="AA111" s="773"/>
      <c r="AB111" s="773"/>
      <c r="AC111" s="773"/>
      <c r="AD111" s="773"/>
      <c r="AE111" s="773"/>
      <c r="AF111" s="773"/>
      <c r="AG111" s="773"/>
      <c r="AH111" s="773"/>
      <c r="AI111" s="773"/>
      <c r="AJ111" s="773"/>
      <c r="AK111" s="2013"/>
      <c r="AL111" s="2013"/>
      <c r="AM111" s="2013"/>
      <c r="AN111" s="253"/>
      <c r="AO111" s="253"/>
      <c r="AP111" s="253"/>
      <c r="AQ111" s="658"/>
      <c r="AR111" s="658"/>
      <c r="AS111" s="658"/>
      <c r="AT111" s="658"/>
      <c r="AU111" s="658"/>
      <c r="AV111" s="658"/>
      <c r="AW111" s="658"/>
      <c r="AX111" s="658"/>
      <c r="AY111" s="658"/>
      <c r="AZ111" s="658"/>
      <c r="BA111"/>
      <c r="BB111"/>
    </row>
    <row r="112" spans="1:54" s="815" customFormat="1" ht="15.75" customHeight="1" thickBot="1">
      <c r="A112" s="2013"/>
      <c r="B112" s="3827">
        <v>31</v>
      </c>
      <c r="C112" s="253"/>
      <c r="D112" s="511" t="s">
        <v>6462</v>
      </c>
      <c r="E112" s="511"/>
      <c r="F112" s="511"/>
      <c r="G112" s="253"/>
      <c r="H112" s="253"/>
      <c r="I112" s="253"/>
      <c r="J112" s="253"/>
      <c r="K112" s="253"/>
      <c r="L112" s="253"/>
      <c r="M112" s="253"/>
      <c r="N112" s="253"/>
      <c r="O112" s="253"/>
      <c r="P112" s="253"/>
      <c r="Q112" s="253"/>
      <c r="R112" s="253"/>
      <c r="S112" s="253"/>
      <c r="T112" s="253"/>
      <c r="U112" s="253"/>
      <c r="V112" s="253"/>
      <c r="W112" s="253"/>
      <c r="X112" s="253"/>
      <c r="Y112" s="253"/>
      <c r="Z112" s="253"/>
      <c r="AA112" s="253"/>
      <c r="AB112" s="253"/>
      <c r="AC112" s="253"/>
      <c r="AD112" s="2890"/>
      <c r="AE112" s="253"/>
      <c r="AF112" s="253"/>
      <c r="AG112" s="253"/>
      <c r="AH112" s="253"/>
      <c r="AI112" s="253"/>
      <c r="AJ112" s="253"/>
      <c r="AK112" s="2013"/>
      <c r="AL112" s="2013"/>
      <c r="AM112" s="2013"/>
      <c r="AN112" s="253"/>
      <c r="AO112" s="253"/>
      <c r="AP112" s="253"/>
      <c r="AQ112" s="658"/>
      <c r="AR112" s="658"/>
      <c r="AS112" s="658"/>
      <c r="AT112" s="658"/>
      <c r="AU112" s="658"/>
      <c r="AV112" s="658"/>
      <c r="AW112" s="658"/>
      <c r="AX112" s="658"/>
      <c r="AY112" s="658"/>
      <c r="AZ112" s="658"/>
      <c r="BA112"/>
      <c r="BB112"/>
    </row>
    <row r="113" spans="1:54" s="815" customFormat="1" ht="15.75" thickBot="1">
      <c r="A113" s="2013"/>
      <c r="B113" s="380"/>
      <c r="C113" s="380"/>
      <c r="D113" s="2015" t="s">
        <v>6461</v>
      </c>
      <c r="E113" s="2015"/>
      <c r="F113" s="2015"/>
      <c r="G113" s="380"/>
      <c r="H113" s="380"/>
      <c r="I113" s="380"/>
      <c r="J113" s="380"/>
      <c r="K113" s="380"/>
      <c r="L113" s="380"/>
      <c r="M113" s="380"/>
      <c r="N113" s="380"/>
      <c r="O113" s="380"/>
      <c r="P113" s="380"/>
      <c r="Q113" s="380"/>
      <c r="R113" s="380"/>
      <c r="S113" s="380"/>
      <c r="T113" s="380"/>
      <c r="U113" s="380"/>
      <c r="V113" s="380"/>
      <c r="W113" s="380"/>
      <c r="X113" s="380"/>
      <c r="Y113" s="380"/>
      <c r="Z113" s="380"/>
      <c r="AA113" s="380"/>
      <c r="AB113" s="380"/>
      <c r="AC113" s="1658" t="s">
        <v>4295</v>
      </c>
      <c r="AD113" s="2919">
        <v>31</v>
      </c>
      <c r="AE113" s="10759" t="str">
        <f>IF(AO113&lt;&gt;"",ROUND(AO113,0),IF(OR(AH105,AY100=""),"",AY100))</f>
        <v/>
      </c>
      <c r="AF113" s="11123"/>
      <c r="AG113" s="11123"/>
      <c r="AH113" s="11123"/>
      <c r="AI113" s="11123"/>
      <c r="AJ113" s="11123"/>
      <c r="AK113" s="2013"/>
      <c r="AL113" s="2013"/>
      <c r="AM113" s="2013"/>
      <c r="AN113" s="253"/>
      <c r="AO113" s="1125"/>
      <c r="AP113" s="253"/>
      <c r="AQ113" s="658"/>
      <c r="AR113" s="658"/>
      <c r="AS113" s="658"/>
      <c r="AT113" s="658"/>
      <c r="AU113" s="658"/>
      <c r="AV113" s="658"/>
      <c r="AW113" s="658"/>
      <c r="AX113" s="658"/>
      <c r="AY113" s="658"/>
      <c r="AZ113" s="658"/>
      <c r="BA113"/>
      <c r="BB113"/>
    </row>
    <row r="114" spans="1:54" s="815" customFormat="1" ht="15.75">
      <c r="A114" s="2013"/>
      <c r="B114" s="2447"/>
      <c r="C114" s="1560"/>
      <c r="D114" s="1560"/>
      <c r="E114" s="1560"/>
      <c r="F114" s="1560"/>
      <c r="G114" s="1560"/>
      <c r="H114" s="1560"/>
      <c r="I114" s="1560"/>
      <c r="J114" s="1560"/>
      <c r="K114" s="1560"/>
      <c r="L114" s="1560"/>
      <c r="M114" s="1560"/>
      <c r="N114" s="1560"/>
      <c r="O114" s="1560"/>
      <c r="P114" s="1560"/>
      <c r="Q114" s="88"/>
      <c r="R114" s="88"/>
      <c r="S114" s="88"/>
      <c r="T114" s="88"/>
      <c r="U114" s="3931"/>
      <c r="V114" s="88"/>
      <c r="W114" s="3931"/>
      <c r="X114" s="88"/>
      <c r="Y114" s="88"/>
      <c r="Z114" s="88"/>
      <c r="AA114" s="88"/>
      <c r="AB114" s="88"/>
      <c r="AC114" s="88"/>
      <c r="AD114" s="88"/>
      <c r="AE114" s="88"/>
      <c r="AF114" s="88"/>
      <c r="AG114" s="88"/>
      <c r="AH114" s="2052" t="s">
        <v>4251</v>
      </c>
      <c r="AI114" s="88"/>
      <c r="AJ114" s="2052" t="str">
        <f>"("&amp;TaxYear&amp;")"</f>
        <v>(2025)</v>
      </c>
      <c r="AK114" s="2013"/>
      <c r="AL114" s="2013"/>
      <c r="AM114" s="2013"/>
      <c r="AN114" s="416"/>
      <c r="AO114" s="416"/>
      <c r="AP114" s="253"/>
      <c r="AQ114" s="658"/>
      <c r="AR114" s="658"/>
      <c r="AS114" s="658"/>
      <c r="AT114" s="658"/>
      <c r="AU114" s="658"/>
      <c r="AV114" s="658"/>
      <c r="AW114" s="658"/>
      <c r="AX114" s="658"/>
      <c r="AY114" s="658"/>
      <c r="AZ114" s="658"/>
      <c r="BA114"/>
      <c r="BB114"/>
    </row>
    <row r="115" spans="1:54" s="815" customFormat="1" ht="18" customHeight="1" thickBot="1">
      <c r="A115" s="2013"/>
      <c r="B115" s="721" t="str">
        <f>"Form 8863 ("&amp;TaxYear&amp;")"</f>
        <v>Form 8863 (2025)</v>
      </c>
      <c r="C115" s="721"/>
      <c r="D115" s="721"/>
      <c r="E115" s="721"/>
      <c r="F115" s="721"/>
      <c r="G115" s="721"/>
      <c r="H115" s="721"/>
      <c r="I115" s="721"/>
      <c r="J115" s="721"/>
      <c r="K115" s="721"/>
      <c r="L115" s="721"/>
      <c r="M115" s="721"/>
      <c r="N115" s="721"/>
      <c r="O115" s="721"/>
      <c r="P115" s="721"/>
      <c r="Q115" s="721"/>
      <c r="R115" s="721"/>
      <c r="S115" s="721"/>
      <c r="T115" s="721"/>
      <c r="U115" s="721"/>
      <c r="V115" s="721"/>
      <c r="W115" s="721"/>
      <c r="X115" s="721"/>
      <c r="Y115" s="721"/>
      <c r="Z115" s="721"/>
      <c r="AA115" s="721"/>
      <c r="AB115" s="721"/>
      <c r="AC115" s="721"/>
      <c r="AD115" s="721"/>
      <c r="AE115" s="721"/>
      <c r="AF115" s="721"/>
      <c r="AG115" s="721"/>
      <c r="AH115" s="721"/>
      <c r="AI115" s="2053" t="s">
        <v>2079</v>
      </c>
      <c r="AJ115" s="2054">
        <v>2</v>
      </c>
      <c r="AK115" s="2013"/>
      <c r="AL115" s="2013"/>
      <c r="AM115" s="2013"/>
      <c r="AN115" s="253"/>
      <c r="AO115" s="253"/>
      <c r="AP115" s="253"/>
      <c r="AQ115" s="658"/>
      <c r="AR115" s="658"/>
      <c r="AS115" s="658"/>
      <c r="AT115" s="658"/>
      <c r="AU115" s="658"/>
      <c r="AV115" s="658"/>
      <c r="AW115" s="658"/>
      <c r="AX115" s="658"/>
      <c r="AY115" s="658"/>
      <c r="AZ115" s="658"/>
      <c r="BA115"/>
      <c r="BB115"/>
    </row>
    <row r="116" spans="1:54" s="815" customFormat="1" ht="16.5" customHeight="1" thickTop="1">
      <c r="A116" s="2013"/>
      <c r="B116" s="2002" t="s">
        <v>1918</v>
      </c>
      <c r="C116" s="413"/>
      <c r="D116" s="413"/>
      <c r="E116" s="413"/>
      <c r="F116" s="413"/>
      <c r="G116" s="413"/>
      <c r="H116" s="413"/>
      <c r="I116" s="413"/>
      <c r="J116" s="413"/>
      <c r="K116" s="413"/>
      <c r="L116" s="413"/>
      <c r="M116" s="413"/>
      <c r="N116" s="413"/>
      <c r="O116" s="413"/>
      <c r="P116" s="413"/>
      <c r="Q116" s="413"/>
      <c r="R116" s="413"/>
      <c r="S116" s="413"/>
      <c r="T116" s="413"/>
      <c r="U116" s="413"/>
      <c r="V116" s="413"/>
      <c r="W116" s="413"/>
      <c r="X116" s="413"/>
      <c r="Y116" s="413"/>
      <c r="Z116" s="413"/>
      <c r="AA116" s="413"/>
      <c r="AB116" s="413"/>
      <c r="AC116" s="11126" t="s">
        <v>549</v>
      </c>
      <c r="AD116" s="11127"/>
      <c r="AE116" s="11127"/>
      <c r="AF116" s="11127"/>
      <c r="AG116" s="11127"/>
      <c r="AH116" s="11127"/>
      <c r="AI116" s="11127"/>
      <c r="AJ116" s="11127"/>
      <c r="AK116" s="2013"/>
      <c r="AL116" s="2013"/>
      <c r="AM116" s="2013"/>
      <c r="AN116" s="253"/>
      <c r="AO116" s="253"/>
      <c r="AP116" s="253"/>
      <c r="AQ116" s="658"/>
      <c r="AR116" s="658"/>
      <c r="AS116" s="658"/>
      <c r="AT116" s="658"/>
      <c r="AU116" s="658"/>
      <c r="AV116" s="658"/>
      <c r="AW116" s="658"/>
      <c r="AX116" s="658"/>
      <c r="AY116" s="658"/>
      <c r="AZ116" s="658"/>
      <c r="BA116"/>
      <c r="BB116"/>
    </row>
    <row r="117" spans="1:54" s="815" customFormat="1" ht="21.75" customHeight="1">
      <c r="A117" s="2013"/>
      <c r="B117" s="11128" t="str">
        <f>Names</f>
        <v/>
      </c>
      <c r="C117" s="11129"/>
      <c r="D117" s="11129"/>
      <c r="E117" s="11129"/>
      <c r="F117" s="11129"/>
      <c r="G117" s="11129"/>
      <c r="H117" s="11129"/>
      <c r="I117" s="11129"/>
      <c r="J117" s="11129"/>
      <c r="K117" s="11129"/>
      <c r="L117" s="11129"/>
      <c r="M117" s="11129"/>
      <c r="N117" s="11129"/>
      <c r="O117" s="11129"/>
      <c r="P117" s="11129"/>
      <c r="Q117" s="11129"/>
      <c r="R117" s="11129"/>
      <c r="S117" s="11129"/>
      <c r="T117" s="11129"/>
      <c r="U117" s="11129"/>
      <c r="V117" s="11129"/>
      <c r="W117" s="11129"/>
      <c r="X117" s="11129"/>
      <c r="Y117" s="11129"/>
      <c r="Z117" s="11129"/>
      <c r="AA117" s="11129"/>
      <c r="AB117" s="11130"/>
      <c r="AC117" s="11131">
        <f>IF(OR(NoSSN,SS_Yours=""),"",SS_Yours)</f>
        <v>1010001</v>
      </c>
      <c r="AD117" s="11132"/>
      <c r="AE117" s="11132"/>
      <c r="AF117" s="11132"/>
      <c r="AG117" s="11132"/>
      <c r="AH117" s="11132"/>
      <c r="AI117" s="11132"/>
      <c r="AJ117" s="11132"/>
      <c r="AK117" s="2013"/>
      <c r="AL117" s="2013"/>
      <c r="AM117" s="2013"/>
      <c r="AN117" s="253"/>
      <c r="AO117" s="253"/>
      <c r="AP117" s="253"/>
      <c r="AQ117" s="658"/>
      <c r="AR117" s="658"/>
      <c r="AS117" s="658"/>
      <c r="AT117" s="658"/>
      <c r="AU117" s="658"/>
      <c r="AV117" s="658"/>
      <c r="AW117" s="658"/>
      <c r="AX117" s="658"/>
      <c r="AY117" s="658"/>
      <c r="AZ117" s="658"/>
      <c r="BA117"/>
      <c r="BB117"/>
    </row>
    <row r="118" spans="1:54" s="815" customFormat="1" ht="6" customHeight="1">
      <c r="A118" s="2013"/>
      <c r="B118" s="4543"/>
      <c r="C118" s="4543"/>
      <c r="D118" s="4543" t="s">
        <v>3982</v>
      </c>
      <c r="E118" s="4543"/>
      <c r="F118" s="4543"/>
      <c r="G118" s="4543"/>
      <c r="H118" s="4543"/>
      <c r="I118" s="4543"/>
      <c r="J118" s="4543"/>
      <c r="K118" s="4543"/>
      <c r="L118" s="4543"/>
      <c r="M118" s="4543"/>
      <c r="N118" s="4543"/>
      <c r="O118" s="4543"/>
      <c r="P118" s="4543"/>
      <c r="Q118" s="4543"/>
      <c r="R118" s="4543"/>
      <c r="S118" s="4543"/>
      <c r="T118" s="4543"/>
      <c r="U118" s="4543"/>
      <c r="V118" s="4543"/>
      <c r="W118" s="4543"/>
      <c r="X118" s="4543"/>
      <c r="Y118" s="4543"/>
      <c r="Z118" s="4543"/>
      <c r="AA118" s="4543"/>
      <c r="AB118" s="4543"/>
      <c r="AC118" s="4543"/>
      <c r="AD118" s="4543"/>
      <c r="AE118" s="4543"/>
      <c r="AF118" s="4543"/>
      <c r="AG118" s="4543"/>
      <c r="AH118" s="4543"/>
      <c r="AI118" s="4543"/>
      <c r="AJ118" s="4543"/>
      <c r="AK118" s="2013"/>
      <c r="AL118" s="2013"/>
      <c r="AM118" s="2013"/>
      <c r="AN118" s="253"/>
      <c r="AO118" s="253"/>
      <c r="AP118" s="253"/>
      <c r="AQ118" s="658"/>
      <c r="AR118" s="658"/>
      <c r="AS118" s="658"/>
      <c r="AT118" s="658"/>
      <c r="AU118" s="658"/>
      <c r="AV118" s="658"/>
      <c r="AW118" s="658"/>
      <c r="AX118" s="658"/>
      <c r="AY118" s="658"/>
      <c r="AZ118" s="658"/>
      <c r="BA118"/>
      <c r="BB118"/>
    </row>
    <row r="119" spans="1:54" s="1115" customFormat="1" ht="15.75" customHeight="1">
      <c r="A119" s="2290"/>
      <c r="B119" s="5969" t="s">
        <v>6458</v>
      </c>
      <c r="C119" s="4492"/>
      <c r="D119" s="6536"/>
      <c r="E119" s="2325"/>
      <c r="F119" s="2325"/>
      <c r="G119" s="2325"/>
      <c r="H119" s="2325"/>
      <c r="I119" s="2325"/>
      <c r="J119" s="2325"/>
      <c r="K119" s="2325"/>
      <c r="L119" s="2325"/>
      <c r="M119" s="2325"/>
      <c r="N119" s="2325"/>
      <c r="O119" s="2325"/>
      <c r="P119" s="2325"/>
      <c r="Q119" s="2325"/>
      <c r="R119" s="2325"/>
      <c r="S119" s="2325"/>
      <c r="T119" s="2325"/>
      <c r="U119" s="2325"/>
      <c r="V119" s="2325"/>
      <c r="W119" s="2325"/>
      <c r="X119" s="2325"/>
      <c r="Y119" s="2325"/>
      <c r="Z119" s="2325"/>
      <c r="AA119" s="2325"/>
      <c r="AB119" s="2325"/>
      <c r="AC119" s="2325"/>
      <c r="AD119" s="2325"/>
      <c r="AE119" s="2325"/>
      <c r="AF119" s="2325"/>
      <c r="AG119" s="2325"/>
      <c r="AH119" s="2325"/>
      <c r="AI119" s="2325"/>
      <c r="AJ119" s="2325"/>
      <c r="AK119" s="2290"/>
      <c r="AL119" s="2290"/>
      <c r="AM119" s="2290"/>
      <c r="AN119" s="4520"/>
      <c r="AO119" s="4520"/>
      <c r="AP119" s="4521"/>
      <c r="AQ119" s="1114"/>
      <c r="AR119" s="1114"/>
      <c r="AS119" s="1114"/>
      <c r="AT119" s="1114"/>
      <c r="AU119" s="1114"/>
      <c r="AV119" s="1114"/>
      <c r="AW119" s="1114"/>
      <c r="AX119" s="1114"/>
      <c r="AY119" s="1114"/>
      <c r="AZ119" s="1114"/>
      <c r="BA119" s="2293"/>
      <c r="BB119" s="2293"/>
    </row>
    <row r="120" spans="1:54" s="1115" customFormat="1" ht="15.75" customHeight="1">
      <c r="A120" s="2290"/>
      <c r="B120" s="5969" t="s">
        <v>6459</v>
      </c>
      <c r="C120" s="4492"/>
      <c r="D120" s="2325"/>
      <c r="E120" s="2325"/>
      <c r="F120" s="2325"/>
      <c r="G120" s="2325"/>
      <c r="H120" s="2325"/>
      <c r="I120" s="2325"/>
      <c r="J120" s="2325"/>
      <c r="K120" s="2325"/>
      <c r="L120" s="2325"/>
      <c r="M120" s="2325"/>
      <c r="N120" s="2325"/>
      <c r="O120" s="2325"/>
      <c r="P120" s="2325"/>
      <c r="Q120" s="2325"/>
      <c r="R120" s="2325"/>
      <c r="S120" s="2325"/>
      <c r="T120" s="2325"/>
      <c r="U120" s="2325"/>
      <c r="V120" s="2325"/>
      <c r="W120" s="2325"/>
      <c r="X120" s="2325"/>
      <c r="Y120" s="2325"/>
      <c r="Z120" s="2325"/>
      <c r="AA120" s="2325"/>
      <c r="AB120" s="2325"/>
      <c r="AC120" s="2325"/>
      <c r="AD120" s="2325"/>
      <c r="AE120" s="2325"/>
      <c r="AF120" s="2325"/>
      <c r="AG120" s="2325"/>
      <c r="AH120" s="2325"/>
      <c r="AI120" s="2325"/>
      <c r="AJ120" s="2325"/>
      <c r="AK120" s="2290"/>
      <c r="AL120" s="2290"/>
      <c r="AM120" s="2290"/>
      <c r="AN120" s="4520"/>
      <c r="AO120" s="4520"/>
      <c r="AP120" s="4521"/>
      <c r="AQ120" s="1114"/>
      <c r="AR120" s="1114"/>
      <c r="AS120" s="1114"/>
      <c r="AT120" s="1114"/>
      <c r="AU120" s="1114"/>
      <c r="AV120" s="1114"/>
      <c r="AW120" s="1114"/>
      <c r="AX120" s="1114"/>
      <c r="AY120" s="1114"/>
      <c r="AZ120" s="1114"/>
      <c r="BA120" s="2293"/>
      <c r="BB120" s="2293"/>
    </row>
    <row r="121" spans="1:54" s="815" customFormat="1" ht="7.5" customHeight="1">
      <c r="A121" s="2013"/>
      <c r="B121" s="4544"/>
      <c r="C121" s="4544"/>
      <c r="D121" s="4544"/>
      <c r="E121" s="4544"/>
      <c r="F121" s="4544"/>
      <c r="G121" s="4544"/>
      <c r="H121" s="4544"/>
      <c r="I121" s="4544"/>
      <c r="J121" s="4544"/>
      <c r="K121" s="4544"/>
      <c r="L121" s="4544"/>
      <c r="M121" s="4544"/>
      <c r="N121" s="4544"/>
      <c r="O121" s="4544"/>
      <c r="P121" s="4544"/>
      <c r="Q121" s="4544"/>
      <c r="R121" s="4544"/>
      <c r="S121" s="4544"/>
      <c r="T121" s="4544"/>
      <c r="U121" s="4544"/>
      <c r="V121" s="4544"/>
      <c r="W121" s="4544"/>
      <c r="X121" s="4544"/>
      <c r="Y121" s="4544"/>
      <c r="Z121" s="4544"/>
      <c r="AA121" s="4544"/>
      <c r="AB121" s="4544"/>
      <c r="AC121" s="4544"/>
      <c r="AD121" s="4544"/>
      <c r="AE121" s="4544"/>
      <c r="AF121" s="4544"/>
      <c r="AG121" s="4544"/>
      <c r="AH121" s="4544"/>
      <c r="AI121" s="4544"/>
      <c r="AJ121" s="4544"/>
      <c r="AK121" s="2013"/>
      <c r="AL121" s="2013"/>
      <c r="AM121" s="2013"/>
      <c r="AN121" s="253"/>
      <c r="AO121" s="253"/>
      <c r="AP121" s="253"/>
      <c r="AQ121" s="658"/>
      <c r="AR121" s="658"/>
      <c r="AS121" s="658"/>
      <c r="AT121" s="658"/>
      <c r="AU121" s="658"/>
      <c r="AV121" s="658"/>
      <c r="AW121" s="658"/>
      <c r="AX121" s="658"/>
      <c r="AY121" s="658"/>
      <c r="AZ121" s="658"/>
      <c r="BA121"/>
      <c r="BB121"/>
    </row>
    <row r="122" spans="1:54" s="815" customFormat="1" ht="19.5" customHeight="1">
      <c r="A122" s="2013"/>
      <c r="B122" s="7934" t="s">
        <v>1938</v>
      </c>
      <c r="C122" s="7934"/>
      <c r="D122" s="3879"/>
      <c r="E122" s="2873" t="s">
        <v>4252</v>
      </c>
      <c r="F122" s="413"/>
      <c r="G122" s="413"/>
      <c r="H122" s="413"/>
      <c r="I122" s="413"/>
      <c r="J122" s="413"/>
      <c r="K122" s="413"/>
      <c r="L122" s="413"/>
      <c r="M122" s="413"/>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2013"/>
      <c r="AL122" s="2013"/>
      <c r="AM122" s="2013"/>
      <c r="AN122" s="253"/>
      <c r="AO122" s="253"/>
      <c r="AP122" s="253"/>
      <c r="AQ122" s="658"/>
      <c r="AR122" s="658"/>
      <c r="AS122" s="658"/>
      <c r="AT122" s="658"/>
      <c r="AU122" s="658"/>
      <c r="AV122" s="658"/>
      <c r="AW122" s="658"/>
      <c r="AX122" s="658"/>
      <c r="AY122" s="658"/>
      <c r="AZ122" s="658"/>
      <c r="BA122"/>
      <c r="BB122"/>
    </row>
    <row r="123" spans="1:54" s="815" customFormat="1" ht="16.5" customHeight="1">
      <c r="A123" s="2013"/>
      <c r="B123" s="3827" t="s">
        <v>268</v>
      </c>
      <c r="C123" s="253"/>
      <c r="D123" s="4545" t="s">
        <v>4253</v>
      </c>
      <c r="E123" s="406"/>
      <c r="F123" s="406"/>
      <c r="G123" s="406"/>
      <c r="H123" s="406"/>
      <c r="I123" s="406"/>
      <c r="J123" s="406"/>
      <c r="K123" s="406"/>
      <c r="L123" s="406"/>
      <c r="M123" s="407"/>
      <c r="N123" s="3807"/>
      <c r="O123" s="565"/>
      <c r="P123" s="406"/>
      <c r="Q123" s="406"/>
      <c r="R123" s="565"/>
      <c r="S123" s="565"/>
      <c r="T123" s="3807">
        <v>21</v>
      </c>
      <c r="U123" s="4545" t="s">
        <v>4254</v>
      </c>
      <c r="V123" s="565"/>
      <c r="W123" s="565"/>
      <c r="X123" s="565"/>
      <c r="Y123" s="565"/>
      <c r="Z123" s="565"/>
      <c r="AA123" s="565"/>
      <c r="AB123" s="4546"/>
      <c r="AC123" s="565"/>
      <c r="AD123" s="565"/>
      <c r="AE123" s="565"/>
      <c r="AF123" s="565"/>
      <c r="AG123" s="406"/>
      <c r="AH123" s="565"/>
      <c r="AI123" s="565"/>
      <c r="AJ123" s="565"/>
      <c r="AK123" s="2013"/>
      <c r="AL123" s="2013"/>
      <c r="AM123" s="2013"/>
      <c r="AN123" s="253"/>
      <c r="AO123" s="253"/>
      <c r="AP123" s="253"/>
      <c r="AQ123" s="658"/>
      <c r="AR123" s="658"/>
      <c r="AS123" s="658"/>
      <c r="AT123" s="658"/>
      <c r="AU123" s="658"/>
      <c r="AV123" s="658"/>
      <c r="AW123" s="658"/>
      <c r="AX123" s="658"/>
      <c r="AY123" s="658"/>
      <c r="AZ123" s="658"/>
      <c r="BA123"/>
      <c r="BB123"/>
    </row>
    <row r="124" spans="1:54" s="815" customFormat="1" ht="15">
      <c r="A124" s="2013"/>
      <c r="B124" s="3827"/>
      <c r="C124" s="253"/>
      <c r="D124" s="11138"/>
      <c r="E124" s="11138"/>
      <c r="F124" s="11138"/>
      <c r="G124" s="11138"/>
      <c r="H124" s="11138"/>
      <c r="I124" s="11138"/>
      <c r="J124" s="11138"/>
      <c r="K124" s="11138"/>
      <c r="L124" s="11138"/>
      <c r="M124" s="11138"/>
      <c r="N124" s="11138"/>
      <c r="O124" s="11138"/>
      <c r="P124" s="11138"/>
      <c r="Q124" s="11138"/>
      <c r="R124" s="11138"/>
      <c r="S124" s="11139"/>
      <c r="T124" s="4547"/>
      <c r="U124" s="2100" t="s">
        <v>4255</v>
      </c>
      <c r="V124" s="4548"/>
      <c r="W124" s="4548"/>
      <c r="X124" s="4548"/>
      <c r="Y124" s="4548"/>
      <c r="Z124" s="4548"/>
      <c r="AA124" s="4548"/>
      <c r="AB124" s="4548"/>
      <c r="AC124" s="4548"/>
      <c r="AD124" s="4548"/>
      <c r="AE124" s="4548"/>
      <c r="AF124" s="4548"/>
      <c r="AG124" s="4548"/>
      <c r="AH124" s="4548"/>
      <c r="AI124" s="4548"/>
      <c r="AJ124" s="4548"/>
      <c r="AK124" s="2013"/>
      <c r="AL124" s="2013"/>
      <c r="AM124" s="2013"/>
      <c r="AN124" s="253"/>
      <c r="AO124" s="253"/>
      <c r="AP124" s="253"/>
      <c r="AQ124" s="658"/>
      <c r="AR124" s="658"/>
      <c r="AS124" s="658"/>
      <c r="AT124" s="658"/>
      <c r="AU124" s="658"/>
      <c r="AV124" s="658"/>
      <c r="AW124" s="658"/>
      <c r="AX124" s="658"/>
      <c r="AY124" s="658"/>
      <c r="AZ124" s="658"/>
      <c r="BA124"/>
      <c r="BB124"/>
    </row>
    <row r="125" spans="1:54" s="815" customFormat="1" ht="18" customHeight="1">
      <c r="A125" s="2013"/>
      <c r="B125" s="3827"/>
      <c r="C125" s="253"/>
      <c r="D125" s="11140"/>
      <c r="E125" s="11140"/>
      <c r="F125" s="11140"/>
      <c r="G125" s="11140"/>
      <c r="H125" s="11140"/>
      <c r="I125" s="11140"/>
      <c r="J125" s="11140"/>
      <c r="K125" s="11140"/>
      <c r="L125" s="11140"/>
      <c r="M125" s="11140"/>
      <c r="N125" s="11140"/>
      <c r="O125" s="11140"/>
      <c r="P125" s="11140"/>
      <c r="Q125" s="11140"/>
      <c r="R125" s="11140"/>
      <c r="S125" s="11141"/>
      <c r="T125" s="1110"/>
      <c r="U125" s="11142"/>
      <c r="V125" s="11142"/>
      <c r="W125" s="11142"/>
      <c r="X125" s="11142"/>
      <c r="Y125" s="11142"/>
      <c r="Z125" s="11142"/>
      <c r="AA125" s="11142"/>
      <c r="AB125" s="11142"/>
      <c r="AC125" s="11142"/>
      <c r="AD125" s="11142"/>
      <c r="AE125" s="11142"/>
      <c r="AF125" s="11142"/>
      <c r="AG125" s="11142"/>
      <c r="AH125" s="11142"/>
      <c r="AI125" s="11142"/>
      <c r="AJ125" s="11142"/>
      <c r="AK125" s="2013"/>
      <c r="AL125" s="2013"/>
      <c r="AM125" s="2013"/>
      <c r="AN125" s="253"/>
      <c r="AO125" s="253"/>
      <c r="AP125" s="253"/>
      <c r="AQ125" s="658"/>
      <c r="AR125" s="658"/>
      <c r="AS125" s="658"/>
      <c r="AT125" s="658"/>
      <c r="AU125" s="658"/>
      <c r="AV125" s="658"/>
      <c r="AW125" s="658"/>
      <c r="AX125" s="658"/>
      <c r="AY125" s="658"/>
      <c r="AZ125" s="658"/>
      <c r="BA125"/>
      <c r="BB125"/>
    </row>
    <row r="126" spans="1:54" s="815" customFormat="1" ht="16.5" customHeight="1">
      <c r="A126" s="2013"/>
      <c r="B126" s="3844">
        <v>22</v>
      </c>
      <c r="C126" s="773"/>
      <c r="D126" s="1996" t="s">
        <v>4256</v>
      </c>
      <c r="E126" s="413"/>
      <c r="F126" s="413"/>
      <c r="G126" s="413"/>
      <c r="H126" s="413"/>
      <c r="I126" s="413"/>
      <c r="J126" s="413"/>
      <c r="K126" s="413"/>
      <c r="L126" s="413"/>
      <c r="M126" s="413"/>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2013"/>
      <c r="AL126" s="2013"/>
      <c r="AM126" s="2013"/>
      <c r="AN126" s="253"/>
      <c r="AO126" s="253"/>
      <c r="AP126" s="253"/>
      <c r="AQ126" s="658"/>
      <c r="AR126" s="658"/>
      <c r="AS126" s="658"/>
      <c r="AT126" s="658"/>
      <c r="AU126" s="658"/>
      <c r="AV126" s="658"/>
      <c r="AW126" s="658"/>
      <c r="AX126" s="658"/>
      <c r="AY126" s="658"/>
      <c r="AZ126" s="658"/>
      <c r="BA126"/>
      <c r="BB126"/>
    </row>
    <row r="127" spans="1:54" s="815" customFormat="1" ht="16.5" customHeight="1">
      <c r="A127" s="2013"/>
      <c r="B127" s="3827"/>
      <c r="C127" s="253"/>
      <c r="D127" s="3903" t="s">
        <v>1214</v>
      </c>
      <c r="E127" s="565" t="s">
        <v>4257</v>
      </c>
      <c r="F127" s="406"/>
      <c r="G127" s="406"/>
      <c r="H127" s="406"/>
      <c r="I127" s="406"/>
      <c r="J127" s="406"/>
      <c r="K127" s="406"/>
      <c r="L127" s="406"/>
      <c r="M127" s="406"/>
      <c r="N127" s="3903"/>
      <c r="O127" s="565"/>
      <c r="P127" s="406"/>
      <c r="Q127" s="406"/>
      <c r="R127" s="565"/>
      <c r="S127" s="3542"/>
      <c r="T127" s="3807"/>
      <c r="U127" s="3903" t="s">
        <v>1181</v>
      </c>
      <c r="V127" s="565" t="s">
        <v>4258</v>
      </c>
      <c r="W127" s="565"/>
      <c r="X127" s="565"/>
      <c r="Y127" s="565"/>
      <c r="Z127" s="565"/>
      <c r="AA127" s="565"/>
      <c r="AB127" s="4546"/>
      <c r="AC127" s="565"/>
      <c r="AD127" s="565"/>
      <c r="AE127" s="565"/>
      <c r="AF127" s="406"/>
      <c r="AG127" s="565"/>
      <c r="AH127" s="565"/>
      <c r="AI127" s="565"/>
      <c r="AJ127" s="565"/>
      <c r="AK127" s="2013"/>
      <c r="AL127" s="2013"/>
      <c r="AM127" s="2013"/>
      <c r="AN127" s="253"/>
      <c r="AO127" s="253"/>
      <c r="AP127" s="253"/>
      <c r="AQ127" s="658"/>
      <c r="AR127" s="658"/>
      <c r="AS127" s="658"/>
      <c r="AT127" s="658"/>
      <c r="AU127" s="658"/>
      <c r="AV127" s="658"/>
      <c r="AW127" s="658"/>
      <c r="AX127" s="658"/>
      <c r="AY127" s="658"/>
      <c r="AZ127" s="658"/>
      <c r="BA127"/>
      <c r="BB127"/>
    </row>
    <row r="128" spans="1:54" s="815" customFormat="1" ht="18">
      <c r="A128" s="2013"/>
      <c r="B128" s="3827"/>
      <c r="C128"/>
      <c r="D128" s="11143"/>
      <c r="E128" s="11143"/>
      <c r="F128" s="11143"/>
      <c r="G128" s="11143"/>
      <c r="H128" s="11143"/>
      <c r="I128" s="11143"/>
      <c r="J128" s="11143"/>
      <c r="K128" s="11143"/>
      <c r="L128" s="11143"/>
      <c r="M128" s="11143"/>
      <c r="N128" s="11143"/>
      <c r="O128" s="11143"/>
      <c r="P128" s="11143"/>
      <c r="Q128" s="11143"/>
      <c r="R128" s="11143"/>
      <c r="S128" s="11144"/>
      <c r="T128" s="11148"/>
      <c r="U128" s="11149"/>
      <c r="V128" s="11149"/>
      <c r="W128" s="11149"/>
      <c r="X128" s="11149"/>
      <c r="Y128" s="11149"/>
      <c r="Z128" s="11149"/>
      <c r="AA128" s="11149"/>
      <c r="AB128" s="11149"/>
      <c r="AC128" s="11149"/>
      <c r="AD128" s="11149"/>
      <c r="AE128" s="11149"/>
      <c r="AF128" s="11149"/>
      <c r="AG128" s="11149"/>
      <c r="AH128" s="11149"/>
      <c r="AI128" s="11149"/>
      <c r="AJ128" s="11149"/>
      <c r="AK128" s="2013"/>
      <c r="AL128" s="2013"/>
      <c r="AM128" s="2013"/>
      <c r="AN128" s="253"/>
      <c r="AO128" s="253"/>
      <c r="AP128" s="253"/>
      <c r="AQ128" s="658"/>
      <c r="AR128" s="658"/>
      <c r="AS128" s="658"/>
      <c r="AT128" s="658"/>
      <c r="AU128" s="658"/>
      <c r="AV128" s="658"/>
      <c r="AW128" s="658"/>
      <c r="AX128" s="658"/>
      <c r="AY128" s="658"/>
      <c r="AZ128" s="658"/>
      <c r="BA128"/>
      <c r="BB128"/>
    </row>
    <row r="129" spans="1:54" s="815" customFormat="1" ht="12.75" customHeight="1">
      <c r="A129" s="2013"/>
      <c r="B129" s="253"/>
      <c r="C129" s="253"/>
      <c r="D129" s="1400" t="s">
        <v>3847</v>
      </c>
      <c r="E129" s="511" t="s">
        <v>4259</v>
      </c>
      <c r="F129" s="253"/>
      <c r="G129" s="253"/>
      <c r="H129" s="253"/>
      <c r="I129" s="253"/>
      <c r="J129" s="253"/>
      <c r="K129" s="253"/>
      <c r="L129" s="253"/>
      <c r="M129" s="253"/>
      <c r="N129" s="253"/>
      <c r="O129" s="253"/>
      <c r="P129" s="253"/>
      <c r="Q129" s="253"/>
      <c r="R129" s="253"/>
      <c r="S129" s="407"/>
      <c r="T129" s="253"/>
      <c r="U129" s="1400" t="s">
        <v>3847</v>
      </c>
      <c r="V129" s="511" t="s">
        <v>4259</v>
      </c>
      <c r="W129" s="253"/>
      <c r="X129" s="253"/>
      <c r="Y129" s="253"/>
      <c r="Z129" s="253"/>
      <c r="AA129" s="253"/>
      <c r="AB129" s="253"/>
      <c r="AC129" s="253"/>
      <c r="AD129" s="253"/>
      <c r="AE129" s="253"/>
      <c r="AF129" s="253"/>
      <c r="AG129" s="253"/>
      <c r="AH129" s="253"/>
      <c r="AI129" s="253"/>
      <c r="AJ129" s="253"/>
      <c r="AK129" s="2013"/>
      <c r="AL129" s="2013"/>
      <c r="AM129" s="2013"/>
      <c r="AN129" s="253"/>
      <c r="AO129" s="253"/>
      <c r="AP129" s="253"/>
      <c r="AQ129" s="658"/>
      <c r="AR129" s="658"/>
      <c r="AS129" s="658"/>
      <c r="AT129" s="658"/>
      <c r="AU129" s="658"/>
      <c r="AV129" s="658"/>
      <c r="AW129" s="658"/>
      <c r="AX129" s="658"/>
      <c r="AY129" s="658"/>
      <c r="AZ129" s="658"/>
      <c r="BA129"/>
      <c r="BB129"/>
    </row>
    <row r="130" spans="1:54" s="815" customFormat="1" ht="14.25">
      <c r="A130" s="2013"/>
      <c r="B130" s="253"/>
      <c r="C130" s="253"/>
      <c r="D130" s="253"/>
      <c r="E130" s="511" t="s">
        <v>4260</v>
      </c>
      <c r="F130" s="253"/>
      <c r="G130" s="253"/>
      <c r="H130" s="253"/>
      <c r="I130" s="253"/>
      <c r="J130" s="253"/>
      <c r="K130" s="253"/>
      <c r="L130" s="253"/>
      <c r="M130" s="253"/>
      <c r="N130" s="253"/>
      <c r="O130" s="253"/>
      <c r="P130" s="253"/>
      <c r="Q130" s="253"/>
      <c r="R130" s="253"/>
      <c r="S130" s="409"/>
      <c r="T130" s="253"/>
      <c r="U130" s="253"/>
      <c r="V130" s="511" t="s">
        <v>4260</v>
      </c>
      <c r="W130" s="253"/>
      <c r="X130" s="253"/>
      <c r="Y130" s="253"/>
      <c r="Z130" s="253"/>
      <c r="AA130" s="253"/>
      <c r="AB130" s="253"/>
      <c r="AC130" s="253"/>
      <c r="AD130" s="253"/>
      <c r="AE130" s="253"/>
      <c r="AF130" s="253"/>
      <c r="AG130" s="253"/>
      <c r="AH130" s="253"/>
      <c r="AI130" s="253"/>
      <c r="AJ130" s="253"/>
      <c r="AK130" s="2013"/>
      <c r="AL130" s="2013"/>
      <c r="AM130" s="2013"/>
      <c r="AN130" s="253"/>
      <c r="AO130" s="253"/>
      <c r="AP130" s="253"/>
      <c r="AQ130" s="658"/>
      <c r="AR130" s="658"/>
      <c r="AS130" s="658"/>
      <c r="AT130" s="658"/>
      <c r="AU130" s="658"/>
      <c r="AV130" s="658"/>
      <c r="AW130" s="658"/>
      <c r="AX130" s="658"/>
      <c r="AY130" s="658"/>
      <c r="AZ130" s="658"/>
      <c r="BA130"/>
      <c r="BB130"/>
    </row>
    <row r="131" spans="1:54" s="815" customFormat="1" ht="14.25">
      <c r="A131" s="2013"/>
      <c r="B131" s="253"/>
      <c r="C131" s="253"/>
      <c r="D131" s="253"/>
      <c r="E131" s="511" t="s">
        <v>2882</v>
      </c>
      <c r="F131" s="253"/>
      <c r="G131" s="253"/>
      <c r="H131" s="253"/>
      <c r="I131" s="253"/>
      <c r="J131" s="253"/>
      <c r="K131" s="253"/>
      <c r="L131" s="253"/>
      <c r="M131" s="253"/>
      <c r="N131" s="253"/>
      <c r="O131" s="253"/>
      <c r="P131" s="253"/>
      <c r="Q131" s="253"/>
      <c r="R131" s="253"/>
      <c r="S131" s="409"/>
      <c r="T131" s="253"/>
      <c r="U131" s="253"/>
      <c r="V131" s="511" t="s">
        <v>2882</v>
      </c>
      <c r="W131" s="253"/>
      <c r="X131" s="253"/>
      <c r="Y131" s="253"/>
      <c r="Z131" s="253"/>
      <c r="AA131" s="253"/>
      <c r="AB131" s="253"/>
      <c r="AC131" s="253"/>
      <c r="AD131" s="253"/>
      <c r="AE131" s="253"/>
      <c r="AF131" s="253"/>
      <c r="AG131" s="253"/>
      <c r="AH131" s="253"/>
      <c r="AI131" s="253"/>
      <c r="AJ131" s="253"/>
      <c r="AK131" s="2013"/>
      <c r="AL131" s="2013"/>
      <c r="AM131" s="2013"/>
      <c r="AN131" s="253"/>
      <c r="AO131" s="253"/>
      <c r="AP131" s="253"/>
      <c r="AQ131" s="658"/>
      <c r="AR131" s="658"/>
      <c r="AS131" s="658"/>
      <c r="AT131" s="658"/>
      <c r="AU131" s="658"/>
      <c r="AV131" s="658"/>
      <c r="AW131" s="658"/>
      <c r="AX131" s="658"/>
      <c r="AY131" s="658"/>
      <c r="AZ131" s="658"/>
      <c r="BA131"/>
      <c r="BB131"/>
    </row>
    <row r="132" spans="1:54" s="815" customFormat="1" ht="15.75">
      <c r="A132" s="2013"/>
      <c r="B132" s="3827"/>
      <c r="C132"/>
      <c r="D132" s="7146"/>
      <c r="E132" s="7146"/>
      <c r="F132" s="7146"/>
      <c r="G132" s="7146"/>
      <c r="H132" s="7146"/>
      <c r="I132" s="7146"/>
      <c r="J132" s="7146"/>
      <c r="K132" s="7146"/>
      <c r="L132" s="7146"/>
      <c r="M132" s="7146"/>
      <c r="N132" s="7146"/>
      <c r="O132" s="7146"/>
      <c r="P132" s="7146"/>
      <c r="Q132" s="7146"/>
      <c r="R132" s="7146"/>
      <c r="S132" s="7147"/>
      <c r="T132" s="11150"/>
      <c r="U132" s="7130"/>
      <c r="V132" s="7130"/>
      <c r="W132" s="7130"/>
      <c r="X132" s="7130"/>
      <c r="Y132" s="7130"/>
      <c r="Z132" s="7130"/>
      <c r="AA132" s="7130"/>
      <c r="AB132" s="7130"/>
      <c r="AC132" s="7130"/>
      <c r="AD132" s="7130"/>
      <c r="AE132" s="7130"/>
      <c r="AF132" s="7130"/>
      <c r="AG132" s="7130"/>
      <c r="AH132" s="7130"/>
      <c r="AI132" s="7130"/>
      <c r="AJ132" s="7130"/>
      <c r="AK132" s="2013"/>
      <c r="AL132" s="2013"/>
      <c r="AM132" s="2013"/>
      <c r="AN132" s="253"/>
      <c r="AO132" s="253"/>
      <c r="AP132" s="253"/>
      <c r="AQ132" s="658"/>
      <c r="AR132" s="658"/>
      <c r="AS132" s="658"/>
      <c r="AT132" s="658"/>
      <c r="AU132" s="658"/>
      <c r="AV132" s="658"/>
      <c r="AW132" s="658"/>
      <c r="AX132" s="658"/>
      <c r="AY132" s="658"/>
      <c r="AZ132" s="658"/>
      <c r="BA132"/>
      <c r="BB132"/>
    </row>
    <row r="133" spans="1:54" s="815" customFormat="1" ht="16.5" customHeight="1">
      <c r="A133" s="2013"/>
      <c r="B133" s="253"/>
      <c r="C133" s="253"/>
      <c r="D133" s="1400" t="s">
        <v>3849</v>
      </c>
      <c r="E133" s="11133" t="str">
        <f>"Did the student receive Form 1098-T"&amp;CHAR(10)&amp;"from this institution for "&amp;TaxYear&amp;"?"</f>
        <v>Did the student receive Form 1098-T
from this institution for 2025?</v>
      </c>
      <c r="F133" s="11133"/>
      <c r="G133" s="11133"/>
      <c r="H133" s="11133"/>
      <c r="I133" s="11133"/>
      <c r="J133" s="11133"/>
      <c r="K133" s="11133"/>
      <c r="L133" s="11133"/>
      <c r="M133" s="11133"/>
      <c r="N133" s="11133"/>
      <c r="O133" s="253"/>
      <c r="P133" s="253"/>
      <c r="Q133" s="253"/>
      <c r="R133" s="253"/>
      <c r="S133" s="253"/>
      <c r="T133" s="405"/>
      <c r="U133" s="1400" t="s">
        <v>3849</v>
      </c>
      <c r="V133" s="11133" t="str">
        <f>"Did the student receive Form 1098-T"&amp;CHAR(10)&amp;"from this institution for "&amp;TaxYear&amp;"?"</f>
        <v>Did the student receive Form 1098-T
from this institution for 2025?</v>
      </c>
      <c r="W133" s="11133"/>
      <c r="X133" s="11133"/>
      <c r="Y133" s="11133"/>
      <c r="Z133" s="11133"/>
      <c r="AA133" s="11133"/>
      <c r="AB133" s="11133"/>
      <c r="AC133" s="11133"/>
      <c r="AD133" s="11133"/>
      <c r="AE133" s="11133"/>
      <c r="AF133" s="253"/>
      <c r="AG133" s="253"/>
      <c r="AH133" s="253"/>
      <c r="AI133" s="253"/>
      <c r="AJ133" s="253"/>
      <c r="AK133" s="2013"/>
      <c r="AL133" s="2013"/>
      <c r="AM133" s="2013"/>
      <c r="AN133" s="253"/>
      <c r="AO133" s="253"/>
      <c r="AP133" s="253"/>
      <c r="AQ133" s="658"/>
      <c r="AR133" s="658"/>
      <c r="AS133" s="658"/>
      <c r="AT133" s="658"/>
      <c r="AU133" s="658"/>
      <c r="AV133" s="658"/>
      <c r="AW133" s="658"/>
      <c r="AX133" s="658"/>
      <c r="AY133" s="658"/>
      <c r="AZ133" s="658"/>
      <c r="BA133"/>
      <c r="BB133"/>
    </row>
    <row r="134" spans="1:54" s="815" customFormat="1" ht="14.25" customHeight="1">
      <c r="A134" s="2013"/>
      <c r="B134" s="253"/>
      <c r="C134" s="253"/>
      <c r="D134" s="253"/>
      <c r="E134" s="11134"/>
      <c r="F134" s="11134"/>
      <c r="G134" s="11134"/>
      <c r="H134" s="11134"/>
      <c r="I134" s="11134"/>
      <c r="J134" s="11134"/>
      <c r="K134" s="11134"/>
      <c r="L134" s="11134"/>
      <c r="M134" s="11134"/>
      <c r="N134" s="11134"/>
      <c r="O134" s="1111"/>
      <c r="P134" s="349" t="s">
        <v>1238</v>
      </c>
      <c r="Q134" s="253"/>
      <c r="R134" s="1111"/>
      <c r="S134" s="349" t="s">
        <v>734</v>
      </c>
      <c r="T134" s="2018"/>
      <c r="U134" s="253"/>
      <c r="V134" s="11134"/>
      <c r="W134" s="11134"/>
      <c r="X134" s="11134"/>
      <c r="Y134" s="11134"/>
      <c r="Z134" s="11134"/>
      <c r="AA134" s="11134"/>
      <c r="AB134" s="11134"/>
      <c r="AC134" s="11134"/>
      <c r="AD134" s="11134"/>
      <c r="AE134" s="11134"/>
      <c r="AF134" s="1111"/>
      <c r="AG134" s="349" t="s">
        <v>1238</v>
      </c>
      <c r="AH134" s="253"/>
      <c r="AI134" s="1111"/>
      <c r="AJ134" s="349" t="s">
        <v>734</v>
      </c>
      <c r="AK134" s="2013"/>
      <c r="AL134" s="2013"/>
      <c r="AM134" s="2013"/>
      <c r="AN134" s="253"/>
      <c r="AO134" s="253"/>
      <c r="AP134" s="253"/>
      <c r="AQ134" s="658"/>
      <c r="AR134" s="658"/>
      <c r="AS134" s="658"/>
      <c r="AT134" s="658"/>
      <c r="AU134" s="658"/>
      <c r="AV134" s="658"/>
      <c r="AW134" s="658"/>
      <c r="AX134" s="658"/>
      <c r="AY134" s="658"/>
      <c r="AZ134" s="658"/>
      <c r="BA134"/>
      <c r="BB134"/>
    </row>
    <row r="135" spans="1:54" s="815" customFormat="1" ht="7.5" customHeight="1">
      <c r="A135" s="2013"/>
      <c r="B135" s="413"/>
      <c r="C135" s="413"/>
      <c r="D135" s="413"/>
      <c r="E135" s="11135"/>
      <c r="F135" s="11135"/>
      <c r="G135" s="11135"/>
      <c r="H135" s="11135"/>
      <c r="I135" s="11135"/>
      <c r="J135" s="11135"/>
      <c r="K135" s="11135"/>
      <c r="L135" s="11135"/>
      <c r="M135" s="11135"/>
      <c r="N135" s="11135"/>
      <c r="O135" s="413"/>
      <c r="P135" s="413"/>
      <c r="Q135" s="413"/>
      <c r="R135" s="413"/>
      <c r="S135" s="413"/>
      <c r="T135" s="412"/>
      <c r="U135" s="413"/>
      <c r="V135" s="11135"/>
      <c r="W135" s="11135"/>
      <c r="X135" s="11135"/>
      <c r="Y135" s="11135"/>
      <c r="Z135" s="11135"/>
      <c r="AA135" s="11135"/>
      <c r="AB135" s="11135"/>
      <c r="AC135" s="11135"/>
      <c r="AD135" s="11135"/>
      <c r="AE135" s="11135"/>
      <c r="AF135" s="413"/>
      <c r="AG135" s="413"/>
      <c r="AH135" s="413"/>
      <c r="AI135" s="413"/>
      <c r="AJ135" s="413"/>
      <c r="AK135" s="2013"/>
      <c r="AL135" s="2013"/>
      <c r="AM135" s="2013"/>
      <c r="AN135" s="253"/>
      <c r="AO135" s="253"/>
      <c r="AP135" s="253"/>
      <c r="AQ135" s="662"/>
      <c r="AR135" s="662"/>
      <c r="AS135" s="662"/>
      <c r="AT135" s="662"/>
      <c r="AU135" s="662"/>
      <c r="AV135" s="662"/>
      <c r="AW135" s="662"/>
      <c r="AX135" s="662"/>
      <c r="AY135" s="662"/>
      <c r="AZ135" s="662"/>
      <c r="BA135"/>
      <c r="BB135"/>
    </row>
    <row r="136" spans="1:54" s="815" customFormat="1" ht="16.5" customHeight="1">
      <c r="A136" s="2013"/>
      <c r="B136" s="253"/>
      <c r="C136" s="253"/>
      <c r="D136" s="4230" t="s">
        <v>4261</v>
      </c>
      <c r="E136" s="11133" t="str">
        <f>"Did the student receive Form 1098-T"&amp;CHAR(10)&amp;"from this institution for "&amp;TaxYear-1&amp;" with box"&amp;CHAR(10)&amp;"7 checked?"</f>
        <v>Did the student receive Form 1098-T
from this institution for 2024 with box
7 checked?</v>
      </c>
      <c r="F136" s="11133"/>
      <c r="G136" s="11133"/>
      <c r="H136" s="11133"/>
      <c r="I136" s="11133"/>
      <c r="J136" s="11133"/>
      <c r="K136" s="11133"/>
      <c r="L136" s="11133"/>
      <c r="M136" s="11133"/>
      <c r="N136" s="11133"/>
      <c r="O136" s="253"/>
      <c r="P136" s="253"/>
      <c r="Q136" s="253"/>
      <c r="R136" s="253"/>
      <c r="S136" s="253"/>
      <c r="T136" s="408"/>
      <c r="U136" s="4230" t="s">
        <v>4261</v>
      </c>
      <c r="V136" s="11133" t="str">
        <f>"Did the student receive Form 1098-T"&amp;CHAR(10)&amp;"from this institution for "&amp;TaxYear-1&amp;" with box"&amp;CHAR(10)&amp;"7 checked?"</f>
        <v>Did the student receive Form 1098-T
from this institution for 2024 with box
7 checked?</v>
      </c>
      <c r="W136" s="11133"/>
      <c r="X136" s="11133"/>
      <c r="Y136" s="11133"/>
      <c r="Z136" s="11133"/>
      <c r="AA136" s="11133"/>
      <c r="AB136" s="11133"/>
      <c r="AC136" s="11133"/>
      <c r="AD136" s="11133"/>
      <c r="AE136" s="11133"/>
      <c r="AF136" s="253"/>
      <c r="AG136" s="253"/>
      <c r="AH136" s="253"/>
      <c r="AI136" s="253"/>
      <c r="AJ136" s="253"/>
      <c r="AK136" s="2013"/>
      <c r="AL136" s="2013"/>
      <c r="AM136" s="2013"/>
      <c r="AN136" s="253"/>
      <c r="AO136" s="253"/>
      <c r="AP136" s="253"/>
      <c r="AQ136" s="658"/>
      <c r="AR136" s="658"/>
      <c r="AS136" s="658"/>
      <c r="AT136" s="658"/>
      <c r="AU136" s="658"/>
      <c r="AV136" s="658"/>
      <c r="AW136" s="658"/>
      <c r="AX136" s="658"/>
      <c r="AY136" s="658"/>
      <c r="AZ136" s="658"/>
      <c r="BA136"/>
      <c r="BB136"/>
    </row>
    <row r="137" spans="1:54" s="815" customFormat="1" ht="14.25" customHeight="1">
      <c r="A137" s="2013"/>
      <c r="B137" s="253"/>
      <c r="C137" s="253"/>
      <c r="D137" s="253"/>
      <c r="E137" s="11134"/>
      <c r="F137" s="11134"/>
      <c r="G137" s="11134"/>
      <c r="H137" s="11134"/>
      <c r="I137" s="11134"/>
      <c r="J137" s="11134"/>
      <c r="K137" s="11134"/>
      <c r="L137" s="11134"/>
      <c r="M137" s="11134"/>
      <c r="N137" s="11134"/>
      <c r="O137" s="1111"/>
      <c r="P137" s="349" t="s">
        <v>1238</v>
      </c>
      <c r="Q137" s="253"/>
      <c r="R137" s="1111"/>
      <c r="S137" s="349" t="s">
        <v>734</v>
      </c>
      <c r="T137" s="2018"/>
      <c r="U137" s="253"/>
      <c r="V137" s="11134"/>
      <c r="W137" s="11134"/>
      <c r="X137" s="11134"/>
      <c r="Y137" s="11134"/>
      <c r="Z137" s="11134"/>
      <c r="AA137" s="11134"/>
      <c r="AB137" s="11134"/>
      <c r="AC137" s="11134"/>
      <c r="AD137" s="11134"/>
      <c r="AE137" s="11134"/>
      <c r="AF137" s="1111"/>
      <c r="AG137" s="349" t="s">
        <v>1238</v>
      </c>
      <c r="AH137" s="253"/>
      <c r="AI137" s="1111"/>
      <c r="AJ137" s="349" t="s">
        <v>734</v>
      </c>
      <c r="AK137" s="2013"/>
      <c r="AL137" s="2013"/>
      <c r="AM137" s="2013"/>
      <c r="AN137" s="253"/>
      <c r="AO137" s="253"/>
      <c r="AP137" s="253"/>
      <c r="AQ137" s="658"/>
      <c r="AR137" s="658"/>
      <c r="AS137" s="658"/>
      <c r="AT137" s="658"/>
      <c r="AU137" s="658"/>
      <c r="AV137" s="658"/>
      <c r="AW137" s="658"/>
      <c r="AX137" s="658"/>
      <c r="AY137" s="658"/>
      <c r="AZ137" s="658"/>
      <c r="BA137"/>
      <c r="BB137"/>
    </row>
    <row r="138" spans="1:54" s="815" customFormat="1" ht="13.5" customHeight="1">
      <c r="A138" s="2013"/>
      <c r="B138" s="413"/>
      <c r="C138" s="413"/>
      <c r="D138" s="413"/>
      <c r="E138" s="11135"/>
      <c r="F138" s="11135"/>
      <c r="G138" s="11135"/>
      <c r="H138" s="11135"/>
      <c r="I138" s="11135"/>
      <c r="J138" s="11135"/>
      <c r="K138" s="11135"/>
      <c r="L138" s="11135"/>
      <c r="M138" s="11135"/>
      <c r="N138" s="11135"/>
      <c r="O138" s="413"/>
      <c r="P138" s="413"/>
      <c r="Q138" s="413"/>
      <c r="R138" s="413"/>
      <c r="S138" s="413"/>
      <c r="T138" s="412"/>
      <c r="U138" s="413"/>
      <c r="V138" s="11135"/>
      <c r="W138" s="11135"/>
      <c r="X138" s="11135"/>
      <c r="Y138" s="11135"/>
      <c r="Z138" s="11135"/>
      <c r="AA138" s="11135"/>
      <c r="AB138" s="11135"/>
      <c r="AC138" s="11135"/>
      <c r="AD138" s="11135"/>
      <c r="AE138" s="11135"/>
      <c r="AF138" s="413"/>
      <c r="AG138" s="413"/>
      <c r="AH138" s="413"/>
      <c r="AI138" s="413"/>
      <c r="AJ138" s="413"/>
      <c r="AK138" s="2013"/>
      <c r="AL138" s="2013"/>
      <c r="AM138" s="2013"/>
      <c r="AN138" s="253"/>
      <c r="AO138" s="253"/>
      <c r="AP138" s="253"/>
      <c r="AQ138" s="658"/>
      <c r="AR138" s="658"/>
      <c r="AS138" s="658"/>
      <c r="AT138" s="658"/>
      <c r="AU138" s="658"/>
      <c r="AV138" s="658"/>
      <c r="AW138" s="658"/>
      <c r="AX138" s="658"/>
      <c r="AY138" s="658"/>
      <c r="AZ138" s="658"/>
      <c r="BA138"/>
      <c r="BB138"/>
    </row>
    <row r="139" spans="1:54" s="815" customFormat="1" ht="21" customHeight="1" thickBot="1">
      <c r="A139" s="2013"/>
      <c r="B139" s="253"/>
      <c r="C139" s="253"/>
      <c r="D139" s="4230" t="s">
        <v>576</v>
      </c>
      <c r="E139" s="11133" t="s">
        <v>4298</v>
      </c>
      <c r="F139" s="11133"/>
      <c r="G139" s="11133"/>
      <c r="H139" s="11133"/>
      <c r="I139" s="11133"/>
      <c r="J139" s="11133"/>
      <c r="K139" s="11133"/>
      <c r="L139" s="11133"/>
      <c r="M139" s="11133"/>
      <c r="N139" s="11133"/>
      <c r="O139" s="11133"/>
      <c r="P139" s="11133"/>
      <c r="Q139" s="11133"/>
      <c r="R139" s="11133"/>
      <c r="S139" s="11136"/>
      <c r="T139" s="408"/>
      <c r="U139" s="4230" t="s">
        <v>576</v>
      </c>
      <c r="V139" s="11133" t="s">
        <v>4262</v>
      </c>
      <c r="W139" s="11133"/>
      <c r="X139" s="11133"/>
      <c r="Y139" s="11133"/>
      <c r="Z139" s="11133"/>
      <c r="AA139" s="11133"/>
      <c r="AB139" s="11133"/>
      <c r="AC139" s="11133"/>
      <c r="AD139" s="11133"/>
      <c r="AE139" s="11133"/>
      <c r="AF139" s="11133"/>
      <c r="AG139" s="11133"/>
      <c r="AH139" s="11133"/>
      <c r="AI139" s="11133"/>
      <c r="AJ139" s="11133"/>
      <c r="AK139" s="2013"/>
      <c r="AL139" s="2013"/>
      <c r="AM139" s="2013"/>
      <c r="AN139" s="253"/>
      <c r="AO139" s="253"/>
      <c r="AP139" s="253"/>
      <c r="AQ139" s="658"/>
      <c r="AR139" s="658"/>
      <c r="AS139" s="658"/>
      <c r="AT139" s="658"/>
      <c r="AU139" s="658"/>
      <c r="AV139" s="658"/>
      <c r="AW139" s="658"/>
      <c r="AX139" s="658"/>
      <c r="AY139" s="658"/>
      <c r="AZ139" s="658"/>
      <c r="BA139"/>
      <c r="BB139"/>
    </row>
    <row r="140" spans="1:54" s="815" customFormat="1" ht="14.25" customHeight="1">
      <c r="A140" s="2013"/>
      <c r="B140" s="253"/>
      <c r="C140" s="253"/>
      <c r="D140" s="253"/>
      <c r="E140" s="11134"/>
      <c r="F140" s="11134"/>
      <c r="G140" s="11134"/>
      <c r="H140" s="11134"/>
      <c r="I140" s="11134"/>
      <c r="J140" s="11134"/>
      <c r="K140" s="11134"/>
      <c r="L140" s="11134"/>
      <c r="M140" s="11134"/>
      <c r="N140" s="11134"/>
      <c r="O140" s="11134"/>
      <c r="P140" s="11134"/>
      <c r="Q140" s="11134"/>
      <c r="R140" s="11134"/>
      <c r="S140" s="11137"/>
      <c r="T140" s="2018"/>
      <c r="U140" s="253"/>
      <c r="V140" s="11134"/>
      <c r="W140" s="11134"/>
      <c r="X140" s="11134"/>
      <c r="Y140" s="11134"/>
      <c r="Z140" s="11134"/>
      <c r="AA140" s="11134"/>
      <c r="AB140" s="11134"/>
      <c r="AC140" s="11134"/>
      <c r="AD140" s="11134"/>
      <c r="AE140" s="11134"/>
      <c r="AF140" s="11134"/>
      <c r="AG140" s="11134"/>
      <c r="AH140" s="11134"/>
      <c r="AI140" s="11134"/>
      <c r="AJ140" s="11134"/>
      <c r="AK140" s="2013"/>
      <c r="AL140" s="2013"/>
      <c r="AM140" s="2013"/>
      <c r="AN140" s="253"/>
      <c r="AO140" s="253"/>
      <c r="AP140" s="253"/>
      <c r="AQ140" s="1126" t="s">
        <v>4263</v>
      </c>
      <c r="AR140" s="1127"/>
      <c r="AS140" s="1127"/>
      <c r="AT140" s="1127"/>
      <c r="AU140" s="1127"/>
      <c r="AV140" s="1127"/>
      <c r="AW140" s="1127"/>
      <c r="AX140" s="1127"/>
      <c r="AY140" s="1127"/>
      <c r="AZ140" s="1128"/>
      <c r="BA140"/>
      <c r="BB140"/>
    </row>
    <row r="141" spans="1:54" s="815" customFormat="1" ht="26.25" customHeight="1">
      <c r="A141" s="2013"/>
      <c r="B141" s="253"/>
      <c r="C141" s="253"/>
      <c r="D141" s="253"/>
      <c r="E141" s="11134"/>
      <c r="F141" s="11134"/>
      <c r="G141" s="11134"/>
      <c r="H141" s="11134"/>
      <c r="I141" s="11134"/>
      <c r="J141" s="11134"/>
      <c r="K141" s="11134"/>
      <c r="L141" s="11134"/>
      <c r="M141" s="11134"/>
      <c r="N141" s="11134"/>
      <c r="O141" s="11134"/>
      <c r="P141" s="11134"/>
      <c r="Q141" s="11134"/>
      <c r="R141" s="11134"/>
      <c r="S141" s="11137"/>
      <c r="T141" s="408"/>
      <c r="U141" s="253"/>
      <c r="V141" s="11134"/>
      <c r="W141" s="11134"/>
      <c r="X141" s="11134"/>
      <c r="Y141" s="11134"/>
      <c r="Z141" s="11134"/>
      <c r="AA141" s="11134"/>
      <c r="AB141" s="11134"/>
      <c r="AC141" s="11134"/>
      <c r="AD141" s="11134"/>
      <c r="AE141" s="11134"/>
      <c r="AF141" s="11134"/>
      <c r="AG141" s="11134"/>
      <c r="AH141" s="11134"/>
      <c r="AI141" s="11134"/>
      <c r="AJ141" s="11134"/>
      <c r="AK141" s="2013"/>
      <c r="AL141" s="2013"/>
      <c r="AM141" s="2013"/>
      <c r="AN141" s="253"/>
      <c r="AO141" s="253"/>
      <c r="AP141" s="253"/>
      <c r="AQ141" s="1129" t="s">
        <v>4264</v>
      </c>
      <c r="AR141" s="1130"/>
      <c r="AS141" s="1130"/>
      <c r="AT141" s="1130"/>
      <c r="AU141" s="1130"/>
      <c r="AV141" s="1130"/>
      <c r="AW141" s="1130"/>
      <c r="AX141" s="1130"/>
      <c r="AY141" s="1130"/>
      <c r="AZ141" s="1131"/>
      <c r="BA141"/>
      <c r="BB141"/>
    </row>
    <row r="142" spans="1:54" s="815" customFormat="1" ht="17.25" customHeight="1">
      <c r="A142" s="2013"/>
      <c r="B142" s="253"/>
      <c r="C142" s="253"/>
      <c r="D142" s="253"/>
      <c r="E142" s="1111"/>
      <c r="F142" s="1111"/>
      <c r="G142" s="4551" t="s">
        <v>4265</v>
      </c>
      <c r="H142" s="1111"/>
      <c r="I142" s="1111"/>
      <c r="J142" s="1111"/>
      <c r="K142" s="1111"/>
      <c r="L142" s="1111"/>
      <c r="M142" s="1111"/>
      <c r="N142" s="1111"/>
      <c r="O142" s="4549"/>
      <c r="P142" s="4549"/>
      <c r="Q142" s="4549"/>
      <c r="R142" s="4549"/>
      <c r="S142" s="4550"/>
      <c r="T142" s="408"/>
      <c r="U142" s="253"/>
      <c r="V142" s="1111"/>
      <c r="W142" s="1111"/>
      <c r="X142" s="4551" t="s">
        <v>4265</v>
      </c>
      <c r="Y142" s="1111"/>
      <c r="Z142" s="1111"/>
      <c r="AA142" s="1111"/>
      <c r="AB142" s="1111"/>
      <c r="AC142" s="1111"/>
      <c r="AD142" s="1111"/>
      <c r="AE142" s="1111"/>
      <c r="AF142" s="253"/>
      <c r="AG142" s="253"/>
      <c r="AH142" s="253"/>
      <c r="AI142" s="253"/>
      <c r="AJ142" s="253"/>
      <c r="AK142" s="2013"/>
      <c r="AL142" s="2013"/>
      <c r="AM142" s="2013"/>
      <c r="AN142" s="253"/>
      <c r="AO142" s="253"/>
      <c r="AP142" s="253"/>
      <c r="AQ142" s="1132" t="str">
        <f>"(see below) in "&amp;TaxYear&amp;" for which you paid (or are treated as having paid) qualified education expenses in "&amp;TaxYear&amp;"."</f>
        <v>(see below) in 2025 for which you paid (or are treated as having paid) qualified education expenses in 2025.</v>
      </c>
      <c r="AR142" s="1133"/>
      <c r="AS142" s="1133"/>
      <c r="AT142" s="1133"/>
      <c r="AU142" s="1133"/>
      <c r="AV142" s="1133"/>
      <c r="AW142" s="1133"/>
      <c r="AX142" s="1133"/>
      <c r="AY142" s="1133"/>
      <c r="AZ142" s="1134"/>
      <c r="BA142"/>
      <c r="BB142"/>
    </row>
    <row r="143" spans="1:54" s="815" customFormat="1" ht="14.25">
      <c r="A143" s="2013"/>
      <c r="B143" s="413"/>
      <c r="C143" s="413"/>
      <c r="D143" s="413"/>
      <c r="E143" s="1996"/>
      <c r="F143" s="413"/>
      <c r="G143" s="413"/>
      <c r="H143" s="413"/>
      <c r="I143" s="413"/>
      <c r="J143" s="413"/>
      <c r="K143" s="413"/>
      <c r="L143" s="413"/>
      <c r="M143" s="413"/>
      <c r="N143" s="413"/>
      <c r="O143" s="413"/>
      <c r="P143" s="413"/>
      <c r="Q143" s="413"/>
      <c r="R143" s="413"/>
      <c r="S143" s="414"/>
      <c r="T143" s="412"/>
      <c r="U143" s="413"/>
      <c r="V143" s="413"/>
      <c r="W143" s="413"/>
      <c r="X143" s="413"/>
      <c r="Y143" s="413"/>
      <c r="Z143" s="413"/>
      <c r="AA143" s="413"/>
      <c r="AB143" s="413"/>
      <c r="AC143" s="413"/>
      <c r="AD143" s="413"/>
      <c r="AE143" s="413"/>
      <c r="AF143" s="413"/>
      <c r="AG143" s="413"/>
      <c r="AH143" s="413"/>
      <c r="AI143" s="413"/>
      <c r="AJ143" s="413"/>
      <c r="AK143" s="2013"/>
      <c r="AL143" s="2013"/>
      <c r="AM143" s="2013"/>
      <c r="AN143" s="253"/>
      <c r="AO143" s="253"/>
      <c r="AP143" s="253"/>
      <c r="AQ143" s="1135"/>
      <c r="AR143" s="946"/>
      <c r="AS143" s="946"/>
      <c r="AT143" s="946"/>
      <c r="AU143" s="946"/>
      <c r="AV143" s="946"/>
      <c r="AW143" s="946"/>
      <c r="AX143" s="946"/>
      <c r="AY143" s="946"/>
      <c r="AZ143" s="1136"/>
      <c r="BA143"/>
      <c r="BB143"/>
    </row>
    <row r="144" spans="1:54" s="815" customFormat="1" ht="15">
      <c r="A144" s="2013"/>
      <c r="B144" s="3827">
        <v>23</v>
      </c>
      <c r="C144" s="253"/>
      <c r="D144" s="253"/>
      <c r="E144" s="511" t="s">
        <v>4266</v>
      </c>
      <c r="F144" s="253"/>
      <c r="G144" s="253"/>
      <c r="H144" s="253"/>
      <c r="I144" s="253"/>
      <c r="J144" s="253"/>
      <c r="K144" s="253"/>
      <c r="L144" s="253"/>
      <c r="M144" s="253"/>
      <c r="N144" s="253"/>
      <c r="O144" s="253"/>
      <c r="P144" s="253"/>
      <c r="Q144" s="253"/>
      <c r="R144" s="253"/>
      <c r="S144" s="253"/>
      <c r="T144" s="253"/>
      <c r="U144" s="253"/>
      <c r="V144" s="253"/>
      <c r="W144" s="253"/>
      <c r="X144" s="253"/>
      <c r="Y144" s="253"/>
      <c r="Z144" s="253"/>
      <c r="AA144" s="253"/>
      <c r="AB144" s="253"/>
      <c r="AC144" s="253"/>
      <c r="AD144" s="253"/>
      <c r="AE144" s="253"/>
      <c r="AF144" s="253"/>
      <c r="AG144" s="253"/>
      <c r="AH144" s="253"/>
      <c r="AI144" s="253"/>
      <c r="AJ144" s="253"/>
      <c r="AK144" s="2013"/>
      <c r="AL144" s="2013"/>
      <c r="AM144" s="2013"/>
      <c r="AN144" s="253"/>
      <c r="AO144" s="253"/>
      <c r="AP144" s="253"/>
      <c r="AQ144" s="4552" t="s">
        <v>4267</v>
      </c>
      <c r="AR144" s="946"/>
      <c r="AS144" s="946"/>
      <c r="AT144" s="946"/>
      <c r="AU144" s="946"/>
      <c r="AV144" s="946"/>
      <c r="AW144" s="946"/>
      <c r="AX144" s="946"/>
      <c r="AY144" s="946"/>
      <c r="AZ144" s="1136"/>
      <c r="BA144"/>
      <c r="BB144"/>
    </row>
    <row r="145" spans="1:54" s="815" customFormat="1" ht="15">
      <c r="A145" s="2013"/>
      <c r="B145" s="253"/>
      <c r="C145" s="253"/>
      <c r="D145" s="253"/>
      <c r="E145" s="1672" t="s">
        <v>4268</v>
      </c>
      <c r="F145" s="253"/>
      <c r="G145" s="253"/>
      <c r="H145" s="253"/>
      <c r="I145" s="253"/>
      <c r="J145" s="253"/>
      <c r="K145" s="253"/>
      <c r="L145" s="253"/>
      <c r="M145" s="253"/>
      <c r="N145" s="253"/>
      <c r="O145" s="253"/>
      <c r="P145" s="253"/>
      <c r="Q145" s="253"/>
      <c r="R145" s="253"/>
      <c r="S145" s="253"/>
      <c r="T145" s="1111"/>
      <c r="U145" s="344" t="s">
        <v>4269</v>
      </c>
      <c r="V145" s="253"/>
      <c r="W145" s="253"/>
      <c r="X145" s="253"/>
      <c r="Y145" s="253"/>
      <c r="Z145" s="253"/>
      <c r="AA145" s="253"/>
      <c r="AB145" s="253"/>
      <c r="AC145" s="1963" t="str">
        <f>IF(T145&lt;&gt;"","","X")</f>
        <v>X</v>
      </c>
      <c r="AD145" s="344" t="s">
        <v>4270</v>
      </c>
      <c r="AE145" s="253"/>
      <c r="AF145" s="253"/>
      <c r="AG145" s="253"/>
      <c r="AH145" s="253"/>
      <c r="AI145" s="253"/>
      <c r="AJ145" s="253"/>
      <c r="AK145" s="2013"/>
      <c r="AL145" s="2013"/>
      <c r="AM145" s="2013"/>
      <c r="AN145" s="253"/>
      <c r="AO145" s="253"/>
      <c r="AP145" s="253"/>
      <c r="AQ145" s="4553" t="str">
        <f>TaxYear&amp;" for the academic period"</f>
        <v>2025 for the academic period</v>
      </c>
      <c r="AR145" s="4536"/>
      <c r="AS145" s="4536"/>
      <c r="AT145" s="4536"/>
      <c r="AU145" s="4536"/>
      <c r="AV145" s="4536"/>
      <c r="AW145" s="4539"/>
      <c r="AX145" s="4539" t="s">
        <v>157</v>
      </c>
      <c r="AY145" s="443"/>
      <c r="AZ145" s="4537"/>
      <c r="BA145"/>
      <c r="BB145"/>
    </row>
    <row r="146" spans="1:54" s="1116" customFormat="1" ht="16.5" customHeight="1">
      <c r="A146" s="2067"/>
      <c r="B146" s="571"/>
      <c r="C146" s="571"/>
      <c r="D146" s="571"/>
      <c r="E146" s="2046"/>
      <c r="F146" s="571"/>
      <c r="G146" s="571"/>
      <c r="H146" s="571"/>
      <c r="I146" s="571"/>
      <c r="J146" s="571"/>
      <c r="K146" s="571"/>
      <c r="L146" s="571"/>
      <c r="M146" s="571"/>
      <c r="N146" s="571"/>
      <c r="O146" s="571"/>
      <c r="P146" s="571"/>
      <c r="Q146" s="571"/>
      <c r="R146" s="571"/>
      <c r="S146" s="571"/>
      <c r="T146" s="571"/>
      <c r="U146" s="571" t="s">
        <v>4271</v>
      </c>
      <c r="V146" s="571"/>
      <c r="W146" s="571"/>
      <c r="X146" s="571"/>
      <c r="Y146" s="571"/>
      <c r="Z146" s="571"/>
      <c r="AA146" s="571"/>
      <c r="AB146" s="571"/>
      <c r="AC146" s="571"/>
      <c r="AD146" s="571"/>
      <c r="AE146" s="571"/>
      <c r="AF146" s="571"/>
      <c r="AG146" s="571"/>
      <c r="AH146" s="571"/>
      <c r="AI146" s="571"/>
      <c r="AJ146" s="571"/>
      <c r="AK146" s="2067"/>
      <c r="AL146" s="2067"/>
      <c r="AM146" s="2067"/>
      <c r="AN146" s="571"/>
      <c r="AO146" s="571"/>
      <c r="AP146" s="571"/>
      <c r="AQ146" s="4554"/>
      <c r="AR146" s="4536"/>
      <c r="AS146" s="4536"/>
      <c r="AT146" s="4536"/>
      <c r="AU146" s="4536"/>
      <c r="AV146" s="4536"/>
      <c r="AW146" s="4539"/>
      <c r="AX146" s="4539"/>
      <c r="AY146" s="4539"/>
      <c r="AZ146" s="4537"/>
      <c r="BA146" s="138"/>
      <c r="BB146" s="138"/>
    </row>
    <row r="147" spans="1:54" s="815" customFormat="1" ht="15">
      <c r="A147" s="2013"/>
      <c r="B147" s="4555">
        <v>24</v>
      </c>
      <c r="C147" s="406"/>
      <c r="D147" s="406"/>
      <c r="E147" s="2354" t="s">
        <v>4272</v>
      </c>
      <c r="F147" s="406"/>
      <c r="G147" s="406"/>
      <c r="H147" s="406"/>
      <c r="I147" s="406"/>
      <c r="J147" s="406"/>
      <c r="K147" s="406"/>
      <c r="L147" s="406"/>
      <c r="M147" s="406"/>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2013"/>
      <c r="AL147" s="2013"/>
      <c r="AM147" s="2013"/>
      <c r="AN147" s="253"/>
      <c r="AO147" s="253"/>
      <c r="AP147" s="253"/>
      <c r="AQ147" s="4552" t="s">
        <v>4273</v>
      </c>
      <c r="AR147" s="1130"/>
      <c r="AS147" s="1130"/>
      <c r="AT147" s="1130"/>
      <c r="AU147" s="1130"/>
      <c r="AV147" s="1130"/>
      <c r="AW147" s="1130"/>
      <c r="AX147" s="1130"/>
      <c r="AY147" s="946"/>
      <c r="AZ147" s="1131"/>
      <c r="BA147"/>
      <c r="BB147"/>
    </row>
    <row r="148" spans="1:54" s="815" customFormat="1" ht="15">
      <c r="A148" s="2013"/>
      <c r="B148" s="3827"/>
      <c r="C148" s="253"/>
      <c r="D148" s="253"/>
      <c r="E148" s="511" t="s">
        <v>4274</v>
      </c>
      <c r="F148" s="253"/>
      <c r="G148" s="253"/>
      <c r="H148" s="253"/>
      <c r="I148" s="253"/>
      <c r="J148" s="253"/>
      <c r="K148" s="253"/>
      <c r="L148" s="253"/>
      <c r="M148" s="253"/>
      <c r="N148" s="253"/>
      <c r="O148" s="253"/>
      <c r="P148" s="253"/>
      <c r="Q148" s="253"/>
      <c r="R148" s="253"/>
      <c r="S148" s="253"/>
      <c r="T148" s="253"/>
      <c r="U148" s="253"/>
      <c r="V148" s="253"/>
      <c r="W148" s="253"/>
      <c r="X148" s="253"/>
      <c r="Y148" s="253"/>
      <c r="Z148" s="253"/>
      <c r="AA148" s="253"/>
      <c r="AB148" s="253"/>
      <c r="AC148" s="253"/>
      <c r="AD148" s="253"/>
      <c r="AE148" s="253"/>
      <c r="AF148" s="253"/>
      <c r="AG148" s="253"/>
      <c r="AH148" s="253"/>
      <c r="AI148" s="253"/>
      <c r="AJ148" s="253"/>
      <c r="AK148" s="2013"/>
      <c r="AL148" s="2013"/>
      <c r="AM148" s="2013"/>
      <c r="AN148" s="253"/>
      <c r="AO148" s="253"/>
      <c r="AP148" s="253"/>
      <c r="AQ148" s="1137" t="s">
        <v>1214</v>
      </c>
      <c r="AR148" s="1138" t="str">
        <f>"Tax-free educational assistance received in "&amp;TaxYear&amp;" allocable to"</f>
        <v>Tax-free educational assistance received in 2025 allocable to</v>
      </c>
      <c r="AS148" s="946"/>
      <c r="AT148" s="946"/>
      <c r="AU148" s="946"/>
      <c r="AV148" s="946"/>
      <c r="AW148" s="946"/>
      <c r="AX148" s="946"/>
      <c r="AY148" s="946"/>
      <c r="AZ148" s="1136"/>
      <c r="BA148"/>
      <c r="BB148"/>
    </row>
    <row r="149" spans="1:54" s="815" customFormat="1" ht="15">
      <c r="A149" s="2013"/>
      <c r="B149" s="3827"/>
      <c r="C149" s="253"/>
      <c r="D149" s="253"/>
      <c r="E149" s="511" t="str">
        <f>"in "&amp;TaxYear&amp;" at an eligible educational institution in a program"</f>
        <v>in 2025 at an eligible educational institution in a program</v>
      </c>
      <c r="F149" s="253"/>
      <c r="G149" s="253"/>
      <c r="H149" s="253"/>
      <c r="I149" s="253"/>
      <c r="J149" s="253"/>
      <c r="K149" s="253"/>
      <c r="L149" s="253"/>
      <c r="M149" s="253"/>
      <c r="N149" s="253"/>
      <c r="O149" s="253"/>
      <c r="P149" s="253"/>
      <c r="Q149" s="253"/>
      <c r="R149" s="253"/>
      <c r="S149" s="253"/>
      <c r="T149" s="253"/>
      <c r="U149" s="253"/>
      <c r="V149" s="253"/>
      <c r="W149" s="253"/>
      <c r="X149" s="253"/>
      <c r="Y149" s="253"/>
      <c r="Z149" s="253"/>
      <c r="AA149" s="253"/>
      <c r="AB149" s="253"/>
      <c r="AC149" s="253"/>
      <c r="AD149" s="253"/>
      <c r="AE149" s="253"/>
      <c r="AF149" s="253"/>
      <c r="AG149" s="253"/>
      <c r="AH149" s="253"/>
      <c r="AI149" s="253"/>
      <c r="AJ149" s="253"/>
      <c r="AK149" s="2013"/>
      <c r="AL149" s="2013"/>
      <c r="AM149" s="2013"/>
      <c r="AN149" s="253"/>
      <c r="AO149" s="253"/>
      <c r="AP149" s="253"/>
      <c r="AQ149" s="1140"/>
      <c r="AR149" s="1138" t="s">
        <v>4275</v>
      </c>
      <c r="AS149" s="1141"/>
      <c r="AT149" s="1141"/>
      <c r="AU149" s="1141"/>
      <c r="AV149" s="1141"/>
      <c r="AW149" s="4539" t="s">
        <v>1186</v>
      </c>
      <c r="AX149" s="443"/>
      <c r="AY149" s="946"/>
      <c r="AZ149" s="1139"/>
      <c r="BA149"/>
      <c r="BB149"/>
    </row>
    <row r="150" spans="1:54" s="815" customFormat="1" ht="15">
      <c r="A150" s="2013"/>
      <c r="B150" s="253"/>
      <c r="C150" s="253"/>
      <c r="D150" s="253"/>
      <c r="E150" s="1672" t="s">
        <v>4276</v>
      </c>
      <c r="F150" s="253"/>
      <c r="G150" s="253"/>
      <c r="H150" s="253"/>
      <c r="I150" s="253"/>
      <c r="J150" s="253"/>
      <c r="K150" s="253"/>
      <c r="L150" s="253"/>
      <c r="M150" s="253"/>
      <c r="N150" s="253"/>
      <c r="O150" s="253"/>
      <c r="P150" s="253"/>
      <c r="Q150" s="253"/>
      <c r="R150" s="253"/>
      <c r="S150" s="253"/>
      <c r="T150" s="1963" t="str">
        <f>IF(AC150&lt;&gt;"","","X")</f>
        <v>X</v>
      </c>
      <c r="U150" s="344" t="s">
        <v>4277</v>
      </c>
      <c r="V150" s="253"/>
      <c r="W150" s="253"/>
      <c r="X150" s="253"/>
      <c r="Y150" s="253"/>
      <c r="Z150" s="253"/>
      <c r="AA150" s="253"/>
      <c r="AB150" s="253"/>
      <c r="AC150" s="1111"/>
      <c r="AD150" s="344" t="s">
        <v>4278</v>
      </c>
      <c r="AE150" s="253"/>
      <c r="AF150" s="253"/>
      <c r="AG150" s="253"/>
      <c r="AH150" s="253"/>
      <c r="AI150" s="253"/>
      <c r="AJ150" s="253"/>
      <c r="AK150" s="2013"/>
      <c r="AL150" s="2013"/>
      <c r="AM150" s="2013"/>
      <c r="AN150" s="253"/>
      <c r="AO150" s="253"/>
      <c r="AP150" s="253"/>
      <c r="AQ150" s="1137" t="s">
        <v>1181</v>
      </c>
      <c r="AR150" s="1138" t="str">
        <f>"Tax-free educational assistance received in "&amp;TaxYear+1&amp;" (and before you"</f>
        <v>Tax-free educational assistance received in 2026 (and before you</v>
      </c>
      <c r="AS150" s="946"/>
      <c r="AT150" s="946"/>
      <c r="AU150" s="946"/>
      <c r="AV150" s="946"/>
      <c r="AW150" s="946"/>
      <c r="AX150" s="946"/>
      <c r="AY150" s="946"/>
      <c r="AZ150" s="1136"/>
      <c r="BA150"/>
      <c r="BB150"/>
    </row>
    <row r="151" spans="1:54" s="815" customFormat="1" ht="14.25">
      <c r="A151" s="2013"/>
      <c r="B151" s="253"/>
      <c r="C151" s="253"/>
      <c r="D151" s="253"/>
      <c r="E151" s="1672" t="s">
        <v>4279</v>
      </c>
      <c r="F151" s="253"/>
      <c r="G151" s="253"/>
      <c r="H151" s="253"/>
      <c r="I151" s="253"/>
      <c r="J151" s="253"/>
      <c r="K151" s="253"/>
      <c r="L151" s="253"/>
      <c r="M151" s="253"/>
      <c r="N151" s="253"/>
      <c r="O151" s="253"/>
      <c r="P151" s="253"/>
      <c r="Q151" s="253"/>
      <c r="R151" s="253"/>
      <c r="S151" s="253"/>
      <c r="T151" s="253"/>
      <c r="U151" s="253"/>
      <c r="V151" s="253"/>
      <c r="W151" s="253"/>
      <c r="X151" s="253"/>
      <c r="Y151" s="253"/>
      <c r="Z151" s="253"/>
      <c r="AA151" s="253"/>
      <c r="AB151" s="253"/>
      <c r="AC151" s="253"/>
      <c r="AD151" s="344" t="s">
        <v>4280</v>
      </c>
      <c r="AE151" s="253"/>
      <c r="AF151" s="253"/>
      <c r="AG151" s="253"/>
      <c r="AH151" s="253"/>
      <c r="AI151" s="253"/>
      <c r="AJ151" s="253"/>
      <c r="AK151" s="2013"/>
      <c r="AL151" s="2013"/>
      <c r="AM151" s="2013"/>
      <c r="AN151" s="253"/>
      <c r="AO151" s="253"/>
      <c r="AP151" s="253"/>
      <c r="AQ151" s="1140"/>
      <c r="AR151" s="1138" t="str">
        <f>"file your "&amp;TaxYear&amp;" tax return) allocable to the academic period"</f>
        <v>file your 2025 tax return) allocable to the academic period</v>
      </c>
      <c r="AS151" s="1141"/>
      <c r="AT151" s="1141"/>
      <c r="AU151" s="1141"/>
      <c r="AV151" s="1141"/>
      <c r="AW151" s="4539" t="s">
        <v>1194</v>
      </c>
      <c r="AX151" s="443"/>
      <c r="AY151" s="946"/>
      <c r="AZ151" s="1139"/>
      <c r="BA151"/>
      <c r="BB151"/>
    </row>
    <row r="152" spans="1:54" s="1116" customFormat="1" ht="16.5" customHeight="1">
      <c r="A152" s="2067"/>
      <c r="B152" s="571"/>
      <c r="C152" s="571"/>
      <c r="D152" s="571"/>
      <c r="E152" s="2046" t="s">
        <v>746</v>
      </c>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2067"/>
      <c r="AL152" s="2067"/>
      <c r="AM152" s="2067"/>
      <c r="AN152" s="571"/>
      <c r="AO152" s="571"/>
      <c r="AP152" s="571"/>
      <c r="AQ152" s="1137" t="s">
        <v>1196</v>
      </c>
      <c r="AR152" s="1138" t="str">
        <f>"Refunds of qualified education expenses paid in "&amp;TaxYear&amp;" if the refund"</f>
        <v>Refunds of qualified education expenses paid in 2025 if the refund</v>
      </c>
      <c r="AS152" s="946"/>
      <c r="AT152" s="946"/>
      <c r="AU152" s="946"/>
      <c r="AV152" s="946"/>
      <c r="AW152" s="946"/>
      <c r="AX152" s="946"/>
      <c r="AY152" s="946"/>
      <c r="AZ152" s="1136"/>
      <c r="BA152" s="138"/>
      <c r="BB152" s="138"/>
    </row>
    <row r="153" spans="1:54" s="815" customFormat="1" ht="15">
      <c r="A153" s="2013"/>
      <c r="B153" s="4555">
        <v>25</v>
      </c>
      <c r="C153" s="406"/>
      <c r="D153" s="406"/>
      <c r="E153" s="2354" t="s">
        <v>4281</v>
      </c>
      <c r="F153" s="406"/>
      <c r="G153" s="406"/>
      <c r="H153" s="406"/>
      <c r="I153" s="406"/>
      <c r="J153" s="406"/>
      <c r="K153" s="406"/>
      <c r="L153" s="406"/>
      <c r="M153" s="406"/>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2013"/>
      <c r="AL153" s="2013"/>
      <c r="AM153" s="2013"/>
      <c r="AN153" s="253"/>
      <c r="AO153" s="253"/>
      <c r="AP153" s="253"/>
      <c r="AQ153" s="1140"/>
      <c r="AR153" s="1138" t="str">
        <f>"is received in "&amp;TaxYear&amp;" or in "&amp;TaxYear+1&amp;" before you file your "&amp;TaxYear&amp;" tax return."</f>
        <v>is received in 2025 or in 2026 before you file your 2025 tax return.</v>
      </c>
      <c r="AS153" s="1141"/>
      <c r="AT153" s="1141"/>
      <c r="AU153" s="1141"/>
      <c r="AV153" s="1141"/>
      <c r="AW153" s="4539" t="s">
        <v>1202</v>
      </c>
      <c r="AX153" s="443"/>
      <c r="AY153" s="946"/>
      <c r="AZ153" s="1139"/>
      <c r="BA153"/>
      <c r="BB153"/>
    </row>
    <row r="154" spans="1:54" s="815" customFormat="1" ht="15">
      <c r="A154" s="2013"/>
      <c r="B154" s="253"/>
      <c r="C154" s="253"/>
      <c r="D154" s="253"/>
      <c r="E154" s="1672" t="str">
        <f>"education before "&amp;TaxYear&amp;"? See instructions."</f>
        <v>education before 2025? See instructions.</v>
      </c>
      <c r="F154" s="253"/>
      <c r="G154" s="253"/>
      <c r="H154" s="253"/>
      <c r="I154" s="253"/>
      <c r="J154" s="253"/>
      <c r="K154" s="253"/>
      <c r="L154" s="253"/>
      <c r="M154" s="253"/>
      <c r="N154" s="253"/>
      <c r="O154" s="253"/>
      <c r="P154" s="253"/>
      <c r="Q154" s="253"/>
      <c r="R154" s="253"/>
      <c r="S154" s="253"/>
      <c r="T154" s="1111"/>
      <c r="U154" s="344" t="s">
        <v>4269</v>
      </c>
      <c r="V154" s="253"/>
      <c r="W154" s="253"/>
      <c r="X154" s="253"/>
      <c r="Y154" s="253"/>
      <c r="Z154" s="253"/>
      <c r="AA154" s="253"/>
      <c r="AB154" s="253"/>
      <c r="AC154" s="1963" t="str">
        <f>IF(T154&lt;&gt;"","","X")</f>
        <v>X</v>
      </c>
      <c r="AD154" s="344" t="s">
        <v>4282</v>
      </c>
      <c r="AE154" s="253"/>
      <c r="AF154" s="253"/>
      <c r="AG154" s="253"/>
      <c r="AH154" s="253"/>
      <c r="AI154" s="253"/>
      <c r="AJ154" s="253"/>
      <c r="AK154" s="2013"/>
      <c r="AL154" s="2013"/>
      <c r="AM154" s="2013"/>
      <c r="AN154" s="253"/>
      <c r="AO154" s="253"/>
      <c r="AP154" s="253"/>
      <c r="AQ154" s="1140"/>
      <c r="AR154" s="1138"/>
      <c r="AS154" s="1141"/>
      <c r="AT154" s="1141"/>
      <c r="AU154" s="1141"/>
      <c r="AV154" s="1141"/>
      <c r="AW154" s="1141"/>
      <c r="AX154" s="1141"/>
      <c r="AY154" s="946"/>
      <c r="AZ154" s="1139"/>
      <c r="BA154"/>
      <c r="BB154"/>
    </row>
    <row r="155" spans="1:54" s="1116" customFormat="1" ht="16.5" customHeight="1">
      <c r="A155" s="2067"/>
      <c r="B155" s="571"/>
      <c r="C155" s="571"/>
      <c r="D155" s="571"/>
      <c r="E155" s="2046"/>
      <c r="F155" s="571"/>
      <c r="G155" s="571"/>
      <c r="H155" s="571"/>
      <c r="I155" s="571"/>
      <c r="J155" s="571"/>
      <c r="K155" s="571"/>
      <c r="L155" s="571"/>
      <c r="M155" s="571"/>
      <c r="N155" s="571"/>
      <c r="O155" s="571"/>
      <c r="P155" s="571"/>
      <c r="Q155" s="571"/>
      <c r="R155" s="571"/>
      <c r="S155" s="571"/>
      <c r="T155" s="571"/>
      <c r="U155" s="571" t="s">
        <v>4271</v>
      </c>
      <c r="V155" s="571"/>
      <c r="W155" s="571"/>
      <c r="X155" s="571"/>
      <c r="Y155" s="571"/>
      <c r="Z155" s="571"/>
      <c r="AA155" s="571"/>
      <c r="AB155" s="571"/>
      <c r="AC155" s="571"/>
      <c r="AD155" s="571"/>
      <c r="AE155" s="571"/>
      <c r="AF155" s="571"/>
      <c r="AG155" s="571"/>
      <c r="AH155" s="571"/>
      <c r="AI155" s="571"/>
      <c r="AJ155" s="571"/>
      <c r="AK155" s="2067"/>
      <c r="AL155" s="2067"/>
      <c r="AM155" s="2067"/>
      <c r="AN155" s="571"/>
      <c r="AO155" s="571"/>
      <c r="AP155" s="571"/>
      <c r="AQ155" s="4552" t="s">
        <v>4283</v>
      </c>
      <c r="AR155" s="4536"/>
      <c r="AS155" s="4536"/>
      <c r="AT155" s="4536"/>
      <c r="AU155" s="4536"/>
      <c r="AV155" s="4536"/>
      <c r="AW155" s="4539"/>
      <c r="AX155" s="4539" t="s">
        <v>167</v>
      </c>
      <c r="AY155" s="2499">
        <f>SUM(AX149,AX151,AX153)</f>
        <v>0</v>
      </c>
      <c r="AZ155" s="4537"/>
      <c r="BA155" s="138"/>
      <c r="BB155" s="138"/>
    </row>
    <row r="156" spans="1:54" s="815" customFormat="1" ht="15">
      <c r="A156" s="2013"/>
      <c r="B156" s="4555">
        <v>26</v>
      </c>
      <c r="C156" s="406"/>
      <c r="D156" s="406"/>
      <c r="E156" s="2354" t="str">
        <f>"Was the student convicted, before the end of "&amp;TaxYear&amp;", of a"</f>
        <v>Was the student convicted, before the end of 2025, of a</v>
      </c>
      <c r="F156" s="406"/>
      <c r="G156" s="406"/>
      <c r="H156" s="406"/>
      <c r="I156" s="406"/>
      <c r="J156" s="406"/>
      <c r="K156" s="406"/>
      <c r="L156" s="406"/>
      <c r="M156" s="406"/>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2013"/>
      <c r="AL156" s="2013"/>
      <c r="AM156" s="2013"/>
      <c r="AN156" s="253"/>
      <c r="AO156" s="253"/>
      <c r="AP156" s="253"/>
      <c r="AQ156" s="1140"/>
      <c r="AR156" s="1138"/>
      <c r="AS156" s="1141"/>
      <c r="AT156" s="1141"/>
      <c r="AU156" s="1141"/>
      <c r="AV156" s="1141"/>
      <c r="AW156" s="1141"/>
      <c r="AX156" s="1141"/>
      <c r="AY156" s="946"/>
      <c r="AZ156" s="1139"/>
      <c r="BA156"/>
      <c r="BB156"/>
    </row>
    <row r="157" spans="1:54" s="815" customFormat="1" ht="15">
      <c r="A157" s="2013"/>
      <c r="B157" s="253"/>
      <c r="C157" s="253"/>
      <c r="D157" s="253"/>
      <c r="E157" s="1672" t="s">
        <v>4284</v>
      </c>
      <c r="F157" s="253"/>
      <c r="G157" s="253"/>
      <c r="H157" s="253"/>
      <c r="I157" s="253"/>
      <c r="J157" s="253"/>
      <c r="K157" s="253"/>
      <c r="L157" s="253"/>
      <c r="M157" s="253"/>
      <c r="N157" s="253"/>
      <c r="O157" s="253"/>
      <c r="P157" s="253"/>
      <c r="Q157" s="253"/>
      <c r="R157" s="253"/>
      <c r="S157" s="253"/>
      <c r="T157" s="1111"/>
      <c r="U157" s="344" t="s">
        <v>4269</v>
      </c>
      <c r="V157" s="253"/>
      <c r="W157" s="253"/>
      <c r="X157" s="253"/>
      <c r="Y157" s="253"/>
      <c r="Z157" s="253"/>
      <c r="AA157" s="253"/>
      <c r="AB157" s="253"/>
      <c r="AC157" s="1963" t="str">
        <f>IF(T157&lt;&gt;"","","X")</f>
        <v>X</v>
      </c>
      <c r="AD157" s="344" t="s">
        <v>4285</v>
      </c>
      <c r="AE157" s="253"/>
      <c r="AF157" s="253"/>
      <c r="AG157" s="253"/>
      <c r="AH157" s="253"/>
      <c r="AI157" s="253"/>
      <c r="AJ157" s="253"/>
      <c r="AK157" s="2013"/>
      <c r="AL157" s="2013"/>
      <c r="AM157" s="2013"/>
      <c r="AN157" s="253"/>
      <c r="AO157" s="226" t="s">
        <v>979</v>
      </c>
      <c r="AP157" s="253"/>
      <c r="AQ157" s="4552" t="s">
        <v>4299</v>
      </c>
      <c r="AR157" s="1138"/>
      <c r="AS157" s="1141"/>
      <c r="AT157" s="1141"/>
      <c r="AU157" s="1141"/>
      <c r="AV157" s="1141"/>
      <c r="AW157" s="1141"/>
      <c r="AX157" s="1141"/>
      <c r="AY157" s="946"/>
      <c r="AZ157" s="1139"/>
      <c r="BA157"/>
      <c r="BB157"/>
    </row>
    <row r="158" spans="1:54" s="1116" customFormat="1" ht="16.5" customHeight="1">
      <c r="A158" s="2067"/>
      <c r="B158" s="2068"/>
      <c r="C158" s="2068"/>
      <c r="D158" s="2068"/>
      <c r="E158" s="4556" t="s">
        <v>4287</v>
      </c>
      <c r="F158" s="2068"/>
      <c r="G158" s="2068"/>
      <c r="H158" s="2068"/>
      <c r="I158" s="2068"/>
      <c r="J158" s="2068"/>
      <c r="K158" s="2068"/>
      <c r="L158" s="2068"/>
      <c r="M158" s="2068"/>
      <c r="N158" s="2068"/>
      <c r="O158" s="2068"/>
      <c r="P158" s="2068"/>
      <c r="Q158" s="2068"/>
      <c r="R158" s="2068"/>
      <c r="S158" s="2068"/>
      <c r="T158" s="2068"/>
      <c r="U158" s="2068" t="s">
        <v>4271</v>
      </c>
      <c r="V158" s="2068"/>
      <c r="W158" s="2068"/>
      <c r="X158" s="2068"/>
      <c r="Y158" s="2068"/>
      <c r="Z158" s="2068"/>
      <c r="AA158" s="2068"/>
      <c r="AB158" s="2068"/>
      <c r="AC158" s="2068"/>
      <c r="AD158" s="4162" t="s">
        <v>4288</v>
      </c>
      <c r="AE158" s="2068"/>
      <c r="AF158" s="2068"/>
      <c r="AG158" s="2068"/>
      <c r="AH158" s="2068"/>
      <c r="AI158" s="2068"/>
      <c r="AJ158" s="2068"/>
      <c r="AK158" s="2067"/>
      <c r="AL158" s="2067"/>
      <c r="AM158" s="2067"/>
      <c r="AN158" s="571"/>
      <c r="AO158" s="226" t="s">
        <v>931</v>
      </c>
      <c r="AP158" s="571"/>
      <c r="AQ158" s="4554" t="s">
        <v>4289</v>
      </c>
      <c r="AR158" s="4536"/>
      <c r="AS158" s="4536"/>
      <c r="AT158" s="4557" t="s">
        <v>4290</v>
      </c>
      <c r="AU158" s="4536"/>
      <c r="AV158" s="4536"/>
      <c r="AW158" s="4539"/>
      <c r="AX158" s="4539" t="s">
        <v>171</v>
      </c>
      <c r="AY158" s="2499" t="str">
        <f>IF(AY145="","",MAX(0,SUM(AY145,-AY155)))</f>
        <v/>
      </c>
      <c r="AZ158" s="4537"/>
      <c r="BA158" s="138"/>
      <c r="BB158" s="138"/>
    </row>
    <row r="159" spans="1:54" s="815" customFormat="1" ht="9.75" customHeight="1" thickBot="1">
      <c r="A159" s="2013"/>
      <c r="B159" s="4558"/>
      <c r="C159" s="4558"/>
      <c r="D159" s="4558"/>
      <c r="E159" s="4558"/>
      <c r="F159" s="4558"/>
      <c r="G159" s="4558"/>
      <c r="H159" s="4558"/>
      <c r="I159" s="4558"/>
      <c r="J159" s="4558"/>
      <c r="K159" s="4558"/>
      <c r="L159" s="4558"/>
      <c r="M159" s="4558"/>
      <c r="N159" s="4558"/>
      <c r="O159" s="4558"/>
      <c r="P159" s="4558"/>
      <c r="Q159" s="4558"/>
      <c r="R159" s="4558"/>
      <c r="S159" s="4558"/>
      <c r="T159" s="4558"/>
      <c r="U159" s="4558"/>
      <c r="V159" s="4558"/>
      <c r="W159" s="4558"/>
      <c r="X159" s="4558"/>
      <c r="Y159" s="4558"/>
      <c r="Z159" s="4558"/>
      <c r="AA159" s="4558"/>
      <c r="AB159" s="4558"/>
      <c r="AC159" s="4558"/>
      <c r="AD159" s="4558"/>
      <c r="AE159" s="4558"/>
      <c r="AF159" s="4558"/>
      <c r="AG159" s="4558"/>
      <c r="AH159" s="4558"/>
      <c r="AI159" s="4558"/>
      <c r="AJ159" s="4558"/>
      <c r="AK159" s="2013"/>
      <c r="AL159" s="2013"/>
      <c r="AM159" s="2013"/>
      <c r="AN159" s="253"/>
      <c r="AO159" s="253"/>
      <c r="AP159" s="253"/>
      <c r="AQ159" s="1142"/>
      <c r="AR159" s="1143"/>
      <c r="AS159" s="1144"/>
      <c r="AT159" s="1144"/>
      <c r="AU159" s="1144"/>
      <c r="AV159" s="1144"/>
      <c r="AW159" s="1144"/>
      <c r="AX159" s="1144"/>
      <c r="AY159" s="1144"/>
      <c r="AZ159" s="1145"/>
      <c r="BA159"/>
      <c r="BB159"/>
    </row>
    <row r="160" spans="1:54" s="1115" customFormat="1" ht="14.25" customHeight="1">
      <c r="A160" s="2290"/>
      <c r="B160" s="342" t="s">
        <v>5578</v>
      </c>
      <c r="C160" s="2319"/>
      <c r="D160" s="2319"/>
      <c r="E160" s="1117" t="s">
        <v>4301</v>
      </c>
      <c r="F160" s="2319"/>
      <c r="G160" s="2319"/>
      <c r="H160" s="2319"/>
      <c r="I160" s="2319"/>
      <c r="J160" s="2319"/>
      <c r="K160" s="2319"/>
      <c r="L160" s="2319"/>
      <c r="M160" s="2319"/>
      <c r="N160" s="2319"/>
      <c r="O160" s="2319"/>
      <c r="P160" s="2319"/>
      <c r="Q160" s="2319"/>
      <c r="R160" s="2319"/>
      <c r="S160" s="2319"/>
      <c r="T160" s="2319"/>
      <c r="U160" s="2319"/>
      <c r="V160" s="2319"/>
      <c r="W160" s="2319"/>
      <c r="X160" s="2319"/>
      <c r="Y160" s="2319"/>
      <c r="Z160" s="2319"/>
      <c r="AA160" s="2319"/>
      <c r="AB160" s="2319"/>
      <c r="AC160" s="2319"/>
      <c r="AD160" s="2319"/>
      <c r="AE160" s="2319"/>
      <c r="AF160" s="2319"/>
      <c r="AG160" s="2319"/>
      <c r="AH160" s="2319"/>
      <c r="AI160" s="2319"/>
      <c r="AJ160" s="2319"/>
      <c r="AK160" s="2290"/>
      <c r="AL160" s="2290"/>
      <c r="AM160" s="2290"/>
      <c r="AN160" s="4520"/>
      <c r="AO160" s="2158" t="b">
        <f>OR(AND(AH163,AO171&lt;&gt;""),AND(NOT(AH163),AO168&lt;&gt;""))</f>
        <v>0</v>
      </c>
      <c r="AP160" s="4521"/>
      <c r="AQ160" s="658"/>
      <c r="AR160" s="664"/>
      <c r="AS160" s="658"/>
      <c r="AT160" s="658"/>
      <c r="AU160" s="658"/>
      <c r="AV160" s="658"/>
      <c r="AW160" s="658"/>
      <c r="AX160" s="658"/>
      <c r="AY160" s="658"/>
      <c r="AZ160" s="658"/>
      <c r="BA160" s="2293"/>
      <c r="BB160" s="2293"/>
    </row>
    <row r="161" spans="1:54" s="1115" customFormat="1" ht="16.5" customHeight="1">
      <c r="A161" s="2290"/>
      <c r="B161" s="2319"/>
      <c r="C161" s="2319"/>
      <c r="D161" s="2319"/>
      <c r="E161" s="1118" t="s">
        <v>4291</v>
      </c>
      <c r="F161" s="2319"/>
      <c r="G161" s="2319"/>
      <c r="H161" s="2319"/>
      <c r="I161" s="2319"/>
      <c r="J161" s="2319"/>
      <c r="K161" s="2319"/>
      <c r="L161" s="2319"/>
      <c r="M161" s="2319"/>
      <c r="N161" s="2319"/>
      <c r="O161" s="2319"/>
      <c r="P161" s="2319"/>
      <c r="Q161" s="2319"/>
      <c r="R161" s="2319"/>
      <c r="S161" s="2319"/>
      <c r="T161" s="2319"/>
      <c r="U161" s="2319"/>
      <c r="V161" s="2319"/>
      <c r="W161" s="2319"/>
      <c r="X161" s="2319"/>
      <c r="Y161" s="2319"/>
      <c r="Z161" s="2319"/>
      <c r="AA161" s="2319"/>
      <c r="AB161" s="2319"/>
      <c r="AC161" s="2319"/>
      <c r="AD161" s="2319"/>
      <c r="AE161" s="2319"/>
      <c r="AF161" s="2319"/>
      <c r="AG161" s="2319"/>
      <c r="AH161" s="2319"/>
      <c r="AI161" s="2319"/>
      <c r="AJ161" s="2319"/>
      <c r="AK161" s="2290"/>
      <c r="AL161" s="2290"/>
      <c r="AM161" s="2290"/>
      <c r="AN161" s="4520"/>
      <c r="AO161" s="2158" t="b">
        <f>OR(AND(AH163,AO171&lt;&gt;""),AND(NOT(AH163),AO168&lt;&gt;""))</f>
        <v>0</v>
      </c>
      <c r="AP161" s="4521"/>
      <c r="AQ161" s="658"/>
      <c r="AR161" s="664"/>
      <c r="AS161" s="658"/>
      <c r="AT161" s="658"/>
      <c r="AU161" s="658"/>
      <c r="AV161" s="658"/>
      <c r="AW161" s="658"/>
      <c r="AX161" s="658"/>
      <c r="AY161" s="658"/>
      <c r="AZ161" s="658"/>
      <c r="BA161" s="2293"/>
      <c r="BB161" s="2293"/>
    </row>
    <row r="162" spans="1:54" s="815" customFormat="1" ht="6" customHeight="1">
      <c r="A162" s="2013"/>
      <c r="B162" s="4559"/>
      <c r="C162" s="4559"/>
      <c r="D162" s="4559"/>
      <c r="E162" s="4559"/>
      <c r="F162" s="4559"/>
      <c r="G162" s="4559"/>
      <c r="H162" s="4559"/>
      <c r="I162" s="4559"/>
      <c r="J162" s="4559"/>
      <c r="K162" s="4559"/>
      <c r="L162" s="4559"/>
      <c r="M162" s="4559"/>
      <c r="N162" s="4559"/>
      <c r="O162" s="4559"/>
      <c r="P162" s="4559"/>
      <c r="Q162" s="4559"/>
      <c r="R162" s="4559"/>
      <c r="S162" s="4559"/>
      <c r="T162" s="4559"/>
      <c r="U162" s="4559"/>
      <c r="V162" s="4559"/>
      <c r="W162" s="4559"/>
      <c r="X162" s="4559"/>
      <c r="Y162" s="4559"/>
      <c r="Z162" s="4559"/>
      <c r="AA162" s="4559"/>
      <c r="AB162" s="4559"/>
      <c r="AC162" s="4559"/>
      <c r="AD162" s="4559"/>
      <c r="AE162" s="4559"/>
      <c r="AF162" s="4559"/>
      <c r="AG162" s="4559"/>
      <c r="AH162" s="4559"/>
      <c r="AI162" s="4559"/>
      <c r="AJ162" s="4559"/>
      <c r="AK162" s="2013"/>
      <c r="AL162" s="2013"/>
      <c r="AM162" s="2013"/>
      <c r="AN162" s="253"/>
      <c r="AO162" s="253"/>
      <c r="AP162" s="253"/>
      <c r="AQ162" s="658"/>
      <c r="AR162" s="658"/>
      <c r="AS162" s="658"/>
      <c r="AT162" s="658"/>
      <c r="AU162" s="658"/>
      <c r="AV162" s="658"/>
      <c r="AW162" s="658"/>
      <c r="AX162" s="658"/>
      <c r="AY162" s="658"/>
      <c r="AZ162" s="658"/>
      <c r="BA162"/>
      <c r="BB162"/>
    </row>
    <row r="163" spans="1:54" s="815" customFormat="1" ht="16.5" customHeight="1" thickBot="1">
      <c r="A163" s="2013"/>
      <c r="B163" s="3844"/>
      <c r="C163" s="4560" t="s">
        <v>4202</v>
      </c>
      <c r="D163" s="413"/>
      <c r="E163" s="413"/>
      <c r="F163" s="413"/>
      <c r="G163" s="413"/>
      <c r="H163" s="413"/>
      <c r="I163" s="413"/>
      <c r="J163" s="413"/>
      <c r="K163" s="413"/>
      <c r="L163" s="413"/>
      <c r="M163" s="413"/>
      <c r="N163" s="413"/>
      <c r="O163" s="413"/>
      <c r="P163" s="413"/>
      <c r="Q163" s="413"/>
      <c r="R163" s="413"/>
      <c r="S163" s="413"/>
      <c r="T163" s="413"/>
      <c r="U163" s="413"/>
      <c r="V163" s="413"/>
      <c r="W163" s="413"/>
      <c r="X163" s="413"/>
      <c r="Y163" s="413"/>
      <c r="Z163" s="413"/>
      <c r="AA163" s="413"/>
      <c r="AB163" s="11124" t="b">
        <f>AND(AE164&lt;&gt;"",AE164&gt;AO165)</f>
        <v>0</v>
      </c>
      <c r="AC163" s="11124"/>
      <c r="AD163" s="413"/>
      <c r="AE163" s="413"/>
      <c r="AF163" s="413"/>
      <c r="AG163" s="413"/>
      <c r="AH163" s="11124" t="b">
        <f>AND(T145="",AC150="",T154="",T157="")</f>
        <v>1</v>
      </c>
      <c r="AI163" s="11124"/>
      <c r="AJ163" s="11124"/>
      <c r="AK163" s="2013"/>
      <c r="AL163" s="2013"/>
      <c r="AM163" s="2013"/>
      <c r="AN163" s="253"/>
      <c r="AO163" s="253"/>
      <c r="AP163" s="253"/>
      <c r="AQ163" s="658"/>
      <c r="AR163" s="658"/>
      <c r="AS163" s="658"/>
      <c r="AT163" s="658"/>
      <c r="AU163" s="658"/>
      <c r="AV163" s="658"/>
      <c r="AW163" s="658"/>
      <c r="AX163" s="658"/>
      <c r="AY163" s="658"/>
      <c r="AZ163" s="658"/>
      <c r="BA163"/>
      <c r="BB163"/>
    </row>
    <row r="164" spans="1:54" s="815" customFormat="1" ht="16.5" customHeight="1" thickBot="1">
      <c r="A164" s="2013"/>
      <c r="B164" s="4555">
        <v>27</v>
      </c>
      <c r="C164" s="253"/>
      <c r="D164" s="511" t="s">
        <v>4293</v>
      </c>
      <c r="E164" s="511"/>
      <c r="F164" s="253"/>
      <c r="G164" s="253"/>
      <c r="H164" s="253"/>
      <c r="I164" s="253"/>
      <c r="J164" s="253"/>
      <c r="K164" s="253"/>
      <c r="L164" s="253"/>
      <c r="M164" s="253"/>
      <c r="N164" s="253"/>
      <c r="O164" s="253"/>
      <c r="P164" s="253"/>
      <c r="Q164" s="253"/>
      <c r="R164" s="4561" t="str">
        <f>"Don't enter more than "&amp;TEXT(AO165,"$0,000")&amp;"."</f>
        <v>Don't enter more than $4,000.</v>
      </c>
      <c r="S164" s="253"/>
      <c r="T164" s="253"/>
      <c r="U164" s="253"/>
      <c r="V164" s="253"/>
      <c r="W164" s="253"/>
      <c r="X164" s="253"/>
      <c r="Y164" s="253"/>
      <c r="Z164" s="4562"/>
      <c r="AA164" s="4562"/>
      <c r="AB164" s="4229"/>
      <c r="AC164" s="4563"/>
      <c r="AD164" s="2918">
        <v>27</v>
      </c>
      <c r="AE164" s="10758" t="str">
        <f>IF(AO164&lt;&gt;"",ROUND(AO164,0),IF(OR(NOT(AH163),AY158=""),"",MIN(AO165,AY158)))</f>
        <v/>
      </c>
      <c r="AF164" s="11125"/>
      <c r="AG164" s="11125"/>
      <c r="AH164" s="11125"/>
      <c r="AI164" s="11125"/>
      <c r="AJ164" s="11125"/>
      <c r="AK164" s="2013"/>
      <c r="AL164" s="2013"/>
      <c r="AM164" s="2013"/>
      <c r="AN164" s="253"/>
      <c r="AO164" s="1113"/>
      <c r="AP164" s="253"/>
      <c r="AQ164" s="658"/>
      <c r="AR164" s="658"/>
      <c r="AS164" s="658"/>
      <c r="AT164" s="658"/>
      <c r="AU164" s="658"/>
      <c r="AV164" s="658"/>
      <c r="AW164" s="658"/>
      <c r="AX164" s="658"/>
      <c r="AY164" s="658"/>
      <c r="AZ164" s="658"/>
      <c r="BA164"/>
      <c r="BB164"/>
    </row>
    <row r="165" spans="1:54" s="815" customFormat="1" ht="17.25" customHeight="1">
      <c r="A165" s="2013"/>
      <c r="B165" s="3827">
        <v>28</v>
      </c>
      <c r="C165" s="253"/>
      <c r="D165" s="511" t="str">
        <f>"Subtract "&amp;TEXT(AO166,"$0,000")&amp;" from line 27. If zero or less, enter -0-"</f>
        <v>Subtract $2,000 from line 27. If zero or less, enter -0-</v>
      </c>
      <c r="E165" s="253"/>
      <c r="F165" s="253"/>
      <c r="G165" s="253"/>
      <c r="H165" s="253"/>
      <c r="I165" s="253"/>
      <c r="J165" s="253"/>
      <c r="K165" s="253"/>
      <c r="L165" s="253"/>
      <c r="M165" s="253"/>
      <c r="N165" s="253"/>
      <c r="O165" s="253"/>
      <c r="P165" s="253"/>
      <c r="Q165" s="253"/>
      <c r="R165" s="253"/>
      <c r="S165" s="253"/>
      <c r="T165" s="253"/>
      <c r="U165" s="253"/>
      <c r="V165" s="253"/>
      <c r="W165" s="253"/>
      <c r="X165" s="253"/>
      <c r="Y165" s="253"/>
      <c r="Z165" s="3830"/>
      <c r="AA165" s="3830"/>
      <c r="AB165" s="253"/>
      <c r="AC165" s="1401" t="s">
        <v>4294</v>
      </c>
      <c r="AD165" s="2918">
        <v>28</v>
      </c>
      <c r="AE165" s="10758" t="str">
        <f>IF(OR(NOT(AH163),AY158=""),"",MAX(0,SUM(AE164,-AO166)))</f>
        <v/>
      </c>
      <c r="AF165" s="11125"/>
      <c r="AG165" s="11125"/>
      <c r="AH165" s="11125"/>
      <c r="AI165" s="11125"/>
      <c r="AJ165" s="11125"/>
      <c r="AK165" s="2013"/>
      <c r="AL165" s="2013"/>
      <c r="AM165" s="2013"/>
      <c r="AN165" s="253"/>
      <c r="AO165" s="512">
        <v>4000</v>
      </c>
      <c r="AP165" s="253"/>
      <c r="AQ165" s="658"/>
      <c r="AR165" s="658"/>
      <c r="AS165" s="658"/>
      <c r="AT165" s="658"/>
      <c r="AU165" s="658"/>
      <c r="AV165" s="658"/>
      <c r="AW165" s="658"/>
      <c r="AX165" s="658"/>
      <c r="AY165" s="658"/>
      <c r="AZ165" s="658"/>
      <c r="BA165"/>
      <c r="BB165"/>
    </row>
    <row r="166" spans="1:54" s="815" customFormat="1" ht="17.25" customHeight="1">
      <c r="A166" s="2013"/>
      <c r="B166" s="3827">
        <v>29</v>
      </c>
      <c r="C166" s="253"/>
      <c r="D166" s="511" t="str">
        <f>"Multiply line 28 by "&amp;TEXT(AB167,"0%")&amp;" ("&amp;TEXT(AB167,"0.00")&amp;")"</f>
        <v>Multiply line 28 by 25% (0.25)</v>
      </c>
      <c r="E166" s="511"/>
      <c r="F166" s="511"/>
      <c r="G166" s="253"/>
      <c r="H166" s="253"/>
      <c r="I166" s="253"/>
      <c r="J166" s="253"/>
      <c r="K166" s="253"/>
      <c r="L166" s="349"/>
      <c r="M166" s="349"/>
      <c r="N166" s="349"/>
      <c r="O166" s="349"/>
      <c r="P166" s="349"/>
      <c r="Q166" s="349"/>
      <c r="R166" s="349"/>
      <c r="S166" s="349"/>
      <c r="T166" s="349"/>
      <c r="U166" s="349"/>
      <c r="V166" s="349"/>
      <c r="W166" s="349"/>
      <c r="X166" s="349"/>
      <c r="Y166" s="349"/>
      <c r="Z166" s="349"/>
      <c r="AA166" s="349"/>
      <c r="AB166" s="349"/>
      <c r="AC166" s="1401" t="s">
        <v>4295</v>
      </c>
      <c r="AD166" s="2918">
        <v>29</v>
      </c>
      <c r="AE166" s="10758" t="str">
        <f>IF(OR(NOT(AH163),AY158=""),"",ROUND(AE165*AB167,0))</f>
        <v/>
      </c>
      <c r="AF166" s="11125"/>
      <c r="AG166" s="11125"/>
      <c r="AH166" s="11125"/>
      <c r="AI166" s="11125"/>
      <c r="AJ166" s="11125"/>
      <c r="AK166" s="2013"/>
      <c r="AL166" s="2013"/>
      <c r="AM166" s="2013"/>
      <c r="AN166" s="253"/>
      <c r="AO166" s="512">
        <v>2000</v>
      </c>
      <c r="AP166" s="253"/>
      <c r="AQ166" s="658"/>
      <c r="AR166" s="658"/>
      <c r="AS166" s="658"/>
      <c r="AT166" s="658"/>
      <c r="AU166" s="658"/>
      <c r="AV166" s="658"/>
      <c r="AW166" s="658"/>
      <c r="AX166" s="658"/>
      <c r="AY166" s="658"/>
      <c r="AZ166" s="658"/>
      <c r="BA166"/>
      <c r="BB166"/>
    </row>
    <row r="167" spans="1:54" s="815" customFormat="1" ht="15.75" customHeight="1" thickBot="1">
      <c r="A167" s="2013"/>
      <c r="B167" s="3827">
        <v>30</v>
      </c>
      <c r="C167" s="253"/>
      <c r="D167" s="511" t="s">
        <v>4296</v>
      </c>
      <c r="E167" s="511"/>
      <c r="F167" s="511"/>
      <c r="G167" s="253"/>
      <c r="H167" s="253"/>
      <c r="I167" s="253"/>
      <c r="J167" s="253"/>
      <c r="K167" s="253"/>
      <c r="L167" s="253"/>
      <c r="M167" s="253"/>
      <c r="N167" s="253"/>
      <c r="O167" s="253"/>
      <c r="P167" s="253"/>
      <c r="Q167" s="253"/>
      <c r="R167" s="253"/>
      <c r="S167" s="253"/>
      <c r="T167" s="253"/>
      <c r="U167" s="253"/>
      <c r="V167" s="253"/>
      <c r="W167" s="253"/>
      <c r="X167" s="253"/>
      <c r="Y167" s="253"/>
      <c r="Z167" s="253"/>
      <c r="AA167" s="253"/>
      <c r="AB167" s="8824">
        <v>0.25</v>
      </c>
      <c r="AC167" s="10850"/>
      <c r="AD167" s="2890"/>
      <c r="AE167" s="253"/>
      <c r="AF167" s="253"/>
      <c r="AG167" s="253"/>
      <c r="AH167" s="253"/>
      <c r="AI167" s="253"/>
      <c r="AJ167" s="253"/>
      <c r="AK167" s="2013"/>
      <c r="AL167" s="2013"/>
      <c r="AM167" s="2013"/>
      <c r="AN167" s="253"/>
      <c r="AO167" s="253"/>
      <c r="AP167" s="253"/>
      <c r="AQ167" s="658"/>
      <c r="AR167" s="658"/>
      <c r="AS167" s="658"/>
      <c r="AT167" s="658"/>
      <c r="AU167" s="658"/>
      <c r="AV167" s="658"/>
      <c r="AW167" s="658"/>
      <c r="AX167" s="658"/>
      <c r="AY167" s="658"/>
      <c r="AZ167" s="658"/>
      <c r="BA167"/>
      <c r="BB167"/>
    </row>
    <row r="168" spans="1:54" s="815" customFormat="1" ht="15.75" thickBot="1">
      <c r="A168" s="2013"/>
      <c r="B168" s="253"/>
      <c r="C168" s="253"/>
      <c r="D168" s="511" t="s">
        <v>4297</v>
      </c>
      <c r="E168" s="511"/>
      <c r="F168" s="511"/>
      <c r="G168" s="253"/>
      <c r="H168" s="253"/>
      <c r="I168" s="253"/>
      <c r="J168" s="253"/>
      <c r="K168" s="253"/>
      <c r="L168" s="253"/>
      <c r="M168" s="253"/>
      <c r="N168" s="253"/>
      <c r="O168" s="253"/>
      <c r="P168" s="253"/>
      <c r="Q168" s="253"/>
      <c r="R168" s="253"/>
      <c r="S168" s="253"/>
      <c r="T168" s="253"/>
      <c r="U168" s="253"/>
      <c r="V168" s="253"/>
      <c r="W168" s="253"/>
      <c r="X168" s="253"/>
      <c r="Y168" s="253"/>
      <c r="Z168" s="253"/>
      <c r="AA168" s="253"/>
      <c r="AB168" s="253"/>
      <c r="AC168" s="1401" t="s">
        <v>636</v>
      </c>
      <c r="AD168" s="2922">
        <v>30</v>
      </c>
      <c r="AE168" s="11121" t="str">
        <f>IF(AO168&lt;&gt;"",ROUND(AO168,0),IF(OR(NOT(AH163),AE164=0,AE164="",AY158=""),"",IF(OR(AE165=0,AE165=""),AE164,SUM(AE166,AO166))))</f>
        <v/>
      </c>
      <c r="AF168" s="11122"/>
      <c r="AG168" s="11122"/>
      <c r="AH168" s="11122"/>
      <c r="AI168" s="11122"/>
      <c r="AJ168" s="11122"/>
      <c r="AK168" s="2013"/>
      <c r="AL168" s="2013"/>
      <c r="AM168" s="2013"/>
      <c r="AN168" s="253"/>
      <c r="AO168" s="1113"/>
      <c r="AP168" s="253"/>
      <c r="AQ168" s="658"/>
      <c r="AR168" s="658"/>
      <c r="AS168" s="658"/>
      <c r="AT168" s="658"/>
      <c r="AU168" s="658"/>
      <c r="AV168" s="658"/>
      <c r="AW168" s="658"/>
      <c r="AX168" s="658"/>
      <c r="AY168" s="658"/>
      <c r="AZ168" s="658"/>
      <c r="BA168"/>
      <c r="BB168"/>
    </row>
    <row r="169" spans="1:54" s="815" customFormat="1" ht="16.5" customHeight="1">
      <c r="A169" s="2013"/>
      <c r="B169" s="3844"/>
      <c r="C169" s="4560" t="s">
        <v>4229</v>
      </c>
      <c r="D169" s="773"/>
      <c r="E169" s="773"/>
      <c r="F169" s="773"/>
      <c r="G169" s="773"/>
      <c r="H169" s="773"/>
      <c r="I169" s="773"/>
      <c r="J169" s="773"/>
      <c r="K169" s="773"/>
      <c r="L169" s="773"/>
      <c r="M169" s="773"/>
      <c r="N169" s="773"/>
      <c r="O169" s="773"/>
      <c r="P169" s="773"/>
      <c r="Q169" s="773"/>
      <c r="R169" s="773"/>
      <c r="S169" s="773"/>
      <c r="T169" s="773"/>
      <c r="U169" s="773"/>
      <c r="V169" s="773"/>
      <c r="W169" s="773"/>
      <c r="X169" s="773"/>
      <c r="Y169" s="773"/>
      <c r="Z169" s="773"/>
      <c r="AA169" s="773"/>
      <c r="AB169" s="773"/>
      <c r="AC169" s="773"/>
      <c r="AD169" s="773"/>
      <c r="AE169" s="773"/>
      <c r="AF169" s="773"/>
      <c r="AG169" s="773"/>
      <c r="AH169" s="773"/>
      <c r="AI169" s="773"/>
      <c r="AJ169" s="773"/>
      <c r="AK169" s="2013"/>
      <c r="AL169" s="2013"/>
      <c r="AM169" s="2013"/>
      <c r="AN169" s="253"/>
      <c r="AO169" s="253"/>
      <c r="AP169" s="253"/>
      <c r="AQ169" s="658"/>
      <c r="AR169" s="658"/>
      <c r="AS169" s="658"/>
      <c r="AT169" s="658"/>
      <c r="AU169" s="658"/>
      <c r="AV169" s="658"/>
      <c r="AW169" s="658"/>
      <c r="AX169" s="658"/>
      <c r="AY169" s="658"/>
      <c r="AZ169" s="658"/>
      <c r="BA169"/>
      <c r="BB169"/>
    </row>
    <row r="170" spans="1:54" s="815" customFormat="1" ht="15.75" customHeight="1" thickBot="1">
      <c r="A170" s="2013"/>
      <c r="B170" s="3827">
        <v>31</v>
      </c>
      <c r="C170" s="253"/>
      <c r="D170" s="511" t="s">
        <v>6462</v>
      </c>
      <c r="E170" s="511"/>
      <c r="F170" s="511"/>
      <c r="G170" s="253"/>
      <c r="H170" s="253"/>
      <c r="I170" s="253"/>
      <c r="J170" s="253"/>
      <c r="K170" s="253"/>
      <c r="L170" s="253"/>
      <c r="M170" s="253"/>
      <c r="N170" s="253"/>
      <c r="O170" s="253"/>
      <c r="P170" s="253"/>
      <c r="Q170" s="253"/>
      <c r="R170" s="253"/>
      <c r="S170" s="253"/>
      <c r="T170" s="253"/>
      <c r="U170" s="253"/>
      <c r="V170" s="253"/>
      <c r="W170" s="253"/>
      <c r="X170" s="253"/>
      <c r="Y170" s="253"/>
      <c r="Z170" s="253"/>
      <c r="AA170" s="253"/>
      <c r="AB170" s="253"/>
      <c r="AC170" s="253"/>
      <c r="AD170" s="2890"/>
      <c r="AE170" s="253"/>
      <c r="AF170" s="253"/>
      <c r="AG170" s="253"/>
      <c r="AH170" s="253"/>
      <c r="AI170" s="253"/>
      <c r="AJ170" s="253"/>
      <c r="AK170" s="2013"/>
      <c r="AL170" s="2013"/>
      <c r="AM170" s="2013"/>
      <c r="AN170" s="253"/>
      <c r="AO170" s="253"/>
      <c r="AP170" s="253"/>
      <c r="AQ170" s="658"/>
      <c r="AR170" s="658"/>
      <c r="AS170" s="658"/>
      <c r="AT170" s="658"/>
      <c r="AU170" s="658"/>
      <c r="AV170" s="658"/>
      <c r="AW170" s="658"/>
      <c r="AX170" s="658"/>
      <c r="AY170" s="658"/>
      <c r="AZ170" s="658"/>
      <c r="BA170"/>
      <c r="BB170"/>
    </row>
    <row r="171" spans="1:54" s="815" customFormat="1" ht="15.75" thickBot="1">
      <c r="A171" s="2013"/>
      <c r="B171" s="380"/>
      <c r="C171" s="380"/>
      <c r="D171" s="2015" t="s">
        <v>6461</v>
      </c>
      <c r="E171" s="2015"/>
      <c r="F171" s="2015"/>
      <c r="G171" s="380"/>
      <c r="H171" s="380"/>
      <c r="I171" s="380"/>
      <c r="J171" s="380"/>
      <c r="K171" s="380"/>
      <c r="L171" s="380"/>
      <c r="M171" s="380"/>
      <c r="N171" s="380"/>
      <c r="O171" s="380"/>
      <c r="P171" s="380"/>
      <c r="Q171" s="380"/>
      <c r="R171" s="380"/>
      <c r="S171" s="380"/>
      <c r="T171" s="380"/>
      <c r="U171" s="380"/>
      <c r="V171" s="380"/>
      <c r="W171" s="380"/>
      <c r="X171" s="380"/>
      <c r="Y171" s="380"/>
      <c r="Z171" s="380"/>
      <c r="AA171" s="380"/>
      <c r="AB171" s="380"/>
      <c r="AC171" s="1658" t="s">
        <v>4295</v>
      </c>
      <c r="AD171" s="2919">
        <v>31</v>
      </c>
      <c r="AE171" s="10759" t="str">
        <f>IF(AO171&lt;&gt;"",ROUND(AO171,0),IF(OR(AH163,AY158=""),"",AY158))</f>
        <v/>
      </c>
      <c r="AF171" s="11123"/>
      <c r="AG171" s="11123"/>
      <c r="AH171" s="11123"/>
      <c r="AI171" s="11123"/>
      <c r="AJ171" s="11123"/>
      <c r="AK171" s="2013"/>
      <c r="AL171" s="2013"/>
      <c r="AM171" s="2013"/>
      <c r="AN171" s="253"/>
      <c r="AO171" s="1113"/>
      <c r="AP171" s="253"/>
      <c r="AQ171" s="658"/>
      <c r="AR171" s="658"/>
      <c r="AS171" s="658"/>
      <c r="AT171" s="658"/>
      <c r="AU171" s="658"/>
      <c r="AV171" s="658"/>
      <c r="AW171" s="658"/>
      <c r="AX171" s="658"/>
      <c r="AY171" s="658"/>
      <c r="AZ171" s="658"/>
      <c r="BA171"/>
      <c r="BB171"/>
    </row>
    <row r="172" spans="1:54" s="815" customFormat="1" ht="15.75">
      <c r="A172" s="2013"/>
      <c r="B172" s="2447"/>
      <c r="C172" s="1560"/>
      <c r="D172" s="1560"/>
      <c r="E172" s="1560"/>
      <c r="F172" s="1560"/>
      <c r="G172" s="1560"/>
      <c r="H172" s="1560"/>
      <c r="I172" s="1560"/>
      <c r="J172" s="1560"/>
      <c r="K172" s="1560"/>
      <c r="L172" s="1560"/>
      <c r="M172" s="1560"/>
      <c r="N172" s="1560"/>
      <c r="O172" s="1560"/>
      <c r="P172" s="1560"/>
      <c r="Q172" s="88"/>
      <c r="R172" s="88"/>
      <c r="S172" s="88"/>
      <c r="T172" s="88"/>
      <c r="U172" s="3931"/>
      <c r="V172" s="88"/>
      <c r="W172" s="3931"/>
      <c r="X172" s="88"/>
      <c r="Y172" s="88"/>
      <c r="Z172" s="88"/>
      <c r="AA172" s="88"/>
      <c r="AB172" s="88"/>
      <c r="AC172" s="88"/>
      <c r="AD172" s="88"/>
      <c r="AE172" s="88"/>
      <c r="AF172" s="88"/>
      <c r="AG172" s="88"/>
      <c r="AH172" s="2052" t="s">
        <v>4251</v>
      </c>
      <c r="AI172" s="88"/>
      <c r="AJ172" s="2052" t="str">
        <f>"("&amp;TaxYear&amp;")"</f>
        <v>(2025)</v>
      </c>
      <c r="AK172" s="2013"/>
      <c r="AL172" s="2013"/>
      <c r="AM172" s="2013"/>
      <c r="AN172" s="416"/>
      <c r="AO172" s="416"/>
      <c r="AP172" s="253"/>
      <c r="AQ172" s="658"/>
      <c r="AR172" s="658"/>
      <c r="AS172" s="658"/>
      <c r="AT172" s="658"/>
      <c r="AU172" s="658"/>
      <c r="AV172" s="658"/>
      <c r="AW172" s="658"/>
      <c r="AX172" s="658"/>
      <c r="AY172" s="658"/>
      <c r="AZ172" s="658"/>
      <c r="BA172"/>
      <c r="BB172"/>
    </row>
    <row r="173" spans="1:54" s="815" customFormat="1" ht="18" customHeight="1" thickBot="1">
      <c r="A173" s="2013"/>
      <c r="B173" s="721" t="str">
        <f>"Form 8863 ("&amp;TaxYear&amp;")"</f>
        <v>Form 8863 (2025)</v>
      </c>
      <c r="C173" s="721"/>
      <c r="D173" s="721"/>
      <c r="E173" s="721"/>
      <c r="F173" s="721"/>
      <c r="G173" s="721"/>
      <c r="H173" s="721"/>
      <c r="I173" s="721"/>
      <c r="J173" s="721"/>
      <c r="K173" s="721"/>
      <c r="L173" s="721"/>
      <c r="M173" s="721"/>
      <c r="N173" s="721"/>
      <c r="O173" s="721"/>
      <c r="P173" s="721"/>
      <c r="Q173" s="721"/>
      <c r="R173" s="721"/>
      <c r="S173" s="721"/>
      <c r="T173" s="721"/>
      <c r="U173" s="721"/>
      <c r="V173" s="721"/>
      <c r="W173" s="721"/>
      <c r="X173" s="721"/>
      <c r="Y173" s="721"/>
      <c r="Z173" s="721"/>
      <c r="AA173" s="721"/>
      <c r="AB173" s="721"/>
      <c r="AC173" s="721"/>
      <c r="AD173" s="721"/>
      <c r="AE173" s="721"/>
      <c r="AF173" s="721"/>
      <c r="AG173" s="721"/>
      <c r="AH173" s="721"/>
      <c r="AI173" s="2053" t="s">
        <v>2079</v>
      </c>
      <c r="AJ173" s="2054">
        <v>2</v>
      </c>
      <c r="AK173" s="2013"/>
      <c r="AL173" s="2013"/>
      <c r="AM173" s="2013"/>
      <c r="AN173" s="253"/>
      <c r="AO173" s="253"/>
      <c r="AP173" s="253"/>
      <c r="AQ173" s="658"/>
      <c r="AR173" s="658"/>
      <c r="AS173" s="658"/>
      <c r="AT173" s="658"/>
      <c r="AU173" s="658"/>
      <c r="AV173" s="658"/>
      <c r="AW173" s="658"/>
      <c r="AX173" s="658"/>
      <c r="AY173" s="658"/>
      <c r="AZ173" s="658"/>
      <c r="BA173"/>
      <c r="BB173"/>
    </row>
    <row r="174" spans="1:54" s="815" customFormat="1" ht="16.5" customHeight="1" thickTop="1">
      <c r="A174" s="2013"/>
      <c r="B174" s="2002" t="s">
        <v>1918</v>
      </c>
      <c r="C174" s="413"/>
      <c r="D174" s="413"/>
      <c r="E174" s="413"/>
      <c r="F174" s="413"/>
      <c r="G174" s="413"/>
      <c r="H174" s="413"/>
      <c r="I174" s="413"/>
      <c r="J174" s="413"/>
      <c r="K174" s="413"/>
      <c r="L174" s="413"/>
      <c r="M174" s="413"/>
      <c r="N174" s="413"/>
      <c r="O174" s="413"/>
      <c r="P174" s="413"/>
      <c r="Q174" s="413"/>
      <c r="R174" s="413"/>
      <c r="S174" s="413"/>
      <c r="T174" s="413"/>
      <c r="U174" s="413"/>
      <c r="V174" s="413"/>
      <c r="W174" s="413"/>
      <c r="X174" s="413"/>
      <c r="Y174" s="413"/>
      <c r="Z174" s="413"/>
      <c r="AA174" s="413"/>
      <c r="AB174" s="413"/>
      <c r="AC174" s="11126" t="s">
        <v>549</v>
      </c>
      <c r="AD174" s="11127"/>
      <c r="AE174" s="11127"/>
      <c r="AF174" s="11127"/>
      <c r="AG174" s="11127"/>
      <c r="AH174" s="11127"/>
      <c r="AI174" s="11127"/>
      <c r="AJ174" s="11127"/>
      <c r="AK174" s="2013"/>
      <c r="AL174" s="2013"/>
      <c r="AM174" s="2013"/>
      <c r="AN174" s="253"/>
      <c r="AO174" s="253"/>
      <c r="AP174" s="253"/>
      <c r="AQ174" s="658"/>
      <c r="AR174" s="658"/>
      <c r="AS174" s="658"/>
      <c r="AT174" s="658"/>
      <c r="AU174" s="658"/>
      <c r="AV174" s="658"/>
      <c r="AW174" s="658"/>
      <c r="AX174" s="658"/>
      <c r="AY174" s="658"/>
      <c r="AZ174" s="658"/>
      <c r="BA174"/>
      <c r="BB174"/>
    </row>
    <row r="175" spans="1:54" s="815" customFormat="1" ht="21.75" customHeight="1">
      <c r="A175" s="2013"/>
      <c r="B175" s="11128" t="str">
        <f>Names</f>
        <v/>
      </c>
      <c r="C175" s="11129"/>
      <c r="D175" s="11129"/>
      <c r="E175" s="11129"/>
      <c r="F175" s="11129"/>
      <c r="G175" s="11129"/>
      <c r="H175" s="11129"/>
      <c r="I175" s="11129"/>
      <c r="J175" s="11129"/>
      <c r="K175" s="11129"/>
      <c r="L175" s="11129"/>
      <c r="M175" s="11129"/>
      <c r="N175" s="11129"/>
      <c r="O175" s="11129"/>
      <c r="P175" s="11129"/>
      <c r="Q175" s="11129"/>
      <c r="R175" s="11129"/>
      <c r="S175" s="11129"/>
      <c r="T175" s="11129"/>
      <c r="U175" s="11129"/>
      <c r="V175" s="11129"/>
      <c r="W175" s="11129"/>
      <c r="X175" s="11129"/>
      <c r="Y175" s="11129"/>
      <c r="Z175" s="11129"/>
      <c r="AA175" s="11129"/>
      <c r="AB175" s="11130"/>
      <c r="AC175" s="11131">
        <f>IF(OR(NoSSN,SS_Yours=""),"",SS_Yours)</f>
        <v>1010001</v>
      </c>
      <c r="AD175" s="11132"/>
      <c r="AE175" s="11132"/>
      <c r="AF175" s="11132"/>
      <c r="AG175" s="11132"/>
      <c r="AH175" s="11132"/>
      <c r="AI175" s="11132"/>
      <c r="AJ175" s="11132"/>
      <c r="AK175" s="2013"/>
      <c r="AL175" s="2013"/>
      <c r="AM175" s="2013"/>
      <c r="AN175" s="253"/>
      <c r="AO175" s="253"/>
      <c r="AP175" s="253"/>
      <c r="AQ175" s="658"/>
      <c r="AR175" s="658"/>
      <c r="AS175" s="658"/>
      <c r="AT175" s="658"/>
      <c r="AU175" s="658"/>
      <c r="AV175" s="658"/>
      <c r="AW175" s="658"/>
      <c r="AX175" s="658"/>
      <c r="AY175" s="658"/>
      <c r="AZ175" s="658"/>
      <c r="BA175"/>
      <c r="BB175"/>
    </row>
    <row r="176" spans="1:54" s="815" customFormat="1" ht="6" customHeight="1">
      <c r="A176" s="2013"/>
      <c r="B176" s="4543"/>
      <c r="C176" s="4543"/>
      <c r="D176" s="4543" t="s">
        <v>3982</v>
      </c>
      <c r="E176" s="4543"/>
      <c r="F176" s="4543"/>
      <c r="G176" s="4543"/>
      <c r="H176" s="4543"/>
      <c r="I176" s="4543"/>
      <c r="J176" s="4543"/>
      <c r="K176" s="4543"/>
      <c r="L176" s="4543"/>
      <c r="M176" s="4543"/>
      <c r="N176" s="4543"/>
      <c r="O176" s="4543"/>
      <c r="P176" s="4543"/>
      <c r="Q176" s="4543"/>
      <c r="R176" s="4543"/>
      <c r="S176" s="4543"/>
      <c r="T176" s="4543"/>
      <c r="U176" s="4543"/>
      <c r="V176" s="4543"/>
      <c r="W176" s="4543"/>
      <c r="X176" s="4543"/>
      <c r="Y176" s="4543"/>
      <c r="Z176" s="4543"/>
      <c r="AA176" s="4543"/>
      <c r="AB176" s="4543"/>
      <c r="AC176" s="4543"/>
      <c r="AD176" s="4543"/>
      <c r="AE176" s="4543"/>
      <c r="AF176" s="4543"/>
      <c r="AG176" s="4543"/>
      <c r="AH176" s="4543"/>
      <c r="AI176" s="4543"/>
      <c r="AJ176" s="4543"/>
      <c r="AK176" s="2013"/>
      <c r="AL176" s="2013"/>
      <c r="AM176" s="2013"/>
      <c r="AN176" s="253"/>
      <c r="AO176" s="253"/>
      <c r="AP176" s="253"/>
      <c r="AQ176" s="658"/>
      <c r="AR176" s="658"/>
      <c r="AS176" s="658"/>
      <c r="AT176" s="658"/>
      <c r="AU176" s="658"/>
      <c r="AV176" s="658"/>
      <c r="AW176" s="658"/>
      <c r="AX176" s="658"/>
      <c r="AY176" s="658"/>
      <c r="AZ176" s="658"/>
      <c r="BA176"/>
      <c r="BB176"/>
    </row>
    <row r="177" spans="1:54" s="1115" customFormat="1" ht="15.75" customHeight="1">
      <c r="A177" s="2290"/>
      <c r="B177" s="5969" t="s">
        <v>6458</v>
      </c>
      <c r="C177" s="4492"/>
      <c r="D177" s="6536"/>
      <c r="E177" s="2325"/>
      <c r="F177" s="2325"/>
      <c r="G177" s="2325"/>
      <c r="H177" s="2325"/>
      <c r="I177" s="2325"/>
      <c r="J177" s="2325"/>
      <c r="K177" s="2325"/>
      <c r="L177" s="2325"/>
      <c r="M177" s="2325"/>
      <c r="N177" s="2325"/>
      <c r="O177" s="2325"/>
      <c r="P177" s="2325"/>
      <c r="Q177" s="2325"/>
      <c r="R177" s="2325"/>
      <c r="S177" s="2325"/>
      <c r="T177" s="2325"/>
      <c r="U177" s="2325"/>
      <c r="V177" s="2325"/>
      <c r="W177" s="2325"/>
      <c r="X177" s="2325"/>
      <c r="Y177" s="2325"/>
      <c r="Z177" s="2325"/>
      <c r="AA177" s="2325"/>
      <c r="AB177" s="2325"/>
      <c r="AC177" s="2325"/>
      <c r="AD177" s="2325"/>
      <c r="AE177" s="2325"/>
      <c r="AF177" s="2325"/>
      <c r="AG177" s="2325"/>
      <c r="AH177" s="2325"/>
      <c r="AI177" s="2325"/>
      <c r="AJ177" s="2325"/>
      <c r="AK177" s="2290"/>
      <c r="AL177" s="2290"/>
      <c r="AM177" s="2290"/>
      <c r="AN177" s="4520"/>
      <c r="AO177" s="4520"/>
      <c r="AP177" s="4521"/>
      <c r="AQ177" s="1114"/>
      <c r="AR177" s="1114"/>
      <c r="AS177" s="1114"/>
      <c r="AT177" s="1114"/>
      <c r="AU177" s="1114"/>
      <c r="AV177" s="1114"/>
      <c r="AW177" s="1114"/>
      <c r="AX177" s="1114"/>
      <c r="AY177" s="1114"/>
      <c r="AZ177" s="1114"/>
      <c r="BA177" s="2293"/>
      <c r="BB177" s="2293"/>
    </row>
    <row r="178" spans="1:54" s="1115" customFormat="1" ht="15.75" customHeight="1">
      <c r="A178" s="2290"/>
      <c r="B178" s="5969" t="s">
        <v>6459</v>
      </c>
      <c r="C178" s="4492"/>
      <c r="D178" s="2325"/>
      <c r="E178" s="2325"/>
      <c r="F178" s="2325"/>
      <c r="G178" s="2325"/>
      <c r="H178" s="2325"/>
      <c r="I178" s="2325"/>
      <c r="J178" s="2325"/>
      <c r="K178" s="2325"/>
      <c r="L178" s="2325"/>
      <c r="M178" s="2325"/>
      <c r="N178" s="2325"/>
      <c r="O178" s="2325"/>
      <c r="P178" s="2325"/>
      <c r="Q178" s="2325"/>
      <c r="R178" s="2325"/>
      <c r="S178" s="2325"/>
      <c r="T178" s="2325"/>
      <c r="U178" s="2325"/>
      <c r="V178" s="2325"/>
      <c r="W178" s="2325"/>
      <c r="X178" s="2325"/>
      <c r="Y178" s="2325"/>
      <c r="Z178" s="2325"/>
      <c r="AA178" s="2325"/>
      <c r="AB178" s="2325"/>
      <c r="AC178" s="2325"/>
      <c r="AD178" s="2325"/>
      <c r="AE178" s="2325"/>
      <c r="AF178" s="2325"/>
      <c r="AG178" s="2325"/>
      <c r="AH178" s="2325"/>
      <c r="AI178" s="2325"/>
      <c r="AJ178" s="2325"/>
      <c r="AK178" s="2290"/>
      <c r="AL178" s="2290"/>
      <c r="AM178" s="2290"/>
      <c r="AN178" s="4520"/>
      <c r="AO178" s="4520"/>
      <c r="AP178" s="4521"/>
      <c r="AQ178" s="1114"/>
      <c r="AR178" s="1114"/>
      <c r="AS178" s="1114"/>
      <c r="AT178" s="1114"/>
      <c r="AU178" s="1114"/>
      <c r="AV178" s="1114"/>
      <c r="AW178" s="1114"/>
      <c r="AX178" s="1114"/>
      <c r="AY178" s="1114"/>
      <c r="AZ178" s="1114"/>
      <c r="BA178" s="2293"/>
      <c r="BB178" s="2293"/>
    </row>
    <row r="179" spans="1:54" s="815" customFormat="1" ht="7.5" customHeight="1">
      <c r="A179" s="2013"/>
      <c r="B179" s="4544"/>
      <c r="C179" s="4544"/>
      <c r="D179" s="4544"/>
      <c r="E179" s="4544"/>
      <c r="F179" s="4544"/>
      <c r="G179" s="4544"/>
      <c r="H179" s="4544"/>
      <c r="I179" s="4544"/>
      <c r="J179" s="4544"/>
      <c r="K179" s="4544"/>
      <c r="L179" s="4544"/>
      <c r="M179" s="4544"/>
      <c r="N179" s="4544"/>
      <c r="O179" s="4544"/>
      <c r="P179" s="4544"/>
      <c r="Q179" s="4544"/>
      <c r="R179" s="4544"/>
      <c r="S179" s="4544"/>
      <c r="T179" s="4544"/>
      <c r="U179" s="4544"/>
      <c r="V179" s="4544"/>
      <c r="W179" s="4544"/>
      <c r="X179" s="4544"/>
      <c r="Y179" s="4544"/>
      <c r="Z179" s="4544"/>
      <c r="AA179" s="4544"/>
      <c r="AB179" s="4544"/>
      <c r="AC179" s="4544"/>
      <c r="AD179" s="4544"/>
      <c r="AE179" s="4544"/>
      <c r="AF179" s="4544"/>
      <c r="AG179" s="4544"/>
      <c r="AH179" s="4544"/>
      <c r="AI179" s="4544"/>
      <c r="AJ179" s="4544"/>
      <c r="AK179" s="2013"/>
      <c r="AL179" s="2013"/>
      <c r="AM179" s="2013"/>
      <c r="AN179" s="253"/>
      <c r="AO179" s="253"/>
      <c r="AP179" s="253"/>
      <c r="AQ179" s="658"/>
      <c r="AR179" s="658"/>
      <c r="AS179" s="658"/>
      <c r="AT179" s="658"/>
      <c r="AU179" s="658"/>
      <c r="AV179" s="658"/>
      <c r="AW179" s="658"/>
      <c r="AX179" s="658"/>
      <c r="AY179" s="658"/>
      <c r="AZ179" s="658"/>
      <c r="BA179"/>
      <c r="BB179"/>
    </row>
    <row r="180" spans="1:54" s="815" customFormat="1" ht="19.5" customHeight="1">
      <c r="A180" s="2013"/>
      <c r="B180" s="7934" t="s">
        <v>1938</v>
      </c>
      <c r="C180" s="7934"/>
      <c r="D180" s="3879"/>
      <c r="E180" s="2873" t="s">
        <v>4252</v>
      </c>
      <c r="F180" s="413"/>
      <c r="G180" s="413"/>
      <c r="H180" s="413"/>
      <c r="I180" s="413"/>
      <c r="J180" s="413"/>
      <c r="K180" s="413"/>
      <c r="L180" s="413"/>
      <c r="M180" s="413"/>
      <c r="N180" s="413"/>
      <c r="O180" s="413"/>
      <c r="P180" s="413"/>
      <c r="Q180" s="413"/>
      <c r="R180" s="413"/>
      <c r="S180" s="413"/>
      <c r="T180" s="413"/>
      <c r="U180" s="413"/>
      <c r="V180" s="413"/>
      <c r="W180" s="413"/>
      <c r="X180" s="413"/>
      <c r="Y180" s="413"/>
      <c r="Z180" s="413"/>
      <c r="AA180" s="413"/>
      <c r="AB180" s="413"/>
      <c r="AC180" s="413"/>
      <c r="AD180" s="413"/>
      <c r="AE180" s="413"/>
      <c r="AF180" s="413"/>
      <c r="AG180" s="413"/>
      <c r="AH180" s="413"/>
      <c r="AI180" s="413"/>
      <c r="AJ180" s="413"/>
      <c r="AK180" s="2013"/>
      <c r="AL180" s="2013"/>
      <c r="AM180" s="2013"/>
      <c r="AN180" s="253"/>
      <c r="AO180" s="253"/>
      <c r="AP180" s="253"/>
      <c r="AQ180" s="658"/>
      <c r="AR180" s="658"/>
      <c r="AS180" s="658"/>
      <c r="AT180" s="658"/>
      <c r="AU180" s="658"/>
      <c r="AV180" s="658"/>
      <c r="AW180" s="658"/>
      <c r="AX180" s="658"/>
      <c r="AY180" s="658"/>
      <c r="AZ180" s="658"/>
      <c r="BA180"/>
      <c r="BB180"/>
    </row>
    <row r="181" spans="1:54" s="815" customFormat="1" ht="16.5" customHeight="1">
      <c r="A181" s="2013"/>
      <c r="B181" s="3827" t="s">
        <v>268</v>
      </c>
      <c r="C181" s="253"/>
      <c r="D181" s="4545" t="s">
        <v>4253</v>
      </c>
      <c r="E181" s="406"/>
      <c r="F181" s="406"/>
      <c r="G181" s="406"/>
      <c r="H181" s="406"/>
      <c r="I181" s="406"/>
      <c r="J181" s="406"/>
      <c r="K181" s="406"/>
      <c r="L181" s="406"/>
      <c r="M181" s="407"/>
      <c r="N181" s="3807"/>
      <c r="O181" s="565"/>
      <c r="P181" s="406"/>
      <c r="Q181" s="406"/>
      <c r="R181" s="565"/>
      <c r="S181" s="565"/>
      <c r="T181" s="3807">
        <v>21</v>
      </c>
      <c r="U181" s="4545" t="s">
        <v>4254</v>
      </c>
      <c r="V181" s="565"/>
      <c r="W181" s="565"/>
      <c r="X181" s="565"/>
      <c r="Y181" s="565"/>
      <c r="Z181" s="565"/>
      <c r="AA181" s="565"/>
      <c r="AB181" s="4546"/>
      <c r="AC181" s="565"/>
      <c r="AD181" s="565"/>
      <c r="AE181" s="565"/>
      <c r="AF181" s="565"/>
      <c r="AG181" s="406"/>
      <c r="AH181" s="565"/>
      <c r="AI181" s="565"/>
      <c r="AJ181" s="565"/>
      <c r="AK181" s="2013"/>
      <c r="AL181" s="2013"/>
      <c r="AM181" s="2013"/>
      <c r="AN181" s="253"/>
      <c r="AO181" s="253"/>
      <c r="AP181" s="253"/>
      <c r="AQ181" s="658"/>
      <c r="AR181" s="658"/>
      <c r="AS181" s="658"/>
      <c r="AT181" s="658"/>
      <c r="AU181" s="658"/>
      <c r="AV181" s="658"/>
      <c r="AW181" s="658"/>
      <c r="AX181" s="658"/>
      <c r="AY181" s="658"/>
      <c r="AZ181" s="658"/>
      <c r="BA181"/>
      <c r="BB181"/>
    </row>
    <row r="182" spans="1:54" s="815" customFormat="1" ht="15">
      <c r="A182" s="2013"/>
      <c r="B182" s="3827"/>
      <c r="C182" s="253"/>
      <c r="D182" s="11138"/>
      <c r="E182" s="11138"/>
      <c r="F182" s="11138"/>
      <c r="G182" s="11138"/>
      <c r="H182" s="11138"/>
      <c r="I182" s="11138"/>
      <c r="J182" s="11138"/>
      <c r="K182" s="11138"/>
      <c r="L182" s="11138"/>
      <c r="M182" s="11138"/>
      <c r="N182" s="11138"/>
      <c r="O182" s="11138"/>
      <c r="P182" s="11138"/>
      <c r="Q182" s="11138"/>
      <c r="R182" s="11138"/>
      <c r="S182" s="11139"/>
      <c r="T182" s="4547"/>
      <c r="U182" s="2100" t="s">
        <v>4255</v>
      </c>
      <c r="V182" s="4548"/>
      <c r="W182" s="4548"/>
      <c r="X182" s="4548"/>
      <c r="Y182" s="4548"/>
      <c r="Z182" s="4548"/>
      <c r="AA182" s="4548"/>
      <c r="AB182" s="4548"/>
      <c r="AC182" s="4548"/>
      <c r="AD182" s="4548"/>
      <c r="AE182" s="4548"/>
      <c r="AF182" s="4548"/>
      <c r="AG182" s="4548"/>
      <c r="AH182" s="4548"/>
      <c r="AI182" s="4548"/>
      <c r="AJ182" s="4548"/>
      <c r="AK182" s="2013"/>
      <c r="AL182" s="2013"/>
      <c r="AM182" s="2013"/>
      <c r="AN182" s="253"/>
      <c r="AO182" s="253"/>
      <c r="AP182" s="253"/>
      <c r="AQ182" s="658"/>
      <c r="AR182" s="658"/>
      <c r="AS182" s="658"/>
      <c r="AT182" s="658"/>
      <c r="AU182" s="658"/>
      <c r="AV182" s="658"/>
      <c r="AW182" s="658"/>
      <c r="AX182" s="658"/>
      <c r="AY182" s="658"/>
      <c r="AZ182" s="658"/>
      <c r="BA182"/>
      <c r="BB182"/>
    </row>
    <row r="183" spans="1:54" s="815" customFormat="1" ht="18" customHeight="1">
      <c r="A183" s="2013"/>
      <c r="B183" s="3827"/>
      <c r="C183" s="253"/>
      <c r="D183" s="11140"/>
      <c r="E183" s="11140"/>
      <c r="F183" s="11140"/>
      <c r="G183" s="11140"/>
      <c r="H183" s="11140"/>
      <c r="I183" s="11140"/>
      <c r="J183" s="11140"/>
      <c r="K183" s="11140"/>
      <c r="L183" s="11140"/>
      <c r="M183" s="11140"/>
      <c r="N183" s="11140"/>
      <c r="O183" s="11140"/>
      <c r="P183" s="11140"/>
      <c r="Q183" s="11140"/>
      <c r="R183" s="11140"/>
      <c r="S183" s="11141"/>
      <c r="T183" s="1110"/>
      <c r="U183" s="11142"/>
      <c r="V183" s="11142"/>
      <c r="W183" s="11142"/>
      <c r="X183" s="11142"/>
      <c r="Y183" s="11142"/>
      <c r="Z183" s="11142"/>
      <c r="AA183" s="11142"/>
      <c r="AB183" s="11142"/>
      <c r="AC183" s="11142"/>
      <c r="AD183" s="11142"/>
      <c r="AE183" s="11142"/>
      <c r="AF183" s="11142"/>
      <c r="AG183" s="11142"/>
      <c r="AH183" s="11142"/>
      <c r="AI183" s="11142"/>
      <c r="AJ183" s="11142"/>
      <c r="AK183" s="2013"/>
      <c r="AL183" s="2013"/>
      <c r="AM183" s="2013"/>
      <c r="AN183" s="253"/>
      <c r="AO183" s="253"/>
      <c r="AP183" s="253"/>
      <c r="AQ183" s="658"/>
      <c r="AR183" s="658"/>
      <c r="AS183" s="658"/>
      <c r="AT183" s="658"/>
      <c r="AU183" s="658"/>
      <c r="AV183" s="658"/>
      <c r="AW183" s="658"/>
      <c r="AX183" s="658"/>
      <c r="AY183" s="658"/>
      <c r="AZ183" s="658"/>
      <c r="BA183"/>
      <c r="BB183"/>
    </row>
    <row r="184" spans="1:54" s="815" customFormat="1" ht="16.5" customHeight="1">
      <c r="A184" s="2013"/>
      <c r="B184" s="3844">
        <v>22</v>
      </c>
      <c r="C184" s="773"/>
      <c r="D184" s="1996" t="s">
        <v>4256</v>
      </c>
      <c r="E184" s="413"/>
      <c r="F184" s="413"/>
      <c r="G184" s="413"/>
      <c r="H184" s="413"/>
      <c r="I184" s="413"/>
      <c r="J184" s="413"/>
      <c r="K184" s="413"/>
      <c r="L184" s="413"/>
      <c r="M184" s="413"/>
      <c r="N184" s="413"/>
      <c r="O184" s="413"/>
      <c r="P184" s="413"/>
      <c r="Q184" s="413"/>
      <c r="R184" s="413"/>
      <c r="S184" s="413"/>
      <c r="T184" s="413"/>
      <c r="U184" s="413"/>
      <c r="V184" s="413"/>
      <c r="W184" s="413"/>
      <c r="X184" s="413"/>
      <c r="Y184" s="413"/>
      <c r="Z184" s="413"/>
      <c r="AA184" s="413"/>
      <c r="AB184" s="413"/>
      <c r="AC184" s="413"/>
      <c r="AD184" s="413"/>
      <c r="AE184" s="413"/>
      <c r="AF184" s="413"/>
      <c r="AG184" s="413"/>
      <c r="AH184" s="413"/>
      <c r="AI184" s="413"/>
      <c r="AJ184" s="413"/>
      <c r="AK184" s="2013"/>
      <c r="AL184" s="2013"/>
      <c r="AM184" s="2013"/>
      <c r="AN184" s="253"/>
      <c r="AO184" s="253"/>
      <c r="AP184" s="253"/>
      <c r="AQ184" s="658"/>
      <c r="AR184" s="658"/>
      <c r="AS184" s="658"/>
      <c r="AT184" s="658"/>
      <c r="AU184" s="658"/>
      <c r="AV184" s="658"/>
      <c r="AW184" s="658"/>
      <c r="AX184" s="658"/>
      <c r="AY184" s="658"/>
      <c r="AZ184" s="658"/>
      <c r="BA184"/>
      <c r="BB184"/>
    </row>
    <row r="185" spans="1:54" s="815" customFormat="1" ht="16.5" customHeight="1">
      <c r="A185" s="2013"/>
      <c r="B185" s="3827"/>
      <c r="C185" s="253"/>
      <c r="D185" s="3903" t="s">
        <v>1214</v>
      </c>
      <c r="E185" s="565" t="s">
        <v>4257</v>
      </c>
      <c r="F185" s="406"/>
      <c r="G185" s="406"/>
      <c r="H185" s="406"/>
      <c r="I185" s="406"/>
      <c r="J185" s="406"/>
      <c r="K185" s="406"/>
      <c r="L185" s="406"/>
      <c r="M185" s="406"/>
      <c r="N185" s="3903"/>
      <c r="O185" s="565"/>
      <c r="P185" s="406"/>
      <c r="Q185" s="406"/>
      <c r="R185" s="565"/>
      <c r="S185" s="3542"/>
      <c r="T185" s="3807"/>
      <c r="U185" s="3903" t="s">
        <v>1181</v>
      </c>
      <c r="V185" s="565" t="s">
        <v>4258</v>
      </c>
      <c r="W185" s="565"/>
      <c r="X185" s="565"/>
      <c r="Y185" s="565"/>
      <c r="Z185" s="565"/>
      <c r="AA185" s="565"/>
      <c r="AB185" s="4546"/>
      <c r="AC185" s="565"/>
      <c r="AD185" s="565"/>
      <c r="AE185" s="565"/>
      <c r="AF185" s="406"/>
      <c r="AG185" s="565"/>
      <c r="AH185" s="565"/>
      <c r="AI185" s="565"/>
      <c r="AJ185" s="565"/>
      <c r="AK185" s="2013"/>
      <c r="AL185" s="2013"/>
      <c r="AM185" s="2013"/>
      <c r="AN185" s="253"/>
      <c r="AO185" s="253"/>
      <c r="AP185" s="253"/>
      <c r="AQ185" s="658"/>
      <c r="AR185" s="658"/>
      <c r="AS185" s="658"/>
      <c r="AT185" s="658"/>
      <c r="AU185" s="658"/>
      <c r="AV185" s="658"/>
      <c r="AW185" s="658"/>
      <c r="AX185" s="658"/>
      <c r="AY185" s="658"/>
      <c r="AZ185" s="658"/>
      <c r="BA185"/>
      <c r="BB185"/>
    </row>
    <row r="186" spans="1:54" s="815" customFormat="1" ht="18">
      <c r="A186" s="2013"/>
      <c r="B186" s="3827"/>
      <c r="C186"/>
      <c r="D186" s="11143"/>
      <c r="E186" s="11143"/>
      <c r="F186" s="11143"/>
      <c r="G186" s="11143"/>
      <c r="H186" s="11143"/>
      <c r="I186" s="11143"/>
      <c r="J186" s="11143"/>
      <c r="K186" s="11143"/>
      <c r="L186" s="11143"/>
      <c r="M186" s="11143"/>
      <c r="N186" s="11143"/>
      <c r="O186" s="11143"/>
      <c r="P186" s="11143"/>
      <c r="Q186" s="11143"/>
      <c r="R186" s="11143"/>
      <c r="S186" s="11144"/>
      <c r="T186" s="11148"/>
      <c r="U186" s="11149"/>
      <c r="V186" s="11149"/>
      <c r="W186" s="11149"/>
      <c r="X186" s="11149"/>
      <c r="Y186" s="11149"/>
      <c r="Z186" s="11149"/>
      <c r="AA186" s="11149"/>
      <c r="AB186" s="11149"/>
      <c r="AC186" s="11149"/>
      <c r="AD186" s="11149"/>
      <c r="AE186" s="11149"/>
      <c r="AF186" s="11149"/>
      <c r="AG186" s="11149"/>
      <c r="AH186" s="11149"/>
      <c r="AI186" s="11149"/>
      <c r="AJ186" s="11149"/>
      <c r="AK186" s="2013"/>
      <c r="AL186" s="2013"/>
      <c r="AM186" s="2013"/>
      <c r="AN186" s="253"/>
      <c r="AO186" s="253"/>
      <c r="AP186" s="253"/>
      <c r="AQ186" s="658"/>
      <c r="AR186" s="658"/>
      <c r="AS186" s="658"/>
      <c r="AT186" s="658"/>
      <c r="AU186" s="658"/>
      <c r="AV186" s="658"/>
      <c r="AW186" s="658"/>
      <c r="AX186" s="658"/>
      <c r="AY186" s="658"/>
      <c r="AZ186" s="658"/>
      <c r="BA186"/>
      <c r="BB186"/>
    </row>
    <row r="187" spans="1:54" s="815" customFormat="1" ht="12.75" customHeight="1">
      <c r="A187" s="2013"/>
      <c r="B187" s="253"/>
      <c r="C187" s="253"/>
      <c r="D187" s="1400" t="s">
        <v>3847</v>
      </c>
      <c r="E187" s="511" t="s">
        <v>4259</v>
      </c>
      <c r="F187" s="253"/>
      <c r="G187" s="253"/>
      <c r="H187" s="253"/>
      <c r="I187" s="253"/>
      <c r="J187" s="253"/>
      <c r="K187" s="253"/>
      <c r="L187" s="253"/>
      <c r="M187" s="253"/>
      <c r="N187" s="253"/>
      <c r="O187" s="253"/>
      <c r="P187" s="253"/>
      <c r="Q187" s="253"/>
      <c r="R187" s="253"/>
      <c r="S187" s="407"/>
      <c r="T187" s="253"/>
      <c r="U187" s="1400" t="s">
        <v>3847</v>
      </c>
      <c r="V187" s="511" t="s">
        <v>4259</v>
      </c>
      <c r="W187" s="253"/>
      <c r="X187" s="253"/>
      <c r="Y187" s="253"/>
      <c r="Z187" s="253"/>
      <c r="AA187" s="253"/>
      <c r="AB187" s="253"/>
      <c r="AC187" s="253"/>
      <c r="AD187" s="253"/>
      <c r="AE187" s="253"/>
      <c r="AF187" s="253"/>
      <c r="AG187" s="253"/>
      <c r="AH187" s="253"/>
      <c r="AI187" s="253"/>
      <c r="AJ187" s="253"/>
      <c r="AK187" s="2013"/>
      <c r="AL187" s="2013"/>
      <c r="AM187" s="2013"/>
      <c r="AN187" s="253"/>
      <c r="AO187" s="253"/>
      <c r="AP187" s="253"/>
      <c r="AQ187" s="658"/>
      <c r="AR187" s="658"/>
      <c r="AS187" s="658"/>
      <c r="AT187" s="658"/>
      <c r="AU187" s="658"/>
      <c r="AV187" s="658"/>
      <c r="AW187" s="658"/>
      <c r="AX187" s="658"/>
      <c r="AY187" s="658"/>
      <c r="AZ187" s="658"/>
      <c r="BA187"/>
      <c r="BB187"/>
    </row>
    <row r="188" spans="1:54" s="815" customFormat="1" ht="14.25">
      <c r="A188" s="2013"/>
      <c r="B188" s="253"/>
      <c r="C188" s="253"/>
      <c r="D188" s="253"/>
      <c r="E188" s="511" t="s">
        <v>4260</v>
      </c>
      <c r="F188" s="253"/>
      <c r="G188" s="253"/>
      <c r="H188" s="253"/>
      <c r="I188" s="253"/>
      <c r="J188" s="253"/>
      <c r="K188" s="253"/>
      <c r="L188" s="253"/>
      <c r="M188" s="253"/>
      <c r="N188" s="253"/>
      <c r="O188" s="253"/>
      <c r="P188" s="253"/>
      <c r="Q188" s="253"/>
      <c r="R188" s="253"/>
      <c r="S188" s="409"/>
      <c r="T188" s="253"/>
      <c r="U188" s="253"/>
      <c r="V188" s="511" t="s">
        <v>4260</v>
      </c>
      <c r="W188" s="253"/>
      <c r="X188" s="253"/>
      <c r="Y188" s="253"/>
      <c r="Z188" s="253"/>
      <c r="AA188" s="253"/>
      <c r="AB188" s="253"/>
      <c r="AC188" s="253"/>
      <c r="AD188" s="253"/>
      <c r="AE188" s="253"/>
      <c r="AF188" s="253"/>
      <c r="AG188" s="253"/>
      <c r="AH188" s="253"/>
      <c r="AI188" s="253"/>
      <c r="AJ188" s="253"/>
      <c r="AK188" s="2013"/>
      <c r="AL188" s="2013"/>
      <c r="AM188" s="2013"/>
      <c r="AN188" s="253"/>
      <c r="AO188" s="253"/>
      <c r="AP188" s="253"/>
      <c r="AQ188" s="658"/>
      <c r="AR188" s="658"/>
      <c r="AS188" s="658"/>
      <c r="AT188" s="658"/>
      <c r="AU188" s="658"/>
      <c r="AV188" s="658"/>
      <c r="AW188" s="658"/>
      <c r="AX188" s="658"/>
      <c r="AY188" s="658"/>
      <c r="AZ188" s="658"/>
      <c r="BA188"/>
      <c r="BB188"/>
    </row>
    <row r="189" spans="1:54" s="815" customFormat="1" ht="14.25">
      <c r="A189" s="2013"/>
      <c r="B189" s="253"/>
      <c r="C189" s="253"/>
      <c r="D189" s="253"/>
      <c r="E189" s="511" t="s">
        <v>2882</v>
      </c>
      <c r="F189" s="253"/>
      <c r="G189" s="253"/>
      <c r="H189" s="253"/>
      <c r="I189" s="253"/>
      <c r="J189" s="253"/>
      <c r="K189" s="253"/>
      <c r="L189" s="253"/>
      <c r="M189" s="253"/>
      <c r="N189" s="253"/>
      <c r="O189" s="253"/>
      <c r="P189" s="253"/>
      <c r="Q189" s="253"/>
      <c r="R189" s="253"/>
      <c r="S189" s="409"/>
      <c r="T189" s="253"/>
      <c r="U189" s="253"/>
      <c r="V189" s="511" t="s">
        <v>2882</v>
      </c>
      <c r="W189" s="253"/>
      <c r="X189" s="253"/>
      <c r="Y189" s="253"/>
      <c r="Z189" s="253"/>
      <c r="AA189" s="253"/>
      <c r="AB189" s="253"/>
      <c r="AC189" s="253"/>
      <c r="AD189" s="253"/>
      <c r="AE189" s="253"/>
      <c r="AF189" s="253"/>
      <c r="AG189" s="253"/>
      <c r="AH189" s="253"/>
      <c r="AI189" s="253"/>
      <c r="AJ189" s="253"/>
      <c r="AK189" s="2013"/>
      <c r="AL189" s="2013"/>
      <c r="AM189" s="2013"/>
      <c r="AN189" s="253"/>
      <c r="AO189" s="253"/>
      <c r="AP189" s="253"/>
      <c r="AQ189" s="658"/>
      <c r="AR189" s="658"/>
      <c r="AS189" s="658"/>
      <c r="AT189" s="658"/>
      <c r="AU189" s="658"/>
      <c r="AV189" s="658"/>
      <c r="AW189" s="658"/>
      <c r="AX189" s="658"/>
      <c r="AY189" s="658"/>
      <c r="AZ189" s="658"/>
      <c r="BA189"/>
      <c r="BB189"/>
    </row>
    <row r="190" spans="1:54" s="815" customFormat="1" ht="15.75">
      <c r="A190" s="2013"/>
      <c r="B190" s="3827"/>
      <c r="C190"/>
      <c r="D190" s="7146"/>
      <c r="E190" s="7146"/>
      <c r="F190" s="7146"/>
      <c r="G190" s="7146"/>
      <c r="H190" s="7146"/>
      <c r="I190" s="7146"/>
      <c r="J190" s="7146"/>
      <c r="K190" s="7146"/>
      <c r="L190" s="7146"/>
      <c r="M190" s="7146"/>
      <c r="N190" s="7146"/>
      <c r="O190" s="7146"/>
      <c r="P190" s="7146"/>
      <c r="Q190" s="7146"/>
      <c r="R190" s="7146"/>
      <c r="S190" s="7147"/>
      <c r="T190" s="11150"/>
      <c r="U190" s="7130"/>
      <c r="V190" s="7130"/>
      <c r="W190" s="7130"/>
      <c r="X190" s="7130"/>
      <c r="Y190" s="7130"/>
      <c r="Z190" s="7130"/>
      <c r="AA190" s="7130"/>
      <c r="AB190" s="7130"/>
      <c r="AC190" s="7130"/>
      <c r="AD190" s="7130"/>
      <c r="AE190" s="7130"/>
      <c r="AF190" s="7130"/>
      <c r="AG190" s="7130"/>
      <c r="AH190" s="7130"/>
      <c r="AI190" s="7130"/>
      <c r="AJ190" s="7130"/>
      <c r="AK190" s="2013"/>
      <c r="AL190" s="2013"/>
      <c r="AM190" s="2013"/>
      <c r="AN190" s="253"/>
      <c r="AO190" s="253"/>
      <c r="AP190" s="253"/>
      <c r="AQ190" s="658"/>
      <c r="AR190" s="658"/>
      <c r="AS190" s="658"/>
      <c r="AT190" s="658"/>
      <c r="AU190" s="658"/>
      <c r="AV190" s="658"/>
      <c r="AW190" s="658"/>
      <c r="AX190" s="658"/>
      <c r="AY190" s="658"/>
      <c r="AZ190" s="658"/>
      <c r="BA190"/>
      <c r="BB190"/>
    </row>
    <row r="191" spans="1:54" s="815" customFormat="1" ht="16.5" customHeight="1">
      <c r="A191" s="2013"/>
      <c r="B191" s="253"/>
      <c r="C191" s="253"/>
      <c r="D191" s="1400" t="s">
        <v>3849</v>
      </c>
      <c r="E191" s="11133" t="str">
        <f>"Did the student receive Form 1098-T"&amp;CHAR(10)&amp;"from this institution for "&amp;TaxYear&amp;"?"</f>
        <v>Did the student receive Form 1098-T
from this institution for 2025?</v>
      </c>
      <c r="F191" s="11133"/>
      <c r="G191" s="11133"/>
      <c r="H191" s="11133"/>
      <c r="I191" s="11133"/>
      <c r="J191" s="11133"/>
      <c r="K191" s="11133"/>
      <c r="L191" s="11133"/>
      <c r="M191" s="11133"/>
      <c r="N191" s="11133"/>
      <c r="O191" s="253"/>
      <c r="P191" s="253"/>
      <c r="Q191" s="253"/>
      <c r="R191" s="253"/>
      <c r="S191" s="253"/>
      <c r="T191" s="405"/>
      <c r="U191" s="1400" t="s">
        <v>3849</v>
      </c>
      <c r="V191" s="11133" t="str">
        <f>"Did the student receive Form 1098-T"&amp;CHAR(10)&amp;"from this institution for "&amp;TaxYear&amp;"?"</f>
        <v>Did the student receive Form 1098-T
from this institution for 2025?</v>
      </c>
      <c r="W191" s="11133"/>
      <c r="X191" s="11133"/>
      <c r="Y191" s="11133"/>
      <c r="Z191" s="11133"/>
      <c r="AA191" s="11133"/>
      <c r="AB191" s="11133"/>
      <c r="AC191" s="11133"/>
      <c r="AD191" s="11133"/>
      <c r="AE191" s="11133"/>
      <c r="AF191" s="253"/>
      <c r="AG191" s="253"/>
      <c r="AH191" s="253"/>
      <c r="AI191" s="253"/>
      <c r="AJ191" s="253"/>
      <c r="AK191" s="2013"/>
      <c r="AL191" s="2013"/>
      <c r="AM191" s="2013"/>
      <c r="AN191" s="253"/>
      <c r="AO191" s="253"/>
      <c r="AP191" s="253"/>
      <c r="AQ191" s="658"/>
      <c r="AR191" s="658"/>
      <c r="AS191" s="658"/>
      <c r="AT191" s="658"/>
      <c r="AU191" s="658"/>
      <c r="AV191" s="658"/>
      <c r="AW191" s="658"/>
      <c r="AX191" s="658"/>
      <c r="AY191" s="658"/>
      <c r="AZ191" s="658"/>
      <c r="BA191"/>
      <c r="BB191"/>
    </row>
    <row r="192" spans="1:54" s="815" customFormat="1" ht="14.25" customHeight="1">
      <c r="A192" s="2013"/>
      <c r="B192" s="253"/>
      <c r="C192" s="253"/>
      <c r="D192" s="253"/>
      <c r="E192" s="11134"/>
      <c r="F192" s="11134"/>
      <c r="G192" s="11134"/>
      <c r="H192" s="11134"/>
      <c r="I192" s="11134"/>
      <c r="J192" s="11134"/>
      <c r="K192" s="11134"/>
      <c r="L192" s="11134"/>
      <c r="M192" s="11134"/>
      <c r="N192" s="11134"/>
      <c r="O192" s="1111"/>
      <c r="P192" s="349" t="s">
        <v>1238</v>
      </c>
      <c r="Q192" s="253"/>
      <c r="R192" s="1111"/>
      <c r="S192" s="349" t="s">
        <v>734</v>
      </c>
      <c r="T192" s="2018"/>
      <c r="U192" s="253"/>
      <c r="V192" s="11134"/>
      <c r="W192" s="11134"/>
      <c r="X192" s="11134"/>
      <c r="Y192" s="11134"/>
      <c r="Z192" s="11134"/>
      <c r="AA192" s="11134"/>
      <c r="AB192" s="11134"/>
      <c r="AC192" s="11134"/>
      <c r="AD192" s="11134"/>
      <c r="AE192" s="11134"/>
      <c r="AF192" s="1111"/>
      <c r="AG192" s="349" t="s">
        <v>1238</v>
      </c>
      <c r="AH192" s="253"/>
      <c r="AI192" s="1111"/>
      <c r="AJ192" s="349" t="s">
        <v>734</v>
      </c>
      <c r="AK192" s="2013"/>
      <c r="AL192" s="2013"/>
      <c r="AM192" s="2013"/>
      <c r="AN192" s="253"/>
      <c r="AO192" s="253"/>
      <c r="AP192" s="253"/>
      <c r="AQ192" s="658"/>
      <c r="AR192" s="658"/>
      <c r="AS192" s="658"/>
      <c r="AT192" s="658"/>
      <c r="AU192" s="658"/>
      <c r="AV192" s="658"/>
      <c r="AW192" s="658"/>
      <c r="AX192" s="658"/>
      <c r="AY192" s="658"/>
      <c r="AZ192" s="658"/>
      <c r="BA192"/>
      <c r="BB192"/>
    </row>
    <row r="193" spans="1:54" s="815" customFormat="1" ht="7.5" customHeight="1">
      <c r="A193" s="2013"/>
      <c r="B193" s="413"/>
      <c r="C193" s="413"/>
      <c r="D193" s="413"/>
      <c r="E193" s="11135"/>
      <c r="F193" s="11135"/>
      <c r="G193" s="11135"/>
      <c r="H193" s="11135"/>
      <c r="I193" s="11135"/>
      <c r="J193" s="11135"/>
      <c r="K193" s="11135"/>
      <c r="L193" s="11135"/>
      <c r="M193" s="11135"/>
      <c r="N193" s="11135"/>
      <c r="O193" s="413"/>
      <c r="P193" s="413"/>
      <c r="Q193" s="413"/>
      <c r="R193" s="413"/>
      <c r="S193" s="413"/>
      <c r="T193" s="412"/>
      <c r="U193" s="413"/>
      <c r="V193" s="11135"/>
      <c r="W193" s="11135"/>
      <c r="X193" s="11135"/>
      <c r="Y193" s="11135"/>
      <c r="Z193" s="11135"/>
      <c r="AA193" s="11135"/>
      <c r="AB193" s="11135"/>
      <c r="AC193" s="11135"/>
      <c r="AD193" s="11135"/>
      <c r="AE193" s="11135"/>
      <c r="AF193" s="413"/>
      <c r="AG193" s="413"/>
      <c r="AH193" s="413"/>
      <c r="AI193" s="413"/>
      <c r="AJ193" s="413"/>
      <c r="AK193" s="2013"/>
      <c r="AL193" s="2013"/>
      <c r="AM193" s="2013"/>
      <c r="AN193" s="253"/>
      <c r="AO193" s="253"/>
      <c r="AP193" s="253"/>
      <c r="AQ193" s="662"/>
      <c r="AR193" s="662"/>
      <c r="AS193" s="662"/>
      <c r="AT193" s="662"/>
      <c r="AU193" s="662"/>
      <c r="AV193" s="662"/>
      <c r="AW193" s="662"/>
      <c r="AX193" s="662"/>
      <c r="AY193" s="662"/>
      <c r="AZ193" s="662"/>
      <c r="BA193"/>
      <c r="BB193"/>
    </row>
    <row r="194" spans="1:54" s="815" customFormat="1" ht="16.5" customHeight="1">
      <c r="A194" s="2013"/>
      <c r="B194" s="253"/>
      <c r="C194" s="253"/>
      <c r="D194" s="4230" t="s">
        <v>4261</v>
      </c>
      <c r="E194" s="11133" t="str">
        <f>"Did the student receive Form 1098-T"&amp;CHAR(10)&amp;"from this institution for "&amp;TaxYear-1&amp;" with box"&amp;CHAR(10)&amp;"7 checked?"</f>
        <v>Did the student receive Form 1098-T
from this institution for 2024 with box
7 checked?</v>
      </c>
      <c r="F194" s="11133"/>
      <c r="G194" s="11133"/>
      <c r="H194" s="11133"/>
      <c r="I194" s="11133"/>
      <c r="J194" s="11133"/>
      <c r="K194" s="11133"/>
      <c r="L194" s="11133"/>
      <c r="M194" s="11133"/>
      <c r="N194" s="11133"/>
      <c r="O194" s="253"/>
      <c r="P194" s="253"/>
      <c r="Q194" s="253"/>
      <c r="R194" s="253"/>
      <c r="S194" s="253"/>
      <c r="T194" s="408"/>
      <c r="U194" s="4230" t="s">
        <v>4261</v>
      </c>
      <c r="V194" s="11133" t="str">
        <f>"Did the student receive Form 1098-T"&amp;CHAR(10)&amp;"from this institution for "&amp;TaxYear-1&amp;" with box"&amp;CHAR(10)&amp;"7 checked?"</f>
        <v>Did the student receive Form 1098-T
from this institution for 2024 with box
7 checked?</v>
      </c>
      <c r="W194" s="11133"/>
      <c r="X194" s="11133"/>
      <c r="Y194" s="11133"/>
      <c r="Z194" s="11133"/>
      <c r="AA194" s="11133"/>
      <c r="AB194" s="11133"/>
      <c r="AC194" s="11133"/>
      <c r="AD194" s="11133"/>
      <c r="AE194" s="11133"/>
      <c r="AF194" s="253"/>
      <c r="AG194" s="253"/>
      <c r="AH194" s="253"/>
      <c r="AI194" s="253"/>
      <c r="AJ194" s="253"/>
      <c r="AK194" s="2013"/>
      <c r="AL194" s="2013"/>
      <c r="AM194" s="2013"/>
      <c r="AN194" s="253"/>
      <c r="AO194" s="253"/>
      <c r="AP194" s="253"/>
      <c r="AQ194" s="658"/>
      <c r="AR194" s="658"/>
      <c r="AS194" s="658"/>
      <c r="AT194" s="658"/>
      <c r="AU194" s="658"/>
      <c r="AV194" s="658"/>
      <c r="AW194" s="658"/>
      <c r="AX194" s="658"/>
      <c r="AY194" s="658"/>
      <c r="AZ194" s="658"/>
      <c r="BA194"/>
      <c r="BB194"/>
    </row>
    <row r="195" spans="1:54" s="815" customFormat="1" ht="14.25" customHeight="1">
      <c r="A195" s="2013"/>
      <c r="B195" s="253"/>
      <c r="C195" s="253"/>
      <c r="D195" s="253"/>
      <c r="E195" s="11134"/>
      <c r="F195" s="11134"/>
      <c r="G195" s="11134"/>
      <c r="H195" s="11134"/>
      <c r="I195" s="11134"/>
      <c r="J195" s="11134"/>
      <c r="K195" s="11134"/>
      <c r="L195" s="11134"/>
      <c r="M195" s="11134"/>
      <c r="N195" s="11134"/>
      <c r="O195" s="1111"/>
      <c r="P195" s="349" t="s">
        <v>1238</v>
      </c>
      <c r="Q195" s="253"/>
      <c r="R195" s="1111"/>
      <c r="S195" s="349" t="s">
        <v>734</v>
      </c>
      <c r="T195" s="2018"/>
      <c r="U195" s="253"/>
      <c r="V195" s="11134"/>
      <c r="W195" s="11134"/>
      <c r="X195" s="11134"/>
      <c r="Y195" s="11134"/>
      <c r="Z195" s="11134"/>
      <c r="AA195" s="11134"/>
      <c r="AB195" s="11134"/>
      <c r="AC195" s="11134"/>
      <c r="AD195" s="11134"/>
      <c r="AE195" s="11134"/>
      <c r="AF195" s="1111"/>
      <c r="AG195" s="349" t="s">
        <v>1238</v>
      </c>
      <c r="AH195" s="253"/>
      <c r="AI195" s="1111"/>
      <c r="AJ195" s="349" t="s">
        <v>734</v>
      </c>
      <c r="AK195" s="2013"/>
      <c r="AL195" s="2013"/>
      <c r="AM195" s="2013"/>
      <c r="AN195" s="253"/>
      <c r="AO195" s="253"/>
      <c r="AP195" s="253"/>
      <c r="AQ195" s="658"/>
      <c r="AR195" s="658"/>
      <c r="AS195" s="658"/>
      <c r="AT195" s="658"/>
      <c r="AU195" s="658"/>
      <c r="AV195" s="658"/>
      <c r="AW195" s="658"/>
      <c r="AX195" s="658"/>
      <c r="AY195" s="658"/>
      <c r="AZ195" s="658"/>
      <c r="BA195"/>
      <c r="BB195"/>
    </row>
    <row r="196" spans="1:54" s="815" customFormat="1" ht="13.5" customHeight="1">
      <c r="A196" s="2013"/>
      <c r="B196" s="413"/>
      <c r="C196" s="413"/>
      <c r="D196" s="413"/>
      <c r="E196" s="11135"/>
      <c r="F196" s="11135"/>
      <c r="G196" s="11135"/>
      <c r="H196" s="11135"/>
      <c r="I196" s="11135"/>
      <c r="J196" s="11135"/>
      <c r="K196" s="11135"/>
      <c r="L196" s="11135"/>
      <c r="M196" s="11135"/>
      <c r="N196" s="11135"/>
      <c r="O196" s="413"/>
      <c r="P196" s="413"/>
      <c r="Q196" s="413"/>
      <c r="R196" s="413"/>
      <c r="S196" s="413"/>
      <c r="T196" s="412"/>
      <c r="U196" s="413"/>
      <c r="V196" s="11135"/>
      <c r="W196" s="11135"/>
      <c r="X196" s="11135"/>
      <c r="Y196" s="11135"/>
      <c r="Z196" s="11135"/>
      <c r="AA196" s="11135"/>
      <c r="AB196" s="11135"/>
      <c r="AC196" s="11135"/>
      <c r="AD196" s="11135"/>
      <c r="AE196" s="11135"/>
      <c r="AF196" s="413"/>
      <c r="AG196" s="413"/>
      <c r="AH196" s="413"/>
      <c r="AI196" s="413"/>
      <c r="AJ196" s="413"/>
      <c r="AK196" s="2013"/>
      <c r="AL196" s="2013"/>
      <c r="AM196" s="2013"/>
      <c r="AN196" s="253"/>
      <c r="AO196" s="253"/>
      <c r="AP196" s="253"/>
      <c r="AQ196" s="658"/>
      <c r="AR196" s="658"/>
      <c r="AS196" s="658"/>
      <c r="AT196" s="658"/>
      <c r="AU196" s="658"/>
      <c r="AV196" s="658"/>
      <c r="AW196" s="658"/>
      <c r="AX196" s="658"/>
      <c r="AY196" s="658"/>
      <c r="AZ196" s="658"/>
      <c r="BA196"/>
      <c r="BB196"/>
    </row>
    <row r="197" spans="1:54" s="815" customFormat="1" ht="21" customHeight="1" thickBot="1">
      <c r="A197" s="2013"/>
      <c r="B197" s="253"/>
      <c r="C197" s="253"/>
      <c r="D197" s="4230" t="s">
        <v>576</v>
      </c>
      <c r="E197" s="11133" t="s">
        <v>4262</v>
      </c>
      <c r="F197" s="11133"/>
      <c r="G197" s="11133"/>
      <c r="H197" s="11133"/>
      <c r="I197" s="11133"/>
      <c r="J197" s="11133"/>
      <c r="K197" s="11133"/>
      <c r="L197" s="11133"/>
      <c r="M197" s="11133"/>
      <c r="N197" s="11133"/>
      <c r="O197" s="11133"/>
      <c r="P197" s="11133"/>
      <c r="Q197" s="11133"/>
      <c r="R197" s="11133"/>
      <c r="S197" s="11136"/>
      <c r="T197" s="408"/>
      <c r="U197" s="4230" t="s">
        <v>576</v>
      </c>
      <c r="V197" s="11133" t="s">
        <v>4262</v>
      </c>
      <c r="W197" s="11133"/>
      <c r="X197" s="11133"/>
      <c r="Y197" s="11133"/>
      <c r="Z197" s="11133"/>
      <c r="AA197" s="11133"/>
      <c r="AB197" s="11133"/>
      <c r="AC197" s="11133"/>
      <c r="AD197" s="11133"/>
      <c r="AE197" s="11133"/>
      <c r="AF197" s="11133"/>
      <c r="AG197" s="11133"/>
      <c r="AH197" s="11133"/>
      <c r="AI197" s="11133"/>
      <c r="AJ197" s="11133"/>
      <c r="AK197" s="2013"/>
      <c r="AL197" s="2013"/>
      <c r="AM197" s="2013"/>
      <c r="AN197" s="253"/>
      <c r="AO197" s="253"/>
      <c r="AP197" s="253"/>
      <c r="AQ197" s="658"/>
      <c r="AR197" s="658"/>
      <c r="AS197" s="658"/>
      <c r="AT197" s="658"/>
      <c r="AU197" s="658"/>
      <c r="AV197" s="658"/>
      <c r="AW197" s="658"/>
      <c r="AX197" s="658"/>
      <c r="AY197" s="658"/>
      <c r="AZ197" s="658"/>
      <c r="BA197"/>
      <c r="BB197"/>
    </row>
    <row r="198" spans="1:54" s="815" customFormat="1" ht="14.25" customHeight="1">
      <c r="A198" s="2013"/>
      <c r="B198" s="253"/>
      <c r="C198" s="253"/>
      <c r="D198" s="253"/>
      <c r="E198" s="11134"/>
      <c r="F198" s="11134"/>
      <c r="G198" s="11134"/>
      <c r="H198" s="11134"/>
      <c r="I198" s="11134"/>
      <c r="J198" s="11134"/>
      <c r="K198" s="11134"/>
      <c r="L198" s="11134"/>
      <c r="M198" s="11134"/>
      <c r="N198" s="11134"/>
      <c r="O198" s="11134"/>
      <c r="P198" s="11134"/>
      <c r="Q198" s="11134"/>
      <c r="R198" s="11134"/>
      <c r="S198" s="11137"/>
      <c r="T198" s="2018"/>
      <c r="U198" s="253"/>
      <c r="V198" s="11134"/>
      <c r="W198" s="11134"/>
      <c r="X198" s="11134"/>
      <c r="Y198" s="11134"/>
      <c r="Z198" s="11134"/>
      <c r="AA198" s="11134"/>
      <c r="AB198" s="11134"/>
      <c r="AC198" s="11134"/>
      <c r="AD198" s="11134"/>
      <c r="AE198" s="11134"/>
      <c r="AF198" s="11134"/>
      <c r="AG198" s="11134"/>
      <c r="AH198" s="11134"/>
      <c r="AI198" s="11134"/>
      <c r="AJ198" s="11134"/>
      <c r="AK198" s="2013"/>
      <c r="AL198" s="2013"/>
      <c r="AM198" s="2013"/>
      <c r="AN198" s="253"/>
      <c r="AO198" s="253"/>
      <c r="AP198" s="253"/>
      <c r="AQ198" s="1126" t="s">
        <v>4263</v>
      </c>
      <c r="AR198" s="1127"/>
      <c r="AS198" s="1127"/>
      <c r="AT198" s="1127"/>
      <c r="AU198" s="1127"/>
      <c r="AV198" s="1127"/>
      <c r="AW198" s="1127"/>
      <c r="AX198" s="1127"/>
      <c r="AY198" s="1127"/>
      <c r="AZ198" s="1128"/>
      <c r="BA198"/>
      <c r="BB198"/>
    </row>
    <row r="199" spans="1:54" s="815" customFormat="1" ht="26.25" customHeight="1">
      <c r="A199" s="2013"/>
      <c r="B199" s="253"/>
      <c r="C199" s="253"/>
      <c r="D199" s="253"/>
      <c r="E199" s="11134"/>
      <c r="F199" s="11134"/>
      <c r="G199" s="11134"/>
      <c r="H199" s="11134"/>
      <c r="I199" s="11134"/>
      <c r="J199" s="11134"/>
      <c r="K199" s="11134"/>
      <c r="L199" s="11134"/>
      <c r="M199" s="11134"/>
      <c r="N199" s="11134"/>
      <c r="O199" s="11134"/>
      <c r="P199" s="11134"/>
      <c r="Q199" s="11134"/>
      <c r="R199" s="11134"/>
      <c r="S199" s="11137"/>
      <c r="T199" s="408"/>
      <c r="U199" s="253"/>
      <c r="V199" s="11134"/>
      <c r="W199" s="11134"/>
      <c r="X199" s="11134"/>
      <c r="Y199" s="11134"/>
      <c r="Z199" s="11134"/>
      <c r="AA199" s="11134"/>
      <c r="AB199" s="11134"/>
      <c r="AC199" s="11134"/>
      <c r="AD199" s="11134"/>
      <c r="AE199" s="11134"/>
      <c r="AF199" s="11134"/>
      <c r="AG199" s="11134"/>
      <c r="AH199" s="11134"/>
      <c r="AI199" s="11134"/>
      <c r="AJ199" s="11134"/>
      <c r="AK199" s="2013"/>
      <c r="AL199" s="2013"/>
      <c r="AM199" s="2013"/>
      <c r="AN199" s="253"/>
      <c r="AO199" s="253"/>
      <c r="AP199" s="253"/>
      <c r="AQ199" s="1129" t="s">
        <v>4264</v>
      </c>
      <c r="AR199" s="1130"/>
      <c r="AS199" s="1130"/>
      <c r="AT199" s="1130"/>
      <c r="AU199" s="1130"/>
      <c r="AV199" s="1130"/>
      <c r="AW199" s="1130"/>
      <c r="AX199" s="1130"/>
      <c r="AY199" s="1130"/>
      <c r="AZ199" s="1131"/>
      <c r="BA199"/>
      <c r="BB199"/>
    </row>
    <row r="200" spans="1:54" s="815" customFormat="1" ht="17.25" customHeight="1">
      <c r="A200" s="2013"/>
      <c r="B200" s="253"/>
      <c r="C200" s="253"/>
      <c r="D200" s="253"/>
      <c r="E200" s="1111"/>
      <c r="F200" s="1111"/>
      <c r="G200" s="4551" t="s">
        <v>4265</v>
      </c>
      <c r="H200" s="1111"/>
      <c r="I200" s="1111"/>
      <c r="J200" s="1111"/>
      <c r="K200" s="1111"/>
      <c r="L200" s="1111"/>
      <c r="M200" s="1111"/>
      <c r="N200" s="1111"/>
      <c r="O200" s="4549"/>
      <c r="P200" s="4549"/>
      <c r="Q200" s="4549"/>
      <c r="R200" s="4549"/>
      <c r="S200" s="4550"/>
      <c r="T200" s="408"/>
      <c r="U200" s="253"/>
      <c r="V200" s="1111"/>
      <c r="W200" s="1111"/>
      <c r="X200" s="4551" t="s">
        <v>4265</v>
      </c>
      <c r="Y200" s="1111"/>
      <c r="Z200" s="1111"/>
      <c r="AA200" s="1111"/>
      <c r="AB200" s="1111"/>
      <c r="AC200" s="1111"/>
      <c r="AD200" s="1111"/>
      <c r="AE200" s="1111"/>
      <c r="AF200" s="253"/>
      <c r="AG200" s="253"/>
      <c r="AH200" s="253"/>
      <c r="AI200" s="253"/>
      <c r="AJ200" s="253"/>
      <c r="AK200" s="2013"/>
      <c r="AL200" s="2013"/>
      <c r="AM200" s="2013"/>
      <c r="AN200" s="253"/>
      <c r="AO200" s="253"/>
      <c r="AP200" s="253"/>
      <c r="AQ200" s="1132" t="str">
        <f>"(see below) in "&amp;TaxYear&amp;" for which you paid (or are treated as having paid) qualified education expenses in "&amp;TaxYear&amp;"."</f>
        <v>(see below) in 2025 for which you paid (or are treated as having paid) qualified education expenses in 2025.</v>
      </c>
      <c r="AR200" s="1133"/>
      <c r="AS200" s="1133"/>
      <c r="AT200" s="1133"/>
      <c r="AU200" s="1133"/>
      <c r="AV200" s="1133"/>
      <c r="AW200" s="1133"/>
      <c r="AX200" s="1133"/>
      <c r="AY200" s="1133"/>
      <c r="AZ200" s="1134"/>
      <c r="BA200"/>
      <c r="BB200"/>
    </row>
    <row r="201" spans="1:54" s="815" customFormat="1" ht="14.25">
      <c r="A201" s="2013"/>
      <c r="B201" s="413"/>
      <c r="C201" s="413"/>
      <c r="D201" s="413"/>
      <c r="E201" s="1996"/>
      <c r="F201" s="413"/>
      <c r="G201" s="413"/>
      <c r="H201" s="413"/>
      <c r="I201" s="413"/>
      <c r="J201" s="413"/>
      <c r="K201" s="413"/>
      <c r="L201" s="413"/>
      <c r="M201" s="413"/>
      <c r="N201" s="413"/>
      <c r="O201" s="413"/>
      <c r="P201" s="413"/>
      <c r="Q201" s="413"/>
      <c r="R201" s="413"/>
      <c r="S201" s="414"/>
      <c r="T201" s="412"/>
      <c r="U201" s="413"/>
      <c r="V201" s="413"/>
      <c r="W201" s="413"/>
      <c r="X201" s="413"/>
      <c r="Y201" s="413"/>
      <c r="Z201" s="413"/>
      <c r="AA201" s="413"/>
      <c r="AB201" s="413"/>
      <c r="AC201" s="413"/>
      <c r="AD201" s="413"/>
      <c r="AE201" s="413"/>
      <c r="AF201" s="413"/>
      <c r="AG201" s="413"/>
      <c r="AH201" s="413"/>
      <c r="AI201" s="413"/>
      <c r="AJ201" s="413"/>
      <c r="AK201" s="2013"/>
      <c r="AL201" s="2013"/>
      <c r="AM201" s="2013"/>
      <c r="AN201" s="253"/>
      <c r="AO201" s="253"/>
      <c r="AP201" s="253"/>
      <c r="AQ201" s="1135"/>
      <c r="AR201" s="946"/>
      <c r="AS201" s="946"/>
      <c r="AT201" s="946"/>
      <c r="AU201" s="946"/>
      <c r="AV201" s="946"/>
      <c r="AW201" s="946"/>
      <c r="AX201" s="946"/>
      <c r="AY201" s="946"/>
      <c r="AZ201" s="1136"/>
      <c r="BA201"/>
      <c r="BB201"/>
    </row>
    <row r="202" spans="1:54" s="815" customFormat="1" ht="15">
      <c r="A202" s="2013"/>
      <c r="B202" s="3827">
        <v>23</v>
      </c>
      <c r="C202" s="253"/>
      <c r="D202" s="253"/>
      <c r="E202" s="511" t="s">
        <v>4266</v>
      </c>
      <c r="F202" s="253"/>
      <c r="G202" s="253"/>
      <c r="H202" s="253"/>
      <c r="I202" s="253"/>
      <c r="J202" s="253"/>
      <c r="K202" s="253"/>
      <c r="L202" s="253"/>
      <c r="M202" s="253"/>
      <c r="N202" s="253"/>
      <c r="O202" s="253"/>
      <c r="P202" s="253"/>
      <c r="Q202" s="253"/>
      <c r="R202" s="253"/>
      <c r="S202" s="253"/>
      <c r="T202" s="253"/>
      <c r="U202" s="253"/>
      <c r="V202" s="253"/>
      <c r="W202" s="253"/>
      <c r="X202" s="253"/>
      <c r="Y202" s="253"/>
      <c r="Z202" s="253"/>
      <c r="AA202" s="253"/>
      <c r="AB202" s="253"/>
      <c r="AC202" s="253"/>
      <c r="AD202" s="253"/>
      <c r="AE202" s="253"/>
      <c r="AF202" s="253"/>
      <c r="AG202" s="253"/>
      <c r="AH202" s="253"/>
      <c r="AI202" s="253"/>
      <c r="AJ202" s="253"/>
      <c r="AK202" s="2013"/>
      <c r="AL202" s="2013"/>
      <c r="AM202" s="2013"/>
      <c r="AN202" s="253"/>
      <c r="AO202" s="253"/>
      <c r="AP202" s="253"/>
      <c r="AQ202" s="4552" t="s">
        <v>4267</v>
      </c>
      <c r="AR202" s="946"/>
      <c r="AS202" s="946"/>
      <c r="AT202" s="946"/>
      <c r="AU202" s="946"/>
      <c r="AV202" s="946"/>
      <c r="AW202" s="946"/>
      <c r="AX202" s="946"/>
      <c r="AY202" s="946"/>
      <c r="AZ202" s="1136"/>
      <c r="BA202"/>
      <c r="BB202"/>
    </row>
    <row r="203" spans="1:54" s="815" customFormat="1" ht="15">
      <c r="A203" s="2013"/>
      <c r="B203" s="253"/>
      <c r="C203" s="253"/>
      <c r="D203" s="253"/>
      <c r="E203" s="1672" t="s">
        <v>4268</v>
      </c>
      <c r="F203" s="253"/>
      <c r="G203" s="253"/>
      <c r="H203" s="253"/>
      <c r="I203" s="253"/>
      <c r="J203" s="253"/>
      <c r="K203" s="253"/>
      <c r="L203" s="253"/>
      <c r="M203" s="253"/>
      <c r="N203" s="253"/>
      <c r="O203" s="253"/>
      <c r="P203" s="253"/>
      <c r="Q203" s="253"/>
      <c r="R203" s="253"/>
      <c r="S203" s="253"/>
      <c r="T203" s="1111"/>
      <c r="U203" s="344" t="s">
        <v>4269</v>
      </c>
      <c r="V203" s="253"/>
      <c r="W203" s="253"/>
      <c r="X203" s="253"/>
      <c r="Y203" s="253"/>
      <c r="Z203" s="253"/>
      <c r="AA203" s="253"/>
      <c r="AB203" s="253"/>
      <c r="AC203" s="1963" t="str">
        <f>IF(T203&lt;&gt;"","","X")</f>
        <v>X</v>
      </c>
      <c r="AD203" s="344" t="s">
        <v>4270</v>
      </c>
      <c r="AE203" s="253"/>
      <c r="AF203" s="253"/>
      <c r="AG203" s="253"/>
      <c r="AH203" s="253"/>
      <c r="AI203" s="253"/>
      <c r="AJ203" s="253"/>
      <c r="AK203" s="2013"/>
      <c r="AL203" s="2013"/>
      <c r="AM203" s="2013"/>
      <c r="AN203" s="253"/>
      <c r="AO203" s="253"/>
      <c r="AP203" s="253"/>
      <c r="AQ203" s="4553" t="str">
        <f>TaxYear&amp;" for the academic period"</f>
        <v>2025 for the academic period</v>
      </c>
      <c r="AR203" s="4536"/>
      <c r="AS203" s="4536"/>
      <c r="AT203" s="4536"/>
      <c r="AU203" s="4536"/>
      <c r="AV203" s="4536"/>
      <c r="AW203" s="4539"/>
      <c r="AX203" s="4539" t="s">
        <v>157</v>
      </c>
      <c r="AY203" s="443"/>
      <c r="AZ203" s="4537"/>
      <c r="BA203"/>
      <c r="BB203"/>
    </row>
    <row r="204" spans="1:54" s="1116" customFormat="1" ht="16.5" customHeight="1">
      <c r="A204" s="2067"/>
      <c r="B204" s="571"/>
      <c r="C204" s="571"/>
      <c r="D204" s="571"/>
      <c r="E204" s="2046"/>
      <c r="F204" s="571"/>
      <c r="G204" s="571"/>
      <c r="H204" s="571"/>
      <c r="I204" s="571"/>
      <c r="J204" s="571"/>
      <c r="K204" s="571"/>
      <c r="L204" s="571"/>
      <c r="M204" s="571"/>
      <c r="N204" s="571"/>
      <c r="O204" s="571"/>
      <c r="P204" s="571"/>
      <c r="Q204" s="571"/>
      <c r="R204" s="571"/>
      <c r="S204" s="571"/>
      <c r="T204" s="571"/>
      <c r="U204" s="571" t="s">
        <v>4271</v>
      </c>
      <c r="V204" s="571"/>
      <c r="W204" s="571"/>
      <c r="X204" s="571"/>
      <c r="Y204" s="571"/>
      <c r="Z204" s="571"/>
      <c r="AA204" s="571"/>
      <c r="AB204" s="571"/>
      <c r="AC204" s="571"/>
      <c r="AD204" s="571"/>
      <c r="AE204" s="571"/>
      <c r="AF204" s="571"/>
      <c r="AG204" s="571"/>
      <c r="AH204" s="571"/>
      <c r="AI204" s="571"/>
      <c r="AJ204" s="571"/>
      <c r="AK204" s="2067"/>
      <c r="AL204" s="2067"/>
      <c r="AM204" s="2067"/>
      <c r="AN204" s="571"/>
      <c r="AO204" s="571"/>
      <c r="AP204" s="571"/>
      <c r="AQ204" s="4554"/>
      <c r="AR204" s="4536"/>
      <c r="AS204" s="4536"/>
      <c r="AT204" s="4536"/>
      <c r="AU204" s="4536"/>
      <c r="AV204" s="4536"/>
      <c r="AW204" s="4539"/>
      <c r="AX204" s="4539"/>
      <c r="AY204" s="4539"/>
      <c r="AZ204" s="4537"/>
      <c r="BA204" s="138"/>
      <c r="BB204" s="138"/>
    </row>
    <row r="205" spans="1:54" s="815" customFormat="1" ht="15">
      <c r="A205" s="2013"/>
      <c r="B205" s="4555">
        <v>24</v>
      </c>
      <c r="C205" s="406"/>
      <c r="D205" s="406"/>
      <c r="E205" s="2354" t="s">
        <v>4272</v>
      </c>
      <c r="F205" s="406"/>
      <c r="G205" s="406"/>
      <c r="H205" s="406"/>
      <c r="I205" s="406"/>
      <c r="J205" s="406"/>
      <c r="K205" s="406"/>
      <c r="L205" s="406"/>
      <c r="M205" s="406"/>
      <c r="N205" s="406"/>
      <c r="O205" s="406"/>
      <c r="P205" s="406"/>
      <c r="Q205" s="406"/>
      <c r="R205" s="406"/>
      <c r="S205" s="406"/>
      <c r="T205" s="406"/>
      <c r="U205" s="406"/>
      <c r="V205" s="406"/>
      <c r="W205" s="406"/>
      <c r="X205" s="406"/>
      <c r="Y205" s="406"/>
      <c r="Z205" s="406"/>
      <c r="AA205" s="406"/>
      <c r="AB205" s="406"/>
      <c r="AC205" s="406"/>
      <c r="AD205" s="406"/>
      <c r="AE205" s="406"/>
      <c r="AF205" s="406"/>
      <c r="AG205" s="406"/>
      <c r="AH205" s="406"/>
      <c r="AI205" s="406"/>
      <c r="AJ205" s="406"/>
      <c r="AK205" s="2013"/>
      <c r="AL205" s="2013"/>
      <c r="AM205" s="2013"/>
      <c r="AN205" s="253"/>
      <c r="AO205" s="253"/>
      <c r="AP205" s="253"/>
      <c r="AQ205" s="4552" t="s">
        <v>4273</v>
      </c>
      <c r="AR205" s="1130"/>
      <c r="AS205" s="1130"/>
      <c r="AT205" s="1130"/>
      <c r="AU205" s="1130"/>
      <c r="AV205" s="1130"/>
      <c r="AW205" s="1130"/>
      <c r="AX205" s="1130"/>
      <c r="AY205" s="946"/>
      <c r="AZ205" s="1131"/>
      <c r="BA205"/>
      <c r="BB205"/>
    </row>
    <row r="206" spans="1:54" s="815" customFormat="1" ht="15">
      <c r="A206" s="2013"/>
      <c r="B206" s="3827"/>
      <c r="C206" s="253"/>
      <c r="D206" s="253"/>
      <c r="E206" s="511" t="s">
        <v>4274</v>
      </c>
      <c r="F206" s="253"/>
      <c r="G206" s="253"/>
      <c r="H206" s="253"/>
      <c r="I206" s="253"/>
      <c r="J206" s="253"/>
      <c r="K206" s="253"/>
      <c r="L206" s="253"/>
      <c r="M206" s="253"/>
      <c r="N206" s="253"/>
      <c r="O206" s="253"/>
      <c r="P206" s="253"/>
      <c r="Q206" s="253"/>
      <c r="R206" s="253"/>
      <c r="S206" s="253"/>
      <c r="T206" s="253"/>
      <c r="U206" s="253"/>
      <c r="V206" s="253"/>
      <c r="W206" s="253"/>
      <c r="X206" s="253"/>
      <c r="Y206" s="253"/>
      <c r="Z206" s="253"/>
      <c r="AA206" s="253"/>
      <c r="AB206" s="253"/>
      <c r="AC206" s="253"/>
      <c r="AD206" s="253"/>
      <c r="AE206" s="253"/>
      <c r="AF206" s="253"/>
      <c r="AG206" s="253"/>
      <c r="AH206" s="253"/>
      <c r="AI206" s="253"/>
      <c r="AJ206" s="253"/>
      <c r="AK206" s="2013"/>
      <c r="AL206" s="2013"/>
      <c r="AM206" s="2013"/>
      <c r="AN206" s="253"/>
      <c r="AO206" s="253"/>
      <c r="AP206" s="253"/>
      <c r="AQ206" s="1137" t="s">
        <v>1214</v>
      </c>
      <c r="AR206" s="1138" t="str">
        <f>"Tax-free educational assistance received in "&amp;TaxYear&amp;" allocable to"</f>
        <v>Tax-free educational assistance received in 2025 allocable to</v>
      </c>
      <c r="AS206" s="946"/>
      <c r="AT206" s="946"/>
      <c r="AU206" s="946"/>
      <c r="AV206" s="946"/>
      <c r="AW206" s="946"/>
      <c r="AX206" s="946"/>
      <c r="AY206" s="946"/>
      <c r="AZ206" s="1136"/>
      <c r="BA206"/>
      <c r="BB206"/>
    </row>
    <row r="207" spans="1:54" s="815" customFormat="1" ht="15">
      <c r="A207" s="2013"/>
      <c r="B207" s="3827"/>
      <c r="C207" s="253"/>
      <c r="D207" s="253"/>
      <c r="E207" s="511" t="str">
        <f>"in "&amp;TaxYear&amp;" at an eligible educational institution in a program"</f>
        <v>in 2025 at an eligible educational institution in a program</v>
      </c>
      <c r="F207" s="253"/>
      <c r="G207" s="253"/>
      <c r="H207" s="253"/>
      <c r="I207" s="253"/>
      <c r="J207" s="253"/>
      <c r="K207" s="253"/>
      <c r="L207" s="253"/>
      <c r="M207" s="253"/>
      <c r="N207" s="253"/>
      <c r="O207" s="253"/>
      <c r="P207" s="253"/>
      <c r="Q207" s="253"/>
      <c r="R207" s="253"/>
      <c r="S207" s="253"/>
      <c r="T207" s="253"/>
      <c r="U207" s="253"/>
      <c r="V207" s="253"/>
      <c r="W207" s="253"/>
      <c r="X207" s="253"/>
      <c r="Y207" s="253"/>
      <c r="Z207" s="253"/>
      <c r="AA207" s="253"/>
      <c r="AB207" s="253"/>
      <c r="AC207" s="253"/>
      <c r="AD207" s="253"/>
      <c r="AE207" s="253"/>
      <c r="AF207" s="253"/>
      <c r="AG207" s="253"/>
      <c r="AH207" s="253"/>
      <c r="AI207" s="253"/>
      <c r="AJ207" s="253"/>
      <c r="AK207" s="2013"/>
      <c r="AL207" s="2013"/>
      <c r="AM207" s="2013"/>
      <c r="AN207" s="253"/>
      <c r="AO207" s="253"/>
      <c r="AP207" s="253"/>
      <c r="AQ207" s="1140"/>
      <c r="AR207" s="1138" t="s">
        <v>4275</v>
      </c>
      <c r="AS207" s="1141"/>
      <c r="AT207" s="1141"/>
      <c r="AU207" s="1141"/>
      <c r="AV207" s="1141"/>
      <c r="AW207" s="4539" t="s">
        <v>1186</v>
      </c>
      <c r="AX207" s="443"/>
      <c r="AY207" s="946"/>
      <c r="AZ207" s="1139"/>
      <c r="BA207"/>
      <c r="BB207"/>
    </row>
    <row r="208" spans="1:54" s="815" customFormat="1" ht="15">
      <c r="A208" s="2013"/>
      <c r="B208" s="253"/>
      <c r="C208" s="253"/>
      <c r="D208" s="253"/>
      <c r="E208" s="1672" t="s">
        <v>4276</v>
      </c>
      <c r="F208" s="253"/>
      <c r="G208" s="253"/>
      <c r="H208" s="253"/>
      <c r="I208" s="253"/>
      <c r="J208" s="253"/>
      <c r="K208" s="253"/>
      <c r="L208" s="253"/>
      <c r="M208" s="253"/>
      <c r="N208" s="253"/>
      <c r="O208" s="253"/>
      <c r="P208" s="253"/>
      <c r="Q208" s="253"/>
      <c r="R208" s="253"/>
      <c r="S208" s="253"/>
      <c r="T208" s="1963" t="str">
        <f>IF(AC208&lt;&gt;"","","X")</f>
        <v>X</v>
      </c>
      <c r="U208" s="344" t="s">
        <v>4277</v>
      </c>
      <c r="V208" s="253"/>
      <c r="W208" s="253"/>
      <c r="X208" s="253"/>
      <c r="Y208" s="253"/>
      <c r="Z208" s="253"/>
      <c r="AA208" s="253"/>
      <c r="AB208" s="253"/>
      <c r="AC208" s="1111"/>
      <c r="AD208" s="344" t="s">
        <v>4278</v>
      </c>
      <c r="AE208" s="253"/>
      <c r="AF208" s="253"/>
      <c r="AG208" s="253"/>
      <c r="AH208" s="253"/>
      <c r="AI208" s="253"/>
      <c r="AJ208" s="253"/>
      <c r="AK208" s="2013"/>
      <c r="AL208" s="2013"/>
      <c r="AM208" s="2013"/>
      <c r="AN208" s="253"/>
      <c r="AO208" s="253"/>
      <c r="AP208" s="253"/>
      <c r="AQ208" s="1137" t="s">
        <v>1181</v>
      </c>
      <c r="AR208" s="1138" t="str">
        <f>"Tax-free educational assistance received in "&amp;TaxYear+1&amp;" (and before you"</f>
        <v>Tax-free educational assistance received in 2026 (and before you</v>
      </c>
      <c r="AS208" s="946"/>
      <c r="AT208" s="946"/>
      <c r="AU208" s="946"/>
      <c r="AV208" s="946"/>
      <c r="AW208" s="946"/>
      <c r="AX208" s="946"/>
      <c r="AY208" s="946"/>
      <c r="AZ208" s="1136"/>
      <c r="BA208"/>
      <c r="BB208"/>
    </row>
    <row r="209" spans="1:54" s="815" customFormat="1" ht="14.25">
      <c r="A209" s="2013"/>
      <c r="B209" s="253"/>
      <c r="C209" s="253"/>
      <c r="D209" s="253"/>
      <c r="E209" s="1672" t="s">
        <v>4279</v>
      </c>
      <c r="F209" s="253"/>
      <c r="G209" s="253"/>
      <c r="H209" s="253"/>
      <c r="I209" s="253"/>
      <c r="J209" s="253"/>
      <c r="K209" s="253"/>
      <c r="L209" s="253"/>
      <c r="M209" s="253"/>
      <c r="N209" s="253"/>
      <c r="O209" s="253"/>
      <c r="P209" s="253"/>
      <c r="Q209" s="253"/>
      <c r="R209" s="253"/>
      <c r="S209" s="253"/>
      <c r="T209" s="253"/>
      <c r="U209" s="253"/>
      <c r="V209" s="253"/>
      <c r="W209" s="253"/>
      <c r="X209" s="253"/>
      <c r="Y209" s="253"/>
      <c r="Z209" s="253"/>
      <c r="AA209" s="253"/>
      <c r="AB209" s="253"/>
      <c r="AC209" s="253"/>
      <c r="AD209" s="344" t="s">
        <v>4280</v>
      </c>
      <c r="AE209" s="253"/>
      <c r="AF209" s="253"/>
      <c r="AG209" s="253"/>
      <c r="AH209" s="253"/>
      <c r="AI209" s="253"/>
      <c r="AJ209" s="253"/>
      <c r="AK209" s="2013"/>
      <c r="AL209" s="2013"/>
      <c r="AM209" s="2013"/>
      <c r="AN209" s="253"/>
      <c r="AO209" s="253"/>
      <c r="AP209" s="253"/>
      <c r="AQ209" s="1140"/>
      <c r="AR209" s="1138" t="str">
        <f>"file your "&amp;TaxYear&amp;" tax return) allocable to the academic period"</f>
        <v>file your 2025 tax return) allocable to the academic period</v>
      </c>
      <c r="AS209" s="1141"/>
      <c r="AT209" s="1141"/>
      <c r="AU209" s="1141"/>
      <c r="AV209" s="1141"/>
      <c r="AW209" s="4539" t="s">
        <v>1194</v>
      </c>
      <c r="AX209" s="443"/>
      <c r="AY209" s="946"/>
      <c r="AZ209" s="1139"/>
      <c r="BA209"/>
      <c r="BB209"/>
    </row>
    <row r="210" spans="1:54" s="1116" customFormat="1" ht="16.5" customHeight="1">
      <c r="A210" s="2067"/>
      <c r="B210" s="571"/>
      <c r="C210" s="571"/>
      <c r="D210" s="571"/>
      <c r="E210" s="2046" t="s">
        <v>746</v>
      </c>
      <c r="F210" s="571"/>
      <c r="G210" s="571"/>
      <c r="H210" s="571"/>
      <c r="I210" s="571"/>
      <c r="J210" s="571"/>
      <c r="K210" s="571"/>
      <c r="L210" s="571"/>
      <c r="M210" s="571"/>
      <c r="N210" s="571"/>
      <c r="O210" s="571"/>
      <c r="P210" s="571"/>
      <c r="Q210" s="571"/>
      <c r="R210" s="571"/>
      <c r="S210" s="571"/>
      <c r="T210" s="571"/>
      <c r="U210" s="571"/>
      <c r="V210" s="571"/>
      <c r="W210" s="571"/>
      <c r="X210" s="571"/>
      <c r="Y210" s="571"/>
      <c r="Z210" s="571"/>
      <c r="AA210" s="571"/>
      <c r="AB210" s="571"/>
      <c r="AC210" s="571"/>
      <c r="AD210" s="571"/>
      <c r="AE210" s="571"/>
      <c r="AF210" s="571"/>
      <c r="AG210" s="571"/>
      <c r="AH210" s="571"/>
      <c r="AI210" s="571"/>
      <c r="AJ210" s="571"/>
      <c r="AK210" s="2067"/>
      <c r="AL210" s="2067"/>
      <c r="AM210" s="2067"/>
      <c r="AN210" s="571"/>
      <c r="AO210" s="571"/>
      <c r="AP210" s="571"/>
      <c r="AQ210" s="1137" t="s">
        <v>1196</v>
      </c>
      <c r="AR210" s="1138" t="str">
        <f>"Refunds of qualified education expenses paid in "&amp;TaxYear&amp;" if the refund"</f>
        <v>Refunds of qualified education expenses paid in 2025 if the refund</v>
      </c>
      <c r="AS210" s="946"/>
      <c r="AT210" s="946"/>
      <c r="AU210" s="946"/>
      <c r="AV210" s="946"/>
      <c r="AW210" s="946"/>
      <c r="AX210" s="946"/>
      <c r="AY210" s="946"/>
      <c r="AZ210" s="1136"/>
      <c r="BA210" s="138"/>
      <c r="BB210" s="138"/>
    </row>
    <row r="211" spans="1:54" s="815" customFormat="1" ht="15">
      <c r="A211" s="2013"/>
      <c r="B211" s="4555">
        <v>25</v>
      </c>
      <c r="C211" s="406"/>
      <c r="D211" s="406"/>
      <c r="E211" s="2354" t="s">
        <v>4281</v>
      </c>
      <c r="F211" s="406"/>
      <c r="G211" s="406"/>
      <c r="H211" s="406"/>
      <c r="I211" s="406"/>
      <c r="J211" s="406"/>
      <c r="K211" s="406"/>
      <c r="L211" s="406"/>
      <c r="M211" s="406"/>
      <c r="N211" s="406"/>
      <c r="O211" s="406"/>
      <c r="P211" s="406"/>
      <c r="Q211" s="406"/>
      <c r="R211" s="406"/>
      <c r="S211" s="406"/>
      <c r="T211" s="406"/>
      <c r="U211" s="406"/>
      <c r="V211" s="406"/>
      <c r="W211" s="406"/>
      <c r="X211" s="406"/>
      <c r="Y211" s="406"/>
      <c r="Z211" s="406"/>
      <c r="AA211" s="406"/>
      <c r="AB211" s="406"/>
      <c r="AC211" s="406"/>
      <c r="AD211" s="406"/>
      <c r="AE211" s="406"/>
      <c r="AF211" s="406"/>
      <c r="AG211" s="406"/>
      <c r="AH211" s="406"/>
      <c r="AI211" s="406"/>
      <c r="AJ211" s="406"/>
      <c r="AK211" s="2013"/>
      <c r="AL211" s="2013"/>
      <c r="AM211" s="2013"/>
      <c r="AN211" s="253"/>
      <c r="AO211" s="253"/>
      <c r="AP211" s="253"/>
      <c r="AQ211" s="1140"/>
      <c r="AR211" s="1138" t="str">
        <f>"is received in "&amp;TaxYear&amp;" or in "&amp;TaxYear+1&amp;" before you file your "&amp;TaxYear&amp;" tax return."</f>
        <v>is received in 2025 or in 2026 before you file your 2025 tax return.</v>
      </c>
      <c r="AS211" s="1141"/>
      <c r="AT211" s="1141"/>
      <c r="AU211" s="1141"/>
      <c r="AV211" s="1141"/>
      <c r="AW211" s="4539" t="s">
        <v>1202</v>
      </c>
      <c r="AX211" s="443"/>
      <c r="AY211" s="946"/>
      <c r="AZ211" s="1139"/>
      <c r="BA211"/>
      <c r="BB211"/>
    </row>
    <row r="212" spans="1:54" s="815" customFormat="1" ht="15">
      <c r="A212" s="2013"/>
      <c r="B212" s="253"/>
      <c r="C212" s="253"/>
      <c r="D212" s="253"/>
      <c r="E212" s="1672" t="str">
        <f>"education before "&amp;TaxYear&amp;"? See instructions."</f>
        <v>education before 2025? See instructions.</v>
      </c>
      <c r="F212" s="253"/>
      <c r="G212" s="253"/>
      <c r="H212" s="253"/>
      <c r="I212" s="253"/>
      <c r="J212" s="253"/>
      <c r="K212" s="253"/>
      <c r="L212" s="253"/>
      <c r="M212" s="253"/>
      <c r="N212" s="253"/>
      <c r="O212" s="253"/>
      <c r="P212" s="253"/>
      <c r="Q212" s="253"/>
      <c r="R212" s="253"/>
      <c r="S212" s="253"/>
      <c r="T212" s="1111"/>
      <c r="U212" s="344" t="s">
        <v>4269</v>
      </c>
      <c r="V212" s="253"/>
      <c r="W212" s="253"/>
      <c r="X212" s="253"/>
      <c r="Y212" s="253"/>
      <c r="Z212" s="253"/>
      <c r="AA212" s="253"/>
      <c r="AB212" s="253"/>
      <c r="AC212" s="1963" t="str">
        <f>IF(T212&lt;&gt;"","","X")</f>
        <v>X</v>
      </c>
      <c r="AD212" s="344" t="s">
        <v>4282</v>
      </c>
      <c r="AE212" s="253"/>
      <c r="AF212" s="253"/>
      <c r="AG212" s="253"/>
      <c r="AH212" s="253"/>
      <c r="AI212" s="253"/>
      <c r="AJ212" s="253"/>
      <c r="AK212" s="2013"/>
      <c r="AL212" s="2013"/>
      <c r="AM212" s="2013"/>
      <c r="AN212" s="253"/>
      <c r="AO212" s="253"/>
      <c r="AP212" s="253"/>
      <c r="AQ212" s="1140"/>
      <c r="AR212" s="1138"/>
      <c r="AS212" s="1141"/>
      <c r="AT212" s="1141"/>
      <c r="AU212" s="1141"/>
      <c r="AV212" s="1141"/>
      <c r="AW212" s="1141"/>
      <c r="AX212" s="1141"/>
      <c r="AY212" s="946"/>
      <c r="AZ212" s="1139"/>
      <c r="BA212"/>
      <c r="BB212"/>
    </row>
    <row r="213" spans="1:54" s="1116" customFormat="1" ht="16.5" customHeight="1">
      <c r="A213" s="2067"/>
      <c r="B213" s="571"/>
      <c r="C213" s="571"/>
      <c r="D213" s="571"/>
      <c r="E213" s="2046"/>
      <c r="F213" s="571"/>
      <c r="G213" s="571"/>
      <c r="H213" s="571"/>
      <c r="I213" s="571"/>
      <c r="J213" s="571"/>
      <c r="K213" s="571"/>
      <c r="L213" s="571"/>
      <c r="M213" s="571"/>
      <c r="N213" s="571"/>
      <c r="O213" s="571"/>
      <c r="P213" s="571"/>
      <c r="Q213" s="571"/>
      <c r="R213" s="571"/>
      <c r="S213" s="571"/>
      <c r="T213" s="571"/>
      <c r="U213" s="571" t="s">
        <v>4271</v>
      </c>
      <c r="V213" s="571"/>
      <c r="W213" s="571"/>
      <c r="X213" s="571"/>
      <c r="Y213" s="571"/>
      <c r="Z213" s="571"/>
      <c r="AA213" s="571"/>
      <c r="AB213" s="571"/>
      <c r="AC213" s="571"/>
      <c r="AD213" s="571"/>
      <c r="AE213" s="571"/>
      <c r="AF213" s="571"/>
      <c r="AG213" s="571"/>
      <c r="AH213" s="571"/>
      <c r="AI213" s="571"/>
      <c r="AJ213" s="571"/>
      <c r="AK213" s="2067"/>
      <c r="AL213" s="2067"/>
      <c r="AM213" s="2067"/>
      <c r="AN213" s="571"/>
      <c r="AO213" s="571"/>
      <c r="AP213" s="571"/>
      <c r="AQ213" s="4552" t="s">
        <v>4283</v>
      </c>
      <c r="AR213" s="4536"/>
      <c r="AS213" s="4536"/>
      <c r="AT213" s="4536"/>
      <c r="AU213" s="4536"/>
      <c r="AV213" s="4536"/>
      <c r="AW213" s="4539"/>
      <c r="AX213" s="4539" t="s">
        <v>167</v>
      </c>
      <c r="AY213" s="2499">
        <f>SUM(AX207,AX209,AX211)</f>
        <v>0</v>
      </c>
      <c r="AZ213" s="4537"/>
      <c r="BA213" s="138"/>
      <c r="BB213" s="138"/>
    </row>
    <row r="214" spans="1:54" s="815" customFormat="1" ht="15">
      <c r="A214" s="2013"/>
      <c r="B214" s="4555">
        <v>26</v>
      </c>
      <c r="C214" s="406"/>
      <c r="D214" s="406"/>
      <c r="E214" s="2354" t="str">
        <f>"Was the student convicted, before the end of "&amp;TaxYear&amp;", of a"</f>
        <v>Was the student convicted, before the end of 2025, of a</v>
      </c>
      <c r="F214" s="406"/>
      <c r="G214" s="406"/>
      <c r="H214" s="406"/>
      <c r="I214" s="406"/>
      <c r="J214" s="406"/>
      <c r="K214" s="406"/>
      <c r="L214" s="406"/>
      <c r="M214" s="406"/>
      <c r="N214" s="406"/>
      <c r="O214" s="406"/>
      <c r="P214" s="406"/>
      <c r="Q214" s="406"/>
      <c r="R214" s="406"/>
      <c r="S214" s="406"/>
      <c r="T214" s="406"/>
      <c r="U214" s="406"/>
      <c r="V214" s="406"/>
      <c r="W214" s="406"/>
      <c r="X214" s="406"/>
      <c r="Y214" s="406"/>
      <c r="Z214" s="406"/>
      <c r="AA214" s="406"/>
      <c r="AB214" s="406"/>
      <c r="AC214" s="406"/>
      <c r="AD214" s="406"/>
      <c r="AE214" s="406"/>
      <c r="AF214" s="406"/>
      <c r="AG214" s="406"/>
      <c r="AH214" s="406"/>
      <c r="AI214" s="406"/>
      <c r="AJ214" s="406"/>
      <c r="AK214" s="2013"/>
      <c r="AL214" s="2013"/>
      <c r="AM214" s="2013"/>
      <c r="AN214" s="253"/>
      <c r="AO214" s="253"/>
      <c r="AP214" s="253"/>
      <c r="AQ214" s="1140"/>
      <c r="AR214" s="1138"/>
      <c r="AS214" s="1141"/>
      <c r="AT214" s="1141"/>
      <c r="AU214" s="1141"/>
      <c r="AV214" s="1141"/>
      <c r="AW214" s="1141"/>
      <c r="AX214" s="1141"/>
      <c r="AY214" s="946"/>
      <c r="AZ214" s="1139"/>
      <c r="BA214"/>
      <c r="BB214"/>
    </row>
    <row r="215" spans="1:54" s="815" customFormat="1" ht="15">
      <c r="A215" s="2013"/>
      <c r="B215" s="253"/>
      <c r="C215" s="253"/>
      <c r="D215" s="253"/>
      <c r="E215" s="1672" t="s">
        <v>4284</v>
      </c>
      <c r="F215" s="253"/>
      <c r="G215" s="253"/>
      <c r="H215" s="253"/>
      <c r="I215" s="253"/>
      <c r="J215" s="253"/>
      <c r="K215" s="253"/>
      <c r="L215" s="253"/>
      <c r="M215" s="253"/>
      <c r="N215" s="253"/>
      <c r="O215" s="253"/>
      <c r="P215" s="253"/>
      <c r="Q215" s="253"/>
      <c r="R215" s="253"/>
      <c r="S215" s="253"/>
      <c r="T215" s="1111"/>
      <c r="U215" s="344" t="s">
        <v>4269</v>
      </c>
      <c r="V215" s="253"/>
      <c r="W215" s="253"/>
      <c r="X215" s="253"/>
      <c r="Y215" s="253"/>
      <c r="Z215" s="253"/>
      <c r="AA215" s="253"/>
      <c r="AB215" s="253"/>
      <c r="AC215" s="1963" t="str">
        <f>IF(T215&lt;&gt;"","","X")</f>
        <v>X</v>
      </c>
      <c r="AD215" s="344" t="s">
        <v>4285</v>
      </c>
      <c r="AE215" s="253"/>
      <c r="AF215" s="253"/>
      <c r="AG215" s="253"/>
      <c r="AH215" s="253"/>
      <c r="AI215" s="253"/>
      <c r="AJ215" s="253"/>
      <c r="AK215" s="2013"/>
      <c r="AL215" s="2013"/>
      <c r="AM215" s="2013"/>
      <c r="AN215" s="253"/>
      <c r="AO215" s="226" t="s">
        <v>979</v>
      </c>
      <c r="AP215" s="253"/>
      <c r="AQ215" s="4552" t="s">
        <v>4300</v>
      </c>
      <c r="AR215" s="1138"/>
      <c r="AS215" s="1141"/>
      <c r="AT215" s="1141"/>
      <c r="AU215" s="1141"/>
      <c r="AV215" s="1141"/>
      <c r="AW215" s="1141"/>
      <c r="AX215" s="1141"/>
      <c r="AY215" s="946"/>
      <c r="AZ215" s="1139"/>
      <c r="BA215"/>
      <c r="BB215"/>
    </row>
    <row r="216" spans="1:54" s="1116" customFormat="1" ht="16.5" customHeight="1">
      <c r="A216" s="2067"/>
      <c r="B216" s="2068"/>
      <c r="C216" s="2068"/>
      <c r="D216" s="2068"/>
      <c r="E216" s="4556" t="s">
        <v>4287</v>
      </c>
      <c r="F216" s="2068"/>
      <c r="G216" s="2068"/>
      <c r="H216" s="2068"/>
      <c r="I216" s="2068"/>
      <c r="J216" s="2068"/>
      <c r="K216" s="2068"/>
      <c r="L216" s="2068"/>
      <c r="M216" s="2068"/>
      <c r="N216" s="2068"/>
      <c r="O216" s="2068"/>
      <c r="P216" s="2068"/>
      <c r="Q216" s="2068"/>
      <c r="R216" s="2068"/>
      <c r="S216" s="2068"/>
      <c r="T216" s="2068"/>
      <c r="U216" s="2068" t="s">
        <v>4271</v>
      </c>
      <c r="V216" s="2068"/>
      <c r="W216" s="2068"/>
      <c r="X216" s="2068"/>
      <c r="Y216" s="2068"/>
      <c r="Z216" s="2068"/>
      <c r="AA216" s="2068"/>
      <c r="AB216" s="2068"/>
      <c r="AC216" s="2068"/>
      <c r="AD216" s="4162" t="s">
        <v>4288</v>
      </c>
      <c r="AE216" s="2068"/>
      <c r="AF216" s="2068"/>
      <c r="AG216" s="2068"/>
      <c r="AH216" s="2068"/>
      <c r="AI216" s="2068"/>
      <c r="AJ216" s="2068"/>
      <c r="AK216" s="2067"/>
      <c r="AL216" s="2067"/>
      <c r="AM216" s="2067"/>
      <c r="AN216" s="571"/>
      <c r="AO216" s="226" t="s">
        <v>931</v>
      </c>
      <c r="AP216" s="571"/>
      <c r="AQ216" s="4554" t="s">
        <v>4289</v>
      </c>
      <c r="AR216" s="4536"/>
      <c r="AS216" s="4536"/>
      <c r="AT216" s="4557" t="s">
        <v>4290</v>
      </c>
      <c r="AU216" s="4536"/>
      <c r="AV216" s="4536"/>
      <c r="AW216" s="4539"/>
      <c r="AX216" s="4539" t="s">
        <v>171</v>
      </c>
      <c r="AY216" s="2499" t="str">
        <f>IF(AY203="","",MAX(0,SUM(AY203,-AY213)))</f>
        <v/>
      </c>
      <c r="AZ216" s="4537"/>
      <c r="BA216" s="138"/>
      <c r="BB216" s="138"/>
    </row>
    <row r="217" spans="1:54" s="815" customFormat="1" ht="9.75" customHeight="1" thickBot="1">
      <c r="A217" s="2013"/>
      <c r="B217" s="4558"/>
      <c r="C217" s="4558"/>
      <c r="D217" s="4558"/>
      <c r="E217" s="4558"/>
      <c r="F217" s="4558"/>
      <c r="G217" s="4558"/>
      <c r="H217" s="4558"/>
      <c r="I217" s="4558"/>
      <c r="J217" s="4558"/>
      <c r="K217" s="4558"/>
      <c r="L217" s="4558"/>
      <c r="M217" s="4558"/>
      <c r="N217" s="4558"/>
      <c r="O217" s="4558"/>
      <c r="P217" s="4558"/>
      <c r="Q217" s="4558"/>
      <c r="R217" s="4558"/>
      <c r="S217" s="4558"/>
      <c r="T217" s="4558"/>
      <c r="U217" s="4558"/>
      <c r="V217" s="4558"/>
      <c r="W217" s="4558"/>
      <c r="X217" s="4558"/>
      <c r="Y217" s="4558"/>
      <c r="Z217" s="4558"/>
      <c r="AA217" s="4558"/>
      <c r="AB217" s="4558"/>
      <c r="AC217" s="4558"/>
      <c r="AD217" s="4558"/>
      <c r="AE217" s="4558"/>
      <c r="AF217" s="4558"/>
      <c r="AG217" s="4558"/>
      <c r="AH217" s="4558"/>
      <c r="AI217" s="4558"/>
      <c r="AJ217" s="4558"/>
      <c r="AK217" s="2013"/>
      <c r="AL217" s="2013"/>
      <c r="AM217" s="2013"/>
      <c r="AN217" s="253"/>
      <c r="AO217" s="253"/>
      <c r="AP217" s="253"/>
      <c r="AQ217" s="1142"/>
      <c r="AR217" s="1143"/>
      <c r="AS217" s="1144"/>
      <c r="AT217" s="1144"/>
      <c r="AU217" s="1144"/>
      <c r="AV217" s="1144"/>
      <c r="AW217" s="1144"/>
      <c r="AX217" s="1144"/>
      <c r="AY217" s="1144"/>
      <c r="AZ217" s="1145"/>
      <c r="BA217"/>
      <c r="BB217"/>
    </row>
    <row r="218" spans="1:54" s="1115" customFormat="1" ht="14.25" customHeight="1">
      <c r="A218" s="2290"/>
      <c r="B218" s="342" t="s">
        <v>5578</v>
      </c>
      <c r="C218" s="2319"/>
      <c r="D218" s="2319"/>
      <c r="E218" s="1117" t="s">
        <v>4301</v>
      </c>
      <c r="F218" s="2319"/>
      <c r="G218" s="2319"/>
      <c r="H218" s="2319"/>
      <c r="I218" s="2319"/>
      <c r="J218" s="2319"/>
      <c r="K218" s="2319"/>
      <c r="L218" s="2319"/>
      <c r="M218" s="2319"/>
      <c r="N218" s="2319"/>
      <c r="O218" s="2319"/>
      <c r="P218" s="2319"/>
      <c r="Q218" s="2319"/>
      <c r="R218" s="2319"/>
      <c r="S218" s="2319"/>
      <c r="T218" s="2319"/>
      <c r="U218" s="2319"/>
      <c r="V218" s="2319"/>
      <c r="W218" s="2319"/>
      <c r="X218" s="2319"/>
      <c r="Y218" s="2319"/>
      <c r="Z218" s="2319"/>
      <c r="AA218" s="2319"/>
      <c r="AB218" s="2319"/>
      <c r="AC218" s="2319"/>
      <c r="AD218" s="2319"/>
      <c r="AE218" s="2319"/>
      <c r="AF218" s="2319"/>
      <c r="AG218" s="2319"/>
      <c r="AH218" s="2319"/>
      <c r="AI218" s="2319"/>
      <c r="AJ218" s="2319"/>
      <c r="AK218" s="2290"/>
      <c r="AL218" s="2290"/>
      <c r="AM218" s="2290"/>
      <c r="AN218" s="4520"/>
      <c r="AO218" s="2158" t="b">
        <f>OR(AND(AH221,AO229&lt;&gt;""),AND(NOT(AH221),AO226&lt;&gt;""))</f>
        <v>0</v>
      </c>
      <c r="AP218" s="4521"/>
      <c r="AQ218" s="658"/>
      <c r="AR218" s="664"/>
      <c r="AS218" s="658"/>
      <c r="AT218" s="658"/>
      <c r="AU218" s="658"/>
      <c r="AV218" s="658"/>
      <c r="AW218" s="658"/>
      <c r="AX218" s="658"/>
      <c r="AY218" s="658"/>
      <c r="AZ218" s="658"/>
      <c r="BA218" s="2293"/>
      <c r="BB218" s="2293"/>
    </row>
    <row r="219" spans="1:54" s="1115" customFormat="1" ht="16.5" customHeight="1">
      <c r="A219" s="2290"/>
      <c r="B219" s="2319"/>
      <c r="C219" s="2319"/>
      <c r="D219" s="2319"/>
      <c r="E219" s="1118" t="s">
        <v>4291</v>
      </c>
      <c r="F219" s="2319"/>
      <c r="G219" s="2319"/>
      <c r="H219" s="2319"/>
      <c r="I219" s="2319"/>
      <c r="J219" s="2319"/>
      <c r="K219" s="2319"/>
      <c r="L219" s="2319"/>
      <c r="M219" s="2319"/>
      <c r="N219" s="2319"/>
      <c r="O219" s="2319"/>
      <c r="P219" s="2319"/>
      <c r="Q219" s="2319"/>
      <c r="R219" s="2319"/>
      <c r="S219" s="2319"/>
      <c r="T219" s="2319"/>
      <c r="U219" s="2319"/>
      <c r="V219" s="2319"/>
      <c r="W219" s="2319"/>
      <c r="X219" s="2319"/>
      <c r="Y219" s="2319"/>
      <c r="Z219" s="2319"/>
      <c r="AA219" s="2319"/>
      <c r="AB219" s="2319"/>
      <c r="AC219" s="2319"/>
      <c r="AD219" s="2319"/>
      <c r="AE219" s="2319"/>
      <c r="AF219" s="2319"/>
      <c r="AG219" s="2319"/>
      <c r="AH219" s="2319"/>
      <c r="AI219" s="2319"/>
      <c r="AJ219" s="2319"/>
      <c r="AK219" s="2290"/>
      <c r="AL219" s="2290"/>
      <c r="AM219" s="2290"/>
      <c r="AN219" s="4520"/>
      <c r="AO219" s="2158" t="b">
        <f>OR(AND(AH221,AO229&lt;&gt;""),AND(NOT(AH221),AO226&lt;&gt;""))</f>
        <v>0</v>
      </c>
      <c r="AP219" s="4521"/>
      <c r="AQ219" s="658"/>
      <c r="AR219" s="664"/>
      <c r="AS219" s="658"/>
      <c r="AT219" s="658"/>
      <c r="AU219" s="658"/>
      <c r="AV219" s="658"/>
      <c r="AW219" s="658"/>
      <c r="AX219" s="658"/>
      <c r="AY219" s="658"/>
      <c r="AZ219" s="658"/>
      <c r="BA219" s="2293"/>
      <c r="BB219" s="2293"/>
    </row>
    <row r="220" spans="1:54" s="815" customFormat="1" ht="6" customHeight="1">
      <c r="A220" s="2013"/>
      <c r="B220" s="4559"/>
      <c r="C220" s="4559"/>
      <c r="D220" s="4559"/>
      <c r="E220" s="4559"/>
      <c r="F220" s="4559"/>
      <c r="G220" s="4559"/>
      <c r="H220" s="4559"/>
      <c r="I220" s="4559"/>
      <c r="J220" s="4559"/>
      <c r="K220" s="4559"/>
      <c r="L220" s="4559"/>
      <c r="M220" s="4559"/>
      <c r="N220" s="4559"/>
      <c r="O220" s="4559"/>
      <c r="P220" s="4559"/>
      <c r="Q220" s="4559"/>
      <c r="R220" s="4559"/>
      <c r="S220" s="4559"/>
      <c r="T220" s="4559"/>
      <c r="U220" s="4559"/>
      <c r="V220" s="4559"/>
      <c r="W220" s="4559"/>
      <c r="X220" s="4559"/>
      <c r="Y220" s="4559"/>
      <c r="Z220" s="4559"/>
      <c r="AA220" s="4559"/>
      <c r="AB220" s="4559"/>
      <c r="AC220" s="4559"/>
      <c r="AD220" s="4559"/>
      <c r="AE220" s="4559"/>
      <c r="AF220" s="4559"/>
      <c r="AG220" s="4559"/>
      <c r="AH220" s="4559"/>
      <c r="AI220" s="4559"/>
      <c r="AJ220" s="4559"/>
      <c r="AK220" s="2013"/>
      <c r="AL220" s="2013"/>
      <c r="AM220" s="2013"/>
      <c r="AN220" s="253"/>
      <c r="AO220" s="253"/>
      <c r="AP220" s="253"/>
      <c r="AQ220" s="658"/>
      <c r="AR220" s="658"/>
      <c r="AS220" s="658"/>
      <c r="AT220" s="658"/>
      <c r="AU220" s="658"/>
      <c r="AV220" s="658"/>
      <c r="AW220" s="658"/>
      <c r="AX220" s="658"/>
      <c r="AY220" s="658"/>
      <c r="AZ220" s="658"/>
      <c r="BA220"/>
      <c r="BB220"/>
    </row>
    <row r="221" spans="1:54" s="815" customFormat="1" ht="16.5" customHeight="1" thickBot="1">
      <c r="A221" s="2013"/>
      <c r="B221" s="3844"/>
      <c r="C221" s="4560" t="s">
        <v>4202</v>
      </c>
      <c r="D221" s="413"/>
      <c r="E221" s="413"/>
      <c r="F221" s="413"/>
      <c r="G221" s="413"/>
      <c r="H221" s="413"/>
      <c r="I221" s="413"/>
      <c r="J221" s="413"/>
      <c r="K221" s="413"/>
      <c r="L221" s="413"/>
      <c r="M221" s="413"/>
      <c r="N221" s="413"/>
      <c r="O221" s="413"/>
      <c r="P221" s="413"/>
      <c r="Q221" s="413"/>
      <c r="R221" s="413"/>
      <c r="S221" s="413"/>
      <c r="T221" s="413"/>
      <c r="U221" s="413"/>
      <c r="V221" s="413"/>
      <c r="W221" s="413"/>
      <c r="X221" s="413"/>
      <c r="Y221" s="413"/>
      <c r="Z221" s="413"/>
      <c r="AA221" s="413"/>
      <c r="AB221" s="11124" t="b">
        <f>AND(AE222&lt;&gt;"",AE222&gt;AO223)</f>
        <v>0</v>
      </c>
      <c r="AC221" s="11124"/>
      <c r="AD221" s="413"/>
      <c r="AE221" s="413"/>
      <c r="AF221" s="413"/>
      <c r="AG221" s="413"/>
      <c r="AH221" s="11124" t="b">
        <f>AND(T203="",AC208="",T212="",T215="")</f>
        <v>1</v>
      </c>
      <c r="AI221" s="11124"/>
      <c r="AJ221" s="11124"/>
      <c r="AK221" s="2013"/>
      <c r="AL221" s="2013"/>
      <c r="AM221" s="2013"/>
      <c r="AN221" s="253"/>
      <c r="AO221" s="253"/>
      <c r="AP221" s="253"/>
      <c r="AQ221" s="658"/>
      <c r="AR221" s="658"/>
      <c r="AS221" s="658"/>
      <c r="AT221" s="658"/>
      <c r="AU221" s="658"/>
      <c r="AV221" s="658"/>
      <c r="AW221" s="658"/>
      <c r="AX221" s="658"/>
      <c r="AY221" s="658"/>
      <c r="AZ221" s="658"/>
      <c r="BA221"/>
      <c r="BB221"/>
    </row>
    <row r="222" spans="1:54" s="815" customFormat="1" ht="16.5" customHeight="1" thickBot="1">
      <c r="A222" s="2013"/>
      <c r="B222" s="4555">
        <v>27</v>
      </c>
      <c r="C222" s="253"/>
      <c r="D222" s="511" t="s">
        <v>4293</v>
      </c>
      <c r="E222" s="511"/>
      <c r="F222" s="253"/>
      <c r="G222" s="253"/>
      <c r="H222" s="253"/>
      <c r="I222" s="253"/>
      <c r="J222" s="253"/>
      <c r="K222" s="253"/>
      <c r="L222" s="253"/>
      <c r="M222" s="253"/>
      <c r="N222" s="253"/>
      <c r="O222" s="253"/>
      <c r="P222" s="253"/>
      <c r="Q222" s="253"/>
      <c r="R222" s="4561" t="str">
        <f>"Don't enter more than "&amp;TEXT(AO223,"$0,000")&amp;"."</f>
        <v>Don't enter more than $4,000.</v>
      </c>
      <c r="S222" s="253"/>
      <c r="T222" s="253"/>
      <c r="U222" s="253"/>
      <c r="V222" s="253"/>
      <c r="W222" s="253"/>
      <c r="X222" s="253"/>
      <c r="Y222" s="253"/>
      <c r="Z222" s="4562"/>
      <c r="AA222" s="4562"/>
      <c r="AB222" s="4229"/>
      <c r="AC222" s="4563"/>
      <c r="AD222" s="2918">
        <v>27</v>
      </c>
      <c r="AE222" s="10758" t="str">
        <f>IF(AO222&lt;&gt;"",ROUND(AO222,0),IF(OR(NOT(AH221),AY216=""),"",MIN(AO223,AY216)))</f>
        <v/>
      </c>
      <c r="AF222" s="11125"/>
      <c r="AG222" s="11125"/>
      <c r="AH222" s="11125"/>
      <c r="AI222" s="11125"/>
      <c r="AJ222" s="11125"/>
      <c r="AK222" s="2013"/>
      <c r="AL222" s="2013"/>
      <c r="AM222" s="2013"/>
      <c r="AN222" s="253"/>
      <c r="AO222" s="1113"/>
      <c r="AP222" s="253"/>
      <c r="AQ222" s="658"/>
      <c r="AR222" s="658"/>
      <c r="AS222" s="658"/>
      <c r="AT222" s="658"/>
      <c r="AU222" s="658"/>
      <c r="AV222" s="658"/>
      <c r="AW222" s="658"/>
      <c r="AX222" s="658"/>
      <c r="AY222" s="658"/>
      <c r="AZ222" s="658"/>
      <c r="BA222"/>
      <c r="BB222"/>
    </row>
    <row r="223" spans="1:54" s="815" customFormat="1" ht="17.25" customHeight="1">
      <c r="A223" s="2013"/>
      <c r="B223" s="3827">
        <v>28</v>
      </c>
      <c r="C223" s="253"/>
      <c r="D223" s="511" t="str">
        <f>"Subtract "&amp;TEXT(AO224,"$0,000")&amp;" from line 27. If zero or less, enter -0-"</f>
        <v>Subtract $2,000 from line 27. If zero or less, enter -0-</v>
      </c>
      <c r="E223" s="253"/>
      <c r="F223" s="253"/>
      <c r="G223" s="253"/>
      <c r="H223" s="253"/>
      <c r="I223" s="253"/>
      <c r="J223" s="253"/>
      <c r="K223" s="253"/>
      <c r="L223" s="253"/>
      <c r="M223" s="253"/>
      <c r="N223" s="253"/>
      <c r="O223" s="253"/>
      <c r="P223" s="253"/>
      <c r="Q223" s="253"/>
      <c r="R223" s="253"/>
      <c r="S223" s="253"/>
      <c r="T223" s="253"/>
      <c r="U223" s="253"/>
      <c r="V223" s="253"/>
      <c r="W223" s="253"/>
      <c r="X223" s="253"/>
      <c r="Y223" s="253"/>
      <c r="Z223" s="3830"/>
      <c r="AA223" s="3830"/>
      <c r="AB223" s="253"/>
      <c r="AC223" s="1401" t="s">
        <v>4294</v>
      </c>
      <c r="AD223" s="2918">
        <v>28</v>
      </c>
      <c r="AE223" s="10758" t="str">
        <f>IF(OR(NOT(AH221),AY216=""),"",MAX(0,SUM(AE222,-AO224)))</f>
        <v/>
      </c>
      <c r="AF223" s="11125"/>
      <c r="AG223" s="11125"/>
      <c r="AH223" s="11125"/>
      <c r="AI223" s="11125"/>
      <c r="AJ223" s="11125"/>
      <c r="AK223" s="2013"/>
      <c r="AL223" s="2013"/>
      <c r="AM223" s="2013"/>
      <c r="AN223" s="253"/>
      <c r="AO223" s="512">
        <v>4000</v>
      </c>
      <c r="AP223" s="253"/>
      <c r="AQ223" s="658"/>
      <c r="AR223" s="658"/>
      <c r="AS223" s="658"/>
      <c r="AT223" s="658"/>
      <c r="AU223" s="658"/>
      <c r="AV223" s="658"/>
      <c r="AW223" s="658"/>
      <c r="AX223" s="658"/>
      <c r="AY223" s="658"/>
      <c r="AZ223" s="658"/>
      <c r="BA223"/>
      <c r="BB223"/>
    </row>
    <row r="224" spans="1:54" s="815" customFormat="1" ht="17.25" customHeight="1">
      <c r="A224" s="2013"/>
      <c r="B224" s="3827">
        <v>29</v>
      </c>
      <c r="C224" s="253"/>
      <c r="D224" s="511" t="str">
        <f>"Multiply line 28 by "&amp;TEXT(AB225,"0%")&amp;" ("&amp;TEXT(AB225,"0.00")&amp;")"</f>
        <v>Multiply line 28 by 25% (0.25)</v>
      </c>
      <c r="E224" s="511"/>
      <c r="F224" s="511"/>
      <c r="G224" s="253"/>
      <c r="H224" s="253"/>
      <c r="I224" s="253"/>
      <c r="J224" s="253"/>
      <c r="K224" s="253"/>
      <c r="L224" s="349"/>
      <c r="M224" s="349"/>
      <c r="N224" s="349"/>
      <c r="O224" s="349"/>
      <c r="P224" s="349"/>
      <c r="Q224" s="349"/>
      <c r="R224" s="349"/>
      <c r="S224" s="349"/>
      <c r="T224" s="349"/>
      <c r="U224" s="349"/>
      <c r="V224" s="349"/>
      <c r="W224" s="349"/>
      <c r="X224" s="349"/>
      <c r="Y224" s="349"/>
      <c r="Z224" s="349"/>
      <c r="AA224" s="349"/>
      <c r="AB224" s="349"/>
      <c r="AC224" s="1401" t="s">
        <v>4295</v>
      </c>
      <c r="AD224" s="2918">
        <v>29</v>
      </c>
      <c r="AE224" s="10758" t="str">
        <f>IF(OR(NOT(AH221),AY216=""),"",ROUND(AE223*AB225,0))</f>
        <v/>
      </c>
      <c r="AF224" s="11125"/>
      <c r="AG224" s="11125"/>
      <c r="AH224" s="11125"/>
      <c r="AI224" s="11125"/>
      <c r="AJ224" s="11125"/>
      <c r="AK224" s="2013"/>
      <c r="AL224" s="2013"/>
      <c r="AM224" s="2013"/>
      <c r="AN224" s="253"/>
      <c r="AO224" s="512">
        <v>2000</v>
      </c>
      <c r="AP224" s="253"/>
      <c r="AQ224" s="658"/>
      <c r="AR224" s="658"/>
      <c r="AS224" s="658"/>
      <c r="AT224" s="658"/>
      <c r="AU224" s="658"/>
      <c r="AV224" s="658"/>
      <c r="AW224" s="658"/>
      <c r="AX224" s="658"/>
      <c r="AY224" s="658"/>
      <c r="AZ224" s="658"/>
      <c r="BA224"/>
      <c r="BB224"/>
    </row>
    <row r="225" spans="1:54" s="815" customFormat="1" ht="15.75" customHeight="1" thickBot="1">
      <c r="A225" s="2013"/>
      <c r="B225" s="3827">
        <v>30</v>
      </c>
      <c r="C225" s="253"/>
      <c r="D225" s="511" t="s">
        <v>4296</v>
      </c>
      <c r="E225" s="511"/>
      <c r="F225" s="511"/>
      <c r="G225" s="253"/>
      <c r="H225" s="253"/>
      <c r="I225" s="253"/>
      <c r="J225" s="253"/>
      <c r="K225" s="253"/>
      <c r="L225" s="253"/>
      <c r="M225" s="253"/>
      <c r="N225" s="253"/>
      <c r="O225" s="253"/>
      <c r="P225" s="253"/>
      <c r="Q225" s="253"/>
      <c r="R225" s="253"/>
      <c r="S225" s="253"/>
      <c r="T225" s="253"/>
      <c r="U225" s="253"/>
      <c r="V225" s="253"/>
      <c r="W225" s="253"/>
      <c r="X225" s="253"/>
      <c r="Y225" s="253"/>
      <c r="Z225" s="253"/>
      <c r="AA225" s="253"/>
      <c r="AB225" s="8824">
        <v>0.25</v>
      </c>
      <c r="AC225" s="10850"/>
      <c r="AD225" s="2890"/>
      <c r="AE225" s="253"/>
      <c r="AF225" s="253"/>
      <c r="AG225" s="253"/>
      <c r="AH225" s="253"/>
      <c r="AI225" s="253"/>
      <c r="AJ225" s="253"/>
      <c r="AK225" s="2013"/>
      <c r="AL225" s="2013"/>
      <c r="AM225" s="2013"/>
      <c r="AN225" s="253"/>
      <c r="AO225" s="253"/>
      <c r="AP225" s="253"/>
      <c r="AQ225" s="658"/>
      <c r="AR225" s="658"/>
      <c r="AS225" s="658"/>
      <c r="AT225" s="658"/>
      <c r="AU225" s="658"/>
      <c r="AV225" s="658"/>
      <c r="AW225" s="658"/>
      <c r="AX225" s="658"/>
      <c r="AY225" s="658"/>
      <c r="AZ225" s="658"/>
      <c r="BA225"/>
      <c r="BB225"/>
    </row>
    <row r="226" spans="1:54" s="815" customFormat="1" ht="15.75" thickBot="1">
      <c r="A226" s="2013"/>
      <c r="B226" s="253"/>
      <c r="C226" s="253"/>
      <c r="D226" s="511" t="s">
        <v>4297</v>
      </c>
      <c r="E226" s="511"/>
      <c r="F226" s="511"/>
      <c r="G226" s="253"/>
      <c r="H226" s="253"/>
      <c r="I226" s="253"/>
      <c r="J226" s="253"/>
      <c r="K226" s="253"/>
      <c r="L226" s="253"/>
      <c r="M226" s="253"/>
      <c r="N226" s="253"/>
      <c r="O226" s="253"/>
      <c r="P226" s="253"/>
      <c r="Q226" s="253"/>
      <c r="R226" s="253"/>
      <c r="S226" s="253"/>
      <c r="T226" s="253"/>
      <c r="U226" s="253"/>
      <c r="V226" s="253"/>
      <c r="W226" s="253"/>
      <c r="X226" s="253"/>
      <c r="Y226" s="253"/>
      <c r="Z226" s="253"/>
      <c r="AA226" s="253"/>
      <c r="AB226" s="253"/>
      <c r="AC226" s="1401" t="s">
        <v>636</v>
      </c>
      <c r="AD226" s="2922">
        <v>30</v>
      </c>
      <c r="AE226" s="11121" t="str">
        <f>IF(AO226&lt;&gt;"",ROUND(AO226,0),IF(OR(NOT(AH221),AE222=0,AE222="",AY216=""),"",IF(OR(AE223=0,AE223=""),AE222,SUM(AE224,AO224))))</f>
        <v/>
      </c>
      <c r="AF226" s="11122"/>
      <c r="AG226" s="11122"/>
      <c r="AH226" s="11122"/>
      <c r="AI226" s="11122"/>
      <c r="AJ226" s="11122"/>
      <c r="AK226" s="2013"/>
      <c r="AL226" s="2013"/>
      <c r="AM226" s="2013"/>
      <c r="AN226" s="253"/>
      <c r="AO226" s="1113"/>
      <c r="AP226" s="253"/>
      <c r="AQ226" s="658"/>
      <c r="AR226" s="658"/>
      <c r="AS226" s="658"/>
      <c r="AT226" s="658"/>
      <c r="AU226" s="658"/>
      <c r="AV226" s="658"/>
      <c r="AW226" s="658"/>
      <c r="AX226" s="658"/>
      <c r="AY226" s="658"/>
      <c r="AZ226" s="658"/>
      <c r="BA226"/>
      <c r="BB226"/>
    </row>
    <row r="227" spans="1:54" s="815" customFormat="1" ht="16.5" customHeight="1">
      <c r="A227" s="2013"/>
      <c r="B227" s="3844"/>
      <c r="C227" s="4560" t="s">
        <v>4229</v>
      </c>
      <c r="D227" s="773"/>
      <c r="E227" s="773"/>
      <c r="F227" s="773"/>
      <c r="G227" s="773"/>
      <c r="H227" s="773"/>
      <c r="I227" s="773"/>
      <c r="J227" s="773"/>
      <c r="K227" s="773"/>
      <c r="L227" s="773"/>
      <c r="M227" s="773"/>
      <c r="N227" s="773"/>
      <c r="O227" s="773"/>
      <c r="P227" s="773"/>
      <c r="Q227" s="773"/>
      <c r="R227" s="773"/>
      <c r="S227" s="773"/>
      <c r="T227" s="773"/>
      <c r="U227" s="773"/>
      <c r="V227" s="773"/>
      <c r="W227" s="773"/>
      <c r="X227" s="773"/>
      <c r="Y227" s="773"/>
      <c r="Z227" s="773"/>
      <c r="AA227" s="773"/>
      <c r="AB227" s="773"/>
      <c r="AC227" s="773"/>
      <c r="AD227" s="773"/>
      <c r="AE227" s="773"/>
      <c r="AF227" s="773"/>
      <c r="AG227" s="773"/>
      <c r="AH227" s="773"/>
      <c r="AI227" s="773"/>
      <c r="AJ227" s="773"/>
      <c r="AK227" s="2013"/>
      <c r="AL227" s="2013"/>
      <c r="AM227" s="2013"/>
      <c r="AN227" s="253"/>
      <c r="AO227" s="253"/>
      <c r="AP227" s="253"/>
      <c r="AQ227" s="658"/>
      <c r="AR227" s="658"/>
      <c r="AS227" s="658"/>
      <c r="AT227" s="658"/>
      <c r="AU227" s="658"/>
      <c r="AV227" s="658"/>
      <c r="AW227" s="658"/>
      <c r="AX227" s="658"/>
      <c r="AY227" s="658"/>
      <c r="AZ227" s="658"/>
      <c r="BA227"/>
      <c r="BB227"/>
    </row>
    <row r="228" spans="1:54" s="815" customFormat="1" ht="15.75" customHeight="1" thickBot="1">
      <c r="A228" s="2013"/>
      <c r="B228" s="3827">
        <v>31</v>
      </c>
      <c r="C228" s="253"/>
      <c r="D228" s="511" t="s">
        <v>6462</v>
      </c>
      <c r="E228" s="511"/>
      <c r="F228" s="511"/>
      <c r="G228" s="253"/>
      <c r="H228" s="253"/>
      <c r="I228" s="253"/>
      <c r="J228" s="253"/>
      <c r="K228" s="253"/>
      <c r="L228" s="253"/>
      <c r="M228" s="253"/>
      <c r="N228" s="253"/>
      <c r="O228" s="253"/>
      <c r="P228" s="253"/>
      <c r="Q228" s="253"/>
      <c r="R228" s="253"/>
      <c r="S228" s="253"/>
      <c r="T228" s="253"/>
      <c r="U228" s="253"/>
      <c r="V228" s="253"/>
      <c r="W228" s="253"/>
      <c r="X228" s="253"/>
      <c r="Y228" s="253"/>
      <c r="Z228" s="253"/>
      <c r="AA228" s="253"/>
      <c r="AB228" s="253"/>
      <c r="AC228" s="253"/>
      <c r="AD228" s="2890"/>
      <c r="AE228" s="253"/>
      <c r="AF228" s="253"/>
      <c r="AG228" s="253"/>
      <c r="AH228" s="253"/>
      <c r="AI228" s="253"/>
      <c r="AJ228" s="253"/>
      <c r="AK228" s="2013"/>
      <c r="AL228" s="2013"/>
      <c r="AM228" s="2013"/>
      <c r="AN228" s="253"/>
      <c r="AO228" s="253"/>
      <c r="AP228" s="253"/>
      <c r="AQ228" s="658"/>
      <c r="AR228" s="658"/>
      <c r="AS228" s="658"/>
      <c r="AT228" s="658"/>
      <c r="AU228" s="658"/>
      <c r="AV228" s="658"/>
      <c r="AW228" s="658"/>
      <c r="AX228" s="658"/>
      <c r="AY228" s="658"/>
      <c r="AZ228" s="658"/>
      <c r="BA228"/>
      <c r="BB228"/>
    </row>
    <row r="229" spans="1:54" s="815" customFormat="1" ht="15.75" thickBot="1">
      <c r="A229" s="2013"/>
      <c r="B229" s="380"/>
      <c r="C229" s="380"/>
      <c r="D229" s="2015" t="s">
        <v>6461</v>
      </c>
      <c r="E229" s="2015"/>
      <c r="F229" s="2015"/>
      <c r="G229" s="380"/>
      <c r="H229" s="380"/>
      <c r="I229" s="380"/>
      <c r="J229" s="380"/>
      <c r="K229" s="380"/>
      <c r="L229" s="380"/>
      <c r="M229" s="380"/>
      <c r="N229" s="380"/>
      <c r="O229" s="380"/>
      <c r="P229" s="380"/>
      <c r="Q229" s="380"/>
      <c r="R229" s="380"/>
      <c r="S229" s="380"/>
      <c r="T229" s="380"/>
      <c r="U229" s="380"/>
      <c r="V229" s="380"/>
      <c r="W229" s="380"/>
      <c r="X229" s="380"/>
      <c r="Y229" s="380"/>
      <c r="Z229" s="380"/>
      <c r="AA229" s="380"/>
      <c r="AB229" s="380"/>
      <c r="AC229" s="1658" t="s">
        <v>4295</v>
      </c>
      <c r="AD229" s="2919">
        <v>31</v>
      </c>
      <c r="AE229" s="10759" t="str">
        <f>IF(AO229&lt;&gt;"",ROUND(AO229,0),IF(OR(AH221,AY216=""),"",AY216))</f>
        <v/>
      </c>
      <c r="AF229" s="11123"/>
      <c r="AG229" s="11123"/>
      <c r="AH229" s="11123"/>
      <c r="AI229" s="11123"/>
      <c r="AJ229" s="11123"/>
      <c r="AK229" s="2013"/>
      <c r="AL229" s="2013"/>
      <c r="AM229" s="2013"/>
      <c r="AN229" s="253"/>
      <c r="AO229" s="1113"/>
      <c r="AP229" s="253"/>
      <c r="AQ229" s="658"/>
      <c r="AR229" s="658"/>
      <c r="AS229" s="658"/>
      <c r="AT229" s="658"/>
      <c r="AU229" s="658"/>
      <c r="AV229" s="658"/>
      <c r="AW229" s="658"/>
      <c r="AX229" s="658"/>
      <c r="AY229" s="658"/>
      <c r="AZ229" s="658"/>
      <c r="BA229"/>
      <c r="BB229"/>
    </row>
    <row r="230" spans="1:54" s="815" customFormat="1" ht="15.75">
      <c r="A230" s="2013"/>
      <c r="B230" s="2447"/>
      <c r="C230" s="1560"/>
      <c r="D230" s="1560"/>
      <c r="E230" s="1560"/>
      <c r="F230" s="1560"/>
      <c r="G230" s="1560"/>
      <c r="H230" s="1560"/>
      <c r="I230" s="1560"/>
      <c r="J230" s="1560"/>
      <c r="K230" s="1560"/>
      <c r="L230" s="1560"/>
      <c r="M230" s="1560"/>
      <c r="N230" s="1560"/>
      <c r="O230" s="1560"/>
      <c r="P230" s="1560"/>
      <c r="Q230" s="88"/>
      <c r="R230" s="88"/>
      <c r="S230" s="88"/>
      <c r="T230" s="88"/>
      <c r="U230" s="3931"/>
      <c r="V230" s="88"/>
      <c r="W230" s="3931"/>
      <c r="X230" s="88"/>
      <c r="Y230" s="88"/>
      <c r="Z230" s="88"/>
      <c r="AA230" s="88"/>
      <c r="AB230" s="88"/>
      <c r="AC230" s="88"/>
      <c r="AD230" s="88"/>
      <c r="AE230" s="88"/>
      <c r="AF230" s="88"/>
      <c r="AG230" s="88"/>
      <c r="AH230" s="2052" t="s">
        <v>4251</v>
      </c>
      <c r="AI230" s="88"/>
      <c r="AJ230" s="2052" t="str">
        <f>"("&amp;TaxYear&amp;")"</f>
        <v>(2025)</v>
      </c>
      <c r="AK230" s="2013"/>
      <c r="AL230" s="2013"/>
      <c r="AM230" s="2013"/>
      <c r="AN230" s="416"/>
      <c r="AO230" s="416"/>
      <c r="AP230" s="253"/>
      <c r="AQ230" s="658"/>
      <c r="AR230" s="658"/>
      <c r="AS230" s="658"/>
      <c r="AT230" s="658"/>
      <c r="AU230" s="658"/>
      <c r="AV230" s="658"/>
      <c r="AW230" s="658"/>
      <c r="AX230" s="658"/>
      <c r="AY230" s="658"/>
      <c r="AZ230" s="658"/>
      <c r="BA230"/>
      <c r="BB230"/>
    </row>
    <row r="231" spans="1:54" s="815" customFormat="1" ht="18" customHeight="1" thickBot="1">
      <c r="A231" s="2013"/>
      <c r="B231" s="721" t="str">
        <f>"Form 8863 ("&amp;TaxYear&amp;")"</f>
        <v>Form 8863 (2025)</v>
      </c>
      <c r="C231" s="721"/>
      <c r="D231" s="721"/>
      <c r="E231" s="721"/>
      <c r="F231" s="721"/>
      <c r="G231" s="721"/>
      <c r="H231" s="721"/>
      <c r="I231" s="721"/>
      <c r="J231" s="721"/>
      <c r="K231" s="721"/>
      <c r="L231" s="721"/>
      <c r="M231" s="721"/>
      <c r="N231" s="721"/>
      <c r="O231" s="721"/>
      <c r="P231" s="721"/>
      <c r="Q231" s="721"/>
      <c r="R231" s="721"/>
      <c r="S231" s="721"/>
      <c r="T231" s="721"/>
      <c r="U231" s="721"/>
      <c r="V231" s="721"/>
      <c r="W231" s="721"/>
      <c r="X231" s="721"/>
      <c r="Y231" s="721"/>
      <c r="Z231" s="721"/>
      <c r="AA231" s="721"/>
      <c r="AB231" s="721"/>
      <c r="AC231" s="721"/>
      <c r="AD231" s="721"/>
      <c r="AE231" s="721"/>
      <c r="AF231" s="721"/>
      <c r="AG231" s="721"/>
      <c r="AH231" s="721"/>
      <c r="AI231" s="2053" t="s">
        <v>2079</v>
      </c>
      <c r="AJ231" s="2054">
        <v>2</v>
      </c>
      <c r="AK231" s="2013"/>
      <c r="AL231" s="2013"/>
      <c r="AM231" s="2013"/>
      <c r="AN231" s="253"/>
      <c r="AO231" s="253"/>
      <c r="AP231" s="253"/>
      <c r="AQ231" s="658"/>
      <c r="AR231" s="658"/>
      <c r="AS231" s="658"/>
      <c r="AT231" s="658"/>
      <c r="AU231" s="658"/>
      <c r="AV231" s="658"/>
      <c r="AW231" s="658"/>
      <c r="AX231" s="658"/>
      <c r="AY231" s="658"/>
      <c r="AZ231" s="658"/>
      <c r="BA231"/>
      <c r="BB231"/>
    </row>
    <row r="232" spans="1:54" s="815" customFormat="1" ht="16.5" customHeight="1" thickTop="1">
      <c r="A232" s="2013"/>
      <c r="B232" s="2002" t="s">
        <v>1918</v>
      </c>
      <c r="C232" s="413"/>
      <c r="D232" s="413"/>
      <c r="E232" s="413"/>
      <c r="F232" s="413"/>
      <c r="G232" s="413"/>
      <c r="H232" s="413"/>
      <c r="I232" s="413"/>
      <c r="J232" s="413"/>
      <c r="K232" s="413"/>
      <c r="L232" s="413"/>
      <c r="M232" s="413"/>
      <c r="N232" s="413"/>
      <c r="O232" s="413"/>
      <c r="P232" s="413"/>
      <c r="Q232" s="413"/>
      <c r="R232" s="413"/>
      <c r="S232" s="413"/>
      <c r="T232" s="413"/>
      <c r="U232" s="413"/>
      <c r="V232" s="413"/>
      <c r="W232" s="413"/>
      <c r="X232" s="413"/>
      <c r="Y232" s="413"/>
      <c r="Z232" s="413"/>
      <c r="AA232" s="413"/>
      <c r="AB232" s="413"/>
      <c r="AC232" s="11126" t="s">
        <v>549</v>
      </c>
      <c r="AD232" s="11127"/>
      <c r="AE232" s="11127"/>
      <c r="AF232" s="11127"/>
      <c r="AG232" s="11127"/>
      <c r="AH232" s="11127"/>
      <c r="AI232" s="11127"/>
      <c r="AJ232" s="11127"/>
      <c r="AK232" s="2013"/>
      <c r="AL232" s="2013"/>
      <c r="AM232" s="2013"/>
      <c r="AN232" s="253"/>
      <c r="AO232" s="253"/>
      <c r="AP232" s="253"/>
      <c r="AQ232" s="658"/>
      <c r="AR232" s="658"/>
      <c r="AS232" s="658"/>
      <c r="AT232" s="658"/>
      <c r="AU232" s="658"/>
      <c r="AV232" s="658"/>
      <c r="AW232" s="658"/>
      <c r="AX232" s="658"/>
      <c r="AY232" s="658"/>
      <c r="AZ232" s="658"/>
      <c r="BA232"/>
      <c r="BB232"/>
    </row>
    <row r="233" spans="1:54" s="815" customFormat="1" ht="21.75" customHeight="1">
      <c r="A233" s="2013"/>
      <c r="B233" s="11128" t="str">
        <f>Names</f>
        <v/>
      </c>
      <c r="C233" s="11129"/>
      <c r="D233" s="11129"/>
      <c r="E233" s="11129"/>
      <c r="F233" s="11129"/>
      <c r="G233" s="11129"/>
      <c r="H233" s="11129"/>
      <c r="I233" s="11129"/>
      <c r="J233" s="11129"/>
      <c r="K233" s="11129"/>
      <c r="L233" s="11129"/>
      <c r="M233" s="11129"/>
      <c r="N233" s="11129"/>
      <c r="O233" s="11129"/>
      <c r="P233" s="11129"/>
      <c r="Q233" s="11129"/>
      <c r="R233" s="11129"/>
      <c r="S233" s="11129"/>
      <c r="T233" s="11129"/>
      <c r="U233" s="11129"/>
      <c r="V233" s="11129"/>
      <c r="W233" s="11129"/>
      <c r="X233" s="11129"/>
      <c r="Y233" s="11129"/>
      <c r="Z233" s="11129"/>
      <c r="AA233" s="11129"/>
      <c r="AB233" s="11130"/>
      <c r="AC233" s="11131">
        <f>IF(OR(NoSSN,SS_Yours=""),"",SS_Yours)</f>
        <v>1010001</v>
      </c>
      <c r="AD233" s="11132"/>
      <c r="AE233" s="11132"/>
      <c r="AF233" s="11132"/>
      <c r="AG233" s="11132"/>
      <c r="AH233" s="11132"/>
      <c r="AI233" s="11132"/>
      <c r="AJ233" s="11132"/>
      <c r="AK233" s="2013"/>
      <c r="AL233" s="2013"/>
      <c r="AM233" s="2013"/>
      <c r="AN233" s="253"/>
      <c r="AO233" s="253"/>
      <c r="AP233" s="253"/>
      <c r="AQ233" s="658"/>
      <c r="AR233" s="658"/>
      <c r="AS233" s="658"/>
      <c r="AT233" s="658"/>
      <c r="AU233" s="658"/>
      <c r="AV233" s="658"/>
      <c r="AW233" s="658"/>
      <c r="AX233" s="658"/>
      <c r="AY233" s="658"/>
      <c r="AZ233" s="658"/>
      <c r="BA233"/>
      <c r="BB233"/>
    </row>
    <row r="234" spans="1:54" s="815" customFormat="1" ht="6" customHeight="1">
      <c r="A234" s="2013"/>
      <c r="B234" s="4543"/>
      <c r="C234" s="4543"/>
      <c r="D234" s="4543" t="s">
        <v>3982</v>
      </c>
      <c r="E234" s="4543"/>
      <c r="F234" s="4543"/>
      <c r="G234" s="4543"/>
      <c r="H234" s="4543"/>
      <c r="I234" s="4543"/>
      <c r="J234" s="4543"/>
      <c r="K234" s="4543"/>
      <c r="L234" s="4543"/>
      <c r="M234" s="4543"/>
      <c r="N234" s="4543"/>
      <c r="O234" s="4543"/>
      <c r="P234" s="4543"/>
      <c r="Q234" s="4543"/>
      <c r="R234" s="4543"/>
      <c r="S234" s="4543"/>
      <c r="T234" s="4543"/>
      <c r="U234" s="4543"/>
      <c r="V234" s="4543"/>
      <c r="W234" s="4543"/>
      <c r="X234" s="4543"/>
      <c r="Y234" s="4543"/>
      <c r="Z234" s="4543"/>
      <c r="AA234" s="4543"/>
      <c r="AB234" s="4543"/>
      <c r="AC234" s="4543"/>
      <c r="AD234" s="4543"/>
      <c r="AE234" s="4543"/>
      <c r="AF234" s="4543"/>
      <c r="AG234" s="4543"/>
      <c r="AH234" s="4543"/>
      <c r="AI234" s="4543"/>
      <c r="AJ234" s="4543"/>
      <c r="AK234" s="2013"/>
      <c r="AL234" s="2013"/>
      <c r="AM234" s="2013"/>
      <c r="AN234" s="253"/>
      <c r="AO234" s="253"/>
      <c r="AP234" s="253"/>
      <c r="AQ234" s="658"/>
      <c r="AR234" s="658"/>
      <c r="AS234" s="658"/>
      <c r="AT234" s="658"/>
      <c r="AU234" s="658"/>
      <c r="AV234" s="658"/>
      <c r="AW234" s="658"/>
      <c r="AX234" s="658"/>
      <c r="AY234" s="658"/>
      <c r="AZ234" s="658"/>
      <c r="BA234"/>
      <c r="BB234"/>
    </row>
    <row r="235" spans="1:54" s="1115" customFormat="1" ht="15.75" customHeight="1">
      <c r="A235" s="2290"/>
      <c r="B235" s="5969" t="s">
        <v>6458</v>
      </c>
      <c r="C235" s="4492"/>
      <c r="D235" s="6536"/>
      <c r="E235" s="2325"/>
      <c r="F235" s="2325"/>
      <c r="G235" s="2325"/>
      <c r="H235" s="2325"/>
      <c r="I235" s="2325"/>
      <c r="J235" s="2325"/>
      <c r="K235" s="2325"/>
      <c r="L235" s="2325"/>
      <c r="M235" s="2325"/>
      <c r="N235" s="2325"/>
      <c r="O235" s="2325"/>
      <c r="P235" s="2325"/>
      <c r="Q235" s="2325"/>
      <c r="R235" s="2325"/>
      <c r="S235" s="2325"/>
      <c r="T235" s="2325"/>
      <c r="U235" s="2325"/>
      <c r="V235" s="2325"/>
      <c r="W235" s="2325"/>
      <c r="X235" s="2325"/>
      <c r="Y235" s="2325"/>
      <c r="Z235" s="2325"/>
      <c r="AA235" s="2325"/>
      <c r="AB235" s="2325"/>
      <c r="AC235" s="2325"/>
      <c r="AD235" s="2325"/>
      <c r="AE235" s="2325"/>
      <c r="AF235" s="2325"/>
      <c r="AG235" s="2325"/>
      <c r="AH235" s="2325"/>
      <c r="AI235" s="2325"/>
      <c r="AJ235" s="2325"/>
      <c r="AK235" s="2290"/>
      <c r="AL235" s="2290"/>
      <c r="AM235" s="2290"/>
      <c r="AN235" s="4520"/>
      <c r="AO235" s="4520"/>
      <c r="AP235" s="4521"/>
      <c r="AQ235" s="1114"/>
      <c r="AR235" s="1114"/>
      <c r="AS235" s="1114"/>
      <c r="AT235" s="1114"/>
      <c r="AU235" s="1114"/>
      <c r="AV235" s="1114"/>
      <c r="AW235" s="1114"/>
      <c r="AX235" s="1114"/>
      <c r="AY235" s="1114"/>
      <c r="AZ235" s="1114"/>
      <c r="BA235" s="2293"/>
      <c r="BB235" s="2293"/>
    </row>
    <row r="236" spans="1:54" s="1115" customFormat="1" ht="15.75" customHeight="1">
      <c r="A236" s="2290"/>
      <c r="B236" s="5969" t="s">
        <v>6459</v>
      </c>
      <c r="C236" s="4492"/>
      <c r="D236" s="2325"/>
      <c r="E236" s="2325"/>
      <c r="F236" s="2325"/>
      <c r="G236" s="2325"/>
      <c r="H236" s="2325"/>
      <c r="I236" s="2325"/>
      <c r="J236" s="2325"/>
      <c r="K236" s="2325"/>
      <c r="L236" s="2325"/>
      <c r="M236" s="2325"/>
      <c r="N236" s="2325"/>
      <c r="O236" s="2325"/>
      <c r="P236" s="2325"/>
      <c r="Q236" s="2325"/>
      <c r="R236" s="2325"/>
      <c r="S236" s="2325"/>
      <c r="T236" s="2325"/>
      <c r="U236" s="2325"/>
      <c r="V236" s="2325"/>
      <c r="W236" s="2325"/>
      <c r="X236" s="2325"/>
      <c r="Y236" s="2325"/>
      <c r="Z236" s="2325"/>
      <c r="AA236" s="2325"/>
      <c r="AB236" s="2325"/>
      <c r="AC236" s="2325"/>
      <c r="AD236" s="2325"/>
      <c r="AE236" s="2325"/>
      <c r="AF236" s="2325"/>
      <c r="AG236" s="2325"/>
      <c r="AH236" s="2325"/>
      <c r="AI236" s="2325"/>
      <c r="AJ236" s="2325"/>
      <c r="AK236" s="2290"/>
      <c r="AL236" s="2290"/>
      <c r="AM236" s="2290"/>
      <c r="AN236" s="4520"/>
      <c r="AO236" s="4520"/>
      <c r="AP236" s="4521"/>
      <c r="AQ236" s="1114"/>
      <c r="AR236" s="1114"/>
      <c r="AS236" s="1114"/>
      <c r="AT236" s="1114"/>
      <c r="AU236" s="1114"/>
      <c r="AV236" s="1114"/>
      <c r="AW236" s="1114"/>
      <c r="AX236" s="1114"/>
      <c r="AY236" s="1114"/>
      <c r="AZ236" s="1114"/>
      <c r="BA236" s="2293"/>
      <c r="BB236" s="2293"/>
    </row>
    <row r="237" spans="1:54" s="815" customFormat="1" ht="7.5" customHeight="1">
      <c r="A237" s="2013"/>
      <c r="B237" s="4544"/>
      <c r="C237" s="4544"/>
      <c r="D237" s="4544"/>
      <c r="E237" s="4544"/>
      <c r="F237" s="4544"/>
      <c r="G237" s="4544"/>
      <c r="H237" s="4544"/>
      <c r="I237" s="4544"/>
      <c r="J237" s="4544"/>
      <c r="K237" s="4544"/>
      <c r="L237" s="4544"/>
      <c r="M237" s="4544"/>
      <c r="N237" s="4544"/>
      <c r="O237" s="4544"/>
      <c r="P237" s="4544"/>
      <c r="Q237" s="4544"/>
      <c r="R237" s="4544"/>
      <c r="S237" s="4544"/>
      <c r="T237" s="4544"/>
      <c r="U237" s="4544"/>
      <c r="V237" s="4544"/>
      <c r="W237" s="4544"/>
      <c r="X237" s="4544"/>
      <c r="Y237" s="4544"/>
      <c r="Z237" s="4544"/>
      <c r="AA237" s="4544"/>
      <c r="AB237" s="4544"/>
      <c r="AC237" s="4544"/>
      <c r="AD237" s="4544"/>
      <c r="AE237" s="4544"/>
      <c r="AF237" s="4544"/>
      <c r="AG237" s="4544"/>
      <c r="AH237" s="4544"/>
      <c r="AI237" s="4544"/>
      <c r="AJ237" s="4544"/>
      <c r="AK237" s="2013"/>
      <c r="AL237" s="2013"/>
      <c r="AM237" s="2013"/>
      <c r="AN237" s="253"/>
      <c r="AO237" s="253"/>
      <c r="AP237" s="253"/>
      <c r="AQ237" s="658"/>
      <c r="AR237" s="658"/>
      <c r="AS237" s="658"/>
      <c r="AT237" s="658"/>
      <c r="AU237" s="658"/>
      <c r="AV237" s="658"/>
      <c r="AW237" s="658"/>
      <c r="AX237" s="658"/>
      <c r="AY237" s="658"/>
      <c r="AZ237" s="658"/>
      <c r="BA237"/>
      <c r="BB237"/>
    </row>
    <row r="238" spans="1:54" s="815" customFormat="1" ht="19.5" customHeight="1">
      <c r="A238" s="2013"/>
      <c r="B238" s="7934" t="s">
        <v>1938</v>
      </c>
      <c r="C238" s="7934"/>
      <c r="D238" s="3879"/>
      <c r="E238" s="2873" t="s">
        <v>4252</v>
      </c>
      <c r="F238" s="413"/>
      <c r="G238" s="413"/>
      <c r="H238" s="413"/>
      <c r="I238" s="413"/>
      <c r="J238" s="413"/>
      <c r="K238" s="413"/>
      <c r="L238" s="413"/>
      <c r="M238" s="413"/>
      <c r="N238" s="413"/>
      <c r="O238" s="413"/>
      <c r="P238" s="413"/>
      <c r="Q238" s="413"/>
      <c r="R238" s="413"/>
      <c r="S238" s="413"/>
      <c r="T238" s="413"/>
      <c r="U238" s="413"/>
      <c r="V238" s="413"/>
      <c r="W238" s="413"/>
      <c r="X238" s="413"/>
      <c r="Y238" s="413"/>
      <c r="Z238" s="413"/>
      <c r="AA238" s="413"/>
      <c r="AB238" s="413"/>
      <c r="AC238" s="413"/>
      <c r="AD238" s="413"/>
      <c r="AE238" s="413"/>
      <c r="AF238" s="413"/>
      <c r="AG238" s="413"/>
      <c r="AH238" s="413"/>
      <c r="AI238" s="413"/>
      <c r="AJ238" s="413"/>
      <c r="AK238" s="2013"/>
      <c r="AL238" s="2013"/>
      <c r="AM238" s="2013"/>
      <c r="AN238" s="253"/>
      <c r="AO238" s="253"/>
      <c r="AP238" s="253"/>
      <c r="AQ238" s="658"/>
      <c r="AR238" s="658"/>
      <c r="AS238" s="658"/>
      <c r="AT238" s="658"/>
      <c r="AU238" s="658"/>
      <c r="AV238" s="658"/>
      <c r="AW238" s="658"/>
      <c r="AX238" s="658"/>
      <c r="AY238" s="658"/>
      <c r="AZ238" s="658"/>
      <c r="BA238"/>
      <c r="BB238"/>
    </row>
    <row r="239" spans="1:54" s="815" customFormat="1" ht="16.5" customHeight="1">
      <c r="A239" s="2013"/>
      <c r="B239" s="3827" t="s">
        <v>268</v>
      </c>
      <c r="C239" s="253"/>
      <c r="D239" s="4545" t="s">
        <v>4253</v>
      </c>
      <c r="E239" s="406"/>
      <c r="F239" s="406"/>
      <c r="G239" s="406"/>
      <c r="H239" s="406"/>
      <c r="I239" s="406"/>
      <c r="J239" s="406"/>
      <c r="K239" s="406"/>
      <c r="L239" s="406"/>
      <c r="M239" s="407"/>
      <c r="N239" s="3807"/>
      <c r="O239" s="565"/>
      <c r="P239" s="406"/>
      <c r="Q239" s="406"/>
      <c r="R239" s="565"/>
      <c r="S239" s="565"/>
      <c r="T239" s="3807">
        <v>21</v>
      </c>
      <c r="U239" s="4545" t="s">
        <v>4254</v>
      </c>
      <c r="V239" s="565"/>
      <c r="W239" s="565"/>
      <c r="X239" s="565"/>
      <c r="Y239" s="565"/>
      <c r="Z239" s="565"/>
      <c r="AA239" s="565"/>
      <c r="AB239" s="4546"/>
      <c r="AC239" s="565"/>
      <c r="AD239" s="565"/>
      <c r="AE239" s="565"/>
      <c r="AF239" s="565"/>
      <c r="AG239" s="406"/>
      <c r="AH239" s="565"/>
      <c r="AI239" s="565"/>
      <c r="AJ239" s="565"/>
      <c r="AK239" s="2013"/>
      <c r="AL239" s="2013"/>
      <c r="AM239" s="2013"/>
      <c r="AN239" s="253"/>
      <c r="AO239" s="253"/>
      <c r="AP239" s="253"/>
      <c r="AQ239" s="658"/>
      <c r="AR239" s="658"/>
      <c r="AS239" s="658"/>
      <c r="AT239" s="658"/>
      <c r="AU239" s="658"/>
      <c r="AV239" s="658"/>
      <c r="AW239" s="658"/>
      <c r="AX239" s="658"/>
      <c r="AY239" s="658"/>
      <c r="AZ239" s="658"/>
      <c r="BA239"/>
      <c r="BB239"/>
    </row>
    <row r="240" spans="1:54" s="815" customFormat="1" ht="15">
      <c r="A240" s="2013"/>
      <c r="B240" s="3827"/>
      <c r="C240" s="253"/>
      <c r="D240" s="11138"/>
      <c r="E240" s="11138"/>
      <c r="F240" s="11138"/>
      <c r="G240" s="11138"/>
      <c r="H240" s="11138"/>
      <c r="I240" s="11138"/>
      <c r="J240" s="11138"/>
      <c r="K240" s="11138"/>
      <c r="L240" s="11138"/>
      <c r="M240" s="11138"/>
      <c r="N240" s="11138"/>
      <c r="O240" s="11138"/>
      <c r="P240" s="11138"/>
      <c r="Q240" s="11138"/>
      <c r="R240" s="11138"/>
      <c r="S240" s="11139"/>
      <c r="T240" s="4547"/>
      <c r="U240" s="2100" t="s">
        <v>4255</v>
      </c>
      <c r="V240" s="4548"/>
      <c r="W240" s="4548"/>
      <c r="X240" s="4548"/>
      <c r="Y240" s="4548"/>
      <c r="Z240" s="4548"/>
      <c r="AA240" s="4548"/>
      <c r="AB240" s="4548"/>
      <c r="AC240" s="4548"/>
      <c r="AD240" s="4548"/>
      <c r="AE240" s="4548"/>
      <c r="AF240" s="4548"/>
      <c r="AG240" s="4548"/>
      <c r="AH240" s="4548"/>
      <c r="AI240" s="4548"/>
      <c r="AJ240" s="4548"/>
      <c r="AK240" s="2013"/>
      <c r="AL240" s="2013"/>
      <c r="AM240" s="2013"/>
      <c r="AN240" s="253"/>
      <c r="AO240" s="253"/>
      <c r="AP240" s="253"/>
      <c r="AQ240" s="658"/>
      <c r="AR240" s="658"/>
      <c r="AS240" s="658"/>
      <c r="AT240" s="658"/>
      <c r="AU240" s="658"/>
      <c r="AV240" s="658"/>
      <c r="AW240" s="658"/>
      <c r="AX240" s="658"/>
      <c r="AY240" s="658"/>
      <c r="AZ240" s="658"/>
      <c r="BA240"/>
      <c r="BB240"/>
    </row>
    <row r="241" spans="1:54" s="815" customFormat="1" ht="18" customHeight="1">
      <c r="A241" s="2013"/>
      <c r="B241" s="3827"/>
      <c r="C241" s="253"/>
      <c r="D241" s="11140"/>
      <c r="E241" s="11140"/>
      <c r="F241" s="11140"/>
      <c r="G241" s="11140"/>
      <c r="H241" s="11140"/>
      <c r="I241" s="11140"/>
      <c r="J241" s="11140"/>
      <c r="K241" s="11140"/>
      <c r="L241" s="11140"/>
      <c r="M241" s="11140"/>
      <c r="N241" s="11140"/>
      <c r="O241" s="11140"/>
      <c r="P241" s="11140"/>
      <c r="Q241" s="11140"/>
      <c r="R241" s="11140"/>
      <c r="S241" s="11141"/>
      <c r="T241" s="1110"/>
      <c r="U241" s="11142"/>
      <c r="V241" s="11142"/>
      <c r="W241" s="11142"/>
      <c r="X241" s="11142"/>
      <c r="Y241" s="11142"/>
      <c r="Z241" s="11142"/>
      <c r="AA241" s="11142"/>
      <c r="AB241" s="11142"/>
      <c r="AC241" s="11142"/>
      <c r="AD241" s="11142"/>
      <c r="AE241" s="11142"/>
      <c r="AF241" s="11142"/>
      <c r="AG241" s="11142"/>
      <c r="AH241" s="11142"/>
      <c r="AI241" s="11142"/>
      <c r="AJ241" s="11142"/>
      <c r="AK241" s="2013"/>
      <c r="AL241" s="2013"/>
      <c r="AM241" s="2013"/>
      <c r="AN241" s="253"/>
      <c r="AO241" s="253"/>
      <c r="AP241" s="253"/>
      <c r="AQ241" s="658"/>
      <c r="AR241" s="658"/>
      <c r="AS241" s="658"/>
      <c r="AT241" s="658"/>
      <c r="AU241" s="658"/>
      <c r="AV241" s="658"/>
      <c r="AW241" s="658"/>
      <c r="AX241" s="658"/>
      <c r="AY241" s="658"/>
      <c r="AZ241" s="658"/>
      <c r="BA241"/>
      <c r="BB241"/>
    </row>
    <row r="242" spans="1:54" s="815" customFormat="1" ht="16.5" customHeight="1">
      <c r="A242" s="2013"/>
      <c r="B242" s="3844">
        <v>22</v>
      </c>
      <c r="C242" s="773"/>
      <c r="D242" s="1996" t="s">
        <v>4256</v>
      </c>
      <c r="E242" s="413"/>
      <c r="F242" s="413"/>
      <c r="G242" s="413"/>
      <c r="H242" s="413"/>
      <c r="I242" s="413"/>
      <c r="J242" s="413"/>
      <c r="K242" s="413"/>
      <c r="L242" s="413"/>
      <c r="M242" s="413"/>
      <c r="N242" s="413"/>
      <c r="O242" s="413"/>
      <c r="P242" s="413"/>
      <c r="Q242" s="413"/>
      <c r="R242" s="413"/>
      <c r="S242" s="413"/>
      <c r="T242" s="413"/>
      <c r="U242" s="413"/>
      <c r="V242" s="413"/>
      <c r="W242" s="413"/>
      <c r="X242" s="413"/>
      <c r="Y242" s="413"/>
      <c r="Z242" s="413"/>
      <c r="AA242" s="413"/>
      <c r="AB242" s="413"/>
      <c r="AC242" s="413"/>
      <c r="AD242" s="413"/>
      <c r="AE242" s="413"/>
      <c r="AF242" s="413"/>
      <c r="AG242" s="413"/>
      <c r="AH242" s="413"/>
      <c r="AI242" s="413"/>
      <c r="AJ242" s="413"/>
      <c r="AK242" s="2013"/>
      <c r="AL242" s="2013"/>
      <c r="AM242" s="2013"/>
      <c r="AN242" s="253"/>
      <c r="AO242" s="253"/>
      <c r="AP242" s="253"/>
      <c r="AQ242" s="658"/>
      <c r="AR242" s="658"/>
      <c r="AS242" s="658"/>
      <c r="AT242" s="658"/>
      <c r="AU242" s="658"/>
      <c r="AV242" s="658"/>
      <c r="AW242" s="658"/>
      <c r="AX242" s="658"/>
      <c r="AY242" s="658"/>
      <c r="AZ242" s="658"/>
      <c r="BA242"/>
      <c r="BB242"/>
    </row>
    <row r="243" spans="1:54" s="815" customFormat="1" ht="16.5" customHeight="1">
      <c r="A243" s="2013"/>
      <c r="B243" s="3827"/>
      <c r="C243" s="253"/>
      <c r="D243" s="3903" t="s">
        <v>1214</v>
      </c>
      <c r="E243" s="565" t="s">
        <v>4257</v>
      </c>
      <c r="F243" s="406"/>
      <c r="G243" s="406"/>
      <c r="H243" s="406"/>
      <c r="I243" s="406"/>
      <c r="J243" s="406"/>
      <c r="K243" s="406"/>
      <c r="L243" s="406"/>
      <c r="M243" s="406"/>
      <c r="N243" s="3903"/>
      <c r="O243" s="565"/>
      <c r="P243" s="406"/>
      <c r="Q243" s="406"/>
      <c r="R243" s="565"/>
      <c r="S243" s="3542"/>
      <c r="T243" s="3807"/>
      <c r="U243" s="3903" t="s">
        <v>1181</v>
      </c>
      <c r="V243" s="565" t="s">
        <v>4258</v>
      </c>
      <c r="W243" s="565"/>
      <c r="X243" s="565"/>
      <c r="Y243" s="565"/>
      <c r="Z243" s="565"/>
      <c r="AA243" s="565"/>
      <c r="AB243" s="4546"/>
      <c r="AC243" s="565"/>
      <c r="AD243" s="565"/>
      <c r="AE243" s="565"/>
      <c r="AF243" s="406"/>
      <c r="AG243" s="565"/>
      <c r="AH243" s="565"/>
      <c r="AI243" s="565"/>
      <c r="AJ243" s="565"/>
      <c r="AK243" s="2013"/>
      <c r="AL243" s="2013"/>
      <c r="AM243" s="2013"/>
      <c r="AN243" s="253"/>
      <c r="AO243" s="253"/>
      <c r="AP243" s="253"/>
      <c r="AQ243" s="658"/>
      <c r="AR243" s="658"/>
      <c r="AS243" s="658"/>
      <c r="AT243" s="658"/>
      <c r="AU243" s="658"/>
      <c r="AV243" s="658"/>
      <c r="AW243" s="658"/>
      <c r="AX243" s="658"/>
      <c r="AY243" s="658"/>
      <c r="AZ243" s="658"/>
      <c r="BA243"/>
      <c r="BB243"/>
    </row>
    <row r="244" spans="1:54" s="815" customFormat="1" ht="18">
      <c r="A244" s="2013"/>
      <c r="B244" s="3827"/>
      <c r="C244"/>
      <c r="D244" s="11143"/>
      <c r="E244" s="11143"/>
      <c r="F244" s="11143"/>
      <c r="G244" s="11143"/>
      <c r="H244" s="11143"/>
      <c r="I244" s="11143"/>
      <c r="J244" s="11143"/>
      <c r="K244" s="11143"/>
      <c r="L244" s="11143"/>
      <c r="M244" s="11143"/>
      <c r="N244" s="11143"/>
      <c r="O244" s="11143"/>
      <c r="P244" s="11143"/>
      <c r="Q244" s="11143"/>
      <c r="R244" s="11143"/>
      <c r="S244" s="11144"/>
      <c r="T244" s="11148"/>
      <c r="U244" s="11149"/>
      <c r="V244" s="11149"/>
      <c r="W244" s="11149"/>
      <c r="X244" s="11149"/>
      <c r="Y244" s="11149"/>
      <c r="Z244" s="11149"/>
      <c r="AA244" s="11149"/>
      <c r="AB244" s="11149"/>
      <c r="AC244" s="11149"/>
      <c r="AD244" s="11149"/>
      <c r="AE244" s="11149"/>
      <c r="AF244" s="11149"/>
      <c r="AG244" s="11149"/>
      <c r="AH244" s="11149"/>
      <c r="AI244" s="11149"/>
      <c r="AJ244" s="11149"/>
      <c r="AK244" s="2013"/>
      <c r="AL244" s="2013"/>
      <c r="AM244" s="2013"/>
      <c r="AN244" s="253"/>
      <c r="AO244" s="253"/>
      <c r="AP244" s="253"/>
      <c r="AQ244" s="658"/>
      <c r="AR244" s="658"/>
      <c r="AS244" s="658"/>
      <c r="AT244" s="658"/>
      <c r="AU244" s="658"/>
      <c r="AV244" s="658"/>
      <c r="AW244" s="658"/>
      <c r="AX244" s="658"/>
      <c r="AY244" s="658"/>
      <c r="AZ244" s="658"/>
      <c r="BA244"/>
      <c r="BB244"/>
    </row>
    <row r="245" spans="1:54" s="815" customFormat="1" ht="12.75" customHeight="1">
      <c r="A245" s="2013"/>
      <c r="B245" s="253"/>
      <c r="C245" s="253"/>
      <c r="D245" s="1400" t="s">
        <v>3847</v>
      </c>
      <c r="E245" s="511" t="s">
        <v>4259</v>
      </c>
      <c r="F245" s="253"/>
      <c r="G245" s="253"/>
      <c r="H245" s="253"/>
      <c r="I245" s="253"/>
      <c r="J245" s="253"/>
      <c r="K245" s="253"/>
      <c r="L245" s="253"/>
      <c r="M245" s="253"/>
      <c r="N245" s="253"/>
      <c r="O245" s="253"/>
      <c r="P245" s="253"/>
      <c r="Q245" s="253"/>
      <c r="R245" s="253"/>
      <c r="S245" s="407"/>
      <c r="T245" s="253"/>
      <c r="U245" s="1400" t="s">
        <v>3847</v>
      </c>
      <c r="V245" s="511" t="s">
        <v>4259</v>
      </c>
      <c r="W245" s="253"/>
      <c r="X245" s="253"/>
      <c r="Y245" s="253"/>
      <c r="Z245" s="253"/>
      <c r="AA245" s="253"/>
      <c r="AB245" s="253"/>
      <c r="AC245" s="253"/>
      <c r="AD245" s="253"/>
      <c r="AE245" s="253"/>
      <c r="AF245" s="253"/>
      <c r="AG245" s="253"/>
      <c r="AH245" s="253"/>
      <c r="AI245" s="253"/>
      <c r="AJ245" s="253"/>
      <c r="AK245" s="2013"/>
      <c r="AL245" s="2013"/>
      <c r="AM245" s="2013"/>
      <c r="AN245" s="253"/>
      <c r="AO245" s="253"/>
      <c r="AP245" s="253"/>
      <c r="AQ245" s="658"/>
      <c r="AR245" s="658"/>
      <c r="AS245" s="658"/>
      <c r="AT245" s="658"/>
      <c r="AU245" s="658"/>
      <c r="AV245" s="658"/>
      <c r="AW245" s="658"/>
      <c r="AX245" s="658"/>
      <c r="AY245" s="658"/>
      <c r="AZ245" s="658"/>
      <c r="BA245"/>
      <c r="BB245"/>
    </row>
    <row r="246" spans="1:54" s="815" customFormat="1" ht="14.25">
      <c r="A246" s="2013"/>
      <c r="B246" s="253"/>
      <c r="C246" s="253"/>
      <c r="D246" s="253"/>
      <c r="E246" s="511" t="s">
        <v>4260</v>
      </c>
      <c r="F246" s="253"/>
      <c r="G246" s="253"/>
      <c r="H246" s="253"/>
      <c r="I246" s="253"/>
      <c r="J246" s="253"/>
      <c r="K246" s="253"/>
      <c r="L246" s="253"/>
      <c r="M246" s="253"/>
      <c r="N246" s="253"/>
      <c r="O246" s="253"/>
      <c r="P246" s="253"/>
      <c r="Q246" s="253"/>
      <c r="R246" s="253"/>
      <c r="S246" s="409"/>
      <c r="T246" s="253"/>
      <c r="U246" s="253"/>
      <c r="V246" s="511" t="s">
        <v>4260</v>
      </c>
      <c r="W246" s="253"/>
      <c r="X246" s="253"/>
      <c r="Y246" s="253"/>
      <c r="Z246" s="253"/>
      <c r="AA246" s="253"/>
      <c r="AB246" s="253"/>
      <c r="AC246" s="253"/>
      <c r="AD246" s="253"/>
      <c r="AE246" s="253"/>
      <c r="AF246" s="253"/>
      <c r="AG246" s="253"/>
      <c r="AH246" s="253"/>
      <c r="AI246" s="253"/>
      <c r="AJ246" s="253"/>
      <c r="AK246" s="2013"/>
      <c r="AL246" s="2013"/>
      <c r="AM246" s="2013"/>
      <c r="AN246" s="253"/>
      <c r="AO246" s="253"/>
      <c r="AP246" s="253"/>
      <c r="AQ246" s="658"/>
      <c r="AR246" s="658"/>
      <c r="AS246" s="658"/>
      <c r="AT246" s="658"/>
      <c r="AU246" s="658"/>
      <c r="AV246" s="658"/>
      <c r="AW246" s="658"/>
      <c r="AX246" s="658"/>
      <c r="AY246" s="658"/>
      <c r="AZ246" s="658"/>
      <c r="BA246"/>
      <c r="BB246"/>
    </row>
    <row r="247" spans="1:54" s="815" customFormat="1" ht="14.25">
      <c r="A247" s="2013"/>
      <c r="B247" s="253"/>
      <c r="C247" s="253"/>
      <c r="D247" s="253"/>
      <c r="E247" s="511" t="s">
        <v>2882</v>
      </c>
      <c r="F247" s="253"/>
      <c r="G247" s="253"/>
      <c r="H247" s="253"/>
      <c r="I247" s="253"/>
      <c r="J247" s="253"/>
      <c r="K247" s="253"/>
      <c r="L247" s="253"/>
      <c r="M247" s="253"/>
      <c r="N247" s="253"/>
      <c r="O247" s="253"/>
      <c r="P247" s="253"/>
      <c r="Q247" s="253"/>
      <c r="R247" s="253"/>
      <c r="S247" s="409"/>
      <c r="T247" s="253"/>
      <c r="U247" s="253"/>
      <c r="V247" s="511" t="s">
        <v>2882</v>
      </c>
      <c r="W247" s="253"/>
      <c r="X247" s="253"/>
      <c r="Y247" s="253"/>
      <c r="Z247" s="253"/>
      <c r="AA247" s="253"/>
      <c r="AB247" s="253"/>
      <c r="AC247" s="253"/>
      <c r="AD247" s="253"/>
      <c r="AE247" s="253"/>
      <c r="AF247" s="253"/>
      <c r="AG247" s="253"/>
      <c r="AH247" s="253"/>
      <c r="AI247" s="253"/>
      <c r="AJ247" s="253"/>
      <c r="AK247" s="2013"/>
      <c r="AL247" s="2013"/>
      <c r="AM247" s="2013"/>
      <c r="AN247" s="253"/>
      <c r="AO247" s="253"/>
      <c r="AP247" s="253"/>
      <c r="AQ247" s="658"/>
      <c r="AR247" s="658"/>
      <c r="AS247" s="658"/>
      <c r="AT247" s="658"/>
      <c r="AU247" s="658"/>
      <c r="AV247" s="658"/>
      <c r="AW247" s="658"/>
      <c r="AX247" s="658"/>
      <c r="AY247" s="658"/>
      <c r="AZ247" s="658"/>
      <c r="BA247"/>
      <c r="BB247"/>
    </row>
    <row r="248" spans="1:54" s="815" customFormat="1" ht="15.75">
      <c r="A248" s="2013"/>
      <c r="B248" s="3827"/>
      <c r="C248"/>
      <c r="D248" s="7146"/>
      <c r="E248" s="7146"/>
      <c r="F248" s="7146"/>
      <c r="G248" s="7146"/>
      <c r="H248" s="7146"/>
      <c r="I248" s="7146"/>
      <c r="J248" s="7146"/>
      <c r="K248" s="7146"/>
      <c r="L248" s="7146"/>
      <c r="M248" s="7146"/>
      <c r="N248" s="7146"/>
      <c r="O248" s="7146"/>
      <c r="P248" s="7146"/>
      <c r="Q248" s="7146"/>
      <c r="R248" s="7146"/>
      <c r="S248" s="7147"/>
      <c r="T248" s="11150"/>
      <c r="U248" s="7130"/>
      <c r="V248" s="7130"/>
      <c r="W248" s="7130"/>
      <c r="X248" s="7130"/>
      <c r="Y248" s="7130"/>
      <c r="Z248" s="7130"/>
      <c r="AA248" s="7130"/>
      <c r="AB248" s="7130"/>
      <c r="AC248" s="7130"/>
      <c r="AD248" s="7130"/>
      <c r="AE248" s="7130"/>
      <c r="AF248" s="7130"/>
      <c r="AG248" s="7130"/>
      <c r="AH248" s="7130"/>
      <c r="AI248" s="7130"/>
      <c r="AJ248" s="7130"/>
      <c r="AK248" s="2013"/>
      <c r="AL248" s="2013"/>
      <c r="AM248" s="2013"/>
      <c r="AN248" s="253"/>
      <c r="AO248" s="253"/>
      <c r="AP248" s="253"/>
      <c r="AQ248" s="658"/>
      <c r="AR248" s="658"/>
      <c r="AS248" s="658"/>
      <c r="AT248" s="658"/>
      <c r="AU248" s="658"/>
      <c r="AV248" s="658"/>
      <c r="AW248" s="658"/>
      <c r="AX248" s="658"/>
      <c r="AY248" s="658"/>
      <c r="AZ248" s="658"/>
      <c r="BA248"/>
      <c r="BB248"/>
    </row>
    <row r="249" spans="1:54" s="815" customFormat="1" ht="16.5" customHeight="1">
      <c r="A249" s="2013"/>
      <c r="B249" s="253"/>
      <c r="C249" s="253"/>
      <c r="D249" s="1400" t="s">
        <v>3849</v>
      </c>
      <c r="E249" s="11133" t="str">
        <f>"Did the student receive Form 1098-T"&amp;CHAR(10)&amp;"from this institution for "&amp;TaxYear&amp;"?"</f>
        <v>Did the student receive Form 1098-T
from this institution for 2025?</v>
      </c>
      <c r="F249" s="11133"/>
      <c r="G249" s="11133"/>
      <c r="H249" s="11133"/>
      <c r="I249" s="11133"/>
      <c r="J249" s="11133"/>
      <c r="K249" s="11133"/>
      <c r="L249" s="11133"/>
      <c r="M249" s="11133"/>
      <c r="N249" s="11133"/>
      <c r="O249" s="253"/>
      <c r="P249" s="253"/>
      <c r="Q249" s="253"/>
      <c r="R249" s="253"/>
      <c r="S249" s="253"/>
      <c r="T249" s="405"/>
      <c r="U249" s="1400" t="s">
        <v>3849</v>
      </c>
      <c r="V249" s="11133" t="str">
        <f>"Did the student receive Form 1098-T"&amp;CHAR(10)&amp;"from this institution for "&amp;TaxYear&amp;"?"</f>
        <v>Did the student receive Form 1098-T
from this institution for 2025?</v>
      </c>
      <c r="W249" s="11133"/>
      <c r="X249" s="11133"/>
      <c r="Y249" s="11133"/>
      <c r="Z249" s="11133"/>
      <c r="AA249" s="11133"/>
      <c r="AB249" s="11133"/>
      <c r="AC249" s="11133"/>
      <c r="AD249" s="11133"/>
      <c r="AE249" s="11133"/>
      <c r="AF249" s="253"/>
      <c r="AG249" s="253"/>
      <c r="AH249" s="253"/>
      <c r="AI249" s="253"/>
      <c r="AJ249" s="253"/>
      <c r="AK249" s="2013"/>
      <c r="AL249" s="2013"/>
      <c r="AM249" s="2013"/>
      <c r="AN249" s="253"/>
      <c r="AO249" s="253"/>
      <c r="AP249" s="253"/>
      <c r="AQ249" s="658"/>
      <c r="AR249" s="658"/>
      <c r="AS249" s="658"/>
      <c r="AT249" s="658"/>
      <c r="AU249" s="658"/>
      <c r="AV249" s="658"/>
      <c r="AW249" s="658"/>
      <c r="AX249" s="658"/>
      <c r="AY249" s="658"/>
      <c r="AZ249" s="658"/>
      <c r="BA249"/>
      <c r="BB249"/>
    </row>
    <row r="250" spans="1:54" s="815" customFormat="1" ht="14.25" customHeight="1">
      <c r="A250" s="2013"/>
      <c r="B250" s="253"/>
      <c r="C250" s="253"/>
      <c r="D250" s="253"/>
      <c r="E250" s="11134"/>
      <c r="F250" s="11134"/>
      <c r="G250" s="11134"/>
      <c r="H250" s="11134"/>
      <c r="I250" s="11134"/>
      <c r="J250" s="11134"/>
      <c r="K250" s="11134"/>
      <c r="L250" s="11134"/>
      <c r="M250" s="11134"/>
      <c r="N250" s="11134"/>
      <c r="O250" s="1111"/>
      <c r="P250" s="349" t="s">
        <v>1238</v>
      </c>
      <c r="Q250" s="253"/>
      <c r="R250" s="1111"/>
      <c r="S250" s="349" t="s">
        <v>734</v>
      </c>
      <c r="T250" s="2018"/>
      <c r="U250" s="253"/>
      <c r="V250" s="11134"/>
      <c r="W250" s="11134"/>
      <c r="X250" s="11134"/>
      <c r="Y250" s="11134"/>
      <c r="Z250" s="11134"/>
      <c r="AA250" s="11134"/>
      <c r="AB250" s="11134"/>
      <c r="AC250" s="11134"/>
      <c r="AD250" s="11134"/>
      <c r="AE250" s="11134"/>
      <c r="AF250" s="1111"/>
      <c r="AG250" s="349" t="s">
        <v>1238</v>
      </c>
      <c r="AH250" s="253"/>
      <c r="AI250" s="1111"/>
      <c r="AJ250" s="349" t="s">
        <v>734</v>
      </c>
      <c r="AK250" s="2013"/>
      <c r="AL250" s="2013"/>
      <c r="AM250" s="2013"/>
      <c r="AN250" s="253"/>
      <c r="AO250" s="253"/>
      <c r="AP250" s="253"/>
      <c r="AQ250" s="658"/>
      <c r="AR250" s="658"/>
      <c r="AS250" s="658"/>
      <c r="AT250" s="658"/>
      <c r="AU250" s="658"/>
      <c r="AV250" s="658"/>
      <c r="AW250" s="658"/>
      <c r="AX250" s="658"/>
      <c r="AY250" s="658"/>
      <c r="AZ250" s="658"/>
      <c r="BA250"/>
      <c r="BB250"/>
    </row>
    <row r="251" spans="1:54" s="815" customFormat="1" ht="7.5" customHeight="1">
      <c r="A251" s="2013"/>
      <c r="B251" s="413"/>
      <c r="C251" s="413"/>
      <c r="D251" s="413"/>
      <c r="E251" s="11135"/>
      <c r="F251" s="11135"/>
      <c r="G251" s="11135"/>
      <c r="H251" s="11135"/>
      <c r="I251" s="11135"/>
      <c r="J251" s="11135"/>
      <c r="K251" s="11135"/>
      <c r="L251" s="11135"/>
      <c r="M251" s="11135"/>
      <c r="N251" s="11135"/>
      <c r="O251" s="413"/>
      <c r="P251" s="413"/>
      <c r="Q251" s="413"/>
      <c r="R251" s="413"/>
      <c r="S251" s="413"/>
      <c r="T251" s="412"/>
      <c r="U251" s="413"/>
      <c r="V251" s="11135"/>
      <c r="W251" s="11135"/>
      <c r="X251" s="11135"/>
      <c r="Y251" s="11135"/>
      <c r="Z251" s="11135"/>
      <c r="AA251" s="11135"/>
      <c r="AB251" s="11135"/>
      <c r="AC251" s="11135"/>
      <c r="AD251" s="11135"/>
      <c r="AE251" s="11135"/>
      <c r="AF251" s="413"/>
      <c r="AG251" s="413"/>
      <c r="AH251" s="413"/>
      <c r="AI251" s="413"/>
      <c r="AJ251" s="413"/>
      <c r="AK251" s="2013"/>
      <c r="AL251" s="2013"/>
      <c r="AM251" s="2013"/>
      <c r="AN251" s="253"/>
      <c r="AO251" s="253"/>
      <c r="AP251" s="253"/>
      <c r="AQ251" s="662"/>
      <c r="AR251" s="662"/>
      <c r="AS251" s="662"/>
      <c r="AT251" s="662"/>
      <c r="AU251" s="662"/>
      <c r="AV251" s="662"/>
      <c r="AW251" s="662"/>
      <c r="AX251" s="662"/>
      <c r="AY251" s="662"/>
      <c r="AZ251" s="662"/>
      <c r="BA251"/>
      <c r="BB251"/>
    </row>
    <row r="252" spans="1:54" s="815" customFormat="1" ht="16.5" customHeight="1">
      <c r="A252" s="2013"/>
      <c r="B252" s="253"/>
      <c r="C252" s="253"/>
      <c r="D252" s="4230" t="s">
        <v>4261</v>
      </c>
      <c r="E252" s="11133" t="str">
        <f>"Did the student receive Form 1098-T"&amp;CHAR(10)&amp;"from this institution for "&amp;TaxYear-1&amp;" with box"&amp;CHAR(10)&amp;"7 checked?"</f>
        <v>Did the student receive Form 1098-T
from this institution for 2024 with box
7 checked?</v>
      </c>
      <c r="F252" s="11133"/>
      <c r="G252" s="11133"/>
      <c r="H252" s="11133"/>
      <c r="I252" s="11133"/>
      <c r="J252" s="11133"/>
      <c r="K252" s="11133"/>
      <c r="L252" s="11133"/>
      <c r="M252" s="11133"/>
      <c r="N252" s="11133"/>
      <c r="O252" s="253"/>
      <c r="P252" s="253"/>
      <c r="Q252" s="253"/>
      <c r="R252" s="253"/>
      <c r="S252" s="253"/>
      <c r="T252" s="408"/>
      <c r="U252" s="4230" t="s">
        <v>4261</v>
      </c>
      <c r="V252" s="11133" t="str">
        <f>"Did the student receive Form 1098-T"&amp;CHAR(10)&amp;"from this institution for "&amp;TaxYear-1&amp;" with box"&amp;CHAR(10)&amp;"7 checked?"</f>
        <v>Did the student receive Form 1098-T
from this institution for 2024 with box
7 checked?</v>
      </c>
      <c r="W252" s="11133"/>
      <c r="X252" s="11133"/>
      <c r="Y252" s="11133"/>
      <c r="Z252" s="11133"/>
      <c r="AA252" s="11133"/>
      <c r="AB252" s="11133"/>
      <c r="AC252" s="11133"/>
      <c r="AD252" s="11133"/>
      <c r="AE252" s="11133"/>
      <c r="AF252" s="253"/>
      <c r="AG252" s="253"/>
      <c r="AH252" s="253"/>
      <c r="AI252" s="253"/>
      <c r="AJ252" s="253"/>
      <c r="AK252" s="2013"/>
      <c r="AL252" s="2013"/>
      <c r="AM252" s="2013"/>
      <c r="AN252" s="253"/>
      <c r="AO252" s="253"/>
      <c r="AP252" s="253"/>
      <c r="AQ252" s="658"/>
      <c r="AR252" s="658"/>
      <c r="AS252" s="658"/>
      <c r="AT252" s="658"/>
      <c r="AU252" s="658"/>
      <c r="AV252" s="658"/>
      <c r="AW252" s="658"/>
      <c r="AX252" s="658"/>
      <c r="AY252" s="658"/>
      <c r="AZ252" s="658"/>
      <c r="BA252"/>
      <c r="BB252"/>
    </row>
    <row r="253" spans="1:54" s="815" customFormat="1" ht="14.25" customHeight="1">
      <c r="A253" s="2013"/>
      <c r="B253" s="253"/>
      <c r="C253" s="253"/>
      <c r="D253" s="253"/>
      <c r="E253" s="11134"/>
      <c r="F253" s="11134"/>
      <c r="G253" s="11134"/>
      <c r="H253" s="11134"/>
      <c r="I253" s="11134"/>
      <c r="J253" s="11134"/>
      <c r="K253" s="11134"/>
      <c r="L253" s="11134"/>
      <c r="M253" s="11134"/>
      <c r="N253" s="11134"/>
      <c r="O253" s="1111"/>
      <c r="P253" s="349" t="s">
        <v>1238</v>
      </c>
      <c r="Q253" s="253"/>
      <c r="R253" s="1111"/>
      <c r="S253" s="349" t="s">
        <v>734</v>
      </c>
      <c r="T253" s="2018"/>
      <c r="U253" s="253"/>
      <c r="V253" s="11134"/>
      <c r="W253" s="11134"/>
      <c r="X253" s="11134"/>
      <c r="Y253" s="11134"/>
      <c r="Z253" s="11134"/>
      <c r="AA253" s="11134"/>
      <c r="AB253" s="11134"/>
      <c r="AC253" s="11134"/>
      <c r="AD253" s="11134"/>
      <c r="AE253" s="11134"/>
      <c r="AF253" s="1111"/>
      <c r="AG253" s="349" t="s">
        <v>1238</v>
      </c>
      <c r="AH253" s="253"/>
      <c r="AI253" s="1111"/>
      <c r="AJ253" s="349" t="s">
        <v>734</v>
      </c>
      <c r="AK253" s="2013"/>
      <c r="AL253" s="2013"/>
      <c r="AM253" s="2013"/>
      <c r="AN253" s="253"/>
      <c r="AO253" s="253"/>
      <c r="AP253" s="253"/>
      <c r="AQ253" s="658"/>
      <c r="AR253" s="658"/>
      <c r="AS253" s="658"/>
      <c r="AT253" s="658"/>
      <c r="AU253" s="658"/>
      <c r="AV253" s="658"/>
      <c r="AW253" s="658"/>
      <c r="AX253" s="658"/>
      <c r="AY253" s="658"/>
      <c r="AZ253" s="658"/>
      <c r="BA253"/>
      <c r="BB253"/>
    </row>
    <row r="254" spans="1:54" s="815" customFormat="1" ht="13.5" customHeight="1">
      <c r="A254" s="2013"/>
      <c r="B254" s="413"/>
      <c r="C254" s="413"/>
      <c r="D254" s="413"/>
      <c r="E254" s="11135"/>
      <c r="F254" s="11135"/>
      <c r="G254" s="11135"/>
      <c r="H254" s="11135"/>
      <c r="I254" s="11135"/>
      <c r="J254" s="11135"/>
      <c r="K254" s="11135"/>
      <c r="L254" s="11135"/>
      <c r="M254" s="11135"/>
      <c r="N254" s="11135"/>
      <c r="O254" s="413"/>
      <c r="P254" s="413"/>
      <c r="Q254" s="413"/>
      <c r="R254" s="413"/>
      <c r="S254" s="413"/>
      <c r="T254" s="412"/>
      <c r="U254" s="413"/>
      <c r="V254" s="11135"/>
      <c r="W254" s="11135"/>
      <c r="X254" s="11135"/>
      <c r="Y254" s="11135"/>
      <c r="Z254" s="11135"/>
      <c r="AA254" s="11135"/>
      <c r="AB254" s="11135"/>
      <c r="AC254" s="11135"/>
      <c r="AD254" s="11135"/>
      <c r="AE254" s="11135"/>
      <c r="AF254" s="413"/>
      <c r="AG254" s="413"/>
      <c r="AH254" s="413"/>
      <c r="AI254" s="413"/>
      <c r="AJ254" s="413"/>
      <c r="AK254" s="2013"/>
      <c r="AL254" s="2013"/>
      <c r="AM254" s="2013"/>
      <c r="AN254" s="253"/>
      <c r="AO254" s="253"/>
      <c r="AP254" s="253"/>
      <c r="AQ254" s="658"/>
      <c r="AR254" s="658"/>
      <c r="AS254" s="658"/>
      <c r="AT254" s="658"/>
      <c r="AU254" s="658"/>
      <c r="AV254" s="658"/>
      <c r="AW254" s="658"/>
      <c r="AX254" s="658"/>
      <c r="AY254" s="658"/>
      <c r="AZ254" s="658"/>
      <c r="BA254"/>
      <c r="BB254"/>
    </row>
    <row r="255" spans="1:54" s="815" customFormat="1" ht="21" customHeight="1" thickBot="1">
      <c r="A255" s="2013"/>
      <c r="B255" s="253"/>
      <c r="C255" s="253"/>
      <c r="D255" s="4230" t="s">
        <v>576</v>
      </c>
      <c r="E255" s="11133" t="s">
        <v>4262</v>
      </c>
      <c r="F255" s="11133"/>
      <c r="G255" s="11133"/>
      <c r="H255" s="11133"/>
      <c r="I255" s="11133"/>
      <c r="J255" s="11133"/>
      <c r="K255" s="11133"/>
      <c r="L255" s="11133"/>
      <c r="M255" s="11133"/>
      <c r="N255" s="11133"/>
      <c r="O255" s="11133"/>
      <c r="P255" s="11133"/>
      <c r="Q255" s="11133"/>
      <c r="R255" s="11133"/>
      <c r="S255" s="11136"/>
      <c r="T255" s="408"/>
      <c r="U255" s="4230" t="s">
        <v>576</v>
      </c>
      <c r="V255" s="11133" t="s">
        <v>4262</v>
      </c>
      <c r="W255" s="11133"/>
      <c r="X255" s="11133"/>
      <c r="Y255" s="11133"/>
      <c r="Z255" s="11133"/>
      <c r="AA255" s="11133"/>
      <c r="AB255" s="11133"/>
      <c r="AC255" s="11133"/>
      <c r="AD255" s="11133"/>
      <c r="AE255" s="11133"/>
      <c r="AF255" s="11133"/>
      <c r="AG255" s="11133"/>
      <c r="AH255" s="11133"/>
      <c r="AI255" s="11133"/>
      <c r="AJ255" s="11133"/>
      <c r="AK255" s="2013"/>
      <c r="AL255" s="2013"/>
      <c r="AM255" s="2013"/>
      <c r="AN255" s="253"/>
      <c r="AO255" s="253"/>
      <c r="AP255" s="253"/>
      <c r="AQ255" s="658"/>
      <c r="AR255" s="658"/>
      <c r="AS255" s="658"/>
      <c r="AT255" s="658"/>
      <c r="AU255" s="658"/>
      <c r="AV255" s="658"/>
      <c r="AW255" s="658"/>
      <c r="AX255" s="658"/>
      <c r="AY255" s="658"/>
      <c r="AZ255" s="658"/>
      <c r="BA255"/>
      <c r="BB255"/>
    </row>
    <row r="256" spans="1:54" s="815" customFormat="1" ht="14.25" customHeight="1">
      <c r="A256" s="2013"/>
      <c r="B256" s="253"/>
      <c r="C256" s="253"/>
      <c r="D256" s="253"/>
      <c r="E256" s="11134"/>
      <c r="F256" s="11134"/>
      <c r="G256" s="11134"/>
      <c r="H256" s="11134"/>
      <c r="I256" s="11134"/>
      <c r="J256" s="11134"/>
      <c r="K256" s="11134"/>
      <c r="L256" s="11134"/>
      <c r="M256" s="11134"/>
      <c r="N256" s="11134"/>
      <c r="O256" s="11134"/>
      <c r="P256" s="11134"/>
      <c r="Q256" s="11134"/>
      <c r="R256" s="11134"/>
      <c r="S256" s="11137"/>
      <c r="T256" s="2018"/>
      <c r="U256" s="253"/>
      <c r="V256" s="11134"/>
      <c r="W256" s="11134"/>
      <c r="X256" s="11134"/>
      <c r="Y256" s="11134"/>
      <c r="Z256" s="11134"/>
      <c r="AA256" s="11134"/>
      <c r="AB256" s="11134"/>
      <c r="AC256" s="11134"/>
      <c r="AD256" s="11134"/>
      <c r="AE256" s="11134"/>
      <c r="AF256" s="11134"/>
      <c r="AG256" s="11134"/>
      <c r="AH256" s="11134"/>
      <c r="AI256" s="11134"/>
      <c r="AJ256" s="11134"/>
      <c r="AK256" s="2013"/>
      <c r="AL256" s="2013"/>
      <c r="AM256" s="2013"/>
      <c r="AN256" s="253"/>
      <c r="AO256" s="253"/>
      <c r="AP256" s="253"/>
      <c r="AQ256" s="1126" t="s">
        <v>4263</v>
      </c>
      <c r="AR256" s="1127"/>
      <c r="AS256" s="1127"/>
      <c r="AT256" s="1127"/>
      <c r="AU256" s="1127"/>
      <c r="AV256" s="1127"/>
      <c r="AW256" s="1127"/>
      <c r="AX256" s="1127"/>
      <c r="AY256" s="1127"/>
      <c r="AZ256" s="1128"/>
      <c r="BA256"/>
      <c r="BB256"/>
    </row>
    <row r="257" spans="1:54" s="815" customFormat="1" ht="26.25" customHeight="1">
      <c r="A257" s="2013"/>
      <c r="B257" s="253"/>
      <c r="C257" s="253"/>
      <c r="D257" s="253"/>
      <c r="E257" s="11134"/>
      <c r="F257" s="11134"/>
      <c r="G257" s="11134"/>
      <c r="H257" s="11134"/>
      <c r="I257" s="11134"/>
      <c r="J257" s="11134"/>
      <c r="K257" s="11134"/>
      <c r="L257" s="11134"/>
      <c r="M257" s="11134"/>
      <c r="N257" s="11134"/>
      <c r="O257" s="11134"/>
      <c r="P257" s="11134"/>
      <c r="Q257" s="11134"/>
      <c r="R257" s="11134"/>
      <c r="S257" s="11137"/>
      <c r="T257" s="408"/>
      <c r="U257" s="253"/>
      <c r="V257" s="11134"/>
      <c r="W257" s="11134"/>
      <c r="X257" s="11134"/>
      <c r="Y257" s="11134"/>
      <c r="Z257" s="11134"/>
      <c r="AA257" s="11134"/>
      <c r="AB257" s="11134"/>
      <c r="AC257" s="11134"/>
      <c r="AD257" s="11134"/>
      <c r="AE257" s="11134"/>
      <c r="AF257" s="11134"/>
      <c r="AG257" s="11134"/>
      <c r="AH257" s="11134"/>
      <c r="AI257" s="11134"/>
      <c r="AJ257" s="11134"/>
      <c r="AK257" s="2013"/>
      <c r="AL257" s="2013"/>
      <c r="AM257" s="2013"/>
      <c r="AN257" s="253"/>
      <c r="AO257" s="253"/>
      <c r="AP257" s="253"/>
      <c r="AQ257" s="1129" t="s">
        <v>4264</v>
      </c>
      <c r="AR257" s="1130"/>
      <c r="AS257" s="1130"/>
      <c r="AT257" s="1130"/>
      <c r="AU257" s="1130"/>
      <c r="AV257" s="1130"/>
      <c r="AW257" s="1130"/>
      <c r="AX257" s="1130"/>
      <c r="AY257" s="1130"/>
      <c r="AZ257" s="1131"/>
      <c r="BA257"/>
      <c r="BB257"/>
    </row>
    <row r="258" spans="1:54" s="815" customFormat="1" ht="17.25" customHeight="1">
      <c r="A258" s="2013"/>
      <c r="B258" s="253"/>
      <c r="C258" s="253"/>
      <c r="D258" s="253"/>
      <c r="E258" s="1111"/>
      <c r="F258" s="1111"/>
      <c r="G258" s="4551" t="s">
        <v>4265</v>
      </c>
      <c r="H258" s="1111"/>
      <c r="I258" s="1111"/>
      <c r="J258" s="1111"/>
      <c r="K258" s="1111"/>
      <c r="L258" s="1111"/>
      <c r="M258" s="1111"/>
      <c r="N258" s="1111"/>
      <c r="O258" s="4549"/>
      <c r="P258" s="4549"/>
      <c r="Q258" s="4549"/>
      <c r="R258" s="4549"/>
      <c r="S258" s="4550"/>
      <c r="T258" s="408"/>
      <c r="U258" s="253"/>
      <c r="V258" s="1111"/>
      <c r="W258" s="1111"/>
      <c r="X258" s="4551" t="s">
        <v>4265</v>
      </c>
      <c r="Y258" s="1111"/>
      <c r="Z258" s="1111"/>
      <c r="AA258" s="1111"/>
      <c r="AB258" s="1111"/>
      <c r="AC258" s="1111"/>
      <c r="AD258" s="1111"/>
      <c r="AE258" s="1111"/>
      <c r="AF258" s="253"/>
      <c r="AG258" s="253"/>
      <c r="AH258" s="253"/>
      <c r="AI258" s="253"/>
      <c r="AJ258" s="253"/>
      <c r="AK258" s="2013"/>
      <c r="AL258" s="2013"/>
      <c r="AM258" s="2013"/>
      <c r="AN258" s="253"/>
      <c r="AO258" s="253"/>
      <c r="AP258" s="253"/>
      <c r="AQ258" s="1132" t="str">
        <f>"(see below) in "&amp;TaxYear&amp;" for which you paid (or are treated as having paid) qualified education expenses in "&amp;TaxYear&amp;"."</f>
        <v>(see below) in 2025 for which you paid (or are treated as having paid) qualified education expenses in 2025.</v>
      </c>
      <c r="AR258" s="1133"/>
      <c r="AS258" s="1133"/>
      <c r="AT258" s="1133"/>
      <c r="AU258" s="1133"/>
      <c r="AV258" s="1133"/>
      <c r="AW258" s="1133"/>
      <c r="AX258" s="1133"/>
      <c r="AY258" s="1133"/>
      <c r="AZ258" s="1134"/>
      <c r="BA258"/>
      <c r="BB258"/>
    </row>
    <row r="259" spans="1:54" s="815" customFormat="1" ht="14.25">
      <c r="A259" s="2013"/>
      <c r="B259" s="413"/>
      <c r="C259" s="413"/>
      <c r="D259" s="413"/>
      <c r="E259" s="1996"/>
      <c r="F259" s="413"/>
      <c r="G259" s="413"/>
      <c r="H259" s="413"/>
      <c r="I259" s="413"/>
      <c r="J259" s="413"/>
      <c r="K259" s="413"/>
      <c r="L259" s="413"/>
      <c r="M259" s="413"/>
      <c r="N259" s="413"/>
      <c r="O259" s="413"/>
      <c r="P259" s="413"/>
      <c r="Q259" s="413"/>
      <c r="R259" s="413"/>
      <c r="S259" s="414"/>
      <c r="T259" s="412"/>
      <c r="U259" s="413"/>
      <c r="V259" s="413"/>
      <c r="W259" s="413"/>
      <c r="X259" s="413"/>
      <c r="Y259" s="413"/>
      <c r="Z259" s="413"/>
      <c r="AA259" s="413"/>
      <c r="AB259" s="413"/>
      <c r="AC259" s="413"/>
      <c r="AD259" s="413"/>
      <c r="AE259" s="413"/>
      <c r="AF259" s="413"/>
      <c r="AG259" s="413"/>
      <c r="AH259" s="413"/>
      <c r="AI259" s="413"/>
      <c r="AJ259" s="413"/>
      <c r="AK259" s="2013"/>
      <c r="AL259" s="2013"/>
      <c r="AM259" s="2013"/>
      <c r="AN259" s="253"/>
      <c r="AO259" s="253"/>
      <c r="AP259" s="253"/>
      <c r="AQ259" s="1135"/>
      <c r="AR259" s="946"/>
      <c r="AS259" s="946"/>
      <c r="AT259" s="946"/>
      <c r="AU259" s="946"/>
      <c r="AV259" s="946"/>
      <c r="AW259" s="946"/>
      <c r="AX259" s="946"/>
      <c r="AY259" s="946"/>
      <c r="AZ259" s="1136"/>
      <c r="BA259"/>
      <c r="BB259"/>
    </row>
    <row r="260" spans="1:54" s="815" customFormat="1" ht="15">
      <c r="A260" s="2013"/>
      <c r="B260" s="3827">
        <v>23</v>
      </c>
      <c r="C260" s="253"/>
      <c r="D260" s="253"/>
      <c r="E260" s="511" t="s">
        <v>4266</v>
      </c>
      <c r="F260" s="253"/>
      <c r="G260" s="253"/>
      <c r="H260" s="253"/>
      <c r="I260" s="253"/>
      <c r="J260" s="253"/>
      <c r="K260" s="253"/>
      <c r="L260" s="253"/>
      <c r="M260" s="253"/>
      <c r="N260" s="253"/>
      <c r="O260" s="253"/>
      <c r="P260" s="253"/>
      <c r="Q260" s="253"/>
      <c r="R260" s="253"/>
      <c r="S260" s="253"/>
      <c r="T260" s="253"/>
      <c r="U260" s="253"/>
      <c r="V260" s="253"/>
      <c r="W260" s="253"/>
      <c r="X260" s="253"/>
      <c r="Y260" s="253"/>
      <c r="Z260" s="253"/>
      <c r="AA260" s="253"/>
      <c r="AB260" s="253"/>
      <c r="AC260" s="253"/>
      <c r="AD260" s="253"/>
      <c r="AE260" s="253"/>
      <c r="AF260" s="253"/>
      <c r="AG260" s="253"/>
      <c r="AH260" s="253"/>
      <c r="AI260" s="253"/>
      <c r="AJ260" s="253"/>
      <c r="AK260" s="2013"/>
      <c r="AL260" s="2013"/>
      <c r="AM260" s="2013"/>
      <c r="AN260" s="253"/>
      <c r="AO260" s="253"/>
      <c r="AP260" s="253"/>
      <c r="AQ260" s="4552" t="s">
        <v>4267</v>
      </c>
      <c r="AR260" s="946"/>
      <c r="AS260" s="946"/>
      <c r="AT260" s="946"/>
      <c r="AU260" s="946"/>
      <c r="AV260" s="946"/>
      <c r="AW260" s="946"/>
      <c r="AX260" s="946"/>
      <c r="AY260" s="946"/>
      <c r="AZ260" s="1136"/>
      <c r="BA260"/>
      <c r="BB260"/>
    </row>
    <row r="261" spans="1:54" s="815" customFormat="1" ht="15">
      <c r="A261" s="2013"/>
      <c r="B261" s="253"/>
      <c r="C261" s="253"/>
      <c r="D261" s="253"/>
      <c r="E261" s="1672" t="s">
        <v>4268</v>
      </c>
      <c r="F261" s="253"/>
      <c r="G261" s="253"/>
      <c r="H261" s="253"/>
      <c r="I261" s="253"/>
      <c r="J261" s="253"/>
      <c r="K261" s="253"/>
      <c r="L261" s="253"/>
      <c r="M261" s="253"/>
      <c r="N261" s="253"/>
      <c r="O261" s="253"/>
      <c r="P261" s="253"/>
      <c r="Q261" s="253"/>
      <c r="R261" s="253"/>
      <c r="S261" s="253"/>
      <c r="T261" s="1111"/>
      <c r="U261" s="344" t="s">
        <v>4269</v>
      </c>
      <c r="V261" s="253"/>
      <c r="W261" s="253"/>
      <c r="X261" s="253"/>
      <c r="Y261" s="253"/>
      <c r="Z261" s="253"/>
      <c r="AA261" s="253"/>
      <c r="AB261" s="253"/>
      <c r="AC261" s="1963" t="str">
        <f>IF(T261&lt;&gt;"","","X")</f>
        <v>X</v>
      </c>
      <c r="AD261" s="344" t="s">
        <v>4270</v>
      </c>
      <c r="AE261" s="253"/>
      <c r="AF261" s="253"/>
      <c r="AG261" s="253"/>
      <c r="AH261" s="253"/>
      <c r="AI261" s="253"/>
      <c r="AJ261" s="253"/>
      <c r="AK261" s="2013"/>
      <c r="AL261" s="2013"/>
      <c r="AM261" s="2013"/>
      <c r="AN261" s="253"/>
      <c r="AO261" s="253"/>
      <c r="AP261" s="253"/>
      <c r="AQ261" s="4553" t="str">
        <f>TaxYear&amp;" for the academic period"</f>
        <v>2025 for the academic period</v>
      </c>
      <c r="AR261" s="4536"/>
      <c r="AS261" s="4536"/>
      <c r="AT261" s="4536"/>
      <c r="AU261" s="4536"/>
      <c r="AV261" s="4536"/>
      <c r="AW261" s="4539"/>
      <c r="AX261" s="4539" t="s">
        <v>157</v>
      </c>
      <c r="AY261" s="443"/>
      <c r="AZ261" s="4537"/>
      <c r="BA261"/>
      <c r="BB261"/>
    </row>
    <row r="262" spans="1:54" s="1116" customFormat="1" ht="16.5" customHeight="1">
      <c r="A262" s="2067"/>
      <c r="B262" s="571"/>
      <c r="C262" s="571"/>
      <c r="D262" s="571"/>
      <c r="E262" s="2046"/>
      <c r="F262" s="571"/>
      <c r="G262" s="571"/>
      <c r="H262" s="571"/>
      <c r="I262" s="571"/>
      <c r="J262" s="571"/>
      <c r="K262" s="571"/>
      <c r="L262" s="571"/>
      <c r="M262" s="571"/>
      <c r="N262" s="571"/>
      <c r="O262" s="571"/>
      <c r="P262" s="571"/>
      <c r="Q262" s="571"/>
      <c r="R262" s="571"/>
      <c r="S262" s="571"/>
      <c r="T262" s="571"/>
      <c r="U262" s="571" t="s">
        <v>4271</v>
      </c>
      <c r="V262" s="571"/>
      <c r="W262" s="571"/>
      <c r="X262" s="571"/>
      <c r="Y262" s="571"/>
      <c r="Z262" s="571"/>
      <c r="AA262" s="571"/>
      <c r="AB262" s="571"/>
      <c r="AC262" s="571"/>
      <c r="AD262" s="571"/>
      <c r="AE262" s="571"/>
      <c r="AF262" s="571"/>
      <c r="AG262" s="571"/>
      <c r="AH262" s="571"/>
      <c r="AI262" s="571"/>
      <c r="AJ262" s="571"/>
      <c r="AK262" s="2067"/>
      <c r="AL262" s="2067"/>
      <c r="AM262" s="2067"/>
      <c r="AN262" s="571"/>
      <c r="AO262" s="571"/>
      <c r="AP262" s="571"/>
      <c r="AQ262" s="4554"/>
      <c r="AR262" s="4536"/>
      <c r="AS262" s="4536"/>
      <c r="AT262" s="4536"/>
      <c r="AU262" s="4536"/>
      <c r="AV262" s="4536"/>
      <c r="AW262" s="4539"/>
      <c r="AX262" s="4539"/>
      <c r="AY262" s="4539"/>
      <c r="AZ262" s="4537"/>
      <c r="BA262" s="138"/>
      <c r="BB262" s="138"/>
    </row>
    <row r="263" spans="1:54" s="815" customFormat="1" ht="15">
      <c r="A263" s="2013"/>
      <c r="B263" s="4555">
        <v>24</v>
      </c>
      <c r="C263" s="406"/>
      <c r="D263" s="406"/>
      <c r="E263" s="2354" t="s">
        <v>4272</v>
      </c>
      <c r="F263" s="406"/>
      <c r="G263" s="406"/>
      <c r="H263" s="406"/>
      <c r="I263" s="406"/>
      <c r="J263" s="406"/>
      <c r="K263" s="406"/>
      <c r="L263" s="406"/>
      <c r="M263" s="406"/>
      <c r="N263" s="406"/>
      <c r="O263" s="406"/>
      <c r="P263" s="406"/>
      <c r="Q263" s="406"/>
      <c r="R263" s="406"/>
      <c r="S263" s="406"/>
      <c r="T263" s="406"/>
      <c r="U263" s="406"/>
      <c r="V263" s="406"/>
      <c r="W263" s="406"/>
      <c r="X263" s="406"/>
      <c r="Y263" s="406"/>
      <c r="Z263" s="406"/>
      <c r="AA263" s="406"/>
      <c r="AB263" s="406"/>
      <c r="AC263" s="406"/>
      <c r="AD263" s="406"/>
      <c r="AE263" s="406"/>
      <c r="AF263" s="406"/>
      <c r="AG263" s="406"/>
      <c r="AH263" s="406"/>
      <c r="AI263" s="406"/>
      <c r="AJ263" s="406"/>
      <c r="AK263" s="2013"/>
      <c r="AL263" s="2013"/>
      <c r="AM263" s="2013"/>
      <c r="AN263" s="253"/>
      <c r="AO263" s="253"/>
      <c r="AP263" s="253"/>
      <c r="AQ263" s="4552" t="s">
        <v>4273</v>
      </c>
      <c r="AR263" s="1130"/>
      <c r="AS263" s="1130"/>
      <c r="AT263" s="1130"/>
      <c r="AU263" s="1130"/>
      <c r="AV263" s="1130"/>
      <c r="AW263" s="1130"/>
      <c r="AX263" s="1130"/>
      <c r="AY263" s="946"/>
      <c r="AZ263" s="1131"/>
      <c r="BA263"/>
      <c r="BB263"/>
    </row>
    <row r="264" spans="1:54" s="815" customFormat="1" ht="15">
      <c r="A264" s="2013"/>
      <c r="B264" s="3827"/>
      <c r="C264" s="253"/>
      <c r="D264" s="253"/>
      <c r="E264" s="511" t="s">
        <v>4274</v>
      </c>
      <c r="F264" s="253"/>
      <c r="G264" s="253"/>
      <c r="H264" s="253"/>
      <c r="I264" s="253"/>
      <c r="J264" s="253"/>
      <c r="K264" s="253"/>
      <c r="L264" s="253"/>
      <c r="M264" s="253"/>
      <c r="N264" s="253"/>
      <c r="O264" s="253"/>
      <c r="P264" s="253"/>
      <c r="Q264" s="253"/>
      <c r="R264" s="253"/>
      <c r="S264" s="253"/>
      <c r="T264" s="253"/>
      <c r="U264" s="253"/>
      <c r="V264" s="253"/>
      <c r="W264" s="253"/>
      <c r="X264" s="253"/>
      <c r="Y264" s="253"/>
      <c r="Z264" s="253"/>
      <c r="AA264" s="253"/>
      <c r="AB264" s="253"/>
      <c r="AC264" s="253"/>
      <c r="AD264" s="253"/>
      <c r="AE264" s="253"/>
      <c r="AF264" s="253"/>
      <c r="AG264" s="253"/>
      <c r="AH264" s="253"/>
      <c r="AI264" s="253"/>
      <c r="AJ264" s="253"/>
      <c r="AK264" s="2013"/>
      <c r="AL264" s="2013"/>
      <c r="AM264" s="2013"/>
      <c r="AN264" s="253"/>
      <c r="AO264" s="253"/>
      <c r="AP264" s="253"/>
      <c r="AQ264" s="1137" t="s">
        <v>1214</v>
      </c>
      <c r="AR264" s="1138" t="str">
        <f>"Tax-free educational assistance received in "&amp;TaxYear&amp;" allocable to"</f>
        <v>Tax-free educational assistance received in 2025 allocable to</v>
      </c>
      <c r="AS264" s="946"/>
      <c r="AT264" s="946"/>
      <c r="AU264" s="946"/>
      <c r="AV264" s="946"/>
      <c r="AW264" s="946"/>
      <c r="AX264" s="946"/>
      <c r="AY264" s="946"/>
      <c r="AZ264" s="1136"/>
      <c r="BA264"/>
      <c r="BB264"/>
    </row>
    <row r="265" spans="1:54" s="815" customFormat="1" ht="15">
      <c r="A265" s="2013"/>
      <c r="B265" s="3827"/>
      <c r="C265" s="253"/>
      <c r="D265" s="253"/>
      <c r="E265" s="511" t="str">
        <f>"in "&amp;TaxYear&amp;" at an eligible educational institution in a program"</f>
        <v>in 2025 at an eligible educational institution in a program</v>
      </c>
      <c r="F265" s="253"/>
      <c r="G265" s="253"/>
      <c r="H265" s="253"/>
      <c r="I265" s="253"/>
      <c r="J265" s="253"/>
      <c r="K265" s="253"/>
      <c r="L265" s="253"/>
      <c r="M265" s="253"/>
      <c r="N265" s="253"/>
      <c r="O265" s="253"/>
      <c r="P265" s="253"/>
      <c r="Q265" s="253"/>
      <c r="R265" s="253"/>
      <c r="S265" s="253"/>
      <c r="T265" s="253"/>
      <c r="U265" s="253"/>
      <c r="V265" s="253"/>
      <c r="W265" s="253"/>
      <c r="X265" s="253"/>
      <c r="Y265" s="253"/>
      <c r="Z265" s="253"/>
      <c r="AA265" s="253"/>
      <c r="AB265" s="253"/>
      <c r="AC265" s="253"/>
      <c r="AD265" s="253"/>
      <c r="AE265" s="253"/>
      <c r="AF265" s="253"/>
      <c r="AG265" s="253"/>
      <c r="AH265" s="253"/>
      <c r="AI265" s="253"/>
      <c r="AJ265" s="253"/>
      <c r="AK265" s="2013"/>
      <c r="AL265" s="2013"/>
      <c r="AM265" s="2013"/>
      <c r="AN265" s="253"/>
      <c r="AO265" s="253"/>
      <c r="AP265" s="253"/>
      <c r="AQ265" s="1140"/>
      <c r="AR265" s="1138" t="s">
        <v>4275</v>
      </c>
      <c r="AS265" s="1141"/>
      <c r="AT265" s="1141"/>
      <c r="AU265" s="1141"/>
      <c r="AV265" s="1141"/>
      <c r="AW265" s="4539" t="s">
        <v>1186</v>
      </c>
      <c r="AX265" s="443"/>
      <c r="AY265" s="946"/>
      <c r="AZ265" s="1139"/>
      <c r="BA265"/>
      <c r="BB265"/>
    </row>
    <row r="266" spans="1:54" s="815" customFormat="1" ht="15">
      <c r="A266" s="2013"/>
      <c r="B266" s="253"/>
      <c r="C266" s="253"/>
      <c r="D266" s="253"/>
      <c r="E266" s="1672" t="s">
        <v>4276</v>
      </c>
      <c r="F266" s="253"/>
      <c r="G266" s="253"/>
      <c r="H266" s="253"/>
      <c r="I266" s="253"/>
      <c r="J266" s="253"/>
      <c r="K266" s="253"/>
      <c r="L266" s="253"/>
      <c r="M266" s="253"/>
      <c r="N266" s="253"/>
      <c r="O266" s="253"/>
      <c r="P266" s="253"/>
      <c r="Q266" s="253"/>
      <c r="R266" s="253"/>
      <c r="S266" s="253"/>
      <c r="T266" s="1963" t="str">
        <f>IF(AC266&lt;&gt;"","","X")</f>
        <v>X</v>
      </c>
      <c r="U266" s="344" t="s">
        <v>4277</v>
      </c>
      <c r="V266" s="253"/>
      <c r="W266" s="253"/>
      <c r="X266" s="253"/>
      <c r="Y266" s="253"/>
      <c r="Z266" s="253"/>
      <c r="AA266" s="253"/>
      <c r="AB266" s="253"/>
      <c r="AC266" s="1111"/>
      <c r="AD266" s="344" t="s">
        <v>4278</v>
      </c>
      <c r="AE266" s="253"/>
      <c r="AF266" s="253"/>
      <c r="AG266" s="253"/>
      <c r="AH266" s="253"/>
      <c r="AI266" s="253"/>
      <c r="AJ266" s="253"/>
      <c r="AK266" s="2013"/>
      <c r="AL266" s="2013"/>
      <c r="AM266" s="2013"/>
      <c r="AN266" s="253"/>
      <c r="AO266" s="253"/>
      <c r="AP266" s="253"/>
      <c r="AQ266" s="1137" t="s">
        <v>1181</v>
      </c>
      <c r="AR266" s="1138" t="str">
        <f>"Tax-free educational assistance received in "&amp;TaxYear+1&amp;" (and before you"</f>
        <v>Tax-free educational assistance received in 2026 (and before you</v>
      </c>
      <c r="AS266" s="946"/>
      <c r="AT266" s="946"/>
      <c r="AU266" s="946"/>
      <c r="AV266" s="946"/>
      <c r="AW266" s="946"/>
      <c r="AX266" s="946"/>
      <c r="AY266" s="946"/>
      <c r="AZ266" s="1136"/>
      <c r="BA266"/>
      <c r="BB266"/>
    </row>
    <row r="267" spans="1:54" s="815" customFormat="1" ht="14.25">
      <c r="A267" s="2013"/>
      <c r="B267" s="253"/>
      <c r="C267" s="253"/>
      <c r="D267" s="253"/>
      <c r="E267" s="1672" t="s">
        <v>4279</v>
      </c>
      <c r="F267" s="253"/>
      <c r="G267" s="253"/>
      <c r="H267" s="253"/>
      <c r="I267" s="253"/>
      <c r="J267" s="253"/>
      <c r="K267" s="253"/>
      <c r="L267" s="253"/>
      <c r="M267" s="253"/>
      <c r="N267" s="253"/>
      <c r="O267" s="253"/>
      <c r="P267" s="253"/>
      <c r="Q267" s="253"/>
      <c r="R267" s="253"/>
      <c r="S267" s="253"/>
      <c r="T267" s="253"/>
      <c r="U267" s="253"/>
      <c r="V267" s="253"/>
      <c r="W267" s="253"/>
      <c r="X267" s="253"/>
      <c r="Y267" s="253"/>
      <c r="Z267" s="253"/>
      <c r="AA267" s="253"/>
      <c r="AB267" s="253"/>
      <c r="AC267" s="253"/>
      <c r="AD267" s="344" t="s">
        <v>4280</v>
      </c>
      <c r="AE267" s="253"/>
      <c r="AF267" s="253"/>
      <c r="AG267" s="253"/>
      <c r="AH267" s="253"/>
      <c r="AI267" s="253"/>
      <c r="AJ267" s="253"/>
      <c r="AK267" s="2013"/>
      <c r="AL267" s="2013"/>
      <c r="AM267" s="2013"/>
      <c r="AN267" s="253"/>
      <c r="AO267" s="253"/>
      <c r="AP267" s="253"/>
      <c r="AQ267" s="1140"/>
      <c r="AR267" s="1138" t="str">
        <f>"file your "&amp;TaxYear&amp;" tax return) allocable to the academic period"</f>
        <v>file your 2025 tax return) allocable to the academic period</v>
      </c>
      <c r="AS267" s="1141"/>
      <c r="AT267" s="1141"/>
      <c r="AU267" s="1141"/>
      <c r="AV267" s="1141"/>
      <c r="AW267" s="4539" t="s">
        <v>1194</v>
      </c>
      <c r="AX267" s="443"/>
      <c r="AY267" s="946"/>
      <c r="AZ267" s="1139"/>
      <c r="BA267"/>
      <c r="BB267"/>
    </row>
    <row r="268" spans="1:54" s="1116" customFormat="1" ht="16.5" customHeight="1">
      <c r="A268" s="2067"/>
      <c r="B268" s="571"/>
      <c r="C268" s="571"/>
      <c r="D268" s="571"/>
      <c r="E268" s="2046" t="s">
        <v>746</v>
      </c>
      <c r="F268" s="571"/>
      <c r="G268" s="571"/>
      <c r="H268" s="571"/>
      <c r="I268" s="571"/>
      <c r="J268" s="571"/>
      <c r="K268" s="571"/>
      <c r="L268" s="571"/>
      <c r="M268" s="571"/>
      <c r="N268" s="571"/>
      <c r="O268" s="571"/>
      <c r="P268" s="571"/>
      <c r="Q268" s="571"/>
      <c r="R268" s="571"/>
      <c r="S268" s="571"/>
      <c r="T268" s="571"/>
      <c r="U268" s="571"/>
      <c r="V268" s="571"/>
      <c r="W268" s="571"/>
      <c r="X268" s="571"/>
      <c r="Y268" s="571"/>
      <c r="Z268" s="571"/>
      <c r="AA268" s="571"/>
      <c r="AB268" s="571"/>
      <c r="AC268" s="571"/>
      <c r="AD268" s="571"/>
      <c r="AE268" s="571"/>
      <c r="AF268" s="571"/>
      <c r="AG268" s="571"/>
      <c r="AH268" s="571"/>
      <c r="AI268" s="571"/>
      <c r="AJ268" s="571"/>
      <c r="AK268" s="2067"/>
      <c r="AL268" s="2067"/>
      <c r="AM268" s="2067"/>
      <c r="AN268" s="571"/>
      <c r="AO268" s="571"/>
      <c r="AP268" s="571"/>
      <c r="AQ268" s="1137" t="s">
        <v>1196</v>
      </c>
      <c r="AR268" s="1138" t="str">
        <f>"Refunds of qualified education expenses paid in "&amp;TaxYear&amp;" if the refund"</f>
        <v>Refunds of qualified education expenses paid in 2025 if the refund</v>
      </c>
      <c r="AS268" s="946"/>
      <c r="AT268" s="946"/>
      <c r="AU268" s="946"/>
      <c r="AV268" s="946"/>
      <c r="AW268" s="946"/>
      <c r="AX268" s="946"/>
      <c r="AY268" s="946"/>
      <c r="AZ268" s="1136"/>
      <c r="BA268" s="138"/>
      <c r="BB268" s="138"/>
    </row>
    <row r="269" spans="1:54" s="815" customFormat="1" ht="15">
      <c r="A269" s="2013"/>
      <c r="B269" s="4555">
        <v>25</v>
      </c>
      <c r="C269" s="406"/>
      <c r="D269" s="406"/>
      <c r="E269" s="2354" t="s">
        <v>4281</v>
      </c>
      <c r="F269" s="406"/>
      <c r="G269" s="406"/>
      <c r="H269" s="406"/>
      <c r="I269" s="406"/>
      <c r="J269" s="406"/>
      <c r="K269" s="406"/>
      <c r="L269" s="406"/>
      <c r="M269" s="406"/>
      <c r="N269" s="406"/>
      <c r="O269" s="406"/>
      <c r="P269" s="406"/>
      <c r="Q269" s="406"/>
      <c r="R269" s="406"/>
      <c r="S269" s="406"/>
      <c r="T269" s="406"/>
      <c r="U269" s="406"/>
      <c r="V269" s="406"/>
      <c r="W269" s="406"/>
      <c r="X269" s="406"/>
      <c r="Y269" s="406"/>
      <c r="Z269" s="406"/>
      <c r="AA269" s="406"/>
      <c r="AB269" s="406"/>
      <c r="AC269" s="406"/>
      <c r="AD269" s="406"/>
      <c r="AE269" s="406"/>
      <c r="AF269" s="406"/>
      <c r="AG269" s="406"/>
      <c r="AH269" s="406"/>
      <c r="AI269" s="406"/>
      <c r="AJ269" s="406"/>
      <c r="AK269" s="2013"/>
      <c r="AL269" s="2013"/>
      <c r="AM269" s="2013"/>
      <c r="AN269" s="253"/>
      <c r="AO269" s="253"/>
      <c r="AP269" s="253"/>
      <c r="AQ269" s="1140"/>
      <c r="AR269" s="1138" t="str">
        <f>"is received in "&amp;TaxYear&amp;" or in "&amp;TaxYear+1&amp;" before you file your "&amp;TaxYear&amp;" tax return."</f>
        <v>is received in 2025 or in 2026 before you file your 2025 tax return.</v>
      </c>
      <c r="AS269" s="1141"/>
      <c r="AT269" s="1141"/>
      <c r="AU269" s="1141"/>
      <c r="AV269" s="1141"/>
      <c r="AW269" s="4539" t="s">
        <v>1202</v>
      </c>
      <c r="AX269" s="443"/>
      <c r="AY269" s="946"/>
      <c r="AZ269" s="1139"/>
      <c r="BA269"/>
      <c r="BB269"/>
    </row>
    <row r="270" spans="1:54" s="815" customFormat="1" ht="15">
      <c r="A270" s="2013"/>
      <c r="B270" s="253"/>
      <c r="C270" s="253"/>
      <c r="D270" s="253"/>
      <c r="E270" s="1672" t="str">
        <f>"education before "&amp;TaxYear&amp;"? See instructions."</f>
        <v>education before 2025? See instructions.</v>
      </c>
      <c r="F270" s="253"/>
      <c r="G270" s="253"/>
      <c r="H270" s="253"/>
      <c r="I270" s="253"/>
      <c r="J270" s="253"/>
      <c r="K270" s="253"/>
      <c r="L270" s="253"/>
      <c r="M270" s="253"/>
      <c r="N270" s="253"/>
      <c r="O270" s="253"/>
      <c r="P270" s="253"/>
      <c r="Q270" s="253"/>
      <c r="R270" s="253"/>
      <c r="S270" s="253"/>
      <c r="T270" s="1111"/>
      <c r="U270" s="344" t="s">
        <v>4269</v>
      </c>
      <c r="V270" s="253"/>
      <c r="W270" s="253"/>
      <c r="X270" s="253"/>
      <c r="Y270" s="253"/>
      <c r="Z270" s="253"/>
      <c r="AA270" s="253"/>
      <c r="AB270" s="253"/>
      <c r="AC270" s="1963" t="str">
        <f>IF(T270&lt;&gt;"","","X")</f>
        <v>X</v>
      </c>
      <c r="AD270" s="344" t="s">
        <v>4282</v>
      </c>
      <c r="AE270" s="253"/>
      <c r="AF270" s="253"/>
      <c r="AG270" s="253"/>
      <c r="AH270" s="253"/>
      <c r="AI270" s="253"/>
      <c r="AJ270" s="253"/>
      <c r="AK270" s="2013"/>
      <c r="AL270" s="2013"/>
      <c r="AM270" s="2013"/>
      <c r="AN270" s="253"/>
      <c r="AO270" s="253"/>
      <c r="AP270" s="253"/>
      <c r="AQ270" s="1140"/>
      <c r="AR270" s="1138"/>
      <c r="AS270" s="1141"/>
      <c r="AT270" s="1141"/>
      <c r="AU270" s="1141"/>
      <c r="AV270" s="1141"/>
      <c r="AW270" s="1141"/>
      <c r="AX270" s="1141"/>
      <c r="AY270" s="946"/>
      <c r="AZ270" s="1139"/>
      <c r="BA270"/>
      <c r="BB270"/>
    </row>
    <row r="271" spans="1:54" s="1116" customFormat="1" ht="16.5" customHeight="1">
      <c r="A271" s="2067"/>
      <c r="B271" s="571"/>
      <c r="C271" s="571"/>
      <c r="D271" s="571"/>
      <c r="E271" s="2046"/>
      <c r="F271" s="571"/>
      <c r="G271" s="571"/>
      <c r="H271" s="571"/>
      <c r="I271" s="571"/>
      <c r="J271" s="571"/>
      <c r="K271" s="571"/>
      <c r="L271" s="571"/>
      <c r="M271" s="571"/>
      <c r="N271" s="571"/>
      <c r="O271" s="571"/>
      <c r="P271" s="571"/>
      <c r="Q271" s="571"/>
      <c r="R271" s="571"/>
      <c r="S271" s="571"/>
      <c r="T271" s="571"/>
      <c r="U271" s="571" t="s">
        <v>4271</v>
      </c>
      <c r="V271" s="571"/>
      <c r="W271" s="571"/>
      <c r="X271" s="571"/>
      <c r="Y271" s="571"/>
      <c r="Z271" s="571"/>
      <c r="AA271" s="571"/>
      <c r="AB271" s="571"/>
      <c r="AC271" s="571"/>
      <c r="AD271" s="571"/>
      <c r="AE271" s="571"/>
      <c r="AF271" s="571"/>
      <c r="AG271" s="571"/>
      <c r="AH271" s="571"/>
      <c r="AI271" s="571"/>
      <c r="AJ271" s="571"/>
      <c r="AK271" s="2067"/>
      <c r="AL271" s="2067"/>
      <c r="AM271" s="2067"/>
      <c r="AN271" s="571"/>
      <c r="AO271" s="571"/>
      <c r="AP271" s="571"/>
      <c r="AQ271" s="4552" t="s">
        <v>4283</v>
      </c>
      <c r="AR271" s="4536"/>
      <c r="AS271" s="4536"/>
      <c r="AT271" s="4536"/>
      <c r="AU271" s="4536"/>
      <c r="AV271" s="4536"/>
      <c r="AW271" s="4539"/>
      <c r="AX271" s="4539" t="s">
        <v>167</v>
      </c>
      <c r="AY271" s="2499">
        <f>SUM(AX265,AX267,AX269)</f>
        <v>0</v>
      </c>
      <c r="AZ271" s="4537"/>
      <c r="BA271" s="138"/>
      <c r="BB271" s="138"/>
    </row>
    <row r="272" spans="1:54" s="815" customFormat="1" ht="15">
      <c r="A272" s="2013"/>
      <c r="B272" s="4555">
        <v>26</v>
      </c>
      <c r="C272" s="406"/>
      <c r="D272" s="406"/>
      <c r="E272" s="2354" t="str">
        <f>"Was the student convicted, before the end of "&amp;TaxYear&amp;", of a"</f>
        <v>Was the student convicted, before the end of 2025, of a</v>
      </c>
      <c r="F272" s="406"/>
      <c r="G272" s="406"/>
      <c r="H272" s="406"/>
      <c r="I272" s="406"/>
      <c r="J272" s="406"/>
      <c r="K272" s="406"/>
      <c r="L272" s="406"/>
      <c r="M272" s="406"/>
      <c r="N272" s="406"/>
      <c r="O272" s="406"/>
      <c r="P272" s="406"/>
      <c r="Q272" s="406"/>
      <c r="R272" s="406"/>
      <c r="S272" s="406"/>
      <c r="T272" s="406"/>
      <c r="U272" s="406"/>
      <c r="V272" s="406"/>
      <c r="W272" s="406"/>
      <c r="X272" s="406"/>
      <c r="Y272" s="406"/>
      <c r="Z272" s="406"/>
      <c r="AA272" s="406"/>
      <c r="AB272" s="406"/>
      <c r="AC272" s="406"/>
      <c r="AD272" s="406"/>
      <c r="AE272" s="406"/>
      <c r="AF272" s="406"/>
      <c r="AG272" s="406"/>
      <c r="AH272" s="406"/>
      <c r="AI272" s="406"/>
      <c r="AJ272" s="406"/>
      <c r="AK272" s="2013"/>
      <c r="AL272" s="2013"/>
      <c r="AM272" s="2013"/>
      <c r="AN272" s="253"/>
      <c r="AO272" s="253"/>
      <c r="AP272" s="253"/>
      <c r="AQ272" s="1140"/>
      <c r="AR272" s="1138"/>
      <c r="AS272" s="1141"/>
      <c r="AT272" s="1141"/>
      <c r="AU272" s="1141"/>
      <c r="AV272" s="1141"/>
      <c r="AW272" s="1141"/>
      <c r="AX272" s="1141"/>
      <c r="AY272" s="946"/>
      <c r="AZ272" s="1139"/>
      <c r="BA272"/>
      <c r="BB272"/>
    </row>
    <row r="273" spans="1:54" s="815" customFormat="1" ht="15">
      <c r="A273" s="2013"/>
      <c r="B273" s="253"/>
      <c r="C273" s="253"/>
      <c r="D273" s="253"/>
      <c r="E273" s="1672" t="s">
        <v>4284</v>
      </c>
      <c r="F273" s="253"/>
      <c r="G273" s="253"/>
      <c r="H273" s="253"/>
      <c r="I273" s="253"/>
      <c r="J273" s="253"/>
      <c r="K273" s="253"/>
      <c r="L273" s="253"/>
      <c r="M273" s="253"/>
      <c r="N273" s="253"/>
      <c r="O273" s="253"/>
      <c r="P273" s="253"/>
      <c r="Q273" s="253"/>
      <c r="R273" s="253"/>
      <c r="S273" s="253"/>
      <c r="T273" s="1111"/>
      <c r="U273" s="344" t="s">
        <v>4269</v>
      </c>
      <c r="V273" s="253"/>
      <c r="W273" s="253"/>
      <c r="X273" s="253"/>
      <c r="Y273" s="253"/>
      <c r="Z273" s="253"/>
      <c r="AA273" s="253"/>
      <c r="AB273" s="253"/>
      <c r="AC273" s="1963" t="str">
        <f>IF(T273&lt;&gt;"","","X")</f>
        <v>X</v>
      </c>
      <c r="AD273" s="344" t="s">
        <v>4285</v>
      </c>
      <c r="AE273" s="253"/>
      <c r="AF273" s="253"/>
      <c r="AG273" s="253"/>
      <c r="AH273" s="253"/>
      <c r="AI273" s="253"/>
      <c r="AJ273" s="253"/>
      <c r="AK273" s="2013"/>
      <c r="AL273" s="2013"/>
      <c r="AM273" s="2013"/>
      <c r="AN273" s="253"/>
      <c r="AO273" s="226" t="s">
        <v>979</v>
      </c>
      <c r="AP273" s="253"/>
      <c r="AQ273" s="4552" t="s">
        <v>4299</v>
      </c>
      <c r="AR273" s="1138"/>
      <c r="AS273" s="1141"/>
      <c r="AT273" s="1141"/>
      <c r="AU273" s="1141"/>
      <c r="AV273" s="1141"/>
      <c r="AW273" s="1141"/>
      <c r="AX273" s="1141"/>
      <c r="AY273" s="946"/>
      <c r="AZ273" s="1139"/>
      <c r="BA273"/>
      <c r="BB273"/>
    </row>
    <row r="274" spans="1:54" s="1116" customFormat="1" ht="16.5" customHeight="1">
      <c r="A274" s="2067"/>
      <c r="B274" s="2068"/>
      <c r="C274" s="2068"/>
      <c r="D274" s="2068"/>
      <c r="E274" s="4556" t="s">
        <v>4287</v>
      </c>
      <c r="F274" s="2068"/>
      <c r="G274" s="2068"/>
      <c r="H274" s="2068"/>
      <c r="I274" s="2068"/>
      <c r="J274" s="2068"/>
      <c r="K274" s="2068"/>
      <c r="L274" s="2068"/>
      <c r="M274" s="2068"/>
      <c r="N274" s="2068"/>
      <c r="O274" s="2068"/>
      <c r="P274" s="2068"/>
      <c r="Q274" s="2068"/>
      <c r="R274" s="2068"/>
      <c r="S274" s="2068"/>
      <c r="T274" s="2068"/>
      <c r="U274" s="2068" t="s">
        <v>4271</v>
      </c>
      <c r="V274" s="2068"/>
      <c r="W274" s="2068"/>
      <c r="X274" s="2068"/>
      <c r="Y274" s="2068"/>
      <c r="Z274" s="2068"/>
      <c r="AA274" s="2068"/>
      <c r="AB274" s="2068"/>
      <c r="AC274" s="2068"/>
      <c r="AD274" s="4162" t="s">
        <v>4288</v>
      </c>
      <c r="AE274" s="2068"/>
      <c r="AF274" s="2068"/>
      <c r="AG274" s="2068"/>
      <c r="AH274" s="2068"/>
      <c r="AI274" s="2068"/>
      <c r="AJ274" s="2068"/>
      <c r="AK274" s="2067"/>
      <c r="AL274" s="2067"/>
      <c r="AM274" s="2067"/>
      <c r="AN274" s="571"/>
      <c r="AO274" s="226" t="s">
        <v>931</v>
      </c>
      <c r="AP274" s="571"/>
      <c r="AQ274" s="4554" t="s">
        <v>4289</v>
      </c>
      <c r="AR274" s="4536"/>
      <c r="AS274" s="4536"/>
      <c r="AT274" s="4557" t="s">
        <v>4290</v>
      </c>
      <c r="AU274" s="4536"/>
      <c r="AV274" s="4536"/>
      <c r="AW274" s="4539"/>
      <c r="AX274" s="4539" t="s">
        <v>171</v>
      </c>
      <c r="AY274" s="2499" t="str">
        <f>IF(AY261="","",MAX(0,SUM(AY261,-AY271)))</f>
        <v/>
      </c>
      <c r="AZ274" s="4537"/>
      <c r="BA274" s="138"/>
      <c r="BB274" s="138"/>
    </row>
    <row r="275" spans="1:54" s="815" customFormat="1" ht="9.75" customHeight="1" thickBot="1">
      <c r="A275" s="2013"/>
      <c r="B275" s="4558"/>
      <c r="C275" s="4558"/>
      <c r="D275" s="4558"/>
      <c r="E275" s="4558"/>
      <c r="F275" s="4558"/>
      <c r="G275" s="4558"/>
      <c r="H275" s="4558"/>
      <c r="I275" s="4558"/>
      <c r="J275" s="4558"/>
      <c r="K275" s="4558"/>
      <c r="L275" s="4558"/>
      <c r="M275" s="4558"/>
      <c r="N275" s="4558"/>
      <c r="O275" s="4558"/>
      <c r="P275" s="4558"/>
      <c r="Q275" s="4558"/>
      <c r="R275" s="4558"/>
      <c r="S275" s="4558"/>
      <c r="T275" s="4558"/>
      <c r="U275" s="4558"/>
      <c r="V275" s="4558"/>
      <c r="W275" s="4558"/>
      <c r="X275" s="4558"/>
      <c r="Y275" s="4558"/>
      <c r="Z275" s="4558"/>
      <c r="AA275" s="4558"/>
      <c r="AB275" s="4558"/>
      <c r="AC275" s="4558"/>
      <c r="AD275" s="4558"/>
      <c r="AE275" s="4558"/>
      <c r="AF275" s="4558"/>
      <c r="AG275" s="4558"/>
      <c r="AH275" s="4558"/>
      <c r="AI275" s="4558"/>
      <c r="AJ275" s="4558"/>
      <c r="AK275" s="2013"/>
      <c r="AL275" s="2013"/>
      <c r="AM275" s="2013"/>
      <c r="AN275" s="253"/>
      <c r="AO275" s="253"/>
      <c r="AP275" s="253"/>
      <c r="AQ275" s="1142"/>
      <c r="AR275" s="1143"/>
      <c r="AS275" s="1144"/>
      <c r="AT275" s="1144"/>
      <c r="AU275" s="1144"/>
      <c r="AV275" s="1144"/>
      <c r="AW275" s="1144"/>
      <c r="AX275" s="1144"/>
      <c r="AY275" s="1144"/>
      <c r="AZ275" s="1145"/>
      <c r="BA275"/>
      <c r="BB275"/>
    </row>
    <row r="276" spans="1:54" s="1115" customFormat="1" ht="14.25" customHeight="1">
      <c r="A276" s="2290"/>
      <c r="B276" s="342" t="s">
        <v>5578</v>
      </c>
      <c r="C276" s="2319"/>
      <c r="D276" s="2319"/>
      <c r="E276" s="1117" t="s">
        <v>4301</v>
      </c>
      <c r="F276" s="2319"/>
      <c r="G276" s="2319"/>
      <c r="H276" s="2319"/>
      <c r="I276" s="2319"/>
      <c r="J276" s="2319"/>
      <c r="K276" s="2319"/>
      <c r="L276" s="2319"/>
      <c r="M276" s="2319"/>
      <c r="N276" s="2319"/>
      <c r="O276" s="2319"/>
      <c r="P276" s="2319"/>
      <c r="Q276" s="2319"/>
      <c r="R276" s="2319"/>
      <c r="S276" s="2319"/>
      <c r="T276" s="2319"/>
      <c r="U276" s="2319"/>
      <c r="V276" s="2319"/>
      <c r="W276" s="2319"/>
      <c r="X276" s="2319"/>
      <c r="Y276" s="2319"/>
      <c r="Z276" s="2319"/>
      <c r="AA276" s="2319"/>
      <c r="AB276" s="2319"/>
      <c r="AC276" s="2319"/>
      <c r="AD276" s="2319"/>
      <c r="AE276" s="2319"/>
      <c r="AF276" s="2319"/>
      <c r="AG276" s="2319"/>
      <c r="AH276" s="2319"/>
      <c r="AI276" s="2319"/>
      <c r="AJ276" s="2319"/>
      <c r="AK276" s="2290"/>
      <c r="AL276" s="2290"/>
      <c r="AM276" s="2290"/>
      <c r="AN276" s="4520"/>
      <c r="AO276" s="2158" t="b">
        <f>OR(AND(AH279,AO287&lt;&gt;""),AND(NOT(AH279),AO284&lt;&gt;""))</f>
        <v>0</v>
      </c>
      <c r="AP276" s="4521"/>
      <c r="AQ276" s="658"/>
      <c r="AR276" s="664"/>
      <c r="AS276" s="658"/>
      <c r="AT276" s="658"/>
      <c r="AU276" s="658"/>
      <c r="AV276" s="658"/>
      <c r="AW276" s="658"/>
      <c r="AX276" s="658"/>
      <c r="AY276" s="658"/>
      <c r="AZ276" s="658"/>
      <c r="BA276" s="2293"/>
      <c r="BB276" s="2293"/>
    </row>
    <row r="277" spans="1:54" s="1115" customFormat="1" ht="16.5" customHeight="1">
      <c r="A277" s="2290"/>
      <c r="B277" s="2319"/>
      <c r="C277" s="2319"/>
      <c r="D277" s="2319"/>
      <c r="E277" s="1118" t="s">
        <v>4291</v>
      </c>
      <c r="F277" s="2319"/>
      <c r="G277" s="2319"/>
      <c r="H277" s="2319"/>
      <c r="I277" s="2319"/>
      <c r="J277" s="2319"/>
      <c r="K277" s="2319"/>
      <c r="L277" s="2319"/>
      <c r="M277" s="2319"/>
      <c r="N277" s="2319"/>
      <c r="O277" s="2319"/>
      <c r="P277" s="2319"/>
      <c r="Q277" s="2319"/>
      <c r="R277" s="2319"/>
      <c r="S277" s="2319"/>
      <c r="T277" s="2319"/>
      <c r="U277" s="2319"/>
      <c r="V277" s="2319"/>
      <c r="W277" s="2319"/>
      <c r="X277" s="2319"/>
      <c r="Y277" s="2319"/>
      <c r="Z277" s="2319"/>
      <c r="AA277" s="2319"/>
      <c r="AB277" s="2319"/>
      <c r="AC277" s="2319"/>
      <c r="AD277" s="2319"/>
      <c r="AE277" s="2319"/>
      <c r="AF277" s="2319"/>
      <c r="AG277" s="2319"/>
      <c r="AH277" s="2319"/>
      <c r="AI277" s="2319"/>
      <c r="AJ277" s="2319"/>
      <c r="AK277" s="2290"/>
      <c r="AL277" s="2290"/>
      <c r="AM277" s="2290"/>
      <c r="AN277" s="4520"/>
      <c r="AO277" s="2158" t="b">
        <f>OR(AND(AH279,AO287&lt;&gt;""),AND(NOT(AH279),AO284&lt;&gt;""))</f>
        <v>0</v>
      </c>
      <c r="AP277" s="4521"/>
      <c r="AQ277" s="658"/>
      <c r="AR277" s="664"/>
      <c r="AS277" s="658"/>
      <c r="AT277" s="658"/>
      <c r="AU277" s="658"/>
      <c r="AV277" s="658"/>
      <c r="AW277" s="658"/>
      <c r="AX277" s="658"/>
      <c r="AY277" s="658"/>
      <c r="AZ277" s="658"/>
      <c r="BA277" s="2293"/>
      <c r="BB277" s="2293"/>
    </row>
    <row r="278" spans="1:54" s="815" customFormat="1" ht="6" customHeight="1">
      <c r="A278" s="2013"/>
      <c r="B278" s="4559"/>
      <c r="C278" s="4559"/>
      <c r="D278" s="4559"/>
      <c r="E278" s="4559"/>
      <c r="F278" s="4559"/>
      <c r="G278" s="4559"/>
      <c r="H278" s="4559"/>
      <c r="I278" s="4559"/>
      <c r="J278" s="4559"/>
      <c r="K278" s="4559"/>
      <c r="L278" s="4559"/>
      <c r="M278" s="4559"/>
      <c r="N278" s="4559"/>
      <c r="O278" s="4559"/>
      <c r="P278" s="4559"/>
      <c r="Q278" s="4559"/>
      <c r="R278" s="4559"/>
      <c r="S278" s="4559"/>
      <c r="T278" s="4559"/>
      <c r="U278" s="4559"/>
      <c r="V278" s="4559"/>
      <c r="W278" s="4559"/>
      <c r="X278" s="4559"/>
      <c r="Y278" s="4559"/>
      <c r="Z278" s="4559"/>
      <c r="AA278" s="4559"/>
      <c r="AB278" s="4559"/>
      <c r="AC278" s="4559"/>
      <c r="AD278" s="4559"/>
      <c r="AE278" s="4559"/>
      <c r="AF278" s="4559"/>
      <c r="AG278" s="4559"/>
      <c r="AH278" s="4559"/>
      <c r="AI278" s="4559"/>
      <c r="AJ278" s="4559"/>
      <c r="AK278" s="2013"/>
      <c r="AL278" s="2013"/>
      <c r="AM278" s="2013"/>
      <c r="AN278" s="253"/>
      <c r="AO278" s="253"/>
      <c r="AP278" s="253"/>
      <c r="AQ278" s="658"/>
      <c r="AR278" s="658"/>
      <c r="AS278" s="658"/>
      <c r="AT278" s="658"/>
      <c r="AU278" s="658"/>
      <c r="AV278" s="658"/>
      <c r="AW278" s="658"/>
      <c r="AX278" s="658"/>
      <c r="AY278" s="658"/>
      <c r="AZ278" s="658"/>
      <c r="BA278"/>
      <c r="BB278"/>
    </row>
    <row r="279" spans="1:54" s="815" customFormat="1" ht="16.5" customHeight="1" thickBot="1">
      <c r="A279" s="2013"/>
      <c r="B279" s="3844"/>
      <c r="C279" s="4560" t="s">
        <v>4202</v>
      </c>
      <c r="D279" s="413"/>
      <c r="E279" s="413"/>
      <c r="F279" s="413"/>
      <c r="G279" s="413"/>
      <c r="H279" s="413"/>
      <c r="I279" s="413"/>
      <c r="J279" s="413"/>
      <c r="K279" s="413"/>
      <c r="L279" s="413"/>
      <c r="M279" s="413"/>
      <c r="N279" s="413"/>
      <c r="O279" s="413"/>
      <c r="P279" s="413"/>
      <c r="Q279" s="413"/>
      <c r="R279" s="413"/>
      <c r="S279" s="413"/>
      <c r="T279" s="413"/>
      <c r="U279" s="413"/>
      <c r="V279" s="413"/>
      <c r="W279" s="413"/>
      <c r="X279" s="413"/>
      <c r="Y279" s="413"/>
      <c r="Z279" s="413"/>
      <c r="AA279" s="413"/>
      <c r="AB279" s="11124" t="b">
        <f>AND(AE280&lt;&gt;"",AE280&gt;AO281)</f>
        <v>0</v>
      </c>
      <c r="AC279" s="11124"/>
      <c r="AD279" s="413"/>
      <c r="AE279" s="413"/>
      <c r="AF279" s="413"/>
      <c r="AG279" s="413"/>
      <c r="AH279" s="11124" t="b">
        <f>AND(T261="",AC266="",T270="",T273="")</f>
        <v>1</v>
      </c>
      <c r="AI279" s="11124"/>
      <c r="AJ279" s="11124"/>
      <c r="AK279" s="2013"/>
      <c r="AL279" s="2013"/>
      <c r="AM279" s="2013"/>
      <c r="AN279" s="253"/>
      <c r="AO279" s="253"/>
      <c r="AP279" s="253"/>
      <c r="AQ279" s="658"/>
      <c r="AR279" s="658"/>
      <c r="AS279" s="658"/>
      <c r="AT279" s="658"/>
      <c r="AU279" s="658"/>
      <c r="AV279" s="658"/>
      <c r="AW279" s="658"/>
      <c r="AX279" s="658"/>
      <c r="AY279" s="658"/>
      <c r="AZ279" s="658"/>
      <c r="BA279"/>
      <c r="BB279"/>
    </row>
    <row r="280" spans="1:54" s="815" customFormat="1" ht="16.5" customHeight="1" thickBot="1">
      <c r="A280" s="2013"/>
      <c r="B280" s="4555">
        <v>27</v>
      </c>
      <c r="C280" s="253"/>
      <c r="D280" s="511" t="s">
        <v>4293</v>
      </c>
      <c r="E280" s="511"/>
      <c r="F280" s="253"/>
      <c r="G280" s="253"/>
      <c r="H280" s="253"/>
      <c r="I280" s="253"/>
      <c r="J280" s="253"/>
      <c r="K280" s="253"/>
      <c r="L280" s="253"/>
      <c r="M280" s="253"/>
      <c r="N280" s="253"/>
      <c r="O280" s="253"/>
      <c r="P280" s="253"/>
      <c r="Q280" s="253"/>
      <c r="R280" s="4561" t="str">
        <f>"Don't enter more than "&amp;TEXT(AO281,"$0,000")&amp;"."</f>
        <v>Don't enter more than $4,000.</v>
      </c>
      <c r="S280" s="253"/>
      <c r="T280" s="253"/>
      <c r="U280" s="253"/>
      <c r="V280" s="253"/>
      <c r="W280" s="253"/>
      <c r="X280" s="253"/>
      <c r="Y280" s="253"/>
      <c r="Z280" s="4562"/>
      <c r="AA280" s="4562"/>
      <c r="AB280" s="4229"/>
      <c r="AC280" s="4563"/>
      <c r="AD280" s="2918">
        <v>27</v>
      </c>
      <c r="AE280" s="10758" t="str">
        <f>IF(AO280&lt;&gt;"",ROUND(AO280,0),IF(OR(NOT(AH279),AY274=""),"",MIN(AO281,AY274)))</f>
        <v/>
      </c>
      <c r="AF280" s="11125"/>
      <c r="AG280" s="11125"/>
      <c r="AH280" s="11125"/>
      <c r="AI280" s="11125"/>
      <c r="AJ280" s="11125"/>
      <c r="AK280" s="2013"/>
      <c r="AL280" s="2013"/>
      <c r="AM280" s="2013"/>
      <c r="AN280" s="253"/>
      <c r="AO280" s="1113"/>
      <c r="AP280" s="253"/>
      <c r="AQ280" s="658"/>
      <c r="AR280" s="658"/>
      <c r="AS280" s="658"/>
      <c r="AT280" s="658"/>
      <c r="AU280" s="658"/>
      <c r="AV280" s="658"/>
      <c r="AW280" s="658"/>
      <c r="AX280" s="658"/>
      <c r="AY280" s="658"/>
      <c r="AZ280" s="658"/>
      <c r="BA280"/>
      <c r="BB280"/>
    </row>
    <row r="281" spans="1:54" s="815" customFormat="1" ht="17.25" customHeight="1">
      <c r="A281" s="2013"/>
      <c r="B281" s="3827">
        <v>28</v>
      </c>
      <c r="C281" s="253"/>
      <c r="D281" s="511" t="str">
        <f>"Subtract "&amp;TEXT(AO282,"$0,000")&amp;" from line 27. If zero or less, enter -0-"</f>
        <v>Subtract $2,000 from line 27. If zero or less, enter -0-</v>
      </c>
      <c r="E281" s="253"/>
      <c r="F281" s="253"/>
      <c r="G281" s="253"/>
      <c r="H281" s="253"/>
      <c r="I281" s="253"/>
      <c r="J281" s="253"/>
      <c r="K281" s="253"/>
      <c r="L281" s="253"/>
      <c r="M281" s="253"/>
      <c r="N281" s="253"/>
      <c r="O281" s="253"/>
      <c r="P281" s="253"/>
      <c r="Q281" s="253"/>
      <c r="R281" s="253"/>
      <c r="S281" s="253"/>
      <c r="T281" s="253"/>
      <c r="U281" s="253"/>
      <c r="V281" s="253"/>
      <c r="W281" s="253"/>
      <c r="X281" s="253"/>
      <c r="Y281" s="253"/>
      <c r="Z281" s="3830"/>
      <c r="AA281" s="3830"/>
      <c r="AB281" s="253"/>
      <c r="AC281" s="1401" t="s">
        <v>4294</v>
      </c>
      <c r="AD281" s="2918">
        <v>28</v>
      </c>
      <c r="AE281" s="10758" t="str">
        <f>IF(OR(NOT(AH279),AY274=""),"",MAX(0,SUM(AE280,-AO282)))</f>
        <v/>
      </c>
      <c r="AF281" s="11125"/>
      <c r="AG281" s="11125"/>
      <c r="AH281" s="11125"/>
      <c r="AI281" s="11125"/>
      <c r="AJ281" s="11125"/>
      <c r="AK281" s="2013"/>
      <c r="AL281" s="2013"/>
      <c r="AM281" s="2013"/>
      <c r="AN281" s="253"/>
      <c r="AO281" s="512">
        <v>4000</v>
      </c>
      <c r="AP281" s="253"/>
      <c r="AQ281" s="658"/>
      <c r="AR281" s="658"/>
      <c r="AS281" s="658"/>
      <c r="AT281" s="658"/>
      <c r="AU281" s="658"/>
      <c r="AV281" s="658"/>
      <c r="AW281" s="658"/>
      <c r="AX281" s="658"/>
      <c r="AY281" s="658"/>
      <c r="AZ281" s="658"/>
      <c r="BA281"/>
      <c r="BB281"/>
    </row>
    <row r="282" spans="1:54" s="815" customFormat="1" ht="17.25" customHeight="1">
      <c r="A282" s="2013"/>
      <c r="B282" s="3827">
        <v>29</v>
      </c>
      <c r="C282" s="253"/>
      <c r="D282" s="511" t="str">
        <f>"Multiply line 28 by "&amp;TEXT(AB283,"0%")&amp;" ("&amp;TEXT(AB283,"0.00")&amp;")"</f>
        <v>Multiply line 28 by 25% (0.25)</v>
      </c>
      <c r="E282" s="511"/>
      <c r="F282" s="511"/>
      <c r="G282" s="253"/>
      <c r="H282" s="253"/>
      <c r="I282" s="253"/>
      <c r="J282" s="253"/>
      <c r="K282" s="253"/>
      <c r="L282" s="349"/>
      <c r="M282" s="349"/>
      <c r="N282" s="349"/>
      <c r="O282" s="349"/>
      <c r="P282" s="349"/>
      <c r="Q282" s="349"/>
      <c r="R282" s="349"/>
      <c r="S282" s="349"/>
      <c r="T282" s="349"/>
      <c r="U282" s="349"/>
      <c r="V282" s="349"/>
      <c r="W282" s="349"/>
      <c r="X282" s="349"/>
      <c r="Y282" s="349"/>
      <c r="Z282" s="349"/>
      <c r="AA282" s="349"/>
      <c r="AB282" s="349"/>
      <c r="AC282" s="1401" t="s">
        <v>4295</v>
      </c>
      <c r="AD282" s="2918">
        <v>29</v>
      </c>
      <c r="AE282" s="10758" t="str">
        <f>IF(OR(NOT(AH279),AY274=""),"",ROUND(AE281*AB283,0))</f>
        <v/>
      </c>
      <c r="AF282" s="11125"/>
      <c r="AG282" s="11125"/>
      <c r="AH282" s="11125"/>
      <c r="AI282" s="11125"/>
      <c r="AJ282" s="11125"/>
      <c r="AK282" s="2013"/>
      <c r="AL282" s="2013"/>
      <c r="AM282" s="2013"/>
      <c r="AN282" s="253"/>
      <c r="AO282" s="512">
        <v>2000</v>
      </c>
      <c r="AP282" s="253"/>
      <c r="AQ282" s="658"/>
      <c r="AR282" s="658"/>
      <c r="AS282" s="658"/>
      <c r="AT282" s="658"/>
      <c r="AU282" s="658"/>
      <c r="AV282" s="658"/>
      <c r="AW282" s="658"/>
      <c r="AX282" s="658"/>
      <c r="AY282" s="658"/>
      <c r="AZ282" s="658"/>
      <c r="BA282"/>
      <c r="BB282"/>
    </row>
    <row r="283" spans="1:54" s="815" customFormat="1" ht="15.75" customHeight="1" thickBot="1">
      <c r="A283" s="2013"/>
      <c r="B283" s="3827">
        <v>30</v>
      </c>
      <c r="C283" s="253"/>
      <c r="D283" s="511" t="s">
        <v>4296</v>
      </c>
      <c r="E283" s="511"/>
      <c r="F283" s="511"/>
      <c r="G283" s="253"/>
      <c r="H283" s="253"/>
      <c r="I283" s="253"/>
      <c r="J283" s="253"/>
      <c r="K283" s="253"/>
      <c r="L283" s="253"/>
      <c r="M283" s="253"/>
      <c r="N283" s="253"/>
      <c r="O283" s="253"/>
      <c r="P283" s="253"/>
      <c r="Q283" s="253"/>
      <c r="R283" s="253"/>
      <c r="S283" s="253"/>
      <c r="T283" s="253"/>
      <c r="U283" s="253"/>
      <c r="V283" s="253"/>
      <c r="W283" s="253"/>
      <c r="X283" s="253"/>
      <c r="Y283" s="253"/>
      <c r="Z283" s="253"/>
      <c r="AA283" s="253"/>
      <c r="AB283" s="8824">
        <v>0.25</v>
      </c>
      <c r="AC283" s="10850"/>
      <c r="AD283" s="2890"/>
      <c r="AE283" s="253"/>
      <c r="AF283" s="253"/>
      <c r="AG283" s="253"/>
      <c r="AH283" s="253"/>
      <c r="AI283" s="253"/>
      <c r="AJ283" s="253"/>
      <c r="AK283" s="2013"/>
      <c r="AL283" s="2013"/>
      <c r="AM283" s="2013"/>
      <c r="AN283" s="253"/>
      <c r="AO283" s="253"/>
      <c r="AP283" s="253"/>
      <c r="AQ283" s="658"/>
      <c r="AR283" s="658"/>
      <c r="AS283" s="658"/>
      <c r="AT283" s="658"/>
      <c r="AU283" s="658"/>
      <c r="AV283" s="658"/>
      <c r="AW283" s="658"/>
      <c r="AX283" s="658"/>
      <c r="AY283" s="658"/>
      <c r="AZ283" s="658"/>
      <c r="BA283"/>
      <c r="BB283"/>
    </row>
    <row r="284" spans="1:54" s="815" customFormat="1" ht="15.75" thickBot="1">
      <c r="A284" s="2013"/>
      <c r="B284" s="253"/>
      <c r="C284" s="253"/>
      <c r="D284" s="511" t="s">
        <v>6460</v>
      </c>
      <c r="E284" s="511"/>
      <c r="F284" s="511"/>
      <c r="G284" s="253"/>
      <c r="H284" s="253"/>
      <c r="I284" s="253"/>
      <c r="J284" s="253"/>
      <c r="K284" s="253"/>
      <c r="L284" s="253"/>
      <c r="M284" s="253"/>
      <c r="N284" s="253"/>
      <c r="O284" s="253"/>
      <c r="P284" s="253"/>
      <c r="Q284" s="253"/>
      <c r="R284" s="253"/>
      <c r="S284" s="253"/>
      <c r="T284" s="253"/>
      <c r="U284" s="253"/>
      <c r="V284" s="253"/>
      <c r="W284" s="253"/>
      <c r="X284" s="253"/>
      <c r="Y284" s="253"/>
      <c r="Z284" s="253"/>
      <c r="AA284" s="253"/>
      <c r="AB284" s="253"/>
      <c r="AC284" s="1401" t="s">
        <v>2390</v>
      </c>
      <c r="AD284" s="2922">
        <v>30</v>
      </c>
      <c r="AE284" s="11121" t="str">
        <f>IF(AO284&lt;&gt;"",ROUND(AO284,0),IF(OR(NOT(AH279),AE280=0,AE280="",AY274=""),"",IF(OR(AE281=0,AE281=""),AE280,SUM(AE282,AO282))))</f>
        <v/>
      </c>
      <c r="AF284" s="11122"/>
      <c r="AG284" s="11122"/>
      <c r="AH284" s="11122"/>
      <c r="AI284" s="11122"/>
      <c r="AJ284" s="11122"/>
      <c r="AK284" s="2013"/>
      <c r="AL284" s="2013"/>
      <c r="AM284" s="2013"/>
      <c r="AN284" s="253"/>
      <c r="AO284" s="1113"/>
      <c r="AP284" s="253"/>
      <c r="AQ284" s="658"/>
      <c r="AR284" s="658"/>
      <c r="AS284" s="658"/>
      <c r="AT284" s="658"/>
      <c r="AU284" s="658"/>
      <c r="AV284" s="658"/>
      <c r="AW284" s="658"/>
      <c r="AX284" s="658"/>
      <c r="AY284" s="658"/>
      <c r="AZ284" s="658"/>
      <c r="BA284"/>
      <c r="BB284"/>
    </row>
    <row r="285" spans="1:54" s="815" customFormat="1" ht="16.5" customHeight="1">
      <c r="A285" s="2013"/>
      <c r="B285" s="3844"/>
      <c r="C285" s="4560" t="s">
        <v>4229</v>
      </c>
      <c r="D285" s="773"/>
      <c r="E285" s="773"/>
      <c r="F285" s="773"/>
      <c r="G285" s="773"/>
      <c r="H285" s="773"/>
      <c r="I285" s="773"/>
      <c r="J285" s="773"/>
      <c r="K285" s="773"/>
      <c r="L285" s="773"/>
      <c r="M285" s="773"/>
      <c r="N285" s="773"/>
      <c r="O285" s="773"/>
      <c r="P285" s="773"/>
      <c r="Q285" s="773"/>
      <c r="R285" s="773"/>
      <c r="S285" s="773"/>
      <c r="T285" s="773"/>
      <c r="U285" s="773"/>
      <c r="V285" s="773"/>
      <c r="W285" s="773"/>
      <c r="X285" s="773"/>
      <c r="Y285" s="773"/>
      <c r="Z285" s="773"/>
      <c r="AA285" s="773"/>
      <c r="AB285" s="773"/>
      <c r="AC285" s="773"/>
      <c r="AD285" s="773"/>
      <c r="AE285" s="773"/>
      <c r="AF285" s="773"/>
      <c r="AG285" s="773"/>
      <c r="AH285" s="773"/>
      <c r="AI285" s="773"/>
      <c r="AJ285" s="773"/>
      <c r="AK285" s="2013"/>
      <c r="AL285" s="2013"/>
      <c r="AM285" s="2013"/>
      <c r="AN285" s="253"/>
      <c r="AO285" s="253"/>
      <c r="AP285" s="253"/>
      <c r="AQ285" s="658"/>
      <c r="AR285" s="658"/>
      <c r="AS285" s="658"/>
      <c r="AT285" s="658"/>
      <c r="AU285" s="658"/>
      <c r="AV285" s="658"/>
      <c r="AW285" s="658"/>
      <c r="AX285" s="658"/>
      <c r="AY285" s="658"/>
      <c r="AZ285" s="658"/>
      <c r="BA285"/>
      <c r="BB285"/>
    </row>
    <row r="286" spans="1:54" s="815" customFormat="1" ht="15.75" customHeight="1" thickBot="1">
      <c r="A286" s="2013"/>
      <c r="B286" s="3827">
        <v>31</v>
      </c>
      <c r="C286" s="253"/>
      <c r="D286" s="511" t="s">
        <v>6462</v>
      </c>
      <c r="E286" s="511"/>
      <c r="F286" s="511"/>
      <c r="G286" s="253"/>
      <c r="H286" s="253"/>
      <c r="I286" s="253"/>
      <c r="J286" s="253"/>
      <c r="K286" s="253"/>
      <c r="L286" s="253"/>
      <c r="M286" s="253"/>
      <c r="N286" s="253"/>
      <c r="O286" s="253"/>
      <c r="P286" s="253"/>
      <c r="Q286" s="253"/>
      <c r="R286" s="253"/>
      <c r="S286" s="253"/>
      <c r="T286" s="253"/>
      <c r="U286" s="253"/>
      <c r="V286" s="253"/>
      <c r="W286" s="253"/>
      <c r="X286" s="253"/>
      <c r="Y286" s="253"/>
      <c r="Z286" s="253"/>
      <c r="AA286" s="253"/>
      <c r="AB286" s="253"/>
      <c r="AC286" s="253"/>
      <c r="AD286" s="2890"/>
      <c r="AE286" s="253"/>
      <c r="AF286" s="253"/>
      <c r="AG286" s="253"/>
      <c r="AH286" s="253"/>
      <c r="AI286" s="253"/>
      <c r="AJ286" s="253"/>
      <c r="AK286" s="2013"/>
      <c r="AL286" s="2013"/>
      <c r="AM286" s="2013"/>
      <c r="AN286" s="253"/>
      <c r="AO286" s="253"/>
      <c r="AP286" s="253"/>
      <c r="AQ286" s="658"/>
      <c r="AR286" s="658"/>
      <c r="AS286" s="658"/>
      <c r="AT286" s="658"/>
      <c r="AU286" s="658"/>
      <c r="AV286" s="658"/>
      <c r="AW286" s="658"/>
      <c r="AX286" s="658"/>
      <c r="AY286" s="658"/>
      <c r="AZ286" s="658"/>
      <c r="BA286"/>
      <c r="BB286"/>
    </row>
    <row r="287" spans="1:54" s="815" customFormat="1" ht="15.75" thickBot="1">
      <c r="A287" s="2013"/>
      <c r="B287" s="380"/>
      <c r="C287" s="380"/>
      <c r="D287" s="2015" t="s">
        <v>6461</v>
      </c>
      <c r="E287" s="2015"/>
      <c r="F287" s="2015"/>
      <c r="G287" s="380"/>
      <c r="H287" s="380"/>
      <c r="I287" s="380"/>
      <c r="J287" s="380"/>
      <c r="K287" s="380"/>
      <c r="L287" s="380"/>
      <c r="M287" s="380"/>
      <c r="N287" s="380"/>
      <c r="O287" s="380"/>
      <c r="P287" s="380"/>
      <c r="Q287" s="380"/>
      <c r="R287" s="380"/>
      <c r="S287" s="380"/>
      <c r="T287" s="380"/>
      <c r="U287" s="380"/>
      <c r="V287" s="380"/>
      <c r="W287" s="380"/>
      <c r="X287" s="380"/>
      <c r="Y287" s="380"/>
      <c r="Z287" s="380"/>
      <c r="AA287" s="380"/>
      <c r="AB287" s="380"/>
      <c r="AC287" s="1658" t="s">
        <v>4295</v>
      </c>
      <c r="AD287" s="2919">
        <v>31</v>
      </c>
      <c r="AE287" s="10759" t="str">
        <f>IF(AO287&lt;&gt;"",ROUND(AO287,0),IF(OR(AH279,AY274=""),"",AY274))</f>
        <v/>
      </c>
      <c r="AF287" s="11123"/>
      <c r="AG287" s="11123"/>
      <c r="AH287" s="11123"/>
      <c r="AI287" s="11123"/>
      <c r="AJ287" s="11123"/>
      <c r="AK287" s="2013"/>
      <c r="AL287" s="2013"/>
      <c r="AM287" s="2013"/>
      <c r="AN287" s="253"/>
      <c r="AO287" s="1113"/>
      <c r="AP287" s="253"/>
      <c r="AQ287" s="658"/>
      <c r="AR287" s="658"/>
      <c r="AS287" s="658"/>
      <c r="AT287" s="658"/>
      <c r="AU287" s="658"/>
      <c r="AV287" s="658"/>
      <c r="AW287" s="658"/>
      <c r="AX287" s="658"/>
      <c r="AY287" s="658"/>
      <c r="AZ287" s="658"/>
      <c r="BA287"/>
      <c r="BB287"/>
    </row>
    <row r="288" spans="1:54" s="815" customFormat="1" ht="15.75">
      <c r="A288" s="2013"/>
      <c r="B288" s="2447"/>
      <c r="C288" s="1560"/>
      <c r="D288" s="1560"/>
      <c r="E288" s="1560"/>
      <c r="F288" s="1560"/>
      <c r="G288" s="1560"/>
      <c r="H288" s="1560"/>
      <c r="I288" s="1560"/>
      <c r="J288" s="1560"/>
      <c r="K288" s="1560"/>
      <c r="L288" s="1560"/>
      <c r="M288" s="1560"/>
      <c r="N288" s="1560"/>
      <c r="O288" s="1560"/>
      <c r="P288" s="1560"/>
      <c r="Q288" s="88"/>
      <c r="R288" s="88"/>
      <c r="S288" s="88"/>
      <c r="T288" s="88"/>
      <c r="U288" s="3931"/>
      <c r="V288" s="88"/>
      <c r="W288" s="3931"/>
      <c r="X288" s="88"/>
      <c r="Y288" s="88"/>
      <c r="Z288" s="88"/>
      <c r="AA288" s="88"/>
      <c r="AB288" s="88"/>
      <c r="AC288" s="88"/>
      <c r="AD288" s="88"/>
      <c r="AE288" s="88"/>
      <c r="AF288" s="88"/>
      <c r="AG288" s="88"/>
      <c r="AH288" s="2052" t="s">
        <v>4251</v>
      </c>
      <c r="AI288" s="88"/>
      <c r="AJ288" s="2052" t="str">
        <f>"("&amp;TaxYear&amp;")"</f>
        <v>(2025)</v>
      </c>
      <c r="AK288" s="2013"/>
      <c r="AL288" s="2013"/>
      <c r="AM288" s="2013"/>
      <c r="AN288" s="416"/>
      <c r="AO288" s="416"/>
      <c r="AP288" s="253"/>
      <c r="AQ288" s="658"/>
      <c r="AR288" s="658"/>
      <c r="AS288" s="658"/>
      <c r="AT288" s="658"/>
      <c r="AU288" s="658"/>
      <c r="AV288" s="658"/>
      <c r="AW288" s="658"/>
      <c r="AX288" s="658"/>
      <c r="AY288" s="658"/>
      <c r="AZ288" s="658"/>
      <c r="BA288"/>
      <c r="BB288"/>
    </row>
    <row r="289" spans="1:42">
      <c r="A289" s="416"/>
      <c r="B289" s="416"/>
      <c r="C289" s="416"/>
      <c r="D289" s="416"/>
      <c r="E289" s="416"/>
      <c r="F289" s="416"/>
      <c r="G289" s="416"/>
      <c r="H289" s="416"/>
      <c r="I289" s="416"/>
      <c r="J289" s="416"/>
      <c r="K289" s="416"/>
      <c r="L289" s="416"/>
      <c r="M289" s="416"/>
      <c r="N289" s="416"/>
      <c r="O289" s="416"/>
      <c r="P289" s="416"/>
      <c r="Q289" s="416"/>
      <c r="R289" s="416"/>
      <c r="S289" s="416"/>
      <c r="T289" s="416"/>
      <c r="U289" s="416"/>
      <c r="V289" s="416"/>
      <c r="W289" s="416"/>
      <c r="X289" s="416"/>
      <c r="Y289" s="416"/>
      <c r="Z289" s="416"/>
      <c r="AA289" s="416"/>
      <c r="AB289" s="416"/>
      <c r="AC289" s="416"/>
      <c r="AD289" s="416"/>
      <c r="AE289" s="416"/>
      <c r="AF289" s="416"/>
      <c r="AG289" s="416"/>
      <c r="AH289" s="416"/>
      <c r="AI289" s="416"/>
      <c r="AJ289" s="416"/>
      <c r="AK289" s="416"/>
      <c r="AL289" s="416"/>
      <c r="AM289" s="416"/>
      <c r="AN289" s="416"/>
      <c r="AO289" s="416"/>
      <c r="AP289" s="253"/>
    </row>
  </sheetData>
  <sheetProtection algorithmName="SHA-512" hashValue="fJ0nE3DgyPlxMmsY9AGX3jI4kJK30fGGHpuF9F5eh4oKfMUOJBw8IMQR8QCE/owcOM272/0o6kFIDc8C6w2BUg==" saltValue="JVAoTYP5V6HeSL2KzBQ7ww==" spinCount="100000" sheet="1" objects="1" scenarios="1"/>
  <mergeCells count="153">
    <mergeCell ref="AH12:AJ12"/>
    <mergeCell ref="D132:S132"/>
    <mergeCell ref="D190:S190"/>
    <mergeCell ref="D248:S248"/>
    <mergeCell ref="AE30:AJ30"/>
    <mergeCell ref="AE53:AJ53"/>
    <mergeCell ref="X41:AC41"/>
    <mergeCell ref="AE27:AJ27"/>
    <mergeCell ref="AE110:AJ110"/>
    <mergeCell ref="AE113:AJ113"/>
    <mergeCell ref="T74:AJ74"/>
    <mergeCell ref="V78:AE80"/>
    <mergeCell ref="V81:AJ83"/>
    <mergeCell ref="V75:AE77"/>
    <mergeCell ref="AE55:AJ55"/>
    <mergeCell ref="AE14:AJ14"/>
    <mergeCell ref="AE33:AJ33"/>
    <mergeCell ref="AE15:AJ15"/>
    <mergeCell ref="AE16:AJ16"/>
    <mergeCell ref="AE31:AJ31"/>
    <mergeCell ref="AE37:AJ37"/>
    <mergeCell ref="AE23:AJ23"/>
    <mergeCell ref="AE24:AJ24"/>
    <mergeCell ref="X44:AC44"/>
    <mergeCell ref="AQ45:AY45"/>
    <mergeCell ref="D2:G3"/>
    <mergeCell ref="AC2:AJ2"/>
    <mergeCell ref="B3:C3"/>
    <mergeCell ref="AC3:AJ4"/>
    <mergeCell ref="I5:AB5"/>
    <mergeCell ref="AD5:AG5"/>
    <mergeCell ref="AH5:AI6"/>
    <mergeCell ref="X16:AC16"/>
    <mergeCell ref="I6:AB6"/>
    <mergeCell ref="AD6:AG6"/>
    <mergeCell ref="B8:X9"/>
    <mergeCell ref="Y8:AJ9"/>
    <mergeCell ref="AN38:AN41"/>
    <mergeCell ref="B12:C12"/>
    <mergeCell ref="AN9:AN12"/>
    <mergeCell ref="AO8:AO10"/>
    <mergeCell ref="AO37:AO39"/>
    <mergeCell ref="I2:AB3"/>
    <mergeCell ref="X19:AC19"/>
    <mergeCell ref="X15:AC15"/>
    <mergeCell ref="X20:AC20"/>
    <mergeCell ref="AE32:AJ32"/>
    <mergeCell ref="AE40:AJ40"/>
    <mergeCell ref="X46:AC46"/>
    <mergeCell ref="X48:AC48"/>
    <mergeCell ref="U67:AJ67"/>
    <mergeCell ref="T70:AJ70"/>
    <mergeCell ref="X45:AC45"/>
    <mergeCell ref="D74:S74"/>
    <mergeCell ref="AE21:AJ21"/>
    <mergeCell ref="AE20:AJ20"/>
    <mergeCell ref="AC59:AJ59"/>
    <mergeCell ref="B59:AB59"/>
    <mergeCell ref="B34:C34"/>
    <mergeCell ref="AE36:AJ36"/>
    <mergeCell ref="AE38:AJ38"/>
    <mergeCell ref="AE39:AJ39"/>
    <mergeCell ref="AE41:AJ41"/>
    <mergeCell ref="X21:AC21"/>
    <mergeCell ref="X24:AC24"/>
    <mergeCell ref="AE35:AJ35"/>
    <mergeCell ref="AC58:AJ58"/>
    <mergeCell ref="AB40:AC40"/>
    <mergeCell ref="Z40:AA40"/>
    <mergeCell ref="AE51:AJ51"/>
    <mergeCell ref="AC116:AJ116"/>
    <mergeCell ref="B122:C122"/>
    <mergeCell ref="D124:S125"/>
    <mergeCell ref="U125:AJ125"/>
    <mergeCell ref="D128:S128"/>
    <mergeCell ref="T128:AJ128"/>
    <mergeCell ref="B117:AB117"/>
    <mergeCell ref="AC117:AJ117"/>
    <mergeCell ref="AB109:AC109"/>
    <mergeCell ref="AB105:AC105"/>
    <mergeCell ref="B64:C64"/>
    <mergeCell ref="AH105:AJ105"/>
    <mergeCell ref="AE106:AJ106"/>
    <mergeCell ref="AE107:AJ107"/>
    <mergeCell ref="AE108:AJ108"/>
    <mergeCell ref="E78:N80"/>
    <mergeCell ref="E81:S83"/>
    <mergeCell ref="E75:N77"/>
    <mergeCell ref="D70:S70"/>
    <mergeCell ref="D66:S67"/>
    <mergeCell ref="D182:S183"/>
    <mergeCell ref="U183:AJ183"/>
    <mergeCell ref="AE222:AJ222"/>
    <mergeCell ref="T132:AJ132"/>
    <mergeCell ref="E133:N135"/>
    <mergeCell ref="V133:AE135"/>
    <mergeCell ref="E136:N138"/>
    <mergeCell ref="V136:AE138"/>
    <mergeCell ref="V194:AE196"/>
    <mergeCell ref="E197:S199"/>
    <mergeCell ref="V197:AJ199"/>
    <mergeCell ref="AB221:AC221"/>
    <mergeCell ref="AH221:AJ221"/>
    <mergeCell ref="AE165:AJ165"/>
    <mergeCell ref="AE166:AJ166"/>
    <mergeCell ref="AB167:AC167"/>
    <mergeCell ref="AE168:AJ168"/>
    <mergeCell ref="AC175:AJ175"/>
    <mergeCell ref="AQ52:AV52"/>
    <mergeCell ref="AN103:AP105"/>
    <mergeCell ref="AB283:AC283"/>
    <mergeCell ref="AE171:AJ171"/>
    <mergeCell ref="E139:S141"/>
    <mergeCell ref="V139:AJ141"/>
    <mergeCell ref="AB163:AC163"/>
    <mergeCell ref="AH163:AJ163"/>
    <mergeCell ref="AE164:AJ164"/>
    <mergeCell ref="T244:AJ244"/>
    <mergeCell ref="T248:AJ248"/>
    <mergeCell ref="D186:S186"/>
    <mergeCell ref="T186:AJ186"/>
    <mergeCell ref="T190:AJ190"/>
    <mergeCell ref="E191:N193"/>
    <mergeCell ref="V191:AE193"/>
    <mergeCell ref="AC174:AJ174"/>
    <mergeCell ref="B175:AB175"/>
    <mergeCell ref="AE223:AJ223"/>
    <mergeCell ref="AE224:AJ224"/>
    <mergeCell ref="AB225:AC225"/>
    <mergeCell ref="AE226:AJ226"/>
    <mergeCell ref="E194:N196"/>
    <mergeCell ref="B180:C180"/>
    <mergeCell ref="AE284:AJ284"/>
    <mergeCell ref="AE287:AJ287"/>
    <mergeCell ref="AB279:AC279"/>
    <mergeCell ref="AH279:AJ279"/>
    <mergeCell ref="AE280:AJ280"/>
    <mergeCell ref="AE281:AJ281"/>
    <mergeCell ref="AE282:AJ282"/>
    <mergeCell ref="AE229:AJ229"/>
    <mergeCell ref="AC232:AJ232"/>
    <mergeCell ref="B233:AB233"/>
    <mergeCell ref="AC233:AJ233"/>
    <mergeCell ref="B238:C238"/>
    <mergeCell ref="E249:N251"/>
    <mergeCell ref="V249:AE251"/>
    <mergeCell ref="E252:N254"/>
    <mergeCell ref="V252:AE254"/>
    <mergeCell ref="E255:S257"/>
    <mergeCell ref="V255:AJ257"/>
    <mergeCell ref="D240:S241"/>
    <mergeCell ref="U241:AJ241"/>
    <mergeCell ref="D244:S244"/>
  </mergeCells>
  <conditionalFormatting sqref="B60">
    <cfRule type="expression" dxfId="777" priority="548">
      <formula>IF(AND(File_Marr_Sep&lt;&gt;"",$AI$10=""),1,0)</formula>
    </cfRule>
  </conditionalFormatting>
  <conditionalFormatting sqref="B101">
    <cfRule type="expression" dxfId="776" priority="526">
      <formula>IF(AND(File_Marr_Sep&lt;&gt;"",$AI$10=""),1,0)</formula>
    </cfRule>
  </conditionalFormatting>
  <conditionalFormatting sqref="B118">
    <cfRule type="expression" dxfId="775" priority="12">
      <formula>IF(AND(File_Marr_Sep&lt;&gt;"",$AI$10=""),1,0)</formula>
    </cfRule>
  </conditionalFormatting>
  <conditionalFormatting sqref="B159">
    <cfRule type="expression" dxfId="774" priority="418">
      <formula>IF(AND(File_Marr_Sep&lt;&gt;"",$AI$10=""),1,0)</formula>
    </cfRule>
  </conditionalFormatting>
  <conditionalFormatting sqref="B176">
    <cfRule type="expression" dxfId="773" priority="8">
      <formula>IF(AND(File_Marr_Sep&lt;&gt;"",$AI$10=""),1,0)</formula>
    </cfRule>
  </conditionalFormatting>
  <conditionalFormatting sqref="B217">
    <cfRule type="expression" dxfId="772" priority="339">
      <formula>IF(AND(File_Marr_Sep&lt;&gt;"",$AI$10=""),1,0)</formula>
    </cfRule>
  </conditionalFormatting>
  <conditionalFormatting sqref="B234">
    <cfRule type="expression" dxfId="771" priority="4">
      <formula>IF(AND(File_Marr_Sep&lt;&gt;"",$AI$10=""),1,0)</formula>
    </cfRule>
  </conditionalFormatting>
  <conditionalFormatting sqref="B275">
    <cfRule type="expression" dxfId="770" priority="260">
      <formula>IF(AND(File_Marr_Sep&lt;&gt;"",$AI$10=""),1,0)</formula>
    </cfRule>
  </conditionalFormatting>
  <conditionalFormatting sqref="B160:D161 B162:AJ162 B218:D219 B220:AJ220 B276:D277 B278:AJ278">
    <cfRule type="expression" dxfId="769" priority="486">
      <formula>$AO$102</formula>
    </cfRule>
  </conditionalFormatting>
  <conditionalFormatting sqref="B8:K8">
    <cfRule type="expression" dxfId="768" priority="707">
      <formula>IF(NoColor,1,0)</formula>
    </cfRule>
  </conditionalFormatting>
  <conditionalFormatting sqref="B59:AJ59 D74">
    <cfRule type="expression" dxfId="767" priority="549">
      <formula>NoColor</formula>
    </cfRule>
  </conditionalFormatting>
  <conditionalFormatting sqref="B101:AJ104">
    <cfRule type="expression" dxfId="766" priority="438">
      <formula>$AO$102</formula>
    </cfRule>
  </conditionalFormatting>
  <conditionalFormatting sqref="B117:AJ117">
    <cfRule type="expression" dxfId="765" priority="431">
      <formula>NoColor</formula>
    </cfRule>
  </conditionalFormatting>
  <conditionalFormatting sqref="B159:AJ159">
    <cfRule type="expression" dxfId="764" priority="405">
      <formula>$AO$102</formula>
    </cfRule>
  </conditionalFormatting>
  <conditionalFormatting sqref="B175:AJ175">
    <cfRule type="expression" dxfId="763" priority="352">
      <formula>NoColor</formula>
    </cfRule>
  </conditionalFormatting>
  <conditionalFormatting sqref="B217:AJ217">
    <cfRule type="expression" dxfId="762" priority="326">
      <formula>$AO$102</formula>
    </cfRule>
  </conditionalFormatting>
  <conditionalFormatting sqref="B233:AJ233">
    <cfRule type="expression" dxfId="761" priority="273">
      <formula>NoColor</formula>
    </cfRule>
  </conditionalFormatting>
  <conditionalFormatting sqref="B275:AJ275">
    <cfRule type="expression" dxfId="760" priority="247">
      <formula>$AO$102</formula>
    </cfRule>
  </conditionalFormatting>
  <conditionalFormatting sqref="D21">
    <cfRule type="expression" dxfId="759" priority="505">
      <formula>X20</formula>
    </cfRule>
  </conditionalFormatting>
  <conditionalFormatting sqref="D60">
    <cfRule type="expression" dxfId="758" priority="513">
      <formula>IF(AND(File_Marr_Sep&lt;&gt;"",$AI$10=""),1,0)</formula>
    </cfRule>
  </conditionalFormatting>
  <conditionalFormatting sqref="D66">
    <cfRule type="expression" dxfId="757" priority="681">
      <formula>IF(NoColor,1,0)</formula>
    </cfRule>
  </conditionalFormatting>
  <conditionalFormatting sqref="D70">
    <cfRule type="expression" dxfId="756" priority="531">
      <formula>IF(NoColor,1,0)</formula>
    </cfRule>
  </conditionalFormatting>
  <conditionalFormatting sqref="D118">
    <cfRule type="expression" dxfId="755" priority="11">
      <formula>IF(AND(File_Marr_Sep&lt;&gt;"",$AI$10=""),1,0)</formula>
    </cfRule>
  </conditionalFormatting>
  <conditionalFormatting sqref="D124">
    <cfRule type="expression" dxfId="754" priority="72">
      <formula>IF(NoColor,1,0)</formula>
    </cfRule>
  </conditionalFormatting>
  <conditionalFormatting sqref="D128">
    <cfRule type="expression" dxfId="753" priority="33">
      <formula>IF(NoColor,1,0)</formula>
    </cfRule>
  </conditionalFormatting>
  <conditionalFormatting sqref="D132">
    <cfRule type="expression" dxfId="752" priority="34">
      <formula>NoColor</formula>
    </cfRule>
  </conditionalFormatting>
  <conditionalFormatting sqref="D176">
    <cfRule type="expression" dxfId="751" priority="7">
      <formula>IF(AND(File_Marr_Sep&lt;&gt;"",$AI$10=""),1,0)</formula>
    </cfRule>
  </conditionalFormatting>
  <conditionalFormatting sqref="D182">
    <cfRule type="expression" dxfId="750" priority="60">
      <formula>IF(NoColor,1,0)</formula>
    </cfRule>
  </conditionalFormatting>
  <conditionalFormatting sqref="D186">
    <cfRule type="expression" dxfId="749" priority="29">
      <formula>IF(NoColor,1,0)</formula>
    </cfRule>
  </conditionalFormatting>
  <conditionalFormatting sqref="D190">
    <cfRule type="expression" dxfId="748" priority="30">
      <formula>NoColor</formula>
    </cfRule>
  </conditionalFormatting>
  <conditionalFormatting sqref="D234">
    <cfRule type="expression" dxfId="747" priority="3">
      <formula>IF(AND(File_Marr_Sep&lt;&gt;"",$AI$10=""),1,0)</formula>
    </cfRule>
  </conditionalFormatting>
  <conditionalFormatting sqref="D240">
    <cfRule type="expression" dxfId="746" priority="48">
      <formula>IF(NoColor,1,0)</formula>
    </cfRule>
  </conditionalFormatting>
  <conditionalFormatting sqref="D244">
    <cfRule type="expression" dxfId="745" priority="25">
      <formula>IF(NoColor,1,0)</formula>
    </cfRule>
  </conditionalFormatting>
  <conditionalFormatting sqref="D248">
    <cfRule type="expression" dxfId="744" priority="26">
      <formula>NoColor</formula>
    </cfRule>
  </conditionalFormatting>
  <conditionalFormatting sqref="E160:E161">
    <cfRule type="expression" dxfId="743" priority="181">
      <formula>AO160</formula>
    </cfRule>
  </conditionalFormatting>
  <conditionalFormatting sqref="E218:E219">
    <cfRule type="expression" dxfId="742" priority="175">
      <formula>AO218</formula>
    </cfRule>
  </conditionalFormatting>
  <conditionalFormatting sqref="E276:E277">
    <cfRule type="expression" dxfId="741" priority="169">
      <formula>AO276</formula>
    </cfRule>
  </conditionalFormatting>
  <conditionalFormatting sqref="E84:F84">
    <cfRule type="expression" dxfId="740" priority="473">
      <formula>NoColor</formula>
    </cfRule>
  </conditionalFormatting>
  <conditionalFormatting sqref="E142:F142">
    <cfRule type="expression" dxfId="739" priority="394">
      <formula>NoColor</formula>
    </cfRule>
  </conditionalFormatting>
  <conditionalFormatting sqref="E200:F200">
    <cfRule type="expression" dxfId="738" priority="315">
      <formula>NoColor</formula>
    </cfRule>
  </conditionalFormatting>
  <conditionalFormatting sqref="E258:F258">
    <cfRule type="expression" dxfId="737" priority="236">
      <formula>NoColor</formula>
    </cfRule>
  </conditionalFormatting>
  <conditionalFormatting sqref="F160:AJ161">
    <cfRule type="expression" dxfId="736" priority="182">
      <formula>$AO$102</formula>
    </cfRule>
  </conditionalFormatting>
  <conditionalFormatting sqref="F218:AJ219">
    <cfRule type="expression" dxfId="735" priority="176">
      <formula>$AO$102</formula>
    </cfRule>
  </conditionalFormatting>
  <conditionalFormatting sqref="F276:AJ277">
    <cfRule type="expression" dxfId="734" priority="170">
      <formula>$AO$102</formula>
    </cfRule>
  </conditionalFormatting>
  <conditionalFormatting sqref="H84:N84">
    <cfRule type="expression" dxfId="733" priority="466">
      <formula>NoColor</formula>
    </cfRule>
  </conditionalFormatting>
  <conditionalFormatting sqref="H142:N142">
    <cfRule type="expression" dxfId="732" priority="387">
      <formula>NoColor</formula>
    </cfRule>
  </conditionalFormatting>
  <conditionalFormatting sqref="H200:N200">
    <cfRule type="expression" dxfId="731" priority="308">
      <formula>NoColor</formula>
    </cfRule>
  </conditionalFormatting>
  <conditionalFormatting sqref="H258:N258">
    <cfRule type="expression" dxfId="730" priority="229">
      <formula>NoColor</formula>
    </cfRule>
  </conditionalFormatting>
  <conditionalFormatting sqref="M16:R16">
    <cfRule type="expression" dxfId="729" priority="698">
      <formula>IF(NoColor,1,0)</formula>
    </cfRule>
  </conditionalFormatting>
  <conditionalFormatting sqref="N20:O20">
    <cfRule type="expression" dxfId="728" priority="506">
      <formula>X20</formula>
    </cfRule>
  </conditionalFormatting>
  <conditionalFormatting sqref="O76">
    <cfRule type="expression" dxfId="727" priority="482">
      <formula>NoColor</formula>
    </cfRule>
  </conditionalFormatting>
  <conditionalFormatting sqref="O79">
    <cfRule type="expression" dxfId="726" priority="480">
      <formula>NoColor</formula>
    </cfRule>
  </conditionalFormatting>
  <conditionalFormatting sqref="O134">
    <cfRule type="expression" dxfId="725" priority="403">
      <formula>NoColor</formula>
    </cfRule>
  </conditionalFormatting>
  <conditionalFormatting sqref="O137">
    <cfRule type="expression" dxfId="724" priority="401">
      <formula>NoColor</formula>
    </cfRule>
  </conditionalFormatting>
  <conditionalFormatting sqref="O192">
    <cfRule type="expression" dxfId="723" priority="324">
      <formula>NoColor</formula>
    </cfRule>
  </conditionalFormatting>
  <conditionalFormatting sqref="O195">
    <cfRule type="expression" dxfId="722" priority="322">
      <formula>NoColor</formula>
    </cfRule>
  </conditionalFormatting>
  <conditionalFormatting sqref="O250">
    <cfRule type="expression" dxfId="721" priority="245">
      <formula>NoColor</formula>
    </cfRule>
  </conditionalFormatting>
  <conditionalFormatting sqref="O253">
    <cfRule type="expression" dxfId="720" priority="243">
      <formula>NoColor</formula>
    </cfRule>
  </conditionalFormatting>
  <conditionalFormatting sqref="R76">
    <cfRule type="expression" dxfId="719" priority="481">
      <formula>NoColor</formula>
    </cfRule>
  </conditionalFormatting>
  <conditionalFormatting sqref="R79">
    <cfRule type="expression" dxfId="718" priority="479">
      <formula>NoColor</formula>
    </cfRule>
  </conditionalFormatting>
  <conditionalFormatting sqref="R106">
    <cfRule type="expression" dxfId="717" priority="489">
      <formula>AND($AH$105,$AB$105)</formula>
    </cfRule>
  </conditionalFormatting>
  <conditionalFormatting sqref="R134">
    <cfRule type="expression" dxfId="716" priority="402">
      <formula>NoColor</formula>
    </cfRule>
  </conditionalFormatting>
  <conditionalFormatting sqref="R137">
    <cfRule type="expression" dxfId="715" priority="400">
      <formula>NoColor</formula>
    </cfRule>
  </conditionalFormatting>
  <conditionalFormatting sqref="R164">
    <cfRule type="expression" dxfId="714" priority="408">
      <formula>AND($AH$105,$AB$105)</formula>
    </cfRule>
  </conditionalFormatting>
  <conditionalFormatting sqref="R192">
    <cfRule type="expression" dxfId="713" priority="323">
      <formula>NoColor</formula>
    </cfRule>
  </conditionalFormatting>
  <conditionalFormatting sqref="R195">
    <cfRule type="expression" dxfId="712" priority="321">
      <formula>NoColor</formula>
    </cfRule>
  </conditionalFormatting>
  <conditionalFormatting sqref="R222">
    <cfRule type="expression" dxfId="711" priority="329">
      <formula>AND($AH$105,$AB$105)</formula>
    </cfRule>
  </conditionalFormatting>
  <conditionalFormatting sqref="R250">
    <cfRule type="expression" dxfId="710" priority="244">
      <formula>NoColor</formula>
    </cfRule>
  </conditionalFormatting>
  <conditionalFormatting sqref="R253">
    <cfRule type="expression" dxfId="709" priority="242">
      <formula>NoColor</formula>
    </cfRule>
  </conditionalFormatting>
  <conditionalFormatting sqref="R280">
    <cfRule type="expression" dxfId="708" priority="250">
      <formula>AND($AH$105,$AB$105)</formula>
    </cfRule>
  </conditionalFormatting>
  <conditionalFormatting sqref="T74">
    <cfRule type="expression" dxfId="707" priority="529">
      <formula>IF(NoColor,1,0)</formula>
    </cfRule>
  </conditionalFormatting>
  <conditionalFormatting sqref="T87">
    <cfRule type="expression" dxfId="706" priority="455">
      <formula>NoColor</formula>
    </cfRule>
  </conditionalFormatting>
  <conditionalFormatting sqref="T92">
    <cfRule type="expression" dxfId="705" priority="450">
      <formula>NoColor</formula>
    </cfRule>
  </conditionalFormatting>
  <conditionalFormatting sqref="T96">
    <cfRule type="expression" dxfId="704" priority="453">
      <formula>NoColor</formula>
    </cfRule>
  </conditionalFormatting>
  <conditionalFormatting sqref="T99">
    <cfRule type="expression" dxfId="703" priority="452">
      <formula>NoColor</formula>
    </cfRule>
  </conditionalFormatting>
  <conditionalFormatting sqref="T132">
    <cfRule type="expression" dxfId="702" priority="19">
      <formula>IF(NoColor,1,0)</formula>
    </cfRule>
  </conditionalFormatting>
  <conditionalFormatting sqref="T145">
    <cfRule type="expression" dxfId="701" priority="376">
      <formula>NoColor</formula>
    </cfRule>
  </conditionalFormatting>
  <conditionalFormatting sqref="T150">
    <cfRule type="expression" dxfId="700" priority="371">
      <formula>NoColor</formula>
    </cfRule>
  </conditionalFormatting>
  <conditionalFormatting sqref="T154">
    <cfRule type="expression" dxfId="699" priority="374">
      <formula>NoColor</formula>
    </cfRule>
  </conditionalFormatting>
  <conditionalFormatting sqref="T157">
    <cfRule type="expression" dxfId="698" priority="373">
      <formula>NoColor</formula>
    </cfRule>
  </conditionalFormatting>
  <conditionalFormatting sqref="T190">
    <cfRule type="expression" dxfId="697" priority="18">
      <formula>IF(NoColor,1,0)</formula>
    </cfRule>
  </conditionalFormatting>
  <conditionalFormatting sqref="T203">
    <cfRule type="expression" dxfId="696" priority="297">
      <formula>NoColor</formula>
    </cfRule>
  </conditionalFormatting>
  <conditionalFormatting sqref="T208">
    <cfRule type="expression" dxfId="695" priority="292">
      <formula>NoColor</formula>
    </cfRule>
  </conditionalFormatting>
  <conditionalFormatting sqref="T212">
    <cfRule type="expression" dxfId="694" priority="295">
      <formula>NoColor</formula>
    </cfRule>
  </conditionalFormatting>
  <conditionalFormatting sqref="T215">
    <cfRule type="expression" dxfId="693" priority="294">
      <formula>NoColor</formula>
    </cfRule>
  </conditionalFormatting>
  <conditionalFormatting sqref="T248">
    <cfRule type="expression" dxfId="692" priority="17">
      <formula>IF(NoColor,1,0)</formula>
    </cfRule>
  </conditionalFormatting>
  <conditionalFormatting sqref="T261">
    <cfRule type="expression" dxfId="691" priority="218">
      <formula>NoColor</formula>
    </cfRule>
  </conditionalFormatting>
  <conditionalFormatting sqref="T266">
    <cfRule type="expression" dxfId="690" priority="213">
      <formula>NoColor</formula>
    </cfRule>
  </conditionalFormatting>
  <conditionalFormatting sqref="T270">
    <cfRule type="expression" dxfId="689" priority="216">
      <formula>NoColor</formula>
    </cfRule>
  </conditionalFormatting>
  <conditionalFormatting sqref="T273">
    <cfRule type="expression" dxfId="688" priority="215">
      <formula>NoColor</formula>
    </cfRule>
  </conditionalFormatting>
  <conditionalFormatting sqref="T67:U67">
    <cfRule type="expression" dxfId="687" priority="541">
      <formula>AND(NOT(NoColor),NoSSN)</formula>
    </cfRule>
    <cfRule type="expression" dxfId="686" priority="540">
      <formula>IF(NoColor,1,0)</formula>
    </cfRule>
  </conditionalFormatting>
  <conditionalFormatting sqref="T125:U125">
    <cfRule type="expression" dxfId="685" priority="67">
      <formula>IF(NoColor,1,0)</formula>
    </cfRule>
    <cfRule type="expression" dxfId="684" priority="68">
      <formula>AND(NOT(NoColor),NoSSN)</formula>
    </cfRule>
  </conditionalFormatting>
  <conditionalFormatting sqref="T183:U183">
    <cfRule type="expression" dxfId="683" priority="55">
      <formula>IF(NoColor,1,0)</formula>
    </cfRule>
    <cfRule type="expression" dxfId="682" priority="56">
      <formula>AND(NOT(NoColor),NoSSN)</formula>
    </cfRule>
  </conditionalFormatting>
  <conditionalFormatting sqref="T241:U241">
    <cfRule type="expression" dxfId="681" priority="43">
      <formula>IF(NoColor,1,0)</formula>
    </cfRule>
    <cfRule type="expression" dxfId="680" priority="44">
      <formula>AND(NOT(NoColor),NoSSN)</formula>
    </cfRule>
  </conditionalFormatting>
  <conditionalFormatting sqref="T70:AJ70">
    <cfRule type="expression" dxfId="679" priority="456">
      <formula>NoColor</formula>
    </cfRule>
  </conditionalFormatting>
  <conditionalFormatting sqref="T128:AJ128">
    <cfRule type="expression" dxfId="678" priority="22">
      <formula>NoColor</formula>
    </cfRule>
  </conditionalFormatting>
  <conditionalFormatting sqref="T186:AJ186">
    <cfRule type="expression" dxfId="677" priority="21">
      <formula>NoColor</formula>
    </cfRule>
  </conditionalFormatting>
  <conditionalFormatting sqref="T244:AJ244">
    <cfRule type="expression" dxfId="676" priority="20">
      <formula>NoColor</formula>
    </cfRule>
  </conditionalFormatting>
  <conditionalFormatting sqref="U67:AJ67">
    <cfRule type="expression" dxfId="675" priority="441">
      <formula>AND(NoColor,NoSSN)</formula>
    </cfRule>
  </conditionalFormatting>
  <conditionalFormatting sqref="U125:AJ125">
    <cfRule type="expression" dxfId="674" priority="61">
      <formula>AND(NoColor,NoSSN)</formula>
    </cfRule>
  </conditionalFormatting>
  <conditionalFormatting sqref="U183:AJ183">
    <cfRule type="expression" dxfId="673" priority="49">
      <formula>AND(NoColor,NoSSN)</formula>
    </cfRule>
  </conditionalFormatting>
  <conditionalFormatting sqref="U241:AJ241">
    <cfRule type="expression" dxfId="672" priority="37">
      <formula>AND(NoColor,NoSSN)</formula>
    </cfRule>
  </conditionalFormatting>
  <conditionalFormatting sqref="V84:W84">
    <cfRule type="expression" dxfId="671" priority="457">
      <formula>NoColor</formula>
    </cfRule>
  </conditionalFormatting>
  <conditionalFormatting sqref="V142:W142">
    <cfRule type="expression" dxfId="670" priority="378">
      <formula>NoColor</formula>
    </cfRule>
  </conditionalFormatting>
  <conditionalFormatting sqref="V200:W200">
    <cfRule type="expression" dxfId="669" priority="299">
      <formula>NoColor</formula>
    </cfRule>
  </conditionalFormatting>
  <conditionalFormatting sqref="V258:W258">
    <cfRule type="expression" dxfId="668" priority="220">
      <formula>NoColor</formula>
    </cfRule>
  </conditionalFormatting>
  <conditionalFormatting sqref="V66:Y66">
    <cfRule type="expression" dxfId="667" priority="679">
      <formula>IF(NoColor,1,0)</formula>
    </cfRule>
  </conditionalFormatting>
  <conditionalFormatting sqref="V124:Y124">
    <cfRule type="expression" dxfId="666" priority="71">
      <formula>IF(NoColor,1,0)</formula>
    </cfRule>
  </conditionalFormatting>
  <conditionalFormatting sqref="V182:Y182">
    <cfRule type="expression" dxfId="665" priority="59">
      <formula>IF(NoColor,1,0)</formula>
    </cfRule>
  </conditionalFormatting>
  <conditionalFormatting sqref="V240:Y240">
    <cfRule type="expression" dxfId="664" priority="47">
      <formula>IF(NoColor,1,0)</formula>
    </cfRule>
  </conditionalFormatting>
  <conditionalFormatting sqref="X16:AC16">
    <cfRule type="expression" dxfId="663" priority="601">
      <formula>IF(NoColor,1,0)</formula>
    </cfRule>
  </conditionalFormatting>
  <conditionalFormatting sqref="X19:AC19">
    <cfRule type="expression" dxfId="662" priority="511">
      <formula>IF(NoColor,1,0)</formula>
    </cfRule>
  </conditionalFormatting>
  <conditionalFormatting sqref="X21:AC21">
    <cfRule type="expression" dxfId="661" priority="509">
      <formula>IF(NoColor,1,0)</formula>
    </cfRule>
  </conditionalFormatting>
  <conditionalFormatting sqref="X24:AC24">
    <cfRule type="expression" dxfId="660" priority="507">
      <formula>IF(NoColor,1,0)</formula>
    </cfRule>
  </conditionalFormatting>
  <conditionalFormatting sqref="X41:AC41">
    <cfRule type="expression" dxfId="659" priority="576">
      <formula>IF(NoColor,1,0)</formula>
    </cfRule>
  </conditionalFormatting>
  <conditionalFormatting sqref="X44:AC44">
    <cfRule type="expression" dxfId="658" priority="566">
      <formula>IF(NoColor,1,0)</formula>
    </cfRule>
  </conditionalFormatting>
  <conditionalFormatting sqref="X46:AC46">
    <cfRule type="expression" dxfId="657" priority="495">
      <formula>IF(NoColor,1,0)</formula>
    </cfRule>
  </conditionalFormatting>
  <conditionalFormatting sqref="X48:AC48">
    <cfRule type="expression" dxfId="656" priority="562">
      <formula>IF(NoColor,1,0)</formula>
    </cfRule>
  </conditionalFormatting>
  <conditionalFormatting sqref="Y8">
    <cfRule type="expression" dxfId="655" priority="634">
      <formula>IF(NoColor,1,0)</formula>
    </cfRule>
  </conditionalFormatting>
  <conditionalFormatting sqref="Y84:AE84">
    <cfRule type="expression" dxfId="654" priority="459">
      <formula>NoColor</formula>
    </cfRule>
  </conditionalFormatting>
  <conditionalFormatting sqref="Y142:AE142">
    <cfRule type="expression" dxfId="653" priority="380">
      <formula>NoColor</formula>
    </cfRule>
  </conditionalFormatting>
  <conditionalFormatting sqref="Y200:AE200">
    <cfRule type="expression" dxfId="652" priority="301">
      <formula>NoColor</formula>
    </cfRule>
  </conditionalFormatting>
  <conditionalFormatting sqref="Y258:AE258">
    <cfRule type="expression" dxfId="651" priority="222">
      <formula>NoColor</formula>
    </cfRule>
  </conditionalFormatting>
  <conditionalFormatting sqref="AB31">
    <cfRule type="expression" dxfId="650" priority="485">
      <formula>NoColor</formula>
    </cfRule>
  </conditionalFormatting>
  <conditionalFormatting sqref="AC87">
    <cfRule type="expression" dxfId="649" priority="451">
      <formula>NoColor</formula>
    </cfRule>
  </conditionalFormatting>
  <conditionalFormatting sqref="AC92">
    <cfRule type="expression" dxfId="648" priority="454">
      <formula>NoColor</formula>
    </cfRule>
  </conditionalFormatting>
  <conditionalFormatting sqref="AC96">
    <cfRule type="expression" dxfId="647" priority="449">
      <formula>NoColor</formula>
    </cfRule>
  </conditionalFormatting>
  <conditionalFormatting sqref="AC99">
    <cfRule type="expression" dxfId="646" priority="448">
      <formula>NoColor</formula>
    </cfRule>
  </conditionalFormatting>
  <conditionalFormatting sqref="AC145">
    <cfRule type="expression" dxfId="645" priority="372">
      <formula>NoColor</formula>
    </cfRule>
  </conditionalFormatting>
  <conditionalFormatting sqref="AC150">
    <cfRule type="expression" dxfId="644" priority="375">
      <formula>NoColor</formula>
    </cfRule>
  </conditionalFormatting>
  <conditionalFormatting sqref="AC154">
    <cfRule type="expression" dxfId="643" priority="370">
      <formula>NoColor</formula>
    </cfRule>
  </conditionalFormatting>
  <conditionalFormatting sqref="AC157">
    <cfRule type="expression" dxfId="642" priority="369">
      <formula>NoColor</formula>
    </cfRule>
  </conditionalFormatting>
  <conditionalFormatting sqref="AC203">
    <cfRule type="expression" dxfId="641" priority="293">
      <formula>NoColor</formula>
    </cfRule>
  </conditionalFormatting>
  <conditionalFormatting sqref="AC208">
    <cfRule type="expression" dxfId="640" priority="296">
      <formula>NoColor</formula>
    </cfRule>
  </conditionalFormatting>
  <conditionalFormatting sqref="AC212">
    <cfRule type="expression" dxfId="639" priority="291">
      <formula>NoColor</formula>
    </cfRule>
  </conditionalFormatting>
  <conditionalFormatting sqref="AC215">
    <cfRule type="expression" dxfId="638" priority="290">
      <formula>NoColor</formula>
    </cfRule>
  </conditionalFormatting>
  <conditionalFormatting sqref="AC261">
    <cfRule type="expression" dxfId="637" priority="214">
      <formula>NoColor</formula>
    </cfRule>
  </conditionalFormatting>
  <conditionalFormatting sqref="AC266">
    <cfRule type="expression" dxfId="636" priority="217">
      <formula>NoColor</formula>
    </cfRule>
  </conditionalFormatting>
  <conditionalFormatting sqref="AC270">
    <cfRule type="expression" dxfId="635" priority="212">
      <formula>NoColor</formula>
    </cfRule>
  </conditionalFormatting>
  <conditionalFormatting sqref="AC273">
    <cfRule type="expression" dxfId="634" priority="211">
      <formula>NoColor</formula>
    </cfRule>
  </conditionalFormatting>
  <conditionalFormatting sqref="AC59:AJ59">
    <cfRule type="expression" dxfId="633" priority="551">
      <formula>NoSSN</formula>
    </cfRule>
  </conditionalFormatting>
  <conditionalFormatting sqref="AC117:AJ117">
    <cfRule type="expression" dxfId="632" priority="433">
      <formula>NoSSN</formula>
    </cfRule>
  </conditionalFormatting>
  <conditionalFormatting sqref="AC175:AJ175">
    <cfRule type="expression" dxfId="631" priority="354">
      <formula>NoSSN</formula>
    </cfRule>
  </conditionalFormatting>
  <conditionalFormatting sqref="AC233:AJ233">
    <cfRule type="expression" dxfId="630" priority="275">
      <formula>NoSSN</formula>
    </cfRule>
  </conditionalFormatting>
  <conditionalFormatting sqref="AE14:AJ14">
    <cfRule type="expression" dxfId="629" priority="501">
      <formula>IF(NoColor,1,0)</formula>
    </cfRule>
  </conditionalFormatting>
  <conditionalFormatting sqref="AE27:AJ27">
    <cfRule type="expression" dxfId="628" priority="580">
      <formula>IF(NoColor,1,0)</formula>
    </cfRule>
  </conditionalFormatting>
  <conditionalFormatting sqref="AE31:AJ31">
    <cfRule type="expression" dxfId="627" priority="499">
      <formula>IF(NoColor,1,0)</formula>
    </cfRule>
  </conditionalFormatting>
  <conditionalFormatting sqref="AE33:AJ33">
    <cfRule type="expression" dxfId="626" priority="702">
      <formula>IF(NoColor,1,0)</formula>
    </cfRule>
  </conditionalFormatting>
  <conditionalFormatting sqref="AE35:AJ35">
    <cfRule type="expression" dxfId="625" priority="574">
      <formula>IF(NoColor,1,0)</formula>
    </cfRule>
  </conditionalFormatting>
  <conditionalFormatting sqref="AE37:AJ39">
    <cfRule type="expression" dxfId="624" priority="497">
      <formula>IF(NoColor,1,0)</formula>
    </cfRule>
  </conditionalFormatting>
  <conditionalFormatting sqref="AE51:AJ51">
    <cfRule type="expression" dxfId="623" priority="13">
      <formula>IF(NoColor,1,0)</formula>
    </cfRule>
  </conditionalFormatting>
  <conditionalFormatting sqref="AE53:AJ53">
    <cfRule type="expression" dxfId="622" priority="491">
      <formula>IF(NoColor,1,0)</formula>
    </cfRule>
  </conditionalFormatting>
  <conditionalFormatting sqref="AE55:AJ55">
    <cfRule type="expression" dxfId="621" priority="556">
      <formula>IF(NoColor,1,0)</formula>
    </cfRule>
  </conditionalFormatting>
  <conditionalFormatting sqref="AE106:AJ108">
    <cfRule type="expression" dxfId="620" priority="518">
      <formula>IF(NoColor,1,0)</formula>
    </cfRule>
  </conditionalFormatting>
  <conditionalFormatting sqref="AE110:AJ110">
    <cfRule type="expression" dxfId="619" priority="91">
      <formula>IF(NoColor,1,0)</formula>
    </cfRule>
  </conditionalFormatting>
  <conditionalFormatting sqref="AE113:AJ113">
    <cfRule type="expression" dxfId="618" priority="487">
      <formula>IF(NoColor,1,0)</formula>
    </cfRule>
  </conditionalFormatting>
  <conditionalFormatting sqref="AE164:AJ166">
    <cfRule type="expression" dxfId="617" priority="127">
      <formula>IF(NoColor,1,0)</formula>
    </cfRule>
  </conditionalFormatting>
  <conditionalFormatting sqref="AE168:AJ168">
    <cfRule type="expression" dxfId="616" priority="93">
      <formula>IF(NoColor,1,0)</formula>
    </cfRule>
  </conditionalFormatting>
  <conditionalFormatting sqref="AE171:AJ171">
    <cfRule type="expression" dxfId="615" priority="101">
      <formula>IF(NoColor,1,0)</formula>
    </cfRule>
  </conditionalFormatting>
  <conditionalFormatting sqref="AE222:AJ224">
    <cfRule type="expression" dxfId="614" priority="117">
      <formula>IF(NoColor,1,0)</formula>
    </cfRule>
  </conditionalFormatting>
  <conditionalFormatting sqref="AE226:AJ226">
    <cfRule type="expression" dxfId="613" priority="95">
      <formula>IF(NoColor,1,0)</formula>
    </cfRule>
  </conditionalFormatting>
  <conditionalFormatting sqref="AE229:AJ229">
    <cfRule type="expression" dxfId="612" priority="99">
      <formula>IF(NoColor,1,0)</formula>
    </cfRule>
  </conditionalFormatting>
  <conditionalFormatting sqref="AE280:AJ282">
    <cfRule type="expression" dxfId="611" priority="107">
      <formula>IF(NoColor,1,0)</formula>
    </cfRule>
  </conditionalFormatting>
  <conditionalFormatting sqref="AE284:AJ284">
    <cfRule type="expression" dxfId="610" priority="103">
      <formula>IF(NoColor,1,0)</formula>
    </cfRule>
  </conditionalFormatting>
  <conditionalFormatting sqref="AE287:AJ287">
    <cfRule type="expression" dxfId="609" priority="97">
      <formula>IF(NoColor,1,0)</formula>
    </cfRule>
  </conditionalFormatting>
  <conditionalFormatting sqref="AF76">
    <cfRule type="expression" dxfId="608" priority="478">
      <formula>NoColor</formula>
    </cfRule>
  </conditionalFormatting>
  <conditionalFormatting sqref="AF79">
    <cfRule type="expression" dxfId="607" priority="476">
      <formula>NoColor</formula>
    </cfRule>
  </conditionalFormatting>
  <conditionalFormatting sqref="AF134">
    <cfRule type="expression" dxfId="606" priority="399">
      <formula>NoColor</formula>
    </cfRule>
  </conditionalFormatting>
  <conditionalFormatting sqref="AF137">
    <cfRule type="expression" dxfId="605" priority="397">
      <formula>NoColor</formula>
    </cfRule>
  </conditionalFormatting>
  <conditionalFormatting sqref="AF192">
    <cfRule type="expression" dxfId="604" priority="320">
      <formula>NoColor</formula>
    </cfRule>
  </conditionalFormatting>
  <conditionalFormatting sqref="AF195">
    <cfRule type="expression" dxfId="603" priority="318">
      <formula>NoColor</formula>
    </cfRule>
  </conditionalFormatting>
  <conditionalFormatting sqref="AF250">
    <cfRule type="expression" dxfId="602" priority="241">
      <formula>NoColor</formula>
    </cfRule>
  </conditionalFormatting>
  <conditionalFormatting sqref="AF253">
    <cfRule type="expression" dxfId="601" priority="239">
      <formula>NoColor</formula>
    </cfRule>
  </conditionalFormatting>
  <conditionalFormatting sqref="AI76">
    <cfRule type="expression" dxfId="600" priority="477">
      <formula>NoColor</formula>
    </cfRule>
  </conditionalFormatting>
  <conditionalFormatting sqref="AI79">
    <cfRule type="expression" dxfId="599" priority="475">
      <formula>NoColor</formula>
    </cfRule>
  </conditionalFormatting>
  <conditionalFormatting sqref="AI134">
    <cfRule type="expression" dxfId="598" priority="398">
      <formula>NoColor</formula>
    </cfRule>
  </conditionalFormatting>
  <conditionalFormatting sqref="AI137">
    <cfRule type="expression" dxfId="597" priority="396">
      <formula>NoColor</formula>
    </cfRule>
  </conditionalFormatting>
  <conditionalFormatting sqref="AI192">
    <cfRule type="expression" dxfId="596" priority="319">
      <formula>NoColor</formula>
    </cfRule>
  </conditionalFormatting>
  <conditionalFormatting sqref="AI195">
    <cfRule type="expression" dxfId="595" priority="317">
      <formula>NoColor</formula>
    </cfRule>
  </conditionalFormatting>
  <conditionalFormatting sqref="AI250">
    <cfRule type="expression" dxfId="594" priority="240">
      <formula>NoColor</formula>
    </cfRule>
  </conditionalFormatting>
  <conditionalFormatting sqref="AI253">
    <cfRule type="expression" dxfId="593" priority="238">
      <formula>NoColor</formula>
    </cfRule>
  </conditionalFormatting>
  <conditionalFormatting sqref="AN61:AO62 AN103">
    <cfRule type="expression" dxfId="592" priority="15">
      <formula>IF(AND(File_Marr_Sep&lt;&gt;"",$AI$10&lt;&gt;""),TRUE,FALSE)</formula>
    </cfRule>
    <cfRule type="expression" dxfId="591" priority="16">
      <formula>OR(File_Marr_Sep&lt;&gt;"",AND(File_Marr_Sep="",AI61&lt;&gt;""))</formula>
    </cfRule>
  </conditionalFormatting>
  <conditionalFormatting sqref="AN102:AO102">
    <cfRule type="expression" dxfId="590" priority="597">
      <formula>IF(AND(File_Marr_Sep&lt;&gt;"",$AI$10&lt;&gt;""),TRUE,FALSE)</formula>
    </cfRule>
    <cfRule type="expression" dxfId="589" priority="598">
      <formula>OR(File_Marr_Sep&lt;&gt;"",AND(File_Marr_Sep="",AI102&lt;&gt;""))</formula>
    </cfRule>
  </conditionalFormatting>
  <conditionalFormatting sqref="AN119:AO120">
    <cfRule type="expression" dxfId="588" priority="9">
      <formula>IF(AND(File_Marr_Sep&lt;&gt;"",$AI$10&lt;&gt;""),TRUE,FALSE)</formula>
    </cfRule>
    <cfRule type="expression" dxfId="587" priority="10">
      <formula>OR(File_Marr_Sep&lt;&gt;"",AND(File_Marr_Sep="",AI119&lt;&gt;""))</formula>
    </cfRule>
  </conditionalFormatting>
  <conditionalFormatting sqref="AN160:AO161">
    <cfRule type="expression" dxfId="586" priority="183">
      <formula>IF(AND(File_Marr_Sep&lt;&gt;"",$AI$10&lt;&gt;""),TRUE,FALSE)</formula>
    </cfRule>
    <cfRule type="expression" dxfId="585" priority="184">
      <formula>OR(File_Marr_Sep&lt;&gt;"",AND(File_Marr_Sep="",AI160&lt;&gt;""))</formula>
    </cfRule>
  </conditionalFormatting>
  <conditionalFormatting sqref="AN177:AO178">
    <cfRule type="expression" dxfId="584" priority="6">
      <formula>OR(File_Marr_Sep&lt;&gt;"",AND(File_Marr_Sep="",AI177&lt;&gt;""))</formula>
    </cfRule>
    <cfRule type="expression" dxfId="583" priority="5">
      <formula>IF(AND(File_Marr_Sep&lt;&gt;"",$AI$10&lt;&gt;""),TRUE,FALSE)</formula>
    </cfRule>
  </conditionalFormatting>
  <conditionalFormatting sqref="AN218:AO219">
    <cfRule type="expression" dxfId="582" priority="177">
      <formula>IF(AND(File_Marr_Sep&lt;&gt;"",$AI$10&lt;&gt;""),TRUE,FALSE)</formula>
    </cfRule>
    <cfRule type="expression" dxfId="581" priority="178">
      <formula>OR(File_Marr_Sep&lt;&gt;"",AND(File_Marr_Sep="",AI218&lt;&gt;""))</formula>
    </cfRule>
  </conditionalFormatting>
  <conditionalFormatting sqref="AN235:AO236">
    <cfRule type="expression" dxfId="580" priority="1">
      <formula>IF(AND(File_Marr_Sep&lt;&gt;"",$AI$10&lt;&gt;""),TRUE,FALSE)</formula>
    </cfRule>
    <cfRule type="expression" dxfId="579" priority="2">
      <formula>OR(File_Marr_Sep&lt;&gt;"",AND(File_Marr_Sep="",AI235&lt;&gt;""))</formula>
    </cfRule>
  </conditionalFormatting>
  <conditionalFormatting sqref="AN276:AO277">
    <cfRule type="expression" dxfId="578" priority="172">
      <formula>OR(File_Marr_Sep&lt;&gt;"",AND(File_Marr_Sep="",AI276&lt;&gt;""))</formula>
    </cfRule>
    <cfRule type="expression" dxfId="577" priority="171">
      <formula>IF(AND(File_Marr_Sep&lt;&gt;"",$AI$10&lt;&gt;""),TRUE,FALSE)</formula>
    </cfRule>
  </conditionalFormatting>
  <conditionalFormatting sqref="AO13:AO17">
    <cfRule type="expression" dxfId="576" priority="199">
      <formula>NoColor</formula>
    </cfRule>
  </conditionalFormatting>
  <conditionalFormatting sqref="AO42:AO46">
    <cfRule type="expression" dxfId="575" priority="484">
      <formula>NoColor</formula>
    </cfRule>
  </conditionalFormatting>
  <conditionalFormatting sqref="AX47:AX50">
    <cfRule type="expression" dxfId="574" priority="36">
      <formula>NoColor</formula>
    </cfRule>
  </conditionalFormatting>
  <conditionalFormatting sqref="AX52:AX54">
    <cfRule type="expression" dxfId="573" priority="35">
      <formula>NoColor</formula>
    </cfRule>
  </conditionalFormatting>
  <conditionalFormatting sqref="AX91">
    <cfRule type="expression" dxfId="572" priority="444">
      <formula>NoColor</formula>
    </cfRule>
  </conditionalFormatting>
  <conditionalFormatting sqref="AX93">
    <cfRule type="expression" dxfId="571" priority="443">
      <formula>NoColor</formula>
    </cfRule>
  </conditionalFormatting>
  <conditionalFormatting sqref="AX95">
    <cfRule type="expression" dxfId="570" priority="442">
      <formula>NoColor</formula>
    </cfRule>
  </conditionalFormatting>
  <conditionalFormatting sqref="AX149">
    <cfRule type="expression" dxfId="569" priority="87">
      <formula>NoColor</formula>
    </cfRule>
  </conditionalFormatting>
  <conditionalFormatting sqref="AX151">
    <cfRule type="expression" dxfId="568" priority="86">
      <formula>NoColor</formula>
    </cfRule>
  </conditionalFormatting>
  <conditionalFormatting sqref="AX153">
    <cfRule type="expression" dxfId="567" priority="85">
      <formula>NoColor</formula>
    </cfRule>
  </conditionalFormatting>
  <conditionalFormatting sqref="AX207">
    <cfRule type="expression" dxfId="566" priority="81">
      <formula>NoColor</formula>
    </cfRule>
  </conditionalFormatting>
  <conditionalFormatting sqref="AX209">
    <cfRule type="expression" dxfId="565" priority="80">
      <formula>NoColor</formula>
    </cfRule>
  </conditionalFormatting>
  <conditionalFormatting sqref="AX211">
    <cfRule type="expression" dxfId="564" priority="79">
      <formula>NoColor</formula>
    </cfRule>
  </conditionalFormatting>
  <conditionalFormatting sqref="AX265">
    <cfRule type="expression" dxfId="563" priority="75">
      <formula>NoColor</formula>
    </cfRule>
  </conditionalFormatting>
  <conditionalFormatting sqref="AX267">
    <cfRule type="expression" dxfId="562" priority="74">
      <formula>NoColor</formula>
    </cfRule>
  </conditionalFormatting>
  <conditionalFormatting sqref="AX269">
    <cfRule type="expression" dxfId="561" priority="73">
      <formula>NoColor</formula>
    </cfRule>
  </conditionalFormatting>
  <conditionalFormatting sqref="AY87">
    <cfRule type="expression" dxfId="560" priority="447">
      <formula>NoColor</formula>
    </cfRule>
  </conditionalFormatting>
  <conditionalFormatting sqref="AY97">
    <cfRule type="expression" dxfId="559" priority="446">
      <formula>NoColor</formula>
    </cfRule>
  </conditionalFormatting>
  <conditionalFormatting sqref="AY100">
    <cfRule type="expression" dxfId="558" priority="445">
      <formula>NoColor</formula>
    </cfRule>
  </conditionalFormatting>
  <conditionalFormatting sqref="AY145">
    <cfRule type="expression" dxfId="557" priority="90">
      <formula>NoColor</formula>
    </cfRule>
  </conditionalFormatting>
  <conditionalFormatting sqref="AY155">
    <cfRule type="expression" dxfId="556" priority="89">
      <formula>NoColor</formula>
    </cfRule>
  </conditionalFormatting>
  <conditionalFormatting sqref="AY158">
    <cfRule type="expression" dxfId="555" priority="88">
      <formula>NoColor</formula>
    </cfRule>
  </conditionalFormatting>
  <conditionalFormatting sqref="AY203">
    <cfRule type="expression" dxfId="554" priority="84">
      <formula>NoColor</formula>
    </cfRule>
  </conditionalFormatting>
  <conditionalFormatting sqref="AY213">
    <cfRule type="expression" dxfId="553" priority="83">
      <formula>NoColor</formula>
    </cfRule>
  </conditionalFormatting>
  <conditionalFormatting sqref="AY216">
    <cfRule type="expression" dxfId="552" priority="82">
      <formula>NoColor</formula>
    </cfRule>
  </conditionalFormatting>
  <conditionalFormatting sqref="AY261">
    <cfRule type="expression" dxfId="551" priority="78">
      <formula>NoColor</formula>
    </cfRule>
  </conditionalFormatting>
  <conditionalFormatting sqref="AY271">
    <cfRule type="expression" dxfId="550" priority="77">
      <formula>NoColor</formula>
    </cfRule>
  </conditionalFormatting>
  <conditionalFormatting sqref="AY274">
    <cfRule type="expression" dxfId="549" priority="76">
      <formula>NoColor</formula>
    </cfRule>
  </conditionalFormatting>
  <pageMargins left="0.75" right="0.25" top="0.36" bottom="0.28999999999999998" header="0.36" footer="0.21"/>
  <pageSetup scale="72" fitToHeight="0" orientation="portrait" r:id="rId1"/>
  <rowBreaks count="4" manualBreakCount="4">
    <brk id="56" min="1" max="35" man="1"/>
    <brk id="114" min="1" max="35" man="1"/>
    <brk id="172" min="1" max="35" man="1"/>
    <brk id="230" min="1" max="35" man="1"/>
  </rowBreaks>
  <drawing r:id="rId2"/>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pageSetUpPr fitToPage="1"/>
  </sheetPr>
  <dimension ref="A1:CF69"/>
  <sheetViews>
    <sheetView zoomScaleNormal="100" zoomScaleSheetLayoutView="100" workbookViewId="0"/>
  </sheetViews>
  <sheetFormatPr defaultColWidth="9.140625" defaultRowHeight="12.75"/>
  <cols>
    <col min="1" max="1" width="3.7109375" customWidth="1"/>
    <col min="2" max="2" width="5.140625" customWidth="1"/>
    <col min="3" max="3" width="6.140625" customWidth="1"/>
    <col min="4" max="11" width="4" customWidth="1"/>
    <col min="12" max="12" width="3.7109375" customWidth="1"/>
    <col min="13" max="13" width="4.7109375" customWidth="1"/>
    <col min="14" max="14" width="4.42578125" customWidth="1"/>
    <col min="15" max="16" width="3.7109375" customWidth="1"/>
    <col min="17" max="17" width="5.140625" customWidth="1"/>
    <col min="18" max="22" width="3.7109375" customWidth="1"/>
    <col min="23" max="23" width="4.85546875" customWidth="1"/>
    <col min="24" max="29" width="3.7109375" customWidth="1"/>
    <col min="30" max="30" width="5.5703125" customWidth="1"/>
    <col min="31" max="32" width="3.7109375" customWidth="1"/>
    <col min="33" max="33" width="4.42578125" customWidth="1"/>
    <col min="34" max="36" width="3.7109375" customWidth="1"/>
    <col min="37" max="37" width="4.5703125" customWidth="1"/>
    <col min="38" max="38" width="7.140625" customWidth="1"/>
    <col min="39" max="39" width="2.42578125" customWidth="1"/>
    <col min="40" max="40" width="4.5703125" customWidth="1"/>
    <col min="41" max="41" width="43.28515625" customWidth="1"/>
    <col min="42" max="42" width="5.140625" customWidth="1"/>
    <col min="43" max="43" width="10.140625" customWidth="1"/>
    <col min="44" max="44" width="3.140625" customWidth="1"/>
    <col min="45" max="45" width="4.5703125" customWidth="1"/>
    <col min="46" max="49" width="12.85546875" hidden="1" customWidth="1"/>
    <col min="50" max="50" width="4.85546875" customWidth="1"/>
    <col min="51" max="51" width="13.140625" style="1366" customWidth="1"/>
    <col min="52" max="59" width="10.7109375" style="815" customWidth="1"/>
  </cols>
  <sheetData>
    <row r="1" spans="1:84" ht="16.5" customHeight="1">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2013"/>
      <c r="AD1" s="2013"/>
      <c r="AE1" s="2013"/>
      <c r="AF1" s="2013"/>
      <c r="AG1" s="2013"/>
      <c r="AH1" s="2013"/>
      <c r="AI1" s="2013"/>
      <c r="AJ1" s="2013"/>
      <c r="AK1" s="2013"/>
      <c r="AL1" s="253"/>
      <c r="AM1" s="253"/>
      <c r="AN1" s="253"/>
      <c r="AO1" s="253"/>
      <c r="AP1" s="253"/>
      <c r="AQ1" s="253"/>
      <c r="AR1" s="253"/>
      <c r="AS1" s="253"/>
      <c r="AT1" s="253"/>
      <c r="AU1" s="253"/>
      <c r="AV1" s="253"/>
      <c r="AW1" s="253"/>
      <c r="AX1" s="253"/>
      <c r="AY1" s="1356"/>
      <c r="AZ1" s="658"/>
      <c r="BA1" s="658"/>
      <c r="BB1" s="658"/>
      <c r="BC1" s="658"/>
      <c r="BD1" s="658"/>
      <c r="BE1" s="658"/>
      <c r="BF1" s="658"/>
      <c r="BG1" s="658"/>
    </row>
    <row r="2" spans="1:84" ht="18" customHeight="1">
      <c r="A2" s="2013"/>
      <c r="B2" s="253"/>
      <c r="C2" s="253"/>
      <c r="D2" s="9823" t="s">
        <v>132</v>
      </c>
      <c r="E2" s="7601"/>
      <c r="F2" s="7601"/>
      <c r="G2" s="7601"/>
      <c r="H2" s="379"/>
      <c r="I2" s="2741"/>
      <c r="J2" s="253"/>
      <c r="K2" s="253"/>
      <c r="L2" s="253"/>
      <c r="M2" s="253"/>
      <c r="N2" s="253"/>
      <c r="O2" s="253"/>
      <c r="P2" s="253"/>
      <c r="Q2" s="253"/>
      <c r="R2" s="253"/>
      <c r="S2" s="253"/>
      <c r="T2" s="253"/>
      <c r="U2" s="253"/>
      <c r="V2" s="253"/>
      <c r="W2" s="253"/>
      <c r="X2" s="253"/>
      <c r="Y2" s="253"/>
      <c r="Z2" s="253"/>
      <c r="AA2" s="253"/>
      <c r="AB2" s="2910"/>
      <c r="AC2" s="11112" t="s">
        <v>543</v>
      </c>
      <c r="AD2" s="9894"/>
      <c r="AE2" s="9894"/>
      <c r="AF2" s="9894"/>
      <c r="AG2" s="9894"/>
      <c r="AH2" s="9894"/>
      <c r="AI2" s="9894"/>
      <c r="AJ2" s="9894"/>
      <c r="AK2" s="2013"/>
      <c r="AL2" s="253"/>
      <c r="AM2" s="253"/>
      <c r="AN2" s="253"/>
      <c r="AO2" s="253"/>
      <c r="AP2" s="253"/>
      <c r="AQ2" s="253"/>
      <c r="AR2" s="253"/>
      <c r="AS2" s="253"/>
      <c r="AT2" s="253"/>
      <c r="AU2" s="253"/>
      <c r="AV2" s="253"/>
      <c r="AW2" s="253"/>
      <c r="AX2" s="253"/>
      <c r="AY2" s="1356" t="s">
        <v>223</v>
      </c>
      <c r="AZ2" s="658"/>
      <c r="BA2" s="658"/>
      <c r="BB2" s="658"/>
      <c r="BC2" s="658"/>
      <c r="BD2" s="658"/>
      <c r="BE2" s="658"/>
      <c r="BF2" s="658"/>
      <c r="BG2" s="658"/>
    </row>
    <row r="3" spans="1:84" ht="24" customHeight="1">
      <c r="A3" s="2013"/>
      <c r="B3" s="9825" t="s">
        <v>46</v>
      </c>
      <c r="C3" s="9617"/>
      <c r="D3" s="7601"/>
      <c r="E3" s="7601"/>
      <c r="F3" s="7601"/>
      <c r="G3" s="7601"/>
      <c r="H3" s="379"/>
      <c r="I3" s="11243" t="s">
        <v>4302</v>
      </c>
      <c r="J3" s="11244"/>
      <c r="K3" s="11244"/>
      <c r="L3" s="11244"/>
      <c r="M3" s="11244"/>
      <c r="N3" s="11244"/>
      <c r="O3" s="11244"/>
      <c r="P3" s="11244"/>
      <c r="Q3" s="11244"/>
      <c r="R3" s="11244"/>
      <c r="S3" s="11244"/>
      <c r="T3" s="11244"/>
      <c r="U3" s="11244"/>
      <c r="V3" s="11244"/>
      <c r="W3" s="11244"/>
      <c r="X3" s="11244"/>
      <c r="Y3" s="11244"/>
      <c r="Z3" s="11244"/>
      <c r="AA3" s="11244"/>
      <c r="AB3" s="11245"/>
      <c r="AC3" s="9826">
        <f>TaxYear</f>
        <v>2025</v>
      </c>
      <c r="AD3" s="9827"/>
      <c r="AE3" s="9827"/>
      <c r="AF3" s="9827"/>
      <c r="AG3" s="9827"/>
      <c r="AH3" s="9827"/>
      <c r="AI3" s="9827"/>
      <c r="AJ3" s="9827"/>
      <c r="AK3" s="2013"/>
      <c r="AL3" s="253"/>
      <c r="AM3" s="253"/>
      <c r="AN3" s="253"/>
      <c r="AO3" s="253"/>
      <c r="AP3" s="253"/>
      <c r="AQ3" s="253"/>
      <c r="AR3" s="253"/>
      <c r="AS3" s="253"/>
      <c r="AT3" s="253"/>
      <c r="AU3" s="253"/>
      <c r="AV3" s="253"/>
      <c r="AW3" s="253"/>
      <c r="AX3" s="253"/>
      <c r="AY3" s="1365" t="s">
        <v>227</v>
      </c>
      <c r="AZ3" s="658"/>
      <c r="BA3" s="658"/>
      <c r="BB3" s="658"/>
      <c r="BC3" s="658"/>
      <c r="BD3" s="658"/>
      <c r="BE3" s="658"/>
      <c r="BF3" s="658"/>
      <c r="BG3" s="658"/>
    </row>
    <row r="4" spans="1:84" ht="6.75" customHeight="1">
      <c r="A4" s="2013"/>
      <c r="B4" s="253"/>
      <c r="C4" s="253"/>
      <c r="D4" s="253"/>
      <c r="E4" s="253"/>
      <c r="F4" s="253"/>
      <c r="G4" s="253"/>
      <c r="H4" s="379"/>
      <c r="I4" s="2911"/>
      <c r="J4" s="362"/>
      <c r="K4" s="362"/>
      <c r="L4" s="362"/>
      <c r="M4" s="362"/>
      <c r="N4" s="362"/>
      <c r="O4" s="362"/>
      <c r="P4" s="362"/>
      <c r="Q4" s="362"/>
      <c r="R4" s="362"/>
      <c r="S4" s="362"/>
      <c r="T4" s="362"/>
      <c r="U4" s="362"/>
      <c r="V4" s="362"/>
      <c r="W4" s="362"/>
      <c r="X4" s="362"/>
      <c r="Y4" s="362"/>
      <c r="Z4" s="362"/>
      <c r="AA4" s="362"/>
      <c r="AB4" s="2912"/>
      <c r="AC4" s="9828"/>
      <c r="AD4" s="9829"/>
      <c r="AE4" s="9829"/>
      <c r="AF4" s="9829"/>
      <c r="AG4" s="9829"/>
      <c r="AH4" s="9829"/>
      <c r="AI4" s="9829"/>
      <c r="AJ4" s="9829"/>
      <c r="AK4" s="2013"/>
      <c r="AL4" s="253"/>
      <c r="AM4" s="253"/>
      <c r="AN4" s="253"/>
      <c r="AO4" s="253"/>
      <c r="AP4" s="253"/>
      <c r="AQ4" s="253"/>
      <c r="AR4" s="253"/>
      <c r="AS4" s="253"/>
      <c r="AT4" s="253"/>
      <c r="AU4" s="253"/>
      <c r="AV4" s="253"/>
      <c r="AW4" s="253"/>
      <c r="AX4" s="253"/>
      <c r="AY4" s="1357"/>
      <c r="AZ4" s="658"/>
      <c r="BA4" s="658"/>
      <c r="BB4" s="658"/>
      <c r="BC4" s="658"/>
      <c r="BD4" s="658"/>
      <c r="BE4" s="658"/>
      <c r="BF4" s="658"/>
      <c r="BG4" s="658"/>
    </row>
    <row r="5" spans="1:84" ht="12.75" customHeight="1">
      <c r="A5" s="2013"/>
      <c r="B5" s="253" t="s">
        <v>503</v>
      </c>
      <c r="C5" s="253"/>
      <c r="D5" s="253"/>
      <c r="E5" s="253"/>
      <c r="F5" s="253"/>
      <c r="G5" s="253"/>
      <c r="H5" s="379"/>
      <c r="I5" s="11118" t="s">
        <v>776</v>
      </c>
      <c r="J5" s="11119"/>
      <c r="K5" s="11119"/>
      <c r="L5" s="11119"/>
      <c r="M5" s="11119"/>
      <c r="N5" s="11119"/>
      <c r="O5" s="11119"/>
      <c r="P5" s="11119"/>
      <c r="Q5" s="11119"/>
      <c r="R5" s="11119"/>
      <c r="S5" s="11119"/>
      <c r="T5" s="11119"/>
      <c r="U5" s="11119"/>
      <c r="V5" s="11119"/>
      <c r="W5" s="11119"/>
      <c r="X5" s="11119"/>
      <c r="Y5" s="11119"/>
      <c r="Z5" s="11119"/>
      <c r="AA5" s="11119"/>
      <c r="AB5" s="11120"/>
      <c r="AC5" s="341"/>
      <c r="AD5" s="9515" t="s">
        <v>3475</v>
      </c>
      <c r="AE5" s="7844"/>
      <c r="AF5" s="7844"/>
      <c r="AG5" s="7844"/>
      <c r="AH5" s="9193">
        <v>54</v>
      </c>
      <c r="AI5" s="9193"/>
      <c r="AJ5" s="253"/>
      <c r="AK5" s="2013"/>
      <c r="AL5" s="253"/>
      <c r="AM5" s="253"/>
      <c r="AN5" s="253"/>
      <c r="AO5" s="253"/>
      <c r="AP5" s="253"/>
      <c r="AQ5" s="253"/>
      <c r="AR5" s="253"/>
      <c r="AS5" s="253"/>
      <c r="AT5" s="253"/>
      <c r="AU5" s="253"/>
      <c r="AV5" s="253"/>
      <c r="AW5" s="253"/>
      <c r="AX5" s="253"/>
      <c r="AY5" s="1357"/>
      <c r="AZ5" s="658"/>
      <c r="BA5" s="658"/>
      <c r="BB5" s="658"/>
      <c r="BC5" s="658"/>
      <c r="BD5" s="658"/>
      <c r="BE5" s="658"/>
      <c r="BF5" s="658"/>
      <c r="BG5" s="658"/>
    </row>
    <row r="6" spans="1:84" ht="13.5" customHeight="1" thickBot="1">
      <c r="A6" s="2013"/>
      <c r="B6" s="380" t="s">
        <v>505</v>
      </c>
      <c r="C6" s="380"/>
      <c r="D6" s="380"/>
      <c r="E6" s="380"/>
      <c r="F6" s="380"/>
      <c r="G6" s="380"/>
      <c r="H6" s="381"/>
      <c r="I6" s="11096" t="s">
        <v>4303</v>
      </c>
      <c r="J6" s="11097"/>
      <c r="K6" s="11097"/>
      <c r="L6" s="11097"/>
      <c r="M6" s="11097"/>
      <c r="N6" s="11097"/>
      <c r="O6" s="11097"/>
      <c r="P6" s="11097"/>
      <c r="Q6" s="11097"/>
      <c r="R6" s="11097"/>
      <c r="S6" s="11097"/>
      <c r="T6" s="11097"/>
      <c r="U6" s="11097"/>
      <c r="V6" s="11097"/>
      <c r="W6" s="11097"/>
      <c r="X6" s="11097"/>
      <c r="Y6" s="11097"/>
      <c r="Z6" s="11097"/>
      <c r="AA6" s="11097"/>
      <c r="AB6" s="11098"/>
      <c r="AC6" s="1197"/>
      <c r="AD6" s="9966" t="s">
        <v>3488</v>
      </c>
      <c r="AE6" s="9967"/>
      <c r="AF6" s="9967"/>
      <c r="AG6" s="9967"/>
      <c r="AH6" s="9974"/>
      <c r="AI6" s="9974"/>
      <c r="AJ6" s="380"/>
      <c r="AK6" s="2013"/>
      <c r="AL6" s="253"/>
      <c r="AM6" s="253"/>
      <c r="AN6" s="253"/>
      <c r="AO6" s="253"/>
      <c r="AP6" s="253"/>
      <c r="AQ6" s="253"/>
      <c r="AR6" s="253"/>
      <c r="AS6" s="253"/>
      <c r="AT6" s="253"/>
      <c r="AU6" s="253"/>
      <c r="AV6" s="253"/>
      <c r="AW6" s="253"/>
      <c r="AX6" s="253"/>
      <c r="AY6" s="1357"/>
      <c r="AZ6" s="658"/>
      <c r="BA6" s="658"/>
      <c r="BB6" s="658"/>
      <c r="BC6" s="658"/>
      <c r="BD6" s="658"/>
      <c r="BE6" s="658"/>
      <c r="BF6" s="658"/>
      <c r="BG6" s="658"/>
    </row>
    <row r="7" spans="1:84">
      <c r="A7" s="2013"/>
      <c r="B7" s="339" t="s">
        <v>1918</v>
      </c>
      <c r="C7" s="339"/>
      <c r="D7" s="339"/>
      <c r="E7" s="339"/>
      <c r="F7" s="339"/>
      <c r="G7" s="339"/>
      <c r="H7" s="339"/>
      <c r="I7" s="339"/>
      <c r="J7" s="339"/>
      <c r="K7" s="339"/>
      <c r="L7" s="339"/>
      <c r="M7" s="339"/>
      <c r="N7" s="339"/>
      <c r="O7" s="339"/>
      <c r="P7" s="339"/>
      <c r="Q7" s="339"/>
      <c r="R7" s="339"/>
      <c r="S7" s="339"/>
      <c r="T7" s="339"/>
      <c r="U7" s="339"/>
      <c r="V7" s="339"/>
      <c r="W7" s="339"/>
      <c r="X7" s="339"/>
      <c r="Y7" s="2913" t="s">
        <v>549</v>
      </c>
      <c r="Z7" s="377"/>
      <c r="AA7" s="377"/>
      <c r="AB7" s="377"/>
      <c r="AC7" s="408"/>
      <c r="AD7" s="2019"/>
      <c r="AE7" s="2019"/>
      <c r="AF7" s="2019"/>
      <c r="AG7" s="2019"/>
      <c r="AH7" s="2019"/>
      <c r="AI7" s="2019"/>
      <c r="AJ7" s="2019"/>
      <c r="AK7" s="2013"/>
      <c r="AL7" s="253"/>
      <c r="AM7" s="253"/>
      <c r="AN7" s="253"/>
      <c r="AO7" s="253"/>
      <c r="AP7" s="253"/>
      <c r="AQ7" s="253"/>
      <c r="AR7" s="253"/>
      <c r="AS7" s="253"/>
      <c r="AT7" s="253"/>
      <c r="AU7" s="253"/>
      <c r="AV7" s="253"/>
      <c r="AW7" s="253"/>
      <c r="AX7" s="253"/>
      <c r="AY7" s="1357"/>
      <c r="AZ7" s="658"/>
      <c r="BA7" s="658"/>
      <c r="BB7" s="658"/>
      <c r="BC7" s="658"/>
      <c r="BD7" s="658"/>
      <c r="BE7" s="658"/>
      <c r="BF7" s="658"/>
      <c r="BG7" s="658"/>
    </row>
    <row r="8" spans="1:84">
      <c r="A8" s="2013"/>
      <c r="B8" s="9798" t="str">
        <f>IF(Names="","",Names)</f>
        <v/>
      </c>
      <c r="C8" s="9799"/>
      <c r="D8" s="9799"/>
      <c r="E8" s="9799"/>
      <c r="F8" s="9799"/>
      <c r="G8" s="9799"/>
      <c r="H8" s="9799"/>
      <c r="I8" s="9799"/>
      <c r="J8" s="9799"/>
      <c r="K8" s="9799"/>
      <c r="L8" s="9800"/>
      <c r="M8" s="9800"/>
      <c r="N8" s="9800"/>
      <c r="O8" s="9800"/>
      <c r="P8" s="9800"/>
      <c r="Q8" s="9800"/>
      <c r="R8" s="9800"/>
      <c r="S8" s="9800"/>
      <c r="T8" s="9800"/>
      <c r="U8" s="9800"/>
      <c r="V8" s="9800"/>
      <c r="W8" s="9800"/>
      <c r="X8" s="9801"/>
      <c r="Y8" s="9803">
        <f>IF(OR(NoSSN,SS_Yours=""),"",SS_Yours)</f>
        <v>1010001</v>
      </c>
      <c r="Z8" s="7589"/>
      <c r="AA8" s="7589"/>
      <c r="AB8" s="7589"/>
      <c r="AC8" s="7589"/>
      <c r="AD8" s="7589"/>
      <c r="AE8" s="7589"/>
      <c r="AF8" s="7589"/>
      <c r="AG8" s="7589"/>
      <c r="AH8" s="7589"/>
      <c r="AI8" s="7589"/>
      <c r="AJ8" s="7589"/>
      <c r="AK8" s="2013"/>
      <c r="AL8" s="253"/>
      <c r="AM8" s="253"/>
      <c r="AN8" s="253"/>
      <c r="AO8" s="253"/>
      <c r="AP8" s="253"/>
      <c r="AQ8" s="253"/>
      <c r="AR8" s="253"/>
      <c r="AS8" s="253"/>
      <c r="AT8" s="253"/>
      <c r="AU8" s="253"/>
      <c r="AV8" s="253"/>
      <c r="AW8" s="253"/>
      <c r="AX8" s="253"/>
      <c r="AY8" s="1357"/>
      <c r="AZ8" s="658"/>
      <c r="BA8" s="658"/>
      <c r="BB8" s="658"/>
      <c r="BC8" s="658"/>
      <c r="BD8" s="658"/>
      <c r="BE8" s="658"/>
      <c r="BF8" s="658"/>
      <c r="BG8" s="658"/>
    </row>
    <row r="9" spans="1:84">
      <c r="A9" s="2013"/>
      <c r="B9" s="9360"/>
      <c r="C9" s="9360"/>
      <c r="D9" s="9360"/>
      <c r="E9" s="9360"/>
      <c r="F9" s="9360"/>
      <c r="G9" s="9360"/>
      <c r="H9" s="9360"/>
      <c r="I9" s="9360"/>
      <c r="J9" s="9360"/>
      <c r="K9" s="9360"/>
      <c r="L9" s="9360"/>
      <c r="M9" s="9360"/>
      <c r="N9" s="9360"/>
      <c r="O9" s="9360"/>
      <c r="P9" s="9360"/>
      <c r="Q9" s="9360"/>
      <c r="R9" s="9360"/>
      <c r="S9" s="9360"/>
      <c r="T9" s="9360"/>
      <c r="U9" s="9360"/>
      <c r="V9" s="9360"/>
      <c r="W9" s="9360"/>
      <c r="X9" s="9802"/>
      <c r="Y9" s="7590"/>
      <c r="Z9" s="7587"/>
      <c r="AA9" s="7587"/>
      <c r="AB9" s="7587"/>
      <c r="AC9" s="7587"/>
      <c r="AD9" s="7587"/>
      <c r="AE9" s="7587"/>
      <c r="AF9" s="7587"/>
      <c r="AG9" s="7587"/>
      <c r="AH9" s="7587"/>
      <c r="AI9" s="7587"/>
      <c r="AJ9" s="7587"/>
      <c r="AK9" s="2013"/>
      <c r="AL9" s="253"/>
      <c r="AM9" s="253"/>
      <c r="AN9" s="253"/>
      <c r="AO9" s="253"/>
      <c r="AP9" s="253"/>
      <c r="AQ9" s="253"/>
      <c r="AR9" s="253"/>
      <c r="AS9" s="253"/>
      <c r="AT9" s="253"/>
      <c r="AU9" s="253"/>
      <c r="AV9" s="253"/>
      <c r="AW9" s="253"/>
      <c r="AX9" s="253"/>
      <c r="AY9" s="1357"/>
      <c r="AZ9" s="658"/>
      <c r="BA9" s="658"/>
      <c r="BB9" s="658"/>
      <c r="BC9" s="658"/>
      <c r="BD9" s="658"/>
      <c r="BE9" s="658"/>
      <c r="BF9" s="658"/>
      <c r="BG9" s="658"/>
    </row>
    <row r="10" spans="1:84" ht="16.5" customHeight="1">
      <c r="A10" s="2013"/>
      <c r="B10" s="1320"/>
      <c r="C10" s="1320"/>
      <c r="D10" s="1320"/>
      <c r="E10" s="1405" t="s">
        <v>4304</v>
      </c>
      <c r="F10" s="1320"/>
      <c r="G10" s="1320"/>
      <c r="H10" s="1320"/>
      <c r="I10" s="1320"/>
      <c r="J10" s="1320"/>
      <c r="K10" s="1320"/>
      <c r="L10" s="1320"/>
      <c r="M10" s="1320"/>
      <c r="N10" s="1320"/>
      <c r="O10" s="1320"/>
      <c r="P10" s="1320"/>
      <c r="Q10" s="1320"/>
      <c r="R10" s="1320"/>
      <c r="S10" s="1320"/>
      <c r="T10" s="1320"/>
      <c r="U10" s="1320"/>
      <c r="V10" s="1320"/>
      <c r="W10" s="1320"/>
      <c r="X10" s="1320"/>
      <c r="Y10" s="1320"/>
      <c r="Z10" s="1320"/>
      <c r="AA10" s="1320"/>
      <c r="AB10" s="1320"/>
      <c r="AC10" s="1320"/>
      <c r="AD10" s="1320"/>
      <c r="AE10" s="1320"/>
      <c r="AF10" s="1320"/>
      <c r="AG10" s="1320"/>
      <c r="AH10" s="1320"/>
      <c r="AI10" s="253"/>
      <c r="AJ10" s="253"/>
      <c r="AK10" s="2013"/>
      <c r="AL10" s="253"/>
      <c r="AM10" s="253"/>
      <c r="AN10" s="253"/>
      <c r="AO10" s="253"/>
      <c r="AP10" s="253"/>
      <c r="AQ10" s="253"/>
      <c r="AR10" s="253"/>
      <c r="AS10" s="253"/>
      <c r="AT10" s="253"/>
      <c r="AU10" s="253"/>
      <c r="AV10" s="253"/>
      <c r="AW10" s="253"/>
      <c r="AX10" s="253"/>
      <c r="AY10" s="1357"/>
      <c r="AZ10" s="658"/>
      <c r="BA10" s="658"/>
      <c r="BB10" s="658"/>
      <c r="BC10" s="658"/>
      <c r="BD10" s="658"/>
      <c r="BE10" s="658"/>
      <c r="BF10" s="658"/>
      <c r="BG10" s="658"/>
    </row>
    <row r="11" spans="1:84" ht="15" customHeight="1">
      <c r="A11" s="2013"/>
      <c r="B11" s="1052"/>
      <c r="C11" s="1052"/>
      <c r="D11" s="1052"/>
      <c r="E11" s="873" t="s">
        <v>1554</v>
      </c>
      <c r="F11" s="2914" t="str">
        <f>"The amount on Form 1040, 1040-SR, or 1040-NR, line 11, is more than "&amp;TEXT(AB12,"$0,000")&amp;" ("&amp;TEXT(AE12,"$0,000")&amp;" if head of household; "&amp;TEXT(AH12,"$0,000")&amp;" if"</f>
        <v>The amount on Form 1040, 1040-SR, or 1040-NR, line 11, is more than $39,500 ($59,250 if head of household; $79,000 if</v>
      </c>
      <c r="G11" s="1052"/>
      <c r="H11" s="1052"/>
      <c r="I11" s="1052"/>
      <c r="J11" s="1052"/>
      <c r="K11" s="1052"/>
      <c r="L11" s="1052"/>
      <c r="M11" s="1052"/>
      <c r="N11" s="1052"/>
      <c r="O11" s="1052"/>
      <c r="P11" s="1052"/>
      <c r="Q11" s="1052"/>
      <c r="R11" s="1052"/>
      <c r="S11" s="1052"/>
      <c r="T11" s="1052"/>
      <c r="U11" s="1052"/>
      <c r="V11" s="1052"/>
      <c r="W11" s="1052"/>
      <c r="X11" s="1052"/>
      <c r="Y11" s="1052"/>
      <c r="Z11" s="1052"/>
      <c r="AA11" s="1052"/>
      <c r="AB11" s="1052"/>
      <c r="AC11" s="1052"/>
      <c r="AD11" s="1052"/>
      <c r="AE11" s="1052"/>
      <c r="AF11" s="1052"/>
      <c r="AG11" s="1052"/>
      <c r="AH11" s="1052"/>
      <c r="AI11" s="253"/>
      <c r="AJ11" s="253"/>
      <c r="AK11" s="1796"/>
      <c r="AL11" s="253" t="str">
        <f>IF(OR(V12,R15)," Hide emphasis.","")</f>
        <v/>
      </c>
      <c r="AM11" s="253"/>
      <c r="AN11" s="253"/>
      <c r="AO11" s="253"/>
      <c r="AP11" s="253"/>
      <c r="AQ11" s="253"/>
      <c r="AR11" s="253"/>
      <c r="AS11" s="253"/>
      <c r="AT11" s="253"/>
      <c r="AU11" s="253"/>
      <c r="AV11" s="253"/>
      <c r="AW11" s="253"/>
      <c r="AX11" s="253"/>
      <c r="AY11" s="1357"/>
      <c r="AZ11" s="658"/>
      <c r="BA11" s="658"/>
      <c r="BB11" s="658"/>
      <c r="BC11" s="658"/>
      <c r="BD11" s="658"/>
      <c r="BE11" s="658"/>
      <c r="BF11" s="658"/>
      <c r="BG11" s="658"/>
    </row>
    <row r="12" spans="1:84" ht="15" customHeight="1">
      <c r="A12" s="2013"/>
      <c r="B12" s="1052"/>
      <c r="C12" s="1052"/>
      <c r="D12" s="1052"/>
      <c r="E12" s="2914" t="s">
        <v>4305</v>
      </c>
      <c r="F12" s="1052"/>
      <c r="G12" s="1052"/>
      <c r="H12" s="1052"/>
      <c r="I12" s="1052"/>
      <c r="J12" s="1052"/>
      <c r="K12" s="1052"/>
      <c r="L12" s="1052"/>
      <c r="M12" s="1052"/>
      <c r="N12" s="1052"/>
      <c r="O12" s="1052"/>
      <c r="P12" s="1052"/>
      <c r="Q12" s="1052"/>
      <c r="R12" s="1052"/>
      <c r="S12" s="1052"/>
      <c r="T12" s="1052"/>
      <c r="U12" s="1052"/>
      <c r="V12" s="11236" t="b">
        <f>AND(NumFileStatusBoxes=1,Adj_Gross_Inc&gt;Y12)</f>
        <v>0</v>
      </c>
      <c r="W12" s="11236"/>
      <c r="X12" s="11236"/>
      <c r="Y12" s="11242" t="str">
        <f>IF(File_Marr_Joint&lt;&gt;"",AH12,IF(File_Head&lt;&gt;"",AE12,IF(NumFileStatusBoxes=1,AB12,"")))</f>
        <v/>
      </c>
      <c r="Z12" s="11242"/>
      <c r="AA12" s="11242"/>
      <c r="AB12" s="11242">
        <f>AW32</f>
        <v>39500</v>
      </c>
      <c r="AC12" s="11242"/>
      <c r="AD12" s="11242"/>
      <c r="AE12" s="11242">
        <f>AV32</f>
        <v>59250</v>
      </c>
      <c r="AF12" s="11242"/>
      <c r="AG12" s="11242"/>
      <c r="AH12" s="11242">
        <f>AU32</f>
        <v>79000</v>
      </c>
      <c r="AI12" s="11242"/>
      <c r="AJ12" s="11242"/>
      <c r="AK12" s="1796"/>
      <c r="AL12" s="362" t="str">
        <f>IF(OR(V12,R15)," Override CAUTION.","")</f>
        <v/>
      </c>
      <c r="AM12" s="253"/>
      <c r="AN12" s="253"/>
      <c r="AO12" s="253"/>
      <c r="AP12" s="253"/>
      <c r="AQ12" s="253"/>
      <c r="AR12" s="253"/>
      <c r="AS12" s="253"/>
      <c r="AT12" s="253"/>
      <c r="AU12" s="253"/>
      <c r="AV12" s="253"/>
      <c r="AW12" s="253"/>
      <c r="AX12" s="253"/>
      <c r="AY12" s="1357"/>
      <c r="AZ12" s="658"/>
      <c r="BA12" s="658"/>
      <c r="BB12" s="658"/>
      <c r="BC12" s="658"/>
      <c r="BD12" s="658"/>
      <c r="BE12" s="658"/>
      <c r="BF12" s="658"/>
      <c r="BG12" s="658"/>
    </row>
    <row r="13" spans="1:84" ht="15" customHeight="1">
      <c r="A13" s="2013"/>
      <c r="B13" s="1052"/>
      <c r="C13" s="1052"/>
      <c r="D13" s="1052"/>
      <c r="E13" s="873" t="s">
        <v>1554</v>
      </c>
      <c r="F13" s="2914" t="s">
        <v>4306</v>
      </c>
      <c r="G13" s="1052"/>
      <c r="H13" s="1052"/>
      <c r="I13" s="1052"/>
      <c r="J13" s="1052"/>
      <c r="K13" s="1052"/>
      <c r="L13" s="1052"/>
      <c r="M13" s="1052"/>
      <c r="N13" s="1052"/>
      <c r="O13" s="1052"/>
      <c r="P13" s="1052"/>
      <c r="Q13" s="1052"/>
      <c r="R13" s="1052"/>
      <c r="S13" s="1052"/>
      <c r="T13" s="1052"/>
      <c r="U13" s="1052"/>
      <c r="V13" s="2914"/>
      <c r="W13" s="2914"/>
      <c r="X13" s="2914"/>
      <c r="Y13" s="2914" t="str">
        <f>"born after January 1, "&amp;TaxYear-17&amp;";"</f>
        <v>born after January 1, 2008;</v>
      </c>
      <c r="Z13" s="1052"/>
      <c r="AA13" s="1052"/>
      <c r="AB13" s="1052"/>
      <c r="AC13" s="1052"/>
      <c r="AD13" s="1052"/>
      <c r="AE13" s="2914"/>
      <c r="AF13" s="2914" t="s">
        <v>4307</v>
      </c>
      <c r="AG13" s="1052"/>
      <c r="AH13" s="1052"/>
      <c r="AI13" s="253"/>
      <c r="AJ13" s="253"/>
      <c r="AK13" s="2013"/>
      <c r="AL13" s="253"/>
      <c r="AM13" s="253"/>
      <c r="AN13" s="253"/>
      <c r="AO13" s="253"/>
      <c r="AP13" s="253"/>
      <c r="AQ13" s="253"/>
      <c r="AR13" s="253"/>
      <c r="AS13" s="253"/>
      <c r="AT13" s="253"/>
      <c r="AU13" s="253"/>
      <c r="AV13" s="253"/>
      <c r="AW13" s="253"/>
      <c r="AX13" s="253"/>
      <c r="AY13" s="1357"/>
      <c r="AZ13" s="658"/>
      <c r="BA13" s="658"/>
      <c r="BB13" s="658"/>
      <c r="BC13" s="658"/>
      <c r="BD13" s="658"/>
      <c r="BE13" s="658"/>
      <c r="BF13" s="658"/>
      <c r="BG13" s="658"/>
    </row>
    <row r="14" spans="1:84" ht="15" customHeight="1" thickBot="1">
      <c r="A14" s="2013"/>
      <c r="B14" s="1052"/>
      <c r="C14" s="1052"/>
      <c r="D14" s="1052"/>
      <c r="E14" s="2914" t="str">
        <f>"dependent on someone else’s "&amp;TaxYear&amp;" tax return;"</f>
        <v>dependent on someone else’s 2025 tax return;</v>
      </c>
      <c r="F14" s="1052"/>
      <c r="G14" s="1052"/>
      <c r="H14" s="1052"/>
      <c r="I14" s="1052"/>
      <c r="J14" s="1052"/>
      <c r="K14" s="1052"/>
      <c r="L14" s="1052"/>
      <c r="M14" s="1052"/>
      <c r="N14" s="1052"/>
      <c r="O14" s="1052"/>
      <c r="P14" s="2915" t="s">
        <v>4308</v>
      </c>
      <c r="Q14" s="1052"/>
      <c r="R14" s="1052"/>
      <c r="S14" s="1052"/>
      <c r="T14" s="1052"/>
      <c r="U14" s="1052"/>
      <c r="V14" s="1052"/>
      <c r="W14" s="1052"/>
      <c r="X14" s="1052"/>
      <c r="Y14" s="1052"/>
      <c r="Z14" s="1052"/>
      <c r="AA14" s="1052"/>
      <c r="AB14" s="1052"/>
      <c r="AC14" s="11235" t="b">
        <f>OR(AE14,AH14)</f>
        <v>0</v>
      </c>
      <c r="AD14" s="11235"/>
      <c r="AE14" s="11235" t="b">
        <f>YourAge&lt;=17</f>
        <v>0</v>
      </c>
      <c r="AF14" s="11235"/>
      <c r="AG14" s="11235"/>
      <c r="AH14" s="11235" t="b">
        <f>SpouseAge&lt;=17</f>
        <v>0</v>
      </c>
      <c r="AI14" s="11235"/>
      <c r="AJ14" s="11235"/>
      <c r="AK14" s="2013"/>
      <c r="AL14" s="253"/>
      <c r="AM14" s="253"/>
      <c r="AN14" s="253"/>
      <c r="AO14" s="253"/>
      <c r="AP14" s="253"/>
      <c r="AQ14" s="253"/>
      <c r="AR14" s="253"/>
      <c r="AS14" s="253"/>
      <c r="AT14" s="253"/>
      <c r="AU14" s="253"/>
      <c r="AV14" s="253"/>
      <c r="AW14" s="253"/>
      <c r="AX14" s="253"/>
      <c r="AY14" s="1357"/>
      <c r="AZ14" s="658"/>
      <c r="BA14" s="658"/>
      <c r="BB14" s="658"/>
      <c r="BC14" s="658"/>
      <c r="BD14" s="658"/>
      <c r="BE14" s="658"/>
      <c r="BF14" s="658"/>
      <c r="BG14" s="658"/>
    </row>
    <row r="15" spans="1:84" ht="15" customHeight="1">
      <c r="A15" s="2013"/>
      <c r="B15" s="1052"/>
      <c r="C15" s="1052"/>
      <c r="D15" s="1052"/>
      <c r="E15" s="1052"/>
      <c r="F15" s="1052"/>
      <c r="G15" s="1052"/>
      <c r="H15" s="1052"/>
      <c r="I15" s="1052"/>
      <c r="J15" s="1052"/>
      <c r="K15" s="1052"/>
      <c r="L15" s="1052"/>
      <c r="M15" s="1052"/>
      <c r="N15" s="1052"/>
      <c r="O15" s="1052"/>
      <c r="P15" s="1052"/>
      <c r="Q15" s="1052"/>
      <c r="R15" s="11236" t="b">
        <f>OR(T15,V15)</f>
        <v>0</v>
      </c>
      <c r="S15" s="11236"/>
      <c r="T15" s="11236" t="b">
        <f>DependentYOU&lt;&gt;""</f>
        <v>0</v>
      </c>
      <c r="U15" s="11236"/>
      <c r="V15" s="11236" t="b">
        <f>DependentSPOUSE&lt;&gt;""</f>
        <v>0</v>
      </c>
      <c r="W15" s="11237"/>
      <c r="X15" s="2916"/>
      <c r="Y15" s="11238" t="s">
        <v>4309</v>
      </c>
      <c r="Z15" s="11239"/>
      <c r="AA15" s="11239"/>
      <c r="AB15" s="11239"/>
      <c r="AC15" s="11239"/>
      <c r="AD15" s="11240"/>
      <c r="AE15" s="11241" t="s">
        <v>4310</v>
      </c>
      <c r="AF15" s="11239"/>
      <c r="AG15" s="11239"/>
      <c r="AH15" s="11239"/>
      <c r="AI15" s="11239"/>
      <c r="AJ15" s="11240"/>
      <c r="AK15" s="2013"/>
      <c r="AL15" s="253"/>
      <c r="AM15" s="253"/>
      <c r="AN15" s="253"/>
      <c r="AO15" s="253"/>
      <c r="AP15" s="253"/>
      <c r="AQ15" s="253"/>
      <c r="AR15" s="253"/>
      <c r="AS15" s="253"/>
      <c r="AT15" s="253"/>
      <c r="AU15" s="253"/>
      <c r="AV15" s="253"/>
      <c r="AW15" s="253"/>
      <c r="AX15" s="253"/>
      <c r="AY15" s="1357"/>
      <c r="AZ15" s="658"/>
      <c r="BA15" s="658"/>
      <c r="BB15" s="658"/>
      <c r="BC15" s="658"/>
      <c r="BD15" s="658"/>
      <c r="BE15" s="658"/>
      <c r="BF15" s="658"/>
      <c r="BG15" s="658"/>
    </row>
    <row r="16" spans="1:84" s="658" customFormat="1" ht="18" customHeight="1">
      <c r="A16" s="2013"/>
      <c r="B16" s="253"/>
      <c r="C16" s="2917" t="s">
        <v>228</v>
      </c>
      <c r="D16" s="1323" t="s">
        <v>4311</v>
      </c>
      <c r="E16" s="253"/>
      <c r="F16" s="253"/>
      <c r="G16" s="253"/>
      <c r="H16" s="253"/>
      <c r="I16" s="253"/>
      <c r="J16" s="253"/>
      <c r="K16" s="253"/>
      <c r="L16" s="253"/>
      <c r="M16" s="253"/>
      <c r="N16" s="253"/>
      <c r="O16" s="253"/>
      <c r="P16" s="253"/>
      <c r="Q16" s="253"/>
      <c r="R16" s="253"/>
      <c r="S16" s="253"/>
      <c r="T16" s="253"/>
      <c r="U16" s="253"/>
      <c r="V16" s="253"/>
      <c r="W16" s="2872"/>
      <c r="X16" s="726"/>
      <c r="Y16" s="405"/>
      <c r="Z16" s="406"/>
      <c r="AA16" s="406"/>
      <c r="AB16" s="406"/>
      <c r="AC16" s="10540" t="b">
        <f>AND(AK12="",OR(V12,T15,AE14))</f>
        <v>0</v>
      </c>
      <c r="AD16" s="10826"/>
      <c r="AE16" s="253"/>
      <c r="AF16" s="253"/>
      <c r="AG16" s="253"/>
      <c r="AH16" s="253"/>
      <c r="AI16" s="10540" t="b">
        <f>AND(AK12="",OR(V12,V15,AH14))</f>
        <v>0</v>
      </c>
      <c r="AJ16" s="10540"/>
      <c r="AK16" s="2013"/>
      <c r="AL16" s="253"/>
      <c r="AM16" s="253"/>
      <c r="AN16" s="253"/>
      <c r="AO16" s="253"/>
      <c r="AP16" s="253"/>
      <c r="AQ16" s="253"/>
      <c r="AR16" s="253"/>
      <c r="AS16" s="253"/>
      <c r="AT16" s="253"/>
      <c r="AU16" s="253"/>
      <c r="AV16" s="253"/>
      <c r="AW16" s="253"/>
      <c r="AX16" s="253"/>
      <c r="AY16" s="1357"/>
      <c r="BH16"/>
      <c r="BI16"/>
      <c r="BJ16"/>
      <c r="BK16"/>
      <c r="BL16"/>
      <c r="BM16"/>
      <c r="BN16"/>
      <c r="BO16"/>
      <c r="BP16"/>
      <c r="BQ16"/>
      <c r="BR16"/>
      <c r="BS16"/>
      <c r="BT16"/>
      <c r="BU16"/>
      <c r="BV16"/>
      <c r="BW16"/>
      <c r="BX16"/>
      <c r="BY16"/>
      <c r="BZ16"/>
      <c r="CA16"/>
      <c r="CB16"/>
      <c r="CC16"/>
      <c r="CD16"/>
      <c r="CE16"/>
      <c r="CF16"/>
    </row>
    <row r="17" spans="1:84" s="658" customFormat="1" ht="15" customHeight="1">
      <c r="A17" s="2013"/>
      <c r="B17" s="253"/>
      <c r="C17" s="2917"/>
      <c r="D17" s="1323" t="str">
        <f>"designated beneficiary for "&amp;TaxYear&amp;"."</f>
        <v>designated beneficiary for 2025.</v>
      </c>
      <c r="E17" s="253"/>
      <c r="F17" s="253"/>
      <c r="G17" s="253"/>
      <c r="H17" s="253"/>
      <c r="I17" s="253"/>
      <c r="J17" s="253"/>
      <c r="K17" s="253"/>
      <c r="L17" s="253"/>
      <c r="M17" s="1323" t="s">
        <v>4312</v>
      </c>
      <c r="N17" s="253"/>
      <c r="O17" s="253"/>
      <c r="P17" s="253"/>
      <c r="Q17" s="253"/>
      <c r="R17" s="253"/>
      <c r="S17" s="253"/>
      <c r="T17" s="253"/>
      <c r="U17" s="253"/>
      <c r="V17" s="253"/>
      <c r="W17" s="2872"/>
      <c r="X17" s="2918" t="s">
        <v>228</v>
      </c>
      <c r="Y17" s="11231"/>
      <c r="Z17" s="11232"/>
      <c r="AA17" s="11232"/>
      <c r="AB17" s="11232"/>
      <c r="AC17" s="11232"/>
      <c r="AD17" s="11232"/>
      <c r="AE17" s="11231"/>
      <c r="AF17" s="11232"/>
      <c r="AG17" s="11232"/>
      <c r="AH17" s="11232"/>
      <c r="AI17" s="11232"/>
      <c r="AJ17" s="7873"/>
      <c r="AK17" s="2013"/>
      <c r="AL17" s="7879" t="s">
        <v>771</v>
      </c>
      <c r="AM17" s="7879"/>
      <c r="AN17" s="7879"/>
      <c r="AO17" s="253"/>
      <c r="AP17" s="253"/>
      <c r="AQ17" s="253"/>
      <c r="AR17" s="253"/>
      <c r="AS17" s="253"/>
      <c r="AT17" s="253"/>
      <c r="AU17" s="253"/>
      <c r="AV17" s="253"/>
      <c r="AW17" s="253"/>
      <c r="AX17" s="253"/>
      <c r="AY17" s="1357"/>
      <c r="BH17"/>
      <c r="BI17"/>
      <c r="BJ17"/>
      <c r="BK17"/>
      <c r="BL17"/>
      <c r="BM17"/>
      <c r="BN17"/>
      <c r="BO17"/>
      <c r="BP17"/>
      <c r="BQ17"/>
      <c r="BR17"/>
      <c r="BS17"/>
      <c r="BT17"/>
      <c r="BU17"/>
      <c r="BV17"/>
      <c r="BW17"/>
      <c r="BX17"/>
      <c r="BY17"/>
      <c r="BZ17"/>
      <c r="CA17"/>
      <c r="CB17"/>
      <c r="CC17"/>
      <c r="CD17"/>
      <c r="CE17"/>
      <c r="CF17"/>
    </row>
    <row r="18" spans="1:84" s="658" customFormat="1" ht="15" customHeight="1">
      <c r="A18" s="2013"/>
      <c r="B18" s="253"/>
      <c r="C18" s="2917" t="s">
        <v>230</v>
      </c>
      <c r="D18" s="1323" t="s">
        <v>4313</v>
      </c>
      <c r="E18" s="253"/>
      <c r="F18" s="344"/>
      <c r="G18" s="253"/>
      <c r="H18" s="253"/>
      <c r="I18" s="253"/>
      <c r="J18" s="253"/>
      <c r="K18" s="253"/>
      <c r="L18" s="253"/>
      <c r="M18" s="253"/>
      <c r="N18" s="253"/>
      <c r="O18" s="253"/>
      <c r="P18" s="253"/>
      <c r="Q18" s="253"/>
      <c r="R18" s="253"/>
      <c r="S18" s="253"/>
      <c r="T18" s="253"/>
      <c r="U18" s="253"/>
      <c r="V18" s="253"/>
      <c r="W18" s="2872"/>
      <c r="X18" s="726"/>
      <c r="Y18" s="405"/>
      <c r="Z18" s="406"/>
      <c r="AA18" s="406"/>
      <c r="AB18" s="406"/>
      <c r="AC18" s="406"/>
      <c r="AD18" s="407"/>
      <c r="AE18" s="253"/>
      <c r="AF18" s="253"/>
      <c r="AG18" s="253"/>
      <c r="AH18" s="253"/>
      <c r="AI18" s="253"/>
      <c r="AJ18" s="253"/>
      <c r="AK18" s="2013"/>
      <c r="AL18" s="10833"/>
      <c r="AM18" s="10833"/>
      <c r="AN18" s="10833"/>
      <c r="AO18" s="349" t="s">
        <v>4309</v>
      </c>
      <c r="AP18" s="253"/>
      <c r="AQ18" s="253"/>
      <c r="AR18" s="253"/>
      <c r="AS18" s="253"/>
      <c r="AT18" s="253"/>
      <c r="AU18" s="253"/>
      <c r="AV18" s="253"/>
      <c r="AW18" s="253"/>
      <c r="AX18" s="253"/>
      <c r="AY18" s="1357"/>
      <c r="BH18"/>
      <c r="BI18"/>
      <c r="BJ18"/>
      <c r="BK18"/>
      <c r="BL18"/>
      <c r="BM18"/>
      <c r="BN18"/>
      <c r="BO18"/>
      <c r="BP18"/>
      <c r="BQ18"/>
      <c r="BR18"/>
      <c r="BS18"/>
      <c r="BT18"/>
      <c r="BU18"/>
      <c r="BV18"/>
      <c r="BW18"/>
      <c r="BX18"/>
      <c r="BY18"/>
      <c r="BZ18"/>
      <c r="CA18"/>
      <c r="CB18"/>
      <c r="CC18"/>
      <c r="CD18"/>
      <c r="CE18"/>
      <c r="CF18"/>
    </row>
    <row r="19" spans="1:84" s="658" customFormat="1" ht="15" customHeight="1" thickBot="1">
      <c r="A19" s="2013"/>
      <c r="B19" s="253"/>
      <c r="C19" s="2917"/>
      <c r="D19" s="1323" t="str">
        <f>"contributions, and 501(c)(18)(D) plan contributions for "&amp;TaxYear&amp;" (see instructions)"</f>
        <v>contributions, and 501(c)(18)(D) plan contributions for 2025 (see instructions)</v>
      </c>
      <c r="E19" s="253"/>
      <c r="F19" s="253"/>
      <c r="G19" s="253"/>
      <c r="H19" s="253"/>
      <c r="I19" s="253"/>
      <c r="J19" s="253"/>
      <c r="K19" s="253"/>
      <c r="L19" s="253"/>
      <c r="M19" s="253"/>
      <c r="N19" s="253"/>
      <c r="O19" s="253"/>
      <c r="P19" s="253"/>
      <c r="Q19" s="253"/>
      <c r="R19" s="253"/>
      <c r="S19" s="253"/>
      <c r="T19" s="253"/>
      <c r="U19" s="253"/>
      <c r="V19" s="253"/>
      <c r="W19" s="2872"/>
      <c r="X19" s="2919" t="s">
        <v>230</v>
      </c>
      <c r="Y19" s="11233">
        <f>IF(AL18&lt;&gt;"",ROUND(AL18,0),SUM(Elect_Def_to_501c18D_You,Elect_Def_to_SIMPLE_You))</f>
        <v>0</v>
      </c>
      <c r="Z19" s="11234"/>
      <c r="AA19" s="11234"/>
      <c r="AB19" s="11234"/>
      <c r="AC19" s="11234"/>
      <c r="AD19" s="11234"/>
      <c r="AE19" s="11233">
        <f>IF(AL19&lt;&gt;"",ROUND(AL19,0),SUM(Elect_Def_to_501c18D_Spouse,Elect_Def_to_SIMPLE_Spouse))</f>
        <v>0</v>
      </c>
      <c r="AF19" s="11234"/>
      <c r="AG19" s="11234"/>
      <c r="AH19" s="11234"/>
      <c r="AI19" s="11234"/>
      <c r="AJ19" s="11234"/>
      <c r="AK19" s="2013"/>
      <c r="AL19" s="10833"/>
      <c r="AM19" s="10833"/>
      <c r="AN19" s="10833"/>
      <c r="AO19" s="349" t="s">
        <v>4310</v>
      </c>
      <c r="AP19" s="253"/>
      <c r="AQ19" s="253"/>
      <c r="AR19" s="253"/>
      <c r="AS19" s="253"/>
      <c r="AT19" s="253"/>
      <c r="AU19" s="253"/>
      <c r="AV19" s="253"/>
      <c r="AW19" s="253"/>
      <c r="AX19" s="253"/>
      <c r="AY19" s="1357"/>
      <c r="BH19"/>
      <c r="BI19"/>
      <c r="BJ19"/>
      <c r="BK19"/>
      <c r="BL19"/>
      <c r="BM19"/>
      <c r="BN19"/>
      <c r="BO19"/>
      <c r="BP19"/>
      <c r="BQ19"/>
      <c r="BR19"/>
      <c r="BS19"/>
      <c r="BT19"/>
      <c r="BU19"/>
      <c r="BV19"/>
      <c r="BW19"/>
      <c r="BX19"/>
      <c r="BY19"/>
      <c r="BZ19"/>
      <c r="CA19"/>
      <c r="CB19"/>
      <c r="CC19"/>
      <c r="CD19"/>
      <c r="CE19"/>
      <c r="CF19"/>
    </row>
    <row r="20" spans="1:84" s="658" customFormat="1" ht="15.75">
      <c r="A20" s="2013"/>
      <c r="B20" s="253"/>
      <c r="C20" s="2917" t="s">
        <v>232</v>
      </c>
      <c r="D20" s="1323" t="s">
        <v>3072</v>
      </c>
      <c r="E20" s="253"/>
      <c r="F20" s="253"/>
      <c r="G20" s="253"/>
      <c r="H20" s="253"/>
      <c r="I20" s="253"/>
      <c r="J20" s="253"/>
      <c r="K20" s="253"/>
      <c r="L20" s="253"/>
      <c r="M20" s="253"/>
      <c r="N20" s="253"/>
      <c r="O20" s="253"/>
      <c r="P20" s="253"/>
      <c r="Q20" s="253"/>
      <c r="R20" s="253"/>
      <c r="S20" s="253"/>
      <c r="T20" s="253"/>
      <c r="U20" s="253"/>
      <c r="V20" s="253"/>
      <c r="W20" s="2872"/>
      <c r="X20" s="2920" t="s">
        <v>232</v>
      </c>
      <c r="Y20" s="11224">
        <f>IF(AC16,"",SUM(ROUND(Y17,0),ROUND(Y19,0)))</f>
        <v>0</v>
      </c>
      <c r="Z20" s="11227"/>
      <c r="AA20" s="11227"/>
      <c r="AB20" s="11227"/>
      <c r="AC20" s="11227"/>
      <c r="AD20" s="11227"/>
      <c r="AE20" s="11224">
        <f>IF(AI16,"",SUM(ROUND(AE17,0),ROUND(AE19,0)))</f>
        <v>0</v>
      </c>
      <c r="AF20" s="11227"/>
      <c r="AG20" s="11227"/>
      <c r="AH20" s="11227"/>
      <c r="AI20" s="11227"/>
      <c r="AJ20" s="11227"/>
      <c r="AK20" s="2013"/>
      <c r="AL20" s="253"/>
      <c r="AM20" s="253"/>
      <c r="AN20" s="253"/>
      <c r="AO20" s="253"/>
      <c r="AP20" s="253"/>
      <c r="AQ20" s="253"/>
      <c r="AR20" s="253"/>
      <c r="AS20" s="253"/>
      <c r="AT20" s="253"/>
      <c r="AU20" s="253"/>
      <c r="AV20" s="253"/>
      <c r="AW20" s="253"/>
      <c r="AX20" s="253"/>
      <c r="AY20" s="1357"/>
      <c r="BH20"/>
      <c r="BI20"/>
      <c r="BJ20"/>
      <c r="BK20"/>
      <c r="BL20"/>
      <c r="BM20"/>
      <c r="BN20"/>
      <c r="BO20"/>
      <c r="BP20"/>
      <c r="BQ20"/>
      <c r="BR20"/>
      <c r="BS20"/>
      <c r="BT20"/>
      <c r="BU20"/>
      <c r="BV20"/>
      <c r="BW20"/>
      <c r="BX20"/>
      <c r="BY20"/>
      <c r="BZ20"/>
      <c r="CA20"/>
      <c r="CB20"/>
      <c r="CC20"/>
      <c r="CD20"/>
      <c r="CE20"/>
      <c r="CF20"/>
    </row>
    <row r="21" spans="1:84" s="658" customFormat="1" ht="15.75">
      <c r="A21" s="2013"/>
      <c r="B21" s="253"/>
      <c r="C21" s="2917" t="s">
        <v>235</v>
      </c>
      <c r="D21" s="1323" t="s">
        <v>4314</v>
      </c>
      <c r="E21" s="253"/>
      <c r="F21" s="253"/>
      <c r="G21" s="253"/>
      <c r="H21" s="253"/>
      <c r="I21" s="253"/>
      <c r="J21" s="253"/>
      <c r="K21" s="253"/>
      <c r="L21" s="253"/>
      <c r="M21" s="11194">
        <f>TaxYear-3</f>
        <v>2022</v>
      </c>
      <c r="N21" s="11194"/>
      <c r="O21" s="1323" t="s">
        <v>4315</v>
      </c>
      <c r="P21" s="253"/>
      <c r="Q21" s="253"/>
      <c r="R21" s="253"/>
      <c r="S21" s="2022"/>
      <c r="T21" s="253"/>
      <c r="U21" s="253"/>
      <c r="V21" s="1401"/>
      <c r="W21" s="2872"/>
      <c r="X21" s="2898"/>
      <c r="Y21" s="1406"/>
      <c r="Z21" s="1407"/>
      <c r="AA21" s="1407"/>
      <c r="AB21" s="1407"/>
      <c r="AC21" s="1407"/>
      <c r="AD21" s="407"/>
      <c r="AE21" s="2354"/>
      <c r="AF21" s="2354"/>
      <c r="AG21" s="2354"/>
      <c r="AH21" s="2354"/>
      <c r="AI21" s="2354"/>
      <c r="AJ21" s="2354"/>
      <c r="AK21" s="2013"/>
      <c r="AL21" s="253"/>
      <c r="AM21" s="253"/>
      <c r="AN21" s="253"/>
      <c r="AO21" s="253"/>
      <c r="AP21" s="253"/>
      <c r="AQ21" s="253"/>
      <c r="AR21" s="253"/>
      <c r="AS21" s="253"/>
      <c r="AT21" s="253"/>
      <c r="AU21" s="253"/>
      <c r="AV21" s="253"/>
      <c r="AW21" s="253"/>
      <c r="AX21" s="253"/>
      <c r="AY21" s="1357"/>
      <c r="BH21"/>
      <c r="BI21"/>
      <c r="BJ21"/>
      <c r="BK21"/>
      <c r="BL21"/>
      <c r="BM21"/>
      <c r="BN21"/>
      <c r="BO21"/>
      <c r="BP21"/>
      <c r="BQ21"/>
      <c r="BR21"/>
      <c r="BS21"/>
      <c r="BT21"/>
      <c r="BU21"/>
      <c r="BV21"/>
      <c r="BW21"/>
      <c r="BX21"/>
      <c r="BY21"/>
      <c r="BZ21"/>
      <c r="CA21"/>
      <c r="CB21"/>
      <c r="CC21"/>
      <c r="CD21"/>
      <c r="CE21"/>
      <c r="CF21"/>
    </row>
    <row r="22" spans="1:84" s="658" customFormat="1" ht="15.75">
      <c r="A22" s="2013"/>
      <c r="B22" s="253"/>
      <c r="C22" s="2917"/>
      <c r="D22" s="1323" t="str">
        <f>"extensions) of your "&amp;TaxYear&amp;" tax return (see instructions). If married filing jointly,"</f>
        <v>extensions) of your 2025 tax return (see instructions). If married filing jointly,</v>
      </c>
      <c r="E22" s="253"/>
      <c r="F22" s="253"/>
      <c r="G22" s="253"/>
      <c r="H22" s="253"/>
      <c r="I22" s="253"/>
      <c r="J22" s="253"/>
      <c r="K22" s="253"/>
      <c r="L22" s="253"/>
      <c r="M22" s="253"/>
      <c r="N22" s="253"/>
      <c r="O22" s="253"/>
      <c r="P22" s="253"/>
      <c r="Q22" s="1401"/>
      <c r="R22" s="1401"/>
      <c r="S22" s="253"/>
      <c r="T22" s="253"/>
      <c r="U22" s="253"/>
      <c r="V22" s="253"/>
      <c r="W22" s="2872"/>
      <c r="X22" s="2921"/>
      <c r="Y22" s="1408"/>
      <c r="Z22" s="1409"/>
      <c r="AA22" s="1409"/>
      <c r="AB22" s="1409"/>
      <c r="AC22" s="1409"/>
      <c r="AD22" s="409"/>
      <c r="AE22" s="511"/>
      <c r="AF22" s="511"/>
      <c r="AG22" s="511"/>
      <c r="AH22" s="511"/>
      <c r="AI22" s="511"/>
      <c r="AJ22" s="511"/>
      <c r="AK22" s="2013"/>
      <c r="AL22" s="253"/>
      <c r="AM22" s="253"/>
      <c r="AN22" s="253"/>
      <c r="AO22" s="253"/>
      <c r="AP22" s="253"/>
      <c r="AQ22" s="253"/>
      <c r="AR22" s="253"/>
      <c r="AS22" s="253"/>
      <c r="AT22" s="253"/>
      <c r="AU22" s="253"/>
      <c r="AV22" s="253"/>
      <c r="AW22" s="253"/>
      <c r="AX22" s="253"/>
      <c r="AY22" s="1357"/>
      <c r="BH22"/>
      <c r="BI22"/>
      <c r="BJ22"/>
      <c r="BK22"/>
      <c r="BL22"/>
      <c r="BM22"/>
      <c r="BN22"/>
      <c r="BO22"/>
      <c r="BP22"/>
      <c r="BQ22"/>
      <c r="BR22"/>
      <c r="BS22"/>
      <c r="BT22"/>
      <c r="BU22"/>
      <c r="BV22"/>
      <c r="BW22"/>
      <c r="BX22"/>
      <c r="BY22"/>
      <c r="BZ22"/>
      <c r="CA22"/>
      <c r="CB22"/>
      <c r="CC22"/>
      <c r="CD22"/>
      <c r="CE22"/>
      <c r="CF22"/>
    </row>
    <row r="23" spans="1:84" s="658" customFormat="1" ht="16.5" thickBot="1">
      <c r="A23" s="2013" t="s">
        <v>1892</v>
      </c>
      <c r="B23" s="253"/>
      <c r="C23" s="2917"/>
      <c r="D23" s="1323" t="s">
        <v>4316</v>
      </c>
      <c r="E23" s="253"/>
      <c r="F23" s="253"/>
      <c r="G23" s="253"/>
      <c r="H23" s="253"/>
      <c r="I23" s="253"/>
      <c r="J23" s="253"/>
      <c r="K23" s="253"/>
      <c r="L23" s="253"/>
      <c r="M23" s="253"/>
      <c r="N23" s="253"/>
      <c r="O23" s="253"/>
      <c r="P23" s="253"/>
      <c r="Q23" s="1401"/>
      <c r="R23" s="1401"/>
      <c r="S23" s="253"/>
      <c r="T23" s="253"/>
      <c r="U23" s="253"/>
      <c r="V23" s="1401"/>
      <c r="W23" s="2872"/>
      <c r="X23" s="2922" t="s">
        <v>235</v>
      </c>
      <c r="Y23" s="10103"/>
      <c r="Z23" s="10104"/>
      <c r="AA23" s="10104"/>
      <c r="AB23" s="10104"/>
      <c r="AC23" s="10104"/>
      <c r="AD23" s="10105"/>
      <c r="AE23" s="10103"/>
      <c r="AF23" s="10104"/>
      <c r="AG23" s="10104"/>
      <c r="AH23" s="10104"/>
      <c r="AI23" s="10104"/>
      <c r="AJ23" s="10105"/>
      <c r="AK23" s="2013"/>
      <c r="AL23" s="253"/>
      <c r="AM23" s="253"/>
      <c r="AN23" s="253"/>
      <c r="AO23" s="253"/>
      <c r="AP23" s="253"/>
      <c r="AQ23" s="253"/>
      <c r="AR23" s="253"/>
      <c r="AS23" s="253"/>
      <c r="AT23" s="253"/>
      <c r="AU23" s="253"/>
      <c r="AV23" s="253"/>
      <c r="AW23" s="253"/>
      <c r="AX23" s="253"/>
      <c r="AY23" s="1357"/>
      <c r="BH23"/>
      <c r="BI23"/>
      <c r="BJ23"/>
      <c r="BK23"/>
      <c r="BL23"/>
      <c r="BM23"/>
      <c r="BN23"/>
      <c r="BO23"/>
      <c r="BP23"/>
      <c r="BQ23"/>
      <c r="BR23"/>
      <c r="BS23"/>
      <c r="BT23"/>
      <c r="BU23"/>
      <c r="BV23"/>
      <c r="BW23"/>
      <c r="BX23"/>
      <c r="BY23"/>
      <c r="BZ23"/>
      <c r="CA23"/>
      <c r="CB23"/>
      <c r="CC23"/>
      <c r="CD23"/>
      <c r="CE23"/>
      <c r="CF23"/>
    </row>
    <row r="24" spans="1:84" s="658" customFormat="1" ht="15.75">
      <c r="A24" s="2013" t="s">
        <v>1892</v>
      </c>
      <c r="B24" s="253"/>
      <c r="C24" s="2917" t="s">
        <v>237</v>
      </c>
      <c r="D24" s="1323" t="s">
        <v>2264</v>
      </c>
      <c r="E24" s="253"/>
      <c r="F24" s="253"/>
      <c r="G24" s="253"/>
      <c r="H24" s="253"/>
      <c r="I24" s="253"/>
      <c r="J24" s="253"/>
      <c r="K24" s="253"/>
      <c r="L24" s="253"/>
      <c r="M24" s="253"/>
      <c r="N24" s="253"/>
      <c r="O24" s="253"/>
      <c r="P24" s="253"/>
      <c r="Q24" s="1401"/>
      <c r="R24" s="1401"/>
      <c r="S24" s="253"/>
      <c r="T24" s="253"/>
      <c r="U24" s="253"/>
      <c r="V24" s="1401"/>
      <c r="W24" s="2872"/>
      <c r="X24" s="2920" t="s">
        <v>237</v>
      </c>
      <c r="Y24" s="11228">
        <f>IF(AC16,"",IF(Y23="",MAX(0,Y20),MAX(0,SUM(Y20,-ROUND(Y23,0)))))</f>
        <v>0</v>
      </c>
      <c r="Z24" s="11229"/>
      <c r="AA24" s="11229"/>
      <c r="AB24" s="11229"/>
      <c r="AC24" s="11229"/>
      <c r="AD24" s="11230"/>
      <c r="AE24" s="11228">
        <f>IF(AI16,"",IF(AE23="",MAX(0,AE20),MAX(0,SUM(AE20,-ROUND(AE23,0)))))</f>
        <v>0</v>
      </c>
      <c r="AF24" s="11229"/>
      <c r="AG24" s="11229"/>
      <c r="AH24" s="11229"/>
      <c r="AI24" s="11229"/>
      <c r="AJ24" s="11230"/>
      <c r="AK24" s="2013"/>
      <c r="AL24" s="253"/>
      <c r="AM24" s="253"/>
      <c r="AN24" s="253"/>
      <c r="AO24" s="253"/>
      <c r="AP24" s="253"/>
      <c r="AQ24" s="253"/>
      <c r="AR24" s="253"/>
      <c r="AS24" s="253"/>
      <c r="AT24" s="253"/>
      <c r="AU24" s="253"/>
      <c r="AV24" s="253"/>
      <c r="AW24" s="253"/>
      <c r="AX24" s="253"/>
      <c r="AY24" s="1357"/>
      <c r="BH24"/>
      <c r="BI24"/>
      <c r="BJ24"/>
      <c r="BK24"/>
      <c r="BL24"/>
      <c r="BM24"/>
      <c r="BN24"/>
      <c r="BO24"/>
      <c r="BP24"/>
      <c r="BQ24"/>
      <c r="BR24"/>
      <c r="BS24"/>
      <c r="BT24"/>
      <c r="BU24"/>
      <c r="BV24"/>
      <c r="BW24"/>
      <c r="BX24"/>
      <c r="BY24"/>
      <c r="BZ24"/>
      <c r="CA24"/>
      <c r="CB24"/>
      <c r="CC24"/>
      <c r="CD24"/>
      <c r="CE24"/>
      <c r="CF24"/>
    </row>
    <row r="25" spans="1:84" s="658" customFormat="1" ht="16.5" thickBot="1">
      <c r="A25" s="2013"/>
      <c r="B25" s="253"/>
      <c r="C25" s="2917" t="s">
        <v>239</v>
      </c>
      <c r="D25" s="1323" t="s">
        <v>4317</v>
      </c>
      <c r="E25" s="253"/>
      <c r="F25" s="253"/>
      <c r="G25" s="253"/>
      <c r="H25" s="253"/>
      <c r="I25" s="253"/>
      <c r="J25" s="253"/>
      <c r="K25" s="253"/>
      <c r="L25" s="253"/>
      <c r="M25" s="1323"/>
      <c r="N25" s="1323"/>
      <c r="O25" s="253"/>
      <c r="P25" s="1323"/>
      <c r="Q25" s="1323" t="str">
        <f>TEXT($V$25,"$0,000")</f>
        <v>$2,000</v>
      </c>
      <c r="R25" s="253"/>
      <c r="S25" s="2022"/>
      <c r="T25" s="253"/>
      <c r="U25" s="253"/>
      <c r="V25" s="11154">
        <v>2000</v>
      </c>
      <c r="W25" s="11219"/>
      <c r="X25" s="2923" t="s">
        <v>239</v>
      </c>
      <c r="Y25" s="11220">
        <f>IF(AC16,"",MIN(Y24,$V$25))</f>
        <v>0</v>
      </c>
      <c r="Z25" s="11221"/>
      <c r="AA25" s="11221"/>
      <c r="AB25" s="11221"/>
      <c r="AC25" s="11221"/>
      <c r="AD25" s="11222"/>
      <c r="AE25" s="11220">
        <f>IF(AI16,"",MIN(AE24,$V$25))</f>
        <v>0</v>
      </c>
      <c r="AF25" s="11221"/>
      <c r="AG25" s="11221"/>
      <c r="AH25" s="11221"/>
      <c r="AI25" s="11221"/>
      <c r="AJ25" s="11222"/>
      <c r="AK25" s="2013"/>
      <c r="AL25" s="7879"/>
      <c r="AM25" s="7879"/>
      <c r="AN25" s="7879"/>
      <c r="AO25" s="253"/>
      <c r="AP25" s="253"/>
      <c r="AQ25" s="253"/>
      <c r="AR25" s="253"/>
      <c r="AS25" s="253"/>
      <c r="AT25" s="253"/>
      <c r="AU25" s="253"/>
      <c r="AV25" s="253"/>
      <c r="AW25" s="253"/>
      <c r="AX25" s="253"/>
      <c r="AY25" s="1357"/>
      <c r="BH25"/>
      <c r="BI25"/>
      <c r="BJ25"/>
      <c r="BK25"/>
      <c r="BL25"/>
      <c r="BM25"/>
      <c r="BN25"/>
      <c r="BO25"/>
      <c r="BP25"/>
      <c r="BQ25"/>
      <c r="BR25"/>
      <c r="BS25"/>
      <c r="BT25"/>
      <c r="BU25"/>
      <c r="BV25"/>
      <c r="BW25"/>
      <c r="BX25"/>
      <c r="BY25"/>
      <c r="BZ25"/>
      <c r="CA25"/>
      <c r="CB25"/>
      <c r="CC25"/>
      <c r="CD25"/>
      <c r="CE25"/>
      <c r="CF25"/>
    </row>
    <row r="26" spans="1:84" s="658" customFormat="1" ht="15.75">
      <c r="A26" s="2013"/>
      <c r="B26" s="253"/>
      <c r="C26" s="2917" t="s">
        <v>242</v>
      </c>
      <c r="D26" s="1323" t="s">
        <v>4318</v>
      </c>
      <c r="E26" s="253"/>
      <c r="F26" s="253"/>
      <c r="G26" s="253"/>
      <c r="H26" s="253"/>
      <c r="I26" s="253"/>
      <c r="J26" s="253"/>
      <c r="K26" s="1323" t="s">
        <v>4319</v>
      </c>
      <c r="L26" s="253"/>
      <c r="M26" s="253"/>
      <c r="N26" s="253"/>
      <c r="O26" s="253"/>
      <c r="P26" s="253"/>
      <c r="Q26" s="253"/>
      <c r="R26" s="253"/>
      <c r="S26" s="253"/>
      <c r="T26" s="253"/>
      <c r="U26" s="253"/>
      <c r="V26" s="253"/>
      <c r="W26" s="253"/>
      <c r="X26" s="253"/>
      <c r="Y26" s="253"/>
      <c r="Z26" s="253"/>
      <c r="AA26" s="253"/>
      <c r="AB26" s="7451" t="b">
        <f>AE26=0</f>
        <v>1</v>
      </c>
      <c r="AC26" s="11223"/>
      <c r="AD26" s="2920" t="s">
        <v>242</v>
      </c>
      <c r="AE26" s="11224">
        <f>SUM(Y25,AE25)</f>
        <v>0</v>
      </c>
      <c r="AF26" s="11225"/>
      <c r="AG26" s="11225"/>
      <c r="AH26" s="11225"/>
      <c r="AI26" s="11225"/>
      <c r="AJ26" s="11226"/>
      <c r="AK26" s="2013"/>
      <c r="AL26" s="7879" t="s">
        <v>771</v>
      </c>
      <c r="AM26" s="7879"/>
      <c r="AN26" s="7879"/>
      <c r="AO26" s="253"/>
      <c r="AP26" s="253"/>
      <c r="AQ26" s="253"/>
      <c r="AR26" s="253"/>
      <c r="AS26" s="253"/>
      <c r="AT26" s="253"/>
      <c r="AU26" s="253"/>
      <c r="AV26" s="253"/>
      <c r="AW26" s="253"/>
      <c r="AX26" s="253"/>
      <c r="AY26" s="1357"/>
      <c r="BH26"/>
      <c r="BI26"/>
      <c r="BJ26"/>
      <c r="BK26"/>
      <c r="BL26"/>
      <c r="BM26"/>
      <c r="BN26"/>
      <c r="BO26"/>
      <c r="BP26"/>
      <c r="BQ26"/>
      <c r="BR26"/>
      <c r="BS26"/>
      <c r="BT26"/>
      <c r="BU26"/>
      <c r="BV26"/>
      <c r="BW26"/>
      <c r="BX26"/>
      <c r="BY26"/>
      <c r="BZ26"/>
      <c r="CA26"/>
      <c r="CB26"/>
      <c r="CC26"/>
      <c r="CD26"/>
      <c r="CE26"/>
      <c r="CF26"/>
    </row>
    <row r="27" spans="1:84" s="658" customFormat="1" ht="15.75">
      <c r="A27" s="2013"/>
      <c r="B27" s="253"/>
      <c r="C27" s="2917" t="s">
        <v>244</v>
      </c>
      <c r="D27" s="1323" t="s">
        <v>4320</v>
      </c>
      <c r="E27" s="253"/>
      <c r="F27" s="253"/>
      <c r="G27" s="253"/>
      <c r="H27" s="253"/>
      <c r="I27" s="253"/>
      <c r="J27" s="253"/>
      <c r="K27" s="253"/>
      <c r="L27" s="253"/>
      <c r="M27" s="253"/>
      <c r="N27" s="253"/>
      <c r="O27" s="253"/>
      <c r="P27" s="253"/>
      <c r="Q27" s="253"/>
      <c r="R27" s="253"/>
      <c r="S27" s="253"/>
      <c r="T27" s="253"/>
      <c r="U27" s="253"/>
      <c r="V27" s="253"/>
      <c r="W27" s="2895">
        <v>8</v>
      </c>
      <c r="X27" s="11182" t="str">
        <f>IF(AL27&lt;&gt;"",ROUND(AL27,0),IF(OR(AB26,AND(V12,AK12="")),"",Adj_Gross_Inc))</f>
        <v/>
      </c>
      <c r="Y27" s="11183"/>
      <c r="Z27" s="11183"/>
      <c r="AA27" s="11183"/>
      <c r="AB27" s="11183"/>
      <c r="AC27" s="11183"/>
      <c r="AD27" s="2924"/>
      <c r="AE27" s="511"/>
      <c r="AF27" s="511"/>
      <c r="AG27" s="511"/>
      <c r="AH27" s="511"/>
      <c r="AI27" s="511"/>
      <c r="AJ27" s="511"/>
      <c r="AK27" s="2013"/>
      <c r="AL27" s="10833"/>
      <c r="AM27" s="10833"/>
      <c r="AN27" s="10833"/>
      <c r="AO27" s="253"/>
      <c r="AP27" s="253"/>
      <c r="AQ27" s="253"/>
      <c r="AR27" s="253"/>
      <c r="AS27" s="253"/>
      <c r="AT27" s="253"/>
      <c r="AU27" s="253"/>
      <c r="AV27" s="253"/>
      <c r="AW27" s="253"/>
      <c r="AX27" s="253"/>
      <c r="AY27" s="1357"/>
      <c r="BH27"/>
      <c r="BI27"/>
      <c r="BJ27"/>
      <c r="BK27"/>
      <c r="BL27"/>
      <c r="BM27"/>
      <c r="BN27"/>
      <c r="BO27"/>
      <c r="BP27"/>
      <c r="BQ27"/>
      <c r="BR27"/>
      <c r="BS27"/>
      <c r="BT27"/>
      <c r="BU27"/>
      <c r="BV27"/>
      <c r="BW27"/>
      <c r="BX27"/>
      <c r="BY27"/>
      <c r="BZ27"/>
      <c r="CA27"/>
      <c r="CB27"/>
      <c r="CC27"/>
      <c r="CD27"/>
      <c r="CE27"/>
      <c r="CF27"/>
    </row>
    <row r="28" spans="1:84" s="658" customFormat="1" ht="15.75">
      <c r="A28" s="2013"/>
      <c r="B28" s="253"/>
      <c r="C28" s="2917" t="s">
        <v>377</v>
      </c>
      <c r="D28" s="1323" t="s">
        <v>4321</v>
      </c>
      <c r="E28" s="253"/>
      <c r="F28" s="253"/>
      <c r="G28" s="253"/>
      <c r="H28" s="253"/>
      <c r="I28" s="253"/>
      <c r="J28" s="253"/>
      <c r="K28" s="253"/>
      <c r="L28" s="253"/>
      <c r="M28" s="253"/>
      <c r="N28" s="253"/>
      <c r="O28" s="253"/>
      <c r="P28" s="253"/>
      <c r="Q28" s="253"/>
      <c r="R28" s="253"/>
      <c r="S28" s="253"/>
      <c r="T28" s="253"/>
      <c r="U28" s="253"/>
      <c r="V28" s="253"/>
      <c r="W28" s="253"/>
      <c r="X28" s="253"/>
      <c r="Y28" s="253"/>
      <c r="Z28" s="253"/>
      <c r="AA28" s="253"/>
      <c r="AB28" s="253"/>
      <c r="AC28" s="253"/>
      <c r="AD28" s="2924"/>
      <c r="AE28" s="511"/>
      <c r="AF28" s="511"/>
      <c r="AG28" s="511"/>
      <c r="AH28" s="511"/>
      <c r="AI28" s="511"/>
      <c r="AJ28" s="511"/>
      <c r="AK28" s="2013"/>
      <c r="AL28" s="253"/>
      <c r="AM28" s="253"/>
      <c r="AN28" s="253"/>
      <c r="AO28" s="253"/>
      <c r="AP28" s="253"/>
      <c r="AQ28" s="253"/>
      <c r="AR28" s="253"/>
      <c r="AS28" s="253"/>
      <c r="AT28" s="253"/>
      <c r="AU28" s="253"/>
      <c r="AV28" s="253"/>
      <c r="AW28" s="253"/>
      <c r="AX28" s="253"/>
      <c r="AY28" s="1357"/>
      <c r="BH28"/>
      <c r="BI28"/>
      <c r="BJ28"/>
      <c r="BK28"/>
      <c r="BL28"/>
      <c r="BM28"/>
      <c r="BN28"/>
      <c r="BO28"/>
      <c r="BP28"/>
      <c r="BQ28"/>
      <c r="BR28"/>
      <c r="BS28"/>
      <c r="BT28"/>
      <c r="BU28"/>
      <c r="BV28"/>
      <c r="BW28"/>
      <c r="BX28"/>
      <c r="BY28"/>
      <c r="BZ28"/>
      <c r="CA28"/>
      <c r="CB28"/>
      <c r="CC28"/>
      <c r="CD28"/>
      <c r="CE28"/>
      <c r="CF28"/>
    </row>
    <row r="29" spans="1:84" s="658" customFormat="1" ht="15.75">
      <c r="A29" s="2013"/>
      <c r="B29" s="253"/>
      <c r="C29" s="2917"/>
      <c r="D29" s="1323"/>
      <c r="E29" s="253"/>
      <c r="F29" s="253"/>
      <c r="G29" s="253"/>
      <c r="H29" s="253"/>
      <c r="I29" s="253"/>
      <c r="J29" s="253"/>
      <c r="K29" s="253"/>
      <c r="L29" s="11208" t="e">
        <f>IF($X$27-1&lt;$D35,L34,LOOKUP($X$27-1,$D35:$D43,L35:L43))</f>
        <v>#VALUE!</v>
      </c>
      <c r="M29" s="11208"/>
      <c r="N29" s="11208"/>
      <c r="O29" s="11208"/>
      <c r="P29" s="11208" t="e">
        <f>IF($X$27-1&lt;$D35,P34,LOOKUP($X$27-1,$D35:$D43,P35:P43))</f>
        <v>#VALUE!</v>
      </c>
      <c r="Q29" s="11208"/>
      <c r="R29" s="11208"/>
      <c r="S29" s="11208"/>
      <c r="T29" s="2925"/>
      <c r="U29" s="2925"/>
      <c r="V29" s="2925"/>
      <c r="W29" s="11208" t="e">
        <f>IF($X$27-1&lt;$D35,T34,LOOKUP($X$27-1,$D35:$D43,T35:T43))</f>
        <v>#VALUE!</v>
      </c>
      <c r="X29" s="11208"/>
      <c r="Y29" s="11208"/>
      <c r="Z29" s="11208"/>
      <c r="AA29" s="253"/>
      <c r="AB29" s="253"/>
      <c r="AC29" s="253"/>
      <c r="AD29" s="2924"/>
      <c r="AE29" s="511"/>
      <c r="AF29" s="511"/>
      <c r="AG29" s="511"/>
      <c r="AH29" s="511"/>
      <c r="AI29" s="511"/>
      <c r="AJ29" s="511"/>
      <c r="AK29" s="2013"/>
      <c r="AL29" s="253"/>
      <c r="AM29" s="514" t="s">
        <v>4322</v>
      </c>
      <c r="AN29" s="253"/>
      <c r="AO29" s="253"/>
      <c r="AP29" s="253"/>
      <c r="AQ29" s="253"/>
      <c r="AR29" s="253"/>
      <c r="AS29" s="253"/>
      <c r="AT29" s="2926" t="s">
        <v>5170</v>
      </c>
      <c r="AU29" s="2926" t="s">
        <v>1556</v>
      </c>
      <c r="AV29" s="2926" t="s">
        <v>24</v>
      </c>
      <c r="AW29" s="2926" t="s">
        <v>13</v>
      </c>
      <c r="AX29" s="253"/>
      <c r="AY29" s="1357"/>
      <c r="BH29"/>
      <c r="BI29"/>
      <c r="BJ29"/>
      <c r="BK29"/>
      <c r="BL29"/>
      <c r="BM29"/>
      <c r="BN29"/>
      <c r="BO29"/>
      <c r="BP29"/>
      <c r="BQ29"/>
      <c r="BR29"/>
      <c r="BS29"/>
      <c r="BT29"/>
      <c r="BU29"/>
      <c r="BV29"/>
      <c r="BW29"/>
      <c r="BX29"/>
      <c r="BY29"/>
      <c r="BZ29"/>
      <c r="CA29"/>
      <c r="CB29"/>
      <c r="CC29"/>
      <c r="CD29"/>
      <c r="CE29"/>
      <c r="CF29"/>
    </row>
    <row r="30" spans="1:84" s="658" customFormat="1" ht="15.75">
      <c r="A30" s="2013"/>
      <c r="B30" s="253"/>
      <c r="C30" s="2917"/>
      <c r="D30" s="8468" t="s">
        <v>4323</v>
      </c>
      <c r="E30" s="8557"/>
      <c r="F30" s="8557"/>
      <c r="G30" s="8557"/>
      <c r="H30" s="8557"/>
      <c r="I30" s="8557"/>
      <c r="J30" s="8557"/>
      <c r="K30" s="11209"/>
      <c r="L30" s="8468" t="s">
        <v>4324</v>
      </c>
      <c r="M30" s="8557"/>
      <c r="N30" s="8557"/>
      <c r="O30" s="8557"/>
      <c r="P30" s="8557"/>
      <c r="Q30" s="8557"/>
      <c r="R30" s="8557"/>
      <c r="S30" s="8557"/>
      <c r="T30" s="8557"/>
      <c r="U30" s="8557"/>
      <c r="V30" s="8557"/>
      <c r="W30" s="8557"/>
      <c r="X30" s="8557"/>
      <c r="Y30" s="8557"/>
      <c r="Z30" s="11209"/>
      <c r="AA30" s="253"/>
      <c r="AB30" s="253"/>
      <c r="AC30" s="253"/>
      <c r="AD30" s="2924"/>
      <c r="AE30" s="511"/>
      <c r="AF30" s="511"/>
      <c r="AG30" s="511"/>
      <c r="AH30" s="511"/>
      <c r="AI30" s="511"/>
      <c r="AJ30" s="511"/>
      <c r="AK30" s="2013"/>
      <c r="AL30" s="253"/>
      <c r="AM30" s="511" t="s">
        <v>4325</v>
      </c>
      <c r="AN30" s="253"/>
      <c r="AO30" s="253"/>
      <c r="AP30" s="253"/>
      <c r="AQ30" s="253"/>
      <c r="AR30" s="253"/>
      <c r="AS30" s="253"/>
      <c r="AT30" s="2927">
        <v>0.5</v>
      </c>
      <c r="AU30" s="2928">
        <v>47500</v>
      </c>
      <c r="AV30" s="2928">
        <v>35625</v>
      </c>
      <c r="AW30" s="2928">
        <v>23750</v>
      </c>
      <c r="AX30" s="253"/>
      <c r="AY30" s="1357"/>
      <c r="BH30"/>
      <c r="BI30"/>
      <c r="BJ30"/>
      <c r="BK30"/>
      <c r="BL30"/>
      <c r="BM30"/>
      <c r="BN30"/>
      <c r="BO30"/>
      <c r="BP30"/>
      <c r="BQ30"/>
      <c r="BR30"/>
      <c r="BS30"/>
      <c r="BT30"/>
      <c r="BU30"/>
      <c r="BV30"/>
      <c r="BW30"/>
      <c r="BX30"/>
      <c r="BY30"/>
      <c r="BZ30"/>
      <c r="CA30"/>
      <c r="CB30"/>
      <c r="CC30"/>
      <c r="CD30"/>
      <c r="CE30"/>
      <c r="CF30"/>
    </row>
    <row r="31" spans="1:84" s="658" customFormat="1" ht="15.75">
      <c r="A31" s="2013"/>
      <c r="B31" s="253"/>
      <c r="C31" s="2917"/>
      <c r="D31" s="10624" t="s">
        <v>4326</v>
      </c>
      <c r="E31" s="8454"/>
      <c r="F31" s="8454"/>
      <c r="G31" s="8339"/>
      <c r="H31" s="10624" t="s">
        <v>4327</v>
      </c>
      <c r="I31" s="8454"/>
      <c r="J31" s="8454"/>
      <c r="K31" s="8339"/>
      <c r="L31" s="11210" t="s">
        <v>4328</v>
      </c>
      <c r="M31" s="11211"/>
      <c r="N31" s="11211"/>
      <c r="O31" s="11212"/>
      <c r="P31" s="11210" t="s">
        <v>4329</v>
      </c>
      <c r="Q31" s="11211"/>
      <c r="R31" s="11211"/>
      <c r="S31" s="11212"/>
      <c r="T31" s="11210" t="s">
        <v>4330</v>
      </c>
      <c r="U31" s="11211"/>
      <c r="V31" s="11211"/>
      <c r="W31" s="11211"/>
      <c r="X31" s="11211"/>
      <c r="Y31" s="11211"/>
      <c r="Z31" s="11212"/>
      <c r="AA31" s="253"/>
      <c r="AB31" s="253"/>
      <c r="AC31" s="253"/>
      <c r="AD31" s="2924"/>
      <c r="AE31" s="511"/>
      <c r="AF31" s="511"/>
      <c r="AG31" s="511"/>
      <c r="AH31" s="511"/>
      <c r="AI31" s="511"/>
      <c r="AJ31" s="511"/>
      <c r="AK31" s="2013"/>
      <c r="AL31" s="253"/>
      <c r="AM31" s="511" t="s">
        <v>4331</v>
      </c>
      <c r="AN31" s="253"/>
      <c r="AO31" s="253"/>
      <c r="AP31" s="253"/>
      <c r="AQ31" s="253"/>
      <c r="AR31" s="253"/>
      <c r="AS31" s="253"/>
      <c r="AT31" s="2927">
        <v>0.2</v>
      </c>
      <c r="AU31" s="2928">
        <v>51000</v>
      </c>
      <c r="AV31" s="2928">
        <v>38250</v>
      </c>
      <c r="AW31" s="2928">
        <v>25500</v>
      </c>
      <c r="AX31" s="253"/>
      <c r="AY31" s="1357"/>
      <c r="BH31"/>
      <c r="BI31"/>
      <c r="BJ31"/>
      <c r="BK31"/>
      <c r="BL31"/>
      <c r="BM31"/>
      <c r="BN31"/>
      <c r="BO31"/>
      <c r="BP31"/>
      <c r="BQ31"/>
      <c r="BR31"/>
      <c r="BS31"/>
      <c r="BT31"/>
      <c r="BU31"/>
      <c r="BV31"/>
      <c r="BW31"/>
      <c r="BX31"/>
      <c r="BY31"/>
      <c r="BZ31"/>
      <c r="CA31"/>
      <c r="CB31"/>
      <c r="CC31"/>
      <c r="CD31"/>
      <c r="CE31"/>
      <c r="CF31"/>
    </row>
    <row r="32" spans="1:84" s="658" customFormat="1" ht="15.75">
      <c r="A32" s="2013"/>
      <c r="B32" s="253"/>
      <c r="C32" s="2917"/>
      <c r="D32" s="8455"/>
      <c r="E32" s="8456"/>
      <c r="F32" s="8456"/>
      <c r="G32" s="8342"/>
      <c r="H32" s="8455"/>
      <c r="I32" s="8456"/>
      <c r="J32" s="8456"/>
      <c r="K32" s="8342"/>
      <c r="L32" s="11213"/>
      <c r="M32" s="11214"/>
      <c r="N32" s="11214"/>
      <c r="O32" s="11215"/>
      <c r="P32" s="11213"/>
      <c r="Q32" s="11214"/>
      <c r="R32" s="11214"/>
      <c r="S32" s="11215"/>
      <c r="T32" s="11213"/>
      <c r="U32" s="11214"/>
      <c r="V32" s="11214"/>
      <c r="W32" s="11214"/>
      <c r="X32" s="11214"/>
      <c r="Y32" s="11214"/>
      <c r="Z32" s="11215"/>
      <c r="AA32" s="253"/>
      <c r="AB32" s="253"/>
      <c r="AC32" s="253"/>
      <c r="AD32" s="2924"/>
      <c r="AE32" s="511"/>
      <c r="AF32" s="511"/>
      <c r="AG32" s="511"/>
      <c r="AH32" s="511"/>
      <c r="AI32" s="511"/>
      <c r="AJ32" s="511"/>
      <c r="AK32" s="2013"/>
      <c r="AL32" s="253"/>
      <c r="AM32" s="511" t="s">
        <v>4332</v>
      </c>
      <c r="AN32" s="253"/>
      <c r="AO32" s="253"/>
      <c r="AP32" s="253"/>
      <c r="AQ32" s="253"/>
      <c r="AR32" s="253"/>
      <c r="AS32" s="253"/>
      <c r="AT32" s="2927">
        <v>0.1</v>
      </c>
      <c r="AU32" s="2942">
        <v>79000</v>
      </c>
      <c r="AV32" s="2942">
        <v>59250</v>
      </c>
      <c r="AW32" s="2942">
        <v>39500</v>
      </c>
      <c r="AX32" s="253"/>
      <c r="AY32" s="1357"/>
      <c r="BH32"/>
      <c r="BI32"/>
      <c r="BJ32"/>
      <c r="BK32"/>
      <c r="BL32"/>
      <c r="BM32"/>
      <c r="BN32"/>
      <c r="BO32"/>
      <c r="BP32"/>
      <c r="BQ32"/>
      <c r="BR32"/>
      <c r="BS32"/>
      <c r="BT32"/>
      <c r="BU32"/>
      <c r="BV32"/>
      <c r="BW32"/>
      <c r="BX32"/>
      <c r="BY32"/>
      <c r="BZ32"/>
      <c r="CA32"/>
      <c r="CB32"/>
      <c r="CC32"/>
      <c r="CD32"/>
      <c r="CE32"/>
      <c r="CF32"/>
    </row>
    <row r="33" spans="1:84" s="658" customFormat="1" ht="15.75">
      <c r="A33" s="2013"/>
      <c r="B33" s="253"/>
      <c r="C33" s="2917"/>
      <c r="D33" s="8457"/>
      <c r="E33" s="8458"/>
      <c r="F33" s="8458"/>
      <c r="G33" s="8345"/>
      <c r="H33" s="8457"/>
      <c r="I33" s="8458"/>
      <c r="J33" s="8458"/>
      <c r="K33" s="8345"/>
      <c r="L33" s="9751" t="s">
        <v>4333</v>
      </c>
      <c r="M33" s="8380"/>
      <c r="N33" s="8380"/>
      <c r="O33" s="8380"/>
      <c r="P33" s="8380"/>
      <c r="Q33" s="8380"/>
      <c r="R33" s="8380"/>
      <c r="S33" s="11201"/>
      <c r="T33" s="11216"/>
      <c r="U33" s="11217"/>
      <c r="V33" s="11217"/>
      <c r="W33" s="11217"/>
      <c r="X33" s="11217"/>
      <c r="Y33" s="11217"/>
      <c r="Z33" s="11218"/>
      <c r="AA33" s="253"/>
      <c r="AB33" s="253"/>
      <c r="AC33" s="253"/>
      <c r="AD33" s="2924"/>
      <c r="AE33" s="511"/>
      <c r="AF33" s="511"/>
      <c r="AG33" s="511"/>
      <c r="AH33" s="511"/>
      <c r="AI33" s="511"/>
      <c r="AJ33" s="511"/>
      <c r="AK33" s="2013"/>
      <c r="AL33" s="253"/>
      <c r="AM33" s="253"/>
      <c r="AN33" s="253"/>
      <c r="AO33" s="253"/>
      <c r="AP33" s="253"/>
      <c r="AQ33" s="253"/>
      <c r="AR33" s="253"/>
      <c r="AS33" s="253"/>
      <c r="AT33" s="253"/>
      <c r="AU33" s="253"/>
      <c r="AV33" s="253"/>
      <c r="AW33" s="253"/>
      <c r="AX33" s="253"/>
      <c r="AY33" s="1357"/>
      <c r="BH33"/>
      <c r="BI33"/>
      <c r="BJ33"/>
      <c r="BK33"/>
      <c r="BL33"/>
      <c r="BM33"/>
      <c r="BN33"/>
      <c r="BO33"/>
      <c r="BP33"/>
      <c r="BQ33"/>
      <c r="BR33"/>
      <c r="BS33"/>
      <c r="BT33"/>
      <c r="BU33"/>
      <c r="BV33"/>
      <c r="BW33"/>
      <c r="BX33"/>
      <c r="BY33"/>
      <c r="BZ33"/>
      <c r="CA33"/>
      <c r="CB33"/>
      <c r="CC33"/>
      <c r="CD33"/>
      <c r="CE33"/>
      <c r="CF33"/>
    </row>
    <row r="34" spans="1:84" s="658" customFormat="1" ht="15.75">
      <c r="A34" s="2013"/>
      <c r="B34" s="253"/>
      <c r="C34" s="2917"/>
      <c r="D34" s="11202" t="s">
        <v>369</v>
      </c>
      <c r="E34" s="11192"/>
      <c r="F34" s="11192"/>
      <c r="G34" s="11203"/>
      <c r="H34" s="11204">
        <f>AW30</f>
        <v>23750</v>
      </c>
      <c r="I34" s="11192"/>
      <c r="J34" s="11192"/>
      <c r="K34" s="11203"/>
      <c r="L34" s="11205">
        <f t="shared" ref="L34:L39" si="0">$AT$30</f>
        <v>0.5</v>
      </c>
      <c r="M34" s="11206"/>
      <c r="N34" s="11206"/>
      <c r="O34" s="11206"/>
      <c r="P34" s="11206">
        <f>$AT$30</f>
        <v>0.5</v>
      </c>
      <c r="Q34" s="11206"/>
      <c r="R34" s="11206"/>
      <c r="S34" s="11206"/>
      <c r="T34" s="11206">
        <f>$AT$30</f>
        <v>0.5</v>
      </c>
      <c r="U34" s="11206"/>
      <c r="V34" s="11206"/>
      <c r="W34" s="11206"/>
      <c r="X34" s="11206"/>
      <c r="Y34" s="11206"/>
      <c r="Z34" s="11207"/>
      <c r="AA34" s="253"/>
      <c r="AB34" s="253"/>
      <c r="AC34" s="253"/>
      <c r="AD34" s="2924"/>
      <c r="AE34" s="511"/>
      <c r="AF34" s="511"/>
      <c r="AG34" s="511"/>
      <c r="AH34" s="511"/>
      <c r="AI34" s="511"/>
      <c r="AJ34" s="511"/>
      <c r="AK34" s="2013"/>
      <c r="AL34" s="253"/>
      <c r="AM34" s="405"/>
      <c r="AN34" s="2929" t="s">
        <v>4334</v>
      </c>
      <c r="AO34" s="406"/>
      <c r="AP34" s="406"/>
      <c r="AQ34" s="406"/>
      <c r="AR34" s="407"/>
      <c r="AS34" s="253"/>
      <c r="AT34" s="253"/>
      <c r="AU34" s="253"/>
      <c r="AV34" s="253"/>
      <c r="AW34" s="253"/>
      <c r="AX34" s="253"/>
      <c r="AY34" s="1357"/>
      <c r="BH34"/>
      <c r="BI34"/>
      <c r="BJ34"/>
      <c r="BK34"/>
      <c r="BL34"/>
      <c r="BM34"/>
      <c r="BN34"/>
      <c r="BO34"/>
      <c r="BP34"/>
      <c r="BQ34"/>
      <c r="BR34"/>
      <c r="BS34"/>
      <c r="BT34"/>
      <c r="BU34"/>
      <c r="BV34"/>
      <c r="BW34"/>
      <c r="BX34"/>
      <c r="BY34"/>
      <c r="BZ34"/>
      <c r="CA34"/>
      <c r="CB34"/>
      <c r="CC34"/>
      <c r="CD34"/>
      <c r="CE34"/>
      <c r="CF34"/>
    </row>
    <row r="35" spans="1:84" s="658" customFormat="1" ht="15.75">
      <c r="A35" s="2013"/>
      <c r="B35" s="253"/>
      <c r="C35" s="2917"/>
      <c r="D35" s="11193">
        <f>H34</f>
        <v>23750</v>
      </c>
      <c r="E35" s="11194"/>
      <c r="F35" s="11194"/>
      <c r="G35" s="11195"/>
      <c r="H35" s="11193">
        <f>AW31</f>
        <v>25500</v>
      </c>
      <c r="I35" s="11194"/>
      <c r="J35" s="11194"/>
      <c r="K35" s="11195"/>
      <c r="L35" s="11196">
        <f t="shared" si="0"/>
        <v>0.5</v>
      </c>
      <c r="M35" s="11197"/>
      <c r="N35" s="11197"/>
      <c r="O35" s="11197"/>
      <c r="P35" s="11197">
        <f>$AT$30</f>
        <v>0.5</v>
      </c>
      <c r="Q35" s="11197"/>
      <c r="R35" s="11197"/>
      <c r="S35" s="11197"/>
      <c r="T35" s="11197">
        <f>$AT$31</f>
        <v>0.2</v>
      </c>
      <c r="U35" s="11197"/>
      <c r="V35" s="11197"/>
      <c r="W35" s="11197"/>
      <c r="X35" s="11197"/>
      <c r="Y35" s="11197"/>
      <c r="Z35" s="11198"/>
      <c r="AA35" s="253"/>
      <c r="AB35" s="253"/>
      <c r="AC35" s="253"/>
      <c r="AD35" s="2924"/>
      <c r="AE35" s="511"/>
      <c r="AF35" s="511"/>
      <c r="AG35" s="511"/>
      <c r="AH35" s="511"/>
      <c r="AI35" s="11200">
        <f>IF(AB26,0,IF(File_Marr_Joint&lt;&gt;"",L29,IF(File_Head&lt;&gt;"",P29,W29)))</f>
        <v>0</v>
      </c>
      <c r="AJ35" s="11200"/>
      <c r="AK35" s="2013"/>
      <c r="AL35" s="253"/>
      <c r="AM35" s="408"/>
      <c r="AN35" s="511" t="s">
        <v>4335</v>
      </c>
      <c r="AO35" s="253"/>
      <c r="AP35" s="253"/>
      <c r="AQ35" s="253"/>
      <c r="AR35" s="409"/>
      <c r="AS35" s="253"/>
      <c r="AT35" s="253"/>
      <c r="AU35" s="253"/>
      <c r="AV35" s="253"/>
      <c r="AW35" s="253"/>
      <c r="AX35" s="253"/>
      <c r="AY35" s="1357"/>
      <c r="BH35"/>
      <c r="BI35"/>
      <c r="BJ35"/>
      <c r="BK35"/>
      <c r="BL35"/>
      <c r="BM35"/>
      <c r="BN35"/>
      <c r="BO35"/>
      <c r="BP35"/>
      <c r="BQ35"/>
      <c r="BR35"/>
      <c r="BS35"/>
      <c r="BT35"/>
      <c r="BU35"/>
      <c r="BV35"/>
      <c r="BW35"/>
      <c r="BX35"/>
      <c r="BY35"/>
      <c r="BZ35"/>
      <c r="CA35"/>
      <c r="CB35"/>
      <c r="CC35"/>
      <c r="CD35"/>
      <c r="CE35"/>
      <c r="CF35"/>
    </row>
    <row r="36" spans="1:84" s="658" customFormat="1" ht="15.75">
      <c r="A36" s="2013"/>
      <c r="B36" s="253"/>
      <c r="C36" s="2917"/>
      <c r="D36" s="11193">
        <f t="shared" ref="D36:D43" si="1">H35</f>
        <v>25500</v>
      </c>
      <c r="E36" s="11194"/>
      <c r="F36" s="11194"/>
      <c r="G36" s="11195"/>
      <c r="H36" s="11193">
        <f>AV30</f>
        <v>35625</v>
      </c>
      <c r="I36" s="11194"/>
      <c r="J36" s="11194"/>
      <c r="K36" s="11195"/>
      <c r="L36" s="11196">
        <f t="shared" si="0"/>
        <v>0.5</v>
      </c>
      <c r="M36" s="11197"/>
      <c r="N36" s="11197"/>
      <c r="O36" s="11197"/>
      <c r="P36" s="11197">
        <f>$AT$30</f>
        <v>0.5</v>
      </c>
      <c r="Q36" s="11197"/>
      <c r="R36" s="11197"/>
      <c r="S36" s="11197"/>
      <c r="T36" s="11197">
        <f>AT32</f>
        <v>0.1</v>
      </c>
      <c r="U36" s="11197"/>
      <c r="V36" s="11197"/>
      <c r="W36" s="11197"/>
      <c r="X36" s="11197"/>
      <c r="Y36" s="11197"/>
      <c r="Z36" s="11198"/>
      <c r="AA36" s="253"/>
      <c r="AB36" s="253"/>
      <c r="AC36" s="253"/>
      <c r="AD36" s="2895">
        <v>9</v>
      </c>
      <c r="AE36" s="2930"/>
      <c r="AF36" s="1996"/>
      <c r="AG36" s="2931"/>
      <c r="AH36" s="2931" t="s">
        <v>4336</v>
      </c>
      <c r="AI36" s="11199" t="str">
        <f>IF(AB26,"",AI35*10)</f>
        <v/>
      </c>
      <c r="AJ36" s="11199"/>
      <c r="AK36" s="2013"/>
      <c r="AL36" s="253"/>
      <c r="AM36" s="408"/>
      <c r="AN36" s="253"/>
      <c r="AO36" s="253"/>
      <c r="AP36" s="253"/>
      <c r="AQ36" s="253"/>
      <c r="AR36" s="409"/>
      <c r="AS36" s="253"/>
      <c r="AT36" s="253"/>
      <c r="AU36" s="253"/>
      <c r="AV36" s="253"/>
      <c r="AW36" s="253"/>
      <c r="AX36" s="253"/>
      <c r="AY36" s="1357"/>
      <c r="BH36"/>
      <c r="BI36"/>
      <c r="BJ36"/>
      <c r="BK36"/>
      <c r="BL36"/>
      <c r="BM36"/>
      <c r="BN36"/>
      <c r="BO36"/>
      <c r="BP36"/>
      <c r="BQ36"/>
      <c r="BR36"/>
      <c r="BS36"/>
      <c r="BT36"/>
      <c r="BU36"/>
      <c r="BV36"/>
      <c r="BW36"/>
      <c r="BX36"/>
      <c r="BY36"/>
      <c r="BZ36"/>
      <c r="CA36"/>
      <c r="CB36"/>
      <c r="CC36"/>
      <c r="CD36"/>
      <c r="CE36"/>
      <c r="CF36"/>
    </row>
    <row r="37" spans="1:84" s="658" customFormat="1" ht="15.75">
      <c r="A37" s="2013"/>
      <c r="B37" s="253"/>
      <c r="C37" s="2917"/>
      <c r="D37" s="11193">
        <f t="shared" si="1"/>
        <v>35625</v>
      </c>
      <c r="E37" s="11194"/>
      <c r="F37" s="11194"/>
      <c r="G37" s="11195"/>
      <c r="H37" s="11193">
        <f>AV31</f>
        <v>38250</v>
      </c>
      <c r="I37" s="11194"/>
      <c r="J37" s="11194"/>
      <c r="K37" s="11195"/>
      <c r="L37" s="11196">
        <f t="shared" si="0"/>
        <v>0.5</v>
      </c>
      <c r="M37" s="11197"/>
      <c r="N37" s="11197"/>
      <c r="O37" s="11197"/>
      <c r="P37" s="11197">
        <f>AT31</f>
        <v>0.2</v>
      </c>
      <c r="Q37" s="11197"/>
      <c r="R37" s="11197"/>
      <c r="S37" s="11197"/>
      <c r="T37" s="11197">
        <f>AT32</f>
        <v>0.1</v>
      </c>
      <c r="U37" s="11197"/>
      <c r="V37" s="11197"/>
      <c r="W37" s="11197"/>
      <c r="X37" s="11197"/>
      <c r="Y37" s="11197"/>
      <c r="Z37" s="11198"/>
      <c r="AA37" s="253"/>
      <c r="AB37" s="253"/>
      <c r="AC37" s="253"/>
      <c r="AD37" s="726"/>
      <c r="AE37" s="511"/>
      <c r="AF37" s="511"/>
      <c r="AG37" s="511"/>
      <c r="AH37" s="511"/>
      <c r="AI37" s="511"/>
      <c r="AJ37" s="511"/>
      <c r="AK37" s="2013"/>
      <c r="AL37" s="253"/>
      <c r="AM37" s="408"/>
      <c r="AN37" s="350" t="s">
        <v>157</v>
      </c>
      <c r="AO37" s="344" t="s">
        <v>3213</v>
      </c>
      <c r="AP37" s="253"/>
      <c r="AQ37" s="253"/>
      <c r="AR37" s="409"/>
      <c r="AS37" s="253"/>
      <c r="AT37" s="253"/>
      <c r="AU37" s="253"/>
      <c r="AV37" s="253"/>
      <c r="AW37" s="253"/>
      <c r="AX37" s="253"/>
      <c r="AY37" s="1357"/>
      <c r="BH37"/>
      <c r="BI37"/>
      <c r="BJ37"/>
      <c r="BK37"/>
      <c r="BL37"/>
      <c r="BM37"/>
      <c r="BN37"/>
      <c r="BO37"/>
      <c r="BP37"/>
      <c r="BQ37"/>
      <c r="BR37"/>
      <c r="BS37"/>
      <c r="BT37"/>
      <c r="BU37"/>
      <c r="BV37"/>
      <c r="BW37"/>
      <c r="BX37"/>
      <c r="BY37"/>
      <c r="BZ37"/>
      <c r="CA37"/>
      <c r="CB37"/>
      <c r="CC37"/>
      <c r="CD37"/>
      <c r="CE37"/>
      <c r="CF37"/>
    </row>
    <row r="38" spans="1:84" s="658" customFormat="1" ht="15.75">
      <c r="A38" s="2013"/>
      <c r="B38" s="253"/>
      <c r="C38" s="2917"/>
      <c r="D38" s="11193">
        <f t="shared" si="1"/>
        <v>38250</v>
      </c>
      <c r="E38" s="11194"/>
      <c r="F38" s="11194"/>
      <c r="G38" s="11195"/>
      <c r="H38" s="11193">
        <f>AW32</f>
        <v>39500</v>
      </c>
      <c r="I38" s="11194"/>
      <c r="J38" s="11194"/>
      <c r="K38" s="11195"/>
      <c r="L38" s="11196">
        <f t="shared" si="0"/>
        <v>0.5</v>
      </c>
      <c r="M38" s="11197"/>
      <c r="N38" s="11197"/>
      <c r="O38" s="11197"/>
      <c r="P38" s="11197">
        <f>AT31</f>
        <v>0.2</v>
      </c>
      <c r="Q38" s="11197"/>
      <c r="R38" s="11197"/>
      <c r="S38" s="11197"/>
      <c r="T38" s="11197">
        <f>AT32</f>
        <v>0.1</v>
      </c>
      <c r="U38" s="11197"/>
      <c r="V38" s="11197"/>
      <c r="W38" s="11197"/>
      <c r="X38" s="11197"/>
      <c r="Y38" s="11197"/>
      <c r="Z38" s="11198"/>
      <c r="AA38" s="253"/>
      <c r="AB38" s="253"/>
      <c r="AC38" s="253"/>
      <c r="AD38" s="726"/>
      <c r="AE38" s="511"/>
      <c r="AF38" s="511"/>
      <c r="AG38" s="511"/>
      <c r="AH38" s="511"/>
      <c r="AI38" s="511"/>
      <c r="AJ38" s="511"/>
      <c r="AK38" s="2013"/>
      <c r="AL38" s="253"/>
      <c r="AM38" s="408"/>
      <c r="AN38" s="253"/>
      <c r="AO38" s="344" t="s">
        <v>3214</v>
      </c>
      <c r="AP38" s="350" t="s">
        <v>157</v>
      </c>
      <c r="AQ38" s="1644" t="str">
        <f>IF(AA44,"",Tax)</f>
        <v/>
      </c>
      <c r="AR38" s="409"/>
      <c r="AS38" s="253"/>
      <c r="AT38" s="253"/>
      <c r="AU38" s="253"/>
      <c r="AV38" s="253"/>
      <c r="AW38" s="253"/>
      <c r="AX38" s="253"/>
      <c r="AY38" s="1357"/>
      <c r="BH38"/>
      <c r="BI38"/>
      <c r="BJ38"/>
      <c r="BK38"/>
      <c r="BL38"/>
      <c r="BM38"/>
      <c r="BN38"/>
      <c r="BO38"/>
      <c r="BP38"/>
      <c r="BQ38"/>
      <c r="BR38"/>
      <c r="BS38"/>
      <c r="BT38"/>
      <c r="BU38"/>
      <c r="BV38"/>
      <c r="BW38"/>
      <c r="BX38"/>
      <c r="BY38"/>
      <c r="BZ38"/>
      <c r="CA38"/>
      <c r="CB38"/>
      <c r="CC38"/>
      <c r="CD38"/>
      <c r="CE38"/>
      <c r="CF38"/>
    </row>
    <row r="39" spans="1:84" s="658" customFormat="1" ht="15.75">
      <c r="A39" s="2013"/>
      <c r="B39" s="253"/>
      <c r="C39" s="2917"/>
      <c r="D39" s="11193">
        <f t="shared" si="1"/>
        <v>39500</v>
      </c>
      <c r="E39" s="11194"/>
      <c r="F39" s="11194"/>
      <c r="G39" s="11195"/>
      <c r="H39" s="11193">
        <f>AU30</f>
        <v>47500</v>
      </c>
      <c r="I39" s="11194"/>
      <c r="J39" s="11194"/>
      <c r="K39" s="11195"/>
      <c r="L39" s="11196">
        <f t="shared" si="0"/>
        <v>0.5</v>
      </c>
      <c r="M39" s="11197"/>
      <c r="N39" s="11197"/>
      <c r="O39" s="11197"/>
      <c r="P39" s="11197">
        <f>AT32</f>
        <v>0.1</v>
      </c>
      <c r="Q39" s="11197"/>
      <c r="R39" s="11197"/>
      <c r="S39" s="11197"/>
      <c r="T39" s="11197">
        <v>0</v>
      </c>
      <c r="U39" s="11197"/>
      <c r="V39" s="11197"/>
      <c r="W39" s="11197"/>
      <c r="X39" s="11197"/>
      <c r="Y39" s="11197"/>
      <c r="Z39" s="11198"/>
      <c r="AA39" s="253"/>
      <c r="AB39" s="253"/>
      <c r="AC39" s="253"/>
      <c r="AD39" s="726"/>
      <c r="AE39" s="511"/>
      <c r="AF39" s="511"/>
      <c r="AG39" s="511"/>
      <c r="AH39" s="511"/>
      <c r="AI39" s="511"/>
      <c r="AJ39" s="511"/>
      <c r="AK39" s="2013"/>
      <c r="AL39" s="253"/>
      <c r="AM39" s="408"/>
      <c r="AN39" s="350"/>
      <c r="AO39" s="344"/>
      <c r="AP39" s="253"/>
      <c r="AQ39" s="253"/>
      <c r="AR39" s="409"/>
      <c r="AS39" s="253"/>
      <c r="AT39" s="253"/>
      <c r="AU39" s="253"/>
      <c r="AV39" s="253"/>
      <c r="AW39" s="253"/>
      <c r="AX39" s="253"/>
      <c r="AY39" s="1357"/>
      <c r="BH39"/>
      <c r="BI39"/>
      <c r="BJ39"/>
      <c r="BK39"/>
      <c r="BL39"/>
      <c r="BM39"/>
      <c r="BN39"/>
      <c r="BO39"/>
      <c r="BP39"/>
      <c r="BQ39"/>
      <c r="BR39"/>
      <c r="BS39"/>
      <c r="BT39"/>
      <c r="BU39"/>
      <c r="BV39"/>
      <c r="BW39"/>
      <c r="BX39"/>
      <c r="BY39"/>
      <c r="BZ39"/>
      <c r="CA39"/>
      <c r="CB39"/>
      <c r="CC39"/>
      <c r="CD39"/>
      <c r="CE39"/>
      <c r="CF39"/>
    </row>
    <row r="40" spans="1:84" s="658" customFormat="1" ht="15.75">
      <c r="A40" s="2013"/>
      <c r="B40" s="253"/>
      <c r="C40" s="2917"/>
      <c r="D40" s="11193">
        <f t="shared" si="1"/>
        <v>47500</v>
      </c>
      <c r="E40" s="11194"/>
      <c r="F40" s="11194"/>
      <c r="G40" s="11195"/>
      <c r="H40" s="11193">
        <f>AU31</f>
        <v>51000</v>
      </c>
      <c r="I40" s="11194"/>
      <c r="J40" s="11194"/>
      <c r="K40" s="11195"/>
      <c r="L40" s="11196">
        <f>AT31</f>
        <v>0.2</v>
      </c>
      <c r="M40" s="11197"/>
      <c r="N40" s="11197"/>
      <c r="O40" s="11197"/>
      <c r="P40" s="11197">
        <f>AT32</f>
        <v>0.1</v>
      </c>
      <c r="Q40" s="11197"/>
      <c r="R40" s="11197"/>
      <c r="S40" s="11197"/>
      <c r="T40" s="11197">
        <v>0</v>
      </c>
      <c r="U40" s="11197"/>
      <c r="V40" s="11197"/>
      <c r="W40" s="11197"/>
      <c r="X40" s="11197"/>
      <c r="Y40" s="11197"/>
      <c r="Z40" s="11198"/>
      <c r="AA40" s="253"/>
      <c r="AB40" s="253"/>
      <c r="AC40" s="253"/>
      <c r="AD40" s="726"/>
      <c r="AE40" s="511"/>
      <c r="AF40" s="511"/>
      <c r="AG40" s="511"/>
      <c r="AH40" s="511"/>
      <c r="AI40" s="511"/>
      <c r="AJ40" s="511"/>
      <c r="AK40" s="2013"/>
      <c r="AL40" s="253"/>
      <c r="AM40" s="408"/>
      <c r="AN40" s="350" t="s">
        <v>161</v>
      </c>
      <c r="AO40" s="344" t="s">
        <v>4337</v>
      </c>
      <c r="AP40" s="253"/>
      <c r="AQ40" s="253"/>
      <c r="AR40" s="409"/>
      <c r="AS40" s="253"/>
      <c r="AT40" s="253"/>
      <c r="AU40" s="253"/>
      <c r="AV40" s="253"/>
      <c r="AW40" s="253"/>
      <c r="AX40" s="253"/>
      <c r="AY40" s="1357"/>
      <c r="BH40"/>
      <c r="BI40"/>
      <c r="BJ40"/>
      <c r="BK40"/>
      <c r="BL40"/>
      <c r="BM40"/>
      <c r="BN40"/>
      <c r="BO40"/>
      <c r="BP40"/>
      <c r="BQ40"/>
      <c r="BR40"/>
      <c r="BS40"/>
      <c r="BT40"/>
      <c r="BU40"/>
      <c r="BV40"/>
      <c r="BW40"/>
      <c r="BX40"/>
      <c r="BY40"/>
      <c r="BZ40"/>
      <c r="CA40"/>
      <c r="CB40"/>
      <c r="CC40"/>
      <c r="CD40"/>
      <c r="CE40"/>
      <c r="CF40"/>
    </row>
    <row r="41" spans="1:84" s="658" customFormat="1" ht="15.75">
      <c r="A41" s="2013"/>
      <c r="B41" s="253"/>
      <c r="C41" s="2917"/>
      <c r="D41" s="11193">
        <f t="shared" si="1"/>
        <v>51000</v>
      </c>
      <c r="E41" s="11194"/>
      <c r="F41" s="11194"/>
      <c r="G41" s="11195"/>
      <c r="H41" s="11193">
        <f>AV32</f>
        <v>59250</v>
      </c>
      <c r="I41" s="11194"/>
      <c r="J41" s="11194"/>
      <c r="K41" s="11195"/>
      <c r="L41" s="11196">
        <f>AT32</f>
        <v>0.1</v>
      </c>
      <c r="M41" s="11197"/>
      <c r="N41" s="11197"/>
      <c r="O41" s="11197"/>
      <c r="P41" s="11197">
        <f>AT32</f>
        <v>0.1</v>
      </c>
      <c r="Q41" s="11197"/>
      <c r="R41" s="11197"/>
      <c r="S41" s="11197"/>
      <c r="T41" s="11197">
        <v>0</v>
      </c>
      <c r="U41" s="11197"/>
      <c r="V41" s="11197"/>
      <c r="W41" s="11197"/>
      <c r="X41" s="11197"/>
      <c r="Y41" s="11197"/>
      <c r="Z41" s="11198"/>
      <c r="AA41" s="253"/>
      <c r="AB41" s="253"/>
      <c r="AC41" s="253"/>
      <c r="AD41" s="726"/>
      <c r="AE41" s="511"/>
      <c r="AF41" s="511"/>
      <c r="AG41" s="511"/>
      <c r="AH41" s="511"/>
      <c r="AI41" s="511"/>
      <c r="AJ41" s="511"/>
      <c r="AK41" s="2013"/>
      <c r="AL41" s="253"/>
      <c r="AM41" s="408"/>
      <c r="AN41" s="253"/>
      <c r="AO41" s="344" t="s">
        <v>4338</v>
      </c>
      <c r="AP41" s="350" t="s">
        <v>161</v>
      </c>
      <c r="AQ41" s="1644" t="str">
        <f>IF(OR(AB26,AA44),"",SUM(Foreign_Tax_Credit,Care_Expenses,Education,Elderly_Credit,ROUND(F8978_Credit,0)))</f>
        <v/>
      </c>
      <c r="AR41" s="409"/>
      <c r="AS41" s="253"/>
      <c r="AT41" s="253"/>
      <c r="AU41" s="253"/>
      <c r="AV41" s="253"/>
      <c r="AW41" s="253"/>
      <c r="AX41" s="253"/>
      <c r="AY41" s="1357"/>
      <c r="BH41"/>
      <c r="BI41"/>
      <c r="BJ41"/>
      <c r="BK41"/>
      <c r="BL41"/>
      <c r="BM41"/>
      <c r="BN41"/>
      <c r="BO41"/>
      <c r="BP41"/>
      <c r="BQ41"/>
      <c r="BR41"/>
      <c r="BS41"/>
      <c r="BT41"/>
      <c r="BU41"/>
      <c r="BV41"/>
      <c r="BW41"/>
      <c r="BX41"/>
      <c r="BY41"/>
      <c r="BZ41"/>
      <c r="CA41"/>
      <c r="CB41"/>
      <c r="CC41"/>
      <c r="CD41"/>
      <c r="CE41"/>
      <c r="CF41"/>
    </row>
    <row r="42" spans="1:84" s="658" customFormat="1" ht="15.75">
      <c r="A42" s="2013"/>
      <c r="B42" s="253"/>
      <c r="C42" s="2917"/>
      <c r="D42" s="11193">
        <f t="shared" si="1"/>
        <v>59250</v>
      </c>
      <c r="E42" s="11194"/>
      <c r="F42" s="11194"/>
      <c r="G42" s="11195"/>
      <c r="H42" s="11193">
        <f>AU32</f>
        <v>79000</v>
      </c>
      <c r="I42" s="11194"/>
      <c r="J42" s="11194"/>
      <c r="K42" s="11195"/>
      <c r="L42" s="11196">
        <f>AT32</f>
        <v>0.1</v>
      </c>
      <c r="M42" s="11197"/>
      <c r="N42" s="11197"/>
      <c r="O42" s="11197"/>
      <c r="P42" s="11197">
        <v>0</v>
      </c>
      <c r="Q42" s="11197"/>
      <c r="R42" s="11197"/>
      <c r="S42" s="11197"/>
      <c r="T42" s="11197">
        <v>0</v>
      </c>
      <c r="U42" s="11197"/>
      <c r="V42" s="11197"/>
      <c r="W42" s="11197"/>
      <c r="X42" s="11197"/>
      <c r="Y42" s="11197"/>
      <c r="Z42" s="11198"/>
      <c r="AA42" s="253"/>
      <c r="AB42" s="253"/>
      <c r="AC42" s="253"/>
      <c r="AD42" s="726"/>
      <c r="AE42" s="511"/>
      <c r="AF42" s="511"/>
      <c r="AG42" s="511"/>
      <c r="AH42" s="511"/>
      <c r="AI42" s="511"/>
      <c r="AJ42" s="511"/>
      <c r="AK42" s="2013"/>
      <c r="AL42" s="253"/>
      <c r="AM42" s="408"/>
      <c r="AN42" s="253"/>
      <c r="AO42" s="253"/>
      <c r="AP42" s="253"/>
      <c r="AQ42" s="253"/>
      <c r="AR42" s="409"/>
      <c r="AS42" s="253"/>
      <c r="AT42" s="253"/>
      <c r="AU42" s="253"/>
      <c r="AV42" s="253"/>
      <c r="AW42" s="253"/>
      <c r="AX42" s="253"/>
      <c r="AY42" s="1357"/>
      <c r="BH42"/>
      <c r="BI42"/>
      <c r="BJ42"/>
      <c r="BK42"/>
      <c r="BL42"/>
      <c r="BM42"/>
      <c r="BN42"/>
      <c r="BO42"/>
      <c r="BP42"/>
      <c r="BQ42"/>
      <c r="BR42"/>
      <c r="BS42"/>
      <c r="BT42"/>
      <c r="BU42"/>
      <c r="BV42"/>
      <c r="BW42"/>
      <c r="BX42"/>
      <c r="BY42"/>
      <c r="BZ42"/>
      <c r="CA42"/>
      <c r="CB42"/>
      <c r="CC42"/>
      <c r="CD42"/>
      <c r="CE42"/>
      <c r="CF42"/>
    </row>
    <row r="43" spans="1:84" s="658" customFormat="1" ht="15.75">
      <c r="A43" s="2013"/>
      <c r="B43" s="253"/>
      <c r="C43" s="2917"/>
      <c r="D43" s="11185">
        <f t="shared" si="1"/>
        <v>79000</v>
      </c>
      <c r="E43" s="11186"/>
      <c r="F43" s="11186"/>
      <c r="G43" s="11187"/>
      <c r="H43" s="11188" t="s">
        <v>369</v>
      </c>
      <c r="I43" s="11186"/>
      <c r="J43" s="11186"/>
      <c r="K43" s="11187"/>
      <c r="L43" s="11189">
        <v>0</v>
      </c>
      <c r="M43" s="11190"/>
      <c r="N43" s="11190"/>
      <c r="O43" s="11190"/>
      <c r="P43" s="11190">
        <v>0</v>
      </c>
      <c r="Q43" s="11190"/>
      <c r="R43" s="11190"/>
      <c r="S43" s="11190"/>
      <c r="T43" s="11190">
        <v>0</v>
      </c>
      <c r="U43" s="11190"/>
      <c r="V43" s="11190"/>
      <c r="W43" s="11190"/>
      <c r="X43" s="11190"/>
      <c r="Y43" s="11190"/>
      <c r="Z43" s="11191"/>
      <c r="AA43" s="253"/>
      <c r="AB43" s="253"/>
      <c r="AC43" s="253"/>
      <c r="AD43" s="726"/>
      <c r="AE43" s="511"/>
      <c r="AF43" s="511"/>
      <c r="AG43" s="511"/>
      <c r="AH43" s="511"/>
      <c r="AI43" s="511"/>
      <c r="AJ43" s="511"/>
      <c r="AK43" s="2013"/>
      <c r="AL43" s="253"/>
      <c r="AM43" s="408"/>
      <c r="AN43" s="350" t="s">
        <v>167</v>
      </c>
      <c r="AO43" s="344" t="s">
        <v>4339</v>
      </c>
      <c r="AP43" s="253"/>
      <c r="AQ43" s="253"/>
      <c r="AR43" s="409"/>
      <c r="AS43" s="253"/>
      <c r="AT43" s="253"/>
      <c r="AU43" s="253"/>
      <c r="AV43" s="253"/>
      <c r="AW43" s="253"/>
      <c r="AX43" s="253"/>
      <c r="AY43" s="1357"/>
      <c r="BH43"/>
      <c r="BI43"/>
      <c r="BJ43"/>
      <c r="BK43"/>
      <c r="BL43"/>
      <c r="BM43"/>
      <c r="BN43"/>
      <c r="BO43"/>
      <c r="BP43"/>
      <c r="BQ43"/>
      <c r="BR43"/>
      <c r="BS43"/>
      <c r="BT43"/>
      <c r="BU43"/>
      <c r="BV43"/>
      <c r="BW43"/>
      <c r="BX43"/>
      <c r="BY43"/>
      <c r="BZ43"/>
      <c r="CA43"/>
      <c r="CB43"/>
      <c r="CC43"/>
      <c r="CD43"/>
      <c r="CE43"/>
      <c r="CF43"/>
    </row>
    <row r="44" spans="1:84" s="658" customFormat="1" ht="15.75">
      <c r="A44" s="2013"/>
      <c r="B44" s="253"/>
      <c r="C44" s="1323"/>
      <c r="D44" s="11192" t="s">
        <v>4340</v>
      </c>
      <c r="E44" s="11192"/>
      <c r="F44" s="11192"/>
      <c r="G44" s="11192"/>
      <c r="H44" s="11192"/>
      <c r="I44" s="11192"/>
      <c r="J44" s="11192"/>
      <c r="K44" s="11192"/>
      <c r="L44" s="11192"/>
      <c r="M44" s="11192"/>
      <c r="N44" s="11192"/>
      <c r="O44" s="11192"/>
      <c r="P44" s="11192"/>
      <c r="Q44" s="11192"/>
      <c r="R44" s="11192"/>
      <c r="S44" s="11192"/>
      <c r="T44" s="11192"/>
      <c r="U44" s="11192"/>
      <c r="V44" s="11192"/>
      <c r="W44" s="11192"/>
      <c r="X44" s="11192"/>
      <c r="Y44" s="11192"/>
      <c r="Z44" s="11192"/>
      <c r="AA44" s="8824" t="b">
        <f>AI35=0</f>
        <v>1</v>
      </c>
      <c r="AB44" s="8824"/>
      <c r="AC44" s="10850"/>
      <c r="AD44" s="726"/>
      <c r="AE44" s="511"/>
      <c r="AF44" s="511"/>
      <c r="AG44" s="511"/>
      <c r="AH44" s="511"/>
      <c r="AI44" s="511"/>
      <c r="AJ44" s="511"/>
      <c r="AK44" s="2013"/>
      <c r="AL44" s="253"/>
      <c r="AM44" s="408"/>
      <c r="AN44" s="253"/>
      <c r="AO44" s="344" t="s">
        <v>4341</v>
      </c>
      <c r="AP44" s="253"/>
      <c r="AQ44" s="512" t="b">
        <f>OR(AA44,AND(AQ41="",AQ38&lt;=0),AND(AQ41&lt;&gt;"",AQ38&lt;=AQ41))</f>
        <v>1</v>
      </c>
      <c r="AR44" s="409"/>
      <c r="AS44" s="253"/>
      <c r="AT44" s="253"/>
      <c r="AU44" s="253"/>
      <c r="AV44" s="253"/>
      <c r="AW44" s="253"/>
      <c r="AX44" s="253"/>
      <c r="AY44" s="1357"/>
      <c r="BH44"/>
      <c r="BI44"/>
      <c r="BJ44"/>
      <c r="BK44"/>
      <c r="BL44"/>
      <c r="BM44"/>
      <c r="BN44"/>
      <c r="BO44"/>
      <c r="BP44"/>
      <c r="BQ44"/>
      <c r="BR44"/>
      <c r="BS44"/>
      <c r="BT44"/>
      <c r="BU44"/>
      <c r="BV44"/>
      <c r="BW44"/>
      <c r="BX44"/>
      <c r="BY44"/>
      <c r="BZ44"/>
      <c r="CA44"/>
      <c r="CB44"/>
      <c r="CC44"/>
      <c r="CD44"/>
      <c r="CE44"/>
      <c r="CF44"/>
    </row>
    <row r="45" spans="1:84" s="658" customFormat="1" ht="15" customHeight="1">
      <c r="A45" s="2013"/>
      <c r="B45" s="253"/>
      <c r="C45" s="2917">
        <v>10</v>
      </c>
      <c r="D45" s="1323" t="s">
        <v>4342</v>
      </c>
      <c r="E45" s="253"/>
      <c r="F45" s="253"/>
      <c r="G45" s="253"/>
      <c r="H45" s="253"/>
      <c r="I45" s="253"/>
      <c r="J45" s="253"/>
      <c r="K45" s="253"/>
      <c r="L45" s="253"/>
      <c r="M45" s="253"/>
      <c r="N45" s="253"/>
      <c r="O45" s="253"/>
      <c r="P45" s="253"/>
      <c r="Q45" s="253"/>
      <c r="R45" s="253"/>
      <c r="S45" s="253"/>
      <c r="T45" s="253"/>
      <c r="U45" s="253"/>
      <c r="V45" s="253"/>
      <c r="W45" s="253"/>
      <c r="X45" s="253"/>
      <c r="Y45" s="253"/>
      <c r="Z45" s="253"/>
      <c r="AA45" s="253"/>
      <c r="AB45" s="253"/>
      <c r="AC45" s="1657"/>
      <c r="AD45" s="2895">
        <v>10</v>
      </c>
      <c r="AE45" s="11182" t="str">
        <f>IF(OR(AB26,AA44),"",ROUND(AE26*AI35,0))</f>
        <v/>
      </c>
      <c r="AF45" s="11183"/>
      <c r="AG45" s="11183"/>
      <c r="AH45" s="11183"/>
      <c r="AI45" s="11183"/>
      <c r="AJ45" s="11184"/>
      <c r="AK45" s="2013"/>
      <c r="AL45" s="253"/>
      <c r="AM45" s="408"/>
      <c r="AN45" s="253"/>
      <c r="AO45" s="344" t="s">
        <v>4343</v>
      </c>
      <c r="AP45" s="350" t="s">
        <v>167</v>
      </c>
      <c r="AQ45" s="1644" t="str">
        <f>IF(AA44,"",IF(AQ41="",MAX(0,AQ38),SUM(AQ38,-AQ41)))</f>
        <v/>
      </c>
      <c r="AR45" s="409"/>
      <c r="AS45" s="253"/>
      <c r="AT45" s="253"/>
      <c r="AU45" s="253"/>
      <c r="AV45" s="253"/>
      <c r="AW45" s="253"/>
      <c r="AX45" s="253"/>
      <c r="AY45" s="1357"/>
      <c r="BH45"/>
      <c r="BI45"/>
      <c r="BJ45"/>
      <c r="BK45"/>
      <c r="BL45"/>
      <c r="BM45"/>
      <c r="BN45"/>
      <c r="BO45"/>
      <c r="BP45"/>
      <c r="BQ45"/>
      <c r="BR45"/>
      <c r="BS45"/>
      <c r="BT45"/>
      <c r="BU45"/>
      <c r="BV45"/>
      <c r="BW45"/>
      <c r="BX45"/>
      <c r="BY45"/>
      <c r="BZ45"/>
      <c r="CA45"/>
      <c r="CB45"/>
      <c r="CC45"/>
      <c r="CD45"/>
      <c r="CE45"/>
      <c r="CF45"/>
    </row>
    <row r="46" spans="1:84" s="658" customFormat="1" ht="15.75">
      <c r="A46" s="2013"/>
      <c r="B46" s="253"/>
      <c r="C46" s="2917">
        <v>11</v>
      </c>
      <c r="D46" s="1323" t="s">
        <v>4344</v>
      </c>
      <c r="E46" s="253"/>
      <c r="F46" s="253"/>
      <c r="G46" s="253"/>
      <c r="H46" s="253"/>
      <c r="I46" s="253"/>
      <c r="J46" s="253"/>
      <c r="K46" s="253"/>
      <c r="L46" s="253"/>
      <c r="M46" s="253"/>
      <c r="N46" s="253"/>
      <c r="O46" s="253"/>
      <c r="P46" s="253"/>
      <c r="Q46" s="253"/>
      <c r="R46" s="253"/>
      <c r="S46" s="253"/>
      <c r="T46" s="253"/>
      <c r="U46" s="253"/>
      <c r="V46" s="253"/>
      <c r="W46" s="253"/>
      <c r="X46" s="253"/>
      <c r="Y46" s="253"/>
      <c r="Z46" s="253"/>
      <c r="AA46" s="253"/>
      <c r="AB46" s="253"/>
      <c r="AC46" s="409"/>
      <c r="AD46" s="2895">
        <v>11</v>
      </c>
      <c r="AE46" s="11182" t="str">
        <f>IF(OR(AA44,AQ44),"",AQ45)</f>
        <v/>
      </c>
      <c r="AF46" s="11183"/>
      <c r="AG46" s="11183"/>
      <c r="AH46" s="11183"/>
      <c r="AI46" s="11183"/>
      <c r="AJ46" s="11184"/>
      <c r="AK46" s="2013"/>
      <c r="AL46" s="253"/>
      <c r="AM46" s="412"/>
      <c r="AN46" s="413"/>
      <c r="AO46" s="413"/>
      <c r="AP46" s="413"/>
      <c r="AQ46" s="413"/>
      <c r="AR46" s="414"/>
      <c r="AS46" s="253"/>
      <c r="AT46" s="253"/>
      <c r="AU46" s="253"/>
      <c r="AV46" s="253"/>
      <c r="AW46" s="253"/>
      <c r="AX46" s="253"/>
      <c r="AY46" s="1357"/>
      <c r="BH46"/>
      <c r="BI46"/>
      <c r="BJ46"/>
      <c r="BK46"/>
      <c r="BL46"/>
      <c r="BM46"/>
      <c r="BN46"/>
      <c r="BO46"/>
      <c r="BP46"/>
      <c r="BQ46"/>
      <c r="BR46"/>
      <c r="BS46"/>
      <c r="BT46"/>
      <c r="BU46"/>
      <c r="BV46"/>
      <c r="BW46"/>
      <c r="BX46"/>
      <c r="BY46"/>
      <c r="BZ46"/>
      <c r="CA46"/>
      <c r="CB46"/>
      <c r="CC46"/>
      <c r="CD46"/>
      <c r="CE46"/>
      <c r="CF46"/>
    </row>
    <row r="47" spans="1:84" s="658" customFormat="1" ht="15.75">
      <c r="A47" s="2013"/>
      <c r="B47" s="253"/>
      <c r="C47" s="2917">
        <v>12</v>
      </c>
      <c r="D47" s="1323" t="s">
        <v>4345</v>
      </c>
      <c r="E47" s="253"/>
      <c r="F47" s="253"/>
      <c r="G47" s="253"/>
      <c r="H47" s="253"/>
      <c r="I47" s="253"/>
      <c r="J47" s="253"/>
      <c r="K47" s="253"/>
      <c r="L47" s="253"/>
      <c r="M47" s="253"/>
      <c r="N47" s="253"/>
      <c r="O47" s="253"/>
      <c r="P47" s="253"/>
      <c r="Q47" s="253"/>
      <c r="R47" s="253"/>
      <c r="S47" s="253"/>
      <c r="T47" s="253"/>
      <c r="U47" s="253"/>
      <c r="V47" s="253"/>
      <c r="W47" s="253"/>
      <c r="X47" s="253"/>
      <c r="Y47" s="253"/>
      <c r="Z47" s="253"/>
      <c r="AA47" s="253"/>
      <c r="AB47" s="253"/>
      <c r="AC47" s="409"/>
      <c r="AD47" s="726"/>
      <c r="AE47" s="253"/>
      <c r="AF47" s="253"/>
      <c r="AG47" s="253"/>
      <c r="AH47" s="253"/>
      <c r="AI47" s="253"/>
      <c r="AJ47" s="253"/>
      <c r="AK47" s="2013"/>
      <c r="AL47" s="7879"/>
      <c r="AM47" s="7879"/>
      <c r="AN47" s="7879"/>
      <c r="AO47" s="253"/>
      <c r="AP47" s="253"/>
      <c r="AQ47" s="253"/>
      <c r="AR47" s="253"/>
      <c r="AS47" s="253"/>
      <c r="AT47" s="253"/>
      <c r="AU47" s="253"/>
      <c r="AV47" s="253"/>
      <c r="AW47" s="253"/>
      <c r="AX47" s="253"/>
      <c r="AY47" s="1357"/>
      <c r="BH47"/>
      <c r="BI47"/>
      <c r="BJ47"/>
      <c r="BK47"/>
      <c r="BL47"/>
      <c r="BM47"/>
      <c r="BN47"/>
      <c r="BO47"/>
      <c r="BP47"/>
      <c r="BQ47"/>
      <c r="BR47"/>
      <c r="BS47"/>
      <c r="BT47"/>
      <c r="BU47"/>
      <c r="BV47"/>
      <c r="BW47"/>
      <c r="BX47"/>
      <c r="BY47"/>
      <c r="BZ47"/>
      <c r="CA47"/>
      <c r="CB47"/>
      <c r="CC47"/>
      <c r="CD47"/>
      <c r="CE47"/>
      <c r="CF47"/>
    </row>
    <row r="48" spans="1:84" s="658" customFormat="1" ht="15">
      <c r="A48" s="2013"/>
      <c r="B48" s="253"/>
      <c r="C48" s="2022"/>
      <c r="D48" s="511" t="s">
        <v>4346</v>
      </c>
      <c r="E48" s="253"/>
      <c r="F48" s="253"/>
      <c r="G48" s="253"/>
      <c r="H48" s="253"/>
      <c r="I48" s="253"/>
      <c r="J48" s="253"/>
      <c r="K48" s="253"/>
      <c r="L48" s="253"/>
      <c r="M48" s="253"/>
      <c r="N48" s="253"/>
      <c r="O48" s="253"/>
      <c r="P48" s="253"/>
      <c r="Q48" s="253"/>
      <c r="R48" s="253"/>
      <c r="S48" s="253"/>
      <c r="T48" s="253"/>
      <c r="U48" s="253"/>
      <c r="V48" s="253"/>
      <c r="W48" s="253"/>
      <c r="X48" s="253"/>
      <c r="Y48" s="253"/>
      <c r="Z48" s="253"/>
      <c r="AA48" s="253"/>
      <c r="AB48" s="253"/>
      <c r="AC48" s="409"/>
      <c r="AD48" s="2895">
        <v>12</v>
      </c>
      <c r="AE48" s="11182" t="str">
        <f>IF(AL48&lt;&gt;"",ROUND(AL48,0),IF(OR(AA44,AQ44),"",MIN(AE45,AE46)))</f>
        <v/>
      </c>
      <c r="AF48" s="11183"/>
      <c r="AG48" s="11183"/>
      <c r="AH48" s="11183"/>
      <c r="AI48" s="11183"/>
      <c r="AJ48" s="11184"/>
      <c r="AK48" s="2013"/>
      <c r="AL48" s="10833"/>
      <c r="AM48" s="10833"/>
      <c r="AN48" s="10833"/>
      <c r="AO48" s="253"/>
      <c r="AP48" s="253"/>
      <c r="AQ48" s="253"/>
      <c r="AR48" s="253"/>
      <c r="AS48" s="253"/>
      <c r="AT48" s="253"/>
      <c r="AU48" s="253"/>
      <c r="AV48" s="253"/>
      <c r="AW48" s="253"/>
      <c r="AX48" s="253"/>
      <c r="AY48" s="1357"/>
      <c r="BH48"/>
      <c r="BI48"/>
      <c r="BJ48"/>
      <c r="BK48"/>
      <c r="BL48"/>
      <c r="BM48"/>
      <c r="BN48"/>
      <c r="BO48"/>
      <c r="BP48"/>
      <c r="BQ48"/>
      <c r="BR48"/>
      <c r="BS48"/>
      <c r="BT48"/>
      <c r="BU48"/>
      <c r="BV48"/>
      <c r="BW48"/>
      <c r="BX48"/>
      <c r="BY48"/>
      <c r="BZ48"/>
      <c r="CA48"/>
      <c r="CB48"/>
      <c r="CC48"/>
      <c r="CD48"/>
      <c r="CE48"/>
      <c r="CF48"/>
    </row>
    <row r="49" spans="1:84" s="658" customFormat="1" ht="15">
      <c r="A49" s="2013"/>
      <c r="B49" s="253"/>
      <c r="C49" s="2022"/>
      <c r="D49" s="511"/>
      <c r="E49" s="253"/>
      <c r="F49" s="253"/>
      <c r="G49" s="253"/>
      <c r="H49" s="253"/>
      <c r="I49" s="253"/>
      <c r="J49" s="253"/>
      <c r="K49" s="253"/>
      <c r="L49" s="253"/>
      <c r="M49" s="253"/>
      <c r="N49" s="253"/>
      <c r="O49" s="253"/>
      <c r="P49" s="253"/>
      <c r="Q49" s="253"/>
      <c r="R49" s="253"/>
      <c r="S49" s="253"/>
      <c r="T49" s="253"/>
      <c r="U49" s="253"/>
      <c r="V49" s="253"/>
      <c r="W49" s="253"/>
      <c r="X49" s="253"/>
      <c r="Y49" s="253"/>
      <c r="Z49" s="253"/>
      <c r="AA49" s="253"/>
      <c r="AB49" s="253"/>
      <c r="AC49" s="253"/>
      <c r="AD49" s="253"/>
      <c r="AE49" s="253"/>
      <c r="AF49" s="253"/>
      <c r="AG49" s="253"/>
      <c r="AH49" s="253"/>
      <c r="AI49" s="253"/>
      <c r="AJ49" s="253"/>
      <c r="AK49" s="2013"/>
      <c r="AL49" s="253"/>
      <c r="AM49" s="253"/>
      <c r="AN49" s="253"/>
      <c r="AO49" s="253"/>
      <c r="AP49" s="253"/>
      <c r="AQ49" s="253"/>
      <c r="AR49" s="253"/>
      <c r="AS49" s="253"/>
      <c r="AT49" s="253"/>
      <c r="AU49" s="253"/>
      <c r="AV49" s="253"/>
      <c r="AW49" s="253"/>
      <c r="AX49" s="253"/>
      <c r="AY49" s="1357"/>
      <c r="BH49"/>
      <c r="BI49"/>
      <c r="BJ49"/>
      <c r="BK49"/>
      <c r="BL49"/>
      <c r="BM49"/>
      <c r="BN49"/>
      <c r="BO49"/>
      <c r="BP49"/>
      <c r="BQ49"/>
      <c r="BR49"/>
      <c r="BS49"/>
      <c r="BT49"/>
      <c r="BU49"/>
      <c r="BV49"/>
      <c r="BW49"/>
      <c r="BX49"/>
      <c r="BY49"/>
      <c r="BZ49"/>
      <c r="CA49"/>
      <c r="CB49"/>
      <c r="CC49"/>
      <c r="CD49"/>
      <c r="CE49"/>
      <c r="CF49"/>
    </row>
    <row r="50" spans="1:84" s="658" customFormat="1" ht="15">
      <c r="A50" s="2013"/>
      <c r="B50" s="253"/>
      <c r="C50" s="2022"/>
      <c r="D50" s="511" t="s">
        <v>4347</v>
      </c>
      <c r="E50" s="253"/>
      <c r="F50" s="253"/>
      <c r="G50" s="253"/>
      <c r="H50" s="253"/>
      <c r="I50" s="253"/>
      <c r="J50" s="253"/>
      <c r="K50" s="253"/>
      <c r="L50" s="253"/>
      <c r="M50" s="253"/>
      <c r="N50" s="253"/>
      <c r="O50" s="253"/>
      <c r="P50" s="253"/>
      <c r="Q50" s="253"/>
      <c r="R50" s="253"/>
      <c r="S50" s="253"/>
      <c r="T50" s="253"/>
      <c r="U50" s="253"/>
      <c r="V50" s="253"/>
      <c r="W50" s="253"/>
      <c r="X50" s="253"/>
      <c r="Y50" s="253"/>
      <c r="Z50" s="253"/>
      <c r="AA50" s="253"/>
      <c r="AB50" s="253"/>
      <c r="AC50" s="253"/>
      <c r="AD50" s="253"/>
      <c r="AE50" s="253"/>
      <c r="AF50" s="253"/>
      <c r="AG50" s="253"/>
      <c r="AH50" s="253"/>
      <c r="AI50" s="253"/>
      <c r="AJ50" s="253"/>
      <c r="AK50" s="2013"/>
      <c r="AL50" s="253"/>
      <c r="AM50" s="253"/>
      <c r="AN50" s="253"/>
      <c r="AO50" s="253"/>
      <c r="AP50" s="253"/>
      <c r="AQ50" s="253"/>
      <c r="AR50" s="253"/>
      <c r="AS50" s="253"/>
      <c r="AT50" s="253"/>
      <c r="AU50" s="253"/>
      <c r="AV50" s="253"/>
      <c r="AW50" s="253"/>
      <c r="AX50" s="253"/>
      <c r="AY50" s="1357"/>
      <c r="BH50"/>
      <c r="BI50"/>
      <c r="BJ50"/>
      <c r="BK50"/>
      <c r="BL50"/>
      <c r="BM50"/>
      <c r="BN50"/>
      <c r="BO50"/>
      <c r="BP50"/>
      <c r="BQ50"/>
      <c r="BR50"/>
      <c r="BS50"/>
      <c r="BT50"/>
      <c r="BU50"/>
      <c r="BV50"/>
      <c r="BW50"/>
      <c r="BX50"/>
      <c r="BY50"/>
      <c r="BZ50"/>
      <c r="CA50"/>
      <c r="CB50"/>
      <c r="CC50"/>
      <c r="CD50"/>
      <c r="CE50"/>
      <c r="CF50"/>
    </row>
    <row r="51" spans="1:84" s="658" customFormat="1" ht="19.5" customHeight="1" thickBot="1">
      <c r="A51" s="2013"/>
      <c r="B51" s="253"/>
      <c r="C51" s="2022"/>
      <c r="D51" s="2046" t="s">
        <v>4348</v>
      </c>
      <c r="E51" s="253"/>
      <c r="F51" s="253"/>
      <c r="G51" s="253"/>
      <c r="H51" s="253"/>
      <c r="I51" s="253"/>
      <c r="J51" s="253"/>
      <c r="K51" s="253"/>
      <c r="L51" s="253"/>
      <c r="M51" s="253"/>
      <c r="N51" s="253"/>
      <c r="O51" s="253"/>
      <c r="P51" s="253"/>
      <c r="Q51" s="253"/>
      <c r="R51" s="253"/>
      <c r="S51" s="253"/>
      <c r="T51" s="253"/>
      <c r="U51" s="253"/>
      <c r="V51" s="253"/>
      <c r="W51" s="253"/>
      <c r="X51" s="253"/>
      <c r="Y51" s="253"/>
      <c r="Z51" s="253"/>
      <c r="AA51" s="253"/>
      <c r="AB51" s="253"/>
      <c r="AC51" s="253"/>
      <c r="AD51" s="253"/>
      <c r="AE51" s="253"/>
      <c r="AF51" s="253"/>
      <c r="AG51" s="253"/>
      <c r="AH51" s="253"/>
      <c r="AI51" s="253"/>
      <c r="AJ51" s="253"/>
      <c r="AK51" s="2013"/>
      <c r="AL51" s="253"/>
      <c r="AM51" s="253"/>
      <c r="AN51" s="253"/>
      <c r="AO51" s="253"/>
      <c r="AP51" s="253"/>
      <c r="AQ51" s="253"/>
      <c r="AR51" s="253"/>
      <c r="AS51" s="253"/>
      <c r="AT51" s="253"/>
      <c r="AU51" s="253"/>
      <c r="AV51" s="253"/>
      <c r="AW51" s="253"/>
      <c r="AX51" s="253"/>
      <c r="AY51" s="1357"/>
      <c r="BH51"/>
      <c r="BI51"/>
      <c r="BJ51"/>
      <c r="BK51"/>
      <c r="BL51"/>
      <c r="BM51"/>
      <c r="BN51"/>
      <c r="BO51"/>
      <c r="BP51"/>
      <c r="BQ51"/>
      <c r="BR51"/>
      <c r="BS51"/>
      <c r="BT51"/>
      <c r="BU51"/>
      <c r="BV51"/>
      <c r="BW51"/>
      <c r="BX51"/>
      <c r="BY51"/>
      <c r="BZ51"/>
      <c r="CA51"/>
      <c r="CB51"/>
      <c r="CC51"/>
      <c r="CD51"/>
      <c r="CE51"/>
      <c r="CF51"/>
    </row>
    <row r="52" spans="1:84" ht="18" customHeight="1" thickTop="1">
      <c r="A52" s="2013"/>
      <c r="B52" s="2932" t="s">
        <v>865</v>
      </c>
      <c r="C52" s="2933"/>
      <c r="D52" s="2933"/>
      <c r="E52" s="2933"/>
      <c r="F52" s="2933"/>
      <c r="G52" s="2933"/>
      <c r="H52" s="2933"/>
      <c r="I52" s="2933"/>
      <c r="J52" s="2933"/>
      <c r="K52" s="2933"/>
      <c r="L52" s="2933"/>
      <c r="M52" s="2933"/>
      <c r="N52" s="2933"/>
      <c r="O52" s="2933"/>
      <c r="P52" s="2933"/>
      <c r="Q52" s="257"/>
      <c r="R52" s="257"/>
      <c r="S52" s="257"/>
      <c r="T52" s="257"/>
      <c r="U52" s="2934"/>
      <c r="V52" s="257"/>
      <c r="W52" s="2244" t="s">
        <v>4349</v>
      </c>
      <c r="X52" s="257"/>
      <c r="Y52" s="257"/>
      <c r="Z52" s="257"/>
      <c r="AA52" s="257"/>
      <c r="AB52" s="257"/>
      <c r="AC52" s="257"/>
      <c r="AD52" s="257"/>
      <c r="AE52" s="257"/>
      <c r="AF52" s="257"/>
      <c r="AG52" s="257"/>
      <c r="AH52" s="2935" t="s">
        <v>4350</v>
      </c>
      <c r="AI52" s="257"/>
      <c r="AJ52" s="2935" t="str">
        <f>"("&amp;TaxYear&amp;")"</f>
        <v>(2025)</v>
      </c>
      <c r="AK52" s="2013"/>
      <c r="AL52" s="712"/>
      <c r="AM52" s="712"/>
      <c r="AN52" s="253"/>
      <c r="AO52" s="253"/>
      <c r="AP52" s="253"/>
      <c r="AQ52" s="253"/>
      <c r="AR52" s="253"/>
      <c r="AS52" s="344"/>
      <c r="AT52" s="344"/>
      <c r="AU52" s="344"/>
      <c r="AV52" s="344"/>
      <c r="AW52" s="344"/>
      <c r="AX52" s="344"/>
      <c r="AY52" s="1357"/>
      <c r="AZ52" s="658"/>
      <c r="BA52" s="658"/>
      <c r="BB52" s="658"/>
      <c r="BC52" s="658"/>
      <c r="BD52" s="658"/>
      <c r="BE52" s="658"/>
      <c r="BF52" s="658"/>
      <c r="BG52" s="658"/>
      <c r="BI52" s="2936"/>
      <c r="BL52" s="2937"/>
      <c r="BM52" s="421"/>
      <c r="BN52" s="421"/>
      <c r="BO52" s="690"/>
      <c r="BP52" s="421"/>
      <c r="BQ52" s="421"/>
      <c r="BR52" s="421"/>
      <c r="BS52" s="421"/>
      <c r="BT52" s="421"/>
      <c r="BV52" s="815"/>
      <c r="BW52" s="815"/>
      <c r="BX52" s="815"/>
      <c r="BY52" s="815"/>
      <c r="BZ52" s="815"/>
      <c r="CA52" s="815"/>
      <c r="CB52" s="815"/>
      <c r="CC52" s="815"/>
      <c r="CD52" s="815"/>
    </row>
    <row r="53" spans="1:84" ht="18" customHeight="1">
      <c r="A53" s="2013"/>
      <c r="B53" s="2013"/>
      <c r="C53" s="2013"/>
      <c r="D53" s="2013"/>
      <c r="E53" s="2013"/>
      <c r="F53" s="2013"/>
      <c r="G53" s="2013"/>
      <c r="H53" s="2013"/>
      <c r="I53" s="2013"/>
      <c r="J53" s="2013"/>
      <c r="K53" s="2013"/>
      <c r="L53" s="2013"/>
      <c r="M53" s="2013"/>
      <c r="N53" s="2013"/>
      <c r="O53" s="2013"/>
      <c r="P53" s="2013"/>
      <c r="Q53" s="2013"/>
      <c r="R53" s="2013"/>
      <c r="S53" s="2013"/>
      <c r="T53" s="2013"/>
      <c r="U53" s="2013"/>
      <c r="V53" s="2013"/>
      <c r="W53" s="2013"/>
      <c r="X53" s="2013"/>
      <c r="Y53" s="2013"/>
      <c r="Z53" s="2013"/>
      <c r="AA53" s="2013"/>
      <c r="AB53" s="2013"/>
      <c r="AC53" s="2013"/>
      <c r="AD53" s="2013"/>
      <c r="AE53" s="2013"/>
      <c r="AF53" s="2013"/>
      <c r="AG53" s="2013"/>
      <c r="AH53" s="2013"/>
      <c r="AI53" s="2013"/>
      <c r="AJ53" s="2013"/>
      <c r="AK53" s="2013"/>
      <c r="AL53" s="712"/>
      <c r="AM53" s="712"/>
      <c r="AN53" s="253"/>
      <c r="AO53" s="253"/>
      <c r="AP53" s="253"/>
      <c r="AQ53" s="253"/>
      <c r="AR53" s="253"/>
      <c r="AS53" s="344"/>
      <c r="AT53" s="344"/>
      <c r="AU53" s="344"/>
      <c r="AV53" s="344"/>
      <c r="AW53" s="344"/>
      <c r="AX53" s="344"/>
      <c r="AY53" s="1357"/>
      <c r="AZ53" s="658"/>
      <c r="BA53" s="658"/>
      <c r="BB53" s="658"/>
      <c r="BC53" s="658"/>
      <c r="BD53" s="658"/>
      <c r="BE53" s="658"/>
      <c r="BF53" s="658"/>
      <c r="BG53" s="658"/>
      <c r="BI53" s="2936"/>
      <c r="BL53" s="2937"/>
      <c r="BM53" s="421"/>
      <c r="BN53" s="421"/>
      <c r="BO53" s="690"/>
      <c r="BP53" s="421"/>
      <c r="BQ53" s="421"/>
      <c r="BR53" s="421"/>
      <c r="BS53" s="421"/>
      <c r="BT53" s="421"/>
      <c r="BV53" s="815"/>
      <c r="BW53" s="815"/>
      <c r="BX53" s="815"/>
      <c r="BY53" s="815"/>
      <c r="BZ53" s="815"/>
      <c r="CA53" s="815"/>
      <c r="CB53" s="815"/>
      <c r="CC53" s="815"/>
      <c r="CD53" s="815"/>
    </row>
    <row r="54" spans="1:84" s="658" customFormat="1" ht="25.5" customHeight="1" thickBot="1">
      <c r="A54"/>
      <c r="B54" s="2938"/>
      <c r="C54" s="2938"/>
      <c r="D54" s="2939"/>
      <c r="E54" s="2939"/>
      <c r="F54" s="2939"/>
      <c r="G54" s="2939"/>
      <c r="H54" s="2939"/>
      <c r="I54" s="2939"/>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s="1366"/>
      <c r="AZ54" s="815"/>
      <c r="BA54" s="815"/>
      <c r="BB54" s="815"/>
      <c r="BC54" s="815"/>
      <c r="BD54" s="815"/>
      <c r="BE54" s="815"/>
      <c r="BF54" s="815"/>
      <c r="BG54" s="815"/>
      <c r="BH54"/>
      <c r="BI54"/>
      <c r="BJ54"/>
      <c r="BK54"/>
      <c r="BL54"/>
      <c r="BM54"/>
      <c r="BN54"/>
      <c r="BO54"/>
      <c r="BP54"/>
      <c r="BQ54"/>
      <c r="BR54"/>
      <c r="BS54"/>
      <c r="BT54"/>
      <c r="BU54"/>
      <c r="BV54"/>
      <c r="BW54"/>
      <c r="BX54"/>
      <c r="BY54"/>
      <c r="BZ54"/>
      <c r="CA54"/>
      <c r="CB54"/>
      <c r="CC54"/>
      <c r="CD54"/>
      <c r="CE54"/>
      <c r="CF54"/>
    </row>
    <row r="55" spans="1:84" s="658" customFormat="1" ht="13.5" thickBot="1">
      <c r="A55"/>
      <c r="B55" s="8811" t="s">
        <v>4351</v>
      </c>
      <c r="C55" s="8812"/>
      <c r="D55" s="8812"/>
      <c r="E55" s="8812"/>
      <c r="F55" s="8812"/>
      <c r="G55" s="8812"/>
      <c r="H55" s="8812"/>
      <c r="I55" s="8812"/>
      <c r="J55" s="8812"/>
      <c r="K55" s="8812"/>
      <c r="L55" s="8813"/>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s="1366"/>
      <c r="AZ55" s="815"/>
      <c r="BA55" s="815"/>
      <c r="BB55" s="815"/>
      <c r="BC55" s="815"/>
      <c r="BD55" s="815"/>
      <c r="BE55" s="815"/>
      <c r="BF55" s="815"/>
      <c r="BG55" s="815"/>
      <c r="BH55"/>
      <c r="BI55"/>
      <c r="BJ55"/>
      <c r="BK55"/>
      <c r="BL55"/>
      <c r="BM55"/>
      <c r="BN55"/>
      <c r="BO55"/>
      <c r="BP55"/>
      <c r="BQ55"/>
      <c r="BR55"/>
      <c r="BS55"/>
      <c r="BT55"/>
      <c r="BU55"/>
      <c r="BV55"/>
      <c r="BW55"/>
      <c r="BX55"/>
      <c r="BY55"/>
      <c r="BZ55"/>
      <c r="CA55"/>
      <c r="CB55"/>
      <c r="CC55"/>
      <c r="CD55"/>
      <c r="CE55"/>
      <c r="CF55"/>
    </row>
    <row r="56" spans="1:84" s="658" customFormat="1" ht="27" customHeight="1">
      <c r="A56"/>
      <c r="B56" s="2940"/>
      <c r="C56" s="2940"/>
      <c r="D56" s="2941"/>
      <c r="E56" s="2941"/>
      <c r="F56" s="2941"/>
      <c r="G56" s="2941"/>
      <c r="H56" s="2941"/>
      <c r="I56" s="2941"/>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s="1366"/>
      <c r="AZ56" s="815"/>
      <c r="BA56" s="815"/>
      <c r="BB56" s="815"/>
      <c r="BC56" s="815"/>
      <c r="BD56" s="815"/>
      <c r="BE56" s="815"/>
      <c r="BF56" s="815"/>
      <c r="BG56" s="815"/>
      <c r="BH56"/>
      <c r="BI56"/>
      <c r="BJ56"/>
      <c r="BK56"/>
      <c r="BL56"/>
      <c r="BM56"/>
      <c r="BN56"/>
      <c r="BO56"/>
      <c r="BP56"/>
      <c r="BQ56"/>
      <c r="BR56"/>
      <c r="BS56"/>
      <c r="BT56"/>
      <c r="BU56"/>
      <c r="BV56"/>
      <c r="BW56"/>
      <c r="BX56"/>
      <c r="BY56"/>
      <c r="BZ56"/>
      <c r="CA56"/>
      <c r="CB56"/>
      <c r="CC56"/>
      <c r="CD56"/>
      <c r="CE56"/>
      <c r="CF56"/>
    </row>
    <row r="57" spans="1:84" s="658" customFormat="1" ht="13.5" thickBot="1">
      <c r="A57"/>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s="1366"/>
      <c r="AZ57" s="815"/>
      <c r="BA57" s="815"/>
      <c r="BB57" s="815"/>
      <c r="BC57" s="815"/>
      <c r="BD57" s="815"/>
      <c r="BE57" s="815"/>
      <c r="BF57" s="815"/>
      <c r="BG57" s="815"/>
      <c r="BH57"/>
      <c r="BI57"/>
      <c r="BJ57"/>
      <c r="BK57"/>
      <c r="BL57"/>
      <c r="BM57"/>
      <c r="BN57"/>
      <c r="BO57"/>
      <c r="BP57"/>
      <c r="BQ57"/>
      <c r="BR57"/>
      <c r="BS57"/>
      <c r="BT57"/>
      <c r="BU57"/>
      <c r="BV57"/>
      <c r="BW57"/>
      <c r="BX57"/>
      <c r="BY57"/>
      <c r="BZ57"/>
      <c r="CA57"/>
      <c r="CB57"/>
      <c r="CC57"/>
      <c r="CD57"/>
      <c r="CE57"/>
      <c r="CF57"/>
    </row>
    <row r="58" spans="1:84" s="658" customFormat="1">
      <c r="A58"/>
      <c r="B58" s="7219" t="s">
        <v>42</v>
      </c>
      <c r="C58" s="7220"/>
      <c r="D58" s="7220"/>
      <c r="E58" s="7221"/>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s="1366"/>
      <c r="AZ58" s="815"/>
      <c r="BA58" s="815"/>
      <c r="BB58" s="815"/>
      <c r="BC58" s="815"/>
      <c r="BD58" s="815"/>
      <c r="BE58" s="815"/>
      <c r="BF58" s="815"/>
      <c r="BG58" s="815"/>
      <c r="BH58"/>
      <c r="BI58"/>
      <c r="BJ58"/>
      <c r="BK58"/>
      <c r="BL58"/>
      <c r="BM58"/>
      <c r="BN58"/>
      <c r="BO58"/>
      <c r="BP58"/>
      <c r="BQ58"/>
      <c r="BR58"/>
      <c r="BS58"/>
      <c r="BT58"/>
      <c r="BU58"/>
      <c r="BV58"/>
      <c r="BW58"/>
      <c r="BX58"/>
      <c r="BY58"/>
      <c r="BZ58"/>
      <c r="CA58"/>
      <c r="CB58"/>
      <c r="CC58"/>
      <c r="CD58"/>
      <c r="CE58"/>
      <c r="CF58"/>
    </row>
    <row r="59" spans="1:84" s="658" customFormat="1">
      <c r="A59"/>
      <c r="B59" s="7222"/>
      <c r="C59" s="7223"/>
      <c r="D59" s="7223"/>
      <c r="E59" s="7225"/>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s="1366"/>
      <c r="AZ59" s="815"/>
      <c r="BA59" s="815"/>
      <c r="BB59" s="815"/>
      <c r="BC59" s="815"/>
      <c r="BD59" s="815"/>
      <c r="BE59" s="815"/>
      <c r="BF59" s="815"/>
      <c r="BG59" s="815"/>
      <c r="BH59"/>
      <c r="BI59"/>
      <c r="BJ59"/>
      <c r="BK59"/>
      <c r="BL59"/>
      <c r="BM59"/>
      <c r="BN59"/>
      <c r="BO59"/>
      <c r="BP59"/>
      <c r="BQ59"/>
      <c r="BR59"/>
      <c r="BS59"/>
      <c r="BT59"/>
      <c r="BU59"/>
      <c r="BV59"/>
      <c r="BW59"/>
      <c r="BX59"/>
      <c r="BY59"/>
      <c r="BZ59"/>
      <c r="CA59"/>
      <c r="CB59"/>
      <c r="CC59"/>
      <c r="CD59"/>
      <c r="CE59"/>
      <c r="CF59"/>
    </row>
    <row r="60" spans="1:84" s="658" customFormat="1" ht="13.5" thickBot="1">
      <c r="A60"/>
      <c r="B60" s="7226"/>
      <c r="C60" s="7227"/>
      <c r="D60" s="7227"/>
      <c r="E60" s="7228"/>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s="1366"/>
      <c r="AZ60" s="815"/>
      <c r="BA60" s="815"/>
      <c r="BB60" s="815"/>
      <c r="BC60" s="815"/>
      <c r="BD60" s="815"/>
      <c r="BE60" s="815"/>
      <c r="BF60" s="815"/>
      <c r="BG60" s="815"/>
      <c r="BH60"/>
      <c r="BI60"/>
      <c r="BJ60"/>
      <c r="BK60"/>
      <c r="BL60"/>
      <c r="BM60"/>
      <c r="BN60"/>
      <c r="BO60"/>
      <c r="BP60"/>
      <c r="BQ60"/>
      <c r="BR60"/>
      <c r="BS60"/>
      <c r="BT60"/>
      <c r="BU60"/>
      <c r="BV60"/>
      <c r="BW60"/>
      <c r="BX60"/>
      <c r="BY60"/>
      <c r="BZ60"/>
      <c r="CA60"/>
      <c r="CB60"/>
      <c r="CC60"/>
      <c r="CD60"/>
      <c r="CE60"/>
      <c r="CF60"/>
    </row>
    <row r="61" spans="1:84" s="658" customFormat="1" ht="13.5" customHeight="1">
      <c r="A61"/>
      <c r="B61"/>
      <c r="C61"/>
      <c r="D61"/>
      <c r="E61"/>
      <c r="F61"/>
      <c r="G61"/>
      <c r="H61"/>
      <c r="I61"/>
      <c r="J61"/>
      <c r="K61"/>
      <c r="L61"/>
      <c r="M61"/>
      <c r="N61"/>
      <c r="O61"/>
      <c r="P61"/>
      <c r="Q61"/>
      <c r="R61"/>
      <c r="S61"/>
      <c r="T61"/>
      <c r="U61"/>
      <c r="V61"/>
      <c r="W61"/>
      <c r="X61"/>
      <c r="Y61"/>
      <c r="Z61"/>
      <c r="AA61"/>
      <c r="AB61"/>
      <c r="AC61"/>
      <c r="AD61"/>
      <c r="AE61"/>
      <c r="AF61"/>
      <c r="AG61"/>
      <c r="AH61"/>
      <c r="AI61"/>
      <c r="AJ61"/>
      <c r="AK61"/>
      <c r="AL61"/>
      <c r="AM61"/>
      <c r="AN61"/>
      <c r="AO61"/>
      <c r="AP61"/>
      <c r="AQ61"/>
      <c r="AR61"/>
      <c r="AS61"/>
      <c r="AT61"/>
      <c r="AU61"/>
      <c r="AV61"/>
      <c r="AW61"/>
      <c r="AX61"/>
      <c r="AY61" s="1366"/>
      <c r="AZ61" s="815"/>
      <c r="BA61" s="815"/>
      <c r="BB61" s="815"/>
      <c r="BC61" s="815"/>
      <c r="BD61" s="815"/>
      <c r="BE61" s="815"/>
      <c r="BF61" s="815"/>
      <c r="BG61" s="815"/>
      <c r="BH61"/>
      <c r="BI61"/>
      <c r="BJ61"/>
      <c r="BK61"/>
      <c r="BL61"/>
      <c r="BM61"/>
      <c r="BN61"/>
      <c r="BO61"/>
      <c r="BP61"/>
      <c r="BQ61"/>
      <c r="BR61"/>
      <c r="BS61"/>
      <c r="BT61"/>
      <c r="BU61"/>
      <c r="BV61"/>
      <c r="BW61"/>
      <c r="BX61"/>
      <c r="BY61"/>
      <c r="BZ61"/>
      <c r="CA61"/>
      <c r="CB61"/>
      <c r="CC61"/>
      <c r="CD61"/>
      <c r="CE61"/>
      <c r="CF61"/>
    </row>
    <row r="62" spans="1:84" s="658" customFormat="1">
      <c r="A62"/>
      <c r="B62"/>
      <c r="C62"/>
      <c r="D62"/>
      <c r="E62"/>
      <c r="F62"/>
      <c r="G62"/>
      <c r="H62"/>
      <c r="I62"/>
      <c r="J62"/>
      <c r="K62"/>
      <c r="L62"/>
      <c r="M62"/>
      <c r="N62"/>
      <c r="O62"/>
      <c r="P62"/>
      <c r="Q62"/>
      <c r="R62"/>
      <c r="S62"/>
      <c r="T62"/>
      <c r="U62"/>
      <c r="V62"/>
      <c r="W62"/>
      <c r="X62"/>
      <c r="Y62"/>
      <c r="Z62"/>
      <c r="AA62"/>
      <c r="AB62"/>
      <c r="AC62"/>
      <c r="AD62"/>
      <c r="AE62"/>
      <c r="AF62"/>
      <c r="AG62"/>
      <c r="AH62"/>
      <c r="AI62"/>
      <c r="AJ62"/>
      <c r="AK62"/>
      <c r="AL62"/>
      <c r="AM62"/>
      <c r="AN62"/>
      <c r="AO62"/>
      <c r="AP62"/>
      <c r="AQ62"/>
      <c r="AR62"/>
      <c r="AS62"/>
      <c r="AT62"/>
      <c r="AU62"/>
      <c r="AV62"/>
      <c r="AW62"/>
      <c r="AX62"/>
      <c r="AY62" s="1366"/>
      <c r="AZ62" s="815"/>
      <c r="BA62" s="815"/>
      <c r="BB62" s="815"/>
      <c r="BC62" s="815"/>
      <c r="BD62" s="815"/>
      <c r="BE62" s="815"/>
      <c r="BF62" s="815"/>
      <c r="BG62" s="815"/>
      <c r="BH62"/>
      <c r="BI62"/>
      <c r="BJ62"/>
      <c r="BK62"/>
      <c r="BL62"/>
      <c r="BM62"/>
      <c r="BN62"/>
      <c r="BO62"/>
      <c r="BP62"/>
      <c r="BQ62"/>
      <c r="BR62"/>
      <c r="BS62"/>
      <c r="BT62"/>
      <c r="BU62"/>
      <c r="BV62"/>
      <c r="BW62"/>
      <c r="BX62"/>
      <c r="BY62"/>
      <c r="BZ62"/>
      <c r="CA62"/>
      <c r="CB62"/>
      <c r="CC62"/>
      <c r="CD62"/>
      <c r="CE62"/>
      <c r="CF62"/>
    </row>
    <row r="63" spans="1:84" s="658" customFormat="1">
      <c r="A63"/>
      <c r="B63"/>
      <c r="C63"/>
      <c r="D63"/>
      <c r="E63"/>
      <c r="F63"/>
      <c r="G63"/>
      <c r="H63"/>
      <c r="I63"/>
      <c r="J63"/>
      <c r="K63"/>
      <c r="L63"/>
      <c r="M63"/>
      <c r="N63"/>
      <c r="O63"/>
      <c r="P63"/>
      <c r="Q63"/>
      <c r="R63"/>
      <c r="S63"/>
      <c r="T63"/>
      <c r="U63"/>
      <c r="V63"/>
      <c r="W63"/>
      <c r="X63"/>
      <c r="Y63"/>
      <c r="Z63"/>
      <c r="AA63"/>
      <c r="AB63"/>
      <c r="AC63"/>
      <c r="AD63"/>
      <c r="AE63"/>
      <c r="AF63"/>
      <c r="AG63"/>
      <c r="AH63"/>
      <c r="AI63"/>
      <c r="AJ63"/>
      <c r="AK63"/>
      <c r="AL63"/>
      <c r="AM63"/>
      <c r="AN63"/>
      <c r="AO63"/>
      <c r="AP63"/>
      <c r="AQ63"/>
      <c r="AR63"/>
      <c r="AS63"/>
      <c r="AT63"/>
      <c r="AU63"/>
      <c r="AV63"/>
      <c r="AW63"/>
      <c r="AX63"/>
      <c r="AY63" s="1366"/>
      <c r="AZ63" s="815"/>
      <c r="BA63" s="815"/>
      <c r="BB63" s="815"/>
      <c r="BC63" s="815"/>
      <c r="BD63" s="815"/>
      <c r="BE63" s="815"/>
      <c r="BF63" s="815"/>
      <c r="BG63" s="815"/>
      <c r="BH63"/>
      <c r="BI63"/>
      <c r="BJ63"/>
      <c r="BK63"/>
      <c r="BL63"/>
      <c r="BM63"/>
      <c r="BN63"/>
      <c r="BO63"/>
      <c r="BP63"/>
      <c r="BQ63"/>
      <c r="BR63"/>
      <c r="BS63"/>
      <c r="BT63"/>
      <c r="BU63"/>
      <c r="BV63"/>
      <c r="BW63"/>
      <c r="BX63"/>
      <c r="BY63"/>
      <c r="BZ63"/>
      <c r="CA63"/>
      <c r="CB63"/>
      <c r="CC63"/>
      <c r="CD63"/>
      <c r="CE63"/>
      <c r="CF63"/>
    </row>
    <row r="64" spans="1:84" s="658" customFormat="1">
      <c r="A64"/>
      <c r="B64"/>
      <c r="C64"/>
      <c r="D64"/>
      <c r="E64"/>
      <c r="F64"/>
      <c r="G64"/>
      <c r="H64"/>
      <c r="I64"/>
      <c r="J64"/>
      <c r="K64"/>
      <c r="L64"/>
      <c r="M64"/>
      <c r="N64"/>
      <c r="O64"/>
      <c r="P64"/>
      <c r="Q64"/>
      <c r="R64"/>
      <c r="S64"/>
      <c r="T64"/>
      <c r="U64"/>
      <c r="V64"/>
      <c r="W64"/>
      <c r="X64"/>
      <c r="Y64"/>
      <c r="Z64"/>
      <c r="AA64"/>
      <c r="AB64"/>
      <c r="AC64"/>
      <c r="AD64"/>
      <c r="AE64"/>
      <c r="AF64"/>
      <c r="AG64"/>
      <c r="AH64"/>
      <c r="AI64"/>
      <c r="AJ64"/>
      <c r="AK64"/>
      <c r="AL64"/>
      <c r="AM64"/>
      <c r="AN64"/>
      <c r="AO64"/>
      <c r="AP64"/>
      <c r="AQ64"/>
      <c r="AR64"/>
      <c r="AS64"/>
      <c r="AT64"/>
      <c r="AU64"/>
      <c r="AV64"/>
      <c r="AW64"/>
      <c r="AX64"/>
      <c r="AY64" s="1366"/>
      <c r="AZ64" s="815"/>
      <c r="BA64" s="815"/>
      <c r="BB64" s="815"/>
      <c r="BC64" s="815"/>
      <c r="BD64" s="815"/>
      <c r="BE64" s="815"/>
      <c r="BF64" s="815"/>
      <c r="BG64" s="815"/>
      <c r="BH64"/>
      <c r="BI64"/>
      <c r="BJ64"/>
      <c r="BK64"/>
      <c r="BL64"/>
      <c r="BM64"/>
      <c r="BN64"/>
      <c r="BO64"/>
      <c r="BP64"/>
      <c r="BQ64"/>
      <c r="BR64"/>
      <c r="BS64"/>
      <c r="BT64"/>
      <c r="BU64"/>
      <c r="BV64"/>
      <c r="BW64"/>
      <c r="BX64"/>
      <c r="BY64"/>
      <c r="BZ64"/>
      <c r="CA64"/>
      <c r="CB64"/>
      <c r="CC64"/>
      <c r="CD64"/>
      <c r="CE64"/>
      <c r="CF64"/>
    </row>
    <row r="65" spans="1:84" s="658" customFormat="1">
      <c r="A65"/>
      <c r="B65"/>
      <c r="C65"/>
      <c r="D65"/>
      <c r="E65"/>
      <c r="F65"/>
      <c r="G65"/>
      <c r="H65"/>
      <c r="I65"/>
      <c r="J65"/>
      <c r="K65"/>
      <c r="L65"/>
      <c r="M65"/>
      <c r="N65"/>
      <c r="O65"/>
      <c r="P65"/>
      <c r="Q65"/>
      <c r="R65"/>
      <c r="S65"/>
      <c r="T65"/>
      <c r="U65"/>
      <c r="V65"/>
      <c r="W65"/>
      <c r="X65"/>
      <c r="Y65"/>
      <c r="Z65"/>
      <c r="AA65"/>
      <c r="AB65"/>
      <c r="AC65"/>
      <c r="AD65"/>
      <c r="AE65"/>
      <c r="AF65"/>
      <c r="AG65"/>
      <c r="AH65"/>
      <c r="AI65"/>
      <c r="AJ65"/>
      <c r="AK65"/>
      <c r="AL65"/>
      <c r="AM65"/>
      <c r="AN65"/>
      <c r="AO65"/>
      <c r="AP65"/>
      <c r="AQ65"/>
      <c r="AR65"/>
      <c r="AS65"/>
      <c r="AT65"/>
      <c r="AU65"/>
      <c r="AV65"/>
      <c r="AW65"/>
      <c r="AX65"/>
      <c r="AY65" s="1366"/>
      <c r="AZ65" s="815"/>
      <c r="BA65" s="815"/>
      <c r="BB65" s="815"/>
      <c r="BC65" s="815"/>
      <c r="BD65" s="815"/>
      <c r="BE65" s="815"/>
      <c r="BF65" s="815"/>
      <c r="BG65" s="815"/>
      <c r="BH65"/>
      <c r="BI65"/>
      <c r="BJ65"/>
      <c r="BK65"/>
      <c r="BL65"/>
      <c r="BM65"/>
      <c r="BN65"/>
      <c r="BO65"/>
      <c r="BP65"/>
      <c r="BQ65"/>
      <c r="BR65"/>
      <c r="BS65"/>
      <c r="BT65"/>
      <c r="BU65"/>
      <c r="BV65"/>
      <c r="BW65"/>
      <c r="BX65"/>
      <c r="BY65"/>
      <c r="BZ65"/>
      <c r="CA65"/>
      <c r="CB65"/>
      <c r="CC65"/>
      <c r="CD65"/>
      <c r="CE65"/>
      <c r="CF65"/>
    </row>
    <row r="66" spans="1:84" s="658" customFormat="1">
      <c r="A66"/>
      <c r="B66"/>
      <c r="C66"/>
      <c r="D66"/>
      <c r="E66"/>
      <c r="F66"/>
      <c r="G66"/>
      <c r="H66"/>
      <c r="I66"/>
      <c r="J66"/>
      <c r="K66"/>
      <c r="L66"/>
      <c r="M66"/>
      <c r="N66"/>
      <c r="O66"/>
      <c r="P66"/>
      <c r="Q66"/>
      <c r="R66"/>
      <c r="S66"/>
      <c r="T66"/>
      <c r="U66"/>
      <c r="V66"/>
      <c r="W66"/>
      <c r="X66"/>
      <c r="Y66"/>
      <c r="Z66"/>
      <c r="AA66"/>
      <c r="AB66"/>
      <c r="AC66"/>
      <c r="AD66"/>
      <c r="AE66"/>
      <c r="AF66"/>
      <c r="AG66"/>
      <c r="AH66"/>
      <c r="AI66"/>
      <c r="AJ66"/>
      <c r="AK66"/>
      <c r="AL66"/>
      <c r="AM66"/>
      <c r="AN66"/>
      <c r="AO66"/>
      <c r="AP66"/>
      <c r="AQ66"/>
      <c r="AR66"/>
      <c r="AS66"/>
      <c r="AT66"/>
      <c r="AU66"/>
      <c r="AV66"/>
      <c r="AW66"/>
      <c r="AX66"/>
      <c r="AY66" s="1366"/>
      <c r="AZ66" s="815"/>
      <c r="BA66" s="815"/>
      <c r="BB66" s="815"/>
      <c r="BC66" s="815"/>
      <c r="BD66" s="815"/>
      <c r="BE66" s="815"/>
      <c r="BF66" s="815"/>
      <c r="BG66" s="815"/>
      <c r="BH66"/>
      <c r="BI66"/>
      <c r="BJ66"/>
      <c r="BK66"/>
      <c r="BL66"/>
      <c r="BM66"/>
      <c r="BN66"/>
      <c r="BO66"/>
      <c r="BP66"/>
      <c r="BQ66"/>
      <c r="BR66"/>
      <c r="BS66"/>
      <c r="BT66"/>
      <c r="BU66"/>
      <c r="BV66"/>
      <c r="BW66"/>
      <c r="BX66"/>
      <c r="BY66"/>
      <c r="BZ66"/>
      <c r="CA66"/>
      <c r="CB66"/>
      <c r="CC66"/>
      <c r="CD66"/>
      <c r="CE66"/>
      <c r="CF66"/>
    </row>
    <row r="67" spans="1:84" s="658" customFormat="1">
      <c r="A67"/>
      <c r="B67"/>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s="1366"/>
      <c r="AZ67" s="815"/>
      <c r="BA67" s="815"/>
      <c r="BB67" s="815"/>
      <c r="BC67" s="815"/>
      <c r="BD67" s="815"/>
      <c r="BE67" s="815"/>
      <c r="BF67" s="815"/>
      <c r="BG67" s="815"/>
      <c r="BH67"/>
      <c r="BI67"/>
      <c r="BJ67"/>
      <c r="BK67"/>
      <c r="BL67"/>
      <c r="BM67"/>
      <c r="BN67"/>
      <c r="BO67"/>
      <c r="BP67"/>
      <c r="BQ67"/>
      <c r="BR67"/>
      <c r="BS67"/>
      <c r="BT67"/>
      <c r="BU67"/>
      <c r="BV67"/>
      <c r="BW67"/>
      <c r="BX67"/>
      <c r="BY67"/>
      <c r="BZ67"/>
      <c r="CA67"/>
      <c r="CB67"/>
      <c r="CC67"/>
      <c r="CD67"/>
      <c r="CE67"/>
      <c r="CF67"/>
    </row>
    <row r="68" spans="1:84" s="658" customFormat="1">
      <c r="A68"/>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s="1366"/>
      <c r="AZ68" s="815"/>
      <c r="BA68" s="815"/>
      <c r="BB68" s="815"/>
      <c r="BC68" s="815"/>
      <c r="BD68" s="815"/>
      <c r="BE68" s="815"/>
      <c r="BF68" s="815"/>
      <c r="BG68" s="815"/>
      <c r="BH68"/>
      <c r="BI68"/>
      <c r="BJ68"/>
      <c r="BK68"/>
      <c r="BL68"/>
      <c r="BM68"/>
      <c r="BN68"/>
      <c r="BO68"/>
      <c r="BP68"/>
      <c r="BQ68"/>
      <c r="BR68"/>
      <c r="BS68"/>
      <c r="BT68"/>
      <c r="BU68"/>
      <c r="BV68"/>
      <c r="BW68"/>
      <c r="BX68"/>
      <c r="BY68"/>
      <c r="BZ68"/>
      <c r="CA68"/>
      <c r="CB68"/>
      <c r="CC68"/>
      <c r="CD68"/>
      <c r="CE68"/>
      <c r="CF68"/>
    </row>
    <row r="69" spans="1:84" s="658" customFormat="1">
      <c r="A69"/>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s="1366"/>
      <c r="AZ69" s="815"/>
      <c r="BA69" s="815"/>
      <c r="BB69" s="815"/>
      <c r="BC69" s="815"/>
      <c r="BD69" s="815"/>
      <c r="BE69" s="815"/>
      <c r="BF69" s="815"/>
      <c r="BG69" s="815"/>
      <c r="BH69"/>
      <c r="BI69"/>
      <c r="BJ69"/>
      <c r="BK69"/>
      <c r="BL69"/>
      <c r="BM69"/>
      <c r="BN69"/>
      <c r="BO69"/>
      <c r="BP69"/>
      <c r="BQ69"/>
      <c r="BR69"/>
      <c r="BS69"/>
      <c r="BT69"/>
      <c r="BU69"/>
      <c r="BV69"/>
      <c r="BW69"/>
      <c r="BX69"/>
      <c r="BY69"/>
      <c r="BZ69"/>
      <c r="CA69"/>
      <c r="CB69"/>
      <c r="CC69"/>
      <c r="CD69"/>
      <c r="CE69"/>
      <c r="CF69"/>
    </row>
  </sheetData>
  <sheetProtection algorithmName="SHA-512" hashValue="TqBWd5kIC0RSELoaT2zDcfk3iO89uP/NNcjMwO4UaN9uhtKjMX4FxzwKBXtwvcCmLNExLp1m+pllFfAvyereLg==" saltValue="HH0tA8BA+6tdnpnSgnIrwQ==" spinCount="100000" sheet="1" objects="1" scenarios="1" formatCells="0" formatColumns="0" formatRows="0"/>
  <mergeCells count="122">
    <mergeCell ref="D2:G3"/>
    <mergeCell ref="AC2:AJ2"/>
    <mergeCell ref="B3:C3"/>
    <mergeCell ref="I3:AB3"/>
    <mergeCell ref="AC3:AJ4"/>
    <mergeCell ref="I5:AB5"/>
    <mergeCell ref="AD5:AG5"/>
    <mergeCell ref="AH5:AI6"/>
    <mergeCell ref="I6:AB6"/>
    <mergeCell ref="AD6:AG6"/>
    <mergeCell ref="R15:S15"/>
    <mergeCell ref="T15:U15"/>
    <mergeCell ref="V15:W15"/>
    <mergeCell ref="Y15:AD15"/>
    <mergeCell ref="AE15:AJ15"/>
    <mergeCell ref="B8:X9"/>
    <mergeCell ref="Y8:AJ9"/>
    <mergeCell ref="V12:X12"/>
    <mergeCell ref="Y12:AA12"/>
    <mergeCell ref="AB12:AD12"/>
    <mergeCell ref="AE12:AG12"/>
    <mergeCell ref="AH12:AJ12"/>
    <mergeCell ref="AC16:AD16"/>
    <mergeCell ref="AI16:AJ16"/>
    <mergeCell ref="Y17:AD17"/>
    <mergeCell ref="AE17:AJ17"/>
    <mergeCell ref="Y19:AD19"/>
    <mergeCell ref="AE19:AJ19"/>
    <mergeCell ref="AC14:AD14"/>
    <mergeCell ref="AE14:AG14"/>
    <mergeCell ref="AH14:AJ14"/>
    <mergeCell ref="V25:W25"/>
    <mergeCell ref="Y25:AD25"/>
    <mergeCell ref="AE25:AJ25"/>
    <mergeCell ref="AB26:AC26"/>
    <mergeCell ref="AE26:AJ26"/>
    <mergeCell ref="X27:AC27"/>
    <mergeCell ref="Y20:AD20"/>
    <mergeCell ref="AE20:AJ20"/>
    <mergeCell ref="M21:N21"/>
    <mergeCell ref="Y23:AD23"/>
    <mergeCell ref="AE23:AJ23"/>
    <mergeCell ref="Y24:AD24"/>
    <mergeCell ref="AE24:AJ24"/>
    <mergeCell ref="L33:S33"/>
    <mergeCell ref="D34:G34"/>
    <mergeCell ref="H34:K34"/>
    <mergeCell ref="L34:O34"/>
    <mergeCell ref="P34:S34"/>
    <mergeCell ref="T34:Z34"/>
    <mergeCell ref="L29:O29"/>
    <mergeCell ref="P29:S29"/>
    <mergeCell ref="W29:Z29"/>
    <mergeCell ref="D30:K30"/>
    <mergeCell ref="L30:Z30"/>
    <mergeCell ref="D31:G33"/>
    <mergeCell ref="H31:K33"/>
    <mergeCell ref="L31:O32"/>
    <mergeCell ref="P31:S32"/>
    <mergeCell ref="T31:Z33"/>
    <mergeCell ref="D36:G36"/>
    <mergeCell ref="H36:K36"/>
    <mergeCell ref="L36:O36"/>
    <mergeCell ref="P36:S36"/>
    <mergeCell ref="T36:Z36"/>
    <mergeCell ref="AI36:AJ36"/>
    <mergeCell ref="D35:G35"/>
    <mergeCell ref="H35:K35"/>
    <mergeCell ref="L35:O35"/>
    <mergeCell ref="P35:S35"/>
    <mergeCell ref="T35:Z35"/>
    <mergeCell ref="AI35:AJ35"/>
    <mergeCell ref="D37:G37"/>
    <mergeCell ref="H37:K37"/>
    <mergeCell ref="L37:O37"/>
    <mergeCell ref="P37:S37"/>
    <mergeCell ref="T37:Z37"/>
    <mergeCell ref="D38:G38"/>
    <mergeCell ref="H38:K38"/>
    <mergeCell ref="L38:O38"/>
    <mergeCell ref="P38:S38"/>
    <mergeCell ref="T38:Z38"/>
    <mergeCell ref="T41:Z41"/>
    <mergeCell ref="D42:G42"/>
    <mergeCell ref="H42:K42"/>
    <mergeCell ref="L42:O42"/>
    <mergeCell ref="P42:S42"/>
    <mergeCell ref="T42:Z42"/>
    <mergeCell ref="D39:G39"/>
    <mergeCell ref="H39:K39"/>
    <mergeCell ref="L39:O39"/>
    <mergeCell ref="P39:S39"/>
    <mergeCell ref="T39:Z39"/>
    <mergeCell ref="D40:G40"/>
    <mergeCell ref="H40:K40"/>
    <mergeCell ref="L40:O40"/>
    <mergeCell ref="P40:S40"/>
    <mergeCell ref="T40:Z40"/>
    <mergeCell ref="AL17:AN17"/>
    <mergeCell ref="AL18:AN18"/>
    <mergeCell ref="AL19:AN19"/>
    <mergeCell ref="AL27:AN27"/>
    <mergeCell ref="AL26:AN26"/>
    <mergeCell ref="AL25:AN25"/>
    <mergeCell ref="B55:L55"/>
    <mergeCell ref="B58:E60"/>
    <mergeCell ref="AA44:AC44"/>
    <mergeCell ref="AE45:AJ45"/>
    <mergeCell ref="AE46:AJ46"/>
    <mergeCell ref="AL47:AN47"/>
    <mergeCell ref="AE48:AJ48"/>
    <mergeCell ref="AL48:AN48"/>
    <mergeCell ref="D43:G43"/>
    <mergeCell ref="H43:K43"/>
    <mergeCell ref="L43:O43"/>
    <mergeCell ref="P43:S43"/>
    <mergeCell ref="T43:Z43"/>
    <mergeCell ref="D44:Z44"/>
    <mergeCell ref="D41:G41"/>
    <mergeCell ref="H41:K41"/>
    <mergeCell ref="L41:O41"/>
    <mergeCell ref="P41:S41"/>
  </mergeCells>
  <conditionalFormatting sqref="B8:K8">
    <cfRule type="expression" dxfId="548" priority="40">
      <formula>IF(NoColor,1,0)</formula>
    </cfRule>
  </conditionalFormatting>
  <conditionalFormatting sqref="D44:Z44">
    <cfRule type="expression" dxfId="547" priority="8">
      <formula>$AA$44</formula>
    </cfRule>
  </conditionalFormatting>
  <conditionalFormatting sqref="E12">
    <cfRule type="expression" dxfId="546" priority="15">
      <formula>AND($V$12,$AK$11="")</formula>
    </cfRule>
  </conditionalFormatting>
  <conditionalFormatting sqref="E14">
    <cfRule type="expression" dxfId="545" priority="13">
      <formula>AND($R$15,$AK$11="")</formula>
    </cfRule>
  </conditionalFormatting>
  <conditionalFormatting sqref="F11">
    <cfRule type="expression" dxfId="544" priority="16">
      <formula>AND($V$12,$AK$11="")</formula>
    </cfRule>
  </conditionalFormatting>
  <conditionalFormatting sqref="K26">
    <cfRule type="expression" dxfId="543" priority="9">
      <formula>$AB$26</formula>
    </cfRule>
  </conditionalFormatting>
  <conditionalFormatting sqref="Q22:R24">
    <cfRule type="expression" dxfId="542" priority="39">
      <formula>IF(NoColor,1,0)</formula>
    </cfRule>
  </conditionalFormatting>
  <conditionalFormatting sqref="V13:Y13">
    <cfRule type="expression" dxfId="541" priority="12">
      <formula>AND($AC$14,$AK$11="")</formula>
    </cfRule>
  </conditionalFormatting>
  <conditionalFormatting sqref="X27:AC27">
    <cfRule type="expression" dxfId="540" priority="22">
      <formula>IF(NoColor,1,0)</formula>
    </cfRule>
  </conditionalFormatting>
  <conditionalFormatting sqref="Y8">
    <cfRule type="expression" dxfId="539" priority="36">
      <formula>IF(NoColor,1,0)</formula>
    </cfRule>
  </conditionalFormatting>
  <conditionalFormatting sqref="Y22:Y25">
    <cfRule type="expression" dxfId="538" priority="30">
      <formula>IF(NoColor,1,0)</formula>
    </cfRule>
  </conditionalFormatting>
  <conditionalFormatting sqref="Y21:AC22">
    <cfRule type="expression" dxfId="537" priority="28">
      <formula>IF(NoColor,1,0)</formula>
    </cfRule>
  </conditionalFormatting>
  <conditionalFormatting sqref="Y17:AJ17">
    <cfRule type="expression" dxfId="536" priority="34">
      <formula>IF(NoColor,1,0)</formula>
    </cfRule>
  </conditionalFormatting>
  <conditionalFormatting sqref="Y19:AJ20">
    <cfRule type="expression" dxfId="535" priority="11">
      <formula>IF(NoColor,1,0)</formula>
    </cfRule>
  </conditionalFormatting>
  <conditionalFormatting sqref="AE22:AE26">
    <cfRule type="expression" dxfId="534" priority="6">
      <formula>IF(NoColor,1,0)</formula>
    </cfRule>
  </conditionalFormatting>
  <conditionalFormatting sqref="AE13:AF13">
    <cfRule type="expression" dxfId="533" priority="14">
      <formula>AND($R$15,$AK$11="")</formula>
    </cfRule>
  </conditionalFormatting>
  <conditionalFormatting sqref="AE26:AJ26">
    <cfRule type="expression" dxfId="532" priority="24">
      <formula>IF(NoColor,1,0)</formula>
    </cfRule>
  </conditionalFormatting>
  <conditionalFormatting sqref="AE45:AJ46">
    <cfRule type="expression" dxfId="531" priority="21">
      <formula>IF(NoColor,1,0)</formula>
    </cfRule>
  </conditionalFormatting>
  <conditionalFormatting sqref="AE48:AJ48">
    <cfRule type="expression" dxfId="530" priority="19">
      <formula>IF(NoColor,1,0)</formula>
    </cfRule>
  </conditionalFormatting>
  <conditionalFormatting sqref="AK11:AK12">
    <cfRule type="expression" dxfId="529" priority="17">
      <formula>OR($V$12,$R$15)</formula>
    </cfRule>
  </conditionalFormatting>
  <conditionalFormatting sqref="AL18:AN19">
    <cfRule type="expression" dxfId="528" priority="1">
      <formula>NoColor</formula>
    </cfRule>
  </conditionalFormatting>
  <conditionalFormatting sqref="AL27:AN27">
    <cfRule type="expression" dxfId="527" priority="4">
      <formula>NoColor</formula>
    </cfRule>
  </conditionalFormatting>
  <conditionalFormatting sqref="AL48:AN48">
    <cfRule type="expression" dxfId="526" priority="3">
      <formula>NoColor</formula>
    </cfRule>
  </conditionalFormatting>
  <conditionalFormatting sqref="AO45">
    <cfRule type="expression" dxfId="525" priority="7">
      <formula>$AQ$44</formula>
    </cfRule>
  </conditionalFormatting>
  <hyperlinks>
    <hyperlink ref="C58:D60" location="'Table of Contents'!A1" display="Table of Contents" xr:uid="{00000000-0004-0000-3400-000000000000}"/>
    <hyperlink ref="B55:H55" r:id="rId1" display="Download Form 1040 Schedule R" xr:uid="{00000000-0004-0000-3400-000001000000}"/>
    <hyperlink ref="B55:I55" r:id="rId2" display="Download Form 1040 Form 8962" xr:uid="{00000000-0004-0000-3400-000002000000}"/>
    <hyperlink ref="B55:L55" r:id="rId3" display="Download Form 8880 &amp; Instructions" xr:uid="{00000000-0004-0000-3400-000003000000}"/>
  </hyperlinks>
  <pageMargins left="0.75" right="0.25" top="0.36" bottom="0.28999999999999998" header="0.36" footer="0.21"/>
  <pageSetup scale="68" fitToHeight="0" orientation="portrait" r:id="rId4"/>
  <drawing r:id="rId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pageSetUpPr fitToPage="1"/>
  </sheetPr>
  <dimension ref="A1:AW160"/>
  <sheetViews>
    <sheetView zoomScaleNormal="100" zoomScaleSheetLayoutView="130" workbookViewId="0"/>
  </sheetViews>
  <sheetFormatPr defaultRowHeight="12.75"/>
  <cols>
    <col min="1" max="1" width="2.42578125" customWidth="1"/>
    <col min="2" max="2" width="7.7109375" customWidth="1"/>
    <col min="3" max="3" width="10" customWidth="1"/>
    <col min="4" max="4" width="4.28515625" customWidth="1"/>
    <col min="5" max="5" width="8.42578125" customWidth="1"/>
    <col min="6" max="6" width="19.42578125" customWidth="1"/>
    <col min="7" max="7" width="8" customWidth="1"/>
    <col min="8" max="8" width="7" customWidth="1"/>
    <col min="9" max="9" width="8" customWidth="1"/>
    <col min="10" max="10" width="3.140625" customWidth="1"/>
    <col min="11" max="11" width="15.7109375" customWidth="1"/>
    <col min="12" max="12" width="3.7109375" customWidth="1"/>
    <col min="13" max="13" width="14.140625" customWidth="1"/>
    <col min="14" max="14" width="2.5703125" customWidth="1"/>
    <col min="15" max="15" width="3" customWidth="1"/>
    <col min="16" max="16" width="9.7109375" style="84" customWidth="1"/>
    <col min="17" max="17" width="15.42578125" customWidth="1"/>
    <col min="18" max="18" width="2.28515625" customWidth="1"/>
    <col min="19" max="19" width="6.7109375" style="4359" hidden="1" customWidth="1"/>
    <col min="20" max="20" width="6.28515625" style="4359" hidden="1" customWidth="1"/>
    <col min="21" max="21" width="8.7109375" style="4359" hidden="1" customWidth="1"/>
    <col min="22" max="22" width="7.42578125" style="4359" hidden="1" customWidth="1"/>
    <col min="23" max="23" width="3.28515625" style="4359" customWidth="1"/>
    <col min="24" max="24" width="13.42578125" style="80" customWidth="1"/>
    <col min="25" max="25" width="1.28515625" style="329" customWidth="1"/>
    <col min="26" max="26" width="3.85546875" style="688" customWidth="1"/>
    <col min="27" max="27" width="1.28515625" style="329" customWidth="1"/>
    <col min="28" max="28" width="4.28515625" style="688" customWidth="1"/>
    <col min="29" max="29" width="1.28515625" style="329" customWidth="1"/>
    <col min="30" max="30" width="2.7109375" style="688" customWidth="1"/>
    <col min="31" max="31" width="1.28515625" style="329" customWidth="1"/>
    <col min="32" max="32" width="9.140625" style="4354" customWidth="1"/>
    <col min="33" max="34" width="3" style="329" customWidth="1"/>
    <col min="35" max="36" width="7" style="329" hidden="1" customWidth="1"/>
    <col min="37" max="37" width="6.28515625" style="329" hidden="1" customWidth="1"/>
    <col min="38" max="38" width="2.42578125" style="329" hidden="1" customWidth="1"/>
    <col min="39" max="39" width="8.42578125" style="329" hidden="1" customWidth="1"/>
    <col min="40" max="40" width="3" style="329" customWidth="1"/>
    <col min="41" max="41" width="3.42578125" style="658" customWidth="1"/>
    <col min="42" max="49" width="10.7109375" style="658" customWidth="1"/>
  </cols>
  <sheetData>
    <row r="1" spans="1:49" ht="12" customHeight="1">
      <c r="A1" s="2945"/>
      <c r="B1" s="210"/>
      <c r="C1" s="210"/>
      <c r="D1" s="210"/>
      <c r="E1" s="210"/>
      <c r="F1" s="210"/>
      <c r="G1" s="210"/>
      <c r="H1" s="210"/>
      <c r="I1" s="210"/>
      <c r="J1" s="210"/>
      <c r="K1" s="210"/>
      <c r="L1" s="211"/>
      <c r="M1" s="139"/>
      <c r="N1" s="139"/>
      <c r="O1" s="253"/>
      <c r="P1" s="729"/>
      <c r="Q1" s="2013"/>
      <c r="R1" s="253"/>
      <c r="S1" s="314"/>
      <c r="T1" s="314"/>
      <c r="U1" s="314"/>
      <c r="V1" s="314"/>
      <c r="W1" s="730"/>
      <c r="X1" s="344"/>
      <c r="Y1" s="344"/>
      <c r="Z1" s="689"/>
      <c r="AA1" s="344"/>
      <c r="AB1" s="689"/>
      <c r="AC1" s="344"/>
      <c r="AD1" s="689"/>
      <c r="AE1" s="344"/>
      <c r="AF1" s="4232"/>
      <c r="AG1" s="344"/>
      <c r="AH1" s="344"/>
      <c r="AI1" s="344"/>
      <c r="AJ1" s="344"/>
      <c r="AK1" s="344"/>
      <c r="AL1" s="344"/>
      <c r="AM1" s="344"/>
      <c r="AN1" s="344"/>
      <c r="AO1" s="657" t="s">
        <v>223</v>
      </c>
      <c r="AP1" s="657"/>
    </row>
    <row r="2" spans="1:49" ht="17.25" customHeight="1">
      <c r="A2" s="2945"/>
      <c r="B2" s="4233"/>
      <c r="C2" s="4233"/>
      <c r="D2" s="4233"/>
      <c r="E2" s="4234" t="str">
        <f>IF(T5,"You can't deduct contributions if you are someone else's dependent.",IF(U5,"Your spouse can't deduct contributions if you are someone else's dependent.",IF(AND(File_Marr_Joint&lt;&gt;"",O7="",O8=""),"  Indicate in cells O7 &amp; O8 which taxpayer(s) are beneficiaries of an HSA",IF(O7="","  Indicate in cell O7 that you are the beneficiary of an HSA.",IF(AND(O7&lt;&gt;"",O8&lt;&gt;""),"  A separate Form 8889, for your spouse, is available below.","")))))</f>
        <v/>
      </c>
      <c r="F2" s="210"/>
      <c r="G2" s="210"/>
      <c r="H2" s="210"/>
      <c r="I2" s="210"/>
      <c r="J2" s="210"/>
      <c r="K2" s="210"/>
      <c r="L2" s="211"/>
      <c r="M2" s="139"/>
      <c r="N2" s="139"/>
      <c r="O2" s="4235"/>
      <c r="P2" s="4235"/>
      <c r="Q2" s="2013"/>
      <c r="R2" s="253"/>
      <c r="S2" s="314"/>
      <c r="T2" s="314"/>
      <c r="U2" s="314"/>
      <c r="V2" s="314"/>
      <c r="W2" s="730"/>
      <c r="X2" s="344"/>
      <c r="Y2" s="344"/>
      <c r="Z2" s="689"/>
      <c r="AA2" s="344"/>
      <c r="AB2" s="689"/>
      <c r="AC2" s="344"/>
      <c r="AD2" s="689"/>
      <c r="AE2" s="344"/>
      <c r="AF2" s="4232"/>
      <c r="AG2" s="344"/>
      <c r="AH2" s="344"/>
      <c r="AI2" s="344"/>
      <c r="AJ2" s="344"/>
      <c r="AK2" s="344"/>
      <c r="AL2" s="344"/>
      <c r="AM2" s="344"/>
      <c r="AN2" s="344"/>
    </row>
    <row r="3" spans="1:49" ht="13.5" customHeight="1">
      <c r="A3" s="2948"/>
      <c r="B3" s="206"/>
      <c r="C3" s="139"/>
      <c r="D3" s="139"/>
      <c r="E3" s="139"/>
      <c r="F3" s="139"/>
      <c r="G3" s="200"/>
      <c r="H3" s="139"/>
      <c r="I3" s="139"/>
      <c r="J3" s="139"/>
      <c r="K3" s="139"/>
      <c r="L3" s="7038" t="str">
        <f>IF('Table of Contents'!A59="D","DRAFT","")</f>
        <v/>
      </c>
      <c r="M3" s="7038"/>
      <c r="N3" s="139"/>
      <c r="O3" s="4236"/>
      <c r="P3" s="729"/>
      <c r="Q3" s="2013"/>
      <c r="R3" s="253"/>
      <c r="S3" s="314"/>
      <c r="T3" s="11290" t="s">
        <v>4352</v>
      </c>
      <c r="U3" s="11290"/>
      <c r="V3" s="314"/>
      <c r="W3" s="730"/>
      <c r="X3" s="344"/>
      <c r="Y3" s="344"/>
      <c r="Z3" s="689"/>
      <c r="AA3" s="344"/>
      <c r="AB3" s="689"/>
      <c r="AC3" s="344"/>
      <c r="AD3" s="689"/>
      <c r="AE3" s="344"/>
      <c r="AF3" s="4232"/>
      <c r="AG3" s="344"/>
      <c r="AH3" s="344"/>
      <c r="AI3" s="344"/>
      <c r="AJ3" s="344"/>
      <c r="AK3" s="344"/>
      <c r="AL3" s="344"/>
      <c r="AM3" s="344"/>
      <c r="AN3" s="344"/>
    </row>
    <row r="4" spans="1:49" ht="18">
      <c r="A4" s="139"/>
      <c r="B4" s="4237"/>
      <c r="C4" s="88"/>
      <c r="D4" s="90"/>
      <c r="E4" s="88"/>
      <c r="F4" s="88"/>
      <c r="G4" s="3437"/>
      <c r="H4" s="4238"/>
      <c r="I4" s="88"/>
      <c r="J4" s="88"/>
      <c r="K4" s="88"/>
      <c r="L4" s="11273" t="str">
        <f>IF(AND(N4="", 'Table of Contents'!A59="D"),"DRAFT","OMB No. 1545-0074")</f>
        <v>OMB No. 1545-0074</v>
      </c>
      <c r="M4" s="11274"/>
      <c r="N4" s="1796"/>
      <c r="O4" s="504"/>
      <c r="P4" s="4240"/>
      <c r="Q4" s="2013"/>
      <c r="R4" s="253"/>
      <c r="S4" s="314"/>
      <c r="T4" s="688" t="s">
        <v>566</v>
      </c>
      <c r="U4" s="688" t="s">
        <v>567</v>
      </c>
      <c r="V4" s="314"/>
      <c r="W4" s="730"/>
      <c r="X4" s="344"/>
      <c r="Y4" s="344"/>
      <c r="Z4" s="689"/>
      <c r="AA4" s="344"/>
      <c r="AB4" s="689"/>
      <c r="AC4" s="344"/>
      <c r="AD4" s="689"/>
      <c r="AE4" s="344"/>
      <c r="AF4" s="4232"/>
      <c r="AG4" s="344"/>
      <c r="AH4" s="344"/>
      <c r="AI4" s="344"/>
      <c r="AJ4" s="344"/>
      <c r="AK4" s="344"/>
      <c r="AL4" s="344"/>
      <c r="AM4" s="344"/>
      <c r="AN4" s="344"/>
    </row>
    <row r="5" spans="1:49" ht="21.75" customHeight="1">
      <c r="A5" s="139"/>
      <c r="B5" s="11275" t="s">
        <v>46</v>
      </c>
      <c r="C5" s="11276">
        <v>8889</v>
      </c>
      <c r="D5" s="11277"/>
      <c r="E5" s="9648" t="s">
        <v>4353</v>
      </c>
      <c r="F5" s="11280"/>
      <c r="G5" s="11280"/>
      <c r="H5" s="11280"/>
      <c r="I5" s="11280"/>
      <c r="J5" s="11280"/>
      <c r="K5" s="11281"/>
      <c r="L5" s="11261">
        <f>TaxYear</f>
        <v>2025</v>
      </c>
      <c r="M5" s="11262"/>
      <c r="N5" s="2746"/>
      <c r="O5" s="11269" t="s">
        <v>4357</v>
      </c>
      <c r="P5" s="11269"/>
      <c r="Q5" s="7393" t="s">
        <v>4354</v>
      </c>
      <c r="R5" s="344"/>
      <c r="S5" s="4241"/>
      <c r="T5" s="4227" t="b">
        <f>(DependentYOU&lt;&gt;"")</f>
        <v>0</v>
      </c>
      <c r="U5" s="4227" t="b">
        <f>(DependentSPOUSE&lt;&gt;"")</f>
        <v>0</v>
      </c>
      <c r="V5" s="4241"/>
      <c r="W5" s="4242"/>
      <c r="X5" s="514"/>
      <c r="Y5" s="344"/>
      <c r="Z5" s="689"/>
      <c r="AA5" s="344"/>
      <c r="AB5" s="689"/>
      <c r="AC5" s="344"/>
      <c r="AD5" s="689"/>
      <c r="AE5" s="344"/>
      <c r="AF5" s="4232"/>
      <c r="AG5" s="344"/>
      <c r="AH5" s="344"/>
      <c r="AI5" s="344"/>
      <c r="AJ5" s="344"/>
      <c r="AK5" s="344"/>
      <c r="AL5" s="344"/>
      <c r="AM5" s="344"/>
      <c r="AN5" s="344"/>
    </row>
    <row r="6" spans="1:49" ht="9.75" customHeight="1">
      <c r="A6" s="139"/>
      <c r="B6" s="9800"/>
      <c r="C6" s="11278"/>
      <c r="D6" s="11279"/>
      <c r="E6" s="8298"/>
      <c r="F6" s="8299"/>
      <c r="G6" s="8299"/>
      <c r="H6" s="8299"/>
      <c r="I6" s="8299"/>
      <c r="J6" s="8299"/>
      <c r="K6" s="8300"/>
      <c r="L6" s="11263"/>
      <c r="M6" s="11264"/>
      <c r="N6" s="2749"/>
      <c r="O6" s="11269" t="s">
        <v>4361</v>
      </c>
      <c r="P6" s="11269"/>
      <c r="Q6" s="7843"/>
      <c r="R6" s="504"/>
      <c r="S6" s="4224"/>
      <c r="T6" s="4224"/>
      <c r="U6" s="4224"/>
      <c r="V6" s="4224"/>
      <c r="W6" s="2257"/>
      <c r="X6" s="504"/>
      <c r="Y6" s="344"/>
      <c r="Z6" s="689"/>
      <c r="AA6" s="344"/>
      <c r="AB6" s="689"/>
      <c r="AC6" s="344"/>
      <c r="AD6" s="689"/>
      <c r="AE6" s="344"/>
      <c r="AF6" s="4232"/>
      <c r="AG6" s="344"/>
      <c r="AH6" s="344"/>
      <c r="AI6" s="344"/>
      <c r="AJ6" s="344"/>
      <c r="AK6" s="344"/>
      <c r="AL6" s="344"/>
      <c r="AM6" s="344"/>
      <c r="AN6" s="344"/>
    </row>
    <row r="7" spans="1:49" ht="12.75" customHeight="1">
      <c r="A7" s="139"/>
      <c r="B7" s="11316" t="s">
        <v>503</v>
      </c>
      <c r="C7" s="7844"/>
      <c r="D7" s="11317"/>
      <c r="E7" s="8298" t="s">
        <v>4355</v>
      </c>
      <c r="F7" s="8299"/>
      <c r="G7" s="8299"/>
      <c r="H7" s="8299"/>
      <c r="I7" s="8299"/>
      <c r="J7" s="8299"/>
      <c r="K7" s="8300"/>
      <c r="L7" s="11318" t="s">
        <v>4356</v>
      </c>
      <c r="M7" s="7844"/>
      <c r="N7" s="2746"/>
      <c r="O7" s="6743" t="s">
        <v>2119</v>
      </c>
      <c r="P7" s="4243" t="s">
        <v>566</v>
      </c>
      <c r="Q7" s="4244" t="b">
        <f>AND(O7&lt;&gt;"",O8&lt;&gt;"")</f>
        <v>0</v>
      </c>
      <c r="R7" s="504"/>
      <c r="S7" s="3342"/>
      <c r="T7" s="3342"/>
      <c r="U7" s="3342"/>
      <c r="V7" s="3342"/>
      <c r="W7" s="1204"/>
      <c r="X7" s="4245" t="s">
        <v>4358</v>
      </c>
      <c r="Y7" s="344"/>
      <c r="Z7" s="689"/>
      <c r="AA7" s="344"/>
      <c r="AB7" s="689"/>
      <c r="AC7" s="344"/>
      <c r="AD7" s="689"/>
      <c r="AE7" s="344"/>
      <c r="AF7" s="4232"/>
      <c r="AG7" s="344"/>
      <c r="AH7" s="344"/>
      <c r="AI7" s="344"/>
      <c r="AJ7" s="344"/>
      <c r="AK7" s="344"/>
      <c r="AL7" s="344"/>
      <c r="AM7" s="344"/>
      <c r="AN7" s="344"/>
    </row>
    <row r="8" spans="1:49" ht="12.75" customHeight="1" thickBot="1">
      <c r="A8" s="139"/>
      <c r="B8" s="11308" t="s">
        <v>505</v>
      </c>
      <c r="C8" s="11309"/>
      <c r="D8" s="11310"/>
      <c r="E8" s="11322" t="s">
        <v>4359</v>
      </c>
      <c r="F8" s="11323"/>
      <c r="G8" s="11323"/>
      <c r="H8" s="11323"/>
      <c r="I8" s="11323"/>
      <c r="J8" s="11323"/>
      <c r="K8" s="11324"/>
      <c r="L8" s="11314" t="s">
        <v>4360</v>
      </c>
      <c r="M8" s="11315"/>
      <c r="N8" s="2746"/>
      <c r="O8" s="6744"/>
      <c r="P8" s="4243" t="s">
        <v>567</v>
      </c>
      <c r="Q8" s="11292" t="str">
        <f>IF(AND(O7="",O8=""),"Indicate HSA beneficiary here.",IF($Q$7,"A separate "&amp;CHAR(10)&amp;"Form 8889 is available below.",""))</f>
        <v/>
      </c>
      <c r="R8" s="344"/>
      <c r="S8" s="3342"/>
      <c r="T8" s="3342"/>
      <c r="U8" s="3342"/>
      <c r="V8" s="3342"/>
      <c r="W8" s="1204"/>
      <c r="X8" s="11291" t="s">
        <v>4362</v>
      </c>
      <c r="Y8" s="11291"/>
      <c r="Z8" s="8060"/>
      <c r="AA8" s="8060"/>
      <c r="AB8" s="8060"/>
      <c r="AC8" s="8060"/>
      <c r="AD8" s="8060"/>
      <c r="AE8" s="8060"/>
      <c r="AF8" s="8060"/>
      <c r="AG8" s="8060"/>
      <c r="AH8" s="846"/>
      <c r="AI8" s="344"/>
      <c r="AJ8" s="344"/>
      <c r="AK8" s="344"/>
      <c r="AL8" s="344"/>
      <c r="AM8" s="344"/>
      <c r="AN8" s="344"/>
    </row>
    <row r="9" spans="1:49" ht="27" customHeight="1" thickBot="1">
      <c r="A9" s="139"/>
      <c r="B9" s="4246" t="s">
        <v>4363</v>
      </c>
      <c r="C9" s="2827"/>
      <c r="D9" s="2827"/>
      <c r="E9" s="2755"/>
      <c r="F9" s="2756"/>
      <c r="G9" s="2753"/>
      <c r="H9" s="2756"/>
      <c r="I9" s="2756"/>
      <c r="J9" s="11267" t="s">
        <v>4364</v>
      </c>
      <c r="K9" s="11268"/>
      <c r="L9" s="11268"/>
      <c r="M9" s="11268"/>
      <c r="N9" s="2746"/>
      <c r="O9" s="253"/>
      <c r="P9" s="4247"/>
      <c r="Q9" s="11292"/>
      <c r="R9" s="344"/>
      <c r="S9" s="4248"/>
      <c r="T9" s="4248"/>
      <c r="U9" s="4248"/>
      <c r="V9" s="4248"/>
      <c r="W9" s="4249"/>
      <c r="X9" s="10330"/>
      <c r="Y9" s="10330"/>
      <c r="Z9" s="10330"/>
      <c r="AA9" s="10330"/>
      <c r="AB9" s="10330"/>
      <c r="AC9" s="10330"/>
      <c r="AD9" s="10330"/>
      <c r="AE9" s="10330"/>
      <c r="AF9" s="10330"/>
      <c r="AG9" s="10330"/>
      <c r="AH9" s="846"/>
      <c r="AI9" s="344"/>
      <c r="AJ9" s="344"/>
      <c r="AK9" s="344"/>
      <c r="AL9" s="344"/>
      <c r="AM9" s="344"/>
      <c r="AN9" s="344"/>
    </row>
    <row r="10" spans="1:49" ht="15" customHeight="1">
      <c r="A10" s="139"/>
      <c r="B10" s="10320" t="str">
        <f>IF(O7&lt;&gt;"",NameYours,IF(O8&lt;&gt;"",NameSpouse,Names))</f>
        <v xml:space="preserve"> </v>
      </c>
      <c r="C10" s="7603"/>
      <c r="D10" s="7603"/>
      <c r="E10" s="7603"/>
      <c r="F10" s="7603"/>
      <c r="G10" s="7603"/>
      <c r="H10" s="7603"/>
      <c r="I10" s="7603"/>
      <c r="J10" s="8064">
        <f>IF(NoSSN,"",IF(O7&lt;&gt;"",SS_Yours,IF(O8&lt;&gt;"",SS_Spouse,SS_Yours)))</f>
        <v>1010001</v>
      </c>
      <c r="K10" s="8358"/>
      <c r="L10" s="8358"/>
      <c r="M10" s="8358"/>
      <c r="N10" s="2746"/>
      <c r="O10" s="344"/>
      <c r="P10" s="4250"/>
      <c r="Q10" s="11292"/>
      <c r="R10" s="344"/>
      <c r="S10" s="4248"/>
      <c r="T10" s="4248"/>
      <c r="U10" s="4248"/>
      <c r="V10" s="4248"/>
      <c r="W10" s="4249"/>
      <c r="X10" s="11293" t="s">
        <v>4365</v>
      </c>
      <c r="Y10" s="11294"/>
      <c r="Z10" s="11294"/>
      <c r="AA10" s="11294"/>
      <c r="AB10" s="11294"/>
      <c r="AC10" s="11294"/>
      <c r="AD10" s="11294"/>
      <c r="AE10" s="11294"/>
      <c r="AF10" s="11294"/>
      <c r="AG10" s="11295"/>
      <c r="AH10" s="4251"/>
      <c r="AI10" s="344"/>
      <c r="AJ10" s="344"/>
      <c r="AK10" s="344"/>
      <c r="AL10" s="344"/>
      <c r="AM10" s="344"/>
      <c r="AN10" s="344"/>
    </row>
    <row r="11" spans="1:49" ht="24.75" customHeight="1">
      <c r="A11" s="139"/>
      <c r="B11" s="4252" t="s">
        <v>4366</v>
      </c>
      <c r="C11" s="413"/>
      <c r="D11" s="413"/>
      <c r="E11" s="413"/>
      <c r="F11" s="413"/>
      <c r="G11" s="413"/>
      <c r="H11" s="413"/>
      <c r="I11" s="413"/>
      <c r="J11" s="4253"/>
      <c r="K11" s="4253"/>
      <c r="L11" s="413"/>
      <c r="M11" s="413"/>
      <c r="N11" s="2749"/>
      <c r="O11" s="344"/>
      <c r="P11" s="4254"/>
      <c r="Q11" s="4255"/>
      <c r="R11" s="344"/>
      <c r="S11" s="4248"/>
      <c r="T11" s="4248"/>
      <c r="U11" s="4248"/>
      <c r="V11" s="4248"/>
      <c r="W11" s="4249"/>
      <c r="X11" s="4256"/>
      <c r="Y11" s="344"/>
      <c r="Z11" s="11299" t="s">
        <v>4367</v>
      </c>
      <c r="AA11" s="344"/>
      <c r="AB11" s="11299" t="s">
        <v>4368</v>
      </c>
      <c r="AC11" s="344"/>
      <c r="AD11" s="11299" t="s">
        <v>4369</v>
      </c>
      <c r="AE11" s="344"/>
      <c r="AF11" s="4232"/>
      <c r="AG11" s="346"/>
      <c r="AH11" s="344"/>
      <c r="AI11" s="344"/>
      <c r="AJ11" s="344"/>
      <c r="AK11" s="344"/>
      <c r="AL11" s="344"/>
      <c r="AM11" s="344"/>
      <c r="AN11" s="344"/>
    </row>
    <row r="12" spans="1:49" ht="15">
      <c r="A12" s="139"/>
      <c r="B12" s="4257" t="s">
        <v>2154</v>
      </c>
      <c r="C12" s="11270" t="s">
        <v>4370</v>
      </c>
      <c r="D12" s="11270"/>
      <c r="E12" s="9452"/>
      <c r="F12" s="9452"/>
      <c r="G12" s="9452"/>
      <c r="H12" s="9452"/>
      <c r="I12" s="9452"/>
      <c r="J12" s="9452"/>
      <c r="K12" s="9452"/>
      <c r="L12" s="9452"/>
      <c r="M12" s="9452"/>
      <c r="N12" s="2762"/>
      <c r="O12" s="344"/>
      <c r="P12" s="4258"/>
      <c r="Q12" s="2013"/>
      <c r="R12" s="344"/>
      <c r="S12" s="314"/>
      <c r="T12" s="314"/>
      <c r="U12" s="314"/>
      <c r="V12" s="314"/>
      <c r="W12" s="730"/>
      <c r="X12" s="1073"/>
      <c r="Y12" s="344"/>
      <c r="Z12" s="11300"/>
      <c r="AA12" s="344"/>
      <c r="AB12" s="11300"/>
      <c r="AC12" s="344"/>
      <c r="AD12" s="11300"/>
      <c r="AE12" s="344"/>
      <c r="AF12" s="4232"/>
      <c r="AG12" s="346"/>
      <c r="AH12" s="344"/>
      <c r="AI12" s="344"/>
      <c r="AJ12" s="344"/>
      <c r="AK12" s="344"/>
      <c r="AL12" s="344"/>
      <c r="AM12" s="344"/>
      <c r="AN12" s="344"/>
    </row>
    <row r="13" spans="1:49" ht="12" customHeight="1">
      <c r="A13" s="139"/>
      <c r="B13" s="4259"/>
      <c r="C13" s="11320" t="s">
        <v>4371</v>
      </c>
      <c r="D13" s="11320"/>
      <c r="E13" s="11321"/>
      <c r="F13" s="11321"/>
      <c r="G13" s="11321"/>
      <c r="H13" s="11321"/>
      <c r="I13" s="11321"/>
      <c r="J13" s="11321"/>
      <c r="K13" s="11321"/>
      <c r="L13" s="11321"/>
      <c r="M13" s="11321"/>
      <c r="N13" s="2762"/>
      <c r="O13" s="344"/>
      <c r="P13" s="4260"/>
      <c r="Q13" s="2785"/>
      <c r="R13" s="344"/>
      <c r="S13" s="314"/>
      <c r="T13" s="314"/>
      <c r="U13" s="314"/>
      <c r="V13" s="314"/>
      <c r="W13" s="730"/>
      <c r="X13" s="1073"/>
      <c r="Y13" s="344"/>
      <c r="Z13" s="11300"/>
      <c r="AA13" s="344"/>
      <c r="AB13" s="11300"/>
      <c r="AC13" s="344"/>
      <c r="AD13" s="11300"/>
      <c r="AE13" s="344"/>
      <c r="AF13" s="4232"/>
      <c r="AG13" s="346"/>
      <c r="AH13" s="344"/>
      <c r="AI13" s="344"/>
      <c r="AJ13" s="344"/>
      <c r="AK13" s="344"/>
      <c r="AL13" s="344"/>
      <c r="AM13" s="344"/>
      <c r="AN13" s="344"/>
    </row>
    <row r="14" spans="1:49" ht="6" customHeight="1">
      <c r="A14" s="139"/>
      <c r="B14" s="4261"/>
      <c r="C14" s="4262"/>
      <c r="D14" s="4262"/>
      <c r="E14" s="4263"/>
      <c r="F14" s="4263"/>
      <c r="G14" s="4263"/>
      <c r="H14" s="4263"/>
      <c r="I14" s="4263"/>
      <c r="J14" s="4263"/>
      <c r="K14" s="4263"/>
      <c r="L14" s="4263"/>
      <c r="M14" s="4263"/>
      <c r="N14" s="2762"/>
      <c r="O14" s="344"/>
      <c r="P14" s="4264"/>
      <c r="Q14" s="4265"/>
      <c r="R14" s="344"/>
      <c r="S14" s="314"/>
      <c r="T14" s="314"/>
      <c r="U14" s="314"/>
      <c r="V14" s="314"/>
      <c r="W14" s="730"/>
      <c r="X14" s="1073"/>
      <c r="Y14" s="344"/>
      <c r="Z14" s="11300"/>
      <c r="AA14" s="344"/>
      <c r="AB14" s="11300"/>
      <c r="AC14" s="344"/>
      <c r="AD14" s="11300"/>
      <c r="AE14" s="344"/>
      <c r="AF14" s="4232"/>
      <c r="AG14" s="346"/>
      <c r="AH14" s="344"/>
      <c r="AI14" s="344"/>
      <c r="AJ14" s="344"/>
      <c r="AK14" s="344"/>
      <c r="AL14" s="344"/>
      <c r="AM14" s="344"/>
      <c r="AN14" s="344"/>
    </row>
    <row r="15" spans="1:49" s="214" customFormat="1" ht="12" customHeight="1">
      <c r="A15" s="139"/>
      <c r="B15" s="2768">
        <v>1</v>
      </c>
      <c r="C15" s="2769" t="str">
        <f>"Check the box to indicate your coverage under a high-deductible health plan (HDHP) during "&amp;TaxYear</f>
        <v>Check the box to indicate your coverage under a high-deductible health plan (HDHP) during 2025</v>
      </c>
      <c r="D15" s="2770"/>
      <c r="E15" s="2751"/>
      <c r="F15" s="2751"/>
      <c r="G15" s="2771"/>
      <c r="H15" s="2771"/>
      <c r="I15" s="2771"/>
      <c r="J15" s="2771"/>
      <c r="K15" s="2768"/>
      <c r="L15" s="572"/>
      <c r="M15" s="4266" t="s">
        <v>4372</v>
      </c>
      <c r="N15" s="2783"/>
      <c r="O15" s="689"/>
      <c r="P15" s="4267">
        <f>IF(L15&lt;&gt;"",1,0)</f>
        <v>0</v>
      </c>
      <c r="Q15" s="4268" t="str">
        <f>IF(P19=0,"Check one box.",IF(P19=2,"Check only one box.",""))</f>
        <v>Check one box.</v>
      </c>
      <c r="R15" s="689"/>
      <c r="S15" s="688"/>
      <c r="T15" s="688"/>
      <c r="U15" s="688"/>
      <c r="V15" s="688"/>
      <c r="W15" s="689"/>
      <c r="X15" s="4269"/>
      <c r="Y15" s="344"/>
      <c r="Z15" s="11300"/>
      <c r="AA15" s="344"/>
      <c r="AB15" s="11300"/>
      <c r="AC15" s="344"/>
      <c r="AD15" s="11300"/>
      <c r="AE15" s="344"/>
      <c r="AF15" s="4232"/>
      <c r="AG15" s="346"/>
      <c r="AH15" s="344"/>
      <c r="AI15" s="343"/>
      <c r="AJ15" s="343"/>
      <c r="AK15" s="343"/>
      <c r="AL15" s="343"/>
      <c r="AM15" s="343"/>
      <c r="AN15" s="343"/>
      <c r="AO15" s="658"/>
      <c r="AP15" s="658"/>
      <c r="AQ15" s="658"/>
      <c r="AR15" s="658"/>
      <c r="AS15" s="658"/>
      <c r="AT15" s="658"/>
      <c r="AU15" s="658"/>
      <c r="AV15" s="658"/>
      <c r="AW15" s="658"/>
    </row>
    <row r="16" spans="1:49" s="214" customFormat="1" ht="5.25" customHeight="1">
      <c r="A16" s="139"/>
      <c r="B16" s="2768"/>
      <c r="C16" s="11319" t="s">
        <v>726</v>
      </c>
      <c r="D16" s="8740"/>
      <c r="E16" s="8740"/>
      <c r="F16" s="571"/>
      <c r="G16" s="571"/>
      <c r="H16" s="571"/>
      <c r="I16" s="571"/>
      <c r="J16" s="571"/>
      <c r="K16" s="571"/>
      <c r="L16" s="2768"/>
      <c r="M16" s="3197"/>
      <c r="N16" s="2783"/>
      <c r="O16" s="689"/>
      <c r="P16" s="4267"/>
      <c r="Q16" s="2013"/>
      <c r="R16" s="689"/>
      <c r="S16" s="688"/>
      <c r="T16" s="688"/>
      <c r="U16" s="688"/>
      <c r="V16" s="688"/>
      <c r="W16" s="689"/>
      <c r="X16" s="4269"/>
      <c r="Y16" s="344"/>
      <c r="Z16" s="11300"/>
      <c r="AA16" s="344"/>
      <c r="AB16" s="11300"/>
      <c r="AC16" s="344"/>
      <c r="AD16" s="11300"/>
      <c r="AE16" s="344"/>
      <c r="AF16" s="4232"/>
      <c r="AG16" s="346"/>
      <c r="AH16" s="344"/>
      <c r="AI16" s="343"/>
      <c r="AJ16" s="343"/>
      <c r="AK16" s="343"/>
      <c r="AL16" s="343"/>
      <c r="AM16" s="343"/>
      <c r="AN16" s="343"/>
      <c r="AO16" s="658"/>
      <c r="AP16" s="658"/>
      <c r="AQ16" s="658"/>
      <c r="AR16" s="658"/>
      <c r="AS16" s="658"/>
      <c r="AT16" s="658"/>
      <c r="AU16" s="658"/>
      <c r="AV16" s="658"/>
      <c r="AW16" s="658"/>
    </row>
    <row r="17" spans="1:49" s="214" customFormat="1" ht="10.5" customHeight="1">
      <c r="A17" s="139"/>
      <c r="B17" s="2768"/>
      <c r="C17" s="8740"/>
      <c r="D17" s="8740"/>
      <c r="E17" s="8740"/>
      <c r="F17" s="571"/>
      <c r="G17" s="571"/>
      <c r="H17" s="571"/>
      <c r="I17" s="571"/>
      <c r="J17" s="571"/>
      <c r="K17" s="4270" t="s">
        <v>2097</v>
      </c>
      <c r="L17" s="572"/>
      <c r="M17" s="4266" t="s">
        <v>4373</v>
      </c>
      <c r="N17" s="2783"/>
      <c r="O17" s="689"/>
      <c r="P17" s="4267">
        <f>IF(L17&lt;&gt;"",1,0)</f>
        <v>0</v>
      </c>
      <c r="Q17" s="4271" t="b">
        <f>IF(P19=1,TRUE,FALSE)</f>
        <v>0</v>
      </c>
      <c r="R17" s="689"/>
      <c r="S17" s="688"/>
      <c r="T17" s="688"/>
      <c r="U17" s="688"/>
      <c r="V17" s="688"/>
      <c r="W17" s="689"/>
      <c r="X17" s="4269"/>
      <c r="Y17" s="344"/>
      <c r="Z17" s="11300"/>
      <c r="AA17" s="344"/>
      <c r="AB17" s="11300"/>
      <c r="AC17" s="344"/>
      <c r="AD17" s="11300"/>
      <c r="AE17" s="344"/>
      <c r="AF17" s="4232"/>
      <c r="AG17" s="346"/>
      <c r="AH17" s="344"/>
      <c r="AI17" s="343"/>
      <c r="AJ17" s="343"/>
      <c r="AK17" s="343"/>
      <c r="AL17" s="343"/>
      <c r="AM17" s="343"/>
      <c r="AN17" s="343"/>
      <c r="AO17" s="658"/>
      <c r="AP17" s="658"/>
      <c r="AQ17" s="658"/>
      <c r="AR17" s="658"/>
      <c r="AS17" s="658"/>
      <c r="AT17" s="658"/>
      <c r="AU17" s="658"/>
      <c r="AV17" s="658"/>
      <c r="AW17" s="658"/>
    </row>
    <row r="18" spans="1:49" s="214" customFormat="1" ht="4.5" customHeight="1">
      <c r="A18" s="139"/>
      <c r="B18" s="2768"/>
      <c r="C18" s="141"/>
      <c r="D18" s="141"/>
      <c r="E18" s="141"/>
      <c r="F18" s="571"/>
      <c r="G18" s="571"/>
      <c r="H18" s="571"/>
      <c r="I18" s="571"/>
      <c r="J18" s="571"/>
      <c r="K18" s="2075"/>
      <c r="L18" s="573"/>
      <c r="M18" s="4266"/>
      <c r="N18" s="2783"/>
      <c r="O18" s="689"/>
      <c r="P18" s="3256"/>
      <c r="Q18" s="2013"/>
      <c r="R18" s="689"/>
      <c r="S18" s="688"/>
      <c r="T18" s="688"/>
      <c r="U18" s="688"/>
      <c r="V18" s="688"/>
      <c r="W18" s="689"/>
      <c r="X18" s="4269"/>
      <c r="Y18" s="344"/>
      <c r="Z18" s="11300"/>
      <c r="AA18" s="344"/>
      <c r="AB18" s="11300"/>
      <c r="AC18" s="344"/>
      <c r="AD18" s="11300"/>
      <c r="AE18" s="344"/>
      <c r="AF18" s="4232"/>
      <c r="AG18" s="346"/>
      <c r="AH18" s="344"/>
      <c r="AI18" s="343"/>
      <c r="AJ18" s="343"/>
      <c r="AK18" s="343"/>
      <c r="AL18" s="343"/>
      <c r="AM18" s="343"/>
      <c r="AN18" s="343"/>
      <c r="AO18" s="658"/>
      <c r="AP18" s="658"/>
      <c r="AQ18" s="658"/>
      <c r="AR18" s="658"/>
      <c r="AS18" s="658"/>
      <c r="AT18" s="658"/>
      <c r="AU18" s="658"/>
      <c r="AV18" s="658"/>
      <c r="AW18" s="658"/>
    </row>
    <row r="19" spans="1:49" s="214" customFormat="1" ht="12" customHeight="1">
      <c r="A19" s="139"/>
      <c r="B19" s="2768">
        <v>2</v>
      </c>
      <c r="C19" s="2769" t="str">
        <f>"HSA contributions you made for "&amp;TaxYear&amp;" (or those made on your behalf), including those made by the"</f>
        <v>HSA contributions you made for 2025 (or those made on your behalf), including those made by the</v>
      </c>
      <c r="D19" s="2770"/>
      <c r="E19" s="2751"/>
      <c r="F19" s="2751"/>
      <c r="G19" s="2771"/>
      <c r="H19" s="2771"/>
      <c r="I19" s="2771"/>
      <c r="J19" s="2771"/>
      <c r="K19" s="2768"/>
      <c r="L19" s="3215"/>
      <c r="M19" s="2799"/>
      <c r="N19" s="2783"/>
      <c r="O19" s="689"/>
      <c r="P19" s="4267">
        <f>SUM(P15,P17)</f>
        <v>0</v>
      </c>
      <c r="Q19" s="2785"/>
      <c r="R19" s="689"/>
      <c r="S19" s="688"/>
      <c r="T19" s="688"/>
      <c r="U19" s="688"/>
      <c r="V19" s="688"/>
      <c r="W19" s="689"/>
      <c r="X19" s="4269"/>
      <c r="Y19" s="344"/>
      <c r="Z19" s="11300"/>
      <c r="AA19" s="344"/>
      <c r="AB19" s="11300"/>
      <c r="AC19" s="344"/>
      <c r="AD19" s="11300"/>
      <c r="AE19" s="344"/>
      <c r="AF19" s="4232"/>
      <c r="AG19" s="346"/>
      <c r="AH19" s="344"/>
      <c r="AI19" s="343"/>
      <c r="AJ19" s="343"/>
      <c r="AK19" s="343"/>
      <c r="AL19" s="343"/>
      <c r="AM19" s="343"/>
      <c r="AN19" s="343"/>
      <c r="AO19" s="658"/>
      <c r="AP19" s="658"/>
      <c r="AQ19" s="658"/>
      <c r="AR19" s="658"/>
      <c r="AS19" s="658"/>
      <c r="AT19" s="658"/>
      <c r="AU19" s="658"/>
      <c r="AV19" s="658"/>
      <c r="AW19" s="658"/>
    </row>
    <row r="20" spans="1:49" ht="12" customHeight="1">
      <c r="A20" s="139"/>
      <c r="B20" s="2768"/>
      <c r="C20" s="2769" t="str">
        <f>"unextended due date of your tax return that were for "&amp;TaxYear&amp;"."</f>
        <v>unextended due date of your tax return that were for 2025.</v>
      </c>
      <c r="D20" s="2769"/>
      <c r="E20" s="2751"/>
      <c r="F20" s="2751"/>
      <c r="G20" s="2771"/>
      <c r="H20" s="2769" t="s">
        <v>6701</v>
      </c>
      <c r="I20" s="2770"/>
      <c r="J20" s="2771"/>
      <c r="K20" s="2771"/>
      <c r="L20" s="2805"/>
      <c r="M20" s="2989">
        <f>IF(M21="",0,ROUND(M21,0))</f>
        <v>0</v>
      </c>
      <c r="N20" s="2775"/>
      <c r="O20" s="343"/>
      <c r="P20" s="3256"/>
      <c r="Q20" s="2785"/>
      <c r="R20" s="343"/>
      <c r="S20" s="688"/>
      <c r="T20" s="688"/>
      <c r="U20" s="688"/>
      <c r="V20" s="688"/>
      <c r="W20" s="689"/>
      <c r="X20" s="2846"/>
      <c r="Y20" s="344"/>
      <c r="Z20" s="11300"/>
      <c r="AA20" s="344"/>
      <c r="AB20" s="11300"/>
      <c r="AC20" s="344"/>
      <c r="AD20" s="11300"/>
      <c r="AE20" s="344"/>
      <c r="AF20" s="4232"/>
      <c r="AG20" s="346"/>
      <c r="AH20" s="344"/>
      <c r="AI20" s="344"/>
      <c r="AJ20" s="689" t="s">
        <v>566</v>
      </c>
      <c r="AK20" s="689" t="s">
        <v>4374</v>
      </c>
      <c r="AL20" s="689"/>
      <c r="AM20" s="689"/>
      <c r="AN20" s="689"/>
    </row>
    <row r="21" spans="1:49" ht="12" customHeight="1">
      <c r="A21" s="139"/>
      <c r="B21" s="2768"/>
      <c r="C21" s="2769" t="s">
        <v>4375</v>
      </c>
      <c r="D21" s="2769"/>
      <c r="E21" s="2751"/>
      <c r="F21" s="2751"/>
      <c r="G21" s="2771"/>
      <c r="H21" s="2768"/>
      <c r="I21" s="2768"/>
      <c r="J21" s="2768"/>
      <c r="K21" s="2768" t="s">
        <v>670</v>
      </c>
      <c r="L21" s="2773">
        <f>B19</f>
        <v>2</v>
      </c>
      <c r="M21" s="335"/>
      <c r="N21" s="2775"/>
      <c r="O21" s="343"/>
      <c r="P21" s="3256"/>
      <c r="Q21" s="2785"/>
      <c r="R21" s="343"/>
      <c r="S21" s="688" t="s">
        <v>765</v>
      </c>
      <c r="T21" s="688"/>
      <c r="U21" s="688" t="s">
        <v>4376</v>
      </c>
      <c r="V21" s="688" t="s">
        <v>3354</v>
      </c>
      <c r="W21" s="689"/>
      <c r="X21" s="2118">
        <f>TaxYear</f>
        <v>2025</v>
      </c>
      <c r="Y21" s="344"/>
      <c r="Z21" s="11300"/>
      <c r="AA21" s="344"/>
      <c r="AB21" s="11300"/>
      <c r="AC21" s="344"/>
      <c r="AD21" s="11300"/>
      <c r="AE21" s="344"/>
      <c r="AF21" s="4232"/>
      <c r="AG21" s="346"/>
      <c r="AH21" s="344"/>
      <c r="AI21" s="689" t="s">
        <v>4376</v>
      </c>
      <c r="AJ21" s="689" t="s">
        <v>3354</v>
      </c>
      <c r="AK21" s="689" t="s">
        <v>3354</v>
      </c>
      <c r="AL21" s="689"/>
      <c r="AM21" s="689"/>
      <c r="AN21" s="689"/>
    </row>
    <row r="22" spans="1:49" s="214" customFormat="1" ht="12" customHeight="1">
      <c r="A22" s="139"/>
      <c r="B22" s="2768">
        <v>3</v>
      </c>
      <c r="C22" s="2770" t="str">
        <f>"If  you  were  under age "&amp;P22&amp;" at  the  end of  "&amp;TaxYear&amp;"  and,"</f>
        <v>If  you  were  under age 55 at  the  end of  2025  and,</v>
      </c>
      <c r="D22" s="2770"/>
      <c r="E22" s="2751"/>
      <c r="F22" s="2751"/>
      <c r="G22" s="2770" t="s">
        <v>6702</v>
      </c>
      <c r="H22" s="4272"/>
      <c r="I22" s="4272"/>
      <c r="J22" s="3002"/>
      <c r="K22" s="2770" t="str">
        <f>"during "&amp;TaxYear&amp;", you"</f>
        <v>during 2025, you</v>
      </c>
      <c r="L22" s="4273"/>
      <c r="M22" s="4274"/>
      <c r="N22" s="2783"/>
      <c r="O22" s="689"/>
      <c r="P22" s="4267">
        <v>55</v>
      </c>
      <c r="Q22" s="2785"/>
      <c r="R22" s="689"/>
      <c r="S22" s="250" t="s">
        <v>4377</v>
      </c>
      <c r="T22" s="4275" t="s">
        <v>369</v>
      </c>
      <c r="U22" s="4276">
        <v>4300</v>
      </c>
      <c r="V22" s="4276">
        <v>8550</v>
      </c>
      <c r="W22" s="4277"/>
      <c r="X22" s="4278" t="s">
        <v>4378</v>
      </c>
      <c r="Y22" s="344"/>
      <c r="Z22" s="4279" t="s">
        <v>298</v>
      </c>
      <c r="AA22" s="344"/>
      <c r="AB22" s="4279" t="s">
        <v>4379</v>
      </c>
      <c r="AC22" s="344"/>
      <c r="AD22" s="4279" t="str">
        <f>IF(L17&lt;&gt;"","F","S")</f>
        <v>S</v>
      </c>
      <c r="AE22" s="344"/>
      <c r="AF22" s="4232">
        <f t="shared" ref="AF22:AF33" si="0">IF(OR(Z22="Y",Z22="y",AB22="N",AB22="n"),0,IF(OR(AD22="S",AD22="s"),$U$25,$V$25))</f>
        <v>5300</v>
      </c>
      <c r="AG22" s="346"/>
      <c r="AH22" s="344"/>
      <c r="AI22" s="343">
        <f t="shared" ref="AI22:AI33" si="1">IF(AD22="S",1,0)</f>
        <v>1</v>
      </c>
      <c r="AJ22" s="343">
        <f t="shared" ref="AJ22:AJ33" si="2">IF(AND(OR(AB22="y",AB22="Y"),OR(AD22="f",AD22="F")),1,0)</f>
        <v>0</v>
      </c>
      <c r="AK22" s="343">
        <f t="shared" ref="AK22:AK27" si="3">MIN(1,SUM(AJ22,AJ84))</f>
        <v>0</v>
      </c>
      <c r="AL22" s="343"/>
      <c r="AM22" s="6745">
        <f>AK22*AF22</f>
        <v>0</v>
      </c>
      <c r="AN22" s="343"/>
      <c r="AO22" s="658"/>
      <c r="AP22" s="658"/>
      <c r="AQ22" s="658"/>
      <c r="AR22" s="658"/>
      <c r="AS22" s="658"/>
      <c r="AT22" s="658"/>
      <c r="AU22" s="658"/>
      <c r="AV22" s="658"/>
      <c r="AW22" s="658"/>
    </row>
    <row r="23" spans="1:49" ht="12" customHeight="1">
      <c r="A23" s="139"/>
      <c r="B23" s="2768"/>
      <c r="C23" s="2770" t="s">
        <v>4380</v>
      </c>
      <c r="D23" s="2769"/>
      <c r="E23" s="2751"/>
      <c r="F23" s="2751"/>
      <c r="G23" s="2771"/>
      <c r="H23" s="2771"/>
      <c r="I23" s="2771"/>
      <c r="J23" s="2770"/>
      <c r="K23" s="4280" t="str">
        <f>"enter "&amp;TEXT($U$22,"$0,000")&amp; " ("&amp;TEXT($V$22,"$0,000")&amp;" for"</f>
        <v>enter $4,300 ($8,550 for</v>
      </c>
      <c r="L23" s="2805"/>
      <c r="M23" s="4281"/>
      <c r="N23" s="2775"/>
      <c r="O23" s="343"/>
      <c r="P23" s="4282"/>
      <c r="Q23" s="2785"/>
      <c r="R23" s="343"/>
      <c r="S23" s="250" t="s">
        <v>4381</v>
      </c>
      <c r="T23" s="4275" t="s">
        <v>4382</v>
      </c>
      <c r="U23" s="4283">
        <f>SUM(U22,$S$33)</f>
        <v>5300</v>
      </c>
      <c r="V23" s="4283">
        <f>SUM(V22,$S$33)</f>
        <v>9550</v>
      </c>
      <c r="W23" s="4277"/>
      <c r="X23" s="4278" t="s">
        <v>4383</v>
      </c>
      <c r="Y23" s="344"/>
      <c r="Z23" s="4279" t="str">
        <f>Z22</f>
        <v>N</v>
      </c>
      <c r="AA23" s="344"/>
      <c r="AB23" s="4279" t="str">
        <f>AB22</f>
        <v>Y</v>
      </c>
      <c r="AC23" s="344"/>
      <c r="AD23" s="4279" t="str">
        <f>AD22</f>
        <v>S</v>
      </c>
      <c r="AE23" s="344"/>
      <c r="AF23" s="4232">
        <f t="shared" si="0"/>
        <v>5300</v>
      </c>
      <c r="AG23" s="346"/>
      <c r="AH23" s="344"/>
      <c r="AI23" s="343">
        <f t="shared" si="1"/>
        <v>1</v>
      </c>
      <c r="AJ23" s="343">
        <f t="shared" si="2"/>
        <v>0</v>
      </c>
      <c r="AK23" s="343">
        <f t="shared" si="3"/>
        <v>0</v>
      </c>
      <c r="AL23" s="343"/>
      <c r="AM23" s="6745">
        <f t="shared" ref="AM23:AM33" si="4">AK23*AF23</f>
        <v>0</v>
      </c>
      <c r="AN23" s="343"/>
    </row>
    <row r="24" spans="1:49" ht="12" customHeight="1">
      <c r="A24" s="139"/>
      <c r="B24" s="2768"/>
      <c r="C24" s="2770" t="s">
        <v>4384</v>
      </c>
      <c r="D24" s="2769"/>
      <c r="E24" s="2751"/>
      <c r="F24" s="2770"/>
      <c r="G24" s="2771"/>
      <c r="H24" s="2768"/>
      <c r="I24" s="2768"/>
      <c r="J24" s="2768"/>
      <c r="K24" s="2768" t="s">
        <v>676</v>
      </c>
      <c r="L24" s="2773">
        <f>B22</f>
        <v>3</v>
      </c>
      <c r="M24" s="2816" t="str">
        <f>IF(Q24&lt;&gt;"",ROUND(Q24,0),IF(OR(NOT(F8889_Line1),AND(M21="",K34="",M27="")),"",AF35))</f>
        <v/>
      </c>
      <c r="N24" s="2775"/>
      <c r="O24" s="343"/>
      <c r="P24" s="2990"/>
      <c r="Q24" s="118"/>
      <c r="R24" s="343"/>
      <c r="S24" s="250" t="s">
        <v>4381</v>
      </c>
      <c r="T24" s="250" t="s">
        <v>4385</v>
      </c>
      <c r="U24" s="4283">
        <f>SUM(U22,S33)</f>
        <v>5300</v>
      </c>
      <c r="V24" s="4283">
        <f>V22</f>
        <v>8550</v>
      </c>
      <c r="W24" s="4277"/>
      <c r="X24" s="4278" t="s">
        <v>4386</v>
      </c>
      <c r="Y24" s="344"/>
      <c r="Z24" s="4279" t="str">
        <f t="shared" ref="Z24:Z33" si="5">Z23</f>
        <v>N</v>
      </c>
      <c r="AA24" s="344"/>
      <c r="AB24" s="4279" t="str">
        <f t="shared" ref="AB24:AB33" si="6">AB23</f>
        <v>Y</v>
      </c>
      <c r="AC24" s="344"/>
      <c r="AD24" s="4279" t="str">
        <f t="shared" ref="AD24:AD33" si="7">AD23</f>
        <v>S</v>
      </c>
      <c r="AE24" s="344"/>
      <c r="AF24" s="4232">
        <f t="shared" si="0"/>
        <v>5300</v>
      </c>
      <c r="AG24" s="346"/>
      <c r="AH24" s="344"/>
      <c r="AI24" s="343">
        <f t="shared" si="1"/>
        <v>1</v>
      </c>
      <c r="AJ24" s="343">
        <f t="shared" si="2"/>
        <v>0</v>
      </c>
      <c r="AK24" s="343">
        <f t="shared" si="3"/>
        <v>0</v>
      </c>
      <c r="AL24" s="343"/>
      <c r="AM24" s="6745">
        <f t="shared" si="4"/>
        <v>0</v>
      </c>
      <c r="AN24" s="343"/>
    </row>
    <row r="25" spans="1:49" s="214" customFormat="1" ht="12" customHeight="1">
      <c r="A25" s="139"/>
      <c r="B25" s="2768">
        <v>4</v>
      </c>
      <c r="C25" s="2770" t="str">
        <f>"Enter the amount you and your employer contributed to your Archer MSAs for "&amp;TaxYear&amp;" from Form 8853,"</f>
        <v>Enter the amount you and your employer contributed to your Archer MSAs for 2025 from Form 8853,</v>
      </c>
      <c r="D25" s="2770"/>
      <c r="E25" s="2751"/>
      <c r="F25" s="2751"/>
      <c r="G25" s="2771"/>
      <c r="H25" s="2771"/>
      <c r="I25" s="2771"/>
      <c r="J25" s="2771"/>
      <c r="K25" s="2768"/>
      <c r="L25" s="4273"/>
      <c r="M25" s="4274"/>
      <c r="N25" s="2783"/>
      <c r="O25" s="689"/>
      <c r="P25" s="3256"/>
      <c r="Q25" s="2785"/>
      <c r="R25" s="689"/>
      <c r="S25" s="250" t="str">
        <f>YourAge</f>
        <v>?</v>
      </c>
      <c r="T25" s="4283" t="str">
        <f>IF($S$25&lt;$P$22,T22,IF($AI$36,T23,T24))</f>
        <v>Single*</v>
      </c>
      <c r="U25" s="4283">
        <f>IF($S$25&lt;$P$22,U22,IF($AI$36,U23,U24))</f>
        <v>5300</v>
      </c>
      <c r="V25" s="4283">
        <f>IF($S$25&lt;$P$22,V22,IF($AI$36,V23,V24))</f>
        <v>9550</v>
      </c>
      <c r="W25" s="689"/>
      <c r="X25" s="4278" t="s">
        <v>4387</v>
      </c>
      <c r="Y25" s="344"/>
      <c r="Z25" s="4279" t="str">
        <f t="shared" si="5"/>
        <v>N</v>
      </c>
      <c r="AA25" s="344"/>
      <c r="AB25" s="4279" t="str">
        <f t="shared" si="6"/>
        <v>Y</v>
      </c>
      <c r="AC25" s="344"/>
      <c r="AD25" s="4279" t="str">
        <f t="shared" si="7"/>
        <v>S</v>
      </c>
      <c r="AE25" s="344"/>
      <c r="AF25" s="4232">
        <f t="shared" si="0"/>
        <v>5300</v>
      </c>
      <c r="AG25" s="346"/>
      <c r="AH25" s="344"/>
      <c r="AI25" s="343">
        <f t="shared" si="1"/>
        <v>1</v>
      </c>
      <c r="AJ25" s="343">
        <f t="shared" si="2"/>
        <v>0</v>
      </c>
      <c r="AK25" s="343">
        <f t="shared" si="3"/>
        <v>0</v>
      </c>
      <c r="AL25" s="343"/>
      <c r="AM25" s="6745">
        <f t="shared" si="4"/>
        <v>0</v>
      </c>
      <c r="AN25" s="343"/>
      <c r="AO25" s="658"/>
      <c r="AP25" s="658"/>
      <c r="AQ25" s="658"/>
      <c r="AR25" s="658"/>
      <c r="AS25" s="658"/>
      <c r="AT25" s="658"/>
      <c r="AU25" s="658"/>
      <c r="AV25" s="658"/>
      <c r="AW25" s="658"/>
    </row>
    <row r="26" spans="1:49" ht="12" customHeight="1">
      <c r="A26" s="139"/>
      <c r="B26" s="2768"/>
      <c r="C26" s="2770" t="str">
        <f>"lines 1 and 2. If you or your spouse had family coverage under an HDHP at any time during "&amp;TaxYear&amp;", also"</f>
        <v>lines 1 and 2. If you or your spouse had family coverage under an HDHP at any time during 2025, also</v>
      </c>
      <c r="D26" s="2769"/>
      <c r="E26" s="2751"/>
      <c r="F26" s="2751"/>
      <c r="G26" s="2771"/>
      <c r="H26" s="2771"/>
      <c r="I26" s="2771"/>
      <c r="J26" s="2771"/>
      <c r="K26" s="2771"/>
      <c r="L26" s="2805"/>
      <c r="M26" s="4281"/>
      <c r="N26" s="2775"/>
      <c r="O26" s="343"/>
      <c r="P26" s="2990"/>
      <c r="Q26" s="2785"/>
      <c r="R26" s="343"/>
      <c r="S26" s="3105" t="s">
        <v>4388</v>
      </c>
      <c r="T26" s="688"/>
      <c r="U26" s="688"/>
      <c r="V26" s="688"/>
      <c r="W26" s="689"/>
      <c r="X26" s="4278" t="s">
        <v>699</v>
      </c>
      <c r="Y26" s="344"/>
      <c r="Z26" s="4279" t="str">
        <f t="shared" si="5"/>
        <v>N</v>
      </c>
      <c r="AA26" s="344"/>
      <c r="AB26" s="4279" t="str">
        <f t="shared" si="6"/>
        <v>Y</v>
      </c>
      <c r="AC26" s="344"/>
      <c r="AD26" s="4279" t="str">
        <f t="shared" si="7"/>
        <v>S</v>
      </c>
      <c r="AE26" s="344"/>
      <c r="AF26" s="4232">
        <f t="shared" si="0"/>
        <v>5300</v>
      </c>
      <c r="AG26" s="346"/>
      <c r="AH26" s="344"/>
      <c r="AI26" s="343">
        <f t="shared" si="1"/>
        <v>1</v>
      </c>
      <c r="AJ26" s="343">
        <f t="shared" si="2"/>
        <v>0</v>
      </c>
      <c r="AK26" s="343">
        <f t="shared" si="3"/>
        <v>0</v>
      </c>
      <c r="AL26" s="343"/>
      <c r="AM26" s="6745">
        <f t="shared" si="4"/>
        <v>0</v>
      </c>
      <c r="AN26" s="343"/>
    </row>
    <row r="27" spans="1:49" ht="12" customHeight="1" thickBot="1">
      <c r="A27" s="139"/>
      <c r="B27" s="2768"/>
      <c r="C27" s="2770" t="s">
        <v>4389</v>
      </c>
      <c r="D27" s="2769"/>
      <c r="E27" s="2751"/>
      <c r="F27" s="2751"/>
      <c r="G27" s="2771"/>
      <c r="H27" s="2768"/>
      <c r="I27" s="2768"/>
      <c r="J27" s="2768"/>
      <c r="K27" s="2768" t="s">
        <v>608</v>
      </c>
      <c r="L27" s="3742">
        <f>B25</f>
        <v>4</v>
      </c>
      <c r="M27" s="1454"/>
      <c r="N27" s="2775"/>
      <c r="O27" s="343"/>
      <c r="P27" s="2990"/>
      <c r="Q27" s="2785"/>
      <c r="R27" s="343"/>
      <c r="S27" s="3105"/>
      <c r="T27" s="688"/>
      <c r="U27" s="688"/>
      <c r="V27" s="688"/>
      <c r="W27" s="689"/>
      <c r="X27" s="4278" t="s">
        <v>4390</v>
      </c>
      <c r="Y27" s="344"/>
      <c r="Z27" s="4279" t="str">
        <f t="shared" si="5"/>
        <v>N</v>
      </c>
      <c r="AA27" s="344"/>
      <c r="AB27" s="4279" t="str">
        <f t="shared" si="6"/>
        <v>Y</v>
      </c>
      <c r="AC27" s="344"/>
      <c r="AD27" s="4279" t="str">
        <f t="shared" si="7"/>
        <v>S</v>
      </c>
      <c r="AE27" s="344"/>
      <c r="AF27" s="4232">
        <f t="shared" si="0"/>
        <v>5300</v>
      </c>
      <c r="AG27" s="346"/>
      <c r="AH27" s="344"/>
      <c r="AI27" s="343">
        <f t="shared" si="1"/>
        <v>1</v>
      </c>
      <c r="AJ27" s="343">
        <f t="shared" si="2"/>
        <v>0</v>
      </c>
      <c r="AK27" s="343">
        <f t="shared" si="3"/>
        <v>0</v>
      </c>
      <c r="AL27" s="343"/>
      <c r="AM27" s="6745">
        <f t="shared" si="4"/>
        <v>0</v>
      </c>
      <c r="AN27" s="343"/>
    </row>
    <row r="28" spans="1:49" ht="12.75" customHeight="1" thickBot="1">
      <c r="A28" s="139"/>
      <c r="B28" s="2768">
        <v>5</v>
      </c>
      <c r="C28" s="2770" t="s">
        <v>2264</v>
      </c>
      <c r="D28" s="2770"/>
      <c r="E28" s="2751"/>
      <c r="F28" s="2751"/>
      <c r="G28" s="2771"/>
      <c r="H28" s="2771"/>
      <c r="I28" s="2771"/>
      <c r="J28" s="2771"/>
      <c r="K28" s="2031" t="s">
        <v>1876</v>
      </c>
      <c r="L28" s="4284">
        <f>B28</f>
        <v>5</v>
      </c>
      <c r="M28" s="4285">
        <f>MAX(0,SUM(M24,-M27))</f>
        <v>0</v>
      </c>
      <c r="N28" s="2775"/>
      <c r="O28" s="343"/>
      <c r="P28" s="2990"/>
      <c r="Q28" s="2785"/>
      <c r="R28" s="344"/>
      <c r="S28" s="3105"/>
      <c r="T28" s="251"/>
      <c r="U28" s="251" t="s">
        <v>4391</v>
      </c>
      <c r="V28" s="3" t="b">
        <f>AK34&gt;1</f>
        <v>0</v>
      </c>
      <c r="W28" s="689"/>
      <c r="X28" s="4278" t="s">
        <v>4392</v>
      </c>
      <c r="Y28" s="344"/>
      <c r="Z28" s="4279" t="str">
        <f t="shared" si="5"/>
        <v>N</v>
      </c>
      <c r="AA28" s="344"/>
      <c r="AB28" s="4279" t="str">
        <f t="shared" si="6"/>
        <v>Y</v>
      </c>
      <c r="AC28" s="344"/>
      <c r="AD28" s="4279" t="str">
        <f t="shared" si="7"/>
        <v>S</v>
      </c>
      <c r="AE28" s="344"/>
      <c r="AF28" s="4232">
        <f t="shared" si="0"/>
        <v>5300</v>
      </c>
      <c r="AG28" s="346"/>
      <c r="AH28" s="344"/>
      <c r="AI28" s="343">
        <f t="shared" si="1"/>
        <v>1</v>
      </c>
      <c r="AJ28" s="343">
        <f t="shared" si="2"/>
        <v>0</v>
      </c>
      <c r="AK28" s="343">
        <f t="shared" ref="AK28:AK33" si="8">MIN(1,SUM(AJ28,AJ90))</f>
        <v>0</v>
      </c>
      <c r="AL28" s="343"/>
      <c r="AM28" s="6745">
        <f t="shared" si="4"/>
        <v>0</v>
      </c>
      <c r="AN28" s="343"/>
    </row>
    <row r="29" spans="1:49" s="214" customFormat="1" ht="12" customHeight="1">
      <c r="A29" s="139"/>
      <c r="B29" s="2768">
        <v>6</v>
      </c>
      <c r="C29" s="2770" t="s">
        <v>4393</v>
      </c>
      <c r="D29" s="2770"/>
      <c r="E29" s="2751"/>
      <c r="F29" s="2751"/>
      <c r="G29" s="2771"/>
      <c r="H29" s="2771"/>
      <c r="I29" s="2771"/>
      <c r="J29" s="2771"/>
      <c r="K29" s="2768"/>
      <c r="L29" s="4273"/>
      <c r="M29" s="4286"/>
      <c r="N29" s="2783"/>
      <c r="O29" s="343"/>
      <c r="P29" s="2990"/>
      <c r="Q29" s="2785"/>
      <c r="R29" s="344"/>
      <c r="S29" s="688"/>
      <c r="T29" s="688"/>
      <c r="U29" s="11256" t="s">
        <v>4394</v>
      </c>
      <c r="V29" s="11256"/>
      <c r="W29" s="689"/>
      <c r="X29" s="4278" t="s">
        <v>4395</v>
      </c>
      <c r="Y29" s="344"/>
      <c r="Z29" s="4279" t="str">
        <f t="shared" si="5"/>
        <v>N</v>
      </c>
      <c r="AA29" s="344"/>
      <c r="AB29" s="4279" t="str">
        <f t="shared" si="6"/>
        <v>Y</v>
      </c>
      <c r="AC29" s="344"/>
      <c r="AD29" s="4279" t="str">
        <f t="shared" si="7"/>
        <v>S</v>
      </c>
      <c r="AE29" s="344"/>
      <c r="AF29" s="4232">
        <f t="shared" si="0"/>
        <v>5300</v>
      </c>
      <c r="AG29" s="346"/>
      <c r="AH29" s="344"/>
      <c r="AI29" s="343">
        <f t="shared" si="1"/>
        <v>1</v>
      </c>
      <c r="AJ29" s="343">
        <f t="shared" si="2"/>
        <v>0</v>
      </c>
      <c r="AK29" s="343">
        <f t="shared" si="8"/>
        <v>0</v>
      </c>
      <c r="AL29" s="343"/>
      <c r="AM29" s="6745">
        <f t="shared" si="4"/>
        <v>0</v>
      </c>
      <c r="AN29" s="343"/>
      <c r="AO29" s="658"/>
      <c r="AP29" s="11246" t="s">
        <v>5479</v>
      </c>
      <c r="AQ29" s="11247"/>
      <c r="AR29" s="11247"/>
      <c r="AS29" s="11248"/>
      <c r="AT29" s="658"/>
      <c r="AU29" s="658"/>
      <c r="AV29" s="658"/>
      <c r="AW29" s="658"/>
    </row>
    <row r="30" spans="1:49" ht="12" customHeight="1">
      <c r="A30" s="139"/>
      <c r="B30" s="2768"/>
      <c r="C30" s="2770" t="str">
        <f>"coverage under an HDHP at any time during "&amp;TaxYear&amp;", see the instructions for the amount to"</f>
        <v>coverage under an HDHP at any time during 2025, see the instructions for the amount to</v>
      </c>
      <c r="D30" s="2769"/>
      <c r="E30" s="2751"/>
      <c r="F30" s="2751"/>
      <c r="G30" s="2771"/>
      <c r="H30" s="2768"/>
      <c r="I30" s="2768"/>
      <c r="J30" s="2768"/>
      <c r="K30" s="2995" t="s">
        <v>5386</v>
      </c>
      <c r="L30" s="2773">
        <f>B29</f>
        <v>6</v>
      </c>
      <c r="M30" s="2774" t="str">
        <f>IF(Q30&lt;&gt;"",ROUND(Q30,0),IF(NOT(Q17),"",IF(T31,U31,IF(T32,U32,M28))))</f>
        <v/>
      </c>
      <c r="N30" s="2775"/>
      <c r="O30" s="343"/>
      <c r="P30" s="2990"/>
      <c r="Q30" s="118"/>
      <c r="R30" s="689"/>
      <c r="S30" s="4239" t="s">
        <v>773</v>
      </c>
      <c r="T30" s="4239" t="s">
        <v>4396</v>
      </c>
      <c r="U30" s="250" t="s">
        <v>566</v>
      </c>
      <c r="V30" s="4287" t="s">
        <v>567</v>
      </c>
      <c r="W30" s="689"/>
      <c r="X30" s="4278" t="s">
        <v>4397</v>
      </c>
      <c r="Y30" s="344"/>
      <c r="Z30" s="4279" t="str">
        <f t="shared" si="5"/>
        <v>N</v>
      </c>
      <c r="AA30" s="344"/>
      <c r="AB30" s="4279" t="str">
        <f t="shared" si="6"/>
        <v>Y</v>
      </c>
      <c r="AC30" s="344"/>
      <c r="AD30" s="4279" t="str">
        <f t="shared" si="7"/>
        <v>S</v>
      </c>
      <c r="AE30" s="344"/>
      <c r="AF30" s="4232">
        <f t="shared" si="0"/>
        <v>5300</v>
      </c>
      <c r="AG30" s="346"/>
      <c r="AH30" s="344"/>
      <c r="AI30" s="343">
        <f t="shared" si="1"/>
        <v>1</v>
      </c>
      <c r="AJ30" s="343">
        <f t="shared" si="2"/>
        <v>0</v>
      </c>
      <c r="AK30" s="343">
        <f t="shared" si="8"/>
        <v>0</v>
      </c>
      <c r="AL30" s="343"/>
      <c r="AM30" s="6745">
        <f t="shared" si="4"/>
        <v>0</v>
      </c>
      <c r="AN30" s="343"/>
      <c r="AP30" s="11249"/>
      <c r="AQ30" s="11250"/>
      <c r="AR30" s="11250"/>
      <c r="AS30" s="11251"/>
    </row>
    <row r="31" spans="1:49" ht="12" customHeight="1">
      <c r="A31" s="139"/>
      <c r="B31" s="2768">
        <v>7</v>
      </c>
      <c r="C31" s="2769" t="str">
        <f>"If you were age 55 or older at the end of "&amp;TaxYear&amp;", married, and you or your spouse had family coverage"</f>
        <v>If you were age 55 or older at the end of 2025, married, and you or your spouse had family coverage</v>
      </c>
      <c r="D31" s="2770"/>
      <c r="E31" s="2751"/>
      <c r="F31" s="2751"/>
      <c r="G31" s="2771"/>
      <c r="H31" s="2771"/>
      <c r="I31" s="2771"/>
      <c r="J31" s="2771"/>
      <c r="K31" s="2768"/>
      <c r="L31" s="4273"/>
      <c r="M31" s="2799"/>
      <c r="N31" s="2783"/>
      <c r="O31" s="689"/>
      <c r="P31" s="3256"/>
      <c r="Q31" s="2785"/>
      <c r="R31" s="343"/>
      <c r="S31" s="688" t="s">
        <v>4398</v>
      </c>
      <c r="T31" s="688" t="b">
        <f>AND($Q$7,$V$28,$AK$34=12)</f>
        <v>0</v>
      </c>
      <c r="U31" s="4288" t="str">
        <f>IF(T31,ROUND(M28*$Z$40/100,0),"---")</f>
        <v>---</v>
      </c>
      <c r="V31" s="4289" t="str">
        <f>V91</f>
        <v>---</v>
      </c>
      <c r="W31" s="689"/>
      <c r="X31" s="4278" t="s">
        <v>4399</v>
      </c>
      <c r="Y31" s="344"/>
      <c r="Z31" s="4279" t="str">
        <f t="shared" si="5"/>
        <v>N</v>
      </c>
      <c r="AA31" s="344"/>
      <c r="AB31" s="4279" t="str">
        <f t="shared" si="6"/>
        <v>Y</v>
      </c>
      <c r="AC31" s="344"/>
      <c r="AD31" s="4279" t="str">
        <f t="shared" si="7"/>
        <v>S</v>
      </c>
      <c r="AE31" s="344"/>
      <c r="AF31" s="4232">
        <f t="shared" si="0"/>
        <v>5300</v>
      </c>
      <c r="AG31" s="346"/>
      <c r="AH31" s="344"/>
      <c r="AI31" s="343">
        <f t="shared" si="1"/>
        <v>1</v>
      </c>
      <c r="AJ31" s="343">
        <f t="shared" si="2"/>
        <v>0</v>
      </c>
      <c r="AK31" s="343">
        <f t="shared" si="8"/>
        <v>0</v>
      </c>
      <c r="AL31" s="343"/>
      <c r="AM31" s="6745">
        <f t="shared" si="4"/>
        <v>0</v>
      </c>
      <c r="AN31" s="343"/>
      <c r="AP31" s="11249"/>
      <c r="AQ31" s="11250"/>
      <c r="AR31" s="11250"/>
      <c r="AS31" s="11251"/>
    </row>
    <row r="32" spans="1:49" s="214" customFormat="1" ht="12" customHeight="1">
      <c r="A32" s="139"/>
      <c r="B32" s="2768"/>
      <c r="C32" s="2769" t="str">
        <f>"under an HDHP at any time during "&amp;TaxYear&amp;", enter your additional contribution amount. See instructions"</f>
        <v>under an HDHP at any time during 2025, enter your additional contribution amount. See instructions</v>
      </c>
      <c r="D32" s="2769"/>
      <c r="E32" s="2751"/>
      <c r="F32" s="2751"/>
      <c r="G32" s="2771"/>
      <c r="H32" s="2768"/>
      <c r="I32" s="2768"/>
      <c r="J32" s="2768"/>
      <c r="K32" s="2031"/>
      <c r="L32" s="2773">
        <f>B31</f>
        <v>7</v>
      </c>
      <c r="M32" s="2774" t="str">
        <f>IF(Q32&lt;&gt;"",ROUND(Q32,0),IF(AND(F8889_Line1,OR(AJ35,AJ97),AJ36),ROUND((S33*AJ34)/12,0),""))</f>
        <v/>
      </c>
      <c r="N32" s="2775"/>
      <c r="O32" s="343"/>
      <c r="P32" s="2990"/>
      <c r="Q32" s="118"/>
      <c r="R32" s="689"/>
      <c r="S32" s="688" t="s">
        <v>4400</v>
      </c>
      <c r="T32" s="688" t="b">
        <f>AND($Q$7,$V$28,$AK$34&gt;0,$AK$34&lt;12)</f>
        <v>0</v>
      </c>
      <c r="U32" s="3104" t="str">
        <f>IF(T32,ROUND(U37,0),"---")</f>
        <v>---</v>
      </c>
      <c r="V32" s="4289" t="str">
        <f>V92</f>
        <v>---</v>
      </c>
      <c r="W32" s="689"/>
      <c r="X32" s="4278" t="s">
        <v>4401</v>
      </c>
      <c r="Y32" s="344"/>
      <c r="Z32" s="4279" t="str">
        <f t="shared" si="5"/>
        <v>N</v>
      </c>
      <c r="AA32" s="344"/>
      <c r="AB32" s="4279" t="str">
        <f t="shared" si="6"/>
        <v>Y</v>
      </c>
      <c r="AC32" s="344"/>
      <c r="AD32" s="4279" t="str">
        <f t="shared" si="7"/>
        <v>S</v>
      </c>
      <c r="AE32" s="344"/>
      <c r="AF32" s="4232">
        <f t="shared" si="0"/>
        <v>5300</v>
      </c>
      <c r="AG32" s="346"/>
      <c r="AH32" s="344"/>
      <c r="AI32" s="343">
        <f t="shared" si="1"/>
        <v>1</v>
      </c>
      <c r="AJ32" s="343">
        <f t="shared" si="2"/>
        <v>0</v>
      </c>
      <c r="AK32" s="343">
        <f t="shared" si="8"/>
        <v>0</v>
      </c>
      <c r="AL32" s="343"/>
      <c r="AM32" s="6745">
        <f t="shared" si="4"/>
        <v>0</v>
      </c>
      <c r="AN32" s="343"/>
      <c r="AO32" s="658"/>
      <c r="AP32" s="11249"/>
      <c r="AQ32" s="11250"/>
      <c r="AR32" s="11250"/>
      <c r="AS32" s="11251"/>
      <c r="AT32" s="658"/>
      <c r="AU32" s="658"/>
      <c r="AV32" s="658"/>
      <c r="AW32" s="658"/>
    </row>
    <row r="33" spans="1:49" ht="12" customHeight="1" thickBot="1">
      <c r="A33" s="139"/>
      <c r="B33" s="2768">
        <v>8</v>
      </c>
      <c r="C33" s="2770" t="s">
        <v>4403</v>
      </c>
      <c r="D33" s="2770"/>
      <c r="E33" s="2751"/>
      <c r="F33" s="2751"/>
      <c r="G33" s="2771"/>
      <c r="H33" s="2771"/>
      <c r="I33" s="2771"/>
      <c r="J33" s="2771"/>
      <c r="K33" s="2031" t="s">
        <v>3758</v>
      </c>
      <c r="L33" s="2773">
        <f>B33</f>
        <v>8</v>
      </c>
      <c r="M33" s="2774">
        <f>SUM(M30,M32)</f>
        <v>0</v>
      </c>
      <c r="N33" s="2775"/>
      <c r="O33" s="689"/>
      <c r="P33" s="2990"/>
      <c r="Q33" s="962"/>
      <c r="R33" s="343"/>
      <c r="S33" s="3104">
        <v>1000</v>
      </c>
      <c r="T33" s="688"/>
      <c r="U33" s="3158"/>
      <c r="V33" s="688"/>
      <c r="W33" s="689"/>
      <c r="X33" s="4278" t="s">
        <v>4402</v>
      </c>
      <c r="Y33" s="344"/>
      <c r="Z33" s="4279" t="str">
        <f t="shared" si="5"/>
        <v>N</v>
      </c>
      <c r="AA33" s="344"/>
      <c r="AB33" s="4279" t="str">
        <f t="shared" si="6"/>
        <v>Y</v>
      </c>
      <c r="AC33" s="344"/>
      <c r="AD33" s="4279" t="str">
        <f t="shared" si="7"/>
        <v>S</v>
      </c>
      <c r="AE33" s="344"/>
      <c r="AF33" s="4290">
        <f t="shared" si="0"/>
        <v>5300</v>
      </c>
      <c r="AG33" s="346"/>
      <c r="AH33" s="344"/>
      <c r="AI33" s="4291">
        <f t="shared" si="1"/>
        <v>1</v>
      </c>
      <c r="AJ33" s="4291">
        <f t="shared" si="2"/>
        <v>0</v>
      </c>
      <c r="AK33" s="4291">
        <f t="shared" si="8"/>
        <v>0</v>
      </c>
      <c r="AL33" s="343"/>
      <c r="AM33" s="6746">
        <f t="shared" si="4"/>
        <v>0</v>
      </c>
      <c r="AN33" s="343"/>
      <c r="AP33" s="11249"/>
      <c r="AQ33" s="11250"/>
      <c r="AR33" s="11250"/>
      <c r="AS33" s="11251"/>
    </row>
    <row r="34" spans="1:49" ht="12" customHeight="1" thickTop="1">
      <c r="A34" s="139"/>
      <c r="B34" s="2768">
        <v>9</v>
      </c>
      <c r="C34" s="2770" t="str">
        <f>"Employer contributions made to your HSAs for "&amp;TaxYear</f>
        <v>Employer contributions made to your HSAs for 2025</v>
      </c>
      <c r="D34" s="2769"/>
      <c r="E34" s="2751"/>
      <c r="F34" s="2751"/>
      <c r="G34" s="3032"/>
      <c r="H34" s="2768"/>
      <c r="I34" s="2768" t="s">
        <v>670</v>
      </c>
      <c r="J34" s="2773">
        <f>B34</f>
        <v>9</v>
      </c>
      <c r="K34" s="2816" t="str">
        <f>IF(Q34&lt;&gt;"",ROUND(Q34,0),IF(OR(Emp_Contr_HSA_You="",Emp_Contr_HSA_You=0),"",Emp_Contr_HSA_You))</f>
        <v/>
      </c>
      <c r="L34" s="4292"/>
      <c r="M34" s="3159" t="str">
        <f>IF(File_Marr_Joint&lt;&gt;"",G32,IF(File_Marr_Sep&lt;&gt;"",G33,IF(OR(File_Single&lt;&gt;"",File_Head&lt;&gt;"",File_Qual_Widow&lt;&gt;""),G34,"---")))</f>
        <v>---</v>
      </c>
      <c r="N34" s="2775"/>
      <c r="O34" s="11286" t="s">
        <v>6723</v>
      </c>
      <c r="P34" s="11286"/>
      <c r="Q34" s="118"/>
      <c r="R34" s="343"/>
      <c r="S34" s="688" t="s">
        <v>1552</v>
      </c>
      <c r="T34" s="3104"/>
      <c r="U34" s="4293" t="str">
        <f>IF($AJ$35,SUM(ROUND(AM34/AJ34,0),-M27),"")</f>
        <v/>
      </c>
      <c r="V34" s="4294">
        <f>V94</f>
        <v>0</v>
      </c>
      <c r="W34" s="689"/>
      <c r="X34" s="11296" t="s">
        <v>4404</v>
      </c>
      <c r="Y34" s="11297"/>
      <c r="Z34" s="11298"/>
      <c r="AA34" s="11298"/>
      <c r="AB34" s="11298"/>
      <c r="AC34" s="11298"/>
      <c r="AD34" s="11298"/>
      <c r="AE34" s="11298"/>
      <c r="AF34" s="4232">
        <f>SUM(AF22:AF33)</f>
        <v>63600</v>
      </c>
      <c r="AG34" s="346"/>
      <c r="AH34" s="344"/>
      <c r="AI34" s="343">
        <f>SUM(AI22:AI33)</f>
        <v>12</v>
      </c>
      <c r="AJ34" s="343">
        <f>SUM(AJ22:AJ33)</f>
        <v>0</v>
      </c>
      <c r="AK34" s="343">
        <f>SUM(AK22:AK33)</f>
        <v>0</v>
      </c>
      <c r="AL34" s="343"/>
      <c r="AM34" s="4232">
        <f>SUM(AM22:AM33)</f>
        <v>0</v>
      </c>
      <c r="AN34" s="343"/>
      <c r="AP34" s="11249"/>
      <c r="AQ34" s="11250"/>
      <c r="AR34" s="11250"/>
      <c r="AS34" s="11251"/>
    </row>
    <row r="35" spans="1:49" ht="12.75" customHeight="1" thickBot="1">
      <c r="A35" s="139"/>
      <c r="B35" s="2768">
        <v>10</v>
      </c>
      <c r="C35" s="2770" t="s">
        <v>4406</v>
      </c>
      <c r="D35" s="2769"/>
      <c r="E35" s="2751"/>
      <c r="F35" s="2751"/>
      <c r="G35" s="3032"/>
      <c r="H35" s="2768"/>
      <c r="I35" s="2768" t="s">
        <v>594</v>
      </c>
      <c r="J35" s="4295">
        <f>B35</f>
        <v>10</v>
      </c>
      <c r="K35" s="1226"/>
      <c r="L35" s="4292"/>
      <c r="M35" s="3159" t="str">
        <f>IF(File_Marr_Joint&lt;&gt;"",G33,IF(File_Marr_Sep&lt;&gt;"",G34,IF(OR(File_Single&lt;&gt;"",File_Head&lt;&gt;"",File_Qual_Widow&lt;&gt;""),G35,"---")))</f>
        <v>---</v>
      </c>
      <c r="N35" s="2775"/>
      <c r="O35" s="343"/>
      <c r="P35" s="2990"/>
      <c r="Q35" s="962"/>
      <c r="R35" s="689"/>
      <c r="S35" s="688" t="s">
        <v>1570</v>
      </c>
      <c r="T35" s="688"/>
      <c r="U35" s="4293" t="str">
        <f>IF($AJ$35,U34*Z40/100,"")</f>
        <v/>
      </c>
      <c r="V35" s="4294">
        <f>V95</f>
        <v>0</v>
      </c>
      <c r="W35" s="689"/>
      <c r="X35" s="341"/>
      <c r="Y35" s="253"/>
      <c r="Z35" s="253"/>
      <c r="AA35" s="253"/>
      <c r="AB35" s="253"/>
      <c r="AC35" s="253"/>
      <c r="AD35" s="253"/>
      <c r="AE35" s="4296" t="s">
        <v>4405</v>
      </c>
      <c r="AF35" s="4232">
        <f>ROUND(AF34/12,0)</f>
        <v>5300</v>
      </c>
      <c r="AG35" s="346"/>
      <c r="AH35" s="344"/>
      <c r="AI35" s="343" t="b">
        <f>IF(AI34=12,TRUE,FALSE)</f>
        <v>1</v>
      </c>
      <c r="AJ35" s="343" t="b">
        <f>IF(AJ34&gt;0,TRUE,FALSE)</f>
        <v>0</v>
      </c>
      <c r="AK35" s="344"/>
      <c r="AL35" s="344"/>
      <c r="AM35" s="344"/>
      <c r="AN35" s="344"/>
      <c r="AP35" s="11249"/>
      <c r="AQ35" s="11250"/>
      <c r="AR35" s="11250"/>
      <c r="AS35" s="11251"/>
    </row>
    <row r="36" spans="1:49" ht="12" customHeight="1" thickBot="1">
      <c r="A36" s="139"/>
      <c r="B36" s="2768">
        <v>11</v>
      </c>
      <c r="C36" s="2770" t="s">
        <v>2865</v>
      </c>
      <c r="D36" s="2770"/>
      <c r="E36" s="2751"/>
      <c r="F36" s="2751"/>
      <c r="G36" s="2771"/>
      <c r="H36" s="2771"/>
      <c r="I36" s="2771"/>
      <c r="J36" s="2771"/>
      <c r="K36" s="2031" t="s">
        <v>5385</v>
      </c>
      <c r="L36" s="3742">
        <f>B36</f>
        <v>11</v>
      </c>
      <c r="M36" s="2774">
        <f>SUM(K34,K35)</f>
        <v>0</v>
      </c>
      <c r="N36" s="2775"/>
      <c r="O36" s="11255" t="s">
        <v>5481</v>
      </c>
      <c r="P36" s="11255"/>
      <c r="Q36" s="962"/>
      <c r="R36" s="343"/>
      <c r="S36" s="688" t="s">
        <v>4407</v>
      </c>
      <c r="T36" s="688"/>
      <c r="U36" s="4293" t="str">
        <f>IF($AJ$35,SUM(U34,-V35),"")</f>
        <v/>
      </c>
      <c r="V36" s="4294">
        <f>V96</f>
        <v>0</v>
      </c>
      <c r="W36" s="689"/>
      <c r="X36" s="11301" t="str">
        <f>IF(YourAge="?","Enter your birthdate on sheet '1040'.","")</f>
        <v>Enter your birthdate on sheet '1040'.</v>
      </c>
      <c r="Y36" s="11302"/>
      <c r="Z36" s="11303"/>
      <c r="AA36" s="11303"/>
      <c r="AB36" s="11303"/>
      <c r="AC36" s="11303"/>
      <c r="AD36" s="11303"/>
      <c r="AE36" s="11303"/>
      <c r="AF36" s="11303"/>
      <c r="AG36" s="11304"/>
      <c r="AH36" s="4297"/>
      <c r="AI36" s="343" t="b">
        <f>IF(AND(YourAge&gt;=P22,OR(AND(File_Marr_Joint&lt;&gt;"",AI35),File_Marr_Joint="")),TRUE,FALSE)</f>
        <v>1</v>
      </c>
      <c r="AJ36" s="343" t="b">
        <f>IF(AND(YourAge&gt;=P22,File_Marr_Joint&lt;&gt;""),TRUE,FALSE)</f>
        <v>0</v>
      </c>
      <c r="AK36" s="344"/>
      <c r="AL36" s="344"/>
      <c r="AM36" s="344"/>
      <c r="AN36" s="344"/>
      <c r="AP36" s="11249"/>
      <c r="AQ36" s="11250"/>
      <c r="AR36" s="11250"/>
      <c r="AS36" s="11251"/>
    </row>
    <row r="37" spans="1:49" ht="12" customHeight="1" thickBot="1">
      <c r="A37" s="139"/>
      <c r="B37" s="2768">
        <v>12</v>
      </c>
      <c r="C37" s="2770" t="s">
        <v>4409</v>
      </c>
      <c r="D37" s="2770"/>
      <c r="E37" s="2751"/>
      <c r="F37" s="2751"/>
      <c r="G37" s="2771"/>
      <c r="H37" s="2771"/>
      <c r="I37" s="2771"/>
      <c r="J37" s="2771"/>
      <c r="K37" s="2031" t="s">
        <v>2186</v>
      </c>
      <c r="L37" s="2773">
        <f>B37</f>
        <v>12</v>
      </c>
      <c r="M37" s="2774">
        <f>MAX(0,SUM(M33,-M36))</f>
        <v>0</v>
      </c>
      <c r="N37" s="2775"/>
      <c r="O37" s="11255"/>
      <c r="P37" s="11255"/>
      <c r="Q37" s="962"/>
      <c r="R37" s="343"/>
      <c r="S37" s="688" t="s">
        <v>4408</v>
      </c>
      <c r="T37" s="688"/>
      <c r="U37" s="4293" t="str">
        <f>U36</f>
        <v/>
      </c>
      <c r="V37" s="4294">
        <f>V97</f>
        <v>0</v>
      </c>
      <c r="W37" s="689"/>
      <c r="X37" s="689"/>
      <c r="Y37" s="344"/>
      <c r="Z37" s="689"/>
      <c r="AA37" s="344"/>
      <c r="AB37" s="689"/>
      <c r="AC37" s="344"/>
      <c r="AD37" s="689"/>
      <c r="AE37" s="344"/>
      <c r="AF37" s="4232"/>
      <c r="AG37" s="344"/>
      <c r="AH37" s="344"/>
      <c r="AI37" s="344"/>
      <c r="AJ37" s="344"/>
      <c r="AK37" s="344"/>
      <c r="AL37" s="344"/>
      <c r="AM37" s="344"/>
      <c r="AN37" s="344"/>
      <c r="AP37" s="11249"/>
      <c r="AQ37" s="11250"/>
      <c r="AR37" s="11250"/>
      <c r="AS37" s="11251"/>
    </row>
    <row r="38" spans="1:49" ht="12.75" customHeight="1" thickBot="1">
      <c r="A38" s="139"/>
      <c r="B38" s="3741">
        <v>13</v>
      </c>
      <c r="C38" s="4298" t="s">
        <v>5478</v>
      </c>
      <c r="D38" s="4299"/>
      <c r="E38" s="4300"/>
      <c r="F38" s="4300"/>
      <c r="G38" s="4301"/>
      <c r="H38" s="4301"/>
      <c r="I38" s="4301"/>
      <c r="J38" s="4301"/>
      <c r="K38" s="4302" t="s">
        <v>691</v>
      </c>
      <c r="L38" s="4303">
        <f>B38</f>
        <v>13</v>
      </c>
      <c r="M38" s="3067" t="str">
        <f>IF(Q38&lt;&gt;"",ROUND(Q38,0),IF(F8889_Line1,MIN(M20,M37),""))</f>
        <v/>
      </c>
      <c r="N38" s="2775"/>
      <c r="O38" s="11255"/>
      <c r="P38" s="11255"/>
      <c r="Q38" s="118"/>
      <c r="R38" s="689"/>
      <c r="S38" s="314"/>
      <c r="T38" s="314"/>
      <c r="U38" s="314"/>
      <c r="V38" s="314"/>
      <c r="W38" s="689"/>
      <c r="X38" s="4304"/>
      <c r="Y38" s="339"/>
      <c r="Z38" s="11305" t="s">
        <v>4394</v>
      </c>
      <c r="AA38" s="11305"/>
      <c r="AB38" s="11305"/>
      <c r="AC38" s="4305"/>
      <c r="AD38" s="339"/>
      <c r="AE38" s="4306"/>
      <c r="AF38" s="339"/>
      <c r="AG38" s="340"/>
      <c r="AH38" s="344"/>
      <c r="AI38" s="344"/>
      <c r="AJ38" s="344"/>
      <c r="AK38" s="344"/>
      <c r="AL38" s="344"/>
      <c r="AM38" s="344"/>
      <c r="AN38" s="344"/>
      <c r="AP38" s="11249"/>
      <c r="AQ38" s="11250"/>
      <c r="AR38" s="11250"/>
      <c r="AS38" s="11251"/>
    </row>
    <row r="39" spans="1:49" s="214" customFormat="1" ht="12" customHeight="1">
      <c r="A39" s="139"/>
      <c r="B39" s="4307" t="s">
        <v>868</v>
      </c>
      <c r="C39" s="11287" t="s">
        <v>4995</v>
      </c>
      <c r="D39" s="11287"/>
      <c r="E39" s="11287"/>
      <c r="F39" s="11287"/>
      <c r="G39" s="11287"/>
      <c r="H39" s="11287"/>
      <c r="I39" s="11287"/>
      <c r="J39" s="11287"/>
      <c r="K39" s="11287"/>
      <c r="L39" s="11287"/>
      <c r="M39" s="11287"/>
      <c r="N39" s="2762"/>
      <c r="O39" s="4308"/>
      <c r="P39" s="2763"/>
      <c r="Q39" s="4309"/>
      <c r="R39" s="689"/>
      <c r="S39" s="688"/>
      <c r="T39" s="688"/>
      <c r="U39" s="688"/>
      <c r="V39" s="688"/>
      <c r="W39" s="689"/>
      <c r="X39" s="2846"/>
      <c r="Y39" s="344"/>
      <c r="Z39" s="689" t="s">
        <v>3582</v>
      </c>
      <c r="AA39" s="344"/>
      <c r="AB39" s="689" t="s">
        <v>3582</v>
      </c>
      <c r="AC39" s="344"/>
      <c r="AD39" s="689"/>
      <c r="AE39" s="344"/>
      <c r="AF39" s="4232"/>
      <c r="AG39" s="346"/>
      <c r="AH39" s="344"/>
      <c r="AI39" s="344"/>
      <c r="AJ39" s="344"/>
      <c r="AK39" s="344"/>
      <c r="AL39" s="344"/>
      <c r="AM39" s="344"/>
      <c r="AN39" s="344"/>
      <c r="AO39" s="658"/>
      <c r="AP39" s="11249"/>
      <c r="AQ39" s="11250"/>
      <c r="AR39" s="11250"/>
      <c r="AS39" s="11251"/>
      <c r="AT39" s="658"/>
      <c r="AU39" s="658"/>
      <c r="AV39" s="658"/>
      <c r="AW39" s="658"/>
    </row>
    <row r="40" spans="1:49" ht="11.25" customHeight="1">
      <c r="A40" s="139"/>
      <c r="B40" s="4310"/>
      <c r="C40" s="11287"/>
      <c r="D40" s="11287"/>
      <c r="E40" s="11287"/>
      <c r="F40" s="11287"/>
      <c r="G40" s="11287"/>
      <c r="H40" s="11287"/>
      <c r="I40" s="11287"/>
      <c r="J40" s="11287"/>
      <c r="K40" s="11287"/>
      <c r="L40" s="11287"/>
      <c r="M40" s="11287"/>
      <c r="N40" s="2762"/>
      <c r="O40" s="4308"/>
      <c r="P40" s="2763"/>
      <c r="Q40" s="4309"/>
      <c r="R40" s="689"/>
      <c r="S40" s="688"/>
      <c r="T40" s="688"/>
      <c r="U40" s="688"/>
      <c r="V40" s="688"/>
      <c r="W40" s="4311"/>
      <c r="X40" s="4312" t="s">
        <v>566</v>
      </c>
      <c r="Y40" s="344"/>
      <c r="Z40" s="4313">
        <v>50</v>
      </c>
      <c r="AA40" s="344"/>
      <c r="AB40" s="4314">
        <f>100-Z40</f>
        <v>50</v>
      </c>
      <c r="AC40" s="344"/>
      <c r="AD40" s="4315" t="s">
        <v>567</v>
      </c>
      <c r="AE40" s="344"/>
      <c r="AF40" s="4232"/>
      <c r="AG40" s="346"/>
      <c r="AH40" s="344"/>
      <c r="AI40" s="344"/>
      <c r="AJ40" s="344"/>
      <c r="AK40" s="344"/>
      <c r="AL40" s="344"/>
      <c r="AM40" s="344"/>
      <c r="AN40" s="344"/>
      <c r="AP40" s="11249"/>
      <c r="AQ40" s="11250"/>
      <c r="AR40" s="11250"/>
      <c r="AS40" s="11251"/>
    </row>
    <row r="41" spans="1:49" ht="13.5" thickBot="1">
      <c r="A41" s="139"/>
      <c r="B41" s="4316"/>
      <c r="C41" s="11288"/>
      <c r="D41" s="11288"/>
      <c r="E41" s="11288"/>
      <c r="F41" s="11288"/>
      <c r="G41" s="11288"/>
      <c r="H41" s="11288"/>
      <c r="I41" s="11288"/>
      <c r="J41" s="11288"/>
      <c r="K41" s="11288"/>
      <c r="L41" s="11288"/>
      <c r="M41" s="11288"/>
      <c r="N41" s="2762"/>
      <c r="O41" s="4308"/>
      <c r="P41" s="4317"/>
      <c r="Q41" s="2013"/>
      <c r="R41" s="689"/>
      <c r="S41" s="688"/>
      <c r="T41" s="688"/>
      <c r="U41" s="688"/>
      <c r="V41" s="688"/>
      <c r="W41" s="4311"/>
      <c r="X41" s="4318"/>
      <c r="Y41" s="498"/>
      <c r="Z41" s="4319"/>
      <c r="AA41" s="498"/>
      <c r="AB41" s="4319"/>
      <c r="AC41" s="498"/>
      <c r="AD41" s="4320"/>
      <c r="AE41" s="498"/>
      <c r="AF41" s="4321"/>
      <c r="AG41" s="499"/>
      <c r="AH41" s="344"/>
      <c r="AI41" s="344"/>
      <c r="AJ41" s="344"/>
      <c r="AK41" s="344"/>
      <c r="AL41" s="344"/>
      <c r="AM41" s="344"/>
      <c r="AN41" s="344"/>
      <c r="AP41" s="11249"/>
      <c r="AQ41" s="11250"/>
      <c r="AR41" s="11250"/>
      <c r="AS41" s="11251"/>
    </row>
    <row r="42" spans="1:49">
      <c r="A42" s="139"/>
      <c r="B42" s="2768" t="s">
        <v>3030</v>
      </c>
      <c r="C42" s="2770" t="str">
        <f>"Total distributions you received in "&amp;TaxYear&amp;" from all HSAs (see instructions)"</f>
        <v>Total distributions you received in 2025 from all HSAs (see instructions)</v>
      </c>
      <c r="D42" s="2770"/>
      <c r="E42" s="2751"/>
      <c r="F42" s="2751"/>
      <c r="G42" s="2771"/>
      <c r="H42" s="2771"/>
      <c r="I42" s="2771"/>
      <c r="J42" s="2771"/>
      <c r="K42" s="2031" t="s">
        <v>4410</v>
      </c>
      <c r="L42" s="3039" t="str">
        <f>B42</f>
        <v>14a</v>
      </c>
      <c r="M42" s="335"/>
      <c r="N42" s="2775"/>
      <c r="O42" s="4308"/>
      <c r="P42" s="2990"/>
      <c r="Q42" s="962"/>
      <c r="R42" s="689"/>
      <c r="S42" s="688"/>
      <c r="T42" s="688"/>
      <c r="U42" s="688"/>
      <c r="V42" s="688"/>
      <c r="W42" s="689"/>
      <c r="X42" s="4305"/>
      <c r="Y42" s="339"/>
      <c r="Z42" s="4322"/>
      <c r="AA42" s="339"/>
      <c r="AB42" s="4322"/>
      <c r="AC42" s="339"/>
      <c r="AD42" s="4305"/>
      <c r="AE42" s="339"/>
      <c r="AF42" s="4306"/>
      <c r="AG42" s="339"/>
      <c r="AH42" s="344"/>
      <c r="AI42" s="344"/>
      <c r="AJ42" s="344"/>
      <c r="AK42" s="344"/>
      <c r="AL42" s="344"/>
      <c r="AM42" s="344"/>
      <c r="AN42" s="344"/>
      <c r="AP42" s="11249"/>
      <c r="AQ42" s="11250"/>
      <c r="AR42" s="11250"/>
      <c r="AS42" s="11251"/>
    </row>
    <row r="43" spans="1:49" ht="12" customHeight="1">
      <c r="A43" s="139"/>
      <c r="B43" s="2768" t="s">
        <v>592</v>
      </c>
      <c r="C43" s="2769" t="s">
        <v>4411</v>
      </c>
      <c r="D43" s="2770"/>
      <c r="E43" s="2751"/>
      <c r="F43" s="2751"/>
      <c r="G43" s="2771"/>
      <c r="H43" s="2771"/>
      <c r="I43" s="2771"/>
      <c r="J43" s="2771"/>
      <c r="K43" s="2768"/>
      <c r="L43" s="3215"/>
      <c r="M43" s="2799"/>
      <c r="N43" s="2783"/>
      <c r="O43" s="689"/>
      <c r="P43" s="3256"/>
      <c r="Q43" s="2785"/>
      <c r="R43" s="689"/>
      <c r="S43" s="688"/>
      <c r="T43" s="688"/>
      <c r="U43" s="688"/>
      <c r="V43" s="688"/>
      <c r="W43" s="1318"/>
      <c r="X43" s="512"/>
      <c r="Y43" s="512"/>
      <c r="Z43" s="1318"/>
      <c r="AA43" s="512"/>
      <c r="AB43" s="1318"/>
      <c r="AC43" s="512"/>
      <c r="AD43" s="1318"/>
      <c r="AE43" s="512"/>
      <c r="AF43" s="4323"/>
      <c r="AG43" s="512"/>
      <c r="AH43" s="512"/>
      <c r="AI43" s="512"/>
      <c r="AJ43" s="512"/>
      <c r="AK43" s="512"/>
      <c r="AL43" s="512"/>
      <c r="AM43" s="512"/>
      <c r="AN43" s="512"/>
      <c r="AP43" s="11249"/>
      <c r="AQ43" s="11250"/>
      <c r="AR43" s="11250"/>
      <c r="AS43" s="11251"/>
    </row>
    <row r="44" spans="1:49" ht="12.75" customHeight="1" thickBot="1">
      <c r="A44" s="139"/>
      <c r="B44" s="2768"/>
      <c r="C44" s="2769" t="s">
        <v>4412</v>
      </c>
      <c r="D44" s="2769"/>
      <c r="E44" s="2751"/>
      <c r="F44" s="2751"/>
      <c r="G44" s="2771"/>
      <c r="H44" s="2771"/>
      <c r="I44" s="2771"/>
      <c r="J44" s="2771"/>
      <c r="K44" s="2771"/>
      <c r="L44" s="2802"/>
      <c r="M44" s="2791"/>
      <c r="N44" s="2775"/>
      <c r="O44" s="343"/>
      <c r="P44" s="2990"/>
      <c r="Q44" s="2785"/>
      <c r="R44" s="689"/>
      <c r="S44" s="688"/>
      <c r="T44" s="688"/>
      <c r="U44" s="688"/>
      <c r="V44" s="688"/>
      <c r="W44" s="1318"/>
      <c r="X44" s="512"/>
      <c r="Y44" s="512"/>
      <c r="Z44" s="1318"/>
      <c r="AA44" s="512"/>
      <c r="AB44" s="1318"/>
      <c r="AC44" s="512"/>
      <c r="AD44" s="1318"/>
      <c r="AE44" s="512"/>
      <c r="AF44" s="4323"/>
      <c r="AG44" s="512"/>
      <c r="AH44" s="512"/>
      <c r="AI44" s="512"/>
      <c r="AJ44" s="512"/>
      <c r="AK44" s="512"/>
      <c r="AL44" s="512"/>
      <c r="AM44" s="512"/>
      <c r="AN44" s="512"/>
      <c r="AP44" s="11252"/>
      <c r="AQ44" s="11253"/>
      <c r="AR44" s="11253"/>
      <c r="AS44" s="11254"/>
    </row>
    <row r="45" spans="1:49" s="214" customFormat="1" ht="12" customHeight="1" thickBot="1">
      <c r="A45" s="139"/>
      <c r="B45" s="2768"/>
      <c r="C45" s="2769" t="s">
        <v>4413</v>
      </c>
      <c r="D45" s="2769"/>
      <c r="E45" s="2751"/>
      <c r="F45" s="2751"/>
      <c r="G45" s="2771"/>
      <c r="H45" s="2768"/>
      <c r="I45" s="2768"/>
      <c r="J45" s="2768"/>
      <c r="K45" s="2031" t="s">
        <v>4414</v>
      </c>
      <c r="L45" s="4324" t="s">
        <v>3031</v>
      </c>
      <c r="M45" s="335"/>
      <c r="N45" s="2775"/>
      <c r="O45" s="343"/>
      <c r="P45" s="2990"/>
      <c r="Q45" s="2785"/>
      <c r="R45" s="343"/>
      <c r="S45" s="4325"/>
      <c r="T45" s="4325"/>
      <c r="U45" s="4325"/>
      <c r="V45" s="4325"/>
      <c r="W45" s="1318"/>
      <c r="X45" s="512"/>
      <c r="Y45" s="512"/>
      <c r="Z45" s="1318"/>
      <c r="AA45" s="512"/>
      <c r="AB45" s="1318"/>
      <c r="AC45" s="512"/>
      <c r="AD45" s="1318"/>
      <c r="AE45" s="512"/>
      <c r="AF45" s="4323"/>
      <c r="AG45" s="512"/>
      <c r="AH45" s="512"/>
      <c r="AI45" s="512"/>
      <c r="AJ45" s="512"/>
      <c r="AK45" s="512"/>
      <c r="AL45" s="512"/>
      <c r="AM45" s="512"/>
      <c r="AN45" s="512"/>
      <c r="AO45" s="658"/>
      <c r="AP45" s="658"/>
      <c r="AQ45" s="658"/>
      <c r="AR45" s="658"/>
      <c r="AS45" s="658"/>
      <c r="AT45" s="658"/>
      <c r="AU45" s="658"/>
      <c r="AV45" s="658"/>
      <c r="AW45" s="658"/>
    </row>
    <row r="46" spans="1:49" ht="12" customHeight="1">
      <c r="A46" s="139"/>
      <c r="B46" s="2768" t="s">
        <v>595</v>
      </c>
      <c r="C46" s="2769" t="s">
        <v>4415</v>
      </c>
      <c r="D46" s="2770"/>
      <c r="E46" s="2751"/>
      <c r="F46" s="2751"/>
      <c r="G46" s="2771"/>
      <c r="H46" s="2771"/>
      <c r="I46" s="2771"/>
      <c r="J46" s="2771"/>
      <c r="K46" s="2031" t="s">
        <v>4416</v>
      </c>
      <c r="L46" s="3039" t="s">
        <v>3032</v>
      </c>
      <c r="M46" s="2774">
        <f>SUM(M42,-M45)</f>
        <v>0</v>
      </c>
      <c r="N46" s="2775"/>
      <c r="O46" s="689"/>
      <c r="P46" s="2990"/>
      <c r="Q46" s="2785"/>
      <c r="R46" s="343"/>
      <c r="S46" s="4325"/>
      <c r="T46" s="4325"/>
      <c r="U46" s="4325"/>
      <c r="V46" s="4325"/>
      <c r="W46" s="1318"/>
      <c r="X46" s="512"/>
      <c r="Y46" s="512"/>
      <c r="Z46" s="1318"/>
      <c r="AA46" s="512"/>
      <c r="AB46" s="1318"/>
      <c r="AC46" s="512"/>
      <c r="AD46" s="1318"/>
      <c r="AE46" s="512"/>
      <c r="AF46" s="4323"/>
      <c r="AG46" s="512"/>
      <c r="AH46" s="512"/>
      <c r="AI46" s="512"/>
      <c r="AJ46" s="512"/>
      <c r="AK46" s="512"/>
      <c r="AL46" s="512"/>
      <c r="AM46" s="512"/>
      <c r="AN46" s="512"/>
    </row>
    <row r="47" spans="1:49" ht="12" customHeight="1" thickBot="1">
      <c r="A47" s="139"/>
      <c r="B47" s="2768">
        <v>15</v>
      </c>
      <c r="C47" s="2769" t="s">
        <v>4417</v>
      </c>
      <c r="D47" s="2770"/>
      <c r="E47" s="2751"/>
      <c r="F47" s="2751"/>
      <c r="G47" s="2771"/>
      <c r="H47" s="2771"/>
      <c r="I47" s="2771"/>
      <c r="J47" s="2771"/>
      <c r="K47" s="2031" t="s">
        <v>4418</v>
      </c>
      <c r="L47" s="4295">
        <f>B47</f>
        <v>15</v>
      </c>
      <c r="M47" s="1227"/>
      <c r="N47" s="2775"/>
      <c r="O47" s="689"/>
      <c r="P47" s="2990"/>
      <c r="Q47" s="962"/>
      <c r="R47" s="689"/>
      <c r="S47" s="314"/>
      <c r="T47" s="314"/>
      <c r="U47" s="314"/>
      <c r="V47" s="314"/>
      <c r="W47" s="1318"/>
      <c r="X47" s="512"/>
      <c r="Y47" s="512"/>
      <c r="Z47" s="1318"/>
      <c r="AA47" s="512"/>
      <c r="AB47" s="1318"/>
      <c r="AC47" s="512"/>
      <c r="AD47" s="1318"/>
      <c r="AE47" s="512"/>
      <c r="AF47" s="4323"/>
      <c r="AG47" s="512"/>
      <c r="AH47" s="512"/>
      <c r="AI47" s="512"/>
      <c r="AJ47" s="512"/>
      <c r="AK47" s="512"/>
      <c r="AL47" s="512"/>
      <c r="AM47" s="512"/>
      <c r="AN47" s="512"/>
    </row>
    <row r="48" spans="1:49" ht="12.75" customHeight="1">
      <c r="A48" s="139"/>
      <c r="B48" s="2768">
        <v>16</v>
      </c>
      <c r="C48" s="2769" t="s">
        <v>4996</v>
      </c>
      <c r="D48" s="2770"/>
      <c r="E48" s="2751"/>
      <c r="F48" s="2751"/>
      <c r="G48" s="2771"/>
      <c r="H48" s="2771"/>
      <c r="I48" s="2771"/>
      <c r="J48" s="2771"/>
      <c r="K48" s="2768"/>
      <c r="L48" s="2802"/>
      <c r="M48" s="2791"/>
      <c r="N48" s="2783"/>
      <c r="O48" s="689"/>
      <c r="P48" s="3256"/>
      <c r="Q48" s="2785"/>
      <c r="R48" s="689"/>
      <c r="S48" s="314"/>
      <c r="T48" s="314"/>
      <c r="U48" s="314"/>
      <c r="V48" s="314"/>
      <c r="W48" s="1318"/>
      <c r="X48" s="512"/>
      <c r="Y48" s="512"/>
      <c r="Z48" s="1318"/>
      <c r="AA48" s="512"/>
      <c r="AB48" s="1318"/>
      <c r="AC48" s="512"/>
      <c r="AD48" s="1318"/>
      <c r="AE48" s="512"/>
      <c r="AF48" s="4323"/>
      <c r="AG48" s="512"/>
      <c r="AH48" s="512"/>
      <c r="AI48" s="512"/>
      <c r="AJ48" s="512"/>
      <c r="AK48" s="512"/>
      <c r="AL48" s="512"/>
      <c r="AM48" s="512"/>
      <c r="AN48" s="512"/>
    </row>
    <row r="49" spans="1:49" ht="13.5" customHeight="1">
      <c r="A49" s="139"/>
      <c r="B49" s="2768"/>
      <c r="C49" s="2769" t="s">
        <v>4997</v>
      </c>
      <c r="D49" s="2769"/>
      <c r="E49" s="2751"/>
      <c r="F49" s="2751"/>
      <c r="G49" s="2771"/>
      <c r="H49" s="2768"/>
      <c r="I49" s="2768"/>
      <c r="J49" s="2768"/>
      <c r="K49" s="2031" t="s">
        <v>702</v>
      </c>
      <c r="L49" s="2773">
        <f>B48</f>
        <v>16</v>
      </c>
      <c r="M49" s="2774">
        <f>IF(Q49&lt;&gt;"",ROUND(Q49,0),IF(SUM(M46,-M47)&lt;0,0,SUM(M46,-M47)))</f>
        <v>0</v>
      </c>
      <c r="N49" s="2775"/>
      <c r="O49" s="343"/>
      <c r="P49" s="2990"/>
      <c r="Q49" s="118"/>
      <c r="R49" s="689"/>
      <c r="S49" s="688"/>
      <c r="T49" s="688"/>
      <c r="U49" s="688"/>
      <c r="V49" s="688"/>
      <c r="W49" s="1318"/>
      <c r="X49" s="512"/>
      <c r="Y49" s="512"/>
      <c r="Z49" s="1318"/>
      <c r="AA49" s="512"/>
      <c r="AB49" s="1318"/>
      <c r="AC49" s="512"/>
      <c r="AD49" s="1318"/>
      <c r="AE49" s="512"/>
      <c r="AF49" s="4323"/>
      <c r="AG49" s="512"/>
      <c r="AH49" s="512"/>
      <c r="AI49" s="512"/>
      <c r="AJ49" s="512"/>
      <c r="AK49" s="512"/>
      <c r="AL49" s="512"/>
      <c r="AM49" s="512"/>
      <c r="AN49" s="512"/>
    </row>
    <row r="50" spans="1:49" ht="12" customHeight="1" thickBot="1">
      <c r="A50" s="139"/>
      <c r="B50" s="2768" t="s">
        <v>1081</v>
      </c>
      <c r="C50" s="2769" t="s">
        <v>4998</v>
      </c>
      <c r="D50" s="2770"/>
      <c r="E50" s="2751"/>
      <c r="F50" s="2751"/>
      <c r="G50" s="2771"/>
      <c r="H50" s="2826"/>
      <c r="I50" s="2771"/>
      <c r="J50" s="2771"/>
      <c r="K50" s="3632" t="str">
        <f>"Exceptions to the Additional "&amp;TEXT($M$52,"0%")</f>
        <v>Exceptions to the Additional 20%</v>
      </c>
      <c r="L50" s="4292"/>
      <c r="M50" s="2799"/>
      <c r="N50" s="2783"/>
      <c r="O50" s="689"/>
      <c r="P50" s="3256"/>
      <c r="Q50" s="4326" t="str">
        <f>IF($J$51&lt;&gt;"","Enter distributions","")</f>
        <v/>
      </c>
      <c r="R50" s="343"/>
      <c r="S50" s="688"/>
      <c r="T50" s="688"/>
      <c r="U50" s="688"/>
      <c r="V50" s="688"/>
      <c r="W50" s="1318"/>
      <c r="X50" s="512"/>
      <c r="Y50" s="512"/>
      <c r="Z50" s="1318"/>
      <c r="AA50" s="512"/>
      <c r="AB50" s="1318"/>
      <c r="AC50" s="512"/>
      <c r="AD50" s="1318"/>
      <c r="AE50" s="512"/>
      <c r="AF50" s="4323"/>
      <c r="AG50" s="512"/>
      <c r="AH50" s="512"/>
      <c r="AI50" s="512"/>
      <c r="AJ50" s="512"/>
      <c r="AK50" s="512"/>
      <c r="AL50" s="512"/>
      <c r="AM50" s="512"/>
      <c r="AN50" s="512"/>
    </row>
    <row r="51" spans="1:49" ht="15.75" customHeight="1" thickBot="1">
      <c r="A51" s="139"/>
      <c r="B51" s="2768"/>
      <c r="C51" s="4327" t="s">
        <v>4999</v>
      </c>
      <c r="D51" s="3214"/>
      <c r="E51" s="2751"/>
      <c r="F51" s="2751"/>
      <c r="G51" s="2771"/>
      <c r="H51" s="2771"/>
      <c r="I51" s="2031" t="s">
        <v>811</v>
      </c>
      <c r="J51" s="282"/>
      <c r="K51" s="2771"/>
      <c r="L51" s="4292"/>
      <c r="M51" s="2791"/>
      <c r="N51" s="2775"/>
      <c r="O51" s="343"/>
      <c r="P51" s="2990"/>
      <c r="Q51" s="4326" t="str">
        <f>IF($J$51&lt;&gt;"","subject to","")</f>
        <v/>
      </c>
      <c r="R51" s="689"/>
      <c r="S51" s="688"/>
      <c r="T51" s="688"/>
      <c r="U51" s="688"/>
      <c r="V51" s="688"/>
      <c r="W51" s="1318"/>
      <c r="X51" s="512"/>
      <c r="Y51" s="512"/>
      <c r="Z51" s="1318"/>
      <c r="AA51" s="512"/>
      <c r="AB51" s="1318"/>
      <c r="AC51" s="512"/>
      <c r="AD51" s="1318"/>
      <c r="AE51" s="512"/>
      <c r="AF51" s="4323"/>
      <c r="AG51" s="512"/>
      <c r="AH51" s="512"/>
      <c r="AI51" s="512"/>
      <c r="AJ51" s="512"/>
      <c r="AK51" s="512"/>
      <c r="AL51" s="512"/>
      <c r="AM51" s="512"/>
      <c r="AN51" s="512"/>
    </row>
    <row r="52" spans="1:49" s="214" customFormat="1" ht="14.25" customHeight="1">
      <c r="A52" s="139"/>
      <c r="B52" s="2768" t="s">
        <v>592</v>
      </c>
      <c r="C52" s="2826" t="str">
        <f>"Additional "&amp;TEXT(M52,"0%")&amp;" tax"</f>
        <v>Additional 20% tax</v>
      </c>
      <c r="D52" s="2770"/>
      <c r="E52" s="2751"/>
      <c r="F52" s="2769"/>
      <c r="G52" s="2771"/>
      <c r="H52" s="2771"/>
      <c r="I52" s="2771"/>
      <c r="J52" s="2771"/>
      <c r="K52" s="3065" t="str">
        <f>"(see instructions). Enter "&amp;TEXT($M$52,"0%")&amp;" ("&amp;TEXT($M$52,".00")&amp;") of the distributions included on line 16     "</f>
        <v xml:space="preserve">(see instructions). Enter 20% (.20) of the distributions included on line 16     </v>
      </c>
      <c r="L52" s="4292"/>
      <c r="M52" s="3159">
        <v>0.2</v>
      </c>
      <c r="N52" s="2783"/>
      <c r="O52" s="689"/>
      <c r="P52" s="3256"/>
      <c r="Q52" s="4326" t="str">
        <f>IF($J$51&lt;&gt;"","additional tax here:","")</f>
        <v/>
      </c>
      <c r="R52" s="343"/>
      <c r="S52" s="688"/>
      <c r="T52" s="688"/>
      <c r="U52" s="688"/>
      <c r="V52" s="688"/>
      <c r="W52" s="1318"/>
      <c r="X52" s="512"/>
      <c r="Y52" s="512"/>
      <c r="Z52" s="1318"/>
      <c r="AA52" s="512"/>
      <c r="AB52" s="1318"/>
      <c r="AC52" s="512"/>
      <c r="AD52" s="1318"/>
      <c r="AE52" s="512"/>
      <c r="AF52" s="4323"/>
      <c r="AG52" s="512"/>
      <c r="AH52" s="512"/>
      <c r="AI52" s="512"/>
      <c r="AJ52" s="512"/>
      <c r="AK52" s="512"/>
      <c r="AL52" s="512"/>
      <c r="AM52" s="512"/>
      <c r="AN52" s="512"/>
      <c r="AO52" s="658"/>
      <c r="AP52" s="658"/>
      <c r="AQ52" s="658"/>
      <c r="AR52" s="658"/>
      <c r="AS52" s="658"/>
      <c r="AT52" s="658"/>
      <c r="AU52" s="658"/>
      <c r="AV52" s="658"/>
      <c r="AW52" s="658"/>
    </row>
    <row r="53" spans="1:49" ht="12" customHeight="1">
      <c r="A53" s="139"/>
      <c r="B53" s="2768"/>
      <c r="C53" s="2769" t="str">
        <f>"that are subject to the additional "&amp;TEXT($M$52,"0%")&amp;" tax. Also include this amount in the total on Schedule 2"</f>
        <v>that are subject to the additional 20% tax. Also include this amount in the total on Schedule 2</v>
      </c>
      <c r="D53" s="2769"/>
      <c r="E53" s="2751"/>
      <c r="F53" s="2751"/>
      <c r="G53" s="2771"/>
      <c r="H53" s="2771"/>
      <c r="I53" s="2771"/>
      <c r="J53" s="2771"/>
      <c r="K53" s="2771"/>
      <c r="L53" s="4292"/>
      <c r="M53" s="2791"/>
      <c r="N53" s="2775"/>
      <c r="O53" s="343"/>
      <c r="P53" s="2990"/>
      <c r="Q53" s="4328"/>
      <c r="R53" s="689"/>
      <c r="S53" s="688"/>
      <c r="T53" s="688"/>
      <c r="U53" s="688"/>
      <c r="V53" s="688"/>
      <c r="W53" s="1318"/>
      <c r="X53" s="512"/>
      <c r="Y53" s="512"/>
      <c r="Z53" s="1318"/>
      <c r="AA53" s="512"/>
      <c r="AB53" s="1318"/>
      <c r="AC53" s="512"/>
      <c r="AD53" s="1318"/>
      <c r="AE53" s="512"/>
      <c r="AF53" s="4323"/>
      <c r="AG53" s="512"/>
      <c r="AH53" s="512"/>
      <c r="AI53" s="512"/>
      <c r="AJ53" s="512"/>
      <c r="AK53" s="512"/>
      <c r="AL53" s="512"/>
      <c r="AM53" s="512"/>
      <c r="AN53" s="512"/>
    </row>
    <row r="54" spans="1:49" s="214" customFormat="1" ht="12" customHeight="1" thickBot="1">
      <c r="A54" s="139"/>
      <c r="B54" s="3741"/>
      <c r="C54" s="4361" t="s">
        <v>4419</v>
      </c>
      <c r="D54" s="4299"/>
      <c r="E54" s="4300"/>
      <c r="F54" s="4300"/>
      <c r="G54" s="4301"/>
      <c r="H54" s="4301"/>
      <c r="I54" s="4301"/>
      <c r="J54" s="4301"/>
      <c r="K54" s="4302"/>
      <c r="L54" s="3742" t="s">
        <v>1082</v>
      </c>
      <c r="M54" s="3067">
        <f>IF(Q54&lt;&gt;"",ROUND(Q54,0),IF($J$51&lt;&gt;"",ROUND($M$52*$Q$53,0),ROUND($M$52*M49,0)))</f>
        <v>0</v>
      </c>
      <c r="N54" s="2775"/>
      <c r="O54" s="689"/>
      <c r="P54" s="3225"/>
      <c r="Q54" s="118"/>
      <c r="R54" s="343"/>
      <c r="S54" s="688"/>
      <c r="T54" s="688"/>
      <c r="U54" s="688"/>
      <c r="V54" s="688"/>
      <c r="W54" s="1318"/>
      <c r="X54" s="512"/>
      <c r="Y54" s="512"/>
      <c r="Z54" s="1318"/>
      <c r="AA54" s="512"/>
      <c r="AB54" s="1318"/>
      <c r="AC54" s="512"/>
      <c r="AD54" s="1318"/>
      <c r="AE54" s="512"/>
      <c r="AF54" s="4323"/>
      <c r="AG54" s="512"/>
      <c r="AH54" s="512"/>
      <c r="AI54" s="512"/>
      <c r="AJ54" s="512"/>
      <c r="AK54" s="512"/>
      <c r="AL54" s="512"/>
      <c r="AM54" s="512"/>
      <c r="AN54" s="512"/>
      <c r="AO54" s="658"/>
      <c r="AP54" s="658"/>
      <c r="AQ54" s="658"/>
      <c r="AR54" s="658"/>
      <c r="AS54" s="658"/>
      <c r="AT54" s="658"/>
      <c r="AU54" s="658"/>
      <c r="AV54" s="658"/>
      <c r="AW54" s="658"/>
    </row>
    <row r="55" spans="1:49" ht="16.5" thickBot="1">
      <c r="A55" s="139"/>
      <c r="B55" s="4360" t="s">
        <v>1938</v>
      </c>
      <c r="C55" s="11271" t="s">
        <v>4420</v>
      </c>
      <c r="D55" s="11271"/>
      <c r="E55" s="11272"/>
      <c r="F55" s="11272"/>
      <c r="G55" s="11272"/>
      <c r="H55" s="11272"/>
      <c r="I55" s="11272"/>
      <c r="J55" s="11272"/>
      <c r="K55" s="11272"/>
      <c r="L55" s="11272"/>
      <c r="M55" s="11272"/>
      <c r="N55" s="2762"/>
      <c r="O55" s="344"/>
      <c r="P55" s="2763"/>
      <c r="Q55" s="2013"/>
      <c r="R55" s="689"/>
      <c r="S55" s="688"/>
      <c r="T55" s="688"/>
      <c r="U55" s="688"/>
      <c r="V55" s="688"/>
      <c r="W55" s="1318"/>
      <c r="X55" s="512"/>
      <c r="Y55" s="512"/>
      <c r="Z55" s="1318"/>
      <c r="AA55" s="512"/>
      <c r="AB55" s="1318"/>
      <c r="AC55" s="512"/>
      <c r="AD55" s="1318"/>
      <c r="AE55" s="512"/>
      <c r="AF55" s="4323"/>
      <c r="AG55" s="512"/>
      <c r="AH55" s="512"/>
      <c r="AI55" s="512"/>
      <c r="AJ55" s="512"/>
      <c r="AK55" s="512"/>
      <c r="AL55" s="512"/>
      <c r="AM55" s="512"/>
      <c r="AN55" s="512"/>
    </row>
    <row r="56" spans="1:49" s="80" customFormat="1" ht="13.5" thickBot="1">
      <c r="A56" s="139"/>
      <c r="B56" s="4261"/>
      <c r="C56" s="11257" t="s">
        <v>4421</v>
      </c>
      <c r="D56" s="11257"/>
      <c r="E56" s="11258"/>
      <c r="F56" s="11258"/>
      <c r="G56" s="11258"/>
      <c r="H56" s="11258"/>
      <c r="I56" s="11258"/>
      <c r="J56" s="11258"/>
      <c r="K56" s="11258"/>
      <c r="L56" s="11258"/>
      <c r="M56" s="11258"/>
      <c r="N56" s="2762"/>
      <c r="O56" s="344"/>
      <c r="P56" s="4317"/>
      <c r="Q56" s="2013"/>
      <c r="R56" s="344"/>
      <c r="S56" s="688"/>
      <c r="T56" s="688"/>
      <c r="U56" s="688"/>
      <c r="V56" s="688"/>
      <c r="W56" s="1318"/>
      <c r="X56" s="512"/>
      <c r="Y56" s="512"/>
      <c r="Z56" s="1318"/>
      <c r="AA56" s="512"/>
      <c r="AB56" s="1318"/>
      <c r="AC56" s="512"/>
      <c r="AD56" s="1318"/>
      <c r="AE56" s="512"/>
      <c r="AF56" s="4323"/>
      <c r="AG56" s="512"/>
      <c r="AH56" s="512"/>
      <c r="AI56" s="512"/>
      <c r="AJ56" s="512"/>
      <c r="AK56" s="6609"/>
      <c r="AL56" s="512"/>
      <c r="AM56" s="512"/>
      <c r="AN56" s="512"/>
      <c r="AO56" s="658"/>
      <c r="AP56" s="658"/>
      <c r="AQ56" s="658"/>
      <c r="AR56" s="658"/>
      <c r="AS56" s="658"/>
      <c r="AT56" s="658"/>
      <c r="AU56" s="658"/>
      <c r="AV56" s="658"/>
      <c r="AW56" s="658"/>
    </row>
    <row r="57" spans="1:49" s="80" customFormat="1">
      <c r="A57" s="139"/>
      <c r="B57" s="4316"/>
      <c r="C57" s="11259" t="s">
        <v>4422</v>
      </c>
      <c r="D57" s="11259"/>
      <c r="E57" s="11260"/>
      <c r="F57" s="11260"/>
      <c r="G57" s="11260"/>
      <c r="H57" s="11260"/>
      <c r="I57" s="11260"/>
      <c r="J57" s="11260"/>
      <c r="K57" s="11260"/>
      <c r="L57" s="11260"/>
      <c r="M57" s="11260"/>
      <c r="N57" s="2762"/>
      <c r="O57" s="344"/>
      <c r="P57" s="4317"/>
      <c r="Q57" s="2013"/>
      <c r="R57" s="344"/>
      <c r="S57" s="688"/>
      <c r="T57" s="688"/>
      <c r="U57" s="688"/>
      <c r="V57" s="688"/>
      <c r="W57" s="1318"/>
      <c r="X57" s="512"/>
      <c r="Y57" s="512"/>
      <c r="Z57" s="1318"/>
      <c r="AA57" s="512"/>
      <c r="AB57" s="1318"/>
      <c r="AC57" s="512"/>
      <c r="AD57" s="1318"/>
      <c r="AE57" s="512"/>
      <c r="AF57" s="4323"/>
      <c r="AG57" s="512"/>
      <c r="AH57" s="512"/>
      <c r="AI57" s="512"/>
      <c r="AJ57" s="512"/>
      <c r="AK57" s="512"/>
      <c r="AL57" s="512"/>
      <c r="AM57" s="512"/>
      <c r="AN57" s="512"/>
      <c r="AO57" s="658"/>
      <c r="AP57" s="658"/>
      <c r="AQ57" s="658"/>
      <c r="AR57" s="658"/>
      <c r="AS57" s="658"/>
      <c r="AT57" s="658"/>
      <c r="AU57" s="658"/>
      <c r="AV57" s="658"/>
      <c r="AW57" s="658"/>
    </row>
    <row r="58" spans="1:49" ht="12.75" customHeight="1">
      <c r="A58" s="139"/>
      <c r="B58" s="2768">
        <v>18</v>
      </c>
      <c r="C58" s="2769" t="s">
        <v>4423</v>
      </c>
      <c r="D58" s="2770"/>
      <c r="E58" s="2751"/>
      <c r="F58" s="2751"/>
      <c r="G58" s="2771"/>
      <c r="H58" s="2771"/>
      <c r="I58" s="2771"/>
      <c r="J58" s="2771"/>
      <c r="K58" s="2031" t="s">
        <v>871</v>
      </c>
      <c r="L58" s="2773">
        <f>B58</f>
        <v>18</v>
      </c>
      <c r="M58" s="335"/>
      <c r="N58" s="2783"/>
      <c r="O58" s="689"/>
      <c r="P58" s="3256"/>
      <c r="Q58" s="962"/>
      <c r="R58" s="344"/>
      <c r="S58" s="688"/>
      <c r="T58" s="688"/>
      <c r="U58" s="688"/>
      <c r="V58" s="688"/>
      <c r="W58" s="1318"/>
      <c r="X58" s="512"/>
      <c r="Y58" s="512"/>
      <c r="Z58" s="1318"/>
      <c r="AA58" s="512"/>
      <c r="AB58" s="1318"/>
      <c r="AC58" s="512"/>
      <c r="AD58" s="1318"/>
      <c r="AE58" s="512"/>
      <c r="AF58" s="4323"/>
      <c r="AG58" s="512"/>
      <c r="AH58" s="512"/>
      <c r="AI58" s="512"/>
      <c r="AJ58" s="512"/>
      <c r="AK58" s="512"/>
      <c r="AL58" s="512"/>
      <c r="AM58" s="512"/>
      <c r="AN58" s="512"/>
    </row>
    <row r="59" spans="1:49" ht="12" customHeight="1">
      <c r="A59" s="139"/>
      <c r="B59" s="2768">
        <v>19</v>
      </c>
      <c r="C59" s="2769" t="s">
        <v>4424</v>
      </c>
      <c r="D59" s="2770"/>
      <c r="E59" s="2751"/>
      <c r="F59" s="2751"/>
      <c r="G59" s="2771"/>
      <c r="H59" s="2771"/>
      <c r="I59" s="2771"/>
      <c r="J59" s="2771"/>
      <c r="K59" s="2031" t="s">
        <v>647</v>
      </c>
      <c r="L59" s="2773">
        <f>B59</f>
        <v>19</v>
      </c>
      <c r="M59" s="335"/>
      <c r="N59" s="2783"/>
      <c r="O59" s="689"/>
      <c r="P59" s="3256"/>
      <c r="Q59" s="962"/>
      <c r="R59" s="689"/>
      <c r="S59" s="688"/>
      <c r="T59" s="688"/>
      <c r="U59" s="688"/>
      <c r="V59" s="688"/>
      <c r="W59" s="1318"/>
      <c r="X59" s="512"/>
      <c r="Y59" s="512"/>
      <c r="Z59" s="1318"/>
      <c r="AA59" s="512"/>
      <c r="AB59" s="1318"/>
      <c r="AC59" s="512"/>
      <c r="AD59" s="1318"/>
      <c r="AE59" s="512"/>
      <c r="AF59" s="4323"/>
      <c r="AG59" s="512"/>
      <c r="AH59" s="512"/>
      <c r="AI59" s="512"/>
      <c r="AJ59" s="512"/>
      <c r="AK59" s="512"/>
      <c r="AL59" s="512"/>
      <c r="AM59" s="512"/>
      <c r="AN59" s="512"/>
    </row>
    <row r="60" spans="1:49" s="214" customFormat="1" ht="12" customHeight="1">
      <c r="A60" s="139"/>
      <c r="B60" s="2768">
        <v>20</v>
      </c>
      <c r="C60" s="2826" t="s">
        <v>4425</v>
      </c>
      <c r="D60" s="2769"/>
      <c r="E60" s="2751"/>
      <c r="F60" s="2751"/>
      <c r="G60" s="2771"/>
      <c r="H60" s="2768"/>
      <c r="I60" s="2768"/>
      <c r="J60" s="2768"/>
      <c r="K60" s="2031"/>
      <c r="L60" s="2773">
        <f>B60</f>
        <v>20</v>
      </c>
      <c r="M60" s="2774">
        <f>IF(Q60&lt;&gt;"",ROUND(Q60,0),SUM(M58,M59))</f>
        <v>0</v>
      </c>
      <c r="N60" s="2775"/>
      <c r="O60" s="343"/>
      <c r="P60" s="2990"/>
      <c r="Q60" s="118"/>
      <c r="R60" s="689"/>
      <c r="S60" s="314"/>
      <c r="T60" s="314"/>
      <c r="U60" s="314"/>
      <c r="V60" s="314"/>
      <c r="W60" s="1318"/>
      <c r="X60" s="512"/>
      <c r="Y60" s="512"/>
      <c r="Z60" s="1318"/>
      <c r="AA60" s="512"/>
      <c r="AB60" s="1318"/>
      <c r="AC60" s="512"/>
      <c r="AD60" s="1318"/>
      <c r="AE60" s="512"/>
      <c r="AF60" s="4323"/>
      <c r="AG60" s="512"/>
      <c r="AH60" s="512"/>
      <c r="AI60" s="512"/>
      <c r="AJ60" s="512"/>
      <c r="AK60" s="512"/>
      <c r="AL60" s="512"/>
      <c r="AM60" s="512"/>
      <c r="AN60" s="512"/>
      <c r="AO60" s="658"/>
      <c r="AP60" s="658"/>
      <c r="AQ60" s="658"/>
      <c r="AR60" s="658"/>
      <c r="AS60" s="658"/>
      <c r="AT60" s="658"/>
      <c r="AU60" s="658"/>
      <c r="AV60" s="658"/>
      <c r="AW60" s="658"/>
    </row>
    <row r="61" spans="1:49" s="214" customFormat="1" ht="12" customHeight="1">
      <c r="A61" s="139"/>
      <c r="B61" s="2768">
        <v>21</v>
      </c>
      <c r="C61" s="2826" t="s">
        <v>4426</v>
      </c>
      <c r="D61" s="2770"/>
      <c r="E61" s="2769" t="str">
        <f>"Multiply line 20 by "&amp;TEXT(M61,"0%")&amp;" ("&amp;TEXT(M61,".00")&amp;"). Include this amount in the total on Schedule 2"</f>
        <v>Multiply line 20 by 10% (.10). Include this amount in the total on Schedule 2</v>
      </c>
      <c r="F61" s="2751"/>
      <c r="G61" s="2771"/>
      <c r="H61" s="2771"/>
      <c r="I61" s="2771"/>
      <c r="J61" s="2771"/>
      <c r="K61" s="2768"/>
      <c r="L61" s="4273"/>
      <c r="M61" s="4330">
        <v>0.1</v>
      </c>
      <c r="N61" s="2783"/>
      <c r="O61" s="689"/>
      <c r="P61" s="3256"/>
      <c r="Q61" s="2785"/>
      <c r="R61" s="343"/>
      <c r="S61" s="688"/>
      <c r="T61" s="688"/>
      <c r="U61" s="688"/>
      <c r="V61" s="688"/>
      <c r="W61" s="689"/>
      <c r="X61" s="343"/>
      <c r="Y61" s="344"/>
      <c r="Z61" s="689"/>
      <c r="AA61" s="344"/>
      <c r="AB61" s="689"/>
      <c r="AC61" s="344"/>
      <c r="AD61" s="689"/>
      <c r="AE61" s="344"/>
      <c r="AF61" s="4232"/>
      <c r="AG61" s="344"/>
      <c r="AH61" s="344"/>
      <c r="AI61" s="343"/>
      <c r="AJ61" s="343"/>
      <c r="AK61" s="343"/>
      <c r="AL61" s="343"/>
      <c r="AM61" s="343"/>
      <c r="AN61" s="343"/>
      <c r="AO61" s="658"/>
      <c r="AP61" s="658"/>
      <c r="AQ61" s="658"/>
      <c r="AR61" s="658"/>
      <c r="AS61" s="658"/>
      <c r="AT61" s="658"/>
      <c r="AU61" s="658"/>
      <c r="AV61" s="658"/>
      <c r="AW61" s="658"/>
    </row>
    <row r="62" spans="1:49" ht="12" customHeight="1" thickBot="1">
      <c r="A62" s="144"/>
      <c r="B62" s="3676"/>
      <c r="C62" s="3019" t="s">
        <v>4427</v>
      </c>
      <c r="D62" s="3019"/>
      <c r="E62" s="4331"/>
      <c r="F62" s="4331"/>
      <c r="G62" s="4332"/>
      <c r="H62" s="3676"/>
      <c r="I62" s="3676"/>
      <c r="J62" s="3676"/>
      <c r="K62" s="4333"/>
      <c r="L62" s="4334">
        <f>B61</f>
        <v>21</v>
      </c>
      <c r="M62" s="4335">
        <f>IF(Q62&lt;&gt;"",ROUND(Q62,0),M60*M61)</f>
        <v>0</v>
      </c>
      <c r="N62" s="4336"/>
      <c r="O62" s="505"/>
      <c r="P62" s="4337"/>
      <c r="Q62" s="849"/>
      <c r="R62" s="689"/>
      <c r="S62" s="688"/>
      <c r="T62" s="688"/>
      <c r="U62" s="688"/>
      <c r="V62" s="688"/>
      <c r="W62" s="730"/>
      <c r="X62" s="343"/>
      <c r="Y62" s="344"/>
      <c r="Z62" s="689"/>
      <c r="AA62" s="344"/>
      <c r="AB62" s="689"/>
      <c r="AC62" s="344"/>
      <c r="AD62" s="689"/>
      <c r="AE62" s="344"/>
      <c r="AF62" s="4232"/>
      <c r="AG62" s="344"/>
      <c r="AH62" s="344"/>
      <c r="AI62" s="344"/>
      <c r="AJ62" s="344"/>
      <c r="AK62" s="344"/>
      <c r="AL62" s="344"/>
      <c r="AM62" s="344"/>
      <c r="AN62" s="344"/>
    </row>
    <row r="63" spans="1:49" s="214" customFormat="1" ht="12" customHeight="1">
      <c r="A63" s="139"/>
      <c r="B63" s="2827" t="s">
        <v>865</v>
      </c>
      <c r="C63" s="2828"/>
      <c r="D63" s="2828"/>
      <c r="E63" s="2828"/>
      <c r="F63" s="2828"/>
      <c r="G63" s="2829"/>
      <c r="H63" s="2830"/>
      <c r="I63" s="3085" t="s">
        <v>4428</v>
      </c>
      <c r="J63" s="3085"/>
      <c r="K63" s="2832" t="s">
        <v>4429</v>
      </c>
      <c r="L63" s="2832"/>
      <c r="M63" s="6699" t="str">
        <f>"  ("&amp;TaxYear&amp;") Created 3/28/25"</f>
        <v xml:space="preserve">  (2025) Created 3/28/25</v>
      </c>
      <c r="N63" s="2834"/>
      <c r="O63" s="343"/>
      <c r="P63" s="3256"/>
      <c r="Q63" s="962"/>
      <c r="R63" s="505"/>
      <c r="S63" s="4227"/>
      <c r="T63" s="4227"/>
      <c r="U63" s="4227"/>
      <c r="V63" s="4227"/>
      <c r="W63" s="775"/>
      <c r="X63" s="343"/>
      <c r="Y63" s="344"/>
      <c r="Z63" s="689"/>
      <c r="AA63" s="344"/>
      <c r="AB63" s="689"/>
      <c r="AC63" s="344"/>
      <c r="AD63" s="689"/>
      <c r="AE63" s="344"/>
      <c r="AF63" s="4232"/>
      <c r="AG63" s="344"/>
      <c r="AH63" s="344"/>
      <c r="AI63" s="344"/>
      <c r="AJ63" s="344"/>
      <c r="AK63" s="344"/>
      <c r="AL63" s="344"/>
      <c r="AM63" s="344"/>
      <c r="AN63" s="344"/>
      <c r="AO63" s="658"/>
      <c r="AP63" s="658"/>
      <c r="AQ63" s="658"/>
      <c r="AR63" s="658"/>
      <c r="AS63" s="658"/>
      <c r="AT63" s="658"/>
      <c r="AU63" s="658"/>
      <c r="AV63" s="658"/>
      <c r="AW63" s="658"/>
    </row>
    <row r="64" spans="1:49" ht="15" customHeight="1">
      <c r="A64" s="139"/>
      <c r="B64" s="88"/>
      <c r="C64" s="88"/>
      <c r="D64" s="90"/>
      <c r="E64" s="4338"/>
      <c r="F64" s="4339"/>
      <c r="G64" s="3437"/>
      <c r="H64" s="4339"/>
      <c r="I64" s="4339"/>
      <c r="J64" s="4339"/>
      <c r="K64" s="4340"/>
      <c r="L64" s="10287" t="str">
        <f>IF(AND(N64="",'Table of Contents'!A59="D"),"DRAFT","OMB No. 1545-0074")</f>
        <v>OMB No. 1545-0074</v>
      </c>
      <c r="M64" s="9894"/>
      <c r="N64" s="1796"/>
      <c r="O64" s="253"/>
      <c r="P64" s="729"/>
      <c r="Q64" s="7843"/>
      <c r="R64" s="343"/>
      <c r="S64" s="688"/>
      <c r="T64" s="688"/>
      <c r="U64" s="688"/>
      <c r="V64" s="688"/>
      <c r="W64" s="2257"/>
      <c r="X64" s="343"/>
      <c r="Y64" s="344"/>
      <c r="Z64" s="689"/>
      <c r="AA64" s="344"/>
      <c r="AB64" s="689"/>
      <c r="AC64" s="344"/>
      <c r="AD64" s="689"/>
      <c r="AE64" s="344"/>
      <c r="AF64" s="4232"/>
      <c r="AG64" s="344"/>
      <c r="AH64" s="344"/>
      <c r="AI64" s="344"/>
      <c r="AJ64" s="344"/>
      <c r="AK64" s="344"/>
      <c r="AL64" s="344"/>
      <c r="AM64" s="344"/>
      <c r="AN64" s="344"/>
    </row>
    <row r="65" spans="1:49" s="80" customFormat="1" ht="5.25" customHeight="1">
      <c r="A65" s="139"/>
      <c r="B65" s="11275" t="s">
        <v>46</v>
      </c>
      <c r="C65" s="11276">
        <v>8889</v>
      </c>
      <c r="D65" s="11277"/>
      <c r="E65" s="4338"/>
      <c r="F65" s="4339"/>
      <c r="G65" s="4339"/>
      <c r="H65" s="4339"/>
      <c r="I65" s="4339"/>
      <c r="J65" s="4339"/>
      <c r="K65" s="4340"/>
      <c r="L65" s="11261">
        <f>TaxYear</f>
        <v>2025</v>
      </c>
      <c r="M65" s="11262"/>
      <c r="N65" s="2746"/>
      <c r="O65" s="344"/>
      <c r="P65" s="2747"/>
      <c r="Q65" s="7843"/>
      <c r="R65" s="253"/>
      <c r="S65" s="314"/>
      <c r="T65" s="314"/>
      <c r="U65" s="314"/>
      <c r="V65" s="314"/>
      <c r="W65" s="1204"/>
      <c r="X65" s="344"/>
      <c r="Y65" s="344"/>
      <c r="Z65" s="689"/>
      <c r="AA65" s="344"/>
      <c r="AB65" s="689"/>
      <c r="AC65" s="344"/>
      <c r="AD65" s="689"/>
      <c r="AE65" s="344"/>
      <c r="AF65" s="4232"/>
      <c r="AG65" s="344"/>
      <c r="AH65" s="344"/>
      <c r="AI65" s="344"/>
      <c r="AJ65" s="344"/>
      <c r="AK65" s="344"/>
      <c r="AL65" s="344"/>
      <c r="AM65" s="344"/>
      <c r="AN65" s="344"/>
      <c r="AO65" s="658"/>
      <c r="AP65" s="658"/>
      <c r="AQ65" s="658"/>
      <c r="AR65" s="658"/>
      <c r="AS65" s="658"/>
      <c r="AT65" s="658"/>
      <c r="AU65" s="658"/>
      <c r="AV65" s="658"/>
      <c r="AW65" s="658"/>
    </row>
    <row r="66" spans="1:49" ht="20.25">
      <c r="A66" s="139"/>
      <c r="B66" s="9800"/>
      <c r="C66" s="11278"/>
      <c r="D66" s="11279"/>
      <c r="E66" s="11265" t="s">
        <v>4353</v>
      </c>
      <c r="F66" s="10298"/>
      <c r="G66" s="10298"/>
      <c r="H66" s="10298"/>
      <c r="I66" s="10298"/>
      <c r="J66" s="10298"/>
      <c r="K66" s="11266"/>
      <c r="L66" s="11263"/>
      <c r="M66" s="11264"/>
      <c r="N66" s="2749"/>
      <c r="O66" s="504"/>
      <c r="P66" s="4240"/>
      <c r="Q66" s="7393" t="s">
        <v>4354</v>
      </c>
      <c r="R66" s="344"/>
      <c r="S66" s="314"/>
      <c r="T66" s="314"/>
      <c r="U66" s="314"/>
      <c r="V66" s="314"/>
      <c r="W66" s="4249"/>
      <c r="X66" s="344"/>
      <c r="Y66" s="344"/>
      <c r="Z66" s="689"/>
      <c r="AA66" s="344"/>
      <c r="AB66" s="689"/>
      <c r="AC66" s="344"/>
      <c r="AD66" s="689"/>
      <c r="AE66" s="344"/>
      <c r="AF66" s="4232"/>
      <c r="AG66" s="344"/>
      <c r="AH66" s="344"/>
      <c r="AI66" s="344"/>
      <c r="AJ66" s="344"/>
      <c r="AK66" s="344"/>
      <c r="AL66" s="344"/>
      <c r="AM66" s="344"/>
      <c r="AN66" s="344"/>
    </row>
    <row r="67" spans="1:49" ht="15.75">
      <c r="A67" s="139"/>
      <c r="B67" s="11316" t="s">
        <v>503</v>
      </c>
      <c r="C67" s="7844"/>
      <c r="D67" s="11317"/>
      <c r="E67" s="8298" t="s">
        <v>4430</v>
      </c>
      <c r="F67" s="8299"/>
      <c r="G67" s="8299"/>
      <c r="H67" s="8299"/>
      <c r="I67" s="8299"/>
      <c r="J67" s="8299"/>
      <c r="K67" s="8300"/>
      <c r="L67" s="11318" t="s">
        <v>4356</v>
      </c>
      <c r="M67" s="7844"/>
      <c r="N67" s="2746"/>
      <c r="O67" s="504"/>
      <c r="P67" s="2747"/>
      <c r="Q67" s="7843"/>
      <c r="R67" s="504"/>
      <c r="S67" s="4241"/>
      <c r="T67" s="4241"/>
      <c r="U67" s="4241"/>
      <c r="V67" s="4241"/>
      <c r="W67" s="4249"/>
      <c r="X67" s="514"/>
      <c r="Y67" s="344"/>
      <c r="Z67" s="689"/>
      <c r="AA67" s="344"/>
      <c r="AB67" s="689"/>
      <c r="AC67" s="344"/>
      <c r="AD67" s="689"/>
      <c r="AE67" s="344"/>
      <c r="AF67" s="4232"/>
      <c r="AG67" s="344"/>
      <c r="AH67" s="344"/>
      <c r="AI67" s="344"/>
      <c r="AJ67" s="344"/>
      <c r="AK67" s="344"/>
      <c r="AL67" s="344"/>
      <c r="AM67" s="344"/>
      <c r="AN67" s="344"/>
    </row>
    <row r="68" spans="1:49" ht="13.5" customHeight="1" thickBot="1">
      <c r="A68" s="139"/>
      <c r="B68" s="11308" t="s">
        <v>505</v>
      </c>
      <c r="C68" s="11309"/>
      <c r="D68" s="11310"/>
      <c r="E68" s="11311" t="s">
        <v>4431</v>
      </c>
      <c r="F68" s="11312"/>
      <c r="G68" s="11312"/>
      <c r="H68" s="11312"/>
      <c r="I68" s="11312"/>
      <c r="J68" s="11312"/>
      <c r="K68" s="11313"/>
      <c r="L68" s="11314" t="s">
        <v>4360</v>
      </c>
      <c r="M68" s="11315"/>
      <c r="N68" s="2749"/>
      <c r="O68" s="344"/>
      <c r="P68" s="4240"/>
      <c r="Q68" s="2013"/>
      <c r="R68" s="504"/>
      <c r="S68" s="4224"/>
      <c r="T68" s="4224"/>
      <c r="U68" s="4224"/>
      <c r="V68" s="4224"/>
      <c r="W68" s="4249"/>
      <c r="X68" s="504"/>
      <c r="Y68" s="344"/>
      <c r="Z68" s="689"/>
      <c r="AA68" s="344"/>
      <c r="AB68" s="689"/>
      <c r="AC68" s="344"/>
      <c r="AD68" s="689"/>
      <c r="AE68" s="344"/>
      <c r="AF68" s="4232"/>
      <c r="AG68" s="344"/>
      <c r="AH68" s="344"/>
      <c r="AI68" s="344"/>
      <c r="AJ68" s="344"/>
      <c r="AK68" s="344"/>
      <c r="AL68" s="344"/>
      <c r="AM68" s="344"/>
      <c r="AN68" s="344"/>
    </row>
    <row r="69" spans="1:49" ht="27" customHeight="1">
      <c r="A69" s="139"/>
      <c r="B69" s="2753" t="s">
        <v>4363</v>
      </c>
      <c r="C69" s="2754"/>
      <c r="D69" s="2754"/>
      <c r="E69" s="2755"/>
      <c r="F69" s="2756"/>
      <c r="G69" s="2753"/>
      <c r="H69" s="2756"/>
      <c r="I69" s="2756"/>
      <c r="J69" s="11267" t="s">
        <v>4432</v>
      </c>
      <c r="K69" s="11268"/>
      <c r="L69" s="11268"/>
      <c r="M69" s="11268"/>
      <c r="N69" s="2746"/>
      <c r="O69" s="344"/>
      <c r="P69" s="2747"/>
      <c r="Q69" s="2013"/>
      <c r="R69" s="344"/>
      <c r="S69" s="3342"/>
      <c r="T69" s="3342"/>
      <c r="U69" s="3342"/>
      <c r="V69" s="3342"/>
      <c r="W69" s="730"/>
      <c r="X69" s="351"/>
      <c r="Y69" s="344"/>
      <c r="Z69" s="689"/>
      <c r="AA69" s="344"/>
      <c r="AB69" s="689"/>
      <c r="AC69" s="344"/>
      <c r="AD69" s="689"/>
      <c r="AE69" s="344"/>
      <c r="AF69" s="4232"/>
      <c r="AG69" s="344"/>
      <c r="AH69" s="344"/>
      <c r="AI69" s="344"/>
      <c r="AJ69" s="344"/>
      <c r="AK69" s="344"/>
      <c r="AL69" s="344"/>
      <c r="AM69" s="344"/>
      <c r="AN69" s="344"/>
    </row>
    <row r="70" spans="1:49" ht="15" customHeight="1">
      <c r="A70" s="139"/>
      <c r="B70" s="10320" t="str">
        <f>IF(AND($Q$7,$O$8),NameSpouse,"")</f>
        <v/>
      </c>
      <c r="C70" s="7603"/>
      <c r="D70" s="7603"/>
      <c r="E70" s="7603"/>
      <c r="F70" s="7603"/>
      <c r="G70" s="7603"/>
      <c r="H70" s="7603"/>
      <c r="I70" s="7603"/>
      <c r="J70" s="8064" t="str">
        <f>IF(NoSSN,"",IF(AND($Q$7,$O$8&lt;&gt;""),SS_Spouse,""))</f>
        <v/>
      </c>
      <c r="K70" s="8358"/>
      <c r="L70" s="8358"/>
      <c r="M70" s="8358"/>
      <c r="N70" s="2749"/>
      <c r="O70" s="344"/>
      <c r="P70" s="4240"/>
      <c r="Q70" s="2013"/>
      <c r="R70" s="344"/>
      <c r="S70" s="3342"/>
      <c r="T70" s="3342"/>
      <c r="U70" s="3342"/>
      <c r="V70" s="3342"/>
      <c r="W70" s="730"/>
      <c r="X70" s="351"/>
      <c r="Y70" s="344"/>
      <c r="Z70" s="689"/>
      <c r="AA70" s="344"/>
      <c r="AB70" s="689"/>
      <c r="AC70" s="344"/>
      <c r="AD70" s="689"/>
      <c r="AE70" s="344"/>
      <c r="AF70" s="4232"/>
      <c r="AG70" s="344"/>
      <c r="AH70" s="344"/>
      <c r="AI70" s="344"/>
      <c r="AJ70" s="344"/>
      <c r="AK70" s="344"/>
      <c r="AL70" s="344"/>
      <c r="AM70" s="344"/>
      <c r="AN70" s="344"/>
    </row>
    <row r="71" spans="1:49" ht="12.75" customHeight="1" thickBot="1">
      <c r="A71" s="139"/>
      <c r="B71" s="507" t="s">
        <v>4433</v>
      </c>
      <c r="C71" s="413"/>
      <c r="D71" s="413"/>
      <c r="E71" s="413"/>
      <c r="F71" s="413"/>
      <c r="G71" s="413"/>
      <c r="H71" s="413"/>
      <c r="I71" s="413"/>
      <c r="J71" s="4253"/>
      <c r="K71" s="4253"/>
      <c r="L71" s="413"/>
      <c r="M71" s="413"/>
      <c r="N71" s="2749"/>
      <c r="O71" s="344"/>
      <c r="P71" s="4240"/>
      <c r="Q71" s="2013"/>
      <c r="R71" s="344"/>
      <c r="S71" s="4248"/>
      <c r="T71" s="4248"/>
      <c r="U71" s="4248"/>
      <c r="V71" s="4248"/>
      <c r="W71" s="730"/>
      <c r="X71" s="2758"/>
      <c r="Y71" s="344"/>
      <c r="Z71" s="689"/>
      <c r="AA71" s="344"/>
      <c r="AB71" s="689"/>
      <c r="AC71" s="344"/>
      <c r="AD71" s="689"/>
      <c r="AE71" s="344"/>
      <c r="AF71" s="4232"/>
      <c r="AG71" s="344"/>
      <c r="AH71" s="344"/>
      <c r="AI71" s="344"/>
      <c r="AJ71" s="344"/>
      <c r="AK71" s="344"/>
      <c r="AL71" s="344"/>
      <c r="AM71" s="344"/>
      <c r="AN71" s="344"/>
    </row>
    <row r="72" spans="1:49" ht="15" customHeight="1">
      <c r="A72" s="139"/>
      <c r="B72" s="4257" t="s">
        <v>2154</v>
      </c>
      <c r="C72" s="11282" t="s">
        <v>4434</v>
      </c>
      <c r="D72" s="11282"/>
      <c r="E72" s="11283"/>
      <c r="F72" s="11283"/>
      <c r="G72" s="11283"/>
      <c r="H72" s="11283"/>
      <c r="I72" s="11283"/>
      <c r="J72" s="11283"/>
      <c r="K72" s="11283"/>
      <c r="L72" s="11283"/>
      <c r="M72" s="11283"/>
      <c r="N72" s="2762"/>
      <c r="O72" s="344"/>
      <c r="P72" s="2763"/>
      <c r="Q72" s="2013"/>
      <c r="R72" s="344"/>
      <c r="S72" s="4248"/>
      <c r="T72" s="4248"/>
      <c r="U72" s="4248"/>
      <c r="V72" s="4248"/>
      <c r="W72" s="689"/>
      <c r="X72" s="11293" t="s">
        <v>4365</v>
      </c>
      <c r="Y72" s="11294"/>
      <c r="Z72" s="11294"/>
      <c r="AA72" s="11294"/>
      <c r="AB72" s="11294"/>
      <c r="AC72" s="11294"/>
      <c r="AD72" s="11294"/>
      <c r="AE72" s="11294"/>
      <c r="AF72" s="11294"/>
      <c r="AG72" s="11295"/>
      <c r="AH72" s="4251"/>
      <c r="AI72" s="344"/>
      <c r="AJ72" s="344"/>
      <c r="AK72" s="344"/>
      <c r="AL72" s="344"/>
      <c r="AM72" s="344"/>
      <c r="AN72" s="344"/>
    </row>
    <row r="73" spans="1:49" ht="15" customHeight="1">
      <c r="A73" s="139"/>
      <c r="B73" s="4259"/>
      <c r="C73" s="11306" t="s">
        <v>4371</v>
      </c>
      <c r="D73" s="11306"/>
      <c r="E73" s="11307"/>
      <c r="F73" s="11307"/>
      <c r="G73" s="11307"/>
      <c r="H73" s="11307"/>
      <c r="I73" s="11307"/>
      <c r="J73" s="11307"/>
      <c r="K73" s="11307"/>
      <c r="L73" s="11307"/>
      <c r="M73" s="11307"/>
      <c r="N73" s="2762"/>
      <c r="O73" s="344"/>
      <c r="P73" s="4341">
        <f>SUM(P75,P77)</f>
        <v>0</v>
      </c>
      <c r="Q73" s="4271" t="b">
        <f>(P73=1)</f>
        <v>0</v>
      </c>
      <c r="R73" s="344"/>
      <c r="S73" s="4248"/>
      <c r="T73" s="4248"/>
      <c r="U73" s="4248"/>
      <c r="V73" s="4248"/>
      <c r="W73" s="689"/>
      <c r="X73" s="4256"/>
      <c r="Y73" s="344"/>
      <c r="Z73" s="11299" t="s">
        <v>4367</v>
      </c>
      <c r="AA73" s="344"/>
      <c r="AB73" s="11299" t="s">
        <v>4368</v>
      </c>
      <c r="AC73" s="344"/>
      <c r="AD73" s="11299" t="s">
        <v>4369</v>
      </c>
      <c r="AE73" s="344"/>
      <c r="AF73" s="4232"/>
      <c r="AG73" s="346"/>
      <c r="AH73" s="344"/>
      <c r="AI73" s="344"/>
      <c r="AJ73" s="344"/>
      <c r="AK73" s="344"/>
      <c r="AL73" s="344"/>
      <c r="AM73" s="344"/>
      <c r="AN73" s="344"/>
    </row>
    <row r="74" spans="1:49" ht="4.5" customHeight="1">
      <c r="A74" s="139"/>
      <c r="B74" s="4261"/>
      <c r="C74" s="4262"/>
      <c r="D74" s="4262"/>
      <c r="E74" s="4263"/>
      <c r="F74" s="4263"/>
      <c r="G74" s="4263"/>
      <c r="H74" s="4263"/>
      <c r="I74" s="4263"/>
      <c r="J74" s="4263"/>
      <c r="K74" s="4263"/>
      <c r="L74" s="4263"/>
      <c r="M74" s="4263"/>
      <c r="N74" s="2762"/>
      <c r="O74" s="344"/>
      <c r="P74" s="3201"/>
      <c r="Q74" s="2013"/>
      <c r="R74" s="344"/>
      <c r="S74" s="314"/>
      <c r="T74" s="314"/>
      <c r="U74" s="314"/>
      <c r="V74" s="314"/>
      <c r="W74" s="689"/>
      <c r="X74" s="1073"/>
      <c r="Y74" s="344"/>
      <c r="Z74" s="11300"/>
      <c r="AA74" s="344"/>
      <c r="AB74" s="11300"/>
      <c r="AC74" s="344"/>
      <c r="AD74" s="11300"/>
      <c r="AE74" s="344"/>
      <c r="AF74" s="4232"/>
      <c r="AG74" s="346"/>
      <c r="AH74" s="344"/>
      <c r="AI74" s="344"/>
      <c r="AJ74" s="344"/>
      <c r="AK74" s="344"/>
      <c r="AL74" s="344"/>
      <c r="AM74" s="344"/>
      <c r="AN74" s="344"/>
    </row>
    <row r="75" spans="1:49">
      <c r="A75" s="139"/>
      <c r="B75" s="2768">
        <v>1</v>
      </c>
      <c r="C75" s="2770" t="str">
        <f>"Check the box to indicate your coverage under a high-deductible health plan (HDHP) during "&amp;TaxYear</f>
        <v>Check the box to indicate your coverage under a high-deductible health plan (HDHP) during 2025</v>
      </c>
      <c r="D75" s="2770"/>
      <c r="E75" s="2751"/>
      <c r="F75" s="2751"/>
      <c r="G75" s="2771"/>
      <c r="H75" s="2771"/>
      <c r="I75" s="2771"/>
      <c r="J75" s="2771"/>
      <c r="K75" s="2768"/>
      <c r="L75" s="572"/>
      <c r="M75" s="4266" t="s">
        <v>4372</v>
      </c>
      <c r="N75" s="2783"/>
      <c r="O75" s="689"/>
      <c r="P75" s="4342">
        <f>IF(L75&lt;&gt;"",1,0)</f>
        <v>0</v>
      </c>
      <c r="Q75" s="11284" t="str">
        <f>IF(P73=0,"Check one box.",IF(P73=2,"Check only one box.",""))</f>
        <v>Check one box.</v>
      </c>
      <c r="R75" s="344"/>
      <c r="S75" s="314"/>
      <c r="T75" s="314"/>
      <c r="U75" s="314"/>
      <c r="V75" s="314"/>
      <c r="W75" s="689"/>
      <c r="X75" s="1073"/>
      <c r="Y75" s="344"/>
      <c r="Z75" s="11300"/>
      <c r="AA75" s="344"/>
      <c r="AB75" s="11300"/>
      <c r="AC75" s="344"/>
      <c r="AD75" s="11300"/>
      <c r="AE75" s="344"/>
      <c r="AF75" s="4232"/>
      <c r="AG75" s="346"/>
      <c r="AH75" s="344"/>
      <c r="AI75" s="344"/>
      <c r="AJ75" s="344"/>
      <c r="AK75" s="344"/>
      <c r="AL75" s="344"/>
      <c r="AM75" s="344"/>
      <c r="AN75" s="344"/>
    </row>
    <row r="76" spans="1:49" ht="4.5" customHeight="1">
      <c r="A76" s="139"/>
      <c r="B76" s="2768"/>
      <c r="C76" s="11289" t="s">
        <v>726</v>
      </c>
      <c r="D76" s="7601"/>
      <c r="E76" s="7601"/>
      <c r="F76" s="571"/>
      <c r="G76" s="571"/>
      <c r="H76" s="571"/>
      <c r="I76" s="571"/>
      <c r="J76" s="571"/>
      <c r="K76" s="571"/>
      <c r="L76" s="2768"/>
      <c r="M76" s="3197"/>
      <c r="N76" s="2783"/>
      <c r="O76" s="689"/>
      <c r="P76" s="4342"/>
      <c r="Q76" s="11285"/>
      <c r="R76" s="689"/>
      <c r="S76" s="314"/>
      <c r="T76" s="314"/>
      <c r="U76" s="314"/>
      <c r="V76" s="314"/>
      <c r="W76" s="689"/>
      <c r="X76" s="1073"/>
      <c r="Y76" s="344"/>
      <c r="Z76" s="11300"/>
      <c r="AA76" s="344"/>
      <c r="AB76" s="11300"/>
      <c r="AC76" s="344"/>
      <c r="AD76" s="11300"/>
      <c r="AE76" s="344"/>
      <c r="AF76" s="4232"/>
      <c r="AG76" s="346"/>
      <c r="AH76" s="344"/>
      <c r="AI76" s="344"/>
      <c r="AJ76" s="344"/>
      <c r="AK76" s="344"/>
      <c r="AL76" s="344"/>
      <c r="AM76" s="344"/>
      <c r="AN76" s="344"/>
    </row>
    <row r="77" spans="1:49">
      <c r="A77" s="139"/>
      <c r="B77" s="2768"/>
      <c r="C77" s="7601"/>
      <c r="D77" s="7601"/>
      <c r="E77" s="7601"/>
      <c r="F77" s="571"/>
      <c r="G77" s="571"/>
      <c r="H77" s="571"/>
      <c r="I77" s="571"/>
      <c r="J77" s="571"/>
      <c r="K77" s="4333" t="s">
        <v>4435</v>
      </c>
      <c r="L77" s="572"/>
      <c r="M77" s="4266" t="s">
        <v>4373</v>
      </c>
      <c r="N77" s="2783"/>
      <c r="O77" s="689"/>
      <c r="P77" s="4342">
        <f>IF(L77&lt;&gt;"",1,0)</f>
        <v>0</v>
      </c>
      <c r="Q77" s="11285"/>
      <c r="R77" s="689"/>
      <c r="S77" s="688"/>
      <c r="T77" s="688"/>
      <c r="U77" s="688"/>
      <c r="V77" s="688"/>
      <c r="W77" s="689"/>
      <c r="X77" s="4269"/>
      <c r="Y77" s="344"/>
      <c r="Z77" s="11300"/>
      <c r="AA77" s="344"/>
      <c r="AB77" s="11300"/>
      <c r="AC77" s="344"/>
      <c r="AD77" s="11300"/>
      <c r="AE77" s="344"/>
      <c r="AF77" s="4232"/>
      <c r="AG77" s="346"/>
      <c r="AH77" s="344"/>
      <c r="AI77" s="344"/>
      <c r="AJ77" s="344"/>
      <c r="AK77" s="344"/>
      <c r="AL77" s="344"/>
      <c r="AM77" s="344"/>
      <c r="AN77" s="344"/>
    </row>
    <row r="78" spans="1:49" s="214" customFormat="1" ht="6.75" customHeight="1">
      <c r="A78" s="139"/>
      <c r="B78" s="2768"/>
      <c r="C78" s="2768"/>
      <c r="D78" s="2768"/>
      <c r="E78" s="2768"/>
      <c r="F78" s="571"/>
      <c r="G78" s="571"/>
      <c r="H78" s="571"/>
      <c r="I78" s="571"/>
      <c r="J78" s="571"/>
      <c r="K78" s="2075"/>
      <c r="L78" s="573"/>
      <c r="M78" s="4266"/>
      <c r="N78" s="2783"/>
      <c r="O78" s="689"/>
      <c r="P78" s="3256"/>
      <c r="Q78" s="2785"/>
      <c r="R78" s="689"/>
      <c r="S78" s="688"/>
      <c r="T78" s="688"/>
      <c r="U78" s="688"/>
      <c r="V78" s="688"/>
      <c r="W78" s="689"/>
      <c r="X78" s="4269"/>
      <c r="Y78" s="344"/>
      <c r="Z78" s="11300"/>
      <c r="AA78" s="344"/>
      <c r="AB78" s="11300"/>
      <c r="AC78" s="344"/>
      <c r="AD78" s="11300"/>
      <c r="AE78" s="344"/>
      <c r="AF78" s="4232"/>
      <c r="AG78" s="346"/>
      <c r="AH78" s="344"/>
      <c r="AI78" s="343"/>
      <c r="AJ78" s="343"/>
      <c r="AK78" s="343"/>
      <c r="AL78" s="343"/>
      <c r="AM78" s="343"/>
      <c r="AN78" s="343"/>
      <c r="AO78" s="658"/>
      <c r="AP78" s="658"/>
      <c r="AQ78" s="658"/>
      <c r="AR78" s="658"/>
      <c r="AS78" s="658"/>
      <c r="AT78" s="658"/>
      <c r="AU78" s="658"/>
      <c r="AV78" s="658"/>
      <c r="AW78" s="658"/>
    </row>
    <row r="79" spans="1:49" s="214" customFormat="1">
      <c r="A79" s="139"/>
      <c r="B79" s="2768">
        <v>2</v>
      </c>
      <c r="C79" s="2770" t="str">
        <f>"HSA contributions you made for "&amp;TaxYear&amp;" (or those made on your behalf), including those made"</f>
        <v>HSA contributions you made for 2025 (or those made on your behalf), including those made</v>
      </c>
      <c r="D79" s="2770"/>
      <c r="E79" s="2751"/>
      <c r="F79" s="2751"/>
      <c r="G79" s="2771"/>
      <c r="H79" s="2771"/>
      <c r="I79" s="2771"/>
      <c r="J79" s="2771"/>
      <c r="K79" s="2768"/>
      <c r="L79" s="3215"/>
      <c r="M79" s="2799"/>
      <c r="N79" s="2783"/>
      <c r="O79" s="689"/>
      <c r="P79" s="3256"/>
      <c r="Q79" s="2785"/>
      <c r="R79" s="689"/>
      <c r="S79" s="688"/>
      <c r="T79" s="688"/>
      <c r="U79" s="688"/>
      <c r="V79" s="688"/>
      <c r="W79" s="689"/>
      <c r="X79" s="4269"/>
      <c r="Y79" s="344"/>
      <c r="Z79" s="11300"/>
      <c r="AA79" s="344"/>
      <c r="AB79" s="11300"/>
      <c r="AC79" s="344"/>
      <c r="AD79" s="11300"/>
      <c r="AE79" s="344"/>
      <c r="AF79" s="4232"/>
      <c r="AG79" s="346"/>
      <c r="AH79" s="344"/>
      <c r="AI79" s="343"/>
      <c r="AJ79" s="343"/>
      <c r="AK79" s="343"/>
      <c r="AL79" s="343"/>
      <c r="AM79" s="343"/>
      <c r="AN79" s="343"/>
      <c r="AO79" s="658"/>
      <c r="AP79" s="658"/>
      <c r="AQ79" s="658"/>
      <c r="AR79" s="658"/>
      <c r="AS79" s="658"/>
      <c r="AT79" s="658"/>
      <c r="AU79" s="658"/>
      <c r="AV79" s="658"/>
      <c r="AW79" s="658"/>
    </row>
    <row r="80" spans="1:49" s="214" customFormat="1" ht="12" customHeight="1">
      <c r="A80" s="139"/>
      <c r="B80" s="2768"/>
      <c r="C80" s="2770" t="str">
        <f>"from  January  1, "&amp;TaxYear+1&amp;",  through  April 15, "&amp;TaxYear+1&amp;"  that  were  for  "&amp;TaxYear&amp;"."</f>
        <v>from  January  1, 2026,  through  April 15, 2026  that  were  for  2025.</v>
      </c>
      <c r="D80" s="2769"/>
      <c r="E80" s="2751"/>
      <c r="F80" s="2751"/>
      <c r="G80" s="2771"/>
      <c r="H80" s="2770"/>
      <c r="I80" s="2770" t="s">
        <v>4436</v>
      </c>
      <c r="J80" s="2771"/>
      <c r="K80" s="2771"/>
      <c r="L80" s="2805"/>
      <c r="M80" s="2791"/>
      <c r="N80" s="2775"/>
      <c r="O80" s="343"/>
      <c r="P80" s="2990"/>
      <c r="Q80" s="2785"/>
      <c r="R80" s="689"/>
      <c r="S80" s="688" t="s">
        <v>765</v>
      </c>
      <c r="T80" s="688"/>
      <c r="U80" s="688" t="s">
        <v>4376</v>
      </c>
      <c r="V80" s="688" t="s">
        <v>3354</v>
      </c>
      <c r="W80" s="689"/>
      <c r="X80" s="4269"/>
      <c r="Y80" s="344"/>
      <c r="Z80" s="11300"/>
      <c r="AA80" s="344"/>
      <c r="AB80" s="11300"/>
      <c r="AC80" s="344"/>
      <c r="AD80" s="11300"/>
      <c r="AE80" s="344"/>
      <c r="AF80" s="4232"/>
      <c r="AG80" s="346"/>
      <c r="AH80" s="344"/>
      <c r="AI80" s="343"/>
      <c r="AJ80" s="343"/>
      <c r="AK80" s="343"/>
      <c r="AL80" s="343"/>
      <c r="AM80" s="343"/>
      <c r="AN80" s="343"/>
      <c r="AO80" s="658"/>
      <c r="AP80" s="658"/>
      <c r="AQ80" s="658"/>
      <c r="AR80" s="658"/>
      <c r="AS80" s="658"/>
      <c r="AT80" s="658"/>
      <c r="AU80" s="658"/>
      <c r="AV80" s="658"/>
      <c r="AW80" s="658"/>
    </row>
    <row r="81" spans="1:49" s="214" customFormat="1">
      <c r="A81" s="139"/>
      <c r="B81" s="2768"/>
      <c r="C81" s="2770" t="s">
        <v>4437</v>
      </c>
      <c r="D81" s="2769"/>
      <c r="E81" s="2751"/>
      <c r="F81" s="2751"/>
      <c r="G81" s="2771"/>
      <c r="H81" s="2768"/>
      <c r="I81" s="2768"/>
      <c r="J81" s="2768"/>
      <c r="K81" s="2768" t="s">
        <v>643</v>
      </c>
      <c r="L81" s="2773">
        <f>B79</f>
        <v>2</v>
      </c>
      <c r="M81" s="335"/>
      <c r="N81" s="2775"/>
      <c r="O81" s="343"/>
      <c r="P81" s="2990"/>
      <c r="Q81" s="2785"/>
      <c r="R81" s="343"/>
      <c r="S81" s="250" t="s">
        <v>4377</v>
      </c>
      <c r="T81" s="4275" t="s">
        <v>369</v>
      </c>
      <c r="U81" s="4283">
        <f t="shared" ref="U81:V83" si="9">U22</f>
        <v>4300</v>
      </c>
      <c r="V81" s="4283">
        <f t="shared" si="9"/>
        <v>8550</v>
      </c>
      <c r="W81" s="689"/>
      <c r="X81" s="4269"/>
      <c r="Y81" s="344"/>
      <c r="Z81" s="11300"/>
      <c r="AA81" s="344"/>
      <c r="AB81" s="11300"/>
      <c r="AC81" s="344"/>
      <c r="AD81" s="11300"/>
      <c r="AE81" s="344"/>
      <c r="AF81" s="4232"/>
      <c r="AG81" s="346"/>
      <c r="AH81" s="344"/>
      <c r="AI81" s="343"/>
      <c r="AJ81" s="343"/>
      <c r="AK81" s="343"/>
      <c r="AL81" s="343"/>
      <c r="AM81" s="343"/>
      <c r="AN81" s="343"/>
      <c r="AO81" s="658"/>
      <c r="AP81" s="658"/>
      <c r="AQ81" s="658"/>
      <c r="AR81" s="658"/>
      <c r="AS81" s="658"/>
      <c r="AT81" s="658"/>
      <c r="AU81" s="658"/>
      <c r="AV81" s="658"/>
      <c r="AW81" s="658"/>
    </row>
    <row r="82" spans="1:49" s="214" customFormat="1" ht="12" customHeight="1">
      <c r="A82" s="139"/>
      <c r="B82" s="2768">
        <v>3</v>
      </c>
      <c r="C82" s="2770" t="str">
        <f>"If  you  were  under age "&amp;P82&amp;" at  the  end of  "&amp;TaxYear&amp;"  and,"</f>
        <v>If  you  were  under age 55 at  the  end of  2025  and,</v>
      </c>
      <c r="D82" s="2770"/>
      <c r="E82" s="2751"/>
      <c r="F82" s="2751"/>
      <c r="G82" s="2770" t="s">
        <v>6702</v>
      </c>
      <c r="H82" s="4272"/>
      <c r="I82" s="4272"/>
      <c r="J82" s="3002"/>
      <c r="K82" s="2770" t="str">
        <f>"during "&amp;TaxYear&amp;", you"</f>
        <v>during 2025, you</v>
      </c>
      <c r="L82" s="4273"/>
      <c r="M82" s="4228"/>
      <c r="N82" s="2783"/>
      <c r="O82" s="689"/>
      <c r="P82" s="4267">
        <f>P22</f>
        <v>55</v>
      </c>
      <c r="Q82" s="2785"/>
      <c r="R82" s="343"/>
      <c r="S82" s="250" t="s">
        <v>4381</v>
      </c>
      <c r="T82" s="4275" t="s">
        <v>4382</v>
      </c>
      <c r="U82" s="4283">
        <f t="shared" si="9"/>
        <v>5300</v>
      </c>
      <c r="V82" s="4283">
        <f t="shared" si="9"/>
        <v>9550</v>
      </c>
      <c r="W82" s="689"/>
      <c r="X82" s="2846"/>
      <c r="Y82" s="344"/>
      <c r="Z82" s="11300"/>
      <c r="AA82" s="344"/>
      <c r="AB82" s="11300"/>
      <c r="AC82" s="344"/>
      <c r="AD82" s="11300"/>
      <c r="AE82" s="344"/>
      <c r="AF82" s="4232"/>
      <c r="AG82" s="346"/>
      <c r="AH82" s="344"/>
      <c r="AI82" s="344"/>
      <c r="AJ82" s="689" t="s">
        <v>566</v>
      </c>
      <c r="AK82" s="343"/>
      <c r="AL82" s="343"/>
      <c r="AM82" s="343"/>
      <c r="AN82" s="343"/>
      <c r="AO82" s="658"/>
      <c r="AP82" s="658"/>
      <c r="AQ82" s="658"/>
      <c r="AR82" s="658"/>
      <c r="AS82" s="658"/>
      <c r="AT82" s="658"/>
      <c r="AU82" s="658"/>
      <c r="AV82" s="658"/>
      <c r="AW82" s="658"/>
    </row>
    <row r="83" spans="1:49" ht="12" customHeight="1">
      <c r="A83" s="139"/>
      <c r="B83" s="2768"/>
      <c r="C83" s="2770" t="s">
        <v>4380</v>
      </c>
      <c r="D83" s="2769"/>
      <c r="E83" s="2751"/>
      <c r="F83" s="2751"/>
      <c r="G83" s="2771"/>
      <c r="H83" s="2771"/>
      <c r="I83" s="2771"/>
      <c r="J83" s="2770"/>
      <c r="K83" s="4343" t="str">
        <f>"enter "&amp;TEXT($U$22,"$0,000")&amp;" ("&amp;TEXT($V$22,"$0,000")&amp;" for"</f>
        <v>enter $4,300 ($8,550 for</v>
      </c>
      <c r="L83" s="2805"/>
      <c r="M83" s="3630"/>
      <c r="N83" s="2775"/>
      <c r="O83" s="343"/>
      <c r="P83" s="2990"/>
      <c r="Q83" s="2785"/>
      <c r="R83" s="689"/>
      <c r="S83" s="250" t="s">
        <v>4381</v>
      </c>
      <c r="T83" s="250" t="s">
        <v>4385</v>
      </c>
      <c r="U83" s="4283">
        <f t="shared" si="9"/>
        <v>5300</v>
      </c>
      <c r="V83" s="4283">
        <f t="shared" si="9"/>
        <v>8550</v>
      </c>
      <c r="W83" s="689"/>
      <c r="X83" s="2118">
        <f>TaxYear</f>
        <v>2025</v>
      </c>
      <c r="Y83" s="344"/>
      <c r="Z83" s="11300"/>
      <c r="AA83" s="344"/>
      <c r="AB83" s="11300"/>
      <c r="AC83" s="344"/>
      <c r="AD83" s="11300"/>
      <c r="AE83" s="344"/>
      <c r="AF83" s="4232"/>
      <c r="AG83" s="346"/>
      <c r="AH83" s="344"/>
      <c r="AI83" s="689" t="s">
        <v>4376</v>
      </c>
      <c r="AJ83" s="689" t="s">
        <v>3354</v>
      </c>
      <c r="AK83" s="344"/>
      <c r="AL83" s="344"/>
      <c r="AM83" s="344"/>
      <c r="AN83" s="344"/>
    </row>
    <row r="84" spans="1:49" ht="12" customHeight="1">
      <c r="A84" s="139"/>
      <c r="B84" s="2768"/>
      <c r="C84" s="2770" t="s">
        <v>4438</v>
      </c>
      <c r="D84" s="2769"/>
      <c r="E84" s="2751"/>
      <c r="F84" s="2770"/>
      <c r="G84" s="2771"/>
      <c r="H84" s="2768"/>
      <c r="I84" s="2768"/>
      <c r="J84" s="2768"/>
      <c r="K84" s="2768" t="s">
        <v>702</v>
      </c>
      <c r="L84" s="2773">
        <f>B82</f>
        <v>3</v>
      </c>
      <c r="M84" s="2816" t="str">
        <f>IF(Q84&lt;&gt;"",ROUND(Q84,0),IF(OR(NOT(Q73),M81=""),"",AF97))</f>
        <v/>
      </c>
      <c r="N84" s="2775"/>
      <c r="O84" s="343"/>
      <c r="P84" s="2990"/>
      <c r="Q84" s="118"/>
      <c r="R84" s="343"/>
      <c r="S84" s="250" t="str">
        <f>SpouseAge</f>
        <v>?</v>
      </c>
      <c r="T84" s="4283" t="str">
        <f>IF($S$84&lt;$P$82,T81,IF($AI$98,T82,T83))</f>
        <v>Single*</v>
      </c>
      <c r="U84" s="4283">
        <f>IF($S$84&lt;$P$82,U81,IF($AI$98,U82,U83))</f>
        <v>5300</v>
      </c>
      <c r="V84" s="4283">
        <f>IF($S$84&lt;$P$82,V81,IF($AI$98,V82,V83))</f>
        <v>9550</v>
      </c>
      <c r="W84" s="689"/>
      <c r="X84" s="4278" t="s">
        <v>4378</v>
      </c>
      <c r="Y84" s="344"/>
      <c r="Z84" s="4279" t="s">
        <v>298</v>
      </c>
      <c r="AA84" s="344"/>
      <c r="AB84" s="4279" t="s">
        <v>4379</v>
      </c>
      <c r="AC84" s="344"/>
      <c r="AD84" s="4279" t="str">
        <f>IF(L77&lt;&gt;"","F","S")</f>
        <v>S</v>
      </c>
      <c r="AE84" s="344"/>
      <c r="AF84" s="4232">
        <f>IF(OR(Z84="Y",Z84="y"),0,IF(OR(AB84="N",AB84="n"),0,IF(AND(OR(AD84="F",AD84="f")),$V$84,$U$84)))</f>
        <v>5300</v>
      </c>
      <c r="AG84" s="346"/>
      <c r="AH84" s="344"/>
      <c r="AI84" s="343">
        <f t="shared" ref="AI84:AI95" si="10">IF(AD84="S",1,0)</f>
        <v>1</v>
      </c>
      <c r="AJ84" s="343">
        <f t="shared" ref="AJ84:AJ95" si="11">IF(AND(OR(AB84="y",AB84="Y"),OR(AD84="f",AD84="F")),1,0)</f>
        <v>0</v>
      </c>
      <c r="AK84" s="344"/>
      <c r="AL84" s="344"/>
      <c r="AM84" s="4232">
        <f>AF84*AJ84</f>
        <v>0</v>
      </c>
      <c r="AN84" s="344"/>
    </row>
    <row r="85" spans="1:49" s="214" customFormat="1" ht="12" customHeight="1">
      <c r="A85" s="139"/>
      <c r="B85" s="2768">
        <v>4</v>
      </c>
      <c r="C85" s="2770" t="str">
        <f>"Enter the amount you and your employer contributed to your Archer MSAs for "&amp;TaxYear&amp;" from Form 8853,"</f>
        <v>Enter the amount you and your employer contributed to your Archer MSAs for 2025 from Form 8853,</v>
      </c>
      <c r="D85" s="2770"/>
      <c r="E85" s="2751"/>
      <c r="F85" s="2751"/>
      <c r="G85" s="2771"/>
      <c r="H85" s="2771"/>
      <c r="I85" s="2771"/>
      <c r="J85" s="2771"/>
      <c r="K85" s="2768"/>
      <c r="L85" s="4273"/>
      <c r="M85" s="2799"/>
      <c r="N85" s="2783"/>
      <c r="O85" s="689"/>
      <c r="P85" s="3256"/>
      <c r="Q85" s="2785"/>
      <c r="R85" s="343"/>
      <c r="S85" s="3105" t="s">
        <v>4388</v>
      </c>
      <c r="T85" s="688"/>
      <c r="U85" s="688"/>
      <c r="V85" s="688"/>
      <c r="W85" s="689"/>
      <c r="X85" s="4278" t="s">
        <v>4383</v>
      </c>
      <c r="Y85" s="344"/>
      <c r="Z85" s="4279" t="str">
        <f>Z84</f>
        <v>N</v>
      </c>
      <c r="AA85" s="344"/>
      <c r="AB85" s="4279" t="str">
        <f>AB84</f>
        <v>Y</v>
      </c>
      <c r="AC85" s="344"/>
      <c r="AD85" s="4279" t="str">
        <f>AD84</f>
        <v>S</v>
      </c>
      <c r="AE85" s="344"/>
      <c r="AF85" s="4232">
        <f t="shared" ref="AF85:AF95" si="12">IF(OR(Z85="Y",Z85="y"),0,IF(OR(AB85="N",AB85="n"),0,IF(AND(OR(AD85="F",AD85="f")),$V$84,$U$84)))</f>
        <v>5300</v>
      </c>
      <c r="AG85" s="346"/>
      <c r="AH85" s="344"/>
      <c r="AI85" s="343">
        <f t="shared" si="10"/>
        <v>1</v>
      </c>
      <c r="AJ85" s="343">
        <f t="shared" si="11"/>
        <v>0</v>
      </c>
      <c r="AK85" s="343"/>
      <c r="AL85" s="343"/>
      <c r="AM85" s="4232">
        <f t="shared" ref="AM85:AM95" si="13">AF85*AJ85</f>
        <v>0</v>
      </c>
      <c r="AN85" s="343"/>
      <c r="AO85" s="658"/>
      <c r="AP85" s="658"/>
      <c r="AQ85" s="658"/>
      <c r="AR85" s="658"/>
      <c r="AS85" s="658"/>
      <c r="AT85" s="658"/>
      <c r="AU85" s="658"/>
      <c r="AV85" s="658"/>
      <c r="AW85" s="658"/>
    </row>
    <row r="86" spans="1:49" ht="12" customHeight="1">
      <c r="A86" s="139"/>
      <c r="B86" s="2768"/>
      <c r="C86" s="2770" t="str">
        <f>"lines 1 and 2. If you or your spouse had family coverage under an HDHP at any time during "&amp;TaxYear&amp;", also"</f>
        <v>lines 1 and 2. If you or your spouse had family coverage under an HDHP at any time during 2025, also</v>
      </c>
      <c r="D86" s="2769"/>
      <c r="E86" s="2751"/>
      <c r="F86" s="2751"/>
      <c r="G86" s="2771"/>
      <c r="H86" s="2771"/>
      <c r="I86" s="2771"/>
      <c r="J86" s="2771"/>
      <c r="K86" s="2771"/>
      <c r="L86" s="2805"/>
      <c r="M86" s="2791"/>
      <c r="N86" s="2775"/>
      <c r="O86" s="343"/>
      <c r="P86" s="2990"/>
      <c r="Q86" s="2785"/>
      <c r="R86" s="689"/>
      <c r="S86" s="688"/>
      <c r="T86" s="688"/>
      <c r="U86" s="688"/>
      <c r="V86" s="688"/>
      <c r="W86" s="689"/>
      <c r="X86" s="4278" t="s">
        <v>4386</v>
      </c>
      <c r="Y86" s="344"/>
      <c r="Z86" s="4279" t="str">
        <f t="shared" ref="Z86:Z95" si="14">Z85</f>
        <v>N</v>
      </c>
      <c r="AA86" s="344"/>
      <c r="AB86" s="4279" t="str">
        <f t="shared" ref="AB86:AB95" si="15">AB85</f>
        <v>Y</v>
      </c>
      <c r="AC86" s="344"/>
      <c r="AD86" s="4279" t="str">
        <f t="shared" ref="AD86:AD95" si="16">AD85</f>
        <v>S</v>
      </c>
      <c r="AE86" s="344"/>
      <c r="AF86" s="4232">
        <f t="shared" si="12"/>
        <v>5300</v>
      </c>
      <c r="AG86" s="346"/>
      <c r="AH86" s="344"/>
      <c r="AI86" s="343">
        <f t="shared" si="10"/>
        <v>1</v>
      </c>
      <c r="AJ86" s="343">
        <f t="shared" si="11"/>
        <v>0</v>
      </c>
      <c r="AK86" s="344"/>
      <c r="AL86" s="344"/>
      <c r="AM86" s="4232">
        <f t="shared" si="13"/>
        <v>0</v>
      </c>
      <c r="AN86" s="344"/>
    </row>
    <row r="87" spans="1:49" ht="12" customHeight="1">
      <c r="A87" s="139"/>
      <c r="B87" s="2768"/>
      <c r="C87" s="2770" t="s">
        <v>4389</v>
      </c>
      <c r="D87" s="2769"/>
      <c r="E87" s="2751"/>
      <c r="F87" s="2751"/>
      <c r="G87" s="2771"/>
      <c r="H87" s="2768"/>
      <c r="I87" s="2768"/>
      <c r="J87" s="2768"/>
      <c r="K87" s="2768" t="s">
        <v>608</v>
      </c>
      <c r="L87" s="2773">
        <f>B85</f>
        <v>4</v>
      </c>
      <c r="M87" s="335"/>
      <c r="N87" s="2775"/>
      <c r="O87" s="343"/>
      <c r="P87" s="2990"/>
      <c r="Q87" s="2785"/>
      <c r="R87" s="344"/>
      <c r="S87" s="688"/>
      <c r="T87" s="688"/>
      <c r="U87" s="688"/>
      <c r="V87" s="688"/>
      <c r="W87" s="689"/>
      <c r="X87" s="4278" t="s">
        <v>4387</v>
      </c>
      <c r="Y87" s="344"/>
      <c r="Z87" s="4279" t="str">
        <f t="shared" si="14"/>
        <v>N</v>
      </c>
      <c r="AA87" s="344"/>
      <c r="AB87" s="4279" t="str">
        <f t="shared" si="15"/>
        <v>Y</v>
      </c>
      <c r="AC87" s="344"/>
      <c r="AD87" s="4279" t="str">
        <f t="shared" si="16"/>
        <v>S</v>
      </c>
      <c r="AE87" s="344"/>
      <c r="AF87" s="4232">
        <f t="shared" si="12"/>
        <v>5300</v>
      </c>
      <c r="AG87" s="346"/>
      <c r="AH87" s="344"/>
      <c r="AI87" s="343">
        <f t="shared" si="10"/>
        <v>1</v>
      </c>
      <c r="AJ87" s="343">
        <f t="shared" si="11"/>
        <v>0</v>
      </c>
      <c r="AK87" s="344"/>
      <c r="AL87" s="344"/>
      <c r="AM87" s="4232">
        <f t="shared" si="13"/>
        <v>0</v>
      </c>
      <c r="AN87" s="344"/>
    </row>
    <row r="88" spans="1:49" s="214" customFormat="1" ht="12" customHeight="1" thickBot="1">
      <c r="A88" s="139"/>
      <c r="B88" s="2768">
        <v>5</v>
      </c>
      <c r="C88" s="2770" t="s">
        <v>2264</v>
      </c>
      <c r="D88" s="2770"/>
      <c r="E88" s="2751"/>
      <c r="F88" s="2751"/>
      <c r="G88" s="2771"/>
      <c r="H88" s="2771"/>
      <c r="I88" s="2771"/>
      <c r="J88" s="2771"/>
      <c r="K88" s="2031" t="s">
        <v>1876</v>
      </c>
      <c r="L88" s="2773">
        <f>B88</f>
        <v>5</v>
      </c>
      <c r="M88" s="2774">
        <f>MAX(0,SUM(M84,-M87))</f>
        <v>0</v>
      </c>
      <c r="N88" s="2775"/>
      <c r="O88" s="689"/>
      <c r="P88" s="2990"/>
      <c r="Q88" s="2785"/>
      <c r="R88" s="689"/>
      <c r="S88" s="688"/>
      <c r="T88" s="688"/>
      <c r="U88" s="11256" t="s">
        <v>4394</v>
      </c>
      <c r="V88" s="11256"/>
      <c r="W88" s="689"/>
      <c r="X88" s="4278" t="s">
        <v>699</v>
      </c>
      <c r="Y88" s="344"/>
      <c r="Z88" s="4279" t="str">
        <f t="shared" si="14"/>
        <v>N</v>
      </c>
      <c r="AA88" s="344"/>
      <c r="AB88" s="4279" t="str">
        <f t="shared" si="15"/>
        <v>Y</v>
      </c>
      <c r="AC88" s="344"/>
      <c r="AD88" s="4279" t="str">
        <f t="shared" si="16"/>
        <v>S</v>
      </c>
      <c r="AE88" s="344"/>
      <c r="AF88" s="4232">
        <f t="shared" si="12"/>
        <v>5300</v>
      </c>
      <c r="AG88" s="346"/>
      <c r="AH88" s="344"/>
      <c r="AI88" s="343">
        <f t="shared" si="10"/>
        <v>1</v>
      </c>
      <c r="AJ88" s="343">
        <f t="shared" si="11"/>
        <v>0</v>
      </c>
      <c r="AK88" s="343"/>
      <c r="AL88" s="343"/>
      <c r="AM88" s="4232">
        <f t="shared" si="13"/>
        <v>0</v>
      </c>
      <c r="AN88" s="343"/>
      <c r="AO88" s="658"/>
      <c r="AP88" s="658"/>
      <c r="AQ88" s="658"/>
      <c r="AR88" s="658"/>
      <c r="AS88" s="658"/>
      <c r="AT88" s="658"/>
      <c r="AU88" s="658"/>
      <c r="AV88" s="658"/>
      <c r="AW88" s="658"/>
    </row>
    <row r="89" spans="1:49" ht="12" customHeight="1" thickBot="1">
      <c r="A89" s="139"/>
      <c r="B89" s="2768">
        <v>6</v>
      </c>
      <c r="C89" s="2770" t="s">
        <v>4393</v>
      </c>
      <c r="D89" s="2770"/>
      <c r="E89" s="2751"/>
      <c r="F89" s="2751"/>
      <c r="G89" s="2771"/>
      <c r="H89" s="2771"/>
      <c r="I89" s="2771"/>
      <c r="J89" s="2771"/>
      <c r="K89" s="2768"/>
      <c r="L89" s="4273"/>
      <c r="M89" s="4286"/>
      <c r="N89" s="2783"/>
      <c r="O89" s="689"/>
      <c r="P89" s="3256"/>
      <c r="Q89" s="2785"/>
      <c r="R89" s="689"/>
      <c r="S89" s="4344" t="s">
        <v>567</v>
      </c>
      <c r="T89" s="688"/>
      <c r="U89" s="4345">
        <f>$Z$40/100</f>
        <v>0.5</v>
      </c>
      <c r="V89" s="4346">
        <f>$AB$40/100</f>
        <v>0.5</v>
      </c>
      <c r="W89" s="689"/>
      <c r="X89" s="4278" t="s">
        <v>4390</v>
      </c>
      <c r="Y89" s="344"/>
      <c r="Z89" s="4279" t="str">
        <f t="shared" si="14"/>
        <v>N</v>
      </c>
      <c r="AA89" s="344"/>
      <c r="AB89" s="4279" t="str">
        <f t="shared" si="15"/>
        <v>Y</v>
      </c>
      <c r="AC89" s="344"/>
      <c r="AD89" s="4279" t="str">
        <f t="shared" si="16"/>
        <v>S</v>
      </c>
      <c r="AE89" s="344"/>
      <c r="AF89" s="4232">
        <f t="shared" si="12"/>
        <v>5300</v>
      </c>
      <c r="AG89" s="346"/>
      <c r="AH89" s="344"/>
      <c r="AI89" s="343">
        <f t="shared" si="10"/>
        <v>1</v>
      </c>
      <c r="AJ89" s="343">
        <f t="shared" si="11"/>
        <v>0</v>
      </c>
      <c r="AK89" s="344"/>
      <c r="AL89" s="344"/>
      <c r="AM89" s="4232">
        <f t="shared" si="13"/>
        <v>0</v>
      </c>
      <c r="AN89" s="344"/>
      <c r="AP89" s="11246" t="s">
        <v>5479</v>
      </c>
      <c r="AQ89" s="11247"/>
      <c r="AR89" s="11247"/>
      <c r="AS89" s="11248"/>
    </row>
    <row r="90" spans="1:49" ht="12.75" customHeight="1">
      <c r="A90" s="139"/>
      <c r="B90" s="2768"/>
      <c r="C90" s="2770" t="str">
        <f>"coverage under an HDHP at any time during "&amp;TaxYear&amp;", see the instructions for the  amount  to"</f>
        <v>coverage under an HDHP at any time during 2025, see the instructions for the  amount  to</v>
      </c>
      <c r="D90" s="2769"/>
      <c r="E90" s="2751"/>
      <c r="F90" s="2751"/>
      <c r="G90" s="2771"/>
      <c r="H90" s="2768"/>
      <c r="I90" s="2768"/>
      <c r="J90" s="2768"/>
      <c r="K90" s="3016" t="s">
        <v>5480</v>
      </c>
      <c r="L90" s="2773">
        <f>B89</f>
        <v>6</v>
      </c>
      <c r="M90" s="2774" t="str">
        <f>IF(Q90&lt;&gt;"",ROUND(Q90,0),IF(NOT(Q73),"",IF(T91,V91,IF(T92,V92,M88))))</f>
        <v/>
      </c>
      <c r="N90" s="2775"/>
      <c r="O90" s="343"/>
      <c r="P90" s="2990"/>
      <c r="Q90" s="118"/>
      <c r="R90" s="343"/>
      <c r="S90" s="4239" t="s">
        <v>773</v>
      </c>
      <c r="T90" s="4239" t="s">
        <v>4396</v>
      </c>
      <c r="U90" s="4287" t="s">
        <v>566</v>
      </c>
      <c r="V90" s="250" t="s">
        <v>567</v>
      </c>
      <c r="W90" s="689"/>
      <c r="X90" s="4278" t="s">
        <v>4392</v>
      </c>
      <c r="Y90" s="344"/>
      <c r="Z90" s="4279" t="str">
        <f>Z89</f>
        <v>N</v>
      </c>
      <c r="AA90" s="344"/>
      <c r="AB90" s="4279" t="str">
        <f>AB89</f>
        <v>Y</v>
      </c>
      <c r="AC90" s="344"/>
      <c r="AD90" s="4279" t="str">
        <f>AD89</f>
        <v>S</v>
      </c>
      <c r="AE90" s="344"/>
      <c r="AF90" s="4232">
        <f t="shared" si="12"/>
        <v>5300</v>
      </c>
      <c r="AG90" s="346"/>
      <c r="AH90" s="344"/>
      <c r="AI90" s="343">
        <f t="shared" si="10"/>
        <v>1</v>
      </c>
      <c r="AJ90" s="343">
        <f t="shared" si="11"/>
        <v>0</v>
      </c>
      <c r="AK90" s="344"/>
      <c r="AL90" s="344"/>
      <c r="AM90" s="4232">
        <f t="shared" si="13"/>
        <v>0</v>
      </c>
      <c r="AN90" s="344"/>
      <c r="AP90" s="11249"/>
      <c r="AQ90" s="11250"/>
      <c r="AR90" s="11250"/>
      <c r="AS90" s="11251"/>
    </row>
    <row r="91" spans="1:49" s="214" customFormat="1" ht="12" customHeight="1">
      <c r="A91" s="139"/>
      <c r="B91" s="2768">
        <v>7</v>
      </c>
      <c r="C91" s="2769" t="str">
        <f>"If you were age 55 or older at the end of "&amp;TaxYear&amp;", married, and you or your spouse had family coverage"</f>
        <v>If you were age 55 or older at the end of 2025, married, and you or your spouse had family coverage</v>
      </c>
      <c r="D91" s="2770"/>
      <c r="E91" s="2751"/>
      <c r="F91" s="2751"/>
      <c r="G91" s="2771"/>
      <c r="H91" s="2771"/>
      <c r="I91" s="2771"/>
      <c r="J91" s="2771"/>
      <c r="K91" s="2768"/>
      <c r="L91" s="4273"/>
      <c r="M91" s="2799"/>
      <c r="N91" s="2783"/>
      <c r="O91" s="689"/>
      <c r="P91" s="3256"/>
      <c r="Q91" s="2785"/>
      <c r="R91" s="343"/>
      <c r="S91" s="688" t="s">
        <v>4398</v>
      </c>
      <c r="T91" s="688" t="b">
        <f>AND($Q$7,$V$28,$AK$34=12)</f>
        <v>0</v>
      </c>
      <c r="U91" s="4289" t="str">
        <f>U31</f>
        <v>---</v>
      </c>
      <c r="V91" s="4288" t="str">
        <f>IF(T91,ROUND(M28*$AB$40/100,0),"---")</f>
        <v>---</v>
      </c>
      <c r="W91" s="689"/>
      <c r="X91" s="4278" t="s">
        <v>4395</v>
      </c>
      <c r="Y91" s="344"/>
      <c r="Z91" s="4279" t="str">
        <f t="shared" si="14"/>
        <v>N</v>
      </c>
      <c r="AA91" s="344"/>
      <c r="AB91" s="4279" t="str">
        <f t="shared" si="15"/>
        <v>Y</v>
      </c>
      <c r="AC91" s="344"/>
      <c r="AD91" s="4279" t="str">
        <f t="shared" si="16"/>
        <v>S</v>
      </c>
      <c r="AE91" s="344"/>
      <c r="AF91" s="4232">
        <f t="shared" si="12"/>
        <v>5300</v>
      </c>
      <c r="AG91" s="346"/>
      <c r="AH91" s="344"/>
      <c r="AI91" s="343">
        <f t="shared" si="10"/>
        <v>1</v>
      </c>
      <c r="AJ91" s="343">
        <f t="shared" si="11"/>
        <v>0</v>
      </c>
      <c r="AK91" s="344"/>
      <c r="AL91" s="344"/>
      <c r="AM91" s="4232">
        <f t="shared" si="13"/>
        <v>0</v>
      </c>
      <c r="AN91" s="344"/>
      <c r="AO91" s="658"/>
      <c r="AP91" s="11249"/>
      <c r="AQ91" s="11250"/>
      <c r="AR91" s="11250"/>
      <c r="AS91" s="11251"/>
      <c r="AT91" s="658"/>
      <c r="AU91" s="658"/>
      <c r="AV91" s="658"/>
      <c r="AW91" s="658"/>
    </row>
    <row r="92" spans="1:49" ht="12" customHeight="1">
      <c r="A92" s="139"/>
      <c r="B92" s="2768"/>
      <c r="C92" s="2769" t="str">
        <f>"under an HDHP at any time during "&amp;TaxYear&amp;", enter your additional contribution amount. See instructions"</f>
        <v>under an HDHP at any time during 2025, enter your additional contribution amount. See instructions</v>
      </c>
      <c r="D92" s="2769"/>
      <c r="E92" s="2751"/>
      <c r="F92" s="2751"/>
      <c r="G92" s="2771"/>
      <c r="H92" s="2768"/>
      <c r="I92" s="2768"/>
      <c r="J92" s="2768"/>
      <c r="K92" s="2031"/>
      <c r="L92" s="2773">
        <f>B91</f>
        <v>7</v>
      </c>
      <c r="M92" s="2774" t="str">
        <f>IF(Q92&lt;&gt;"",ROUND(Q92,0),IF(AND(Q73,OR(AJ35,AJ97),AJ98),ROUND((S93*AJ96)/12,0),""))</f>
        <v/>
      </c>
      <c r="N92" s="2775"/>
      <c r="O92" s="343"/>
      <c r="P92" s="2990"/>
      <c r="Q92" s="118"/>
      <c r="R92" s="689"/>
      <c r="S92" s="688" t="s">
        <v>4400</v>
      </c>
      <c r="T92" s="688" t="b">
        <f>AND($Q$7,$V$28,$AK$34&gt;0,$AK$34&lt;12)</f>
        <v>0</v>
      </c>
      <c r="U92" s="4289" t="str">
        <f>U32</f>
        <v>---</v>
      </c>
      <c r="V92" s="4288" t="str">
        <f>IF(T92,ROUND(V97,0),"---")</f>
        <v>---</v>
      </c>
      <c r="W92" s="689"/>
      <c r="X92" s="4278" t="s">
        <v>4397</v>
      </c>
      <c r="Y92" s="344"/>
      <c r="Z92" s="4279" t="str">
        <f t="shared" si="14"/>
        <v>N</v>
      </c>
      <c r="AA92" s="344"/>
      <c r="AB92" s="4279" t="str">
        <f t="shared" si="15"/>
        <v>Y</v>
      </c>
      <c r="AC92" s="344"/>
      <c r="AD92" s="4279" t="str">
        <f t="shared" si="16"/>
        <v>S</v>
      </c>
      <c r="AE92" s="344"/>
      <c r="AF92" s="4232">
        <f t="shared" si="12"/>
        <v>5300</v>
      </c>
      <c r="AG92" s="346"/>
      <c r="AH92" s="344"/>
      <c r="AI92" s="343">
        <f t="shared" si="10"/>
        <v>1</v>
      </c>
      <c r="AJ92" s="343">
        <f t="shared" si="11"/>
        <v>0</v>
      </c>
      <c r="AK92" s="343"/>
      <c r="AL92" s="343"/>
      <c r="AM92" s="4232">
        <f t="shared" si="13"/>
        <v>0</v>
      </c>
      <c r="AN92" s="343"/>
      <c r="AP92" s="11249"/>
      <c r="AQ92" s="11250"/>
      <c r="AR92" s="11250"/>
      <c r="AS92" s="11251"/>
    </row>
    <row r="93" spans="1:49" ht="12" customHeight="1">
      <c r="A93" s="139"/>
      <c r="B93" s="2768">
        <v>8</v>
      </c>
      <c r="C93" s="2770" t="s">
        <v>4403</v>
      </c>
      <c r="D93" s="2770"/>
      <c r="E93" s="2751"/>
      <c r="F93" s="2751"/>
      <c r="G93" s="2771"/>
      <c r="H93" s="2771"/>
      <c r="I93" s="2771"/>
      <c r="J93" s="2771"/>
      <c r="K93" s="2031" t="s">
        <v>668</v>
      </c>
      <c r="L93" s="2773">
        <f>B93</f>
        <v>8</v>
      </c>
      <c r="M93" s="2774">
        <f>SUM(M90,M92)</f>
        <v>0</v>
      </c>
      <c r="N93" s="2775"/>
      <c r="O93" s="689"/>
      <c r="P93" s="2990"/>
      <c r="Q93" s="962"/>
      <c r="R93" s="343"/>
      <c r="S93" s="3104">
        <f>S33</f>
        <v>1000</v>
      </c>
      <c r="T93" s="688"/>
      <c r="U93" s="688"/>
      <c r="V93" s="688"/>
      <c r="W93" s="689"/>
      <c r="X93" s="4278" t="s">
        <v>4399</v>
      </c>
      <c r="Y93" s="344"/>
      <c r="Z93" s="4279" t="str">
        <f t="shared" si="14"/>
        <v>N</v>
      </c>
      <c r="AA93" s="344"/>
      <c r="AB93" s="4279" t="str">
        <f t="shared" si="15"/>
        <v>Y</v>
      </c>
      <c r="AC93" s="344"/>
      <c r="AD93" s="4279" t="str">
        <f t="shared" si="16"/>
        <v>S</v>
      </c>
      <c r="AE93" s="344"/>
      <c r="AF93" s="4232">
        <f t="shared" si="12"/>
        <v>5300</v>
      </c>
      <c r="AG93" s="346"/>
      <c r="AH93" s="344"/>
      <c r="AI93" s="343">
        <f t="shared" si="10"/>
        <v>1</v>
      </c>
      <c r="AJ93" s="343">
        <f t="shared" si="11"/>
        <v>0</v>
      </c>
      <c r="AK93" s="344"/>
      <c r="AL93" s="344"/>
      <c r="AM93" s="4232">
        <f t="shared" si="13"/>
        <v>0</v>
      </c>
      <c r="AN93" s="344"/>
      <c r="AP93" s="11249"/>
      <c r="AQ93" s="11250"/>
      <c r="AR93" s="11250"/>
      <c r="AS93" s="11251"/>
    </row>
    <row r="94" spans="1:49" s="214" customFormat="1" ht="12" customHeight="1">
      <c r="A94" s="139"/>
      <c r="B94" s="2768">
        <v>9</v>
      </c>
      <c r="C94" s="2770" t="str">
        <f>"Employer contributions made to your HSAs for "&amp;TaxYear</f>
        <v>Employer contributions made to your HSAs for 2025</v>
      </c>
      <c r="D94" s="2769"/>
      <c r="E94" s="2751"/>
      <c r="F94" s="2751"/>
      <c r="G94" s="3032"/>
      <c r="H94" s="2768"/>
      <c r="I94" s="2768" t="s">
        <v>601</v>
      </c>
      <c r="J94" s="2773">
        <f>B94</f>
        <v>9</v>
      </c>
      <c r="K94" s="2816" t="str">
        <f>IF(Q94&lt;&gt;"",ROUND(Q94,0),IF(OR(Emp_Contr_HSA_Spouse="",Emp_Contr_HSA_Spouse=0),"",Emp_Contr_HSA_Spouse))</f>
        <v/>
      </c>
      <c r="L94" s="4292"/>
      <c r="M94" s="3159" t="str">
        <f>IF(File_Marr_Joint&lt;&gt;"",G92,IF(File_Marr_Sep&lt;&gt;"",G93,IF(OR(File_Single&lt;&gt;"",File_Head&lt;&gt;"",File_Qual_Widow&lt;&gt;""),G94,"---")))</f>
        <v>---</v>
      </c>
      <c r="N94" s="2775"/>
      <c r="O94" s="11286" t="s">
        <v>6723</v>
      </c>
      <c r="P94" s="11286"/>
      <c r="Q94" s="118"/>
      <c r="R94" s="689"/>
      <c r="S94" s="688" t="s">
        <v>1552</v>
      </c>
      <c r="T94" s="3104"/>
      <c r="U94" s="4347" t="str">
        <f>U34</f>
        <v/>
      </c>
      <c r="V94" s="4293">
        <f>IF($AJ$97,SUM(ROUND(AM96/AJ96,0),-M87),0)</f>
        <v>0</v>
      </c>
      <c r="W94" s="689"/>
      <c r="X94" s="4278" t="s">
        <v>4401</v>
      </c>
      <c r="Y94" s="344"/>
      <c r="Z94" s="4279" t="str">
        <f t="shared" si="14"/>
        <v>N</v>
      </c>
      <c r="AA94" s="344"/>
      <c r="AB94" s="4279" t="str">
        <f t="shared" si="15"/>
        <v>Y</v>
      </c>
      <c r="AC94" s="344"/>
      <c r="AD94" s="4279" t="str">
        <f t="shared" si="16"/>
        <v>S</v>
      </c>
      <c r="AE94" s="344"/>
      <c r="AF94" s="4232">
        <f t="shared" si="12"/>
        <v>5300</v>
      </c>
      <c r="AG94" s="346"/>
      <c r="AH94" s="344"/>
      <c r="AI94" s="343">
        <f t="shared" si="10"/>
        <v>1</v>
      </c>
      <c r="AJ94" s="343">
        <f t="shared" si="11"/>
        <v>0</v>
      </c>
      <c r="AK94" s="344"/>
      <c r="AL94" s="344"/>
      <c r="AM94" s="4232">
        <f t="shared" si="13"/>
        <v>0</v>
      </c>
      <c r="AN94" s="344"/>
      <c r="AO94" s="658"/>
      <c r="AP94" s="11249"/>
      <c r="AQ94" s="11250"/>
      <c r="AR94" s="11250"/>
      <c r="AS94" s="11251"/>
      <c r="AT94" s="658"/>
      <c r="AU94" s="658"/>
      <c r="AV94" s="658"/>
      <c r="AW94" s="658"/>
    </row>
    <row r="95" spans="1:49" ht="12" customHeight="1" thickBot="1">
      <c r="A95" s="139"/>
      <c r="B95" s="2768">
        <v>10</v>
      </c>
      <c r="C95" s="2770" t="s">
        <v>4406</v>
      </c>
      <c r="D95" s="2769"/>
      <c r="E95" s="2751"/>
      <c r="F95" s="2751"/>
      <c r="G95" s="3032"/>
      <c r="H95" s="2768"/>
      <c r="I95" s="2768" t="s">
        <v>608</v>
      </c>
      <c r="J95" s="2773">
        <f>B95</f>
        <v>10</v>
      </c>
      <c r="K95" s="335"/>
      <c r="L95" s="4292"/>
      <c r="M95" s="3159" t="str">
        <f>IF(File_Marr_Joint&lt;&gt;"",G93,IF(File_Marr_Sep&lt;&gt;"",G94,IF(OR(File_Single&lt;&gt;"",File_Head&lt;&gt;"",File_Qual_Widow&lt;&gt;""),G95,"---")))</f>
        <v>---</v>
      </c>
      <c r="N95" s="2775"/>
      <c r="O95" s="343"/>
      <c r="P95" s="2990"/>
      <c r="Q95" s="962"/>
      <c r="R95" s="343"/>
      <c r="S95" s="688" t="s">
        <v>1570</v>
      </c>
      <c r="T95" s="688"/>
      <c r="U95" s="4347" t="str">
        <f>U35</f>
        <v/>
      </c>
      <c r="V95" s="4293">
        <f>IF($AJ$97,V94*AB40/100,0)</f>
        <v>0</v>
      </c>
      <c r="W95" s="689"/>
      <c r="X95" s="4278" t="s">
        <v>4402</v>
      </c>
      <c r="Y95" s="344"/>
      <c r="Z95" s="4279" t="str">
        <f t="shared" si="14"/>
        <v>N</v>
      </c>
      <c r="AA95" s="344"/>
      <c r="AB95" s="4279" t="str">
        <f t="shared" si="15"/>
        <v>Y</v>
      </c>
      <c r="AC95" s="344"/>
      <c r="AD95" s="4279" t="str">
        <f t="shared" si="16"/>
        <v>S</v>
      </c>
      <c r="AE95" s="344"/>
      <c r="AF95" s="4290">
        <f t="shared" si="12"/>
        <v>5300</v>
      </c>
      <c r="AG95" s="346"/>
      <c r="AH95" s="344"/>
      <c r="AI95" s="4291">
        <f t="shared" si="10"/>
        <v>1</v>
      </c>
      <c r="AJ95" s="4291">
        <f t="shared" si="11"/>
        <v>0</v>
      </c>
      <c r="AK95" s="343"/>
      <c r="AL95" s="343"/>
      <c r="AM95" s="4290">
        <f t="shared" si="13"/>
        <v>0</v>
      </c>
      <c r="AN95" s="343"/>
      <c r="AP95" s="11249"/>
      <c r="AQ95" s="11250"/>
      <c r="AR95" s="11250"/>
      <c r="AS95" s="11251"/>
    </row>
    <row r="96" spans="1:49" ht="12" customHeight="1" thickTop="1">
      <c r="A96" s="139"/>
      <c r="B96" s="2768">
        <v>11</v>
      </c>
      <c r="C96" s="2770" t="s">
        <v>2865</v>
      </c>
      <c r="D96" s="2770"/>
      <c r="E96" s="2751"/>
      <c r="F96" s="2751"/>
      <c r="G96" s="2771"/>
      <c r="H96" s="2771"/>
      <c r="I96" s="2771"/>
      <c r="J96" s="2771"/>
      <c r="K96" s="2031" t="s">
        <v>653</v>
      </c>
      <c r="L96" s="2773">
        <f>B96</f>
        <v>11</v>
      </c>
      <c r="M96" s="2774">
        <f>SUM(K94,K95)</f>
        <v>0</v>
      </c>
      <c r="N96" s="2775"/>
      <c r="O96" s="11255" t="s">
        <v>5481</v>
      </c>
      <c r="P96" s="11255"/>
      <c r="Q96" s="962"/>
      <c r="R96" s="343"/>
      <c r="S96" s="688" t="s">
        <v>4407</v>
      </c>
      <c r="T96" s="688"/>
      <c r="U96" s="4347" t="str">
        <f>U36</f>
        <v/>
      </c>
      <c r="V96" s="4293">
        <f>IF($AJ$97,SUM(V94,-U95),0)</f>
        <v>0</v>
      </c>
      <c r="W96" s="689"/>
      <c r="X96" s="11296" t="s">
        <v>4404</v>
      </c>
      <c r="Y96" s="11297"/>
      <c r="Z96" s="11298"/>
      <c r="AA96" s="11298"/>
      <c r="AB96" s="11298"/>
      <c r="AC96" s="11298"/>
      <c r="AD96" s="11298"/>
      <c r="AE96" s="11298"/>
      <c r="AF96" s="4232">
        <f>SUM(AF84:AF95)</f>
        <v>63600</v>
      </c>
      <c r="AG96" s="346"/>
      <c r="AH96" s="344"/>
      <c r="AI96" s="343">
        <f>SUM(AI84:AI95)</f>
        <v>12</v>
      </c>
      <c r="AJ96" s="343">
        <f>SUM(AJ84:AJ95)</f>
        <v>0</v>
      </c>
      <c r="AK96" s="344"/>
      <c r="AL96" s="344"/>
      <c r="AM96" s="4232">
        <f>SUM(AM84:AM95)</f>
        <v>0</v>
      </c>
      <c r="AN96" s="344"/>
      <c r="AP96" s="11249"/>
      <c r="AQ96" s="11250"/>
      <c r="AR96" s="11250"/>
      <c r="AS96" s="11251"/>
    </row>
    <row r="97" spans="1:49" ht="12.75" customHeight="1">
      <c r="A97" s="139"/>
      <c r="B97" s="2768">
        <v>12</v>
      </c>
      <c r="C97" s="2770" t="s">
        <v>4409</v>
      </c>
      <c r="D97" s="2770"/>
      <c r="E97" s="2751"/>
      <c r="F97" s="2751"/>
      <c r="G97" s="2771"/>
      <c r="H97" s="2771"/>
      <c r="I97" s="2771"/>
      <c r="J97" s="2771"/>
      <c r="K97" s="2031" t="s">
        <v>2206</v>
      </c>
      <c r="L97" s="2773">
        <f>B97</f>
        <v>12</v>
      </c>
      <c r="M97" s="2774">
        <f>MAX(0,SUM(M93,-M96))</f>
        <v>0</v>
      </c>
      <c r="N97" s="2775"/>
      <c r="O97" s="11255"/>
      <c r="P97" s="11255"/>
      <c r="Q97" s="962"/>
      <c r="R97" s="689"/>
      <c r="S97" s="688" t="s">
        <v>4408</v>
      </c>
      <c r="T97" s="688"/>
      <c r="U97" s="4347" t="str">
        <f>U37</f>
        <v/>
      </c>
      <c r="V97" s="4293">
        <f>V96</f>
        <v>0</v>
      </c>
      <c r="W97" s="689"/>
      <c r="X97" s="341"/>
      <c r="Y97" s="253"/>
      <c r="Z97" s="253"/>
      <c r="AA97" s="253"/>
      <c r="AB97" s="253"/>
      <c r="AC97" s="253"/>
      <c r="AD97" s="253"/>
      <c r="AE97" s="4296" t="s">
        <v>4405</v>
      </c>
      <c r="AF97" s="4232">
        <f>ROUND(AF96/12,0)</f>
        <v>5300</v>
      </c>
      <c r="AG97" s="346"/>
      <c r="AH97" s="344"/>
      <c r="AI97" s="343" t="b">
        <f>(AI96=12)</f>
        <v>1</v>
      </c>
      <c r="AJ97" s="343" t="b">
        <f>AND(AJ96&gt;0,AJ96&lt;12)</f>
        <v>0</v>
      </c>
      <c r="AK97" s="344"/>
      <c r="AL97" s="344"/>
      <c r="AM97" s="344"/>
      <c r="AN97" s="344"/>
      <c r="AP97" s="11249"/>
      <c r="AQ97" s="11250"/>
      <c r="AR97" s="11250"/>
      <c r="AS97" s="11251"/>
    </row>
    <row r="98" spans="1:49" ht="12" customHeight="1" thickBot="1">
      <c r="A98" s="139"/>
      <c r="B98" s="3741">
        <v>13</v>
      </c>
      <c r="C98" s="4298" t="s">
        <v>5478</v>
      </c>
      <c r="D98" s="4299"/>
      <c r="E98" s="4300"/>
      <c r="F98" s="4300"/>
      <c r="G98" s="4301"/>
      <c r="H98" s="4301"/>
      <c r="I98" s="4301"/>
      <c r="J98" s="4301"/>
      <c r="K98" s="4302" t="s">
        <v>6746</v>
      </c>
      <c r="L98" s="4303">
        <f>B98</f>
        <v>13</v>
      </c>
      <c r="M98" s="3067">
        <f>IF(Q98&lt;&gt;"",ROUND(Q98,0),IF(M81="",0,IF(Q73,MIN(M81,M97),"")))</f>
        <v>0</v>
      </c>
      <c r="N98" s="2775"/>
      <c r="O98" s="11255"/>
      <c r="P98" s="11255"/>
      <c r="Q98" s="118"/>
      <c r="R98" s="689"/>
      <c r="S98" s="688"/>
      <c r="T98" s="688"/>
      <c r="U98" s="688"/>
      <c r="V98" s="688"/>
      <c r="W98" s="4311"/>
      <c r="X98" s="4348"/>
      <c r="Y98" s="498"/>
      <c r="Z98" s="4320"/>
      <c r="AA98" s="498"/>
      <c r="AB98" s="4320"/>
      <c r="AC98" s="498"/>
      <c r="AD98" s="4320"/>
      <c r="AE98" s="498"/>
      <c r="AF98" s="4321"/>
      <c r="AG98" s="499"/>
      <c r="AH98" s="344"/>
      <c r="AI98" s="343" t="b">
        <f>AND(YourAge&gt;=P82,OR(AND(File_Marr_Joint&lt;&gt;"",AI97),File_Marr_Joint=""))</f>
        <v>1</v>
      </c>
      <c r="AJ98" s="343" t="b">
        <f>AND(SpouseAge&gt;=P82,File_Marr_Joint&lt;&gt;"")</f>
        <v>0</v>
      </c>
      <c r="AK98" s="344"/>
      <c r="AL98" s="344"/>
      <c r="AM98" s="344"/>
      <c r="AN98" s="344"/>
      <c r="AP98" s="11249"/>
      <c r="AQ98" s="11250"/>
      <c r="AR98" s="11250"/>
      <c r="AS98" s="11251"/>
    </row>
    <row r="99" spans="1:49" ht="12" customHeight="1">
      <c r="A99" s="139"/>
      <c r="B99" s="4307" t="s">
        <v>868</v>
      </c>
      <c r="C99" s="11287" t="s">
        <v>4995</v>
      </c>
      <c r="D99" s="11287"/>
      <c r="E99" s="11287"/>
      <c r="F99" s="11287"/>
      <c r="G99" s="11287"/>
      <c r="H99" s="11287"/>
      <c r="I99" s="11287"/>
      <c r="J99" s="11287"/>
      <c r="K99" s="11287"/>
      <c r="L99" s="11287"/>
      <c r="M99" s="11287"/>
      <c r="N99" s="2762"/>
      <c r="O99" s="4308"/>
      <c r="P99" s="2763"/>
      <c r="Q99" s="4309"/>
      <c r="R99" s="689"/>
      <c r="S99" s="688"/>
      <c r="T99" s="688"/>
      <c r="U99" s="688"/>
      <c r="V99" s="688"/>
      <c r="W99" s="4311"/>
      <c r="X99" s="343"/>
      <c r="Y99" s="344"/>
      <c r="Z99" s="689"/>
      <c r="AA99" s="344"/>
      <c r="AB99" s="689"/>
      <c r="AC99" s="344"/>
      <c r="AD99" s="689"/>
      <c r="AE99" s="344"/>
      <c r="AF99" s="4232"/>
      <c r="AG99" s="344"/>
      <c r="AH99" s="344"/>
      <c r="AI99" s="344"/>
      <c r="AJ99" s="344"/>
      <c r="AK99" s="344"/>
      <c r="AL99" s="344"/>
      <c r="AM99" s="344"/>
      <c r="AN99" s="344"/>
      <c r="AP99" s="11249"/>
      <c r="AQ99" s="11250"/>
      <c r="AR99" s="11250"/>
      <c r="AS99" s="11251"/>
    </row>
    <row r="100" spans="1:49" ht="12.75" customHeight="1">
      <c r="A100" s="139"/>
      <c r="B100" s="4349"/>
      <c r="C100" s="11287"/>
      <c r="D100" s="11287"/>
      <c r="E100" s="11287"/>
      <c r="F100" s="11287"/>
      <c r="G100" s="11287"/>
      <c r="H100" s="11287"/>
      <c r="I100" s="11287"/>
      <c r="J100" s="11287"/>
      <c r="K100" s="11287"/>
      <c r="L100" s="11287"/>
      <c r="M100" s="11287"/>
      <c r="N100" s="2762"/>
      <c r="O100" s="4308"/>
      <c r="P100" s="2763"/>
      <c r="Q100" s="4309"/>
      <c r="R100" s="689"/>
      <c r="S100" s="688"/>
      <c r="T100" s="688"/>
      <c r="U100" s="688"/>
      <c r="V100" s="688"/>
      <c r="W100" s="730"/>
      <c r="X100" s="343"/>
      <c r="Y100" s="344"/>
      <c r="Z100" s="689"/>
      <c r="AA100" s="344"/>
      <c r="AB100" s="689"/>
      <c r="AC100" s="344"/>
      <c r="AD100" s="689"/>
      <c r="AE100" s="344"/>
      <c r="AF100" s="4232"/>
      <c r="AG100" s="344"/>
      <c r="AH100" s="344"/>
      <c r="AI100" s="344"/>
      <c r="AJ100" s="344"/>
      <c r="AK100" s="344"/>
      <c r="AL100" s="344"/>
      <c r="AM100" s="344"/>
      <c r="AN100" s="344"/>
      <c r="AP100" s="11249"/>
      <c r="AQ100" s="11250"/>
      <c r="AR100" s="11250"/>
      <c r="AS100" s="11251"/>
    </row>
    <row r="101" spans="1:49" s="214" customFormat="1" ht="12" customHeight="1">
      <c r="A101" s="139"/>
      <c r="B101" s="4316"/>
      <c r="C101" s="11288"/>
      <c r="D101" s="11288"/>
      <c r="E101" s="11288"/>
      <c r="F101" s="11288"/>
      <c r="G101" s="11288"/>
      <c r="H101" s="11288"/>
      <c r="I101" s="11288"/>
      <c r="J101" s="11288"/>
      <c r="K101" s="11288"/>
      <c r="L101" s="11288"/>
      <c r="M101" s="11288"/>
      <c r="N101" s="2762"/>
      <c r="O101" s="4308"/>
      <c r="P101" s="4317"/>
      <c r="Q101" s="2013"/>
      <c r="R101" s="689"/>
      <c r="S101" s="688"/>
      <c r="T101" s="688"/>
      <c r="U101" s="688"/>
      <c r="V101" s="688"/>
      <c r="W101" s="689"/>
      <c r="X101" s="343"/>
      <c r="Y101" s="344"/>
      <c r="Z101" s="689"/>
      <c r="AA101" s="344"/>
      <c r="AB101" s="689"/>
      <c r="AC101" s="344"/>
      <c r="AD101" s="689"/>
      <c r="AE101" s="344"/>
      <c r="AF101" s="4232"/>
      <c r="AG101" s="344"/>
      <c r="AH101" s="344"/>
      <c r="AI101" s="344"/>
      <c r="AJ101" s="344"/>
      <c r="AK101" s="344"/>
      <c r="AL101" s="689"/>
      <c r="AM101" s="689"/>
      <c r="AN101" s="689"/>
      <c r="AO101" s="658"/>
      <c r="AP101" s="11249"/>
      <c r="AQ101" s="11250"/>
      <c r="AR101" s="11250"/>
      <c r="AS101" s="11251"/>
      <c r="AT101" s="658"/>
      <c r="AU101" s="658"/>
      <c r="AV101" s="658"/>
      <c r="AW101" s="658"/>
    </row>
    <row r="102" spans="1:49" s="214" customFormat="1">
      <c r="A102" s="139"/>
      <c r="B102" s="2768" t="s">
        <v>3030</v>
      </c>
      <c r="C102" s="2770" t="str">
        <f>"Total distributions you received in "&amp;TaxYear&amp;" from all HSAs (see instructions)"</f>
        <v>Total distributions you received in 2025 from all HSAs (see instructions)</v>
      </c>
      <c r="D102" s="2770"/>
      <c r="E102" s="2751"/>
      <c r="F102" s="2751"/>
      <c r="G102" s="2771"/>
      <c r="H102" s="2771"/>
      <c r="I102" s="2771"/>
      <c r="J102" s="2771"/>
      <c r="K102" s="2031" t="s">
        <v>4410</v>
      </c>
      <c r="L102" s="3039" t="str">
        <f>B102</f>
        <v>14a</v>
      </c>
      <c r="M102" s="335"/>
      <c r="N102" s="2775"/>
      <c r="O102" s="4308"/>
      <c r="P102" s="2990"/>
      <c r="Q102" s="962"/>
      <c r="R102" s="689"/>
      <c r="S102" s="4325"/>
      <c r="T102" s="4325"/>
      <c r="U102" s="4325"/>
      <c r="V102" s="4325"/>
      <c r="W102" s="689"/>
      <c r="X102" s="343"/>
      <c r="Y102" s="344"/>
      <c r="Z102" s="689"/>
      <c r="AA102" s="344"/>
      <c r="AB102" s="689"/>
      <c r="AC102" s="344"/>
      <c r="AD102" s="689"/>
      <c r="AE102" s="344"/>
      <c r="AF102" s="4232"/>
      <c r="AG102" s="344"/>
      <c r="AH102" s="344"/>
      <c r="AI102" s="344"/>
      <c r="AJ102" s="344"/>
      <c r="AK102" s="344"/>
      <c r="AL102" s="343"/>
      <c r="AM102" s="343"/>
      <c r="AN102" s="343"/>
      <c r="AO102" s="658"/>
      <c r="AP102" s="11249"/>
      <c r="AQ102" s="11250"/>
      <c r="AR102" s="11250"/>
      <c r="AS102" s="11251"/>
      <c r="AT102" s="658"/>
      <c r="AU102" s="658"/>
      <c r="AV102" s="658"/>
      <c r="AW102" s="658"/>
    </row>
    <row r="103" spans="1:49">
      <c r="A103" s="139"/>
      <c r="B103" s="2768" t="s">
        <v>592</v>
      </c>
      <c r="C103" s="2769" t="s">
        <v>4411</v>
      </c>
      <c r="D103" s="2770"/>
      <c r="E103" s="2751"/>
      <c r="F103" s="2751"/>
      <c r="G103" s="2771"/>
      <c r="H103" s="2771"/>
      <c r="I103" s="2771"/>
      <c r="J103" s="2771"/>
      <c r="K103" s="2768"/>
      <c r="L103" s="3215"/>
      <c r="M103" s="2799"/>
      <c r="N103" s="2783"/>
      <c r="O103" s="689"/>
      <c r="P103" s="3256"/>
      <c r="Q103" s="2785"/>
      <c r="R103" s="689"/>
      <c r="S103" s="4325"/>
      <c r="T103" s="4325"/>
      <c r="U103" s="4325"/>
      <c r="V103" s="4325"/>
      <c r="W103" s="689"/>
      <c r="X103" s="343"/>
      <c r="Y103" s="344"/>
      <c r="Z103" s="689"/>
      <c r="AA103" s="344"/>
      <c r="AB103" s="689"/>
      <c r="AC103" s="344"/>
      <c r="AD103" s="689"/>
      <c r="AE103" s="344"/>
      <c r="AF103" s="4232"/>
      <c r="AG103" s="344"/>
      <c r="AH103" s="344"/>
      <c r="AI103" s="344"/>
      <c r="AJ103" s="344"/>
      <c r="AK103" s="344"/>
      <c r="AL103" s="343"/>
      <c r="AM103" s="343"/>
      <c r="AN103" s="343"/>
      <c r="AP103" s="11249"/>
      <c r="AQ103" s="11250"/>
      <c r="AR103" s="11250"/>
      <c r="AS103" s="11251"/>
    </row>
    <row r="104" spans="1:49" ht="13.5" thickBot="1">
      <c r="A104" s="139"/>
      <c r="B104" s="2768"/>
      <c r="C104" s="2769" t="s">
        <v>4412</v>
      </c>
      <c r="D104" s="2769"/>
      <c r="E104" s="2751"/>
      <c r="F104" s="2751"/>
      <c r="G104" s="2771"/>
      <c r="H104" s="2771"/>
      <c r="I104" s="2771"/>
      <c r="J104" s="2771"/>
      <c r="K104" s="2771"/>
      <c r="L104" s="2802"/>
      <c r="M104" s="2791"/>
      <c r="N104" s="2775"/>
      <c r="O104" s="343"/>
      <c r="P104" s="2990"/>
      <c r="Q104" s="2785"/>
      <c r="R104" s="689"/>
      <c r="S104" s="688"/>
      <c r="T104" s="688"/>
      <c r="U104" s="688"/>
      <c r="V104" s="688"/>
      <c r="W104" s="2257"/>
      <c r="X104" s="343"/>
      <c r="Y104" s="344"/>
      <c r="Z104" s="689"/>
      <c r="AA104" s="344"/>
      <c r="AB104" s="689"/>
      <c r="AC104" s="344"/>
      <c r="AD104" s="689"/>
      <c r="AE104" s="344"/>
      <c r="AF104" s="4232"/>
      <c r="AG104" s="344"/>
      <c r="AH104" s="344"/>
      <c r="AI104" s="344"/>
      <c r="AJ104" s="344"/>
      <c r="AK104" s="344"/>
      <c r="AL104" s="344"/>
      <c r="AM104" s="344"/>
      <c r="AN104" s="344"/>
      <c r="AP104" s="11252"/>
      <c r="AQ104" s="11253"/>
      <c r="AR104" s="11253"/>
      <c r="AS104" s="11254"/>
    </row>
    <row r="105" spans="1:49">
      <c r="A105" s="139"/>
      <c r="B105" s="2768"/>
      <c r="C105" s="2769" t="s">
        <v>4413</v>
      </c>
      <c r="D105" s="2769"/>
      <c r="E105" s="2751"/>
      <c r="F105" s="2751"/>
      <c r="G105" s="2771"/>
      <c r="H105" s="2768"/>
      <c r="I105" s="2768"/>
      <c r="J105" s="2768"/>
      <c r="K105" s="2031" t="s">
        <v>4414</v>
      </c>
      <c r="L105" s="3039" t="s">
        <v>3031</v>
      </c>
      <c r="M105" s="335"/>
      <c r="N105" s="2775"/>
      <c r="O105" s="343"/>
      <c r="P105" s="2990"/>
      <c r="Q105" s="2785"/>
      <c r="R105" s="689"/>
      <c r="S105" s="688"/>
      <c r="T105" s="688"/>
      <c r="U105" s="688"/>
      <c r="V105" s="688"/>
      <c r="W105" s="689"/>
      <c r="X105" s="343"/>
      <c r="Y105" s="344"/>
      <c r="Z105" s="689"/>
      <c r="AA105" s="344"/>
      <c r="AB105" s="689"/>
      <c r="AC105" s="344"/>
      <c r="AD105" s="689"/>
      <c r="AE105" s="344"/>
      <c r="AF105" s="4232"/>
      <c r="AG105" s="344"/>
      <c r="AH105" s="344"/>
      <c r="AI105" s="344"/>
      <c r="AJ105" s="344"/>
      <c r="AK105" s="344"/>
      <c r="AL105" s="344"/>
      <c r="AM105" s="344"/>
      <c r="AN105" s="344"/>
    </row>
    <row r="106" spans="1:49" ht="12" customHeight="1">
      <c r="A106" s="139"/>
      <c r="B106" s="2768" t="s">
        <v>595</v>
      </c>
      <c r="C106" s="2769" t="s">
        <v>4415</v>
      </c>
      <c r="D106" s="2770"/>
      <c r="E106" s="2751"/>
      <c r="F106" s="2751"/>
      <c r="G106" s="2771"/>
      <c r="H106" s="2771"/>
      <c r="I106" s="2771"/>
      <c r="J106" s="2771"/>
      <c r="K106" s="2031" t="s">
        <v>4416</v>
      </c>
      <c r="L106" s="3039" t="s">
        <v>3032</v>
      </c>
      <c r="M106" s="2774">
        <f>SUM(M102,-M105)</f>
        <v>0</v>
      </c>
      <c r="N106" s="2775"/>
      <c r="O106" s="689"/>
      <c r="P106" s="2990"/>
      <c r="Q106" s="2785"/>
      <c r="R106" s="343"/>
      <c r="S106" s="314"/>
      <c r="T106" s="314"/>
      <c r="U106" s="314"/>
      <c r="V106" s="314"/>
      <c r="W106" s="689"/>
      <c r="X106" s="343"/>
      <c r="Y106" s="344"/>
      <c r="Z106" s="689"/>
      <c r="AA106" s="344"/>
      <c r="AB106" s="689"/>
      <c r="AC106" s="344"/>
      <c r="AD106" s="689"/>
      <c r="AE106" s="344"/>
      <c r="AF106" s="4232"/>
      <c r="AG106" s="344"/>
      <c r="AH106" s="344"/>
      <c r="AI106" s="344"/>
      <c r="AJ106" s="344"/>
      <c r="AK106" s="344"/>
      <c r="AL106" s="343"/>
      <c r="AM106" s="343"/>
      <c r="AN106" s="343"/>
    </row>
    <row r="107" spans="1:49" ht="12.75" customHeight="1">
      <c r="A107" s="139"/>
      <c r="B107" s="2768">
        <v>15</v>
      </c>
      <c r="C107" s="2769" t="s">
        <v>4417</v>
      </c>
      <c r="D107" s="2770"/>
      <c r="E107" s="2751"/>
      <c r="F107" s="2751"/>
      <c r="G107" s="2771"/>
      <c r="H107" s="2771"/>
      <c r="I107" s="2771"/>
      <c r="J107" s="2771"/>
      <c r="K107" s="2031" t="s">
        <v>4418</v>
      </c>
      <c r="L107" s="2773">
        <f>B107</f>
        <v>15</v>
      </c>
      <c r="M107" s="335"/>
      <c r="N107" s="2775"/>
      <c r="O107" s="689"/>
      <c r="P107" s="2990"/>
      <c r="Q107" s="962"/>
      <c r="R107" s="343"/>
      <c r="S107" s="688"/>
      <c r="T107" s="688"/>
      <c r="U107" s="688"/>
      <c r="V107" s="688"/>
      <c r="W107" s="689"/>
      <c r="X107" s="343"/>
      <c r="Y107" s="344"/>
      <c r="Z107" s="689"/>
      <c r="AA107" s="344"/>
      <c r="AB107" s="689"/>
      <c r="AC107" s="344"/>
      <c r="AD107" s="689"/>
      <c r="AE107" s="344"/>
      <c r="AF107" s="4232"/>
      <c r="AG107" s="344"/>
      <c r="AH107" s="344"/>
      <c r="AI107" s="344"/>
      <c r="AJ107" s="344"/>
      <c r="AK107" s="344"/>
      <c r="AL107" s="343"/>
      <c r="AM107" s="343"/>
      <c r="AN107" s="343"/>
    </row>
    <row r="108" spans="1:49" s="214" customFormat="1" ht="12" customHeight="1">
      <c r="A108" s="139"/>
      <c r="B108" s="2768">
        <v>16</v>
      </c>
      <c r="C108" s="2769" t="s">
        <v>4996</v>
      </c>
      <c r="D108" s="2770"/>
      <c r="E108" s="2751"/>
      <c r="F108" s="2751"/>
      <c r="G108" s="2771"/>
      <c r="H108" s="2771"/>
      <c r="I108" s="2771"/>
      <c r="J108" s="2771"/>
      <c r="K108" s="2768"/>
      <c r="L108" s="3215"/>
      <c r="M108" s="2799"/>
      <c r="N108" s="2783"/>
      <c r="O108" s="689"/>
      <c r="P108" s="3256"/>
      <c r="Q108" s="2785"/>
      <c r="R108" s="689"/>
      <c r="S108" s="688"/>
      <c r="T108" s="688"/>
      <c r="U108" s="688"/>
      <c r="V108" s="688"/>
      <c r="W108" s="689"/>
      <c r="X108" s="343"/>
      <c r="Y108" s="344"/>
      <c r="Z108" s="689"/>
      <c r="AA108" s="344"/>
      <c r="AB108" s="689"/>
      <c r="AC108" s="344"/>
      <c r="AD108" s="689"/>
      <c r="AE108" s="344"/>
      <c r="AF108" s="4232"/>
      <c r="AG108" s="344"/>
      <c r="AH108" s="344"/>
      <c r="AI108" s="344"/>
      <c r="AJ108" s="344"/>
      <c r="AK108" s="344"/>
      <c r="AL108" s="343"/>
      <c r="AM108" s="343"/>
      <c r="AN108" s="343"/>
      <c r="AO108" s="658"/>
      <c r="AP108" s="658"/>
      <c r="AQ108" s="658"/>
      <c r="AR108" s="658"/>
      <c r="AS108" s="658"/>
      <c r="AT108" s="658"/>
      <c r="AU108" s="658"/>
      <c r="AV108" s="658"/>
      <c r="AW108" s="658"/>
    </row>
    <row r="109" spans="1:49" ht="12" customHeight="1">
      <c r="A109" s="139"/>
      <c r="B109" s="2768"/>
      <c r="C109" s="2769" t="s">
        <v>4997</v>
      </c>
      <c r="D109" s="2769"/>
      <c r="E109" s="2751"/>
      <c r="F109" s="2751"/>
      <c r="G109" s="2771"/>
      <c r="H109" s="2768"/>
      <c r="I109" s="2768"/>
      <c r="J109" s="2768"/>
      <c r="K109" s="2031" t="s">
        <v>702</v>
      </c>
      <c r="L109" s="2773">
        <f>B108</f>
        <v>16</v>
      </c>
      <c r="M109" s="2774">
        <f>IF(Q109&lt;&gt;"",ROUND(Q109,0),IF(SUM(M106,-M107)&lt;0,0,SUM(M106,-M107)))</f>
        <v>0</v>
      </c>
      <c r="N109" s="2775"/>
      <c r="O109" s="343"/>
      <c r="P109" s="2990"/>
      <c r="Q109" s="118"/>
      <c r="R109" s="689"/>
      <c r="S109" s="688"/>
      <c r="T109" s="688"/>
      <c r="U109" s="688"/>
      <c r="V109" s="688"/>
      <c r="W109" s="689"/>
      <c r="X109" s="343"/>
      <c r="Y109" s="344"/>
      <c r="Z109" s="689"/>
      <c r="AA109" s="344"/>
      <c r="AB109" s="689"/>
      <c r="AC109" s="344"/>
      <c r="AD109" s="689"/>
      <c r="AE109" s="344"/>
      <c r="AF109" s="4232"/>
      <c r="AG109" s="344"/>
      <c r="AH109" s="344"/>
      <c r="AI109" s="344"/>
      <c r="AJ109" s="344"/>
      <c r="AK109" s="344"/>
      <c r="AL109" s="343"/>
      <c r="AM109" s="343"/>
      <c r="AN109" s="343"/>
    </row>
    <row r="110" spans="1:49" ht="12" customHeight="1" thickBot="1">
      <c r="A110" s="139"/>
      <c r="B110" s="2768" t="s">
        <v>1081</v>
      </c>
      <c r="C110" s="2769" t="s">
        <v>4998</v>
      </c>
      <c r="D110" s="2770"/>
      <c r="E110" s="2751"/>
      <c r="F110" s="2751"/>
      <c r="G110" s="2771"/>
      <c r="H110" s="2826"/>
      <c r="I110" s="2771"/>
      <c r="J110" s="2771"/>
      <c r="K110" s="3632" t="str">
        <f>"Exceptions to the Additional "&amp;TEXT($M$52,"0%")</f>
        <v>Exceptions to the Additional 20%</v>
      </c>
      <c r="L110" s="4292"/>
      <c r="M110" s="2799"/>
      <c r="N110" s="2783"/>
      <c r="O110" s="689"/>
      <c r="P110" s="3256"/>
      <c r="Q110" s="4326" t="str">
        <f>IF(J111&lt;&gt;"","Enter distributions","")</f>
        <v/>
      </c>
      <c r="R110" s="689"/>
      <c r="S110" s="688"/>
      <c r="T110" s="688"/>
      <c r="U110" s="688"/>
      <c r="V110" s="688"/>
      <c r="W110" s="689"/>
      <c r="X110" s="343"/>
      <c r="Y110" s="344"/>
      <c r="Z110" s="689"/>
      <c r="AA110" s="344"/>
      <c r="AB110" s="689"/>
      <c r="AC110" s="344"/>
      <c r="AD110" s="689"/>
      <c r="AE110" s="344"/>
      <c r="AF110" s="4232"/>
      <c r="AG110" s="344"/>
      <c r="AH110" s="344"/>
      <c r="AI110" s="344"/>
      <c r="AJ110" s="344"/>
      <c r="AK110" s="344"/>
      <c r="AL110" s="343"/>
      <c r="AM110" s="343"/>
      <c r="AN110" s="343"/>
    </row>
    <row r="111" spans="1:49" ht="12.75" customHeight="1" thickBot="1">
      <c r="A111" s="139"/>
      <c r="B111" s="2768"/>
      <c r="C111" s="4327" t="s">
        <v>4999</v>
      </c>
      <c r="D111" s="2769"/>
      <c r="E111" s="2751"/>
      <c r="F111" s="2751"/>
      <c r="G111" s="2771"/>
      <c r="H111" s="2771"/>
      <c r="I111" s="2031" t="s">
        <v>894</v>
      </c>
      <c r="J111" s="282"/>
      <c r="K111" s="2771"/>
      <c r="L111" s="4292"/>
      <c r="M111" s="2791"/>
      <c r="N111" s="2775"/>
      <c r="O111" s="343"/>
      <c r="P111" s="2990"/>
      <c r="Q111" s="4326" t="str">
        <f>IF(J111&lt;&gt;"","subject to","")</f>
        <v/>
      </c>
      <c r="R111" s="343"/>
      <c r="S111" s="688"/>
      <c r="T111" s="688"/>
      <c r="U111" s="688"/>
      <c r="V111" s="688"/>
      <c r="W111" s="689"/>
      <c r="X111" s="343"/>
      <c r="Y111" s="344"/>
      <c r="Z111" s="689"/>
      <c r="AA111" s="344"/>
      <c r="AB111" s="689"/>
      <c r="AC111" s="344"/>
      <c r="AD111" s="689"/>
      <c r="AE111" s="344"/>
      <c r="AF111" s="4232"/>
      <c r="AG111" s="344"/>
      <c r="AH111" s="344"/>
      <c r="AI111" s="344"/>
      <c r="AJ111" s="344"/>
      <c r="AK111" s="344"/>
      <c r="AL111" s="343"/>
      <c r="AM111" s="343"/>
      <c r="AN111" s="343"/>
    </row>
    <row r="112" spans="1:49" s="214" customFormat="1" ht="12.75" customHeight="1">
      <c r="A112" s="139"/>
      <c r="B112" s="2768" t="s">
        <v>592</v>
      </c>
      <c r="C112" s="2826" t="str">
        <f>"Additional "&amp;TEXT(M112,"0%")&amp;" tax"</f>
        <v>Additional 20% tax</v>
      </c>
      <c r="D112" s="2770"/>
      <c r="E112" s="2751"/>
      <c r="F112" s="2769"/>
      <c r="G112" s="2771"/>
      <c r="H112" s="2771"/>
      <c r="I112" s="2771"/>
      <c r="J112" s="2771"/>
      <c r="K112" s="3065" t="str">
        <f>"(see instructions). Enter "&amp;TEXT($M$52,"0%")&amp;" ("&amp;TEXT($M$52,".00")&amp;") of the distributions included on line 16     "</f>
        <v xml:space="preserve">(see instructions). Enter 20% (.20) of the distributions included on line 16     </v>
      </c>
      <c r="L112" s="4292"/>
      <c r="M112" s="3159">
        <v>0.2</v>
      </c>
      <c r="N112" s="2783"/>
      <c r="O112" s="689"/>
      <c r="P112" s="3256"/>
      <c r="Q112" s="4326" t="str">
        <f>IF(J111&lt;&gt;"","additional tax here:","")</f>
        <v/>
      </c>
      <c r="R112" s="689"/>
      <c r="S112" s="688"/>
      <c r="T112" s="688"/>
      <c r="U112" s="688"/>
      <c r="V112" s="688"/>
      <c r="W112" s="689"/>
      <c r="X112" s="343"/>
      <c r="Y112" s="344"/>
      <c r="Z112" s="689"/>
      <c r="AA112" s="344"/>
      <c r="AB112" s="689"/>
      <c r="AC112" s="344"/>
      <c r="AD112" s="689"/>
      <c r="AE112" s="344"/>
      <c r="AF112" s="4232"/>
      <c r="AG112" s="344"/>
      <c r="AH112" s="344"/>
      <c r="AI112" s="344"/>
      <c r="AJ112" s="344"/>
      <c r="AK112" s="344"/>
      <c r="AL112" s="343"/>
      <c r="AM112" s="343"/>
      <c r="AN112" s="343"/>
      <c r="AO112" s="658"/>
      <c r="AP112" s="658"/>
      <c r="AQ112" s="658"/>
      <c r="AR112" s="658"/>
      <c r="AS112" s="658"/>
      <c r="AT112" s="658"/>
      <c r="AU112" s="658"/>
      <c r="AV112" s="658"/>
      <c r="AW112" s="658"/>
    </row>
    <row r="113" spans="1:49" ht="15.75" customHeight="1">
      <c r="A113" s="139"/>
      <c r="B113" s="2768"/>
      <c r="C113" s="2769" t="str">
        <f>"that are subject to the additional "&amp;TEXT($M$52,"0%")&amp;" tax. Also include this amount in the total on Schedule 2"</f>
        <v>that are subject to the additional 20% tax. Also include this amount in the total on Schedule 2</v>
      </c>
      <c r="D113" s="2769"/>
      <c r="E113" s="2751"/>
      <c r="F113" s="2751"/>
      <c r="G113" s="2771"/>
      <c r="H113" s="2771"/>
      <c r="I113" s="2771"/>
      <c r="J113" s="2771"/>
      <c r="K113" s="2771"/>
      <c r="L113" s="4292"/>
      <c r="M113" s="2791"/>
      <c r="N113" s="2775"/>
      <c r="O113" s="343"/>
      <c r="P113" s="2990"/>
      <c r="Q113" s="4328"/>
      <c r="R113" s="343"/>
      <c r="S113" s="688"/>
      <c r="T113" s="688"/>
      <c r="U113" s="688"/>
      <c r="V113" s="688"/>
      <c r="W113" s="689"/>
      <c r="X113" s="343"/>
      <c r="Y113" s="344"/>
      <c r="Z113" s="689"/>
      <c r="AA113" s="344"/>
      <c r="AB113" s="689"/>
      <c r="AC113" s="344"/>
      <c r="AD113" s="689"/>
      <c r="AE113" s="344"/>
      <c r="AF113" s="4232"/>
      <c r="AG113" s="344"/>
      <c r="AH113" s="344"/>
      <c r="AI113" s="344"/>
      <c r="AJ113" s="344"/>
      <c r="AK113" s="344"/>
      <c r="AL113" s="343"/>
      <c r="AM113" s="343"/>
      <c r="AN113" s="343"/>
    </row>
    <row r="114" spans="1:49" ht="12" customHeight="1">
      <c r="A114" s="139"/>
      <c r="B114" s="2768"/>
      <c r="C114" s="3019" t="s">
        <v>4419</v>
      </c>
      <c r="D114" s="2769"/>
      <c r="E114" s="2751"/>
      <c r="F114" s="2751"/>
      <c r="G114" s="2771"/>
      <c r="H114" s="2771"/>
      <c r="I114" s="2771"/>
      <c r="J114" s="2771"/>
      <c r="K114" s="2031" t="s">
        <v>665</v>
      </c>
      <c r="L114" s="2773" t="s">
        <v>1082</v>
      </c>
      <c r="M114" s="2774">
        <f>IF(Q114&lt;&gt;"",ROUND(Q114,0),IF(J111&lt;&gt;"",ROUND(M112*Q113,0),ROUND($M$52*M109,0)))</f>
        <v>0</v>
      </c>
      <c r="N114" s="2775"/>
      <c r="O114" s="689"/>
      <c r="P114" s="3225"/>
      <c r="Q114" s="118"/>
      <c r="R114" s="689"/>
      <c r="S114" s="688"/>
      <c r="T114" s="688"/>
      <c r="U114" s="688"/>
      <c r="V114" s="688"/>
      <c r="W114" s="689"/>
      <c r="X114" s="343"/>
      <c r="Y114" s="344"/>
      <c r="Z114" s="689"/>
      <c r="AA114" s="344"/>
      <c r="AB114" s="689"/>
      <c r="AC114" s="344"/>
      <c r="AD114" s="689"/>
      <c r="AE114" s="344"/>
      <c r="AF114" s="4232"/>
      <c r="AG114" s="344"/>
      <c r="AH114" s="344"/>
      <c r="AI114" s="344"/>
      <c r="AJ114" s="344"/>
      <c r="AK114" s="344"/>
      <c r="AL114" s="343"/>
      <c r="AM114" s="343"/>
      <c r="AN114" s="343"/>
    </row>
    <row r="115" spans="1:49" s="214" customFormat="1" ht="15.75">
      <c r="A115" s="139"/>
      <c r="B115" s="4329" t="s">
        <v>1938</v>
      </c>
      <c r="C115" s="11282" t="s">
        <v>4439</v>
      </c>
      <c r="D115" s="11282"/>
      <c r="E115" s="11283"/>
      <c r="F115" s="11283"/>
      <c r="G115" s="11283"/>
      <c r="H115" s="11283"/>
      <c r="I115" s="11283"/>
      <c r="J115" s="11283"/>
      <c r="K115" s="11283"/>
      <c r="L115" s="11283"/>
      <c r="M115" s="11283"/>
      <c r="N115" s="2762"/>
      <c r="O115" s="344"/>
      <c r="P115" s="2763"/>
      <c r="Q115" s="2013"/>
      <c r="R115" s="343"/>
      <c r="S115" s="688"/>
      <c r="T115" s="688"/>
      <c r="U115" s="688"/>
      <c r="V115" s="688"/>
      <c r="W115" s="689"/>
      <c r="X115" s="343"/>
      <c r="Y115" s="344"/>
      <c r="Z115" s="689"/>
      <c r="AA115" s="344"/>
      <c r="AB115" s="689"/>
      <c r="AC115" s="344"/>
      <c r="AD115" s="689"/>
      <c r="AE115" s="344"/>
      <c r="AF115" s="4232"/>
      <c r="AG115" s="344"/>
      <c r="AH115" s="344"/>
      <c r="AI115" s="344"/>
      <c r="AJ115" s="344"/>
      <c r="AK115" s="344"/>
      <c r="AL115" s="343"/>
      <c r="AM115" s="343"/>
      <c r="AN115" s="343"/>
      <c r="AO115" s="658"/>
      <c r="AP115" s="658"/>
      <c r="AQ115" s="658"/>
      <c r="AR115" s="658"/>
      <c r="AS115" s="658"/>
      <c r="AT115" s="658"/>
      <c r="AU115" s="658"/>
      <c r="AV115" s="658"/>
      <c r="AW115" s="658"/>
    </row>
    <row r="116" spans="1:49" ht="12" customHeight="1">
      <c r="A116" s="139"/>
      <c r="B116" s="4261"/>
      <c r="C116" s="11257" t="s">
        <v>4421</v>
      </c>
      <c r="D116" s="11257"/>
      <c r="E116" s="11258"/>
      <c r="F116" s="11258"/>
      <c r="G116" s="11258"/>
      <c r="H116" s="11258"/>
      <c r="I116" s="11258"/>
      <c r="J116" s="11258"/>
      <c r="K116" s="11258"/>
      <c r="L116" s="11258"/>
      <c r="M116" s="11258"/>
      <c r="N116" s="2762"/>
      <c r="O116" s="344"/>
      <c r="P116" s="4317"/>
      <c r="Q116" s="2013"/>
      <c r="R116" s="689"/>
      <c r="S116" s="688"/>
      <c r="T116" s="688"/>
      <c r="U116" s="688"/>
      <c r="V116" s="688"/>
      <c r="W116" s="2257"/>
      <c r="X116" s="343"/>
      <c r="Y116" s="344"/>
      <c r="Z116" s="689"/>
      <c r="AA116" s="344"/>
      <c r="AB116" s="689"/>
      <c r="AC116" s="344"/>
      <c r="AD116" s="689"/>
      <c r="AE116" s="344"/>
      <c r="AF116" s="4232"/>
      <c r="AG116" s="344"/>
      <c r="AH116" s="344"/>
      <c r="AI116" s="344"/>
      <c r="AJ116" s="344"/>
      <c r="AK116" s="344"/>
      <c r="AL116" s="344"/>
      <c r="AM116" s="344"/>
      <c r="AN116" s="344"/>
    </row>
    <row r="117" spans="1:49" ht="12" customHeight="1">
      <c r="A117" s="139"/>
      <c r="B117" s="4316"/>
      <c r="C117" s="11259" t="s">
        <v>4422</v>
      </c>
      <c r="D117" s="11259"/>
      <c r="E117" s="11260"/>
      <c r="F117" s="11260"/>
      <c r="G117" s="11260"/>
      <c r="H117" s="11260"/>
      <c r="I117" s="11260"/>
      <c r="J117" s="11260"/>
      <c r="K117" s="11260"/>
      <c r="L117" s="11260"/>
      <c r="M117" s="11260"/>
      <c r="N117" s="2762"/>
      <c r="O117" s="344"/>
      <c r="P117" s="4317"/>
      <c r="Q117" s="2013"/>
      <c r="R117" s="344"/>
      <c r="S117" s="688"/>
      <c r="T117" s="688"/>
      <c r="U117" s="688"/>
      <c r="V117" s="688"/>
      <c r="W117" s="689"/>
      <c r="X117" s="343"/>
      <c r="Y117" s="344"/>
      <c r="Z117" s="689"/>
      <c r="AA117" s="344"/>
      <c r="AB117" s="689"/>
      <c r="AC117" s="344"/>
      <c r="AD117" s="689"/>
      <c r="AE117" s="344"/>
      <c r="AF117" s="4232"/>
      <c r="AG117" s="344"/>
      <c r="AH117" s="344"/>
      <c r="AI117" s="344"/>
      <c r="AJ117" s="344"/>
      <c r="AK117" s="344"/>
      <c r="AL117" s="344"/>
      <c r="AM117" s="344"/>
      <c r="AN117" s="344"/>
    </row>
    <row r="118" spans="1:49" s="80" customFormat="1" ht="15" customHeight="1">
      <c r="A118" s="139"/>
      <c r="B118" s="2768">
        <v>18</v>
      </c>
      <c r="C118" s="2769" t="s">
        <v>4423</v>
      </c>
      <c r="D118" s="2770"/>
      <c r="E118" s="2751"/>
      <c r="F118" s="2751"/>
      <c r="G118" s="2771"/>
      <c r="H118" s="2771"/>
      <c r="I118" s="2771"/>
      <c r="J118" s="2771"/>
      <c r="K118" s="2031" t="s">
        <v>871</v>
      </c>
      <c r="L118" s="2773">
        <f>B118</f>
        <v>18</v>
      </c>
      <c r="M118" s="335"/>
      <c r="N118" s="2783"/>
      <c r="O118" s="689"/>
      <c r="P118" s="3256"/>
      <c r="Q118" s="962"/>
      <c r="R118" s="344"/>
      <c r="S118" s="688"/>
      <c r="T118" s="688"/>
      <c r="U118" s="688"/>
      <c r="V118" s="688"/>
      <c r="W118" s="689"/>
      <c r="X118" s="343"/>
      <c r="Y118" s="344"/>
      <c r="Z118" s="689"/>
      <c r="AA118" s="344"/>
      <c r="AB118" s="689"/>
      <c r="AC118" s="344"/>
      <c r="AD118" s="689"/>
      <c r="AE118" s="344"/>
      <c r="AF118" s="4232"/>
      <c r="AG118" s="344"/>
      <c r="AH118" s="344"/>
      <c r="AI118" s="344"/>
      <c r="AJ118" s="344"/>
      <c r="AK118" s="344"/>
      <c r="AL118" s="344"/>
      <c r="AM118" s="344"/>
      <c r="AN118" s="344"/>
      <c r="AO118" s="658"/>
      <c r="AP118" s="658"/>
      <c r="AQ118" s="658"/>
      <c r="AR118" s="658"/>
      <c r="AS118" s="658"/>
      <c r="AT118" s="658"/>
      <c r="AU118" s="658"/>
      <c r="AV118" s="658"/>
      <c r="AW118" s="658"/>
    </row>
    <row r="119" spans="1:49" s="80" customFormat="1">
      <c r="A119" s="139"/>
      <c r="B119" s="3676">
        <v>19</v>
      </c>
      <c r="C119" s="3019" t="s">
        <v>4424</v>
      </c>
      <c r="D119" s="2770"/>
      <c r="E119" s="2751"/>
      <c r="F119" s="2751"/>
      <c r="G119" s="2771"/>
      <c r="H119" s="2771"/>
      <c r="I119" s="2771"/>
      <c r="J119" s="2771"/>
      <c r="K119" s="2031" t="s">
        <v>665</v>
      </c>
      <c r="L119" s="2773">
        <f>B119</f>
        <v>19</v>
      </c>
      <c r="M119" s="335"/>
      <c r="N119" s="2783"/>
      <c r="O119" s="689"/>
      <c r="P119" s="3256"/>
      <c r="Q119" s="962"/>
      <c r="R119" s="344"/>
      <c r="S119" s="314"/>
      <c r="T119" s="314"/>
      <c r="U119" s="314"/>
      <c r="V119" s="314"/>
      <c r="W119" s="689"/>
      <c r="X119" s="344"/>
      <c r="Y119" s="344"/>
      <c r="Z119" s="689"/>
      <c r="AA119" s="344"/>
      <c r="AB119" s="689"/>
      <c r="AC119" s="344"/>
      <c r="AD119" s="689"/>
      <c r="AE119" s="344"/>
      <c r="AF119" s="6698"/>
      <c r="AG119" s="344"/>
      <c r="AH119" s="344"/>
      <c r="AI119" s="344"/>
      <c r="AJ119" s="344"/>
      <c r="AK119" s="344"/>
      <c r="AL119" s="344"/>
      <c r="AM119" s="344"/>
      <c r="AN119" s="344"/>
      <c r="AO119" s="658"/>
      <c r="AP119" s="658"/>
      <c r="AQ119" s="658"/>
      <c r="AR119" s="658"/>
      <c r="AS119" s="658"/>
      <c r="AT119" s="658"/>
      <c r="AU119" s="658"/>
      <c r="AV119" s="658"/>
      <c r="AW119" s="658"/>
    </row>
    <row r="120" spans="1:49">
      <c r="A120" s="139"/>
      <c r="B120" s="2768">
        <v>20</v>
      </c>
      <c r="C120" s="2826" t="s">
        <v>4425</v>
      </c>
      <c r="D120" s="2770"/>
      <c r="E120" s="2769"/>
      <c r="F120" s="2751"/>
      <c r="G120" s="2771"/>
      <c r="H120" s="2771"/>
      <c r="I120" s="2771"/>
      <c r="J120" s="2771"/>
      <c r="K120" s="2031"/>
      <c r="L120" s="2773">
        <f>B120</f>
        <v>20</v>
      </c>
      <c r="M120" s="2774">
        <f>IF(Q120&lt;&gt;"",ROUND(Q120,0),SUM(M118,M119))</f>
        <v>0</v>
      </c>
      <c r="N120" s="2775"/>
      <c r="O120" s="343"/>
      <c r="P120" s="2990"/>
      <c r="Q120" s="118"/>
      <c r="R120" s="689"/>
      <c r="S120" s="314"/>
      <c r="T120" s="314"/>
      <c r="U120" s="314"/>
      <c r="V120" s="314"/>
      <c r="W120" s="689"/>
      <c r="X120" s="344"/>
      <c r="Y120" s="344"/>
      <c r="Z120" s="689"/>
      <c r="AA120" s="344"/>
      <c r="AB120" s="689"/>
      <c r="AC120" s="344"/>
      <c r="AD120" s="689"/>
      <c r="AE120" s="344"/>
      <c r="AF120" s="6698"/>
      <c r="AG120" s="344"/>
      <c r="AH120" s="344"/>
      <c r="AI120" s="344"/>
      <c r="AJ120" s="344"/>
      <c r="AK120" s="344"/>
      <c r="AL120" s="344"/>
      <c r="AM120" s="344"/>
      <c r="AN120" s="344"/>
    </row>
    <row r="121" spans="1:49" ht="12" customHeight="1">
      <c r="A121" s="139"/>
      <c r="B121" s="2768">
        <v>21</v>
      </c>
      <c r="C121" s="2826" t="s">
        <v>4426</v>
      </c>
      <c r="D121" s="3019"/>
      <c r="E121" s="2769" t="str">
        <f>"Multiply line 20 by "&amp;TEXT(M121,"0%")&amp;" ("&amp;TEXT(M121,".00")&amp;"). Include this amount in the total on Schedule 2"</f>
        <v>Multiply line 20 by 10% (.10). Include this amount in the total on Schedule 2</v>
      </c>
      <c r="F121" s="4331"/>
      <c r="G121" s="4332"/>
      <c r="H121" s="3676"/>
      <c r="I121" s="3676"/>
      <c r="J121" s="3676"/>
      <c r="K121" s="4333"/>
      <c r="L121" s="4273"/>
      <c r="M121" s="4330">
        <v>0.1</v>
      </c>
      <c r="N121" s="2783"/>
      <c r="O121" s="689"/>
      <c r="P121" s="3256"/>
      <c r="Q121" s="2785"/>
      <c r="R121" s="689"/>
      <c r="S121" s="688"/>
      <c r="T121" s="688"/>
      <c r="U121" s="688"/>
      <c r="V121" s="688"/>
      <c r="W121" s="689"/>
      <c r="X121" s="343"/>
      <c r="Y121" s="344"/>
      <c r="Z121" s="689"/>
      <c r="AA121" s="344"/>
      <c r="AB121" s="689"/>
      <c r="AC121" s="344"/>
      <c r="AD121" s="689"/>
      <c r="AE121" s="344"/>
      <c r="AF121" s="4232"/>
      <c r="AG121" s="344"/>
      <c r="AH121" s="344"/>
      <c r="AI121" s="343"/>
      <c r="AJ121" s="343"/>
      <c r="AK121" s="343"/>
      <c r="AL121" s="344"/>
      <c r="AM121" s="344"/>
      <c r="AN121" s="344"/>
    </row>
    <row r="122" spans="1:49" s="214" customFormat="1" ht="15.75" customHeight="1" thickBot="1">
      <c r="A122" s="139"/>
      <c r="B122" s="2768"/>
      <c r="C122" s="3019" t="s">
        <v>4427</v>
      </c>
      <c r="D122" s="2769"/>
      <c r="E122" s="2751"/>
      <c r="F122" s="2751"/>
      <c r="G122" s="2771"/>
      <c r="H122" s="2768"/>
      <c r="I122" s="2768"/>
      <c r="J122" s="2768"/>
      <c r="K122" s="2031"/>
      <c r="L122" s="2773">
        <f>B121</f>
        <v>21</v>
      </c>
      <c r="M122" s="2774">
        <f>IF(Q122&lt;&gt;"",ROUND(Q122,0),M120*M121)</f>
        <v>0</v>
      </c>
      <c r="N122" s="2775"/>
      <c r="O122" s="343"/>
      <c r="P122" s="2990"/>
      <c r="Q122" s="118"/>
      <c r="R122" s="343"/>
      <c r="S122" s="688"/>
      <c r="T122" s="688"/>
      <c r="U122" s="688"/>
      <c r="V122" s="688"/>
      <c r="W122" s="689"/>
      <c r="X122" s="689"/>
      <c r="Y122" s="344"/>
      <c r="Z122" s="689"/>
      <c r="AA122" s="344"/>
      <c r="AB122" s="689"/>
      <c r="AC122" s="344"/>
      <c r="AD122" s="689"/>
      <c r="AE122" s="344"/>
      <c r="AF122" s="4232"/>
      <c r="AG122" s="344"/>
      <c r="AH122" s="344"/>
      <c r="AI122" s="344"/>
      <c r="AJ122" s="344"/>
      <c r="AK122" s="344"/>
      <c r="AL122" s="344"/>
      <c r="AM122" s="344"/>
      <c r="AN122" s="344"/>
      <c r="AO122" s="658"/>
      <c r="AP122" s="658"/>
      <c r="AQ122" s="658"/>
      <c r="AR122" s="658"/>
      <c r="AS122" s="658"/>
      <c r="AT122" s="658"/>
      <c r="AU122" s="658"/>
      <c r="AV122" s="658"/>
      <c r="AW122" s="658"/>
    </row>
    <row r="123" spans="1:49" s="214" customFormat="1" ht="12" customHeight="1">
      <c r="A123" s="139"/>
      <c r="B123" s="2827" t="s">
        <v>865</v>
      </c>
      <c r="C123" s="2828"/>
      <c r="D123" s="2828"/>
      <c r="E123" s="2828"/>
      <c r="F123" s="2828"/>
      <c r="G123" s="2829"/>
      <c r="H123" s="2830"/>
      <c r="I123" s="3085" t="s">
        <v>4428</v>
      </c>
      <c r="J123" s="3085"/>
      <c r="K123" s="2832" t="s">
        <v>4429</v>
      </c>
      <c r="L123" s="2832"/>
      <c r="M123" s="6699" t="str">
        <f>"  ("&amp;TaxYear&amp;") Created 3/28/25"</f>
        <v xml:space="preserve">  (2025) Created 3/28/25</v>
      </c>
      <c r="N123" s="2834"/>
      <c r="O123" s="343"/>
      <c r="P123" s="3256"/>
      <c r="Q123" s="962"/>
      <c r="R123" s="689"/>
      <c r="S123" s="688"/>
      <c r="T123" s="688"/>
      <c r="U123" s="688"/>
      <c r="V123" s="688"/>
      <c r="W123" s="689"/>
      <c r="X123" s="343"/>
      <c r="Y123" s="344"/>
      <c r="Z123" s="689"/>
      <c r="AA123" s="344"/>
      <c r="AB123" s="689"/>
      <c r="AC123" s="344"/>
      <c r="AD123" s="689"/>
      <c r="AE123" s="344"/>
      <c r="AF123" s="4232"/>
      <c r="AG123" s="344"/>
      <c r="AH123" s="344"/>
      <c r="AI123" s="343"/>
      <c r="AJ123" s="343"/>
      <c r="AK123" s="343"/>
      <c r="AL123" s="344"/>
      <c r="AM123" s="344"/>
      <c r="AN123" s="344"/>
      <c r="AO123" s="658"/>
      <c r="AP123" s="658"/>
      <c r="AQ123" s="658"/>
      <c r="AR123" s="658"/>
      <c r="AS123" s="658"/>
      <c r="AT123" s="658"/>
      <c r="AU123" s="658"/>
      <c r="AV123" s="658"/>
      <c r="AW123" s="658"/>
    </row>
    <row r="124" spans="1:49" ht="12" customHeight="1">
      <c r="A124" s="139"/>
      <c r="B124" s="148"/>
      <c r="C124" s="2733"/>
      <c r="D124" s="2733"/>
      <c r="E124" s="139"/>
      <c r="F124" s="139"/>
      <c r="G124" s="139"/>
      <c r="H124" s="139"/>
      <c r="I124" s="139"/>
      <c r="J124" s="150"/>
      <c r="K124" s="150"/>
      <c r="L124" s="150"/>
      <c r="M124" s="150"/>
      <c r="N124" s="2836"/>
      <c r="O124" s="343"/>
      <c r="P124" s="3256"/>
      <c r="Q124" s="962"/>
      <c r="R124" s="343"/>
      <c r="S124" s="688"/>
      <c r="T124" s="688"/>
      <c r="U124" s="688"/>
      <c r="V124" s="688"/>
      <c r="W124" s="689"/>
      <c r="X124" s="343"/>
      <c r="Y124" s="344"/>
      <c r="Z124" s="689"/>
      <c r="AA124" s="344"/>
      <c r="AB124" s="689"/>
      <c r="AC124" s="344"/>
      <c r="AD124" s="689"/>
      <c r="AE124" s="344"/>
      <c r="AF124" s="4232"/>
      <c r="AG124" s="344"/>
      <c r="AH124" s="689"/>
      <c r="AI124" s="688"/>
      <c r="AJ124" s="688"/>
      <c r="AK124" s="688"/>
      <c r="AL124" s="343"/>
      <c r="AM124" s="343"/>
      <c r="AN124" s="343"/>
    </row>
    <row r="125" spans="1:49" s="214" customFormat="1" ht="12" customHeight="1" thickBot="1">
      <c r="A125"/>
      <c r="B125" s="1"/>
      <c r="C125" s="12"/>
      <c r="D125" s="12"/>
      <c r="E125"/>
      <c r="F125"/>
      <c r="G125"/>
      <c r="H125"/>
      <c r="I125"/>
      <c r="J125" s="4"/>
      <c r="K125"/>
      <c r="L125" s="4350"/>
      <c r="M125"/>
      <c r="N125" s="987"/>
      <c r="O125" s="3"/>
      <c r="P125" s="318"/>
      <c r="Q125" s="329"/>
      <c r="R125" s="343"/>
      <c r="S125" s="688"/>
      <c r="T125" s="688"/>
      <c r="U125" s="688"/>
      <c r="V125" s="688"/>
      <c r="W125" s="689"/>
      <c r="X125" s="343"/>
      <c r="Y125" s="344"/>
      <c r="Z125" s="689"/>
      <c r="AA125" s="344"/>
      <c r="AB125" s="689"/>
      <c r="AC125" s="344"/>
      <c r="AD125" s="689"/>
      <c r="AE125" s="344"/>
      <c r="AF125" s="4232"/>
      <c r="AG125" s="344"/>
      <c r="AH125" s="689"/>
      <c r="AI125" s="688"/>
      <c r="AJ125" s="688"/>
      <c r="AK125" s="688"/>
      <c r="AL125" s="344"/>
      <c r="AM125" s="344"/>
      <c r="AN125" s="344"/>
      <c r="AO125" s="658"/>
      <c r="AP125" s="658"/>
      <c r="AQ125" s="658"/>
      <c r="AR125" s="658"/>
      <c r="AS125" s="658"/>
      <c r="AT125" s="658"/>
      <c r="AU125" s="658"/>
      <c r="AV125" s="658"/>
      <c r="AW125" s="658"/>
    </row>
    <row r="126" spans="1:49" ht="14.25" customHeight="1" thickTop="1" thickBot="1">
      <c r="B126" s="1"/>
      <c r="C126" s="7255" t="s">
        <v>4440</v>
      </c>
      <c r="D126" s="8101"/>
      <c r="E126" s="8101"/>
      <c r="F126" s="8101"/>
      <c r="G126" s="8102"/>
      <c r="H126" s="4"/>
      <c r="I126" s="4"/>
      <c r="K126" s="4351" t="s">
        <v>4441</v>
      </c>
      <c r="L126" s="4351"/>
      <c r="M126" s="318" t="s">
        <v>4442</v>
      </c>
      <c r="N126" s="4351"/>
      <c r="O126" s="3"/>
      <c r="P126" s="318"/>
      <c r="Q126" s="329"/>
      <c r="R126" s="343"/>
      <c r="S126" s="688"/>
      <c r="T126" s="688"/>
      <c r="U126" s="688"/>
      <c r="V126" s="688"/>
      <c r="W126" s="689"/>
      <c r="X126" s="689"/>
      <c r="Y126" s="689"/>
      <c r="Z126" s="689"/>
      <c r="AA126" s="689"/>
      <c r="AB126" s="689"/>
      <c r="AC126" s="689"/>
      <c r="AD126" s="689"/>
      <c r="AE126" s="689"/>
      <c r="AF126" s="689"/>
      <c r="AG126" s="689"/>
      <c r="AH126" s="689"/>
      <c r="AI126" s="688"/>
      <c r="AJ126" s="688"/>
      <c r="AK126" s="688"/>
      <c r="AL126" s="343"/>
      <c r="AM126" s="343"/>
      <c r="AN126" s="343"/>
    </row>
    <row r="127" spans="1:49" ht="12" customHeight="1" thickTop="1" thickBot="1">
      <c r="B127" s="1"/>
      <c r="C127" s="12"/>
      <c r="D127" s="12"/>
      <c r="G127" s="4"/>
      <c r="H127" s="4"/>
      <c r="I127" s="4"/>
      <c r="K127" s="304"/>
      <c r="L127" s="987"/>
      <c r="M127" s="987"/>
      <c r="N127" s="987"/>
      <c r="O127" s="3"/>
      <c r="P127" s="318"/>
      <c r="Q127" s="329"/>
      <c r="R127" s="3"/>
      <c r="S127" s="688"/>
      <c r="T127" s="688"/>
      <c r="U127" s="688"/>
      <c r="V127" s="688"/>
      <c r="W127" s="689"/>
      <c r="X127" s="689"/>
      <c r="Y127" s="689"/>
      <c r="Z127" s="689"/>
      <c r="AA127" s="689"/>
      <c r="AB127" s="689"/>
      <c r="AC127" s="689"/>
      <c r="AD127" s="689"/>
      <c r="AE127" s="689"/>
      <c r="AF127" s="689"/>
      <c r="AG127" s="689"/>
      <c r="AH127" s="689"/>
      <c r="AI127" s="688"/>
      <c r="AJ127" s="688"/>
      <c r="AK127" s="688"/>
      <c r="AL127" s="688"/>
      <c r="AM127" s="688"/>
      <c r="AN127" s="688"/>
    </row>
    <row r="128" spans="1:49" s="80" customFormat="1" ht="15" customHeight="1" thickTop="1" thickBot="1">
      <c r="A128"/>
      <c r="B128" s="1"/>
      <c r="C128" s="7255" t="s">
        <v>4443</v>
      </c>
      <c r="D128" s="8101"/>
      <c r="E128" s="8101"/>
      <c r="F128" s="8101"/>
      <c r="G128" s="8102"/>
      <c r="H128" s="4"/>
      <c r="I128" s="4"/>
      <c r="J128"/>
      <c r="K128" s="318" t="s">
        <v>4444</v>
      </c>
      <c r="L128" s="987"/>
      <c r="M128" s="987" t="s">
        <v>4445</v>
      </c>
      <c r="N128" s="987"/>
      <c r="O128" s="3"/>
      <c r="P128" s="318"/>
      <c r="Q128" s="329"/>
      <c r="R128" s="3"/>
      <c r="S128" s="688"/>
      <c r="T128" s="688"/>
      <c r="U128" s="688"/>
      <c r="V128" s="688"/>
      <c r="W128" s="689"/>
      <c r="X128" s="689"/>
      <c r="Y128" s="689"/>
      <c r="Z128" s="689"/>
      <c r="AA128" s="689"/>
      <c r="AB128" s="689"/>
      <c r="AC128" s="689"/>
      <c r="AD128" s="689"/>
      <c r="AE128" s="689"/>
      <c r="AF128" s="689"/>
      <c r="AG128" s="689"/>
      <c r="AH128" s="329"/>
      <c r="AI128" s="329"/>
      <c r="AJ128" s="329"/>
      <c r="AK128" s="329"/>
      <c r="AL128" s="688"/>
      <c r="AM128" s="688"/>
      <c r="AN128" s="688"/>
      <c r="AO128" s="658"/>
      <c r="AP128" s="658"/>
      <c r="AQ128" s="658"/>
      <c r="AR128" s="658"/>
      <c r="AS128" s="658"/>
      <c r="AT128" s="658"/>
      <c r="AU128" s="658"/>
      <c r="AV128" s="658"/>
      <c r="AW128" s="658"/>
    </row>
    <row r="129" spans="1:49" s="80" customFormat="1" ht="15" customHeight="1" thickTop="1">
      <c r="A129"/>
      <c r="B129"/>
      <c r="C129"/>
      <c r="D129"/>
      <c r="E129"/>
      <c r="F129"/>
      <c r="G129"/>
      <c r="H129"/>
      <c r="I129"/>
      <c r="J129"/>
      <c r="K129"/>
      <c r="L129"/>
      <c r="M129"/>
      <c r="N129"/>
      <c r="O129" s="3"/>
      <c r="P129" s="318"/>
      <c r="Q129" s="329"/>
      <c r="R129" s="3"/>
      <c r="S129" s="688"/>
      <c r="T129" s="688"/>
      <c r="U129" s="688"/>
      <c r="V129" s="688"/>
      <c r="W129" s="688"/>
      <c r="X129" s="689"/>
      <c r="Y129" s="689"/>
      <c r="Z129" s="689"/>
      <c r="AA129" s="689"/>
      <c r="AB129" s="689"/>
      <c r="AC129" s="689"/>
      <c r="AD129" s="689"/>
      <c r="AE129" s="689"/>
      <c r="AF129" s="689"/>
      <c r="AG129" s="689"/>
      <c r="AH129" s="329"/>
      <c r="AI129" s="329"/>
      <c r="AJ129" s="329"/>
      <c r="AK129" s="329"/>
      <c r="AL129" s="688"/>
      <c r="AM129" s="688"/>
      <c r="AN129" s="688"/>
      <c r="AO129" s="658"/>
      <c r="AP129" s="658"/>
      <c r="AQ129" s="658"/>
      <c r="AR129" s="658"/>
      <c r="AS129" s="658"/>
      <c r="AT129" s="658"/>
      <c r="AU129" s="658"/>
      <c r="AV129" s="658"/>
      <c r="AW129" s="658"/>
    </row>
    <row r="130" spans="1:49" s="80" customFormat="1" ht="24" customHeight="1">
      <c r="A130"/>
      <c r="B130"/>
      <c r="C130"/>
      <c r="D130"/>
      <c r="E130"/>
      <c r="F130"/>
      <c r="G130"/>
      <c r="H130" s="405"/>
      <c r="I130" s="406"/>
      <c r="J130" s="406"/>
      <c r="K130" s="406"/>
      <c r="L130" s="406"/>
      <c r="M130" s="406"/>
      <c r="N130" s="406"/>
      <c r="O130" s="4352"/>
      <c r="P130" s="318"/>
      <c r="Q130" s="329"/>
      <c r="R130" s="3"/>
      <c r="S130" s="688"/>
      <c r="T130" s="688"/>
      <c r="U130" s="688"/>
      <c r="V130" s="688"/>
      <c r="W130" s="688"/>
      <c r="X130" s="3"/>
      <c r="Y130" s="329"/>
      <c r="Z130" s="688"/>
      <c r="AA130" s="329"/>
      <c r="AB130" s="688"/>
      <c r="AC130" s="329"/>
      <c r="AD130" s="688"/>
      <c r="AE130" s="329"/>
      <c r="AF130" s="4354"/>
      <c r="AG130" s="329"/>
      <c r="AH130" s="329"/>
      <c r="AI130" s="329"/>
      <c r="AJ130" s="329"/>
      <c r="AK130" s="329"/>
      <c r="AL130" s="688"/>
      <c r="AM130" s="688"/>
      <c r="AN130" s="688"/>
      <c r="AO130" s="658"/>
      <c r="AP130" s="658"/>
      <c r="AQ130" s="658"/>
      <c r="AR130" s="658"/>
      <c r="AS130" s="658"/>
      <c r="AT130" s="658"/>
      <c r="AU130" s="658"/>
      <c r="AV130" s="658"/>
      <c r="AW130" s="658"/>
    </row>
    <row r="131" spans="1:49" s="80" customFormat="1" ht="15" customHeight="1">
      <c r="A131"/>
      <c r="B131"/>
      <c r="C131"/>
      <c r="D131"/>
      <c r="E131"/>
      <c r="F131"/>
      <c r="G131"/>
      <c r="H131" s="566"/>
      <c r="I131" s="253"/>
      <c r="J131" s="253"/>
      <c r="K131" s="4353" t="s">
        <v>224</v>
      </c>
      <c r="L131" s="253"/>
      <c r="M131" s="1060" t="s">
        <v>4446</v>
      </c>
      <c r="N131" s="253"/>
      <c r="O131" s="1966"/>
      <c r="P131" s="318"/>
      <c r="Q131" s="329"/>
      <c r="R131" s="3"/>
      <c r="S131" s="688"/>
      <c r="T131" s="688"/>
      <c r="U131" s="688"/>
      <c r="V131" s="688"/>
      <c r="W131" s="688"/>
      <c r="X131" s="3"/>
      <c r="Y131" s="329"/>
      <c r="Z131" s="688"/>
      <c r="AA131" s="329"/>
      <c r="AB131" s="688"/>
      <c r="AC131" s="329"/>
      <c r="AD131" s="688"/>
      <c r="AE131" s="329"/>
      <c r="AF131" s="4354"/>
      <c r="AG131" s="329"/>
      <c r="AH131" s="329"/>
      <c r="AI131" s="329"/>
      <c r="AJ131" s="329"/>
      <c r="AK131" s="329"/>
      <c r="AL131" s="329"/>
      <c r="AM131" s="329"/>
      <c r="AN131" s="329"/>
      <c r="AO131" s="658"/>
      <c r="AP131" s="658"/>
      <c r="AQ131" s="658"/>
      <c r="AR131" s="658"/>
      <c r="AS131" s="658"/>
      <c r="AT131" s="658"/>
      <c r="AU131" s="658"/>
      <c r="AV131" s="658"/>
      <c r="AW131" s="658"/>
    </row>
    <row r="132" spans="1:49" s="80" customFormat="1" ht="8.25" customHeight="1">
      <c r="A132"/>
      <c r="B132"/>
      <c r="C132"/>
      <c r="D132"/>
      <c r="E132"/>
      <c r="F132"/>
      <c r="G132"/>
      <c r="H132" s="566"/>
      <c r="I132" s="253"/>
      <c r="J132" s="253"/>
      <c r="K132" s="253"/>
      <c r="L132" s="253"/>
      <c r="M132" s="1060"/>
      <c r="N132" s="253"/>
      <c r="O132" s="1966"/>
      <c r="P132" s="318"/>
      <c r="Q132" s="329"/>
      <c r="R132" s="3"/>
      <c r="S132" s="688"/>
      <c r="T132" s="688"/>
      <c r="U132" s="688"/>
      <c r="V132" s="688"/>
      <c r="W132" s="688"/>
      <c r="X132" s="3"/>
      <c r="Y132" s="329"/>
      <c r="Z132" s="688"/>
      <c r="AA132" s="329"/>
      <c r="AB132" s="688"/>
      <c r="AC132" s="329"/>
      <c r="AD132" s="688"/>
      <c r="AE132" s="329"/>
      <c r="AF132" s="4354"/>
      <c r="AG132" s="329"/>
      <c r="AH132" s="329"/>
      <c r="AI132" s="329"/>
      <c r="AJ132" s="329"/>
      <c r="AK132" s="329"/>
      <c r="AL132" s="329"/>
      <c r="AM132" s="329"/>
      <c r="AN132" s="329"/>
      <c r="AO132" s="658"/>
      <c r="AP132" s="658"/>
      <c r="AQ132" s="658"/>
      <c r="AR132" s="658"/>
      <c r="AS132" s="658"/>
      <c r="AT132" s="658"/>
      <c r="AU132" s="658"/>
      <c r="AV132" s="658"/>
      <c r="AW132" s="658"/>
    </row>
    <row r="133" spans="1:49" s="80" customFormat="1" ht="17.25" customHeight="1">
      <c r="A133"/>
      <c r="B133"/>
      <c r="C133"/>
      <c r="D133"/>
      <c r="E133"/>
      <c r="F133" s="329"/>
      <c r="G133"/>
      <c r="H133" s="408"/>
      <c r="I133" s="344" t="s">
        <v>4447</v>
      </c>
      <c r="J133" s="1061"/>
      <c r="K133" s="4355">
        <f>ROUND(SUM(M38,M98),0)</f>
        <v>0</v>
      </c>
      <c r="L133" s="253"/>
      <c r="M133" s="759" t="s">
        <v>4448</v>
      </c>
      <c r="N133" s="253"/>
      <c r="O133" s="1966"/>
      <c r="P133" s="318"/>
      <c r="Q133" s="329"/>
      <c r="R133" s="3"/>
      <c r="S133" s="688"/>
      <c r="T133" s="688"/>
      <c r="U133" s="688"/>
      <c r="V133" s="688"/>
      <c r="W133" s="688"/>
      <c r="X133" s="3"/>
      <c r="Y133" s="329"/>
      <c r="Z133" s="688"/>
      <c r="AA133" s="329"/>
      <c r="AB133" s="688"/>
      <c r="AC133" s="329"/>
      <c r="AD133" s="688"/>
      <c r="AE133" s="329"/>
      <c r="AF133" s="4354"/>
      <c r="AG133" s="329"/>
      <c r="AH133" s="329"/>
      <c r="AI133" s="329"/>
      <c r="AJ133" s="329"/>
      <c r="AK133" s="329"/>
      <c r="AL133" s="329"/>
      <c r="AM133" s="329"/>
      <c r="AN133" s="329"/>
      <c r="AO133" s="658"/>
      <c r="AP133" s="658"/>
      <c r="AQ133" s="658"/>
      <c r="AR133" s="658"/>
      <c r="AS133" s="658"/>
      <c r="AT133" s="658"/>
      <c r="AU133" s="658"/>
      <c r="AV133" s="658"/>
      <c r="AW133" s="658"/>
    </row>
    <row r="134" spans="1:49" s="80" customFormat="1" ht="12.75" customHeight="1">
      <c r="A134"/>
      <c r="B134"/>
      <c r="C134"/>
      <c r="D134"/>
      <c r="E134"/>
      <c r="F134"/>
      <c r="G134"/>
      <c r="H134" s="408"/>
      <c r="I134" s="253"/>
      <c r="J134" s="253"/>
      <c r="K134" s="4356" t="s">
        <v>4441</v>
      </c>
      <c r="L134" s="253"/>
      <c r="M134" s="759"/>
      <c r="N134" s="253"/>
      <c r="O134" s="1966"/>
      <c r="P134" s="318"/>
      <c r="Q134" s="329"/>
      <c r="R134" s="3"/>
      <c r="S134" s="688"/>
      <c r="T134" s="688"/>
      <c r="U134" s="688"/>
      <c r="V134" s="688"/>
      <c r="W134" s="688"/>
      <c r="X134" s="3"/>
      <c r="Y134" s="329"/>
      <c r="Z134" s="688"/>
      <c r="AA134" s="329"/>
      <c r="AB134" s="688"/>
      <c r="AC134" s="329"/>
      <c r="AD134" s="688"/>
      <c r="AE134" s="329"/>
      <c r="AF134" s="4354"/>
      <c r="AG134" s="329"/>
      <c r="AH134" s="329"/>
      <c r="AI134" s="329"/>
      <c r="AJ134" s="329"/>
      <c r="AK134" s="329"/>
      <c r="AL134" s="329"/>
      <c r="AM134" s="329"/>
      <c r="AN134" s="329"/>
      <c r="AO134" s="658"/>
      <c r="AP134" s="658"/>
      <c r="AQ134" s="658"/>
      <c r="AR134" s="658"/>
      <c r="AS134" s="658"/>
      <c r="AT134" s="658"/>
      <c r="AU134" s="658"/>
      <c r="AV134" s="658"/>
      <c r="AW134" s="658"/>
    </row>
    <row r="135" spans="1:49" s="80" customFormat="1" ht="12.75" customHeight="1">
      <c r="A135"/>
      <c r="B135"/>
      <c r="C135"/>
      <c r="D135"/>
      <c r="E135"/>
      <c r="F135"/>
      <c r="G135"/>
      <c r="H135" s="408"/>
      <c r="I135" s="253"/>
      <c r="J135" s="253"/>
      <c r="K135" s="253"/>
      <c r="L135" s="253"/>
      <c r="M135" s="759"/>
      <c r="N135" s="253"/>
      <c r="O135" s="1966"/>
      <c r="P135" s="318"/>
      <c r="Q135" s="329"/>
      <c r="R135" s="3"/>
      <c r="S135" s="688"/>
      <c r="T135" s="688"/>
      <c r="U135" s="688"/>
      <c r="V135" s="688"/>
      <c r="W135" s="688"/>
      <c r="X135" s="3"/>
      <c r="Y135" s="329"/>
      <c r="Z135" s="688"/>
      <c r="AA135" s="329"/>
      <c r="AB135" s="688"/>
      <c r="AC135" s="329"/>
      <c r="AD135" s="688"/>
      <c r="AE135" s="329"/>
      <c r="AF135" s="4354"/>
      <c r="AG135" s="329"/>
      <c r="AH135" s="329"/>
      <c r="AI135" s="329"/>
      <c r="AJ135" s="329"/>
      <c r="AK135" s="329"/>
      <c r="AL135" s="329"/>
      <c r="AM135" s="329"/>
      <c r="AN135" s="329"/>
      <c r="AO135" s="658"/>
      <c r="AP135" s="658"/>
      <c r="AQ135" s="658"/>
      <c r="AR135" s="658"/>
      <c r="AS135" s="658"/>
      <c r="AT135" s="658"/>
      <c r="AU135" s="658"/>
      <c r="AV135" s="658"/>
      <c r="AW135" s="658"/>
    </row>
    <row r="136" spans="1:49" s="80" customFormat="1" ht="12.75" customHeight="1">
      <c r="A136"/>
      <c r="B136"/>
      <c r="C136"/>
      <c r="D136"/>
      <c r="E136"/>
      <c r="F136"/>
      <c r="G136"/>
      <c r="H136" s="408"/>
      <c r="I136" s="344" t="s">
        <v>4447</v>
      </c>
      <c r="J136" s="1061"/>
      <c r="K136" s="4355">
        <f>ROUND(SUM(M49,M109),0)</f>
        <v>0</v>
      </c>
      <c r="L136" s="253"/>
      <c r="M136" s="759" t="s">
        <v>4449</v>
      </c>
      <c r="N136" s="253"/>
      <c r="O136" s="1966"/>
      <c r="P136" s="318"/>
      <c r="Q136" s="329"/>
      <c r="R136" s="3"/>
      <c r="S136" s="688"/>
      <c r="T136" s="688"/>
      <c r="U136" s="688"/>
      <c r="V136" s="688"/>
      <c r="W136" s="688"/>
      <c r="X136" s="3"/>
      <c r="Y136" s="329"/>
      <c r="Z136" s="688"/>
      <c r="AA136" s="329"/>
      <c r="AB136" s="688"/>
      <c r="AC136" s="329"/>
      <c r="AD136" s="688"/>
      <c r="AE136" s="329"/>
      <c r="AF136" s="4354"/>
      <c r="AG136" s="329"/>
      <c r="AH136" s="329"/>
      <c r="AI136" s="329"/>
      <c r="AJ136" s="329"/>
      <c r="AK136" s="329"/>
      <c r="AL136" s="329"/>
      <c r="AM136" s="329"/>
      <c r="AN136" s="329"/>
      <c r="AO136" s="658"/>
      <c r="AP136" s="658"/>
      <c r="AQ136" s="658"/>
      <c r="AR136" s="658"/>
      <c r="AS136" s="658"/>
      <c r="AT136" s="658"/>
      <c r="AU136" s="658"/>
      <c r="AV136" s="658"/>
      <c r="AW136" s="658"/>
    </row>
    <row r="137" spans="1:49" s="80" customFormat="1" ht="12.75" customHeight="1">
      <c r="A137" s="329"/>
      <c r="B137" s="329"/>
      <c r="C137" s="329"/>
      <c r="D137" s="329"/>
      <c r="E137" s="329"/>
      <c r="F137" s="329"/>
      <c r="G137" s="329"/>
      <c r="H137" s="566"/>
      <c r="I137" s="344"/>
      <c r="J137" s="344"/>
      <c r="K137" s="4356" t="s">
        <v>4442</v>
      </c>
      <c r="L137" s="253"/>
      <c r="M137" s="759"/>
      <c r="N137" s="4357"/>
      <c r="O137" s="567"/>
      <c r="P137" s="318"/>
      <c r="Q137" s="329"/>
      <c r="R137" s="3"/>
      <c r="S137" s="688"/>
      <c r="T137" s="688"/>
      <c r="U137" s="688"/>
      <c r="V137" s="688"/>
      <c r="W137" s="314"/>
      <c r="X137" s="3"/>
      <c r="Y137" s="329"/>
      <c r="Z137" s="688"/>
      <c r="AA137" s="329"/>
      <c r="AB137" s="688"/>
      <c r="AC137" s="329"/>
      <c r="AD137" s="688"/>
      <c r="AE137" s="329"/>
      <c r="AF137" s="4354"/>
      <c r="AG137" s="329"/>
      <c r="AH137" s="329"/>
      <c r="AI137" s="329"/>
      <c r="AJ137" s="329"/>
      <c r="AK137" s="329"/>
      <c r="AL137" s="329"/>
      <c r="AM137" s="329"/>
      <c r="AN137" s="329"/>
      <c r="AO137" s="658"/>
      <c r="AP137" s="658"/>
      <c r="AQ137" s="658"/>
      <c r="AR137" s="658"/>
      <c r="AS137" s="658"/>
      <c r="AT137" s="658"/>
      <c r="AU137" s="658"/>
      <c r="AV137" s="658"/>
      <c r="AW137" s="658"/>
    </row>
    <row r="138" spans="1:49" s="80" customFormat="1" ht="12.75" customHeight="1">
      <c r="A138" s="329"/>
      <c r="B138" s="329"/>
      <c r="C138" s="329"/>
      <c r="D138" s="329"/>
      <c r="E138" s="329"/>
      <c r="F138" s="329"/>
      <c r="G138" s="329"/>
      <c r="H138" s="566"/>
      <c r="I138" s="344"/>
      <c r="J138" s="344"/>
      <c r="K138" s="253"/>
      <c r="L138" s="253"/>
      <c r="M138" s="759"/>
      <c r="N138" s="730"/>
      <c r="O138" s="567"/>
      <c r="P138" s="318"/>
      <c r="Q138" s="329"/>
      <c r="R138" s="3"/>
      <c r="S138" s="688"/>
      <c r="T138" s="688"/>
      <c r="U138" s="688"/>
      <c r="V138" s="688"/>
      <c r="W138" s="314"/>
      <c r="X138" s="3"/>
      <c r="Y138" s="329"/>
      <c r="Z138" s="688"/>
      <c r="AA138" s="329"/>
      <c r="AB138" s="688"/>
      <c r="AC138" s="329"/>
      <c r="AD138" s="688"/>
      <c r="AE138" s="329"/>
      <c r="AF138" s="4354"/>
      <c r="AG138" s="329"/>
      <c r="AH138" s="329"/>
      <c r="AI138" s="329"/>
      <c r="AJ138" s="329"/>
      <c r="AK138" s="329"/>
      <c r="AL138" s="329"/>
      <c r="AM138" s="329"/>
      <c r="AN138" s="329"/>
      <c r="AO138" s="658"/>
      <c r="AP138" s="658"/>
      <c r="AQ138" s="658"/>
      <c r="AR138" s="658"/>
      <c r="AS138" s="658"/>
      <c r="AT138" s="658"/>
      <c r="AU138" s="658"/>
      <c r="AV138" s="658"/>
      <c r="AW138" s="658"/>
    </row>
    <row r="139" spans="1:49" s="80" customFormat="1" ht="12.75" customHeight="1">
      <c r="A139" s="329"/>
      <c r="B139" s="329"/>
      <c r="C139" s="329"/>
      <c r="D139" s="329"/>
      <c r="E139" s="329"/>
      <c r="F139" s="329"/>
      <c r="G139" s="329"/>
      <c r="H139" s="566"/>
      <c r="I139" s="344" t="s">
        <v>4447</v>
      </c>
      <c r="J139" s="1061"/>
      <c r="K139" s="4355">
        <f>SUM(M54,M114)</f>
        <v>0</v>
      </c>
      <c r="L139" s="253"/>
      <c r="M139" s="759" t="s">
        <v>4450</v>
      </c>
      <c r="N139" s="344"/>
      <c r="O139" s="567"/>
      <c r="P139" s="318"/>
      <c r="Q139" s="329"/>
      <c r="R139" s="329"/>
      <c r="S139" s="688"/>
      <c r="T139" s="688"/>
      <c r="U139" s="688"/>
      <c r="V139" s="688"/>
      <c r="W139" s="314"/>
      <c r="X139" s="3"/>
      <c r="Y139" s="329"/>
      <c r="Z139" s="688"/>
      <c r="AA139" s="329"/>
      <c r="AB139" s="688"/>
      <c r="AC139" s="329"/>
      <c r="AD139" s="688"/>
      <c r="AE139" s="329"/>
      <c r="AF139" s="4354"/>
      <c r="AG139" s="329"/>
      <c r="AH139" s="329"/>
      <c r="AI139" s="329"/>
      <c r="AJ139" s="329"/>
      <c r="AK139" s="329"/>
      <c r="AL139" s="329"/>
      <c r="AM139" s="329"/>
      <c r="AN139" s="329"/>
      <c r="AO139" s="658"/>
      <c r="AP139" s="658"/>
      <c r="AQ139" s="658"/>
      <c r="AR139" s="658"/>
      <c r="AS139" s="658"/>
      <c r="AT139" s="658"/>
      <c r="AU139" s="658"/>
      <c r="AV139" s="658"/>
      <c r="AW139" s="658"/>
    </row>
    <row r="140" spans="1:49" s="80" customFormat="1" ht="12.75" customHeight="1">
      <c r="A140" s="329"/>
      <c r="B140" s="329"/>
      <c r="C140" s="329"/>
      <c r="D140" s="329"/>
      <c r="E140" s="329"/>
      <c r="F140" s="329"/>
      <c r="G140" s="329"/>
      <c r="H140" s="566"/>
      <c r="I140" s="344"/>
      <c r="J140" s="344"/>
      <c r="K140" s="4356" t="s">
        <v>4451</v>
      </c>
      <c r="L140" s="253"/>
      <c r="M140" s="759"/>
      <c r="N140" s="344"/>
      <c r="O140" s="567"/>
      <c r="P140" s="318"/>
      <c r="Q140" s="329"/>
      <c r="R140" s="329"/>
      <c r="S140" s="688"/>
      <c r="T140" s="688"/>
      <c r="U140" s="688"/>
      <c r="V140" s="688"/>
      <c r="W140" s="314"/>
      <c r="X140" s="3"/>
      <c r="Y140" s="329"/>
      <c r="Z140" s="688"/>
      <c r="AA140" s="329"/>
      <c r="AB140" s="688"/>
      <c r="AC140" s="329"/>
      <c r="AD140" s="688"/>
      <c r="AE140" s="329"/>
      <c r="AF140" s="4354"/>
      <c r="AG140" s="329"/>
      <c r="AH140" s="329"/>
      <c r="AI140" s="329"/>
      <c r="AJ140" s="329"/>
      <c r="AK140" s="329"/>
      <c r="AL140" s="329"/>
      <c r="AM140" s="329"/>
      <c r="AN140" s="329"/>
      <c r="AO140" s="658"/>
      <c r="AP140" s="658"/>
      <c r="AQ140" s="658"/>
      <c r="AR140" s="658"/>
      <c r="AS140" s="658"/>
      <c r="AT140" s="658"/>
      <c r="AU140" s="658"/>
      <c r="AV140" s="658"/>
      <c r="AW140" s="658"/>
    </row>
    <row r="141" spans="1:49" s="80" customFormat="1" ht="12.75" customHeight="1">
      <c r="A141" s="329"/>
      <c r="B141" s="329"/>
      <c r="C141" s="329"/>
      <c r="D141" s="329"/>
      <c r="E141" s="329"/>
      <c r="F141" s="329"/>
      <c r="G141" s="329"/>
      <c r="H141" s="566"/>
      <c r="I141" s="344"/>
      <c r="J141" s="344"/>
      <c r="K141" s="4356"/>
      <c r="L141" s="253"/>
      <c r="M141" s="759"/>
      <c r="N141" s="344"/>
      <c r="O141" s="567"/>
      <c r="P141" s="318"/>
      <c r="Q141" s="329"/>
      <c r="R141" s="329"/>
      <c r="S141" s="314"/>
      <c r="T141" s="314"/>
      <c r="U141" s="314"/>
      <c r="V141" s="314"/>
      <c r="W141" s="314"/>
      <c r="X141" s="329"/>
      <c r="Y141" s="329"/>
      <c r="Z141" s="314"/>
      <c r="AA141" s="329"/>
      <c r="AB141" s="314"/>
      <c r="AC141" s="329"/>
      <c r="AD141" s="314"/>
      <c r="AE141" s="329"/>
      <c r="AF141" s="4354"/>
      <c r="AG141" s="329"/>
      <c r="AH141" s="329"/>
      <c r="AI141" s="329"/>
      <c r="AJ141" s="329"/>
      <c r="AK141" s="329"/>
      <c r="AL141" s="329"/>
      <c r="AM141" s="329"/>
      <c r="AN141" s="329"/>
      <c r="AO141" s="658"/>
      <c r="AP141" s="658"/>
      <c r="AQ141" s="658"/>
      <c r="AR141" s="658"/>
      <c r="AS141" s="658"/>
      <c r="AT141" s="658"/>
      <c r="AU141" s="658"/>
      <c r="AV141" s="658"/>
      <c r="AW141" s="658"/>
    </row>
    <row r="142" spans="1:49" s="329" customFormat="1">
      <c r="A142"/>
      <c r="B142"/>
      <c r="C142"/>
      <c r="D142"/>
      <c r="E142"/>
      <c r="F142"/>
      <c r="G142"/>
      <c r="H142" s="408"/>
      <c r="I142" s="344" t="s">
        <v>4447</v>
      </c>
      <c r="J142" s="1061"/>
      <c r="K142" s="4355">
        <f>ROUND(SUM(M60,M120),0)</f>
        <v>0</v>
      </c>
      <c r="L142" s="253"/>
      <c r="M142" s="759" t="s">
        <v>4449</v>
      </c>
      <c r="N142" s="253"/>
      <c r="O142" s="1966"/>
      <c r="P142" s="318"/>
      <c r="S142" s="314"/>
      <c r="T142" s="314"/>
      <c r="U142" s="314"/>
      <c r="V142" s="314"/>
      <c r="W142" s="314"/>
      <c r="Z142" s="314"/>
      <c r="AB142" s="314"/>
      <c r="AD142" s="314"/>
      <c r="AF142" s="4354"/>
      <c r="AO142" s="664"/>
      <c r="AP142" s="664"/>
      <c r="AQ142" s="664"/>
      <c r="AR142" s="664"/>
      <c r="AS142" s="664"/>
      <c r="AT142" s="664"/>
      <c r="AU142" s="664"/>
      <c r="AV142" s="664"/>
      <c r="AW142" s="664"/>
    </row>
    <row r="143" spans="1:49" s="329" customFormat="1">
      <c r="H143" s="566"/>
      <c r="I143" s="344"/>
      <c r="J143" s="344"/>
      <c r="K143" s="4356" t="s">
        <v>2237</v>
      </c>
      <c r="L143" s="253"/>
      <c r="M143" s="759"/>
      <c r="N143" s="4357"/>
      <c r="O143" s="567"/>
      <c r="P143" s="318"/>
      <c r="S143" s="314"/>
      <c r="T143" s="314"/>
      <c r="U143" s="314"/>
      <c r="V143" s="314"/>
      <c r="W143" s="314"/>
      <c r="Z143" s="314"/>
      <c r="AB143" s="314"/>
      <c r="AD143" s="314"/>
      <c r="AF143" s="4354"/>
      <c r="AO143" s="664"/>
      <c r="AP143" s="664"/>
      <c r="AQ143" s="664"/>
      <c r="AR143" s="664"/>
      <c r="AS143" s="664"/>
      <c r="AT143" s="664"/>
      <c r="AU143" s="664"/>
      <c r="AV143" s="664"/>
      <c r="AW143" s="664"/>
    </row>
    <row r="144" spans="1:49" s="329" customFormat="1" ht="12.75" customHeight="1">
      <c r="H144" s="566"/>
      <c r="I144" s="344"/>
      <c r="J144" s="344"/>
      <c r="K144" s="253"/>
      <c r="L144" s="253"/>
      <c r="M144" s="759"/>
      <c r="N144" s="730"/>
      <c r="O144" s="567"/>
      <c r="P144" s="318"/>
      <c r="R144" s="3"/>
      <c r="S144" s="314"/>
      <c r="T144" s="314"/>
      <c r="U144" s="314"/>
      <c r="V144" s="314"/>
      <c r="W144" s="314"/>
      <c r="Z144" s="314"/>
      <c r="AB144" s="314"/>
      <c r="AD144" s="314"/>
      <c r="AF144" s="4354"/>
      <c r="AO144" s="664"/>
      <c r="AP144" s="664"/>
      <c r="AQ144" s="664"/>
      <c r="AR144" s="664"/>
      <c r="AS144" s="664"/>
      <c r="AT144" s="664"/>
      <c r="AU144" s="664"/>
      <c r="AV144" s="664"/>
      <c r="AW144" s="664"/>
    </row>
    <row r="145" spans="1:49" s="80" customFormat="1" ht="12.75" customHeight="1">
      <c r="A145" s="329"/>
      <c r="B145" s="329"/>
      <c r="C145" s="329"/>
      <c r="D145" s="329"/>
      <c r="E145" s="329"/>
      <c r="F145" s="329"/>
      <c r="G145" s="329"/>
      <c r="H145" s="566"/>
      <c r="I145" s="344" t="s">
        <v>4447</v>
      </c>
      <c r="J145" s="1061"/>
      <c r="K145" s="4355">
        <f>SUM(M62,M122)</f>
        <v>0</v>
      </c>
      <c r="L145" s="253"/>
      <c r="M145" s="759" t="s">
        <v>4452</v>
      </c>
      <c r="N145" s="344"/>
      <c r="O145" s="567"/>
      <c r="P145" s="318"/>
      <c r="Q145" s="329"/>
      <c r="R145" s="329"/>
      <c r="S145" s="688"/>
      <c r="T145" s="688"/>
      <c r="U145" s="688"/>
      <c r="V145" s="688"/>
      <c r="W145" s="314"/>
      <c r="X145" s="3"/>
      <c r="Y145" s="329"/>
      <c r="Z145" s="688"/>
      <c r="AA145" s="329"/>
      <c r="AB145" s="688"/>
      <c r="AC145" s="329"/>
      <c r="AD145" s="688"/>
      <c r="AE145" s="329"/>
      <c r="AF145" s="4354"/>
      <c r="AG145" s="329"/>
      <c r="AH145" s="329"/>
      <c r="AI145" s="329"/>
      <c r="AJ145" s="329"/>
      <c r="AK145" s="329"/>
      <c r="AL145" s="329"/>
      <c r="AM145" s="329"/>
      <c r="AN145" s="329"/>
      <c r="AO145" s="658"/>
      <c r="AP145" s="658"/>
      <c r="AQ145" s="658"/>
      <c r="AR145" s="658"/>
      <c r="AS145" s="658"/>
      <c r="AT145" s="658"/>
      <c r="AU145" s="658"/>
      <c r="AV145" s="658"/>
      <c r="AW145" s="658"/>
    </row>
    <row r="146" spans="1:49" s="80" customFormat="1" ht="12.75" customHeight="1">
      <c r="A146" s="329"/>
      <c r="B146" s="329"/>
      <c r="C146" s="329"/>
      <c r="D146" s="329"/>
      <c r="E146" s="329"/>
      <c r="F146" s="329"/>
      <c r="G146" s="329"/>
      <c r="H146" s="566"/>
      <c r="I146" s="344"/>
      <c r="J146" s="344"/>
      <c r="K146" s="730" t="s">
        <v>2369</v>
      </c>
      <c r="L146" s="253"/>
      <c r="M146" s="253"/>
      <c r="N146" s="344"/>
      <c r="O146" s="567"/>
      <c r="P146" s="318"/>
      <c r="Q146" s="329"/>
      <c r="R146" s="329"/>
      <c r="S146" s="688"/>
      <c r="T146" s="688"/>
      <c r="U146" s="688"/>
      <c r="V146" s="688"/>
      <c r="W146" s="314"/>
      <c r="X146" s="3"/>
      <c r="Y146" s="329"/>
      <c r="Z146" s="688"/>
      <c r="AA146" s="329"/>
      <c r="AB146" s="688"/>
      <c r="AC146" s="329"/>
      <c r="AD146" s="688"/>
      <c r="AE146" s="329"/>
      <c r="AF146" s="4354"/>
      <c r="AG146" s="329"/>
      <c r="AH146" s="329"/>
      <c r="AI146" s="329"/>
      <c r="AJ146" s="329"/>
      <c r="AK146" s="329"/>
      <c r="AL146" s="329"/>
      <c r="AM146" s="329"/>
      <c r="AN146" s="329"/>
      <c r="AO146" s="658"/>
      <c r="AP146" s="658"/>
      <c r="AQ146" s="658"/>
      <c r="AR146" s="658"/>
      <c r="AS146" s="658"/>
      <c r="AT146" s="658"/>
      <c r="AU146" s="658"/>
      <c r="AV146" s="658"/>
      <c r="AW146" s="658"/>
    </row>
    <row r="147" spans="1:49" s="80" customFormat="1" ht="12.75" customHeight="1">
      <c r="A147" s="329"/>
      <c r="B147" s="329"/>
      <c r="C147" s="329"/>
      <c r="D147" s="329"/>
      <c r="E147" s="329"/>
      <c r="F147" s="329"/>
      <c r="G147" s="329"/>
      <c r="H147" s="568"/>
      <c r="I147" s="569"/>
      <c r="J147" s="569"/>
      <c r="K147" s="4358"/>
      <c r="L147" s="413"/>
      <c r="M147" s="413"/>
      <c r="N147" s="569"/>
      <c r="O147" s="570"/>
      <c r="P147" s="318"/>
      <c r="Q147" s="329"/>
      <c r="R147" s="329"/>
      <c r="S147" s="314"/>
      <c r="T147" s="314"/>
      <c r="U147" s="314"/>
      <c r="V147" s="314"/>
      <c r="W147" s="314"/>
      <c r="X147" s="329"/>
      <c r="Y147" s="329"/>
      <c r="Z147" s="314"/>
      <c r="AA147" s="329"/>
      <c r="AB147" s="314"/>
      <c r="AC147" s="329"/>
      <c r="AD147" s="314"/>
      <c r="AE147" s="329"/>
      <c r="AF147" s="4354"/>
      <c r="AG147" s="329"/>
      <c r="AH147" s="329"/>
      <c r="AI147" s="329"/>
      <c r="AJ147" s="329"/>
      <c r="AK147" s="329"/>
      <c r="AL147" s="329"/>
      <c r="AM147" s="329"/>
      <c r="AN147" s="329"/>
      <c r="AO147" s="658"/>
      <c r="AP147" s="658"/>
      <c r="AQ147" s="658"/>
      <c r="AR147" s="658"/>
      <c r="AS147" s="658"/>
      <c r="AT147" s="658"/>
      <c r="AU147" s="658"/>
      <c r="AV147" s="658"/>
      <c r="AW147" s="658"/>
    </row>
    <row r="148" spans="1:49" s="329" customFormat="1">
      <c r="L148"/>
      <c r="M148"/>
      <c r="P148" s="318"/>
      <c r="S148" s="314"/>
      <c r="T148" s="314"/>
      <c r="U148" s="314"/>
      <c r="V148" s="314"/>
      <c r="W148" s="314"/>
      <c r="Z148" s="314"/>
      <c r="AB148" s="314"/>
      <c r="AD148" s="314"/>
      <c r="AF148" s="4354"/>
      <c r="AO148" s="664"/>
      <c r="AP148" s="664"/>
      <c r="AQ148" s="664"/>
      <c r="AR148" s="664"/>
      <c r="AS148" s="664"/>
      <c r="AT148" s="664"/>
      <c r="AU148" s="664"/>
      <c r="AV148" s="664"/>
      <c r="AW148" s="664"/>
    </row>
    <row r="149" spans="1:49" s="329" customFormat="1">
      <c r="P149" s="318"/>
      <c r="S149" s="314"/>
      <c r="T149" s="314"/>
      <c r="U149" s="314"/>
      <c r="V149" s="314"/>
      <c r="W149" s="314"/>
      <c r="Z149" s="314"/>
      <c r="AB149" s="314"/>
      <c r="AD149" s="314"/>
      <c r="AF149" s="4354"/>
      <c r="AO149" s="664"/>
      <c r="AP149" s="664"/>
      <c r="AQ149" s="664"/>
      <c r="AR149" s="664"/>
      <c r="AS149" s="664"/>
      <c r="AT149" s="664"/>
      <c r="AU149" s="664"/>
      <c r="AV149" s="664"/>
      <c r="AW149" s="664"/>
    </row>
    <row r="150" spans="1:49" s="329" customFormat="1" ht="12.75" customHeight="1">
      <c r="P150" s="314"/>
      <c r="S150" s="314"/>
      <c r="T150" s="314"/>
      <c r="U150" s="314"/>
      <c r="V150" s="314"/>
      <c r="W150" s="314"/>
      <c r="Z150" s="314"/>
      <c r="AB150" s="314"/>
      <c r="AD150" s="314"/>
      <c r="AF150" s="4354"/>
      <c r="AO150" s="664"/>
      <c r="AP150" s="664"/>
      <c r="AQ150" s="664"/>
      <c r="AR150" s="664"/>
      <c r="AS150" s="664"/>
      <c r="AT150" s="664"/>
      <c r="AU150" s="664"/>
      <c r="AV150" s="664"/>
      <c r="AW150" s="664"/>
    </row>
    <row r="151" spans="1:49" s="329" customFormat="1" ht="12.75" customHeight="1">
      <c r="P151" s="314"/>
      <c r="S151" s="314"/>
      <c r="T151" s="314"/>
      <c r="U151" s="314"/>
      <c r="V151" s="314"/>
      <c r="W151" s="314"/>
      <c r="Z151" s="314"/>
      <c r="AB151" s="314"/>
      <c r="AD151" s="314"/>
      <c r="AF151" s="4354"/>
      <c r="AO151" s="664"/>
      <c r="AP151" s="664"/>
      <c r="AQ151" s="664"/>
      <c r="AR151" s="664"/>
      <c r="AS151" s="664"/>
      <c r="AT151" s="664"/>
      <c r="AU151" s="664"/>
      <c r="AV151" s="664"/>
      <c r="AW151" s="664"/>
    </row>
    <row r="152" spans="1:49" s="329" customFormat="1">
      <c r="P152" s="314"/>
      <c r="S152" s="314"/>
      <c r="T152" s="314"/>
      <c r="U152" s="314"/>
      <c r="V152" s="314"/>
      <c r="W152" s="314"/>
      <c r="Z152" s="314"/>
      <c r="AB152" s="314"/>
      <c r="AD152" s="314"/>
      <c r="AF152" s="4354"/>
      <c r="AO152" s="664"/>
      <c r="AP152" s="664"/>
      <c r="AQ152" s="664"/>
      <c r="AR152" s="664"/>
      <c r="AS152" s="664"/>
      <c r="AT152" s="664"/>
      <c r="AU152" s="664"/>
      <c r="AV152" s="664"/>
      <c r="AW152" s="664"/>
    </row>
    <row r="153" spans="1:49" s="329" customFormat="1" ht="14.25" customHeight="1">
      <c r="A153"/>
      <c r="B153"/>
      <c r="C153"/>
      <c r="D153"/>
      <c r="E153"/>
      <c r="F153"/>
      <c r="G153"/>
      <c r="H153"/>
      <c r="I153"/>
      <c r="J153"/>
      <c r="K153"/>
      <c r="L153"/>
      <c r="M153"/>
      <c r="N153"/>
      <c r="O153"/>
      <c r="P153" s="84"/>
      <c r="Q153"/>
      <c r="S153" s="314"/>
      <c r="T153" s="314"/>
      <c r="U153" s="314"/>
      <c r="V153" s="314"/>
      <c r="W153" s="314"/>
      <c r="Z153" s="314"/>
      <c r="AB153" s="314"/>
      <c r="AD153" s="314"/>
      <c r="AF153" s="4354"/>
      <c r="AO153" s="664"/>
      <c r="AP153" s="664"/>
      <c r="AQ153" s="664"/>
      <c r="AR153" s="664"/>
      <c r="AS153" s="664"/>
      <c r="AT153" s="664"/>
      <c r="AU153" s="664"/>
      <c r="AV153" s="664"/>
      <c r="AW153" s="664"/>
    </row>
    <row r="154" spans="1:49" s="329" customFormat="1">
      <c r="A154"/>
      <c r="B154"/>
      <c r="C154"/>
      <c r="D154"/>
      <c r="E154"/>
      <c r="F154"/>
      <c r="G154"/>
      <c r="H154"/>
      <c r="I154"/>
      <c r="J154"/>
      <c r="K154"/>
      <c r="L154"/>
      <c r="M154"/>
      <c r="N154"/>
      <c r="O154"/>
      <c r="P154" s="84"/>
      <c r="Q154"/>
      <c r="S154" s="314"/>
      <c r="T154" s="314"/>
      <c r="U154" s="314"/>
      <c r="V154" s="314"/>
      <c r="W154" s="314"/>
      <c r="Z154" s="314"/>
      <c r="AB154" s="314"/>
      <c r="AD154" s="314"/>
      <c r="AF154" s="4354"/>
      <c r="AO154" s="664"/>
      <c r="AP154" s="664"/>
      <c r="AQ154" s="664"/>
      <c r="AR154" s="664"/>
      <c r="AS154" s="664"/>
      <c r="AT154" s="664"/>
      <c r="AU154" s="664"/>
      <c r="AV154" s="664"/>
      <c r="AW154" s="664"/>
    </row>
    <row r="155" spans="1:49" s="329" customFormat="1">
      <c r="A155"/>
      <c r="B155"/>
      <c r="C155"/>
      <c r="D155"/>
      <c r="E155"/>
      <c r="F155"/>
      <c r="G155"/>
      <c r="H155"/>
      <c r="I155"/>
      <c r="J155"/>
      <c r="K155"/>
      <c r="L155"/>
      <c r="M155"/>
      <c r="N155"/>
      <c r="O155"/>
      <c r="P155" s="84"/>
      <c r="Q155"/>
      <c r="R155"/>
      <c r="S155" s="314"/>
      <c r="T155" s="314"/>
      <c r="U155" s="314"/>
      <c r="V155" s="314"/>
      <c r="W155" s="314"/>
      <c r="Z155" s="314"/>
      <c r="AB155" s="314"/>
      <c r="AD155" s="314"/>
      <c r="AF155" s="4354"/>
      <c r="AO155" s="664"/>
      <c r="AP155" s="664"/>
      <c r="AQ155" s="664"/>
      <c r="AR155" s="664"/>
      <c r="AS155" s="664"/>
      <c r="AT155" s="664"/>
      <c r="AU155" s="664"/>
      <c r="AV155" s="664"/>
      <c r="AW155" s="664"/>
    </row>
    <row r="156" spans="1:49" s="329" customFormat="1">
      <c r="A156"/>
      <c r="B156"/>
      <c r="C156"/>
      <c r="D156"/>
      <c r="E156"/>
      <c r="F156"/>
      <c r="G156"/>
      <c r="H156"/>
      <c r="I156"/>
      <c r="J156"/>
      <c r="K156"/>
      <c r="L156"/>
      <c r="M156"/>
      <c r="N156"/>
      <c r="O156"/>
      <c r="P156" s="84"/>
      <c r="Q156"/>
      <c r="R156"/>
      <c r="S156" s="314"/>
      <c r="T156" s="314"/>
      <c r="U156" s="314"/>
      <c r="V156" s="314"/>
      <c r="W156" s="314"/>
      <c r="Z156" s="314"/>
      <c r="AB156" s="314"/>
      <c r="AD156" s="314"/>
      <c r="AF156" s="4354"/>
      <c r="AO156" s="664"/>
      <c r="AP156" s="664"/>
      <c r="AQ156" s="664"/>
      <c r="AR156" s="664"/>
      <c r="AS156" s="664"/>
      <c r="AT156" s="664"/>
      <c r="AU156" s="664"/>
      <c r="AV156" s="664"/>
      <c r="AW156" s="664"/>
    </row>
    <row r="157" spans="1:49" s="329" customFormat="1">
      <c r="A157"/>
      <c r="B157"/>
      <c r="C157"/>
      <c r="D157"/>
      <c r="E157"/>
      <c r="F157"/>
      <c r="G157"/>
      <c r="H157"/>
      <c r="I157"/>
      <c r="J157"/>
      <c r="N157"/>
      <c r="O157"/>
      <c r="P157" s="84"/>
      <c r="Q157"/>
      <c r="R157"/>
      <c r="S157" s="314"/>
      <c r="T157" s="314"/>
      <c r="U157" s="314"/>
      <c r="V157" s="314"/>
      <c r="W157" s="314"/>
      <c r="Z157" s="314"/>
      <c r="AB157" s="314"/>
      <c r="AD157" s="314"/>
      <c r="AF157" s="4354"/>
      <c r="AO157" s="664"/>
      <c r="AP157" s="664"/>
      <c r="AQ157" s="664"/>
      <c r="AR157" s="664"/>
      <c r="AS157" s="664"/>
      <c r="AT157" s="664"/>
      <c r="AU157" s="664"/>
      <c r="AV157" s="664"/>
      <c r="AW157" s="664"/>
    </row>
    <row r="158" spans="1:49" s="80" customFormat="1">
      <c r="A158"/>
      <c r="B158"/>
      <c r="C158"/>
      <c r="D158"/>
      <c r="E158"/>
      <c r="F158"/>
      <c r="G158"/>
      <c r="H158"/>
      <c r="I158"/>
      <c r="J158"/>
      <c r="K158" s="329"/>
      <c r="L158" s="329"/>
      <c r="M158" s="329"/>
      <c r="N158"/>
      <c r="O158"/>
      <c r="P158" s="84"/>
      <c r="Q158"/>
      <c r="R158"/>
      <c r="S158" s="314"/>
      <c r="T158" s="314"/>
      <c r="U158" s="314"/>
      <c r="V158" s="314"/>
      <c r="W158" s="314"/>
      <c r="X158" s="329"/>
      <c r="Y158" s="329"/>
      <c r="Z158" s="688"/>
      <c r="AA158" s="329"/>
      <c r="AB158" s="688"/>
      <c r="AC158" s="329"/>
      <c r="AD158" s="688"/>
      <c r="AE158" s="329"/>
      <c r="AF158" s="4354"/>
      <c r="AG158" s="329"/>
      <c r="AH158" s="329"/>
      <c r="AI158" s="329"/>
      <c r="AJ158" s="329"/>
      <c r="AK158" s="329"/>
      <c r="AL158" s="329"/>
      <c r="AM158" s="329"/>
      <c r="AN158" s="329"/>
      <c r="AO158" s="658"/>
      <c r="AP158" s="658"/>
      <c r="AQ158" s="658"/>
      <c r="AR158" s="658"/>
      <c r="AS158" s="658"/>
      <c r="AT158" s="658"/>
      <c r="AU158" s="658"/>
      <c r="AV158" s="658"/>
      <c r="AW158" s="658"/>
    </row>
    <row r="159" spans="1:49" s="80" customFormat="1">
      <c r="A159"/>
      <c r="B159"/>
      <c r="C159"/>
      <c r="D159"/>
      <c r="E159"/>
      <c r="F159"/>
      <c r="G159"/>
      <c r="H159"/>
      <c r="I159"/>
      <c r="J159"/>
      <c r="K159" s="329"/>
      <c r="L159"/>
      <c r="M159" s="329"/>
      <c r="N159"/>
      <c r="O159"/>
      <c r="P159" s="84"/>
      <c r="Q159"/>
      <c r="R159"/>
      <c r="S159" s="314"/>
      <c r="T159" s="314"/>
      <c r="U159" s="314"/>
      <c r="V159" s="314"/>
      <c r="W159" s="314"/>
      <c r="X159" s="329"/>
      <c r="Y159" s="329"/>
      <c r="Z159" s="688"/>
      <c r="AA159" s="329"/>
      <c r="AB159" s="688"/>
      <c r="AC159" s="329"/>
      <c r="AD159" s="688"/>
      <c r="AE159" s="329"/>
      <c r="AF159" s="4354"/>
      <c r="AG159" s="329"/>
      <c r="AH159" s="329"/>
      <c r="AI159" s="329"/>
      <c r="AJ159" s="329"/>
      <c r="AK159" s="329"/>
      <c r="AL159" s="329"/>
      <c r="AM159" s="329"/>
      <c r="AN159" s="329"/>
      <c r="AO159" s="658"/>
      <c r="AP159" s="658"/>
      <c r="AQ159" s="658"/>
      <c r="AR159" s="658"/>
      <c r="AS159" s="658"/>
      <c r="AT159" s="658"/>
      <c r="AU159" s="658"/>
      <c r="AV159" s="658"/>
      <c r="AW159" s="658"/>
    </row>
    <row r="160" spans="1:49">
      <c r="S160" s="314"/>
      <c r="T160" s="314"/>
      <c r="U160" s="314"/>
      <c r="V160" s="314"/>
      <c r="W160" s="314"/>
    </row>
  </sheetData>
  <sheetProtection algorithmName="SHA-512" hashValue="INa6C0MZZ9teEObXQMZuViaQ/7oNeBvPR8GNvzcdETgjUTlWQxURdf/6b/4WIfKkRQaJvDXvBMolBcriCtva+Q==" saltValue="ENk4Lco7cqB3LwGWktzA9g==" spinCount="100000" sheet="1" formatCells="0" formatColumns="0" formatRows="0"/>
  <mergeCells count="75">
    <mergeCell ref="C16:E17"/>
    <mergeCell ref="L64:M64"/>
    <mergeCell ref="B65:B66"/>
    <mergeCell ref="O6:P6"/>
    <mergeCell ref="C39:M41"/>
    <mergeCell ref="O34:P34"/>
    <mergeCell ref="B10:I10"/>
    <mergeCell ref="C13:M13"/>
    <mergeCell ref="B7:D7"/>
    <mergeCell ref="E7:K7"/>
    <mergeCell ref="L7:M7"/>
    <mergeCell ref="B8:D8"/>
    <mergeCell ref="E8:K8"/>
    <mergeCell ref="L8:M8"/>
    <mergeCell ref="Q66:Q67"/>
    <mergeCell ref="C73:M73"/>
    <mergeCell ref="B68:D68"/>
    <mergeCell ref="E68:K68"/>
    <mergeCell ref="L68:M68"/>
    <mergeCell ref="B70:I70"/>
    <mergeCell ref="B67:D67"/>
    <mergeCell ref="E67:K67"/>
    <mergeCell ref="L67:M67"/>
    <mergeCell ref="C72:M72"/>
    <mergeCell ref="C65:D66"/>
    <mergeCell ref="J70:M70"/>
    <mergeCell ref="J69:M69"/>
    <mergeCell ref="T3:U3"/>
    <mergeCell ref="X8:AG9"/>
    <mergeCell ref="Q8:Q10"/>
    <mergeCell ref="X10:AG10"/>
    <mergeCell ref="X96:AE96"/>
    <mergeCell ref="AB11:AB21"/>
    <mergeCell ref="Z11:Z21"/>
    <mergeCell ref="AD11:AD21"/>
    <mergeCell ref="Z73:Z83"/>
    <mergeCell ref="AB73:AB83"/>
    <mergeCell ref="AD73:AD83"/>
    <mergeCell ref="X36:AG36"/>
    <mergeCell ref="X72:AG72"/>
    <mergeCell ref="X34:AE34"/>
    <mergeCell ref="Z38:AB38"/>
    <mergeCell ref="Q5:Q6"/>
    <mergeCell ref="C115:M115"/>
    <mergeCell ref="C126:G126"/>
    <mergeCell ref="U88:V88"/>
    <mergeCell ref="Q75:Q77"/>
    <mergeCell ref="C128:G128"/>
    <mergeCell ref="C116:M116"/>
    <mergeCell ref="C117:M117"/>
    <mergeCell ref="O94:P94"/>
    <mergeCell ref="C99:M101"/>
    <mergeCell ref="C76:E77"/>
    <mergeCell ref="L4:M4"/>
    <mergeCell ref="B5:B6"/>
    <mergeCell ref="C5:D6"/>
    <mergeCell ref="E5:K5"/>
    <mergeCell ref="L5:M6"/>
    <mergeCell ref="E6:K6"/>
    <mergeCell ref="AP29:AS44"/>
    <mergeCell ref="AP89:AS104"/>
    <mergeCell ref="O36:P38"/>
    <mergeCell ref="O96:P98"/>
    <mergeCell ref="L3:M3"/>
    <mergeCell ref="U29:V29"/>
    <mergeCell ref="Q64:Q65"/>
    <mergeCell ref="C56:M56"/>
    <mergeCell ref="C57:M57"/>
    <mergeCell ref="L65:M66"/>
    <mergeCell ref="E66:K66"/>
    <mergeCell ref="J9:M9"/>
    <mergeCell ref="J10:M10"/>
    <mergeCell ref="O5:P5"/>
    <mergeCell ref="C12:M12"/>
    <mergeCell ref="C55:M55"/>
  </mergeCells>
  <conditionalFormatting sqref="B10">
    <cfRule type="expression" dxfId="524" priority="138">
      <formula>IF(NoColor,1,0)</formula>
    </cfRule>
  </conditionalFormatting>
  <conditionalFormatting sqref="B70">
    <cfRule type="expression" dxfId="523" priority="69">
      <formula>IF(NoColor,1,0)</formula>
    </cfRule>
  </conditionalFormatting>
  <conditionalFormatting sqref="J10">
    <cfRule type="expression" dxfId="522" priority="7">
      <formula>IF(NoColor,1,0)</formula>
    </cfRule>
  </conditionalFormatting>
  <conditionalFormatting sqref="J51">
    <cfRule type="expression" dxfId="521" priority="93">
      <formula>IF(NoColor,1,0)</formula>
    </cfRule>
  </conditionalFormatting>
  <conditionalFormatting sqref="J70">
    <cfRule type="expression" dxfId="520" priority="1">
      <formula>IF(NoColor,1,0)</formula>
    </cfRule>
  </conditionalFormatting>
  <conditionalFormatting sqref="J111">
    <cfRule type="expression" dxfId="519" priority="59">
      <formula>IF(NoColor,1,0)</formula>
    </cfRule>
  </conditionalFormatting>
  <conditionalFormatting sqref="K34:K35">
    <cfRule type="expression" dxfId="518" priority="81">
      <formula>IF(NoColor,1,0)</formula>
    </cfRule>
  </conditionalFormatting>
  <conditionalFormatting sqref="K94:K95">
    <cfRule type="expression" dxfId="517" priority="51">
      <formula>IF(NoColor,1,0)</formula>
    </cfRule>
  </conditionalFormatting>
  <conditionalFormatting sqref="L15">
    <cfRule type="expression" dxfId="516" priority="95">
      <formula>IF(NoColor,1,0)</formula>
    </cfRule>
  </conditionalFormatting>
  <conditionalFormatting sqref="L17">
    <cfRule type="expression" dxfId="515" priority="94">
      <formula>IF(NoColor,1,0)</formula>
    </cfRule>
  </conditionalFormatting>
  <conditionalFormatting sqref="L75">
    <cfRule type="expression" dxfId="514" priority="61">
      <formula>IF(NoColor,1,0)</formula>
    </cfRule>
  </conditionalFormatting>
  <conditionalFormatting sqref="L77">
    <cfRule type="expression" dxfId="513" priority="60">
      <formula>IF(NoColor,1,0)</formula>
    </cfRule>
  </conditionalFormatting>
  <conditionalFormatting sqref="M21">
    <cfRule type="expression" dxfId="510" priority="112">
      <formula>IF(NoColor,1,0)</formula>
    </cfRule>
  </conditionalFormatting>
  <conditionalFormatting sqref="M24">
    <cfRule type="expression" dxfId="509" priority="87">
      <formula>IF(NoColor,1,0)</formula>
    </cfRule>
  </conditionalFormatting>
  <conditionalFormatting sqref="M27:M28">
    <cfRule type="expression" dxfId="508" priority="86">
      <formula>IF(NoColor,1,0)</formula>
    </cfRule>
  </conditionalFormatting>
  <conditionalFormatting sqref="M30">
    <cfRule type="expression" dxfId="507" priority="84">
      <formula>IF(NoColor,1,0)</formula>
    </cfRule>
  </conditionalFormatting>
  <conditionalFormatting sqref="M32:M33">
    <cfRule type="expression" dxfId="506" priority="37">
      <formula>IF(NoColor,1,0)</formula>
    </cfRule>
  </conditionalFormatting>
  <conditionalFormatting sqref="M36:M38">
    <cfRule type="expression" dxfId="505" priority="80">
      <formula>IF(NoColor,1,0)</formula>
    </cfRule>
  </conditionalFormatting>
  <conditionalFormatting sqref="M42">
    <cfRule type="expression" dxfId="504" priority="78">
      <formula>IF(NoColor,1,0)</formula>
    </cfRule>
  </conditionalFormatting>
  <conditionalFormatting sqref="M45:M47">
    <cfRule type="expression" dxfId="503" priority="75">
      <formula>IF(NoColor,1,0)</formula>
    </cfRule>
  </conditionalFormatting>
  <conditionalFormatting sqref="M49">
    <cfRule type="expression" dxfId="502" priority="96">
      <formula>IF(NoColor,1,0)</formula>
    </cfRule>
  </conditionalFormatting>
  <conditionalFormatting sqref="M54">
    <cfRule type="expression" dxfId="501" priority="73">
      <formula>IF(NoColor,1,0)</formula>
    </cfRule>
  </conditionalFormatting>
  <conditionalFormatting sqref="M58:M60">
    <cfRule type="expression" dxfId="500" priority="70">
      <formula>IF(NoColor,1,0)</formula>
    </cfRule>
  </conditionalFormatting>
  <conditionalFormatting sqref="M62">
    <cfRule type="expression" dxfId="499" priority="88">
      <formula>IF(NoColor,1,0)</formula>
    </cfRule>
  </conditionalFormatting>
  <conditionalFormatting sqref="M81">
    <cfRule type="expression" dxfId="498" priority="67">
      <formula>IF(NoColor,1,0)</formula>
    </cfRule>
  </conditionalFormatting>
  <conditionalFormatting sqref="M84">
    <cfRule type="expression" dxfId="497" priority="38">
      <formula>IF(NoColor,1,0)</formula>
    </cfRule>
  </conditionalFormatting>
  <conditionalFormatting sqref="M87:M88">
    <cfRule type="expression" dxfId="496" priority="55">
      <formula>IF(NoColor,1,0)</formula>
    </cfRule>
  </conditionalFormatting>
  <conditionalFormatting sqref="M90">
    <cfRule type="expression" dxfId="495" priority="22">
      <formula>IF(NoColor,1,0)</formula>
    </cfRule>
    <cfRule type="expression" dxfId="494" priority="21">
      <formula>NOT($Q$7)</formula>
    </cfRule>
  </conditionalFormatting>
  <conditionalFormatting sqref="M92:M93">
    <cfRule type="expression" dxfId="493" priority="35">
      <formula>IF(NoColor,1,0)</formula>
    </cfRule>
  </conditionalFormatting>
  <conditionalFormatting sqref="M96:M98">
    <cfRule type="expression" dxfId="492" priority="50">
      <formula>IF(NoColor,1,0)</formula>
    </cfRule>
  </conditionalFormatting>
  <conditionalFormatting sqref="M102">
    <cfRule type="expression" dxfId="491" priority="48">
      <formula>IF(NoColor,1,0)</formula>
    </cfRule>
  </conditionalFormatting>
  <conditionalFormatting sqref="M105:M107">
    <cfRule type="expression" dxfId="490" priority="45">
      <formula>IF(NoColor,1,0)</formula>
    </cfRule>
  </conditionalFormatting>
  <conditionalFormatting sqref="M109">
    <cfRule type="expression" dxfId="489" priority="62">
      <formula>IF(NoColor,1,0)</formula>
    </cfRule>
  </conditionalFormatting>
  <conditionalFormatting sqref="M114">
    <cfRule type="expression" dxfId="488" priority="44">
      <formula>IF(NoColor,1,0)</formula>
    </cfRule>
  </conditionalFormatting>
  <conditionalFormatting sqref="M118:M120">
    <cfRule type="expression" dxfId="487" priority="41">
      <formula>IF(NoColor,1,0)</formula>
    </cfRule>
  </conditionalFormatting>
  <conditionalFormatting sqref="M122">
    <cfRule type="expression" dxfId="486" priority="57">
      <formula>IF(NoColor,1,0)</formula>
    </cfRule>
  </conditionalFormatting>
  <conditionalFormatting sqref="O8:P10">
    <cfRule type="expression" dxfId="483" priority="26">
      <formula>NOT(File_Marr_Joint&lt;&gt;"")</formula>
    </cfRule>
  </conditionalFormatting>
  <conditionalFormatting sqref="Q53">
    <cfRule type="expression" dxfId="482" priority="72">
      <formula>IF(J51&lt;&gt;"",1,0)</formula>
    </cfRule>
  </conditionalFormatting>
  <conditionalFormatting sqref="Q113">
    <cfRule type="expression" dxfId="481" priority="43">
      <formula>IF(J111&lt;&gt;"",1,0)</formula>
    </cfRule>
  </conditionalFormatting>
  <conditionalFormatting sqref="U94:U97">
    <cfRule type="expression" dxfId="480" priority="24">
      <formula>NOT($Q$7)</formula>
    </cfRule>
  </conditionalFormatting>
  <conditionalFormatting sqref="X38:AH42">
    <cfRule type="expression" dxfId="479" priority="8">
      <formula>NOT($Q$7)</formula>
    </cfRule>
  </conditionalFormatting>
  <conditionalFormatting sqref="AH101:AH114">
    <cfRule type="expression" dxfId="478" priority="14">
      <formula>NOT($Q$7)</formula>
    </cfRule>
  </conditionalFormatting>
  <hyperlinks>
    <hyperlink ref="C126:G126" r:id="rId1" display="Download Form 8889" xr:uid="{00000000-0004-0000-3500-000000000000}"/>
    <hyperlink ref="C128:G128" r:id="rId2" display="Download Form 8889 Instructions" xr:uid="{00000000-0004-0000-3500-000001000000}"/>
  </hyperlinks>
  <pageMargins left="0.75" right="0.25" top="0.36" bottom="0.28999999999999998" header="0.36" footer="0.21"/>
  <pageSetup scale="89" fitToHeight="0" orientation="portrait" r:id="rId3"/>
  <rowBreaks count="1" manualBreakCount="1">
    <brk id="63" min="1" max="12" man="1"/>
  </rowBreaks>
  <extLst>
    <ext xmlns:x14="http://schemas.microsoft.com/office/spreadsheetml/2009/9/main" uri="{78C0D931-6437-407d-A8EE-F0AAD7539E65}">
      <x14:conditionalFormattings>
        <x14:conditionalFormatting xmlns:xm="http://schemas.microsoft.com/office/excel/2006/main">
          <x14:cfRule type="expression" priority="4" id="{A79C149B-7220-400C-BC59-77288AB90B5C}">
            <xm:f>AND(N4="", 'Table of Contents'!A59="D")</xm:f>
            <x14:dxf>
              <font>
                <b/>
                <i val="0"/>
                <color rgb="FFC00000"/>
              </font>
            </x14:dxf>
          </x14:cfRule>
          <xm:sqref>L4:M4</xm:sqref>
        </x14:conditionalFormatting>
        <x14:conditionalFormatting xmlns:xm="http://schemas.microsoft.com/office/excel/2006/main">
          <x14:cfRule type="expression" priority="2" id="{42CAD421-B4D3-43C8-A99F-B1A480370A50}">
            <xm:f>(AND(N64="",'Table of Contents'!A59="D"))</xm:f>
            <x14:dxf>
              <font>
                <b/>
                <i val="0"/>
                <color rgb="FFC00000"/>
              </font>
            </x14:dxf>
          </x14:cfRule>
          <xm:sqref>L64:M64</xm:sqref>
        </x14:conditionalFormatting>
        <x14:conditionalFormatting xmlns:xm="http://schemas.microsoft.com/office/excel/2006/main">
          <x14:cfRule type="expression" priority="5" id="{9C85BA81-9455-43C9-BDAF-B9BF196D7204}">
            <xm:f>'Table of Contents'!A59="D"</xm:f>
            <x14:dxf>
              <fill>
                <patternFill>
                  <bgColor theme="0"/>
                </patternFill>
              </fill>
              <border>
                <right style="thin">
                  <color auto="1"/>
                </right>
                <top style="thin">
                  <color auto="1"/>
                </top>
                <bottom style="thin">
                  <color auto="1"/>
                </bottom>
                <vertical/>
                <horizontal/>
              </border>
            </x14:dxf>
          </x14:cfRule>
          <xm:sqref>N4</xm:sqref>
        </x14:conditionalFormatting>
        <x14:conditionalFormatting xmlns:xm="http://schemas.microsoft.com/office/excel/2006/main">
          <x14:cfRule type="expression" priority="3" id="{7BDB28EE-4AF9-4337-A840-1EC3E53DCAF0}">
            <xm:f>'Table of Contents'!A59="D"</xm:f>
            <x14:dxf>
              <fill>
                <patternFill>
                  <bgColor theme="0"/>
                </patternFill>
              </fill>
              <border>
                <right style="thin">
                  <color auto="1"/>
                </right>
                <top style="thin">
                  <color auto="1"/>
                </top>
                <bottom style="thin">
                  <color auto="1"/>
                </bottom>
                <vertical/>
                <horizontal/>
              </border>
            </x14:dxf>
          </x14:cfRule>
          <xm:sqref>N64</xm:sqref>
        </x14:conditionalFormatting>
      </x14:conditionalFormatting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pageSetUpPr fitToPage="1"/>
  </sheetPr>
  <dimension ref="A1:AZ126"/>
  <sheetViews>
    <sheetView zoomScaleNormal="100" zoomScaleSheetLayoutView="100" workbookViewId="0"/>
  </sheetViews>
  <sheetFormatPr defaultColWidth="9.140625" defaultRowHeight="15"/>
  <cols>
    <col min="1" max="1" width="2.7109375" customWidth="1"/>
    <col min="2" max="2" width="5.140625" style="329" customWidth="1"/>
    <col min="3" max="3" width="3.28515625" customWidth="1"/>
    <col min="4" max="4" width="5.140625" customWidth="1"/>
    <col min="5" max="8" width="3.85546875" customWidth="1"/>
    <col min="9" max="15" width="4" customWidth="1"/>
    <col min="16" max="17" width="3.85546875" customWidth="1"/>
    <col min="18" max="18" width="3.140625" customWidth="1"/>
    <col min="19" max="19" width="3.5703125" customWidth="1"/>
    <col min="20" max="20" width="6.42578125" customWidth="1"/>
    <col min="21" max="21" width="3.5703125" customWidth="1"/>
    <col min="22" max="22" width="5.7109375" customWidth="1"/>
    <col min="23" max="24" width="4.7109375" customWidth="1"/>
    <col min="25" max="27" width="3.85546875" customWidth="1"/>
    <col min="28" max="28" width="5.7109375" customWidth="1"/>
    <col min="29" max="29" width="3.42578125" customWidth="1"/>
    <col min="30" max="30" width="5.5703125" style="1405" customWidth="1"/>
    <col min="31" max="31" width="4" customWidth="1"/>
    <col min="32" max="32" width="3.85546875" customWidth="1"/>
    <col min="33" max="33" width="6.5703125" customWidth="1"/>
    <col min="34" max="34" width="3.140625" customWidth="1"/>
    <col min="35" max="35" width="4" customWidth="1"/>
    <col min="36" max="36" width="2.7109375" customWidth="1"/>
    <col min="38" max="38" width="2.85546875" customWidth="1"/>
    <col min="39" max="39" width="14.42578125" customWidth="1"/>
    <col min="40" max="40" width="13.7109375" customWidth="1"/>
    <col min="41" max="41" width="4.140625" customWidth="1"/>
    <col min="42" max="50" width="10.7109375" style="658" customWidth="1"/>
    <col min="51" max="51" width="4.140625" style="658" customWidth="1"/>
  </cols>
  <sheetData>
    <row r="1" spans="1:52" s="815" customFormat="1" ht="12" customHeight="1">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2013"/>
      <c r="AD1" s="2326"/>
      <c r="AE1" s="2013"/>
      <c r="AF1" s="2013"/>
      <c r="AG1" s="2013"/>
      <c r="AH1" s="2013"/>
      <c r="AI1" s="2013"/>
      <c r="AJ1" s="2013"/>
      <c r="AK1" s="2013"/>
      <c r="AL1" s="253"/>
      <c r="AM1" s="253"/>
      <c r="AN1" s="253"/>
      <c r="AP1" s="658"/>
      <c r="AQ1" s="658"/>
      <c r="AR1" s="658"/>
      <c r="AS1" s="658"/>
      <c r="AT1" s="658"/>
      <c r="AU1" s="658"/>
      <c r="AV1" s="658"/>
      <c r="AW1" s="658"/>
      <c r="AX1" s="658"/>
      <c r="AY1" s="658"/>
      <c r="AZ1"/>
    </row>
    <row r="2" spans="1:52" s="815" customFormat="1" ht="24" customHeight="1">
      <c r="A2" s="2013"/>
      <c r="B2" s="9962" t="str">
        <f>IF('Table of Contents'!A48="D","DRAFT","")</f>
        <v/>
      </c>
      <c r="C2" s="9962"/>
      <c r="D2" s="9951">
        <v>8919</v>
      </c>
      <c r="E2" s="9952"/>
      <c r="F2" s="9952"/>
      <c r="G2" s="9952"/>
      <c r="H2" s="379"/>
      <c r="I2" s="9953" t="s">
        <v>6558</v>
      </c>
      <c r="J2" s="9954"/>
      <c r="K2" s="9954"/>
      <c r="L2" s="9954"/>
      <c r="M2" s="9954"/>
      <c r="N2" s="9954"/>
      <c r="O2" s="9954"/>
      <c r="P2" s="9954"/>
      <c r="Q2" s="9954"/>
      <c r="R2" s="9954"/>
      <c r="S2" s="9954"/>
      <c r="T2" s="9954"/>
      <c r="U2" s="9954"/>
      <c r="V2" s="9954"/>
      <c r="W2" s="9954"/>
      <c r="X2" s="9954"/>
      <c r="Y2" s="9954"/>
      <c r="Z2" s="9954"/>
      <c r="AA2" s="9954"/>
      <c r="AB2" s="9955"/>
      <c r="AC2" s="9957" t="str">
        <f>IF('Table of Contents'!A48="D","DRAFT","OMB No. 1545-0074")</f>
        <v>OMB No. 1545-0074</v>
      </c>
      <c r="AD2" s="9958"/>
      <c r="AE2" s="9958"/>
      <c r="AF2" s="9958"/>
      <c r="AG2" s="9958"/>
      <c r="AH2" s="9958"/>
      <c r="AI2" s="9958"/>
      <c r="AJ2" s="9958"/>
      <c r="AK2" s="2013"/>
      <c r="AL2" s="253"/>
      <c r="AM2" s="253"/>
      <c r="AN2" s="253"/>
      <c r="AP2" s="658"/>
      <c r="AQ2" s="658"/>
      <c r="AR2" s="658"/>
      <c r="AS2" s="658"/>
      <c r="AT2" s="658"/>
      <c r="AU2" s="658"/>
      <c r="AV2" s="658"/>
      <c r="AW2" s="658"/>
      <c r="AX2" s="658"/>
      <c r="AY2" s="658"/>
      <c r="AZ2"/>
    </row>
    <row r="3" spans="1:52" s="815" customFormat="1" ht="24" customHeight="1">
      <c r="A3" s="2013"/>
      <c r="B3" s="9825" t="s">
        <v>46</v>
      </c>
      <c r="C3" s="9617"/>
      <c r="D3" s="9952"/>
      <c r="E3" s="9952"/>
      <c r="F3" s="9952"/>
      <c r="G3" s="9952"/>
      <c r="H3" s="379"/>
      <c r="I3" s="9956"/>
      <c r="J3" s="9954"/>
      <c r="K3" s="9954"/>
      <c r="L3" s="9954"/>
      <c r="M3" s="9954"/>
      <c r="N3" s="9954"/>
      <c r="O3" s="9954"/>
      <c r="P3" s="9954"/>
      <c r="Q3" s="9954"/>
      <c r="R3" s="9954"/>
      <c r="S3" s="9954"/>
      <c r="T3" s="9954"/>
      <c r="U3" s="9954"/>
      <c r="V3" s="9954"/>
      <c r="W3" s="9954"/>
      <c r="X3" s="9954"/>
      <c r="Y3" s="9954"/>
      <c r="Z3" s="9954"/>
      <c r="AA3" s="9954"/>
      <c r="AB3" s="9955"/>
      <c r="AC3" s="9826">
        <f>TaxYear</f>
        <v>2025</v>
      </c>
      <c r="AD3" s="9827"/>
      <c r="AE3" s="9827"/>
      <c r="AF3" s="9827"/>
      <c r="AG3" s="9827"/>
      <c r="AH3" s="9827"/>
      <c r="AI3" s="9827"/>
      <c r="AJ3" s="9827"/>
      <c r="AK3" s="2013"/>
      <c r="AL3" s="344" t="s">
        <v>3239</v>
      </c>
      <c r="AM3" s="344"/>
      <c r="AN3" s="253"/>
      <c r="AP3" s="658"/>
      <c r="AQ3" s="658"/>
      <c r="AR3" s="658"/>
      <c r="AS3" s="658"/>
      <c r="AT3" s="658"/>
      <c r="AU3" s="658"/>
      <c r="AV3" s="658"/>
      <c r="AW3" s="658"/>
      <c r="AX3" s="658"/>
      <c r="AY3" s="658"/>
      <c r="AZ3"/>
    </row>
    <row r="4" spans="1:52" s="815" customFormat="1" ht="6.75" customHeight="1" thickBot="1">
      <c r="A4" s="2013"/>
      <c r="B4" s="344"/>
      <c r="C4" s="253"/>
      <c r="D4" s="253"/>
      <c r="E4" s="253"/>
      <c r="F4" s="253"/>
      <c r="G4" s="253"/>
      <c r="H4" s="379"/>
      <c r="I4" s="7610" t="s">
        <v>6559</v>
      </c>
      <c r="J4" s="7611"/>
      <c r="K4" s="7611"/>
      <c r="L4" s="7611"/>
      <c r="M4" s="7611"/>
      <c r="N4" s="7611"/>
      <c r="O4" s="7611"/>
      <c r="P4" s="7611"/>
      <c r="Q4" s="7611"/>
      <c r="R4" s="7611"/>
      <c r="S4" s="7611"/>
      <c r="T4" s="7611"/>
      <c r="U4" s="7611"/>
      <c r="V4" s="7611"/>
      <c r="W4" s="7611"/>
      <c r="X4" s="7611"/>
      <c r="Y4" s="7611"/>
      <c r="Z4" s="7611"/>
      <c r="AA4" s="7611"/>
      <c r="AB4" s="7612"/>
      <c r="AC4" s="9828"/>
      <c r="AD4" s="9829"/>
      <c r="AE4" s="9829"/>
      <c r="AF4" s="9829"/>
      <c r="AG4" s="9829"/>
      <c r="AH4" s="9829"/>
      <c r="AI4" s="9829"/>
      <c r="AJ4" s="9829"/>
      <c r="AK4" s="2013"/>
      <c r="AL4" s="253"/>
      <c r="AM4" s="253"/>
      <c r="AN4" s="253"/>
      <c r="AP4" s="658"/>
      <c r="AQ4" s="658"/>
      <c r="AR4" s="658"/>
      <c r="AS4" s="658"/>
      <c r="AT4" s="658"/>
      <c r="AU4" s="658"/>
      <c r="AV4" s="658"/>
      <c r="AW4" s="658"/>
      <c r="AX4" s="658"/>
      <c r="AY4" s="658"/>
      <c r="AZ4"/>
    </row>
    <row r="5" spans="1:52" s="815" customFormat="1" ht="16.5" thickBot="1">
      <c r="A5" s="2013"/>
      <c r="B5" s="344" t="s">
        <v>503</v>
      </c>
      <c r="C5" s="253"/>
      <c r="D5" s="253"/>
      <c r="E5" s="253"/>
      <c r="F5" s="253"/>
      <c r="G5" s="253"/>
      <c r="H5" s="379"/>
      <c r="I5" s="7610"/>
      <c r="J5" s="7611"/>
      <c r="K5" s="7611"/>
      <c r="L5" s="7611"/>
      <c r="M5" s="7611"/>
      <c r="N5" s="7611"/>
      <c r="O5" s="7611"/>
      <c r="P5" s="7611"/>
      <c r="Q5" s="7611"/>
      <c r="R5" s="7611"/>
      <c r="S5" s="7611"/>
      <c r="T5" s="7611"/>
      <c r="U5" s="7611"/>
      <c r="V5" s="7611"/>
      <c r="W5" s="7611"/>
      <c r="X5" s="7611"/>
      <c r="Y5" s="7611"/>
      <c r="Z5" s="7611"/>
      <c r="AA5" s="7611"/>
      <c r="AB5" s="7612"/>
      <c r="AC5" s="341"/>
      <c r="AD5" s="9515" t="s">
        <v>3475</v>
      </c>
      <c r="AE5" s="7844"/>
      <c r="AF5" s="7844"/>
      <c r="AG5" s="7844"/>
      <c r="AH5" s="9193">
        <v>61</v>
      </c>
      <c r="AI5" s="9193"/>
      <c r="AJ5" s="253"/>
      <c r="AK5" s="2013"/>
      <c r="AL5" s="6649" t="s">
        <v>2119</v>
      </c>
      <c r="AM5" s="344" t="s">
        <v>566</v>
      </c>
      <c r="AN5" s="253"/>
      <c r="AP5" s="658"/>
      <c r="AQ5" s="658"/>
      <c r="AR5" s="658"/>
      <c r="AS5" s="658"/>
      <c r="AT5" s="658"/>
      <c r="AU5" s="658"/>
      <c r="AV5" s="658"/>
      <c r="AW5" s="658"/>
      <c r="AX5" s="658"/>
      <c r="AY5" s="658"/>
      <c r="AZ5"/>
    </row>
    <row r="6" spans="1:52" s="815" customFormat="1" ht="15.75" customHeight="1" thickBot="1">
      <c r="A6" s="2013"/>
      <c r="B6" s="498" t="s">
        <v>505</v>
      </c>
      <c r="C6" s="380"/>
      <c r="D6" s="380"/>
      <c r="E6" s="380"/>
      <c r="F6" s="380"/>
      <c r="G6" s="380"/>
      <c r="H6" s="381"/>
      <c r="I6" s="9963" t="s">
        <v>6560</v>
      </c>
      <c r="J6" s="9964"/>
      <c r="K6" s="9964"/>
      <c r="L6" s="9964"/>
      <c r="M6" s="9964"/>
      <c r="N6" s="9964"/>
      <c r="O6" s="9964"/>
      <c r="P6" s="9964"/>
      <c r="Q6" s="9964"/>
      <c r="R6" s="9964"/>
      <c r="S6" s="9964"/>
      <c r="T6" s="9964"/>
      <c r="U6" s="9964"/>
      <c r="V6" s="9964"/>
      <c r="W6" s="9964"/>
      <c r="X6" s="9964"/>
      <c r="Y6" s="9964"/>
      <c r="Z6" s="9964"/>
      <c r="AA6" s="9964"/>
      <c r="AB6" s="9965"/>
      <c r="AC6" s="1197"/>
      <c r="AD6" s="9966" t="s">
        <v>3488</v>
      </c>
      <c r="AE6" s="9967"/>
      <c r="AF6" s="9967"/>
      <c r="AG6" s="9967"/>
      <c r="AH6" s="9974"/>
      <c r="AI6" s="9974"/>
      <c r="AJ6" s="380"/>
      <c r="AK6" s="2013"/>
      <c r="AL6" s="6649"/>
      <c r="AM6" s="344" t="s">
        <v>3241</v>
      </c>
      <c r="AN6" s="253"/>
      <c r="AP6" s="658"/>
      <c r="AQ6" s="658"/>
      <c r="AR6" s="658"/>
      <c r="AS6" s="658"/>
      <c r="AT6" s="658"/>
      <c r="AU6" s="658"/>
      <c r="AV6" s="658"/>
      <c r="AW6" s="658"/>
      <c r="AX6" s="658"/>
      <c r="AY6" s="658"/>
      <c r="AZ6"/>
    </row>
    <row r="7" spans="1:52" s="815" customFormat="1">
      <c r="A7" s="2013"/>
      <c r="B7" s="9968" t="s">
        <v>6561</v>
      </c>
      <c r="C7" s="9968"/>
      <c r="D7" s="9968"/>
      <c r="E7" s="9968"/>
      <c r="F7" s="9968"/>
      <c r="G7" s="9968"/>
      <c r="H7" s="9968"/>
      <c r="I7" s="9968"/>
      <c r="J7" s="9968"/>
      <c r="K7" s="9968"/>
      <c r="L7" s="9968"/>
      <c r="M7" s="9968"/>
      <c r="N7" s="9968"/>
      <c r="O7" s="9968"/>
      <c r="P7" s="9968"/>
      <c r="Q7" s="9968"/>
      <c r="R7" s="9968"/>
      <c r="S7" s="9968"/>
      <c r="T7" s="9968"/>
      <c r="U7" s="9968"/>
      <c r="V7" s="9968"/>
      <c r="W7" s="9968"/>
      <c r="X7" s="9968"/>
      <c r="Y7" s="9968"/>
      <c r="Z7" s="9968"/>
      <c r="AA7" s="9969"/>
      <c r="AB7" s="6625" t="s">
        <v>6562</v>
      </c>
      <c r="AC7" s="377"/>
      <c r="AD7" s="6634"/>
      <c r="AE7" s="2289"/>
      <c r="AF7" s="2289"/>
      <c r="AG7" s="2289"/>
      <c r="AH7" s="2289"/>
      <c r="AI7" s="2289"/>
      <c r="AJ7" s="2289"/>
      <c r="AK7" s="2013"/>
      <c r="AL7" s="2741" t="str">
        <f>IF(AND(AL5="",AL6=""),"Choose one.",IF(AND(AL5&lt;&gt;"",AL6&lt;&gt;""),"Chose ONLY one.",""))</f>
        <v/>
      </c>
      <c r="AM7" s="253"/>
      <c r="AN7" s="253"/>
      <c r="AP7" s="658"/>
      <c r="AQ7" s="658"/>
      <c r="AR7" s="658"/>
      <c r="AS7" s="658"/>
      <c r="AT7" s="658"/>
      <c r="AU7" s="658"/>
      <c r="AV7" s="658"/>
      <c r="AW7" s="658"/>
      <c r="AX7" s="658"/>
      <c r="AY7" s="658"/>
      <c r="AZ7"/>
    </row>
    <row r="8" spans="1:52" s="815" customFormat="1" ht="18">
      <c r="A8" s="2013"/>
      <c r="B8" s="9970" t="str">
        <f>IF(AND(AL5&lt;&gt;"",AL6&lt;&gt;""),"",IF(AL5&lt;&gt;"",NameYours,IF(AL6&lt;&gt;"",NameSpouse,"")))</f>
        <v xml:space="preserve"> </v>
      </c>
      <c r="C8" s="9970"/>
      <c r="D8" s="9970"/>
      <c r="E8" s="9970"/>
      <c r="F8" s="9970"/>
      <c r="G8" s="9970"/>
      <c r="H8" s="9970"/>
      <c r="I8" s="9970"/>
      <c r="J8" s="9970"/>
      <c r="K8" s="9970"/>
      <c r="L8" s="9970"/>
      <c r="M8" s="9970"/>
      <c r="N8" s="9970"/>
      <c r="O8" s="9970"/>
      <c r="P8" s="9970"/>
      <c r="Q8" s="9970"/>
      <c r="R8" s="9970"/>
      <c r="S8" s="9970"/>
      <c r="T8" s="9970"/>
      <c r="U8" s="9970"/>
      <c r="V8" s="9970"/>
      <c r="W8" s="9970"/>
      <c r="X8" s="9970"/>
      <c r="Y8" s="9970"/>
      <c r="Z8" s="9970"/>
      <c r="AA8" s="9971"/>
      <c r="AB8" s="9972">
        <f>IF(AND(AL5&lt;&gt;"",AL6&lt;&gt;""),"",IF(AL5&lt;&gt;"",SS_Yours,IF(AL6&lt;&gt;"",SS_Spouse,"")))</f>
        <v>1010001</v>
      </c>
      <c r="AC8" s="9973"/>
      <c r="AD8" s="9973"/>
      <c r="AE8" s="9973"/>
      <c r="AF8" s="9973"/>
      <c r="AG8" s="9973"/>
      <c r="AH8" s="9973"/>
      <c r="AI8" s="9973"/>
      <c r="AJ8" s="9973"/>
      <c r="AK8" s="2013"/>
      <c r="AL8" s="253"/>
      <c r="AM8" s="253"/>
      <c r="AN8" s="253"/>
      <c r="AP8" s="658"/>
      <c r="AQ8" s="658"/>
      <c r="AR8" s="658"/>
      <c r="AS8" s="658"/>
      <c r="AT8" s="658"/>
      <c r="AU8" s="658"/>
      <c r="AV8" s="658"/>
      <c r="AW8" s="658"/>
      <c r="AX8" s="658"/>
      <c r="AY8" s="658"/>
      <c r="AZ8"/>
    </row>
    <row r="9" spans="1:52" s="1115" customFormat="1" ht="15.75" customHeight="1">
      <c r="A9" s="2290"/>
      <c r="B9" s="5218" t="s">
        <v>6563</v>
      </c>
      <c r="C9" s="2291"/>
      <c r="D9" s="2291"/>
      <c r="E9" s="2291"/>
      <c r="F9" s="1323" t="s">
        <v>6564</v>
      </c>
      <c r="G9" s="2291"/>
      <c r="H9" s="2291"/>
      <c r="I9" s="2291"/>
      <c r="J9" s="2291"/>
      <c r="K9" s="2291"/>
      <c r="L9" s="2291"/>
      <c r="M9" s="2291"/>
      <c r="N9" s="2291"/>
      <c r="O9" s="2291"/>
      <c r="P9" s="2291"/>
      <c r="Q9" s="2291"/>
      <c r="R9" s="2291"/>
      <c r="S9" s="2291"/>
      <c r="T9" s="2291"/>
      <c r="U9" s="2291"/>
      <c r="V9" s="2291"/>
      <c r="W9" s="2291"/>
      <c r="X9" s="2291"/>
      <c r="Y9" s="2291"/>
      <c r="Z9" s="2291"/>
      <c r="AA9" s="2291"/>
      <c r="AB9" s="2291"/>
      <c r="AC9" s="2291"/>
      <c r="AD9" s="4558"/>
      <c r="AE9" s="2291"/>
      <c r="AF9" s="2291"/>
      <c r="AG9" s="2291"/>
      <c r="AH9" s="2291"/>
      <c r="AI9" s="2292"/>
      <c r="AJ9" s="2292"/>
      <c r="AK9" s="2290"/>
      <c r="AL9" s="253"/>
      <c r="AM9" s="253"/>
      <c r="AN9" s="253"/>
      <c r="AP9" s="658"/>
      <c r="AQ9" s="658"/>
      <c r="AR9" s="658"/>
      <c r="AS9" s="658"/>
      <c r="AT9" s="658"/>
      <c r="AU9" s="658"/>
      <c r="AV9" s="658"/>
      <c r="AW9" s="658"/>
      <c r="AX9" s="658"/>
      <c r="AY9" s="658"/>
      <c r="AZ9" s="2293"/>
    </row>
    <row r="10" spans="1:52" s="1115" customFormat="1" ht="15.75" customHeight="1">
      <c r="A10" s="2290"/>
      <c r="B10" s="4904"/>
      <c r="C10" s="4524"/>
      <c r="D10" s="4524"/>
      <c r="E10" s="4524"/>
      <c r="F10" s="6661" t="s">
        <v>2598</v>
      </c>
      <c r="G10" s="1323" t="s">
        <v>6565</v>
      </c>
      <c r="H10" s="4524"/>
      <c r="I10" s="4524"/>
      <c r="J10" s="4524"/>
      <c r="K10" s="4524"/>
      <c r="L10" s="4524"/>
      <c r="M10" s="4524"/>
      <c r="N10" s="4524"/>
      <c r="O10" s="4524"/>
      <c r="P10" s="4524"/>
      <c r="Q10" s="4524"/>
      <c r="R10" s="4524"/>
      <c r="S10" s="4524"/>
      <c r="T10" s="4524"/>
      <c r="U10" s="4524"/>
      <c r="V10" s="4524"/>
      <c r="W10" s="4524"/>
      <c r="X10" s="4524"/>
      <c r="Y10" s="4524"/>
      <c r="Z10" s="4524"/>
      <c r="AA10" s="4524"/>
      <c r="AB10" s="4524"/>
      <c r="AC10" s="4524"/>
      <c r="AD10" s="2319"/>
      <c r="AE10" s="4524"/>
      <c r="AF10" s="4524"/>
      <c r="AG10" s="4524"/>
      <c r="AH10" s="4524"/>
      <c r="AI10" s="4521"/>
      <c r="AJ10" s="4521"/>
      <c r="AK10" s="2290"/>
      <c r="AL10" s="253"/>
      <c r="AM10" s="253"/>
      <c r="AN10" s="253"/>
      <c r="AP10" s="658"/>
      <c r="AQ10" s="658"/>
      <c r="AR10" s="658"/>
      <c r="AS10" s="658"/>
      <c r="AT10" s="658"/>
      <c r="AU10" s="658"/>
      <c r="AV10" s="658"/>
      <c r="AW10" s="658"/>
      <c r="AX10" s="658"/>
      <c r="AY10" s="658"/>
      <c r="AZ10" s="2293"/>
    </row>
    <row r="11" spans="1:52" s="1115" customFormat="1" ht="15.75" customHeight="1">
      <c r="A11" s="2290"/>
      <c r="B11" s="4904"/>
      <c r="C11" s="4524"/>
      <c r="D11" s="4524"/>
      <c r="E11" s="4524"/>
      <c r="F11" s="6661" t="s">
        <v>2598</v>
      </c>
      <c r="G11" s="1323" t="s">
        <v>6566</v>
      </c>
      <c r="H11" s="4524"/>
      <c r="I11" s="4524"/>
      <c r="J11" s="4524"/>
      <c r="K11" s="4524"/>
      <c r="L11" s="4524"/>
      <c r="M11" s="4524"/>
      <c r="N11" s="4524"/>
      <c r="O11" s="4524"/>
      <c r="P11" s="4524"/>
      <c r="Q11" s="4524"/>
      <c r="R11" s="4524"/>
      <c r="S11" s="4524"/>
      <c r="T11" s="4524"/>
      <c r="U11" s="4524"/>
      <c r="V11" s="4524"/>
      <c r="W11" s="4524"/>
      <c r="X11" s="4524"/>
      <c r="Y11" s="4524"/>
      <c r="Z11" s="4524"/>
      <c r="AA11" s="4524"/>
      <c r="AB11" s="4524"/>
      <c r="AC11" s="4524"/>
      <c r="AD11" s="2319"/>
      <c r="AE11" s="4524"/>
      <c r="AF11" s="4524"/>
      <c r="AG11" s="4524"/>
      <c r="AH11" s="4524"/>
      <c r="AI11" s="4521"/>
      <c r="AJ11" s="4521"/>
      <c r="AK11" s="2290"/>
      <c r="AL11" s="253"/>
      <c r="AM11" s="253"/>
      <c r="AN11" s="253"/>
      <c r="AP11" s="658"/>
      <c r="AQ11" s="658"/>
      <c r="AR11" s="658"/>
      <c r="AS11" s="658"/>
      <c r="AT11" s="658"/>
      <c r="AU11" s="658"/>
      <c r="AV11" s="658"/>
      <c r="AW11" s="658"/>
      <c r="AX11" s="658"/>
      <c r="AY11" s="658"/>
      <c r="AZ11" s="2293"/>
    </row>
    <row r="12" spans="1:52" s="1115" customFormat="1" ht="15.75" customHeight="1">
      <c r="A12" s="2290"/>
      <c r="B12" s="4904"/>
      <c r="C12" s="4524"/>
      <c r="D12" s="4524"/>
      <c r="E12" s="4524"/>
      <c r="F12" s="6661" t="s">
        <v>2598</v>
      </c>
      <c r="G12" s="1405" t="s">
        <v>6567</v>
      </c>
      <c r="H12" s="4524"/>
      <c r="I12" s="4524"/>
      <c r="J12" s="4524"/>
      <c r="K12" s="4524"/>
      <c r="L12" s="4524"/>
      <c r="M12" s="4524"/>
      <c r="N12" s="4524"/>
      <c r="O12" s="4524"/>
      <c r="P12" s="4524"/>
      <c r="Q12" s="4524"/>
      <c r="R12" s="4524"/>
      <c r="S12" s="4524"/>
      <c r="T12" s="4524"/>
      <c r="U12" s="4524"/>
      <c r="V12" s="4524"/>
      <c r="W12" s="4524"/>
      <c r="X12" s="4524"/>
      <c r="Y12" s="4524"/>
      <c r="Z12" s="4524"/>
      <c r="AA12" s="4524"/>
      <c r="AB12" s="4524"/>
      <c r="AC12" s="4524"/>
      <c r="AD12" s="2319"/>
      <c r="AE12" s="4524"/>
      <c r="AF12" s="4524"/>
      <c r="AG12" s="4524"/>
      <c r="AH12" s="4524"/>
      <c r="AI12" s="4521"/>
      <c r="AJ12" s="4521"/>
      <c r="AK12" s="2290"/>
      <c r="AL12" s="253"/>
      <c r="AM12" s="253"/>
      <c r="AN12" s="253"/>
      <c r="AP12" s="658"/>
      <c r="AQ12" s="658"/>
      <c r="AR12" s="658"/>
      <c r="AS12" s="658"/>
      <c r="AT12" s="658"/>
      <c r="AU12" s="658"/>
      <c r="AV12" s="658"/>
      <c r="AW12" s="658"/>
      <c r="AX12" s="658"/>
      <c r="AY12" s="658"/>
      <c r="AZ12" s="2293"/>
    </row>
    <row r="13" spans="1:52" s="1115" customFormat="1" ht="15.75" customHeight="1">
      <c r="A13" s="2290"/>
      <c r="B13" s="2296"/>
      <c r="C13" s="2294"/>
      <c r="D13" s="2295"/>
      <c r="E13" s="2296"/>
      <c r="F13" s="6662" t="s">
        <v>2598</v>
      </c>
      <c r="G13" s="1998" t="s">
        <v>6568</v>
      </c>
      <c r="H13" s="2294"/>
      <c r="I13" s="2294"/>
      <c r="J13" s="2294"/>
      <c r="K13" s="2294"/>
      <c r="L13" s="2294"/>
      <c r="M13" s="2294"/>
      <c r="N13" s="2294"/>
      <c r="O13" s="2294"/>
      <c r="P13" s="2294"/>
      <c r="Q13" s="2294"/>
      <c r="R13" s="2294"/>
      <c r="S13" s="2294"/>
      <c r="T13" s="2294"/>
      <c r="U13" s="2294"/>
      <c r="V13" s="2294"/>
      <c r="W13" s="2294"/>
      <c r="X13" s="2294"/>
      <c r="Y13" s="2294"/>
      <c r="Z13" s="2294"/>
      <c r="AA13" s="2294"/>
      <c r="AB13" s="2294"/>
      <c r="AC13" s="2294"/>
      <c r="AD13" s="4559"/>
      <c r="AE13" s="2294"/>
      <c r="AF13" s="2294"/>
      <c r="AG13" s="2294"/>
      <c r="AH13" s="2294"/>
      <c r="AI13" s="2297"/>
      <c r="AJ13" s="2297"/>
      <c r="AK13" s="2290"/>
      <c r="AL13" s="253"/>
      <c r="AM13" s="253"/>
      <c r="AN13" s="253"/>
      <c r="AP13" s="658"/>
      <c r="AQ13" s="658"/>
      <c r="AR13" s="658"/>
      <c r="AS13" s="658"/>
      <c r="AT13" s="658"/>
      <c r="AU13" s="658"/>
      <c r="AV13" s="658"/>
      <c r="AW13" s="658"/>
      <c r="AX13" s="658"/>
      <c r="AY13" s="658"/>
      <c r="AZ13" s="2293"/>
    </row>
    <row r="14" spans="1:52" s="1115" customFormat="1" ht="15.75" customHeight="1">
      <c r="A14" s="2290"/>
      <c r="B14" s="514" t="s">
        <v>6569</v>
      </c>
      <c r="C14" s="2291"/>
      <c r="D14" s="2291"/>
      <c r="E14" s="2291"/>
      <c r="F14" s="1323" t="s">
        <v>6570</v>
      </c>
      <c r="G14" s="2291"/>
      <c r="H14" s="2291"/>
      <c r="I14" s="2291"/>
      <c r="J14" s="2291"/>
      <c r="K14" s="2291"/>
      <c r="L14" s="2291"/>
      <c r="M14" s="2291"/>
      <c r="N14" s="2291"/>
      <c r="O14" s="2291"/>
      <c r="P14" s="2291"/>
      <c r="Q14" s="2291"/>
      <c r="R14" s="2291"/>
      <c r="S14" s="2291"/>
      <c r="T14" s="2291"/>
      <c r="U14" s="2291"/>
      <c r="V14" s="2291"/>
      <c r="W14" s="2291"/>
      <c r="X14" s="2291"/>
      <c r="Y14" s="2291"/>
      <c r="Z14" s="2291"/>
      <c r="AA14" s="2291"/>
      <c r="AB14" s="2291"/>
      <c r="AC14" s="2291"/>
      <c r="AD14" s="4558"/>
      <c r="AE14" s="2291"/>
      <c r="AF14" s="2291"/>
      <c r="AG14" s="2291"/>
      <c r="AH14" s="2291"/>
      <c r="AI14" s="2292"/>
      <c r="AJ14" s="2292"/>
      <c r="AK14" s="2290"/>
      <c r="AL14" s="253"/>
      <c r="AM14" s="253"/>
      <c r="AN14" s="253"/>
      <c r="AP14" s="658"/>
      <c r="AQ14" s="658"/>
      <c r="AR14" s="658"/>
      <c r="AS14" s="658"/>
      <c r="AT14" s="658"/>
      <c r="AU14" s="658"/>
      <c r="AV14" s="658"/>
      <c r="AW14" s="658"/>
      <c r="AX14" s="658"/>
      <c r="AY14" s="658"/>
      <c r="AZ14" s="2293"/>
    </row>
    <row r="15" spans="1:52" s="1115" customFormat="1" ht="15.75" customHeight="1">
      <c r="A15" s="2290"/>
      <c r="B15" s="4904"/>
      <c r="C15" s="4524"/>
      <c r="D15" s="4524"/>
      <c r="E15" s="4524"/>
      <c r="F15" s="1323" t="s">
        <v>6572</v>
      </c>
      <c r="G15" s="1323"/>
      <c r="H15" s="4524"/>
      <c r="I15" s="4524"/>
      <c r="J15" s="4524"/>
      <c r="K15" s="4524"/>
      <c r="L15" s="4524"/>
      <c r="M15" s="4524"/>
      <c r="N15" s="4524"/>
      <c r="O15" s="4524"/>
      <c r="P15" s="4524"/>
      <c r="Q15" s="4524"/>
      <c r="R15" s="4524"/>
      <c r="S15" s="4524"/>
      <c r="T15" s="4524"/>
      <c r="U15" s="4524"/>
      <c r="V15" s="4524"/>
      <c r="W15" s="4524"/>
      <c r="X15" s="4524"/>
      <c r="Y15" s="4524"/>
      <c r="Z15" s="4524"/>
      <c r="AA15" s="4524"/>
      <c r="AB15" s="4524"/>
      <c r="AC15" s="4524"/>
      <c r="AD15" s="2319"/>
      <c r="AE15" s="4524"/>
      <c r="AF15" s="4524"/>
      <c r="AG15" s="4524"/>
      <c r="AH15" s="4524"/>
      <c r="AI15" s="4521"/>
      <c r="AJ15" s="4521"/>
      <c r="AK15" s="2290"/>
      <c r="AL15" s="253"/>
      <c r="AM15" s="253"/>
      <c r="AN15" s="253"/>
      <c r="AP15" s="658"/>
      <c r="AQ15" s="658"/>
      <c r="AR15" s="658"/>
      <c r="AS15" s="658"/>
      <c r="AT15" s="658"/>
      <c r="AU15" s="658"/>
      <c r="AV15" s="658"/>
      <c r="AW15" s="658"/>
      <c r="AX15" s="658"/>
      <c r="AY15" s="658"/>
      <c r="AZ15" s="2293"/>
    </row>
    <row r="16" spans="1:52" s="1115" customFormat="1" ht="15.75" customHeight="1">
      <c r="A16" s="2290"/>
      <c r="B16" s="4904"/>
      <c r="C16" s="4524"/>
      <c r="D16" s="4524"/>
      <c r="E16" s="4524"/>
      <c r="F16" s="514" t="s">
        <v>6571</v>
      </c>
      <c r="G16" s="1323"/>
      <c r="H16" s="4524"/>
      <c r="I16" s="4524"/>
      <c r="J16" s="4524"/>
      <c r="K16" s="4524"/>
      <c r="L16" s="4524"/>
      <c r="M16" s="4524"/>
      <c r="N16" s="4524"/>
      <c r="O16" s="4524"/>
      <c r="P16" s="4524"/>
      <c r="Q16" s="4524"/>
      <c r="R16" s="4524"/>
      <c r="S16" s="4524"/>
      <c r="T16" s="4524"/>
      <c r="U16" s="4524"/>
      <c r="V16" s="4524"/>
      <c r="W16" s="4524"/>
      <c r="X16" s="4524"/>
      <c r="Y16" s="4524"/>
      <c r="Z16" s="4524"/>
      <c r="AA16" s="4524"/>
      <c r="AB16" s="4524"/>
      <c r="AC16" s="4524"/>
      <c r="AD16" s="2319"/>
      <c r="AE16" s="4524"/>
      <c r="AF16" s="4524"/>
      <c r="AG16" s="4524"/>
      <c r="AH16" s="4524"/>
      <c r="AI16" s="4521"/>
      <c r="AJ16" s="4521"/>
      <c r="AK16" s="2290"/>
      <c r="AL16" s="253"/>
      <c r="AM16" s="253"/>
      <c r="AN16" s="253"/>
      <c r="AP16" s="658"/>
      <c r="AQ16" s="658"/>
      <c r="AR16" s="658"/>
      <c r="AS16" s="658"/>
      <c r="AT16" s="658"/>
      <c r="AU16" s="658"/>
      <c r="AV16" s="658"/>
      <c r="AW16" s="658"/>
      <c r="AX16" s="658"/>
      <c r="AY16" s="658"/>
      <c r="AZ16" s="2293"/>
    </row>
    <row r="17" spans="1:52" s="1115" customFormat="1" ht="15.75" customHeight="1">
      <c r="A17" s="2290"/>
      <c r="B17" s="4904"/>
      <c r="C17" s="4524"/>
      <c r="D17" s="4524"/>
      <c r="E17" s="4524"/>
      <c r="F17" s="514"/>
      <c r="G17" s="1323"/>
      <c r="H17" s="4524"/>
      <c r="I17" s="4524"/>
      <c r="J17" s="4524"/>
      <c r="K17" s="4524"/>
      <c r="L17" s="4524"/>
      <c r="M17" s="4524"/>
      <c r="N17" s="4524"/>
      <c r="O17" s="4524"/>
      <c r="P17" s="4524"/>
      <c r="Q17" s="4524"/>
      <c r="R17" s="4524"/>
      <c r="S17" s="4524"/>
      <c r="T17" s="4524"/>
      <c r="U17" s="4524"/>
      <c r="V17" s="4524"/>
      <c r="W17" s="4524"/>
      <c r="X17" s="4524"/>
      <c r="Y17" s="4524"/>
      <c r="Z17" s="4524"/>
      <c r="AA17" s="4524"/>
      <c r="AB17" s="4524"/>
      <c r="AC17" s="4524"/>
      <c r="AD17" s="2319"/>
      <c r="AE17" s="4524"/>
      <c r="AF17" s="4524"/>
      <c r="AG17" s="4524"/>
      <c r="AH17" s="4524"/>
      <c r="AI17" s="4521"/>
      <c r="AJ17" s="4521"/>
      <c r="AK17" s="2290"/>
      <c r="AL17" s="253"/>
      <c r="AM17" s="253"/>
      <c r="AN17" s="253"/>
      <c r="AP17" s="658"/>
      <c r="AQ17" s="658"/>
      <c r="AR17" s="658"/>
      <c r="AS17" s="658"/>
      <c r="AT17" s="658"/>
      <c r="AU17" s="658"/>
      <c r="AV17" s="658"/>
      <c r="AW17" s="658"/>
      <c r="AX17" s="658"/>
      <c r="AY17" s="658"/>
      <c r="AZ17" s="2293"/>
    </row>
    <row r="18" spans="1:52" s="1115" customFormat="1" ht="15.75" customHeight="1">
      <c r="A18" s="2290"/>
      <c r="B18" s="4904"/>
      <c r="C18" s="4524"/>
      <c r="D18" s="6627"/>
      <c r="E18" s="6663" t="s">
        <v>510</v>
      </c>
      <c r="F18" s="1405" t="s">
        <v>6574</v>
      </c>
      <c r="G18" s="1323"/>
      <c r="H18" s="4524"/>
      <c r="I18" s="4524"/>
      <c r="J18" s="4524"/>
      <c r="K18" s="4524"/>
      <c r="L18" s="4524"/>
      <c r="M18" s="4524"/>
      <c r="N18" s="4524"/>
      <c r="O18" s="4524"/>
      <c r="P18" s="4524"/>
      <c r="Q18" s="4524"/>
      <c r="R18" s="4524"/>
      <c r="S18" s="4524"/>
      <c r="T18" s="4524"/>
      <c r="U18" s="4524"/>
      <c r="V18" s="4524"/>
      <c r="W18" s="4524"/>
      <c r="X18" s="4524"/>
      <c r="Y18" s="4524"/>
      <c r="Z18" s="4524"/>
      <c r="AA18" s="4524"/>
      <c r="AB18" s="4524"/>
      <c r="AC18" s="4524"/>
      <c r="AD18" s="2319"/>
      <c r="AE18" s="4524"/>
      <c r="AF18" s="4524"/>
      <c r="AG18" s="4524"/>
      <c r="AH18" s="4524"/>
      <c r="AI18" s="4521"/>
      <c r="AJ18" s="4521"/>
      <c r="AK18" s="2290"/>
      <c r="AL18" s="253"/>
      <c r="AM18" s="253"/>
      <c r="AN18" s="253"/>
      <c r="AP18" s="658"/>
      <c r="AQ18" s="658"/>
      <c r="AR18" s="658"/>
      <c r="AS18" s="658"/>
      <c r="AT18" s="658"/>
      <c r="AU18" s="658"/>
      <c r="AV18" s="658"/>
      <c r="AW18" s="658"/>
      <c r="AX18" s="658"/>
      <c r="AY18" s="658"/>
      <c r="AZ18" s="2293"/>
    </row>
    <row r="19" spans="1:52" s="1115" customFormat="1" ht="15.75" customHeight="1">
      <c r="A19" s="2290"/>
      <c r="B19" s="4904"/>
      <c r="C19" s="4524"/>
      <c r="D19" s="6664"/>
      <c r="E19" s="6665"/>
      <c r="F19" s="514"/>
      <c r="G19" s="1323"/>
      <c r="H19" s="4524"/>
      <c r="I19" s="4524"/>
      <c r="J19" s="4524"/>
      <c r="K19" s="4524"/>
      <c r="L19" s="4524"/>
      <c r="M19" s="4524"/>
      <c r="N19" s="4524"/>
      <c r="O19" s="4524"/>
      <c r="P19" s="4524"/>
      <c r="Q19" s="4524"/>
      <c r="R19" s="4524"/>
      <c r="S19" s="4524"/>
      <c r="T19" s="4524"/>
      <c r="U19" s="4524"/>
      <c r="V19" s="4524"/>
      <c r="W19" s="4524"/>
      <c r="X19" s="4524"/>
      <c r="Y19" s="4524"/>
      <c r="Z19" s="4524"/>
      <c r="AA19" s="4524"/>
      <c r="AB19" s="4524"/>
      <c r="AC19" s="4524"/>
      <c r="AD19" s="2319"/>
      <c r="AE19" s="4524"/>
      <c r="AF19" s="4524"/>
      <c r="AG19" s="4524"/>
      <c r="AH19" s="4524"/>
      <c r="AI19" s="4521"/>
      <c r="AJ19" s="4521"/>
      <c r="AK19" s="2290"/>
      <c r="AL19" s="253"/>
      <c r="AM19" s="253"/>
      <c r="AN19" s="253"/>
      <c r="AP19" s="658"/>
      <c r="AQ19" s="658"/>
      <c r="AR19" s="658"/>
      <c r="AS19" s="658"/>
      <c r="AT19" s="658"/>
      <c r="AU19" s="658"/>
      <c r="AV19" s="658"/>
      <c r="AW19" s="658"/>
      <c r="AX19" s="658"/>
      <c r="AY19" s="658"/>
      <c r="AZ19" s="2293"/>
    </row>
    <row r="20" spans="1:52" s="1115" customFormat="1" ht="15.75" customHeight="1">
      <c r="A20" s="2290"/>
      <c r="B20" s="4904"/>
      <c r="C20" s="4524"/>
      <c r="D20" s="6627"/>
      <c r="E20" s="6663" t="s">
        <v>518</v>
      </c>
      <c r="F20" s="1405" t="s">
        <v>6573</v>
      </c>
      <c r="G20" s="1323"/>
      <c r="H20" s="4524"/>
      <c r="I20" s="4524"/>
      <c r="J20" s="4524"/>
      <c r="K20" s="4524"/>
      <c r="L20" s="4524"/>
      <c r="M20" s="4524"/>
      <c r="N20" s="4524"/>
      <c r="O20" s="4524"/>
      <c r="P20" s="4524"/>
      <c r="Q20" s="4524"/>
      <c r="R20" s="4524"/>
      <c r="S20" s="4524"/>
      <c r="T20" s="4524"/>
      <c r="U20" s="4524"/>
      <c r="V20" s="4524"/>
      <c r="W20" s="4524"/>
      <c r="X20" s="4524"/>
      <c r="Y20" s="4524"/>
      <c r="Z20" s="4524"/>
      <c r="AA20" s="4524"/>
      <c r="AB20" s="4524"/>
      <c r="AC20" s="4524"/>
      <c r="AD20" s="2319"/>
      <c r="AE20" s="4524"/>
      <c r="AF20" s="4524"/>
      <c r="AG20" s="4524"/>
      <c r="AH20" s="4524"/>
      <c r="AI20" s="4521"/>
      <c r="AJ20" s="4521"/>
      <c r="AK20" s="2290"/>
      <c r="AL20" s="253"/>
      <c r="AM20" s="253"/>
      <c r="AN20" s="253"/>
      <c r="AP20" s="658"/>
      <c r="AQ20" s="658"/>
      <c r="AR20" s="658"/>
      <c r="AS20" s="658"/>
      <c r="AT20" s="658"/>
      <c r="AU20" s="658"/>
      <c r="AV20" s="658"/>
      <c r="AW20" s="658"/>
      <c r="AX20" s="658"/>
      <c r="AY20" s="658"/>
      <c r="AZ20" s="2293"/>
    </row>
    <row r="21" spans="1:52" s="1115" customFormat="1" ht="15.75" customHeight="1">
      <c r="A21" s="2290"/>
      <c r="B21" s="4904"/>
      <c r="C21" s="4524"/>
      <c r="D21" s="6664"/>
      <c r="E21" s="6665"/>
      <c r="F21" s="514"/>
      <c r="G21" s="1323"/>
      <c r="H21" s="4524"/>
      <c r="I21" s="4524"/>
      <c r="J21" s="4524"/>
      <c r="K21" s="4524"/>
      <c r="L21" s="4524"/>
      <c r="M21" s="4524"/>
      <c r="N21" s="4524"/>
      <c r="O21" s="4524"/>
      <c r="P21" s="4524"/>
      <c r="Q21" s="4524"/>
      <c r="R21" s="4524"/>
      <c r="S21" s="4524"/>
      <c r="T21" s="4524"/>
      <c r="U21" s="4524"/>
      <c r="V21" s="4524"/>
      <c r="W21" s="4524"/>
      <c r="X21" s="4524"/>
      <c r="Y21" s="4524"/>
      <c r="Z21" s="4524"/>
      <c r="AA21" s="4524"/>
      <c r="AB21" s="4524"/>
      <c r="AC21" s="4524"/>
      <c r="AD21" s="2319"/>
      <c r="AE21" s="4524"/>
      <c r="AF21" s="4524"/>
      <c r="AG21" s="4524"/>
      <c r="AH21" s="4524"/>
      <c r="AI21" s="4521"/>
      <c r="AJ21" s="4521"/>
      <c r="AK21" s="2290"/>
      <c r="AL21" s="253"/>
      <c r="AM21" s="253"/>
      <c r="AN21" s="253"/>
      <c r="AP21" s="658"/>
      <c r="AQ21" s="658"/>
      <c r="AR21" s="658"/>
      <c r="AS21" s="658"/>
      <c r="AT21" s="658"/>
      <c r="AU21" s="658"/>
      <c r="AV21" s="658"/>
      <c r="AW21" s="658"/>
      <c r="AX21" s="658"/>
      <c r="AY21" s="658"/>
      <c r="AZ21" s="2293"/>
    </row>
    <row r="22" spans="1:52" s="1115" customFormat="1" ht="15.75" customHeight="1">
      <c r="A22" s="2290"/>
      <c r="B22" s="4904"/>
      <c r="C22" s="4524"/>
      <c r="D22" s="6627"/>
      <c r="E22" s="6663" t="s">
        <v>1979</v>
      </c>
      <c r="F22" s="1405" t="s">
        <v>6575</v>
      </c>
      <c r="G22" s="1323"/>
      <c r="H22" s="4524"/>
      <c r="I22" s="4524"/>
      <c r="J22" s="4524"/>
      <c r="K22" s="4524"/>
      <c r="L22" s="4524"/>
      <c r="M22" s="4524"/>
      <c r="N22" s="4524"/>
      <c r="O22" s="4524"/>
      <c r="P22" s="4524"/>
      <c r="Q22" s="4524"/>
      <c r="R22" s="4524"/>
      <c r="S22" s="4524"/>
      <c r="T22" s="4524"/>
      <c r="U22" s="4524"/>
      <c r="V22" s="4524"/>
      <c r="W22" s="4524"/>
      <c r="X22" s="4524"/>
      <c r="Y22" s="4524"/>
      <c r="Z22" s="4524"/>
      <c r="AA22" s="4524"/>
      <c r="AB22" s="4524"/>
      <c r="AC22" s="4524"/>
      <c r="AD22" s="2319"/>
      <c r="AE22" s="4524"/>
      <c r="AF22" s="4524"/>
      <c r="AG22" s="4524"/>
      <c r="AH22" s="4524"/>
      <c r="AI22" s="4521"/>
      <c r="AJ22" s="4521"/>
      <c r="AK22" s="2290"/>
      <c r="AL22" s="253"/>
      <c r="AM22" s="253"/>
      <c r="AN22" s="253"/>
      <c r="AP22" s="658"/>
      <c r="AQ22" s="658"/>
      <c r="AR22" s="658"/>
      <c r="AS22" s="658"/>
      <c r="AT22" s="658"/>
      <c r="AU22" s="658"/>
      <c r="AV22" s="658"/>
      <c r="AW22" s="658"/>
      <c r="AX22" s="658"/>
      <c r="AY22" s="658"/>
      <c r="AZ22" s="2293"/>
    </row>
    <row r="23" spans="1:52" s="1115" customFormat="1" ht="15.75" customHeight="1">
      <c r="A23" s="2290"/>
      <c r="B23" s="4904"/>
      <c r="C23" s="4524"/>
      <c r="D23" s="6664"/>
      <c r="E23" s="6665"/>
      <c r="F23" s="514"/>
      <c r="G23" s="1323"/>
      <c r="H23" s="4524"/>
      <c r="I23" s="4524"/>
      <c r="J23" s="4524"/>
      <c r="K23" s="4524"/>
      <c r="L23" s="4524"/>
      <c r="M23" s="4524"/>
      <c r="N23" s="4524"/>
      <c r="O23" s="4524"/>
      <c r="P23" s="4524"/>
      <c r="Q23" s="4524"/>
      <c r="R23" s="4524"/>
      <c r="S23" s="4524"/>
      <c r="T23" s="4524"/>
      <c r="U23" s="4524"/>
      <c r="V23" s="4524"/>
      <c r="W23" s="4524"/>
      <c r="X23" s="4524"/>
      <c r="Y23" s="4524"/>
      <c r="Z23" s="4524"/>
      <c r="AA23" s="4524"/>
      <c r="AB23" s="4524"/>
      <c r="AC23" s="4524"/>
      <c r="AD23" s="2319"/>
      <c r="AE23" s="4524"/>
      <c r="AF23" s="4524"/>
      <c r="AG23" s="4524"/>
      <c r="AH23" s="4524"/>
      <c r="AI23" s="4521"/>
      <c r="AJ23" s="4521"/>
      <c r="AK23" s="2290"/>
      <c r="AL23" s="253"/>
      <c r="AM23" s="253"/>
      <c r="AN23" s="253"/>
      <c r="AP23" s="658"/>
      <c r="AQ23" s="658"/>
      <c r="AR23" s="658"/>
      <c r="AS23" s="658"/>
      <c r="AT23" s="658"/>
      <c r="AU23" s="658"/>
      <c r="AV23" s="658"/>
      <c r="AW23" s="658"/>
      <c r="AX23" s="658"/>
      <c r="AY23" s="658"/>
      <c r="AZ23" s="2293"/>
    </row>
    <row r="24" spans="1:52" s="1115" customFormat="1" ht="15.75" customHeight="1">
      <c r="A24" s="2290"/>
      <c r="B24" s="4904"/>
      <c r="C24" s="4524"/>
      <c r="D24" s="6627"/>
      <c r="E24" s="6663" t="s">
        <v>1980</v>
      </c>
      <c r="F24" s="1323" t="str">
        <f>"I received a Form W-2 and a Form 1099-MISC and/or 1099-NEC from this firm for "&amp;TaxYear&amp;". The amount on Form"</f>
        <v>I received a Form W-2 and a Form 1099-MISC and/or 1099-NEC from this firm for 2025. The amount on Form</v>
      </c>
      <c r="G24" s="1323"/>
      <c r="H24" s="4524"/>
      <c r="I24" s="4524"/>
      <c r="J24" s="4524"/>
      <c r="K24" s="4524"/>
      <c r="L24" s="4524"/>
      <c r="M24" s="4524"/>
      <c r="N24" s="4524"/>
      <c r="O24" s="4524"/>
      <c r="P24" s="4524"/>
      <c r="Q24" s="4524"/>
      <c r="R24" s="4524"/>
      <c r="S24" s="4524"/>
      <c r="T24" s="4524"/>
      <c r="U24" s="4524"/>
      <c r="V24" s="4524"/>
      <c r="W24" s="4524"/>
      <c r="X24" s="4524"/>
      <c r="Y24" s="4524"/>
      <c r="Z24" s="4524"/>
      <c r="AA24" s="4524"/>
      <c r="AB24" s="4524"/>
      <c r="AC24" s="4524"/>
      <c r="AD24" s="2319"/>
      <c r="AE24" s="4524"/>
      <c r="AF24" s="4524"/>
      <c r="AG24" s="4524"/>
      <c r="AH24" s="4524"/>
      <c r="AI24" s="4521"/>
      <c r="AJ24" s="4521"/>
      <c r="AK24" s="2290"/>
      <c r="AL24" s="253"/>
      <c r="AM24" s="253"/>
      <c r="AN24" s="253"/>
      <c r="AP24" s="658"/>
      <c r="AQ24" s="658"/>
      <c r="AR24" s="658"/>
      <c r="AS24" s="658"/>
      <c r="AT24" s="658"/>
      <c r="AU24" s="658"/>
      <c r="AV24" s="658"/>
      <c r="AW24" s="658"/>
      <c r="AX24" s="658"/>
      <c r="AY24" s="658"/>
      <c r="AZ24" s="2293"/>
    </row>
    <row r="25" spans="1:52" s="1115" customFormat="1" ht="15.75" customHeight="1">
      <c r="A25" s="2290"/>
      <c r="B25" s="4904"/>
      <c r="C25" s="4524"/>
      <c r="D25" s="4524"/>
      <c r="E25" s="4524"/>
      <c r="F25" s="1323" t="s">
        <v>6577</v>
      </c>
      <c r="G25" s="1323"/>
      <c r="H25" s="4524"/>
      <c r="I25" s="4524"/>
      <c r="J25" s="4524"/>
      <c r="K25" s="4524"/>
      <c r="L25" s="4524"/>
      <c r="M25" s="4524"/>
      <c r="N25" s="4524"/>
      <c r="O25" s="4524"/>
      <c r="P25" s="4524"/>
      <c r="Q25" s="4524"/>
      <c r="R25" s="4524"/>
      <c r="S25" s="4524"/>
      <c r="T25" s="4524"/>
      <c r="U25" s="4524"/>
      <c r="V25" s="4524"/>
      <c r="W25" s="4524"/>
      <c r="X25" s="4524"/>
      <c r="Y25" s="4524"/>
      <c r="Z25" s="4524"/>
      <c r="AA25" s="4524"/>
      <c r="AB25" s="4524"/>
      <c r="AC25" s="4524"/>
      <c r="AD25" s="2319"/>
      <c r="AE25" s="4524"/>
      <c r="AF25" s="4524"/>
      <c r="AG25" s="4524"/>
      <c r="AH25" s="4524"/>
      <c r="AI25" s="4521"/>
      <c r="AJ25" s="4521"/>
      <c r="AK25" s="2290"/>
      <c r="AL25" s="253"/>
      <c r="AM25" s="253"/>
      <c r="AN25" s="253"/>
      <c r="AP25" s="658"/>
      <c r="AQ25" s="658"/>
      <c r="AR25" s="658"/>
      <c r="AS25" s="658"/>
      <c r="AT25" s="658"/>
      <c r="AU25" s="658"/>
      <c r="AV25" s="658"/>
      <c r="AW25" s="658"/>
      <c r="AX25" s="658"/>
      <c r="AY25" s="658"/>
      <c r="AZ25" s="2293"/>
    </row>
    <row r="26" spans="1:52" s="1115" customFormat="1" ht="19.5" customHeight="1">
      <c r="A26" s="2290"/>
      <c r="B26" s="4904"/>
      <c r="C26" s="4524"/>
      <c r="D26" s="4524"/>
      <c r="E26" s="4524"/>
      <c r="F26" s="6666" t="s">
        <v>6578</v>
      </c>
      <c r="G26" s="1323"/>
      <c r="H26" s="4524"/>
      <c r="I26" s="4524"/>
      <c r="J26" s="4524"/>
      <c r="K26" s="4524"/>
      <c r="L26" s="4524"/>
      <c r="M26" s="4524"/>
      <c r="N26" s="4524"/>
      <c r="O26" s="4524"/>
      <c r="P26" s="4524"/>
      <c r="Q26" s="4524"/>
      <c r="R26" s="4524"/>
      <c r="S26" s="4524"/>
      <c r="T26" s="4524"/>
      <c r="U26" s="4524"/>
      <c r="V26" s="4524"/>
      <c r="W26" s="4524"/>
      <c r="X26" s="4524"/>
      <c r="Y26" s="4524"/>
      <c r="Z26" s="4524"/>
      <c r="AA26" s="4524"/>
      <c r="AB26" s="4524"/>
      <c r="AC26" s="4524"/>
      <c r="AD26" s="2319"/>
      <c r="AE26" s="4524"/>
      <c r="AF26" s="4524"/>
      <c r="AG26" s="4524"/>
      <c r="AH26" s="4524"/>
      <c r="AI26" s="4521"/>
      <c r="AJ26" s="4521"/>
      <c r="AK26" s="2290"/>
      <c r="AL26" s="253"/>
      <c r="AM26" s="253"/>
      <c r="AN26" s="253"/>
      <c r="AP26" s="658"/>
      <c r="AQ26" s="658"/>
      <c r="AR26" s="658"/>
      <c r="AS26" s="658"/>
      <c r="AT26" s="658"/>
      <c r="AU26" s="658"/>
      <c r="AV26" s="658"/>
      <c r="AW26" s="658"/>
      <c r="AX26" s="658"/>
      <c r="AY26" s="658"/>
      <c r="AZ26" s="2293"/>
    </row>
    <row r="27" spans="1:52" s="1115" customFormat="1" ht="15.75" customHeight="1">
      <c r="A27" s="2290"/>
      <c r="B27" s="2310"/>
      <c r="C27" s="2291"/>
      <c r="D27" s="2317"/>
      <c r="E27" s="2310"/>
      <c r="F27" s="6667"/>
      <c r="G27" s="2761"/>
      <c r="H27" s="2291"/>
      <c r="I27" s="2291"/>
      <c r="J27" s="2291"/>
      <c r="K27" s="2291"/>
      <c r="L27" s="2291"/>
      <c r="M27" s="6668"/>
      <c r="N27" s="9930" t="s">
        <v>6582</v>
      </c>
      <c r="O27" s="11365"/>
      <c r="P27" s="11365"/>
      <c r="Q27" s="11365"/>
      <c r="R27" s="11365"/>
      <c r="S27" s="11366"/>
      <c r="T27" s="9930" t="s">
        <v>6581</v>
      </c>
      <c r="U27" s="11365"/>
      <c r="V27" s="11366"/>
      <c r="W27" s="9930" t="s">
        <v>6580</v>
      </c>
      <c r="X27" s="11365"/>
      <c r="Y27" s="11365"/>
      <c r="Z27" s="11365"/>
      <c r="AA27" s="11366"/>
      <c r="AB27" s="9936" t="s">
        <v>6579</v>
      </c>
      <c r="AC27" s="11373"/>
      <c r="AD27" s="11374"/>
      <c r="AE27" s="9936" t="s">
        <v>6584</v>
      </c>
      <c r="AF27" s="11373"/>
      <c r="AG27" s="11373"/>
      <c r="AH27" s="11373"/>
      <c r="AI27" s="11373"/>
      <c r="AJ27" s="11373"/>
      <c r="AK27" s="2290"/>
      <c r="AL27" s="253"/>
      <c r="AM27" s="253"/>
      <c r="AN27" s="253"/>
      <c r="AP27" s="658"/>
      <c r="AQ27" s="658"/>
      <c r="AR27" s="658"/>
      <c r="AS27" s="658"/>
      <c r="AT27" s="658"/>
      <c r="AU27" s="658"/>
      <c r="AV27" s="658"/>
      <c r="AW27" s="658"/>
      <c r="AX27" s="658"/>
      <c r="AY27" s="658"/>
      <c r="AZ27" s="2293"/>
    </row>
    <row r="28" spans="1:52" s="1115" customFormat="1" ht="15.75" customHeight="1">
      <c r="A28" s="2290"/>
      <c r="B28" s="4904"/>
      <c r="C28" s="4524"/>
      <c r="D28" s="6626"/>
      <c r="E28" s="4904"/>
      <c r="F28" s="6669"/>
      <c r="G28" s="1323"/>
      <c r="H28" s="4524"/>
      <c r="I28" s="4524"/>
      <c r="J28" s="4524"/>
      <c r="K28" s="4524"/>
      <c r="L28" s="4524"/>
      <c r="M28" s="6670"/>
      <c r="N28" s="11367"/>
      <c r="O28" s="11368"/>
      <c r="P28" s="11368"/>
      <c r="Q28" s="11368"/>
      <c r="R28" s="11368"/>
      <c r="S28" s="11369"/>
      <c r="T28" s="11367"/>
      <c r="U28" s="11368"/>
      <c r="V28" s="11369"/>
      <c r="W28" s="11367"/>
      <c r="X28" s="11368"/>
      <c r="Y28" s="11368"/>
      <c r="Z28" s="11368"/>
      <c r="AA28" s="11369"/>
      <c r="AB28" s="11375"/>
      <c r="AC28" s="11376"/>
      <c r="AD28" s="11377"/>
      <c r="AE28" s="11375"/>
      <c r="AF28" s="11376"/>
      <c r="AG28" s="11376"/>
      <c r="AH28" s="11376"/>
      <c r="AI28" s="11376"/>
      <c r="AJ28" s="11376"/>
      <c r="AK28" s="2290"/>
      <c r="AL28" s="253"/>
      <c r="AM28" s="253"/>
      <c r="AN28" s="253"/>
      <c r="AP28" s="658"/>
      <c r="AQ28" s="658"/>
      <c r="AR28" s="658"/>
      <c r="AS28" s="658"/>
      <c r="AT28" s="658"/>
      <c r="AU28" s="658"/>
      <c r="AV28" s="658"/>
      <c r="AW28" s="658"/>
      <c r="AX28" s="658"/>
      <c r="AY28" s="658"/>
      <c r="AZ28" s="2293"/>
    </row>
    <row r="29" spans="1:52" s="1115" customFormat="1" ht="15.75" customHeight="1">
      <c r="A29" s="2290"/>
      <c r="B29" s="4904"/>
      <c r="C29" s="4524"/>
      <c r="D29" s="6629" t="s">
        <v>6583</v>
      </c>
      <c r="E29" s="4904"/>
      <c r="F29" s="6669"/>
      <c r="G29" s="1323"/>
      <c r="H29" s="2914"/>
      <c r="I29" s="4524"/>
      <c r="J29" s="4524"/>
      <c r="K29" s="4524"/>
      <c r="L29" s="4524"/>
      <c r="M29" s="6670"/>
      <c r="N29" s="11367"/>
      <c r="O29" s="11368"/>
      <c r="P29" s="11368"/>
      <c r="Q29" s="11368"/>
      <c r="R29" s="11368"/>
      <c r="S29" s="11369"/>
      <c r="T29" s="11367"/>
      <c r="U29" s="11368"/>
      <c r="V29" s="11369"/>
      <c r="W29" s="11367"/>
      <c r="X29" s="11368"/>
      <c r="Y29" s="11368"/>
      <c r="Z29" s="11368"/>
      <c r="AA29" s="11369"/>
      <c r="AB29" s="11375"/>
      <c r="AC29" s="11376"/>
      <c r="AD29" s="11377"/>
      <c r="AE29" s="11375"/>
      <c r="AF29" s="11376"/>
      <c r="AG29" s="11376"/>
      <c r="AH29" s="11376"/>
      <c r="AI29" s="11376"/>
      <c r="AJ29" s="11376"/>
      <c r="AK29" s="2290"/>
      <c r="AL29" s="253"/>
      <c r="AM29" s="253"/>
      <c r="AN29" s="253"/>
      <c r="AP29" s="658"/>
      <c r="AQ29" s="658"/>
      <c r="AR29" s="658"/>
      <c r="AS29" s="658"/>
      <c r="AT29" s="658"/>
      <c r="AU29" s="658"/>
      <c r="AV29" s="658"/>
      <c r="AW29" s="658"/>
      <c r="AX29" s="658"/>
      <c r="AY29" s="658"/>
      <c r="AZ29" s="2293"/>
    </row>
    <row r="30" spans="1:52" s="1115" customFormat="1" ht="15.75" customHeight="1">
      <c r="A30" s="2290"/>
      <c r="B30" s="4904"/>
      <c r="C30" s="4524"/>
      <c r="D30" s="6626"/>
      <c r="E30" s="4904"/>
      <c r="F30" s="6669"/>
      <c r="G30" s="1323"/>
      <c r="H30" s="4524"/>
      <c r="I30" s="4524"/>
      <c r="J30" s="4524"/>
      <c r="K30" s="4524"/>
      <c r="L30" s="4524"/>
      <c r="M30" s="6670"/>
      <c r="N30" s="11367"/>
      <c r="O30" s="11368"/>
      <c r="P30" s="11368"/>
      <c r="Q30" s="11368"/>
      <c r="R30" s="11368"/>
      <c r="S30" s="11369"/>
      <c r="T30" s="11367"/>
      <c r="U30" s="11368"/>
      <c r="V30" s="11369"/>
      <c r="W30" s="11367"/>
      <c r="X30" s="11368"/>
      <c r="Y30" s="11368"/>
      <c r="Z30" s="11368"/>
      <c r="AA30" s="11369"/>
      <c r="AB30" s="11375"/>
      <c r="AC30" s="11376"/>
      <c r="AD30" s="11377"/>
      <c r="AE30" s="11375"/>
      <c r="AF30" s="11376"/>
      <c r="AG30" s="11376"/>
      <c r="AH30" s="11376"/>
      <c r="AI30" s="11376"/>
      <c r="AJ30" s="11376"/>
      <c r="AK30" s="2290"/>
      <c r="AL30" s="253"/>
      <c r="AM30" s="253"/>
      <c r="AN30" s="253"/>
      <c r="AP30" s="658"/>
      <c r="AQ30" s="658"/>
      <c r="AR30" s="658"/>
      <c r="AS30" s="658"/>
      <c r="AT30" s="658"/>
      <c r="AU30" s="658"/>
      <c r="AV30" s="658"/>
      <c r="AW30" s="658"/>
      <c r="AX30" s="658"/>
      <c r="AY30" s="658"/>
      <c r="AZ30" s="2293"/>
    </row>
    <row r="31" spans="1:52" s="1115" customFormat="1" ht="21" customHeight="1">
      <c r="A31" s="2290"/>
      <c r="B31" s="2296"/>
      <c r="C31" s="2294"/>
      <c r="D31" s="2295"/>
      <c r="E31" s="2296"/>
      <c r="F31" s="6671"/>
      <c r="G31" s="1998"/>
      <c r="H31" s="2294"/>
      <c r="I31" s="2294"/>
      <c r="J31" s="2294"/>
      <c r="K31" s="2294"/>
      <c r="L31" s="2294"/>
      <c r="M31" s="6672"/>
      <c r="N31" s="11370"/>
      <c r="O31" s="11371"/>
      <c r="P31" s="11371"/>
      <c r="Q31" s="11371"/>
      <c r="R31" s="11371"/>
      <c r="S31" s="11372"/>
      <c r="T31" s="11370"/>
      <c r="U31" s="11371"/>
      <c r="V31" s="11372"/>
      <c r="W31" s="11370"/>
      <c r="X31" s="11371"/>
      <c r="Y31" s="11371"/>
      <c r="Z31" s="11371"/>
      <c r="AA31" s="11372"/>
      <c r="AB31" s="11378"/>
      <c r="AC31" s="11379"/>
      <c r="AD31" s="11380"/>
      <c r="AE31" s="11378"/>
      <c r="AF31" s="11379"/>
      <c r="AG31" s="11379"/>
      <c r="AH31" s="11379"/>
      <c r="AI31" s="11379"/>
      <c r="AJ31" s="11379"/>
      <c r="AK31" s="2290"/>
      <c r="AL31" s="253"/>
      <c r="AM31" s="253"/>
      <c r="AN31" s="253"/>
      <c r="AP31" s="658"/>
      <c r="AQ31" s="658"/>
      <c r="AR31" s="658"/>
      <c r="AS31" s="658"/>
      <c r="AT31" s="658"/>
      <c r="AU31" s="658"/>
      <c r="AV31" s="658"/>
      <c r="AW31" s="658"/>
      <c r="AX31" s="658"/>
      <c r="AY31" s="658"/>
      <c r="AZ31" s="2293"/>
    </row>
    <row r="32" spans="1:52" s="1115" customFormat="1" ht="15.75" customHeight="1">
      <c r="A32" s="2290"/>
      <c r="B32" s="9912">
        <v>1</v>
      </c>
      <c r="C32" s="9922" t="str">
        <f>IF(N32,'W-2s'!C2,"")</f>
        <v/>
      </c>
      <c r="D32" s="9922"/>
      <c r="E32" s="9922"/>
      <c r="F32" s="9922"/>
      <c r="G32" s="9922"/>
      <c r="H32" s="9922"/>
      <c r="I32" s="9922"/>
      <c r="J32" s="9922"/>
      <c r="K32" s="9922"/>
      <c r="L32" s="9922"/>
      <c r="M32" s="9923"/>
      <c r="N32" s="11354" t="b">
        <f>OR('W-2s'!C13&lt;&gt;"",'W-2s'!C14&lt;&gt;"")</f>
        <v>0</v>
      </c>
      <c r="O32" s="11355"/>
      <c r="P32" s="11355"/>
      <c r="Q32" s="11355"/>
      <c r="R32" s="11355"/>
      <c r="S32" s="11356"/>
      <c r="T32" s="11351" t="str">
        <f>IF(OR(T33="A",T33="a",T33="C",T33="c",T33="G",T33="g",T33="H",T33="h",T33=""),"","Wrong code.")</f>
        <v/>
      </c>
      <c r="U32" s="11352"/>
      <c r="V32" s="11353"/>
      <c r="W32" s="6630"/>
      <c r="X32" s="2291"/>
      <c r="Y32" s="2291"/>
      <c r="Z32" s="2291"/>
      <c r="AA32" s="6668"/>
      <c r="AB32" s="6630"/>
      <c r="AC32" s="2291"/>
      <c r="AD32" s="6673"/>
      <c r="AE32" s="11363"/>
      <c r="AF32" s="11364"/>
      <c r="AG32" s="11364"/>
      <c r="AH32" s="11364"/>
      <c r="AI32" s="11364"/>
      <c r="AJ32" s="11364"/>
      <c r="AK32" s="2290"/>
      <c r="AL32" s="253"/>
      <c r="AM32" s="253"/>
      <c r="AN32" s="253"/>
      <c r="AP32" s="658"/>
      <c r="AQ32" s="658"/>
      <c r="AR32" s="658"/>
      <c r="AS32" s="658"/>
      <c r="AT32" s="658"/>
      <c r="AU32" s="658"/>
      <c r="AV32" s="658"/>
      <c r="AW32" s="658"/>
      <c r="AX32" s="658"/>
      <c r="AY32" s="658"/>
      <c r="AZ32" s="2293"/>
    </row>
    <row r="33" spans="1:52" s="1115" customFormat="1" ht="12.75" customHeight="1">
      <c r="A33" s="2290"/>
      <c r="B33" s="11328"/>
      <c r="C33" s="11329"/>
      <c r="D33" s="11329"/>
      <c r="E33" s="11329"/>
      <c r="F33" s="11329"/>
      <c r="G33" s="11329"/>
      <c r="H33" s="11329"/>
      <c r="I33" s="11329"/>
      <c r="J33" s="11329"/>
      <c r="K33" s="11329"/>
      <c r="L33" s="11329"/>
      <c r="M33" s="11330"/>
      <c r="N33" s="11331"/>
      <c r="O33" s="11332"/>
      <c r="P33" s="11332"/>
      <c r="Q33" s="11332"/>
      <c r="R33" s="11332"/>
      <c r="S33" s="11333"/>
      <c r="T33" s="11337" t="str">
        <f>IF(N32,"H","")</f>
        <v/>
      </c>
      <c r="U33" s="11338"/>
      <c r="V33" s="11339"/>
      <c r="W33" s="11342"/>
      <c r="X33" s="11343"/>
      <c r="Y33" s="11343"/>
      <c r="Z33" s="11343"/>
      <c r="AA33" s="11344"/>
      <c r="AB33" s="6674"/>
      <c r="AC33" s="2355"/>
      <c r="AD33" s="6675"/>
      <c r="AE33" s="11361" t="str">
        <f>IF(AM33&lt;&gt;"",ROUND(AM33,0),IF(N32,SUM('W-2s'!C13:C14),""))</f>
        <v/>
      </c>
      <c r="AF33" s="11362"/>
      <c r="AG33" s="11362"/>
      <c r="AH33" s="11362"/>
      <c r="AI33" s="11362"/>
      <c r="AJ33" s="11362"/>
      <c r="AK33" s="2290"/>
      <c r="AL33" s="253"/>
      <c r="AM33" s="11357"/>
      <c r="AN33" s="253"/>
      <c r="AP33" s="658"/>
      <c r="AQ33" s="658"/>
      <c r="AR33" s="658"/>
      <c r="AS33" s="658"/>
      <c r="AT33" s="658"/>
      <c r="AU33" s="658"/>
      <c r="AV33" s="658"/>
      <c r="AW33" s="658"/>
      <c r="AX33" s="658"/>
      <c r="AY33" s="658"/>
      <c r="AZ33" s="2293"/>
    </row>
    <row r="34" spans="1:52" s="1115" customFormat="1" ht="6.75" customHeight="1">
      <c r="A34" s="2290"/>
      <c r="B34" s="9913"/>
      <c r="C34" s="7146"/>
      <c r="D34" s="7146"/>
      <c r="E34" s="7146"/>
      <c r="F34" s="7146"/>
      <c r="G34" s="7146"/>
      <c r="H34" s="7146"/>
      <c r="I34" s="7146"/>
      <c r="J34" s="7146"/>
      <c r="K34" s="7146"/>
      <c r="L34" s="7146"/>
      <c r="M34" s="7147"/>
      <c r="N34" s="11334"/>
      <c r="O34" s="11335"/>
      <c r="P34" s="11335"/>
      <c r="Q34" s="11335"/>
      <c r="R34" s="11335"/>
      <c r="S34" s="11336"/>
      <c r="T34" s="11340"/>
      <c r="U34" s="10267"/>
      <c r="V34" s="11341"/>
      <c r="W34" s="11345"/>
      <c r="X34" s="11346"/>
      <c r="Y34" s="11346"/>
      <c r="Z34" s="11346"/>
      <c r="AA34" s="11347"/>
      <c r="AB34" s="6676"/>
      <c r="AC34" s="2294"/>
      <c r="AD34" s="6677"/>
      <c r="AE34" s="9909"/>
      <c r="AF34" s="9910"/>
      <c r="AG34" s="9910"/>
      <c r="AH34" s="9910"/>
      <c r="AI34" s="9910"/>
      <c r="AJ34" s="9910"/>
      <c r="AK34" s="2290"/>
      <c r="AL34" s="253"/>
      <c r="AM34" s="11358"/>
      <c r="AN34" s="253"/>
      <c r="AP34" s="658"/>
      <c r="AQ34" s="658"/>
      <c r="AR34" s="658"/>
      <c r="AS34" s="658"/>
      <c r="AT34" s="658"/>
      <c r="AU34" s="658"/>
      <c r="AV34" s="658"/>
      <c r="AW34" s="658"/>
      <c r="AX34" s="658"/>
      <c r="AY34" s="658"/>
      <c r="AZ34" s="2293"/>
    </row>
    <row r="35" spans="1:52" s="1115" customFormat="1" ht="15.75" customHeight="1">
      <c r="A35" s="2290"/>
      <c r="B35" s="9912">
        <v>2</v>
      </c>
      <c r="C35" s="9922" t="str">
        <f>IF(N35,'W-2s'!D2,"")</f>
        <v/>
      </c>
      <c r="D35" s="9922"/>
      <c r="E35" s="9922"/>
      <c r="F35" s="9922"/>
      <c r="G35" s="9922"/>
      <c r="H35" s="9922"/>
      <c r="I35" s="9922"/>
      <c r="J35" s="9922"/>
      <c r="K35" s="9922"/>
      <c r="L35" s="9922"/>
      <c r="M35" s="9923"/>
      <c r="N35" s="11354" t="b">
        <f>OR('W-2s'!D13&lt;&gt;"",'W-2s'!D14&lt;&gt;"")</f>
        <v>0</v>
      </c>
      <c r="O35" s="11355"/>
      <c r="P35" s="11355"/>
      <c r="Q35" s="11355"/>
      <c r="R35" s="11355"/>
      <c r="S35" s="11356"/>
      <c r="T35" s="11351" t="str">
        <f>IF(OR(T36="A",T36="a",T36="C",T36="c",T36="G",T36="g",T36="H",T36="h",T36=""),"","Wrong code.")</f>
        <v/>
      </c>
      <c r="U35" s="11352"/>
      <c r="V35" s="11353"/>
      <c r="W35" s="6630"/>
      <c r="X35" s="2291"/>
      <c r="Y35" s="2291"/>
      <c r="Z35" s="2291"/>
      <c r="AA35" s="6668"/>
      <c r="AB35" s="6630"/>
      <c r="AC35" s="2291"/>
      <c r="AD35" s="6673"/>
      <c r="AE35" s="11359"/>
      <c r="AF35" s="11360"/>
      <c r="AG35" s="11360"/>
      <c r="AH35" s="11360"/>
      <c r="AI35" s="11360"/>
      <c r="AJ35" s="11360"/>
      <c r="AK35" s="2290"/>
      <c r="AL35" s="253"/>
      <c r="AM35" s="253"/>
      <c r="AN35" s="253"/>
      <c r="AP35" s="658"/>
      <c r="AQ35" s="658"/>
      <c r="AR35" s="658"/>
      <c r="AS35" s="658"/>
      <c r="AT35" s="658"/>
      <c r="AU35" s="658"/>
      <c r="AV35" s="658"/>
      <c r="AW35" s="658"/>
      <c r="AX35" s="658"/>
      <c r="AY35" s="658"/>
      <c r="AZ35" s="2293"/>
    </row>
    <row r="36" spans="1:52" s="1115" customFormat="1" ht="12.75" customHeight="1">
      <c r="A36" s="2290"/>
      <c r="B36" s="11328"/>
      <c r="C36" s="11329"/>
      <c r="D36" s="11329"/>
      <c r="E36" s="11329"/>
      <c r="F36" s="11329"/>
      <c r="G36" s="11329"/>
      <c r="H36" s="11329"/>
      <c r="I36" s="11329"/>
      <c r="J36" s="11329"/>
      <c r="K36" s="11329"/>
      <c r="L36" s="11329"/>
      <c r="M36" s="11330"/>
      <c r="N36" s="11331"/>
      <c r="O36" s="11332"/>
      <c r="P36" s="11332"/>
      <c r="Q36" s="11332"/>
      <c r="R36" s="11332"/>
      <c r="S36" s="11333"/>
      <c r="T36" s="11337" t="str">
        <f>IF(N35,"H","")</f>
        <v/>
      </c>
      <c r="U36" s="11338"/>
      <c r="V36" s="11339"/>
      <c r="W36" s="11342"/>
      <c r="X36" s="11343"/>
      <c r="Y36" s="11343"/>
      <c r="Z36" s="11343"/>
      <c r="AA36" s="11344"/>
      <c r="AB36" s="6674"/>
      <c r="AC36" s="2355"/>
      <c r="AD36" s="6675"/>
      <c r="AE36" s="11361" t="str">
        <f>IF(AM36&lt;&gt;"",ROUND(AM36,0),IF(N35,SUM('W-2s'!D13:D14),""))</f>
        <v/>
      </c>
      <c r="AF36" s="11362"/>
      <c r="AG36" s="11362"/>
      <c r="AH36" s="11362"/>
      <c r="AI36" s="11362"/>
      <c r="AJ36" s="11362"/>
      <c r="AK36" s="2290"/>
      <c r="AL36" s="253"/>
      <c r="AM36" s="11357"/>
      <c r="AN36" s="253"/>
      <c r="AP36" s="658"/>
      <c r="AQ36" s="658"/>
      <c r="AR36" s="658"/>
      <c r="AS36" s="658"/>
      <c r="AT36" s="658"/>
      <c r="AU36" s="658"/>
      <c r="AV36" s="658"/>
      <c r="AW36" s="658"/>
      <c r="AX36" s="658"/>
      <c r="AY36" s="658"/>
      <c r="AZ36" s="2293"/>
    </row>
    <row r="37" spans="1:52" s="1115" customFormat="1" ht="6.75" customHeight="1">
      <c r="A37" s="2290"/>
      <c r="B37" s="9913"/>
      <c r="C37" s="7146"/>
      <c r="D37" s="7146"/>
      <c r="E37" s="7146"/>
      <c r="F37" s="7146"/>
      <c r="G37" s="7146"/>
      <c r="H37" s="7146"/>
      <c r="I37" s="7146"/>
      <c r="J37" s="7146"/>
      <c r="K37" s="7146"/>
      <c r="L37" s="7146"/>
      <c r="M37" s="7147"/>
      <c r="N37" s="11334"/>
      <c r="O37" s="11335"/>
      <c r="P37" s="11335"/>
      <c r="Q37" s="11335"/>
      <c r="R37" s="11335"/>
      <c r="S37" s="11336"/>
      <c r="T37" s="11340"/>
      <c r="U37" s="10267"/>
      <c r="V37" s="11341"/>
      <c r="W37" s="11345"/>
      <c r="X37" s="11346"/>
      <c r="Y37" s="11346"/>
      <c r="Z37" s="11346"/>
      <c r="AA37" s="11347"/>
      <c r="AB37" s="6676"/>
      <c r="AC37" s="2294"/>
      <c r="AD37" s="6677"/>
      <c r="AE37" s="9909"/>
      <c r="AF37" s="9910"/>
      <c r="AG37" s="9910"/>
      <c r="AH37" s="9910"/>
      <c r="AI37" s="9910"/>
      <c r="AJ37" s="9910"/>
      <c r="AK37" s="2290"/>
      <c r="AL37" s="253"/>
      <c r="AM37" s="11358"/>
      <c r="AN37" s="253"/>
      <c r="AP37" s="658"/>
      <c r="AQ37" s="658"/>
      <c r="AR37" s="658"/>
      <c r="AS37" s="658"/>
      <c r="AT37" s="658"/>
      <c r="AU37" s="658"/>
      <c r="AV37" s="658"/>
      <c r="AW37" s="658"/>
      <c r="AX37" s="658"/>
      <c r="AY37" s="658"/>
      <c r="AZ37" s="2293"/>
    </row>
    <row r="38" spans="1:52" s="1115" customFormat="1" ht="15.75" customHeight="1">
      <c r="A38" s="2290"/>
      <c r="B38" s="9912">
        <v>3</v>
      </c>
      <c r="C38" s="9922" t="str">
        <f>IF(N38,'W-2s'!E2,"")</f>
        <v/>
      </c>
      <c r="D38" s="9922"/>
      <c r="E38" s="9922"/>
      <c r="F38" s="9922"/>
      <c r="G38" s="9922"/>
      <c r="H38" s="9922"/>
      <c r="I38" s="9922"/>
      <c r="J38" s="9922"/>
      <c r="K38" s="9922"/>
      <c r="L38" s="9922"/>
      <c r="M38" s="9923"/>
      <c r="N38" s="11354" t="b">
        <f>OR('W-2s'!E13&lt;&gt;"",'W-2s'!E14&lt;&gt;"")</f>
        <v>0</v>
      </c>
      <c r="O38" s="11355"/>
      <c r="P38" s="11355"/>
      <c r="Q38" s="11355"/>
      <c r="R38" s="11355"/>
      <c r="S38" s="11356"/>
      <c r="T38" s="11351" t="str">
        <f>IF(OR(T39="A",T39="a",T39="C",T39="c",T39="G",T39="g",T39="H",T39="h",T39=""),"","Wrong code.")</f>
        <v/>
      </c>
      <c r="U38" s="11352"/>
      <c r="V38" s="11353"/>
      <c r="W38" s="6630"/>
      <c r="X38" s="2291"/>
      <c r="Y38" s="2291"/>
      <c r="Z38" s="2291"/>
      <c r="AA38" s="6668"/>
      <c r="AB38" s="6630"/>
      <c r="AC38" s="2291"/>
      <c r="AD38" s="6673"/>
      <c r="AE38" s="11359"/>
      <c r="AF38" s="11360"/>
      <c r="AG38" s="11360"/>
      <c r="AH38" s="11360"/>
      <c r="AI38" s="11360"/>
      <c r="AJ38" s="11360"/>
      <c r="AK38" s="2290"/>
      <c r="AL38" s="253"/>
      <c r="AM38" s="253"/>
      <c r="AN38" s="253"/>
      <c r="AP38" s="658"/>
      <c r="AQ38" s="658"/>
      <c r="AR38" s="658"/>
      <c r="AS38" s="658"/>
      <c r="AT38" s="658"/>
      <c r="AU38" s="658"/>
      <c r="AV38" s="658"/>
      <c r="AW38" s="658"/>
      <c r="AX38" s="658"/>
      <c r="AY38" s="658"/>
      <c r="AZ38" s="2293"/>
    </row>
    <row r="39" spans="1:52" s="1115" customFormat="1" ht="12.75" customHeight="1">
      <c r="A39" s="2290"/>
      <c r="B39" s="11328"/>
      <c r="C39" s="11329"/>
      <c r="D39" s="11329"/>
      <c r="E39" s="11329"/>
      <c r="F39" s="11329"/>
      <c r="G39" s="11329"/>
      <c r="H39" s="11329"/>
      <c r="I39" s="11329"/>
      <c r="J39" s="11329"/>
      <c r="K39" s="11329"/>
      <c r="L39" s="11329"/>
      <c r="M39" s="11330"/>
      <c r="N39" s="11331"/>
      <c r="O39" s="11332"/>
      <c r="P39" s="11332"/>
      <c r="Q39" s="11332"/>
      <c r="R39" s="11332"/>
      <c r="S39" s="11333"/>
      <c r="T39" s="11337" t="str">
        <f>IF(N38,"H","")</f>
        <v/>
      </c>
      <c r="U39" s="11338"/>
      <c r="V39" s="11339"/>
      <c r="W39" s="11342"/>
      <c r="X39" s="11343"/>
      <c r="Y39" s="11343"/>
      <c r="Z39" s="11343"/>
      <c r="AA39" s="11344"/>
      <c r="AB39" s="6674"/>
      <c r="AC39" s="2355"/>
      <c r="AD39" s="6675"/>
      <c r="AE39" s="11361" t="str">
        <f>IF(AM39&lt;&gt;"",ROUND(AM39,0),IF(N38,SUM('W-2s'!E13:E14),""))</f>
        <v/>
      </c>
      <c r="AF39" s="11362"/>
      <c r="AG39" s="11362"/>
      <c r="AH39" s="11362"/>
      <c r="AI39" s="11362"/>
      <c r="AJ39" s="11362"/>
      <c r="AK39" s="2290"/>
      <c r="AL39" s="253"/>
      <c r="AM39" s="11357"/>
      <c r="AN39" s="253"/>
      <c r="AP39" s="658"/>
      <c r="AQ39" s="658"/>
      <c r="AR39" s="658"/>
      <c r="AS39" s="658"/>
      <c r="AT39" s="658"/>
      <c r="AU39" s="658"/>
      <c r="AV39" s="658"/>
      <c r="AW39" s="658"/>
      <c r="AX39" s="658"/>
      <c r="AY39" s="658"/>
      <c r="AZ39" s="2293"/>
    </row>
    <row r="40" spans="1:52" s="1115" customFormat="1" ht="6.75" customHeight="1">
      <c r="A40" s="2290"/>
      <c r="B40" s="9913"/>
      <c r="C40" s="7146"/>
      <c r="D40" s="7146"/>
      <c r="E40" s="7146"/>
      <c r="F40" s="7146"/>
      <c r="G40" s="7146"/>
      <c r="H40" s="7146"/>
      <c r="I40" s="7146"/>
      <c r="J40" s="7146"/>
      <c r="K40" s="7146"/>
      <c r="L40" s="7146"/>
      <c r="M40" s="7147"/>
      <c r="N40" s="11334"/>
      <c r="O40" s="11335"/>
      <c r="P40" s="11335"/>
      <c r="Q40" s="11335"/>
      <c r="R40" s="11335"/>
      <c r="S40" s="11336"/>
      <c r="T40" s="11340"/>
      <c r="U40" s="10267"/>
      <c r="V40" s="11341"/>
      <c r="W40" s="11345"/>
      <c r="X40" s="11346"/>
      <c r="Y40" s="11346"/>
      <c r="Z40" s="11346"/>
      <c r="AA40" s="11347"/>
      <c r="AB40" s="6676"/>
      <c r="AC40" s="2294"/>
      <c r="AD40" s="6677"/>
      <c r="AE40" s="9909"/>
      <c r="AF40" s="9910"/>
      <c r="AG40" s="9910"/>
      <c r="AH40" s="9910"/>
      <c r="AI40" s="9910"/>
      <c r="AJ40" s="9910"/>
      <c r="AK40" s="2290"/>
      <c r="AL40" s="253"/>
      <c r="AM40" s="11358"/>
      <c r="AN40" s="253"/>
      <c r="AP40" s="658"/>
      <c r="AQ40" s="658"/>
      <c r="AR40" s="658"/>
      <c r="AS40" s="658"/>
      <c r="AT40" s="658"/>
      <c r="AU40" s="658"/>
      <c r="AV40" s="658"/>
      <c r="AW40" s="658"/>
      <c r="AX40" s="658"/>
      <c r="AY40" s="658"/>
      <c r="AZ40" s="2293"/>
    </row>
    <row r="41" spans="1:52" s="1115" customFormat="1" ht="15.75" customHeight="1">
      <c r="A41" s="2290"/>
      <c r="B41" s="9912">
        <v>4</v>
      </c>
      <c r="C41" s="9922" t="str">
        <f>IF(N41,'W-2s'!F2,"")</f>
        <v/>
      </c>
      <c r="D41" s="9922"/>
      <c r="E41" s="9922"/>
      <c r="F41" s="9922"/>
      <c r="G41" s="9922"/>
      <c r="H41" s="9922"/>
      <c r="I41" s="9922"/>
      <c r="J41" s="9922"/>
      <c r="K41" s="9922"/>
      <c r="L41" s="9922"/>
      <c r="M41" s="9923"/>
      <c r="N41" s="11354" t="b">
        <f>OR('W-2s'!F13&lt;&gt;"",'W-2s'!F14&lt;&gt;"")</f>
        <v>0</v>
      </c>
      <c r="O41" s="11355"/>
      <c r="P41" s="11355"/>
      <c r="Q41" s="11355"/>
      <c r="R41" s="11355"/>
      <c r="S41" s="11356"/>
      <c r="T41" s="11351" t="str">
        <f>IF(OR(T42="A",T42="a",T42="C",T42="c",T42="G",T42="g",T42="H",T42="h",T42=""),"","Wrong code.")</f>
        <v/>
      </c>
      <c r="U41" s="11352"/>
      <c r="V41" s="11353"/>
      <c r="W41" s="6630"/>
      <c r="X41" s="2291"/>
      <c r="Y41" s="2291"/>
      <c r="Z41" s="2291"/>
      <c r="AA41" s="6668"/>
      <c r="AB41" s="6630"/>
      <c r="AC41" s="2291"/>
      <c r="AD41" s="6673"/>
      <c r="AE41" s="11359"/>
      <c r="AF41" s="11360"/>
      <c r="AG41" s="11360"/>
      <c r="AH41" s="11360"/>
      <c r="AI41" s="11360"/>
      <c r="AJ41" s="11360"/>
      <c r="AK41" s="2290"/>
      <c r="AL41" s="253"/>
      <c r="AM41" s="253"/>
      <c r="AN41" s="253"/>
      <c r="AP41" s="658"/>
      <c r="AQ41" s="658"/>
      <c r="AR41" s="658"/>
      <c r="AS41" s="658"/>
      <c r="AT41" s="658"/>
      <c r="AU41" s="658"/>
      <c r="AV41" s="658"/>
      <c r="AW41" s="658"/>
      <c r="AX41" s="658"/>
      <c r="AY41" s="658"/>
      <c r="AZ41" s="2293"/>
    </row>
    <row r="42" spans="1:52" s="1115" customFormat="1" ht="12.75" customHeight="1">
      <c r="A42" s="2290"/>
      <c r="B42" s="11328"/>
      <c r="C42" s="11329"/>
      <c r="D42" s="11329"/>
      <c r="E42" s="11329"/>
      <c r="F42" s="11329"/>
      <c r="G42" s="11329"/>
      <c r="H42" s="11329"/>
      <c r="I42" s="11329"/>
      <c r="J42" s="11329"/>
      <c r="K42" s="11329"/>
      <c r="L42" s="11329"/>
      <c r="M42" s="11330"/>
      <c r="N42" s="11331"/>
      <c r="O42" s="11332"/>
      <c r="P42" s="11332"/>
      <c r="Q42" s="11332"/>
      <c r="R42" s="11332"/>
      <c r="S42" s="11333"/>
      <c r="T42" s="11337" t="str">
        <f>IF(N41,"H","")</f>
        <v/>
      </c>
      <c r="U42" s="11338"/>
      <c r="V42" s="11339"/>
      <c r="W42" s="11342"/>
      <c r="X42" s="11343"/>
      <c r="Y42" s="11343"/>
      <c r="Z42" s="11343"/>
      <c r="AA42" s="11344"/>
      <c r="AB42" s="6674"/>
      <c r="AC42" s="2355"/>
      <c r="AD42" s="6675"/>
      <c r="AE42" s="11361" t="str">
        <f>IF(AM42&lt;&gt;"",ROUND(AM42,0),IF(N41,SUM('W-2s'!F13:F14),""))</f>
        <v/>
      </c>
      <c r="AF42" s="11362"/>
      <c r="AG42" s="11362"/>
      <c r="AH42" s="11362"/>
      <c r="AI42" s="11362"/>
      <c r="AJ42" s="11362"/>
      <c r="AK42" s="2290"/>
      <c r="AL42" s="253"/>
      <c r="AM42" s="11357"/>
      <c r="AN42" s="253"/>
      <c r="AP42" s="658"/>
      <c r="AQ42" s="658"/>
      <c r="AR42" s="658"/>
      <c r="AS42" s="658"/>
      <c r="AT42" s="658"/>
      <c r="AU42" s="658"/>
      <c r="AV42" s="658"/>
      <c r="AW42" s="658"/>
      <c r="AX42" s="658"/>
      <c r="AY42" s="658"/>
      <c r="AZ42" s="2293"/>
    </row>
    <row r="43" spans="1:52" s="1115" customFormat="1" ht="6.75" customHeight="1">
      <c r="A43" s="2290"/>
      <c r="B43" s="9913"/>
      <c r="C43" s="7146"/>
      <c r="D43" s="7146"/>
      <c r="E43" s="7146"/>
      <c r="F43" s="7146"/>
      <c r="G43" s="7146"/>
      <c r="H43" s="7146"/>
      <c r="I43" s="7146"/>
      <c r="J43" s="7146"/>
      <c r="K43" s="7146"/>
      <c r="L43" s="7146"/>
      <c r="M43" s="7147"/>
      <c r="N43" s="11334"/>
      <c r="O43" s="11335"/>
      <c r="P43" s="11335"/>
      <c r="Q43" s="11335"/>
      <c r="R43" s="11335"/>
      <c r="S43" s="11336"/>
      <c r="T43" s="11340"/>
      <c r="U43" s="10267"/>
      <c r="V43" s="11341"/>
      <c r="W43" s="11345"/>
      <c r="X43" s="11346"/>
      <c r="Y43" s="11346"/>
      <c r="Z43" s="11346"/>
      <c r="AA43" s="11347"/>
      <c r="AB43" s="6676"/>
      <c r="AC43" s="2294"/>
      <c r="AD43" s="6677"/>
      <c r="AE43" s="9909"/>
      <c r="AF43" s="9910"/>
      <c r="AG43" s="9910"/>
      <c r="AH43" s="9910"/>
      <c r="AI43" s="9910"/>
      <c r="AJ43" s="9910"/>
      <c r="AK43" s="2290"/>
      <c r="AL43" s="253"/>
      <c r="AM43" s="11358"/>
      <c r="AN43" s="253"/>
      <c r="AP43" s="658"/>
      <c r="AQ43" s="658"/>
      <c r="AR43" s="658"/>
      <c r="AS43" s="658"/>
      <c r="AT43" s="658"/>
      <c r="AU43" s="658"/>
      <c r="AV43" s="658"/>
      <c r="AW43" s="658"/>
      <c r="AX43" s="658"/>
      <c r="AY43" s="658"/>
      <c r="AZ43" s="2293"/>
    </row>
    <row r="44" spans="1:52" s="1115" customFormat="1" ht="15.75" customHeight="1">
      <c r="A44" s="2290"/>
      <c r="B44" s="9912">
        <v>5</v>
      </c>
      <c r="C44" s="9922" t="str">
        <f>IF(N44,'W-2s'!G2,"")</f>
        <v/>
      </c>
      <c r="D44" s="9922"/>
      <c r="E44" s="9922"/>
      <c r="F44" s="9922"/>
      <c r="G44" s="9922"/>
      <c r="H44" s="9922"/>
      <c r="I44" s="9922"/>
      <c r="J44" s="9922"/>
      <c r="K44" s="9922"/>
      <c r="L44" s="9922"/>
      <c r="M44" s="9923"/>
      <c r="N44" s="11354" t="b">
        <f>OR('W-2s'!G13&lt;&gt;"",'W-2s'!G14&lt;&gt;"")</f>
        <v>0</v>
      </c>
      <c r="O44" s="11355"/>
      <c r="P44" s="11355"/>
      <c r="Q44" s="11355"/>
      <c r="R44" s="11355"/>
      <c r="S44" s="11356"/>
      <c r="T44" s="11351" t="str">
        <f>IF(OR(T45="A",T45="a",T45="C",T45="c",T45="G",T45="g",T45="H",T45="h",T45=""),"","Wrong code.")</f>
        <v/>
      </c>
      <c r="U44" s="11352"/>
      <c r="V44" s="11353"/>
      <c r="W44" s="6630"/>
      <c r="X44" s="2291"/>
      <c r="Y44" s="2291"/>
      <c r="Z44" s="2291"/>
      <c r="AA44" s="6668"/>
      <c r="AB44" s="6630"/>
      <c r="AC44" s="2291"/>
      <c r="AD44" s="6673"/>
      <c r="AE44" s="11359"/>
      <c r="AF44" s="11360"/>
      <c r="AG44" s="11360"/>
      <c r="AH44" s="11360"/>
      <c r="AI44" s="11360"/>
      <c r="AJ44" s="11360"/>
      <c r="AK44" s="2290"/>
      <c r="AL44" s="253"/>
      <c r="AM44" s="253"/>
      <c r="AN44" s="253"/>
      <c r="AP44" s="658"/>
      <c r="AQ44" s="658"/>
      <c r="AR44" s="658"/>
      <c r="AS44" s="658"/>
      <c r="AT44" s="658"/>
      <c r="AU44" s="658"/>
      <c r="AV44" s="658"/>
      <c r="AW44" s="658"/>
      <c r="AX44" s="658"/>
      <c r="AY44" s="658"/>
      <c r="AZ44" s="2293"/>
    </row>
    <row r="45" spans="1:52" s="1115" customFormat="1" ht="12.75" customHeight="1">
      <c r="A45" s="2290"/>
      <c r="B45" s="11328"/>
      <c r="C45" s="11329"/>
      <c r="D45" s="11329"/>
      <c r="E45" s="11329"/>
      <c r="F45" s="11329"/>
      <c r="G45" s="11329"/>
      <c r="H45" s="11329"/>
      <c r="I45" s="11329"/>
      <c r="J45" s="11329"/>
      <c r="K45" s="11329"/>
      <c r="L45" s="11329"/>
      <c r="M45" s="11330"/>
      <c r="N45" s="11331"/>
      <c r="O45" s="11332"/>
      <c r="P45" s="11332"/>
      <c r="Q45" s="11332"/>
      <c r="R45" s="11332"/>
      <c r="S45" s="11333"/>
      <c r="T45" s="11337" t="str">
        <f>IF(N44,"H","")</f>
        <v/>
      </c>
      <c r="U45" s="11338"/>
      <c r="V45" s="11339"/>
      <c r="W45" s="11342"/>
      <c r="X45" s="11343"/>
      <c r="Y45" s="11343"/>
      <c r="Z45" s="11343"/>
      <c r="AA45" s="11344"/>
      <c r="AB45" s="6674"/>
      <c r="AC45" s="2355"/>
      <c r="AD45" s="6675"/>
      <c r="AE45" s="11361" t="str">
        <f>IF(AM45&lt;&gt;"",ROUND(AM45,0),IF(N44,SUM('W-2s'!G13:G14),""))</f>
        <v/>
      </c>
      <c r="AF45" s="11362"/>
      <c r="AG45" s="11362"/>
      <c r="AH45" s="11362"/>
      <c r="AI45" s="11362"/>
      <c r="AJ45" s="11362"/>
      <c r="AK45" s="2290"/>
      <c r="AL45" s="253"/>
      <c r="AM45" s="11357"/>
      <c r="AN45" s="253"/>
      <c r="AP45" s="658"/>
      <c r="AQ45" s="658"/>
      <c r="AR45" s="658"/>
      <c r="AS45" s="658"/>
      <c r="AT45" s="658"/>
      <c r="AU45" s="658"/>
      <c r="AV45" s="658"/>
      <c r="AW45" s="658"/>
      <c r="AX45" s="658"/>
      <c r="AY45" s="658"/>
      <c r="AZ45" s="2293"/>
    </row>
    <row r="46" spans="1:52" s="1115" customFormat="1" ht="6.75" customHeight="1">
      <c r="A46" s="2290"/>
      <c r="B46" s="9913"/>
      <c r="C46" s="7146"/>
      <c r="D46" s="7146"/>
      <c r="E46" s="7146"/>
      <c r="F46" s="7146"/>
      <c r="G46" s="7146"/>
      <c r="H46" s="7146"/>
      <c r="I46" s="7146"/>
      <c r="J46" s="7146"/>
      <c r="K46" s="7146"/>
      <c r="L46" s="7146"/>
      <c r="M46" s="7147"/>
      <c r="N46" s="11334"/>
      <c r="O46" s="11335"/>
      <c r="P46" s="11335"/>
      <c r="Q46" s="11335"/>
      <c r="R46" s="11335"/>
      <c r="S46" s="11336"/>
      <c r="T46" s="11340"/>
      <c r="U46" s="10267"/>
      <c r="V46" s="11341"/>
      <c r="W46" s="11345"/>
      <c r="X46" s="11346"/>
      <c r="Y46" s="11346"/>
      <c r="Z46" s="11346"/>
      <c r="AA46" s="11347"/>
      <c r="AB46" s="6676"/>
      <c r="AC46" s="2294"/>
      <c r="AD46" s="6677"/>
      <c r="AE46" s="9909"/>
      <c r="AF46" s="9910"/>
      <c r="AG46" s="9910"/>
      <c r="AH46" s="9910"/>
      <c r="AI46" s="9910"/>
      <c r="AJ46" s="9910"/>
      <c r="AK46" s="2290"/>
      <c r="AL46" s="253"/>
      <c r="AM46" s="11358"/>
      <c r="AN46" s="253"/>
      <c r="AP46" s="658"/>
      <c r="AQ46" s="658"/>
      <c r="AR46" s="658"/>
      <c r="AS46" s="658"/>
      <c r="AT46" s="658"/>
      <c r="AU46" s="658"/>
      <c r="AV46" s="658"/>
      <c r="AW46" s="658"/>
      <c r="AX46" s="658"/>
      <c r="AY46" s="658"/>
      <c r="AZ46" s="2293"/>
    </row>
    <row r="47" spans="1:52" s="1115" customFormat="1" ht="15.75" customHeight="1">
      <c r="A47" s="2290"/>
      <c r="B47" s="775">
        <v>6</v>
      </c>
      <c r="C47" s="1323" t="s">
        <v>6585</v>
      </c>
      <c r="D47" s="6626"/>
      <c r="E47" s="4904"/>
      <c r="F47" s="6669"/>
      <c r="G47" s="1323"/>
      <c r="H47" s="4524"/>
      <c r="I47" s="4524"/>
      <c r="J47" s="4524"/>
      <c r="K47" s="4524"/>
      <c r="L47" s="4524"/>
      <c r="M47" s="4524"/>
      <c r="N47" s="4524"/>
      <c r="O47" s="4524"/>
      <c r="P47" s="4524"/>
      <c r="Q47" s="4524"/>
      <c r="R47" s="4524"/>
      <c r="S47" s="4524"/>
      <c r="T47" s="4524"/>
      <c r="U47" s="4524"/>
      <c r="V47" s="4524"/>
      <c r="W47" s="4524"/>
      <c r="X47" s="4524"/>
      <c r="Y47" s="4524"/>
      <c r="Z47" s="4524"/>
      <c r="AA47" s="4524"/>
      <c r="AB47" s="4524"/>
      <c r="AC47" s="4524"/>
      <c r="AD47" s="6678"/>
      <c r="AE47" s="9907"/>
      <c r="AF47" s="9908"/>
      <c r="AG47" s="9908"/>
      <c r="AH47" s="9908"/>
      <c r="AI47" s="9908"/>
      <c r="AJ47" s="9908"/>
      <c r="AK47" s="2290"/>
      <c r="AL47" s="253"/>
      <c r="AM47" s="253"/>
      <c r="AN47" s="253"/>
      <c r="AP47" s="658"/>
      <c r="AQ47" s="658"/>
      <c r="AR47" s="658"/>
      <c r="AS47" s="658"/>
      <c r="AT47" s="658"/>
      <c r="AU47" s="658"/>
      <c r="AV47" s="658"/>
      <c r="AW47" s="658"/>
      <c r="AX47" s="658"/>
      <c r="AY47" s="658"/>
      <c r="AZ47" s="2293"/>
    </row>
    <row r="48" spans="1:52" s="1115" customFormat="1" ht="15.75" customHeight="1">
      <c r="A48" s="2290"/>
      <c r="B48" s="4904"/>
      <c r="C48" s="1323" t="s">
        <v>6586</v>
      </c>
      <c r="D48" s="6626"/>
      <c r="E48" s="4904"/>
      <c r="F48" s="6669"/>
      <c r="G48" s="1323"/>
      <c r="H48" s="4524"/>
      <c r="I48" s="4524"/>
      <c r="J48" s="4524"/>
      <c r="K48" s="4524"/>
      <c r="L48" s="4524"/>
      <c r="M48" s="4524"/>
      <c r="N48" s="4524"/>
      <c r="O48" s="4524"/>
      <c r="P48" s="4524"/>
      <c r="Q48" s="4524"/>
      <c r="R48" s="4524"/>
      <c r="S48" s="4524"/>
      <c r="T48" s="4524"/>
      <c r="U48" s="4524"/>
      <c r="V48" s="4524"/>
      <c r="W48" s="4524"/>
      <c r="X48" s="4524"/>
      <c r="Y48" s="4524"/>
      <c r="Z48" s="4524"/>
      <c r="AA48" s="4524"/>
      <c r="AB48" s="4524"/>
      <c r="AC48" s="6653" t="s">
        <v>653</v>
      </c>
      <c r="AD48" s="6635">
        <v>6</v>
      </c>
      <c r="AE48" s="9909" t="str">
        <f>IF(AM48&lt;&gt;"",ROUND(AM48,0),IF(AN48,"",SUM(AE33,AE36,AE39,AE42,AE45)))</f>
        <v/>
      </c>
      <c r="AF48" s="9910"/>
      <c r="AG48" s="9910"/>
      <c r="AH48" s="9910"/>
      <c r="AI48" s="9910"/>
      <c r="AJ48" s="9910"/>
      <c r="AK48" s="2290"/>
      <c r="AL48" s="253"/>
      <c r="AM48" s="6644"/>
      <c r="AN48" s="512" t="b">
        <f>AND(AM48="",AE33="",AE36="",AE39="",AE42="",AE45="")</f>
        <v>1</v>
      </c>
      <c r="AP48" s="658"/>
      <c r="AQ48" s="658"/>
      <c r="AR48" s="658"/>
      <c r="AS48" s="658"/>
      <c r="AT48" s="658"/>
      <c r="AU48" s="658"/>
      <c r="AV48" s="658"/>
      <c r="AW48" s="658"/>
      <c r="AX48" s="658"/>
      <c r="AY48" s="658"/>
      <c r="AZ48" s="2293"/>
    </row>
    <row r="49" spans="1:52" s="1115" customFormat="1" ht="15.75" customHeight="1">
      <c r="A49" s="2290"/>
      <c r="B49" s="775">
        <v>7</v>
      </c>
      <c r="C49" s="1323" t="s">
        <v>6587</v>
      </c>
      <c r="D49" s="1323"/>
      <c r="E49" s="4904"/>
      <c r="F49" s="6669"/>
      <c r="G49" s="1323"/>
      <c r="H49" s="4524"/>
      <c r="I49" s="4524"/>
      <c r="J49" s="4524"/>
      <c r="K49" s="4524"/>
      <c r="L49" s="4524"/>
      <c r="M49" s="4524"/>
      <c r="N49" s="4524"/>
      <c r="O49" s="4524"/>
      <c r="P49" s="4524"/>
      <c r="Q49" s="4524"/>
      <c r="R49" s="4524"/>
      <c r="S49" s="4524"/>
      <c r="T49" s="4524"/>
      <c r="U49" s="4524"/>
      <c r="V49" s="4524"/>
      <c r="W49" s="4524"/>
      <c r="X49" s="6653" t="s">
        <v>601</v>
      </c>
      <c r="Y49" s="6636">
        <v>7</v>
      </c>
      <c r="Z49" s="11325">
        <f>MaxSSTaxEarnings</f>
        <v>176100</v>
      </c>
      <c r="AA49" s="11326"/>
      <c r="AB49" s="11326"/>
      <c r="AC49" s="11327"/>
      <c r="AD49" s="6637"/>
      <c r="AE49" s="4524"/>
      <c r="AF49" s="4524"/>
      <c r="AG49" s="4524"/>
      <c r="AH49" s="4524"/>
      <c r="AI49" s="4521"/>
      <c r="AJ49" s="4521"/>
      <c r="AK49" s="2290"/>
      <c r="AL49" s="253"/>
      <c r="AM49" s="253"/>
      <c r="AN49" s="253"/>
      <c r="AP49" s="658"/>
      <c r="AQ49" s="658"/>
      <c r="AR49" s="658"/>
      <c r="AS49" s="658"/>
      <c r="AT49" s="658"/>
      <c r="AU49" s="658"/>
      <c r="AV49" s="658"/>
      <c r="AW49" s="658"/>
      <c r="AX49" s="658"/>
      <c r="AY49" s="658"/>
      <c r="AZ49" s="2293"/>
    </row>
    <row r="50" spans="1:52" s="1115" customFormat="1" ht="15.75" customHeight="1">
      <c r="A50" s="2290"/>
      <c r="B50" s="775">
        <v>8</v>
      </c>
      <c r="C50" s="1323" t="s">
        <v>6588</v>
      </c>
      <c r="D50" s="1323"/>
      <c r="E50" s="4904"/>
      <c r="F50" s="6669"/>
      <c r="G50" s="1323"/>
      <c r="H50" s="4524"/>
      <c r="I50" s="4524"/>
      <c r="J50" s="4524"/>
      <c r="K50" s="4524"/>
      <c r="L50" s="4524"/>
      <c r="M50" s="4524"/>
      <c r="N50" s="4524"/>
      <c r="O50" s="4524"/>
      <c r="P50" s="4524"/>
      <c r="Q50" s="4524"/>
      <c r="R50" s="4524"/>
      <c r="S50" s="4524"/>
      <c r="T50" s="4524"/>
      <c r="U50" s="4524"/>
      <c r="V50" s="4524"/>
      <c r="W50" s="4524"/>
      <c r="X50" s="4524"/>
      <c r="Y50" s="6632"/>
      <c r="Z50" s="4904"/>
      <c r="AA50" s="4904"/>
      <c r="AB50" s="4904"/>
      <c r="AC50" s="4904"/>
      <c r="AD50" s="6638"/>
      <c r="AE50" s="4524"/>
      <c r="AF50" s="4524"/>
      <c r="AG50" s="4524"/>
      <c r="AH50" s="4524"/>
      <c r="AI50" s="4521"/>
      <c r="AJ50" s="4521"/>
      <c r="AK50" s="2290"/>
      <c r="AL50" s="253"/>
      <c r="AM50" s="253"/>
      <c r="AN50" s="253"/>
      <c r="AP50" s="658"/>
      <c r="AQ50" s="658"/>
      <c r="AR50" s="658"/>
      <c r="AS50" s="658"/>
      <c r="AT50" s="658"/>
      <c r="AU50" s="658"/>
      <c r="AV50" s="658"/>
      <c r="AW50" s="658"/>
      <c r="AX50" s="658"/>
      <c r="AY50" s="658"/>
      <c r="AZ50" s="2293"/>
    </row>
    <row r="51" spans="1:52" s="1115" customFormat="1" ht="15.75" customHeight="1">
      <c r="A51" s="2290"/>
      <c r="B51" s="775"/>
      <c r="C51" s="1323" t="s">
        <v>6589</v>
      </c>
      <c r="D51" s="1323"/>
      <c r="E51" s="4904"/>
      <c r="F51" s="6669"/>
      <c r="G51" s="1323"/>
      <c r="H51" s="4524"/>
      <c r="I51" s="4524"/>
      <c r="J51" s="4524"/>
      <c r="K51" s="4524"/>
      <c r="L51" s="6631"/>
      <c r="M51" s="4524"/>
      <c r="N51" s="4524"/>
      <c r="O51" s="4524"/>
      <c r="P51" s="4524"/>
      <c r="Q51" s="4524"/>
      <c r="R51" s="4524"/>
      <c r="S51" s="4524"/>
      <c r="T51" s="4524"/>
      <c r="U51" s="4524"/>
      <c r="V51" s="4524"/>
      <c r="W51" s="4524"/>
      <c r="X51" s="4524"/>
      <c r="Y51" s="6633"/>
      <c r="Z51" s="11348">
        <f>SUM('W-2s'!I5,'W-2s'!I9)</f>
        <v>0</v>
      </c>
      <c r="AA51" s="11349"/>
      <c r="AB51" s="11349"/>
      <c r="AC51" s="11350"/>
      <c r="AD51" s="6638"/>
      <c r="AE51" s="4524"/>
      <c r="AF51" s="4524"/>
      <c r="AG51" s="4524"/>
      <c r="AH51" s="4524"/>
      <c r="AI51" s="4521"/>
      <c r="AJ51" s="4521"/>
      <c r="AK51" s="2290"/>
      <c r="AL51" s="253"/>
      <c r="AM51" s="253"/>
      <c r="AN51" s="253"/>
      <c r="AP51" s="658"/>
      <c r="AQ51" s="658"/>
      <c r="AR51" s="658"/>
      <c r="AS51" s="658"/>
      <c r="AT51" s="658"/>
      <c r="AU51" s="658"/>
      <c r="AV51" s="658"/>
      <c r="AW51" s="658"/>
      <c r="AX51" s="658"/>
      <c r="AY51" s="658"/>
      <c r="AZ51" s="2293"/>
    </row>
    <row r="52" spans="1:52" s="1115" customFormat="1" ht="15.75" customHeight="1">
      <c r="A52" s="2290"/>
      <c r="B52" s="775"/>
      <c r="C52" s="1323" t="s">
        <v>6590</v>
      </c>
      <c r="D52" s="1323"/>
      <c r="E52" s="4904"/>
      <c r="F52" s="6669"/>
      <c r="G52" s="1323"/>
      <c r="H52" s="4524"/>
      <c r="I52" s="4524"/>
      <c r="J52" s="4524"/>
      <c r="K52" s="4524"/>
      <c r="L52" s="4524"/>
      <c r="M52" s="4524"/>
      <c r="N52" s="4524"/>
      <c r="O52" s="4524"/>
      <c r="P52" s="4524"/>
      <c r="Q52" s="4524"/>
      <c r="R52" s="4524"/>
      <c r="S52" s="4524"/>
      <c r="T52" s="4524"/>
      <c r="U52" s="4524"/>
      <c r="V52" s="4524"/>
      <c r="W52" s="4524"/>
      <c r="X52" s="4524"/>
      <c r="Y52" s="6633"/>
      <c r="Z52" s="11348">
        <f>IF(OR('4137'!AE39="",'4137'!AE39=0),0,'4137'!AE39)</f>
        <v>0</v>
      </c>
      <c r="AA52" s="11349"/>
      <c r="AB52" s="11349"/>
      <c r="AC52" s="11350"/>
      <c r="AD52" s="6638"/>
      <c r="AE52" s="4524"/>
      <c r="AF52" s="4524"/>
      <c r="AG52" s="4524"/>
      <c r="AH52" s="4524"/>
      <c r="AI52" s="4521"/>
      <c r="AJ52" s="4521"/>
      <c r="AK52" s="2290"/>
      <c r="AL52" s="253"/>
      <c r="AM52" s="253"/>
      <c r="AN52" s="253"/>
      <c r="AP52" s="658"/>
      <c r="AQ52" s="658"/>
      <c r="AR52" s="658"/>
      <c r="AS52" s="658"/>
      <c r="AT52" s="658"/>
      <c r="AU52" s="658"/>
      <c r="AV52" s="658"/>
      <c r="AW52" s="658"/>
      <c r="AX52" s="658"/>
      <c r="AY52" s="658"/>
      <c r="AZ52" s="2293"/>
    </row>
    <row r="53" spans="1:52" s="1115" customFormat="1" ht="15.75" customHeight="1">
      <c r="A53" s="2290"/>
      <c r="B53" s="775"/>
      <c r="C53" s="1323" t="s">
        <v>6591</v>
      </c>
      <c r="D53" s="1323"/>
      <c r="E53" s="4904"/>
      <c r="F53" s="6669"/>
      <c r="G53" s="1323"/>
      <c r="H53" s="4524"/>
      <c r="I53" s="4524"/>
      <c r="J53" s="4524"/>
      <c r="K53" s="4524"/>
      <c r="L53" s="4524"/>
      <c r="M53" s="4524"/>
      <c r="N53" s="4524"/>
      <c r="O53" s="4524"/>
      <c r="P53" s="4524"/>
      <c r="Q53" s="4524"/>
      <c r="R53" s="4524"/>
      <c r="S53" s="4524"/>
      <c r="T53" s="4524"/>
      <c r="U53" s="4524"/>
      <c r="V53" s="4524"/>
      <c r="W53" s="4524"/>
      <c r="X53" s="6653" t="s">
        <v>2186</v>
      </c>
      <c r="Y53" s="6635">
        <v>8</v>
      </c>
      <c r="Z53" s="7787" t="str">
        <f>IF(OR(AN48,AND(OR(Z51="",Z51=0),OR(Z52="",Z52=0))),"",SUM(Z51,Z52))</f>
        <v/>
      </c>
      <c r="AA53" s="7788"/>
      <c r="AB53" s="7788"/>
      <c r="AC53" s="7789"/>
      <c r="AD53" s="6639"/>
      <c r="AE53" s="4524"/>
      <c r="AF53" s="4524"/>
      <c r="AG53" s="4524"/>
      <c r="AH53" s="4524"/>
      <c r="AI53" s="4521"/>
      <c r="AJ53" s="4521"/>
      <c r="AK53" s="2290"/>
      <c r="AL53" s="253"/>
      <c r="AM53" s="253"/>
      <c r="AN53" s="253"/>
      <c r="AP53" s="658"/>
      <c r="AQ53" s="658"/>
      <c r="AR53" s="658"/>
      <c r="AS53" s="658"/>
      <c r="AT53" s="658"/>
      <c r="AU53" s="658"/>
      <c r="AV53" s="658"/>
      <c r="AW53" s="658"/>
      <c r="AX53" s="658"/>
      <c r="AY53" s="658"/>
      <c r="AZ53" s="2293"/>
    </row>
    <row r="54" spans="1:52" s="1115" customFormat="1" ht="15.75" customHeight="1">
      <c r="A54" s="2290"/>
      <c r="B54" s="775">
        <v>9</v>
      </c>
      <c r="C54" s="1323" t="s">
        <v>6592</v>
      </c>
      <c r="D54" s="1323"/>
      <c r="E54" s="4904"/>
      <c r="F54" s="6669"/>
      <c r="G54" s="1323"/>
      <c r="H54" s="4524"/>
      <c r="I54" s="4524"/>
      <c r="J54" s="4524"/>
      <c r="K54" s="4524"/>
      <c r="L54" s="4524"/>
      <c r="M54" s="4524"/>
      <c r="N54" s="4524"/>
      <c r="O54" s="4524"/>
      <c r="P54" s="4524"/>
      <c r="Q54" s="4524"/>
      <c r="R54" s="4524"/>
      <c r="S54" s="4524"/>
      <c r="T54" s="4524"/>
      <c r="U54" s="4524"/>
      <c r="V54" s="4524"/>
      <c r="W54" s="4524"/>
      <c r="X54" s="4524"/>
      <c r="Y54" s="4524"/>
      <c r="Z54" s="6654"/>
      <c r="AA54" s="6654"/>
      <c r="AB54" s="6654"/>
      <c r="AC54" s="6679"/>
      <c r="AD54" s="6635">
        <v>9</v>
      </c>
      <c r="AE54" s="9909" t="str">
        <f>IF(AN48,"",IF(AM54,0,SUM(Z49,-Z53)))</f>
        <v/>
      </c>
      <c r="AF54" s="9910"/>
      <c r="AG54" s="9910"/>
      <c r="AH54" s="9910"/>
      <c r="AI54" s="9910"/>
      <c r="AJ54" s="9910"/>
      <c r="AK54" s="2290"/>
      <c r="AL54" s="253"/>
      <c r="AM54" s="512" t="b">
        <f>Z53&gt;Z49</f>
        <v>1</v>
      </c>
      <c r="AN54" s="253"/>
      <c r="AP54" s="658"/>
      <c r="AQ54" s="658"/>
      <c r="AR54" s="658"/>
      <c r="AS54" s="658"/>
      <c r="AT54" s="658"/>
      <c r="AU54" s="658"/>
      <c r="AV54" s="658"/>
      <c r="AW54" s="658"/>
      <c r="AX54" s="658"/>
      <c r="AY54" s="658"/>
      <c r="AZ54" s="2293"/>
    </row>
    <row r="55" spans="1:52" s="1115" customFormat="1" ht="15.75" customHeight="1">
      <c r="A55" s="2290"/>
      <c r="B55" s="775">
        <v>10</v>
      </c>
      <c r="C55" s="1323" t="s">
        <v>6593</v>
      </c>
      <c r="D55" s="1323"/>
      <c r="E55" s="4904"/>
      <c r="F55" s="6669"/>
      <c r="G55" s="1323"/>
      <c r="H55" s="4524"/>
      <c r="I55" s="4524"/>
      <c r="J55" s="4524"/>
      <c r="K55" s="4524"/>
      <c r="L55" s="4524"/>
      <c r="M55" s="4524"/>
      <c r="N55" s="4524"/>
      <c r="O55" s="4524"/>
      <c r="P55" s="4524"/>
      <c r="Q55" s="4524"/>
      <c r="R55" s="4524"/>
      <c r="S55" s="4524"/>
      <c r="T55" s="4524"/>
      <c r="U55" s="4524"/>
      <c r="V55" s="4524"/>
      <c r="W55" s="4524"/>
      <c r="X55" s="4524"/>
      <c r="Y55" s="4524"/>
      <c r="Z55" s="4524"/>
      <c r="AA55" s="4524"/>
      <c r="AB55" s="4524"/>
      <c r="AC55" s="4524"/>
      <c r="AD55" s="6635">
        <v>10</v>
      </c>
      <c r="AE55" s="9909" t="str">
        <f>IF(AN48,"",IF(AM54,0,MIN(AE48,AE54)))</f>
        <v/>
      </c>
      <c r="AF55" s="9910"/>
      <c r="AG55" s="9910"/>
      <c r="AH55" s="9910"/>
      <c r="AI55" s="9910"/>
      <c r="AJ55" s="9910"/>
      <c r="AK55" s="2290"/>
      <c r="AL55" s="253"/>
      <c r="AM55" s="253"/>
      <c r="AN55" s="253"/>
      <c r="AP55" s="658"/>
      <c r="AQ55" s="658"/>
      <c r="AR55" s="658"/>
      <c r="AS55" s="658"/>
      <c r="AT55" s="658"/>
      <c r="AU55" s="658"/>
      <c r="AV55" s="658"/>
      <c r="AW55" s="658"/>
      <c r="AX55" s="658"/>
      <c r="AY55" s="658"/>
      <c r="AZ55" s="2293"/>
    </row>
    <row r="56" spans="1:52" s="1115" customFormat="1" ht="15.75" customHeight="1">
      <c r="A56" s="2290"/>
      <c r="B56" s="775">
        <v>11</v>
      </c>
      <c r="C56" s="1323" t="s">
        <v>6594</v>
      </c>
      <c r="D56" s="1323"/>
      <c r="E56" s="4904"/>
      <c r="F56" s="6669"/>
      <c r="G56" s="1323"/>
      <c r="H56" s="4524"/>
      <c r="I56" s="4524"/>
      <c r="J56" s="4524"/>
      <c r="K56" s="4524"/>
      <c r="L56" s="6631"/>
      <c r="M56" s="4524"/>
      <c r="N56" s="4524"/>
      <c r="O56" s="4524"/>
      <c r="P56" s="4524"/>
      <c r="Q56" s="4524"/>
      <c r="R56" s="4524"/>
      <c r="S56" s="4524"/>
      <c r="T56" s="4524"/>
      <c r="U56" s="4524"/>
      <c r="V56" s="4524"/>
      <c r="W56" s="4524"/>
      <c r="X56" s="4524"/>
      <c r="Y56" s="4524"/>
      <c r="Z56" s="4524"/>
      <c r="AA56" s="4524"/>
      <c r="AB56" s="4524"/>
      <c r="AC56" s="4524"/>
      <c r="AD56" s="6635">
        <v>11</v>
      </c>
      <c r="AE56" s="9909" t="str">
        <f>IF(AN48,"",ROUND(AE55*SSTaxRate,0))</f>
        <v/>
      </c>
      <c r="AF56" s="9910"/>
      <c r="AG56" s="9910"/>
      <c r="AH56" s="9910"/>
      <c r="AI56" s="9910"/>
      <c r="AJ56" s="9910"/>
      <c r="AK56" s="2290"/>
      <c r="AL56" s="253"/>
      <c r="AM56" s="253"/>
      <c r="AN56" s="253"/>
      <c r="AP56" s="658"/>
      <c r="AQ56" s="658"/>
      <c r="AR56" s="658"/>
      <c r="AS56" s="658"/>
      <c r="AT56" s="658"/>
      <c r="AU56" s="658"/>
      <c r="AV56" s="658"/>
      <c r="AW56" s="658"/>
      <c r="AX56" s="658"/>
      <c r="AY56" s="658"/>
      <c r="AZ56" s="2293"/>
    </row>
    <row r="57" spans="1:52" s="1115" customFormat="1" ht="15.75" customHeight="1">
      <c r="A57" s="2290"/>
      <c r="B57" s="775">
        <v>12</v>
      </c>
      <c r="C57" s="1323" t="s">
        <v>6595</v>
      </c>
      <c r="D57" s="1323"/>
      <c r="E57" s="4904"/>
      <c r="F57" s="6669"/>
      <c r="G57" s="1323"/>
      <c r="H57" s="4524"/>
      <c r="I57" s="4524"/>
      <c r="J57" s="4524"/>
      <c r="K57" s="4524"/>
      <c r="L57" s="4524"/>
      <c r="M57" s="4524"/>
      <c r="N57" s="4524"/>
      <c r="O57" s="4524"/>
      <c r="P57" s="4524"/>
      <c r="Q57" s="4524"/>
      <c r="R57" s="4524"/>
      <c r="S57" s="4524"/>
      <c r="T57" s="4524"/>
      <c r="U57" s="4524"/>
      <c r="V57" s="4524"/>
      <c r="W57" s="4524"/>
      <c r="X57" s="4524"/>
      <c r="Y57" s="4524"/>
      <c r="Z57" s="4524"/>
      <c r="AA57" s="4524"/>
      <c r="AB57" s="4524"/>
      <c r="AC57" s="4524"/>
      <c r="AD57" s="6635">
        <v>12</v>
      </c>
      <c r="AE57" s="9909" t="str">
        <f>IF(AN48,"",ROUND(AE48*MedicareTaxRate,0))</f>
        <v/>
      </c>
      <c r="AF57" s="9910"/>
      <c r="AG57" s="9910"/>
      <c r="AH57" s="9910"/>
      <c r="AI57" s="9910"/>
      <c r="AJ57" s="9910"/>
      <c r="AK57" s="2290"/>
      <c r="AL57" s="253"/>
      <c r="AM57" s="253"/>
      <c r="AN57" s="253"/>
      <c r="AP57" s="658"/>
      <c r="AQ57" s="658"/>
      <c r="AR57" s="658"/>
      <c r="AS57" s="658"/>
      <c r="AT57" s="658"/>
      <c r="AU57" s="658"/>
      <c r="AV57" s="658"/>
      <c r="AW57" s="658"/>
      <c r="AX57" s="658"/>
      <c r="AY57" s="658"/>
      <c r="AZ57" s="2293"/>
    </row>
    <row r="58" spans="1:52" s="1115" customFormat="1" ht="15.75" customHeight="1">
      <c r="A58" s="2290"/>
      <c r="B58" s="775">
        <v>13</v>
      </c>
      <c r="C58" s="1323" t="s">
        <v>6596</v>
      </c>
      <c r="D58" s="1323"/>
      <c r="E58" s="4904"/>
      <c r="F58" s="6669"/>
      <c r="G58" s="1323"/>
      <c r="H58" s="4524"/>
      <c r="I58" s="4524"/>
      <c r="J58" s="4524"/>
      <c r="K58" s="4524"/>
      <c r="L58" s="4524"/>
      <c r="M58" s="4524"/>
      <c r="N58" s="4524"/>
      <c r="O58" s="4524"/>
      <c r="P58" s="4524"/>
      <c r="Q58" s="4524"/>
      <c r="R58" s="4524"/>
      <c r="S58" s="4524"/>
      <c r="T58" s="4524"/>
      <c r="U58" s="4524"/>
      <c r="V58" s="4524"/>
      <c r="W58" s="4524"/>
      <c r="X58" s="4524"/>
      <c r="Y58" s="4524"/>
      <c r="Z58" s="4524"/>
      <c r="AA58" s="4524"/>
      <c r="AB58" s="4524"/>
      <c r="AC58" s="4524"/>
      <c r="AD58" s="6645"/>
      <c r="AE58" s="6647"/>
      <c r="AF58" s="6647"/>
      <c r="AG58" s="6647"/>
      <c r="AH58" s="6647"/>
      <c r="AI58" s="6648"/>
      <c r="AJ58" s="6648"/>
      <c r="AK58" s="2290"/>
      <c r="AL58" s="253"/>
      <c r="AM58" s="253"/>
      <c r="AN58" s="253"/>
      <c r="AP58" s="658"/>
      <c r="AQ58" s="658"/>
      <c r="AR58" s="658"/>
      <c r="AS58" s="658"/>
      <c r="AT58" s="658"/>
      <c r="AU58" s="658"/>
      <c r="AV58" s="658"/>
      <c r="AW58" s="658"/>
      <c r="AX58" s="658"/>
      <c r="AY58" s="658"/>
      <c r="AZ58" s="2293"/>
    </row>
    <row r="59" spans="1:52" s="1115" customFormat="1" ht="15.75" customHeight="1" thickBot="1">
      <c r="A59" s="2290"/>
      <c r="B59" s="4817"/>
      <c r="C59" s="5003" t="s">
        <v>6597</v>
      </c>
      <c r="D59" s="5003"/>
      <c r="E59" s="6640"/>
      <c r="F59" s="6680"/>
      <c r="G59" s="5003"/>
      <c r="H59" s="6642"/>
      <c r="I59" s="6642"/>
      <c r="J59" s="6642"/>
      <c r="K59" s="6642"/>
      <c r="L59" s="6642"/>
      <c r="M59" s="6642"/>
      <c r="N59" s="6642"/>
      <c r="O59" s="6642"/>
      <c r="P59" s="6642"/>
      <c r="Q59" s="6642"/>
      <c r="R59" s="6642"/>
      <c r="S59" s="6642"/>
      <c r="T59" s="6642"/>
      <c r="U59" s="6642"/>
      <c r="V59" s="6642"/>
      <c r="W59" s="6642"/>
      <c r="X59" s="6642"/>
      <c r="Y59" s="6642"/>
      <c r="Z59" s="6642"/>
      <c r="AA59" s="6642"/>
      <c r="AB59" s="6642"/>
      <c r="AC59" s="6642"/>
      <c r="AD59" s="6646">
        <v>13</v>
      </c>
      <c r="AE59" s="9903" t="str">
        <f>IF(AM59&lt;&gt;"",ROUND(AM59,0),IF(AN48,"",SUM(AE56,AE57)))</f>
        <v/>
      </c>
      <c r="AF59" s="9904"/>
      <c r="AG59" s="9904"/>
      <c r="AH59" s="9904"/>
      <c r="AI59" s="9904"/>
      <c r="AJ59" s="9904"/>
      <c r="AK59" s="2290"/>
      <c r="AL59" s="253"/>
      <c r="AM59" s="6644"/>
      <c r="AN59" s="253"/>
      <c r="AP59" s="658"/>
      <c r="AQ59" s="658"/>
      <c r="AR59" s="658"/>
      <c r="AS59" s="658"/>
      <c r="AT59" s="658"/>
      <c r="AU59" s="658"/>
      <c r="AV59" s="658"/>
      <c r="AW59" s="658"/>
      <c r="AX59" s="658"/>
      <c r="AY59" s="658"/>
      <c r="AZ59" s="2293"/>
    </row>
    <row r="60" spans="1:52" s="1115" customFormat="1" ht="15.75" customHeight="1">
      <c r="A60" s="2290"/>
      <c r="B60" s="1523" t="s">
        <v>865</v>
      </c>
      <c r="C60" s="1323"/>
      <c r="D60" s="1323"/>
      <c r="E60" s="4904"/>
      <c r="F60" s="6669"/>
      <c r="G60" s="1323"/>
      <c r="H60" s="4524"/>
      <c r="I60" s="4524"/>
      <c r="J60" s="4524"/>
      <c r="K60" s="4524"/>
      <c r="L60" s="4524"/>
      <c r="M60" s="4524"/>
      <c r="N60" s="4524"/>
      <c r="O60" s="4524"/>
      <c r="P60" s="4524"/>
      <c r="Q60" s="4524"/>
      <c r="R60" s="4524"/>
      <c r="S60" s="4524"/>
      <c r="T60" s="4524"/>
      <c r="U60" s="4524"/>
      <c r="V60" s="1672" t="s">
        <v>6598</v>
      </c>
      <c r="W60" s="4524"/>
      <c r="X60" s="4524"/>
      <c r="Y60" s="4524"/>
      <c r="Z60" s="4524"/>
      <c r="AA60" s="4524"/>
      <c r="AB60" s="4524"/>
      <c r="AC60" s="4901"/>
      <c r="AD60" s="6643" t="s">
        <v>6599</v>
      </c>
      <c r="AE60" s="9515" t="str">
        <f>"("&amp;TaxYear&amp;")"</f>
        <v>(2025)</v>
      </c>
      <c r="AF60" s="9515"/>
      <c r="AG60" s="4524"/>
      <c r="AH60" s="4524"/>
      <c r="AI60" s="4521"/>
      <c r="AJ60" s="1061" t="s">
        <v>6600</v>
      </c>
      <c r="AK60" s="2290"/>
      <c r="AL60" s="253"/>
      <c r="AM60" s="253"/>
      <c r="AN60" s="253"/>
      <c r="AP60" s="658"/>
      <c r="AQ60" s="658"/>
      <c r="AR60" s="658"/>
      <c r="AS60" s="658"/>
      <c r="AT60" s="658"/>
      <c r="AU60" s="658"/>
      <c r="AV60" s="658"/>
      <c r="AW60" s="658"/>
      <c r="AX60" s="658"/>
      <c r="AY60" s="658"/>
      <c r="AZ60" s="2293"/>
    </row>
    <row r="61" spans="1:52" s="815" customFormat="1" ht="24" customHeight="1">
      <c r="A61" s="2013"/>
      <c r="B61" s="9962" t="str">
        <f>IF('Table of Contents'!A108="D","DRAFT","")</f>
        <v/>
      </c>
      <c r="C61" s="9962"/>
      <c r="D61" s="9951">
        <v>8919</v>
      </c>
      <c r="E61" s="9952"/>
      <c r="F61" s="9952"/>
      <c r="G61" s="9952"/>
      <c r="H61" s="379"/>
      <c r="I61" s="9953" t="s">
        <v>6558</v>
      </c>
      <c r="J61" s="9954"/>
      <c r="K61" s="9954"/>
      <c r="L61" s="9954"/>
      <c r="M61" s="9954"/>
      <c r="N61" s="9954"/>
      <c r="O61" s="9954"/>
      <c r="P61" s="9954"/>
      <c r="Q61" s="9954"/>
      <c r="R61" s="9954"/>
      <c r="S61" s="9954"/>
      <c r="T61" s="9954"/>
      <c r="U61" s="9954"/>
      <c r="V61" s="9954"/>
      <c r="W61" s="9954"/>
      <c r="X61" s="9954"/>
      <c r="Y61" s="9954"/>
      <c r="Z61" s="9954"/>
      <c r="AA61" s="9954"/>
      <c r="AB61" s="9955"/>
      <c r="AC61" s="9957" t="str">
        <f>IF('Table of Contents'!A108="D","DRAFT","OMB No. 1545-0074")</f>
        <v>OMB No. 1545-0074</v>
      </c>
      <c r="AD61" s="9958"/>
      <c r="AE61" s="9958"/>
      <c r="AF61" s="9958"/>
      <c r="AG61" s="9958"/>
      <c r="AH61" s="9958"/>
      <c r="AI61" s="9958"/>
      <c r="AJ61" s="9958"/>
      <c r="AK61" s="2013"/>
      <c r="AL61" s="253"/>
      <c r="AM61" s="253"/>
      <c r="AN61" s="253"/>
      <c r="AP61" s="658"/>
      <c r="AQ61" s="658"/>
      <c r="AR61" s="658"/>
      <c r="AS61" s="658"/>
      <c r="AT61" s="658"/>
      <c r="AU61" s="658"/>
      <c r="AV61" s="658"/>
      <c r="AW61" s="658"/>
      <c r="AX61" s="658"/>
      <c r="AY61" s="658"/>
      <c r="AZ61"/>
    </row>
    <row r="62" spans="1:52" s="815" customFormat="1" ht="24" customHeight="1">
      <c r="A62" s="2013"/>
      <c r="B62" s="9825" t="s">
        <v>46</v>
      </c>
      <c r="C62" s="9617"/>
      <c r="D62" s="9952"/>
      <c r="E62" s="9952"/>
      <c r="F62" s="9952"/>
      <c r="G62" s="9952"/>
      <c r="H62" s="379"/>
      <c r="I62" s="9956"/>
      <c r="J62" s="9954"/>
      <c r="K62" s="9954"/>
      <c r="L62" s="9954"/>
      <c r="M62" s="9954"/>
      <c r="N62" s="9954"/>
      <c r="O62" s="9954"/>
      <c r="P62" s="9954"/>
      <c r="Q62" s="9954"/>
      <c r="R62" s="9954"/>
      <c r="S62" s="9954"/>
      <c r="T62" s="9954"/>
      <c r="U62" s="9954"/>
      <c r="V62" s="9954"/>
      <c r="W62" s="9954"/>
      <c r="X62" s="9954"/>
      <c r="Y62" s="9954"/>
      <c r="Z62" s="9954"/>
      <c r="AA62" s="9954"/>
      <c r="AB62" s="9955"/>
      <c r="AC62" s="9826">
        <f>TaxYear</f>
        <v>2025</v>
      </c>
      <c r="AD62" s="9827"/>
      <c r="AE62" s="9827"/>
      <c r="AF62" s="9827"/>
      <c r="AG62" s="9827"/>
      <c r="AH62" s="9827"/>
      <c r="AI62" s="9827"/>
      <c r="AJ62" s="9827"/>
      <c r="AK62" s="2013"/>
      <c r="AL62" s="344" t="s">
        <v>3239</v>
      </c>
      <c r="AM62" s="344"/>
      <c r="AN62" s="253"/>
      <c r="AP62" s="658"/>
      <c r="AQ62" s="658"/>
      <c r="AR62" s="658"/>
      <c r="AS62" s="658"/>
      <c r="AT62" s="658"/>
      <c r="AU62" s="658"/>
      <c r="AV62" s="658"/>
      <c r="AW62" s="658"/>
      <c r="AX62" s="658"/>
      <c r="AY62" s="658"/>
      <c r="AZ62"/>
    </row>
    <row r="63" spans="1:52" s="815" customFormat="1" ht="6.75" customHeight="1" thickBot="1">
      <c r="A63" s="2013"/>
      <c r="B63" s="344"/>
      <c r="C63" s="253"/>
      <c r="D63" s="253"/>
      <c r="E63" s="253"/>
      <c r="F63" s="253"/>
      <c r="G63" s="253"/>
      <c r="H63" s="379"/>
      <c r="I63" s="7610" t="s">
        <v>6559</v>
      </c>
      <c r="J63" s="7611"/>
      <c r="K63" s="7611"/>
      <c r="L63" s="7611"/>
      <c r="M63" s="7611"/>
      <c r="N63" s="7611"/>
      <c r="O63" s="7611"/>
      <c r="P63" s="7611"/>
      <c r="Q63" s="7611"/>
      <c r="R63" s="7611"/>
      <c r="S63" s="7611"/>
      <c r="T63" s="7611"/>
      <c r="U63" s="7611"/>
      <c r="V63" s="7611"/>
      <c r="W63" s="7611"/>
      <c r="X63" s="7611"/>
      <c r="Y63" s="7611"/>
      <c r="Z63" s="7611"/>
      <c r="AA63" s="7611"/>
      <c r="AB63" s="7612"/>
      <c r="AC63" s="9828"/>
      <c r="AD63" s="9829"/>
      <c r="AE63" s="9829"/>
      <c r="AF63" s="9829"/>
      <c r="AG63" s="9829"/>
      <c r="AH63" s="9829"/>
      <c r="AI63" s="9829"/>
      <c r="AJ63" s="9829"/>
      <c r="AK63" s="2013"/>
      <c r="AL63" s="253"/>
      <c r="AM63" s="253"/>
      <c r="AN63" s="253"/>
      <c r="AP63" s="658"/>
      <c r="AQ63" s="658"/>
      <c r="AR63" s="658"/>
      <c r="AS63" s="658"/>
      <c r="AT63" s="658"/>
      <c r="AU63" s="658"/>
      <c r="AV63" s="658"/>
      <c r="AW63" s="658"/>
      <c r="AX63" s="658"/>
      <c r="AY63" s="658"/>
      <c r="AZ63"/>
    </row>
    <row r="64" spans="1:52" s="815" customFormat="1" ht="16.5" thickBot="1">
      <c r="A64" s="2013"/>
      <c r="B64" s="344" t="s">
        <v>503</v>
      </c>
      <c r="C64" s="253"/>
      <c r="D64" s="253"/>
      <c r="E64" s="253"/>
      <c r="F64" s="253"/>
      <c r="G64" s="253"/>
      <c r="H64" s="379"/>
      <c r="I64" s="7610"/>
      <c r="J64" s="7611"/>
      <c r="K64" s="7611"/>
      <c r="L64" s="7611"/>
      <c r="M64" s="7611"/>
      <c r="N64" s="7611"/>
      <c r="O64" s="7611"/>
      <c r="P64" s="7611"/>
      <c r="Q64" s="7611"/>
      <c r="R64" s="7611"/>
      <c r="S64" s="7611"/>
      <c r="T64" s="7611"/>
      <c r="U64" s="7611"/>
      <c r="V64" s="7611"/>
      <c r="W64" s="7611"/>
      <c r="X64" s="7611"/>
      <c r="Y64" s="7611"/>
      <c r="Z64" s="7611"/>
      <c r="AA64" s="7611"/>
      <c r="AB64" s="7612"/>
      <c r="AC64" s="341"/>
      <c r="AD64" s="9515" t="s">
        <v>3475</v>
      </c>
      <c r="AE64" s="7844"/>
      <c r="AF64" s="7844"/>
      <c r="AG64" s="7844"/>
      <c r="AH64" s="9193">
        <v>61</v>
      </c>
      <c r="AI64" s="9193"/>
      <c r="AJ64" s="253"/>
      <c r="AK64" s="2013"/>
      <c r="AL64" s="6649"/>
      <c r="AM64" s="344" t="s">
        <v>566</v>
      </c>
      <c r="AN64" s="253"/>
      <c r="AP64" s="658"/>
      <c r="AQ64" s="658"/>
      <c r="AR64" s="658"/>
      <c r="AS64" s="658"/>
      <c r="AT64" s="658"/>
      <c r="AU64" s="658"/>
      <c r="AV64" s="658"/>
      <c r="AW64" s="658"/>
      <c r="AX64" s="658"/>
      <c r="AY64" s="658"/>
      <c r="AZ64"/>
    </row>
    <row r="65" spans="1:52" s="815" customFormat="1" ht="15.75" customHeight="1" thickBot="1">
      <c r="A65" s="2013"/>
      <c r="B65" s="498" t="s">
        <v>505</v>
      </c>
      <c r="C65" s="380"/>
      <c r="D65" s="380"/>
      <c r="E65" s="380"/>
      <c r="F65" s="380"/>
      <c r="G65" s="380"/>
      <c r="H65" s="381"/>
      <c r="I65" s="9963" t="s">
        <v>6560</v>
      </c>
      <c r="J65" s="9964"/>
      <c r="K65" s="9964"/>
      <c r="L65" s="9964"/>
      <c r="M65" s="9964"/>
      <c r="N65" s="9964"/>
      <c r="O65" s="9964"/>
      <c r="P65" s="9964"/>
      <c r="Q65" s="9964"/>
      <c r="R65" s="9964"/>
      <c r="S65" s="9964"/>
      <c r="T65" s="9964"/>
      <c r="U65" s="9964"/>
      <c r="V65" s="9964"/>
      <c r="W65" s="9964"/>
      <c r="X65" s="9964"/>
      <c r="Y65" s="9964"/>
      <c r="Z65" s="9964"/>
      <c r="AA65" s="9964"/>
      <c r="AB65" s="9965"/>
      <c r="AC65" s="1197"/>
      <c r="AD65" s="9966" t="s">
        <v>3488</v>
      </c>
      <c r="AE65" s="9967"/>
      <c r="AF65" s="9967"/>
      <c r="AG65" s="9967"/>
      <c r="AH65" s="9974"/>
      <c r="AI65" s="9974"/>
      <c r="AJ65" s="380"/>
      <c r="AK65" s="2013"/>
      <c r="AL65" s="6649" t="s">
        <v>2119</v>
      </c>
      <c r="AM65" s="344" t="s">
        <v>3241</v>
      </c>
      <c r="AN65" s="253"/>
      <c r="AP65" s="658"/>
      <c r="AQ65" s="658"/>
      <c r="AR65" s="658"/>
      <c r="AS65" s="658"/>
      <c r="AT65" s="658"/>
      <c r="AU65" s="658"/>
      <c r="AV65" s="658"/>
      <c r="AW65" s="658"/>
      <c r="AX65" s="658"/>
      <c r="AY65" s="658"/>
      <c r="AZ65"/>
    </row>
    <row r="66" spans="1:52" s="815" customFormat="1">
      <c r="A66" s="2013"/>
      <c r="B66" s="9968" t="s">
        <v>6561</v>
      </c>
      <c r="C66" s="9968"/>
      <c r="D66" s="9968"/>
      <c r="E66" s="9968"/>
      <c r="F66" s="9968"/>
      <c r="G66" s="9968"/>
      <c r="H66" s="9968"/>
      <c r="I66" s="9968"/>
      <c r="J66" s="9968"/>
      <c r="K66" s="9968"/>
      <c r="L66" s="9968"/>
      <c r="M66" s="9968"/>
      <c r="N66" s="9968"/>
      <c r="O66" s="9968"/>
      <c r="P66" s="9968"/>
      <c r="Q66" s="9968"/>
      <c r="R66" s="9968"/>
      <c r="S66" s="9968"/>
      <c r="T66" s="9968"/>
      <c r="U66" s="9968"/>
      <c r="V66" s="9968"/>
      <c r="W66" s="9968"/>
      <c r="X66" s="9968"/>
      <c r="Y66" s="9968"/>
      <c r="Z66" s="9968"/>
      <c r="AA66" s="9969"/>
      <c r="AB66" s="6625" t="s">
        <v>6562</v>
      </c>
      <c r="AC66" s="377"/>
      <c r="AD66" s="6634"/>
      <c r="AE66" s="2289"/>
      <c r="AF66" s="2289"/>
      <c r="AG66" s="2289"/>
      <c r="AH66" s="2289"/>
      <c r="AI66" s="2289"/>
      <c r="AJ66" s="2289"/>
      <c r="AK66" s="2013"/>
      <c r="AL66" s="2741" t="str">
        <f>IF(AND(AL64="",AL65=""),"Choose one.",IF(AND(AL64&lt;&gt;"",AL65&lt;&gt;""),"Chose ONLY one.",""))</f>
        <v/>
      </c>
      <c r="AM66" s="253"/>
      <c r="AN66" s="253"/>
      <c r="AP66" s="658"/>
      <c r="AQ66" s="658"/>
      <c r="AR66" s="658"/>
      <c r="AS66" s="658"/>
      <c r="AT66" s="658"/>
      <c r="AU66" s="658"/>
      <c r="AV66" s="658"/>
      <c r="AW66" s="658"/>
      <c r="AX66" s="658"/>
      <c r="AY66" s="658"/>
      <c r="AZ66"/>
    </row>
    <row r="67" spans="1:52" s="815" customFormat="1" ht="18">
      <c r="A67" s="2013"/>
      <c r="B67" s="9970" t="str">
        <f>IF(AND(AL64&lt;&gt;"",AL65&lt;&gt;""),"",IF(AL64&lt;&gt;"",NameYours,IF(AL65&lt;&gt;"",NameSpouse,"")))</f>
        <v xml:space="preserve"> </v>
      </c>
      <c r="C67" s="9970"/>
      <c r="D67" s="9970"/>
      <c r="E67" s="9970"/>
      <c r="F67" s="9970"/>
      <c r="G67" s="9970"/>
      <c r="H67" s="9970"/>
      <c r="I67" s="9970"/>
      <c r="J67" s="9970"/>
      <c r="K67" s="9970"/>
      <c r="L67" s="9970"/>
      <c r="M67" s="9970"/>
      <c r="N67" s="9970"/>
      <c r="O67" s="9970"/>
      <c r="P67" s="9970"/>
      <c r="Q67" s="9970"/>
      <c r="R67" s="9970"/>
      <c r="S67" s="9970"/>
      <c r="T67" s="9970"/>
      <c r="U67" s="9970"/>
      <c r="V67" s="9970"/>
      <c r="W67" s="9970"/>
      <c r="X67" s="9970"/>
      <c r="Y67" s="9970"/>
      <c r="Z67" s="9970"/>
      <c r="AA67" s="9971"/>
      <c r="AB67" s="9972" t="str">
        <f>IF(AND(AL64&lt;&gt;"",AL65&lt;&gt;""),"",IF(AL64&lt;&gt;"",SS_Yours,IF(AL65&lt;&gt;"",SS_Spouse,"")))</f>
        <v>Filing status?</v>
      </c>
      <c r="AC67" s="9973"/>
      <c r="AD67" s="9973"/>
      <c r="AE67" s="9973"/>
      <c r="AF67" s="9973"/>
      <c r="AG67" s="9973"/>
      <c r="AH67" s="9973"/>
      <c r="AI67" s="9973"/>
      <c r="AJ67" s="9973"/>
      <c r="AK67" s="2013"/>
      <c r="AL67" s="253"/>
      <c r="AM67" s="253"/>
      <c r="AN67" s="253"/>
      <c r="AP67" s="658"/>
      <c r="AQ67" s="658"/>
      <c r="AR67" s="658"/>
      <c r="AS67" s="658"/>
      <c r="AT67" s="658"/>
      <c r="AU67" s="658"/>
      <c r="AV67" s="658"/>
      <c r="AW67" s="658"/>
      <c r="AX67" s="658"/>
      <c r="AY67" s="658"/>
      <c r="AZ67"/>
    </row>
    <row r="68" spans="1:52" s="1115" customFormat="1" ht="15.75" customHeight="1">
      <c r="A68" s="2290"/>
      <c r="B68" s="5218" t="s">
        <v>6563</v>
      </c>
      <c r="C68" s="2291"/>
      <c r="D68" s="2291"/>
      <c r="E68" s="2291"/>
      <c r="F68" s="1323" t="s">
        <v>6564</v>
      </c>
      <c r="G68" s="2291"/>
      <c r="H68" s="2291"/>
      <c r="I68" s="2291"/>
      <c r="J68" s="2291"/>
      <c r="K68" s="2291"/>
      <c r="L68" s="2291"/>
      <c r="M68" s="2291"/>
      <c r="N68" s="2291"/>
      <c r="O68" s="2291"/>
      <c r="P68" s="2291"/>
      <c r="Q68" s="2291"/>
      <c r="R68" s="2291"/>
      <c r="S68" s="2291"/>
      <c r="T68" s="2291"/>
      <c r="U68" s="2291"/>
      <c r="V68" s="2291"/>
      <c r="W68" s="2291"/>
      <c r="X68" s="2291"/>
      <c r="Y68" s="2291"/>
      <c r="Z68" s="2291"/>
      <c r="AA68" s="2291"/>
      <c r="AB68" s="2291"/>
      <c r="AC68" s="2291"/>
      <c r="AD68" s="4558"/>
      <c r="AE68" s="2291"/>
      <c r="AF68" s="2291"/>
      <c r="AG68" s="2291"/>
      <c r="AH68" s="2291"/>
      <c r="AI68" s="2292"/>
      <c r="AJ68" s="2292"/>
      <c r="AK68" s="2290"/>
      <c r="AL68" s="253"/>
      <c r="AM68" s="253"/>
      <c r="AN68" s="253"/>
      <c r="AP68" s="658"/>
      <c r="AQ68" s="658"/>
      <c r="AR68" s="658"/>
      <c r="AS68" s="658"/>
      <c r="AT68" s="658"/>
      <c r="AU68" s="658"/>
      <c r="AV68" s="658"/>
      <c r="AW68" s="658"/>
      <c r="AX68" s="658"/>
      <c r="AY68" s="658"/>
      <c r="AZ68" s="2293"/>
    </row>
    <row r="69" spans="1:52" s="1115" customFormat="1" ht="15.75" customHeight="1">
      <c r="A69" s="2290"/>
      <c r="B69" s="4904"/>
      <c r="C69" s="4524"/>
      <c r="D69" s="4524"/>
      <c r="E69" s="4524"/>
      <c r="F69" s="6661" t="s">
        <v>2598</v>
      </c>
      <c r="G69" s="1323" t="s">
        <v>6565</v>
      </c>
      <c r="H69" s="4524"/>
      <c r="I69" s="4524"/>
      <c r="J69" s="4524"/>
      <c r="K69" s="4524"/>
      <c r="L69" s="4524"/>
      <c r="M69" s="4524"/>
      <c r="N69" s="4524"/>
      <c r="O69" s="4524"/>
      <c r="P69" s="4524"/>
      <c r="Q69" s="4524"/>
      <c r="R69" s="4524"/>
      <c r="S69" s="4524"/>
      <c r="T69" s="4524"/>
      <c r="U69" s="4524"/>
      <c r="V69" s="4524"/>
      <c r="W69" s="4524"/>
      <c r="X69" s="4524"/>
      <c r="Y69" s="4524"/>
      <c r="Z69" s="4524"/>
      <c r="AA69" s="4524"/>
      <c r="AB69" s="4524"/>
      <c r="AC69" s="4524"/>
      <c r="AD69" s="2319"/>
      <c r="AE69" s="4524"/>
      <c r="AF69" s="4524"/>
      <c r="AG69" s="4524"/>
      <c r="AH69" s="4524"/>
      <c r="AI69" s="4521"/>
      <c r="AJ69" s="4521"/>
      <c r="AK69" s="2290"/>
      <c r="AL69" s="253"/>
      <c r="AM69" s="253"/>
      <c r="AN69" s="253"/>
      <c r="AP69" s="658"/>
      <c r="AQ69" s="658"/>
      <c r="AR69" s="658"/>
      <c r="AS69" s="658"/>
      <c r="AT69" s="658"/>
      <c r="AU69" s="658"/>
      <c r="AV69" s="658"/>
      <c r="AW69" s="658"/>
      <c r="AX69" s="658"/>
      <c r="AY69" s="658"/>
      <c r="AZ69" s="2293"/>
    </row>
    <row r="70" spans="1:52" s="1115" customFormat="1" ht="15.75" customHeight="1">
      <c r="A70" s="2290"/>
      <c r="B70" s="4904"/>
      <c r="C70" s="4524"/>
      <c r="D70" s="4524"/>
      <c r="E70" s="4524"/>
      <c r="F70" s="6661" t="s">
        <v>2598</v>
      </c>
      <c r="G70" s="1323" t="s">
        <v>6566</v>
      </c>
      <c r="H70" s="4524"/>
      <c r="I70" s="4524"/>
      <c r="J70" s="4524"/>
      <c r="K70" s="4524"/>
      <c r="L70" s="4524"/>
      <c r="M70" s="4524"/>
      <c r="N70" s="4524"/>
      <c r="O70" s="4524"/>
      <c r="P70" s="4524"/>
      <c r="Q70" s="4524"/>
      <c r="R70" s="4524"/>
      <c r="S70" s="4524"/>
      <c r="T70" s="4524"/>
      <c r="U70" s="4524"/>
      <c r="V70" s="4524"/>
      <c r="W70" s="4524"/>
      <c r="X70" s="4524"/>
      <c r="Y70" s="4524"/>
      <c r="Z70" s="4524"/>
      <c r="AA70" s="4524"/>
      <c r="AB70" s="4524"/>
      <c r="AC70" s="4524"/>
      <c r="AD70" s="2319"/>
      <c r="AE70" s="4524"/>
      <c r="AF70" s="4524"/>
      <c r="AG70" s="4524"/>
      <c r="AH70" s="4524"/>
      <c r="AI70" s="4521"/>
      <c r="AJ70" s="4521"/>
      <c r="AK70" s="2290"/>
      <c r="AL70" s="253"/>
      <c r="AM70" s="253"/>
      <c r="AN70" s="253"/>
      <c r="AP70" s="658"/>
      <c r="AQ70" s="658"/>
      <c r="AR70" s="658"/>
      <c r="AS70" s="658"/>
      <c r="AT70" s="658"/>
      <c r="AU70" s="658"/>
      <c r="AV70" s="658"/>
      <c r="AW70" s="658"/>
      <c r="AX70" s="658"/>
      <c r="AY70" s="658"/>
      <c r="AZ70" s="2293"/>
    </row>
    <row r="71" spans="1:52" s="1115" customFormat="1" ht="15.75" customHeight="1">
      <c r="A71" s="2290"/>
      <c r="B71" s="4904"/>
      <c r="C71" s="4524"/>
      <c r="D71" s="4524"/>
      <c r="E71" s="4524"/>
      <c r="F71" s="6661" t="s">
        <v>2598</v>
      </c>
      <c r="G71" s="1405" t="s">
        <v>6567</v>
      </c>
      <c r="H71" s="4524"/>
      <c r="I71" s="4524"/>
      <c r="J71" s="4524"/>
      <c r="K71" s="4524"/>
      <c r="L71" s="4524"/>
      <c r="M71" s="4524"/>
      <c r="N71" s="4524"/>
      <c r="O71" s="4524"/>
      <c r="P71" s="4524"/>
      <c r="Q71" s="4524"/>
      <c r="R71" s="4524"/>
      <c r="S71" s="4524"/>
      <c r="T71" s="4524"/>
      <c r="U71" s="4524"/>
      <c r="V71" s="4524"/>
      <c r="W71" s="4524"/>
      <c r="X71" s="4524"/>
      <c r="Y71" s="4524"/>
      <c r="Z71" s="4524"/>
      <c r="AA71" s="4524"/>
      <c r="AB71" s="4524"/>
      <c r="AC71" s="4524"/>
      <c r="AD71" s="2319"/>
      <c r="AE71" s="4524"/>
      <c r="AF71" s="4524"/>
      <c r="AG71" s="4524"/>
      <c r="AH71" s="4524"/>
      <c r="AI71" s="4521"/>
      <c r="AJ71" s="4521"/>
      <c r="AK71" s="2290"/>
      <c r="AL71" s="253"/>
      <c r="AM71" s="253"/>
      <c r="AN71" s="253"/>
      <c r="AP71" s="658"/>
      <c r="AQ71" s="658"/>
      <c r="AR71" s="658"/>
      <c r="AS71" s="658"/>
      <c r="AT71" s="658"/>
      <c r="AU71" s="658"/>
      <c r="AV71" s="658"/>
      <c r="AW71" s="658"/>
      <c r="AX71" s="658"/>
      <c r="AY71" s="658"/>
      <c r="AZ71" s="2293"/>
    </row>
    <row r="72" spans="1:52" s="1115" customFormat="1" ht="15.75" customHeight="1">
      <c r="A72" s="2290"/>
      <c r="B72" s="2296"/>
      <c r="C72" s="2294"/>
      <c r="D72" s="2295"/>
      <c r="E72" s="2296"/>
      <c r="F72" s="6662" t="s">
        <v>2598</v>
      </c>
      <c r="G72" s="1998" t="s">
        <v>6568</v>
      </c>
      <c r="H72" s="2294"/>
      <c r="I72" s="2294"/>
      <c r="J72" s="2294"/>
      <c r="K72" s="2294"/>
      <c r="L72" s="2294"/>
      <c r="M72" s="2294"/>
      <c r="N72" s="2294"/>
      <c r="O72" s="2294"/>
      <c r="P72" s="2294"/>
      <c r="Q72" s="2294"/>
      <c r="R72" s="2294"/>
      <c r="S72" s="2294"/>
      <c r="T72" s="2294"/>
      <c r="U72" s="2294"/>
      <c r="V72" s="2294"/>
      <c r="W72" s="2294"/>
      <c r="X72" s="2294"/>
      <c r="Y72" s="2294"/>
      <c r="Z72" s="2294"/>
      <c r="AA72" s="2294"/>
      <c r="AB72" s="2294"/>
      <c r="AC72" s="2294"/>
      <c r="AD72" s="4559"/>
      <c r="AE72" s="2294"/>
      <c r="AF72" s="2294"/>
      <c r="AG72" s="2294"/>
      <c r="AH72" s="2294"/>
      <c r="AI72" s="2297"/>
      <c r="AJ72" s="2297"/>
      <c r="AK72" s="2290"/>
      <c r="AL72" s="253"/>
      <c r="AM72" s="253"/>
      <c r="AN72" s="253"/>
      <c r="AP72" s="658"/>
      <c r="AQ72" s="658"/>
      <c r="AR72" s="658"/>
      <c r="AS72" s="658"/>
      <c r="AT72" s="658"/>
      <c r="AU72" s="658"/>
      <c r="AV72" s="658"/>
      <c r="AW72" s="658"/>
      <c r="AX72" s="658"/>
      <c r="AY72" s="658"/>
      <c r="AZ72" s="2293"/>
    </row>
    <row r="73" spans="1:52" s="1115" customFormat="1" ht="15.75" customHeight="1">
      <c r="A73" s="2290"/>
      <c r="B73" s="514" t="s">
        <v>6569</v>
      </c>
      <c r="C73" s="2291"/>
      <c r="D73" s="2291"/>
      <c r="E73" s="2291"/>
      <c r="F73" s="1323" t="s">
        <v>6570</v>
      </c>
      <c r="G73" s="2291"/>
      <c r="H73" s="2291"/>
      <c r="I73" s="2291"/>
      <c r="J73" s="2291"/>
      <c r="K73" s="2291"/>
      <c r="L73" s="2291"/>
      <c r="M73" s="2291"/>
      <c r="N73" s="2291"/>
      <c r="O73" s="2291"/>
      <c r="P73" s="2291"/>
      <c r="Q73" s="2291"/>
      <c r="R73" s="2291"/>
      <c r="S73" s="2291"/>
      <c r="T73" s="2291"/>
      <c r="U73" s="2291"/>
      <c r="V73" s="2291"/>
      <c r="W73" s="2291"/>
      <c r="X73" s="2291"/>
      <c r="Y73" s="2291"/>
      <c r="Z73" s="2291"/>
      <c r="AA73" s="2291"/>
      <c r="AB73" s="2291"/>
      <c r="AC73" s="2291"/>
      <c r="AD73" s="4558"/>
      <c r="AE73" s="2291"/>
      <c r="AF73" s="2291"/>
      <c r="AG73" s="2291"/>
      <c r="AH73" s="2291"/>
      <c r="AI73" s="2292"/>
      <c r="AJ73" s="2292"/>
      <c r="AK73" s="2290"/>
      <c r="AL73" s="253"/>
      <c r="AM73" s="253"/>
      <c r="AN73" s="253"/>
      <c r="AP73" s="658"/>
      <c r="AQ73" s="658"/>
      <c r="AR73" s="658"/>
      <c r="AS73" s="658"/>
      <c r="AT73" s="658"/>
      <c r="AU73" s="658"/>
      <c r="AV73" s="658"/>
      <c r="AW73" s="658"/>
      <c r="AX73" s="658"/>
      <c r="AY73" s="658"/>
      <c r="AZ73" s="2293"/>
    </row>
    <row r="74" spans="1:52" s="1115" customFormat="1" ht="15.75" customHeight="1">
      <c r="A74" s="2290"/>
      <c r="B74" s="4904"/>
      <c r="C74" s="4524"/>
      <c r="D74" s="4524"/>
      <c r="E74" s="4524"/>
      <c r="F74" s="1323" t="s">
        <v>6572</v>
      </c>
      <c r="G74" s="1323"/>
      <c r="H74" s="4524"/>
      <c r="I74" s="4524"/>
      <c r="J74" s="4524"/>
      <c r="K74" s="4524"/>
      <c r="L74" s="4524"/>
      <c r="M74" s="4524"/>
      <c r="N74" s="4524"/>
      <c r="O74" s="4524"/>
      <c r="P74" s="4524"/>
      <c r="Q74" s="4524"/>
      <c r="R74" s="4524"/>
      <c r="S74" s="4524"/>
      <c r="T74" s="4524"/>
      <c r="U74" s="4524"/>
      <c r="V74" s="4524"/>
      <c r="W74" s="4524"/>
      <c r="X74" s="4524"/>
      <c r="Y74" s="4524"/>
      <c r="Z74" s="4524"/>
      <c r="AA74" s="4524"/>
      <c r="AB74" s="4524"/>
      <c r="AC74" s="4524"/>
      <c r="AD74" s="2319"/>
      <c r="AE74" s="4524"/>
      <c r="AF74" s="4524"/>
      <c r="AG74" s="4524"/>
      <c r="AH74" s="4524"/>
      <c r="AI74" s="4521"/>
      <c r="AJ74" s="4521"/>
      <c r="AK74" s="2290"/>
      <c r="AL74" s="253"/>
      <c r="AM74" s="253"/>
      <c r="AN74" s="253"/>
      <c r="AP74" s="658"/>
      <c r="AQ74" s="658"/>
      <c r="AR74" s="658"/>
      <c r="AS74" s="658"/>
      <c r="AT74" s="658"/>
      <c r="AU74" s="658"/>
      <c r="AV74" s="658"/>
      <c r="AW74" s="658"/>
      <c r="AX74" s="658"/>
      <c r="AY74" s="658"/>
      <c r="AZ74" s="2293"/>
    </row>
    <row r="75" spans="1:52" s="1115" customFormat="1" ht="15.75" customHeight="1">
      <c r="A75" s="2290"/>
      <c r="B75" s="4904"/>
      <c r="C75" s="4524"/>
      <c r="D75" s="4524"/>
      <c r="E75" s="4524"/>
      <c r="F75" s="514" t="s">
        <v>6571</v>
      </c>
      <c r="G75" s="1323"/>
      <c r="H75" s="4524"/>
      <c r="I75" s="4524"/>
      <c r="J75" s="4524"/>
      <c r="K75" s="4524"/>
      <c r="L75" s="4524"/>
      <c r="M75" s="4524"/>
      <c r="N75" s="4524"/>
      <c r="O75" s="4524"/>
      <c r="P75" s="4524"/>
      <c r="Q75" s="4524"/>
      <c r="R75" s="4524"/>
      <c r="S75" s="4524"/>
      <c r="T75" s="4524"/>
      <c r="U75" s="4524"/>
      <c r="V75" s="4524"/>
      <c r="W75" s="4524"/>
      <c r="X75" s="4524"/>
      <c r="Y75" s="4524"/>
      <c r="Z75" s="4524"/>
      <c r="AA75" s="4524"/>
      <c r="AB75" s="4524"/>
      <c r="AC75" s="4524"/>
      <c r="AD75" s="2319"/>
      <c r="AE75" s="4524"/>
      <c r="AF75" s="4524"/>
      <c r="AG75" s="4524"/>
      <c r="AH75" s="4524"/>
      <c r="AI75" s="4521"/>
      <c r="AJ75" s="4521"/>
      <c r="AK75" s="2290"/>
      <c r="AL75" s="253"/>
      <c r="AM75" s="253"/>
      <c r="AN75" s="253"/>
      <c r="AP75" s="658"/>
      <c r="AQ75" s="658"/>
      <c r="AR75" s="658"/>
      <c r="AS75" s="658"/>
      <c r="AT75" s="658"/>
      <c r="AU75" s="658"/>
      <c r="AV75" s="658"/>
      <c r="AW75" s="658"/>
      <c r="AX75" s="658"/>
      <c r="AY75" s="658"/>
      <c r="AZ75" s="2293"/>
    </row>
    <row r="76" spans="1:52" s="1115" customFormat="1" ht="15.75" customHeight="1">
      <c r="A76" s="2290"/>
      <c r="B76" s="4904"/>
      <c r="C76" s="4524"/>
      <c r="D76" s="4524"/>
      <c r="E76" s="4524"/>
      <c r="F76" s="514"/>
      <c r="G76" s="1323"/>
      <c r="H76" s="4524"/>
      <c r="I76" s="4524"/>
      <c r="J76" s="4524"/>
      <c r="K76" s="4524"/>
      <c r="L76" s="4524"/>
      <c r="M76" s="4524"/>
      <c r="N76" s="4524"/>
      <c r="O76" s="4524"/>
      <c r="P76" s="4524"/>
      <c r="Q76" s="4524"/>
      <c r="R76" s="4524"/>
      <c r="S76" s="4524"/>
      <c r="T76" s="4524"/>
      <c r="U76" s="4524"/>
      <c r="V76" s="4524"/>
      <c r="W76" s="4524"/>
      <c r="X76" s="4524"/>
      <c r="Y76" s="4524"/>
      <c r="Z76" s="4524"/>
      <c r="AA76" s="4524"/>
      <c r="AB76" s="4524"/>
      <c r="AC76" s="4524"/>
      <c r="AD76" s="2319"/>
      <c r="AE76" s="4524"/>
      <c r="AF76" s="4524"/>
      <c r="AG76" s="4524"/>
      <c r="AH76" s="4524"/>
      <c r="AI76" s="4521"/>
      <c r="AJ76" s="4521"/>
      <c r="AK76" s="2290"/>
      <c r="AL76" s="253"/>
      <c r="AM76" s="253"/>
      <c r="AN76" s="253"/>
      <c r="AP76" s="658"/>
      <c r="AQ76" s="658"/>
      <c r="AR76" s="658"/>
      <c r="AS76" s="658"/>
      <c r="AT76" s="658"/>
      <c r="AU76" s="658"/>
      <c r="AV76" s="658"/>
      <c r="AW76" s="658"/>
      <c r="AX76" s="658"/>
      <c r="AY76" s="658"/>
      <c r="AZ76" s="2293"/>
    </row>
    <row r="77" spans="1:52" s="1115" customFormat="1" ht="15.75" customHeight="1">
      <c r="A77" s="2290"/>
      <c r="B77" s="4904"/>
      <c r="C77" s="4524"/>
      <c r="D77" s="6627"/>
      <c r="E77" s="6663" t="s">
        <v>510</v>
      </c>
      <c r="F77" s="1405" t="s">
        <v>6574</v>
      </c>
      <c r="G77" s="1323"/>
      <c r="H77" s="4524"/>
      <c r="I77" s="4524"/>
      <c r="J77" s="4524"/>
      <c r="K77" s="4524"/>
      <c r="L77" s="4524"/>
      <c r="M77" s="4524"/>
      <c r="N77" s="4524"/>
      <c r="O77" s="4524"/>
      <c r="P77" s="4524"/>
      <c r="Q77" s="4524"/>
      <c r="R77" s="4524"/>
      <c r="S77" s="4524"/>
      <c r="T77" s="4524"/>
      <c r="U77" s="4524"/>
      <c r="V77" s="4524"/>
      <c r="W77" s="4524"/>
      <c r="X77" s="4524"/>
      <c r="Y77" s="4524"/>
      <c r="Z77" s="4524"/>
      <c r="AA77" s="4524"/>
      <c r="AB77" s="4524"/>
      <c r="AC77" s="4524"/>
      <c r="AD77" s="2319"/>
      <c r="AE77" s="4524"/>
      <c r="AF77" s="4524"/>
      <c r="AG77" s="4524"/>
      <c r="AH77" s="4524"/>
      <c r="AI77" s="4521"/>
      <c r="AJ77" s="4521"/>
      <c r="AK77" s="2290"/>
      <c r="AL77" s="253"/>
      <c r="AM77" s="253"/>
      <c r="AN77" s="253"/>
      <c r="AP77" s="658"/>
      <c r="AQ77" s="658"/>
      <c r="AR77" s="658"/>
      <c r="AS77" s="658"/>
      <c r="AT77" s="658"/>
      <c r="AU77" s="658"/>
      <c r="AV77" s="658"/>
      <c r="AW77" s="658"/>
      <c r="AX77" s="658"/>
      <c r="AY77" s="658"/>
      <c r="AZ77" s="2293"/>
    </row>
    <row r="78" spans="1:52" s="1115" customFormat="1" ht="15.75" customHeight="1">
      <c r="A78" s="2290"/>
      <c r="B78" s="4904"/>
      <c r="C78" s="4524"/>
      <c r="D78" s="6664"/>
      <c r="E78" s="6665"/>
      <c r="F78" s="514"/>
      <c r="G78" s="1323"/>
      <c r="H78" s="4524"/>
      <c r="I78" s="4524"/>
      <c r="J78" s="4524"/>
      <c r="K78" s="4524"/>
      <c r="L78" s="4524"/>
      <c r="M78" s="4524"/>
      <c r="N78" s="4524"/>
      <c r="O78" s="4524"/>
      <c r="P78" s="4524"/>
      <c r="Q78" s="4524"/>
      <c r="R78" s="4524"/>
      <c r="S78" s="4524"/>
      <c r="T78" s="4524"/>
      <c r="U78" s="4524"/>
      <c r="V78" s="4524"/>
      <c r="W78" s="4524"/>
      <c r="X78" s="4524"/>
      <c r="Y78" s="4524"/>
      <c r="Z78" s="4524"/>
      <c r="AA78" s="4524"/>
      <c r="AB78" s="4524"/>
      <c r="AC78" s="4524"/>
      <c r="AD78" s="2319"/>
      <c r="AE78" s="4524"/>
      <c r="AF78" s="4524"/>
      <c r="AG78" s="4524"/>
      <c r="AH78" s="4524"/>
      <c r="AI78" s="4521"/>
      <c r="AJ78" s="4521"/>
      <c r="AK78" s="2290"/>
      <c r="AL78" s="253"/>
      <c r="AM78" s="253"/>
      <c r="AN78" s="253"/>
      <c r="AP78" s="658"/>
      <c r="AQ78" s="658"/>
      <c r="AR78" s="658"/>
      <c r="AS78" s="658"/>
      <c r="AT78" s="658"/>
      <c r="AU78" s="658"/>
      <c r="AV78" s="658"/>
      <c r="AW78" s="658"/>
      <c r="AX78" s="658"/>
      <c r="AY78" s="658"/>
      <c r="AZ78" s="2293"/>
    </row>
    <row r="79" spans="1:52" s="1115" customFormat="1" ht="15.75" customHeight="1">
      <c r="A79" s="2290"/>
      <c r="B79" s="4904"/>
      <c r="C79" s="4524"/>
      <c r="D79" s="6627"/>
      <c r="E79" s="6663" t="s">
        <v>518</v>
      </c>
      <c r="F79" s="1405" t="s">
        <v>6573</v>
      </c>
      <c r="G79" s="1323"/>
      <c r="H79" s="4524"/>
      <c r="I79" s="4524"/>
      <c r="J79" s="4524"/>
      <c r="K79" s="4524"/>
      <c r="L79" s="4524"/>
      <c r="M79" s="4524"/>
      <c r="N79" s="4524"/>
      <c r="O79" s="4524"/>
      <c r="P79" s="4524"/>
      <c r="Q79" s="4524"/>
      <c r="R79" s="4524"/>
      <c r="S79" s="4524"/>
      <c r="T79" s="4524"/>
      <c r="U79" s="4524"/>
      <c r="V79" s="4524"/>
      <c r="W79" s="4524"/>
      <c r="X79" s="4524"/>
      <c r="Y79" s="4524"/>
      <c r="Z79" s="4524"/>
      <c r="AA79" s="4524"/>
      <c r="AB79" s="4524"/>
      <c r="AC79" s="4524"/>
      <c r="AD79" s="2319"/>
      <c r="AE79" s="4524"/>
      <c r="AF79" s="4524"/>
      <c r="AG79" s="4524"/>
      <c r="AH79" s="4524"/>
      <c r="AI79" s="4521"/>
      <c r="AJ79" s="4521"/>
      <c r="AK79" s="2290"/>
      <c r="AL79" s="253"/>
      <c r="AM79" s="253"/>
      <c r="AN79" s="253"/>
      <c r="AP79" s="658"/>
      <c r="AQ79" s="658"/>
      <c r="AR79" s="658"/>
      <c r="AS79" s="658"/>
      <c r="AT79" s="658"/>
      <c r="AU79" s="658"/>
      <c r="AV79" s="658"/>
      <c r="AW79" s="658"/>
      <c r="AX79" s="658"/>
      <c r="AY79" s="658"/>
      <c r="AZ79" s="2293"/>
    </row>
    <row r="80" spans="1:52" s="1115" customFormat="1" ht="15.75" customHeight="1">
      <c r="A80" s="2290"/>
      <c r="B80" s="4904"/>
      <c r="C80" s="4524"/>
      <c r="D80" s="6664"/>
      <c r="E80" s="6665"/>
      <c r="F80" s="514"/>
      <c r="G80" s="1323"/>
      <c r="H80" s="4524"/>
      <c r="I80" s="4524"/>
      <c r="J80" s="4524"/>
      <c r="K80" s="4524"/>
      <c r="L80" s="4524"/>
      <c r="M80" s="4524"/>
      <c r="N80" s="4524"/>
      <c r="O80" s="4524"/>
      <c r="P80" s="4524"/>
      <c r="Q80" s="4524"/>
      <c r="R80" s="4524"/>
      <c r="S80" s="4524"/>
      <c r="T80" s="4524"/>
      <c r="U80" s="4524"/>
      <c r="V80" s="4524"/>
      <c r="W80" s="4524"/>
      <c r="X80" s="4524"/>
      <c r="Y80" s="4524"/>
      <c r="Z80" s="4524"/>
      <c r="AA80" s="4524"/>
      <c r="AB80" s="4524"/>
      <c r="AC80" s="4524"/>
      <c r="AD80" s="2319"/>
      <c r="AE80" s="4524"/>
      <c r="AF80" s="4524"/>
      <c r="AG80" s="4524"/>
      <c r="AH80" s="4524"/>
      <c r="AI80" s="4521"/>
      <c r="AJ80" s="4521"/>
      <c r="AK80" s="2290"/>
      <c r="AL80" s="253"/>
      <c r="AM80" s="253"/>
      <c r="AN80" s="253"/>
      <c r="AP80" s="658"/>
      <c r="AQ80" s="658"/>
      <c r="AR80" s="658"/>
      <c r="AS80" s="658"/>
      <c r="AT80" s="658"/>
      <c r="AU80" s="658"/>
      <c r="AV80" s="658"/>
      <c r="AW80" s="658"/>
      <c r="AX80" s="658"/>
      <c r="AY80" s="658"/>
      <c r="AZ80" s="2293"/>
    </row>
    <row r="81" spans="1:52" s="1115" customFormat="1" ht="15.75" customHeight="1">
      <c r="A81" s="2290"/>
      <c r="B81" s="4904"/>
      <c r="C81" s="4524"/>
      <c r="D81" s="6627"/>
      <c r="E81" s="6663" t="s">
        <v>1979</v>
      </c>
      <c r="F81" s="1405" t="s">
        <v>6575</v>
      </c>
      <c r="G81" s="1323"/>
      <c r="H81" s="4524"/>
      <c r="I81" s="4524"/>
      <c r="J81" s="4524"/>
      <c r="K81" s="4524"/>
      <c r="L81" s="4524"/>
      <c r="M81" s="4524"/>
      <c r="N81" s="4524"/>
      <c r="O81" s="4524"/>
      <c r="P81" s="4524"/>
      <c r="Q81" s="4524"/>
      <c r="R81" s="4524"/>
      <c r="S81" s="4524"/>
      <c r="T81" s="4524"/>
      <c r="U81" s="4524"/>
      <c r="V81" s="4524"/>
      <c r="W81" s="4524"/>
      <c r="X81" s="4524"/>
      <c r="Y81" s="4524"/>
      <c r="Z81" s="4524"/>
      <c r="AA81" s="4524"/>
      <c r="AB81" s="4524"/>
      <c r="AC81" s="4524"/>
      <c r="AD81" s="2319"/>
      <c r="AE81" s="4524"/>
      <c r="AF81" s="4524"/>
      <c r="AG81" s="4524"/>
      <c r="AH81" s="4524"/>
      <c r="AI81" s="4521"/>
      <c r="AJ81" s="4521"/>
      <c r="AK81" s="2290"/>
      <c r="AL81" s="253"/>
      <c r="AM81" s="253"/>
      <c r="AN81" s="253"/>
      <c r="AP81" s="658"/>
      <c r="AQ81" s="658"/>
      <c r="AR81" s="658"/>
      <c r="AS81" s="658"/>
      <c r="AT81" s="658"/>
      <c r="AU81" s="658"/>
      <c r="AV81" s="658"/>
      <c r="AW81" s="658"/>
      <c r="AX81" s="658"/>
      <c r="AY81" s="658"/>
      <c r="AZ81" s="2293"/>
    </row>
    <row r="82" spans="1:52" s="1115" customFormat="1" ht="15.75" customHeight="1">
      <c r="A82" s="2290"/>
      <c r="B82" s="4904"/>
      <c r="C82" s="4524"/>
      <c r="D82" s="6664"/>
      <c r="E82" s="6665"/>
      <c r="F82" s="514"/>
      <c r="G82" s="1323"/>
      <c r="H82" s="4524"/>
      <c r="I82" s="4524"/>
      <c r="J82" s="4524"/>
      <c r="K82" s="4524"/>
      <c r="L82" s="4524"/>
      <c r="M82" s="4524"/>
      <c r="N82" s="4524"/>
      <c r="O82" s="4524"/>
      <c r="P82" s="4524"/>
      <c r="Q82" s="4524"/>
      <c r="R82" s="4524"/>
      <c r="S82" s="4524"/>
      <c r="T82" s="4524"/>
      <c r="U82" s="4524"/>
      <c r="V82" s="4524"/>
      <c r="W82" s="4524"/>
      <c r="X82" s="4524"/>
      <c r="Y82" s="4524"/>
      <c r="Z82" s="4524"/>
      <c r="AA82" s="4524"/>
      <c r="AB82" s="4524"/>
      <c r="AC82" s="4524"/>
      <c r="AD82" s="2319"/>
      <c r="AE82" s="4524"/>
      <c r="AF82" s="4524"/>
      <c r="AG82" s="4524"/>
      <c r="AH82" s="4524"/>
      <c r="AI82" s="4521"/>
      <c r="AJ82" s="4521"/>
      <c r="AK82" s="2290"/>
      <c r="AL82" s="253"/>
      <c r="AM82" s="253"/>
      <c r="AN82" s="253"/>
      <c r="AP82" s="658"/>
      <c r="AQ82" s="658"/>
      <c r="AR82" s="658"/>
      <c r="AS82" s="658"/>
      <c r="AT82" s="658"/>
      <c r="AU82" s="658"/>
      <c r="AV82" s="658"/>
      <c r="AW82" s="658"/>
      <c r="AX82" s="658"/>
      <c r="AY82" s="658"/>
      <c r="AZ82" s="2293"/>
    </row>
    <row r="83" spans="1:52" s="1115" customFormat="1" ht="15.75" customHeight="1">
      <c r="A83" s="2290"/>
      <c r="B83" s="4904"/>
      <c r="C83" s="4524"/>
      <c r="D83" s="6627"/>
      <c r="E83" s="6663" t="s">
        <v>1980</v>
      </c>
      <c r="F83" s="1323" t="s">
        <v>6576</v>
      </c>
      <c r="G83" s="1323"/>
      <c r="H83" s="4524"/>
      <c r="I83" s="4524"/>
      <c r="J83" s="4524"/>
      <c r="K83" s="4524"/>
      <c r="L83" s="4524"/>
      <c r="M83" s="4524"/>
      <c r="N83" s="4524"/>
      <c r="O83" s="4524"/>
      <c r="P83" s="4524"/>
      <c r="Q83" s="4524"/>
      <c r="R83" s="4524"/>
      <c r="S83" s="4524"/>
      <c r="T83" s="4524"/>
      <c r="U83" s="4524"/>
      <c r="V83" s="4524"/>
      <c r="W83" s="4524"/>
      <c r="X83" s="4524"/>
      <c r="Y83" s="4524"/>
      <c r="Z83" s="4524"/>
      <c r="AA83" s="4524"/>
      <c r="AB83" s="4524"/>
      <c r="AC83" s="4524"/>
      <c r="AD83" s="2319"/>
      <c r="AE83" s="4524"/>
      <c r="AF83" s="4524"/>
      <c r="AG83" s="4524"/>
      <c r="AH83" s="4524"/>
      <c r="AI83" s="4521"/>
      <c r="AJ83" s="4521"/>
      <c r="AK83" s="2290"/>
      <c r="AL83" s="253"/>
      <c r="AM83" s="253"/>
      <c r="AN83" s="253"/>
      <c r="AP83" s="658"/>
      <c r="AQ83" s="658"/>
      <c r="AR83" s="658"/>
      <c r="AS83" s="658"/>
      <c r="AT83" s="658"/>
      <c r="AU83" s="658"/>
      <c r="AV83" s="658"/>
      <c r="AW83" s="658"/>
      <c r="AX83" s="658"/>
      <c r="AY83" s="658"/>
      <c r="AZ83" s="2293"/>
    </row>
    <row r="84" spans="1:52" s="1115" customFormat="1" ht="15.75" customHeight="1">
      <c r="A84" s="2290"/>
      <c r="B84" s="4904"/>
      <c r="C84" s="4524"/>
      <c r="D84" s="4524"/>
      <c r="E84" s="4524"/>
      <c r="F84" s="1323" t="s">
        <v>6577</v>
      </c>
      <c r="G84" s="1323"/>
      <c r="H84" s="4524"/>
      <c r="I84" s="4524"/>
      <c r="J84" s="4524"/>
      <c r="K84" s="4524"/>
      <c r="L84" s="4524"/>
      <c r="M84" s="4524"/>
      <c r="N84" s="4524"/>
      <c r="O84" s="4524"/>
      <c r="P84" s="4524"/>
      <c r="Q84" s="4524"/>
      <c r="R84" s="4524"/>
      <c r="S84" s="4524"/>
      <c r="T84" s="4524"/>
      <c r="U84" s="4524"/>
      <c r="V84" s="4524"/>
      <c r="W84" s="4524"/>
      <c r="X84" s="4524"/>
      <c r="Y84" s="4524"/>
      <c r="Z84" s="4524"/>
      <c r="AA84" s="4524"/>
      <c r="AB84" s="4524"/>
      <c r="AC84" s="4524"/>
      <c r="AD84" s="2319"/>
      <c r="AE84" s="4524"/>
      <c r="AF84" s="4524"/>
      <c r="AG84" s="4524"/>
      <c r="AH84" s="4524"/>
      <c r="AI84" s="4521"/>
      <c r="AJ84" s="4521"/>
      <c r="AK84" s="2290"/>
      <c r="AL84" s="253"/>
      <c r="AM84" s="253"/>
      <c r="AN84" s="253"/>
      <c r="AP84" s="658"/>
      <c r="AQ84" s="658"/>
      <c r="AR84" s="658"/>
      <c r="AS84" s="658"/>
      <c r="AT84" s="658"/>
      <c r="AU84" s="658"/>
      <c r="AV84" s="658"/>
      <c r="AW84" s="658"/>
      <c r="AX84" s="658"/>
      <c r="AY84" s="658"/>
      <c r="AZ84" s="2293"/>
    </row>
    <row r="85" spans="1:52" s="1115" customFormat="1" ht="19.5" customHeight="1">
      <c r="A85" s="2290"/>
      <c r="B85" s="4904"/>
      <c r="C85" s="4524"/>
      <c r="D85" s="4524"/>
      <c r="E85" s="4524"/>
      <c r="F85" s="6666" t="s">
        <v>6578</v>
      </c>
      <c r="G85" s="1323"/>
      <c r="H85" s="4524"/>
      <c r="I85" s="4524"/>
      <c r="J85" s="4524"/>
      <c r="K85" s="4524"/>
      <c r="L85" s="4524"/>
      <c r="M85" s="4524"/>
      <c r="N85" s="4524"/>
      <c r="O85" s="4524"/>
      <c r="P85" s="4524"/>
      <c r="Q85" s="4524"/>
      <c r="R85" s="4524"/>
      <c r="S85" s="4524"/>
      <c r="T85" s="4524"/>
      <c r="U85" s="4524"/>
      <c r="V85" s="4524"/>
      <c r="W85" s="4524"/>
      <c r="X85" s="4524"/>
      <c r="Y85" s="4524"/>
      <c r="Z85" s="4524"/>
      <c r="AA85" s="4524"/>
      <c r="AB85" s="4524"/>
      <c r="AC85" s="4524"/>
      <c r="AD85" s="2319"/>
      <c r="AE85" s="4524"/>
      <c r="AF85" s="4524"/>
      <c r="AG85" s="4524"/>
      <c r="AH85" s="4524"/>
      <c r="AI85" s="4521"/>
      <c r="AJ85" s="4521"/>
      <c r="AK85" s="2290"/>
      <c r="AL85" s="253"/>
      <c r="AM85" s="253"/>
      <c r="AN85" s="253"/>
      <c r="AP85" s="658"/>
      <c r="AQ85" s="658"/>
      <c r="AR85" s="658"/>
      <c r="AS85" s="658"/>
      <c r="AT85" s="658"/>
      <c r="AU85" s="658"/>
      <c r="AV85" s="658"/>
      <c r="AW85" s="658"/>
      <c r="AX85" s="658"/>
      <c r="AY85" s="658"/>
      <c r="AZ85" s="2293"/>
    </row>
    <row r="86" spans="1:52" s="1115" customFormat="1" ht="15.75" customHeight="1">
      <c r="A86" s="2290"/>
      <c r="B86" s="2310"/>
      <c r="C86" s="2291"/>
      <c r="D86" s="2317"/>
      <c r="E86" s="2310"/>
      <c r="F86" s="6667"/>
      <c r="G86" s="2761"/>
      <c r="H86" s="2291"/>
      <c r="I86" s="2291"/>
      <c r="J86" s="2291"/>
      <c r="K86" s="2291"/>
      <c r="L86" s="2291"/>
      <c r="M86" s="6668"/>
      <c r="N86" s="9930" t="s">
        <v>6582</v>
      </c>
      <c r="O86" s="11365"/>
      <c r="P86" s="11365"/>
      <c r="Q86" s="11365"/>
      <c r="R86" s="11365"/>
      <c r="S86" s="11366"/>
      <c r="T86" s="9930" t="s">
        <v>6581</v>
      </c>
      <c r="U86" s="11365"/>
      <c r="V86" s="11366"/>
      <c r="W86" s="9930" t="s">
        <v>6580</v>
      </c>
      <c r="X86" s="11365"/>
      <c r="Y86" s="11365"/>
      <c r="Z86" s="11365"/>
      <c r="AA86" s="11366"/>
      <c r="AB86" s="9936" t="s">
        <v>6579</v>
      </c>
      <c r="AC86" s="11373"/>
      <c r="AD86" s="11374"/>
      <c r="AE86" s="9936" t="s">
        <v>6584</v>
      </c>
      <c r="AF86" s="11373"/>
      <c r="AG86" s="11373"/>
      <c r="AH86" s="11373"/>
      <c r="AI86" s="11373"/>
      <c r="AJ86" s="11373"/>
      <c r="AK86" s="2290"/>
      <c r="AL86" s="253"/>
      <c r="AM86" s="253"/>
      <c r="AN86" s="253"/>
      <c r="AP86" s="658"/>
      <c r="AQ86" s="658"/>
      <c r="AR86" s="658"/>
      <c r="AS86" s="658"/>
      <c r="AT86" s="658"/>
      <c r="AU86" s="658"/>
      <c r="AV86" s="658"/>
      <c r="AW86" s="658"/>
      <c r="AX86" s="658"/>
      <c r="AY86" s="658"/>
      <c r="AZ86" s="2293"/>
    </row>
    <row r="87" spans="1:52" s="1115" customFormat="1" ht="15.75" customHeight="1">
      <c r="A87" s="2290"/>
      <c r="B87" s="4904"/>
      <c r="C87" s="4524"/>
      <c r="D87" s="6626"/>
      <c r="E87" s="4904"/>
      <c r="F87" s="6669"/>
      <c r="G87" s="1323"/>
      <c r="H87" s="4524"/>
      <c r="I87" s="4524"/>
      <c r="J87" s="4524"/>
      <c r="K87" s="4524"/>
      <c r="L87" s="4524"/>
      <c r="M87" s="6670"/>
      <c r="N87" s="11367"/>
      <c r="O87" s="11368"/>
      <c r="P87" s="11368"/>
      <c r="Q87" s="11368"/>
      <c r="R87" s="11368"/>
      <c r="S87" s="11369"/>
      <c r="T87" s="11367"/>
      <c r="U87" s="11368"/>
      <c r="V87" s="11369"/>
      <c r="W87" s="11367"/>
      <c r="X87" s="11368"/>
      <c r="Y87" s="11368"/>
      <c r="Z87" s="11368"/>
      <c r="AA87" s="11369"/>
      <c r="AB87" s="11375"/>
      <c r="AC87" s="11376"/>
      <c r="AD87" s="11377"/>
      <c r="AE87" s="11375"/>
      <c r="AF87" s="11376"/>
      <c r="AG87" s="11376"/>
      <c r="AH87" s="11376"/>
      <c r="AI87" s="11376"/>
      <c r="AJ87" s="11376"/>
      <c r="AK87" s="2290"/>
      <c r="AL87" s="253"/>
      <c r="AM87" s="253"/>
      <c r="AN87" s="253"/>
      <c r="AP87" s="658"/>
      <c r="AQ87" s="658"/>
      <c r="AR87" s="658"/>
      <c r="AS87" s="658"/>
      <c r="AT87" s="658"/>
      <c r="AU87" s="658"/>
      <c r="AV87" s="658"/>
      <c r="AW87" s="658"/>
      <c r="AX87" s="658"/>
      <c r="AY87" s="658"/>
      <c r="AZ87" s="2293"/>
    </row>
    <row r="88" spans="1:52" s="1115" customFormat="1" ht="15.75" customHeight="1">
      <c r="A88" s="2290"/>
      <c r="B88" s="4904"/>
      <c r="C88" s="4524"/>
      <c r="D88" s="6629" t="s">
        <v>6583</v>
      </c>
      <c r="E88" s="4904"/>
      <c r="F88" s="6669"/>
      <c r="G88" s="1323"/>
      <c r="H88" s="2914"/>
      <c r="I88" s="4524"/>
      <c r="J88" s="4524"/>
      <c r="K88" s="4524"/>
      <c r="L88" s="4524"/>
      <c r="M88" s="6670"/>
      <c r="N88" s="11367"/>
      <c r="O88" s="11368"/>
      <c r="P88" s="11368"/>
      <c r="Q88" s="11368"/>
      <c r="R88" s="11368"/>
      <c r="S88" s="11369"/>
      <c r="T88" s="11367"/>
      <c r="U88" s="11368"/>
      <c r="V88" s="11369"/>
      <c r="W88" s="11367"/>
      <c r="X88" s="11368"/>
      <c r="Y88" s="11368"/>
      <c r="Z88" s="11368"/>
      <c r="AA88" s="11369"/>
      <c r="AB88" s="11375"/>
      <c r="AC88" s="11376"/>
      <c r="AD88" s="11377"/>
      <c r="AE88" s="11375"/>
      <c r="AF88" s="11376"/>
      <c r="AG88" s="11376"/>
      <c r="AH88" s="11376"/>
      <c r="AI88" s="11376"/>
      <c r="AJ88" s="11376"/>
      <c r="AK88" s="2290"/>
      <c r="AL88" s="253"/>
      <c r="AM88" s="253"/>
      <c r="AN88" s="253"/>
      <c r="AP88" s="658"/>
      <c r="AQ88" s="658"/>
      <c r="AR88" s="658"/>
      <c r="AS88" s="658"/>
      <c r="AT88" s="658"/>
      <c r="AU88" s="658"/>
      <c r="AV88" s="658"/>
      <c r="AW88" s="658"/>
      <c r="AX88" s="658"/>
      <c r="AY88" s="658"/>
      <c r="AZ88" s="2293"/>
    </row>
    <row r="89" spans="1:52" s="1115" customFormat="1" ht="15.75" customHeight="1">
      <c r="A89" s="2290"/>
      <c r="B89" s="4904"/>
      <c r="C89" s="4524"/>
      <c r="D89" s="6626"/>
      <c r="E89" s="4904"/>
      <c r="F89" s="6669"/>
      <c r="G89" s="1323"/>
      <c r="H89" s="4524"/>
      <c r="I89" s="4524"/>
      <c r="J89" s="4524"/>
      <c r="K89" s="4524"/>
      <c r="L89" s="4524"/>
      <c r="M89" s="6670"/>
      <c r="N89" s="11367"/>
      <c r="O89" s="11368"/>
      <c r="P89" s="11368"/>
      <c r="Q89" s="11368"/>
      <c r="R89" s="11368"/>
      <c r="S89" s="11369"/>
      <c r="T89" s="11367"/>
      <c r="U89" s="11368"/>
      <c r="V89" s="11369"/>
      <c r="W89" s="11367"/>
      <c r="X89" s="11368"/>
      <c r="Y89" s="11368"/>
      <c r="Z89" s="11368"/>
      <c r="AA89" s="11369"/>
      <c r="AB89" s="11375"/>
      <c r="AC89" s="11376"/>
      <c r="AD89" s="11377"/>
      <c r="AE89" s="11375"/>
      <c r="AF89" s="11376"/>
      <c r="AG89" s="11376"/>
      <c r="AH89" s="11376"/>
      <c r="AI89" s="11376"/>
      <c r="AJ89" s="11376"/>
      <c r="AK89" s="2290"/>
      <c r="AL89" s="253"/>
      <c r="AM89" s="253"/>
      <c r="AN89" s="253"/>
      <c r="AP89" s="658"/>
      <c r="AQ89" s="658"/>
      <c r="AR89" s="658"/>
      <c r="AS89" s="658"/>
      <c r="AT89" s="658"/>
      <c r="AU89" s="658"/>
      <c r="AV89" s="658"/>
      <c r="AW89" s="658"/>
      <c r="AX89" s="658"/>
      <c r="AY89" s="658"/>
      <c r="AZ89" s="2293"/>
    </row>
    <row r="90" spans="1:52" s="1115" customFormat="1" ht="21" customHeight="1">
      <c r="A90" s="2290"/>
      <c r="B90" s="2296"/>
      <c r="C90" s="2294"/>
      <c r="D90" s="2295"/>
      <c r="E90" s="2296"/>
      <c r="F90" s="6671"/>
      <c r="G90" s="1998"/>
      <c r="H90" s="2294"/>
      <c r="I90" s="2294"/>
      <c r="J90" s="2294"/>
      <c r="K90" s="2294"/>
      <c r="L90" s="2294"/>
      <c r="M90" s="6672"/>
      <c r="N90" s="11370"/>
      <c r="O90" s="11371"/>
      <c r="P90" s="11371"/>
      <c r="Q90" s="11371"/>
      <c r="R90" s="11371"/>
      <c r="S90" s="11372"/>
      <c r="T90" s="11370"/>
      <c r="U90" s="11371"/>
      <c r="V90" s="11372"/>
      <c r="W90" s="11370"/>
      <c r="X90" s="11371"/>
      <c r="Y90" s="11371"/>
      <c r="Z90" s="11371"/>
      <c r="AA90" s="11372"/>
      <c r="AB90" s="11378"/>
      <c r="AC90" s="11379"/>
      <c r="AD90" s="11380"/>
      <c r="AE90" s="11378"/>
      <c r="AF90" s="11379"/>
      <c r="AG90" s="11379"/>
      <c r="AH90" s="11379"/>
      <c r="AI90" s="11379"/>
      <c r="AJ90" s="11379"/>
      <c r="AK90" s="2290"/>
      <c r="AL90" s="253"/>
      <c r="AM90" s="253"/>
      <c r="AN90" s="253"/>
      <c r="AP90" s="658"/>
      <c r="AQ90" s="658"/>
      <c r="AR90" s="658"/>
      <c r="AS90" s="658"/>
      <c r="AT90" s="658"/>
      <c r="AU90" s="658"/>
      <c r="AV90" s="658"/>
      <c r="AW90" s="658"/>
      <c r="AX90" s="658"/>
      <c r="AY90" s="658"/>
      <c r="AZ90" s="2293"/>
    </row>
    <row r="91" spans="1:52" s="1115" customFormat="1" ht="15.75" customHeight="1">
      <c r="A91" s="2290"/>
      <c r="B91" s="9912">
        <v>1</v>
      </c>
      <c r="C91" s="9922" t="str">
        <f>IF(N91,'W-2s'!C39,"")</f>
        <v/>
      </c>
      <c r="D91" s="9922"/>
      <c r="E91" s="9922"/>
      <c r="F91" s="9922"/>
      <c r="G91" s="9922"/>
      <c r="H91" s="9922"/>
      <c r="I91" s="9922"/>
      <c r="J91" s="9922"/>
      <c r="K91" s="9922"/>
      <c r="L91" s="9922"/>
      <c r="M91" s="9923"/>
      <c r="N91" s="11354" t="b">
        <f>OR('W-2s'!C51&lt;&gt;"",'W-2s'!C52&lt;&gt;"")</f>
        <v>0</v>
      </c>
      <c r="O91" s="11355"/>
      <c r="P91" s="11355"/>
      <c r="Q91" s="11355"/>
      <c r="R91" s="11355"/>
      <c r="S91" s="11356"/>
      <c r="T91" s="11351" t="str">
        <f>IF(OR(T92="A",T92="a",T92="C",T92="c",T92="G",T92="g",T92="H",T92="h",T92=""),"","Wrong code.")</f>
        <v/>
      </c>
      <c r="U91" s="11352"/>
      <c r="V91" s="11353"/>
      <c r="W91" s="6630"/>
      <c r="X91" s="2291"/>
      <c r="Y91" s="2291"/>
      <c r="Z91" s="2291"/>
      <c r="AA91" s="6668"/>
      <c r="AB91" s="6630"/>
      <c r="AC91" s="2291"/>
      <c r="AD91" s="6673"/>
      <c r="AE91" s="11363"/>
      <c r="AF91" s="11364"/>
      <c r="AG91" s="11364"/>
      <c r="AH91" s="11364"/>
      <c r="AI91" s="11364"/>
      <c r="AJ91" s="11364"/>
      <c r="AK91" s="2290"/>
      <c r="AL91" s="253"/>
      <c r="AM91" s="253"/>
      <c r="AN91" s="253"/>
      <c r="AP91" s="658"/>
      <c r="AQ91" s="658"/>
      <c r="AR91" s="658"/>
      <c r="AS91" s="658"/>
      <c r="AT91" s="658"/>
      <c r="AU91" s="658"/>
      <c r="AV91" s="658"/>
      <c r="AW91" s="658"/>
      <c r="AX91" s="658"/>
      <c r="AY91" s="658"/>
      <c r="AZ91" s="2293"/>
    </row>
    <row r="92" spans="1:52" s="1115" customFormat="1" ht="12.75" customHeight="1">
      <c r="A92" s="2290"/>
      <c r="B92" s="11328"/>
      <c r="C92" s="11329"/>
      <c r="D92" s="11329"/>
      <c r="E92" s="11329"/>
      <c r="F92" s="11329"/>
      <c r="G92" s="11329"/>
      <c r="H92" s="11329"/>
      <c r="I92" s="11329"/>
      <c r="J92" s="11329"/>
      <c r="K92" s="11329"/>
      <c r="L92" s="11329"/>
      <c r="M92" s="11330"/>
      <c r="N92" s="11331"/>
      <c r="O92" s="11332"/>
      <c r="P92" s="11332"/>
      <c r="Q92" s="11332"/>
      <c r="R92" s="11332"/>
      <c r="S92" s="11333"/>
      <c r="T92" s="11337" t="str">
        <f>IF(N91,"H","")</f>
        <v/>
      </c>
      <c r="U92" s="11338"/>
      <c r="V92" s="11339"/>
      <c r="W92" s="11342"/>
      <c r="X92" s="11343"/>
      <c r="Y92" s="11343"/>
      <c r="Z92" s="11343"/>
      <c r="AA92" s="11344"/>
      <c r="AB92" s="6674"/>
      <c r="AC92" s="2355"/>
      <c r="AD92" s="6675"/>
      <c r="AE92" s="11361" t="str">
        <f>IF(AM92&lt;&gt;"",ROUND(AM92,0),IF(N91,SUM('W-2s'!C50:C51),""))</f>
        <v/>
      </c>
      <c r="AF92" s="11362"/>
      <c r="AG92" s="11362"/>
      <c r="AH92" s="11362"/>
      <c r="AI92" s="11362"/>
      <c r="AJ92" s="11362"/>
      <c r="AK92" s="2290"/>
      <c r="AL92" s="253"/>
      <c r="AM92" s="11357"/>
      <c r="AN92" s="253"/>
      <c r="AP92" s="658"/>
      <c r="AQ92" s="658"/>
      <c r="AR92" s="658"/>
      <c r="AS92" s="658"/>
      <c r="AT92" s="658"/>
      <c r="AU92" s="658"/>
      <c r="AV92" s="658"/>
      <c r="AW92" s="658"/>
      <c r="AX92" s="658"/>
      <c r="AY92" s="658"/>
      <c r="AZ92" s="2293"/>
    </row>
    <row r="93" spans="1:52" s="1115" customFormat="1" ht="6.75" customHeight="1">
      <c r="A93" s="2290"/>
      <c r="B93" s="9913"/>
      <c r="C93" s="7146"/>
      <c r="D93" s="7146"/>
      <c r="E93" s="7146"/>
      <c r="F93" s="7146"/>
      <c r="G93" s="7146"/>
      <c r="H93" s="7146"/>
      <c r="I93" s="7146"/>
      <c r="J93" s="7146"/>
      <c r="K93" s="7146"/>
      <c r="L93" s="7146"/>
      <c r="M93" s="7147"/>
      <c r="N93" s="11334"/>
      <c r="O93" s="11335"/>
      <c r="P93" s="11335"/>
      <c r="Q93" s="11335"/>
      <c r="R93" s="11335"/>
      <c r="S93" s="11336"/>
      <c r="T93" s="11340"/>
      <c r="U93" s="10267"/>
      <c r="V93" s="11341"/>
      <c r="W93" s="11345"/>
      <c r="X93" s="11346"/>
      <c r="Y93" s="11346"/>
      <c r="Z93" s="11346"/>
      <c r="AA93" s="11347"/>
      <c r="AB93" s="6676"/>
      <c r="AC93" s="2294"/>
      <c r="AD93" s="6677"/>
      <c r="AE93" s="9909"/>
      <c r="AF93" s="9910"/>
      <c r="AG93" s="9910"/>
      <c r="AH93" s="9910"/>
      <c r="AI93" s="9910"/>
      <c r="AJ93" s="9910"/>
      <c r="AK93" s="2290"/>
      <c r="AL93" s="253"/>
      <c r="AM93" s="11358"/>
      <c r="AN93" s="253"/>
      <c r="AP93" s="658"/>
      <c r="AQ93" s="658"/>
      <c r="AR93" s="658"/>
      <c r="AS93" s="658"/>
      <c r="AT93" s="658"/>
      <c r="AU93" s="658"/>
      <c r="AV93" s="658"/>
      <c r="AW93" s="658"/>
      <c r="AX93" s="658"/>
      <c r="AY93" s="658"/>
      <c r="AZ93" s="2293"/>
    </row>
    <row r="94" spans="1:52" s="1115" customFormat="1" ht="15.75" customHeight="1">
      <c r="A94" s="2290"/>
      <c r="B94" s="9912">
        <v>2</v>
      </c>
      <c r="C94" s="9922" t="str">
        <f>IF(N94,'W-2s'!D39,"")</f>
        <v/>
      </c>
      <c r="D94" s="9922"/>
      <c r="E94" s="9922"/>
      <c r="F94" s="9922"/>
      <c r="G94" s="9922"/>
      <c r="H94" s="9922"/>
      <c r="I94" s="9922"/>
      <c r="J94" s="9922"/>
      <c r="K94" s="9922"/>
      <c r="L94" s="9922"/>
      <c r="M94" s="9923"/>
      <c r="N94" s="11354" t="b">
        <f>OR('W-2s'!D51&lt;&gt;"",'W-2s'!D52&lt;&gt;"")</f>
        <v>0</v>
      </c>
      <c r="O94" s="11355"/>
      <c r="P94" s="11355"/>
      <c r="Q94" s="11355"/>
      <c r="R94" s="11355"/>
      <c r="S94" s="11356"/>
      <c r="T94" s="11351" t="str">
        <f>IF(OR(T95="A",T95="a",T95="C",T95="c",T95="G",T95="g",T95="H",T95="h",T95=""),"","Wrong code.")</f>
        <v/>
      </c>
      <c r="U94" s="11352"/>
      <c r="V94" s="11353"/>
      <c r="W94" s="6630"/>
      <c r="X94" s="2291"/>
      <c r="Y94" s="2291"/>
      <c r="Z94" s="2291"/>
      <c r="AA94" s="6668"/>
      <c r="AB94" s="6630"/>
      <c r="AC94" s="2291"/>
      <c r="AD94" s="6673"/>
      <c r="AE94" s="11359"/>
      <c r="AF94" s="11360"/>
      <c r="AG94" s="11360"/>
      <c r="AH94" s="11360"/>
      <c r="AI94" s="11360"/>
      <c r="AJ94" s="11360"/>
      <c r="AK94" s="2290"/>
      <c r="AL94" s="253"/>
      <c r="AM94" s="253"/>
      <c r="AN94" s="253"/>
      <c r="AP94" s="658"/>
      <c r="AQ94" s="658"/>
      <c r="AR94" s="658"/>
      <c r="AS94" s="658"/>
      <c r="AT94" s="658"/>
      <c r="AU94" s="658"/>
      <c r="AV94" s="658"/>
      <c r="AW94" s="658"/>
      <c r="AX94" s="658"/>
      <c r="AY94" s="658"/>
      <c r="AZ94" s="2293"/>
    </row>
    <row r="95" spans="1:52" s="1115" customFormat="1" ht="12.75" customHeight="1">
      <c r="A95" s="2290"/>
      <c r="B95" s="11328"/>
      <c r="C95" s="11329"/>
      <c r="D95" s="11329"/>
      <c r="E95" s="11329"/>
      <c r="F95" s="11329"/>
      <c r="G95" s="11329"/>
      <c r="H95" s="11329"/>
      <c r="I95" s="11329"/>
      <c r="J95" s="11329"/>
      <c r="K95" s="11329"/>
      <c r="L95" s="11329"/>
      <c r="M95" s="11330"/>
      <c r="N95" s="11331"/>
      <c r="O95" s="11332"/>
      <c r="P95" s="11332"/>
      <c r="Q95" s="11332"/>
      <c r="R95" s="11332"/>
      <c r="S95" s="11333"/>
      <c r="T95" s="11337" t="str">
        <f>IF(N94,"H","")</f>
        <v/>
      </c>
      <c r="U95" s="11338"/>
      <c r="V95" s="11339"/>
      <c r="W95" s="11342"/>
      <c r="X95" s="11343"/>
      <c r="Y95" s="11343"/>
      <c r="Z95" s="11343"/>
      <c r="AA95" s="11344"/>
      <c r="AB95" s="6674"/>
      <c r="AC95" s="2355"/>
      <c r="AD95" s="6675"/>
      <c r="AE95" s="11361" t="str">
        <f>IF(AM95&lt;&gt;"",ROUND(AM95,0),IF(N94,SUM('W-2s'!D50:D51),""))</f>
        <v/>
      </c>
      <c r="AF95" s="11362"/>
      <c r="AG95" s="11362"/>
      <c r="AH95" s="11362"/>
      <c r="AI95" s="11362"/>
      <c r="AJ95" s="11362"/>
      <c r="AK95" s="2290"/>
      <c r="AL95" s="253"/>
      <c r="AM95" s="11357"/>
      <c r="AN95" s="253"/>
      <c r="AP95" s="658"/>
      <c r="AQ95" s="658"/>
      <c r="AR95" s="658"/>
      <c r="AS95" s="658"/>
      <c r="AT95" s="658"/>
      <c r="AU95" s="658"/>
      <c r="AV95" s="658"/>
      <c r="AW95" s="658"/>
      <c r="AX95" s="658"/>
      <c r="AY95" s="658"/>
      <c r="AZ95" s="2293"/>
    </row>
    <row r="96" spans="1:52" s="1115" customFormat="1" ht="6.75" customHeight="1">
      <c r="A96" s="2290"/>
      <c r="B96" s="9913"/>
      <c r="C96" s="7146"/>
      <c r="D96" s="7146"/>
      <c r="E96" s="7146"/>
      <c r="F96" s="7146"/>
      <c r="G96" s="7146"/>
      <c r="H96" s="7146"/>
      <c r="I96" s="7146"/>
      <c r="J96" s="7146"/>
      <c r="K96" s="7146"/>
      <c r="L96" s="7146"/>
      <c r="M96" s="7147"/>
      <c r="N96" s="11334"/>
      <c r="O96" s="11335"/>
      <c r="P96" s="11335"/>
      <c r="Q96" s="11335"/>
      <c r="R96" s="11335"/>
      <c r="S96" s="11336"/>
      <c r="T96" s="11340"/>
      <c r="U96" s="10267"/>
      <c r="V96" s="11341"/>
      <c r="W96" s="11345"/>
      <c r="X96" s="11346"/>
      <c r="Y96" s="11346"/>
      <c r="Z96" s="11346"/>
      <c r="AA96" s="11347"/>
      <c r="AB96" s="6676"/>
      <c r="AC96" s="2294"/>
      <c r="AD96" s="6677"/>
      <c r="AE96" s="9909"/>
      <c r="AF96" s="9910"/>
      <c r="AG96" s="9910"/>
      <c r="AH96" s="9910"/>
      <c r="AI96" s="9910"/>
      <c r="AJ96" s="9910"/>
      <c r="AK96" s="2290"/>
      <c r="AL96" s="253"/>
      <c r="AM96" s="11358"/>
      <c r="AN96" s="253"/>
      <c r="AP96" s="658"/>
      <c r="AQ96" s="658"/>
      <c r="AR96" s="658"/>
      <c r="AS96" s="658"/>
      <c r="AT96" s="658"/>
      <c r="AU96" s="658"/>
      <c r="AV96" s="658"/>
      <c r="AW96" s="658"/>
      <c r="AX96" s="658"/>
      <c r="AY96" s="658"/>
      <c r="AZ96" s="2293"/>
    </row>
    <row r="97" spans="1:52" s="1115" customFormat="1" ht="15.75" customHeight="1">
      <c r="A97" s="2290"/>
      <c r="B97" s="9912">
        <v>3</v>
      </c>
      <c r="C97" s="9922" t="str">
        <f>IF(N97,'W-2s'!E39,"")</f>
        <v/>
      </c>
      <c r="D97" s="9922"/>
      <c r="E97" s="9922"/>
      <c r="F97" s="9922"/>
      <c r="G97" s="9922"/>
      <c r="H97" s="9922"/>
      <c r="I97" s="9922"/>
      <c r="J97" s="9922"/>
      <c r="K97" s="9922"/>
      <c r="L97" s="9922"/>
      <c r="M97" s="9923"/>
      <c r="N97" s="11354" t="b">
        <f>OR('W-2s'!E51&lt;&gt;"",'W-2s'!E52&lt;&gt;"")</f>
        <v>0</v>
      </c>
      <c r="O97" s="11355"/>
      <c r="P97" s="11355"/>
      <c r="Q97" s="11355"/>
      <c r="R97" s="11355"/>
      <c r="S97" s="11356"/>
      <c r="T97" s="11351" t="str">
        <f>IF(OR(T98="A",T98="a",T98="C",T98="c",T98="G",T98="g",T98="H",T98="h",T98=""),"","Wrong code.")</f>
        <v/>
      </c>
      <c r="U97" s="11352"/>
      <c r="V97" s="11353"/>
      <c r="W97" s="6630"/>
      <c r="X97" s="2291"/>
      <c r="Y97" s="2291"/>
      <c r="Z97" s="2291"/>
      <c r="AA97" s="6668"/>
      <c r="AB97" s="6630"/>
      <c r="AC97" s="2291"/>
      <c r="AD97" s="6673"/>
      <c r="AE97" s="11359"/>
      <c r="AF97" s="11360"/>
      <c r="AG97" s="11360"/>
      <c r="AH97" s="11360"/>
      <c r="AI97" s="11360"/>
      <c r="AJ97" s="11360"/>
      <c r="AK97" s="2290"/>
      <c r="AL97" s="253"/>
      <c r="AM97" s="253"/>
      <c r="AN97" s="253"/>
      <c r="AP97" s="658"/>
      <c r="AQ97" s="658"/>
      <c r="AR97" s="658"/>
      <c r="AS97" s="658"/>
      <c r="AT97" s="658"/>
      <c r="AU97" s="658"/>
      <c r="AV97" s="658"/>
      <c r="AW97" s="658"/>
      <c r="AX97" s="658"/>
      <c r="AY97" s="658"/>
      <c r="AZ97" s="2293"/>
    </row>
    <row r="98" spans="1:52" s="1115" customFormat="1" ht="12.75" customHeight="1">
      <c r="A98" s="2290"/>
      <c r="B98" s="11328"/>
      <c r="C98" s="11329"/>
      <c r="D98" s="11329"/>
      <c r="E98" s="11329"/>
      <c r="F98" s="11329"/>
      <c r="G98" s="11329"/>
      <c r="H98" s="11329"/>
      <c r="I98" s="11329"/>
      <c r="J98" s="11329"/>
      <c r="K98" s="11329"/>
      <c r="L98" s="11329"/>
      <c r="M98" s="11330"/>
      <c r="N98" s="11331"/>
      <c r="O98" s="11332"/>
      <c r="P98" s="11332"/>
      <c r="Q98" s="11332"/>
      <c r="R98" s="11332"/>
      <c r="S98" s="11333"/>
      <c r="T98" s="11337" t="str">
        <f>IF(N97,"H","")</f>
        <v/>
      </c>
      <c r="U98" s="11338"/>
      <c r="V98" s="11339"/>
      <c r="W98" s="11342"/>
      <c r="X98" s="11343"/>
      <c r="Y98" s="11343"/>
      <c r="Z98" s="11343"/>
      <c r="AA98" s="11344"/>
      <c r="AB98" s="6674"/>
      <c r="AC98" s="2355"/>
      <c r="AD98" s="6675"/>
      <c r="AE98" s="11361" t="str">
        <f>IF(AM98&lt;&gt;"",ROUND(AM98,0),IF(N97,SUM('W-2s'!E50:E51),""))</f>
        <v/>
      </c>
      <c r="AF98" s="11362"/>
      <c r="AG98" s="11362"/>
      <c r="AH98" s="11362"/>
      <c r="AI98" s="11362"/>
      <c r="AJ98" s="11362"/>
      <c r="AK98" s="2290"/>
      <c r="AL98" s="253"/>
      <c r="AM98" s="11357"/>
      <c r="AN98" s="253"/>
      <c r="AP98" s="658"/>
      <c r="AQ98" s="658"/>
      <c r="AR98" s="658"/>
      <c r="AS98" s="658"/>
      <c r="AT98" s="658"/>
      <c r="AU98" s="658"/>
      <c r="AV98" s="658"/>
      <c r="AW98" s="658"/>
      <c r="AX98" s="658"/>
      <c r="AY98" s="658"/>
      <c r="AZ98" s="2293"/>
    </row>
    <row r="99" spans="1:52" s="1115" customFormat="1" ht="6.75" customHeight="1">
      <c r="A99" s="2290"/>
      <c r="B99" s="9913"/>
      <c r="C99" s="7146"/>
      <c r="D99" s="7146"/>
      <c r="E99" s="7146"/>
      <c r="F99" s="7146"/>
      <c r="G99" s="7146"/>
      <c r="H99" s="7146"/>
      <c r="I99" s="7146"/>
      <c r="J99" s="7146"/>
      <c r="K99" s="7146"/>
      <c r="L99" s="7146"/>
      <c r="M99" s="7147"/>
      <c r="N99" s="11334"/>
      <c r="O99" s="11335"/>
      <c r="P99" s="11335"/>
      <c r="Q99" s="11335"/>
      <c r="R99" s="11335"/>
      <c r="S99" s="11336"/>
      <c r="T99" s="11340"/>
      <c r="U99" s="10267"/>
      <c r="V99" s="11341"/>
      <c r="W99" s="11345"/>
      <c r="X99" s="11346"/>
      <c r="Y99" s="11346"/>
      <c r="Z99" s="11346"/>
      <c r="AA99" s="11347"/>
      <c r="AB99" s="6676"/>
      <c r="AC99" s="2294"/>
      <c r="AD99" s="6677"/>
      <c r="AE99" s="9909"/>
      <c r="AF99" s="9910"/>
      <c r="AG99" s="9910"/>
      <c r="AH99" s="9910"/>
      <c r="AI99" s="9910"/>
      <c r="AJ99" s="9910"/>
      <c r="AK99" s="2290"/>
      <c r="AL99" s="253"/>
      <c r="AM99" s="11358"/>
      <c r="AN99" s="253"/>
      <c r="AP99" s="658"/>
      <c r="AQ99" s="658"/>
      <c r="AR99" s="658"/>
      <c r="AS99" s="658"/>
      <c r="AT99" s="658"/>
      <c r="AU99" s="658"/>
      <c r="AV99" s="658"/>
      <c r="AW99" s="658"/>
      <c r="AX99" s="658"/>
      <c r="AY99" s="658"/>
      <c r="AZ99" s="2293"/>
    </row>
    <row r="100" spans="1:52" s="1115" customFormat="1" ht="15.75" customHeight="1">
      <c r="A100" s="2290"/>
      <c r="B100" s="9912">
        <v>4</v>
      </c>
      <c r="C100" s="9922" t="str">
        <f>IF(N100,'W-2s'!F39,"")</f>
        <v/>
      </c>
      <c r="D100" s="9922"/>
      <c r="E100" s="9922"/>
      <c r="F100" s="9922"/>
      <c r="G100" s="9922"/>
      <c r="H100" s="9922"/>
      <c r="I100" s="9922"/>
      <c r="J100" s="9922"/>
      <c r="K100" s="9922"/>
      <c r="L100" s="9922"/>
      <c r="M100" s="9923"/>
      <c r="N100" s="11354" t="b">
        <f>OR('W-2s'!F51&lt;&gt;"",'W-2s'!F52&lt;&gt;"")</f>
        <v>0</v>
      </c>
      <c r="O100" s="11355"/>
      <c r="P100" s="11355"/>
      <c r="Q100" s="11355"/>
      <c r="R100" s="11355"/>
      <c r="S100" s="11356"/>
      <c r="T100" s="11351" t="str">
        <f>IF(OR(T101="A",T101="a",T101="C",T101="c",T101="G",T101="g",T101="H",T101="h",T101=""),"","Wrong code.")</f>
        <v/>
      </c>
      <c r="U100" s="11352"/>
      <c r="V100" s="11353"/>
      <c r="W100" s="6630"/>
      <c r="X100" s="2291"/>
      <c r="Y100" s="2291"/>
      <c r="Z100" s="2291"/>
      <c r="AA100" s="6668"/>
      <c r="AB100" s="6630"/>
      <c r="AC100" s="2291"/>
      <c r="AD100" s="6673"/>
      <c r="AE100" s="11359"/>
      <c r="AF100" s="11360"/>
      <c r="AG100" s="11360"/>
      <c r="AH100" s="11360"/>
      <c r="AI100" s="11360"/>
      <c r="AJ100" s="11360"/>
      <c r="AK100" s="2290"/>
      <c r="AL100" s="253"/>
      <c r="AM100" s="253"/>
      <c r="AN100" s="253"/>
      <c r="AP100" s="658"/>
      <c r="AQ100" s="658"/>
      <c r="AR100" s="658"/>
      <c r="AS100" s="658"/>
      <c r="AT100" s="658"/>
      <c r="AU100" s="658"/>
      <c r="AV100" s="658"/>
      <c r="AW100" s="658"/>
      <c r="AX100" s="658"/>
      <c r="AY100" s="658"/>
      <c r="AZ100" s="2293"/>
    </row>
    <row r="101" spans="1:52" s="1115" customFormat="1" ht="12.75" customHeight="1">
      <c r="A101" s="2290"/>
      <c r="B101" s="11328"/>
      <c r="C101" s="11329"/>
      <c r="D101" s="11329"/>
      <c r="E101" s="11329"/>
      <c r="F101" s="11329"/>
      <c r="G101" s="11329"/>
      <c r="H101" s="11329"/>
      <c r="I101" s="11329"/>
      <c r="J101" s="11329"/>
      <c r="K101" s="11329"/>
      <c r="L101" s="11329"/>
      <c r="M101" s="11330"/>
      <c r="N101" s="11331"/>
      <c r="O101" s="11332"/>
      <c r="P101" s="11332"/>
      <c r="Q101" s="11332"/>
      <c r="R101" s="11332"/>
      <c r="S101" s="11333"/>
      <c r="T101" s="11337" t="str">
        <f>IF(N100,"H","")</f>
        <v/>
      </c>
      <c r="U101" s="11338"/>
      <c r="V101" s="11339"/>
      <c r="W101" s="11342"/>
      <c r="X101" s="11343"/>
      <c r="Y101" s="11343"/>
      <c r="Z101" s="11343"/>
      <c r="AA101" s="11344"/>
      <c r="AB101" s="6674"/>
      <c r="AC101" s="2355"/>
      <c r="AD101" s="6675"/>
      <c r="AE101" s="11361" t="str">
        <f>IF(AM101&lt;&gt;"",ROUND(AM101,0),IF(N100,SUM('W-2s'!F50:F51),""))</f>
        <v/>
      </c>
      <c r="AF101" s="11362"/>
      <c r="AG101" s="11362"/>
      <c r="AH101" s="11362"/>
      <c r="AI101" s="11362"/>
      <c r="AJ101" s="11362"/>
      <c r="AK101" s="2290"/>
      <c r="AL101" s="253"/>
      <c r="AM101" s="11357"/>
      <c r="AN101" s="253"/>
      <c r="AP101" s="658"/>
      <c r="AQ101" s="658"/>
      <c r="AR101" s="658"/>
      <c r="AS101" s="658"/>
      <c r="AT101" s="658"/>
      <c r="AU101" s="658"/>
      <c r="AV101" s="658"/>
      <c r="AW101" s="658"/>
      <c r="AX101" s="658"/>
      <c r="AY101" s="658"/>
      <c r="AZ101" s="2293"/>
    </row>
    <row r="102" spans="1:52" s="1115" customFormat="1" ht="6.75" customHeight="1">
      <c r="A102" s="2290"/>
      <c r="B102" s="9913"/>
      <c r="C102" s="7146"/>
      <c r="D102" s="7146"/>
      <c r="E102" s="7146"/>
      <c r="F102" s="7146"/>
      <c r="G102" s="7146"/>
      <c r="H102" s="7146"/>
      <c r="I102" s="7146"/>
      <c r="J102" s="7146"/>
      <c r="K102" s="7146"/>
      <c r="L102" s="7146"/>
      <c r="M102" s="7147"/>
      <c r="N102" s="11334"/>
      <c r="O102" s="11335"/>
      <c r="P102" s="11335"/>
      <c r="Q102" s="11335"/>
      <c r="R102" s="11335"/>
      <c r="S102" s="11336"/>
      <c r="T102" s="11340"/>
      <c r="U102" s="10267"/>
      <c r="V102" s="11341"/>
      <c r="W102" s="11345"/>
      <c r="X102" s="11346"/>
      <c r="Y102" s="11346"/>
      <c r="Z102" s="11346"/>
      <c r="AA102" s="11347"/>
      <c r="AB102" s="6676"/>
      <c r="AC102" s="2294"/>
      <c r="AD102" s="6677"/>
      <c r="AE102" s="9909"/>
      <c r="AF102" s="9910"/>
      <c r="AG102" s="9910"/>
      <c r="AH102" s="9910"/>
      <c r="AI102" s="9910"/>
      <c r="AJ102" s="9910"/>
      <c r="AK102" s="2290"/>
      <c r="AL102" s="253"/>
      <c r="AM102" s="11358"/>
      <c r="AN102" s="253"/>
      <c r="AP102" s="658"/>
      <c r="AQ102" s="658"/>
      <c r="AR102" s="658"/>
      <c r="AS102" s="658"/>
      <c r="AT102" s="658"/>
      <c r="AU102" s="658"/>
      <c r="AV102" s="658"/>
      <c r="AW102" s="658"/>
      <c r="AX102" s="658"/>
      <c r="AY102" s="658"/>
      <c r="AZ102" s="2293"/>
    </row>
    <row r="103" spans="1:52" s="1115" customFormat="1" ht="15.75" customHeight="1">
      <c r="A103" s="2290"/>
      <c r="B103" s="9912">
        <v>5</v>
      </c>
      <c r="C103" s="9922" t="str">
        <f>IF(N103,'W-2s'!G39,"")</f>
        <v/>
      </c>
      <c r="D103" s="9922"/>
      <c r="E103" s="9922"/>
      <c r="F103" s="9922"/>
      <c r="G103" s="9922"/>
      <c r="H103" s="9922"/>
      <c r="I103" s="9922"/>
      <c r="J103" s="9922"/>
      <c r="K103" s="9922"/>
      <c r="L103" s="9922"/>
      <c r="M103" s="9923"/>
      <c r="N103" s="11354" t="b">
        <f>OR('W-2s'!G51&lt;&gt;"",'W-2s'!G52&lt;&gt;"")</f>
        <v>0</v>
      </c>
      <c r="O103" s="11355"/>
      <c r="P103" s="11355"/>
      <c r="Q103" s="11355"/>
      <c r="R103" s="11355"/>
      <c r="S103" s="11356"/>
      <c r="T103" s="11351" t="str">
        <f>IF(OR(T104="A",T104="a",T104="C",T104="c",T104="G",T104="g",T104="H",T104="h",T104=""),"","Wrong code.")</f>
        <v/>
      </c>
      <c r="U103" s="11352"/>
      <c r="V103" s="11353"/>
      <c r="W103" s="6630"/>
      <c r="X103" s="2291"/>
      <c r="Y103" s="2291"/>
      <c r="Z103" s="2291"/>
      <c r="AA103" s="6668"/>
      <c r="AB103" s="6630"/>
      <c r="AC103" s="2291"/>
      <c r="AD103" s="6673"/>
      <c r="AE103" s="11359"/>
      <c r="AF103" s="11360"/>
      <c r="AG103" s="11360"/>
      <c r="AH103" s="11360"/>
      <c r="AI103" s="11360"/>
      <c r="AJ103" s="11360"/>
      <c r="AK103" s="2290"/>
      <c r="AL103" s="253"/>
      <c r="AM103" s="253"/>
      <c r="AN103" s="253"/>
      <c r="AP103" s="658"/>
      <c r="AQ103" s="658"/>
      <c r="AR103" s="658"/>
      <c r="AS103" s="658"/>
      <c r="AT103" s="658"/>
      <c r="AU103" s="658"/>
      <c r="AV103" s="658"/>
      <c r="AW103" s="658"/>
      <c r="AX103" s="658"/>
      <c r="AY103" s="658"/>
      <c r="AZ103" s="2293"/>
    </row>
    <row r="104" spans="1:52" s="1115" customFormat="1" ht="12.75" customHeight="1">
      <c r="A104" s="2290"/>
      <c r="B104" s="11328"/>
      <c r="C104" s="11329"/>
      <c r="D104" s="11329"/>
      <c r="E104" s="11329"/>
      <c r="F104" s="11329"/>
      <c r="G104" s="11329"/>
      <c r="H104" s="11329"/>
      <c r="I104" s="11329"/>
      <c r="J104" s="11329"/>
      <c r="K104" s="11329"/>
      <c r="L104" s="11329"/>
      <c r="M104" s="11330"/>
      <c r="N104" s="11331"/>
      <c r="O104" s="11332"/>
      <c r="P104" s="11332"/>
      <c r="Q104" s="11332"/>
      <c r="R104" s="11332"/>
      <c r="S104" s="11333"/>
      <c r="T104" s="11337" t="str">
        <f>IF(N103,"H","")</f>
        <v/>
      </c>
      <c r="U104" s="11338"/>
      <c r="V104" s="11339"/>
      <c r="W104" s="11342"/>
      <c r="X104" s="11343"/>
      <c r="Y104" s="11343"/>
      <c r="Z104" s="11343"/>
      <c r="AA104" s="11344"/>
      <c r="AB104" s="6674"/>
      <c r="AC104" s="2355"/>
      <c r="AD104" s="6675"/>
      <c r="AE104" s="11361" t="str">
        <f>IF(AM104&lt;&gt;"",ROUND(AM104,0),IF(N103,SUM('W-2s'!G50:G51),""))</f>
        <v/>
      </c>
      <c r="AF104" s="11362"/>
      <c r="AG104" s="11362"/>
      <c r="AH104" s="11362"/>
      <c r="AI104" s="11362"/>
      <c r="AJ104" s="11362"/>
      <c r="AK104" s="2290"/>
      <c r="AL104" s="253"/>
      <c r="AM104" s="11357"/>
      <c r="AN104" s="253"/>
      <c r="AP104" s="658"/>
      <c r="AQ104" s="658"/>
      <c r="AR104" s="658"/>
      <c r="AS104" s="658"/>
      <c r="AT104" s="658"/>
      <c r="AU104" s="658"/>
      <c r="AV104" s="658"/>
      <c r="AW104" s="658"/>
      <c r="AX104" s="658"/>
      <c r="AY104" s="658"/>
      <c r="AZ104" s="2293"/>
    </row>
    <row r="105" spans="1:52" s="1115" customFormat="1" ht="6.75" customHeight="1">
      <c r="A105" s="2290"/>
      <c r="B105" s="9913"/>
      <c r="C105" s="7146"/>
      <c r="D105" s="7146"/>
      <c r="E105" s="7146"/>
      <c r="F105" s="7146"/>
      <c r="G105" s="7146"/>
      <c r="H105" s="7146"/>
      <c r="I105" s="7146"/>
      <c r="J105" s="7146"/>
      <c r="K105" s="7146"/>
      <c r="L105" s="7146"/>
      <c r="M105" s="7147"/>
      <c r="N105" s="11334"/>
      <c r="O105" s="11335"/>
      <c r="P105" s="11335"/>
      <c r="Q105" s="11335"/>
      <c r="R105" s="11335"/>
      <c r="S105" s="11336"/>
      <c r="T105" s="11340"/>
      <c r="U105" s="10267"/>
      <c r="V105" s="11341"/>
      <c r="W105" s="11345"/>
      <c r="X105" s="11346"/>
      <c r="Y105" s="11346"/>
      <c r="Z105" s="11346"/>
      <c r="AA105" s="11347"/>
      <c r="AB105" s="6676"/>
      <c r="AC105" s="2294"/>
      <c r="AD105" s="6677"/>
      <c r="AE105" s="9909"/>
      <c r="AF105" s="9910"/>
      <c r="AG105" s="9910"/>
      <c r="AH105" s="9910"/>
      <c r="AI105" s="9910"/>
      <c r="AJ105" s="9910"/>
      <c r="AK105" s="2290"/>
      <c r="AL105" s="253"/>
      <c r="AM105" s="11358"/>
      <c r="AN105" s="253"/>
      <c r="AP105" s="658"/>
      <c r="AQ105" s="658"/>
      <c r="AR105" s="658"/>
      <c r="AS105" s="658"/>
      <c r="AT105" s="658"/>
      <c r="AU105" s="658"/>
      <c r="AV105" s="658"/>
      <c r="AW105" s="658"/>
      <c r="AX105" s="658"/>
      <c r="AY105" s="658"/>
      <c r="AZ105" s="2293"/>
    </row>
    <row r="106" spans="1:52" s="1115" customFormat="1" ht="15.75" customHeight="1">
      <c r="A106" s="2290"/>
      <c r="B106" s="775">
        <v>6</v>
      </c>
      <c r="C106" s="1323" t="s">
        <v>6585</v>
      </c>
      <c r="D106" s="6626"/>
      <c r="E106" s="4904"/>
      <c r="F106" s="6669"/>
      <c r="G106" s="1323"/>
      <c r="H106" s="4524"/>
      <c r="I106" s="4524"/>
      <c r="J106" s="4524"/>
      <c r="K106" s="4524"/>
      <c r="L106" s="4524"/>
      <c r="M106" s="4524"/>
      <c r="N106" s="4524"/>
      <c r="O106" s="4524"/>
      <c r="P106" s="4524"/>
      <c r="Q106" s="4524"/>
      <c r="R106" s="4524"/>
      <c r="S106" s="4524"/>
      <c r="T106" s="4524"/>
      <c r="U106" s="4524"/>
      <c r="V106" s="4524"/>
      <c r="W106" s="4524"/>
      <c r="X106" s="4524"/>
      <c r="Y106" s="4524"/>
      <c r="Z106" s="4524"/>
      <c r="AA106" s="4524"/>
      <c r="AB106" s="4524"/>
      <c r="AC106" s="4524"/>
      <c r="AD106" s="6678"/>
      <c r="AE106" s="4524"/>
      <c r="AF106" s="4524"/>
      <c r="AG106" s="4524"/>
      <c r="AH106" s="4524"/>
      <c r="AI106" s="4521"/>
      <c r="AJ106" s="4521"/>
      <c r="AK106" s="2290"/>
      <c r="AL106" s="253"/>
      <c r="AM106" s="253"/>
      <c r="AN106" s="253"/>
      <c r="AP106" s="658"/>
      <c r="AQ106" s="658"/>
      <c r="AR106" s="658"/>
      <c r="AS106" s="658"/>
      <c r="AT106" s="658"/>
      <c r="AU106" s="658"/>
      <c r="AV106" s="658"/>
      <c r="AW106" s="658"/>
      <c r="AX106" s="658"/>
      <c r="AY106" s="658"/>
      <c r="AZ106" s="2293"/>
    </row>
    <row r="107" spans="1:52" s="1115" customFormat="1" ht="15.75" customHeight="1">
      <c r="A107" s="2290"/>
      <c r="B107" s="4904"/>
      <c r="C107" s="1323" t="s">
        <v>6586</v>
      </c>
      <c r="D107" s="6626"/>
      <c r="E107" s="4904"/>
      <c r="F107" s="6669"/>
      <c r="G107" s="1323"/>
      <c r="H107" s="4524"/>
      <c r="I107" s="4524"/>
      <c r="J107" s="4524"/>
      <c r="K107" s="4524"/>
      <c r="L107" s="4524"/>
      <c r="M107" s="4524"/>
      <c r="N107" s="4524"/>
      <c r="O107" s="4524"/>
      <c r="P107" s="4524"/>
      <c r="Q107" s="4524"/>
      <c r="R107" s="4524"/>
      <c r="S107" s="4524"/>
      <c r="T107" s="4524"/>
      <c r="U107" s="4524"/>
      <c r="V107" s="4524"/>
      <c r="W107" s="4524"/>
      <c r="X107" s="4524"/>
      <c r="Y107" s="4524"/>
      <c r="Z107" s="4524"/>
      <c r="AA107" s="4524"/>
      <c r="AB107" s="4524"/>
      <c r="AC107" s="4524"/>
      <c r="AD107" s="6635">
        <v>6</v>
      </c>
      <c r="AE107" s="9909" t="str">
        <f>IF(AM107&lt;&gt;"",ROUND(AM107,0),IF(AN107,"",SUM(AE92,AE95,AE98,AE101,AE104)))</f>
        <v/>
      </c>
      <c r="AF107" s="9910"/>
      <c r="AG107" s="9910"/>
      <c r="AH107" s="9910"/>
      <c r="AI107" s="9910"/>
      <c r="AJ107" s="9910"/>
      <c r="AK107" s="2290"/>
      <c r="AL107" s="253"/>
      <c r="AM107" s="6644"/>
      <c r="AN107" s="512" t="b">
        <f>AND(AM107="",AE92="",AE95="",AE98="",AE101="",AE104="")</f>
        <v>1</v>
      </c>
      <c r="AP107" s="658"/>
      <c r="AQ107" s="658"/>
      <c r="AR107" s="658"/>
      <c r="AS107" s="658"/>
      <c r="AT107" s="658"/>
      <c r="AU107" s="658"/>
      <c r="AV107" s="658"/>
      <c r="AW107" s="658"/>
      <c r="AX107" s="658"/>
      <c r="AY107" s="658"/>
      <c r="AZ107" s="2293"/>
    </row>
    <row r="108" spans="1:52" s="1115" customFormat="1" ht="15.75" customHeight="1">
      <c r="A108" s="2290"/>
      <c r="B108" s="775">
        <v>7</v>
      </c>
      <c r="C108" s="1323" t="s">
        <v>6587</v>
      </c>
      <c r="D108" s="1323"/>
      <c r="E108" s="4904"/>
      <c r="F108" s="6669"/>
      <c r="G108" s="1323"/>
      <c r="H108" s="4524"/>
      <c r="I108" s="4524"/>
      <c r="J108" s="4524"/>
      <c r="K108" s="4524"/>
      <c r="L108" s="4524"/>
      <c r="M108" s="4524"/>
      <c r="N108" s="4524"/>
      <c r="O108" s="4524"/>
      <c r="P108" s="4524"/>
      <c r="Q108" s="4524"/>
      <c r="R108" s="4524"/>
      <c r="S108" s="4524"/>
      <c r="T108" s="4524"/>
      <c r="U108" s="4524"/>
      <c r="V108" s="4524"/>
      <c r="W108" s="4524"/>
      <c r="X108" s="4524"/>
      <c r="Y108" s="6636">
        <v>7</v>
      </c>
      <c r="Z108" s="11325">
        <f>MaxSSTaxEarnings</f>
        <v>176100</v>
      </c>
      <c r="AA108" s="11326"/>
      <c r="AB108" s="11326"/>
      <c r="AC108" s="11327"/>
      <c r="AD108" s="6637"/>
      <c r="AE108" s="4524"/>
      <c r="AF108" s="4524"/>
      <c r="AG108" s="4524"/>
      <c r="AH108" s="4524"/>
      <c r="AI108" s="4521"/>
      <c r="AJ108" s="4521"/>
      <c r="AK108" s="2290"/>
      <c r="AL108" s="253"/>
      <c r="AM108" s="253"/>
      <c r="AN108" s="990">
        <f>SUM(AE48,AE107)</f>
        <v>0</v>
      </c>
      <c r="AP108" s="658"/>
      <c r="AQ108" s="658"/>
      <c r="AR108" s="658"/>
      <c r="AS108" s="658"/>
      <c r="AT108" s="658"/>
      <c r="AU108" s="658"/>
      <c r="AV108" s="658"/>
      <c r="AW108" s="658"/>
      <c r="AX108" s="658"/>
      <c r="AY108" s="658"/>
      <c r="AZ108" s="2293"/>
    </row>
    <row r="109" spans="1:52" s="1115" customFormat="1" ht="15.75" customHeight="1">
      <c r="A109" s="2290"/>
      <c r="B109" s="775">
        <v>8</v>
      </c>
      <c r="C109" s="1323" t="s">
        <v>6588</v>
      </c>
      <c r="D109" s="1323"/>
      <c r="E109" s="4904"/>
      <c r="F109" s="6669"/>
      <c r="G109" s="1323"/>
      <c r="H109" s="4524"/>
      <c r="I109" s="4524"/>
      <c r="J109" s="4524"/>
      <c r="K109" s="4524"/>
      <c r="L109" s="4524"/>
      <c r="M109" s="4524"/>
      <c r="N109" s="4524"/>
      <c r="O109" s="4524"/>
      <c r="P109" s="4524"/>
      <c r="Q109" s="4524"/>
      <c r="R109" s="4524"/>
      <c r="S109" s="4524"/>
      <c r="T109" s="4524"/>
      <c r="U109" s="4524"/>
      <c r="V109" s="4524"/>
      <c r="W109" s="4524"/>
      <c r="X109" s="4524"/>
      <c r="Y109" s="6632"/>
      <c r="Z109" s="4524"/>
      <c r="AA109" s="4524"/>
      <c r="AB109" s="4524"/>
      <c r="AC109" s="4524"/>
      <c r="AD109" s="6638"/>
      <c r="AE109" s="4524"/>
      <c r="AF109" s="4524"/>
      <c r="AG109" s="4524"/>
      <c r="AH109" s="4524"/>
      <c r="AI109" s="4521"/>
      <c r="AJ109" s="4521"/>
      <c r="AK109" s="2290"/>
      <c r="AL109" s="253"/>
      <c r="AM109" s="253"/>
      <c r="AN109" s="253"/>
      <c r="AP109" s="658"/>
      <c r="AQ109" s="658"/>
      <c r="AR109" s="658"/>
      <c r="AS109" s="658"/>
      <c r="AT109" s="658"/>
      <c r="AU109" s="658"/>
      <c r="AV109" s="658"/>
      <c r="AW109" s="658"/>
      <c r="AX109" s="658"/>
      <c r="AY109" s="658"/>
      <c r="AZ109" s="2293"/>
    </row>
    <row r="110" spans="1:52" s="1115" customFormat="1" ht="15.75" customHeight="1">
      <c r="A110" s="2290"/>
      <c r="B110" s="775"/>
      <c r="C110" s="1323" t="s">
        <v>6589</v>
      </c>
      <c r="D110" s="1323"/>
      <c r="E110" s="4904"/>
      <c r="F110" s="6669"/>
      <c r="G110" s="1323"/>
      <c r="H110" s="4524"/>
      <c r="I110" s="4524"/>
      <c r="J110" s="4524"/>
      <c r="K110" s="4524"/>
      <c r="L110" s="6631"/>
      <c r="M110" s="4524"/>
      <c r="N110" s="4524"/>
      <c r="O110" s="4524"/>
      <c r="P110" s="4524"/>
      <c r="Q110" s="4524"/>
      <c r="R110" s="4524"/>
      <c r="S110" s="4524"/>
      <c r="T110" s="4524"/>
      <c r="U110" s="4524"/>
      <c r="V110" s="4524"/>
      <c r="W110" s="4524"/>
      <c r="X110" s="4524"/>
      <c r="Y110" s="6633"/>
      <c r="Z110" s="11348">
        <f>SUM('W-2s'!I42,'W-2s'!I46)</f>
        <v>0</v>
      </c>
      <c r="AA110" s="11349"/>
      <c r="AB110" s="11349"/>
      <c r="AC110" s="11350"/>
      <c r="AD110" s="6638"/>
      <c r="AE110" s="4524"/>
      <c r="AF110" s="4524"/>
      <c r="AG110" s="4524"/>
      <c r="AH110" s="4524"/>
      <c r="AI110" s="4521"/>
      <c r="AJ110" s="4521"/>
      <c r="AK110" s="2290"/>
      <c r="AL110" s="253"/>
      <c r="AM110" s="253"/>
      <c r="AN110" s="253"/>
      <c r="AP110" s="658"/>
      <c r="AQ110" s="658"/>
      <c r="AR110" s="658"/>
      <c r="AS110" s="658"/>
      <c r="AT110" s="658"/>
      <c r="AU110" s="658"/>
      <c r="AV110" s="658"/>
      <c r="AW110" s="658"/>
      <c r="AX110" s="658"/>
      <c r="AY110" s="658"/>
      <c r="AZ110" s="2293"/>
    </row>
    <row r="111" spans="1:52" s="1115" customFormat="1" ht="15.75" customHeight="1">
      <c r="A111" s="2290"/>
      <c r="B111" s="775"/>
      <c r="C111" s="1323" t="s">
        <v>6590</v>
      </c>
      <c r="D111" s="1323"/>
      <c r="E111" s="4904"/>
      <c r="F111" s="6669"/>
      <c r="G111" s="1323"/>
      <c r="H111" s="4524"/>
      <c r="I111" s="4524"/>
      <c r="J111" s="4524"/>
      <c r="K111" s="4524"/>
      <c r="L111" s="4524"/>
      <c r="M111" s="4524"/>
      <c r="N111" s="4524"/>
      <c r="O111" s="4524"/>
      <c r="P111" s="4524"/>
      <c r="Q111" s="4524"/>
      <c r="R111" s="4524"/>
      <c r="S111" s="4524"/>
      <c r="T111" s="4524"/>
      <c r="U111" s="4524"/>
      <c r="V111" s="4524"/>
      <c r="W111" s="4524"/>
      <c r="X111" s="4524"/>
      <c r="Y111" s="6633"/>
      <c r="Z111" s="11348">
        <f>IF(OR('4137'!AE82="",'4137'!AE82=0),0,'4137'!AE82)</f>
        <v>0</v>
      </c>
      <c r="AA111" s="11349"/>
      <c r="AB111" s="11349"/>
      <c r="AC111" s="11350"/>
      <c r="AD111" s="6638"/>
      <c r="AE111" s="4524"/>
      <c r="AF111" s="4524"/>
      <c r="AG111" s="4524"/>
      <c r="AH111" s="4524"/>
      <c r="AI111" s="4521"/>
      <c r="AJ111" s="4521"/>
      <c r="AK111" s="2290"/>
      <c r="AL111" s="253"/>
      <c r="AM111" s="253"/>
      <c r="AN111" s="253"/>
      <c r="AP111" s="658"/>
      <c r="AQ111" s="658"/>
      <c r="AR111" s="658"/>
      <c r="AS111" s="658"/>
      <c r="AT111" s="658"/>
      <c r="AU111" s="658"/>
      <c r="AV111" s="658"/>
      <c r="AW111" s="658"/>
      <c r="AX111" s="658"/>
      <c r="AY111" s="658"/>
      <c r="AZ111" s="2293"/>
    </row>
    <row r="112" spans="1:52" s="1115" customFormat="1" ht="15.75" customHeight="1">
      <c r="A112" s="2290"/>
      <c r="B112" s="775"/>
      <c r="C112" s="1323" t="s">
        <v>6591</v>
      </c>
      <c r="D112" s="1323"/>
      <c r="E112" s="4904"/>
      <c r="F112" s="6669"/>
      <c r="G112" s="1323"/>
      <c r="H112" s="4524"/>
      <c r="I112" s="4524"/>
      <c r="J112" s="4524"/>
      <c r="K112" s="4524"/>
      <c r="L112" s="4524"/>
      <c r="M112" s="4524"/>
      <c r="N112" s="4524"/>
      <c r="O112" s="4524"/>
      <c r="P112" s="4524"/>
      <c r="Q112" s="4524"/>
      <c r="R112" s="4524"/>
      <c r="S112" s="4524"/>
      <c r="T112" s="4524"/>
      <c r="U112" s="4524"/>
      <c r="V112" s="4524"/>
      <c r="W112" s="4524"/>
      <c r="X112" s="4524"/>
      <c r="Y112" s="6635">
        <v>8</v>
      </c>
      <c r="Z112" s="7787" t="str">
        <f>IF(OR(AN107,AND(OR(Z110="",Z110=0),OR(Z111="",Z111=0))),"",SUM(Z110,Z111))</f>
        <v/>
      </c>
      <c r="AA112" s="7788"/>
      <c r="AB112" s="7788"/>
      <c r="AC112" s="7789"/>
      <c r="AD112" s="6639"/>
      <c r="AE112" s="4524"/>
      <c r="AF112" s="4524"/>
      <c r="AG112" s="4524"/>
      <c r="AH112" s="4524"/>
      <c r="AI112" s="4521"/>
      <c r="AJ112" s="4521"/>
      <c r="AK112" s="2290"/>
      <c r="AL112" s="253"/>
      <c r="AM112" s="253"/>
      <c r="AN112" s="253"/>
      <c r="AP112" s="658"/>
      <c r="AQ112" s="658"/>
      <c r="AR112" s="658"/>
      <c r="AS112" s="658"/>
      <c r="AT112" s="658"/>
      <c r="AU112" s="658"/>
      <c r="AV112" s="658"/>
      <c r="AW112" s="658"/>
      <c r="AX112" s="658"/>
      <c r="AY112" s="658"/>
      <c r="AZ112" s="2293"/>
    </row>
    <row r="113" spans="1:52" s="1115" customFormat="1" ht="15.75" customHeight="1">
      <c r="A113" s="2290"/>
      <c r="B113" s="775">
        <v>9</v>
      </c>
      <c r="C113" s="1323" t="s">
        <v>6592</v>
      </c>
      <c r="D113" s="1323"/>
      <c r="E113" s="4904"/>
      <c r="F113" s="6669"/>
      <c r="G113" s="1323"/>
      <c r="H113" s="4524"/>
      <c r="I113" s="4524"/>
      <c r="J113" s="4524"/>
      <c r="K113" s="4524"/>
      <c r="L113" s="4524"/>
      <c r="M113" s="4524"/>
      <c r="N113" s="4524"/>
      <c r="O113" s="4524"/>
      <c r="P113" s="4524"/>
      <c r="Q113" s="4524"/>
      <c r="R113" s="4524"/>
      <c r="S113" s="4524"/>
      <c r="T113" s="4524"/>
      <c r="U113" s="4524"/>
      <c r="V113" s="4524"/>
      <c r="W113" s="4524"/>
      <c r="X113" s="4524"/>
      <c r="Y113" s="4524"/>
      <c r="Z113" s="11355" t="b">
        <f>Z112&gt;Z108</f>
        <v>1</v>
      </c>
      <c r="AA113" s="11355"/>
      <c r="AB113" s="11355"/>
      <c r="AC113" s="11356"/>
      <c r="AD113" s="6635">
        <v>9</v>
      </c>
      <c r="AE113" s="9909" t="str">
        <f>IF(AN107,"",IF(Z113,0,SUM(Z108,-Z112)))</f>
        <v/>
      </c>
      <c r="AF113" s="9910"/>
      <c r="AG113" s="9910"/>
      <c r="AH113" s="9910"/>
      <c r="AI113" s="9910"/>
      <c r="AJ113" s="9910"/>
      <c r="AK113" s="2290"/>
      <c r="AL113" s="253"/>
      <c r="AM113" s="253"/>
      <c r="AN113" s="253"/>
      <c r="AP113" s="658"/>
      <c r="AQ113" s="658"/>
      <c r="AR113" s="658"/>
      <c r="AS113" s="658"/>
      <c r="AT113" s="658"/>
      <c r="AU113" s="658"/>
      <c r="AV113" s="658"/>
      <c r="AW113" s="658"/>
      <c r="AX113" s="658"/>
      <c r="AY113" s="658"/>
      <c r="AZ113" s="2293"/>
    </row>
    <row r="114" spans="1:52" s="1115" customFormat="1" ht="15.75" customHeight="1">
      <c r="A114" s="2290"/>
      <c r="B114" s="775">
        <v>10</v>
      </c>
      <c r="C114" s="1323" t="s">
        <v>6593</v>
      </c>
      <c r="D114" s="1323"/>
      <c r="E114" s="4904"/>
      <c r="F114" s="6669"/>
      <c r="G114" s="1323"/>
      <c r="H114" s="4524"/>
      <c r="I114" s="4524"/>
      <c r="J114" s="4524"/>
      <c r="K114" s="4524"/>
      <c r="L114" s="4524"/>
      <c r="M114" s="4524"/>
      <c r="N114" s="4524"/>
      <c r="O114" s="4524"/>
      <c r="P114" s="4524"/>
      <c r="Q114" s="4524"/>
      <c r="R114" s="4524"/>
      <c r="S114" s="4524"/>
      <c r="T114" s="4524"/>
      <c r="U114" s="4524"/>
      <c r="V114" s="4524"/>
      <c r="W114" s="4524"/>
      <c r="X114" s="4524"/>
      <c r="Y114" s="4524"/>
      <c r="Z114" s="4524"/>
      <c r="AA114" s="4524"/>
      <c r="AB114" s="4524"/>
      <c r="AC114" s="4524"/>
      <c r="AD114" s="6635">
        <v>10</v>
      </c>
      <c r="AE114" s="9909" t="str">
        <f>IF(AN107,"",IF(Z113,0,MIN(AE107,AE113)))</f>
        <v/>
      </c>
      <c r="AF114" s="9910"/>
      <c r="AG114" s="9910"/>
      <c r="AH114" s="9910"/>
      <c r="AI114" s="9910"/>
      <c r="AJ114" s="9910"/>
      <c r="AK114" s="2290"/>
      <c r="AL114" s="253"/>
      <c r="AM114" s="253"/>
      <c r="AN114" s="253"/>
      <c r="AP114" s="658"/>
      <c r="AQ114" s="658"/>
      <c r="AR114" s="658"/>
      <c r="AS114" s="658"/>
      <c r="AT114" s="658"/>
      <c r="AU114" s="658"/>
      <c r="AV114" s="658"/>
      <c r="AW114" s="658"/>
      <c r="AX114" s="658"/>
      <c r="AY114" s="658"/>
      <c r="AZ114" s="2293"/>
    </row>
    <row r="115" spans="1:52" s="1115" customFormat="1" ht="15.75" customHeight="1">
      <c r="A115" s="2290"/>
      <c r="B115" s="775">
        <v>11</v>
      </c>
      <c r="C115" s="1323" t="s">
        <v>6594</v>
      </c>
      <c r="D115" s="1323"/>
      <c r="E115" s="4904"/>
      <c r="F115" s="6669"/>
      <c r="G115" s="1323"/>
      <c r="H115" s="4524"/>
      <c r="I115" s="4524"/>
      <c r="J115" s="4524"/>
      <c r="K115" s="4524"/>
      <c r="L115" s="6631"/>
      <c r="M115" s="4524"/>
      <c r="N115" s="4524"/>
      <c r="O115" s="4524"/>
      <c r="P115" s="4524"/>
      <c r="Q115" s="4524"/>
      <c r="R115" s="4524"/>
      <c r="S115" s="4524"/>
      <c r="T115" s="4524"/>
      <c r="U115" s="4524"/>
      <c r="V115" s="4524"/>
      <c r="W115" s="4524"/>
      <c r="X115" s="4524"/>
      <c r="Y115" s="4524"/>
      <c r="Z115" s="4524"/>
      <c r="AA115" s="4524"/>
      <c r="AB115" s="4524"/>
      <c r="AC115" s="4524"/>
      <c r="AD115" s="6635">
        <v>11</v>
      </c>
      <c r="AE115" s="9909" t="str">
        <f>IF(AN107,"",ROUND(AE114*SSTaxRate,0))</f>
        <v/>
      </c>
      <c r="AF115" s="9910"/>
      <c r="AG115" s="9910"/>
      <c r="AH115" s="9910"/>
      <c r="AI115" s="9910"/>
      <c r="AJ115" s="9910"/>
      <c r="AK115" s="2290"/>
      <c r="AL115" s="253"/>
      <c r="AM115" s="253"/>
      <c r="AN115" s="253"/>
      <c r="AP115" s="658"/>
      <c r="AQ115" s="658"/>
      <c r="AR115" s="658"/>
      <c r="AS115" s="658"/>
      <c r="AT115" s="658"/>
      <c r="AU115" s="658"/>
      <c r="AV115" s="658"/>
      <c r="AW115" s="658"/>
      <c r="AX115" s="658"/>
      <c r="AY115" s="658"/>
      <c r="AZ115" s="2293"/>
    </row>
    <row r="116" spans="1:52" s="1115" customFormat="1" ht="15.75" customHeight="1">
      <c r="A116" s="2290"/>
      <c r="B116" s="775">
        <v>12</v>
      </c>
      <c r="C116" s="1323" t="s">
        <v>6595</v>
      </c>
      <c r="D116" s="1323"/>
      <c r="E116" s="4904"/>
      <c r="F116" s="6669"/>
      <c r="G116" s="1323"/>
      <c r="H116" s="4524"/>
      <c r="I116" s="4524"/>
      <c r="J116" s="4524"/>
      <c r="K116" s="4524"/>
      <c r="L116" s="4524"/>
      <c r="M116" s="4524"/>
      <c r="N116" s="4524"/>
      <c r="O116" s="4524"/>
      <c r="P116" s="4524"/>
      <c r="Q116" s="4524"/>
      <c r="R116" s="4524"/>
      <c r="S116" s="4524"/>
      <c r="T116" s="4524"/>
      <c r="U116" s="4524"/>
      <c r="V116" s="4524"/>
      <c r="W116" s="4524"/>
      <c r="X116" s="4524"/>
      <c r="Y116" s="4524"/>
      <c r="Z116" s="4524"/>
      <c r="AA116" s="4524"/>
      <c r="AB116" s="4524"/>
      <c r="AC116" s="4524"/>
      <c r="AD116" s="6635">
        <v>12</v>
      </c>
      <c r="AE116" s="9909" t="str">
        <f>IF(AN107,"",ROUND(AE107*MedicareTaxRate,0))</f>
        <v/>
      </c>
      <c r="AF116" s="9910"/>
      <c r="AG116" s="9910"/>
      <c r="AH116" s="9910"/>
      <c r="AI116" s="9910"/>
      <c r="AJ116" s="9910"/>
      <c r="AK116" s="2290"/>
      <c r="AL116" s="253"/>
      <c r="AM116" s="253"/>
      <c r="AN116" s="253"/>
      <c r="AP116" s="658"/>
      <c r="AQ116" s="658"/>
      <c r="AR116" s="658"/>
      <c r="AS116" s="658"/>
      <c r="AT116" s="658"/>
      <c r="AU116" s="658"/>
      <c r="AV116" s="658"/>
      <c r="AW116" s="658"/>
      <c r="AX116" s="658"/>
      <c r="AY116" s="658"/>
      <c r="AZ116" s="2293"/>
    </row>
    <row r="117" spans="1:52" s="1115" customFormat="1" ht="15.75" customHeight="1">
      <c r="A117" s="2290"/>
      <c r="B117" s="775">
        <v>13</v>
      </c>
      <c r="C117" s="1323" t="s">
        <v>6596</v>
      </c>
      <c r="D117" s="1323"/>
      <c r="E117" s="4904"/>
      <c r="F117" s="6669"/>
      <c r="G117" s="1323"/>
      <c r="H117" s="4524"/>
      <c r="I117" s="4524"/>
      <c r="J117" s="4524"/>
      <c r="K117" s="4524"/>
      <c r="L117" s="4524"/>
      <c r="M117" s="4524"/>
      <c r="N117" s="4524"/>
      <c r="O117" s="4524"/>
      <c r="P117" s="4524"/>
      <c r="Q117" s="4524"/>
      <c r="R117" s="4524"/>
      <c r="S117" s="4524"/>
      <c r="T117" s="4524"/>
      <c r="U117" s="4524"/>
      <c r="V117" s="4524"/>
      <c r="W117" s="4524"/>
      <c r="X117" s="4524"/>
      <c r="Y117" s="4524"/>
      <c r="Z117" s="4524"/>
      <c r="AA117" s="4524"/>
      <c r="AB117" s="4524"/>
      <c r="AC117" s="4524"/>
      <c r="AD117" s="6645"/>
      <c r="AE117" s="6647"/>
      <c r="AF117" s="6647"/>
      <c r="AG117" s="6647"/>
      <c r="AH117" s="6647"/>
      <c r="AI117" s="6648"/>
      <c r="AJ117" s="6648"/>
      <c r="AK117" s="2290"/>
      <c r="AL117" s="253"/>
      <c r="AM117" s="253"/>
      <c r="AN117" s="253"/>
      <c r="AP117" s="658"/>
      <c r="AQ117" s="658"/>
      <c r="AR117" s="658"/>
      <c r="AS117" s="658"/>
      <c r="AT117" s="658"/>
      <c r="AU117" s="658"/>
      <c r="AV117" s="658"/>
      <c r="AW117" s="658"/>
      <c r="AX117" s="658"/>
      <c r="AY117" s="658"/>
      <c r="AZ117" s="2293"/>
    </row>
    <row r="118" spans="1:52" s="1115" customFormat="1" ht="15.75" customHeight="1" thickBot="1">
      <c r="A118" s="2290"/>
      <c r="B118" s="4817"/>
      <c r="C118" s="5003" t="s">
        <v>6597</v>
      </c>
      <c r="D118" s="5003"/>
      <c r="E118" s="6640"/>
      <c r="F118" s="6680"/>
      <c r="G118" s="5003"/>
      <c r="H118" s="6642"/>
      <c r="I118" s="6642"/>
      <c r="J118" s="6642"/>
      <c r="K118" s="6642"/>
      <c r="L118" s="6642"/>
      <c r="M118" s="6642"/>
      <c r="N118" s="6642"/>
      <c r="O118" s="6642"/>
      <c r="P118" s="6642"/>
      <c r="Q118" s="6642"/>
      <c r="R118" s="6642"/>
      <c r="S118" s="6642"/>
      <c r="T118" s="6642"/>
      <c r="U118" s="6642"/>
      <c r="V118" s="6642"/>
      <c r="W118" s="6642"/>
      <c r="X118" s="6642"/>
      <c r="Y118" s="6642"/>
      <c r="Z118" s="6642"/>
      <c r="AA118" s="6642"/>
      <c r="AB118" s="6642"/>
      <c r="AC118" s="6642"/>
      <c r="AD118" s="6646">
        <v>13</v>
      </c>
      <c r="AE118" s="9903" t="str">
        <f>IF(AM118&lt;&gt;"",ROUND(AM118,0),IF(AN107,"",SUM(AE115,AE116)))</f>
        <v/>
      </c>
      <c r="AF118" s="9904"/>
      <c r="AG118" s="9904"/>
      <c r="AH118" s="9904"/>
      <c r="AI118" s="9904"/>
      <c r="AJ118" s="9904"/>
      <c r="AK118" s="2290"/>
      <c r="AL118" s="253"/>
      <c r="AM118" s="6644"/>
      <c r="AN118" s="253"/>
      <c r="AP118" s="658"/>
      <c r="AQ118" s="658"/>
      <c r="AR118" s="658"/>
      <c r="AS118" s="658"/>
      <c r="AT118" s="658"/>
      <c r="AU118" s="658"/>
      <c r="AV118" s="658"/>
      <c r="AW118" s="658"/>
      <c r="AX118" s="658"/>
      <c r="AY118" s="658"/>
      <c r="AZ118" s="2293"/>
    </row>
    <row r="119" spans="1:52" s="1115" customFormat="1" ht="15.75" customHeight="1">
      <c r="A119" s="2290"/>
      <c r="B119" s="1523" t="s">
        <v>865</v>
      </c>
      <c r="C119" s="1323"/>
      <c r="D119" s="1323"/>
      <c r="E119" s="4904"/>
      <c r="F119" s="6669"/>
      <c r="G119" s="1323"/>
      <c r="H119" s="4524"/>
      <c r="I119" s="4524"/>
      <c r="J119" s="4524"/>
      <c r="K119" s="4524"/>
      <c r="L119" s="4524"/>
      <c r="M119" s="4524"/>
      <c r="N119" s="4524"/>
      <c r="O119" s="4524"/>
      <c r="P119" s="4524"/>
      <c r="Q119" s="4524"/>
      <c r="R119" s="4524"/>
      <c r="S119" s="4524"/>
      <c r="T119" s="4524"/>
      <c r="U119" s="4524"/>
      <c r="V119" s="1672" t="s">
        <v>6598</v>
      </c>
      <c r="W119" s="4524"/>
      <c r="X119" s="4524"/>
      <c r="Y119" s="4524"/>
      <c r="Z119" s="4524"/>
      <c r="AA119" s="4524"/>
      <c r="AB119" s="4524"/>
      <c r="AC119" s="4901"/>
      <c r="AD119" s="6643" t="s">
        <v>6599</v>
      </c>
      <c r="AE119" s="9515" t="str">
        <f>"("&amp;TaxYear&amp;")"</f>
        <v>(2025)</v>
      </c>
      <c r="AF119" s="9515"/>
      <c r="AG119" s="4524"/>
      <c r="AH119" s="4524"/>
      <c r="AI119" s="4521"/>
      <c r="AJ119" s="1061" t="s">
        <v>6600</v>
      </c>
      <c r="AK119" s="2290"/>
      <c r="AL119" s="253"/>
      <c r="AM119" s="253"/>
      <c r="AN119" s="6651">
        <f>SUM(AE59,AE118)</f>
        <v>0</v>
      </c>
      <c r="AP119" s="658"/>
      <c r="AQ119" s="658"/>
      <c r="AR119" s="658"/>
      <c r="AS119" s="658"/>
      <c r="AT119" s="658"/>
      <c r="AU119" s="658"/>
      <c r="AV119" s="658"/>
      <c r="AW119" s="658"/>
      <c r="AX119" s="658"/>
      <c r="AY119" s="658"/>
      <c r="AZ119" s="2293"/>
    </row>
    <row r="120" spans="1:52">
      <c r="C120" s="1405"/>
      <c r="D120" s="1405"/>
    </row>
    <row r="121" spans="1:52">
      <c r="C121" s="1405"/>
      <c r="D121" s="1405"/>
    </row>
    <row r="122" spans="1:52">
      <c r="C122" s="1405"/>
      <c r="D122" s="1405"/>
    </row>
    <row r="123" spans="1:52">
      <c r="C123" s="1405"/>
      <c r="D123" s="1405"/>
    </row>
    <row r="124" spans="1:52">
      <c r="C124" s="1405"/>
      <c r="D124" s="1405"/>
    </row>
    <row r="125" spans="1:52">
      <c r="C125" s="1405"/>
      <c r="D125" s="1405"/>
    </row>
    <row r="126" spans="1:52">
      <c r="C126" s="1405"/>
      <c r="D126" s="1405"/>
    </row>
  </sheetData>
  <sheetProtection algorithmName="SHA-512" hashValue="uDidjTBYcBxX33Y2GLcB+oPkchSM7LcRDPKH2jIzuqG7Fzq66Ket02LOCy+XxY03BBgDq8yhgoo8R3n8rjybjA==" saltValue="w29zP6bZYX5BejIxXbfq8g==" spinCount="100000" sheet="1" formatCells="0" formatColumns="0" formatRows="0"/>
  <mergeCells count="162">
    <mergeCell ref="AM33:AM34"/>
    <mergeCell ref="AE32:AJ32"/>
    <mergeCell ref="AE35:AJ35"/>
    <mergeCell ref="AM36:AM37"/>
    <mergeCell ref="AE38:AJ38"/>
    <mergeCell ref="AE60:AF60"/>
    <mergeCell ref="AM39:AM40"/>
    <mergeCell ref="AE41:AJ41"/>
    <mergeCell ref="AM42:AM43"/>
    <mergeCell ref="AE44:AJ44"/>
    <mergeCell ref="AM45:AM46"/>
    <mergeCell ref="AE57:AJ57"/>
    <mergeCell ref="AE59:AJ59"/>
    <mergeCell ref="AE47:AJ47"/>
    <mergeCell ref="AE36:AJ37"/>
    <mergeCell ref="AE54:AJ54"/>
    <mergeCell ref="AE55:AJ55"/>
    <mergeCell ref="AE56:AJ56"/>
    <mergeCell ref="AE45:AJ46"/>
    <mergeCell ref="I6:AB6"/>
    <mergeCell ref="AD6:AG6"/>
    <mergeCell ref="AB8:AJ8"/>
    <mergeCell ref="B2:C2"/>
    <mergeCell ref="D2:G3"/>
    <mergeCell ref="I2:AB3"/>
    <mergeCell ref="AC2:AJ2"/>
    <mergeCell ref="B3:C3"/>
    <mergeCell ref="AC3:AJ4"/>
    <mergeCell ref="I4:AB5"/>
    <mergeCell ref="AD5:AG5"/>
    <mergeCell ref="AH5:AI6"/>
    <mergeCell ref="B7:AA7"/>
    <mergeCell ref="B8:AA8"/>
    <mergeCell ref="C32:M34"/>
    <mergeCell ref="B32:B34"/>
    <mergeCell ref="B35:B37"/>
    <mergeCell ref="C35:M37"/>
    <mergeCell ref="N41:S41"/>
    <mergeCell ref="N32:S32"/>
    <mergeCell ref="N35:S35"/>
    <mergeCell ref="N38:S38"/>
    <mergeCell ref="T32:V32"/>
    <mergeCell ref="N33:S34"/>
    <mergeCell ref="T33:V34"/>
    <mergeCell ref="W33:AA34"/>
    <mergeCell ref="AB27:AD31"/>
    <mergeCell ref="AE48:AJ48"/>
    <mergeCell ref="T35:V35"/>
    <mergeCell ref="T38:V38"/>
    <mergeCell ref="T41:V41"/>
    <mergeCell ref="AE42:AJ43"/>
    <mergeCell ref="N42:S43"/>
    <mergeCell ref="T42:V43"/>
    <mergeCell ref="AE27:AJ31"/>
    <mergeCell ref="N27:S31"/>
    <mergeCell ref="T27:V31"/>
    <mergeCell ref="W27:AA31"/>
    <mergeCell ref="AE39:AJ40"/>
    <mergeCell ref="AE33:AJ34"/>
    <mergeCell ref="N86:S90"/>
    <mergeCell ref="T86:V90"/>
    <mergeCell ref="W86:AA90"/>
    <mergeCell ref="AB86:AD90"/>
    <mergeCell ref="AE86:AJ90"/>
    <mergeCell ref="B61:C61"/>
    <mergeCell ref="D61:G62"/>
    <mergeCell ref="I61:AB62"/>
    <mergeCell ref="AC61:AJ61"/>
    <mergeCell ref="B62:C62"/>
    <mergeCell ref="AC62:AJ63"/>
    <mergeCell ref="I63:AB64"/>
    <mergeCell ref="AD64:AG64"/>
    <mergeCell ref="AH64:AI65"/>
    <mergeCell ref="I65:AB65"/>
    <mergeCell ref="AD65:AG65"/>
    <mergeCell ref="B66:AA66"/>
    <mergeCell ref="B67:AA67"/>
    <mergeCell ref="AB67:AJ67"/>
    <mergeCell ref="AM92:AM93"/>
    <mergeCell ref="B94:B96"/>
    <mergeCell ref="C94:M96"/>
    <mergeCell ref="AE94:AJ94"/>
    <mergeCell ref="N95:S96"/>
    <mergeCell ref="T95:V96"/>
    <mergeCell ref="W95:AA96"/>
    <mergeCell ref="AE95:AJ96"/>
    <mergeCell ref="AM95:AM96"/>
    <mergeCell ref="T94:V94"/>
    <mergeCell ref="B91:B93"/>
    <mergeCell ref="C91:M93"/>
    <mergeCell ref="AE91:AJ91"/>
    <mergeCell ref="N92:S93"/>
    <mergeCell ref="T92:V93"/>
    <mergeCell ref="W92:AA93"/>
    <mergeCell ref="AE92:AJ93"/>
    <mergeCell ref="T91:V91"/>
    <mergeCell ref="N91:S91"/>
    <mergeCell ref="N94:S94"/>
    <mergeCell ref="AM98:AM99"/>
    <mergeCell ref="B100:B102"/>
    <mergeCell ref="C100:M102"/>
    <mergeCell ref="AE100:AJ100"/>
    <mergeCell ref="N101:S102"/>
    <mergeCell ref="T101:V102"/>
    <mergeCell ref="W101:AA102"/>
    <mergeCell ref="AE101:AJ102"/>
    <mergeCell ref="AM101:AM102"/>
    <mergeCell ref="T100:V100"/>
    <mergeCell ref="N100:S100"/>
    <mergeCell ref="B97:B99"/>
    <mergeCell ref="C97:M99"/>
    <mergeCell ref="AE97:AJ97"/>
    <mergeCell ref="N98:S99"/>
    <mergeCell ref="T98:V99"/>
    <mergeCell ref="W98:AA99"/>
    <mergeCell ref="AE98:AJ99"/>
    <mergeCell ref="T97:V97"/>
    <mergeCell ref="N97:S97"/>
    <mergeCell ref="B103:B105"/>
    <mergeCell ref="C103:M105"/>
    <mergeCell ref="AE103:AJ103"/>
    <mergeCell ref="N104:S105"/>
    <mergeCell ref="T104:V105"/>
    <mergeCell ref="W104:AA105"/>
    <mergeCell ref="AE104:AJ105"/>
    <mergeCell ref="T103:V103"/>
    <mergeCell ref="N103:S103"/>
    <mergeCell ref="AE114:AJ114"/>
    <mergeCell ref="AE115:AJ115"/>
    <mergeCell ref="AE116:AJ116"/>
    <mergeCell ref="AE118:AJ118"/>
    <mergeCell ref="AE119:AF119"/>
    <mergeCell ref="AM104:AM105"/>
    <mergeCell ref="AE107:AJ107"/>
    <mergeCell ref="Z108:AC108"/>
    <mergeCell ref="Z112:AC112"/>
    <mergeCell ref="Z113:AC113"/>
    <mergeCell ref="AE113:AJ113"/>
    <mergeCell ref="Z110:AC110"/>
    <mergeCell ref="Z111:AC111"/>
    <mergeCell ref="Z49:AC49"/>
    <mergeCell ref="Z53:AC53"/>
    <mergeCell ref="B38:B40"/>
    <mergeCell ref="C38:M40"/>
    <mergeCell ref="N39:S40"/>
    <mergeCell ref="T39:V40"/>
    <mergeCell ref="W39:AA40"/>
    <mergeCell ref="N36:S37"/>
    <mergeCell ref="T36:V37"/>
    <mergeCell ref="W36:AA37"/>
    <mergeCell ref="Z51:AC51"/>
    <mergeCell ref="Z52:AC52"/>
    <mergeCell ref="W42:AA43"/>
    <mergeCell ref="B44:B46"/>
    <mergeCell ref="C44:M46"/>
    <mergeCell ref="N45:S46"/>
    <mergeCell ref="T45:V46"/>
    <mergeCell ref="W45:AA46"/>
    <mergeCell ref="B41:B43"/>
    <mergeCell ref="C41:M43"/>
    <mergeCell ref="T44:V44"/>
    <mergeCell ref="N44:S44"/>
  </mergeCells>
  <conditionalFormatting sqref="B8 AB8:AJ8">
    <cfRule type="expression" dxfId="477" priority="128">
      <formula>NoColor</formula>
    </cfRule>
  </conditionalFormatting>
  <conditionalFormatting sqref="B67 AB67:AJ67">
    <cfRule type="expression" dxfId="476" priority="41">
      <formula>NoColor</formula>
    </cfRule>
  </conditionalFormatting>
  <conditionalFormatting sqref="B32:C32">
    <cfRule type="expression" dxfId="475" priority="62">
      <formula>NoColor</formula>
    </cfRule>
  </conditionalFormatting>
  <conditionalFormatting sqref="B35:C35">
    <cfRule type="expression" dxfId="474" priority="22">
      <formula>NoColor</formula>
    </cfRule>
  </conditionalFormatting>
  <conditionalFormatting sqref="B38:C38">
    <cfRule type="expression" dxfId="473" priority="21">
      <formula>NoColor</formula>
    </cfRule>
  </conditionalFormatting>
  <conditionalFormatting sqref="B41:C41">
    <cfRule type="expression" dxfId="472" priority="20">
      <formula>NoColor</formula>
    </cfRule>
  </conditionalFormatting>
  <conditionalFormatting sqref="B44:C44">
    <cfRule type="expression" dxfId="471" priority="19">
      <formula>NoColor</formula>
    </cfRule>
  </conditionalFormatting>
  <conditionalFormatting sqref="B91:C91">
    <cfRule type="expression" dxfId="470" priority="18">
      <formula>NoColor</formula>
    </cfRule>
  </conditionalFormatting>
  <conditionalFormatting sqref="B94:C94">
    <cfRule type="expression" dxfId="469" priority="10">
      <formula>NoColor</formula>
    </cfRule>
  </conditionalFormatting>
  <conditionalFormatting sqref="B97:C97">
    <cfRule type="expression" dxfId="468" priority="9">
      <formula>NoColor</formula>
    </cfRule>
  </conditionalFormatting>
  <conditionalFormatting sqref="B100:C100">
    <cfRule type="expression" dxfId="467" priority="8">
      <formula>NoColor</formula>
    </cfRule>
  </conditionalFormatting>
  <conditionalFormatting sqref="B103:C103">
    <cfRule type="expression" dxfId="466" priority="7">
      <formula>NoColor</formula>
    </cfRule>
  </conditionalFormatting>
  <conditionalFormatting sqref="C9:E9 G9:AH9 B10:E12 H10:AH13 B13:C13 E13 C14:E14 G14:AH14 B15:E26 H15:AH26 H27:N27 T27 W27 AB27 AE27 E27:E31 B27:C32 H28:M31 N32 T32 W32 AB32:AE33 AB34:AD34 B35:C35 N35 T35 W35 AB35:AE36 AB37:AD37 B38:C38 N38 T38 W38 AB38:AE39 AB40:AD40 B41:C41 N41 T41 W41 AB41:AE42 AB43:AD43 B44:C44 N44 T44 W44 AB44:AE45 AB46:AD46 H47:AE48 B47:B60 E47:E60 H49:Z49 AD49:AH49 H50:AH50 AD51:AH53 H51:Z54 AD54:AE54 H55:AE60 AE58:AH58 AG60:AH60 C68:E68 G68:AH68 B69:E71 H69:AH72 B72:C72 E72 C73:E73 G73:AH73 B74:E85 H74:AH85 H86:N86 T86 W86 AB86 AE86 E86:E90 B86:C91 H87:M90 N91 T91 W91 AB91:AE92 AB93:AD93 B94:C94 N94 T94 W94 AB94:AE95 AB96:AD96 B97:C97 N97 T97 W97 AB97:AE98 AB99:AD99 B100:C100 N100 T100 W100 AB100:AE101 AB102:AD102 B103:C103 N103 T103 W103 AB103:AE104 AB105:AD105 H106:AH106 B106:B119 E106:E119 H107:AE107 H108:Z108 AD108:AH108 H109:AH109 AD110:AH112 H110:Z113 AD113 AE113:AE118 H114:AD118 AE117:AH117 H119:AE119 AG119:AH119">
    <cfRule type="expression" dxfId="465" priority="169">
      <formula>IF(AND(File_Marr_Sep&lt;&gt;"",$AI$9=""),1,0)</formula>
    </cfRule>
  </conditionalFormatting>
  <conditionalFormatting sqref="N33:AA34 N36:AA37 N39:AA40 N42:AA43 N45:AA46">
    <cfRule type="expression" dxfId="464" priority="61">
      <formula>NoColor</formula>
    </cfRule>
  </conditionalFormatting>
  <conditionalFormatting sqref="N92:AA93 N95:AA96 N98:AA99 N101:AA102 N104:AA105">
    <cfRule type="expression" dxfId="463" priority="17">
      <formula>NoColor</formula>
    </cfRule>
  </conditionalFormatting>
  <conditionalFormatting sqref="Z53:AC53">
    <cfRule type="expression" dxfId="462" priority="5">
      <formula>NoColor</formula>
    </cfRule>
  </conditionalFormatting>
  <conditionalFormatting sqref="Z112:AC112">
    <cfRule type="expression" dxfId="461" priority="1">
      <formula>NoColor</formula>
    </cfRule>
  </conditionalFormatting>
  <conditionalFormatting sqref="AB8:AJ8">
    <cfRule type="expression" dxfId="460" priority="87">
      <formula>NoSSN</formula>
    </cfRule>
    <cfRule type="expression" dxfId="459" priority="126">
      <formula>NoSSN</formula>
    </cfRule>
    <cfRule type="expression" dxfId="458" priority="127">
      <formula>AND(NoColor,NoSSN)</formula>
    </cfRule>
  </conditionalFormatting>
  <conditionalFormatting sqref="AB67:AJ67">
    <cfRule type="expression" dxfId="457" priority="38">
      <formula>NoSSN</formula>
    </cfRule>
    <cfRule type="expression" dxfId="456" priority="39">
      <formula>NoSSN</formula>
    </cfRule>
    <cfRule type="expression" dxfId="455" priority="40">
      <formula>AND(NoColor,NoSSN)</formula>
    </cfRule>
  </conditionalFormatting>
  <conditionalFormatting sqref="AC33">
    <cfRule type="expression" dxfId="454" priority="60">
      <formula>NoColor</formula>
    </cfRule>
  </conditionalFormatting>
  <conditionalFormatting sqref="AC36">
    <cfRule type="expression" dxfId="453" priority="49">
      <formula>NoColor</formula>
    </cfRule>
  </conditionalFormatting>
  <conditionalFormatting sqref="AC39">
    <cfRule type="expression" dxfId="452" priority="47">
      <formula>NoColor</formula>
    </cfRule>
  </conditionalFormatting>
  <conditionalFormatting sqref="AC42">
    <cfRule type="expression" dxfId="451" priority="45">
      <formula>NoColor</formula>
    </cfRule>
  </conditionalFormatting>
  <conditionalFormatting sqref="AC45">
    <cfRule type="expression" dxfId="450" priority="43">
      <formula>NoColor</formula>
    </cfRule>
  </conditionalFormatting>
  <conditionalFormatting sqref="AC92">
    <cfRule type="expression" dxfId="449" priority="16">
      <formula>NoColor</formula>
    </cfRule>
  </conditionalFormatting>
  <conditionalFormatting sqref="AC95">
    <cfRule type="expression" dxfId="448" priority="14">
      <formula>NoColor</formula>
    </cfRule>
  </conditionalFormatting>
  <conditionalFormatting sqref="AC98">
    <cfRule type="expression" dxfId="447" priority="13">
      <formula>NoColor</formula>
    </cfRule>
  </conditionalFormatting>
  <conditionalFormatting sqref="AC101">
    <cfRule type="expression" dxfId="446" priority="12">
      <formula>NoColor</formula>
    </cfRule>
  </conditionalFormatting>
  <conditionalFormatting sqref="AC104">
    <cfRule type="expression" dxfId="445" priority="11">
      <formula>NoColor</formula>
    </cfRule>
  </conditionalFormatting>
  <conditionalFormatting sqref="AE33:AJ34 AE36:AJ37 AE39:AJ40 AE42:AJ43 AE45:AJ46">
    <cfRule type="expression" dxfId="442" priority="59">
      <formula>NoColor</formula>
    </cfRule>
  </conditionalFormatting>
  <conditionalFormatting sqref="AE48:AJ48">
    <cfRule type="expression" dxfId="441" priority="42">
      <formula>NoColor</formula>
    </cfRule>
  </conditionalFormatting>
  <conditionalFormatting sqref="AE54:AJ59">
    <cfRule type="expression" dxfId="440" priority="3">
      <formula>NoColor</formula>
    </cfRule>
  </conditionalFormatting>
  <conditionalFormatting sqref="AE92:AJ93 AE95:AJ96 AE98:AJ99 AE101:AJ102 AE104:AJ105">
    <cfRule type="expression" dxfId="439" priority="15">
      <formula>NoColor</formula>
    </cfRule>
  </conditionalFormatting>
  <conditionalFormatting sqref="AE107:AJ107">
    <cfRule type="expression" dxfId="438" priority="6">
      <formula>NoColor</formula>
    </cfRule>
  </conditionalFormatting>
  <conditionalFormatting sqref="AE113:AJ118">
    <cfRule type="expression" dxfId="437" priority="2">
      <formula>NoColor</formula>
    </cfRule>
  </conditionalFormatting>
  <pageMargins left="0.75" right="0.25" top="0.36" bottom="0.28999999999999998" header="0.36" footer="0.21"/>
  <pageSetup scale="66" fitToHeight="0" orientation="portrait" r:id="rId1"/>
  <rowBreaks count="1" manualBreakCount="1">
    <brk id="60" max="16383" man="1"/>
  </rowBreaks>
  <extLst>
    <ext xmlns:x14="http://schemas.microsoft.com/office/spreadsheetml/2009/9/main" uri="{78C0D931-6437-407d-A8EE-F0AAD7539E65}">
      <x14:conditionalFormattings>
        <x14:conditionalFormatting xmlns:xm="http://schemas.microsoft.com/office/excel/2006/main">
          <x14:cfRule type="expression" priority="86" id="{2F90497A-AA5D-4110-8364-521DC29DA375}">
            <xm:f>'Table of Contents'!A48="D"</xm:f>
            <x14:dxf>
              <font>
                <b/>
                <i val="0"/>
                <color rgb="FFC00000"/>
              </font>
            </x14:dxf>
          </x14:cfRule>
          <xm:sqref>AC2:AJ2</xm:sqref>
        </x14:conditionalFormatting>
        <x14:conditionalFormatting xmlns:xm="http://schemas.microsoft.com/office/excel/2006/main">
          <x14:cfRule type="expression" priority="37" id="{82A521F2-6131-4533-995E-776CC8370E16}">
            <xm:f>'Table of Contents'!A108="D"</xm:f>
            <x14:dxf>
              <font>
                <b/>
                <i val="0"/>
                <color rgb="FFC00000"/>
              </font>
            </x14:dxf>
          </x14:cfRule>
          <xm:sqref>AC61:AJ61</xm:sqref>
        </x14:conditionalFormatting>
      </x14:conditionalFormatting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codeName="Sheet14">
    <pageSetUpPr fitToPage="1"/>
  </sheetPr>
  <dimension ref="A1:BC109"/>
  <sheetViews>
    <sheetView topLeftCell="A36" zoomScaleNormal="100" zoomScaleSheetLayoutView="100" workbookViewId="0">
      <selection activeCell="AH38" sqref="AH38"/>
    </sheetView>
  </sheetViews>
  <sheetFormatPr defaultColWidth="3.7109375" defaultRowHeight="12.75"/>
  <cols>
    <col min="1" max="1" width="3.7109375" style="6021" customWidth="1"/>
    <col min="2" max="2" width="4.140625" customWidth="1"/>
    <col min="3" max="3" width="2.28515625" customWidth="1"/>
    <col min="4" max="9" width="3.7109375" customWidth="1"/>
    <col min="10" max="10" width="4" customWidth="1"/>
    <col min="11" max="11" width="6.85546875" customWidth="1"/>
    <col min="12" max="12" width="4" customWidth="1"/>
    <col min="13" max="16" width="3.7109375" customWidth="1"/>
    <col min="17" max="20" width="4.28515625" customWidth="1"/>
    <col min="21" max="23" width="3.85546875" customWidth="1"/>
    <col min="24" max="24" width="3.7109375" customWidth="1"/>
    <col min="25" max="26" width="5.42578125" customWidth="1"/>
    <col min="27" max="28" width="6.42578125" customWidth="1"/>
    <col min="29" max="32" width="3.7109375" customWidth="1"/>
    <col min="33" max="33" width="6" style="6022" customWidth="1"/>
    <col min="34" max="34" width="4.85546875" style="84" customWidth="1"/>
    <col min="35" max="35" width="8.5703125" style="84" bestFit="1" customWidth="1"/>
    <col min="36" max="36" width="29.28515625" customWidth="1"/>
    <col min="37" max="40" width="13.7109375" customWidth="1"/>
    <col min="41" max="41" width="10" customWidth="1"/>
    <col min="42" max="42" width="15.5703125" customWidth="1"/>
    <col min="43" max="43" width="15.42578125" customWidth="1"/>
    <col min="44" max="44" width="8.5703125" customWidth="1"/>
    <col min="45" max="55" width="8.5703125" hidden="1" customWidth="1"/>
    <col min="56" max="58" width="8.5703125" customWidth="1"/>
    <col min="59" max="68" width="3.7109375" customWidth="1"/>
  </cols>
  <sheetData>
    <row r="1" spans="1:35">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2013"/>
      <c r="AD1" s="2013"/>
      <c r="AE1" s="2013"/>
      <c r="AF1" s="2013"/>
      <c r="AG1" s="2013"/>
    </row>
    <row r="2" spans="1:35">
      <c r="A2" s="139"/>
      <c r="B2" s="11463" t="s">
        <v>4453</v>
      </c>
      <c r="C2" s="11464"/>
      <c r="D2" s="11464"/>
      <c r="E2" s="11464"/>
      <c r="F2" s="11464"/>
      <c r="G2" s="11464"/>
      <c r="H2" s="11464"/>
      <c r="I2" s="11464"/>
      <c r="J2" s="11464"/>
      <c r="K2" s="11464"/>
      <c r="L2" s="264"/>
      <c r="M2" s="139"/>
      <c r="N2" s="139"/>
      <c r="O2" s="139"/>
      <c r="P2" s="139"/>
      <c r="Q2" s="139"/>
      <c r="R2" s="139"/>
      <c r="S2" s="139"/>
      <c r="T2" s="139"/>
      <c r="U2" s="139"/>
      <c r="V2" s="139"/>
      <c r="W2" s="139"/>
      <c r="X2" s="139"/>
      <c r="Y2" s="139"/>
      <c r="Z2" s="139"/>
      <c r="AA2" s="962"/>
      <c r="AB2" s="139"/>
      <c r="AC2" s="139"/>
      <c r="AD2" s="139"/>
      <c r="AE2" s="139"/>
      <c r="AF2" s="139"/>
      <c r="AG2" s="2013"/>
    </row>
    <row r="3" spans="1:35">
      <c r="A3" s="2013"/>
      <c r="B3" s="2013"/>
      <c r="C3" s="2013"/>
      <c r="D3" s="2013"/>
      <c r="E3" s="2013"/>
      <c r="F3" s="2013"/>
      <c r="G3" s="2013"/>
      <c r="H3" s="2013"/>
      <c r="I3" s="2013"/>
      <c r="J3" s="2013"/>
      <c r="K3" s="2013"/>
      <c r="L3" s="2013"/>
      <c r="M3" s="2013"/>
      <c r="N3" s="2013"/>
      <c r="O3" s="2013"/>
      <c r="P3" s="2013"/>
      <c r="Q3" s="2013"/>
      <c r="R3" s="2013"/>
      <c r="S3" s="2013"/>
      <c r="T3" s="2013"/>
      <c r="U3" s="2013"/>
      <c r="V3" s="2013"/>
      <c r="W3" s="2013"/>
      <c r="X3" s="2013"/>
      <c r="Y3" s="2013"/>
      <c r="Z3" s="2013"/>
      <c r="AA3" s="2013"/>
      <c r="AB3" s="2013"/>
      <c r="AC3" s="2013"/>
      <c r="AD3" s="2013"/>
      <c r="AE3" s="2013"/>
      <c r="AF3" s="2013"/>
      <c r="AG3" s="2013"/>
      <c r="AI3" s="318" t="b">
        <f>'Table of Contents'!A61="D"</f>
        <v>0</v>
      </c>
    </row>
    <row r="4" spans="1:35" ht="11.25" customHeight="1">
      <c r="A4" s="2013"/>
      <c r="B4" s="11465" t="s">
        <v>4454</v>
      </c>
      <c r="C4" s="7601"/>
      <c r="D4" s="7601"/>
      <c r="E4" s="7601"/>
      <c r="F4" s="7601"/>
      <c r="G4" s="88"/>
      <c r="H4" s="11467" t="s">
        <v>4455</v>
      </c>
      <c r="I4" s="11468"/>
      <c r="J4" s="11468"/>
      <c r="K4" s="11468"/>
      <c r="L4" s="11468"/>
      <c r="M4" s="11468"/>
      <c r="N4" s="11468"/>
      <c r="O4" s="11468"/>
      <c r="P4" s="11468"/>
      <c r="Q4" s="11468"/>
      <c r="R4" s="11468"/>
      <c r="S4" s="11468"/>
      <c r="T4" s="11468"/>
      <c r="U4" s="11468"/>
      <c r="V4" s="11468"/>
      <c r="W4" s="11468"/>
      <c r="X4" s="11468"/>
      <c r="Y4" s="11468"/>
      <c r="Z4" s="11468"/>
      <c r="AA4" s="11469"/>
      <c r="AB4" s="8062" t="str">
        <f>IF(AND(AI3,AH4=""),"DRAFT","OMB No. 1545-0074")</f>
        <v>OMB No. 1545-0074</v>
      </c>
      <c r="AC4" s="9894"/>
      <c r="AD4" s="9894"/>
      <c r="AE4" s="9894"/>
      <c r="AF4" s="9894"/>
      <c r="AG4" s="2013"/>
      <c r="AH4" s="6003"/>
      <c r="AI4" s="6001" t="str">
        <f>IF(AI3,"Hide 'DRAFT'.","")</f>
        <v/>
      </c>
    </row>
    <row r="5" spans="1:35" ht="11.25" customHeight="1">
      <c r="A5" s="2013"/>
      <c r="B5" s="7601"/>
      <c r="C5" s="7601"/>
      <c r="D5" s="7601"/>
      <c r="E5" s="7601"/>
      <c r="F5" s="7601"/>
      <c r="G5" s="88"/>
      <c r="H5" s="11470"/>
      <c r="I5" s="11468"/>
      <c r="J5" s="11468"/>
      <c r="K5" s="11468"/>
      <c r="L5" s="11468"/>
      <c r="M5" s="11468"/>
      <c r="N5" s="11468"/>
      <c r="O5" s="11468"/>
      <c r="P5" s="11468"/>
      <c r="Q5" s="11468"/>
      <c r="R5" s="11468"/>
      <c r="S5" s="11468"/>
      <c r="T5" s="11468"/>
      <c r="U5" s="11468"/>
      <c r="V5" s="11468"/>
      <c r="W5" s="11468"/>
      <c r="X5" s="11468"/>
      <c r="Y5" s="11468"/>
      <c r="Z5" s="11468"/>
      <c r="AA5" s="11469"/>
      <c r="AB5" s="11466">
        <f>TaxYear</f>
        <v>2025</v>
      </c>
      <c r="AC5" s="7601"/>
      <c r="AD5" s="7601"/>
      <c r="AE5" s="7601"/>
      <c r="AF5" s="7601"/>
      <c r="AG5" s="2013"/>
      <c r="AH5" s="6004"/>
    </row>
    <row r="6" spans="1:35" ht="11.25" customHeight="1">
      <c r="A6" s="2013"/>
      <c r="B6" s="7601"/>
      <c r="C6" s="7601"/>
      <c r="D6" s="7601"/>
      <c r="E6" s="7601"/>
      <c r="F6" s="7601"/>
      <c r="G6" s="88"/>
      <c r="H6" s="11471"/>
      <c r="I6" s="7091"/>
      <c r="J6" s="7091"/>
      <c r="K6" s="7091"/>
      <c r="L6" s="7091"/>
      <c r="M6" s="7091"/>
      <c r="N6" s="7091"/>
      <c r="O6" s="7091"/>
      <c r="P6" s="7091"/>
      <c r="Q6" s="7091"/>
      <c r="R6" s="7091"/>
      <c r="S6" s="7091"/>
      <c r="T6" s="7091"/>
      <c r="U6" s="7091"/>
      <c r="V6" s="7091"/>
      <c r="W6" s="7091"/>
      <c r="X6" s="7091"/>
      <c r="Y6" s="7091"/>
      <c r="Z6" s="7091"/>
      <c r="AA6" s="9627"/>
      <c r="AB6" s="7601"/>
      <c r="AC6" s="7601"/>
      <c r="AD6" s="7601"/>
      <c r="AE6" s="7601"/>
      <c r="AF6" s="7601"/>
      <c r="AG6" s="2013"/>
      <c r="AH6" s="6005"/>
    </row>
    <row r="7" spans="1:35" ht="11.25" customHeight="1">
      <c r="A7" s="2013"/>
      <c r="B7" s="88"/>
      <c r="C7" s="88"/>
      <c r="D7" s="88"/>
      <c r="E7" s="88"/>
      <c r="F7" s="88"/>
      <c r="G7" s="88"/>
      <c r="H7" s="11472" t="s">
        <v>4456</v>
      </c>
      <c r="I7" s="11473"/>
      <c r="J7" s="11473"/>
      <c r="K7" s="11473"/>
      <c r="L7" s="11473"/>
      <c r="M7" s="11473"/>
      <c r="N7" s="11473"/>
      <c r="O7" s="11473"/>
      <c r="P7" s="11473"/>
      <c r="Q7" s="11473"/>
      <c r="R7" s="11473"/>
      <c r="S7" s="11473"/>
      <c r="T7" s="11473"/>
      <c r="U7" s="11473"/>
      <c r="V7" s="11473"/>
      <c r="W7" s="11473"/>
      <c r="X7" s="11473"/>
      <c r="Y7" s="11473"/>
      <c r="Z7" s="11473"/>
      <c r="AA7" s="11474"/>
      <c r="AB7" s="7601"/>
      <c r="AC7" s="7601"/>
      <c r="AD7" s="7601"/>
      <c r="AE7" s="7601"/>
      <c r="AF7" s="7601"/>
      <c r="AG7" s="2013"/>
    </row>
    <row r="8" spans="1:35" ht="10.5" customHeight="1">
      <c r="A8" s="2013"/>
      <c r="B8" s="229" t="s">
        <v>503</v>
      </c>
      <c r="C8" s="88"/>
      <c r="D8" s="88"/>
      <c r="E8" s="88"/>
      <c r="F8" s="88"/>
      <c r="G8" s="88"/>
      <c r="H8" s="11454" t="s">
        <v>5088</v>
      </c>
      <c r="I8" s="11455"/>
      <c r="J8" s="11455"/>
      <c r="K8" s="11455"/>
      <c r="L8" s="11455"/>
      <c r="M8" s="11455"/>
      <c r="N8" s="11455"/>
      <c r="O8" s="11455"/>
      <c r="P8" s="11455"/>
      <c r="Q8" s="11455"/>
      <c r="R8" s="11455"/>
      <c r="S8" s="11455"/>
      <c r="T8" s="11455"/>
      <c r="U8" s="11455"/>
      <c r="V8" s="11455"/>
      <c r="W8" s="11455"/>
      <c r="X8" s="11455"/>
      <c r="Y8" s="11455"/>
      <c r="Z8" s="11455"/>
      <c r="AA8" s="11456"/>
      <c r="AB8" s="11450" t="s">
        <v>1959</v>
      </c>
      <c r="AC8" s="11451"/>
      <c r="AD8" s="11451"/>
      <c r="AE8" s="9111" t="s">
        <v>4457</v>
      </c>
      <c r="AF8" s="9111"/>
      <c r="AG8" s="2013"/>
    </row>
    <row r="9" spans="1:35" ht="10.5" customHeight="1" thickBot="1">
      <c r="A9" s="2013"/>
      <c r="B9" s="6504" t="s">
        <v>505</v>
      </c>
      <c r="C9" s="6505"/>
      <c r="D9" s="6505"/>
      <c r="E9" s="6505"/>
      <c r="F9" s="6505"/>
      <c r="G9" s="6506"/>
      <c r="H9" s="11457"/>
      <c r="I9" s="11458"/>
      <c r="J9" s="11458"/>
      <c r="K9" s="11458"/>
      <c r="L9" s="11458"/>
      <c r="M9" s="11458"/>
      <c r="N9" s="11458"/>
      <c r="O9" s="11458"/>
      <c r="P9" s="11458"/>
      <c r="Q9" s="11458"/>
      <c r="R9" s="11458"/>
      <c r="S9" s="11458"/>
      <c r="T9" s="11458"/>
      <c r="U9" s="11458"/>
      <c r="V9" s="11458"/>
      <c r="W9" s="11458"/>
      <c r="X9" s="11458"/>
      <c r="Y9" s="11458"/>
      <c r="Z9" s="11458"/>
      <c r="AA9" s="11459"/>
      <c r="AB9" s="11452"/>
      <c r="AC9" s="11453"/>
      <c r="AD9" s="11453"/>
      <c r="AE9" s="11460"/>
      <c r="AF9" s="11460"/>
      <c r="AG9" s="2013"/>
    </row>
    <row r="10" spans="1:35" ht="13.5" thickTop="1">
      <c r="A10" s="2013"/>
      <c r="B10" s="229" t="s">
        <v>1918</v>
      </c>
      <c r="C10" s="88"/>
      <c r="D10" s="88"/>
      <c r="E10" s="88"/>
      <c r="F10" s="88"/>
      <c r="G10" s="88"/>
      <c r="H10" s="88"/>
      <c r="I10" s="88"/>
      <c r="J10" s="88"/>
      <c r="K10" s="88"/>
      <c r="L10" s="88"/>
      <c r="M10" s="88"/>
      <c r="N10" s="88"/>
      <c r="O10" s="88"/>
      <c r="P10" s="88"/>
      <c r="Q10" s="88"/>
      <c r="R10" s="88"/>
      <c r="S10" s="88"/>
      <c r="T10" s="88"/>
      <c r="U10" s="88"/>
      <c r="V10" s="6006" t="s">
        <v>4458</v>
      </c>
      <c r="W10" s="88"/>
      <c r="X10" s="88"/>
      <c r="Y10" s="88"/>
      <c r="Z10" s="2666"/>
      <c r="AA10" s="88"/>
      <c r="AB10" s="88"/>
      <c r="AC10" s="88"/>
      <c r="AD10" s="88"/>
      <c r="AE10" s="88"/>
      <c r="AF10" s="88"/>
      <c r="AG10" s="2013"/>
    </row>
    <row r="11" spans="1:35" ht="16.5" thickBot="1">
      <c r="A11" s="2013"/>
      <c r="B11" s="11436" t="str">
        <f>Names</f>
        <v/>
      </c>
      <c r="C11" s="11437"/>
      <c r="D11" s="11437"/>
      <c r="E11" s="11437"/>
      <c r="F11" s="11437"/>
      <c r="G11" s="11437"/>
      <c r="H11" s="11437"/>
      <c r="I11" s="11437"/>
      <c r="J11" s="11437"/>
      <c r="K11" s="11437"/>
      <c r="L11" s="11437"/>
      <c r="M11" s="11437"/>
      <c r="N11" s="11437"/>
      <c r="O11" s="11437"/>
      <c r="P11" s="11437"/>
      <c r="Q11" s="11437"/>
      <c r="R11" s="11437"/>
      <c r="S11" s="11437"/>
      <c r="T11" s="11437"/>
      <c r="U11" s="11438"/>
      <c r="V11" s="11439">
        <f>IF(NoSSN,"",SS_Yours)</f>
        <v>1010001</v>
      </c>
      <c r="W11" s="11440"/>
      <c r="X11" s="11440"/>
      <c r="Y11" s="11440"/>
      <c r="Z11" s="11440"/>
      <c r="AA11" s="11440"/>
      <c r="AB11" s="11440"/>
      <c r="AC11" s="11440"/>
      <c r="AD11" s="11440"/>
      <c r="AE11" s="11440"/>
      <c r="AF11" s="11440"/>
      <c r="AG11" s="2013"/>
    </row>
    <row r="12" spans="1:35" ht="12.75" customHeight="1">
      <c r="A12" s="2013"/>
      <c r="B12" s="11443" t="s">
        <v>6405</v>
      </c>
      <c r="C12" s="11444"/>
      <c r="D12" s="11444"/>
      <c r="E12" s="11444"/>
      <c r="F12" s="11444"/>
      <c r="G12" s="11444"/>
      <c r="H12" s="11444"/>
      <c r="I12" s="11444"/>
      <c r="J12" s="11444"/>
      <c r="K12" s="11444"/>
      <c r="L12" s="11444"/>
      <c r="M12" s="11444"/>
      <c r="N12" s="11444"/>
      <c r="O12" s="11444"/>
      <c r="P12" s="11444"/>
      <c r="Q12" s="11444"/>
      <c r="R12" s="11444"/>
      <c r="S12" s="11444"/>
      <c r="T12" s="11444"/>
      <c r="U12" s="11444"/>
      <c r="V12" s="11444"/>
      <c r="W12" s="11444"/>
      <c r="X12" s="11444"/>
      <c r="Y12" s="11444"/>
      <c r="Z12" s="11444"/>
      <c r="AA12" s="11444"/>
      <c r="AB12" s="11444"/>
      <c r="AC12" s="11444"/>
      <c r="AD12" s="11444"/>
      <c r="AE12" s="11444"/>
      <c r="AF12" s="11444"/>
      <c r="AG12" s="2013"/>
    </row>
    <row r="13" spans="1:35" ht="12.75" customHeight="1">
      <c r="A13" s="2013"/>
      <c r="B13" s="9174"/>
      <c r="C13" s="9174"/>
      <c r="D13" s="9174"/>
      <c r="E13" s="9174"/>
      <c r="F13" s="9174"/>
      <c r="G13" s="9174"/>
      <c r="H13" s="9174"/>
      <c r="I13" s="9174"/>
      <c r="J13" s="9174"/>
      <c r="K13" s="9174"/>
      <c r="L13" s="9174"/>
      <c r="M13" s="9174"/>
      <c r="N13" s="9174"/>
      <c r="O13" s="9174"/>
      <c r="P13" s="9174"/>
      <c r="Q13" s="9174"/>
      <c r="R13" s="9174"/>
      <c r="S13" s="9174"/>
      <c r="T13" s="9174"/>
      <c r="U13" s="9174"/>
      <c r="V13" s="9174"/>
      <c r="W13" s="9174"/>
      <c r="X13" s="9174"/>
      <c r="Y13" s="9174"/>
      <c r="Z13" s="9174"/>
      <c r="AA13" s="9174"/>
      <c r="AB13" s="9174"/>
      <c r="AC13" s="9174"/>
      <c r="AD13" s="9174"/>
      <c r="AE13" s="9174"/>
      <c r="AF13" s="9174"/>
      <c r="AG13" s="2013"/>
    </row>
    <row r="14" spans="1:35" ht="12.75" customHeight="1">
      <c r="A14" s="2013"/>
      <c r="B14" s="9004"/>
      <c r="C14" s="9004"/>
      <c r="D14" s="9004"/>
      <c r="E14" s="9004"/>
      <c r="F14" s="9004"/>
      <c r="G14" s="9004"/>
      <c r="H14" s="9004"/>
      <c r="I14" s="9004"/>
      <c r="J14" s="9004"/>
      <c r="K14" s="9004"/>
      <c r="L14" s="9004"/>
      <c r="M14" s="9004"/>
      <c r="N14" s="9004"/>
      <c r="O14" s="9004"/>
      <c r="P14" s="9004"/>
      <c r="Q14" s="9004"/>
      <c r="R14" s="9004"/>
      <c r="S14" s="9004"/>
      <c r="T14" s="9004"/>
      <c r="U14" s="9004"/>
      <c r="V14" s="9004"/>
      <c r="W14" s="9004"/>
      <c r="X14" s="9004"/>
      <c r="Y14" s="9004"/>
      <c r="Z14" s="9004"/>
      <c r="AA14" s="9004"/>
      <c r="AB14" s="9004"/>
      <c r="AC14" s="9004"/>
      <c r="AD14" s="9004"/>
      <c r="AE14" s="9004"/>
      <c r="AF14" s="9004"/>
      <c r="AG14" s="2013"/>
    </row>
    <row r="15" spans="1:35" ht="3.75" customHeight="1">
      <c r="A15" s="2013"/>
      <c r="B15" s="88"/>
      <c r="C15" s="88"/>
      <c r="D15" s="88"/>
      <c r="E15" s="88"/>
      <c r="F15" s="88"/>
      <c r="G15" s="88"/>
      <c r="H15" s="88"/>
      <c r="I15" s="88"/>
      <c r="J15" s="88"/>
      <c r="K15" s="88"/>
      <c r="L15" s="88"/>
      <c r="M15" s="88"/>
      <c r="N15" s="88"/>
      <c r="O15" s="88"/>
      <c r="P15" s="88"/>
      <c r="Q15" s="88"/>
      <c r="R15" s="88"/>
      <c r="S15" s="88"/>
      <c r="T15" s="88"/>
      <c r="U15" s="88"/>
      <c r="V15" s="88"/>
      <c r="W15" s="88"/>
      <c r="X15" s="88"/>
      <c r="Y15" s="88"/>
      <c r="Z15" s="88"/>
      <c r="AA15" s="88"/>
      <c r="AB15" s="88"/>
      <c r="AC15" s="88"/>
      <c r="AD15" s="88"/>
      <c r="AE15" s="88"/>
      <c r="AF15" s="88"/>
      <c r="AG15" s="2013"/>
    </row>
    <row r="16" spans="1:35" ht="15">
      <c r="A16" s="2013"/>
      <c r="B16" s="11435" t="s">
        <v>780</v>
      </c>
      <c r="C16" s="9782"/>
      <c r="D16" s="88"/>
      <c r="E16" s="3414" t="s">
        <v>5430</v>
      </c>
      <c r="F16" s="88"/>
      <c r="G16" s="88"/>
      <c r="H16" s="88"/>
      <c r="I16" s="1836" t="s">
        <v>5431</v>
      </c>
      <c r="J16" s="88"/>
      <c r="K16" s="88"/>
      <c r="L16" s="88"/>
      <c r="M16" s="88"/>
      <c r="N16" s="88"/>
      <c r="O16" s="88"/>
      <c r="P16" s="88"/>
      <c r="Q16" s="88"/>
      <c r="R16" s="88"/>
      <c r="S16" s="88"/>
      <c r="T16" s="1836"/>
      <c r="U16" s="88"/>
      <c r="V16" s="88"/>
      <c r="W16" s="88"/>
      <c r="X16" s="1836"/>
      <c r="Y16" s="88"/>
      <c r="Z16" s="88"/>
      <c r="AA16" s="88"/>
      <c r="AB16" s="88"/>
      <c r="AC16" s="88"/>
      <c r="AD16" s="88"/>
      <c r="AE16" s="88"/>
      <c r="AF16" s="88"/>
      <c r="AG16" s="4271" t="b">
        <f>IF(SUM(AG41:AG51)&gt;0,TRUE,FALSE)</f>
        <v>0</v>
      </c>
    </row>
    <row r="17" spans="1:55" ht="12.75" customHeight="1">
      <c r="A17" s="2013"/>
      <c r="B17" s="88"/>
      <c r="C17" s="88"/>
      <c r="D17" s="88"/>
      <c r="E17" s="1836" t="s">
        <v>4459</v>
      </c>
      <c r="F17" s="88"/>
      <c r="G17" s="88"/>
      <c r="H17" s="88"/>
      <c r="I17" s="88"/>
      <c r="J17" s="88"/>
      <c r="K17" s="88"/>
      <c r="L17" s="88"/>
      <c r="M17" s="88"/>
      <c r="N17" s="88"/>
      <c r="O17" s="88"/>
      <c r="P17" s="88"/>
      <c r="Q17" s="88"/>
      <c r="R17" s="88"/>
      <c r="S17" s="88"/>
      <c r="T17" s="1836"/>
      <c r="U17" s="88"/>
      <c r="V17" s="88"/>
      <c r="W17" s="88"/>
      <c r="X17" s="1560"/>
      <c r="Y17" s="88"/>
      <c r="Z17" s="88"/>
      <c r="AA17" s="88"/>
      <c r="AB17" s="88"/>
      <c r="AC17" s="88"/>
      <c r="AD17" s="88"/>
      <c r="AE17" s="88"/>
      <c r="AF17" s="88"/>
      <c r="AG17" s="2013"/>
    </row>
    <row r="18" spans="1:55" s="506" customFormat="1" ht="13.5" customHeight="1">
      <c r="A18" s="6007"/>
      <c r="B18" s="1836"/>
      <c r="C18" s="1836"/>
      <c r="D18" s="1836"/>
      <c r="E18" s="3440" t="s">
        <v>6407</v>
      </c>
      <c r="F18" s="1836"/>
      <c r="G18" s="1836"/>
      <c r="H18" s="1836"/>
      <c r="I18" s="1836"/>
      <c r="J18" s="1836"/>
      <c r="K18" s="1836"/>
      <c r="L18" s="1836"/>
      <c r="M18" s="1836"/>
      <c r="N18" s="1836"/>
      <c r="O18" s="1836"/>
      <c r="P18" s="1836"/>
      <c r="Q18" s="1836"/>
      <c r="R18" s="1836"/>
      <c r="S18" s="1836"/>
      <c r="T18" s="1836"/>
      <c r="U18" s="1836"/>
      <c r="V18" s="1836"/>
      <c r="W18" s="1836"/>
      <c r="X18" s="1836"/>
      <c r="Y18" s="1836"/>
      <c r="Z18" s="1836"/>
      <c r="AA18" s="1836"/>
      <c r="AB18" s="1836"/>
      <c r="AC18" s="1836"/>
      <c r="AD18" s="1836"/>
      <c r="AE18" s="1836"/>
      <c r="AF18" s="1836"/>
      <c r="AG18" s="6007"/>
      <c r="AH18" s="3161"/>
      <c r="AI18" s="3161"/>
    </row>
    <row r="19" spans="1:55" s="506" customFormat="1" ht="13.5" customHeight="1">
      <c r="A19" s="6007"/>
      <c r="B19" s="1836"/>
      <c r="C19" s="1836"/>
      <c r="D19" s="1836"/>
      <c r="E19" s="1836" t="s">
        <v>6408</v>
      </c>
      <c r="F19" s="1836"/>
      <c r="G19" s="1836"/>
      <c r="H19" s="1836"/>
      <c r="I19" s="1836"/>
      <c r="J19" s="1836"/>
      <c r="K19" s="1836"/>
      <c r="L19" s="1836"/>
      <c r="M19" s="1836"/>
      <c r="N19" s="1836"/>
      <c r="O19" s="1836"/>
      <c r="P19" s="1836"/>
      <c r="Q19" s="1836"/>
      <c r="R19" s="1836"/>
      <c r="S19" s="1836"/>
      <c r="T19" s="1836"/>
      <c r="U19" s="1836"/>
      <c r="V19" s="1836"/>
      <c r="W19" s="1836"/>
      <c r="X19" s="1836"/>
      <c r="Y19" s="1836"/>
      <c r="Z19" s="1836"/>
      <c r="AA19" s="1836"/>
      <c r="AB19" s="1836"/>
      <c r="AC19" s="1836"/>
      <c r="AD19" s="1836"/>
      <c r="AE19" s="1836"/>
      <c r="AF19" s="1836"/>
      <c r="AG19" s="6007"/>
      <c r="AH19" s="3161"/>
      <c r="AI19" s="3161"/>
    </row>
    <row r="20" spans="1:55" s="506" customFormat="1" ht="13.5" customHeight="1">
      <c r="A20" s="6007"/>
      <c r="B20" s="6008"/>
      <c r="C20" s="6008"/>
      <c r="D20" s="6008"/>
      <c r="E20" s="6008" t="s">
        <v>6409</v>
      </c>
      <c r="F20" s="6008"/>
      <c r="G20" s="6008"/>
      <c r="H20" s="6008"/>
      <c r="I20" s="6008"/>
      <c r="J20" s="6008"/>
      <c r="K20" s="6008"/>
      <c r="L20" s="6008"/>
      <c r="M20" s="6008"/>
      <c r="N20" s="6008"/>
      <c r="O20" s="6008"/>
      <c r="P20" s="6008"/>
      <c r="Q20" s="6008"/>
      <c r="R20" s="6008"/>
      <c r="S20" s="6008"/>
      <c r="T20" s="6008"/>
      <c r="U20" s="6008"/>
      <c r="V20" s="6008"/>
      <c r="W20" s="6008"/>
      <c r="X20" s="6008"/>
      <c r="Y20" s="6008"/>
      <c r="Z20" s="6008"/>
      <c r="AA20" s="6008"/>
      <c r="AB20" s="6008"/>
      <c r="AC20" s="6008"/>
      <c r="AD20" s="6008"/>
      <c r="AE20" s="6008"/>
      <c r="AF20" s="6008"/>
      <c r="AG20" s="6007"/>
      <c r="AH20" s="3161"/>
      <c r="AI20" s="3161"/>
    </row>
    <row r="21" spans="1:55" ht="14.25">
      <c r="A21" s="2013"/>
      <c r="B21" s="226" t="s">
        <v>6406</v>
      </c>
      <c r="C21" s="247"/>
      <c r="D21" s="247"/>
      <c r="E21" s="247"/>
      <c r="F21" s="247"/>
      <c r="G21" s="247"/>
      <c r="H21" s="247"/>
      <c r="I21" s="247"/>
      <c r="J21" s="247"/>
      <c r="K21" s="1183"/>
      <c r="L21" s="1183"/>
      <c r="M21" s="226" t="str">
        <f>IF($A$35&gt;1,"Check only ONE box.","Check only one box.")</f>
        <v>Check only one box.</v>
      </c>
      <c r="N21" s="226"/>
      <c r="O21" s="247"/>
      <c r="P21" s="247"/>
      <c r="Q21" s="1560"/>
      <c r="R21" s="247"/>
      <c r="S21" s="1836"/>
      <c r="T21" s="1836"/>
      <c r="U21" s="247"/>
      <c r="V21" s="247"/>
      <c r="W21" s="247"/>
      <c r="X21" s="247"/>
      <c r="Y21" s="247"/>
      <c r="Z21" s="247"/>
      <c r="AA21" s="247"/>
      <c r="AB21" s="247"/>
      <c r="AC21" s="247"/>
      <c r="AD21" s="247"/>
      <c r="AE21" s="247"/>
      <c r="AF21" s="6503" t="s">
        <v>4461</v>
      </c>
      <c r="AG21" s="2013"/>
    </row>
    <row r="22" spans="1:55">
      <c r="A22" s="2013"/>
      <c r="B22" s="1560" t="s">
        <v>4462</v>
      </c>
      <c r="C22" s="247"/>
      <c r="D22" s="247"/>
      <c r="E22" s="247"/>
      <c r="F22" s="247"/>
      <c r="G22" s="247"/>
      <c r="H22" s="247"/>
      <c r="I22" s="247"/>
      <c r="J22" s="247"/>
      <c r="K22" s="247"/>
      <c r="L22" s="247"/>
      <c r="M22" s="247"/>
      <c r="N22" s="247"/>
      <c r="O22" s="247"/>
      <c r="P22" s="247"/>
      <c r="Q22" s="247"/>
      <c r="R22" s="247"/>
      <c r="S22" s="247"/>
      <c r="T22" s="247"/>
      <c r="U22" s="247"/>
      <c r="V22" s="247"/>
      <c r="W22" s="247"/>
      <c r="X22" s="247"/>
      <c r="Y22" s="247"/>
      <c r="Z22" s="247"/>
      <c r="AA22" s="247"/>
      <c r="AB22" s="247"/>
      <c r="AC22" s="247"/>
      <c r="AD22" s="247"/>
      <c r="AE22" s="247"/>
      <c r="AF22" s="247"/>
      <c r="AG22" s="2013"/>
      <c r="BA22" s="11475" t="s">
        <v>4463</v>
      </c>
      <c r="BB22" s="8489"/>
      <c r="BC22" s="8469"/>
    </row>
    <row r="23" spans="1:55" ht="12.75" customHeight="1">
      <c r="A23" s="2013"/>
      <c r="B23" s="1560" t="str">
        <f>IF(SpaceUsed_8949A_ST,"ERROR: DO NOT use the space bar to uncheck a box. Use the 'Delete' key.","for one or more of the boxes, complete as many forms with the same box checked as you need.")</f>
        <v>for one or more of the boxes, complete as many forms with the same box checked as you need.</v>
      </c>
      <c r="C23" s="247"/>
      <c r="D23" s="247"/>
      <c r="E23" s="247"/>
      <c r="F23" s="247"/>
      <c r="G23" s="247"/>
      <c r="H23" s="247"/>
      <c r="I23" s="247"/>
      <c r="J23" s="247"/>
      <c r="K23" s="247"/>
      <c r="L23" s="247"/>
      <c r="M23" s="247"/>
      <c r="N23" s="247"/>
      <c r="O23" s="247"/>
      <c r="P23" s="247"/>
      <c r="Q23" s="247"/>
      <c r="R23" s="247"/>
      <c r="S23" s="247"/>
      <c r="T23" s="247"/>
      <c r="U23" s="247"/>
      <c r="V23" s="247"/>
      <c r="W23" s="247"/>
      <c r="X23" s="247"/>
      <c r="Y23" s="247"/>
      <c r="Z23" s="247"/>
      <c r="AA23" s="247"/>
      <c r="AB23" s="247"/>
      <c r="AC23" s="247"/>
      <c r="AD23" s="247"/>
      <c r="AE23" s="247"/>
      <c r="AF23" s="247"/>
      <c r="AG23" s="2013"/>
      <c r="AJ23" s="3809"/>
      <c r="AK23" s="3809"/>
      <c r="AL23" s="3809"/>
      <c r="AM23" s="3809"/>
      <c r="AN23" s="3809"/>
      <c r="AO23" s="3809"/>
      <c r="AP23" s="3809"/>
      <c r="AQ23" s="3809"/>
      <c r="BA23" s="11476" t="s">
        <v>4464</v>
      </c>
      <c r="BB23" s="11476" t="s">
        <v>4465</v>
      </c>
      <c r="BC23" s="11476" t="s">
        <v>4466</v>
      </c>
    </row>
    <row r="24" spans="1:55" ht="4.5" customHeight="1" thickBot="1">
      <c r="A24" s="2013"/>
      <c r="B24" s="247"/>
      <c r="C24" s="247"/>
      <c r="D24" s="247"/>
      <c r="E24" s="247"/>
      <c r="F24" s="247"/>
      <c r="G24" s="247"/>
      <c r="H24" s="247"/>
      <c r="I24" s="247"/>
      <c r="J24" s="247"/>
      <c r="K24" s="247"/>
      <c r="L24" s="247"/>
      <c r="M24" s="247"/>
      <c r="N24" s="247"/>
      <c r="O24" s="247"/>
      <c r="P24" s="247"/>
      <c r="Q24" s="247"/>
      <c r="R24" s="247"/>
      <c r="S24" s="247"/>
      <c r="T24" s="247"/>
      <c r="U24" s="247"/>
      <c r="V24" s="247"/>
      <c r="W24" s="247"/>
      <c r="X24" s="247"/>
      <c r="Y24" s="247"/>
      <c r="Z24" s="247"/>
      <c r="AA24" s="247"/>
      <c r="AB24" s="247"/>
      <c r="AC24" s="247"/>
      <c r="AD24" s="247"/>
      <c r="AE24" s="247"/>
      <c r="AF24" s="247"/>
      <c r="AG24" s="2013"/>
      <c r="BA24" s="11477"/>
      <c r="BB24" s="11477"/>
      <c r="BC24" s="11477"/>
    </row>
    <row r="25" spans="1:55" ht="12" customHeight="1" thickBot="1">
      <c r="A25" s="2013"/>
      <c r="B25" s="1039">
        <f>IF(C25&lt;&gt;"",1,0)</f>
        <v>0</v>
      </c>
      <c r="C25" s="300"/>
      <c r="D25" s="3440" t="s">
        <v>5904</v>
      </c>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013"/>
      <c r="AJ25" s="11381"/>
      <c r="AK25" s="11381"/>
      <c r="AL25" s="11381"/>
      <c r="AM25" s="11381"/>
      <c r="AN25" s="11381"/>
      <c r="AO25" s="11381"/>
      <c r="AP25" s="11381"/>
      <c r="AQ25" s="11381"/>
      <c r="BA25" s="11477"/>
      <c r="BB25" s="11477"/>
      <c r="BC25" s="11477"/>
    </row>
    <row r="26" spans="1:55" ht="4.5" customHeight="1" thickBot="1">
      <c r="A26" s="2013"/>
      <c r="B26" s="1039"/>
      <c r="C26" s="247"/>
      <c r="D26" s="1836"/>
      <c r="E26" s="247"/>
      <c r="F26" s="247"/>
      <c r="G26" s="247"/>
      <c r="H26" s="247"/>
      <c r="I26" s="247"/>
      <c r="J26" s="247"/>
      <c r="K26" s="247"/>
      <c r="L26" s="247"/>
      <c r="M26" s="247"/>
      <c r="N26" s="247"/>
      <c r="O26" s="247"/>
      <c r="P26" s="247"/>
      <c r="Q26" s="247"/>
      <c r="R26" s="247"/>
      <c r="S26" s="247"/>
      <c r="T26" s="247"/>
      <c r="U26" s="247"/>
      <c r="V26" s="247"/>
      <c r="W26" s="247"/>
      <c r="X26" s="247"/>
      <c r="Y26" s="247"/>
      <c r="Z26" s="247"/>
      <c r="AA26" s="247"/>
      <c r="AB26" s="247"/>
      <c r="AC26" s="247"/>
      <c r="AD26" s="247"/>
      <c r="AE26" s="247"/>
      <c r="AF26" s="247"/>
      <c r="AG26" s="2013"/>
      <c r="BA26" s="11477"/>
      <c r="BB26" s="11477"/>
      <c r="BC26" s="11477"/>
    </row>
    <row r="27" spans="1:55" ht="11.25" customHeight="1" thickBot="1">
      <c r="A27" s="2013"/>
      <c r="B27" s="1039">
        <f>IF(C27&lt;&gt;"",1,0)</f>
        <v>0</v>
      </c>
      <c r="C27" s="300"/>
      <c r="D27" s="3440" t="s">
        <v>5905</v>
      </c>
      <c r="E27" s="247"/>
      <c r="F27" s="247"/>
      <c r="G27" s="247"/>
      <c r="H27" s="247"/>
      <c r="I27" s="247"/>
      <c r="J27" s="247"/>
      <c r="K27" s="247"/>
      <c r="L27" s="247"/>
      <c r="M27" s="247"/>
      <c r="N27" s="247"/>
      <c r="O27" s="247"/>
      <c r="P27" s="247"/>
      <c r="Q27" s="247"/>
      <c r="R27" s="247"/>
      <c r="S27" s="247"/>
      <c r="T27" s="247"/>
      <c r="U27" s="247"/>
      <c r="V27" s="247"/>
      <c r="W27" s="247"/>
      <c r="X27" s="247"/>
      <c r="Y27" s="247"/>
      <c r="Z27" s="247"/>
      <c r="AA27" s="247"/>
      <c r="AB27" s="247"/>
      <c r="AC27" s="247"/>
      <c r="AD27" s="247"/>
      <c r="AE27" s="247"/>
      <c r="AF27" s="247"/>
      <c r="AG27" s="2013"/>
      <c r="AJ27" s="11381"/>
      <c r="AK27" s="11381"/>
      <c r="AL27" s="11381"/>
      <c r="AM27" s="11381"/>
      <c r="AN27" s="11381"/>
      <c r="AO27" s="11381"/>
      <c r="AP27" s="11381"/>
      <c r="AQ27" s="11381"/>
      <c r="BA27" s="11477"/>
      <c r="BB27" s="11477"/>
      <c r="BC27" s="11477"/>
    </row>
    <row r="28" spans="1:55" ht="4.5" customHeight="1" thickBot="1">
      <c r="A28" s="2013"/>
      <c r="B28" s="1039"/>
      <c r="C28" s="247"/>
      <c r="D28" s="1836"/>
      <c r="E28" s="247"/>
      <c r="F28" s="247"/>
      <c r="G28" s="247"/>
      <c r="H28" s="247"/>
      <c r="I28" s="247"/>
      <c r="J28" s="247"/>
      <c r="K28" s="247"/>
      <c r="L28" s="247"/>
      <c r="M28" s="247"/>
      <c r="N28" s="247"/>
      <c r="O28" s="247"/>
      <c r="P28" s="247"/>
      <c r="Q28" s="247"/>
      <c r="R28" s="247"/>
      <c r="S28" s="247"/>
      <c r="T28" s="247"/>
      <c r="U28" s="247"/>
      <c r="V28" s="247"/>
      <c r="W28" s="247"/>
      <c r="X28" s="247"/>
      <c r="Y28" s="247"/>
      <c r="Z28" s="247"/>
      <c r="AA28" s="247"/>
      <c r="AB28" s="247"/>
      <c r="AC28" s="247"/>
      <c r="AD28" s="247"/>
      <c r="AE28" s="247"/>
      <c r="AF28" s="247"/>
      <c r="AG28" s="2013"/>
      <c r="BA28" s="11477"/>
      <c r="BB28" s="11477"/>
      <c r="BC28" s="11477"/>
    </row>
    <row r="29" spans="1:55" ht="12" customHeight="1" thickBot="1">
      <c r="A29" s="2013">
        <f>SUM(B25:B29)</f>
        <v>0</v>
      </c>
      <c r="B29" s="1039">
        <f>IF(C29&lt;&gt;"",1,0)</f>
        <v>0</v>
      </c>
      <c r="C29" s="300"/>
      <c r="D29" s="3440" t="s">
        <v>5906</v>
      </c>
      <c r="E29" s="247"/>
      <c r="F29" s="247"/>
      <c r="G29" s="247"/>
      <c r="H29" s="247"/>
      <c r="I29" s="247"/>
      <c r="J29" s="247"/>
      <c r="K29" s="247"/>
      <c r="L29" s="247"/>
      <c r="M29" s="247"/>
      <c r="N29" s="247"/>
      <c r="O29" s="247"/>
      <c r="P29" s="247"/>
      <c r="Q29" s="247"/>
      <c r="R29" s="247"/>
      <c r="S29" s="247"/>
      <c r="T29" s="247"/>
      <c r="U29" s="247"/>
      <c r="V29" s="247"/>
      <c r="W29" s="247"/>
      <c r="X29" s="247"/>
      <c r="Y29" s="247"/>
      <c r="Z29" s="247"/>
      <c r="AA29" s="247"/>
      <c r="AB29" s="247"/>
      <c r="AC29" s="6009"/>
      <c r="AD29" s="6009"/>
      <c r="AE29" s="6010"/>
      <c r="AF29" s="247"/>
      <c r="AG29" s="2013"/>
      <c r="AH29" s="318" t="b">
        <f>OR(F8949ASBOXA=CHAR(32),F8949ASBOXB=CHAR(32),F8949ASBOXC=CHAR(32),F8949ASBOXG=CHAR(32),F8949ASBOXH=CHAR(32),F8949ASBOXI=CHAR(32))</f>
        <v>0</v>
      </c>
      <c r="AJ29" s="11381"/>
      <c r="AK29" s="11381"/>
      <c r="AL29" s="11381"/>
      <c r="AM29" s="11381"/>
      <c r="AN29" s="11381"/>
      <c r="AO29" s="11381"/>
      <c r="AP29" s="11381"/>
      <c r="AQ29" s="11381"/>
      <c r="BA29" s="11477"/>
      <c r="BB29" s="11477"/>
      <c r="BC29" s="11477"/>
    </row>
    <row r="30" spans="1:55" ht="4.5" customHeight="1" thickBot="1">
      <c r="A30" s="2013"/>
      <c r="B30" s="247"/>
      <c r="C30" s="247"/>
      <c r="D30" s="1836"/>
      <c r="E30" s="247"/>
      <c r="F30" s="247"/>
      <c r="G30" s="247"/>
      <c r="H30" s="247"/>
      <c r="I30" s="247"/>
      <c r="J30" s="247"/>
      <c r="K30" s="247"/>
      <c r="L30" s="247"/>
      <c r="M30" s="247"/>
      <c r="N30" s="247"/>
      <c r="O30" s="247"/>
      <c r="P30" s="247"/>
      <c r="Q30" s="247"/>
      <c r="R30" s="247"/>
      <c r="S30" s="247"/>
      <c r="T30" s="247"/>
      <c r="U30" s="247"/>
      <c r="V30" s="247"/>
      <c r="W30" s="247"/>
      <c r="X30" s="247"/>
      <c r="Y30" s="247"/>
      <c r="Z30" s="247"/>
      <c r="AA30" s="247"/>
      <c r="AB30" s="247"/>
      <c r="AC30" s="247"/>
      <c r="AD30" s="247"/>
      <c r="AE30" s="247"/>
      <c r="AF30" s="247"/>
      <c r="AG30" s="2013"/>
      <c r="BA30" s="11477"/>
      <c r="BB30" s="11477"/>
      <c r="BC30" s="11477"/>
    </row>
    <row r="31" spans="1:55" ht="12" customHeight="1" thickBot="1">
      <c r="A31" s="2013"/>
      <c r="B31" s="1039">
        <f>IF(C31&lt;&gt;"",1,0)</f>
        <v>0</v>
      </c>
      <c r="C31" s="300"/>
      <c r="D31" s="3440" t="s">
        <v>5907</v>
      </c>
      <c r="E31" s="247"/>
      <c r="F31" s="247"/>
      <c r="G31" s="247"/>
      <c r="H31" s="247"/>
      <c r="I31" s="247"/>
      <c r="J31" s="247"/>
      <c r="K31" s="247"/>
      <c r="L31" s="247"/>
      <c r="M31" s="247"/>
      <c r="N31" s="247"/>
      <c r="O31" s="247"/>
      <c r="P31" s="247"/>
      <c r="Q31" s="247"/>
      <c r="R31" s="247"/>
      <c r="S31" s="247"/>
      <c r="T31" s="247"/>
      <c r="U31" s="247"/>
      <c r="V31" s="247"/>
      <c r="W31" s="247"/>
      <c r="X31" s="247"/>
      <c r="Y31" s="247"/>
      <c r="Z31" s="247"/>
      <c r="AA31" s="247"/>
      <c r="AB31" s="247"/>
      <c r="AC31" s="247"/>
      <c r="AD31" s="247"/>
      <c r="AE31" s="247"/>
      <c r="AF31" s="247"/>
      <c r="AG31" s="2013"/>
      <c r="AJ31" s="11381"/>
      <c r="AK31" s="11381"/>
      <c r="AL31" s="11381"/>
      <c r="AM31" s="11381"/>
      <c r="AN31" s="11381"/>
      <c r="AO31" s="11381"/>
      <c r="AP31" s="11381"/>
      <c r="AQ31" s="11381"/>
      <c r="BA31" s="11477"/>
      <c r="BB31" s="11477"/>
      <c r="BC31" s="11477"/>
    </row>
    <row r="32" spans="1:55" ht="4.5" customHeight="1" thickBot="1">
      <c r="A32" s="2013"/>
      <c r="B32" s="1039"/>
      <c r="C32" s="247"/>
      <c r="D32" s="1836"/>
      <c r="E32" s="247"/>
      <c r="F32" s="247"/>
      <c r="G32" s="247"/>
      <c r="H32" s="247"/>
      <c r="I32" s="247"/>
      <c r="J32" s="247"/>
      <c r="K32" s="247"/>
      <c r="L32" s="247"/>
      <c r="M32" s="247"/>
      <c r="N32" s="247"/>
      <c r="O32" s="247"/>
      <c r="P32" s="247"/>
      <c r="Q32" s="247"/>
      <c r="R32" s="247"/>
      <c r="S32" s="247"/>
      <c r="T32" s="247"/>
      <c r="U32" s="247"/>
      <c r="V32" s="247"/>
      <c r="W32" s="247"/>
      <c r="X32" s="247"/>
      <c r="Y32" s="247"/>
      <c r="Z32" s="247"/>
      <c r="AA32" s="247"/>
      <c r="AB32" s="247"/>
      <c r="AC32" s="247"/>
      <c r="AD32" s="247"/>
      <c r="AE32" s="247"/>
      <c r="AF32" s="247"/>
      <c r="AG32" s="2013"/>
      <c r="BA32" s="11477"/>
      <c r="BB32" s="11477"/>
      <c r="BC32" s="11477"/>
    </row>
    <row r="33" spans="1:55" ht="11.25" customHeight="1" thickBot="1">
      <c r="A33" s="2013"/>
      <c r="B33" s="1039">
        <f>IF(C33&lt;&gt;"",1,0)</f>
        <v>0</v>
      </c>
      <c r="C33" s="300"/>
      <c r="D33" s="3440" t="s">
        <v>5908</v>
      </c>
      <c r="E33" s="247"/>
      <c r="F33" s="247"/>
      <c r="G33" s="247"/>
      <c r="H33" s="247"/>
      <c r="I33" s="247"/>
      <c r="J33" s="247"/>
      <c r="K33" s="247"/>
      <c r="L33" s="247"/>
      <c r="M33" s="247"/>
      <c r="N33" s="247"/>
      <c r="O33" s="247"/>
      <c r="P33" s="247"/>
      <c r="Q33" s="247"/>
      <c r="R33" s="247"/>
      <c r="S33" s="247"/>
      <c r="T33" s="247"/>
      <c r="U33" s="247"/>
      <c r="V33" s="247"/>
      <c r="W33" s="247"/>
      <c r="X33" s="247"/>
      <c r="Y33" s="247"/>
      <c r="Z33" s="247"/>
      <c r="AA33" s="247"/>
      <c r="AB33" s="247"/>
      <c r="AC33" s="247"/>
      <c r="AD33" s="247"/>
      <c r="AE33" s="247"/>
      <c r="AF33" s="247"/>
      <c r="AG33" s="2013"/>
      <c r="AJ33" s="11381"/>
      <c r="AK33" s="11381"/>
      <c r="AL33" s="11381"/>
      <c r="AM33" s="11381"/>
      <c r="AN33" s="11381"/>
      <c r="AO33" s="11381"/>
      <c r="AP33" s="11381"/>
      <c r="AQ33" s="11381"/>
      <c r="BA33" s="11477"/>
      <c r="BB33" s="11477"/>
      <c r="BC33" s="11477"/>
    </row>
    <row r="34" spans="1:55" ht="4.5" customHeight="1" thickBot="1">
      <c r="A34" s="2013"/>
      <c r="B34" s="1039"/>
      <c r="C34" s="247"/>
      <c r="D34" s="1836"/>
      <c r="E34" s="247"/>
      <c r="F34" s="247"/>
      <c r="G34" s="247"/>
      <c r="H34" s="247"/>
      <c r="I34" s="247"/>
      <c r="J34" s="247"/>
      <c r="K34" s="247"/>
      <c r="L34" s="247"/>
      <c r="M34" s="247"/>
      <c r="N34" s="247"/>
      <c r="O34" s="247"/>
      <c r="P34" s="247"/>
      <c r="Q34" s="247"/>
      <c r="R34" s="247"/>
      <c r="S34" s="247"/>
      <c r="T34" s="247"/>
      <c r="U34" s="247"/>
      <c r="V34" s="247"/>
      <c r="W34" s="247"/>
      <c r="X34" s="247"/>
      <c r="Y34" s="247"/>
      <c r="Z34" s="247"/>
      <c r="AA34" s="247"/>
      <c r="AB34" s="247"/>
      <c r="AC34" s="247"/>
      <c r="AD34" s="247"/>
      <c r="AE34" s="247"/>
      <c r="AF34" s="247"/>
      <c r="AG34" s="2013"/>
      <c r="BA34" s="11477"/>
      <c r="BB34" s="11477"/>
      <c r="BC34" s="11477"/>
    </row>
    <row r="35" spans="1:55" ht="12" customHeight="1" thickBot="1">
      <c r="A35" s="2013">
        <f>SUM(B25:B35)</f>
        <v>0</v>
      </c>
      <c r="B35" s="1039">
        <f>IF(C35&lt;&gt;"",1,0)</f>
        <v>0</v>
      </c>
      <c r="C35" s="300"/>
      <c r="D35" s="3440" t="s">
        <v>5909</v>
      </c>
      <c r="E35" s="247"/>
      <c r="F35" s="247"/>
      <c r="G35" s="247"/>
      <c r="H35" s="247"/>
      <c r="I35" s="247"/>
      <c r="J35" s="247"/>
      <c r="K35" s="247"/>
      <c r="L35" s="247"/>
      <c r="M35" s="247"/>
      <c r="N35" s="247"/>
      <c r="O35" s="247"/>
      <c r="P35" s="247"/>
      <c r="Q35" s="247"/>
      <c r="R35" s="3429"/>
      <c r="S35" s="794"/>
      <c r="T35" s="794"/>
      <c r="U35" s="794"/>
      <c r="V35" s="794"/>
      <c r="W35" s="794"/>
      <c r="X35" s="794"/>
      <c r="Y35" s="794"/>
      <c r="Z35" s="794"/>
      <c r="AA35" s="794"/>
      <c r="AB35" s="3429"/>
      <c r="AC35" s="794"/>
      <c r="AD35" s="794"/>
      <c r="AE35" s="794"/>
      <c r="AF35" s="6011"/>
      <c r="AG35" s="2013"/>
      <c r="AJ35" s="11381" t="s">
        <v>4467</v>
      </c>
      <c r="AK35" s="11381"/>
      <c r="AL35" s="11381"/>
      <c r="AM35" s="11381"/>
      <c r="AN35" s="11381"/>
      <c r="AO35" s="11381"/>
      <c r="AP35" s="11381"/>
      <c r="AQ35" s="11381"/>
      <c r="BA35" s="11477"/>
      <c r="BB35" s="11477"/>
      <c r="BC35" s="11477"/>
    </row>
    <row r="36" spans="1:55" ht="5.25" customHeight="1">
      <c r="A36" s="2013"/>
      <c r="B36" s="6012"/>
      <c r="C36" s="6013"/>
      <c r="D36" s="6012"/>
      <c r="E36" s="6012"/>
      <c r="F36" s="6012"/>
      <c r="G36" s="6012"/>
      <c r="H36" s="6012"/>
      <c r="I36" s="6012"/>
      <c r="J36" s="6012"/>
      <c r="K36" s="6012"/>
      <c r="L36" s="6012"/>
      <c r="M36" s="6012"/>
      <c r="N36" s="6013"/>
      <c r="O36" s="6012"/>
      <c r="P36" s="6012"/>
      <c r="Q36" s="6012"/>
      <c r="R36" s="6012"/>
      <c r="S36" s="6012"/>
      <c r="T36" s="6012"/>
      <c r="U36" s="6012"/>
      <c r="V36" s="6012"/>
      <c r="W36" s="6012"/>
      <c r="X36" s="6012"/>
      <c r="Y36" s="6013"/>
      <c r="Z36" s="6012"/>
      <c r="AA36" s="6012"/>
      <c r="AB36" s="6012"/>
      <c r="AC36" s="6012"/>
      <c r="AD36" s="6012"/>
      <c r="AE36" s="6012"/>
      <c r="AF36" s="6012"/>
      <c r="AG36" s="2013"/>
      <c r="BA36" s="11477"/>
      <c r="BB36" s="11477"/>
      <c r="BC36" s="11477"/>
    </row>
    <row r="37" spans="1:55" ht="21" customHeight="1">
      <c r="A37" s="2013"/>
      <c r="B37" s="11424">
        <v>1</v>
      </c>
      <c r="C37" s="11428" t="s">
        <v>5894</v>
      </c>
      <c r="D37" s="11429"/>
      <c r="E37" s="11429"/>
      <c r="F37" s="11429"/>
      <c r="G37" s="11429"/>
      <c r="H37" s="11429"/>
      <c r="I37" s="11430"/>
      <c r="J37" s="7366" t="s">
        <v>4468</v>
      </c>
      <c r="K37" s="8481"/>
      <c r="L37" s="11396"/>
      <c r="M37" s="7366" t="s">
        <v>5895</v>
      </c>
      <c r="N37" s="8481"/>
      <c r="O37" s="8481"/>
      <c r="P37" s="11396"/>
      <c r="Q37" s="7366" t="s">
        <v>5896</v>
      </c>
      <c r="R37" s="8481"/>
      <c r="S37" s="8481"/>
      <c r="T37" s="11396"/>
      <c r="U37" s="11388" t="s">
        <v>5897</v>
      </c>
      <c r="V37" s="8460"/>
      <c r="W37" s="8460"/>
      <c r="X37" s="8323"/>
      <c r="Y37" s="11390" t="s">
        <v>4469</v>
      </c>
      <c r="Z37" s="11391"/>
      <c r="AA37" s="11391"/>
      <c r="AB37" s="11392"/>
      <c r="AC37" s="11388" t="s">
        <v>4485</v>
      </c>
      <c r="AD37" s="8460"/>
      <c r="AE37" s="8460"/>
      <c r="AF37" s="8460"/>
      <c r="AG37" s="2013"/>
      <c r="AJ37" s="11461" t="s">
        <v>4470</v>
      </c>
      <c r="AK37" s="11461" t="s">
        <v>4471</v>
      </c>
      <c r="AL37" s="11461" t="s">
        <v>4472</v>
      </c>
      <c r="AM37" s="11461" t="s">
        <v>4473</v>
      </c>
      <c r="AN37" s="11462" t="s">
        <v>4474</v>
      </c>
      <c r="AO37" s="11479" t="s">
        <v>4475</v>
      </c>
      <c r="AP37" s="8339"/>
      <c r="AQ37" s="11461" t="s">
        <v>4476</v>
      </c>
      <c r="BA37" s="11477"/>
      <c r="BB37" s="11477"/>
      <c r="BC37" s="11477"/>
    </row>
    <row r="38" spans="1:55" ht="21" customHeight="1">
      <c r="A38" s="2013"/>
      <c r="B38" s="11425"/>
      <c r="C38" s="7369"/>
      <c r="D38" s="11431"/>
      <c r="E38" s="11431"/>
      <c r="F38" s="11431"/>
      <c r="G38" s="11431"/>
      <c r="H38" s="11431"/>
      <c r="I38" s="11432"/>
      <c r="J38" s="7368"/>
      <c r="K38" s="8299"/>
      <c r="L38" s="11397"/>
      <c r="M38" s="7368"/>
      <c r="N38" s="8299"/>
      <c r="O38" s="8299"/>
      <c r="P38" s="11397"/>
      <c r="Q38" s="7368"/>
      <c r="R38" s="8299"/>
      <c r="S38" s="8299"/>
      <c r="T38" s="11397"/>
      <c r="U38" s="11389"/>
      <c r="V38" s="9500"/>
      <c r="W38" s="9500"/>
      <c r="X38" s="8325"/>
      <c r="Y38" s="11393"/>
      <c r="Z38" s="11394"/>
      <c r="AA38" s="11394"/>
      <c r="AB38" s="11395"/>
      <c r="AC38" s="11389"/>
      <c r="AD38" s="9500"/>
      <c r="AE38" s="9500"/>
      <c r="AF38" s="9500"/>
      <c r="AG38" s="2013"/>
      <c r="AJ38" s="11461"/>
      <c r="AK38" s="11461"/>
      <c r="AL38" s="11461"/>
      <c r="AM38" s="11461"/>
      <c r="AN38" s="11462"/>
      <c r="AO38" s="8457"/>
      <c r="AP38" s="8345"/>
      <c r="AQ38" s="11461"/>
      <c r="BA38" s="11477"/>
      <c r="BB38" s="11477"/>
      <c r="BC38" s="11477"/>
    </row>
    <row r="39" spans="1:55" ht="18" customHeight="1">
      <c r="A39" s="2013"/>
      <c r="B39" s="11426"/>
      <c r="C39" s="11431"/>
      <c r="D39" s="11431"/>
      <c r="E39" s="11431"/>
      <c r="F39" s="11431"/>
      <c r="G39" s="11431"/>
      <c r="H39" s="11431"/>
      <c r="I39" s="11432"/>
      <c r="J39" s="8482"/>
      <c r="K39" s="8299"/>
      <c r="L39" s="11397"/>
      <c r="M39" s="8482"/>
      <c r="N39" s="8299"/>
      <c r="O39" s="8299"/>
      <c r="P39" s="11397"/>
      <c r="Q39" s="8482"/>
      <c r="R39" s="8299"/>
      <c r="S39" s="8299"/>
      <c r="T39" s="11397"/>
      <c r="U39" s="8324"/>
      <c r="V39" s="9500"/>
      <c r="W39" s="9500"/>
      <c r="X39" s="8325"/>
      <c r="Y39" s="8439" t="s">
        <v>4477</v>
      </c>
      <c r="Z39" s="8323"/>
      <c r="AA39" s="8439" t="s">
        <v>4478</v>
      </c>
      <c r="AB39" s="8492"/>
      <c r="AC39" s="8324"/>
      <c r="AD39" s="9500"/>
      <c r="AE39" s="9500"/>
      <c r="AF39" s="9500"/>
      <c r="AG39" s="2013"/>
      <c r="AJ39" s="11461"/>
      <c r="AK39" s="11461"/>
      <c r="AL39" s="11461"/>
      <c r="AM39" s="11461"/>
      <c r="AN39" s="11462"/>
      <c r="AO39" s="8610" t="s">
        <v>4479</v>
      </c>
      <c r="AP39" s="8610" t="s">
        <v>4478</v>
      </c>
      <c r="AQ39" s="11461"/>
      <c r="BA39" s="11477"/>
      <c r="BB39" s="11477"/>
      <c r="BC39" s="11477"/>
    </row>
    <row r="40" spans="1:55" ht="18" customHeight="1">
      <c r="A40" s="2013"/>
      <c r="B40" s="11427"/>
      <c r="C40" s="11433"/>
      <c r="D40" s="11433"/>
      <c r="E40" s="11433"/>
      <c r="F40" s="11433"/>
      <c r="G40" s="11433"/>
      <c r="H40" s="11433"/>
      <c r="I40" s="11434"/>
      <c r="J40" s="8483"/>
      <c r="K40" s="8168"/>
      <c r="L40" s="11398"/>
      <c r="M40" s="8483"/>
      <c r="N40" s="8168"/>
      <c r="O40" s="8168"/>
      <c r="P40" s="11398"/>
      <c r="Q40" s="8483"/>
      <c r="R40" s="8168"/>
      <c r="S40" s="8168"/>
      <c r="T40" s="11398"/>
      <c r="U40" s="8326"/>
      <c r="V40" s="10186"/>
      <c r="W40" s="10186"/>
      <c r="X40" s="8327"/>
      <c r="Y40" s="8326"/>
      <c r="Z40" s="8327"/>
      <c r="AA40" s="7590"/>
      <c r="AB40" s="8494"/>
      <c r="AC40" s="8326"/>
      <c r="AD40" s="10186"/>
      <c r="AE40" s="10186"/>
      <c r="AF40" s="10186"/>
      <c r="AG40" s="2013"/>
      <c r="AJ40" s="11461"/>
      <c r="AK40" s="11461"/>
      <c r="AL40" s="11461"/>
      <c r="AM40" s="11461"/>
      <c r="AN40" s="11462"/>
      <c r="AO40" s="11478"/>
      <c r="AP40" s="11478"/>
      <c r="AQ40" s="11461"/>
      <c r="AZ40" s="185" t="s">
        <v>6739</v>
      </c>
      <c r="BA40" s="11477"/>
      <c r="BB40" s="11477"/>
      <c r="BC40" s="11477"/>
    </row>
    <row r="41" spans="1:55" ht="26.25" customHeight="1">
      <c r="A41" s="2013">
        <f>IF(OR(Q41&lt;&gt;"",U41&lt;&gt;"",AC41&lt;&gt;""),1,0)</f>
        <v>0</v>
      </c>
      <c r="B41" s="11382" t="str">
        <f>IF(AJ41="","",AJ41)</f>
        <v/>
      </c>
      <c r="C41" s="7430"/>
      <c r="D41" s="7430"/>
      <c r="E41" s="7430"/>
      <c r="F41" s="7430"/>
      <c r="G41" s="7430"/>
      <c r="H41" s="7430"/>
      <c r="I41" s="10855"/>
      <c r="J41" s="11383" t="str">
        <f>IF(AK41="","",AK41)</f>
        <v/>
      </c>
      <c r="K41" s="11384"/>
      <c r="L41" s="11384"/>
      <c r="M41" s="11383" t="str">
        <f>IF(AL41="","",AL41)</f>
        <v/>
      </c>
      <c r="N41" s="11399"/>
      <c r="O41" s="11399"/>
      <c r="P41" s="11400"/>
      <c r="Q41" s="8178" t="str">
        <f>IF(AM41="","",AM41)</f>
        <v/>
      </c>
      <c r="R41" s="7375"/>
      <c r="S41" s="7375"/>
      <c r="T41" s="7376"/>
      <c r="U41" s="8178" t="str">
        <f>IF(AN41="","",AN41)</f>
        <v/>
      </c>
      <c r="V41" s="7375"/>
      <c r="W41" s="7375"/>
      <c r="X41" s="7376"/>
      <c r="Y41" s="11387" t="str">
        <f>IF(AO41&lt;&gt;"",AO41,"")</f>
        <v/>
      </c>
      <c r="Z41" s="7336"/>
      <c r="AA41" s="8178" t="str">
        <f>IF(AP41="","",AP41)</f>
        <v/>
      </c>
      <c r="AB41" s="11386"/>
      <c r="AC41" s="11401" t="str">
        <f>IF(AQ41&lt;&gt;"",AQ41,IF(AND(Q41="",U41=""),"",IF(AND(Q41&lt;&gt;"",U41=""),SUM(Q41,AA41),SUM(Q41,-U41,AA41))))</f>
        <v/>
      </c>
      <c r="AD41" s="11402"/>
      <c r="AE41" s="11402"/>
      <c r="AF41" s="11402"/>
      <c r="AG41" s="4271">
        <f>IF(OR(J41="",M41=""),0,IF(OR(BA41,BB41,BC41),0,1))</f>
        <v>0</v>
      </c>
      <c r="AH41" s="6014"/>
      <c r="AI41" s="6014" t="e">
        <f t="shared" ref="AI41:AI51" si="0">M41-J41</f>
        <v>#VALUE!</v>
      </c>
      <c r="AJ41" s="293"/>
      <c r="AK41" s="297"/>
      <c r="AL41" s="297"/>
      <c r="AM41" s="295"/>
      <c r="AN41" s="295"/>
      <c r="AO41" s="296"/>
      <c r="AP41" s="295"/>
      <c r="AQ41" s="294"/>
      <c r="AS41" t="e">
        <f>YEAR(J41)</f>
        <v>#VALUE!</v>
      </c>
      <c r="AT41" t="e">
        <f>MONTH(J41)</f>
        <v>#VALUE!</v>
      </c>
      <c r="AU41" t="e">
        <f>DAY(J41)</f>
        <v>#VALUE!</v>
      </c>
      <c r="AW41" t="e">
        <f>YEAR(M41)</f>
        <v>#VALUE!</v>
      </c>
      <c r="AX41" t="e">
        <f>MONTH(M41)</f>
        <v>#VALUE!</v>
      </c>
      <c r="AY41" t="e">
        <f>DAY(M41)</f>
        <v>#VALUE!</v>
      </c>
      <c r="AZ41" t="e">
        <f>OR(BA41,BB41,BC41)</f>
        <v>#VALUE!</v>
      </c>
      <c r="BA41" t="e">
        <f>AW41=AS41</f>
        <v>#VALUE!</v>
      </c>
      <c r="BB41" t="e">
        <f>AND(AW41=AS41+1,AX41&lt;AT41)</f>
        <v>#VALUE!</v>
      </c>
      <c r="BC41" t="e">
        <f>AND(AW41=AS41+1,AX41=AT41,AY41&lt;=AU41)</f>
        <v>#VALUE!</v>
      </c>
    </row>
    <row r="42" spans="1:55" ht="26.25" customHeight="1">
      <c r="A42" s="2013">
        <f t="shared" ref="A42:A51" si="1">IF(OR(Q42&lt;&gt;"",U42&lt;&gt;"",AC42&lt;&gt;""),1,0)</f>
        <v>0</v>
      </c>
      <c r="B42" s="11382" t="str">
        <f t="shared" ref="B42:B51" si="2">IF(AJ42="","",AJ42)</f>
        <v/>
      </c>
      <c r="C42" s="7430"/>
      <c r="D42" s="7430"/>
      <c r="E42" s="7430"/>
      <c r="F42" s="7430"/>
      <c r="G42" s="7430"/>
      <c r="H42" s="7430"/>
      <c r="I42" s="10855"/>
      <c r="J42" s="11383" t="str">
        <f t="shared" ref="J42:J51" si="3">IF(AK42="","",AK42)</f>
        <v/>
      </c>
      <c r="K42" s="11384"/>
      <c r="L42" s="11384"/>
      <c r="M42" s="11383" t="str">
        <f t="shared" ref="M42:M51" si="4">IF(AL42="","",AL42)</f>
        <v/>
      </c>
      <c r="N42" s="11399"/>
      <c r="O42" s="11399"/>
      <c r="P42" s="11400"/>
      <c r="Q42" s="8178" t="str">
        <f t="shared" ref="Q42:Q51" si="5">IF(AM42="","",AM42)</f>
        <v/>
      </c>
      <c r="R42" s="7375"/>
      <c r="S42" s="7375"/>
      <c r="T42" s="7376"/>
      <c r="U42" s="8178" t="str">
        <f t="shared" ref="U42:U51" si="6">IF(AN42="","",AN42)</f>
        <v/>
      </c>
      <c r="V42" s="7375"/>
      <c r="W42" s="7375"/>
      <c r="X42" s="7376"/>
      <c r="Y42" s="11387" t="str">
        <f>IF(AO42&lt;&gt;"",AO42,"")</f>
        <v/>
      </c>
      <c r="Z42" s="7336"/>
      <c r="AA42" s="8178" t="str">
        <f>IF(AP42="","",AP42)</f>
        <v/>
      </c>
      <c r="AB42" s="11386"/>
      <c r="AC42" s="11401" t="str">
        <f t="shared" ref="AC42:AC51" si="7">IF(AQ42&lt;&gt;"",AQ42,IF(AND(Q42="",U42=""),"",IF(AND(Q42&lt;&gt;"",U42=""),SUM(Q42,AA42),SUM(Q42,-U42,AA42))))</f>
        <v/>
      </c>
      <c r="AD42" s="11402"/>
      <c r="AE42" s="11402"/>
      <c r="AF42" s="11402"/>
      <c r="AG42" s="4271">
        <f t="shared" ref="AG42:AG51" si="8">IF(OR(J42="",M42=""),0,IF(OR(BA42,BB42,BC42),0,1))</f>
        <v>0</v>
      </c>
      <c r="AH42" s="6014"/>
      <c r="AI42" s="6014" t="e">
        <f t="shared" si="0"/>
        <v>#VALUE!</v>
      </c>
      <c r="AJ42" s="293"/>
      <c r="AK42" s="297"/>
      <c r="AL42" s="297"/>
      <c r="AM42" s="295"/>
      <c r="AN42" s="295"/>
      <c r="AO42" s="296"/>
      <c r="AP42" s="295"/>
      <c r="AQ42" s="294"/>
      <c r="AS42" t="e">
        <f t="shared" ref="AS42:AS51" si="9">YEAR(J42)</f>
        <v>#VALUE!</v>
      </c>
      <c r="AT42" t="e">
        <f t="shared" ref="AT42:AT51" si="10">MONTH(J42)</f>
        <v>#VALUE!</v>
      </c>
      <c r="AU42" t="e">
        <f t="shared" ref="AU42:AU51" si="11">DAY(J42)</f>
        <v>#VALUE!</v>
      </c>
      <c r="AW42" t="e">
        <f t="shared" ref="AW42:AW51" si="12">YEAR(M42)</f>
        <v>#VALUE!</v>
      </c>
      <c r="AX42" t="e">
        <f t="shared" ref="AX42:AX51" si="13">MONTH(M42)</f>
        <v>#VALUE!</v>
      </c>
      <c r="AY42" t="e">
        <f t="shared" ref="AY42:AY51" si="14">DAY(M42)</f>
        <v>#VALUE!</v>
      </c>
      <c r="AZ42" t="e">
        <f t="shared" ref="AZ42:AZ51" si="15">OR(BA42,BB42,BC42)</f>
        <v>#VALUE!</v>
      </c>
      <c r="BA42" t="e">
        <f t="shared" ref="BA42:BA51" si="16">AW42=AS42</f>
        <v>#VALUE!</v>
      </c>
      <c r="BB42" t="e">
        <f t="shared" ref="BB42:BB51" si="17">AND(AW42=AS42+1,AX42&lt;AT42)</f>
        <v>#VALUE!</v>
      </c>
      <c r="BC42" t="e">
        <f t="shared" ref="BC42:BC51" si="18">AND(AW42=AS42+1,AX42=AT42,AY42&lt;=AU42)</f>
        <v>#VALUE!</v>
      </c>
    </row>
    <row r="43" spans="1:55" ht="26.25" customHeight="1">
      <c r="A43" s="2013">
        <f t="shared" si="1"/>
        <v>0</v>
      </c>
      <c r="B43" s="11382" t="str">
        <f t="shared" si="2"/>
        <v/>
      </c>
      <c r="C43" s="7430"/>
      <c r="D43" s="7430"/>
      <c r="E43" s="7430"/>
      <c r="F43" s="7430"/>
      <c r="G43" s="7430"/>
      <c r="H43" s="7430"/>
      <c r="I43" s="10855"/>
      <c r="J43" s="11383" t="str">
        <f t="shared" si="3"/>
        <v/>
      </c>
      <c r="K43" s="11384"/>
      <c r="L43" s="11384"/>
      <c r="M43" s="11383" t="str">
        <f t="shared" si="4"/>
        <v/>
      </c>
      <c r="N43" s="11399"/>
      <c r="O43" s="11399"/>
      <c r="P43" s="11400"/>
      <c r="Q43" s="8178" t="str">
        <f t="shared" si="5"/>
        <v/>
      </c>
      <c r="R43" s="7375"/>
      <c r="S43" s="7375"/>
      <c r="T43" s="7376"/>
      <c r="U43" s="8178" t="str">
        <f t="shared" si="6"/>
        <v/>
      </c>
      <c r="V43" s="7375"/>
      <c r="W43" s="7375"/>
      <c r="X43" s="7376"/>
      <c r="Y43" s="11387" t="str">
        <f>IF(AO43&lt;&gt;"",AO43,"")</f>
        <v/>
      </c>
      <c r="Z43" s="7336"/>
      <c r="AA43" s="8178" t="str">
        <f>IF(AP43="","",AP43)</f>
        <v/>
      </c>
      <c r="AB43" s="11386"/>
      <c r="AC43" s="11401" t="str">
        <f t="shared" si="7"/>
        <v/>
      </c>
      <c r="AD43" s="11402"/>
      <c r="AE43" s="11402"/>
      <c r="AF43" s="11402"/>
      <c r="AG43" s="4271">
        <f t="shared" si="8"/>
        <v>0</v>
      </c>
      <c r="AH43" s="6014"/>
      <c r="AI43" s="6014" t="e">
        <f t="shared" si="0"/>
        <v>#VALUE!</v>
      </c>
      <c r="AJ43" s="293"/>
      <c r="AK43" s="297"/>
      <c r="AL43" s="297"/>
      <c r="AM43" s="295"/>
      <c r="AN43" s="295"/>
      <c r="AO43" s="296"/>
      <c r="AP43" s="295"/>
      <c r="AQ43" s="294"/>
      <c r="AS43" t="e">
        <f t="shared" si="9"/>
        <v>#VALUE!</v>
      </c>
      <c r="AT43" t="e">
        <f t="shared" si="10"/>
        <v>#VALUE!</v>
      </c>
      <c r="AU43" t="e">
        <f t="shared" si="11"/>
        <v>#VALUE!</v>
      </c>
      <c r="AW43" t="e">
        <f t="shared" si="12"/>
        <v>#VALUE!</v>
      </c>
      <c r="AX43" t="e">
        <f t="shared" si="13"/>
        <v>#VALUE!</v>
      </c>
      <c r="AY43" t="e">
        <f t="shared" si="14"/>
        <v>#VALUE!</v>
      </c>
      <c r="AZ43" t="e">
        <f t="shared" si="15"/>
        <v>#VALUE!</v>
      </c>
      <c r="BA43" t="e">
        <f t="shared" si="16"/>
        <v>#VALUE!</v>
      </c>
      <c r="BB43" t="e">
        <f t="shared" si="17"/>
        <v>#VALUE!</v>
      </c>
      <c r="BC43" t="e">
        <f t="shared" si="18"/>
        <v>#VALUE!</v>
      </c>
    </row>
    <row r="44" spans="1:55" ht="26.25" customHeight="1">
      <c r="A44" s="2013">
        <f t="shared" si="1"/>
        <v>0</v>
      </c>
      <c r="B44" s="11382" t="str">
        <f t="shared" si="2"/>
        <v/>
      </c>
      <c r="C44" s="7430"/>
      <c r="D44" s="7430"/>
      <c r="E44" s="7430"/>
      <c r="F44" s="7430"/>
      <c r="G44" s="7430"/>
      <c r="H44" s="7430"/>
      <c r="I44" s="10855"/>
      <c r="J44" s="11383" t="str">
        <f t="shared" si="3"/>
        <v/>
      </c>
      <c r="K44" s="11384"/>
      <c r="L44" s="11384"/>
      <c r="M44" s="11383" t="str">
        <f t="shared" si="4"/>
        <v/>
      </c>
      <c r="N44" s="11399"/>
      <c r="O44" s="11399"/>
      <c r="P44" s="11400"/>
      <c r="Q44" s="8178" t="str">
        <f t="shared" si="5"/>
        <v/>
      </c>
      <c r="R44" s="7375"/>
      <c r="S44" s="7375"/>
      <c r="T44" s="7376"/>
      <c r="U44" s="8178" t="str">
        <f t="shared" si="6"/>
        <v/>
      </c>
      <c r="V44" s="7375"/>
      <c r="W44" s="7375"/>
      <c r="X44" s="7376"/>
      <c r="Y44" s="11387" t="str">
        <f t="shared" ref="Y44:Y51" si="19">IF(AO44&lt;&gt;"",AO44,"")</f>
        <v/>
      </c>
      <c r="Z44" s="7336"/>
      <c r="AA44" s="8178" t="str">
        <f t="shared" ref="AA44:AA51" si="20">IF(AP44="","",AP44)</f>
        <v/>
      </c>
      <c r="AB44" s="11386"/>
      <c r="AC44" s="11401" t="str">
        <f t="shared" si="7"/>
        <v/>
      </c>
      <c r="AD44" s="11402"/>
      <c r="AE44" s="11402"/>
      <c r="AF44" s="11402"/>
      <c r="AG44" s="4271">
        <f t="shared" si="8"/>
        <v>0</v>
      </c>
      <c r="AH44" s="6014"/>
      <c r="AI44" s="6014" t="e">
        <f t="shared" si="0"/>
        <v>#VALUE!</v>
      </c>
      <c r="AJ44" s="293"/>
      <c r="AK44" s="297"/>
      <c r="AL44" s="297"/>
      <c r="AM44" s="295"/>
      <c r="AN44" s="295"/>
      <c r="AO44" s="296"/>
      <c r="AP44" s="295"/>
      <c r="AQ44" s="294"/>
      <c r="AS44" t="e">
        <f t="shared" si="9"/>
        <v>#VALUE!</v>
      </c>
      <c r="AT44" t="e">
        <f t="shared" si="10"/>
        <v>#VALUE!</v>
      </c>
      <c r="AU44" t="e">
        <f t="shared" si="11"/>
        <v>#VALUE!</v>
      </c>
      <c r="AW44" t="e">
        <f t="shared" si="12"/>
        <v>#VALUE!</v>
      </c>
      <c r="AX44" t="e">
        <f t="shared" si="13"/>
        <v>#VALUE!</v>
      </c>
      <c r="AY44" t="e">
        <f t="shared" si="14"/>
        <v>#VALUE!</v>
      </c>
      <c r="AZ44" t="e">
        <f t="shared" si="15"/>
        <v>#VALUE!</v>
      </c>
      <c r="BA44" t="e">
        <f t="shared" si="16"/>
        <v>#VALUE!</v>
      </c>
      <c r="BB44" t="e">
        <f t="shared" si="17"/>
        <v>#VALUE!</v>
      </c>
      <c r="BC44" t="e">
        <f t="shared" si="18"/>
        <v>#VALUE!</v>
      </c>
    </row>
    <row r="45" spans="1:55" ht="26.25" customHeight="1">
      <c r="A45" s="2013">
        <f t="shared" si="1"/>
        <v>0</v>
      </c>
      <c r="B45" s="11382" t="str">
        <f t="shared" si="2"/>
        <v/>
      </c>
      <c r="C45" s="7430"/>
      <c r="D45" s="7430"/>
      <c r="E45" s="7430"/>
      <c r="F45" s="7430"/>
      <c r="G45" s="7430"/>
      <c r="H45" s="7430"/>
      <c r="I45" s="10855"/>
      <c r="J45" s="11383" t="str">
        <f t="shared" si="3"/>
        <v/>
      </c>
      <c r="K45" s="11384"/>
      <c r="L45" s="11384"/>
      <c r="M45" s="11383" t="str">
        <f t="shared" si="4"/>
        <v/>
      </c>
      <c r="N45" s="11399"/>
      <c r="O45" s="11399"/>
      <c r="P45" s="11400"/>
      <c r="Q45" s="8178" t="str">
        <f t="shared" si="5"/>
        <v/>
      </c>
      <c r="R45" s="7375"/>
      <c r="S45" s="7375"/>
      <c r="T45" s="7376"/>
      <c r="U45" s="8178" t="str">
        <f t="shared" si="6"/>
        <v/>
      </c>
      <c r="V45" s="7375"/>
      <c r="W45" s="7375"/>
      <c r="X45" s="7376"/>
      <c r="Y45" s="11387" t="str">
        <f t="shared" si="19"/>
        <v/>
      </c>
      <c r="Z45" s="7336"/>
      <c r="AA45" s="8178" t="str">
        <f t="shared" si="20"/>
        <v/>
      </c>
      <c r="AB45" s="11386"/>
      <c r="AC45" s="11401" t="str">
        <f t="shared" si="7"/>
        <v/>
      </c>
      <c r="AD45" s="11402"/>
      <c r="AE45" s="11402"/>
      <c r="AF45" s="11402"/>
      <c r="AG45" s="4271">
        <f t="shared" si="8"/>
        <v>0</v>
      </c>
      <c r="AH45" s="6014"/>
      <c r="AI45" s="6014" t="e">
        <f t="shared" si="0"/>
        <v>#VALUE!</v>
      </c>
      <c r="AJ45" s="293"/>
      <c r="AK45" s="297"/>
      <c r="AL45" s="297"/>
      <c r="AM45" s="295"/>
      <c r="AN45" s="295"/>
      <c r="AO45" s="296"/>
      <c r="AP45" s="295"/>
      <c r="AQ45" s="294"/>
      <c r="AS45" t="e">
        <f t="shared" si="9"/>
        <v>#VALUE!</v>
      </c>
      <c r="AT45" t="e">
        <f t="shared" si="10"/>
        <v>#VALUE!</v>
      </c>
      <c r="AU45" t="e">
        <f t="shared" si="11"/>
        <v>#VALUE!</v>
      </c>
      <c r="AW45" t="e">
        <f t="shared" si="12"/>
        <v>#VALUE!</v>
      </c>
      <c r="AX45" t="e">
        <f t="shared" si="13"/>
        <v>#VALUE!</v>
      </c>
      <c r="AY45" t="e">
        <f t="shared" si="14"/>
        <v>#VALUE!</v>
      </c>
      <c r="AZ45" t="e">
        <f t="shared" si="15"/>
        <v>#VALUE!</v>
      </c>
      <c r="BA45" t="e">
        <f t="shared" si="16"/>
        <v>#VALUE!</v>
      </c>
      <c r="BB45" t="e">
        <f t="shared" si="17"/>
        <v>#VALUE!</v>
      </c>
      <c r="BC45" t="e">
        <f t="shared" si="18"/>
        <v>#VALUE!</v>
      </c>
    </row>
    <row r="46" spans="1:55" ht="26.25" customHeight="1">
      <c r="A46" s="2013">
        <f t="shared" si="1"/>
        <v>0</v>
      </c>
      <c r="B46" s="11382" t="str">
        <f t="shared" si="2"/>
        <v/>
      </c>
      <c r="C46" s="7430"/>
      <c r="D46" s="7430"/>
      <c r="E46" s="7430"/>
      <c r="F46" s="7430"/>
      <c r="G46" s="7430"/>
      <c r="H46" s="7430"/>
      <c r="I46" s="10855"/>
      <c r="J46" s="11383" t="str">
        <f t="shared" si="3"/>
        <v/>
      </c>
      <c r="K46" s="11384"/>
      <c r="L46" s="11384"/>
      <c r="M46" s="11383" t="str">
        <f t="shared" si="4"/>
        <v/>
      </c>
      <c r="N46" s="11399"/>
      <c r="O46" s="11399"/>
      <c r="P46" s="11400"/>
      <c r="Q46" s="8178" t="str">
        <f t="shared" si="5"/>
        <v/>
      </c>
      <c r="R46" s="7375"/>
      <c r="S46" s="7375"/>
      <c r="T46" s="7376"/>
      <c r="U46" s="8178" t="str">
        <f t="shared" si="6"/>
        <v/>
      </c>
      <c r="V46" s="7375"/>
      <c r="W46" s="7375"/>
      <c r="X46" s="7376"/>
      <c r="Y46" s="11387" t="str">
        <f t="shared" si="19"/>
        <v/>
      </c>
      <c r="Z46" s="7336"/>
      <c r="AA46" s="8178" t="str">
        <f t="shared" si="20"/>
        <v/>
      </c>
      <c r="AB46" s="11386"/>
      <c r="AC46" s="11401" t="str">
        <f t="shared" si="7"/>
        <v/>
      </c>
      <c r="AD46" s="11402"/>
      <c r="AE46" s="11402"/>
      <c r="AF46" s="11402"/>
      <c r="AG46" s="4271">
        <f t="shared" si="8"/>
        <v>0</v>
      </c>
      <c r="AH46" s="6014"/>
      <c r="AI46" s="6014" t="e">
        <f t="shared" si="0"/>
        <v>#VALUE!</v>
      </c>
      <c r="AJ46" s="293"/>
      <c r="AK46" s="297"/>
      <c r="AL46" s="297"/>
      <c r="AM46" s="295"/>
      <c r="AN46" s="295"/>
      <c r="AO46" s="296"/>
      <c r="AP46" s="295"/>
      <c r="AQ46" s="294"/>
      <c r="AS46" t="e">
        <f t="shared" si="9"/>
        <v>#VALUE!</v>
      </c>
      <c r="AT46" t="e">
        <f t="shared" si="10"/>
        <v>#VALUE!</v>
      </c>
      <c r="AU46" t="e">
        <f t="shared" si="11"/>
        <v>#VALUE!</v>
      </c>
      <c r="AW46" t="e">
        <f t="shared" si="12"/>
        <v>#VALUE!</v>
      </c>
      <c r="AX46" t="e">
        <f t="shared" si="13"/>
        <v>#VALUE!</v>
      </c>
      <c r="AY46" t="e">
        <f t="shared" si="14"/>
        <v>#VALUE!</v>
      </c>
      <c r="AZ46" t="e">
        <f t="shared" si="15"/>
        <v>#VALUE!</v>
      </c>
      <c r="BA46" t="e">
        <f t="shared" si="16"/>
        <v>#VALUE!</v>
      </c>
      <c r="BB46" t="e">
        <f t="shared" si="17"/>
        <v>#VALUE!</v>
      </c>
      <c r="BC46" t="e">
        <f t="shared" si="18"/>
        <v>#VALUE!</v>
      </c>
    </row>
    <row r="47" spans="1:55" ht="26.25" customHeight="1">
      <c r="A47" s="2013">
        <f t="shared" si="1"/>
        <v>0</v>
      </c>
      <c r="B47" s="11382" t="str">
        <f t="shared" si="2"/>
        <v/>
      </c>
      <c r="C47" s="7430"/>
      <c r="D47" s="7430"/>
      <c r="E47" s="7430"/>
      <c r="F47" s="7430"/>
      <c r="G47" s="7430"/>
      <c r="H47" s="7430"/>
      <c r="I47" s="10855"/>
      <c r="J47" s="11383" t="str">
        <f>IF(AK47="","",AK47)</f>
        <v/>
      </c>
      <c r="K47" s="11384"/>
      <c r="L47" s="11384"/>
      <c r="M47" s="11383" t="str">
        <f>IF(AL47="","",AL47)</f>
        <v/>
      </c>
      <c r="N47" s="11399"/>
      <c r="O47" s="11399"/>
      <c r="P47" s="11400"/>
      <c r="Q47" s="8178" t="str">
        <f t="shared" si="5"/>
        <v/>
      </c>
      <c r="R47" s="7375"/>
      <c r="S47" s="7375"/>
      <c r="T47" s="7376"/>
      <c r="U47" s="8178" t="str">
        <f t="shared" si="6"/>
        <v/>
      </c>
      <c r="V47" s="7375"/>
      <c r="W47" s="7375"/>
      <c r="X47" s="7376"/>
      <c r="Y47" s="11387" t="str">
        <f t="shared" si="19"/>
        <v/>
      </c>
      <c r="Z47" s="7336"/>
      <c r="AA47" s="8178" t="str">
        <f t="shared" si="20"/>
        <v/>
      </c>
      <c r="AB47" s="11386"/>
      <c r="AC47" s="11401" t="str">
        <f t="shared" si="7"/>
        <v/>
      </c>
      <c r="AD47" s="11402"/>
      <c r="AE47" s="11402"/>
      <c r="AF47" s="11402"/>
      <c r="AG47" s="4271">
        <f t="shared" si="8"/>
        <v>0</v>
      </c>
      <c r="AH47" s="6014"/>
      <c r="AI47" s="6014" t="e">
        <f t="shared" si="0"/>
        <v>#VALUE!</v>
      </c>
      <c r="AJ47" s="293"/>
      <c r="AK47" s="297"/>
      <c r="AL47" s="297"/>
      <c r="AM47" s="295"/>
      <c r="AN47" s="295"/>
      <c r="AO47" s="296"/>
      <c r="AP47" s="295"/>
      <c r="AQ47" s="294"/>
      <c r="AS47" t="e">
        <f t="shared" si="9"/>
        <v>#VALUE!</v>
      </c>
      <c r="AT47" t="e">
        <f t="shared" si="10"/>
        <v>#VALUE!</v>
      </c>
      <c r="AU47" t="e">
        <f t="shared" si="11"/>
        <v>#VALUE!</v>
      </c>
      <c r="AW47" t="e">
        <f t="shared" si="12"/>
        <v>#VALUE!</v>
      </c>
      <c r="AX47" t="e">
        <f t="shared" si="13"/>
        <v>#VALUE!</v>
      </c>
      <c r="AY47" t="e">
        <f t="shared" si="14"/>
        <v>#VALUE!</v>
      </c>
      <c r="AZ47" t="e">
        <f t="shared" si="15"/>
        <v>#VALUE!</v>
      </c>
      <c r="BA47" t="e">
        <f t="shared" si="16"/>
        <v>#VALUE!</v>
      </c>
      <c r="BB47" t="e">
        <f t="shared" si="17"/>
        <v>#VALUE!</v>
      </c>
      <c r="BC47" t="e">
        <f t="shared" si="18"/>
        <v>#VALUE!</v>
      </c>
    </row>
    <row r="48" spans="1:55" ht="26.25" customHeight="1">
      <c r="A48" s="2013">
        <f t="shared" si="1"/>
        <v>0</v>
      </c>
      <c r="B48" s="11382" t="str">
        <f t="shared" si="2"/>
        <v/>
      </c>
      <c r="C48" s="7430"/>
      <c r="D48" s="7430"/>
      <c r="E48" s="7430"/>
      <c r="F48" s="7430"/>
      <c r="G48" s="7430"/>
      <c r="H48" s="7430"/>
      <c r="I48" s="10855"/>
      <c r="J48" s="11383" t="str">
        <f t="shared" si="3"/>
        <v/>
      </c>
      <c r="K48" s="11384"/>
      <c r="L48" s="11384"/>
      <c r="M48" s="11383" t="str">
        <f t="shared" si="4"/>
        <v/>
      </c>
      <c r="N48" s="11399"/>
      <c r="O48" s="11399"/>
      <c r="P48" s="11400"/>
      <c r="Q48" s="8178" t="str">
        <f t="shared" si="5"/>
        <v/>
      </c>
      <c r="R48" s="7375"/>
      <c r="S48" s="7375"/>
      <c r="T48" s="7376"/>
      <c r="U48" s="8178" t="str">
        <f t="shared" si="6"/>
        <v/>
      </c>
      <c r="V48" s="7375"/>
      <c r="W48" s="7375"/>
      <c r="X48" s="7376"/>
      <c r="Y48" s="11387" t="str">
        <f t="shared" si="19"/>
        <v/>
      </c>
      <c r="Z48" s="7336"/>
      <c r="AA48" s="8178" t="str">
        <f t="shared" si="20"/>
        <v/>
      </c>
      <c r="AB48" s="11386"/>
      <c r="AC48" s="11401" t="str">
        <f t="shared" si="7"/>
        <v/>
      </c>
      <c r="AD48" s="11402"/>
      <c r="AE48" s="11402"/>
      <c r="AF48" s="11402"/>
      <c r="AG48" s="4271">
        <f t="shared" si="8"/>
        <v>0</v>
      </c>
      <c r="AH48" s="6014"/>
      <c r="AI48" s="6014" t="e">
        <f t="shared" si="0"/>
        <v>#VALUE!</v>
      </c>
      <c r="AJ48" s="293"/>
      <c r="AK48" s="297"/>
      <c r="AL48" s="297"/>
      <c r="AM48" s="295"/>
      <c r="AN48" s="295"/>
      <c r="AO48" s="296"/>
      <c r="AP48" s="295"/>
      <c r="AQ48" s="294"/>
      <c r="AS48" t="e">
        <f t="shared" si="9"/>
        <v>#VALUE!</v>
      </c>
      <c r="AT48" t="e">
        <f t="shared" si="10"/>
        <v>#VALUE!</v>
      </c>
      <c r="AU48" t="e">
        <f t="shared" si="11"/>
        <v>#VALUE!</v>
      </c>
      <c r="AW48" t="e">
        <f t="shared" si="12"/>
        <v>#VALUE!</v>
      </c>
      <c r="AX48" t="e">
        <f t="shared" si="13"/>
        <v>#VALUE!</v>
      </c>
      <c r="AY48" t="e">
        <f t="shared" si="14"/>
        <v>#VALUE!</v>
      </c>
      <c r="AZ48" t="e">
        <f t="shared" si="15"/>
        <v>#VALUE!</v>
      </c>
      <c r="BA48" t="e">
        <f t="shared" si="16"/>
        <v>#VALUE!</v>
      </c>
      <c r="BB48" t="e">
        <f t="shared" si="17"/>
        <v>#VALUE!</v>
      </c>
      <c r="BC48" t="e">
        <f t="shared" si="18"/>
        <v>#VALUE!</v>
      </c>
    </row>
    <row r="49" spans="1:55" ht="26.25" customHeight="1">
      <c r="A49" s="2013">
        <f t="shared" si="1"/>
        <v>0</v>
      </c>
      <c r="B49" s="11382" t="str">
        <f t="shared" si="2"/>
        <v/>
      </c>
      <c r="C49" s="7430"/>
      <c r="D49" s="7430"/>
      <c r="E49" s="7430"/>
      <c r="F49" s="7430"/>
      <c r="G49" s="7430"/>
      <c r="H49" s="7430"/>
      <c r="I49" s="10855"/>
      <c r="J49" s="11383" t="str">
        <f t="shared" si="3"/>
        <v/>
      </c>
      <c r="K49" s="11384"/>
      <c r="L49" s="11384"/>
      <c r="M49" s="11383" t="str">
        <f t="shared" si="4"/>
        <v/>
      </c>
      <c r="N49" s="11399"/>
      <c r="O49" s="11399"/>
      <c r="P49" s="11400"/>
      <c r="Q49" s="8178" t="str">
        <f t="shared" si="5"/>
        <v/>
      </c>
      <c r="R49" s="7375"/>
      <c r="S49" s="7375"/>
      <c r="T49" s="7376"/>
      <c r="U49" s="8178" t="str">
        <f t="shared" si="6"/>
        <v/>
      </c>
      <c r="V49" s="7375"/>
      <c r="W49" s="7375"/>
      <c r="X49" s="7376"/>
      <c r="Y49" s="11387" t="str">
        <f t="shared" si="19"/>
        <v/>
      </c>
      <c r="Z49" s="7336"/>
      <c r="AA49" s="8178" t="str">
        <f t="shared" si="20"/>
        <v/>
      </c>
      <c r="AB49" s="11386"/>
      <c r="AC49" s="11401" t="str">
        <f t="shared" si="7"/>
        <v/>
      </c>
      <c r="AD49" s="11402"/>
      <c r="AE49" s="11402"/>
      <c r="AF49" s="11402"/>
      <c r="AG49" s="4271">
        <f t="shared" si="8"/>
        <v>0</v>
      </c>
      <c r="AH49" s="6014"/>
      <c r="AI49" s="6014" t="e">
        <f t="shared" si="0"/>
        <v>#VALUE!</v>
      </c>
      <c r="AJ49" s="293"/>
      <c r="AK49" s="297"/>
      <c r="AL49" s="297"/>
      <c r="AM49" s="295"/>
      <c r="AN49" s="295"/>
      <c r="AO49" s="296"/>
      <c r="AP49" s="295"/>
      <c r="AQ49" s="294"/>
      <c r="AS49" t="e">
        <f t="shared" si="9"/>
        <v>#VALUE!</v>
      </c>
      <c r="AT49" t="e">
        <f t="shared" si="10"/>
        <v>#VALUE!</v>
      </c>
      <c r="AU49" t="e">
        <f t="shared" si="11"/>
        <v>#VALUE!</v>
      </c>
      <c r="AW49" t="e">
        <f t="shared" si="12"/>
        <v>#VALUE!</v>
      </c>
      <c r="AX49" t="e">
        <f t="shared" si="13"/>
        <v>#VALUE!</v>
      </c>
      <c r="AY49" t="e">
        <f t="shared" si="14"/>
        <v>#VALUE!</v>
      </c>
      <c r="AZ49" t="e">
        <f t="shared" si="15"/>
        <v>#VALUE!</v>
      </c>
      <c r="BA49" t="e">
        <f t="shared" si="16"/>
        <v>#VALUE!</v>
      </c>
      <c r="BB49" t="e">
        <f t="shared" si="17"/>
        <v>#VALUE!</v>
      </c>
      <c r="BC49" t="e">
        <f t="shared" si="18"/>
        <v>#VALUE!</v>
      </c>
    </row>
    <row r="50" spans="1:55" ht="26.25" customHeight="1">
      <c r="A50" s="2013">
        <f t="shared" si="1"/>
        <v>0</v>
      </c>
      <c r="B50" s="11382" t="str">
        <f t="shared" si="2"/>
        <v/>
      </c>
      <c r="C50" s="7430"/>
      <c r="D50" s="7430"/>
      <c r="E50" s="7430"/>
      <c r="F50" s="7430"/>
      <c r="G50" s="7430"/>
      <c r="H50" s="7430"/>
      <c r="I50" s="10855"/>
      <c r="J50" s="11383" t="str">
        <f t="shared" si="3"/>
        <v/>
      </c>
      <c r="K50" s="11384"/>
      <c r="L50" s="11384"/>
      <c r="M50" s="11383" t="str">
        <f t="shared" si="4"/>
        <v/>
      </c>
      <c r="N50" s="11399"/>
      <c r="O50" s="11399"/>
      <c r="P50" s="11400"/>
      <c r="Q50" s="8178" t="str">
        <f t="shared" si="5"/>
        <v/>
      </c>
      <c r="R50" s="7375"/>
      <c r="S50" s="7375"/>
      <c r="T50" s="7376"/>
      <c r="U50" s="8178" t="str">
        <f t="shared" si="6"/>
        <v/>
      </c>
      <c r="V50" s="7375"/>
      <c r="W50" s="7375"/>
      <c r="X50" s="7376"/>
      <c r="Y50" s="11387" t="str">
        <f t="shared" si="19"/>
        <v/>
      </c>
      <c r="Z50" s="7336"/>
      <c r="AA50" s="8178" t="str">
        <f t="shared" si="20"/>
        <v/>
      </c>
      <c r="AB50" s="11386"/>
      <c r="AC50" s="11401" t="str">
        <f t="shared" si="7"/>
        <v/>
      </c>
      <c r="AD50" s="11402"/>
      <c r="AE50" s="11402"/>
      <c r="AF50" s="11402"/>
      <c r="AG50" s="4271">
        <f t="shared" si="8"/>
        <v>0</v>
      </c>
      <c r="AH50" s="6014"/>
      <c r="AI50" s="6014" t="e">
        <f t="shared" si="0"/>
        <v>#VALUE!</v>
      </c>
      <c r="AJ50" s="293"/>
      <c r="AK50" s="297"/>
      <c r="AL50" s="297"/>
      <c r="AM50" s="295"/>
      <c r="AN50" s="295"/>
      <c r="AO50" s="296"/>
      <c r="AP50" s="295"/>
      <c r="AQ50" s="294"/>
      <c r="AS50" t="e">
        <f t="shared" si="9"/>
        <v>#VALUE!</v>
      </c>
      <c r="AT50" t="e">
        <f t="shared" si="10"/>
        <v>#VALUE!</v>
      </c>
      <c r="AU50" t="e">
        <f t="shared" si="11"/>
        <v>#VALUE!</v>
      </c>
      <c r="AW50" t="e">
        <f t="shared" si="12"/>
        <v>#VALUE!</v>
      </c>
      <c r="AX50" t="e">
        <f t="shared" si="13"/>
        <v>#VALUE!</v>
      </c>
      <c r="AY50" t="e">
        <f t="shared" si="14"/>
        <v>#VALUE!</v>
      </c>
      <c r="AZ50" t="e">
        <f t="shared" si="15"/>
        <v>#VALUE!</v>
      </c>
      <c r="BA50" t="e">
        <f t="shared" si="16"/>
        <v>#VALUE!</v>
      </c>
      <c r="BB50" t="e">
        <f t="shared" si="17"/>
        <v>#VALUE!</v>
      </c>
      <c r="BC50" t="e">
        <f t="shared" si="18"/>
        <v>#VALUE!</v>
      </c>
    </row>
    <row r="51" spans="1:55" ht="26.25" customHeight="1">
      <c r="A51" s="2013">
        <f t="shared" si="1"/>
        <v>0</v>
      </c>
      <c r="B51" s="11382" t="str">
        <f t="shared" si="2"/>
        <v/>
      </c>
      <c r="C51" s="7430"/>
      <c r="D51" s="7430"/>
      <c r="E51" s="7430"/>
      <c r="F51" s="7430"/>
      <c r="G51" s="7430"/>
      <c r="H51" s="7430"/>
      <c r="I51" s="10855"/>
      <c r="J51" s="11383" t="str">
        <f t="shared" si="3"/>
        <v/>
      </c>
      <c r="K51" s="11384"/>
      <c r="L51" s="11384"/>
      <c r="M51" s="11383" t="str">
        <f t="shared" si="4"/>
        <v/>
      </c>
      <c r="N51" s="11399"/>
      <c r="O51" s="11399"/>
      <c r="P51" s="11400"/>
      <c r="Q51" s="8178" t="str">
        <f t="shared" si="5"/>
        <v/>
      </c>
      <c r="R51" s="7375"/>
      <c r="S51" s="7375"/>
      <c r="T51" s="7376"/>
      <c r="U51" s="8178" t="str">
        <f t="shared" si="6"/>
        <v/>
      </c>
      <c r="V51" s="7375"/>
      <c r="W51" s="7375"/>
      <c r="X51" s="7376"/>
      <c r="Y51" s="11387" t="str">
        <f t="shared" si="19"/>
        <v/>
      </c>
      <c r="Z51" s="7336"/>
      <c r="AA51" s="8178" t="str">
        <f t="shared" si="20"/>
        <v/>
      </c>
      <c r="AB51" s="11386"/>
      <c r="AC51" s="11401" t="str">
        <f t="shared" si="7"/>
        <v/>
      </c>
      <c r="AD51" s="11402"/>
      <c r="AE51" s="11402"/>
      <c r="AF51" s="11402"/>
      <c r="AG51" s="4271">
        <f t="shared" si="8"/>
        <v>0</v>
      </c>
      <c r="AH51" s="6014"/>
      <c r="AI51" s="6014" t="e">
        <f t="shared" si="0"/>
        <v>#VALUE!</v>
      </c>
      <c r="AJ51" s="293"/>
      <c r="AK51" s="297"/>
      <c r="AL51" s="297"/>
      <c r="AM51" s="295"/>
      <c r="AN51" s="295"/>
      <c r="AO51" s="296"/>
      <c r="AP51" s="295"/>
      <c r="AQ51" s="294"/>
      <c r="AS51" t="e">
        <f t="shared" si="9"/>
        <v>#VALUE!</v>
      </c>
      <c r="AT51" t="e">
        <f t="shared" si="10"/>
        <v>#VALUE!</v>
      </c>
      <c r="AU51" t="e">
        <f t="shared" si="11"/>
        <v>#VALUE!</v>
      </c>
      <c r="AW51" t="e">
        <f t="shared" si="12"/>
        <v>#VALUE!</v>
      </c>
      <c r="AX51" t="e">
        <f t="shared" si="13"/>
        <v>#VALUE!</v>
      </c>
      <c r="AY51" t="e">
        <f t="shared" si="14"/>
        <v>#VALUE!</v>
      </c>
      <c r="AZ51" t="e">
        <f t="shared" si="15"/>
        <v>#VALUE!</v>
      </c>
      <c r="BA51" t="e">
        <f t="shared" si="16"/>
        <v>#VALUE!</v>
      </c>
      <c r="BB51" t="e">
        <f t="shared" si="17"/>
        <v>#VALUE!</v>
      </c>
      <c r="BC51" t="e">
        <f t="shared" si="18"/>
        <v>#VALUE!</v>
      </c>
    </row>
    <row r="52" spans="1:55" ht="12" customHeight="1">
      <c r="A52" s="2013">
        <f>SUM(A41:A51)</f>
        <v>0</v>
      </c>
      <c r="B52" s="11441">
        <v>2</v>
      </c>
      <c r="C52" s="11421" t="s">
        <v>6416</v>
      </c>
      <c r="D52" s="11422"/>
      <c r="E52" s="11422"/>
      <c r="F52" s="11422"/>
      <c r="G52" s="11422"/>
      <c r="H52" s="11422"/>
      <c r="I52" s="11422"/>
      <c r="J52" s="11422"/>
      <c r="K52" s="11422"/>
      <c r="L52" s="11422"/>
      <c r="M52" s="11422"/>
      <c r="N52" s="11422"/>
      <c r="O52" s="11422"/>
      <c r="P52" s="11422"/>
      <c r="Q52" s="11409" t="str">
        <f>IF(A52=0,"",ROUND(SUM(Q41:Q51),0))</f>
        <v/>
      </c>
      <c r="R52" s="11410"/>
      <c r="S52" s="11410"/>
      <c r="T52" s="11411"/>
      <c r="U52" s="11409" t="str">
        <f>IF(A52=0,"",ROUND(SUM(U41:U51),0))</f>
        <v/>
      </c>
      <c r="V52" s="11410"/>
      <c r="W52" s="11410"/>
      <c r="X52" s="11411"/>
      <c r="Y52" s="11403"/>
      <c r="Z52" s="11404"/>
      <c r="AA52" s="11409" t="str">
        <f>IF(A52=0,"",ROUND(SUM(AA41:AA51),0))</f>
        <v/>
      </c>
      <c r="AB52" s="11411"/>
      <c r="AC52" s="11409" t="str">
        <f>IF(A52=0,"",ROUND(SUM(AC41:AC51),0))</f>
        <v/>
      </c>
      <c r="AD52" s="11410"/>
      <c r="AE52" s="11410"/>
      <c r="AF52" s="11410"/>
      <c r="AG52" s="2013"/>
    </row>
    <row r="53" spans="1:55" ht="12" customHeight="1">
      <c r="A53" s="2013"/>
      <c r="B53" s="11442"/>
      <c r="C53" s="11423"/>
      <c r="D53" s="11423"/>
      <c r="E53" s="11423"/>
      <c r="F53" s="11423"/>
      <c r="G53" s="11423"/>
      <c r="H53" s="11423"/>
      <c r="I53" s="11423"/>
      <c r="J53" s="11423"/>
      <c r="K53" s="11423"/>
      <c r="L53" s="11423"/>
      <c r="M53" s="11423"/>
      <c r="N53" s="11423"/>
      <c r="O53" s="11423"/>
      <c r="P53" s="11423"/>
      <c r="Q53" s="11412"/>
      <c r="R53" s="11413"/>
      <c r="S53" s="11413"/>
      <c r="T53" s="11414"/>
      <c r="U53" s="11412"/>
      <c r="V53" s="11413"/>
      <c r="W53" s="11413"/>
      <c r="X53" s="11414"/>
      <c r="Y53" s="11405"/>
      <c r="Z53" s="11406"/>
      <c r="AA53" s="11412"/>
      <c r="AB53" s="11414"/>
      <c r="AC53" s="11412"/>
      <c r="AD53" s="11413"/>
      <c r="AE53" s="11413"/>
      <c r="AF53" s="11413"/>
      <c r="AG53" s="2013"/>
    </row>
    <row r="54" spans="1:55" ht="12" customHeight="1">
      <c r="A54" s="2013"/>
      <c r="B54" s="11442"/>
      <c r="C54" s="11423"/>
      <c r="D54" s="11423"/>
      <c r="E54" s="11423"/>
      <c r="F54" s="11423"/>
      <c r="G54" s="11423"/>
      <c r="H54" s="11423"/>
      <c r="I54" s="11423"/>
      <c r="J54" s="11423"/>
      <c r="K54" s="11423"/>
      <c r="L54" s="11423"/>
      <c r="M54" s="11423"/>
      <c r="N54" s="11423"/>
      <c r="O54" s="11423"/>
      <c r="P54" s="11423"/>
      <c r="Q54" s="11412"/>
      <c r="R54" s="11413"/>
      <c r="S54" s="11413"/>
      <c r="T54" s="11414"/>
      <c r="U54" s="11412"/>
      <c r="V54" s="11413"/>
      <c r="W54" s="11413"/>
      <c r="X54" s="11414"/>
      <c r="Y54" s="11405"/>
      <c r="Z54" s="11406"/>
      <c r="AA54" s="11412"/>
      <c r="AB54" s="11414"/>
      <c r="AC54" s="11412"/>
      <c r="AD54" s="11413"/>
      <c r="AE54" s="11413"/>
      <c r="AF54" s="11413"/>
      <c r="AG54" s="2013"/>
    </row>
    <row r="55" spans="1:55" ht="12" customHeight="1">
      <c r="A55" s="2013"/>
      <c r="B55" s="11442"/>
      <c r="C55" s="11423"/>
      <c r="D55" s="11423"/>
      <c r="E55" s="11423"/>
      <c r="F55" s="11423"/>
      <c r="G55" s="11423"/>
      <c r="H55" s="11423"/>
      <c r="I55" s="11423"/>
      <c r="J55" s="11423"/>
      <c r="K55" s="11423"/>
      <c r="L55" s="11423"/>
      <c r="M55" s="11423"/>
      <c r="N55" s="11423"/>
      <c r="O55" s="11423"/>
      <c r="P55" s="11423"/>
      <c r="Q55" s="11412"/>
      <c r="R55" s="11413"/>
      <c r="S55" s="11413"/>
      <c r="T55" s="11414"/>
      <c r="U55" s="11412"/>
      <c r="V55" s="11413"/>
      <c r="W55" s="11413"/>
      <c r="X55" s="11414"/>
      <c r="Y55" s="11405"/>
      <c r="Z55" s="11406"/>
      <c r="AA55" s="11412"/>
      <c r="AB55" s="11414"/>
      <c r="AC55" s="11412"/>
      <c r="AD55" s="11413"/>
      <c r="AE55" s="11413"/>
      <c r="AF55" s="11413"/>
      <c r="AG55" s="2013"/>
    </row>
    <row r="56" spans="1:55" ht="12" customHeight="1">
      <c r="A56" s="2013"/>
      <c r="B56" s="11442"/>
      <c r="C56" s="11423"/>
      <c r="D56" s="11423"/>
      <c r="E56" s="11423"/>
      <c r="F56" s="11423"/>
      <c r="G56" s="11423"/>
      <c r="H56" s="11423"/>
      <c r="I56" s="11423"/>
      <c r="J56" s="11423"/>
      <c r="K56" s="11423"/>
      <c r="L56" s="11423"/>
      <c r="M56" s="11423"/>
      <c r="N56" s="11423"/>
      <c r="O56" s="11423"/>
      <c r="P56" s="11423"/>
      <c r="Q56" s="11415"/>
      <c r="R56" s="11416"/>
      <c r="S56" s="11416"/>
      <c r="T56" s="11417"/>
      <c r="U56" s="11415"/>
      <c r="V56" s="11416"/>
      <c r="W56" s="11416"/>
      <c r="X56" s="11417"/>
      <c r="Y56" s="11407"/>
      <c r="Z56" s="11408"/>
      <c r="AA56" s="11415"/>
      <c r="AB56" s="11417"/>
      <c r="AC56" s="11412"/>
      <c r="AD56" s="11413"/>
      <c r="AE56" s="11413"/>
      <c r="AF56" s="11413"/>
      <c r="AG56" s="2013"/>
    </row>
    <row r="57" spans="1:55" ht="25.5" customHeight="1" thickBot="1">
      <c r="A57" s="2013"/>
      <c r="B57" s="11418" t="s">
        <v>6415</v>
      </c>
      <c r="C57" s="11419"/>
      <c r="D57" s="11419"/>
      <c r="E57" s="11419"/>
      <c r="F57" s="11419"/>
      <c r="G57" s="11419"/>
      <c r="H57" s="11419"/>
      <c r="I57" s="11419"/>
      <c r="J57" s="11419"/>
      <c r="K57" s="11419"/>
      <c r="L57" s="11419"/>
      <c r="M57" s="11419"/>
      <c r="N57" s="11419"/>
      <c r="O57" s="11419"/>
      <c r="P57" s="11419"/>
      <c r="Q57" s="11419"/>
      <c r="R57" s="11419"/>
      <c r="S57" s="11419"/>
      <c r="T57" s="11419"/>
      <c r="U57" s="11420"/>
      <c r="V57" s="11420"/>
      <c r="W57" s="11420"/>
      <c r="X57" s="11420"/>
      <c r="Y57" s="11419"/>
      <c r="Z57" s="11419"/>
      <c r="AA57" s="11419"/>
      <c r="AB57" s="11419"/>
      <c r="AC57" s="11419"/>
      <c r="AD57" s="11419"/>
      <c r="AE57" s="11419"/>
      <c r="AF57" s="11419"/>
      <c r="AG57" s="2013"/>
      <c r="AJ57" s="329"/>
    </row>
    <row r="58" spans="1:55" ht="16.5" thickTop="1">
      <c r="A58" s="2013"/>
      <c r="B58" s="6015" t="s">
        <v>865</v>
      </c>
      <c r="C58" s="88"/>
      <c r="D58" s="88"/>
      <c r="E58" s="88"/>
      <c r="F58" s="88"/>
      <c r="G58" s="88"/>
      <c r="H58" s="88"/>
      <c r="I58" s="88"/>
      <c r="J58" s="88"/>
      <c r="K58" s="88"/>
      <c r="L58" s="88"/>
      <c r="M58" s="88"/>
      <c r="N58" s="88"/>
      <c r="O58" s="88"/>
      <c r="P58" s="88"/>
      <c r="Q58" s="88"/>
      <c r="R58" s="88"/>
      <c r="S58" s="88"/>
      <c r="T58" s="88"/>
      <c r="U58" s="3931" t="s">
        <v>4480</v>
      </c>
      <c r="V58" s="88"/>
      <c r="W58" s="88"/>
      <c r="X58" s="88"/>
      <c r="Y58" s="88"/>
      <c r="Z58" s="88"/>
      <c r="AA58" s="2052" t="s">
        <v>4481</v>
      </c>
      <c r="AB58" s="6016" t="str">
        <f>"("&amp;TaxYear&amp;")"</f>
        <v>(2025)</v>
      </c>
      <c r="AC58" s="88"/>
      <c r="AD58" s="2052"/>
      <c r="AE58" s="88"/>
      <c r="AF58" s="6016" t="s">
        <v>6418</v>
      </c>
      <c r="AG58" s="2013"/>
    </row>
    <row r="59" spans="1:55" ht="15.75">
      <c r="A59" s="2013"/>
      <c r="B59" s="1931" t="str">
        <f>"Form 8949 ("&amp;TaxYear&amp;")"</f>
        <v>Form 8949 (2025)</v>
      </c>
      <c r="C59" s="2432"/>
      <c r="D59" s="2432"/>
      <c r="E59" s="2432"/>
      <c r="F59" s="2432"/>
      <c r="G59" s="2432"/>
      <c r="H59" s="2432"/>
      <c r="I59" s="2432"/>
      <c r="J59" s="2432"/>
      <c r="K59" s="2432"/>
      <c r="L59" s="2432"/>
      <c r="M59" s="2432"/>
      <c r="N59" s="2432"/>
      <c r="O59" s="2432"/>
      <c r="P59" s="2432"/>
      <c r="Q59" s="2432"/>
      <c r="R59" s="2432"/>
      <c r="S59" s="2432"/>
      <c r="T59" s="2432"/>
      <c r="U59" s="2432"/>
      <c r="V59" s="1931" t="s">
        <v>4482</v>
      </c>
      <c r="W59" s="2432"/>
      <c r="X59" s="2432"/>
      <c r="Y59" s="2432"/>
      <c r="Z59" s="2432"/>
      <c r="AA59" s="2432"/>
      <c r="AB59" s="2432"/>
      <c r="AC59" s="2432"/>
      <c r="AD59" s="2432"/>
      <c r="AE59" s="2432"/>
      <c r="AF59" s="5730" t="s">
        <v>867</v>
      </c>
      <c r="AG59" s="2013"/>
    </row>
    <row r="60" spans="1:55">
      <c r="A60" s="2013"/>
      <c r="B60" s="229" t="s">
        <v>4483</v>
      </c>
      <c r="C60" s="88"/>
      <c r="D60" s="88"/>
      <c r="E60" s="88"/>
      <c r="F60" s="88"/>
      <c r="G60" s="88"/>
      <c r="H60" s="88"/>
      <c r="I60" s="88"/>
      <c r="J60" s="88"/>
      <c r="K60" s="88"/>
      <c r="L60" s="88"/>
      <c r="M60" s="88"/>
      <c r="N60" s="88"/>
      <c r="O60" s="88"/>
      <c r="P60" s="88"/>
      <c r="Q60" s="88"/>
      <c r="R60" s="88"/>
      <c r="S60" s="88"/>
      <c r="T60" s="88"/>
      <c r="U60" s="88"/>
      <c r="V60" s="6006" t="s">
        <v>4458</v>
      </c>
      <c r="W60" s="88"/>
      <c r="X60" s="88"/>
      <c r="Y60" s="88"/>
      <c r="Z60" s="2666"/>
      <c r="AA60" s="88"/>
      <c r="AB60" s="88"/>
      <c r="AC60" s="88"/>
      <c r="AD60" s="88"/>
      <c r="AE60" s="88"/>
      <c r="AF60" s="88"/>
      <c r="AG60" s="2013"/>
    </row>
    <row r="61" spans="1:55" ht="16.5" thickBot="1">
      <c r="A61" s="2013"/>
      <c r="B61" s="11436" t="str">
        <f>Names</f>
        <v/>
      </c>
      <c r="C61" s="11437"/>
      <c r="D61" s="11437"/>
      <c r="E61" s="11437"/>
      <c r="F61" s="11437"/>
      <c r="G61" s="11437"/>
      <c r="H61" s="11437"/>
      <c r="I61" s="11437"/>
      <c r="J61" s="11437"/>
      <c r="K61" s="11437"/>
      <c r="L61" s="11437"/>
      <c r="M61" s="11437"/>
      <c r="N61" s="11437"/>
      <c r="O61" s="11437"/>
      <c r="P61" s="11437"/>
      <c r="Q61" s="11437"/>
      <c r="R61" s="11437"/>
      <c r="S61" s="11437"/>
      <c r="T61" s="11437"/>
      <c r="U61" s="11438"/>
      <c r="V61" s="11439">
        <f>IF(NoSSN,"",SS_Yours)</f>
        <v>1010001</v>
      </c>
      <c r="W61" s="11440"/>
      <c r="X61" s="11440"/>
      <c r="Y61" s="11440"/>
      <c r="Z61" s="11440"/>
      <c r="AA61" s="11440"/>
      <c r="AB61" s="11440"/>
      <c r="AC61" s="11440"/>
      <c r="AD61" s="11440"/>
      <c r="AE61" s="11440"/>
      <c r="AF61" s="11440"/>
      <c r="AG61" s="2013"/>
    </row>
    <row r="62" spans="1:55" ht="12.75" customHeight="1">
      <c r="A62" s="2013"/>
      <c r="B62" s="11443" t="s">
        <v>6410</v>
      </c>
      <c r="C62" s="11444"/>
      <c r="D62" s="11444"/>
      <c r="E62" s="11444"/>
      <c r="F62" s="11444"/>
      <c r="G62" s="11444"/>
      <c r="H62" s="11444"/>
      <c r="I62" s="11444"/>
      <c r="J62" s="11444"/>
      <c r="K62" s="11444"/>
      <c r="L62" s="11444"/>
      <c r="M62" s="11444"/>
      <c r="N62" s="11444"/>
      <c r="O62" s="11444"/>
      <c r="P62" s="11444"/>
      <c r="Q62" s="11444"/>
      <c r="R62" s="11444"/>
      <c r="S62" s="11444"/>
      <c r="T62" s="11444"/>
      <c r="U62" s="11444"/>
      <c r="V62" s="11444"/>
      <c r="W62" s="11444"/>
      <c r="X62" s="11444"/>
      <c r="Y62" s="11444"/>
      <c r="Z62" s="11444"/>
      <c r="AA62" s="11444"/>
      <c r="AB62" s="11444"/>
      <c r="AC62" s="11444"/>
      <c r="AD62" s="11444"/>
      <c r="AE62" s="11444"/>
      <c r="AF62" s="11444"/>
      <c r="AG62" s="2013"/>
    </row>
    <row r="63" spans="1:55" ht="12.75" customHeight="1">
      <c r="A63" s="2013"/>
      <c r="B63" s="9174"/>
      <c r="C63" s="9174"/>
      <c r="D63" s="9174"/>
      <c r="E63" s="9174"/>
      <c r="F63" s="9174"/>
      <c r="G63" s="9174"/>
      <c r="H63" s="9174"/>
      <c r="I63" s="9174"/>
      <c r="J63" s="9174"/>
      <c r="K63" s="9174"/>
      <c r="L63" s="9174"/>
      <c r="M63" s="9174"/>
      <c r="N63" s="9174"/>
      <c r="O63" s="9174"/>
      <c r="P63" s="9174"/>
      <c r="Q63" s="9174"/>
      <c r="R63" s="9174"/>
      <c r="S63" s="9174"/>
      <c r="T63" s="9174"/>
      <c r="U63" s="9174"/>
      <c r="V63" s="9174"/>
      <c r="W63" s="9174"/>
      <c r="X63" s="9174"/>
      <c r="Y63" s="9174"/>
      <c r="Z63" s="9174"/>
      <c r="AA63" s="9174"/>
      <c r="AB63" s="9174"/>
      <c r="AC63" s="9174"/>
      <c r="AD63" s="9174"/>
      <c r="AE63" s="9174"/>
      <c r="AF63" s="9174"/>
      <c r="AG63" s="2013"/>
    </row>
    <row r="64" spans="1:55" ht="12.75" customHeight="1">
      <c r="A64" s="2013"/>
      <c r="B64" s="9004"/>
      <c r="C64" s="9004"/>
      <c r="D64" s="9004"/>
      <c r="E64" s="9004"/>
      <c r="F64" s="9004"/>
      <c r="G64" s="9004"/>
      <c r="H64" s="9004"/>
      <c r="I64" s="9004"/>
      <c r="J64" s="9004"/>
      <c r="K64" s="9004"/>
      <c r="L64" s="9004"/>
      <c r="M64" s="9004"/>
      <c r="N64" s="9004"/>
      <c r="O64" s="9004"/>
      <c r="P64" s="9004"/>
      <c r="Q64" s="9004"/>
      <c r="R64" s="9004"/>
      <c r="S64" s="9004"/>
      <c r="T64" s="9004"/>
      <c r="U64" s="9004"/>
      <c r="V64" s="9004"/>
      <c r="W64" s="9004"/>
      <c r="X64" s="9004"/>
      <c r="Y64" s="9004"/>
      <c r="Z64" s="9004"/>
      <c r="AA64" s="9004"/>
      <c r="AB64" s="9004"/>
      <c r="AC64" s="9004"/>
      <c r="AD64" s="9004"/>
      <c r="AE64" s="9004"/>
      <c r="AF64" s="9004"/>
      <c r="AG64" s="2013"/>
    </row>
    <row r="65" spans="1:55" ht="3.75" customHeight="1">
      <c r="A65" s="2013"/>
      <c r="B65" s="88"/>
      <c r="C65" s="88"/>
      <c r="D65" s="88"/>
      <c r="E65" s="88"/>
      <c r="F65" s="88"/>
      <c r="G65" s="88"/>
      <c r="H65" s="88"/>
      <c r="I65" s="88"/>
      <c r="J65" s="88"/>
      <c r="K65" s="88"/>
      <c r="L65" s="88"/>
      <c r="M65" s="88"/>
      <c r="N65" s="88"/>
      <c r="O65" s="88"/>
      <c r="P65" s="88"/>
      <c r="Q65" s="88"/>
      <c r="R65" s="88"/>
      <c r="S65" s="88"/>
      <c r="T65" s="88"/>
      <c r="U65" s="88"/>
      <c r="V65" s="88"/>
      <c r="W65" s="88"/>
      <c r="X65" s="88"/>
      <c r="Y65" s="88"/>
      <c r="Z65" s="88"/>
      <c r="AA65" s="88"/>
      <c r="AB65" s="88"/>
      <c r="AC65" s="88"/>
      <c r="AD65" s="88"/>
      <c r="AE65" s="88"/>
      <c r="AF65" s="88"/>
      <c r="AG65" s="2013"/>
    </row>
    <row r="66" spans="1:55" ht="15">
      <c r="A66" s="2013"/>
      <c r="B66" s="11435" t="s">
        <v>868</v>
      </c>
      <c r="C66" s="9782"/>
      <c r="D66" s="88"/>
      <c r="E66" s="3414" t="s">
        <v>5432</v>
      </c>
      <c r="F66" s="1836"/>
      <c r="G66" s="1836"/>
      <c r="H66" s="1836"/>
      <c r="I66" s="1836" t="s">
        <v>5433</v>
      </c>
      <c r="J66" s="1836"/>
      <c r="K66" s="1836"/>
      <c r="L66" s="1836"/>
      <c r="M66" s="1836"/>
      <c r="N66" s="1836"/>
      <c r="O66" s="1836"/>
      <c r="P66" s="3414"/>
      <c r="Q66" s="1836"/>
      <c r="R66" s="1836"/>
      <c r="S66" s="1836"/>
      <c r="T66" s="1836"/>
      <c r="U66" s="1836"/>
      <c r="V66" s="1836"/>
      <c r="W66" s="1836"/>
      <c r="X66" s="1836"/>
      <c r="Y66" s="1836"/>
      <c r="Z66" s="1836"/>
      <c r="AA66" s="1836"/>
      <c r="AB66" s="1836"/>
      <c r="AC66" s="1836"/>
      <c r="AD66" s="1836"/>
      <c r="AE66" s="1836"/>
      <c r="AF66" s="1836"/>
      <c r="AG66" s="2013" t="b">
        <f>IF(SUM(AG91:AG101)&gt;0,TRUE,FALSE)</f>
        <v>0</v>
      </c>
    </row>
    <row r="67" spans="1:55" ht="12.75" customHeight="1">
      <c r="A67" s="2013"/>
      <c r="B67" s="88"/>
      <c r="C67" s="88"/>
      <c r="D67" s="88"/>
      <c r="E67" s="1836" t="s">
        <v>4484</v>
      </c>
      <c r="F67" s="1836"/>
      <c r="G67" s="1836"/>
      <c r="H67" s="1836"/>
      <c r="I67" s="1836"/>
      <c r="J67" s="1836"/>
      <c r="K67" s="1836"/>
      <c r="L67" s="1836"/>
      <c r="M67" s="1836"/>
      <c r="N67" s="1836"/>
      <c r="O67" s="1836"/>
      <c r="P67" s="1836"/>
      <c r="Q67" s="1836"/>
      <c r="R67" s="1836"/>
      <c r="S67" s="1836"/>
      <c r="T67" s="1836"/>
      <c r="U67" s="1836"/>
      <c r="V67" s="1836"/>
      <c r="W67" s="1836"/>
      <c r="X67" s="1836"/>
      <c r="Y67" s="1836"/>
      <c r="Z67" s="1836"/>
      <c r="AA67" s="1836"/>
      <c r="AB67" s="1836"/>
      <c r="AC67" s="1836"/>
      <c r="AD67" s="1836"/>
      <c r="AE67" s="1836"/>
      <c r="AF67" s="1836"/>
      <c r="AG67" s="2013"/>
    </row>
    <row r="68" spans="1:55" ht="13.5" customHeight="1">
      <c r="A68" s="2013"/>
      <c r="B68" s="88"/>
      <c r="C68" s="88"/>
      <c r="D68" s="88"/>
      <c r="E68" s="3440" t="s">
        <v>6411</v>
      </c>
      <c r="F68" s="88"/>
      <c r="G68" s="88"/>
      <c r="H68" s="88"/>
      <c r="I68" s="88"/>
      <c r="J68" s="88"/>
      <c r="K68" s="88"/>
      <c r="L68" s="88"/>
      <c r="M68" s="88"/>
      <c r="N68" s="88"/>
      <c r="O68" s="88"/>
      <c r="P68" s="88"/>
      <c r="Q68" s="88"/>
      <c r="R68" s="88"/>
      <c r="S68" s="88"/>
      <c r="T68" s="1836"/>
      <c r="U68" s="88"/>
      <c r="V68" s="88"/>
      <c r="W68" s="88"/>
      <c r="X68" s="1560"/>
      <c r="Y68" s="88"/>
      <c r="Z68" s="88"/>
      <c r="AA68" s="88"/>
      <c r="AB68" s="88"/>
      <c r="AC68" s="88"/>
      <c r="AD68" s="88"/>
      <c r="AE68" s="88"/>
      <c r="AF68" s="88"/>
      <c r="AG68" s="2013"/>
      <c r="AS68" s="506"/>
      <c r="AT68" s="506"/>
      <c r="AU68" s="506"/>
      <c r="AV68" s="506"/>
      <c r="AW68" s="506"/>
      <c r="AX68" s="506"/>
      <c r="AY68" s="506"/>
      <c r="AZ68" s="506"/>
      <c r="BA68" s="506"/>
      <c r="BB68" s="506"/>
      <c r="BC68" s="506"/>
    </row>
    <row r="69" spans="1:55" ht="13.5" customHeight="1">
      <c r="A69" s="2013"/>
      <c r="B69" s="88"/>
      <c r="C69" s="88"/>
      <c r="D69" s="88"/>
      <c r="E69" s="1836" t="s">
        <v>6408</v>
      </c>
      <c r="F69" s="88"/>
      <c r="G69" s="88"/>
      <c r="H69" s="88"/>
      <c r="I69" s="88"/>
      <c r="J69" s="88"/>
      <c r="K69" s="88"/>
      <c r="L69" s="88"/>
      <c r="M69" s="88"/>
      <c r="N69" s="88"/>
      <c r="O69" s="88"/>
      <c r="P69" s="88"/>
      <c r="Q69" s="88"/>
      <c r="R69" s="88"/>
      <c r="S69" s="88"/>
      <c r="T69" s="1836"/>
      <c r="U69" s="88"/>
      <c r="V69" s="88"/>
      <c r="W69" s="88"/>
      <c r="X69" s="1560"/>
      <c r="Y69" s="88"/>
      <c r="Z69" s="88"/>
      <c r="AA69" s="88"/>
      <c r="AB69" s="88"/>
      <c r="AC69" s="88"/>
      <c r="AD69" s="88"/>
      <c r="AE69" s="88"/>
      <c r="AF69" s="88"/>
      <c r="AG69" s="2013"/>
      <c r="AS69" s="506"/>
      <c r="AT69" s="506"/>
      <c r="AU69" s="506"/>
      <c r="AV69" s="506"/>
      <c r="AW69" s="506"/>
      <c r="AX69" s="506"/>
      <c r="AY69" s="506"/>
      <c r="AZ69" s="506"/>
      <c r="BA69" s="506"/>
      <c r="BB69" s="506"/>
      <c r="BC69" s="506"/>
    </row>
    <row r="70" spans="1:55" ht="13.5" customHeight="1">
      <c r="A70" s="2013"/>
      <c r="B70" s="2432"/>
      <c r="C70" s="2432"/>
      <c r="D70" s="2432"/>
      <c r="E70" s="6008" t="s">
        <v>6412</v>
      </c>
      <c r="F70" s="2432"/>
      <c r="G70" s="2432"/>
      <c r="H70" s="2432"/>
      <c r="I70" s="2432"/>
      <c r="J70" s="2432"/>
      <c r="K70" s="2432"/>
      <c r="L70" s="2432"/>
      <c r="M70" s="2432"/>
      <c r="N70" s="2432"/>
      <c r="O70" s="2432"/>
      <c r="P70" s="2432"/>
      <c r="Q70" s="2432"/>
      <c r="R70" s="2432"/>
      <c r="S70" s="2432"/>
      <c r="T70" s="2432"/>
      <c r="U70" s="2432"/>
      <c r="V70" s="2432"/>
      <c r="W70" s="2432"/>
      <c r="X70" s="2432"/>
      <c r="Y70" s="2432"/>
      <c r="Z70" s="2432"/>
      <c r="AA70" s="2432"/>
      <c r="AB70" s="2432"/>
      <c r="AC70" s="2432"/>
      <c r="AD70" s="2432"/>
      <c r="AE70" s="2432"/>
      <c r="AF70" s="2432"/>
      <c r="AG70" s="2013"/>
      <c r="AS70" s="506"/>
      <c r="AT70" s="506"/>
      <c r="AU70" s="506"/>
      <c r="AV70" s="506"/>
      <c r="AW70" s="506"/>
      <c r="AX70" s="506"/>
      <c r="AY70" s="506"/>
      <c r="AZ70" s="506"/>
      <c r="BA70" s="506"/>
      <c r="BB70" s="506"/>
      <c r="BC70" s="506"/>
    </row>
    <row r="71" spans="1:55" ht="14.25">
      <c r="A71" s="2013"/>
      <c r="B71" s="226" t="s">
        <v>6413</v>
      </c>
      <c r="C71" s="247"/>
      <c r="D71" s="247"/>
      <c r="E71" s="247"/>
      <c r="F71" s="247"/>
      <c r="G71" s="247"/>
      <c r="H71" s="247"/>
      <c r="I71" s="247"/>
      <c r="J71" s="247"/>
      <c r="K71" s="1183"/>
      <c r="L71" s="247"/>
      <c r="M71" s="226" t="s">
        <v>4460</v>
      </c>
      <c r="N71" s="226"/>
      <c r="O71" s="247"/>
      <c r="P71" s="1560"/>
      <c r="Q71" s="247"/>
      <c r="R71" s="247"/>
      <c r="S71" s="247"/>
      <c r="T71" s="1836"/>
      <c r="U71" s="247"/>
      <c r="V71" s="247"/>
      <c r="W71" s="247"/>
      <c r="X71" s="247"/>
      <c r="Y71" s="247"/>
      <c r="Z71" s="247"/>
      <c r="AA71" s="247"/>
      <c r="AB71" s="247"/>
      <c r="AC71" s="247"/>
      <c r="AD71" s="247"/>
      <c r="AE71" s="247"/>
      <c r="AF71" s="6503" t="s">
        <v>5912</v>
      </c>
      <c r="AG71" s="2013"/>
    </row>
    <row r="72" spans="1:55">
      <c r="A72" s="2013"/>
      <c r="B72" s="1560" t="s">
        <v>5911</v>
      </c>
      <c r="C72" s="247"/>
      <c r="D72" s="247"/>
      <c r="E72" s="247"/>
      <c r="F72" s="247"/>
      <c r="G72" s="247"/>
      <c r="H72" s="247"/>
      <c r="I72" s="247"/>
      <c r="J72" s="247"/>
      <c r="K72" s="247"/>
      <c r="L72" s="247"/>
      <c r="M72" s="247"/>
      <c r="N72" s="247"/>
      <c r="O72" s="247"/>
      <c r="P72" s="247"/>
      <c r="Q72" s="247"/>
      <c r="R72" s="247"/>
      <c r="S72" s="247"/>
      <c r="T72" s="247"/>
      <c r="U72" s="247"/>
      <c r="V72" s="247"/>
      <c r="W72" s="247"/>
      <c r="X72" s="247"/>
      <c r="Y72" s="247"/>
      <c r="Z72" s="247"/>
      <c r="AA72" s="247"/>
      <c r="AB72" s="247"/>
      <c r="AC72" s="247"/>
      <c r="AD72" s="247"/>
      <c r="AE72" s="247"/>
      <c r="AF72" s="247"/>
      <c r="AG72" s="2013"/>
      <c r="BA72" s="11475" t="s">
        <v>4463</v>
      </c>
      <c r="BB72" s="8489"/>
      <c r="BC72" s="8469"/>
    </row>
    <row r="73" spans="1:55" ht="12.75" customHeight="1">
      <c r="A73" s="2013"/>
      <c r="B73" s="1560" t="str">
        <f>IF(SpaceUsed_8949A_LT,"ERROR: DO NOT use the space bar to uncheck a box. Use the 'Delete' key.","one or more of the boxes, complete as many forms with the same box checked as you need.")</f>
        <v>one or more of the boxes, complete as many forms with the same box checked as you need.</v>
      </c>
      <c r="C73" s="247"/>
      <c r="D73" s="247"/>
      <c r="E73" s="247"/>
      <c r="F73" s="247"/>
      <c r="G73" s="247"/>
      <c r="H73" s="247"/>
      <c r="I73" s="247"/>
      <c r="J73" s="247"/>
      <c r="K73" s="247"/>
      <c r="L73" s="247"/>
      <c r="M73" s="247"/>
      <c r="N73" s="247"/>
      <c r="O73" s="247"/>
      <c r="P73" s="247"/>
      <c r="Q73" s="247"/>
      <c r="R73" s="247"/>
      <c r="S73" s="247"/>
      <c r="T73" s="247"/>
      <c r="U73" s="247"/>
      <c r="V73" s="247"/>
      <c r="W73" s="247"/>
      <c r="X73" s="247"/>
      <c r="Y73" s="247"/>
      <c r="Z73" s="247"/>
      <c r="AA73" s="247"/>
      <c r="AB73" s="247"/>
      <c r="AC73" s="247"/>
      <c r="AD73" s="247"/>
      <c r="AE73" s="247"/>
      <c r="AF73" s="247"/>
      <c r="AG73" s="2013"/>
      <c r="AJ73" s="3809"/>
      <c r="AK73" s="3809"/>
      <c r="AL73" s="3809"/>
      <c r="AM73" s="3809"/>
      <c r="AN73" s="3809"/>
      <c r="AO73" s="3809"/>
      <c r="AP73" s="3809"/>
      <c r="AQ73" s="3809"/>
      <c r="BA73" s="11476" t="s">
        <v>4464</v>
      </c>
      <c r="BB73" s="11476" t="s">
        <v>4465</v>
      </c>
      <c r="BC73" s="11476" t="s">
        <v>4466</v>
      </c>
    </row>
    <row r="74" spans="1:55" ht="4.5" customHeight="1" thickBot="1">
      <c r="A74" s="2013"/>
      <c r="B74" s="247"/>
      <c r="C74" s="247"/>
      <c r="D74" s="247"/>
      <c r="E74" s="247"/>
      <c r="F74" s="247"/>
      <c r="G74" s="247"/>
      <c r="H74" s="247"/>
      <c r="I74" s="247"/>
      <c r="J74" s="247"/>
      <c r="K74" s="247"/>
      <c r="L74" s="247"/>
      <c r="M74" s="247"/>
      <c r="N74" s="247"/>
      <c r="O74" s="247"/>
      <c r="P74" s="247"/>
      <c r="Q74" s="247"/>
      <c r="R74" s="247"/>
      <c r="S74" s="247"/>
      <c r="T74" s="247"/>
      <c r="U74" s="247"/>
      <c r="V74" s="247"/>
      <c r="W74" s="247"/>
      <c r="X74" s="247"/>
      <c r="Y74" s="247"/>
      <c r="Z74" s="247"/>
      <c r="AA74" s="247"/>
      <c r="AB74" s="247"/>
      <c r="AC74" s="247"/>
      <c r="AD74" s="247"/>
      <c r="AE74" s="247"/>
      <c r="AF74" s="247"/>
      <c r="AG74" s="2013"/>
      <c r="BA74" s="11477"/>
      <c r="BB74" s="11477"/>
      <c r="BC74" s="11477"/>
    </row>
    <row r="75" spans="1:55" ht="12" customHeight="1" thickBot="1">
      <c r="A75" s="2013"/>
      <c r="B75" s="1039">
        <f>IF(C75&lt;&gt;"",1,0)</f>
        <v>0</v>
      </c>
      <c r="C75" s="300"/>
      <c r="D75" s="3440" t="s">
        <v>5898</v>
      </c>
      <c r="E75" s="247"/>
      <c r="F75" s="247"/>
      <c r="G75" s="247"/>
      <c r="H75" s="247"/>
      <c r="I75" s="247"/>
      <c r="J75" s="247"/>
      <c r="K75" s="247"/>
      <c r="L75" s="247"/>
      <c r="M75" s="247"/>
      <c r="N75" s="247"/>
      <c r="O75" s="247"/>
      <c r="P75" s="247"/>
      <c r="Q75" s="247"/>
      <c r="R75" s="247"/>
      <c r="S75" s="247"/>
      <c r="T75" s="247"/>
      <c r="U75" s="247"/>
      <c r="V75" s="247"/>
      <c r="W75" s="247"/>
      <c r="X75" s="247"/>
      <c r="Y75" s="247"/>
      <c r="Z75" s="247"/>
      <c r="AA75" s="247"/>
      <c r="AB75" s="247"/>
      <c r="AC75" s="247"/>
      <c r="AD75" s="247"/>
      <c r="AE75" s="247"/>
      <c r="AF75" s="247"/>
      <c r="AG75" s="2013"/>
      <c r="AJ75" s="11381"/>
      <c r="AK75" s="11381"/>
      <c r="AL75" s="11381"/>
      <c r="AM75" s="11381"/>
      <c r="AN75" s="11381"/>
      <c r="AO75" s="11381"/>
      <c r="AP75" s="11381"/>
      <c r="AQ75" s="11381"/>
      <c r="BA75" s="11477"/>
      <c r="BB75" s="11477"/>
      <c r="BC75" s="11477"/>
    </row>
    <row r="76" spans="1:55" ht="4.5" customHeight="1" thickBot="1">
      <c r="A76" s="2013"/>
      <c r="B76" s="6017"/>
      <c r="C76" s="247"/>
      <c r="D76" s="1836"/>
      <c r="E76" s="247"/>
      <c r="F76" s="247"/>
      <c r="G76" s="247"/>
      <c r="H76" s="247"/>
      <c r="I76" s="247"/>
      <c r="J76" s="247"/>
      <c r="K76" s="247"/>
      <c r="L76" s="247"/>
      <c r="M76" s="247"/>
      <c r="N76" s="247"/>
      <c r="O76" s="247"/>
      <c r="P76" s="247"/>
      <c r="Q76" s="247"/>
      <c r="R76" s="247"/>
      <c r="S76" s="247"/>
      <c r="T76" s="247"/>
      <c r="U76" s="247"/>
      <c r="V76" s="247"/>
      <c r="W76" s="247"/>
      <c r="X76" s="247"/>
      <c r="Y76" s="247"/>
      <c r="Z76" s="247"/>
      <c r="AA76" s="247"/>
      <c r="AB76" s="247"/>
      <c r="AC76" s="247"/>
      <c r="AD76" s="247"/>
      <c r="AE76" s="247"/>
      <c r="AF76" s="247"/>
      <c r="AG76" s="2013"/>
      <c r="BA76" s="11477"/>
      <c r="BB76" s="11477"/>
      <c r="BC76" s="11477"/>
    </row>
    <row r="77" spans="1:55" ht="11.25" customHeight="1" thickBot="1">
      <c r="A77" s="2013"/>
      <c r="B77" s="1039">
        <f>IF(C77&lt;&gt;"",1,0)</f>
        <v>0</v>
      </c>
      <c r="C77" s="300"/>
      <c r="D77" s="3440" t="s">
        <v>5899</v>
      </c>
      <c r="E77" s="247"/>
      <c r="F77" s="247"/>
      <c r="G77" s="247"/>
      <c r="H77" s="247"/>
      <c r="I77" s="247"/>
      <c r="J77" s="247"/>
      <c r="K77" s="247"/>
      <c r="L77" s="247"/>
      <c r="M77" s="247"/>
      <c r="N77" s="247"/>
      <c r="O77" s="247"/>
      <c r="P77" s="247"/>
      <c r="Q77" s="504"/>
      <c r="R77" s="504"/>
      <c r="S77" s="504"/>
      <c r="T77" s="504"/>
      <c r="U77" s="504"/>
      <c r="V77" s="504"/>
      <c r="W77" s="504"/>
      <c r="X77" s="504"/>
      <c r="Y77" s="504"/>
      <c r="Z77" s="504"/>
      <c r="AA77" s="504"/>
      <c r="AB77" s="504"/>
      <c r="AC77" s="504"/>
      <c r="AD77" s="504"/>
      <c r="AE77" s="247"/>
      <c r="AF77" s="247"/>
      <c r="AG77" s="2013"/>
      <c r="AJ77" s="11381"/>
      <c r="AK77" s="11381"/>
      <c r="AL77" s="11381"/>
      <c r="AM77" s="11381"/>
      <c r="AN77" s="11381"/>
      <c r="AO77" s="11381"/>
      <c r="AP77" s="11381"/>
      <c r="AQ77" s="11381"/>
      <c r="BA77" s="11477"/>
      <c r="BB77" s="11477"/>
      <c r="BC77" s="11477"/>
    </row>
    <row r="78" spans="1:55" ht="4.5" customHeight="1" thickBot="1">
      <c r="A78" s="2013"/>
      <c r="B78" s="6017"/>
      <c r="C78" s="247"/>
      <c r="D78" s="1836"/>
      <c r="E78" s="247"/>
      <c r="F78" s="247"/>
      <c r="G78" s="247"/>
      <c r="H78" s="247"/>
      <c r="I78" s="247"/>
      <c r="J78" s="247"/>
      <c r="K78" s="247"/>
      <c r="L78" s="247"/>
      <c r="M78" s="247"/>
      <c r="N78" s="247"/>
      <c r="O78" s="247"/>
      <c r="P78" s="247"/>
      <c r="Q78" s="504"/>
      <c r="R78" s="504"/>
      <c r="S78" s="504"/>
      <c r="T78" s="504"/>
      <c r="U78" s="504"/>
      <c r="V78" s="504"/>
      <c r="W78" s="504"/>
      <c r="X78" s="504"/>
      <c r="Y78" s="504"/>
      <c r="Z78" s="504"/>
      <c r="AA78" s="504"/>
      <c r="AB78" s="504"/>
      <c r="AC78" s="504"/>
      <c r="AD78" s="504"/>
      <c r="AE78" s="247"/>
      <c r="AF78" s="247"/>
      <c r="AG78" s="2013"/>
      <c r="BA78" s="11477"/>
      <c r="BB78" s="11477"/>
      <c r="BC78" s="11477"/>
    </row>
    <row r="79" spans="1:55" ht="12" customHeight="1" thickBot="1">
      <c r="A79" s="2013">
        <f>SUM(B75:B79)</f>
        <v>0</v>
      </c>
      <c r="B79" s="1039">
        <f>IF(C79&lt;&gt;"",1,0)</f>
        <v>0</v>
      </c>
      <c r="C79" s="300"/>
      <c r="D79" s="3440" t="s">
        <v>5900</v>
      </c>
      <c r="E79" s="247"/>
      <c r="F79" s="247"/>
      <c r="G79" s="247"/>
      <c r="H79" s="247"/>
      <c r="I79" s="247"/>
      <c r="J79" s="247"/>
      <c r="K79" s="247"/>
      <c r="L79" s="247"/>
      <c r="M79" s="247"/>
      <c r="N79" s="247"/>
      <c r="O79" s="247"/>
      <c r="P79" s="247"/>
      <c r="Q79" s="6018"/>
      <c r="R79" s="6019"/>
      <c r="S79" s="3823"/>
      <c r="T79" s="3823"/>
      <c r="U79" s="3823"/>
      <c r="V79" s="3823"/>
      <c r="W79" s="3823"/>
      <c r="X79" s="3823"/>
      <c r="Y79" s="3823"/>
      <c r="Z79" s="3823"/>
      <c r="AA79" s="3823"/>
      <c r="AB79" s="3823"/>
      <c r="AC79" s="3823"/>
      <c r="AD79" s="3823"/>
      <c r="AE79" s="3823"/>
      <c r="AF79" s="247"/>
      <c r="AG79" s="2013"/>
      <c r="AH79" s="318" t="b">
        <f>OR(F8949ALBOXD=CHAR(32),F8949ALBOXE=CHAR(32),F8949ALBOXF=CHAR(32),F8949ALBOXJ=CHAR(32),F8949ALBOXK=CHAR(32),F8949ALBOXL=CHAR(32))</f>
        <v>0</v>
      </c>
      <c r="AJ79" s="3809"/>
      <c r="AK79" s="3809"/>
      <c r="AL79" s="3809"/>
      <c r="AM79" s="3809"/>
      <c r="AN79" s="3809"/>
      <c r="AO79" s="3809"/>
      <c r="AP79" s="3809"/>
      <c r="AQ79" s="3809"/>
      <c r="BA79" s="11477"/>
      <c r="BB79" s="11477"/>
      <c r="BC79" s="11477"/>
    </row>
    <row r="80" spans="1:55" ht="4.5" customHeight="1" thickBot="1">
      <c r="A80" s="2013"/>
      <c r="B80" s="247"/>
      <c r="C80" s="247"/>
      <c r="D80" s="1836"/>
      <c r="E80" s="247"/>
      <c r="F80" s="247"/>
      <c r="G80" s="247"/>
      <c r="H80" s="247"/>
      <c r="I80" s="247"/>
      <c r="J80" s="247"/>
      <c r="K80" s="247"/>
      <c r="L80" s="247"/>
      <c r="M80" s="247"/>
      <c r="N80" s="247"/>
      <c r="O80" s="247"/>
      <c r="P80" s="247"/>
      <c r="Q80" s="247"/>
      <c r="R80" s="247"/>
      <c r="S80" s="247"/>
      <c r="T80" s="247"/>
      <c r="U80" s="247"/>
      <c r="V80" s="247"/>
      <c r="W80" s="247"/>
      <c r="X80" s="247"/>
      <c r="Y80" s="247"/>
      <c r="Z80" s="247"/>
      <c r="AA80" s="247"/>
      <c r="AB80" s="247"/>
      <c r="AC80" s="247"/>
      <c r="AD80" s="247"/>
      <c r="AE80" s="247"/>
      <c r="AF80" s="247"/>
      <c r="AG80" s="2013"/>
      <c r="BA80" s="11477"/>
      <c r="BB80" s="11477"/>
      <c r="BC80" s="11477"/>
    </row>
    <row r="81" spans="1:55" ht="12" customHeight="1" thickBot="1">
      <c r="A81" s="2013"/>
      <c r="B81" s="1039">
        <f>IF(C81&lt;&gt;"",1,0)</f>
        <v>0</v>
      </c>
      <c r="C81" s="300"/>
      <c r="D81" s="3440" t="s">
        <v>5901</v>
      </c>
      <c r="E81" s="247"/>
      <c r="F81" s="247"/>
      <c r="G81" s="247"/>
      <c r="H81" s="247"/>
      <c r="I81" s="247"/>
      <c r="J81" s="247"/>
      <c r="K81" s="247"/>
      <c r="L81" s="247"/>
      <c r="M81" s="247"/>
      <c r="N81" s="247"/>
      <c r="O81" s="247"/>
      <c r="P81" s="247"/>
      <c r="Q81" s="247"/>
      <c r="R81" s="247"/>
      <c r="S81" s="247"/>
      <c r="T81" s="247"/>
      <c r="U81" s="247"/>
      <c r="V81" s="247"/>
      <c r="W81" s="247"/>
      <c r="X81" s="247"/>
      <c r="Y81" s="247"/>
      <c r="Z81" s="247"/>
      <c r="AA81" s="247"/>
      <c r="AB81" s="247"/>
      <c r="AC81" s="247"/>
      <c r="AD81" s="247"/>
      <c r="AE81" s="247"/>
      <c r="AF81" s="247"/>
      <c r="AG81" s="2013"/>
      <c r="AJ81" s="11381"/>
      <c r="AK81" s="11381"/>
      <c r="AL81" s="11381"/>
      <c r="AM81" s="11381"/>
      <c r="AN81" s="11381"/>
      <c r="AO81" s="11381"/>
      <c r="AP81" s="11381"/>
      <c r="AQ81" s="11381"/>
      <c r="BA81" s="11477"/>
      <c r="BB81" s="11477"/>
      <c r="BC81" s="11477"/>
    </row>
    <row r="82" spans="1:55" ht="4.5" customHeight="1" thickBot="1">
      <c r="A82" s="2013"/>
      <c r="B82" s="6017"/>
      <c r="C82" s="247"/>
      <c r="D82" s="1836"/>
      <c r="E82" s="247"/>
      <c r="F82" s="247"/>
      <c r="G82" s="247"/>
      <c r="H82" s="247"/>
      <c r="I82" s="247"/>
      <c r="J82" s="247"/>
      <c r="K82" s="247"/>
      <c r="L82" s="247"/>
      <c r="M82" s="247"/>
      <c r="N82" s="247"/>
      <c r="O82" s="247"/>
      <c r="P82" s="247"/>
      <c r="Q82" s="247"/>
      <c r="R82" s="247"/>
      <c r="S82" s="247"/>
      <c r="T82" s="247"/>
      <c r="U82" s="247"/>
      <c r="V82" s="247"/>
      <c r="W82" s="247"/>
      <c r="X82" s="247"/>
      <c r="Y82" s="247"/>
      <c r="Z82" s="247"/>
      <c r="AA82" s="247"/>
      <c r="AB82" s="247"/>
      <c r="AC82" s="247"/>
      <c r="AD82" s="247"/>
      <c r="AE82" s="247"/>
      <c r="AF82" s="247"/>
      <c r="AG82" s="2013"/>
      <c r="BA82" s="11477"/>
      <c r="BB82" s="11477"/>
      <c r="BC82" s="11477"/>
    </row>
    <row r="83" spans="1:55" ht="11.25" customHeight="1" thickBot="1">
      <c r="A83" s="2013"/>
      <c r="B83" s="1039">
        <f>IF(C83&lt;&gt;"",1,0)</f>
        <v>0</v>
      </c>
      <c r="C83" s="300"/>
      <c r="D83" s="3440" t="s">
        <v>5902</v>
      </c>
      <c r="E83" s="247"/>
      <c r="F83" s="247"/>
      <c r="G83" s="247"/>
      <c r="H83" s="247"/>
      <c r="I83" s="247"/>
      <c r="J83" s="247"/>
      <c r="K83" s="247"/>
      <c r="L83" s="247"/>
      <c r="M83" s="247"/>
      <c r="N83" s="247"/>
      <c r="O83" s="247"/>
      <c r="P83" s="247"/>
      <c r="Q83" s="504"/>
      <c r="R83" s="504"/>
      <c r="S83" s="504"/>
      <c r="T83" s="504"/>
      <c r="U83" s="504"/>
      <c r="V83" s="504"/>
      <c r="W83" s="504"/>
      <c r="X83" s="504"/>
      <c r="Y83" s="504"/>
      <c r="Z83" s="504"/>
      <c r="AA83" s="504"/>
      <c r="AB83" s="504"/>
      <c r="AC83" s="504"/>
      <c r="AD83" s="504"/>
      <c r="AE83" s="247"/>
      <c r="AF83" s="247"/>
      <c r="AG83" s="2013"/>
      <c r="AJ83" s="11381"/>
      <c r="AK83" s="11381"/>
      <c r="AL83" s="11381"/>
      <c r="AM83" s="11381"/>
      <c r="AN83" s="11381"/>
      <c r="AO83" s="11381"/>
      <c r="AP83" s="11381"/>
      <c r="AQ83" s="11381"/>
      <c r="BA83" s="11477"/>
      <c r="BB83" s="11477"/>
      <c r="BC83" s="11477"/>
    </row>
    <row r="84" spans="1:55" ht="4.5" customHeight="1" thickBot="1">
      <c r="A84" s="2013"/>
      <c r="B84" s="6017"/>
      <c r="C84" s="247"/>
      <c r="D84" s="1836"/>
      <c r="E84" s="247"/>
      <c r="F84" s="247"/>
      <c r="G84" s="247"/>
      <c r="H84" s="247"/>
      <c r="I84" s="247"/>
      <c r="J84" s="247"/>
      <c r="K84" s="247"/>
      <c r="L84" s="247"/>
      <c r="M84" s="247"/>
      <c r="N84" s="247"/>
      <c r="O84" s="247"/>
      <c r="P84" s="247"/>
      <c r="Q84" s="504"/>
      <c r="R84" s="504"/>
      <c r="S84" s="504"/>
      <c r="T84" s="504"/>
      <c r="U84" s="504"/>
      <c r="V84" s="504"/>
      <c r="W84" s="504"/>
      <c r="X84" s="504"/>
      <c r="Y84" s="504"/>
      <c r="Z84" s="504"/>
      <c r="AA84" s="504"/>
      <c r="AB84" s="504"/>
      <c r="AC84" s="504"/>
      <c r="AD84" s="504"/>
      <c r="AE84" s="247"/>
      <c r="AF84" s="247"/>
      <c r="AG84" s="2013"/>
      <c r="BA84" s="11477"/>
      <c r="BB84" s="11477"/>
      <c r="BC84" s="11477"/>
    </row>
    <row r="85" spans="1:55" ht="12" customHeight="1" thickBot="1">
      <c r="A85" s="2013">
        <f>SUM(B75:B85)</f>
        <v>0</v>
      </c>
      <c r="B85" s="1039">
        <f>IF(C85&lt;&gt;"",1,0)</f>
        <v>0</v>
      </c>
      <c r="C85" s="300"/>
      <c r="D85" s="3440" t="s">
        <v>5903</v>
      </c>
      <c r="E85" s="247"/>
      <c r="F85" s="247"/>
      <c r="G85" s="247"/>
      <c r="H85" s="247"/>
      <c r="I85" s="247"/>
      <c r="J85" s="247"/>
      <c r="K85" s="247"/>
      <c r="L85" s="247"/>
      <c r="M85" s="247"/>
      <c r="N85" s="247"/>
      <c r="O85" s="247"/>
      <c r="P85" s="247"/>
      <c r="Q85" s="6018"/>
      <c r="R85" s="3823"/>
      <c r="S85" s="3823"/>
      <c r="T85" s="3823"/>
      <c r="U85" s="3823"/>
      <c r="V85" s="3823"/>
      <c r="W85" s="3823"/>
      <c r="X85" s="3823"/>
      <c r="Y85" s="3823"/>
      <c r="Z85" s="3823"/>
      <c r="AA85" s="3823"/>
      <c r="AB85" s="3823"/>
      <c r="AC85" s="3823"/>
      <c r="AD85" s="3823"/>
      <c r="AE85" s="3823"/>
      <c r="AF85" s="6020"/>
      <c r="AG85" s="2013"/>
      <c r="AH85" s="318"/>
      <c r="AJ85" s="11381" t="s">
        <v>4467</v>
      </c>
      <c r="AK85" s="11381"/>
      <c r="AL85" s="11381"/>
      <c r="AM85" s="11381"/>
      <c r="AN85" s="11381"/>
      <c r="AO85" s="11381"/>
      <c r="AP85" s="11381"/>
      <c r="AQ85" s="11381"/>
      <c r="BA85" s="11477"/>
      <c r="BB85" s="11477"/>
      <c r="BC85" s="11477"/>
    </row>
    <row r="86" spans="1:55" ht="5.25" customHeight="1">
      <c r="A86" s="2013"/>
      <c r="B86" s="6012"/>
      <c r="C86" s="6013"/>
      <c r="D86" s="6012"/>
      <c r="E86" s="6012"/>
      <c r="F86" s="6012"/>
      <c r="G86" s="6012"/>
      <c r="H86" s="6012"/>
      <c r="I86" s="6012"/>
      <c r="J86" s="6012"/>
      <c r="K86" s="6012"/>
      <c r="L86" s="6012"/>
      <c r="M86" s="6012"/>
      <c r="N86" s="6013"/>
      <c r="O86" s="6012"/>
      <c r="P86" s="6012"/>
      <c r="Q86" s="6012"/>
      <c r="R86" s="6012"/>
      <c r="S86" s="6012"/>
      <c r="T86" s="6012"/>
      <c r="U86" s="6012"/>
      <c r="V86" s="6012"/>
      <c r="W86" s="6012"/>
      <c r="X86" s="6012"/>
      <c r="Y86" s="6013"/>
      <c r="Z86" s="6012"/>
      <c r="AA86" s="6012"/>
      <c r="AB86" s="6012"/>
      <c r="AC86" s="6012"/>
      <c r="AD86" s="6012"/>
      <c r="AE86" s="6012"/>
      <c r="AF86" s="6012"/>
      <c r="AG86" s="2013"/>
      <c r="BA86" s="11477"/>
      <c r="BB86" s="11477"/>
      <c r="BC86" s="11477"/>
    </row>
    <row r="87" spans="1:55" ht="21" customHeight="1">
      <c r="A87" s="2013"/>
      <c r="B87" s="11424">
        <v>1</v>
      </c>
      <c r="C87" s="11428" t="s">
        <v>5894</v>
      </c>
      <c r="D87" s="11429"/>
      <c r="E87" s="11429"/>
      <c r="F87" s="11429"/>
      <c r="G87" s="11429"/>
      <c r="H87" s="11429"/>
      <c r="I87" s="11430"/>
      <c r="J87" s="7366" t="s">
        <v>5910</v>
      </c>
      <c r="K87" s="8481"/>
      <c r="L87" s="11396"/>
      <c r="M87" s="7366" t="s">
        <v>5895</v>
      </c>
      <c r="N87" s="8481"/>
      <c r="O87" s="8481"/>
      <c r="P87" s="11396"/>
      <c r="Q87" s="7366" t="s">
        <v>5896</v>
      </c>
      <c r="R87" s="8481"/>
      <c r="S87" s="8481"/>
      <c r="T87" s="11396"/>
      <c r="U87" s="11388" t="s">
        <v>5897</v>
      </c>
      <c r="V87" s="8460"/>
      <c r="W87" s="8460"/>
      <c r="X87" s="8323"/>
      <c r="Y87" s="11390" t="s">
        <v>4469</v>
      </c>
      <c r="Z87" s="11391"/>
      <c r="AA87" s="11391"/>
      <c r="AB87" s="11392"/>
      <c r="AC87" s="11388" t="s">
        <v>4485</v>
      </c>
      <c r="AD87" s="8460"/>
      <c r="AE87" s="8460"/>
      <c r="AF87" s="8460"/>
      <c r="AG87" s="2013"/>
      <c r="AJ87" s="11461" t="s">
        <v>4470</v>
      </c>
      <c r="AK87" s="11461" t="s">
        <v>4471</v>
      </c>
      <c r="AL87" s="11461" t="s">
        <v>4472</v>
      </c>
      <c r="AM87" s="11461" t="s">
        <v>4473</v>
      </c>
      <c r="AN87" s="11462" t="s">
        <v>4474</v>
      </c>
      <c r="AO87" s="11479" t="s">
        <v>4475</v>
      </c>
      <c r="AP87" s="8339"/>
      <c r="AQ87" s="11461" t="s">
        <v>4485</v>
      </c>
      <c r="BA87" s="11477"/>
      <c r="BB87" s="11477"/>
      <c r="BC87" s="11477"/>
    </row>
    <row r="88" spans="1:55" ht="21" customHeight="1">
      <c r="A88" s="2013"/>
      <c r="B88" s="11425"/>
      <c r="C88" s="7369"/>
      <c r="D88" s="11431"/>
      <c r="E88" s="11431"/>
      <c r="F88" s="11431"/>
      <c r="G88" s="11431"/>
      <c r="H88" s="11431"/>
      <c r="I88" s="11432"/>
      <c r="J88" s="7368"/>
      <c r="K88" s="8299"/>
      <c r="L88" s="11397"/>
      <c r="M88" s="7368"/>
      <c r="N88" s="8299"/>
      <c r="O88" s="8299"/>
      <c r="P88" s="11397"/>
      <c r="Q88" s="7368"/>
      <c r="R88" s="8299"/>
      <c r="S88" s="8299"/>
      <c r="T88" s="11397"/>
      <c r="U88" s="11389"/>
      <c r="V88" s="9500"/>
      <c r="W88" s="9500"/>
      <c r="X88" s="8325"/>
      <c r="Y88" s="11393"/>
      <c r="Z88" s="11394"/>
      <c r="AA88" s="11394"/>
      <c r="AB88" s="11395"/>
      <c r="AC88" s="11389"/>
      <c r="AD88" s="9500"/>
      <c r="AE88" s="9500"/>
      <c r="AF88" s="9500"/>
      <c r="AG88" s="2013"/>
      <c r="AJ88" s="11461"/>
      <c r="AK88" s="11461"/>
      <c r="AL88" s="11461"/>
      <c r="AM88" s="11461"/>
      <c r="AN88" s="11462"/>
      <c r="AO88" s="8457"/>
      <c r="AP88" s="8345"/>
      <c r="AQ88" s="11461"/>
      <c r="BA88" s="11477"/>
      <c r="BB88" s="11477"/>
      <c r="BC88" s="11477"/>
    </row>
    <row r="89" spans="1:55" ht="18" customHeight="1">
      <c r="A89" s="2013"/>
      <c r="B89" s="11426"/>
      <c r="C89" s="11431"/>
      <c r="D89" s="11431"/>
      <c r="E89" s="11431"/>
      <c r="F89" s="11431"/>
      <c r="G89" s="11431"/>
      <c r="H89" s="11431"/>
      <c r="I89" s="11432"/>
      <c r="J89" s="8482"/>
      <c r="K89" s="8299"/>
      <c r="L89" s="11397"/>
      <c r="M89" s="8482"/>
      <c r="N89" s="8299"/>
      <c r="O89" s="8299"/>
      <c r="P89" s="11397"/>
      <c r="Q89" s="8482"/>
      <c r="R89" s="8299"/>
      <c r="S89" s="8299"/>
      <c r="T89" s="11397"/>
      <c r="U89" s="8324"/>
      <c r="V89" s="9500"/>
      <c r="W89" s="9500"/>
      <c r="X89" s="8325"/>
      <c r="Y89" s="8439" t="s">
        <v>4477</v>
      </c>
      <c r="Z89" s="8323"/>
      <c r="AA89" s="8439" t="s">
        <v>4478</v>
      </c>
      <c r="AB89" s="8492"/>
      <c r="AC89" s="8324"/>
      <c r="AD89" s="9500"/>
      <c r="AE89" s="9500"/>
      <c r="AF89" s="9500"/>
      <c r="AG89" s="2013"/>
      <c r="AJ89" s="11461"/>
      <c r="AK89" s="11461"/>
      <c r="AL89" s="11461"/>
      <c r="AM89" s="11461"/>
      <c r="AN89" s="11462"/>
      <c r="AO89" s="8610" t="s">
        <v>4479</v>
      </c>
      <c r="AP89" s="8610" t="s">
        <v>4478</v>
      </c>
      <c r="AQ89" s="11461"/>
      <c r="BA89" s="11477"/>
      <c r="BB89" s="11477"/>
      <c r="BC89" s="11477"/>
    </row>
    <row r="90" spans="1:55" ht="18" customHeight="1">
      <c r="A90" s="2013"/>
      <c r="B90" s="11427"/>
      <c r="C90" s="11433"/>
      <c r="D90" s="11433"/>
      <c r="E90" s="11433"/>
      <c r="F90" s="11433"/>
      <c r="G90" s="11433"/>
      <c r="H90" s="11433"/>
      <c r="I90" s="11434"/>
      <c r="J90" s="8483"/>
      <c r="K90" s="8168"/>
      <c r="L90" s="11398"/>
      <c r="M90" s="8483"/>
      <c r="N90" s="8168"/>
      <c r="O90" s="8168"/>
      <c r="P90" s="11398"/>
      <c r="Q90" s="8483"/>
      <c r="R90" s="8168"/>
      <c r="S90" s="8168"/>
      <c r="T90" s="11398"/>
      <c r="U90" s="8326"/>
      <c r="V90" s="10186"/>
      <c r="W90" s="10186"/>
      <c r="X90" s="8327"/>
      <c r="Y90" s="8326"/>
      <c r="Z90" s="8327"/>
      <c r="AA90" s="7590"/>
      <c r="AB90" s="8494"/>
      <c r="AC90" s="8326"/>
      <c r="AD90" s="10186"/>
      <c r="AE90" s="10186"/>
      <c r="AF90" s="10186"/>
      <c r="AG90" s="2013"/>
      <c r="AJ90" s="11461"/>
      <c r="AK90" s="11461"/>
      <c r="AL90" s="11461"/>
      <c r="AM90" s="11461"/>
      <c r="AN90" s="11462"/>
      <c r="AO90" s="11478"/>
      <c r="AP90" s="11478"/>
      <c r="AQ90" s="11461"/>
      <c r="AZ90" s="185" t="s">
        <v>6739</v>
      </c>
      <c r="BA90" s="11477"/>
      <c r="BB90" s="11477"/>
      <c r="BC90" s="11477"/>
    </row>
    <row r="91" spans="1:55" ht="26.25" customHeight="1">
      <c r="A91" s="2013">
        <f>IF(OR(Q91&lt;&gt;"",U91&lt;&gt;"",AC91&lt;&gt;""),1,0)</f>
        <v>0</v>
      </c>
      <c r="B91" s="11382" t="str">
        <f>IF(AJ91="","",AJ91)</f>
        <v/>
      </c>
      <c r="C91" s="7430"/>
      <c r="D91" s="7430"/>
      <c r="E91" s="7430"/>
      <c r="F91" s="7430"/>
      <c r="G91" s="7430"/>
      <c r="H91" s="7430"/>
      <c r="I91" s="10855"/>
      <c r="J91" s="11383" t="str">
        <f>IF(AK91="","",AK91)</f>
        <v/>
      </c>
      <c r="K91" s="11384"/>
      <c r="L91" s="11384"/>
      <c r="M91" s="11383" t="str">
        <f>IF(AL91="","",AL91)</f>
        <v/>
      </c>
      <c r="N91" s="11384"/>
      <c r="O91" s="11384"/>
      <c r="P91" s="11385"/>
      <c r="Q91" s="8178" t="str">
        <f>IF(AM91="","",AM91)</f>
        <v/>
      </c>
      <c r="R91" s="7375"/>
      <c r="S91" s="7375"/>
      <c r="T91" s="7376"/>
      <c r="U91" s="8178" t="str">
        <f>IF(AN91="","",AN91)</f>
        <v/>
      </c>
      <c r="V91" s="7375"/>
      <c r="W91" s="7375"/>
      <c r="X91" s="7376"/>
      <c r="Y91" s="11387" t="str">
        <f>IF(AO91&lt;&gt;"",AO91,"")</f>
        <v/>
      </c>
      <c r="Z91" s="7336"/>
      <c r="AA91" s="8178" t="str">
        <f>IF(AP91="","",AP91)</f>
        <v/>
      </c>
      <c r="AB91" s="11386"/>
      <c r="AC91" s="11401" t="str">
        <f>IF(AQ91&lt;&gt;"",AQ91,IF(AND(Q91="",U91=""),"",IF(AND(Q91&lt;&gt;"",U91=""),SUM(Q91,AA91),SUM(Q91,-U91,AA91))))</f>
        <v/>
      </c>
      <c r="AD91" s="11402"/>
      <c r="AE91" s="11402"/>
      <c r="AF91" s="11402"/>
      <c r="AG91" s="4271">
        <f>IF(OR(J91="",M91=""),0,IF(OR(BA91,BB91,BC91),0,1))</f>
        <v>0</v>
      </c>
      <c r="AH91" s="6014"/>
      <c r="AI91" s="6014" t="e">
        <f>M91-J91</f>
        <v>#VALUE!</v>
      </c>
      <c r="AJ91" s="293"/>
      <c r="AK91" s="297"/>
      <c r="AL91" s="297"/>
      <c r="AM91" s="295"/>
      <c r="AN91" s="295"/>
      <c r="AO91" s="296"/>
      <c r="AP91" s="295"/>
      <c r="AQ91" s="294"/>
      <c r="AS91" t="e">
        <f>YEAR(J91)</f>
        <v>#VALUE!</v>
      </c>
      <c r="AT91" t="e">
        <f>MONTH(J91)</f>
        <v>#VALUE!</v>
      </c>
      <c r="AU91" t="e">
        <f>DAY(J91)</f>
        <v>#VALUE!</v>
      </c>
      <c r="AW91" t="e">
        <f>YEAR(M91)</f>
        <v>#VALUE!</v>
      </c>
      <c r="AX91" t="e">
        <f>MONTH(M91)</f>
        <v>#VALUE!</v>
      </c>
      <c r="AY91" t="e">
        <f>DAY(M91)</f>
        <v>#VALUE!</v>
      </c>
      <c r="AZ91" t="e">
        <f>OR(BA91,BB91,BC91)</f>
        <v>#VALUE!</v>
      </c>
      <c r="BA91" t="e">
        <f>AW91=AS91</f>
        <v>#VALUE!</v>
      </c>
      <c r="BB91" t="e">
        <f>AND(AW91=AS91+1,AX91&lt;AT91)</f>
        <v>#VALUE!</v>
      </c>
      <c r="BC91" t="e">
        <f>AND(AW91=AS91+1,AX91=AT91,AY91&lt;=AU91)</f>
        <v>#VALUE!</v>
      </c>
    </row>
    <row r="92" spans="1:55" ht="26.25" customHeight="1">
      <c r="A92" s="2013">
        <f t="shared" ref="A92:A101" si="21">IF(OR(Q92&lt;&gt;"",U92&lt;&gt;"",AC92&lt;&gt;""),1,0)</f>
        <v>0</v>
      </c>
      <c r="B92" s="11382" t="str">
        <f t="shared" ref="B92:B101" si="22">IF(AJ92="","",AJ92)</f>
        <v/>
      </c>
      <c r="C92" s="7430"/>
      <c r="D92" s="7430"/>
      <c r="E92" s="7430"/>
      <c r="F92" s="7430"/>
      <c r="G92" s="7430"/>
      <c r="H92" s="7430"/>
      <c r="I92" s="10855"/>
      <c r="J92" s="11383" t="str">
        <f t="shared" ref="J92:J101" si="23">IF(AK92="","",AK92)</f>
        <v/>
      </c>
      <c r="K92" s="11384"/>
      <c r="L92" s="11384"/>
      <c r="M92" s="11383" t="str">
        <f t="shared" ref="M92:M101" si="24">IF(AL92="","",AL92)</f>
        <v/>
      </c>
      <c r="N92" s="11384"/>
      <c r="O92" s="11384"/>
      <c r="P92" s="11385"/>
      <c r="Q92" s="8178" t="str">
        <f t="shared" ref="Q92:Q101" si="25">IF(AM92="","",AM92)</f>
        <v/>
      </c>
      <c r="R92" s="7375"/>
      <c r="S92" s="7375"/>
      <c r="T92" s="7376"/>
      <c r="U92" s="8178" t="str">
        <f t="shared" ref="U92:U101" si="26">IF(AN92="","",AN92)</f>
        <v/>
      </c>
      <c r="V92" s="7375"/>
      <c r="W92" s="7375"/>
      <c r="X92" s="7376"/>
      <c r="Y92" s="11387" t="str">
        <f t="shared" ref="Y92:Y101" si="27">IF(AO92&lt;&gt;"",AO92,"")</f>
        <v/>
      </c>
      <c r="Z92" s="7336"/>
      <c r="AA92" s="8178" t="str">
        <f t="shared" ref="AA92:AA101" si="28">IF(AP92="","",AP92)</f>
        <v/>
      </c>
      <c r="AB92" s="11386"/>
      <c r="AC92" s="11401" t="str">
        <f t="shared" ref="AC92:AC101" si="29">IF(AQ92&lt;&gt;"",AQ92,IF(AND(Q92="",U92=""),"",IF(AND(Q92&lt;&gt;"",U92=""),SUM(Q92,AA92),SUM(Q92,-U92,AA92))))</f>
        <v/>
      </c>
      <c r="AD92" s="11402"/>
      <c r="AE92" s="11402"/>
      <c r="AF92" s="11402"/>
      <c r="AG92" s="4271">
        <f t="shared" ref="AG92:AG101" si="30">IF(OR(J92="",M92=""),0,IF(OR(BA92,BB92,BC92),0,1))</f>
        <v>0</v>
      </c>
      <c r="AH92" s="6014"/>
      <c r="AI92" s="6014" t="e">
        <f t="shared" ref="AI92:AI101" si="31">M92-J92</f>
        <v>#VALUE!</v>
      </c>
      <c r="AJ92" s="293"/>
      <c r="AK92" s="297"/>
      <c r="AL92" s="297"/>
      <c r="AM92" s="295"/>
      <c r="AN92" s="295"/>
      <c r="AO92" s="296"/>
      <c r="AP92" s="295"/>
      <c r="AQ92" s="294"/>
      <c r="AS92" t="e">
        <f t="shared" ref="AS92:AS101" si="32">YEAR(J92)</f>
        <v>#VALUE!</v>
      </c>
      <c r="AT92" t="e">
        <f t="shared" ref="AT92:AT101" si="33">MONTH(J92)</f>
        <v>#VALUE!</v>
      </c>
      <c r="AU92" t="e">
        <f t="shared" ref="AU92:AU101" si="34">DAY(J92)</f>
        <v>#VALUE!</v>
      </c>
      <c r="AW92" t="e">
        <f t="shared" ref="AW92:AW101" si="35">YEAR(M92)</f>
        <v>#VALUE!</v>
      </c>
      <c r="AX92" t="e">
        <f t="shared" ref="AX92:AX101" si="36">MONTH(M92)</f>
        <v>#VALUE!</v>
      </c>
      <c r="AY92" t="e">
        <f t="shared" ref="AY92:AY101" si="37">DAY(M92)</f>
        <v>#VALUE!</v>
      </c>
      <c r="AZ92" t="e">
        <f t="shared" ref="AZ92:AZ101" si="38">OR(BA92,BB92,BC92)</f>
        <v>#VALUE!</v>
      </c>
      <c r="BA92" t="e">
        <f t="shared" ref="BA92:BA101" si="39">AW92=AS92</f>
        <v>#VALUE!</v>
      </c>
      <c r="BB92" t="e">
        <f t="shared" ref="BB92:BB101" si="40">AND(AW92=AS92+1,AX92&lt;AT92)</f>
        <v>#VALUE!</v>
      </c>
      <c r="BC92" t="e">
        <f t="shared" ref="BC92:BC101" si="41">AND(AW92=AS92+1,AX92=AT92,AY92&lt;=AU92)</f>
        <v>#VALUE!</v>
      </c>
    </row>
    <row r="93" spans="1:55" ht="26.25" customHeight="1">
      <c r="A93" s="2013">
        <f t="shared" si="21"/>
        <v>0</v>
      </c>
      <c r="B93" s="11382" t="str">
        <f t="shared" si="22"/>
        <v/>
      </c>
      <c r="C93" s="7430"/>
      <c r="D93" s="7430"/>
      <c r="E93" s="7430"/>
      <c r="F93" s="7430"/>
      <c r="G93" s="7430"/>
      <c r="H93" s="7430"/>
      <c r="I93" s="10855"/>
      <c r="J93" s="11383" t="str">
        <f t="shared" si="23"/>
        <v/>
      </c>
      <c r="K93" s="11384"/>
      <c r="L93" s="11384"/>
      <c r="M93" s="11383" t="str">
        <f t="shared" si="24"/>
        <v/>
      </c>
      <c r="N93" s="11384"/>
      <c r="O93" s="11384"/>
      <c r="P93" s="11385"/>
      <c r="Q93" s="8178" t="str">
        <f t="shared" si="25"/>
        <v/>
      </c>
      <c r="R93" s="7375"/>
      <c r="S93" s="7375"/>
      <c r="T93" s="7376"/>
      <c r="U93" s="8178" t="str">
        <f t="shared" si="26"/>
        <v/>
      </c>
      <c r="V93" s="7375"/>
      <c r="W93" s="7375"/>
      <c r="X93" s="7376"/>
      <c r="Y93" s="11387" t="str">
        <f t="shared" si="27"/>
        <v/>
      </c>
      <c r="Z93" s="7336"/>
      <c r="AA93" s="8178" t="str">
        <f t="shared" si="28"/>
        <v/>
      </c>
      <c r="AB93" s="11386"/>
      <c r="AC93" s="11401" t="str">
        <f t="shared" si="29"/>
        <v/>
      </c>
      <c r="AD93" s="11402"/>
      <c r="AE93" s="11402"/>
      <c r="AF93" s="11402"/>
      <c r="AG93" s="4271">
        <f t="shared" si="30"/>
        <v>0</v>
      </c>
      <c r="AH93" s="6014"/>
      <c r="AI93" s="6014" t="e">
        <f t="shared" si="31"/>
        <v>#VALUE!</v>
      </c>
      <c r="AJ93" s="293"/>
      <c r="AK93" s="297"/>
      <c r="AL93" s="297"/>
      <c r="AM93" s="295"/>
      <c r="AN93" s="295"/>
      <c r="AO93" s="296"/>
      <c r="AP93" s="295"/>
      <c r="AQ93" s="294"/>
      <c r="AS93" t="e">
        <f t="shared" si="32"/>
        <v>#VALUE!</v>
      </c>
      <c r="AT93" t="e">
        <f t="shared" si="33"/>
        <v>#VALUE!</v>
      </c>
      <c r="AU93" t="e">
        <f t="shared" si="34"/>
        <v>#VALUE!</v>
      </c>
      <c r="AW93" t="e">
        <f t="shared" si="35"/>
        <v>#VALUE!</v>
      </c>
      <c r="AX93" t="e">
        <f t="shared" si="36"/>
        <v>#VALUE!</v>
      </c>
      <c r="AY93" t="e">
        <f t="shared" si="37"/>
        <v>#VALUE!</v>
      </c>
      <c r="AZ93" t="e">
        <f t="shared" si="38"/>
        <v>#VALUE!</v>
      </c>
      <c r="BA93" t="e">
        <f t="shared" si="39"/>
        <v>#VALUE!</v>
      </c>
      <c r="BB93" t="e">
        <f t="shared" si="40"/>
        <v>#VALUE!</v>
      </c>
      <c r="BC93" t="e">
        <f t="shared" si="41"/>
        <v>#VALUE!</v>
      </c>
    </row>
    <row r="94" spans="1:55" ht="26.25" customHeight="1">
      <c r="A94" s="2013">
        <f t="shared" si="21"/>
        <v>0</v>
      </c>
      <c r="B94" s="11382" t="str">
        <f t="shared" si="22"/>
        <v/>
      </c>
      <c r="C94" s="7430"/>
      <c r="D94" s="7430"/>
      <c r="E94" s="7430"/>
      <c r="F94" s="7430"/>
      <c r="G94" s="7430"/>
      <c r="H94" s="7430"/>
      <c r="I94" s="10855"/>
      <c r="J94" s="11383" t="str">
        <f t="shared" si="23"/>
        <v/>
      </c>
      <c r="K94" s="11384"/>
      <c r="L94" s="11384"/>
      <c r="M94" s="11383" t="str">
        <f t="shared" si="24"/>
        <v/>
      </c>
      <c r="N94" s="11384"/>
      <c r="O94" s="11384"/>
      <c r="P94" s="11385"/>
      <c r="Q94" s="8178" t="str">
        <f t="shared" si="25"/>
        <v/>
      </c>
      <c r="R94" s="7375"/>
      <c r="S94" s="7375"/>
      <c r="T94" s="7376"/>
      <c r="U94" s="8178" t="str">
        <f t="shared" si="26"/>
        <v/>
      </c>
      <c r="V94" s="7375"/>
      <c r="W94" s="7375"/>
      <c r="X94" s="7376"/>
      <c r="Y94" s="11387" t="str">
        <f t="shared" si="27"/>
        <v/>
      </c>
      <c r="Z94" s="7336"/>
      <c r="AA94" s="8178" t="str">
        <f t="shared" si="28"/>
        <v/>
      </c>
      <c r="AB94" s="11386"/>
      <c r="AC94" s="11401" t="str">
        <f t="shared" si="29"/>
        <v/>
      </c>
      <c r="AD94" s="11402"/>
      <c r="AE94" s="11402"/>
      <c r="AF94" s="11402"/>
      <c r="AG94" s="4271">
        <f t="shared" si="30"/>
        <v>0</v>
      </c>
      <c r="AH94" s="6014"/>
      <c r="AI94" s="6014" t="e">
        <f t="shared" si="31"/>
        <v>#VALUE!</v>
      </c>
      <c r="AJ94" s="293"/>
      <c r="AK94" s="297"/>
      <c r="AL94" s="297"/>
      <c r="AM94" s="295"/>
      <c r="AN94" s="295"/>
      <c r="AO94" s="296"/>
      <c r="AP94" s="295"/>
      <c r="AQ94" s="294"/>
      <c r="AS94" t="e">
        <f t="shared" si="32"/>
        <v>#VALUE!</v>
      </c>
      <c r="AT94" t="e">
        <f t="shared" si="33"/>
        <v>#VALUE!</v>
      </c>
      <c r="AU94" t="e">
        <f t="shared" si="34"/>
        <v>#VALUE!</v>
      </c>
      <c r="AW94" t="e">
        <f t="shared" si="35"/>
        <v>#VALUE!</v>
      </c>
      <c r="AX94" t="e">
        <f t="shared" si="36"/>
        <v>#VALUE!</v>
      </c>
      <c r="AY94" t="e">
        <f t="shared" si="37"/>
        <v>#VALUE!</v>
      </c>
      <c r="AZ94" t="e">
        <f t="shared" si="38"/>
        <v>#VALUE!</v>
      </c>
      <c r="BA94" t="e">
        <f t="shared" si="39"/>
        <v>#VALUE!</v>
      </c>
      <c r="BB94" t="e">
        <f t="shared" si="40"/>
        <v>#VALUE!</v>
      </c>
      <c r="BC94" t="e">
        <f t="shared" si="41"/>
        <v>#VALUE!</v>
      </c>
    </row>
    <row r="95" spans="1:55" ht="26.25" customHeight="1">
      <c r="A95" s="2013">
        <f t="shared" si="21"/>
        <v>0</v>
      </c>
      <c r="B95" s="11382" t="str">
        <f t="shared" si="22"/>
        <v/>
      </c>
      <c r="C95" s="7430"/>
      <c r="D95" s="7430"/>
      <c r="E95" s="7430"/>
      <c r="F95" s="7430"/>
      <c r="G95" s="7430"/>
      <c r="H95" s="7430"/>
      <c r="I95" s="10855"/>
      <c r="J95" s="11383" t="str">
        <f t="shared" si="23"/>
        <v/>
      </c>
      <c r="K95" s="11384"/>
      <c r="L95" s="11384"/>
      <c r="M95" s="11383" t="str">
        <f t="shared" si="24"/>
        <v/>
      </c>
      <c r="N95" s="11384"/>
      <c r="O95" s="11384"/>
      <c r="P95" s="11385"/>
      <c r="Q95" s="8178" t="str">
        <f t="shared" si="25"/>
        <v/>
      </c>
      <c r="R95" s="7375"/>
      <c r="S95" s="7375"/>
      <c r="T95" s="7376"/>
      <c r="U95" s="8178" t="str">
        <f t="shared" si="26"/>
        <v/>
      </c>
      <c r="V95" s="7375"/>
      <c r="W95" s="7375"/>
      <c r="X95" s="7376"/>
      <c r="Y95" s="11387" t="str">
        <f t="shared" si="27"/>
        <v/>
      </c>
      <c r="Z95" s="7336"/>
      <c r="AA95" s="8178" t="str">
        <f t="shared" si="28"/>
        <v/>
      </c>
      <c r="AB95" s="11386"/>
      <c r="AC95" s="11401" t="str">
        <f t="shared" si="29"/>
        <v/>
      </c>
      <c r="AD95" s="11402"/>
      <c r="AE95" s="11402"/>
      <c r="AF95" s="11402"/>
      <c r="AG95" s="4271">
        <f t="shared" si="30"/>
        <v>0</v>
      </c>
      <c r="AH95" s="6014"/>
      <c r="AI95" s="6014" t="e">
        <f t="shared" si="31"/>
        <v>#VALUE!</v>
      </c>
      <c r="AJ95" s="293"/>
      <c r="AK95" s="297"/>
      <c r="AL95" s="297"/>
      <c r="AM95" s="295"/>
      <c r="AN95" s="295"/>
      <c r="AO95" s="296"/>
      <c r="AP95" s="295"/>
      <c r="AQ95" s="294"/>
      <c r="AS95" t="e">
        <f t="shared" si="32"/>
        <v>#VALUE!</v>
      </c>
      <c r="AT95" t="e">
        <f t="shared" si="33"/>
        <v>#VALUE!</v>
      </c>
      <c r="AU95" t="e">
        <f t="shared" si="34"/>
        <v>#VALUE!</v>
      </c>
      <c r="AW95" t="e">
        <f t="shared" si="35"/>
        <v>#VALUE!</v>
      </c>
      <c r="AX95" t="e">
        <f t="shared" si="36"/>
        <v>#VALUE!</v>
      </c>
      <c r="AY95" t="e">
        <f t="shared" si="37"/>
        <v>#VALUE!</v>
      </c>
      <c r="AZ95" t="e">
        <f t="shared" si="38"/>
        <v>#VALUE!</v>
      </c>
      <c r="BA95" t="e">
        <f t="shared" si="39"/>
        <v>#VALUE!</v>
      </c>
      <c r="BB95" t="e">
        <f t="shared" si="40"/>
        <v>#VALUE!</v>
      </c>
      <c r="BC95" t="e">
        <f t="shared" si="41"/>
        <v>#VALUE!</v>
      </c>
    </row>
    <row r="96" spans="1:55" ht="26.25" customHeight="1">
      <c r="A96" s="2013">
        <f t="shared" si="21"/>
        <v>0</v>
      </c>
      <c r="B96" s="11382" t="str">
        <f t="shared" si="22"/>
        <v/>
      </c>
      <c r="C96" s="7430"/>
      <c r="D96" s="7430"/>
      <c r="E96" s="7430"/>
      <c r="F96" s="7430"/>
      <c r="G96" s="7430"/>
      <c r="H96" s="7430"/>
      <c r="I96" s="10855"/>
      <c r="J96" s="11383" t="str">
        <f t="shared" si="23"/>
        <v/>
      </c>
      <c r="K96" s="11384"/>
      <c r="L96" s="11384"/>
      <c r="M96" s="11383" t="str">
        <f t="shared" si="24"/>
        <v/>
      </c>
      <c r="N96" s="11384"/>
      <c r="O96" s="11384"/>
      <c r="P96" s="11385"/>
      <c r="Q96" s="8178" t="str">
        <f t="shared" si="25"/>
        <v/>
      </c>
      <c r="R96" s="7375"/>
      <c r="S96" s="7375"/>
      <c r="T96" s="7376"/>
      <c r="U96" s="8178" t="str">
        <f t="shared" si="26"/>
        <v/>
      </c>
      <c r="V96" s="7375"/>
      <c r="W96" s="7375"/>
      <c r="X96" s="7376"/>
      <c r="Y96" s="11387" t="str">
        <f t="shared" si="27"/>
        <v/>
      </c>
      <c r="Z96" s="7336"/>
      <c r="AA96" s="8178" t="str">
        <f t="shared" si="28"/>
        <v/>
      </c>
      <c r="AB96" s="11386"/>
      <c r="AC96" s="11401" t="str">
        <f t="shared" si="29"/>
        <v/>
      </c>
      <c r="AD96" s="11402"/>
      <c r="AE96" s="11402"/>
      <c r="AF96" s="11402"/>
      <c r="AG96" s="4271">
        <f t="shared" si="30"/>
        <v>0</v>
      </c>
      <c r="AH96" s="6014"/>
      <c r="AI96" s="6014" t="e">
        <f t="shared" si="31"/>
        <v>#VALUE!</v>
      </c>
      <c r="AJ96" s="293"/>
      <c r="AK96" s="297"/>
      <c r="AL96" s="297"/>
      <c r="AM96" s="295"/>
      <c r="AN96" s="295"/>
      <c r="AO96" s="296"/>
      <c r="AP96" s="295"/>
      <c r="AQ96" s="294"/>
      <c r="AS96" t="e">
        <f t="shared" si="32"/>
        <v>#VALUE!</v>
      </c>
      <c r="AT96" t="e">
        <f t="shared" si="33"/>
        <v>#VALUE!</v>
      </c>
      <c r="AU96" t="e">
        <f t="shared" si="34"/>
        <v>#VALUE!</v>
      </c>
      <c r="AW96" t="e">
        <f t="shared" si="35"/>
        <v>#VALUE!</v>
      </c>
      <c r="AX96" t="e">
        <f t="shared" si="36"/>
        <v>#VALUE!</v>
      </c>
      <c r="AY96" t="e">
        <f t="shared" si="37"/>
        <v>#VALUE!</v>
      </c>
      <c r="AZ96" t="e">
        <f t="shared" si="38"/>
        <v>#VALUE!</v>
      </c>
      <c r="BA96" t="e">
        <f t="shared" si="39"/>
        <v>#VALUE!</v>
      </c>
      <c r="BB96" t="e">
        <f t="shared" si="40"/>
        <v>#VALUE!</v>
      </c>
      <c r="BC96" t="e">
        <f t="shared" si="41"/>
        <v>#VALUE!</v>
      </c>
    </row>
    <row r="97" spans="1:55" ht="26.25" customHeight="1">
      <c r="A97" s="2013">
        <f t="shared" si="21"/>
        <v>0</v>
      </c>
      <c r="B97" s="11382" t="str">
        <f t="shared" si="22"/>
        <v/>
      </c>
      <c r="C97" s="7430"/>
      <c r="D97" s="7430"/>
      <c r="E97" s="7430"/>
      <c r="F97" s="7430"/>
      <c r="G97" s="7430"/>
      <c r="H97" s="7430"/>
      <c r="I97" s="10855"/>
      <c r="J97" s="11383" t="str">
        <f t="shared" si="23"/>
        <v/>
      </c>
      <c r="K97" s="11384"/>
      <c r="L97" s="11384"/>
      <c r="M97" s="11383" t="str">
        <f t="shared" si="24"/>
        <v/>
      </c>
      <c r="N97" s="11384"/>
      <c r="O97" s="11384"/>
      <c r="P97" s="11385"/>
      <c r="Q97" s="8178" t="str">
        <f t="shared" si="25"/>
        <v/>
      </c>
      <c r="R97" s="7375"/>
      <c r="S97" s="7375"/>
      <c r="T97" s="7376"/>
      <c r="U97" s="8178" t="str">
        <f t="shared" si="26"/>
        <v/>
      </c>
      <c r="V97" s="7375"/>
      <c r="W97" s="7375"/>
      <c r="X97" s="7376"/>
      <c r="Y97" s="11387" t="str">
        <f t="shared" si="27"/>
        <v/>
      </c>
      <c r="Z97" s="7336"/>
      <c r="AA97" s="8178" t="str">
        <f t="shared" si="28"/>
        <v/>
      </c>
      <c r="AB97" s="11386"/>
      <c r="AC97" s="11401" t="str">
        <f t="shared" si="29"/>
        <v/>
      </c>
      <c r="AD97" s="11402"/>
      <c r="AE97" s="11402"/>
      <c r="AF97" s="11402"/>
      <c r="AG97" s="4271">
        <f t="shared" si="30"/>
        <v>0</v>
      </c>
      <c r="AH97" s="6014"/>
      <c r="AI97" s="6014" t="e">
        <f t="shared" si="31"/>
        <v>#VALUE!</v>
      </c>
      <c r="AJ97" s="293"/>
      <c r="AK97" s="297"/>
      <c r="AL97" s="297"/>
      <c r="AM97" s="295"/>
      <c r="AN97" s="295"/>
      <c r="AO97" s="296"/>
      <c r="AP97" s="295"/>
      <c r="AQ97" s="294"/>
      <c r="AS97" t="e">
        <f t="shared" si="32"/>
        <v>#VALUE!</v>
      </c>
      <c r="AT97" t="e">
        <f t="shared" si="33"/>
        <v>#VALUE!</v>
      </c>
      <c r="AU97" t="e">
        <f t="shared" si="34"/>
        <v>#VALUE!</v>
      </c>
      <c r="AW97" t="e">
        <f t="shared" si="35"/>
        <v>#VALUE!</v>
      </c>
      <c r="AX97" t="e">
        <f t="shared" si="36"/>
        <v>#VALUE!</v>
      </c>
      <c r="AY97" t="e">
        <f t="shared" si="37"/>
        <v>#VALUE!</v>
      </c>
      <c r="AZ97" t="e">
        <f t="shared" si="38"/>
        <v>#VALUE!</v>
      </c>
      <c r="BA97" t="e">
        <f t="shared" si="39"/>
        <v>#VALUE!</v>
      </c>
      <c r="BB97" t="e">
        <f t="shared" si="40"/>
        <v>#VALUE!</v>
      </c>
      <c r="BC97" t="e">
        <f t="shared" si="41"/>
        <v>#VALUE!</v>
      </c>
    </row>
    <row r="98" spans="1:55" ht="26.25" customHeight="1">
      <c r="A98" s="2013">
        <f t="shared" si="21"/>
        <v>0</v>
      </c>
      <c r="B98" s="11382" t="str">
        <f t="shared" si="22"/>
        <v/>
      </c>
      <c r="C98" s="7430"/>
      <c r="D98" s="7430"/>
      <c r="E98" s="7430"/>
      <c r="F98" s="7430"/>
      <c r="G98" s="7430"/>
      <c r="H98" s="7430"/>
      <c r="I98" s="10855"/>
      <c r="J98" s="11383" t="str">
        <f t="shared" si="23"/>
        <v/>
      </c>
      <c r="K98" s="11384"/>
      <c r="L98" s="11384"/>
      <c r="M98" s="11383" t="str">
        <f t="shared" si="24"/>
        <v/>
      </c>
      <c r="N98" s="11384"/>
      <c r="O98" s="11384"/>
      <c r="P98" s="11385"/>
      <c r="Q98" s="8178" t="str">
        <f t="shared" si="25"/>
        <v/>
      </c>
      <c r="R98" s="7375"/>
      <c r="S98" s="7375"/>
      <c r="T98" s="7376"/>
      <c r="U98" s="8178" t="str">
        <f t="shared" si="26"/>
        <v/>
      </c>
      <c r="V98" s="7375"/>
      <c r="W98" s="7375"/>
      <c r="X98" s="7376"/>
      <c r="Y98" s="11387" t="str">
        <f t="shared" si="27"/>
        <v/>
      </c>
      <c r="Z98" s="7336"/>
      <c r="AA98" s="8178" t="str">
        <f t="shared" si="28"/>
        <v/>
      </c>
      <c r="AB98" s="11386"/>
      <c r="AC98" s="11401" t="str">
        <f t="shared" si="29"/>
        <v/>
      </c>
      <c r="AD98" s="11402"/>
      <c r="AE98" s="11402"/>
      <c r="AF98" s="11402"/>
      <c r="AG98" s="4271">
        <f t="shared" si="30"/>
        <v>0</v>
      </c>
      <c r="AH98" s="6014"/>
      <c r="AI98" s="6014" t="e">
        <f t="shared" si="31"/>
        <v>#VALUE!</v>
      </c>
      <c r="AJ98" s="293"/>
      <c r="AK98" s="297"/>
      <c r="AL98" s="297"/>
      <c r="AM98" s="295"/>
      <c r="AN98" s="295"/>
      <c r="AO98" s="296"/>
      <c r="AP98" s="295"/>
      <c r="AQ98" s="294"/>
      <c r="AS98" t="e">
        <f t="shared" si="32"/>
        <v>#VALUE!</v>
      </c>
      <c r="AT98" t="e">
        <f t="shared" si="33"/>
        <v>#VALUE!</v>
      </c>
      <c r="AU98" t="e">
        <f t="shared" si="34"/>
        <v>#VALUE!</v>
      </c>
      <c r="AW98" t="e">
        <f t="shared" si="35"/>
        <v>#VALUE!</v>
      </c>
      <c r="AX98" t="e">
        <f t="shared" si="36"/>
        <v>#VALUE!</v>
      </c>
      <c r="AY98" t="e">
        <f t="shared" si="37"/>
        <v>#VALUE!</v>
      </c>
      <c r="AZ98" t="e">
        <f t="shared" si="38"/>
        <v>#VALUE!</v>
      </c>
      <c r="BA98" t="e">
        <f t="shared" si="39"/>
        <v>#VALUE!</v>
      </c>
      <c r="BB98" t="e">
        <f t="shared" si="40"/>
        <v>#VALUE!</v>
      </c>
      <c r="BC98" t="e">
        <f t="shared" si="41"/>
        <v>#VALUE!</v>
      </c>
    </row>
    <row r="99" spans="1:55" ht="26.25" customHeight="1">
      <c r="A99" s="2013">
        <f t="shared" si="21"/>
        <v>0</v>
      </c>
      <c r="B99" s="11382" t="str">
        <f t="shared" si="22"/>
        <v/>
      </c>
      <c r="C99" s="7430"/>
      <c r="D99" s="7430"/>
      <c r="E99" s="7430"/>
      <c r="F99" s="7430"/>
      <c r="G99" s="7430"/>
      <c r="H99" s="7430"/>
      <c r="I99" s="10855"/>
      <c r="J99" s="11383" t="str">
        <f t="shared" si="23"/>
        <v/>
      </c>
      <c r="K99" s="11384"/>
      <c r="L99" s="11384"/>
      <c r="M99" s="11383" t="str">
        <f t="shared" si="24"/>
        <v/>
      </c>
      <c r="N99" s="11384"/>
      <c r="O99" s="11384"/>
      <c r="P99" s="11385"/>
      <c r="Q99" s="8178" t="str">
        <f t="shared" si="25"/>
        <v/>
      </c>
      <c r="R99" s="7375"/>
      <c r="S99" s="7375"/>
      <c r="T99" s="7376"/>
      <c r="U99" s="8178" t="str">
        <f t="shared" si="26"/>
        <v/>
      </c>
      <c r="V99" s="7375"/>
      <c r="W99" s="7375"/>
      <c r="X99" s="7376"/>
      <c r="Y99" s="11387" t="str">
        <f t="shared" si="27"/>
        <v/>
      </c>
      <c r="Z99" s="7336"/>
      <c r="AA99" s="8178" t="str">
        <f t="shared" si="28"/>
        <v/>
      </c>
      <c r="AB99" s="11386"/>
      <c r="AC99" s="11401" t="str">
        <f t="shared" si="29"/>
        <v/>
      </c>
      <c r="AD99" s="11402"/>
      <c r="AE99" s="11402"/>
      <c r="AF99" s="11402"/>
      <c r="AG99" s="4271">
        <f t="shared" si="30"/>
        <v>0</v>
      </c>
      <c r="AH99" s="6014"/>
      <c r="AI99" s="6014" t="e">
        <f t="shared" si="31"/>
        <v>#VALUE!</v>
      </c>
      <c r="AJ99" s="293"/>
      <c r="AK99" s="297"/>
      <c r="AL99" s="297"/>
      <c r="AM99" s="295"/>
      <c r="AN99" s="295"/>
      <c r="AO99" s="296"/>
      <c r="AP99" s="295"/>
      <c r="AQ99" s="294"/>
      <c r="AS99" t="e">
        <f t="shared" si="32"/>
        <v>#VALUE!</v>
      </c>
      <c r="AT99" t="e">
        <f t="shared" si="33"/>
        <v>#VALUE!</v>
      </c>
      <c r="AU99" t="e">
        <f t="shared" si="34"/>
        <v>#VALUE!</v>
      </c>
      <c r="AW99" t="e">
        <f t="shared" si="35"/>
        <v>#VALUE!</v>
      </c>
      <c r="AX99" t="e">
        <f t="shared" si="36"/>
        <v>#VALUE!</v>
      </c>
      <c r="AY99" t="e">
        <f t="shared" si="37"/>
        <v>#VALUE!</v>
      </c>
      <c r="AZ99" t="e">
        <f t="shared" si="38"/>
        <v>#VALUE!</v>
      </c>
      <c r="BA99" t="e">
        <f t="shared" si="39"/>
        <v>#VALUE!</v>
      </c>
      <c r="BB99" t="e">
        <f t="shared" si="40"/>
        <v>#VALUE!</v>
      </c>
      <c r="BC99" t="e">
        <f t="shared" si="41"/>
        <v>#VALUE!</v>
      </c>
    </row>
    <row r="100" spans="1:55" ht="26.25" customHeight="1">
      <c r="A100" s="2013">
        <f t="shared" si="21"/>
        <v>0</v>
      </c>
      <c r="B100" s="11382" t="str">
        <f t="shared" si="22"/>
        <v/>
      </c>
      <c r="C100" s="7430"/>
      <c r="D100" s="7430"/>
      <c r="E100" s="7430"/>
      <c r="F100" s="7430"/>
      <c r="G100" s="7430"/>
      <c r="H100" s="7430"/>
      <c r="I100" s="10855"/>
      <c r="J100" s="11383" t="str">
        <f t="shared" si="23"/>
        <v/>
      </c>
      <c r="K100" s="11384"/>
      <c r="L100" s="11384"/>
      <c r="M100" s="11383" t="str">
        <f t="shared" si="24"/>
        <v/>
      </c>
      <c r="N100" s="11384"/>
      <c r="O100" s="11384"/>
      <c r="P100" s="11385"/>
      <c r="Q100" s="8178" t="str">
        <f t="shared" si="25"/>
        <v/>
      </c>
      <c r="R100" s="7375"/>
      <c r="S100" s="7375"/>
      <c r="T100" s="7376"/>
      <c r="U100" s="8178" t="str">
        <f t="shared" si="26"/>
        <v/>
      </c>
      <c r="V100" s="7375"/>
      <c r="W100" s="7375"/>
      <c r="X100" s="7376"/>
      <c r="Y100" s="11387" t="str">
        <f t="shared" si="27"/>
        <v/>
      </c>
      <c r="Z100" s="7336"/>
      <c r="AA100" s="8178" t="str">
        <f t="shared" si="28"/>
        <v/>
      </c>
      <c r="AB100" s="11386"/>
      <c r="AC100" s="11401" t="str">
        <f t="shared" si="29"/>
        <v/>
      </c>
      <c r="AD100" s="11402"/>
      <c r="AE100" s="11402"/>
      <c r="AF100" s="11402"/>
      <c r="AG100" s="4271">
        <f t="shared" si="30"/>
        <v>0</v>
      </c>
      <c r="AH100" s="6014"/>
      <c r="AI100" s="6014" t="e">
        <f t="shared" si="31"/>
        <v>#VALUE!</v>
      </c>
      <c r="AJ100" s="293"/>
      <c r="AK100" s="297"/>
      <c r="AL100" s="297"/>
      <c r="AM100" s="295"/>
      <c r="AN100" s="295"/>
      <c r="AO100" s="296"/>
      <c r="AP100" s="295"/>
      <c r="AQ100" s="294"/>
      <c r="AS100" t="e">
        <f t="shared" si="32"/>
        <v>#VALUE!</v>
      </c>
      <c r="AT100" t="e">
        <f t="shared" si="33"/>
        <v>#VALUE!</v>
      </c>
      <c r="AU100" t="e">
        <f t="shared" si="34"/>
        <v>#VALUE!</v>
      </c>
      <c r="AW100" t="e">
        <f t="shared" si="35"/>
        <v>#VALUE!</v>
      </c>
      <c r="AX100" t="e">
        <f t="shared" si="36"/>
        <v>#VALUE!</v>
      </c>
      <c r="AY100" t="e">
        <f t="shared" si="37"/>
        <v>#VALUE!</v>
      </c>
      <c r="AZ100" t="e">
        <f t="shared" si="38"/>
        <v>#VALUE!</v>
      </c>
      <c r="BA100" t="e">
        <f t="shared" si="39"/>
        <v>#VALUE!</v>
      </c>
      <c r="BB100" t="e">
        <f t="shared" si="40"/>
        <v>#VALUE!</v>
      </c>
      <c r="BC100" t="e">
        <f t="shared" si="41"/>
        <v>#VALUE!</v>
      </c>
    </row>
    <row r="101" spans="1:55" ht="26.25" customHeight="1">
      <c r="A101" s="2013">
        <f t="shared" si="21"/>
        <v>0</v>
      </c>
      <c r="B101" s="11382" t="str">
        <f t="shared" si="22"/>
        <v/>
      </c>
      <c r="C101" s="7430"/>
      <c r="D101" s="7430"/>
      <c r="E101" s="7430"/>
      <c r="F101" s="7430"/>
      <c r="G101" s="7430"/>
      <c r="H101" s="7430"/>
      <c r="I101" s="10855"/>
      <c r="J101" s="11383" t="str">
        <f t="shared" si="23"/>
        <v/>
      </c>
      <c r="K101" s="11384"/>
      <c r="L101" s="11384"/>
      <c r="M101" s="11383" t="str">
        <f t="shared" si="24"/>
        <v/>
      </c>
      <c r="N101" s="11384"/>
      <c r="O101" s="11384"/>
      <c r="P101" s="11385"/>
      <c r="Q101" s="8178" t="str">
        <f t="shared" si="25"/>
        <v/>
      </c>
      <c r="R101" s="7375"/>
      <c r="S101" s="7375"/>
      <c r="T101" s="7376"/>
      <c r="U101" s="8178" t="str">
        <f t="shared" si="26"/>
        <v/>
      </c>
      <c r="V101" s="7375"/>
      <c r="W101" s="7375"/>
      <c r="X101" s="7376"/>
      <c r="Y101" s="11387" t="str">
        <f t="shared" si="27"/>
        <v/>
      </c>
      <c r="Z101" s="7336"/>
      <c r="AA101" s="8178" t="str">
        <f t="shared" si="28"/>
        <v/>
      </c>
      <c r="AB101" s="11386"/>
      <c r="AC101" s="11401" t="str">
        <f t="shared" si="29"/>
        <v/>
      </c>
      <c r="AD101" s="11402"/>
      <c r="AE101" s="11402"/>
      <c r="AF101" s="11402"/>
      <c r="AG101" s="4271">
        <f t="shared" si="30"/>
        <v>0</v>
      </c>
      <c r="AH101" s="6014"/>
      <c r="AI101" s="6014" t="e">
        <f t="shared" si="31"/>
        <v>#VALUE!</v>
      </c>
      <c r="AJ101" s="293"/>
      <c r="AK101" s="297"/>
      <c r="AL101" s="297"/>
      <c r="AM101" s="295"/>
      <c r="AN101" s="295"/>
      <c r="AO101" s="296"/>
      <c r="AP101" s="295"/>
      <c r="AQ101" s="294"/>
      <c r="AS101" t="e">
        <f t="shared" si="32"/>
        <v>#VALUE!</v>
      </c>
      <c r="AT101" t="e">
        <f t="shared" si="33"/>
        <v>#VALUE!</v>
      </c>
      <c r="AU101" t="e">
        <f t="shared" si="34"/>
        <v>#VALUE!</v>
      </c>
      <c r="AW101" t="e">
        <f t="shared" si="35"/>
        <v>#VALUE!</v>
      </c>
      <c r="AX101" t="e">
        <f t="shared" si="36"/>
        <v>#VALUE!</v>
      </c>
      <c r="AY101" t="e">
        <f t="shared" si="37"/>
        <v>#VALUE!</v>
      </c>
      <c r="AZ101" t="e">
        <f t="shared" si="38"/>
        <v>#VALUE!</v>
      </c>
      <c r="BA101" t="e">
        <f t="shared" si="39"/>
        <v>#VALUE!</v>
      </c>
      <c r="BB101" t="e">
        <f t="shared" si="40"/>
        <v>#VALUE!</v>
      </c>
      <c r="BC101" t="e">
        <f t="shared" si="41"/>
        <v>#VALUE!</v>
      </c>
    </row>
    <row r="102" spans="1:55" ht="12" customHeight="1">
      <c r="A102" s="2013">
        <f>SUM(A91:A101)</f>
        <v>0</v>
      </c>
      <c r="B102" s="11445">
        <v>2</v>
      </c>
      <c r="C102" s="11421" t="s">
        <v>6417</v>
      </c>
      <c r="D102" s="11422"/>
      <c r="E102" s="11422"/>
      <c r="F102" s="11422"/>
      <c r="G102" s="11422"/>
      <c r="H102" s="11422"/>
      <c r="I102" s="11422"/>
      <c r="J102" s="11422"/>
      <c r="K102" s="11422"/>
      <c r="L102" s="11422"/>
      <c r="M102" s="11422"/>
      <c r="N102" s="11422"/>
      <c r="O102" s="11422"/>
      <c r="P102" s="11422"/>
      <c r="Q102" s="11409" t="str">
        <f>IF(A102=0,"",ROUND(SUM(Q91:Q101),0))</f>
        <v/>
      </c>
      <c r="R102" s="11410"/>
      <c r="S102" s="11410"/>
      <c r="T102" s="11411"/>
      <c r="U102" s="11409" t="str">
        <f>IF(A102=0,"",ROUND(SUM(U91:U101),0))</f>
        <v/>
      </c>
      <c r="V102" s="11410"/>
      <c r="W102" s="11410"/>
      <c r="X102" s="11411"/>
      <c r="Y102" s="11403"/>
      <c r="Z102" s="11404"/>
      <c r="AA102" s="11409" t="str">
        <f>IF(A102=0,"",ROUND(SUM(AA91:AA101),0))</f>
        <v/>
      </c>
      <c r="AB102" s="11411"/>
      <c r="AC102" s="11409" t="str">
        <f>IF(A102=0,"",ROUND(SUM(AC91:AC101),0))</f>
        <v/>
      </c>
      <c r="AD102" s="11410"/>
      <c r="AE102" s="11410"/>
      <c r="AF102" s="11410"/>
      <c r="AG102" s="2013"/>
    </row>
    <row r="103" spans="1:55" ht="12" customHeight="1">
      <c r="A103" s="2013"/>
      <c r="B103" s="11446"/>
      <c r="C103" s="11423"/>
      <c r="D103" s="11423"/>
      <c r="E103" s="11423"/>
      <c r="F103" s="11423"/>
      <c r="G103" s="11423"/>
      <c r="H103" s="11423"/>
      <c r="I103" s="11423"/>
      <c r="J103" s="11423"/>
      <c r="K103" s="11423"/>
      <c r="L103" s="11423"/>
      <c r="M103" s="11423"/>
      <c r="N103" s="11423"/>
      <c r="O103" s="11423"/>
      <c r="P103" s="11423"/>
      <c r="Q103" s="11412"/>
      <c r="R103" s="11413"/>
      <c r="S103" s="11413"/>
      <c r="T103" s="11414"/>
      <c r="U103" s="11412"/>
      <c r="V103" s="11413"/>
      <c r="W103" s="11413"/>
      <c r="X103" s="11414"/>
      <c r="Y103" s="11405"/>
      <c r="Z103" s="11406"/>
      <c r="AA103" s="11412"/>
      <c r="AB103" s="11414"/>
      <c r="AC103" s="11412"/>
      <c r="AD103" s="11413"/>
      <c r="AE103" s="11413"/>
      <c r="AF103" s="11413"/>
      <c r="AG103" s="2013"/>
    </row>
    <row r="104" spans="1:55" ht="12" customHeight="1">
      <c r="A104" s="2013"/>
      <c r="B104" s="11446"/>
      <c r="C104" s="11423"/>
      <c r="D104" s="11423"/>
      <c r="E104" s="11423"/>
      <c r="F104" s="11423"/>
      <c r="G104" s="11423"/>
      <c r="H104" s="11423"/>
      <c r="I104" s="11423"/>
      <c r="J104" s="11423"/>
      <c r="K104" s="11423"/>
      <c r="L104" s="11423"/>
      <c r="M104" s="11423"/>
      <c r="N104" s="11423"/>
      <c r="O104" s="11423"/>
      <c r="P104" s="11423"/>
      <c r="Q104" s="11412"/>
      <c r="R104" s="11413"/>
      <c r="S104" s="11413"/>
      <c r="T104" s="11414"/>
      <c r="U104" s="11412"/>
      <c r="V104" s="11413"/>
      <c r="W104" s="11413"/>
      <c r="X104" s="11414"/>
      <c r="Y104" s="11405"/>
      <c r="Z104" s="11406"/>
      <c r="AA104" s="11412"/>
      <c r="AB104" s="11414"/>
      <c r="AC104" s="11412"/>
      <c r="AD104" s="11413"/>
      <c r="AE104" s="11413"/>
      <c r="AF104" s="11413"/>
      <c r="AG104" s="2013"/>
    </row>
    <row r="105" spans="1:55" ht="12" customHeight="1">
      <c r="A105" s="2013"/>
      <c r="B105" s="11446"/>
      <c r="C105" s="11423"/>
      <c r="D105" s="11423"/>
      <c r="E105" s="11423"/>
      <c r="F105" s="11423"/>
      <c r="G105" s="11423"/>
      <c r="H105" s="11423"/>
      <c r="I105" s="11423"/>
      <c r="J105" s="11423"/>
      <c r="K105" s="11423"/>
      <c r="L105" s="11423"/>
      <c r="M105" s="11423"/>
      <c r="N105" s="11423"/>
      <c r="O105" s="11423"/>
      <c r="P105" s="11423"/>
      <c r="Q105" s="11412"/>
      <c r="R105" s="11413"/>
      <c r="S105" s="11413"/>
      <c r="T105" s="11414"/>
      <c r="U105" s="11412"/>
      <c r="V105" s="11413"/>
      <c r="W105" s="11413"/>
      <c r="X105" s="11414"/>
      <c r="Y105" s="11405"/>
      <c r="Z105" s="11406"/>
      <c r="AA105" s="11412"/>
      <c r="AB105" s="11414"/>
      <c r="AC105" s="11412"/>
      <c r="AD105" s="11413"/>
      <c r="AE105" s="11413"/>
      <c r="AF105" s="11413"/>
      <c r="AG105" s="2013"/>
    </row>
    <row r="106" spans="1:55" ht="12" customHeight="1" thickBot="1">
      <c r="A106" s="2013"/>
      <c r="B106" s="11446"/>
      <c r="C106" s="11423"/>
      <c r="D106" s="11423"/>
      <c r="E106" s="11423"/>
      <c r="F106" s="11423"/>
      <c r="G106" s="11423"/>
      <c r="H106" s="11423"/>
      <c r="I106" s="11423"/>
      <c r="J106" s="11423"/>
      <c r="K106" s="11423"/>
      <c r="L106" s="11423"/>
      <c r="M106" s="11423"/>
      <c r="N106" s="11423"/>
      <c r="O106" s="11423"/>
      <c r="P106" s="11423"/>
      <c r="Q106" s="11412"/>
      <c r="R106" s="11413"/>
      <c r="S106" s="11413"/>
      <c r="T106" s="11414"/>
      <c r="U106" s="11447"/>
      <c r="V106" s="11448"/>
      <c r="W106" s="11448"/>
      <c r="X106" s="11449"/>
      <c r="Y106" s="11407"/>
      <c r="Z106" s="11408"/>
      <c r="AA106" s="11415"/>
      <c r="AB106" s="11417"/>
      <c r="AC106" s="11412"/>
      <c r="AD106" s="11413"/>
      <c r="AE106" s="11413"/>
      <c r="AF106" s="11413"/>
      <c r="AG106" s="2013"/>
    </row>
    <row r="107" spans="1:55" ht="25.5" customHeight="1" thickBot="1">
      <c r="A107" s="2013"/>
      <c r="B107" s="11418" t="s">
        <v>6414</v>
      </c>
      <c r="C107" s="11419"/>
      <c r="D107" s="11419"/>
      <c r="E107" s="11419"/>
      <c r="F107" s="11419"/>
      <c r="G107" s="11419"/>
      <c r="H107" s="11419"/>
      <c r="I107" s="11419"/>
      <c r="J107" s="11419"/>
      <c r="K107" s="11419"/>
      <c r="L107" s="11419"/>
      <c r="M107" s="11419"/>
      <c r="N107" s="11419"/>
      <c r="O107" s="11419"/>
      <c r="P107" s="11419"/>
      <c r="Q107" s="11419"/>
      <c r="R107" s="11419"/>
      <c r="S107" s="11419"/>
      <c r="T107" s="11419"/>
      <c r="U107" s="11420"/>
      <c r="V107" s="11420"/>
      <c r="W107" s="11420"/>
      <c r="X107" s="11420"/>
      <c r="Y107" s="11419"/>
      <c r="Z107" s="11419"/>
      <c r="AA107" s="11419"/>
      <c r="AB107" s="11419"/>
      <c r="AC107" s="11419"/>
      <c r="AD107" s="11419"/>
      <c r="AE107" s="11419"/>
      <c r="AF107" s="11419"/>
      <c r="AG107" s="2013"/>
    </row>
    <row r="108" spans="1:55" s="141" customFormat="1" ht="14.25" customHeight="1" thickTop="1">
      <c r="A108" s="2306"/>
      <c r="B108" s="6015"/>
      <c r="C108" s="88"/>
      <c r="D108" s="88"/>
      <c r="E108" s="88"/>
      <c r="F108" s="88"/>
      <c r="G108" s="88"/>
      <c r="H108" s="88"/>
      <c r="I108" s="88"/>
      <c r="J108" s="88"/>
      <c r="K108" s="88"/>
      <c r="L108" s="88"/>
      <c r="M108" s="88"/>
      <c r="N108" s="88"/>
      <c r="O108" s="88"/>
      <c r="P108" s="88"/>
      <c r="Q108" s="88"/>
      <c r="R108" s="88"/>
      <c r="S108" s="88"/>
      <c r="T108" s="88"/>
      <c r="U108" s="3931"/>
      <c r="V108" s="88"/>
      <c r="W108" s="88"/>
      <c r="X108" s="88"/>
      <c r="Y108" s="88"/>
      <c r="Z108" s="88"/>
      <c r="AA108" s="88"/>
      <c r="AB108" s="88"/>
      <c r="AC108" s="88"/>
      <c r="AD108" s="2052" t="s">
        <v>4481</v>
      </c>
      <c r="AE108" s="88"/>
      <c r="AF108" s="6016" t="str">
        <f>"("&amp;TaxYear&amp;")"</f>
        <v>(2025)</v>
      </c>
      <c r="AG108" s="2306"/>
      <c r="AH108" s="502"/>
      <c r="AI108" s="502"/>
      <c r="AS108"/>
      <c r="AT108"/>
      <c r="AU108"/>
      <c r="AV108"/>
      <c r="AW108"/>
      <c r="AX108"/>
      <c r="AY108"/>
      <c r="AZ108"/>
      <c r="BA108"/>
      <c r="BB108"/>
      <c r="BC108"/>
    </row>
    <row r="109" spans="1:55">
      <c r="A109" s="2013"/>
      <c r="B109" s="2013"/>
      <c r="C109" s="2013"/>
      <c r="D109" s="2013"/>
      <c r="E109" s="2013"/>
      <c r="F109" s="2013"/>
      <c r="G109" s="2013"/>
      <c r="H109" s="2013"/>
      <c r="I109" s="2013"/>
      <c r="J109" s="2013"/>
      <c r="K109" s="2013"/>
      <c r="L109" s="2013"/>
      <c r="M109" s="2013"/>
      <c r="N109" s="2013"/>
      <c r="O109" s="2013"/>
      <c r="P109" s="2013"/>
      <c r="Q109" s="2013"/>
      <c r="R109" s="2013"/>
      <c r="S109" s="2013"/>
      <c r="T109" s="2013"/>
      <c r="U109" s="2013"/>
      <c r="V109" s="2013"/>
      <c r="W109" s="2013"/>
      <c r="X109" s="2013"/>
      <c r="Y109" s="2013"/>
      <c r="Z109" s="2013"/>
      <c r="AA109" s="2013"/>
      <c r="AB109" s="2013"/>
      <c r="AC109" s="2013"/>
      <c r="AD109" s="2013"/>
      <c r="AE109" s="2013"/>
      <c r="AF109" s="2013"/>
      <c r="AG109" s="2013"/>
    </row>
  </sheetData>
  <sheetProtection algorithmName="SHA-512" hashValue="eFCT6Q1zlbccWfSvLSMChZhO2F6gq32/+CyYkULPwHBLYgkl02jqqJpOdVeesnB87ZFaApUzsANQC3GD/LI+xQ==" saltValue="iwszIJKeacbZ6a8jClWJnA==" spinCount="100000" sheet="1" formatCells="0" formatColumns="0" formatRows="0"/>
  <mergeCells count="266">
    <mergeCell ref="AC95:AF95"/>
    <mergeCell ref="AM87:AM90"/>
    <mergeCell ref="AC100:AF100"/>
    <mergeCell ref="AC98:AF98"/>
    <mergeCell ref="AJ25:AQ25"/>
    <mergeCell ref="AC91:AF91"/>
    <mergeCell ref="AQ87:AQ90"/>
    <mergeCell ref="AO87:AP88"/>
    <mergeCell ref="AP89:AP90"/>
    <mergeCell ref="AO89:AO90"/>
    <mergeCell ref="AC44:AF44"/>
    <mergeCell ref="AC45:AF45"/>
    <mergeCell ref="AC46:AF46"/>
    <mergeCell ref="AJ37:AJ40"/>
    <mergeCell ref="AC48:AF48"/>
    <mergeCell ref="AC43:AF43"/>
    <mergeCell ref="AC51:AF51"/>
    <mergeCell ref="AC50:AF50"/>
    <mergeCell ref="AC37:AF40"/>
    <mergeCell ref="AC92:AF92"/>
    <mergeCell ref="AC93:AF93"/>
    <mergeCell ref="AC94:AF94"/>
    <mergeCell ref="AC99:AF99"/>
    <mergeCell ref="AC96:AF96"/>
    <mergeCell ref="BA22:BC22"/>
    <mergeCell ref="BA23:BA40"/>
    <mergeCell ref="BB23:BB40"/>
    <mergeCell ref="BC23:BC40"/>
    <mergeCell ref="BA72:BC72"/>
    <mergeCell ref="BA73:BA90"/>
    <mergeCell ref="BB73:BB90"/>
    <mergeCell ref="BC73:BC90"/>
    <mergeCell ref="AO39:AO40"/>
    <mergeCell ref="AO37:AP38"/>
    <mergeCell ref="AP39:AP40"/>
    <mergeCell ref="AJ27:AQ27"/>
    <mergeCell ref="AJ29:AQ29"/>
    <mergeCell ref="AJ75:AQ75"/>
    <mergeCell ref="AJ77:AQ77"/>
    <mergeCell ref="AL87:AL90"/>
    <mergeCell ref="AK37:AK40"/>
    <mergeCell ref="AL37:AL40"/>
    <mergeCell ref="AK87:AK90"/>
    <mergeCell ref="AJ87:AJ90"/>
    <mergeCell ref="AN37:AN40"/>
    <mergeCell ref="AJ31:AQ31"/>
    <mergeCell ref="AJ33:AQ33"/>
    <mergeCell ref="AJ35:AQ35"/>
    <mergeCell ref="AC97:AF97"/>
    <mergeCell ref="AQ37:AQ40"/>
    <mergeCell ref="AM37:AM40"/>
    <mergeCell ref="AN87:AN90"/>
    <mergeCell ref="B2:K2"/>
    <mergeCell ref="B4:F6"/>
    <mergeCell ref="AB4:AF4"/>
    <mergeCell ref="AB5:AF7"/>
    <mergeCell ref="AC41:AF41"/>
    <mergeCell ref="AC42:AF42"/>
    <mergeCell ref="U41:X41"/>
    <mergeCell ref="V11:AF11"/>
    <mergeCell ref="B11:U11"/>
    <mergeCell ref="H4:AA6"/>
    <mergeCell ref="B16:C16"/>
    <mergeCell ref="B37:B40"/>
    <mergeCell ref="H7:AA7"/>
    <mergeCell ref="U42:X42"/>
    <mergeCell ref="C37:I40"/>
    <mergeCell ref="AA42:AB42"/>
    <mergeCell ref="Y37:AB38"/>
    <mergeCell ref="U37:X40"/>
    <mergeCell ref="Q37:T40"/>
    <mergeCell ref="Q41:T41"/>
    <mergeCell ref="AB8:AD9"/>
    <mergeCell ref="H8:AA9"/>
    <mergeCell ref="AE8:AF9"/>
    <mergeCell ref="Y39:Z40"/>
    <mergeCell ref="B42:I42"/>
    <mergeCell ref="B41:I41"/>
    <mergeCell ref="Y49:Z49"/>
    <mergeCell ref="AA49:AB49"/>
    <mergeCell ref="U48:X48"/>
    <mergeCell ref="M42:P42"/>
    <mergeCell ref="Q45:T45"/>
    <mergeCell ref="B46:I46"/>
    <mergeCell ref="J46:L46"/>
    <mergeCell ref="U45:X45"/>
    <mergeCell ref="B43:I43"/>
    <mergeCell ref="B44:I44"/>
    <mergeCell ref="B45:I45"/>
    <mergeCell ref="J45:L45"/>
    <mergeCell ref="M45:P45"/>
    <mergeCell ref="M44:P44"/>
    <mergeCell ref="Q44:T44"/>
    <mergeCell ref="U44:X44"/>
    <mergeCell ref="AA39:AB40"/>
    <mergeCell ref="Y45:Z45"/>
    <mergeCell ref="Y46:Z46"/>
    <mergeCell ref="AC101:AF101"/>
    <mergeCell ref="B102:B106"/>
    <mergeCell ref="U102:X106"/>
    <mergeCell ref="AC102:AF106"/>
    <mergeCell ref="B101:I101"/>
    <mergeCell ref="J101:L101"/>
    <mergeCell ref="M101:P101"/>
    <mergeCell ref="Q101:T101"/>
    <mergeCell ref="U101:X101"/>
    <mergeCell ref="AA101:AB101"/>
    <mergeCell ref="Y102:Z106"/>
    <mergeCell ref="AA102:AB106"/>
    <mergeCell ref="Y101:Z101"/>
    <mergeCell ref="AA46:AB46"/>
    <mergeCell ref="B96:I96"/>
    <mergeCell ref="J96:L96"/>
    <mergeCell ref="M96:P96"/>
    <mergeCell ref="Q96:T96"/>
    <mergeCell ref="Y95:Z95"/>
    <mergeCell ref="B100:I100"/>
    <mergeCell ref="J100:L100"/>
    <mergeCell ref="M100:P100"/>
    <mergeCell ref="B95:I95"/>
    <mergeCell ref="AA45:AB45"/>
    <mergeCell ref="AA44:AB44"/>
    <mergeCell ref="AA48:AB48"/>
    <mergeCell ref="Q48:T48"/>
    <mergeCell ref="B12:AF14"/>
    <mergeCell ref="J41:L41"/>
    <mergeCell ref="M41:P41"/>
    <mergeCell ref="M37:P40"/>
    <mergeCell ref="J37:L40"/>
    <mergeCell ref="Q42:T42"/>
    <mergeCell ref="J43:L43"/>
    <mergeCell ref="U43:X43"/>
    <mergeCell ref="Y41:Z41"/>
    <mergeCell ref="Y42:Z42"/>
    <mergeCell ref="Y43:Z43"/>
    <mergeCell ref="M43:P43"/>
    <mergeCell ref="Q43:T43"/>
    <mergeCell ref="J42:L42"/>
    <mergeCell ref="AA41:AB41"/>
    <mergeCell ref="AA43:AB43"/>
    <mergeCell ref="J44:L44"/>
    <mergeCell ref="Y44:Z44"/>
    <mergeCell ref="Y48:Z48"/>
    <mergeCell ref="B47:I47"/>
    <mergeCell ref="B92:I92"/>
    <mergeCell ref="Y50:Z50"/>
    <mergeCell ref="J92:L92"/>
    <mergeCell ref="B57:AF57"/>
    <mergeCell ref="B87:B90"/>
    <mergeCell ref="C87:I90"/>
    <mergeCell ref="J87:L90"/>
    <mergeCell ref="B66:C66"/>
    <mergeCell ref="B61:U61"/>
    <mergeCell ref="V61:AF61"/>
    <mergeCell ref="M87:P90"/>
    <mergeCell ref="AC87:AF90"/>
    <mergeCell ref="B51:I51"/>
    <mergeCell ref="J51:L51"/>
    <mergeCell ref="M51:P51"/>
    <mergeCell ref="B52:B56"/>
    <mergeCell ref="C52:P56"/>
    <mergeCell ref="B62:AF64"/>
    <mergeCell ref="B107:AF107"/>
    <mergeCell ref="C102:P106"/>
    <mergeCell ref="Q102:T106"/>
    <mergeCell ref="AA94:AB94"/>
    <mergeCell ref="Q98:T98"/>
    <mergeCell ref="U98:X98"/>
    <mergeCell ref="Y98:Z98"/>
    <mergeCell ref="AA96:AB96"/>
    <mergeCell ref="B99:I99"/>
    <mergeCell ref="M97:P97"/>
    <mergeCell ref="Y96:Z96"/>
    <mergeCell ref="Y97:Z97"/>
    <mergeCell ref="Q100:T100"/>
    <mergeCell ref="U100:X100"/>
    <mergeCell ref="Y100:Z100"/>
    <mergeCell ref="U96:X96"/>
    <mergeCell ref="Q97:T97"/>
    <mergeCell ref="U97:X97"/>
    <mergeCell ref="J99:L99"/>
    <mergeCell ref="Y99:Z99"/>
    <mergeCell ref="B97:I97"/>
    <mergeCell ref="J97:L97"/>
    <mergeCell ref="B98:I98"/>
    <mergeCell ref="J98:L98"/>
    <mergeCell ref="B94:I94"/>
    <mergeCell ref="J94:L94"/>
    <mergeCell ref="M94:P94"/>
    <mergeCell ref="Q94:T94"/>
    <mergeCell ref="M95:P95"/>
    <mergeCell ref="AA95:AB95"/>
    <mergeCell ref="Q95:T95"/>
    <mergeCell ref="Y93:Z93"/>
    <mergeCell ref="J95:L95"/>
    <mergeCell ref="B93:I93"/>
    <mergeCell ref="J93:L93"/>
    <mergeCell ref="M93:P93"/>
    <mergeCell ref="Y47:Z47"/>
    <mergeCell ref="AA47:AB47"/>
    <mergeCell ref="AC47:AF47"/>
    <mergeCell ref="Q47:T47"/>
    <mergeCell ref="U47:X47"/>
    <mergeCell ref="Y51:Z51"/>
    <mergeCell ref="AA51:AB51"/>
    <mergeCell ref="Y52:Z56"/>
    <mergeCell ref="U52:X56"/>
    <mergeCell ref="AA52:AB56"/>
    <mergeCell ref="AA50:AB50"/>
    <mergeCell ref="AC49:AF49"/>
    <mergeCell ref="Q51:T51"/>
    <mergeCell ref="U51:X51"/>
    <mergeCell ref="Q49:T49"/>
    <mergeCell ref="U49:X49"/>
    <mergeCell ref="Q52:T56"/>
    <mergeCell ref="AC52:AF56"/>
    <mergeCell ref="M46:P46"/>
    <mergeCell ref="Q46:T46"/>
    <mergeCell ref="U46:X46"/>
    <mergeCell ref="J47:L47"/>
    <mergeCell ref="B48:I48"/>
    <mergeCell ref="J48:L48"/>
    <mergeCell ref="M48:P48"/>
    <mergeCell ref="M50:P50"/>
    <mergeCell ref="Q50:T50"/>
    <mergeCell ref="U50:X50"/>
    <mergeCell ref="B50:I50"/>
    <mergeCell ref="J50:L50"/>
    <mergeCell ref="B49:I49"/>
    <mergeCell ref="J49:L49"/>
    <mergeCell ref="M49:P49"/>
    <mergeCell ref="M47:P47"/>
    <mergeCell ref="AA100:AB100"/>
    <mergeCell ref="U94:X94"/>
    <mergeCell ref="Y94:Z94"/>
    <mergeCell ref="AA98:AB98"/>
    <mergeCell ref="M92:P92"/>
    <mergeCell ref="Q91:T91"/>
    <mergeCell ref="AA89:AB90"/>
    <mergeCell ref="M99:P99"/>
    <mergeCell ref="Q99:T99"/>
    <mergeCell ref="U99:X99"/>
    <mergeCell ref="Q92:T92"/>
    <mergeCell ref="M98:P98"/>
    <mergeCell ref="AA97:AB97"/>
    <mergeCell ref="AA92:AB92"/>
    <mergeCell ref="AA99:AB99"/>
    <mergeCell ref="Y89:Z90"/>
    <mergeCell ref="AA93:AB93"/>
    <mergeCell ref="Q93:T93"/>
    <mergeCell ref="U93:X93"/>
    <mergeCell ref="U95:X95"/>
    <mergeCell ref="Q87:T90"/>
    <mergeCell ref="U92:X92"/>
    <mergeCell ref="Y92:Z92"/>
    <mergeCell ref="AJ81:AQ81"/>
    <mergeCell ref="AJ83:AQ83"/>
    <mergeCell ref="AJ85:AQ85"/>
    <mergeCell ref="B91:I91"/>
    <mergeCell ref="J91:L91"/>
    <mergeCell ref="M91:P91"/>
    <mergeCell ref="AA91:AB91"/>
    <mergeCell ref="U91:X91"/>
    <mergeCell ref="Y91:Z91"/>
    <mergeCell ref="U87:X90"/>
    <mergeCell ref="Y87:AB88"/>
  </mergeCells>
  <conditionalFormatting sqref="B2">
    <cfRule type="expression" dxfId="436" priority="6684" stopIfTrue="1">
      <formula>IF(OR($AG$16,$AG$66),1,0)</formula>
    </cfRule>
  </conditionalFormatting>
  <conditionalFormatting sqref="B21">
    <cfRule type="expression" dxfId="435" priority="60">
      <formula>AND(NOT(NoColor),A35=0,AC52&lt;&gt;"")</formula>
    </cfRule>
  </conditionalFormatting>
  <conditionalFormatting sqref="B23">
    <cfRule type="expression" dxfId="434" priority="38">
      <formula>SpaceUsed_8949A_ST</formula>
    </cfRule>
  </conditionalFormatting>
  <conditionalFormatting sqref="B71">
    <cfRule type="expression" dxfId="433" priority="61">
      <formula>AND(NOT(NoColor),A85=0,AC102&lt;&gt;"")</formula>
    </cfRule>
  </conditionalFormatting>
  <conditionalFormatting sqref="B73">
    <cfRule type="expression" dxfId="432" priority="32">
      <formula>SpaceUsed_8949A_LT</formula>
    </cfRule>
  </conditionalFormatting>
  <conditionalFormatting sqref="B11:AF11">
    <cfRule type="expression" dxfId="431" priority="90">
      <formula>IF(NoColor,1,0)</formula>
    </cfRule>
  </conditionalFormatting>
  <conditionalFormatting sqref="B41:AF51">
    <cfRule type="expression" dxfId="430" priority="3">
      <formula>IF(NoColor,1,0)</formula>
    </cfRule>
  </conditionalFormatting>
  <conditionalFormatting sqref="B61:AF61">
    <cfRule type="expression" dxfId="429" priority="83">
      <formula>IF(NoColor,1,0)</formula>
    </cfRule>
  </conditionalFormatting>
  <conditionalFormatting sqref="B91:AF101">
    <cfRule type="expression" dxfId="428" priority="1">
      <formula>IF(NoColor,1,0)</formula>
    </cfRule>
  </conditionalFormatting>
  <conditionalFormatting sqref="C25">
    <cfRule type="expression" dxfId="427" priority="48">
      <formula>IF(NoColor,1,0)</formula>
    </cfRule>
    <cfRule type="expression" dxfId="426" priority="47">
      <formula>C25=CHAR(32)</formula>
    </cfRule>
  </conditionalFormatting>
  <conditionalFormatting sqref="C27">
    <cfRule type="expression" dxfId="425" priority="46">
      <formula>IF(NoColor,1,0)</formula>
    </cfRule>
    <cfRule type="expression" dxfId="424" priority="45">
      <formula>C27=CHAR(32)</formula>
    </cfRule>
  </conditionalFormatting>
  <conditionalFormatting sqref="C29">
    <cfRule type="expression" dxfId="423" priority="44">
      <formula>IF(NoColor,1,0)</formula>
    </cfRule>
    <cfRule type="expression" dxfId="422" priority="43">
      <formula>C29=CHAR(32)</formula>
    </cfRule>
  </conditionalFormatting>
  <conditionalFormatting sqref="C31">
    <cfRule type="expression" dxfId="421" priority="41">
      <formula>C31=CHAR(32)</formula>
    </cfRule>
    <cfRule type="expression" dxfId="420" priority="42">
      <formula>IF(NoColor,1,0)</formula>
    </cfRule>
  </conditionalFormatting>
  <conditionalFormatting sqref="C33">
    <cfRule type="expression" dxfId="419" priority="56">
      <formula>IF(NoColor,1,0)</formula>
    </cfRule>
    <cfRule type="expression" dxfId="418" priority="49">
      <formula>C33=CHAR(32)</formula>
    </cfRule>
  </conditionalFormatting>
  <conditionalFormatting sqref="C35">
    <cfRule type="expression" dxfId="417" priority="39">
      <formula>C35=CHAR(32)</formula>
    </cfRule>
    <cfRule type="expression" dxfId="416" priority="40">
      <formula>IF(NoColor,1,0)</formula>
    </cfRule>
  </conditionalFormatting>
  <conditionalFormatting sqref="C75">
    <cfRule type="expression" dxfId="415" priority="28">
      <formula>AND(SpaceUsed_8949A_LT,C75=CHAR(32))</formula>
    </cfRule>
    <cfRule type="expression" dxfId="414" priority="29">
      <formula>IF(NoColor,1,0)</formula>
    </cfRule>
  </conditionalFormatting>
  <conditionalFormatting sqref="C77">
    <cfRule type="expression" dxfId="413" priority="69">
      <formula>IF(NoColor,1,0)</formula>
    </cfRule>
    <cfRule type="expression" dxfId="412" priority="30">
      <formula>AND(SpaceUsed_8949A_LT,C77=CHAR(32))</formula>
    </cfRule>
  </conditionalFormatting>
  <conditionalFormatting sqref="C79">
    <cfRule type="expression" dxfId="411" priority="26">
      <formula>AND(SpaceUsed_8949A_LT,C79=CHAR(32))</formula>
    </cfRule>
    <cfRule type="expression" dxfId="410" priority="27">
      <formula>IF(NoColor,1,0)</formula>
    </cfRule>
  </conditionalFormatting>
  <conditionalFormatting sqref="C81">
    <cfRule type="expression" dxfId="409" priority="24">
      <formula>AND(SpaceUsed_8949A_LT,C81=CHAR(32))</formula>
    </cfRule>
    <cfRule type="expression" dxfId="408" priority="25">
      <formula>IF(NoColor,1,0)</formula>
    </cfRule>
  </conditionalFormatting>
  <conditionalFormatting sqref="C83">
    <cfRule type="expression" dxfId="407" priority="23">
      <formula>IF(NoColor,1,0)</formula>
    </cfRule>
    <cfRule type="expression" dxfId="406" priority="22">
      <formula>AND(SpaceUsed_8949A_LT,C83=CHAR(32))</formula>
    </cfRule>
  </conditionalFormatting>
  <conditionalFormatting sqref="C85">
    <cfRule type="expression" dxfId="405" priority="21">
      <formula>IF(NoColor,1,0)</formula>
    </cfRule>
    <cfRule type="expression" dxfId="404" priority="20">
      <formula>AND(SpaceUsed_8949A_LT,C85=CHAR(32))</formula>
    </cfRule>
  </conditionalFormatting>
  <conditionalFormatting sqref="D25">
    <cfRule type="expression" dxfId="403" priority="55">
      <formula>C25=CHAR(32)</formula>
    </cfRule>
  </conditionalFormatting>
  <conditionalFormatting sqref="D27">
    <cfRule type="expression" dxfId="402" priority="54">
      <formula>C27=CHAR(32)</formula>
    </cfRule>
  </conditionalFormatting>
  <conditionalFormatting sqref="D29">
    <cfRule type="expression" dxfId="401" priority="53">
      <formula>C29=CHAR(32)</formula>
    </cfRule>
  </conditionalFormatting>
  <conditionalFormatting sqref="D31">
    <cfRule type="expression" dxfId="400" priority="52">
      <formula>C31=CHAR(32)</formula>
    </cfRule>
  </conditionalFormatting>
  <conditionalFormatting sqref="D33">
    <cfRule type="expression" dxfId="399" priority="51">
      <formula>C33=CHAR(32)</formula>
    </cfRule>
  </conditionalFormatting>
  <conditionalFormatting sqref="D35">
    <cfRule type="expression" dxfId="398" priority="50">
      <formula>C35=CHAR(32)</formula>
    </cfRule>
  </conditionalFormatting>
  <conditionalFormatting sqref="D75">
    <cfRule type="expression" dxfId="397" priority="19">
      <formula>AND(SpaceUsed_8949A_LT,C75=CHAR(32))</formula>
    </cfRule>
  </conditionalFormatting>
  <conditionalFormatting sqref="D77">
    <cfRule type="expression" dxfId="396" priority="18">
      <formula>AND(SpaceUsed_8949A_LT,C77=CHAR(32))</formula>
    </cfRule>
  </conditionalFormatting>
  <conditionalFormatting sqref="D79">
    <cfRule type="expression" dxfId="395" priority="17">
      <formula>AND(SpaceUsed_8949A_LT,C79=CHAR(32))</formula>
    </cfRule>
  </conditionalFormatting>
  <conditionalFormatting sqref="D81">
    <cfRule type="expression" dxfId="394" priority="16">
      <formula>AND(SpaceUsed_8949A_LT,C81=CHAR(32))</formula>
    </cfRule>
  </conditionalFormatting>
  <conditionalFormatting sqref="D83">
    <cfRule type="expression" dxfId="393" priority="15">
      <formula>AND(SpaceUsed_8949A_LT,C83=CHAR(32))</formula>
    </cfRule>
  </conditionalFormatting>
  <conditionalFormatting sqref="D85">
    <cfRule type="expression" dxfId="392" priority="14">
      <formula>AND(SpaceUsed_8949A_LT,C85=CHAR(32))</formula>
    </cfRule>
  </conditionalFormatting>
  <conditionalFormatting sqref="J41:J51">
    <cfRule type="expression" dxfId="391" priority="10" stopIfTrue="1">
      <formula>AND($L$2="",NOT($AZ41))</formula>
    </cfRule>
  </conditionalFormatting>
  <conditionalFormatting sqref="J91:L101">
    <cfRule type="expression" dxfId="390" priority="11">
      <formula>AND($L$2="",$AZ91)</formula>
    </cfRule>
  </conditionalFormatting>
  <conditionalFormatting sqref="K71">
    <cfRule type="expression" dxfId="389" priority="62">
      <formula>IF($A$79&gt;1,1,0)</formula>
    </cfRule>
  </conditionalFormatting>
  <conditionalFormatting sqref="L2">
    <cfRule type="expression" dxfId="388" priority="6685" stopIfTrue="1">
      <formula>IF(OR($AG$16,$AG$66),1,0)</formula>
    </cfRule>
  </conditionalFormatting>
  <conditionalFormatting sqref="L21">
    <cfRule type="expression" dxfId="387" priority="59">
      <formula>(A29&gt;1)</formula>
    </cfRule>
  </conditionalFormatting>
  <conditionalFormatting sqref="M41:M51">
    <cfRule type="expression" dxfId="386" priority="4" stopIfTrue="1">
      <formula>AND($L$2="",NOT($AZ41))</formula>
    </cfRule>
  </conditionalFormatting>
  <conditionalFormatting sqref="M91:M101">
    <cfRule type="expression" dxfId="385" priority="2" stopIfTrue="1">
      <formula>AND($L$2="",$AZ91)</formula>
    </cfRule>
  </conditionalFormatting>
  <conditionalFormatting sqref="M21:N21">
    <cfRule type="expression" dxfId="384" priority="36">
      <formula>$A$35&gt;1</formula>
    </cfRule>
  </conditionalFormatting>
  <conditionalFormatting sqref="M71:N71">
    <cfRule type="expression" dxfId="383" priority="31">
      <formula>IF($A$85&gt;1,1,0)</formula>
    </cfRule>
  </conditionalFormatting>
  <conditionalFormatting sqref="P66">
    <cfRule type="expression" dxfId="382" priority="594" stopIfTrue="1">
      <formula>IF(AND($L$2="",$AG$66),TRUE,FALSE)</formula>
    </cfRule>
  </conditionalFormatting>
  <conditionalFormatting sqref="Q52:X56">
    <cfRule type="expression" dxfId="381" priority="85">
      <formula>IF(NoColor,1,0)</formula>
    </cfRule>
  </conditionalFormatting>
  <conditionalFormatting sqref="Q102:X106">
    <cfRule type="expression" dxfId="380" priority="73">
      <formula>IF(NoColor,1,0)</formula>
    </cfRule>
  </conditionalFormatting>
  <conditionalFormatting sqref="T16:T19">
    <cfRule type="expression" dxfId="379" priority="186" stopIfTrue="1">
      <formula>IF(AND($L$2="",$AG$16),TRUE,FALSE)</formula>
    </cfRule>
  </conditionalFormatting>
  <conditionalFormatting sqref="T66">
    <cfRule type="expression" dxfId="378" priority="185" stopIfTrue="1">
      <formula>IF(AND($L$2="",$AG$66),TRUE,FALSE)</formula>
    </cfRule>
  </conditionalFormatting>
  <conditionalFormatting sqref="T67:T69">
    <cfRule type="expression" dxfId="377" priority="66" stopIfTrue="1">
      <formula>IF(AND($L$2="",$AG$16),TRUE,FALSE)</formula>
    </cfRule>
  </conditionalFormatting>
  <conditionalFormatting sqref="AA52:AF56">
    <cfRule type="expression" dxfId="376" priority="84">
      <formula>IF(NoColor,1,0)</formula>
    </cfRule>
  </conditionalFormatting>
  <conditionalFormatting sqref="AA102:AF106">
    <cfRule type="expression" dxfId="375" priority="72">
      <formula>IF(NoColor,1,0)</formula>
    </cfRule>
  </conditionalFormatting>
  <conditionalFormatting sqref="AB4:AF4">
    <cfRule type="expression" dxfId="374" priority="13">
      <formula>AND(AI3,AH4="")</formula>
    </cfRule>
  </conditionalFormatting>
  <conditionalFormatting sqref="AH4">
    <cfRule type="expression" dxfId="373" priority="12">
      <formula>$AI$3</formula>
    </cfRule>
  </conditionalFormatting>
  <pageMargins left="0.75" right="0.25" top="0.36" bottom="0.28999999999999998" header="0.36" footer="0.21"/>
  <pageSetup scale="75" fitToHeight="0" orientation="portrait" r:id="rId1"/>
  <rowBreaks count="1" manualBreakCount="1">
    <brk id="58" min="1" max="31" man="1"/>
  </rowBreak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pageSetUpPr fitToPage="1"/>
  </sheetPr>
  <dimension ref="A1:BC109"/>
  <sheetViews>
    <sheetView zoomScaleNormal="100" zoomScaleSheetLayoutView="100" workbookViewId="0">
      <selection activeCell="AH38" sqref="AH38"/>
    </sheetView>
  </sheetViews>
  <sheetFormatPr defaultColWidth="3.7109375" defaultRowHeight="12.75"/>
  <cols>
    <col min="1" max="1" width="3.7109375" style="6021" customWidth="1"/>
    <col min="2" max="2" width="4.140625" customWidth="1"/>
    <col min="3" max="3" width="2.28515625" customWidth="1"/>
    <col min="4" max="9" width="3.7109375" customWidth="1"/>
    <col min="10" max="10" width="4" customWidth="1"/>
    <col min="11" max="11" width="6.85546875" customWidth="1"/>
    <col min="12" max="12" width="4" customWidth="1"/>
    <col min="13" max="16" width="3.7109375" customWidth="1"/>
    <col min="17" max="20" width="4.28515625" customWidth="1"/>
    <col min="21" max="23" width="3.85546875" customWidth="1"/>
    <col min="24" max="24" width="3.7109375" customWidth="1"/>
    <col min="25" max="26" width="5.42578125" customWidth="1"/>
    <col min="27" max="28" width="6.42578125" customWidth="1"/>
    <col min="29" max="32" width="3.7109375" customWidth="1"/>
    <col min="33" max="33" width="6" style="6022" customWidth="1"/>
    <col min="34" max="34" width="4.85546875" style="84" customWidth="1"/>
    <col min="35" max="35" width="8.5703125" style="84" bestFit="1" customWidth="1"/>
    <col min="36" max="36" width="29.28515625" customWidth="1"/>
    <col min="37" max="40" width="13.7109375" customWidth="1"/>
    <col min="41" max="41" width="10" customWidth="1"/>
    <col min="42" max="42" width="15.5703125" customWidth="1"/>
    <col min="43" max="43" width="15.42578125" customWidth="1"/>
    <col min="44" max="44" width="13" customWidth="1"/>
    <col min="45" max="47" width="13" hidden="1" customWidth="1"/>
    <col min="48" max="48" width="3.85546875" hidden="1" customWidth="1"/>
    <col min="49" max="51" width="13" hidden="1" customWidth="1"/>
    <col min="52" max="52" width="8.5703125" hidden="1" customWidth="1"/>
    <col min="53" max="55" width="13" hidden="1" customWidth="1"/>
    <col min="56" max="68" width="3.7109375" customWidth="1"/>
  </cols>
  <sheetData>
    <row r="1" spans="1:35">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2013"/>
      <c r="AD1" s="2013"/>
      <c r="AE1" s="2013"/>
      <c r="AF1" s="2013"/>
      <c r="AG1" s="2013"/>
    </row>
    <row r="2" spans="1:35">
      <c r="A2" s="139"/>
      <c r="B2" s="11463" t="s">
        <v>4453</v>
      </c>
      <c r="C2" s="11464"/>
      <c r="D2" s="11464"/>
      <c r="E2" s="11464"/>
      <c r="F2" s="11464"/>
      <c r="G2" s="11464"/>
      <c r="H2" s="11464"/>
      <c r="I2" s="11464"/>
      <c r="J2" s="11464"/>
      <c r="K2" s="11464"/>
      <c r="L2" s="264"/>
      <c r="M2" s="139"/>
      <c r="N2" s="139"/>
      <c r="O2" s="139"/>
      <c r="P2" s="139"/>
      <c r="Q2" s="139"/>
      <c r="R2" s="139"/>
      <c r="S2" s="139"/>
      <c r="T2" s="139"/>
      <c r="U2" s="139"/>
      <c r="V2" s="139"/>
      <c r="W2" s="139"/>
      <c r="X2" s="139"/>
      <c r="Y2" s="139"/>
      <c r="Z2" s="139"/>
      <c r="AA2" s="962"/>
      <c r="AB2" s="139"/>
      <c r="AC2" s="139"/>
      <c r="AD2" s="139"/>
      <c r="AE2" s="139"/>
      <c r="AF2" s="139"/>
      <c r="AG2" s="2013"/>
    </row>
    <row r="3" spans="1:35">
      <c r="A3" s="2013"/>
      <c r="B3" s="2013"/>
      <c r="C3" s="2013"/>
      <c r="D3" s="2013"/>
      <c r="E3" s="2013"/>
      <c r="F3" s="2013"/>
      <c r="G3" s="2013"/>
      <c r="H3" s="2013"/>
      <c r="I3" s="2013"/>
      <c r="J3" s="2013"/>
      <c r="K3" s="2013"/>
      <c r="L3" s="2013"/>
      <c r="M3" s="2013"/>
      <c r="N3" s="2013"/>
      <c r="O3" s="2013"/>
      <c r="P3" s="2013"/>
      <c r="Q3" s="2013"/>
      <c r="R3" s="2013"/>
      <c r="S3" s="2013"/>
      <c r="T3" s="2013"/>
      <c r="U3" s="2013"/>
      <c r="V3" s="2013"/>
      <c r="W3" s="2013"/>
      <c r="X3" s="2013"/>
      <c r="Y3" s="2013"/>
      <c r="Z3" s="2013"/>
      <c r="AA3" s="2013"/>
      <c r="AB3" s="2013"/>
      <c r="AC3" s="2013"/>
      <c r="AD3" s="2013"/>
      <c r="AE3" s="2013"/>
      <c r="AF3" s="2013"/>
      <c r="AG3" s="2013"/>
      <c r="AI3" s="318" t="b">
        <f>'Table of Contents'!A62="D"</f>
        <v>0</v>
      </c>
    </row>
    <row r="4" spans="1:35" ht="11.25" customHeight="1">
      <c r="A4" s="2013"/>
      <c r="B4" s="11465" t="s">
        <v>4454</v>
      </c>
      <c r="C4" s="7601"/>
      <c r="D4" s="7601"/>
      <c r="E4" s="7601"/>
      <c r="F4" s="7601"/>
      <c r="G4" s="88"/>
      <c r="H4" s="11467" t="s">
        <v>4455</v>
      </c>
      <c r="I4" s="11468"/>
      <c r="J4" s="11468"/>
      <c r="K4" s="11468"/>
      <c r="L4" s="11468"/>
      <c r="M4" s="11468"/>
      <c r="N4" s="11468"/>
      <c r="O4" s="11468"/>
      <c r="P4" s="11468"/>
      <c r="Q4" s="11468"/>
      <c r="R4" s="11468"/>
      <c r="S4" s="11468"/>
      <c r="T4" s="11468"/>
      <c r="U4" s="11468"/>
      <c r="V4" s="11468"/>
      <c r="W4" s="11468"/>
      <c r="X4" s="11468"/>
      <c r="Y4" s="11468"/>
      <c r="Z4" s="11468"/>
      <c r="AA4" s="11469"/>
      <c r="AB4" s="8062" t="str">
        <f>IF(AND(AI3,AH4=""),"DRAFT","OMB No. 1545-0074")</f>
        <v>OMB No. 1545-0074</v>
      </c>
      <c r="AC4" s="9894"/>
      <c r="AD4" s="9894"/>
      <c r="AE4" s="9894"/>
      <c r="AF4" s="9894"/>
      <c r="AG4" s="2013"/>
      <c r="AH4" s="6003"/>
      <c r="AI4" s="6001" t="str">
        <f>IF(AI3,"Hide 'DRAFT'.","")</f>
        <v/>
      </c>
    </row>
    <row r="5" spans="1:35" ht="11.25" customHeight="1">
      <c r="A5" s="2013"/>
      <c r="B5" s="7601"/>
      <c r="C5" s="7601"/>
      <c r="D5" s="7601"/>
      <c r="E5" s="7601"/>
      <c r="F5" s="7601"/>
      <c r="G5" s="88"/>
      <c r="H5" s="11470"/>
      <c r="I5" s="11468"/>
      <c r="J5" s="11468"/>
      <c r="K5" s="11468"/>
      <c r="L5" s="11468"/>
      <c r="M5" s="11468"/>
      <c r="N5" s="11468"/>
      <c r="O5" s="11468"/>
      <c r="P5" s="11468"/>
      <c r="Q5" s="11468"/>
      <c r="R5" s="11468"/>
      <c r="S5" s="11468"/>
      <c r="T5" s="11468"/>
      <c r="U5" s="11468"/>
      <c r="V5" s="11468"/>
      <c r="W5" s="11468"/>
      <c r="X5" s="11468"/>
      <c r="Y5" s="11468"/>
      <c r="Z5" s="11468"/>
      <c r="AA5" s="11469"/>
      <c r="AB5" s="11466">
        <f>TaxYear</f>
        <v>2025</v>
      </c>
      <c r="AC5" s="7601"/>
      <c r="AD5" s="7601"/>
      <c r="AE5" s="7601"/>
      <c r="AF5" s="7601"/>
      <c r="AG5" s="2013"/>
      <c r="AH5" s="6004"/>
    </row>
    <row r="6" spans="1:35" ht="11.25" customHeight="1">
      <c r="A6" s="2013"/>
      <c r="B6" s="7601"/>
      <c r="C6" s="7601"/>
      <c r="D6" s="7601"/>
      <c r="E6" s="7601"/>
      <c r="F6" s="7601"/>
      <c r="G6" s="88"/>
      <c r="H6" s="11471"/>
      <c r="I6" s="7091"/>
      <c r="J6" s="7091"/>
      <c r="K6" s="7091"/>
      <c r="L6" s="7091"/>
      <c r="M6" s="7091"/>
      <c r="N6" s="7091"/>
      <c r="O6" s="7091"/>
      <c r="P6" s="7091"/>
      <c r="Q6" s="7091"/>
      <c r="R6" s="7091"/>
      <c r="S6" s="7091"/>
      <c r="T6" s="7091"/>
      <c r="U6" s="7091"/>
      <c r="V6" s="7091"/>
      <c r="W6" s="7091"/>
      <c r="X6" s="7091"/>
      <c r="Y6" s="7091"/>
      <c r="Z6" s="7091"/>
      <c r="AA6" s="9627"/>
      <c r="AB6" s="7601"/>
      <c r="AC6" s="7601"/>
      <c r="AD6" s="7601"/>
      <c r="AE6" s="7601"/>
      <c r="AF6" s="7601"/>
      <c r="AG6" s="2013"/>
      <c r="AH6" s="6005"/>
    </row>
    <row r="7" spans="1:35" ht="11.25" customHeight="1">
      <c r="A7" s="2013"/>
      <c r="B7" s="88"/>
      <c r="C7" s="88"/>
      <c r="D7" s="88"/>
      <c r="E7" s="88"/>
      <c r="F7" s="88"/>
      <c r="G7" s="88"/>
      <c r="H7" s="11472" t="s">
        <v>4456</v>
      </c>
      <c r="I7" s="11473"/>
      <c r="J7" s="11473"/>
      <c r="K7" s="11473"/>
      <c r="L7" s="11473"/>
      <c r="M7" s="11473"/>
      <c r="N7" s="11473"/>
      <c r="O7" s="11473"/>
      <c r="P7" s="11473"/>
      <c r="Q7" s="11473"/>
      <c r="R7" s="11473"/>
      <c r="S7" s="11473"/>
      <c r="T7" s="11473"/>
      <c r="U7" s="11473"/>
      <c r="V7" s="11473"/>
      <c r="W7" s="11473"/>
      <c r="X7" s="11473"/>
      <c r="Y7" s="11473"/>
      <c r="Z7" s="11473"/>
      <c r="AA7" s="11474"/>
      <c r="AB7" s="7601"/>
      <c r="AC7" s="7601"/>
      <c r="AD7" s="7601"/>
      <c r="AE7" s="7601"/>
      <c r="AF7" s="7601"/>
      <c r="AG7" s="2013"/>
    </row>
    <row r="8" spans="1:35" ht="10.5" customHeight="1">
      <c r="A8" s="2013"/>
      <c r="B8" s="229" t="s">
        <v>503</v>
      </c>
      <c r="C8" s="88"/>
      <c r="D8" s="88"/>
      <c r="E8" s="88"/>
      <c r="F8" s="88"/>
      <c r="G8" s="88"/>
      <c r="H8" s="11454" t="s">
        <v>5088</v>
      </c>
      <c r="I8" s="11455"/>
      <c r="J8" s="11455"/>
      <c r="K8" s="11455"/>
      <c r="L8" s="11455"/>
      <c r="M8" s="11455"/>
      <c r="N8" s="11455"/>
      <c r="O8" s="11455"/>
      <c r="P8" s="11455"/>
      <c r="Q8" s="11455"/>
      <c r="R8" s="11455"/>
      <c r="S8" s="11455"/>
      <c r="T8" s="11455"/>
      <c r="U8" s="11455"/>
      <c r="V8" s="11455"/>
      <c r="W8" s="11455"/>
      <c r="X8" s="11455"/>
      <c r="Y8" s="11455"/>
      <c r="Z8" s="11455"/>
      <c r="AA8" s="11456"/>
      <c r="AB8" s="11450" t="s">
        <v>1959</v>
      </c>
      <c r="AC8" s="11451"/>
      <c r="AD8" s="11451"/>
      <c r="AE8" s="9111" t="s">
        <v>4457</v>
      </c>
      <c r="AF8" s="9111"/>
      <c r="AG8" s="2013"/>
    </row>
    <row r="9" spans="1:35" ht="10.5" customHeight="1" thickBot="1">
      <c r="A9" s="2013"/>
      <c r="B9" s="6504" t="s">
        <v>505</v>
      </c>
      <c r="C9" s="6505"/>
      <c r="D9" s="6505"/>
      <c r="E9" s="6505"/>
      <c r="F9" s="6505"/>
      <c r="G9" s="6505"/>
      <c r="H9" s="11457"/>
      <c r="I9" s="11458"/>
      <c r="J9" s="11458"/>
      <c r="K9" s="11458"/>
      <c r="L9" s="11458"/>
      <c r="M9" s="11458"/>
      <c r="N9" s="11458"/>
      <c r="O9" s="11458"/>
      <c r="P9" s="11458"/>
      <c r="Q9" s="11458"/>
      <c r="R9" s="11458"/>
      <c r="S9" s="11458"/>
      <c r="T9" s="11458"/>
      <c r="U9" s="11458"/>
      <c r="V9" s="11458"/>
      <c r="W9" s="11458"/>
      <c r="X9" s="11458"/>
      <c r="Y9" s="11458"/>
      <c r="Z9" s="11458"/>
      <c r="AA9" s="11459"/>
      <c r="AB9" s="11452"/>
      <c r="AC9" s="11453"/>
      <c r="AD9" s="11453"/>
      <c r="AE9" s="11460"/>
      <c r="AF9" s="11460"/>
      <c r="AG9" s="2013"/>
    </row>
    <row r="10" spans="1:35" ht="13.5" thickTop="1">
      <c r="A10" s="2013"/>
      <c r="B10" s="229" t="s">
        <v>1918</v>
      </c>
      <c r="C10" s="88"/>
      <c r="D10" s="88"/>
      <c r="E10" s="88"/>
      <c r="F10" s="88"/>
      <c r="G10" s="88"/>
      <c r="H10" s="88"/>
      <c r="I10" s="88"/>
      <c r="J10" s="88"/>
      <c r="K10" s="88"/>
      <c r="L10" s="88"/>
      <c r="M10" s="88"/>
      <c r="N10" s="88"/>
      <c r="O10" s="88"/>
      <c r="P10" s="88"/>
      <c r="Q10" s="88"/>
      <c r="R10" s="88"/>
      <c r="S10" s="88"/>
      <c r="T10" s="88"/>
      <c r="U10" s="88"/>
      <c r="V10" s="6006" t="s">
        <v>4458</v>
      </c>
      <c r="W10" s="88"/>
      <c r="X10" s="88"/>
      <c r="Y10" s="88"/>
      <c r="Z10" s="2666"/>
      <c r="AA10" s="88"/>
      <c r="AB10" s="88"/>
      <c r="AC10" s="88"/>
      <c r="AD10" s="88"/>
      <c r="AE10" s="88"/>
      <c r="AF10" s="88"/>
      <c r="AG10" s="2013"/>
    </row>
    <row r="11" spans="1:35" ht="16.5" thickBot="1">
      <c r="A11" s="2013"/>
      <c r="B11" s="11436" t="str">
        <f>Names</f>
        <v/>
      </c>
      <c r="C11" s="11437"/>
      <c r="D11" s="11437"/>
      <c r="E11" s="11437"/>
      <c r="F11" s="11437"/>
      <c r="G11" s="11437"/>
      <c r="H11" s="11437"/>
      <c r="I11" s="11437"/>
      <c r="J11" s="11437"/>
      <c r="K11" s="11437"/>
      <c r="L11" s="11437"/>
      <c r="M11" s="11437"/>
      <c r="N11" s="11437"/>
      <c r="O11" s="11437"/>
      <c r="P11" s="11437"/>
      <c r="Q11" s="11437"/>
      <c r="R11" s="11437"/>
      <c r="S11" s="11437"/>
      <c r="T11" s="11437"/>
      <c r="U11" s="11438"/>
      <c r="V11" s="11439">
        <f>IF(NoSSN,"",SS_Yours)</f>
        <v>1010001</v>
      </c>
      <c r="W11" s="11440"/>
      <c r="X11" s="11440"/>
      <c r="Y11" s="11440"/>
      <c r="Z11" s="11440"/>
      <c r="AA11" s="11440"/>
      <c r="AB11" s="11440"/>
      <c r="AC11" s="11440"/>
      <c r="AD11" s="11440"/>
      <c r="AE11" s="11440"/>
      <c r="AF11" s="11440"/>
      <c r="AG11" s="2013"/>
    </row>
    <row r="12" spans="1:35" ht="12.75" customHeight="1">
      <c r="A12" s="2013"/>
      <c r="B12" s="11443" t="s">
        <v>6405</v>
      </c>
      <c r="C12" s="11444"/>
      <c r="D12" s="11444"/>
      <c r="E12" s="11444"/>
      <c r="F12" s="11444"/>
      <c r="G12" s="11444"/>
      <c r="H12" s="11444"/>
      <c r="I12" s="11444"/>
      <c r="J12" s="11444"/>
      <c r="K12" s="11444"/>
      <c r="L12" s="11444"/>
      <c r="M12" s="11444"/>
      <c r="N12" s="11444"/>
      <c r="O12" s="11444"/>
      <c r="P12" s="11444"/>
      <c r="Q12" s="11444"/>
      <c r="R12" s="11444"/>
      <c r="S12" s="11444"/>
      <c r="T12" s="11444"/>
      <c r="U12" s="11444"/>
      <c r="V12" s="11444"/>
      <c r="W12" s="11444"/>
      <c r="X12" s="11444"/>
      <c r="Y12" s="11444"/>
      <c r="Z12" s="11444"/>
      <c r="AA12" s="11444"/>
      <c r="AB12" s="11444"/>
      <c r="AC12" s="11444"/>
      <c r="AD12" s="11444"/>
      <c r="AE12" s="11444"/>
      <c r="AF12" s="11444"/>
      <c r="AG12" s="2013"/>
    </row>
    <row r="13" spans="1:35" ht="12.75" customHeight="1">
      <c r="A13" s="2013"/>
      <c r="B13" s="9174"/>
      <c r="C13" s="9174"/>
      <c r="D13" s="9174"/>
      <c r="E13" s="9174"/>
      <c r="F13" s="9174"/>
      <c r="G13" s="9174"/>
      <c r="H13" s="9174"/>
      <c r="I13" s="9174"/>
      <c r="J13" s="9174"/>
      <c r="K13" s="9174"/>
      <c r="L13" s="9174"/>
      <c r="M13" s="9174"/>
      <c r="N13" s="9174"/>
      <c r="O13" s="9174"/>
      <c r="P13" s="9174"/>
      <c r="Q13" s="9174"/>
      <c r="R13" s="9174"/>
      <c r="S13" s="9174"/>
      <c r="T13" s="9174"/>
      <c r="U13" s="9174"/>
      <c r="V13" s="9174"/>
      <c r="W13" s="9174"/>
      <c r="X13" s="9174"/>
      <c r="Y13" s="9174"/>
      <c r="Z13" s="9174"/>
      <c r="AA13" s="9174"/>
      <c r="AB13" s="9174"/>
      <c r="AC13" s="9174"/>
      <c r="AD13" s="9174"/>
      <c r="AE13" s="9174"/>
      <c r="AF13" s="9174"/>
      <c r="AG13" s="2013"/>
    </row>
    <row r="14" spans="1:35" ht="12.75" customHeight="1">
      <c r="A14" s="2013"/>
      <c r="B14" s="9004"/>
      <c r="C14" s="9004"/>
      <c r="D14" s="9004"/>
      <c r="E14" s="9004"/>
      <c r="F14" s="9004"/>
      <c r="G14" s="9004"/>
      <c r="H14" s="9004"/>
      <c r="I14" s="9004"/>
      <c r="J14" s="9004"/>
      <c r="K14" s="9004"/>
      <c r="L14" s="9004"/>
      <c r="M14" s="9004"/>
      <c r="N14" s="9004"/>
      <c r="O14" s="9004"/>
      <c r="P14" s="9004"/>
      <c r="Q14" s="9004"/>
      <c r="R14" s="9004"/>
      <c r="S14" s="9004"/>
      <c r="T14" s="9004"/>
      <c r="U14" s="9004"/>
      <c r="V14" s="9004"/>
      <c r="W14" s="9004"/>
      <c r="X14" s="9004"/>
      <c r="Y14" s="9004"/>
      <c r="Z14" s="9004"/>
      <c r="AA14" s="9004"/>
      <c r="AB14" s="9004"/>
      <c r="AC14" s="9004"/>
      <c r="AD14" s="9004"/>
      <c r="AE14" s="9004"/>
      <c r="AF14" s="9004"/>
      <c r="AG14" s="2013"/>
    </row>
    <row r="15" spans="1:35" ht="3.75" customHeight="1">
      <c r="A15" s="2013"/>
      <c r="B15" s="88"/>
      <c r="C15" s="88"/>
      <c r="D15" s="88"/>
      <c r="E15" s="88"/>
      <c r="F15" s="88"/>
      <c r="G15" s="88"/>
      <c r="H15" s="88"/>
      <c r="I15" s="88"/>
      <c r="J15" s="88"/>
      <c r="K15" s="88"/>
      <c r="L15" s="88"/>
      <c r="M15" s="88"/>
      <c r="N15" s="88"/>
      <c r="O15" s="88"/>
      <c r="P15" s="88"/>
      <c r="Q15" s="88"/>
      <c r="R15" s="88"/>
      <c r="S15" s="88"/>
      <c r="T15" s="88"/>
      <c r="U15" s="88"/>
      <c r="V15" s="88"/>
      <c r="W15" s="88"/>
      <c r="X15" s="88"/>
      <c r="Y15" s="88"/>
      <c r="Z15" s="88"/>
      <c r="AA15" s="88"/>
      <c r="AB15" s="88"/>
      <c r="AC15" s="88"/>
      <c r="AD15" s="88"/>
      <c r="AE15" s="88"/>
      <c r="AF15" s="88"/>
      <c r="AG15" s="2013"/>
    </row>
    <row r="16" spans="1:35" ht="15">
      <c r="A16" s="2013"/>
      <c r="B16" s="11435" t="s">
        <v>780</v>
      </c>
      <c r="C16" s="9782"/>
      <c r="D16" s="88"/>
      <c r="E16" s="3414" t="s">
        <v>5430</v>
      </c>
      <c r="F16" s="88"/>
      <c r="G16" s="88"/>
      <c r="H16" s="88"/>
      <c r="I16" s="1836" t="s">
        <v>5431</v>
      </c>
      <c r="J16" s="88"/>
      <c r="K16" s="88"/>
      <c r="L16" s="88"/>
      <c r="M16" s="88"/>
      <c r="N16" s="88"/>
      <c r="O16" s="88"/>
      <c r="P16" s="88"/>
      <c r="Q16" s="88"/>
      <c r="R16" s="88"/>
      <c r="S16" s="88"/>
      <c r="T16" s="1836"/>
      <c r="U16" s="88"/>
      <c r="V16" s="88"/>
      <c r="W16" s="88"/>
      <c r="X16" s="1836"/>
      <c r="Y16" s="88"/>
      <c r="Z16" s="88"/>
      <c r="AA16" s="88"/>
      <c r="AB16" s="88"/>
      <c r="AC16" s="88"/>
      <c r="AD16" s="88"/>
      <c r="AE16" s="88"/>
      <c r="AF16" s="88"/>
      <c r="AG16" s="2013" t="b">
        <f>IF(SUM(AG41:AG51)&gt;0,TRUE,FALSE)</f>
        <v>0</v>
      </c>
    </row>
    <row r="17" spans="1:55" ht="12.75" customHeight="1">
      <c r="A17" s="2013"/>
      <c r="B17" s="88"/>
      <c r="C17" s="88"/>
      <c r="D17" s="88"/>
      <c r="E17" s="1836" t="s">
        <v>4459</v>
      </c>
      <c r="F17" s="88"/>
      <c r="G17" s="88"/>
      <c r="H17" s="88"/>
      <c r="I17" s="88"/>
      <c r="J17" s="88"/>
      <c r="K17" s="88"/>
      <c r="L17" s="88"/>
      <c r="M17" s="88"/>
      <c r="N17" s="88"/>
      <c r="O17" s="88"/>
      <c r="P17" s="88"/>
      <c r="Q17" s="88"/>
      <c r="R17" s="88"/>
      <c r="S17" s="88"/>
      <c r="T17" s="1836"/>
      <c r="U17" s="88"/>
      <c r="V17" s="88"/>
      <c r="W17" s="88"/>
      <c r="X17" s="1560"/>
      <c r="Y17" s="88"/>
      <c r="Z17" s="88"/>
      <c r="AA17" s="88"/>
      <c r="AB17" s="88"/>
      <c r="AC17" s="88"/>
      <c r="AD17" s="88"/>
      <c r="AE17" s="88"/>
      <c r="AF17" s="88"/>
      <c r="AG17" s="2013"/>
    </row>
    <row r="18" spans="1:55" s="506" customFormat="1" ht="13.5" customHeight="1">
      <c r="A18" s="6007"/>
      <c r="B18" s="1836"/>
      <c r="C18" s="1836"/>
      <c r="D18" s="1836"/>
      <c r="E18" s="3440" t="s">
        <v>6407</v>
      </c>
      <c r="F18" s="1836"/>
      <c r="G18" s="1836"/>
      <c r="H18" s="1836"/>
      <c r="I18" s="1836"/>
      <c r="J18" s="1836"/>
      <c r="K18" s="1836"/>
      <c r="L18" s="1836"/>
      <c r="M18" s="1836"/>
      <c r="N18" s="1836"/>
      <c r="O18" s="1836"/>
      <c r="P18" s="1836"/>
      <c r="Q18" s="1836"/>
      <c r="R18" s="1836"/>
      <c r="S18" s="1836"/>
      <c r="T18" s="1836"/>
      <c r="U18" s="1836"/>
      <c r="V18" s="1836"/>
      <c r="W18" s="1836"/>
      <c r="X18" s="1836"/>
      <c r="Y18" s="1836"/>
      <c r="Z18" s="1836"/>
      <c r="AA18" s="1836"/>
      <c r="AB18" s="1836"/>
      <c r="AC18" s="1836"/>
      <c r="AD18" s="1836"/>
      <c r="AE18" s="1836"/>
      <c r="AF18" s="1836"/>
      <c r="AG18" s="6007"/>
      <c r="AH18" s="3161"/>
      <c r="AI18" s="3161"/>
    </row>
    <row r="19" spans="1:55" s="506" customFormat="1" ht="13.5" customHeight="1">
      <c r="A19" s="6007"/>
      <c r="B19" s="1836"/>
      <c r="C19" s="1836"/>
      <c r="D19" s="1836"/>
      <c r="E19" s="1836" t="s">
        <v>6408</v>
      </c>
      <c r="F19" s="1836"/>
      <c r="G19" s="1836"/>
      <c r="H19" s="1836"/>
      <c r="I19" s="1836"/>
      <c r="J19" s="1836"/>
      <c r="K19" s="1836"/>
      <c r="L19" s="1836"/>
      <c r="M19" s="1836"/>
      <c r="N19" s="1836"/>
      <c r="O19" s="1836"/>
      <c r="P19" s="1836"/>
      <c r="Q19" s="1836"/>
      <c r="R19" s="1836"/>
      <c r="S19" s="1836"/>
      <c r="T19" s="1836"/>
      <c r="U19" s="1836"/>
      <c r="V19" s="1836"/>
      <c r="W19" s="1836"/>
      <c r="X19" s="1836"/>
      <c r="Y19" s="1836"/>
      <c r="Z19" s="1836"/>
      <c r="AA19" s="1836"/>
      <c r="AB19" s="1836"/>
      <c r="AC19" s="1836"/>
      <c r="AD19" s="1836"/>
      <c r="AE19" s="1836"/>
      <c r="AF19" s="1836"/>
      <c r="AG19" s="6007"/>
      <c r="AH19" s="3161"/>
      <c r="AI19" s="3161"/>
    </row>
    <row r="20" spans="1:55" s="506" customFormat="1" ht="13.5" customHeight="1">
      <c r="A20" s="6007"/>
      <c r="B20" s="6008"/>
      <c r="C20" s="6008"/>
      <c r="D20" s="6008"/>
      <c r="E20" s="6008" t="s">
        <v>6409</v>
      </c>
      <c r="F20" s="6008"/>
      <c r="G20" s="6008"/>
      <c r="H20" s="6008"/>
      <c r="I20" s="6008"/>
      <c r="J20" s="6008"/>
      <c r="K20" s="6008"/>
      <c r="L20" s="6008"/>
      <c r="M20" s="6008"/>
      <c r="N20" s="6008"/>
      <c r="O20" s="6008"/>
      <c r="P20" s="6008"/>
      <c r="Q20" s="6008"/>
      <c r="R20" s="6008"/>
      <c r="S20" s="6008"/>
      <c r="T20" s="6008"/>
      <c r="U20" s="6008"/>
      <c r="V20" s="6008"/>
      <c r="W20" s="6008"/>
      <c r="X20" s="6008"/>
      <c r="Y20" s="6008"/>
      <c r="Z20" s="6008"/>
      <c r="AA20" s="6008"/>
      <c r="AB20" s="6008"/>
      <c r="AC20" s="6008"/>
      <c r="AD20" s="6008"/>
      <c r="AE20" s="6008"/>
      <c r="AF20" s="6008"/>
      <c r="AG20" s="6007"/>
      <c r="AH20" s="3161"/>
      <c r="AI20" s="3161"/>
    </row>
    <row r="21" spans="1:55" ht="14.25">
      <c r="A21" s="2013"/>
      <c r="B21" s="226" t="s">
        <v>6406</v>
      </c>
      <c r="C21" s="247"/>
      <c r="D21" s="247"/>
      <c r="E21" s="247"/>
      <c r="F21" s="247"/>
      <c r="G21" s="247"/>
      <c r="H21" s="247"/>
      <c r="I21" s="247"/>
      <c r="J21" s="247"/>
      <c r="K21" s="1183"/>
      <c r="L21" s="1183"/>
      <c r="M21" s="226" t="str">
        <f>IF($A$35&gt;1,"Check only ONE box.","Check only one box.")</f>
        <v>Check only one box.</v>
      </c>
      <c r="N21" s="226"/>
      <c r="O21" s="247"/>
      <c r="P21" s="247"/>
      <c r="Q21" s="1560"/>
      <c r="R21" s="247"/>
      <c r="S21" s="1836"/>
      <c r="T21" s="1836"/>
      <c r="U21" s="247"/>
      <c r="V21" s="247"/>
      <c r="W21" s="247"/>
      <c r="X21" s="247"/>
      <c r="Y21" s="247"/>
      <c r="Z21" s="247"/>
      <c r="AA21" s="247"/>
      <c r="AB21" s="247"/>
      <c r="AC21" s="247"/>
      <c r="AD21" s="247"/>
      <c r="AE21" s="247"/>
      <c r="AF21" s="6503" t="s">
        <v>4461</v>
      </c>
      <c r="AG21" s="2013"/>
    </row>
    <row r="22" spans="1:55">
      <c r="A22" s="2013"/>
      <c r="B22" s="1560" t="s">
        <v>4462</v>
      </c>
      <c r="C22" s="247"/>
      <c r="D22" s="247"/>
      <c r="E22" s="247"/>
      <c r="F22" s="247"/>
      <c r="G22" s="247"/>
      <c r="H22" s="247"/>
      <c r="I22" s="247"/>
      <c r="J22" s="247"/>
      <c r="K22" s="247"/>
      <c r="L22" s="247"/>
      <c r="M22" s="247"/>
      <c r="N22" s="247"/>
      <c r="O22" s="247"/>
      <c r="P22" s="247"/>
      <c r="Q22" s="247"/>
      <c r="R22" s="247"/>
      <c r="S22" s="247"/>
      <c r="T22" s="247"/>
      <c r="U22" s="247"/>
      <c r="V22" s="247"/>
      <c r="W22" s="247"/>
      <c r="X22" s="247"/>
      <c r="Y22" s="247"/>
      <c r="Z22" s="247"/>
      <c r="AA22" s="247"/>
      <c r="AB22" s="247"/>
      <c r="AC22" s="247"/>
      <c r="AD22" s="247"/>
      <c r="AE22" s="247"/>
      <c r="AF22" s="247"/>
      <c r="AG22" s="2013"/>
      <c r="BA22" s="11475" t="s">
        <v>4463</v>
      </c>
      <c r="BB22" s="8489"/>
      <c r="BC22" s="8469"/>
    </row>
    <row r="23" spans="1:55" ht="12.75" customHeight="1">
      <c r="A23" s="2013"/>
      <c r="B23" s="1560" t="str">
        <f>IF(SpaceUsed_8949A_ST,"ERROR: DO NOT use the space bar to uncheck a box. Use the 'Delete' key.","for one or more of the boxes, complete as many forms with the same box checked as you need.")</f>
        <v>for one or more of the boxes, complete as many forms with the same box checked as you need.</v>
      </c>
      <c r="C23" s="247"/>
      <c r="D23" s="247"/>
      <c r="E23" s="247"/>
      <c r="F23" s="247"/>
      <c r="G23" s="247"/>
      <c r="H23" s="247"/>
      <c r="I23" s="247"/>
      <c r="J23" s="247"/>
      <c r="K23" s="247"/>
      <c r="L23" s="247"/>
      <c r="M23" s="247"/>
      <c r="N23" s="247"/>
      <c r="O23" s="247"/>
      <c r="P23" s="247"/>
      <c r="Q23" s="247"/>
      <c r="R23" s="247"/>
      <c r="S23" s="247"/>
      <c r="T23" s="247"/>
      <c r="U23" s="247"/>
      <c r="V23" s="247"/>
      <c r="W23" s="247"/>
      <c r="X23" s="247"/>
      <c r="Y23" s="247"/>
      <c r="Z23" s="247"/>
      <c r="AA23" s="247"/>
      <c r="AB23" s="247"/>
      <c r="AC23" s="247"/>
      <c r="AD23" s="247"/>
      <c r="AE23" s="247"/>
      <c r="AF23" s="247"/>
      <c r="AG23" s="2013"/>
      <c r="AJ23" s="3809"/>
      <c r="AK23" s="3809"/>
      <c r="AL23" s="3809"/>
      <c r="AM23" s="3809"/>
      <c r="AN23" s="3809"/>
      <c r="AO23" s="3809"/>
      <c r="AP23" s="3809"/>
      <c r="AQ23" s="3809"/>
      <c r="BA23" s="11476" t="s">
        <v>4464</v>
      </c>
      <c r="BB23" s="11476" t="s">
        <v>4465</v>
      </c>
      <c r="BC23" s="11476" t="s">
        <v>4466</v>
      </c>
    </row>
    <row r="24" spans="1:55" ht="4.5" customHeight="1" thickBot="1">
      <c r="A24" s="2013"/>
      <c r="B24" s="247"/>
      <c r="C24" s="247"/>
      <c r="D24" s="247"/>
      <c r="E24" s="247"/>
      <c r="F24" s="247"/>
      <c r="G24" s="247"/>
      <c r="H24" s="247"/>
      <c r="I24" s="247"/>
      <c r="J24" s="247"/>
      <c r="K24" s="247"/>
      <c r="L24" s="247"/>
      <c r="M24" s="247"/>
      <c r="N24" s="247"/>
      <c r="O24" s="247"/>
      <c r="P24" s="247"/>
      <c r="Q24" s="247"/>
      <c r="R24" s="247"/>
      <c r="S24" s="247"/>
      <c r="T24" s="247"/>
      <c r="U24" s="247"/>
      <c r="V24" s="247"/>
      <c r="W24" s="247"/>
      <c r="X24" s="247"/>
      <c r="Y24" s="247"/>
      <c r="Z24" s="247"/>
      <c r="AA24" s="247"/>
      <c r="AB24" s="247"/>
      <c r="AC24" s="247"/>
      <c r="AD24" s="247"/>
      <c r="AE24" s="247"/>
      <c r="AF24" s="247"/>
      <c r="AG24" s="2013"/>
      <c r="BA24" s="11477"/>
      <c r="BB24" s="11477"/>
      <c r="BC24" s="11477"/>
    </row>
    <row r="25" spans="1:55" ht="12" customHeight="1" thickBot="1">
      <c r="A25" s="2013"/>
      <c r="B25" s="1039">
        <f>IF(C25&lt;&gt;"",1,0)</f>
        <v>0</v>
      </c>
      <c r="C25" s="300"/>
      <c r="D25" s="3440" t="s">
        <v>5904</v>
      </c>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013"/>
      <c r="AJ25" s="11381"/>
      <c r="AK25" s="11381"/>
      <c r="AL25" s="11381"/>
      <c r="AM25" s="11381"/>
      <c r="AN25" s="11381"/>
      <c r="AO25" s="11381"/>
      <c r="AP25" s="11381"/>
      <c r="AQ25" s="11381"/>
      <c r="BA25" s="11477"/>
      <c r="BB25" s="11477"/>
      <c r="BC25" s="11477"/>
    </row>
    <row r="26" spans="1:55" ht="4.5" customHeight="1" thickBot="1">
      <c r="A26" s="2013"/>
      <c r="B26" s="1039"/>
      <c r="C26" s="247"/>
      <c r="D26" s="1836"/>
      <c r="E26" s="247"/>
      <c r="F26" s="247"/>
      <c r="G26" s="247"/>
      <c r="H26" s="247"/>
      <c r="I26" s="247"/>
      <c r="J26" s="247"/>
      <c r="K26" s="247"/>
      <c r="L26" s="247"/>
      <c r="M26" s="247"/>
      <c r="N26" s="247"/>
      <c r="O26" s="247"/>
      <c r="P26" s="247"/>
      <c r="Q26" s="247"/>
      <c r="R26" s="247"/>
      <c r="S26" s="247"/>
      <c r="T26" s="247"/>
      <c r="U26" s="247"/>
      <c r="V26" s="247"/>
      <c r="W26" s="247"/>
      <c r="X26" s="247"/>
      <c r="Y26" s="247"/>
      <c r="Z26" s="247"/>
      <c r="AA26" s="247"/>
      <c r="AB26" s="247"/>
      <c r="AC26" s="247"/>
      <c r="AD26" s="247"/>
      <c r="AE26" s="247"/>
      <c r="AF26" s="247"/>
      <c r="AG26" s="2013"/>
      <c r="BA26" s="11477"/>
      <c r="BB26" s="11477"/>
      <c r="BC26" s="11477"/>
    </row>
    <row r="27" spans="1:55" ht="11.25" customHeight="1" thickBot="1">
      <c r="A27" s="2013"/>
      <c r="B27" s="1039">
        <f>IF(C27&lt;&gt;"",1,0)</f>
        <v>0</v>
      </c>
      <c r="C27" s="300"/>
      <c r="D27" s="3440" t="s">
        <v>5905</v>
      </c>
      <c r="E27" s="247"/>
      <c r="F27" s="247"/>
      <c r="G27" s="247"/>
      <c r="H27" s="247"/>
      <c r="I27" s="247"/>
      <c r="J27" s="247"/>
      <c r="K27" s="247"/>
      <c r="L27" s="247"/>
      <c r="M27" s="247"/>
      <c r="N27" s="247"/>
      <c r="O27" s="247"/>
      <c r="P27" s="247"/>
      <c r="Q27" s="247"/>
      <c r="R27" s="247"/>
      <c r="S27" s="247"/>
      <c r="T27" s="247"/>
      <c r="U27" s="247"/>
      <c r="V27" s="247"/>
      <c r="W27" s="247"/>
      <c r="X27" s="247"/>
      <c r="Y27" s="247"/>
      <c r="Z27" s="247"/>
      <c r="AA27" s="247"/>
      <c r="AB27" s="247"/>
      <c r="AC27" s="247"/>
      <c r="AD27" s="247"/>
      <c r="AE27" s="247"/>
      <c r="AF27" s="247"/>
      <c r="AG27" s="2013"/>
      <c r="AJ27" s="11381"/>
      <c r="AK27" s="11381"/>
      <c r="AL27" s="11381"/>
      <c r="AM27" s="11381"/>
      <c r="AN27" s="11381"/>
      <c r="AO27" s="11381"/>
      <c r="AP27" s="11381"/>
      <c r="AQ27" s="11381"/>
      <c r="BA27" s="11477"/>
      <c r="BB27" s="11477"/>
      <c r="BC27" s="11477"/>
    </row>
    <row r="28" spans="1:55" ht="4.5" customHeight="1" thickBot="1">
      <c r="A28" s="2013"/>
      <c r="B28" s="1039"/>
      <c r="C28" s="247"/>
      <c r="D28" s="1836"/>
      <c r="E28" s="247"/>
      <c r="F28" s="247"/>
      <c r="G28" s="247"/>
      <c r="H28" s="247"/>
      <c r="I28" s="247"/>
      <c r="J28" s="247"/>
      <c r="K28" s="247"/>
      <c r="L28" s="247"/>
      <c r="M28" s="247"/>
      <c r="N28" s="247"/>
      <c r="O28" s="247"/>
      <c r="P28" s="247"/>
      <c r="Q28" s="247"/>
      <c r="R28" s="247"/>
      <c r="S28" s="247"/>
      <c r="T28" s="247"/>
      <c r="U28" s="247"/>
      <c r="V28" s="247"/>
      <c r="W28" s="247"/>
      <c r="X28" s="247"/>
      <c r="Y28" s="247"/>
      <c r="Z28" s="247"/>
      <c r="AA28" s="247"/>
      <c r="AB28" s="247"/>
      <c r="AC28" s="247"/>
      <c r="AD28" s="247"/>
      <c r="AE28" s="247"/>
      <c r="AF28" s="247"/>
      <c r="AG28" s="2013"/>
      <c r="BA28" s="11477"/>
      <c r="BB28" s="11477"/>
      <c r="BC28" s="11477"/>
    </row>
    <row r="29" spans="1:55" ht="12" customHeight="1" thickBot="1">
      <c r="A29" s="2013">
        <f>SUM(B25:B29)</f>
        <v>0</v>
      </c>
      <c r="B29" s="1039">
        <f>IF(C29&lt;&gt;"",1,0)</f>
        <v>0</v>
      </c>
      <c r="C29" s="300"/>
      <c r="D29" s="3440" t="s">
        <v>5906</v>
      </c>
      <c r="E29" s="247"/>
      <c r="F29" s="247"/>
      <c r="G29" s="247"/>
      <c r="H29" s="247"/>
      <c r="I29" s="247"/>
      <c r="J29" s="247"/>
      <c r="K29" s="247"/>
      <c r="L29" s="247"/>
      <c r="M29" s="247"/>
      <c r="N29" s="247"/>
      <c r="O29" s="247"/>
      <c r="P29" s="247"/>
      <c r="Q29" s="247"/>
      <c r="R29" s="247"/>
      <c r="S29" s="247"/>
      <c r="T29" s="247"/>
      <c r="U29" s="247"/>
      <c r="V29" s="247"/>
      <c r="W29" s="247"/>
      <c r="X29" s="247"/>
      <c r="Y29" s="247"/>
      <c r="Z29" s="247"/>
      <c r="AA29" s="247"/>
      <c r="AB29" s="247"/>
      <c r="AC29" s="6009"/>
      <c r="AD29" s="6009"/>
      <c r="AE29" s="6010"/>
      <c r="AF29" s="247"/>
      <c r="AG29" s="2013"/>
      <c r="AH29" s="318" t="b">
        <f>OR(F8949BSBOXA=CHAR(32),F8949BSBOXB=CHAR(32),F8949BSBOXC=CHAR(32),F8949BSBOXG=CHAR(32),F8949BSBOXH=CHAR(32),F8949BSBOXI=CHAR(32))</f>
        <v>0</v>
      </c>
      <c r="AJ29" s="11381"/>
      <c r="AK29" s="11381"/>
      <c r="AL29" s="11381"/>
      <c r="AM29" s="11381"/>
      <c r="AN29" s="11381"/>
      <c r="AO29" s="11381"/>
      <c r="AP29" s="11381"/>
      <c r="AQ29" s="11381"/>
      <c r="BA29" s="11477"/>
      <c r="BB29" s="11477"/>
      <c r="BC29" s="11477"/>
    </row>
    <row r="30" spans="1:55" ht="4.5" customHeight="1" thickBot="1">
      <c r="A30" s="2013"/>
      <c r="B30" s="247"/>
      <c r="C30" s="247"/>
      <c r="D30" s="1836"/>
      <c r="E30" s="247"/>
      <c r="F30" s="247"/>
      <c r="G30" s="247"/>
      <c r="H30" s="247"/>
      <c r="I30" s="247"/>
      <c r="J30" s="247"/>
      <c r="K30" s="247"/>
      <c r="L30" s="247"/>
      <c r="M30" s="247"/>
      <c r="N30" s="247"/>
      <c r="O30" s="247"/>
      <c r="P30" s="247"/>
      <c r="Q30" s="247"/>
      <c r="R30" s="247"/>
      <c r="S30" s="247"/>
      <c r="T30" s="247"/>
      <c r="U30" s="247"/>
      <c r="V30" s="247"/>
      <c r="W30" s="247"/>
      <c r="X30" s="247"/>
      <c r="Y30" s="247"/>
      <c r="Z30" s="247"/>
      <c r="AA30" s="247"/>
      <c r="AB30" s="247"/>
      <c r="AC30" s="247"/>
      <c r="AD30" s="247"/>
      <c r="AE30" s="247"/>
      <c r="AF30" s="247"/>
      <c r="AG30" s="2013"/>
      <c r="BA30" s="11477"/>
      <c r="BB30" s="11477"/>
      <c r="BC30" s="11477"/>
    </row>
    <row r="31" spans="1:55" ht="12" customHeight="1" thickBot="1">
      <c r="A31" s="2013"/>
      <c r="B31" s="1039">
        <f>IF(C31&lt;&gt;"",1,0)</f>
        <v>0</v>
      </c>
      <c r="C31" s="300"/>
      <c r="D31" s="3440" t="s">
        <v>5907</v>
      </c>
      <c r="E31" s="247"/>
      <c r="F31" s="247"/>
      <c r="G31" s="247"/>
      <c r="H31" s="247"/>
      <c r="I31" s="247"/>
      <c r="J31" s="247"/>
      <c r="K31" s="247"/>
      <c r="L31" s="247"/>
      <c r="M31" s="247"/>
      <c r="N31" s="247"/>
      <c r="O31" s="247"/>
      <c r="P31" s="247"/>
      <c r="Q31" s="247"/>
      <c r="R31" s="247"/>
      <c r="S31" s="247"/>
      <c r="T31" s="247"/>
      <c r="U31" s="247"/>
      <c r="V31" s="247"/>
      <c r="W31" s="247"/>
      <c r="X31" s="247"/>
      <c r="Y31" s="247"/>
      <c r="Z31" s="247"/>
      <c r="AA31" s="247"/>
      <c r="AB31" s="247"/>
      <c r="AC31" s="247"/>
      <c r="AD31" s="247"/>
      <c r="AE31" s="247"/>
      <c r="AF31" s="247"/>
      <c r="AG31" s="2013"/>
      <c r="AJ31" s="11381"/>
      <c r="AK31" s="11381"/>
      <c r="AL31" s="11381"/>
      <c r="AM31" s="11381"/>
      <c r="AN31" s="11381"/>
      <c r="AO31" s="11381"/>
      <c r="AP31" s="11381"/>
      <c r="AQ31" s="11381"/>
      <c r="BA31" s="11477"/>
      <c r="BB31" s="11477"/>
      <c r="BC31" s="11477"/>
    </row>
    <row r="32" spans="1:55" ht="4.5" customHeight="1" thickBot="1">
      <c r="A32" s="2013"/>
      <c r="B32" s="1039"/>
      <c r="C32" s="247"/>
      <c r="D32" s="1836"/>
      <c r="E32" s="247"/>
      <c r="F32" s="247"/>
      <c r="G32" s="247"/>
      <c r="H32" s="247"/>
      <c r="I32" s="247"/>
      <c r="J32" s="247"/>
      <c r="K32" s="247"/>
      <c r="L32" s="247"/>
      <c r="M32" s="247"/>
      <c r="N32" s="247"/>
      <c r="O32" s="247"/>
      <c r="P32" s="247"/>
      <c r="Q32" s="247"/>
      <c r="R32" s="247"/>
      <c r="S32" s="247"/>
      <c r="T32" s="247"/>
      <c r="U32" s="247"/>
      <c r="V32" s="247"/>
      <c r="W32" s="247"/>
      <c r="X32" s="247"/>
      <c r="Y32" s="247"/>
      <c r="Z32" s="247"/>
      <c r="AA32" s="247"/>
      <c r="AB32" s="247"/>
      <c r="AC32" s="247"/>
      <c r="AD32" s="247"/>
      <c r="AE32" s="247"/>
      <c r="AF32" s="247"/>
      <c r="AG32" s="2013"/>
      <c r="BA32" s="11477"/>
      <c r="BB32" s="11477"/>
      <c r="BC32" s="11477"/>
    </row>
    <row r="33" spans="1:55" ht="11.25" customHeight="1" thickBot="1">
      <c r="A33" s="2013"/>
      <c r="B33" s="1039">
        <f>IF(C33&lt;&gt;"",1,0)</f>
        <v>0</v>
      </c>
      <c r="C33" s="300"/>
      <c r="D33" s="3440" t="s">
        <v>5908</v>
      </c>
      <c r="E33" s="247"/>
      <c r="F33" s="247"/>
      <c r="G33" s="247"/>
      <c r="H33" s="247"/>
      <c r="I33" s="247"/>
      <c r="J33" s="247"/>
      <c r="K33" s="247"/>
      <c r="L33" s="247"/>
      <c r="M33" s="247"/>
      <c r="N33" s="247"/>
      <c r="O33" s="247"/>
      <c r="P33" s="247"/>
      <c r="Q33" s="247"/>
      <c r="R33" s="247"/>
      <c r="S33" s="247"/>
      <c r="T33" s="247"/>
      <c r="U33" s="247"/>
      <c r="V33" s="247"/>
      <c r="W33" s="247"/>
      <c r="X33" s="247"/>
      <c r="Y33" s="247"/>
      <c r="Z33" s="247"/>
      <c r="AA33" s="247"/>
      <c r="AB33" s="247"/>
      <c r="AC33" s="247"/>
      <c r="AD33" s="247"/>
      <c r="AE33" s="247"/>
      <c r="AF33" s="247"/>
      <c r="AG33" s="2013"/>
      <c r="AJ33" s="11381"/>
      <c r="AK33" s="11381"/>
      <c r="AL33" s="11381"/>
      <c r="AM33" s="11381"/>
      <c r="AN33" s="11381"/>
      <c r="AO33" s="11381"/>
      <c r="AP33" s="11381"/>
      <c r="AQ33" s="11381"/>
      <c r="BA33" s="11477"/>
      <c r="BB33" s="11477"/>
      <c r="BC33" s="11477"/>
    </row>
    <row r="34" spans="1:55" ht="4.5" customHeight="1" thickBot="1">
      <c r="A34" s="2013"/>
      <c r="B34" s="1039"/>
      <c r="C34" s="247"/>
      <c r="D34" s="1836"/>
      <c r="E34" s="247"/>
      <c r="F34" s="247"/>
      <c r="G34" s="247"/>
      <c r="H34" s="247"/>
      <c r="I34" s="247"/>
      <c r="J34" s="247"/>
      <c r="K34" s="247"/>
      <c r="L34" s="247"/>
      <c r="M34" s="247"/>
      <c r="N34" s="247"/>
      <c r="O34" s="247"/>
      <c r="P34" s="247"/>
      <c r="Q34" s="247"/>
      <c r="R34" s="247"/>
      <c r="S34" s="247"/>
      <c r="T34" s="247"/>
      <c r="U34" s="247"/>
      <c r="V34" s="247"/>
      <c r="W34" s="247"/>
      <c r="X34" s="247"/>
      <c r="Y34" s="247"/>
      <c r="Z34" s="247"/>
      <c r="AA34" s="247"/>
      <c r="AB34" s="247"/>
      <c r="AC34" s="247"/>
      <c r="AD34" s="247"/>
      <c r="AE34" s="247"/>
      <c r="AF34" s="247"/>
      <c r="AG34" s="2013"/>
      <c r="BA34" s="11477"/>
      <c r="BB34" s="11477"/>
      <c r="BC34" s="11477"/>
    </row>
    <row r="35" spans="1:55" ht="12" customHeight="1" thickBot="1">
      <c r="A35" s="2013">
        <f>SUM(B25:B35)</f>
        <v>0</v>
      </c>
      <c r="B35" s="1039">
        <f>IF(C35&lt;&gt;"",1,0)</f>
        <v>0</v>
      </c>
      <c r="C35" s="300"/>
      <c r="D35" s="3440" t="s">
        <v>5909</v>
      </c>
      <c r="E35" s="247"/>
      <c r="F35" s="247"/>
      <c r="G35" s="247"/>
      <c r="H35" s="247"/>
      <c r="I35" s="247"/>
      <c r="J35" s="247"/>
      <c r="K35" s="247"/>
      <c r="L35" s="247"/>
      <c r="M35" s="247"/>
      <c r="N35" s="247"/>
      <c r="O35" s="247"/>
      <c r="P35" s="247"/>
      <c r="Q35" s="247"/>
      <c r="R35" s="3429"/>
      <c r="S35" s="794"/>
      <c r="T35" s="794"/>
      <c r="U35" s="794"/>
      <c r="V35" s="794"/>
      <c r="W35" s="794"/>
      <c r="X35" s="794"/>
      <c r="Y35" s="794"/>
      <c r="Z35" s="794"/>
      <c r="AA35" s="794"/>
      <c r="AB35" s="3429"/>
      <c r="AC35" s="794"/>
      <c r="AD35" s="794"/>
      <c r="AE35" s="794"/>
      <c r="AF35" s="6011"/>
      <c r="AG35" s="2013"/>
      <c r="AH35" s="318"/>
      <c r="AJ35" s="11381" t="s">
        <v>4467</v>
      </c>
      <c r="AK35" s="11381"/>
      <c r="AL35" s="11381"/>
      <c r="AM35" s="11381"/>
      <c r="AN35" s="11381"/>
      <c r="AO35" s="11381"/>
      <c r="AP35" s="11381"/>
      <c r="AQ35" s="11381"/>
      <c r="BA35" s="11477"/>
      <c r="BB35" s="11477"/>
      <c r="BC35" s="11477"/>
    </row>
    <row r="36" spans="1:55" ht="5.25" customHeight="1">
      <c r="A36" s="2013"/>
      <c r="B36" s="6012"/>
      <c r="C36" s="6013"/>
      <c r="D36" s="6012"/>
      <c r="E36" s="6012"/>
      <c r="F36" s="6012"/>
      <c r="G36" s="6012"/>
      <c r="H36" s="6012"/>
      <c r="I36" s="6012"/>
      <c r="J36" s="6012"/>
      <c r="K36" s="6012"/>
      <c r="L36" s="6012"/>
      <c r="M36" s="6012"/>
      <c r="N36" s="6013"/>
      <c r="O36" s="6012"/>
      <c r="P36" s="6012"/>
      <c r="Q36" s="6012"/>
      <c r="R36" s="6012"/>
      <c r="S36" s="6012"/>
      <c r="T36" s="6012"/>
      <c r="U36" s="6012"/>
      <c r="V36" s="6012"/>
      <c r="W36" s="6012"/>
      <c r="X36" s="6012"/>
      <c r="Y36" s="6013"/>
      <c r="Z36" s="6012"/>
      <c r="AA36" s="6012"/>
      <c r="AB36" s="6012"/>
      <c r="AC36" s="6012"/>
      <c r="AD36" s="6012"/>
      <c r="AE36" s="6012"/>
      <c r="AF36" s="6012"/>
      <c r="AG36" s="2013"/>
      <c r="BA36" s="11477"/>
      <c r="BB36" s="11477"/>
      <c r="BC36" s="11477"/>
    </row>
    <row r="37" spans="1:55" ht="21" customHeight="1">
      <c r="A37" s="2013"/>
      <c r="B37" s="11424">
        <v>1</v>
      </c>
      <c r="C37" s="11428" t="s">
        <v>5894</v>
      </c>
      <c r="D37" s="11429"/>
      <c r="E37" s="11429"/>
      <c r="F37" s="11429"/>
      <c r="G37" s="11429"/>
      <c r="H37" s="11429"/>
      <c r="I37" s="11430"/>
      <c r="J37" s="7366" t="s">
        <v>4468</v>
      </c>
      <c r="K37" s="8481"/>
      <c r="L37" s="11396"/>
      <c r="M37" s="7366" t="s">
        <v>5895</v>
      </c>
      <c r="N37" s="8481"/>
      <c r="O37" s="8481"/>
      <c r="P37" s="11396"/>
      <c r="Q37" s="7366" t="s">
        <v>5896</v>
      </c>
      <c r="R37" s="8481"/>
      <c r="S37" s="8481"/>
      <c r="T37" s="11396"/>
      <c r="U37" s="11388" t="s">
        <v>5897</v>
      </c>
      <c r="V37" s="8460"/>
      <c r="W37" s="8460"/>
      <c r="X37" s="8323"/>
      <c r="Y37" s="11390" t="s">
        <v>4469</v>
      </c>
      <c r="Z37" s="11391"/>
      <c r="AA37" s="11391"/>
      <c r="AB37" s="11392"/>
      <c r="AC37" s="11388" t="s">
        <v>4485</v>
      </c>
      <c r="AD37" s="8460"/>
      <c r="AE37" s="8460"/>
      <c r="AF37" s="8460"/>
      <c r="AG37" s="2013"/>
      <c r="AJ37" s="11461" t="s">
        <v>4470</v>
      </c>
      <c r="AK37" s="11461" t="s">
        <v>4471</v>
      </c>
      <c r="AL37" s="11461" t="s">
        <v>4472</v>
      </c>
      <c r="AM37" s="11461" t="s">
        <v>4473</v>
      </c>
      <c r="AN37" s="11462" t="s">
        <v>4474</v>
      </c>
      <c r="AO37" s="11479" t="s">
        <v>4475</v>
      </c>
      <c r="AP37" s="8339"/>
      <c r="AQ37" s="11461" t="s">
        <v>4476</v>
      </c>
      <c r="BA37" s="11477"/>
      <c r="BB37" s="11477"/>
      <c r="BC37" s="11477"/>
    </row>
    <row r="38" spans="1:55" ht="21" customHeight="1">
      <c r="A38" s="2013"/>
      <c r="B38" s="11425"/>
      <c r="C38" s="7369"/>
      <c r="D38" s="11431"/>
      <c r="E38" s="11431"/>
      <c r="F38" s="11431"/>
      <c r="G38" s="11431"/>
      <c r="H38" s="11431"/>
      <c r="I38" s="11432"/>
      <c r="J38" s="7368"/>
      <c r="K38" s="8299"/>
      <c r="L38" s="11397"/>
      <c r="M38" s="7368"/>
      <c r="N38" s="8299"/>
      <c r="O38" s="8299"/>
      <c r="P38" s="11397"/>
      <c r="Q38" s="7368"/>
      <c r="R38" s="8299"/>
      <c r="S38" s="8299"/>
      <c r="T38" s="11397"/>
      <c r="U38" s="11389"/>
      <c r="V38" s="9500"/>
      <c r="W38" s="9500"/>
      <c r="X38" s="8325"/>
      <c r="Y38" s="11393"/>
      <c r="Z38" s="11394"/>
      <c r="AA38" s="11394"/>
      <c r="AB38" s="11395"/>
      <c r="AC38" s="11389"/>
      <c r="AD38" s="9500"/>
      <c r="AE38" s="9500"/>
      <c r="AF38" s="9500"/>
      <c r="AG38" s="2013"/>
      <c r="AJ38" s="11461"/>
      <c r="AK38" s="11461"/>
      <c r="AL38" s="11461"/>
      <c r="AM38" s="11461"/>
      <c r="AN38" s="11462"/>
      <c r="AO38" s="8457"/>
      <c r="AP38" s="8345"/>
      <c r="AQ38" s="11461"/>
      <c r="BA38" s="11477"/>
      <c r="BB38" s="11477"/>
      <c r="BC38" s="11477"/>
    </row>
    <row r="39" spans="1:55" ht="18" customHeight="1">
      <c r="A39" s="2013"/>
      <c r="B39" s="11426"/>
      <c r="C39" s="11431"/>
      <c r="D39" s="11431"/>
      <c r="E39" s="11431"/>
      <c r="F39" s="11431"/>
      <c r="G39" s="11431"/>
      <c r="H39" s="11431"/>
      <c r="I39" s="11432"/>
      <c r="J39" s="8482"/>
      <c r="K39" s="8299"/>
      <c r="L39" s="11397"/>
      <c r="M39" s="8482"/>
      <c r="N39" s="8299"/>
      <c r="O39" s="8299"/>
      <c r="P39" s="11397"/>
      <c r="Q39" s="8482"/>
      <c r="R39" s="8299"/>
      <c r="S39" s="8299"/>
      <c r="T39" s="11397"/>
      <c r="U39" s="8324"/>
      <c r="V39" s="9500"/>
      <c r="W39" s="9500"/>
      <c r="X39" s="8325"/>
      <c r="Y39" s="8439" t="s">
        <v>4477</v>
      </c>
      <c r="Z39" s="8323"/>
      <c r="AA39" s="8439" t="s">
        <v>4478</v>
      </c>
      <c r="AB39" s="8492"/>
      <c r="AC39" s="8324"/>
      <c r="AD39" s="9500"/>
      <c r="AE39" s="9500"/>
      <c r="AF39" s="9500"/>
      <c r="AG39" s="2013"/>
      <c r="AJ39" s="11461"/>
      <c r="AK39" s="11461"/>
      <c r="AL39" s="11461"/>
      <c r="AM39" s="11461"/>
      <c r="AN39" s="11462"/>
      <c r="AO39" s="8610" t="s">
        <v>4479</v>
      </c>
      <c r="AP39" s="8610" t="s">
        <v>4478</v>
      </c>
      <c r="AQ39" s="11461"/>
      <c r="BA39" s="11477"/>
      <c r="BB39" s="11477"/>
      <c r="BC39" s="11477"/>
    </row>
    <row r="40" spans="1:55" ht="18" customHeight="1">
      <c r="A40" s="2013"/>
      <c r="B40" s="11427"/>
      <c r="C40" s="11433"/>
      <c r="D40" s="11433"/>
      <c r="E40" s="11433"/>
      <c r="F40" s="11433"/>
      <c r="G40" s="11433"/>
      <c r="H40" s="11433"/>
      <c r="I40" s="11434"/>
      <c r="J40" s="8483"/>
      <c r="K40" s="8168"/>
      <c r="L40" s="11398"/>
      <c r="M40" s="8483"/>
      <c r="N40" s="8168"/>
      <c r="O40" s="8168"/>
      <c r="P40" s="11398"/>
      <c r="Q40" s="8483"/>
      <c r="R40" s="8168"/>
      <c r="S40" s="8168"/>
      <c r="T40" s="11398"/>
      <c r="U40" s="8326"/>
      <c r="V40" s="10186"/>
      <c r="W40" s="10186"/>
      <c r="X40" s="8327"/>
      <c r="Y40" s="8326"/>
      <c r="Z40" s="8327"/>
      <c r="AA40" s="7590"/>
      <c r="AB40" s="8494"/>
      <c r="AC40" s="8326"/>
      <c r="AD40" s="10186"/>
      <c r="AE40" s="10186"/>
      <c r="AF40" s="10186"/>
      <c r="AG40" s="2013"/>
      <c r="AJ40" s="11461"/>
      <c r="AK40" s="11461"/>
      <c r="AL40" s="11461"/>
      <c r="AM40" s="11461"/>
      <c r="AN40" s="11462"/>
      <c r="AO40" s="11478"/>
      <c r="AP40" s="11478"/>
      <c r="AQ40" s="11461"/>
      <c r="AZ40" s="185" t="s">
        <v>6739</v>
      </c>
      <c r="BA40" s="11477"/>
      <c r="BB40" s="11477"/>
      <c r="BC40" s="11477"/>
    </row>
    <row r="41" spans="1:55" ht="26.25" customHeight="1">
      <c r="A41" s="2013">
        <f>IF(OR(Q41&lt;&gt;"",U41&lt;&gt;"",AC41&lt;&gt;""),1,0)</f>
        <v>0</v>
      </c>
      <c r="B41" s="11382" t="str">
        <f>IF(AJ41="","",AJ41)</f>
        <v/>
      </c>
      <c r="C41" s="7430"/>
      <c r="D41" s="7430"/>
      <c r="E41" s="7430"/>
      <c r="F41" s="7430"/>
      <c r="G41" s="7430"/>
      <c r="H41" s="7430"/>
      <c r="I41" s="10855"/>
      <c r="J41" s="11383" t="str">
        <f>IF(AK41="","",AK41)</f>
        <v/>
      </c>
      <c r="K41" s="11384"/>
      <c r="L41" s="11384"/>
      <c r="M41" s="11383" t="str">
        <f>IF(AL41="","",AL41)</f>
        <v/>
      </c>
      <c r="N41" s="11399"/>
      <c r="O41" s="11399"/>
      <c r="P41" s="11400"/>
      <c r="Q41" s="8178" t="str">
        <f>IF(AM41="","",AM41)</f>
        <v/>
      </c>
      <c r="R41" s="7375"/>
      <c r="S41" s="7375"/>
      <c r="T41" s="7376"/>
      <c r="U41" s="8178" t="str">
        <f>IF(AN41="","",AN41)</f>
        <v/>
      </c>
      <c r="V41" s="7375"/>
      <c r="W41" s="7375"/>
      <c r="X41" s="7376"/>
      <c r="Y41" s="11387" t="str">
        <f>IF(AO41&lt;&gt;"",AO41,"")</f>
        <v/>
      </c>
      <c r="Z41" s="7336"/>
      <c r="AA41" s="8178" t="str">
        <f>IF(AP41="","",AP41)</f>
        <v/>
      </c>
      <c r="AB41" s="11386"/>
      <c r="AC41" s="11401" t="str">
        <f>IF(AQ41&lt;&gt;"",AQ41,IF(AND(Q41="",U41=""),"",IF(AND(Q41&lt;&gt;"",U41=""),SUM(Q41,AA41),SUM(Q41,-U41,AA41))))</f>
        <v/>
      </c>
      <c r="AD41" s="11402"/>
      <c r="AE41" s="11402"/>
      <c r="AF41" s="11402"/>
      <c r="AG41" s="4271">
        <f>IF(OR(J41="",M41=""),0,IF(OR(BA41,BB41,BC41),0,1))</f>
        <v>0</v>
      </c>
      <c r="AH41" s="6014"/>
      <c r="AI41" s="6014" t="e">
        <f t="shared" ref="AI41:AI51" si="0">M41-J41</f>
        <v>#VALUE!</v>
      </c>
      <c r="AJ41" s="293"/>
      <c r="AK41" s="297"/>
      <c r="AL41" s="297"/>
      <c r="AM41" s="295"/>
      <c r="AN41" s="295"/>
      <c r="AO41" s="296"/>
      <c r="AP41" s="295"/>
      <c r="AQ41" s="294"/>
      <c r="AS41" t="e">
        <f>YEAR(J41)</f>
        <v>#VALUE!</v>
      </c>
      <c r="AT41" t="e">
        <f>MONTH(J41)</f>
        <v>#VALUE!</v>
      </c>
      <c r="AU41" t="e">
        <f>DAY(J41)</f>
        <v>#VALUE!</v>
      </c>
      <c r="AW41" t="e">
        <f>YEAR(M41)</f>
        <v>#VALUE!</v>
      </c>
      <c r="AX41" t="e">
        <f>MONTH(M41)</f>
        <v>#VALUE!</v>
      </c>
      <c r="AY41" t="e">
        <f>DAY(M41)</f>
        <v>#VALUE!</v>
      </c>
      <c r="AZ41" t="e">
        <f>OR(BA41,BB41,BC41)</f>
        <v>#VALUE!</v>
      </c>
      <c r="BA41" t="e">
        <f>AW41=AS41</f>
        <v>#VALUE!</v>
      </c>
      <c r="BB41" t="e">
        <f>AND(AW41=AS41+1,AX41&lt;AT41)</f>
        <v>#VALUE!</v>
      </c>
      <c r="BC41" t="e">
        <f>AND(AW41=AS41+1,AX41=AT41,AY41&lt;=AU41)</f>
        <v>#VALUE!</v>
      </c>
    </row>
    <row r="42" spans="1:55" ht="26.25" customHeight="1">
      <c r="A42" s="2013">
        <f t="shared" ref="A42:A51" si="1">IF(OR(Q42&lt;&gt;"",U42&lt;&gt;"",AC42&lt;&gt;""),1,0)</f>
        <v>0</v>
      </c>
      <c r="B42" s="11382" t="str">
        <f t="shared" ref="B42:B51" si="2">IF(AJ42="","",AJ42)</f>
        <v/>
      </c>
      <c r="C42" s="7430"/>
      <c r="D42" s="7430"/>
      <c r="E42" s="7430"/>
      <c r="F42" s="7430"/>
      <c r="G42" s="7430"/>
      <c r="H42" s="7430"/>
      <c r="I42" s="10855"/>
      <c r="J42" s="11383" t="str">
        <f t="shared" ref="J42:J51" si="3">IF(AK42="","",AK42)</f>
        <v/>
      </c>
      <c r="K42" s="11384"/>
      <c r="L42" s="11384"/>
      <c r="M42" s="11383" t="str">
        <f t="shared" ref="M42:M51" si="4">IF(AL42="","",AL42)</f>
        <v/>
      </c>
      <c r="N42" s="11399"/>
      <c r="O42" s="11399"/>
      <c r="P42" s="11400"/>
      <c r="Q42" s="8178" t="str">
        <f t="shared" ref="Q42:Q51" si="5">IF(AM42="","",AM42)</f>
        <v/>
      </c>
      <c r="R42" s="7375"/>
      <c r="S42" s="7375"/>
      <c r="T42" s="7376"/>
      <c r="U42" s="8178" t="str">
        <f t="shared" ref="U42:U51" si="6">IF(AN42="","",AN42)</f>
        <v/>
      </c>
      <c r="V42" s="7375"/>
      <c r="W42" s="7375"/>
      <c r="X42" s="7376"/>
      <c r="Y42" s="11387" t="str">
        <f>IF(AO42&lt;&gt;"",AO42,"")</f>
        <v/>
      </c>
      <c r="Z42" s="7336"/>
      <c r="AA42" s="8178" t="str">
        <f>IF(AP42="","",AP42)</f>
        <v/>
      </c>
      <c r="AB42" s="11386"/>
      <c r="AC42" s="11401" t="str">
        <f t="shared" ref="AC42:AC51" si="7">IF(AQ42&lt;&gt;"",AQ42,IF(AND(Q42="",U42=""),"",IF(AND(Q42&lt;&gt;"",U42=""),SUM(Q42,AA42),SUM(Q42,-U42,AA42))))</f>
        <v/>
      </c>
      <c r="AD42" s="11402"/>
      <c r="AE42" s="11402"/>
      <c r="AF42" s="11402"/>
      <c r="AG42" s="4271">
        <f t="shared" ref="AG42:AG51" si="8">IF(OR(J42="",M42=""),0,IF(OR(BA42,BB42,BC42),0,1))</f>
        <v>0</v>
      </c>
      <c r="AH42" s="6014"/>
      <c r="AI42" s="6014" t="e">
        <f t="shared" si="0"/>
        <v>#VALUE!</v>
      </c>
      <c r="AJ42" s="293"/>
      <c r="AK42" s="297"/>
      <c r="AL42" s="297"/>
      <c r="AM42" s="295"/>
      <c r="AN42" s="295"/>
      <c r="AO42" s="296"/>
      <c r="AP42" s="295"/>
      <c r="AQ42" s="294"/>
      <c r="AS42" t="e">
        <f t="shared" ref="AS42:AS51" si="9">YEAR(J42)</f>
        <v>#VALUE!</v>
      </c>
      <c r="AT42" t="e">
        <f t="shared" ref="AT42:AT51" si="10">MONTH(J42)</f>
        <v>#VALUE!</v>
      </c>
      <c r="AU42" t="e">
        <f t="shared" ref="AU42:AU51" si="11">DAY(J42)</f>
        <v>#VALUE!</v>
      </c>
      <c r="AW42" t="e">
        <f t="shared" ref="AW42:AW51" si="12">YEAR(M42)</f>
        <v>#VALUE!</v>
      </c>
      <c r="AX42" t="e">
        <f t="shared" ref="AX42:AX51" si="13">MONTH(M42)</f>
        <v>#VALUE!</v>
      </c>
      <c r="AY42" t="e">
        <f t="shared" ref="AY42:AY51" si="14">DAY(M42)</f>
        <v>#VALUE!</v>
      </c>
      <c r="AZ42" t="e">
        <f t="shared" ref="AZ42:AZ51" si="15">OR(BA42,BB42,BC42)</f>
        <v>#VALUE!</v>
      </c>
      <c r="BA42" t="e">
        <f t="shared" ref="BA42:BA51" si="16">AW42=AS42</f>
        <v>#VALUE!</v>
      </c>
      <c r="BB42" t="e">
        <f t="shared" ref="BB42:BB51" si="17">AND(AW42=AS42+1,AX42&lt;AT42)</f>
        <v>#VALUE!</v>
      </c>
      <c r="BC42" t="e">
        <f t="shared" ref="BC42:BC51" si="18">AND(AW42=AS42+1,AX42=AT42,AY42&lt;=AU42)</f>
        <v>#VALUE!</v>
      </c>
    </row>
    <row r="43" spans="1:55" ht="26.25" customHeight="1">
      <c r="A43" s="2013">
        <f t="shared" si="1"/>
        <v>0</v>
      </c>
      <c r="B43" s="11382" t="str">
        <f t="shared" si="2"/>
        <v/>
      </c>
      <c r="C43" s="7430"/>
      <c r="D43" s="7430"/>
      <c r="E43" s="7430"/>
      <c r="F43" s="7430"/>
      <c r="G43" s="7430"/>
      <c r="H43" s="7430"/>
      <c r="I43" s="10855"/>
      <c r="J43" s="11383" t="str">
        <f t="shared" si="3"/>
        <v/>
      </c>
      <c r="K43" s="11384"/>
      <c r="L43" s="11384"/>
      <c r="M43" s="11383" t="str">
        <f t="shared" si="4"/>
        <v/>
      </c>
      <c r="N43" s="11399"/>
      <c r="O43" s="11399"/>
      <c r="P43" s="11400"/>
      <c r="Q43" s="8178" t="str">
        <f t="shared" si="5"/>
        <v/>
      </c>
      <c r="R43" s="7375"/>
      <c r="S43" s="7375"/>
      <c r="T43" s="7376"/>
      <c r="U43" s="8178" t="str">
        <f t="shared" si="6"/>
        <v/>
      </c>
      <c r="V43" s="7375"/>
      <c r="W43" s="7375"/>
      <c r="X43" s="7376"/>
      <c r="Y43" s="11387" t="str">
        <f>IF(AO43&lt;&gt;"",AO43,"")</f>
        <v/>
      </c>
      <c r="Z43" s="7336"/>
      <c r="AA43" s="8178" t="str">
        <f>IF(AP43="","",AP43)</f>
        <v/>
      </c>
      <c r="AB43" s="11386"/>
      <c r="AC43" s="11401" t="str">
        <f t="shared" si="7"/>
        <v/>
      </c>
      <c r="AD43" s="11402"/>
      <c r="AE43" s="11402"/>
      <c r="AF43" s="11402"/>
      <c r="AG43" s="4271">
        <f t="shared" si="8"/>
        <v>0</v>
      </c>
      <c r="AH43" s="6014"/>
      <c r="AI43" s="6014" t="e">
        <f t="shared" si="0"/>
        <v>#VALUE!</v>
      </c>
      <c r="AJ43" s="293"/>
      <c r="AK43" s="297"/>
      <c r="AL43" s="297"/>
      <c r="AM43" s="295"/>
      <c r="AN43" s="295"/>
      <c r="AO43" s="296"/>
      <c r="AP43" s="295"/>
      <c r="AQ43" s="294"/>
      <c r="AS43" t="e">
        <f t="shared" si="9"/>
        <v>#VALUE!</v>
      </c>
      <c r="AT43" t="e">
        <f t="shared" si="10"/>
        <v>#VALUE!</v>
      </c>
      <c r="AU43" t="e">
        <f t="shared" si="11"/>
        <v>#VALUE!</v>
      </c>
      <c r="AW43" t="e">
        <f t="shared" si="12"/>
        <v>#VALUE!</v>
      </c>
      <c r="AX43" t="e">
        <f t="shared" si="13"/>
        <v>#VALUE!</v>
      </c>
      <c r="AY43" t="e">
        <f t="shared" si="14"/>
        <v>#VALUE!</v>
      </c>
      <c r="AZ43" t="e">
        <f t="shared" si="15"/>
        <v>#VALUE!</v>
      </c>
      <c r="BA43" t="e">
        <f t="shared" si="16"/>
        <v>#VALUE!</v>
      </c>
      <c r="BB43" t="e">
        <f t="shared" si="17"/>
        <v>#VALUE!</v>
      </c>
      <c r="BC43" t="e">
        <f t="shared" si="18"/>
        <v>#VALUE!</v>
      </c>
    </row>
    <row r="44" spans="1:55" ht="26.25" customHeight="1">
      <c r="A44" s="2013">
        <f t="shared" si="1"/>
        <v>0</v>
      </c>
      <c r="B44" s="11382" t="str">
        <f t="shared" si="2"/>
        <v/>
      </c>
      <c r="C44" s="7430"/>
      <c r="D44" s="7430"/>
      <c r="E44" s="7430"/>
      <c r="F44" s="7430"/>
      <c r="G44" s="7430"/>
      <c r="H44" s="7430"/>
      <c r="I44" s="10855"/>
      <c r="J44" s="11383" t="str">
        <f t="shared" si="3"/>
        <v/>
      </c>
      <c r="K44" s="11384"/>
      <c r="L44" s="11384"/>
      <c r="M44" s="11383" t="str">
        <f t="shared" si="4"/>
        <v/>
      </c>
      <c r="N44" s="11399"/>
      <c r="O44" s="11399"/>
      <c r="P44" s="11400"/>
      <c r="Q44" s="8178" t="str">
        <f t="shared" si="5"/>
        <v/>
      </c>
      <c r="R44" s="7375"/>
      <c r="S44" s="7375"/>
      <c r="T44" s="7376"/>
      <c r="U44" s="8178" t="str">
        <f t="shared" si="6"/>
        <v/>
      </c>
      <c r="V44" s="7375"/>
      <c r="W44" s="7375"/>
      <c r="X44" s="7376"/>
      <c r="Y44" s="11387" t="str">
        <f t="shared" ref="Y44:Y51" si="19">IF(AO44&lt;&gt;"",AO44,"")</f>
        <v/>
      </c>
      <c r="Z44" s="7336"/>
      <c r="AA44" s="8178" t="str">
        <f t="shared" ref="AA44:AA51" si="20">IF(AP44="","",AP44)</f>
        <v/>
      </c>
      <c r="AB44" s="11386"/>
      <c r="AC44" s="11401" t="str">
        <f t="shared" si="7"/>
        <v/>
      </c>
      <c r="AD44" s="11402"/>
      <c r="AE44" s="11402"/>
      <c r="AF44" s="11402"/>
      <c r="AG44" s="4271">
        <f t="shared" si="8"/>
        <v>0</v>
      </c>
      <c r="AH44" s="6014"/>
      <c r="AI44" s="6014" t="e">
        <f t="shared" si="0"/>
        <v>#VALUE!</v>
      </c>
      <c r="AJ44" s="293"/>
      <c r="AK44" s="297"/>
      <c r="AL44" s="297"/>
      <c r="AM44" s="295"/>
      <c r="AN44" s="295"/>
      <c r="AO44" s="296"/>
      <c r="AP44" s="295"/>
      <c r="AQ44" s="294"/>
      <c r="AS44" t="e">
        <f t="shared" si="9"/>
        <v>#VALUE!</v>
      </c>
      <c r="AT44" t="e">
        <f t="shared" si="10"/>
        <v>#VALUE!</v>
      </c>
      <c r="AU44" t="e">
        <f t="shared" si="11"/>
        <v>#VALUE!</v>
      </c>
      <c r="AW44" t="e">
        <f t="shared" si="12"/>
        <v>#VALUE!</v>
      </c>
      <c r="AX44" t="e">
        <f t="shared" si="13"/>
        <v>#VALUE!</v>
      </c>
      <c r="AY44" t="e">
        <f t="shared" si="14"/>
        <v>#VALUE!</v>
      </c>
      <c r="AZ44" t="e">
        <f t="shared" si="15"/>
        <v>#VALUE!</v>
      </c>
      <c r="BA44" t="e">
        <f t="shared" si="16"/>
        <v>#VALUE!</v>
      </c>
      <c r="BB44" t="e">
        <f t="shared" si="17"/>
        <v>#VALUE!</v>
      </c>
      <c r="BC44" t="e">
        <f t="shared" si="18"/>
        <v>#VALUE!</v>
      </c>
    </row>
    <row r="45" spans="1:55" ht="26.25" customHeight="1">
      <c r="A45" s="2013">
        <f t="shared" si="1"/>
        <v>0</v>
      </c>
      <c r="B45" s="11382" t="str">
        <f t="shared" si="2"/>
        <v/>
      </c>
      <c r="C45" s="7430"/>
      <c r="D45" s="7430"/>
      <c r="E45" s="7430"/>
      <c r="F45" s="7430"/>
      <c r="G45" s="7430"/>
      <c r="H45" s="7430"/>
      <c r="I45" s="10855"/>
      <c r="J45" s="11383" t="str">
        <f t="shared" si="3"/>
        <v/>
      </c>
      <c r="K45" s="11384"/>
      <c r="L45" s="11384"/>
      <c r="M45" s="11383" t="str">
        <f t="shared" si="4"/>
        <v/>
      </c>
      <c r="N45" s="11399"/>
      <c r="O45" s="11399"/>
      <c r="P45" s="11400"/>
      <c r="Q45" s="8178" t="str">
        <f t="shared" si="5"/>
        <v/>
      </c>
      <c r="R45" s="7375"/>
      <c r="S45" s="7375"/>
      <c r="T45" s="7376"/>
      <c r="U45" s="8178" t="str">
        <f t="shared" si="6"/>
        <v/>
      </c>
      <c r="V45" s="7375"/>
      <c r="W45" s="7375"/>
      <c r="X45" s="7376"/>
      <c r="Y45" s="11387" t="str">
        <f t="shared" si="19"/>
        <v/>
      </c>
      <c r="Z45" s="7336"/>
      <c r="AA45" s="8178" t="str">
        <f t="shared" si="20"/>
        <v/>
      </c>
      <c r="AB45" s="11386"/>
      <c r="AC45" s="11401" t="str">
        <f t="shared" si="7"/>
        <v/>
      </c>
      <c r="AD45" s="11402"/>
      <c r="AE45" s="11402"/>
      <c r="AF45" s="11402"/>
      <c r="AG45" s="4271">
        <f t="shared" si="8"/>
        <v>0</v>
      </c>
      <c r="AH45" s="6014"/>
      <c r="AI45" s="6014" t="e">
        <f t="shared" si="0"/>
        <v>#VALUE!</v>
      </c>
      <c r="AJ45" s="293"/>
      <c r="AK45" s="297"/>
      <c r="AL45" s="297"/>
      <c r="AM45" s="295"/>
      <c r="AN45" s="295"/>
      <c r="AO45" s="296"/>
      <c r="AP45" s="295"/>
      <c r="AQ45" s="294"/>
      <c r="AS45" t="e">
        <f t="shared" si="9"/>
        <v>#VALUE!</v>
      </c>
      <c r="AT45" t="e">
        <f t="shared" si="10"/>
        <v>#VALUE!</v>
      </c>
      <c r="AU45" t="e">
        <f t="shared" si="11"/>
        <v>#VALUE!</v>
      </c>
      <c r="AW45" t="e">
        <f t="shared" si="12"/>
        <v>#VALUE!</v>
      </c>
      <c r="AX45" t="e">
        <f t="shared" si="13"/>
        <v>#VALUE!</v>
      </c>
      <c r="AY45" t="e">
        <f t="shared" si="14"/>
        <v>#VALUE!</v>
      </c>
      <c r="AZ45" t="e">
        <f t="shared" si="15"/>
        <v>#VALUE!</v>
      </c>
      <c r="BA45" t="e">
        <f t="shared" si="16"/>
        <v>#VALUE!</v>
      </c>
      <c r="BB45" t="e">
        <f t="shared" si="17"/>
        <v>#VALUE!</v>
      </c>
      <c r="BC45" t="e">
        <f t="shared" si="18"/>
        <v>#VALUE!</v>
      </c>
    </row>
    <row r="46" spans="1:55" ht="26.25" customHeight="1">
      <c r="A46" s="2013">
        <f t="shared" si="1"/>
        <v>0</v>
      </c>
      <c r="B46" s="11382" t="str">
        <f t="shared" si="2"/>
        <v/>
      </c>
      <c r="C46" s="7430"/>
      <c r="D46" s="7430"/>
      <c r="E46" s="7430"/>
      <c r="F46" s="7430"/>
      <c r="G46" s="7430"/>
      <c r="H46" s="7430"/>
      <c r="I46" s="10855"/>
      <c r="J46" s="11383" t="str">
        <f t="shared" si="3"/>
        <v/>
      </c>
      <c r="K46" s="11384"/>
      <c r="L46" s="11384"/>
      <c r="M46" s="11383" t="str">
        <f t="shared" si="4"/>
        <v/>
      </c>
      <c r="N46" s="11399"/>
      <c r="O46" s="11399"/>
      <c r="P46" s="11400"/>
      <c r="Q46" s="8178" t="str">
        <f t="shared" si="5"/>
        <v/>
      </c>
      <c r="R46" s="7375"/>
      <c r="S46" s="7375"/>
      <c r="T46" s="7376"/>
      <c r="U46" s="8178" t="str">
        <f t="shared" si="6"/>
        <v/>
      </c>
      <c r="V46" s="7375"/>
      <c r="W46" s="7375"/>
      <c r="X46" s="7376"/>
      <c r="Y46" s="11387" t="str">
        <f t="shared" si="19"/>
        <v/>
      </c>
      <c r="Z46" s="7336"/>
      <c r="AA46" s="8178" t="str">
        <f t="shared" si="20"/>
        <v/>
      </c>
      <c r="AB46" s="11386"/>
      <c r="AC46" s="11401" t="str">
        <f t="shared" si="7"/>
        <v/>
      </c>
      <c r="AD46" s="11402"/>
      <c r="AE46" s="11402"/>
      <c r="AF46" s="11402"/>
      <c r="AG46" s="4271">
        <f t="shared" si="8"/>
        <v>0</v>
      </c>
      <c r="AH46" s="6014"/>
      <c r="AI46" s="6014" t="e">
        <f t="shared" si="0"/>
        <v>#VALUE!</v>
      </c>
      <c r="AJ46" s="293"/>
      <c r="AK46" s="297"/>
      <c r="AL46" s="297"/>
      <c r="AM46" s="295"/>
      <c r="AN46" s="295"/>
      <c r="AO46" s="296"/>
      <c r="AP46" s="295"/>
      <c r="AQ46" s="294"/>
      <c r="AS46" t="e">
        <f t="shared" si="9"/>
        <v>#VALUE!</v>
      </c>
      <c r="AT46" t="e">
        <f t="shared" si="10"/>
        <v>#VALUE!</v>
      </c>
      <c r="AU46" t="e">
        <f t="shared" si="11"/>
        <v>#VALUE!</v>
      </c>
      <c r="AW46" t="e">
        <f t="shared" si="12"/>
        <v>#VALUE!</v>
      </c>
      <c r="AX46" t="e">
        <f t="shared" si="13"/>
        <v>#VALUE!</v>
      </c>
      <c r="AY46" t="e">
        <f t="shared" si="14"/>
        <v>#VALUE!</v>
      </c>
      <c r="AZ46" t="e">
        <f t="shared" si="15"/>
        <v>#VALUE!</v>
      </c>
      <c r="BA46" t="e">
        <f t="shared" si="16"/>
        <v>#VALUE!</v>
      </c>
      <c r="BB46" t="e">
        <f t="shared" si="17"/>
        <v>#VALUE!</v>
      </c>
      <c r="BC46" t="e">
        <f t="shared" si="18"/>
        <v>#VALUE!</v>
      </c>
    </row>
    <row r="47" spans="1:55" ht="26.25" customHeight="1">
      <c r="A47" s="2013">
        <f t="shared" si="1"/>
        <v>0</v>
      </c>
      <c r="B47" s="11382" t="str">
        <f t="shared" si="2"/>
        <v/>
      </c>
      <c r="C47" s="7430"/>
      <c r="D47" s="7430"/>
      <c r="E47" s="7430"/>
      <c r="F47" s="7430"/>
      <c r="G47" s="7430"/>
      <c r="H47" s="7430"/>
      <c r="I47" s="10855"/>
      <c r="J47" s="11383" t="str">
        <f>IF(AK47="","",AK47)</f>
        <v/>
      </c>
      <c r="K47" s="11384"/>
      <c r="L47" s="11384"/>
      <c r="M47" s="11383" t="str">
        <f>IF(AL47="","",AL47)</f>
        <v/>
      </c>
      <c r="N47" s="11399"/>
      <c r="O47" s="11399"/>
      <c r="P47" s="11400"/>
      <c r="Q47" s="8178" t="str">
        <f t="shared" si="5"/>
        <v/>
      </c>
      <c r="R47" s="7375"/>
      <c r="S47" s="7375"/>
      <c r="T47" s="7376"/>
      <c r="U47" s="8178" t="str">
        <f t="shared" si="6"/>
        <v/>
      </c>
      <c r="V47" s="7375"/>
      <c r="W47" s="7375"/>
      <c r="X47" s="7376"/>
      <c r="Y47" s="11387" t="str">
        <f t="shared" si="19"/>
        <v/>
      </c>
      <c r="Z47" s="7336"/>
      <c r="AA47" s="8178" t="str">
        <f t="shared" si="20"/>
        <v/>
      </c>
      <c r="AB47" s="11386"/>
      <c r="AC47" s="11401" t="str">
        <f t="shared" si="7"/>
        <v/>
      </c>
      <c r="AD47" s="11402"/>
      <c r="AE47" s="11402"/>
      <c r="AF47" s="11402"/>
      <c r="AG47" s="4271">
        <f t="shared" si="8"/>
        <v>0</v>
      </c>
      <c r="AH47" s="6014"/>
      <c r="AI47" s="6014" t="e">
        <f t="shared" si="0"/>
        <v>#VALUE!</v>
      </c>
      <c r="AJ47" s="293"/>
      <c r="AK47" s="297"/>
      <c r="AL47" s="297"/>
      <c r="AM47" s="295"/>
      <c r="AN47" s="295"/>
      <c r="AO47" s="296"/>
      <c r="AP47" s="295"/>
      <c r="AQ47" s="294"/>
      <c r="AS47" t="e">
        <f t="shared" si="9"/>
        <v>#VALUE!</v>
      </c>
      <c r="AT47" t="e">
        <f t="shared" si="10"/>
        <v>#VALUE!</v>
      </c>
      <c r="AU47" t="e">
        <f t="shared" si="11"/>
        <v>#VALUE!</v>
      </c>
      <c r="AW47" t="e">
        <f t="shared" si="12"/>
        <v>#VALUE!</v>
      </c>
      <c r="AX47" t="e">
        <f t="shared" si="13"/>
        <v>#VALUE!</v>
      </c>
      <c r="AY47" t="e">
        <f t="shared" si="14"/>
        <v>#VALUE!</v>
      </c>
      <c r="AZ47" t="e">
        <f t="shared" si="15"/>
        <v>#VALUE!</v>
      </c>
      <c r="BA47" t="e">
        <f t="shared" si="16"/>
        <v>#VALUE!</v>
      </c>
      <c r="BB47" t="e">
        <f t="shared" si="17"/>
        <v>#VALUE!</v>
      </c>
      <c r="BC47" t="e">
        <f t="shared" si="18"/>
        <v>#VALUE!</v>
      </c>
    </row>
    <row r="48" spans="1:55" ht="26.25" customHeight="1">
      <c r="A48" s="2013">
        <f t="shared" si="1"/>
        <v>0</v>
      </c>
      <c r="B48" s="11382" t="str">
        <f t="shared" si="2"/>
        <v/>
      </c>
      <c r="C48" s="7430"/>
      <c r="D48" s="7430"/>
      <c r="E48" s="7430"/>
      <c r="F48" s="7430"/>
      <c r="G48" s="7430"/>
      <c r="H48" s="7430"/>
      <c r="I48" s="10855"/>
      <c r="J48" s="11383" t="str">
        <f t="shared" si="3"/>
        <v/>
      </c>
      <c r="K48" s="11384"/>
      <c r="L48" s="11384"/>
      <c r="M48" s="11383" t="str">
        <f t="shared" si="4"/>
        <v/>
      </c>
      <c r="N48" s="11399"/>
      <c r="O48" s="11399"/>
      <c r="P48" s="11400"/>
      <c r="Q48" s="8178" t="str">
        <f t="shared" si="5"/>
        <v/>
      </c>
      <c r="R48" s="7375"/>
      <c r="S48" s="7375"/>
      <c r="T48" s="7376"/>
      <c r="U48" s="8178" t="str">
        <f t="shared" si="6"/>
        <v/>
      </c>
      <c r="V48" s="7375"/>
      <c r="W48" s="7375"/>
      <c r="X48" s="7376"/>
      <c r="Y48" s="11387" t="str">
        <f t="shared" si="19"/>
        <v/>
      </c>
      <c r="Z48" s="7336"/>
      <c r="AA48" s="8178" t="str">
        <f t="shared" si="20"/>
        <v/>
      </c>
      <c r="AB48" s="11386"/>
      <c r="AC48" s="11401" t="str">
        <f t="shared" si="7"/>
        <v/>
      </c>
      <c r="AD48" s="11402"/>
      <c r="AE48" s="11402"/>
      <c r="AF48" s="11402"/>
      <c r="AG48" s="4271">
        <f t="shared" si="8"/>
        <v>0</v>
      </c>
      <c r="AH48" s="6014"/>
      <c r="AI48" s="6014" t="e">
        <f t="shared" si="0"/>
        <v>#VALUE!</v>
      </c>
      <c r="AJ48" s="293"/>
      <c r="AK48" s="297"/>
      <c r="AL48" s="297"/>
      <c r="AM48" s="295"/>
      <c r="AN48" s="295"/>
      <c r="AO48" s="296"/>
      <c r="AP48" s="295"/>
      <c r="AQ48" s="294"/>
      <c r="AS48" t="e">
        <f t="shared" si="9"/>
        <v>#VALUE!</v>
      </c>
      <c r="AT48" t="e">
        <f t="shared" si="10"/>
        <v>#VALUE!</v>
      </c>
      <c r="AU48" t="e">
        <f t="shared" si="11"/>
        <v>#VALUE!</v>
      </c>
      <c r="AW48" t="e">
        <f t="shared" si="12"/>
        <v>#VALUE!</v>
      </c>
      <c r="AX48" t="e">
        <f t="shared" si="13"/>
        <v>#VALUE!</v>
      </c>
      <c r="AY48" t="e">
        <f t="shared" si="14"/>
        <v>#VALUE!</v>
      </c>
      <c r="AZ48" t="e">
        <f t="shared" si="15"/>
        <v>#VALUE!</v>
      </c>
      <c r="BA48" t="e">
        <f t="shared" si="16"/>
        <v>#VALUE!</v>
      </c>
      <c r="BB48" t="e">
        <f t="shared" si="17"/>
        <v>#VALUE!</v>
      </c>
      <c r="BC48" t="e">
        <f t="shared" si="18"/>
        <v>#VALUE!</v>
      </c>
    </row>
    <row r="49" spans="1:55" ht="26.25" customHeight="1">
      <c r="A49" s="2013">
        <f t="shared" si="1"/>
        <v>0</v>
      </c>
      <c r="B49" s="11382" t="str">
        <f t="shared" si="2"/>
        <v/>
      </c>
      <c r="C49" s="7430"/>
      <c r="D49" s="7430"/>
      <c r="E49" s="7430"/>
      <c r="F49" s="7430"/>
      <c r="G49" s="7430"/>
      <c r="H49" s="7430"/>
      <c r="I49" s="10855"/>
      <c r="J49" s="11383" t="str">
        <f t="shared" si="3"/>
        <v/>
      </c>
      <c r="K49" s="11384"/>
      <c r="L49" s="11384"/>
      <c r="M49" s="11383" t="str">
        <f t="shared" si="4"/>
        <v/>
      </c>
      <c r="N49" s="11399"/>
      <c r="O49" s="11399"/>
      <c r="P49" s="11400"/>
      <c r="Q49" s="8178" t="str">
        <f t="shared" si="5"/>
        <v/>
      </c>
      <c r="R49" s="7375"/>
      <c r="S49" s="7375"/>
      <c r="T49" s="7376"/>
      <c r="U49" s="8178" t="str">
        <f t="shared" si="6"/>
        <v/>
      </c>
      <c r="V49" s="7375"/>
      <c r="W49" s="7375"/>
      <c r="X49" s="7376"/>
      <c r="Y49" s="11387" t="str">
        <f t="shared" si="19"/>
        <v/>
      </c>
      <c r="Z49" s="7336"/>
      <c r="AA49" s="8178" t="str">
        <f t="shared" si="20"/>
        <v/>
      </c>
      <c r="AB49" s="11386"/>
      <c r="AC49" s="11401" t="str">
        <f t="shared" si="7"/>
        <v/>
      </c>
      <c r="AD49" s="11402"/>
      <c r="AE49" s="11402"/>
      <c r="AF49" s="11402"/>
      <c r="AG49" s="4271">
        <f t="shared" si="8"/>
        <v>0</v>
      </c>
      <c r="AH49" s="6014"/>
      <c r="AI49" s="6014" t="e">
        <f t="shared" si="0"/>
        <v>#VALUE!</v>
      </c>
      <c r="AJ49" s="293"/>
      <c r="AK49" s="297"/>
      <c r="AL49" s="297"/>
      <c r="AM49" s="295"/>
      <c r="AN49" s="295"/>
      <c r="AO49" s="296"/>
      <c r="AP49" s="295"/>
      <c r="AQ49" s="294"/>
      <c r="AS49" t="e">
        <f t="shared" si="9"/>
        <v>#VALUE!</v>
      </c>
      <c r="AT49" t="e">
        <f t="shared" si="10"/>
        <v>#VALUE!</v>
      </c>
      <c r="AU49" t="e">
        <f t="shared" si="11"/>
        <v>#VALUE!</v>
      </c>
      <c r="AW49" t="e">
        <f t="shared" si="12"/>
        <v>#VALUE!</v>
      </c>
      <c r="AX49" t="e">
        <f t="shared" si="13"/>
        <v>#VALUE!</v>
      </c>
      <c r="AY49" t="e">
        <f t="shared" si="14"/>
        <v>#VALUE!</v>
      </c>
      <c r="AZ49" t="e">
        <f t="shared" si="15"/>
        <v>#VALUE!</v>
      </c>
      <c r="BA49" t="e">
        <f t="shared" si="16"/>
        <v>#VALUE!</v>
      </c>
      <c r="BB49" t="e">
        <f t="shared" si="17"/>
        <v>#VALUE!</v>
      </c>
      <c r="BC49" t="e">
        <f t="shared" si="18"/>
        <v>#VALUE!</v>
      </c>
    </row>
    <row r="50" spans="1:55" ht="26.25" customHeight="1">
      <c r="A50" s="2013">
        <f t="shared" si="1"/>
        <v>0</v>
      </c>
      <c r="B50" s="11382" t="str">
        <f t="shared" si="2"/>
        <v/>
      </c>
      <c r="C50" s="7430"/>
      <c r="D50" s="7430"/>
      <c r="E50" s="7430"/>
      <c r="F50" s="7430"/>
      <c r="G50" s="7430"/>
      <c r="H50" s="7430"/>
      <c r="I50" s="10855"/>
      <c r="J50" s="11383" t="str">
        <f t="shared" si="3"/>
        <v/>
      </c>
      <c r="K50" s="11384"/>
      <c r="L50" s="11384"/>
      <c r="M50" s="11383" t="str">
        <f t="shared" si="4"/>
        <v/>
      </c>
      <c r="N50" s="11399"/>
      <c r="O50" s="11399"/>
      <c r="P50" s="11400"/>
      <c r="Q50" s="8178" t="str">
        <f t="shared" si="5"/>
        <v/>
      </c>
      <c r="R50" s="7375"/>
      <c r="S50" s="7375"/>
      <c r="T50" s="7376"/>
      <c r="U50" s="8178" t="str">
        <f t="shared" si="6"/>
        <v/>
      </c>
      <c r="V50" s="7375"/>
      <c r="W50" s="7375"/>
      <c r="X50" s="7376"/>
      <c r="Y50" s="11387" t="str">
        <f t="shared" si="19"/>
        <v/>
      </c>
      <c r="Z50" s="7336"/>
      <c r="AA50" s="8178" t="str">
        <f t="shared" si="20"/>
        <v/>
      </c>
      <c r="AB50" s="11386"/>
      <c r="AC50" s="11401" t="str">
        <f t="shared" si="7"/>
        <v/>
      </c>
      <c r="AD50" s="11402"/>
      <c r="AE50" s="11402"/>
      <c r="AF50" s="11402"/>
      <c r="AG50" s="4271">
        <f t="shared" si="8"/>
        <v>0</v>
      </c>
      <c r="AH50" s="6014"/>
      <c r="AI50" s="6014" t="e">
        <f t="shared" si="0"/>
        <v>#VALUE!</v>
      </c>
      <c r="AJ50" s="293"/>
      <c r="AK50" s="297"/>
      <c r="AL50" s="297"/>
      <c r="AM50" s="295"/>
      <c r="AN50" s="295"/>
      <c r="AO50" s="296"/>
      <c r="AP50" s="295"/>
      <c r="AQ50" s="294"/>
      <c r="AS50" t="e">
        <f t="shared" si="9"/>
        <v>#VALUE!</v>
      </c>
      <c r="AT50" t="e">
        <f t="shared" si="10"/>
        <v>#VALUE!</v>
      </c>
      <c r="AU50" t="e">
        <f t="shared" si="11"/>
        <v>#VALUE!</v>
      </c>
      <c r="AW50" t="e">
        <f t="shared" si="12"/>
        <v>#VALUE!</v>
      </c>
      <c r="AX50" t="e">
        <f t="shared" si="13"/>
        <v>#VALUE!</v>
      </c>
      <c r="AY50" t="e">
        <f t="shared" si="14"/>
        <v>#VALUE!</v>
      </c>
      <c r="AZ50" t="e">
        <f t="shared" si="15"/>
        <v>#VALUE!</v>
      </c>
      <c r="BA50" t="e">
        <f t="shared" si="16"/>
        <v>#VALUE!</v>
      </c>
      <c r="BB50" t="e">
        <f t="shared" si="17"/>
        <v>#VALUE!</v>
      </c>
      <c r="BC50" t="e">
        <f t="shared" si="18"/>
        <v>#VALUE!</v>
      </c>
    </row>
    <row r="51" spans="1:55" ht="26.25" customHeight="1">
      <c r="A51" s="2013">
        <f t="shared" si="1"/>
        <v>0</v>
      </c>
      <c r="B51" s="11382" t="str">
        <f t="shared" si="2"/>
        <v/>
      </c>
      <c r="C51" s="7430"/>
      <c r="D51" s="7430"/>
      <c r="E51" s="7430"/>
      <c r="F51" s="7430"/>
      <c r="G51" s="7430"/>
      <c r="H51" s="7430"/>
      <c r="I51" s="10855"/>
      <c r="J51" s="11383" t="str">
        <f t="shared" si="3"/>
        <v/>
      </c>
      <c r="K51" s="11384"/>
      <c r="L51" s="11384"/>
      <c r="M51" s="11383" t="str">
        <f t="shared" si="4"/>
        <v/>
      </c>
      <c r="N51" s="11399"/>
      <c r="O51" s="11399"/>
      <c r="P51" s="11400"/>
      <c r="Q51" s="8178" t="str">
        <f t="shared" si="5"/>
        <v/>
      </c>
      <c r="R51" s="7375"/>
      <c r="S51" s="7375"/>
      <c r="T51" s="7376"/>
      <c r="U51" s="8178" t="str">
        <f t="shared" si="6"/>
        <v/>
      </c>
      <c r="V51" s="7375"/>
      <c r="W51" s="7375"/>
      <c r="X51" s="7376"/>
      <c r="Y51" s="11387" t="str">
        <f t="shared" si="19"/>
        <v/>
      </c>
      <c r="Z51" s="7336"/>
      <c r="AA51" s="8178" t="str">
        <f t="shared" si="20"/>
        <v/>
      </c>
      <c r="AB51" s="11386"/>
      <c r="AC51" s="11401" t="str">
        <f t="shared" si="7"/>
        <v/>
      </c>
      <c r="AD51" s="11402"/>
      <c r="AE51" s="11402"/>
      <c r="AF51" s="11402"/>
      <c r="AG51" s="4271">
        <f t="shared" si="8"/>
        <v>0</v>
      </c>
      <c r="AH51" s="6014"/>
      <c r="AI51" s="6014" t="e">
        <f t="shared" si="0"/>
        <v>#VALUE!</v>
      </c>
      <c r="AJ51" s="293"/>
      <c r="AK51" s="297"/>
      <c r="AL51" s="297"/>
      <c r="AM51" s="295"/>
      <c r="AN51" s="295"/>
      <c r="AO51" s="296"/>
      <c r="AP51" s="295"/>
      <c r="AQ51" s="294"/>
      <c r="AS51" t="e">
        <f t="shared" si="9"/>
        <v>#VALUE!</v>
      </c>
      <c r="AT51" t="e">
        <f t="shared" si="10"/>
        <v>#VALUE!</v>
      </c>
      <c r="AU51" t="e">
        <f t="shared" si="11"/>
        <v>#VALUE!</v>
      </c>
      <c r="AW51" t="e">
        <f t="shared" si="12"/>
        <v>#VALUE!</v>
      </c>
      <c r="AX51" t="e">
        <f t="shared" si="13"/>
        <v>#VALUE!</v>
      </c>
      <c r="AY51" t="e">
        <f t="shared" si="14"/>
        <v>#VALUE!</v>
      </c>
      <c r="AZ51" t="e">
        <f t="shared" si="15"/>
        <v>#VALUE!</v>
      </c>
      <c r="BA51" t="e">
        <f t="shared" si="16"/>
        <v>#VALUE!</v>
      </c>
      <c r="BB51" t="e">
        <f t="shared" si="17"/>
        <v>#VALUE!</v>
      </c>
      <c r="BC51" t="e">
        <f t="shared" si="18"/>
        <v>#VALUE!</v>
      </c>
    </row>
    <row r="52" spans="1:55" ht="12" customHeight="1">
      <c r="A52" s="2013">
        <f>SUM(A41:A51)</f>
        <v>0</v>
      </c>
      <c r="B52" s="11441">
        <v>2</v>
      </c>
      <c r="C52" s="11421" t="s">
        <v>6416</v>
      </c>
      <c r="D52" s="11422"/>
      <c r="E52" s="11422"/>
      <c r="F52" s="11422"/>
      <c r="G52" s="11422"/>
      <c r="H52" s="11422"/>
      <c r="I52" s="11422"/>
      <c r="J52" s="11422"/>
      <c r="K52" s="11422"/>
      <c r="L52" s="11422"/>
      <c r="M52" s="11422"/>
      <c r="N52" s="11422"/>
      <c r="O52" s="11422"/>
      <c r="P52" s="11422"/>
      <c r="Q52" s="11409" t="str">
        <f>IF(A52=0,"",ROUND(SUM(Q41:Q51),0))</f>
        <v/>
      </c>
      <c r="R52" s="11410"/>
      <c r="S52" s="11410"/>
      <c r="T52" s="11411"/>
      <c r="U52" s="11409" t="str">
        <f>IF(A52=0,"",ROUND(SUM(U41:U51),0))</f>
        <v/>
      </c>
      <c r="V52" s="11410"/>
      <c r="W52" s="11410"/>
      <c r="X52" s="11411"/>
      <c r="Y52" s="11403"/>
      <c r="Z52" s="11404"/>
      <c r="AA52" s="11409" t="str">
        <f>IF(A52=0,"",ROUND(SUM(AA41:AA51),0))</f>
        <v/>
      </c>
      <c r="AB52" s="11411"/>
      <c r="AC52" s="11409" t="str">
        <f>IF(A52=0,"",ROUND(SUM(AC41:AC51),0))</f>
        <v/>
      </c>
      <c r="AD52" s="11410"/>
      <c r="AE52" s="11410"/>
      <c r="AF52" s="11410"/>
      <c r="AG52" s="2013"/>
    </row>
    <row r="53" spans="1:55" ht="12" customHeight="1">
      <c r="A53" s="2013"/>
      <c r="B53" s="11442"/>
      <c r="C53" s="11423"/>
      <c r="D53" s="11423"/>
      <c r="E53" s="11423"/>
      <c r="F53" s="11423"/>
      <c r="G53" s="11423"/>
      <c r="H53" s="11423"/>
      <c r="I53" s="11423"/>
      <c r="J53" s="11423"/>
      <c r="K53" s="11423"/>
      <c r="L53" s="11423"/>
      <c r="M53" s="11423"/>
      <c r="N53" s="11423"/>
      <c r="O53" s="11423"/>
      <c r="P53" s="11423"/>
      <c r="Q53" s="11412"/>
      <c r="R53" s="11413"/>
      <c r="S53" s="11413"/>
      <c r="T53" s="11414"/>
      <c r="U53" s="11412"/>
      <c r="V53" s="11413"/>
      <c r="W53" s="11413"/>
      <c r="X53" s="11414"/>
      <c r="Y53" s="11405"/>
      <c r="Z53" s="11406"/>
      <c r="AA53" s="11412"/>
      <c r="AB53" s="11414"/>
      <c r="AC53" s="11412"/>
      <c r="AD53" s="11413"/>
      <c r="AE53" s="11413"/>
      <c r="AF53" s="11413"/>
      <c r="AG53" s="2013"/>
    </row>
    <row r="54" spans="1:55" ht="12" customHeight="1">
      <c r="A54" s="2013"/>
      <c r="B54" s="11442"/>
      <c r="C54" s="11423"/>
      <c r="D54" s="11423"/>
      <c r="E54" s="11423"/>
      <c r="F54" s="11423"/>
      <c r="G54" s="11423"/>
      <c r="H54" s="11423"/>
      <c r="I54" s="11423"/>
      <c r="J54" s="11423"/>
      <c r="K54" s="11423"/>
      <c r="L54" s="11423"/>
      <c r="M54" s="11423"/>
      <c r="N54" s="11423"/>
      <c r="O54" s="11423"/>
      <c r="P54" s="11423"/>
      <c r="Q54" s="11412"/>
      <c r="R54" s="11413"/>
      <c r="S54" s="11413"/>
      <c r="T54" s="11414"/>
      <c r="U54" s="11412"/>
      <c r="V54" s="11413"/>
      <c r="W54" s="11413"/>
      <c r="X54" s="11414"/>
      <c r="Y54" s="11405"/>
      <c r="Z54" s="11406"/>
      <c r="AA54" s="11412"/>
      <c r="AB54" s="11414"/>
      <c r="AC54" s="11412"/>
      <c r="AD54" s="11413"/>
      <c r="AE54" s="11413"/>
      <c r="AF54" s="11413"/>
      <c r="AG54" s="2013"/>
    </row>
    <row r="55" spans="1:55" ht="12" customHeight="1">
      <c r="A55" s="2013"/>
      <c r="B55" s="11442"/>
      <c r="C55" s="11423"/>
      <c r="D55" s="11423"/>
      <c r="E55" s="11423"/>
      <c r="F55" s="11423"/>
      <c r="G55" s="11423"/>
      <c r="H55" s="11423"/>
      <c r="I55" s="11423"/>
      <c r="J55" s="11423"/>
      <c r="K55" s="11423"/>
      <c r="L55" s="11423"/>
      <c r="M55" s="11423"/>
      <c r="N55" s="11423"/>
      <c r="O55" s="11423"/>
      <c r="P55" s="11423"/>
      <c r="Q55" s="11412"/>
      <c r="R55" s="11413"/>
      <c r="S55" s="11413"/>
      <c r="T55" s="11414"/>
      <c r="U55" s="11412"/>
      <c r="V55" s="11413"/>
      <c r="W55" s="11413"/>
      <c r="X55" s="11414"/>
      <c r="Y55" s="11405"/>
      <c r="Z55" s="11406"/>
      <c r="AA55" s="11412"/>
      <c r="AB55" s="11414"/>
      <c r="AC55" s="11412"/>
      <c r="AD55" s="11413"/>
      <c r="AE55" s="11413"/>
      <c r="AF55" s="11413"/>
      <c r="AG55" s="2013"/>
    </row>
    <row r="56" spans="1:55" ht="12" customHeight="1">
      <c r="A56" s="2013"/>
      <c r="B56" s="11442"/>
      <c r="C56" s="11423"/>
      <c r="D56" s="11423"/>
      <c r="E56" s="11423"/>
      <c r="F56" s="11423"/>
      <c r="G56" s="11423"/>
      <c r="H56" s="11423"/>
      <c r="I56" s="11423"/>
      <c r="J56" s="11423"/>
      <c r="K56" s="11423"/>
      <c r="L56" s="11423"/>
      <c r="M56" s="11423"/>
      <c r="N56" s="11423"/>
      <c r="O56" s="11423"/>
      <c r="P56" s="11423"/>
      <c r="Q56" s="11415"/>
      <c r="R56" s="11416"/>
      <c r="S56" s="11416"/>
      <c r="T56" s="11417"/>
      <c r="U56" s="11415"/>
      <c r="V56" s="11416"/>
      <c r="W56" s="11416"/>
      <c r="X56" s="11417"/>
      <c r="Y56" s="11407"/>
      <c r="Z56" s="11408"/>
      <c r="AA56" s="11415"/>
      <c r="AB56" s="11417"/>
      <c r="AC56" s="11412"/>
      <c r="AD56" s="11413"/>
      <c r="AE56" s="11413"/>
      <c r="AF56" s="11413"/>
      <c r="AG56" s="2013"/>
    </row>
    <row r="57" spans="1:55" ht="25.5" customHeight="1" thickBot="1">
      <c r="A57" s="2013"/>
      <c r="B57" s="11418" t="s">
        <v>6415</v>
      </c>
      <c r="C57" s="11419"/>
      <c r="D57" s="11419"/>
      <c r="E57" s="11419"/>
      <c r="F57" s="11419"/>
      <c r="G57" s="11419"/>
      <c r="H57" s="11419"/>
      <c r="I57" s="11419"/>
      <c r="J57" s="11419"/>
      <c r="K57" s="11419"/>
      <c r="L57" s="11419"/>
      <c r="M57" s="11419"/>
      <c r="N57" s="11419"/>
      <c r="O57" s="11419"/>
      <c r="P57" s="11419"/>
      <c r="Q57" s="11419"/>
      <c r="R57" s="11419"/>
      <c r="S57" s="11419"/>
      <c r="T57" s="11419"/>
      <c r="U57" s="11420"/>
      <c r="V57" s="11420"/>
      <c r="W57" s="11420"/>
      <c r="X57" s="11420"/>
      <c r="Y57" s="11419"/>
      <c r="Z57" s="11419"/>
      <c r="AA57" s="11419"/>
      <c r="AB57" s="11419"/>
      <c r="AC57" s="11419"/>
      <c r="AD57" s="11419"/>
      <c r="AE57" s="11419"/>
      <c r="AF57" s="11419"/>
      <c r="AG57" s="2013"/>
      <c r="AJ57" s="329"/>
    </row>
    <row r="58" spans="1:55" ht="16.5" thickTop="1">
      <c r="A58" s="2013"/>
      <c r="B58" s="6015" t="s">
        <v>865</v>
      </c>
      <c r="C58" s="88"/>
      <c r="D58" s="88"/>
      <c r="E58" s="88"/>
      <c r="F58" s="88"/>
      <c r="G58" s="88"/>
      <c r="H58" s="88"/>
      <c r="I58" s="88"/>
      <c r="J58" s="88"/>
      <c r="K58" s="88"/>
      <c r="L58" s="88"/>
      <c r="M58" s="88"/>
      <c r="N58" s="88"/>
      <c r="O58" s="88"/>
      <c r="P58" s="88"/>
      <c r="Q58" s="88"/>
      <c r="R58" s="88"/>
      <c r="S58" s="88"/>
      <c r="T58" s="88"/>
      <c r="U58" s="3931" t="s">
        <v>4480</v>
      </c>
      <c r="V58" s="88"/>
      <c r="W58" s="88"/>
      <c r="X58" s="88"/>
      <c r="Y58" s="88"/>
      <c r="Z58" s="88"/>
      <c r="AA58" s="2052" t="s">
        <v>4481</v>
      </c>
      <c r="AB58" s="6016" t="str">
        <f>"("&amp;TaxYear&amp;")"</f>
        <v>(2025)</v>
      </c>
      <c r="AC58" s="88"/>
      <c r="AD58" s="2052"/>
      <c r="AE58" s="88"/>
      <c r="AF58" s="6016" t="s">
        <v>6418</v>
      </c>
      <c r="AG58" s="2013"/>
    </row>
    <row r="59" spans="1:55" ht="15.75">
      <c r="A59" s="2013"/>
      <c r="B59" s="1931" t="str">
        <f>"Form 8949 ("&amp;TaxYear&amp;")"</f>
        <v>Form 8949 (2025)</v>
      </c>
      <c r="C59" s="2432"/>
      <c r="D59" s="2432"/>
      <c r="E59" s="2432"/>
      <c r="F59" s="2432"/>
      <c r="G59" s="2432"/>
      <c r="H59" s="2432"/>
      <c r="I59" s="2432"/>
      <c r="J59" s="2432"/>
      <c r="K59" s="2432"/>
      <c r="L59" s="2432"/>
      <c r="M59" s="2432"/>
      <c r="N59" s="2432"/>
      <c r="O59" s="2432"/>
      <c r="P59" s="2432"/>
      <c r="Q59" s="2432"/>
      <c r="R59" s="2432"/>
      <c r="S59" s="2432"/>
      <c r="T59" s="2432"/>
      <c r="U59" s="2432"/>
      <c r="V59" s="1931" t="s">
        <v>4482</v>
      </c>
      <c r="W59" s="2432"/>
      <c r="X59" s="2432"/>
      <c r="Y59" s="2432"/>
      <c r="Z59" s="2432"/>
      <c r="AA59" s="2432"/>
      <c r="AB59" s="2432"/>
      <c r="AC59" s="2432"/>
      <c r="AD59" s="2432"/>
      <c r="AE59" s="2432"/>
      <c r="AF59" s="5730" t="s">
        <v>867</v>
      </c>
      <c r="AG59" s="2013"/>
    </row>
    <row r="60" spans="1:55">
      <c r="A60" s="2013"/>
      <c r="B60" s="229" t="s">
        <v>4483</v>
      </c>
      <c r="C60" s="88"/>
      <c r="D60" s="88"/>
      <c r="E60" s="88"/>
      <c r="F60" s="88"/>
      <c r="G60" s="88"/>
      <c r="H60" s="88"/>
      <c r="I60" s="88"/>
      <c r="J60" s="88"/>
      <c r="K60" s="88"/>
      <c r="L60" s="88"/>
      <c r="M60" s="88"/>
      <c r="N60" s="88"/>
      <c r="O60" s="88"/>
      <c r="P60" s="88"/>
      <c r="Q60" s="88"/>
      <c r="R60" s="88"/>
      <c r="S60" s="88"/>
      <c r="T60" s="88"/>
      <c r="U60" s="88"/>
      <c r="V60" s="6006" t="s">
        <v>4458</v>
      </c>
      <c r="W60" s="88"/>
      <c r="X60" s="88"/>
      <c r="Y60" s="88"/>
      <c r="Z60" s="2666"/>
      <c r="AA60" s="88"/>
      <c r="AB60" s="88"/>
      <c r="AC60" s="88"/>
      <c r="AD60" s="88"/>
      <c r="AE60" s="88"/>
      <c r="AF60" s="88"/>
      <c r="AG60" s="2013"/>
    </row>
    <row r="61" spans="1:55" ht="16.5" thickBot="1">
      <c r="A61" s="2013"/>
      <c r="B61" s="11436" t="str">
        <f>Names</f>
        <v/>
      </c>
      <c r="C61" s="11437"/>
      <c r="D61" s="11437"/>
      <c r="E61" s="11437"/>
      <c r="F61" s="11437"/>
      <c r="G61" s="11437"/>
      <c r="H61" s="11437"/>
      <c r="I61" s="11437"/>
      <c r="J61" s="11437"/>
      <c r="K61" s="11437"/>
      <c r="L61" s="11437"/>
      <c r="M61" s="11437"/>
      <c r="N61" s="11437"/>
      <c r="O61" s="11437"/>
      <c r="P61" s="11437"/>
      <c r="Q61" s="11437"/>
      <c r="R61" s="11437"/>
      <c r="S61" s="11437"/>
      <c r="T61" s="11437"/>
      <c r="U61" s="11438"/>
      <c r="V61" s="11439">
        <f>IF(NoSSN,"",SS_Yours)</f>
        <v>1010001</v>
      </c>
      <c r="W61" s="11440"/>
      <c r="X61" s="11440"/>
      <c r="Y61" s="11440"/>
      <c r="Z61" s="11440"/>
      <c r="AA61" s="11440"/>
      <c r="AB61" s="11440"/>
      <c r="AC61" s="11440"/>
      <c r="AD61" s="11440"/>
      <c r="AE61" s="11440"/>
      <c r="AF61" s="11440"/>
      <c r="AG61" s="2013"/>
    </row>
    <row r="62" spans="1:55" ht="12.75" customHeight="1">
      <c r="A62" s="2013"/>
      <c r="B62" s="11443" t="s">
        <v>6410</v>
      </c>
      <c r="C62" s="11444"/>
      <c r="D62" s="11444"/>
      <c r="E62" s="11444"/>
      <c r="F62" s="11444"/>
      <c r="G62" s="11444"/>
      <c r="H62" s="11444"/>
      <c r="I62" s="11444"/>
      <c r="J62" s="11444"/>
      <c r="K62" s="11444"/>
      <c r="L62" s="11444"/>
      <c r="M62" s="11444"/>
      <c r="N62" s="11444"/>
      <c r="O62" s="11444"/>
      <c r="P62" s="11444"/>
      <c r="Q62" s="11444"/>
      <c r="R62" s="11444"/>
      <c r="S62" s="11444"/>
      <c r="T62" s="11444"/>
      <c r="U62" s="11444"/>
      <c r="V62" s="11444"/>
      <c r="W62" s="11444"/>
      <c r="X62" s="11444"/>
      <c r="Y62" s="11444"/>
      <c r="Z62" s="11444"/>
      <c r="AA62" s="11444"/>
      <c r="AB62" s="11444"/>
      <c r="AC62" s="11444"/>
      <c r="AD62" s="11444"/>
      <c r="AE62" s="11444"/>
      <c r="AF62" s="11444"/>
      <c r="AG62" s="2013"/>
    </row>
    <row r="63" spans="1:55" ht="12.75" customHeight="1">
      <c r="A63" s="2013"/>
      <c r="B63" s="9174"/>
      <c r="C63" s="9174"/>
      <c r="D63" s="9174"/>
      <c r="E63" s="9174"/>
      <c r="F63" s="9174"/>
      <c r="G63" s="9174"/>
      <c r="H63" s="9174"/>
      <c r="I63" s="9174"/>
      <c r="J63" s="9174"/>
      <c r="K63" s="9174"/>
      <c r="L63" s="9174"/>
      <c r="M63" s="9174"/>
      <c r="N63" s="9174"/>
      <c r="O63" s="9174"/>
      <c r="P63" s="9174"/>
      <c r="Q63" s="9174"/>
      <c r="R63" s="9174"/>
      <c r="S63" s="9174"/>
      <c r="T63" s="9174"/>
      <c r="U63" s="9174"/>
      <c r="V63" s="9174"/>
      <c r="W63" s="9174"/>
      <c r="X63" s="9174"/>
      <c r="Y63" s="9174"/>
      <c r="Z63" s="9174"/>
      <c r="AA63" s="9174"/>
      <c r="AB63" s="9174"/>
      <c r="AC63" s="9174"/>
      <c r="AD63" s="9174"/>
      <c r="AE63" s="9174"/>
      <c r="AF63" s="9174"/>
      <c r="AG63" s="2013"/>
    </row>
    <row r="64" spans="1:55" ht="12.75" customHeight="1">
      <c r="A64" s="2013"/>
      <c r="B64" s="9004"/>
      <c r="C64" s="9004"/>
      <c r="D64" s="9004"/>
      <c r="E64" s="9004"/>
      <c r="F64" s="9004"/>
      <c r="G64" s="9004"/>
      <c r="H64" s="9004"/>
      <c r="I64" s="9004"/>
      <c r="J64" s="9004"/>
      <c r="K64" s="9004"/>
      <c r="L64" s="9004"/>
      <c r="M64" s="9004"/>
      <c r="N64" s="9004"/>
      <c r="O64" s="9004"/>
      <c r="P64" s="9004"/>
      <c r="Q64" s="9004"/>
      <c r="R64" s="9004"/>
      <c r="S64" s="9004"/>
      <c r="T64" s="9004"/>
      <c r="U64" s="9004"/>
      <c r="V64" s="9004"/>
      <c r="W64" s="9004"/>
      <c r="X64" s="9004"/>
      <c r="Y64" s="9004"/>
      <c r="Z64" s="9004"/>
      <c r="AA64" s="9004"/>
      <c r="AB64" s="9004"/>
      <c r="AC64" s="9004"/>
      <c r="AD64" s="9004"/>
      <c r="AE64" s="9004"/>
      <c r="AF64" s="9004"/>
      <c r="AG64" s="2013"/>
    </row>
    <row r="65" spans="1:55" ht="3.75" customHeight="1">
      <c r="A65" s="2013"/>
      <c r="B65" s="88"/>
      <c r="C65" s="88"/>
      <c r="D65" s="88"/>
      <c r="E65" s="88"/>
      <c r="F65" s="88"/>
      <c r="G65" s="88"/>
      <c r="H65" s="88"/>
      <c r="I65" s="88"/>
      <c r="J65" s="88"/>
      <c r="K65" s="88"/>
      <c r="L65" s="88"/>
      <c r="M65" s="88"/>
      <c r="N65" s="88"/>
      <c r="O65" s="88"/>
      <c r="P65" s="88"/>
      <c r="Q65" s="88"/>
      <c r="R65" s="88"/>
      <c r="S65" s="88"/>
      <c r="T65" s="88"/>
      <c r="U65" s="88"/>
      <c r="V65" s="88"/>
      <c r="W65" s="88"/>
      <c r="X65" s="88"/>
      <c r="Y65" s="88"/>
      <c r="Z65" s="88"/>
      <c r="AA65" s="88"/>
      <c r="AB65" s="88"/>
      <c r="AC65" s="88"/>
      <c r="AD65" s="88"/>
      <c r="AE65" s="88"/>
      <c r="AF65" s="88"/>
      <c r="AG65" s="2013"/>
    </row>
    <row r="66" spans="1:55" ht="15">
      <c r="A66" s="2013"/>
      <c r="B66" s="11435" t="s">
        <v>868</v>
      </c>
      <c r="C66" s="9782"/>
      <c r="D66" s="88"/>
      <c r="E66" s="3414" t="s">
        <v>5432</v>
      </c>
      <c r="F66" s="1836"/>
      <c r="G66" s="1836"/>
      <c r="H66" s="1836"/>
      <c r="I66" s="1836" t="s">
        <v>5433</v>
      </c>
      <c r="J66" s="1836"/>
      <c r="K66" s="1836"/>
      <c r="L66" s="1836"/>
      <c r="M66" s="1836"/>
      <c r="N66" s="1836"/>
      <c r="O66" s="1836"/>
      <c r="P66" s="3414"/>
      <c r="Q66" s="1836"/>
      <c r="R66" s="1836"/>
      <c r="S66" s="1836"/>
      <c r="T66" s="1836"/>
      <c r="U66" s="1836"/>
      <c r="V66" s="1836"/>
      <c r="W66" s="1836"/>
      <c r="X66" s="1836"/>
      <c r="Y66" s="1836"/>
      <c r="Z66" s="1836"/>
      <c r="AA66" s="1836"/>
      <c r="AB66" s="1836"/>
      <c r="AC66" s="1836"/>
      <c r="AD66" s="1836"/>
      <c r="AE66" s="1836"/>
      <c r="AF66" s="1836"/>
      <c r="AG66" s="2013" t="b">
        <f>IF(SUM(AG91:AG101)&gt;0,TRUE,FALSE)</f>
        <v>0</v>
      </c>
    </row>
    <row r="67" spans="1:55" ht="12.75" customHeight="1">
      <c r="A67" s="2013"/>
      <c r="B67" s="88"/>
      <c r="C67" s="88"/>
      <c r="D67" s="88"/>
      <c r="E67" s="1836" t="s">
        <v>4484</v>
      </c>
      <c r="F67" s="1836"/>
      <c r="G67" s="1836"/>
      <c r="H67" s="1836"/>
      <c r="I67" s="1836"/>
      <c r="J67" s="1836"/>
      <c r="K67" s="1836"/>
      <c r="L67" s="1836"/>
      <c r="M67" s="1836"/>
      <c r="N67" s="1836"/>
      <c r="O67" s="1836"/>
      <c r="P67" s="1836"/>
      <c r="Q67" s="1836"/>
      <c r="R67" s="1836"/>
      <c r="S67" s="1836"/>
      <c r="T67" s="1836"/>
      <c r="U67" s="1836"/>
      <c r="V67" s="1836"/>
      <c r="W67" s="1836"/>
      <c r="X67" s="1836"/>
      <c r="Y67" s="1836"/>
      <c r="Z67" s="1836"/>
      <c r="AA67" s="1836"/>
      <c r="AB67" s="1836"/>
      <c r="AC67" s="1836"/>
      <c r="AD67" s="1836"/>
      <c r="AE67" s="1836"/>
      <c r="AF67" s="1836"/>
      <c r="AG67" s="2013"/>
    </row>
    <row r="68" spans="1:55" ht="13.5" customHeight="1">
      <c r="A68" s="2013"/>
      <c r="B68" s="88"/>
      <c r="C68" s="88"/>
      <c r="D68" s="88"/>
      <c r="E68" s="3440" t="s">
        <v>6411</v>
      </c>
      <c r="F68" s="88"/>
      <c r="G68" s="88"/>
      <c r="H68" s="88"/>
      <c r="I68" s="88"/>
      <c r="J68" s="88"/>
      <c r="K68" s="88"/>
      <c r="L68" s="88"/>
      <c r="M68" s="88"/>
      <c r="N68" s="88"/>
      <c r="O68" s="88"/>
      <c r="P68" s="88"/>
      <c r="Q68" s="88"/>
      <c r="R68" s="88"/>
      <c r="S68" s="88"/>
      <c r="T68" s="1836"/>
      <c r="U68" s="88"/>
      <c r="V68" s="88"/>
      <c r="W68" s="88"/>
      <c r="X68" s="1560"/>
      <c r="Y68" s="88"/>
      <c r="Z68" s="88"/>
      <c r="AA68" s="88"/>
      <c r="AB68" s="88"/>
      <c r="AC68" s="88"/>
      <c r="AD68" s="88"/>
      <c r="AE68" s="88"/>
      <c r="AF68" s="88"/>
      <c r="AG68" s="2013"/>
      <c r="AS68" s="506"/>
      <c r="AT68" s="506"/>
      <c r="AU68" s="506"/>
      <c r="AV68" s="506"/>
      <c r="AW68" s="506"/>
      <c r="AX68" s="506"/>
      <c r="AY68" s="506"/>
      <c r="AZ68" s="506"/>
      <c r="BA68" s="506"/>
      <c r="BB68" s="506"/>
      <c r="BC68" s="506"/>
    </row>
    <row r="69" spans="1:55" ht="13.5" customHeight="1">
      <c r="A69" s="2013"/>
      <c r="B69" s="88"/>
      <c r="C69" s="88"/>
      <c r="D69" s="88"/>
      <c r="E69" s="1836" t="s">
        <v>6408</v>
      </c>
      <c r="F69" s="88"/>
      <c r="G69" s="88"/>
      <c r="H69" s="88"/>
      <c r="I69" s="88"/>
      <c r="J69" s="88"/>
      <c r="K69" s="88"/>
      <c r="L69" s="88"/>
      <c r="M69" s="88"/>
      <c r="N69" s="88"/>
      <c r="O69" s="88"/>
      <c r="P69" s="88"/>
      <c r="Q69" s="88"/>
      <c r="R69" s="88"/>
      <c r="S69" s="88"/>
      <c r="T69" s="1836"/>
      <c r="U69" s="88"/>
      <c r="V69" s="88"/>
      <c r="W69" s="88"/>
      <c r="X69" s="1560"/>
      <c r="Y69" s="88"/>
      <c r="Z69" s="88"/>
      <c r="AA69" s="88"/>
      <c r="AB69" s="88"/>
      <c r="AC69" s="88"/>
      <c r="AD69" s="88"/>
      <c r="AE69" s="88"/>
      <c r="AF69" s="88"/>
      <c r="AG69" s="2013"/>
      <c r="AS69" s="506"/>
      <c r="AT69" s="506"/>
      <c r="AU69" s="506"/>
      <c r="AV69" s="506"/>
      <c r="AW69" s="506"/>
      <c r="AX69" s="506"/>
      <c r="AY69" s="506"/>
      <c r="AZ69" s="506"/>
      <c r="BA69" s="506"/>
      <c r="BB69" s="506"/>
      <c r="BC69" s="506"/>
    </row>
    <row r="70" spans="1:55" ht="13.5" customHeight="1">
      <c r="A70" s="2013"/>
      <c r="B70" s="2432"/>
      <c r="C70" s="2432"/>
      <c r="D70" s="2432"/>
      <c r="E70" s="6008" t="s">
        <v>6412</v>
      </c>
      <c r="F70" s="2432"/>
      <c r="G70" s="2432"/>
      <c r="H70" s="2432"/>
      <c r="I70" s="2432"/>
      <c r="J70" s="2432"/>
      <c r="K70" s="2432"/>
      <c r="L70" s="2432"/>
      <c r="M70" s="2432"/>
      <c r="N70" s="2432"/>
      <c r="O70" s="2432"/>
      <c r="P70" s="2432"/>
      <c r="Q70" s="2432"/>
      <c r="R70" s="2432"/>
      <c r="S70" s="2432"/>
      <c r="T70" s="2432"/>
      <c r="U70" s="2432"/>
      <c r="V70" s="2432"/>
      <c r="W70" s="2432"/>
      <c r="X70" s="2432"/>
      <c r="Y70" s="2432"/>
      <c r="Z70" s="2432"/>
      <c r="AA70" s="2432"/>
      <c r="AB70" s="2432"/>
      <c r="AC70" s="2432"/>
      <c r="AD70" s="2432"/>
      <c r="AE70" s="2432"/>
      <c r="AF70" s="2432"/>
      <c r="AG70" s="2013"/>
      <c r="AS70" s="506"/>
      <c r="AT70" s="506"/>
      <c r="AU70" s="506"/>
      <c r="AV70" s="506"/>
      <c r="AW70" s="506"/>
      <c r="AX70" s="506"/>
      <c r="AY70" s="506"/>
      <c r="AZ70" s="506"/>
      <c r="BA70" s="506"/>
      <c r="BB70" s="506"/>
      <c r="BC70" s="506"/>
    </row>
    <row r="71" spans="1:55" ht="14.25">
      <c r="A71" s="2013"/>
      <c r="B71" s="226" t="s">
        <v>6413</v>
      </c>
      <c r="C71" s="247"/>
      <c r="D71" s="247"/>
      <c r="E71" s="247"/>
      <c r="F71" s="247"/>
      <c r="G71" s="247"/>
      <c r="H71" s="247"/>
      <c r="I71" s="247"/>
      <c r="J71" s="247"/>
      <c r="K71" s="1183"/>
      <c r="L71" s="247"/>
      <c r="M71" s="226" t="s">
        <v>4460</v>
      </c>
      <c r="N71" s="226"/>
      <c r="O71" s="247"/>
      <c r="P71" s="1560"/>
      <c r="Q71" s="247"/>
      <c r="R71" s="247"/>
      <c r="S71" s="247"/>
      <c r="T71" s="1836"/>
      <c r="U71" s="247"/>
      <c r="V71" s="247"/>
      <c r="W71" s="247"/>
      <c r="X71" s="247"/>
      <c r="Y71" s="247"/>
      <c r="Z71" s="247"/>
      <c r="AA71" s="247"/>
      <c r="AB71" s="247"/>
      <c r="AC71" s="247"/>
      <c r="AD71" s="247"/>
      <c r="AE71" s="247"/>
      <c r="AF71" s="6503" t="s">
        <v>5912</v>
      </c>
      <c r="AG71" s="2013"/>
    </row>
    <row r="72" spans="1:55">
      <c r="A72" s="2013"/>
      <c r="B72" s="1560" t="s">
        <v>5911</v>
      </c>
      <c r="C72" s="247"/>
      <c r="D72" s="247"/>
      <c r="E72" s="247"/>
      <c r="F72" s="247"/>
      <c r="G72" s="247"/>
      <c r="H72" s="247"/>
      <c r="I72" s="247"/>
      <c r="J72" s="247"/>
      <c r="K72" s="247"/>
      <c r="L72" s="247"/>
      <c r="M72" s="247"/>
      <c r="N72" s="247"/>
      <c r="O72" s="247"/>
      <c r="P72" s="247"/>
      <c r="Q72" s="247"/>
      <c r="R72" s="247"/>
      <c r="S72" s="247"/>
      <c r="T72" s="247"/>
      <c r="U72" s="247"/>
      <c r="V72" s="247"/>
      <c r="W72" s="247"/>
      <c r="X72" s="247"/>
      <c r="Y72" s="247"/>
      <c r="Z72" s="247"/>
      <c r="AA72" s="247"/>
      <c r="AB72" s="247"/>
      <c r="AC72" s="247"/>
      <c r="AD72" s="247"/>
      <c r="AE72" s="247"/>
      <c r="AF72" s="247"/>
      <c r="AG72" s="2013"/>
      <c r="BA72" s="11475" t="s">
        <v>4463</v>
      </c>
      <c r="BB72" s="8489"/>
      <c r="BC72" s="8469"/>
    </row>
    <row r="73" spans="1:55" ht="12.75" customHeight="1">
      <c r="A73" s="2013"/>
      <c r="B73" s="1560" t="str">
        <f>IF(SpaceUsed_8949A_LT,"ERROR: DO NOT use the space bar to uncheck a box. Use the 'Delete' key.","one or more of the boxes, complete as many forms with the same box checked as you need.")</f>
        <v>one or more of the boxes, complete as many forms with the same box checked as you need.</v>
      </c>
      <c r="C73" s="247"/>
      <c r="D73" s="247"/>
      <c r="E73" s="247"/>
      <c r="F73" s="247"/>
      <c r="G73" s="247"/>
      <c r="H73" s="247"/>
      <c r="I73" s="247"/>
      <c r="J73" s="247"/>
      <c r="K73" s="247"/>
      <c r="L73" s="247"/>
      <c r="M73" s="247"/>
      <c r="N73" s="247"/>
      <c r="O73" s="247"/>
      <c r="P73" s="247"/>
      <c r="Q73" s="247"/>
      <c r="R73" s="247"/>
      <c r="S73" s="247"/>
      <c r="T73" s="247"/>
      <c r="U73" s="247"/>
      <c r="V73" s="247"/>
      <c r="W73" s="247"/>
      <c r="X73" s="247"/>
      <c r="Y73" s="247"/>
      <c r="Z73" s="247"/>
      <c r="AA73" s="247"/>
      <c r="AB73" s="247"/>
      <c r="AC73" s="247"/>
      <c r="AD73" s="247"/>
      <c r="AE73" s="247"/>
      <c r="AF73" s="247"/>
      <c r="AG73" s="2013"/>
      <c r="AJ73" s="3809"/>
      <c r="AK73" s="3809"/>
      <c r="AL73" s="3809"/>
      <c r="AM73" s="3809"/>
      <c r="AN73" s="3809"/>
      <c r="AO73" s="3809"/>
      <c r="AP73" s="3809"/>
      <c r="AQ73" s="3809"/>
      <c r="BA73" s="11476" t="s">
        <v>4464</v>
      </c>
      <c r="BB73" s="11476" t="s">
        <v>4465</v>
      </c>
      <c r="BC73" s="11476" t="s">
        <v>4466</v>
      </c>
    </row>
    <row r="74" spans="1:55" ht="4.5" customHeight="1" thickBot="1">
      <c r="A74" s="2013"/>
      <c r="B74" s="247"/>
      <c r="C74" s="247"/>
      <c r="D74" s="247"/>
      <c r="E74" s="247"/>
      <c r="F74" s="247"/>
      <c r="G74" s="247"/>
      <c r="H74" s="247"/>
      <c r="I74" s="247"/>
      <c r="J74" s="247"/>
      <c r="K74" s="247"/>
      <c r="L74" s="247"/>
      <c r="M74" s="247"/>
      <c r="N74" s="247"/>
      <c r="O74" s="247"/>
      <c r="P74" s="247"/>
      <c r="Q74" s="247"/>
      <c r="R74" s="247"/>
      <c r="S74" s="247"/>
      <c r="T74" s="247"/>
      <c r="U74" s="247"/>
      <c r="V74" s="247"/>
      <c r="W74" s="247"/>
      <c r="X74" s="247"/>
      <c r="Y74" s="247"/>
      <c r="Z74" s="247"/>
      <c r="AA74" s="247"/>
      <c r="AB74" s="247"/>
      <c r="AC74" s="247"/>
      <c r="AD74" s="247"/>
      <c r="AE74" s="247"/>
      <c r="AF74" s="247"/>
      <c r="AG74" s="2013"/>
      <c r="BA74" s="11477"/>
      <c r="BB74" s="11477"/>
      <c r="BC74" s="11477"/>
    </row>
    <row r="75" spans="1:55" ht="12" customHeight="1" thickBot="1">
      <c r="A75" s="2013"/>
      <c r="B75" s="1039">
        <f>IF(C75&lt;&gt;"",1,0)</f>
        <v>0</v>
      </c>
      <c r="C75" s="300"/>
      <c r="D75" s="3440" t="s">
        <v>5898</v>
      </c>
      <c r="E75" s="247"/>
      <c r="F75" s="247"/>
      <c r="G75" s="247"/>
      <c r="H75" s="247"/>
      <c r="I75" s="247"/>
      <c r="J75" s="247"/>
      <c r="K75" s="247"/>
      <c r="L75" s="247"/>
      <c r="M75" s="247"/>
      <c r="N75" s="247"/>
      <c r="O75" s="247"/>
      <c r="P75" s="247"/>
      <c r="Q75" s="247"/>
      <c r="R75" s="247"/>
      <c r="S75" s="247"/>
      <c r="T75" s="247"/>
      <c r="U75" s="247"/>
      <c r="V75" s="247"/>
      <c r="W75" s="247"/>
      <c r="X75" s="247"/>
      <c r="Y75" s="247"/>
      <c r="Z75" s="247"/>
      <c r="AA75" s="247"/>
      <c r="AB75" s="247"/>
      <c r="AC75" s="247"/>
      <c r="AD75" s="247"/>
      <c r="AE75" s="247"/>
      <c r="AF75" s="247"/>
      <c r="AG75" s="2013"/>
      <c r="AJ75" s="11381"/>
      <c r="AK75" s="11381"/>
      <c r="AL75" s="11381"/>
      <c r="AM75" s="11381"/>
      <c r="AN75" s="11381"/>
      <c r="AO75" s="11381"/>
      <c r="AP75" s="11381"/>
      <c r="AQ75" s="11381"/>
      <c r="BA75" s="11477"/>
      <c r="BB75" s="11477"/>
      <c r="BC75" s="11477"/>
    </row>
    <row r="76" spans="1:55" ht="4.5" customHeight="1" thickBot="1">
      <c r="A76" s="2013"/>
      <c r="B76" s="6017"/>
      <c r="C76" s="247"/>
      <c r="D76" s="1836"/>
      <c r="E76" s="247"/>
      <c r="F76" s="247"/>
      <c r="G76" s="247"/>
      <c r="H76" s="247"/>
      <c r="I76" s="247"/>
      <c r="J76" s="247"/>
      <c r="K76" s="247"/>
      <c r="L76" s="247"/>
      <c r="M76" s="247"/>
      <c r="N76" s="247"/>
      <c r="O76" s="247"/>
      <c r="P76" s="247"/>
      <c r="Q76" s="247"/>
      <c r="R76" s="247"/>
      <c r="S76" s="247"/>
      <c r="T76" s="247"/>
      <c r="U76" s="247"/>
      <c r="V76" s="247"/>
      <c r="W76" s="247"/>
      <c r="X76" s="247"/>
      <c r="Y76" s="247"/>
      <c r="Z76" s="247"/>
      <c r="AA76" s="247"/>
      <c r="AB76" s="247"/>
      <c r="AC76" s="247"/>
      <c r="AD76" s="247"/>
      <c r="AE76" s="247"/>
      <c r="AF76" s="247"/>
      <c r="AG76" s="2013"/>
      <c r="BA76" s="11477"/>
      <c r="BB76" s="11477"/>
      <c r="BC76" s="11477"/>
    </row>
    <row r="77" spans="1:55" ht="11.25" customHeight="1" thickBot="1">
      <c r="A77" s="2013"/>
      <c r="B77" s="1039">
        <f>IF(C77&lt;&gt;"",1,0)</f>
        <v>0</v>
      </c>
      <c r="C77" s="300"/>
      <c r="D77" s="3440" t="s">
        <v>5899</v>
      </c>
      <c r="E77" s="247"/>
      <c r="F77" s="247"/>
      <c r="G77" s="247"/>
      <c r="H77" s="247"/>
      <c r="I77" s="247"/>
      <c r="J77" s="247"/>
      <c r="K77" s="247"/>
      <c r="L77" s="247"/>
      <c r="M77" s="247"/>
      <c r="N77" s="247"/>
      <c r="O77" s="247"/>
      <c r="P77" s="247"/>
      <c r="Q77" s="504"/>
      <c r="R77" s="504"/>
      <c r="S77" s="504"/>
      <c r="T77" s="504"/>
      <c r="U77" s="504"/>
      <c r="V77" s="504"/>
      <c r="W77" s="504"/>
      <c r="X77" s="504"/>
      <c r="Y77" s="504"/>
      <c r="Z77" s="504"/>
      <c r="AA77" s="504"/>
      <c r="AB77" s="504"/>
      <c r="AC77" s="504"/>
      <c r="AD77" s="504"/>
      <c r="AE77" s="247"/>
      <c r="AF77" s="247"/>
      <c r="AG77" s="2013"/>
      <c r="AJ77" s="11381"/>
      <c r="AK77" s="11381"/>
      <c r="AL77" s="11381"/>
      <c r="AM77" s="11381"/>
      <c r="AN77" s="11381"/>
      <c r="AO77" s="11381"/>
      <c r="AP77" s="11381"/>
      <c r="AQ77" s="11381"/>
      <c r="BA77" s="11477"/>
      <c r="BB77" s="11477"/>
      <c r="BC77" s="11477"/>
    </row>
    <row r="78" spans="1:55" ht="4.5" customHeight="1" thickBot="1">
      <c r="A78" s="2013"/>
      <c r="B78" s="6017"/>
      <c r="C78" s="247"/>
      <c r="D78" s="1836"/>
      <c r="E78" s="247"/>
      <c r="F78" s="247"/>
      <c r="G78" s="247"/>
      <c r="H78" s="247"/>
      <c r="I78" s="247"/>
      <c r="J78" s="247"/>
      <c r="K78" s="247"/>
      <c r="L78" s="247"/>
      <c r="M78" s="247"/>
      <c r="N78" s="247"/>
      <c r="O78" s="247"/>
      <c r="P78" s="247"/>
      <c r="Q78" s="504"/>
      <c r="R78" s="504"/>
      <c r="S78" s="504"/>
      <c r="T78" s="504"/>
      <c r="U78" s="504"/>
      <c r="V78" s="504"/>
      <c r="W78" s="504"/>
      <c r="X78" s="504"/>
      <c r="Y78" s="504"/>
      <c r="Z78" s="504"/>
      <c r="AA78" s="504"/>
      <c r="AB78" s="504"/>
      <c r="AC78" s="504"/>
      <c r="AD78" s="504"/>
      <c r="AE78" s="247"/>
      <c r="AF78" s="247"/>
      <c r="AG78" s="2013"/>
      <c r="BA78" s="11477"/>
      <c r="BB78" s="11477"/>
      <c r="BC78" s="11477"/>
    </row>
    <row r="79" spans="1:55" ht="12" customHeight="1" thickBot="1">
      <c r="A79" s="2013">
        <f>SUM(B75:B79)</f>
        <v>0</v>
      </c>
      <c r="B79" s="1039">
        <f>IF(C79&lt;&gt;"",1,0)</f>
        <v>0</v>
      </c>
      <c r="C79" s="300"/>
      <c r="D79" s="3440" t="s">
        <v>5900</v>
      </c>
      <c r="E79" s="247"/>
      <c r="F79" s="247"/>
      <c r="G79" s="247"/>
      <c r="H79" s="247"/>
      <c r="I79" s="247"/>
      <c r="J79" s="247"/>
      <c r="K79" s="247"/>
      <c r="L79" s="247"/>
      <c r="M79" s="247"/>
      <c r="N79" s="247"/>
      <c r="O79" s="247"/>
      <c r="P79" s="247"/>
      <c r="Q79" s="6018"/>
      <c r="R79" s="6019"/>
      <c r="S79" s="3823"/>
      <c r="T79" s="3823"/>
      <c r="U79" s="3823"/>
      <c r="V79" s="3823"/>
      <c r="W79" s="3823"/>
      <c r="X79" s="3823"/>
      <c r="Y79" s="3823"/>
      <c r="Z79" s="3823"/>
      <c r="AA79" s="3823"/>
      <c r="AB79" s="3823"/>
      <c r="AC79" s="3823"/>
      <c r="AD79" s="3823"/>
      <c r="AE79" s="3823"/>
      <c r="AF79" s="247"/>
      <c r="AG79" s="2013"/>
      <c r="AH79" s="318" t="b">
        <f>OR(F8949BLBOXD=CHAR(32),F8949BLBOXE=CHAR(32),F8949BLBOXF=CHAR(32),F8949BLBOXJ=CHAR(32),F8949BLBOXK=CHAR(32),F8949BLBOXL=CHAR(32))</f>
        <v>0</v>
      </c>
      <c r="AJ79" s="3809"/>
      <c r="AK79" s="3809"/>
      <c r="AL79" s="3809"/>
      <c r="AM79" s="3809"/>
      <c r="AN79" s="3809"/>
      <c r="AO79" s="3809"/>
      <c r="AP79" s="3809"/>
      <c r="AQ79" s="3809"/>
      <c r="BA79" s="11477"/>
      <c r="BB79" s="11477"/>
      <c r="BC79" s="11477"/>
    </row>
    <row r="80" spans="1:55" ht="4.5" customHeight="1" thickBot="1">
      <c r="A80" s="2013"/>
      <c r="B80" s="247"/>
      <c r="C80" s="247"/>
      <c r="D80" s="1836"/>
      <c r="E80" s="247"/>
      <c r="F80" s="247"/>
      <c r="G80" s="247"/>
      <c r="H80" s="247"/>
      <c r="I80" s="247"/>
      <c r="J80" s="247"/>
      <c r="K80" s="247"/>
      <c r="L80" s="247"/>
      <c r="M80" s="247"/>
      <c r="N80" s="247"/>
      <c r="O80" s="247"/>
      <c r="P80" s="247"/>
      <c r="Q80" s="247"/>
      <c r="R80" s="247"/>
      <c r="S80" s="247"/>
      <c r="T80" s="247"/>
      <c r="U80" s="247"/>
      <c r="V80" s="247"/>
      <c r="W80" s="247"/>
      <c r="X80" s="247"/>
      <c r="Y80" s="247"/>
      <c r="Z80" s="247"/>
      <c r="AA80" s="247"/>
      <c r="AB80" s="247"/>
      <c r="AC80" s="247"/>
      <c r="AD80" s="247"/>
      <c r="AE80" s="247"/>
      <c r="AF80" s="247"/>
      <c r="AG80" s="2013"/>
      <c r="BA80" s="11477"/>
      <c r="BB80" s="11477"/>
      <c r="BC80" s="11477"/>
    </row>
    <row r="81" spans="1:55" ht="12" customHeight="1" thickBot="1">
      <c r="A81" s="2013"/>
      <c r="B81" s="1039">
        <f>IF(C81&lt;&gt;"",1,0)</f>
        <v>0</v>
      </c>
      <c r="C81" s="300"/>
      <c r="D81" s="3440" t="s">
        <v>5901</v>
      </c>
      <c r="E81" s="247"/>
      <c r="F81" s="247"/>
      <c r="G81" s="247"/>
      <c r="H81" s="247"/>
      <c r="I81" s="247"/>
      <c r="J81" s="247"/>
      <c r="K81" s="247"/>
      <c r="L81" s="247"/>
      <c r="M81" s="247"/>
      <c r="N81" s="247"/>
      <c r="O81" s="247"/>
      <c r="P81" s="247"/>
      <c r="Q81" s="247"/>
      <c r="R81" s="247"/>
      <c r="S81" s="247"/>
      <c r="T81" s="247"/>
      <c r="U81" s="247"/>
      <c r="V81" s="247"/>
      <c r="W81" s="247"/>
      <c r="X81" s="247"/>
      <c r="Y81" s="247"/>
      <c r="Z81" s="247"/>
      <c r="AA81" s="247"/>
      <c r="AB81" s="247"/>
      <c r="AC81" s="247"/>
      <c r="AD81" s="247"/>
      <c r="AE81" s="247"/>
      <c r="AF81" s="247"/>
      <c r="AG81" s="2013"/>
      <c r="AJ81" s="11381"/>
      <c r="AK81" s="11381"/>
      <c r="AL81" s="11381"/>
      <c r="AM81" s="11381"/>
      <c r="AN81" s="11381"/>
      <c r="AO81" s="11381"/>
      <c r="AP81" s="11381"/>
      <c r="AQ81" s="11381"/>
      <c r="BA81" s="11477"/>
      <c r="BB81" s="11477"/>
      <c r="BC81" s="11477"/>
    </row>
    <row r="82" spans="1:55" ht="4.5" customHeight="1" thickBot="1">
      <c r="A82" s="2013"/>
      <c r="B82" s="6017"/>
      <c r="C82" s="247" t="s">
        <v>510</v>
      </c>
      <c r="D82" s="1836"/>
      <c r="E82" s="247"/>
      <c r="F82" s="247"/>
      <c r="G82" s="247"/>
      <c r="H82" s="247"/>
      <c r="I82" s="247"/>
      <c r="J82" s="247"/>
      <c r="K82" s="247"/>
      <c r="L82" s="247"/>
      <c r="M82" s="247"/>
      <c r="N82" s="247"/>
      <c r="O82" s="247"/>
      <c r="P82" s="247"/>
      <c r="Q82" s="247"/>
      <c r="R82" s="247"/>
      <c r="S82" s="247"/>
      <c r="T82" s="247"/>
      <c r="U82" s="247"/>
      <c r="V82" s="247"/>
      <c r="W82" s="247"/>
      <c r="X82" s="247"/>
      <c r="Y82" s="247"/>
      <c r="Z82" s="247"/>
      <c r="AA82" s="247"/>
      <c r="AB82" s="247"/>
      <c r="AC82" s="247"/>
      <c r="AD82" s="247"/>
      <c r="AE82" s="247"/>
      <c r="AF82" s="247"/>
      <c r="AG82" s="2013"/>
      <c r="BA82" s="11477"/>
      <c r="BB82" s="11477"/>
      <c r="BC82" s="11477"/>
    </row>
    <row r="83" spans="1:55" ht="11.25" customHeight="1" thickBot="1">
      <c r="A83" s="2013"/>
      <c r="B83" s="1039">
        <f>IF(C83&lt;&gt;"",1,0)</f>
        <v>0</v>
      </c>
      <c r="C83" s="300"/>
      <c r="D83" s="3440" t="s">
        <v>5902</v>
      </c>
      <c r="E83" s="247"/>
      <c r="F83" s="247"/>
      <c r="G83" s="247"/>
      <c r="H83" s="247"/>
      <c r="I83" s="247"/>
      <c r="J83" s="247"/>
      <c r="K83" s="247"/>
      <c r="L83" s="247"/>
      <c r="M83" s="247"/>
      <c r="N83" s="247"/>
      <c r="O83" s="247"/>
      <c r="P83" s="247"/>
      <c r="Q83" s="504"/>
      <c r="R83" s="504"/>
      <c r="S83" s="504"/>
      <c r="T83" s="504"/>
      <c r="U83" s="504"/>
      <c r="V83" s="504"/>
      <c r="W83" s="504"/>
      <c r="X83" s="504"/>
      <c r="Y83" s="504"/>
      <c r="Z83" s="504"/>
      <c r="AA83" s="504"/>
      <c r="AB83" s="504"/>
      <c r="AC83" s="504"/>
      <c r="AD83" s="504"/>
      <c r="AE83" s="247"/>
      <c r="AF83" s="247"/>
      <c r="AG83" s="2013"/>
      <c r="AJ83" s="11381"/>
      <c r="AK83" s="11381"/>
      <c r="AL83" s="11381"/>
      <c r="AM83" s="11381"/>
      <c r="AN83" s="11381"/>
      <c r="AO83" s="11381"/>
      <c r="AP83" s="11381"/>
      <c r="AQ83" s="11381"/>
      <c r="BA83" s="11477"/>
      <c r="BB83" s="11477"/>
      <c r="BC83" s="11477"/>
    </row>
    <row r="84" spans="1:55" ht="4.5" customHeight="1" thickBot="1">
      <c r="A84" s="2013"/>
      <c r="B84" s="6017"/>
      <c r="C84" s="247"/>
      <c r="D84" s="1836"/>
      <c r="E84" s="247"/>
      <c r="F84" s="247"/>
      <c r="G84" s="247"/>
      <c r="H84" s="247"/>
      <c r="I84" s="247"/>
      <c r="J84" s="247"/>
      <c r="K84" s="247"/>
      <c r="L84" s="247"/>
      <c r="M84" s="247"/>
      <c r="N84" s="247"/>
      <c r="O84" s="247"/>
      <c r="P84" s="247"/>
      <c r="Q84" s="504"/>
      <c r="R84" s="504"/>
      <c r="S84" s="504"/>
      <c r="T84" s="504"/>
      <c r="U84" s="504"/>
      <c r="V84" s="504"/>
      <c r="W84" s="504"/>
      <c r="X84" s="504"/>
      <c r="Y84" s="504"/>
      <c r="Z84" s="504"/>
      <c r="AA84" s="504"/>
      <c r="AB84" s="504"/>
      <c r="AC84" s="504"/>
      <c r="AD84" s="504"/>
      <c r="AE84" s="247"/>
      <c r="AF84" s="247"/>
      <c r="AG84" s="2013"/>
      <c r="BA84" s="11477"/>
      <c r="BB84" s="11477"/>
      <c r="BC84" s="11477"/>
    </row>
    <row r="85" spans="1:55" ht="12" customHeight="1" thickBot="1">
      <c r="A85" s="2013">
        <f>SUM(B75:B85)</f>
        <v>0</v>
      </c>
      <c r="B85" s="1039">
        <f>IF(C85&lt;&gt;"",1,0)</f>
        <v>0</v>
      </c>
      <c r="C85" s="300"/>
      <c r="D85" s="3440" t="s">
        <v>5903</v>
      </c>
      <c r="E85" s="247"/>
      <c r="F85" s="247"/>
      <c r="G85" s="247"/>
      <c r="H85" s="247"/>
      <c r="I85" s="247"/>
      <c r="J85" s="247"/>
      <c r="K85" s="247"/>
      <c r="L85" s="247"/>
      <c r="M85" s="247"/>
      <c r="N85" s="247"/>
      <c r="O85" s="247"/>
      <c r="P85" s="247"/>
      <c r="Q85" s="6018"/>
      <c r="R85" s="3823"/>
      <c r="S85" s="3823"/>
      <c r="T85" s="3823"/>
      <c r="U85" s="3823"/>
      <c r="V85" s="3823"/>
      <c r="W85" s="3823"/>
      <c r="X85" s="3823"/>
      <c r="Y85" s="3823"/>
      <c r="Z85" s="3823"/>
      <c r="AA85" s="3823"/>
      <c r="AB85" s="3823"/>
      <c r="AC85" s="3823"/>
      <c r="AD85" s="3823"/>
      <c r="AE85" s="3823"/>
      <c r="AF85" s="6020"/>
      <c r="AG85" s="2013"/>
      <c r="AH85" s="318"/>
      <c r="AJ85" s="11381" t="s">
        <v>4467</v>
      </c>
      <c r="AK85" s="11381"/>
      <c r="AL85" s="11381"/>
      <c r="AM85" s="11381"/>
      <c r="AN85" s="11381"/>
      <c r="AO85" s="11381"/>
      <c r="AP85" s="11381"/>
      <c r="AQ85" s="11381"/>
      <c r="BA85" s="11477"/>
      <c r="BB85" s="11477"/>
      <c r="BC85" s="11477"/>
    </row>
    <row r="86" spans="1:55" ht="5.25" customHeight="1">
      <c r="A86" s="2013"/>
      <c r="B86" s="6012"/>
      <c r="C86" s="6013"/>
      <c r="D86" s="6012"/>
      <c r="E86" s="6012"/>
      <c r="F86" s="6012"/>
      <c r="G86" s="6012"/>
      <c r="H86" s="6012"/>
      <c r="I86" s="6012"/>
      <c r="J86" s="6012"/>
      <c r="K86" s="6012"/>
      <c r="L86" s="6012"/>
      <c r="M86" s="6012"/>
      <c r="N86" s="6013"/>
      <c r="O86" s="6012"/>
      <c r="P86" s="6012"/>
      <c r="Q86" s="6012"/>
      <c r="R86" s="6012"/>
      <c r="S86" s="6012"/>
      <c r="T86" s="6012"/>
      <c r="U86" s="6012"/>
      <c r="V86" s="6012"/>
      <c r="W86" s="6012"/>
      <c r="X86" s="6012"/>
      <c r="Y86" s="6013"/>
      <c r="Z86" s="6012"/>
      <c r="AA86" s="6012"/>
      <c r="AB86" s="6012"/>
      <c r="AC86" s="6012"/>
      <c r="AD86" s="6012"/>
      <c r="AE86" s="6012"/>
      <c r="AF86" s="6012"/>
      <c r="AG86" s="2013"/>
      <c r="BA86" s="11477"/>
      <c r="BB86" s="11477"/>
      <c r="BC86" s="11477"/>
    </row>
    <row r="87" spans="1:55" ht="21" customHeight="1">
      <c r="A87" s="2013"/>
      <c r="B87" s="11424">
        <v>1</v>
      </c>
      <c r="C87" s="11428" t="s">
        <v>5894</v>
      </c>
      <c r="D87" s="11429"/>
      <c r="E87" s="11429"/>
      <c r="F87" s="11429"/>
      <c r="G87" s="11429"/>
      <c r="H87" s="11429"/>
      <c r="I87" s="11430"/>
      <c r="J87" s="7366" t="s">
        <v>5910</v>
      </c>
      <c r="K87" s="8481"/>
      <c r="L87" s="11396"/>
      <c r="M87" s="7366" t="s">
        <v>5895</v>
      </c>
      <c r="N87" s="8481"/>
      <c r="O87" s="8481"/>
      <c r="P87" s="11396"/>
      <c r="Q87" s="7366" t="s">
        <v>5896</v>
      </c>
      <c r="R87" s="8481"/>
      <c r="S87" s="8481"/>
      <c r="T87" s="11396"/>
      <c r="U87" s="11388" t="s">
        <v>5897</v>
      </c>
      <c r="V87" s="8460"/>
      <c r="W87" s="8460"/>
      <c r="X87" s="8323"/>
      <c r="Y87" s="11390" t="s">
        <v>4469</v>
      </c>
      <c r="Z87" s="11391"/>
      <c r="AA87" s="11391"/>
      <c r="AB87" s="11392"/>
      <c r="AC87" s="11388" t="s">
        <v>4485</v>
      </c>
      <c r="AD87" s="8460"/>
      <c r="AE87" s="8460"/>
      <c r="AF87" s="8460"/>
      <c r="AG87" s="2013"/>
      <c r="AJ87" s="11461" t="s">
        <v>4470</v>
      </c>
      <c r="AK87" s="11461" t="s">
        <v>4471</v>
      </c>
      <c r="AL87" s="11461" t="s">
        <v>4472</v>
      </c>
      <c r="AM87" s="11461" t="s">
        <v>4473</v>
      </c>
      <c r="AN87" s="11462" t="s">
        <v>4474</v>
      </c>
      <c r="AO87" s="11479" t="s">
        <v>4475</v>
      </c>
      <c r="AP87" s="8339"/>
      <c r="AQ87" s="11461" t="s">
        <v>4485</v>
      </c>
      <c r="BA87" s="11477"/>
      <c r="BB87" s="11477"/>
      <c r="BC87" s="11477"/>
    </row>
    <row r="88" spans="1:55" ht="21" customHeight="1">
      <c r="A88" s="2013"/>
      <c r="B88" s="11425"/>
      <c r="C88" s="7369"/>
      <c r="D88" s="11431"/>
      <c r="E88" s="11431"/>
      <c r="F88" s="11431"/>
      <c r="G88" s="11431"/>
      <c r="H88" s="11431"/>
      <c r="I88" s="11432"/>
      <c r="J88" s="7368"/>
      <c r="K88" s="8299"/>
      <c r="L88" s="11397"/>
      <c r="M88" s="7368"/>
      <c r="N88" s="8299"/>
      <c r="O88" s="8299"/>
      <c r="P88" s="11397"/>
      <c r="Q88" s="7368"/>
      <c r="R88" s="8299"/>
      <c r="S88" s="8299"/>
      <c r="T88" s="11397"/>
      <c r="U88" s="11389"/>
      <c r="V88" s="9500"/>
      <c r="W88" s="9500"/>
      <c r="X88" s="8325"/>
      <c r="Y88" s="11393"/>
      <c r="Z88" s="11394"/>
      <c r="AA88" s="11394"/>
      <c r="AB88" s="11395"/>
      <c r="AC88" s="11389"/>
      <c r="AD88" s="9500"/>
      <c r="AE88" s="9500"/>
      <c r="AF88" s="9500"/>
      <c r="AG88" s="2013"/>
      <c r="AJ88" s="11461"/>
      <c r="AK88" s="11461"/>
      <c r="AL88" s="11461"/>
      <c r="AM88" s="11461"/>
      <c r="AN88" s="11462"/>
      <c r="AO88" s="8457"/>
      <c r="AP88" s="8345"/>
      <c r="AQ88" s="11461"/>
      <c r="BA88" s="11477"/>
      <c r="BB88" s="11477"/>
      <c r="BC88" s="11477"/>
    </row>
    <row r="89" spans="1:55" ht="18" customHeight="1">
      <c r="A89" s="2013"/>
      <c r="B89" s="11426"/>
      <c r="C89" s="11431"/>
      <c r="D89" s="11431"/>
      <c r="E89" s="11431"/>
      <c r="F89" s="11431"/>
      <c r="G89" s="11431"/>
      <c r="H89" s="11431"/>
      <c r="I89" s="11432"/>
      <c r="J89" s="8482"/>
      <c r="K89" s="8299"/>
      <c r="L89" s="11397"/>
      <c r="M89" s="8482"/>
      <c r="N89" s="8299"/>
      <c r="O89" s="8299"/>
      <c r="P89" s="11397"/>
      <c r="Q89" s="8482"/>
      <c r="R89" s="8299"/>
      <c r="S89" s="8299"/>
      <c r="T89" s="11397"/>
      <c r="U89" s="8324"/>
      <c r="V89" s="9500"/>
      <c r="W89" s="9500"/>
      <c r="X89" s="8325"/>
      <c r="Y89" s="8439" t="s">
        <v>4477</v>
      </c>
      <c r="Z89" s="8323"/>
      <c r="AA89" s="8439" t="s">
        <v>4478</v>
      </c>
      <c r="AB89" s="8492"/>
      <c r="AC89" s="8324"/>
      <c r="AD89" s="9500"/>
      <c r="AE89" s="9500"/>
      <c r="AF89" s="9500"/>
      <c r="AG89" s="2013"/>
      <c r="AJ89" s="11461"/>
      <c r="AK89" s="11461"/>
      <c r="AL89" s="11461"/>
      <c r="AM89" s="11461"/>
      <c r="AN89" s="11462"/>
      <c r="AO89" s="8610" t="s">
        <v>4479</v>
      </c>
      <c r="AP89" s="8610" t="s">
        <v>4478</v>
      </c>
      <c r="AQ89" s="11461"/>
      <c r="BA89" s="11477"/>
      <c r="BB89" s="11477"/>
      <c r="BC89" s="11477"/>
    </row>
    <row r="90" spans="1:55" ht="18" customHeight="1">
      <c r="A90" s="2013"/>
      <c r="B90" s="11427"/>
      <c r="C90" s="11433"/>
      <c r="D90" s="11433"/>
      <c r="E90" s="11433"/>
      <c r="F90" s="11433"/>
      <c r="G90" s="11433"/>
      <c r="H90" s="11433"/>
      <c r="I90" s="11434"/>
      <c r="J90" s="8483"/>
      <c r="K90" s="8168"/>
      <c r="L90" s="11398"/>
      <c r="M90" s="8483"/>
      <c r="N90" s="8168"/>
      <c r="O90" s="8168"/>
      <c r="P90" s="11398"/>
      <c r="Q90" s="8483"/>
      <c r="R90" s="8168"/>
      <c r="S90" s="8168"/>
      <c r="T90" s="11398"/>
      <c r="U90" s="8326"/>
      <c r="V90" s="10186"/>
      <c r="W90" s="10186"/>
      <c r="X90" s="8327"/>
      <c r="Y90" s="8326"/>
      <c r="Z90" s="8327"/>
      <c r="AA90" s="7590"/>
      <c r="AB90" s="8494"/>
      <c r="AC90" s="8326"/>
      <c r="AD90" s="10186"/>
      <c r="AE90" s="10186"/>
      <c r="AF90" s="10186"/>
      <c r="AG90" s="2013"/>
      <c r="AJ90" s="11461"/>
      <c r="AK90" s="11461"/>
      <c r="AL90" s="11461"/>
      <c r="AM90" s="11461"/>
      <c r="AN90" s="11462"/>
      <c r="AO90" s="11478"/>
      <c r="AP90" s="11478"/>
      <c r="AQ90" s="11461"/>
      <c r="AZ90" s="185" t="s">
        <v>6739</v>
      </c>
      <c r="BA90" s="11477"/>
      <c r="BB90" s="11477"/>
      <c r="BC90" s="11477"/>
    </row>
    <row r="91" spans="1:55" ht="26.25" customHeight="1">
      <c r="A91" s="2013">
        <f>IF(OR(Q91&lt;&gt;"",U91&lt;&gt;"",AC91&lt;&gt;""),1,0)</f>
        <v>0</v>
      </c>
      <c r="B91" s="11382" t="str">
        <f>IF(AJ91="","",AJ91)</f>
        <v/>
      </c>
      <c r="C91" s="7430"/>
      <c r="D91" s="7430"/>
      <c r="E91" s="7430"/>
      <c r="F91" s="7430"/>
      <c r="G91" s="7430"/>
      <c r="H91" s="7430"/>
      <c r="I91" s="10855"/>
      <c r="J91" s="11383" t="str">
        <f>IF(AK91="","",AK91)</f>
        <v/>
      </c>
      <c r="K91" s="11384"/>
      <c r="L91" s="11384"/>
      <c r="M91" s="11383" t="str">
        <f>IF(AL91="","",AL91)</f>
        <v/>
      </c>
      <c r="N91" s="11384"/>
      <c r="O91" s="11384"/>
      <c r="P91" s="11385"/>
      <c r="Q91" s="8178" t="str">
        <f>IF(AM91="","",AM91)</f>
        <v/>
      </c>
      <c r="R91" s="7375"/>
      <c r="S91" s="7375"/>
      <c r="T91" s="7376"/>
      <c r="U91" s="8178" t="str">
        <f>IF(AN91="","",AN91)</f>
        <v/>
      </c>
      <c r="V91" s="7375"/>
      <c r="W91" s="7375"/>
      <c r="X91" s="7376"/>
      <c r="Y91" s="11387" t="str">
        <f>IF(AO91&lt;&gt;"",AO91,"")</f>
        <v/>
      </c>
      <c r="Z91" s="7336"/>
      <c r="AA91" s="8178" t="str">
        <f>IF(AP91="","",AP91)</f>
        <v/>
      </c>
      <c r="AB91" s="11386"/>
      <c r="AC91" s="11401" t="str">
        <f>IF(AQ91&lt;&gt;"",AQ91,IF(AND(Q91="",U91=""),"",IF(AND(Q91&lt;&gt;"",U91=""),SUM(Q91,AA91),SUM(Q91,-U91,AA91))))</f>
        <v/>
      </c>
      <c r="AD91" s="11402"/>
      <c r="AE91" s="11402"/>
      <c r="AF91" s="11402"/>
      <c r="AG91" s="4271">
        <f>IF(OR(J91="",M91=""),0,IF(OR(BA91,BB91,BC91),0,1))</f>
        <v>0</v>
      </c>
      <c r="AH91" s="6014"/>
      <c r="AI91" s="6014" t="e">
        <f>M91-J91</f>
        <v>#VALUE!</v>
      </c>
      <c r="AJ91" s="293"/>
      <c r="AK91" s="297"/>
      <c r="AL91" s="297"/>
      <c r="AM91" s="295"/>
      <c r="AN91" s="295"/>
      <c r="AO91" s="296"/>
      <c r="AP91" s="295"/>
      <c r="AQ91" s="294"/>
      <c r="AS91" t="e">
        <f>YEAR(J91)</f>
        <v>#VALUE!</v>
      </c>
      <c r="AT91" t="e">
        <f>MONTH(J91)</f>
        <v>#VALUE!</v>
      </c>
      <c r="AU91" t="e">
        <f>DAY(J91)</f>
        <v>#VALUE!</v>
      </c>
      <c r="AW91" t="e">
        <f>YEAR(M91)</f>
        <v>#VALUE!</v>
      </c>
      <c r="AX91" t="e">
        <f>MONTH(M91)</f>
        <v>#VALUE!</v>
      </c>
      <c r="AY91" t="e">
        <f>DAY(M91)</f>
        <v>#VALUE!</v>
      </c>
      <c r="AZ91" t="e">
        <f>OR(BA91,BB91,BC91)</f>
        <v>#VALUE!</v>
      </c>
      <c r="BA91" t="e">
        <f>AW91=AS91</f>
        <v>#VALUE!</v>
      </c>
      <c r="BB91" t="e">
        <f>AND(AW91=AS91+1,AX91&lt;AT91)</f>
        <v>#VALUE!</v>
      </c>
      <c r="BC91" t="e">
        <f>AND(AW91=AS91+1,AX91=AT91,AY91&lt;=AU91)</f>
        <v>#VALUE!</v>
      </c>
    </row>
    <row r="92" spans="1:55" ht="26.25" customHeight="1">
      <c r="A92" s="2013">
        <f t="shared" ref="A92:A101" si="21">IF(OR(Q92&lt;&gt;"",U92&lt;&gt;"",AC92&lt;&gt;""),1,0)</f>
        <v>0</v>
      </c>
      <c r="B92" s="11382" t="str">
        <f t="shared" ref="B92:B101" si="22">IF(AJ92="","",AJ92)</f>
        <v/>
      </c>
      <c r="C92" s="7430"/>
      <c r="D92" s="7430"/>
      <c r="E92" s="7430"/>
      <c r="F92" s="7430"/>
      <c r="G92" s="7430"/>
      <c r="H92" s="7430"/>
      <c r="I92" s="10855"/>
      <c r="J92" s="11383" t="str">
        <f t="shared" ref="J92:J101" si="23">IF(AK92="","",AK92)</f>
        <v/>
      </c>
      <c r="K92" s="11384"/>
      <c r="L92" s="11384"/>
      <c r="M92" s="11383" t="str">
        <f t="shared" ref="M92:M101" si="24">IF(AL92="","",AL92)</f>
        <v/>
      </c>
      <c r="N92" s="11384"/>
      <c r="O92" s="11384"/>
      <c r="P92" s="11385"/>
      <c r="Q92" s="8178" t="str">
        <f t="shared" ref="Q92:Q101" si="25">IF(AM92="","",AM92)</f>
        <v/>
      </c>
      <c r="R92" s="7375"/>
      <c r="S92" s="7375"/>
      <c r="T92" s="7376"/>
      <c r="U92" s="8178" t="str">
        <f t="shared" ref="U92:U100" si="26">IF(AN92="","",AN92)</f>
        <v/>
      </c>
      <c r="V92" s="7375"/>
      <c r="W92" s="7375"/>
      <c r="X92" s="7376"/>
      <c r="Y92" s="11387" t="str">
        <f t="shared" ref="Y92:Y101" si="27">IF(AO92&lt;&gt;"",AO92,"")</f>
        <v/>
      </c>
      <c r="Z92" s="7336"/>
      <c r="AA92" s="8178" t="str">
        <f t="shared" ref="AA92:AA101" si="28">IF(AP92="","",AP92)</f>
        <v/>
      </c>
      <c r="AB92" s="11386"/>
      <c r="AC92" s="11401" t="str">
        <f t="shared" ref="AC92:AC101" si="29">IF(AQ92&lt;&gt;"",AQ92,IF(AND(Q92="",U92=""),"",IF(AND(Q92&lt;&gt;"",U92=""),SUM(Q92,AA92),SUM(Q92,-U92,AA92))))</f>
        <v/>
      </c>
      <c r="AD92" s="11402"/>
      <c r="AE92" s="11402"/>
      <c r="AF92" s="11402"/>
      <c r="AG92" s="4271">
        <f t="shared" ref="AG92:AG101" si="30">IF(OR(J92="",M92=""),0,IF(OR(BA92,BB92,BC92),0,1))</f>
        <v>0</v>
      </c>
      <c r="AH92" s="6014"/>
      <c r="AI92" s="6014" t="e">
        <f t="shared" ref="AI92:AI101" si="31">M92-J92</f>
        <v>#VALUE!</v>
      </c>
      <c r="AJ92" s="293"/>
      <c r="AK92" s="297"/>
      <c r="AL92" s="297"/>
      <c r="AM92" s="295"/>
      <c r="AN92" s="295"/>
      <c r="AO92" s="296"/>
      <c r="AP92" s="295"/>
      <c r="AQ92" s="294"/>
      <c r="AS92" t="e">
        <f t="shared" ref="AS92:AS101" si="32">YEAR(J92)</f>
        <v>#VALUE!</v>
      </c>
      <c r="AT92" t="e">
        <f t="shared" ref="AT92:AT101" si="33">MONTH(J92)</f>
        <v>#VALUE!</v>
      </c>
      <c r="AU92" t="e">
        <f t="shared" ref="AU92:AU101" si="34">DAY(J92)</f>
        <v>#VALUE!</v>
      </c>
      <c r="AW92" t="e">
        <f t="shared" ref="AW92:AW101" si="35">YEAR(M92)</f>
        <v>#VALUE!</v>
      </c>
      <c r="AX92" t="e">
        <f t="shared" ref="AX92:AX101" si="36">MONTH(M92)</f>
        <v>#VALUE!</v>
      </c>
      <c r="AY92" t="e">
        <f t="shared" ref="AY92:AY101" si="37">DAY(M92)</f>
        <v>#VALUE!</v>
      </c>
      <c r="AZ92" t="e">
        <f t="shared" ref="AZ92:AZ101" si="38">OR(BA92,BB92,BC92)</f>
        <v>#VALUE!</v>
      </c>
      <c r="BA92" t="e">
        <f t="shared" ref="BA92:BA101" si="39">AW92=AS92</f>
        <v>#VALUE!</v>
      </c>
      <c r="BB92" t="e">
        <f t="shared" ref="BB92:BB101" si="40">AND(AW92=AS92+1,AX92&lt;AT92)</f>
        <v>#VALUE!</v>
      </c>
      <c r="BC92" t="e">
        <f t="shared" ref="BC92:BC101" si="41">AND(AW92=AS92+1,AX92=AT92,AY92&lt;=AU92)</f>
        <v>#VALUE!</v>
      </c>
    </row>
    <row r="93" spans="1:55" ht="26.25" customHeight="1">
      <c r="A93" s="2013">
        <f t="shared" si="21"/>
        <v>0</v>
      </c>
      <c r="B93" s="11382" t="str">
        <f t="shared" si="22"/>
        <v/>
      </c>
      <c r="C93" s="7430"/>
      <c r="D93" s="7430"/>
      <c r="E93" s="7430"/>
      <c r="F93" s="7430"/>
      <c r="G93" s="7430"/>
      <c r="H93" s="7430"/>
      <c r="I93" s="10855"/>
      <c r="J93" s="11383" t="str">
        <f t="shared" si="23"/>
        <v/>
      </c>
      <c r="K93" s="11384"/>
      <c r="L93" s="11384"/>
      <c r="M93" s="11383" t="str">
        <f t="shared" si="24"/>
        <v/>
      </c>
      <c r="N93" s="11384"/>
      <c r="O93" s="11384"/>
      <c r="P93" s="11385"/>
      <c r="Q93" s="8178" t="str">
        <f t="shared" si="25"/>
        <v/>
      </c>
      <c r="R93" s="7375"/>
      <c r="S93" s="7375"/>
      <c r="T93" s="7376"/>
      <c r="U93" s="8178" t="str">
        <f t="shared" si="26"/>
        <v/>
      </c>
      <c r="V93" s="7375"/>
      <c r="W93" s="7375"/>
      <c r="X93" s="7376"/>
      <c r="Y93" s="11387" t="str">
        <f t="shared" si="27"/>
        <v/>
      </c>
      <c r="Z93" s="7336"/>
      <c r="AA93" s="8178" t="str">
        <f t="shared" si="28"/>
        <v/>
      </c>
      <c r="AB93" s="11386"/>
      <c r="AC93" s="11401" t="str">
        <f t="shared" si="29"/>
        <v/>
      </c>
      <c r="AD93" s="11402"/>
      <c r="AE93" s="11402"/>
      <c r="AF93" s="11402"/>
      <c r="AG93" s="4271">
        <f t="shared" si="30"/>
        <v>0</v>
      </c>
      <c r="AH93" s="6014"/>
      <c r="AI93" s="6014" t="e">
        <f t="shared" si="31"/>
        <v>#VALUE!</v>
      </c>
      <c r="AJ93" s="293"/>
      <c r="AK93" s="297"/>
      <c r="AL93" s="297"/>
      <c r="AM93" s="295"/>
      <c r="AN93" s="295"/>
      <c r="AO93" s="296"/>
      <c r="AP93" s="295"/>
      <c r="AQ93" s="294"/>
      <c r="AS93" t="e">
        <f t="shared" si="32"/>
        <v>#VALUE!</v>
      </c>
      <c r="AT93" t="e">
        <f t="shared" si="33"/>
        <v>#VALUE!</v>
      </c>
      <c r="AU93" t="e">
        <f t="shared" si="34"/>
        <v>#VALUE!</v>
      </c>
      <c r="AW93" t="e">
        <f t="shared" si="35"/>
        <v>#VALUE!</v>
      </c>
      <c r="AX93" t="e">
        <f t="shared" si="36"/>
        <v>#VALUE!</v>
      </c>
      <c r="AY93" t="e">
        <f t="shared" si="37"/>
        <v>#VALUE!</v>
      </c>
      <c r="AZ93" t="e">
        <f t="shared" si="38"/>
        <v>#VALUE!</v>
      </c>
      <c r="BA93" t="e">
        <f t="shared" si="39"/>
        <v>#VALUE!</v>
      </c>
      <c r="BB93" t="e">
        <f t="shared" si="40"/>
        <v>#VALUE!</v>
      </c>
      <c r="BC93" t="e">
        <f t="shared" si="41"/>
        <v>#VALUE!</v>
      </c>
    </row>
    <row r="94" spans="1:55" ht="26.25" customHeight="1">
      <c r="A94" s="2013">
        <f t="shared" si="21"/>
        <v>0</v>
      </c>
      <c r="B94" s="11382" t="str">
        <f t="shared" si="22"/>
        <v/>
      </c>
      <c r="C94" s="7430"/>
      <c r="D94" s="7430"/>
      <c r="E94" s="7430"/>
      <c r="F94" s="7430"/>
      <c r="G94" s="7430"/>
      <c r="H94" s="7430"/>
      <c r="I94" s="10855"/>
      <c r="J94" s="11383" t="str">
        <f t="shared" si="23"/>
        <v/>
      </c>
      <c r="K94" s="11384"/>
      <c r="L94" s="11384"/>
      <c r="M94" s="11383" t="str">
        <f t="shared" si="24"/>
        <v/>
      </c>
      <c r="N94" s="11384"/>
      <c r="O94" s="11384"/>
      <c r="P94" s="11385"/>
      <c r="Q94" s="8178" t="str">
        <f t="shared" si="25"/>
        <v/>
      </c>
      <c r="R94" s="7375"/>
      <c r="S94" s="7375"/>
      <c r="T94" s="7376"/>
      <c r="U94" s="8178" t="str">
        <f t="shared" si="26"/>
        <v/>
      </c>
      <c r="V94" s="7375"/>
      <c r="W94" s="7375"/>
      <c r="X94" s="7376"/>
      <c r="Y94" s="11387" t="str">
        <f t="shared" si="27"/>
        <v/>
      </c>
      <c r="Z94" s="7336"/>
      <c r="AA94" s="8178" t="str">
        <f t="shared" si="28"/>
        <v/>
      </c>
      <c r="AB94" s="11386"/>
      <c r="AC94" s="11401" t="str">
        <f t="shared" si="29"/>
        <v/>
      </c>
      <c r="AD94" s="11402"/>
      <c r="AE94" s="11402"/>
      <c r="AF94" s="11402"/>
      <c r="AG94" s="4271">
        <f t="shared" si="30"/>
        <v>0</v>
      </c>
      <c r="AH94" s="6014"/>
      <c r="AI94" s="6014" t="e">
        <f t="shared" si="31"/>
        <v>#VALUE!</v>
      </c>
      <c r="AJ94" s="293"/>
      <c r="AK94" s="297"/>
      <c r="AL94" s="297"/>
      <c r="AM94" s="295"/>
      <c r="AN94" s="295"/>
      <c r="AO94" s="296"/>
      <c r="AP94" s="295"/>
      <c r="AQ94" s="294"/>
      <c r="AS94" t="e">
        <f t="shared" si="32"/>
        <v>#VALUE!</v>
      </c>
      <c r="AT94" t="e">
        <f t="shared" si="33"/>
        <v>#VALUE!</v>
      </c>
      <c r="AU94" t="e">
        <f t="shared" si="34"/>
        <v>#VALUE!</v>
      </c>
      <c r="AW94" t="e">
        <f t="shared" si="35"/>
        <v>#VALUE!</v>
      </c>
      <c r="AX94" t="e">
        <f t="shared" si="36"/>
        <v>#VALUE!</v>
      </c>
      <c r="AY94" t="e">
        <f t="shared" si="37"/>
        <v>#VALUE!</v>
      </c>
      <c r="AZ94" t="e">
        <f t="shared" si="38"/>
        <v>#VALUE!</v>
      </c>
      <c r="BA94" t="e">
        <f t="shared" si="39"/>
        <v>#VALUE!</v>
      </c>
      <c r="BB94" t="e">
        <f t="shared" si="40"/>
        <v>#VALUE!</v>
      </c>
      <c r="BC94" t="e">
        <f t="shared" si="41"/>
        <v>#VALUE!</v>
      </c>
    </row>
    <row r="95" spans="1:55" ht="26.25" customHeight="1">
      <c r="A95" s="2013">
        <f t="shared" si="21"/>
        <v>0</v>
      </c>
      <c r="B95" s="11382" t="str">
        <f t="shared" si="22"/>
        <v/>
      </c>
      <c r="C95" s="7430"/>
      <c r="D95" s="7430"/>
      <c r="E95" s="7430"/>
      <c r="F95" s="7430"/>
      <c r="G95" s="7430"/>
      <c r="H95" s="7430"/>
      <c r="I95" s="10855"/>
      <c r="J95" s="11383" t="str">
        <f t="shared" si="23"/>
        <v/>
      </c>
      <c r="K95" s="11384"/>
      <c r="L95" s="11384"/>
      <c r="M95" s="11383" t="str">
        <f t="shared" si="24"/>
        <v/>
      </c>
      <c r="N95" s="11384"/>
      <c r="O95" s="11384"/>
      <c r="P95" s="11385"/>
      <c r="Q95" s="8178" t="str">
        <f t="shared" si="25"/>
        <v/>
      </c>
      <c r="R95" s="7375"/>
      <c r="S95" s="7375"/>
      <c r="T95" s="7376"/>
      <c r="U95" s="8178" t="str">
        <f t="shared" si="26"/>
        <v/>
      </c>
      <c r="V95" s="7375"/>
      <c r="W95" s="7375"/>
      <c r="X95" s="7376"/>
      <c r="Y95" s="11387" t="str">
        <f t="shared" si="27"/>
        <v/>
      </c>
      <c r="Z95" s="7336"/>
      <c r="AA95" s="8178" t="str">
        <f t="shared" si="28"/>
        <v/>
      </c>
      <c r="AB95" s="11386"/>
      <c r="AC95" s="11401" t="str">
        <f t="shared" si="29"/>
        <v/>
      </c>
      <c r="AD95" s="11402"/>
      <c r="AE95" s="11402"/>
      <c r="AF95" s="11402"/>
      <c r="AG95" s="4271">
        <f t="shared" si="30"/>
        <v>0</v>
      </c>
      <c r="AH95" s="6014"/>
      <c r="AI95" s="6014" t="e">
        <f t="shared" si="31"/>
        <v>#VALUE!</v>
      </c>
      <c r="AJ95" s="293"/>
      <c r="AK95" s="297"/>
      <c r="AL95" s="297"/>
      <c r="AM95" s="295"/>
      <c r="AN95" s="295"/>
      <c r="AO95" s="296"/>
      <c r="AP95" s="295"/>
      <c r="AQ95" s="294"/>
      <c r="AS95" t="e">
        <f t="shared" si="32"/>
        <v>#VALUE!</v>
      </c>
      <c r="AT95" t="e">
        <f t="shared" si="33"/>
        <v>#VALUE!</v>
      </c>
      <c r="AU95" t="e">
        <f t="shared" si="34"/>
        <v>#VALUE!</v>
      </c>
      <c r="AW95" t="e">
        <f t="shared" si="35"/>
        <v>#VALUE!</v>
      </c>
      <c r="AX95" t="e">
        <f t="shared" si="36"/>
        <v>#VALUE!</v>
      </c>
      <c r="AY95" t="e">
        <f t="shared" si="37"/>
        <v>#VALUE!</v>
      </c>
      <c r="AZ95" t="e">
        <f t="shared" si="38"/>
        <v>#VALUE!</v>
      </c>
      <c r="BA95" t="e">
        <f t="shared" si="39"/>
        <v>#VALUE!</v>
      </c>
      <c r="BB95" t="e">
        <f t="shared" si="40"/>
        <v>#VALUE!</v>
      </c>
      <c r="BC95" t="e">
        <f t="shared" si="41"/>
        <v>#VALUE!</v>
      </c>
    </row>
    <row r="96" spans="1:55" ht="26.25" customHeight="1">
      <c r="A96" s="2013">
        <f t="shared" si="21"/>
        <v>0</v>
      </c>
      <c r="B96" s="11382" t="str">
        <f t="shared" si="22"/>
        <v/>
      </c>
      <c r="C96" s="7430"/>
      <c r="D96" s="7430"/>
      <c r="E96" s="7430"/>
      <c r="F96" s="7430"/>
      <c r="G96" s="7430"/>
      <c r="H96" s="7430"/>
      <c r="I96" s="10855"/>
      <c r="J96" s="11383" t="str">
        <f t="shared" si="23"/>
        <v/>
      </c>
      <c r="K96" s="11384"/>
      <c r="L96" s="11384"/>
      <c r="M96" s="11383" t="str">
        <f t="shared" si="24"/>
        <v/>
      </c>
      <c r="N96" s="11384"/>
      <c r="O96" s="11384"/>
      <c r="P96" s="11385"/>
      <c r="Q96" s="8178" t="str">
        <f t="shared" si="25"/>
        <v/>
      </c>
      <c r="R96" s="7375"/>
      <c r="S96" s="7375"/>
      <c r="T96" s="7376"/>
      <c r="U96" s="8178" t="str">
        <f t="shared" si="26"/>
        <v/>
      </c>
      <c r="V96" s="7375"/>
      <c r="W96" s="7375"/>
      <c r="X96" s="7376"/>
      <c r="Y96" s="11387" t="str">
        <f t="shared" si="27"/>
        <v/>
      </c>
      <c r="Z96" s="7336"/>
      <c r="AA96" s="8178" t="str">
        <f t="shared" si="28"/>
        <v/>
      </c>
      <c r="AB96" s="11386"/>
      <c r="AC96" s="11401" t="str">
        <f t="shared" si="29"/>
        <v/>
      </c>
      <c r="AD96" s="11402"/>
      <c r="AE96" s="11402"/>
      <c r="AF96" s="11402"/>
      <c r="AG96" s="4271">
        <f t="shared" si="30"/>
        <v>0</v>
      </c>
      <c r="AH96" s="6014"/>
      <c r="AI96" s="6014" t="e">
        <f t="shared" si="31"/>
        <v>#VALUE!</v>
      </c>
      <c r="AJ96" s="293"/>
      <c r="AK96" s="297"/>
      <c r="AL96" s="297"/>
      <c r="AM96" s="295"/>
      <c r="AN96" s="295"/>
      <c r="AO96" s="296"/>
      <c r="AP96" s="295"/>
      <c r="AQ96" s="294"/>
      <c r="AS96" t="e">
        <f t="shared" si="32"/>
        <v>#VALUE!</v>
      </c>
      <c r="AT96" t="e">
        <f t="shared" si="33"/>
        <v>#VALUE!</v>
      </c>
      <c r="AU96" t="e">
        <f t="shared" si="34"/>
        <v>#VALUE!</v>
      </c>
      <c r="AW96" t="e">
        <f t="shared" si="35"/>
        <v>#VALUE!</v>
      </c>
      <c r="AX96" t="e">
        <f t="shared" si="36"/>
        <v>#VALUE!</v>
      </c>
      <c r="AY96" t="e">
        <f t="shared" si="37"/>
        <v>#VALUE!</v>
      </c>
      <c r="AZ96" t="e">
        <f t="shared" si="38"/>
        <v>#VALUE!</v>
      </c>
      <c r="BA96" t="e">
        <f t="shared" si="39"/>
        <v>#VALUE!</v>
      </c>
      <c r="BB96" t="e">
        <f t="shared" si="40"/>
        <v>#VALUE!</v>
      </c>
      <c r="BC96" t="e">
        <f t="shared" si="41"/>
        <v>#VALUE!</v>
      </c>
    </row>
    <row r="97" spans="1:55" ht="26.25" customHeight="1">
      <c r="A97" s="2013">
        <f t="shared" si="21"/>
        <v>0</v>
      </c>
      <c r="B97" s="11382" t="str">
        <f t="shared" si="22"/>
        <v/>
      </c>
      <c r="C97" s="7430"/>
      <c r="D97" s="7430"/>
      <c r="E97" s="7430"/>
      <c r="F97" s="7430"/>
      <c r="G97" s="7430"/>
      <c r="H97" s="7430"/>
      <c r="I97" s="10855"/>
      <c r="J97" s="11383" t="str">
        <f t="shared" si="23"/>
        <v/>
      </c>
      <c r="K97" s="11384"/>
      <c r="L97" s="11384"/>
      <c r="M97" s="11383" t="str">
        <f t="shared" si="24"/>
        <v/>
      </c>
      <c r="N97" s="11384"/>
      <c r="O97" s="11384"/>
      <c r="P97" s="11385"/>
      <c r="Q97" s="8178" t="str">
        <f t="shared" si="25"/>
        <v/>
      </c>
      <c r="R97" s="7375"/>
      <c r="S97" s="7375"/>
      <c r="T97" s="7376"/>
      <c r="U97" s="8178" t="str">
        <f t="shared" si="26"/>
        <v/>
      </c>
      <c r="V97" s="7375"/>
      <c r="W97" s="7375"/>
      <c r="X97" s="7376"/>
      <c r="Y97" s="11387" t="str">
        <f t="shared" si="27"/>
        <v/>
      </c>
      <c r="Z97" s="7336"/>
      <c r="AA97" s="8178" t="str">
        <f t="shared" si="28"/>
        <v/>
      </c>
      <c r="AB97" s="11386"/>
      <c r="AC97" s="11401" t="str">
        <f t="shared" si="29"/>
        <v/>
      </c>
      <c r="AD97" s="11402"/>
      <c r="AE97" s="11402"/>
      <c r="AF97" s="11402"/>
      <c r="AG97" s="4271">
        <f t="shared" si="30"/>
        <v>0</v>
      </c>
      <c r="AH97" s="6014"/>
      <c r="AI97" s="6014" t="e">
        <f t="shared" si="31"/>
        <v>#VALUE!</v>
      </c>
      <c r="AJ97" s="293"/>
      <c r="AK97" s="297"/>
      <c r="AL97" s="297"/>
      <c r="AM97" s="295"/>
      <c r="AN97" s="295"/>
      <c r="AO97" s="296"/>
      <c r="AP97" s="295"/>
      <c r="AQ97" s="294"/>
      <c r="AS97" t="e">
        <f t="shared" si="32"/>
        <v>#VALUE!</v>
      </c>
      <c r="AT97" t="e">
        <f t="shared" si="33"/>
        <v>#VALUE!</v>
      </c>
      <c r="AU97" t="e">
        <f t="shared" si="34"/>
        <v>#VALUE!</v>
      </c>
      <c r="AW97" t="e">
        <f t="shared" si="35"/>
        <v>#VALUE!</v>
      </c>
      <c r="AX97" t="e">
        <f t="shared" si="36"/>
        <v>#VALUE!</v>
      </c>
      <c r="AY97" t="e">
        <f t="shared" si="37"/>
        <v>#VALUE!</v>
      </c>
      <c r="AZ97" t="e">
        <f t="shared" si="38"/>
        <v>#VALUE!</v>
      </c>
      <c r="BA97" t="e">
        <f t="shared" si="39"/>
        <v>#VALUE!</v>
      </c>
      <c r="BB97" t="e">
        <f t="shared" si="40"/>
        <v>#VALUE!</v>
      </c>
      <c r="BC97" t="e">
        <f t="shared" si="41"/>
        <v>#VALUE!</v>
      </c>
    </row>
    <row r="98" spans="1:55" ht="26.25" customHeight="1">
      <c r="A98" s="2013">
        <f t="shared" si="21"/>
        <v>0</v>
      </c>
      <c r="B98" s="11382" t="str">
        <f t="shared" si="22"/>
        <v/>
      </c>
      <c r="C98" s="7430"/>
      <c r="D98" s="7430"/>
      <c r="E98" s="7430"/>
      <c r="F98" s="7430"/>
      <c r="G98" s="7430"/>
      <c r="H98" s="7430"/>
      <c r="I98" s="10855"/>
      <c r="J98" s="11383" t="str">
        <f t="shared" si="23"/>
        <v/>
      </c>
      <c r="K98" s="11384"/>
      <c r="L98" s="11384"/>
      <c r="M98" s="11383" t="str">
        <f t="shared" si="24"/>
        <v/>
      </c>
      <c r="N98" s="11384"/>
      <c r="O98" s="11384"/>
      <c r="P98" s="11385"/>
      <c r="Q98" s="8178" t="str">
        <f t="shared" si="25"/>
        <v/>
      </c>
      <c r="R98" s="7375"/>
      <c r="S98" s="7375"/>
      <c r="T98" s="7376"/>
      <c r="U98" s="8178" t="str">
        <f t="shared" si="26"/>
        <v/>
      </c>
      <c r="V98" s="7375"/>
      <c r="W98" s="7375"/>
      <c r="X98" s="7376"/>
      <c r="Y98" s="11387" t="str">
        <f t="shared" si="27"/>
        <v/>
      </c>
      <c r="Z98" s="7336"/>
      <c r="AA98" s="8178" t="str">
        <f t="shared" si="28"/>
        <v/>
      </c>
      <c r="AB98" s="11386"/>
      <c r="AC98" s="11401" t="str">
        <f t="shared" si="29"/>
        <v/>
      </c>
      <c r="AD98" s="11402"/>
      <c r="AE98" s="11402"/>
      <c r="AF98" s="11402"/>
      <c r="AG98" s="4271">
        <f t="shared" si="30"/>
        <v>0</v>
      </c>
      <c r="AH98" s="6014"/>
      <c r="AI98" s="6014" t="e">
        <f t="shared" si="31"/>
        <v>#VALUE!</v>
      </c>
      <c r="AJ98" s="293"/>
      <c r="AK98" s="297"/>
      <c r="AL98" s="297"/>
      <c r="AM98" s="295"/>
      <c r="AN98" s="295"/>
      <c r="AO98" s="296"/>
      <c r="AP98" s="295"/>
      <c r="AQ98" s="294"/>
      <c r="AS98" t="e">
        <f t="shared" si="32"/>
        <v>#VALUE!</v>
      </c>
      <c r="AT98" t="e">
        <f t="shared" si="33"/>
        <v>#VALUE!</v>
      </c>
      <c r="AU98" t="e">
        <f t="shared" si="34"/>
        <v>#VALUE!</v>
      </c>
      <c r="AW98" t="e">
        <f t="shared" si="35"/>
        <v>#VALUE!</v>
      </c>
      <c r="AX98" t="e">
        <f t="shared" si="36"/>
        <v>#VALUE!</v>
      </c>
      <c r="AY98" t="e">
        <f t="shared" si="37"/>
        <v>#VALUE!</v>
      </c>
      <c r="AZ98" t="e">
        <f t="shared" si="38"/>
        <v>#VALUE!</v>
      </c>
      <c r="BA98" t="e">
        <f t="shared" si="39"/>
        <v>#VALUE!</v>
      </c>
      <c r="BB98" t="e">
        <f t="shared" si="40"/>
        <v>#VALUE!</v>
      </c>
      <c r="BC98" t="e">
        <f t="shared" si="41"/>
        <v>#VALUE!</v>
      </c>
    </row>
    <row r="99" spans="1:55" ht="26.25" customHeight="1">
      <c r="A99" s="2013">
        <f t="shared" si="21"/>
        <v>0</v>
      </c>
      <c r="B99" s="11382" t="str">
        <f t="shared" si="22"/>
        <v/>
      </c>
      <c r="C99" s="7430"/>
      <c r="D99" s="7430"/>
      <c r="E99" s="7430"/>
      <c r="F99" s="7430"/>
      <c r="G99" s="7430"/>
      <c r="H99" s="7430"/>
      <c r="I99" s="10855"/>
      <c r="J99" s="11383" t="str">
        <f t="shared" si="23"/>
        <v/>
      </c>
      <c r="K99" s="11384"/>
      <c r="L99" s="11384"/>
      <c r="M99" s="11383" t="str">
        <f t="shared" si="24"/>
        <v/>
      </c>
      <c r="N99" s="11384"/>
      <c r="O99" s="11384"/>
      <c r="P99" s="11385"/>
      <c r="Q99" s="8178" t="str">
        <f t="shared" si="25"/>
        <v/>
      </c>
      <c r="R99" s="7375"/>
      <c r="S99" s="7375"/>
      <c r="T99" s="7376"/>
      <c r="U99" s="8178" t="str">
        <f t="shared" si="26"/>
        <v/>
      </c>
      <c r="V99" s="7375"/>
      <c r="W99" s="7375"/>
      <c r="X99" s="7376"/>
      <c r="Y99" s="11387" t="str">
        <f t="shared" si="27"/>
        <v/>
      </c>
      <c r="Z99" s="7336"/>
      <c r="AA99" s="8178" t="str">
        <f t="shared" si="28"/>
        <v/>
      </c>
      <c r="AB99" s="11386"/>
      <c r="AC99" s="11401" t="str">
        <f t="shared" si="29"/>
        <v/>
      </c>
      <c r="AD99" s="11402"/>
      <c r="AE99" s="11402"/>
      <c r="AF99" s="11402"/>
      <c r="AG99" s="4271">
        <f t="shared" si="30"/>
        <v>0</v>
      </c>
      <c r="AH99" s="6014"/>
      <c r="AI99" s="6014" t="e">
        <f t="shared" si="31"/>
        <v>#VALUE!</v>
      </c>
      <c r="AJ99" s="293"/>
      <c r="AK99" s="297"/>
      <c r="AL99" s="297"/>
      <c r="AM99" s="295"/>
      <c r="AN99" s="295"/>
      <c r="AO99" s="296"/>
      <c r="AP99" s="295"/>
      <c r="AQ99" s="294"/>
      <c r="AS99" t="e">
        <f t="shared" si="32"/>
        <v>#VALUE!</v>
      </c>
      <c r="AT99" t="e">
        <f t="shared" si="33"/>
        <v>#VALUE!</v>
      </c>
      <c r="AU99" t="e">
        <f t="shared" si="34"/>
        <v>#VALUE!</v>
      </c>
      <c r="AW99" t="e">
        <f t="shared" si="35"/>
        <v>#VALUE!</v>
      </c>
      <c r="AX99" t="e">
        <f t="shared" si="36"/>
        <v>#VALUE!</v>
      </c>
      <c r="AY99" t="e">
        <f t="shared" si="37"/>
        <v>#VALUE!</v>
      </c>
      <c r="AZ99" t="e">
        <f t="shared" si="38"/>
        <v>#VALUE!</v>
      </c>
      <c r="BA99" t="e">
        <f t="shared" si="39"/>
        <v>#VALUE!</v>
      </c>
      <c r="BB99" t="e">
        <f t="shared" si="40"/>
        <v>#VALUE!</v>
      </c>
      <c r="BC99" t="e">
        <f t="shared" si="41"/>
        <v>#VALUE!</v>
      </c>
    </row>
    <row r="100" spans="1:55" ht="26.25" customHeight="1">
      <c r="A100" s="2013">
        <f t="shared" si="21"/>
        <v>0</v>
      </c>
      <c r="B100" s="11382" t="str">
        <f t="shared" si="22"/>
        <v/>
      </c>
      <c r="C100" s="7430"/>
      <c r="D100" s="7430"/>
      <c r="E100" s="7430"/>
      <c r="F100" s="7430"/>
      <c r="G100" s="7430"/>
      <c r="H100" s="7430"/>
      <c r="I100" s="10855"/>
      <c r="J100" s="11383" t="str">
        <f t="shared" si="23"/>
        <v/>
      </c>
      <c r="K100" s="11384"/>
      <c r="L100" s="11384"/>
      <c r="M100" s="11383" t="str">
        <f t="shared" si="24"/>
        <v/>
      </c>
      <c r="N100" s="11384"/>
      <c r="O100" s="11384"/>
      <c r="P100" s="11385"/>
      <c r="Q100" s="8178" t="str">
        <f t="shared" si="25"/>
        <v/>
      </c>
      <c r="R100" s="7375"/>
      <c r="S100" s="7375"/>
      <c r="T100" s="7376"/>
      <c r="U100" s="8178" t="str">
        <f t="shared" si="26"/>
        <v/>
      </c>
      <c r="V100" s="7375"/>
      <c r="W100" s="7375"/>
      <c r="X100" s="7376"/>
      <c r="Y100" s="11387" t="str">
        <f t="shared" si="27"/>
        <v/>
      </c>
      <c r="Z100" s="7336"/>
      <c r="AA100" s="8178" t="str">
        <f t="shared" si="28"/>
        <v/>
      </c>
      <c r="AB100" s="11386"/>
      <c r="AC100" s="11401" t="str">
        <f t="shared" si="29"/>
        <v/>
      </c>
      <c r="AD100" s="11402"/>
      <c r="AE100" s="11402"/>
      <c r="AF100" s="11402"/>
      <c r="AG100" s="4271">
        <f t="shared" si="30"/>
        <v>0</v>
      </c>
      <c r="AH100" s="6014"/>
      <c r="AI100" s="6014" t="e">
        <f t="shared" si="31"/>
        <v>#VALUE!</v>
      </c>
      <c r="AJ100" s="293"/>
      <c r="AK100" s="297"/>
      <c r="AL100" s="297"/>
      <c r="AM100" s="295"/>
      <c r="AN100" s="295"/>
      <c r="AO100" s="296"/>
      <c r="AP100" s="295"/>
      <c r="AQ100" s="294"/>
      <c r="AS100" t="e">
        <f t="shared" si="32"/>
        <v>#VALUE!</v>
      </c>
      <c r="AT100" t="e">
        <f t="shared" si="33"/>
        <v>#VALUE!</v>
      </c>
      <c r="AU100" t="e">
        <f t="shared" si="34"/>
        <v>#VALUE!</v>
      </c>
      <c r="AW100" t="e">
        <f t="shared" si="35"/>
        <v>#VALUE!</v>
      </c>
      <c r="AX100" t="e">
        <f t="shared" si="36"/>
        <v>#VALUE!</v>
      </c>
      <c r="AY100" t="e">
        <f t="shared" si="37"/>
        <v>#VALUE!</v>
      </c>
      <c r="AZ100" t="e">
        <f t="shared" si="38"/>
        <v>#VALUE!</v>
      </c>
      <c r="BA100" t="e">
        <f t="shared" si="39"/>
        <v>#VALUE!</v>
      </c>
      <c r="BB100" t="e">
        <f t="shared" si="40"/>
        <v>#VALUE!</v>
      </c>
      <c r="BC100" t="e">
        <f t="shared" si="41"/>
        <v>#VALUE!</v>
      </c>
    </row>
    <row r="101" spans="1:55" ht="26.25" customHeight="1">
      <c r="A101" s="2013">
        <f t="shared" si="21"/>
        <v>0</v>
      </c>
      <c r="B101" s="11382" t="str">
        <f t="shared" si="22"/>
        <v/>
      </c>
      <c r="C101" s="7430"/>
      <c r="D101" s="7430"/>
      <c r="E101" s="7430"/>
      <c r="F101" s="7430"/>
      <c r="G101" s="7430"/>
      <c r="H101" s="7430"/>
      <c r="I101" s="10855"/>
      <c r="J101" s="11383" t="str">
        <f t="shared" si="23"/>
        <v/>
      </c>
      <c r="K101" s="11384"/>
      <c r="L101" s="11384"/>
      <c r="M101" s="11383" t="str">
        <f t="shared" si="24"/>
        <v/>
      </c>
      <c r="N101" s="11384"/>
      <c r="O101" s="11384"/>
      <c r="P101" s="11385"/>
      <c r="Q101" s="8178" t="str">
        <f t="shared" si="25"/>
        <v/>
      </c>
      <c r="R101" s="7375"/>
      <c r="S101" s="7375"/>
      <c r="T101" s="7376"/>
      <c r="U101" s="8178" t="str">
        <f>IF(AN101="","",AN101)</f>
        <v/>
      </c>
      <c r="V101" s="7375"/>
      <c r="W101" s="7375"/>
      <c r="X101" s="7376"/>
      <c r="Y101" s="11387" t="str">
        <f t="shared" si="27"/>
        <v/>
      </c>
      <c r="Z101" s="7336"/>
      <c r="AA101" s="8178" t="str">
        <f t="shared" si="28"/>
        <v/>
      </c>
      <c r="AB101" s="11386"/>
      <c r="AC101" s="11401" t="str">
        <f t="shared" si="29"/>
        <v/>
      </c>
      <c r="AD101" s="11402"/>
      <c r="AE101" s="11402"/>
      <c r="AF101" s="11402"/>
      <c r="AG101" s="4271">
        <f t="shared" si="30"/>
        <v>0</v>
      </c>
      <c r="AH101" s="6014"/>
      <c r="AI101" s="6014" t="e">
        <f t="shared" si="31"/>
        <v>#VALUE!</v>
      </c>
      <c r="AJ101" s="293"/>
      <c r="AK101" s="297"/>
      <c r="AL101" s="297"/>
      <c r="AM101" s="295"/>
      <c r="AN101" s="295"/>
      <c r="AO101" s="296"/>
      <c r="AP101" s="295"/>
      <c r="AQ101" s="294"/>
      <c r="AS101" t="e">
        <f t="shared" si="32"/>
        <v>#VALUE!</v>
      </c>
      <c r="AT101" t="e">
        <f t="shared" si="33"/>
        <v>#VALUE!</v>
      </c>
      <c r="AU101" t="e">
        <f t="shared" si="34"/>
        <v>#VALUE!</v>
      </c>
      <c r="AW101" t="e">
        <f t="shared" si="35"/>
        <v>#VALUE!</v>
      </c>
      <c r="AX101" t="e">
        <f t="shared" si="36"/>
        <v>#VALUE!</v>
      </c>
      <c r="AY101" t="e">
        <f t="shared" si="37"/>
        <v>#VALUE!</v>
      </c>
      <c r="AZ101" t="e">
        <f t="shared" si="38"/>
        <v>#VALUE!</v>
      </c>
      <c r="BA101" t="e">
        <f t="shared" si="39"/>
        <v>#VALUE!</v>
      </c>
      <c r="BB101" t="e">
        <f t="shared" si="40"/>
        <v>#VALUE!</v>
      </c>
      <c r="BC101" t="e">
        <f t="shared" si="41"/>
        <v>#VALUE!</v>
      </c>
    </row>
    <row r="102" spans="1:55" ht="12" customHeight="1">
      <c r="A102" s="2013">
        <f>SUM(A91:A101)</f>
        <v>0</v>
      </c>
      <c r="B102" s="11445">
        <v>2</v>
      </c>
      <c r="C102" s="11421" t="s">
        <v>6417</v>
      </c>
      <c r="D102" s="11422"/>
      <c r="E102" s="11422"/>
      <c r="F102" s="11422"/>
      <c r="G102" s="11422"/>
      <c r="H102" s="11422"/>
      <c r="I102" s="11422"/>
      <c r="J102" s="11422"/>
      <c r="K102" s="11422"/>
      <c r="L102" s="11422"/>
      <c r="M102" s="11422"/>
      <c r="N102" s="11422"/>
      <c r="O102" s="11422"/>
      <c r="P102" s="11422"/>
      <c r="Q102" s="11409" t="str">
        <f>IF(A102=0,"",ROUND(SUM(Q91:Q101),0))</f>
        <v/>
      </c>
      <c r="R102" s="11410"/>
      <c r="S102" s="11410"/>
      <c r="T102" s="11411"/>
      <c r="U102" s="11409" t="str">
        <f>IF(A102=0,"",ROUND(SUM(U91:U101),0))</f>
        <v/>
      </c>
      <c r="V102" s="11410"/>
      <c r="W102" s="11410"/>
      <c r="X102" s="11411"/>
      <c r="Y102" s="11403"/>
      <c r="Z102" s="11404"/>
      <c r="AA102" s="11409" t="str">
        <f>IF(A102=0,"",ROUND(SUM(AA91:AA101),0))</f>
        <v/>
      </c>
      <c r="AB102" s="11411"/>
      <c r="AC102" s="11409" t="str">
        <f>IF(A102=0,"",ROUND(SUM(AC91:AC101),0))</f>
        <v/>
      </c>
      <c r="AD102" s="11410"/>
      <c r="AE102" s="11410"/>
      <c r="AF102" s="11410"/>
      <c r="AG102" s="2013"/>
    </row>
    <row r="103" spans="1:55" ht="12" customHeight="1">
      <c r="A103" s="2013"/>
      <c r="B103" s="11446"/>
      <c r="C103" s="11423"/>
      <c r="D103" s="11423"/>
      <c r="E103" s="11423"/>
      <c r="F103" s="11423"/>
      <c r="G103" s="11423"/>
      <c r="H103" s="11423"/>
      <c r="I103" s="11423"/>
      <c r="J103" s="11423"/>
      <c r="K103" s="11423"/>
      <c r="L103" s="11423"/>
      <c r="M103" s="11423"/>
      <c r="N103" s="11423"/>
      <c r="O103" s="11423"/>
      <c r="P103" s="11423"/>
      <c r="Q103" s="11412"/>
      <c r="R103" s="11413"/>
      <c r="S103" s="11413"/>
      <c r="T103" s="11414"/>
      <c r="U103" s="11412"/>
      <c r="V103" s="11413"/>
      <c r="W103" s="11413"/>
      <c r="X103" s="11414"/>
      <c r="Y103" s="11405"/>
      <c r="Z103" s="11406"/>
      <c r="AA103" s="11412"/>
      <c r="AB103" s="11414"/>
      <c r="AC103" s="11412"/>
      <c r="AD103" s="11413"/>
      <c r="AE103" s="11413"/>
      <c r="AF103" s="11413"/>
      <c r="AG103" s="2013"/>
    </row>
    <row r="104" spans="1:55" ht="12" customHeight="1">
      <c r="A104" s="2013"/>
      <c r="B104" s="11446"/>
      <c r="C104" s="11423"/>
      <c r="D104" s="11423"/>
      <c r="E104" s="11423"/>
      <c r="F104" s="11423"/>
      <c r="G104" s="11423"/>
      <c r="H104" s="11423"/>
      <c r="I104" s="11423"/>
      <c r="J104" s="11423"/>
      <c r="K104" s="11423"/>
      <c r="L104" s="11423"/>
      <c r="M104" s="11423"/>
      <c r="N104" s="11423"/>
      <c r="O104" s="11423"/>
      <c r="P104" s="11423"/>
      <c r="Q104" s="11412"/>
      <c r="R104" s="11413"/>
      <c r="S104" s="11413"/>
      <c r="T104" s="11414"/>
      <c r="U104" s="11412"/>
      <c r="V104" s="11413"/>
      <c r="W104" s="11413"/>
      <c r="X104" s="11414"/>
      <c r="Y104" s="11405"/>
      <c r="Z104" s="11406"/>
      <c r="AA104" s="11412"/>
      <c r="AB104" s="11414"/>
      <c r="AC104" s="11412"/>
      <c r="AD104" s="11413"/>
      <c r="AE104" s="11413"/>
      <c r="AF104" s="11413"/>
      <c r="AG104" s="2013"/>
    </row>
    <row r="105" spans="1:55" ht="12" customHeight="1">
      <c r="A105" s="2013"/>
      <c r="B105" s="11446"/>
      <c r="C105" s="11423"/>
      <c r="D105" s="11423"/>
      <c r="E105" s="11423"/>
      <c r="F105" s="11423"/>
      <c r="G105" s="11423"/>
      <c r="H105" s="11423"/>
      <c r="I105" s="11423"/>
      <c r="J105" s="11423"/>
      <c r="K105" s="11423"/>
      <c r="L105" s="11423"/>
      <c r="M105" s="11423"/>
      <c r="N105" s="11423"/>
      <c r="O105" s="11423"/>
      <c r="P105" s="11423"/>
      <c r="Q105" s="11412"/>
      <c r="R105" s="11413"/>
      <c r="S105" s="11413"/>
      <c r="T105" s="11414"/>
      <c r="U105" s="11412"/>
      <c r="V105" s="11413"/>
      <c r="W105" s="11413"/>
      <c r="X105" s="11414"/>
      <c r="Y105" s="11405"/>
      <c r="Z105" s="11406"/>
      <c r="AA105" s="11412"/>
      <c r="AB105" s="11414"/>
      <c r="AC105" s="11412"/>
      <c r="AD105" s="11413"/>
      <c r="AE105" s="11413"/>
      <c r="AF105" s="11413"/>
      <c r="AG105" s="2013"/>
    </row>
    <row r="106" spans="1:55" ht="12" customHeight="1" thickBot="1">
      <c r="A106" s="2013"/>
      <c r="B106" s="11446"/>
      <c r="C106" s="11423"/>
      <c r="D106" s="11423"/>
      <c r="E106" s="11423"/>
      <c r="F106" s="11423"/>
      <c r="G106" s="11423"/>
      <c r="H106" s="11423"/>
      <c r="I106" s="11423"/>
      <c r="J106" s="11423"/>
      <c r="K106" s="11423"/>
      <c r="L106" s="11423"/>
      <c r="M106" s="11423"/>
      <c r="N106" s="11423"/>
      <c r="O106" s="11423"/>
      <c r="P106" s="11423"/>
      <c r="Q106" s="11412"/>
      <c r="R106" s="11413"/>
      <c r="S106" s="11413"/>
      <c r="T106" s="11414"/>
      <c r="U106" s="11447"/>
      <c r="V106" s="11448"/>
      <c r="W106" s="11448"/>
      <c r="X106" s="11449"/>
      <c r="Y106" s="11407"/>
      <c r="Z106" s="11408"/>
      <c r="AA106" s="11415"/>
      <c r="AB106" s="11417"/>
      <c r="AC106" s="11412"/>
      <c r="AD106" s="11413"/>
      <c r="AE106" s="11413"/>
      <c r="AF106" s="11413"/>
      <c r="AG106" s="2013"/>
    </row>
    <row r="107" spans="1:55" ht="25.5" customHeight="1" thickBot="1">
      <c r="A107" s="2013"/>
      <c r="B107" s="11418" t="s">
        <v>6414</v>
      </c>
      <c r="C107" s="11419"/>
      <c r="D107" s="11419"/>
      <c r="E107" s="11419"/>
      <c r="F107" s="11419"/>
      <c r="G107" s="11419"/>
      <c r="H107" s="11419"/>
      <c r="I107" s="11419"/>
      <c r="J107" s="11419"/>
      <c r="K107" s="11419"/>
      <c r="L107" s="11419"/>
      <c r="M107" s="11419"/>
      <c r="N107" s="11419"/>
      <c r="O107" s="11419"/>
      <c r="P107" s="11419"/>
      <c r="Q107" s="11419"/>
      <c r="R107" s="11419"/>
      <c r="S107" s="11419"/>
      <c r="T107" s="11419"/>
      <c r="U107" s="11420"/>
      <c r="V107" s="11420"/>
      <c r="W107" s="11420"/>
      <c r="X107" s="11420"/>
      <c r="Y107" s="11419"/>
      <c r="Z107" s="11419"/>
      <c r="AA107" s="11419"/>
      <c r="AB107" s="11419"/>
      <c r="AC107" s="11419"/>
      <c r="AD107" s="11419"/>
      <c r="AE107" s="11419"/>
      <c r="AF107" s="11419"/>
      <c r="AG107" s="2013"/>
    </row>
    <row r="108" spans="1:55" s="141" customFormat="1" ht="14.25" customHeight="1" thickTop="1">
      <c r="A108" s="2306"/>
      <c r="B108" s="6015"/>
      <c r="C108" s="88"/>
      <c r="D108" s="88"/>
      <c r="E108" s="88"/>
      <c r="F108" s="88"/>
      <c r="G108" s="88"/>
      <c r="H108" s="88"/>
      <c r="I108" s="88"/>
      <c r="J108" s="88"/>
      <c r="K108" s="88"/>
      <c r="L108" s="88"/>
      <c r="M108" s="88"/>
      <c r="N108" s="88"/>
      <c r="O108" s="88"/>
      <c r="P108" s="88"/>
      <c r="Q108" s="88"/>
      <c r="R108" s="88"/>
      <c r="S108" s="88"/>
      <c r="T108" s="88"/>
      <c r="U108" s="3931"/>
      <c r="V108" s="88"/>
      <c r="W108" s="88"/>
      <c r="X108" s="88"/>
      <c r="Y108" s="88"/>
      <c r="Z108" s="88"/>
      <c r="AA108" s="88"/>
      <c r="AB108" s="88"/>
      <c r="AC108" s="88"/>
      <c r="AD108" s="2052" t="s">
        <v>4481</v>
      </c>
      <c r="AE108" s="88"/>
      <c r="AF108" s="6016" t="str">
        <f>"("&amp;TaxYear&amp;")"</f>
        <v>(2025)</v>
      </c>
      <c r="AG108" s="2306"/>
      <c r="AH108" s="502"/>
      <c r="AI108" s="502"/>
      <c r="AS108"/>
      <c r="AT108"/>
      <c r="AU108"/>
      <c r="AV108"/>
      <c r="AW108"/>
      <c r="AX108"/>
      <c r="AY108"/>
      <c r="AZ108"/>
      <c r="BA108"/>
      <c r="BB108"/>
      <c r="BC108"/>
    </row>
    <row r="109" spans="1:55">
      <c r="A109" s="2013"/>
      <c r="B109" s="2013"/>
      <c r="C109" s="2013"/>
      <c r="D109" s="2013"/>
      <c r="E109" s="2013"/>
      <c r="F109" s="2013"/>
      <c r="G109" s="2013"/>
      <c r="H109" s="2013"/>
      <c r="I109" s="2013"/>
      <c r="J109" s="2013"/>
      <c r="K109" s="2013"/>
      <c r="L109" s="2013"/>
      <c r="M109" s="2013"/>
      <c r="N109" s="2013"/>
      <c r="O109" s="2013"/>
      <c r="P109" s="2013"/>
      <c r="Q109" s="2013"/>
      <c r="R109" s="2013"/>
      <c r="S109" s="2013"/>
      <c r="T109" s="2013"/>
      <c r="U109" s="2013"/>
      <c r="V109" s="2013"/>
      <c r="W109" s="2013"/>
      <c r="X109" s="2013"/>
      <c r="Y109" s="2013"/>
      <c r="Z109" s="2013"/>
      <c r="AA109" s="2013"/>
      <c r="AB109" s="2013"/>
      <c r="AC109" s="2013"/>
      <c r="AD109" s="2013"/>
      <c r="AE109" s="2013"/>
      <c r="AF109" s="2013"/>
      <c r="AG109" s="2013"/>
    </row>
  </sheetData>
  <sheetProtection algorithmName="SHA-512" hashValue="xXD77Ni4e54/bfbe451fX1U+i+gnPjGPO40ob091by8LFwRlG8zOaF0BijfySOUcEZ+yEHSL5cPXfbbVJi3sFA==" saltValue="RpIlmI0ohbtMXw0S1MnAAQ==" spinCount="100000" sheet="1" objects="1" scenarios="1" formatCells="0" formatColumns="0" formatRows="0"/>
  <mergeCells count="266">
    <mergeCell ref="H8:AA9"/>
    <mergeCell ref="AB8:AD9"/>
    <mergeCell ref="AE8:AF9"/>
    <mergeCell ref="B11:U11"/>
    <mergeCell ref="V11:AF11"/>
    <mergeCell ref="B12:AF14"/>
    <mergeCell ref="B2:K2"/>
    <mergeCell ref="B4:F6"/>
    <mergeCell ref="H4:AA6"/>
    <mergeCell ref="AB4:AF4"/>
    <mergeCell ref="AB5:AF7"/>
    <mergeCell ref="H7:AA7"/>
    <mergeCell ref="B16:C16"/>
    <mergeCell ref="BA22:BC22"/>
    <mergeCell ref="BA23:BA40"/>
    <mergeCell ref="BB23:BB40"/>
    <mergeCell ref="BC23:BC40"/>
    <mergeCell ref="AJ25:AQ25"/>
    <mergeCell ref="AJ27:AQ27"/>
    <mergeCell ref="AJ29:AQ29"/>
    <mergeCell ref="AJ31:AQ31"/>
    <mergeCell ref="AJ33:AQ33"/>
    <mergeCell ref="AQ37:AQ40"/>
    <mergeCell ref="AJ35:AQ35"/>
    <mergeCell ref="B37:B40"/>
    <mergeCell ref="C37:I40"/>
    <mergeCell ref="J37:L40"/>
    <mergeCell ref="M37:P40"/>
    <mergeCell ref="Q37:T40"/>
    <mergeCell ref="U37:X40"/>
    <mergeCell ref="Y37:AB38"/>
    <mergeCell ref="AC37:AF40"/>
    <mergeCell ref="AJ37:AJ40"/>
    <mergeCell ref="Y39:Z40"/>
    <mergeCell ref="AA39:AB40"/>
    <mergeCell ref="AO39:AO40"/>
    <mergeCell ref="AP39:AP40"/>
    <mergeCell ref="B41:I41"/>
    <mergeCell ref="J41:L41"/>
    <mergeCell ref="M41:P41"/>
    <mergeCell ref="Q41:T41"/>
    <mergeCell ref="U41:X41"/>
    <mergeCell ref="Y41:Z41"/>
    <mergeCell ref="AK37:AK40"/>
    <mergeCell ref="AL37:AL40"/>
    <mergeCell ref="AM37:AM40"/>
    <mergeCell ref="AN37:AN40"/>
    <mergeCell ref="AO37:AP38"/>
    <mergeCell ref="AA41:AB41"/>
    <mergeCell ref="AC41:AF41"/>
    <mergeCell ref="B42:I42"/>
    <mergeCell ref="J42:L42"/>
    <mergeCell ref="M42:P42"/>
    <mergeCell ref="Q42:T42"/>
    <mergeCell ref="U42:X42"/>
    <mergeCell ref="Y42:Z42"/>
    <mergeCell ref="AA42:AB42"/>
    <mergeCell ref="AC42:AF42"/>
    <mergeCell ref="AA43:AB43"/>
    <mergeCell ref="AC43:AF43"/>
    <mergeCell ref="B44:I44"/>
    <mergeCell ref="J44:L44"/>
    <mergeCell ref="M44:P44"/>
    <mergeCell ref="Q44:T44"/>
    <mergeCell ref="U44:X44"/>
    <mergeCell ref="Y44:Z44"/>
    <mergeCell ref="AA44:AB44"/>
    <mergeCell ref="AC44:AF44"/>
    <mergeCell ref="B43:I43"/>
    <mergeCell ref="J43:L43"/>
    <mergeCell ref="M43:P43"/>
    <mergeCell ref="Q43:T43"/>
    <mergeCell ref="U43:X43"/>
    <mergeCell ref="Y43:Z43"/>
    <mergeCell ref="AA45:AB45"/>
    <mergeCell ref="AC45:AF45"/>
    <mergeCell ref="B46:I46"/>
    <mergeCell ref="J46:L46"/>
    <mergeCell ref="M46:P46"/>
    <mergeCell ref="Q46:T46"/>
    <mergeCell ref="U46:X46"/>
    <mergeCell ref="Y46:Z46"/>
    <mergeCell ref="AA46:AB46"/>
    <mergeCell ref="AC46:AF46"/>
    <mergeCell ref="B45:I45"/>
    <mergeCell ref="J45:L45"/>
    <mergeCell ref="M45:P45"/>
    <mergeCell ref="Q45:T45"/>
    <mergeCell ref="U45:X45"/>
    <mergeCell ref="Y45:Z45"/>
    <mergeCell ref="AA47:AB47"/>
    <mergeCell ref="AC47:AF47"/>
    <mergeCell ref="B48:I48"/>
    <mergeCell ref="J48:L48"/>
    <mergeCell ref="M48:P48"/>
    <mergeCell ref="Q48:T48"/>
    <mergeCell ref="U48:X48"/>
    <mergeCell ref="Y48:Z48"/>
    <mergeCell ref="AA48:AB48"/>
    <mergeCell ref="AC48:AF48"/>
    <mergeCell ref="B47:I47"/>
    <mergeCell ref="J47:L47"/>
    <mergeCell ref="M47:P47"/>
    <mergeCell ref="Q47:T47"/>
    <mergeCell ref="U47:X47"/>
    <mergeCell ref="Y47:Z47"/>
    <mergeCell ref="AA49:AB49"/>
    <mergeCell ref="AC49:AF49"/>
    <mergeCell ref="B50:I50"/>
    <mergeCell ref="J50:L50"/>
    <mergeCell ref="M50:P50"/>
    <mergeCell ref="Q50:T50"/>
    <mergeCell ref="U50:X50"/>
    <mergeCell ref="Y50:Z50"/>
    <mergeCell ref="AA50:AB50"/>
    <mergeCell ref="AC50:AF50"/>
    <mergeCell ref="B49:I49"/>
    <mergeCell ref="J49:L49"/>
    <mergeCell ref="M49:P49"/>
    <mergeCell ref="Q49:T49"/>
    <mergeCell ref="U49:X49"/>
    <mergeCell ref="Y49:Z49"/>
    <mergeCell ref="B57:AF57"/>
    <mergeCell ref="B61:U61"/>
    <mergeCell ref="V61:AF61"/>
    <mergeCell ref="B62:AF64"/>
    <mergeCell ref="B66:C66"/>
    <mergeCell ref="BA72:BC72"/>
    <mergeCell ref="AA51:AB51"/>
    <mergeCell ref="AC51:AF51"/>
    <mergeCell ref="B52:B56"/>
    <mergeCell ref="C52:P56"/>
    <mergeCell ref="Q52:T56"/>
    <mergeCell ref="U52:X56"/>
    <mergeCell ref="Y52:Z56"/>
    <mergeCell ref="AA52:AB56"/>
    <mergeCell ref="AC52:AF56"/>
    <mergeCell ref="B51:I51"/>
    <mergeCell ref="J51:L51"/>
    <mergeCell ref="M51:P51"/>
    <mergeCell ref="Q51:T51"/>
    <mergeCell ref="U51:X51"/>
    <mergeCell ref="Y51:Z51"/>
    <mergeCell ref="BA73:BA90"/>
    <mergeCell ref="BB73:BB90"/>
    <mergeCell ref="BC73:BC90"/>
    <mergeCell ref="AJ75:AQ75"/>
    <mergeCell ref="AJ77:AQ77"/>
    <mergeCell ref="AJ81:AQ81"/>
    <mergeCell ref="AJ83:AQ83"/>
    <mergeCell ref="AN87:AN90"/>
    <mergeCell ref="AO87:AP88"/>
    <mergeCell ref="AJ85:AQ85"/>
    <mergeCell ref="AQ87:AQ90"/>
    <mergeCell ref="AO89:AO90"/>
    <mergeCell ref="AP89:AP90"/>
    <mergeCell ref="AJ87:AJ90"/>
    <mergeCell ref="AK87:AK90"/>
    <mergeCell ref="AL87:AL90"/>
    <mergeCell ref="AM87:AM90"/>
    <mergeCell ref="B91:I91"/>
    <mergeCell ref="J91:L91"/>
    <mergeCell ref="M91:P91"/>
    <mergeCell ref="Q91:T91"/>
    <mergeCell ref="U91:X91"/>
    <mergeCell ref="Y91:Z91"/>
    <mergeCell ref="AA91:AB91"/>
    <mergeCell ref="AC91:AF91"/>
    <mergeCell ref="Y87:AB88"/>
    <mergeCell ref="AC87:AF90"/>
    <mergeCell ref="B87:B90"/>
    <mergeCell ref="C87:I90"/>
    <mergeCell ref="J87:L90"/>
    <mergeCell ref="M87:P90"/>
    <mergeCell ref="Q87:T90"/>
    <mergeCell ref="U87:X90"/>
    <mergeCell ref="Y89:Z90"/>
    <mergeCell ref="AA89:AB90"/>
    <mergeCell ref="B92:I92"/>
    <mergeCell ref="J92:L92"/>
    <mergeCell ref="M92:P92"/>
    <mergeCell ref="Q92:T92"/>
    <mergeCell ref="U92:X92"/>
    <mergeCell ref="Y92:Z92"/>
    <mergeCell ref="AA92:AB92"/>
    <mergeCell ref="AC92:AF92"/>
    <mergeCell ref="B93:I93"/>
    <mergeCell ref="J93:L93"/>
    <mergeCell ref="M93:P93"/>
    <mergeCell ref="Q93:T93"/>
    <mergeCell ref="U93:X93"/>
    <mergeCell ref="Y93:Z93"/>
    <mergeCell ref="AA93:AB93"/>
    <mergeCell ref="AC93:AF93"/>
    <mergeCell ref="AA94:AB94"/>
    <mergeCell ref="AC94:AF94"/>
    <mergeCell ref="B95:I95"/>
    <mergeCell ref="J95:L95"/>
    <mergeCell ref="M95:P95"/>
    <mergeCell ref="Q95:T95"/>
    <mergeCell ref="U95:X95"/>
    <mergeCell ref="Y95:Z95"/>
    <mergeCell ref="AA95:AB95"/>
    <mergeCell ref="AC95:AF95"/>
    <mergeCell ref="B94:I94"/>
    <mergeCell ref="J94:L94"/>
    <mergeCell ref="M94:P94"/>
    <mergeCell ref="Q94:T94"/>
    <mergeCell ref="U94:X94"/>
    <mergeCell ref="Y94:Z94"/>
    <mergeCell ref="AA96:AB96"/>
    <mergeCell ref="AC96:AF96"/>
    <mergeCell ref="B97:I97"/>
    <mergeCell ref="J97:L97"/>
    <mergeCell ref="M97:P97"/>
    <mergeCell ref="Q97:T97"/>
    <mergeCell ref="U97:X97"/>
    <mergeCell ref="Y97:Z97"/>
    <mergeCell ref="AA97:AB97"/>
    <mergeCell ref="AC97:AF97"/>
    <mergeCell ref="B96:I96"/>
    <mergeCell ref="J96:L96"/>
    <mergeCell ref="M96:P96"/>
    <mergeCell ref="Q96:T96"/>
    <mergeCell ref="U96:X96"/>
    <mergeCell ref="Y96:Z96"/>
    <mergeCell ref="AA98:AB98"/>
    <mergeCell ref="AC98:AF98"/>
    <mergeCell ref="B99:I99"/>
    <mergeCell ref="J99:L99"/>
    <mergeCell ref="M99:P99"/>
    <mergeCell ref="Q99:T99"/>
    <mergeCell ref="U99:X99"/>
    <mergeCell ref="Y99:Z99"/>
    <mergeCell ref="AA99:AB99"/>
    <mergeCell ref="AC99:AF99"/>
    <mergeCell ref="B98:I98"/>
    <mergeCell ref="J98:L98"/>
    <mergeCell ref="M98:P98"/>
    <mergeCell ref="Q98:T98"/>
    <mergeCell ref="U98:X98"/>
    <mergeCell ref="Y98:Z98"/>
    <mergeCell ref="AC102:AF106"/>
    <mergeCell ref="B107:AF107"/>
    <mergeCell ref="B102:B106"/>
    <mergeCell ref="C102:P106"/>
    <mergeCell ref="Q102:T106"/>
    <mergeCell ref="U102:X106"/>
    <mergeCell ref="Y102:Z106"/>
    <mergeCell ref="AA102:AB106"/>
    <mergeCell ref="AA100:AB100"/>
    <mergeCell ref="AC100:AF100"/>
    <mergeCell ref="B101:I101"/>
    <mergeCell ref="J101:L101"/>
    <mergeCell ref="M101:P101"/>
    <mergeCell ref="Q101:T101"/>
    <mergeCell ref="U101:X101"/>
    <mergeCell ref="Y101:Z101"/>
    <mergeCell ref="AA101:AB101"/>
    <mergeCell ref="AC101:AF101"/>
    <mergeCell ref="B100:I100"/>
    <mergeCell ref="J100:L100"/>
    <mergeCell ref="M100:P100"/>
    <mergeCell ref="Q100:T100"/>
    <mergeCell ref="U100:X100"/>
    <mergeCell ref="Y100:Z100"/>
  </mergeCells>
  <conditionalFormatting sqref="B2">
    <cfRule type="expression" dxfId="372" priority="89" stopIfTrue="1">
      <formula>IF(OR($AG$16,$AG$66),1,0)</formula>
    </cfRule>
  </conditionalFormatting>
  <conditionalFormatting sqref="B21">
    <cfRule type="expression" dxfId="371" priority="28">
      <formula>AND(NOT(NoColor),A35=0,AC52&lt;&gt;"")</formula>
    </cfRule>
  </conditionalFormatting>
  <conditionalFormatting sqref="B23">
    <cfRule type="expression" dxfId="370" priority="25">
      <formula>SpaceUsed_8949A_ST</formula>
    </cfRule>
  </conditionalFormatting>
  <conditionalFormatting sqref="B71">
    <cfRule type="expression" dxfId="369" priority="23">
      <formula>AND(NOT(NoColor),A85=0,AC102&lt;&gt;"")</formula>
    </cfRule>
  </conditionalFormatting>
  <conditionalFormatting sqref="B73">
    <cfRule type="expression" dxfId="368" priority="22">
      <formula>SpaceUsed_8949A_LT</formula>
    </cfRule>
  </conditionalFormatting>
  <conditionalFormatting sqref="B11:AF11">
    <cfRule type="expression" dxfId="367" priority="83">
      <formula>IF(NoColor,1,0)</formula>
    </cfRule>
  </conditionalFormatting>
  <conditionalFormatting sqref="B41:AF51">
    <cfRule type="expression" dxfId="366" priority="5">
      <formula>IF(NoColor,1,0)</formula>
    </cfRule>
  </conditionalFormatting>
  <conditionalFormatting sqref="B61:AF61">
    <cfRule type="expression" dxfId="365" priority="80">
      <formula>IF(NoColor,1,0)</formula>
    </cfRule>
  </conditionalFormatting>
  <conditionalFormatting sqref="B91:AF101">
    <cfRule type="expression" dxfId="364" priority="1">
      <formula>IF(NoColor,1,0)</formula>
    </cfRule>
  </conditionalFormatting>
  <conditionalFormatting sqref="C25">
    <cfRule type="expression" dxfId="363" priority="63">
      <formula>IF(NoColor,1,0)</formula>
    </cfRule>
    <cfRule type="expression" dxfId="362" priority="62">
      <formula>C25=CHAR(32)</formula>
    </cfRule>
  </conditionalFormatting>
  <conditionalFormatting sqref="C27">
    <cfRule type="expression" dxfId="361" priority="61">
      <formula>IF(NoColor,1,0)</formula>
    </cfRule>
    <cfRule type="expression" dxfId="360" priority="60">
      <formula>C27=CHAR(32)</formula>
    </cfRule>
  </conditionalFormatting>
  <conditionalFormatting sqref="C29">
    <cfRule type="expression" dxfId="359" priority="59">
      <formula>IF(NoColor,1,0)</formula>
    </cfRule>
    <cfRule type="expression" dxfId="358" priority="58">
      <formula>C29=CHAR(32)</formula>
    </cfRule>
  </conditionalFormatting>
  <conditionalFormatting sqref="C31">
    <cfRule type="expression" dxfId="357" priority="57">
      <formula>IF(NoColor,1,0)</formula>
    </cfRule>
    <cfRule type="expression" dxfId="356" priority="56">
      <formula>C31=CHAR(32)</formula>
    </cfRule>
  </conditionalFormatting>
  <conditionalFormatting sqref="C33">
    <cfRule type="expression" dxfId="355" priority="71">
      <formula>IF(NoColor,1,0)</formula>
    </cfRule>
    <cfRule type="expression" dxfId="354" priority="64">
      <formula>C33=CHAR(32)</formula>
    </cfRule>
  </conditionalFormatting>
  <conditionalFormatting sqref="C35">
    <cfRule type="expression" dxfId="353" priority="55">
      <formula>IF(NoColor,1,0)</formula>
    </cfRule>
    <cfRule type="expression" dxfId="352" priority="54">
      <formula>C35=CHAR(32)</formula>
    </cfRule>
  </conditionalFormatting>
  <conditionalFormatting sqref="C75">
    <cfRule type="expression" dxfId="351" priority="47">
      <formula>AND(SpaceUsed_8949A_LT,C75=CHAR(32))</formula>
    </cfRule>
    <cfRule type="expression" dxfId="350" priority="48">
      <formula>IF(NoColor,1,0)</formula>
    </cfRule>
  </conditionalFormatting>
  <conditionalFormatting sqref="C77">
    <cfRule type="expression" dxfId="349" priority="77">
      <formula>IF(NoColor,1,0)</formula>
    </cfRule>
    <cfRule type="expression" dxfId="348" priority="49">
      <formula>AND(SpaceUsed_8949A_LT,C77=CHAR(32))</formula>
    </cfRule>
  </conditionalFormatting>
  <conditionalFormatting sqref="C79">
    <cfRule type="expression" dxfId="347" priority="45">
      <formula>AND(SpaceUsed_8949A_LT,C79=CHAR(32))</formula>
    </cfRule>
    <cfRule type="expression" dxfId="346" priority="46">
      <formula>IF(NoColor,1,0)</formula>
    </cfRule>
  </conditionalFormatting>
  <conditionalFormatting sqref="C81">
    <cfRule type="expression" dxfId="345" priority="44">
      <formula>IF(NoColor,1,0)</formula>
    </cfRule>
    <cfRule type="expression" dxfId="344" priority="43">
      <formula>AND(SpaceUsed_8949A_LT,C81=CHAR(32))</formula>
    </cfRule>
  </conditionalFormatting>
  <conditionalFormatting sqref="C83">
    <cfRule type="expression" dxfId="343" priority="42">
      <formula>IF(NoColor,1,0)</formula>
    </cfRule>
    <cfRule type="expression" dxfId="342" priority="41">
      <formula>AND(SpaceUsed_8949A_LT,C83=CHAR(32))</formula>
    </cfRule>
  </conditionalFormatting>
  <conditionalFormatting sqref="C85">
    <cfRule type="expression" dxfId="341" priority="40">
      <formula>IF(NoColor,1,0)</formula>
    </cfRule>
    <cfRule type="expression" dxfId="340" priority="39">
      <formula>AND(SpaceUsed_8949A_LT,C85=CHAR(32))</formula>
    </cfRule>
  </conditionalFormatting>
  <conditionalFormatting sqref="D25">
    <cfRule type="expression" dxfId="339" priority="70">
      <formula>C25=CHAR(32)</formula>
    </cfRule>
  </conditionalFormatting>
  <conditionalFormatting sqref="D27">
    <cfRule type="expression" dxfId="338" priority="69">
      <formula>C27=CHAR(32)</formula>
    </cfRule>
  </conditionalFormatting>
  <conditionalFormatting sqref="D29">
    <cfRule type="expression" dxfId="337" priority="68">
      <formula>C29=CHAR(32)</formula>
    </cfRule>
  </conditionalFormatting>
  <conditionalFormatting sqref="D31">
    <cfRule type="expression" dxfId="336" priority="67">
      <formula>C31=CHAR(32)</formula>
    </cfRule>
  </conditionalFormatting>
  <conditionalFormatting sqref="D33">
    <cfRule type="expression" dxfId="335" priority="66">
      <formula>C33=CHAR(32)</formula>
    </cfRule>
  </conditionalFormatting>
  <conditionalFormatting sqref="D35">
    <cfRule type="expression" dxfId="334" priority="65">
      <formula>C35=CHAR(32)</formula>
    </cfRule>
  </conditionalFormatting>
  <conditionalFormatting sqref="D75">
    <cfRule type="expression" dxfId="333" priority="38">
      <formula>AND(SpaceUsed_8949A_LT,C75=CHAR(32))</formula>
    </cfRule>
  </conditionalFormatting>
  <conditionalFormatting sqref="D77">
    <cfRule type="expression" dxfId="332" priority="37">
      <formula>AND(SpaceUsed_8949A_LT,C77=CHAR(32))</formula>
    </cfRule>
  </conditionalFormatting>
  <conditionalFormatting sqref="D79">
    <cfRule type="expression" dxfId="331" priority="36">
      <formula>AND(SpaceUsed_8949A_LT,C79=CHAR(32))</formula>
    </cfRule>
  </conditionalFormatting>
  <conditionalFormatting sqref="D81">
    <cfRule type="expression" dxfId="330" priority="35">
      <formula>AND(SpaceUsed_8949A_LT,C81=CHAR(32))</formula>
    </cfRule>
  </conditionalFormatting>
  <conditionalFormatting sqref="D83">
    <cfRule type="expression" dxfId="329" priority="34">
      <formula>AND(SpaceUsed_8949A_LT,C83=CHAR(32))</formula>
    </cfRule>
  </conditionalFormatting>
  <conditionalFormatting sqref="D85">
    <cfRule type="expression" dxfId="328" priority="33">
      <formula>AND(SpaceUsed_8949A_LT,C85=CHAR(32))</formula>
    </cfRule>
  </conditionalFormatting>
  <conditionalFormatting sqref="J41:J51">
    <cfRule type="expression" dxfId="327" priority="8" stopIfTrue="1">
      <formula>AND($L$2="",NOT($AZ41))</formula>
    </cfRule>
  </conditionalFormatting>
  <conditionalFormatting sqref="J91:L101">
    <cfRule type="expression" dxfId="326" priority="3">
      <formula>AND($L$2="",$AZ91)</formula>
    </cfRule>
  </conditionalFormatting>
  <conditionalFormatting sqref="K71">
    <cfRule type="expression" dxfId="325" priority="24">
      <formula>IF($A$79&gt;1,1,0)</formula>
    </cfRule>
  </conditionalFormatting>
  <conditionalFormatting sqref="L2">
    <cfRule type="expression" dxfId="324" priority="90" stopIfTrue="1">
      <formula>IF(OR($AG$16,$AG$66),1,0)</formula>
    </cfRule>
  </conditionalFormatting>
  <conditionalFormatting sqref="L21">
    <cfRule type="expression" dxfId="323" priority="27">
      <formula>(A29&gt;1)</formula>
    </cfRule>
  </conditionalFormatting>
  <conditionalFormatting sqref="M41:M51">
    <cfRule type="expression" dxfId="322" priority="6" stopIfTrue="1">
      <formula>AND($L$2="",NOT($AZ41))</formula>
    </cfRule>
  </conditionalFormatting>
  <conditionalFormatting sqref="M91:M101">
    <cfRule type="expression" dxfId="321" priority="2" stopIfTrue="1">
      <formula>AND($L$2="",$AZ91)</formula>
    </cfRule>
  </conditionalFormatting>
  <conditionalFormatting sqref="M21:N21">
    <cfRule type="expression" dxfId="320" priority="26">
      <formula>$A$35&gt;1</formula>
    </cfRule>
  </conditionalFormatting>
  <conditionalFormatting sqref="M71:N71">
    <cfRule type="expression" dxfId="319" priority="21">
      <formula>IF($A$85&gt;1,1,0)</formula>
    </cfRule>
  </conditionalFormatting>
  <conditionalFormatting sqref="P66">
    <cfRule type="expression" dxfId="318" priority="88" stopIfTrue="1">
      <formula>IF(AND($L$2="",$AG$66),TRUE,FALSE)</formula>
    </cfRule>
  </conditionalFormatting>
  <conditionalFormatting sqref="Q52:X56">
    <cfRule type="expression" dxfId="317" priority="82">
      <formula>IF(NoColor,1,0)</formula>
    </cfRule>
  </conditionalFormatting>
  <conditionalFormatting sqref="Q102:X106">
    <cfRule type="expression" dxfId="316" priority="79">
      <formula>IF(NoColor,1,0)</formula>
    </cfRule>
  </conditionalFormatting>
  <conditionalFormatting sqref="T16:T19">
    <cfRule type="expression" dxfId="315" priority="87" stopIfTrue="1">
      <formula>IF(AND($L$2="",$AG$16),TRUE,FALSE)</formula>
    </cfRule>
  </conditionalFormatting>
  <conditionalFormatting sqref="T66">
    <cfRule type="expression" dxfId="314" priority="86" stopIfTrue="1">
      <formula>IF(AND($L$2="",$AG$66),TRUE,FALSE)</formula>
    </cfRule>
  </conditionalFormatting>
  <conditionalFormatting sqref="T67:T69">
    <cfRule type="expression" dxfId="313" priority="76" stopIfTrue="1">
      <formula>IF(AND($L$2="",$AG$16),TRUE,FALSE)</formula>
    </cfRule>
  </conditionalFormatting>
  <conditionalFormatting sqref="AA52:AF56">
    <cfRule type="expression" dxfId="312" priority="81">
      <formula>IF(NoColor,1,0)</formula>
    </cfRule>
  </conditionalFormatting>
  <conditionalFormatting sqref="AA102:AF106">
    <cfRule type="expression" dxfId="311" priority="78">
      <formula>IF(NoColor,1,0)</formula>
    </cfRule>
  </conditionalFormatting>
  <conditionalFormatting sqref="AB4:AF4">
    <cfRule type="expression" dxfId="310" priority="30">
      <formula>AND(AI3,AH4="")</formula>
    </cfRule>
  </conditionalFormatting>
  <conditionalFormatting sqref="AH4">
    <cfRule type="expression" dxfId="309" priority="29">
      <formula>$AI$3</formula>
    </cfRule>
  </conditionalFormatting>
  <pageMargins left="0.75" right="0.25" top="0.36" bottom="0.28999999999999998" header="0.36" footer="0.21"/>
  <pageSetup scale="75" fitToHeight="0" orientation="portrait" r:id="rId1"/>
  <rowBreaks count="1" manualBreakCount="1">
    <brk id="58" min="1" max="31" man="1"/>
  </rowBreak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pageSetUpPr fitToPage="1"/>
  </sheetPr>
  <dimension ref="A1:BC109"/>
  <sheetViews>
    <sheetView zoomScaleNormal="100" zoomScaleSheetLayoutView="100" workbookViewId="0">
      <selection activeCell="AH38" sqref="AH38"/>
    </sheetView>
  </sheetViews>
  <sheetFormatPr defaultColWidth="3.7109375" defaultRowHeight="12.75"/>
  <cols>
    <col min="1" max="1" width="3.7109375" style="6021" customWidth="1"/>
    <col min="2" max="2" width="4.140625" customWidth="1"/>
    <col min="3" max="3" width="2.28515625" customWidth="1"/>
    <col min="4" max="9" width="3.7109375" customWidth="1"/>
    <col min="10" max="10" width="4" customWidth="1"/>
    <col min="11" max="11" width="6.85546875" customWidth="1"/>
    <col min="12" max="12" width="4" customWidth="1"/>
    <col min="13" max="16" width="3.7109375" customWidth="1"/>
    <col min="17" max="20" width="4.28515625" customWidth="1"/>
    <col min="21" max="23" width="3.85546875" customWidth="1"/>
    <col min="24" max="24" width="3.7109375" customWidth="1"/>
    <col min="25" max="26" width="5.42578125" customWidth="1"/>
    <col min="27" max="28" width="6.42578125" customWidth="1"/>
    <col min="29" max="32" width="3.7109375" customWidth="1"/>
    <col min="33" max="33" width="6" style="6022" customWidth="1"/>
    <col min="34" max="34" width="4.85546875" style="84" customWidth="1"/>
    <col min="35" max="35" width="8.5703125" style="84" bestFit="1" customWidth="1"/>
    <col min="36" max="36" width="29.28515625" customWidth="1"/>
    <col min="37" max="40" width="13.7109375" customWidth="1"/>
    <col min="41" max="41" width="10" customWidth="1"/>
    <col min="42" max="42" width="15.5703125" customWidth="1"/>
    <col min="43" max="43" width="15.42578125" customWidth="1"/>
    <col min="44" max="44" width="13" customWidth="1"/>
    <col min="45" max="47" width="13" hidden="1" customWidth="1"/>
    <col min="48" max="48" width="3.85546875" hidden="1" customWidth="1"/>
    <col min="49" max="51" width="13" hidden="1" customWidth="1"/>
    <col min="52" max="52" width="8.5703125" hidden="1" customWidth="1"/>
    <col min="53" max="55" width="13" hidden="1" customWidth="1"/>
    <col min="56" max="68" width="3.7109375" customWidth="1"/>
  </cols>
  <sheetData>
    <row r="1" spans="1:35">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2013"/>
      <c r="AD1" s="2013"/>
      <c r="AE1" s="2013"/>
      <c r="AF1" s="2013"/>
      <c r="AG1" s="2013"/>
    </row>
    <row r="2" spans="1:35">
      <c r="A2" s="139"/>
      <c r="B2" s="11463" t="s">
        <v>4453</v>
      </c>
      <c r="C2" s="11464"/>
      <c r="D2" s="11464"/>
      <c r="E2" s="11464"/>
      <c r="F2" s="11464"/>
      <c r="G2" s="11464"/>
      <c r="H2" s="11464"/>
      <c r="I2" s="11464"/>
      <c r="J2" s="11464"/>
      <c r="K2" s="11464"/>
      <c r="L2" s="264"/>
      <c r="M2" s="139"/>
      <c r="N2" s="139"/>
      <c r="O2" s="139"/>
      <c r="P2" s="139"/>
      <c r="Q2" s="139"/>
      <c r="R2" s="139"/>
      <c r="S2" s="139"/>
      <c r="T2" s="139"/>
      <c r="U2" s="139"/>
      <c r="V2" s="139"/>
      <c r="W2" s="139"/>
      <c r="X2" s="139"/>
      <c r="Y2" s="139"/>
      <c r="Z2" s="139"/>
      <c r="AA2" s="962"/>
      <c r="AB2" s="139"/>
      <c r="AC2" s="139"/>
      <c r="AD2" s="139"/>
      <c r="AE2" s="139"/>
      <c r="AF2" s="139"/>
      <c r="AG2" s="2013"/>
    </row>
    <row r="3" spans="1:35">
      <c r="A3" s="2013"/>
      <c r="B3" s="2013"/>
      <c r="C3" s="2013"/>
      <c r="D3" s="2013"/>
      <c r="E3" s="2013"/>
      <c r="F3" s="2013"/>
      <c r="G3" s="2013"/>
      <c r="H3" s="2013"/>
      <c r="I3" s="2013"/>
      <c r="J3" s="2013"/>
      <c r="K3" s="2013"/>
      <c r="L3" s="2013"/>
      <c r="M3" s="2013"/>
      <c r="N3" s="2013"/>
      <c r="O3" s="2013"/>
      <c r="P3" s="2013"/>
      <c r="Q3" s="2013"/>
      <c r="R3" s="2013"/>
      <c r="S3" s="2013"/>
      <c r="T3" s="2013"/>
      <c r="U3" s="2013"/>
      <c r="V3" s="2013"/>
      <c r="W3" s="2013"/>
      <c r="X3" s="2013"/>
      <c r="Y3" s="2013"/>
      <c r="Z3" s="2013"/>
      <c r="AA3" s="2013"/>
      <c r="AB3" s="2013"/>
      <c r="AC3" s="2013"/>
      <c r="AD3" s="2013"/>
      <c r="AE3" s="2013"/>
      <c r="AF3" s="2013"/>
      <c r="AG3" s="2013"/>
      <c r="AI3" s="318" t="b">
        <f>'Table of Contents'!A63="D"</f>
        <v>0</v>
      </c>
    </row>
    <row r="4" spans="1:35" ht="11.25" customHeight="1">
      <c r="A4" s="2013"/>
      <c r="B4" s="11465" t="s">
        <v>4454</v>
      </c>
      <c r="C4" s="7601"/>
      <c r="D4" s="7601"/>
      <c r="E4" s="7601"/>
      <c r="F4" s="7601"/>
      <c r="G4" s="88"/>
      <c r="H4" s="11467" t="s">
        <v>4455</v>
      </c>
      <c r="I4" s="11468"/>
      <c r="J4" s="11468"/>
      <c r="K4" s="11468"/>
      <c r="L4" s="11468"/>
      <c r="M4" s="11468"/>
      <c r="N4" s="11468"/>
      <c r="O4" s="11468"/>
      <c r="P4" s="11468"/>
      <c r="Q4" s="11468"/>
      <c r="R4" s="11468"/>
      <c r="S4" s="11468"/>
      <c r="T4" s="11468"/>
      <c r="U4" s="11468"/>
      <c r="V4" s="11468"/>
      <c r="W4" s="11468"/>
      <c r="X4" s="11468"/>
      <c r="Y4" s="11468"/>
      <c r="Z4" s="11468"/>
      <c r="AA4" s="11469"/>
      <c r="AB4" s="8062" t="str">
        <f>IF(AND(AI3,AH4=""),"DRAFT","OMB No. 1545-0074")</f>
        <v>OMB No. 1545-0074</v>
      </c>
      <c r="AC4" s="9894"/>
      <c r="AD4" s="9894"/>
      <c r="AE4" s="9894"/>
      <c r="AF4" s="9894"/>
      <c r="AG4" s="2013"/>
      <c r="AH4" s="6003"/>
      <c r="AI4" s="6001" t="str">
        <f>IF(AI3,"Hide 'DRAFT'.","")</f>
        <v/>
      </c>
    </row>
    <row r="5" spans="1:35" ht="11.25" customHeight="1">
      <c r="A5" s="2013"/>
      <c r="B5" s="7601"/>
      <c r="C5" s="7601"/>
      <c r="D5" s="7601"/>
      <c r="E5" s="7601"/>
      <c r="F5" s="7601"/>
      <c r="G5" s="88"/>
      <c r="H5" s="11470"/>
      <c r="I5" s="11468"/>
      <c r="J5" s="11468"/>
      <c r="K5" s="11468"/>
      <c r="L5" s="11468"/>
      <c r="M5" s="11468"/>
      <c r="N5" s="11468"/>
      <c r="O5" s="11468"/>
      <c r="P5" s="11468"/>
      <c r="Q5" s="11468"/>
      <c r="R5" s="11468"/>
      <c r="S5" s="11468"/>
      <c r="T5" s="11468"/>
      <c r="U5" s="11468"/>
      <c r="V5" s="11468"/>
      <c r="W5" s="11468"/>
      <c r="X5" s="11468"/>
      <c r="Y5" s="11468"/>
      <c r="Z5" s="11468"/>
      <c r="AA5" s="11469"/>
      <c r="AB5" s="11466">
        <f>TaxYear</f>
        <v>2025</v>
      </c>
      <c r="AC5" s="7601"/>
      <c r="AD5" s="7601"/>
      <c r="AE5" s="7601"/>
      <c r="AF5" s="7601"/>
      <c r="AG5" s="2013"/>
      <c r="AH5" s="6004"/>
    </row>
    <row r="6" spans="1:35" ht="11.25" customHeight="1">
      <c r="A6" s="2013"/>
      <c r="B6" s="7601"/>
      <c r="C6" s="7601"/>
      <c r="D6" s="7601"/>
      <c r="E6" s="7601"/>
      <c r="F6" s="7601"/>
      <c r="G6" s="88"/>
      <c r="H6" s="11471"/>
      <c r="I6" s="7091"/>
      <c r="J6" s="7091"/>
      <c r="K6" s="7091"/>
      <c r="L6" s="7091"/>
      <c r="M6" s="7091"/>
      <c r="N6" s="7091"/>
      <c r="O6" s="7091"/>
      <c r="P6" s="7091"/>
      <c r="Q6" s="7091"/>
      <c r="R6" s="7091"/>
      <c r="S6" s="7091"/>
      <c r="T6" s="7091"/>
      <c r="U6" s="7091"/>
      <c r="V6" s="7091"/>
      <c r="W6" s="7091"/>
      <c r="X6" s="7091"/>
      <c r="Y6" s="7091"/>
      <c r="Z6" s="7091"/>
      <c r="AA6" s="9627"/>
      <c r="AB6" s="7601"/>
      <c r="AC6" s="7601"/>
      <c r="AD6" s="7601"/>
      <c r="AE6" s="7601"/>
      <c r="AF6" s="7601"/>
      <c r="AG6" s="2013"/>
      <c r="AH6" s="6005"/>
    </row>
    <row r="7" spans="1:35" ht="11.25" customHeight="1">
      <c r="A7" s="2013"/>
      <c r="B7" s="88"/>
      <c r="C7" s="88"/>
      <c r="D7" s="88"/>
      <c r="E7" s="88"/>
      <c r="F7" s="88"/>
      <c r="G7" s="88"/>
      <c r="H7" s="11472" t="s">
        <v>4456</v>
      </c>
      <c r="I7" s="11473"/>
      <c r="J7" s="11473"/>
      <c r="K7" s="11473"/>
      <c r="L7" s="11473"/>
      <c r="M7" s="11473"/>
      <c r="N7" s="11473"/>
      <c r="O7" s="11473"/>
      <c r="P7" s="11473"/>
      <c r="Q7" s="11473"/>
      <c r="R7" s="11473"/>
      <c r="S7" s="11473"/>
      <c r="T7" s="11473"/>
      <c r="U7" s="11473"/>
      <c r="V7" s="11473"/>
      <c r="W7" s="11473"/>
      <c r="X7" s="11473"/>
      <c r="Y7" s="11473"/>
      <c r="Z7" s="11473"/>
      <c r="AA7" s="11474"/>
      <c r="AB7" s="7601"/>
      <c r="AC7" s="7601"/>
      <c r="AD7" s="7601"/>
      <c r="AE7" s="7601"/>
      <c r="AF7" s="7601"/>
      <c r="AG7" s="2013"/>
    </row>
    <row r="8" spans="1:35" ht="10.5" customHeight="1">
      <c r="A8" s="2013"/>
      <c r="B8" s="229" t="s">
        <v>503</v>
      </c>
      <c r="C8" s="88"/>
      <c r="D8" s="88"/>
      <c r="E8" s="88"/>
      <c r="F8" s="88"/>
      <c r="G8" s="88"/>
      <c r="H8" s="11454" t="s">
        <v>5088</v>
      </c>
      <c r="I8" s="11455"/>
      <c r="J8" s="11455"/>
      <c r="K8" s="11455"/>
      <c r="L8" s="11455"/>
      <c r="M8" s="11455"/>
      <c r="N8" s="11455"/>
      <c r="O8" s="11455"/>
      <c r="P8" s="11455"/>
      <c r="Q8" s="11455"/>
      <c r="R8" s="11455"/>
      <c r="S8" s="11455"/>
      <c r="T8" s="11455"/>
      <c r="U8" s="11455"/>
      <c r="V8" s="11455"/>
      <c r="W8" s="11455"/>
      <c r="X8" s="11455"/>
      <c r="Y8" s="11455"/>
      <c r="Z8" s="11455"/>
      <c r="AA8" s="11456"/>
      <c r="AB8" s="11450" t="s">
        <v>1959</v>
      </c>
      <c r="AC8" s="11451"/>
      <c r="AD8" s="11451"/>
      <c r="AE8" s="9111" t="s">
        <v>4457</v>
      </c>
      <c r="AF8" s="9111"/>
      <c r="AG8" s="2013"/>
    </row>
    <row r="9" spans="1:35" ht="10.5" customHeight="1" thickBot="1">
      <c r="A9" s="2013"/>
      <c r="B9" s="6504" t="s">
        <v>505</v>
      </c>
      <c r="C9" s="6505"/>
      <c r="D9" s="6505"/>
      <c r="E9" s="6505"/>
      <c r="F9" s="6505"/>
      <c r="G9" s="6505"/>
      <c r="H9" s="11457"/>
      <c r="I9" s="11458"/>
      <c r="J9" s="11458"/>
      <c r="K9" s="11458"/>
      <c r="L9" s="11458"/>
      <c r="M9" s="11458"/>
      <c r="N9" s="11458"/>
      <c r="O9" s="11458"/>
      <c r="P9" s="11458"/>
      <c r="Q9" s="11458"/>
      <c r="R9" s="11458"/>
      <c r="S9" s="11458"/>
      <c r="T9" s="11458"/>
      <c r="U9" s="11458"/>
      <c r="V9" s="11458"/>
      <c r="W9" s="11458"/>
      <c r="X9" s="11458"/>
      <c r="Y9" s="11458"/>
      <c r="Z9" s="11458"/>
      <c r="AA9" s="11459"/>
      <c r="AB9" s="11452"/>
      <c r="AC9" s="11453"/>
      <c r="AD9" s="11453"/>
      <c r="AE9" s="11460"/>
      <c r="AF9" s="11460"/>
      <c r="AG9" s="2013"/>
    </row>
    <row r="10" spans="1:35" ht="13.5" thickTop="1">
      <c r="A10" s="2013"/>
      <c r="B10" s="229" t="s">
        <v>1918</v>
      </c>
      <c r="C10" s="88"/>
      <c r="D10" s="88"/>
      <c r="E10" s="88"/>
      <c r="F10" s="88"/>
      <c r="G10" s="88"/>
      <c r="H10" s="88"/>
      <c r="I10" s="88"/>
      <c r="J10" s="88"/>
      <c r="K10" s="88"/>
      <c r="L10" s="88"/>
      <c r="M10" s="88"/>
      <c r="N10" s="88"/>
      <c r="O10" s="88"/>
      <c r="P10" s="88"/>
      <c r="Q10" s="88"/>
      <c r="R10" s="88"/>
      <c r="S10" s="88"/>
      <c r="T10" s="88"/>
      <c r="U10" s="88"/>
      <c r="V10" s="6006" t="s">
        <v>4458</v>
      </c>
      <c r="W10" s="88"/>
      <c r="X10" s="88"/>
      <c r="Y10" s="88"/>
      <c r="Z10" s="2666"/>
      <c r="AA10" s="88"/>
      <c r="AB10" s="88"/>
      <c r="AC10" s="88"/>
      <c r="AD10" s="88"/>
      <c r="AE10" s="88"/>
      <c r="AF10" s="88"/>
      <c r="AG10" s="2013"/>
    </row>
    <row r="11" spans="1:35" ht="16.5" thickBot="1">
      <c r="A11" s="2013"/>
      <c r="B11" s="11436" t="str">
        <f>Names</f>
        <v/>
      </c>
      <c r="C11" s="11437"/>
      <c r="D11" s="11437"/>
      <c r="E11" s="11437"/>
      <c r="F11" s="11437"/>
      <c r="G11" s="11437"/>
      <c r="H11" s="11437"/>
      <c r="I11" s="11437"/>
      <c r="J11" s="11437"/>
      <c r="K11" s="11437"/>
      <c r="L11" s="11437"/>
      <c r="M11" s="11437"/>
      <c r="N11" s="11437"/>
      <c r="O11" s="11437"/>
      <c r="P11" s="11437"/>
      <c r="Q11" s="11437"/>
      <c r="R11" s="11437"/>
      <c r="S11" s="11437"/>
      <c r="T11" s="11437"/>
      <c r="U11" s="11438"/>
      <c r="V11" s="11439">
        <f>IF(NoSSN,"",SS_Yours)</f>
        <v>1010001</v>
      </c>
      <c r="W11" s="11440"/>
      <c r="X11" s="11440"/>
      <c r="Y11" s="11440"/>
      <c r="Z11" s="11440"/>
      <c r="AA11" s="11440"/>
      <c r="AB11" s="11440"/>
      <c r="AC11" s="11440"/>
      <c r="AD11" s="11440"/>
      <c r="AE11" s="11440"/>
      <c r="AF11" s="11440"/>
      <c r="AG11" s="2013"/>
    </row>
    <row r="12" spans="1:35" ht="12.75" customHeight="1">
      <c r="A12" s="2013"/>
      <c r="B12" s="11443" t="s">
        <v>6405</v>
      </c>
      <c r="C12" s="11444"/>
      <c r="D12" s="11444"/>
      <c r="E12" s="11444"/>
      <c r="F12" s="11444"/>
      <c r="G12" s="11444"/>
      <c r="H12" s="11444"/>
      <c r="I12" s="11444"/>
      <c r="J12" s="11444"/>
      <c r="K12" s="11444"/>
      <c r="L12" s="11444"/>
      <c r="M12" s="11444"/>
      <c r="N12" s="11444"/>
      <c r="O12" s="11444"/>
      <c r="P12" s="11444"/>
      <c r="Q12" s="11444"/>
      <c r="R12" s="11444"/>
      <c r="S12" s="11444"/>
      <c r="T12" s="11444"/>
      <c r="U12" s="11444"/>
      <c r="V12" s="11444"/>
      <c r="W12" s="11444"/>
      <c r="X12" s="11444"/>
      <c r="Y12" s="11444"/>
      <c r="Z12" s="11444"/>
      <c r="AA12" s="11444"/>
      <c r="AB12" s="11444"/>
      <c r="AC12" s="11444"/>
      <c r="AD12" s="11444"/>
      <c r="AE12" s="11444"/>
      <c r="AF12" s="11444"/>
      <c r="AG12" s="2013"/>
    </row>
    <row r="13" spans="1:35" ht="12.75" customHeight="1">
      <c r="A13" s="2013"/>
      <c r="B13" s="9174"/>
      <c r="C13" s="9174"/>
      <c r="D13" s="9174"/>
      <c r="E13" s="9174"/>
      <c r="F13" s="9174"/>
      <c r="G13" s="9174"/>
      <c r="H13" s="9174"/>
      <c r="I13" s="9174"/>
      <c r="J13" s="9174"/>
      <c r="K13" s="9174"/>
      <c r="L13" s="9174"/>
      <c r="M13" s="9174"/>
      <c r="N13" s="9174"/>
      <c r="O13" s="9174"/>
      <c r="P13" s="9174"/>
      <c r="Q13" s="9174"/>
      <c r="R13" s="9174"/>
      <c r="S13" s="9174"/>
      <c r="T13" s="9174"/>
      <c r="U13" s="9174"/>
      <c r="V13" s="9174"/>
      <c r="W13" s="9174"/>
      <c r="X13" s="9174"/>
      <c r="Y13" s="9174"/>
      <c r="Z13" s="9174"/>
      <c r="AA13" s="9174"/>
      <c r="AB13" s="9174"/>
      <c r="AC13" s="9174"/>
      <c r="AD13" s="9174"/>
      <c r="AE13" s="9174"/>
      <c r="AF13" s="9174"/>
      <c r="AG13" s="2013"/>
    </row>
    <row r="14" spans="1:35" ht="12.75" customHeight="1">
      <c r="A14" s="2013"/>
      <c r="B14" s="9004"/>
      <c r="C14" s="9004"/>
      <c r="D14" s="9004"/>
      <c r="E14" s="9004"/>
      <c r="F14" s="9004"/>
      <c r="G14" s="9004"/>
      <c r="H14" s="9004"/>
      <c r="I14" s="9004"/>
      <c r="J14" s="9004"/>
      <c r="K14" s="9004"/>
      <c r="L14" s="9004"/>
      <c r="M14" s="9004"/>
      <c r="N14" s="9004"/>
      <c r="O14" s="9004"/>
      <c r="P14" s="9004"/>
      <c r="Q14" s="9004"/>
      <c r="R14" s="9004"/>
      <c r="S14" s="9004"/>
      <c r="T14" s="9004"/>
      <c r="U14" s="9004"/>
      <c r="V14" s="9004"/>
      <c r="W14" s="9004"/>
      <c r="X14" s="9004"/>
      <c r="Y14" s="9004"/>
      <c r="Z14" s="9004"/>
      <c r="AA14" s="9004"/>
      <c r="AB14" s="9004"/>
      <c r="AC14" s="9004"/>
      <c r="AD14" s="9004"/>
      <c r="AE14" s="9004"/>
      <c r="AF14" s="9004"/>
      <c r="AG14" s="2013"/>
    </row>
    <row r="15" spans="1:35" ht="3.75" customHeight="1">
      <c r="A15" s="2013"/>
      <c r="B15" s="88"/>
      <c r="C15" s="88"/>
      <c r="D15" s="88"/>
      <c r="E15" s="88"/>
      <c r="F15" s="88"/>
      <c r="G15" s="88"/>
      <c r="H15" s="88"/>
      <c r="I15" s="88"/>
      <c r="J15" s="88"/>
      <c r="K15" s="88"/>
      <c r="L15" s="88"/>
      <c r="M15" s="88"/>
      <c r="N15" s="88"/>
      <c r="O15" s="88"/>
      <c r="P15" s="88"/>
      <c r="Q15" s="88"/>
      <c r="R15" s="88"/>
      <c r="S15" s="88"/>
      <c r="T15" s="88"/>
      <c r="U15" s="88"/>
      <c r="V15" s="88"/>
      <c r="W15" s="88"/>
      <c r="X15" s="88"/>
      <c r="Y15" s="88"/>
      <c r="Z15" s="88"/>
      <c r="AA15" s="88"/>
      <c r="AB15" s="88"/>
      <c r="AC15" s="88"/>
      <c r="AD15" s="88"/>
      <c r="AE15" s="88"/>
      <c r="AF15" s="88"/>
      <c r="AG15" s="2013"/>
    </row>
    <row r="16" spans="1:35" ht="15">
      <c r="A16" s="2013"/>
      <c r="B16" s="11435" t="s">
        <v>780</v>
      </c>
      <c r="C16" s="9782"/>
      <c r="D16" s="88"/>
      <c r="E16" s="3414" t="s">
        <v>5430</v>
      </c>
      <c r="F16" s="88"/>
      <c r="G16" s="88"/>
      <c r="H16" s="88"/>
      <c r="I16" s="1836" t="s">
        <v>5431</v>
      </c>
      <c r="J16" s="88"/>
      <c r="K16" s="88"/>
      <c r="L16" s="88"/>
      <c r="M16" s="88"/>
      <c r="N16" s="88"/>
      <c r="O16" s="88"/>
      <c r="P16" s="88"/>
      <c r="Q16" s="88"/>
      <c r="R16" s="88"/>
      <c r="S16" s="88"/>
      <c r="T16" s="1836"/>
      <c r="U16" s="88"/>
      <c r="V16" s="88"/>
      <c r="W16" s="88"/>
      <c r="X16" s="1836"/>
      <c r="Y16" s="88"/>
      <c r="Z16" s="88"/>
      <c r="AA16" s="88"/>
      <c r="AB16" s="88"/>
      <c r="AC16" s="88"/>
      <c r="AD16" s="88"/>
      <c r="AE16" s="88"/>
      <c r="AF16" s="88"/>
      <c r="AG16" s="2013" t="b">
        <f>IF(SUM(AG41:AG51)&gt;0,TRUE,FALSE)</f>
        <v>0</v>
      </c>
    </row>
    <row r="17" spans="1:55" ht="12.75" customHeight="1">
      <c r="A17" s="2013"/>
      <c r="B17" s="88"/>
      <c r="C17" s="88"/>
      <c r="D17" s="88"/>
      <c r="E17" s="1836" t="s">
        <v>4459</v>
      </c>
      <c r="F17" s="88"/>
      <c r="G17" s="88"/>
      <c r="H17" s="88"/>
      <c r="I17" s="88"/>
      <c r="J17" s="88"/>
      <c r="K17" s="88"/>
      <c r="L17" s="88"/>
      <c r="M17" s="88"/>
      <c r="N17" s="88"/>
      <c r="O17" s="88"/>
      <c r="P17" s="88"/>
      <c r="Q17" s="88"/>
      <c r="R17" s="88"/>
      <c r="S17" s="88"/>
      <c r="T17" s="1836"/>
      <c r="U17" s="88"/>
      <c r="V17" s="88"/>
      <c r="W17" s="88"/>
      <c r="X17" s="1560"/>
      <c r="Y17" s="88"/>
      <c r="Z17" s="88"/>
      <c r="AA17" s="88"/>
      <c r="AB17" s="88"/>
      <c r="AC17" s="88"/>
      <c r="AD17" s="88"/>
      <c r="AE17" s="88"/>
      <c r="AF17" s="88"/>
      <c r="AG17" s="2013"/>
    </row>
    <row r="18" spans="1:55" s="506" customFormat="1" ht="13.5" customHeight="1">
      <c r="A18" s="6007"/>
      <c r="B18" s="1836"/>
      <c r="C18" s="1836"/>
      <c r="D18" s="1836"/>
      <c r="E18" s="3440" t="s">
        <v>6407</v>
      </c>
      <c r="F18" s="1836"/>
      <c r="G18" s="1836"/>
      <c r="H18" s="1836"/>
      <c r="I18" s="1836"/>
      <c r="J18" s="1836"/>
      <c r="K18" s="1836"/>
      <c r="L18" s="1836"/>
      <c r="M18" s="1836"/>
      <c r="N18" s="1836"/>
      <c r="O18" s="1836"/>
      <c r="P18" s="1836"/>
      <c r="Q18" s="1836"/>
      <c r="R18" s="1836"/>
      <c r="S18" s="1836"/>
      <c r="T18" s="1836"/>
      <c r="U18" s="1836"/>
      <c r="V18" s="1836"/>
      <c r="W18" s="1836"/>
      <c r="X18" s="1836"/>
      <c r="Y18" s="1836"/>
      <c r="Z18" s="1836"/>
      <c r="AA18" s="1836"/>
      <c r="AB18" s="1836"/>
      <c r="AC18" s="1836"/>
      <c r="AD18" s="1836"/>
      <c r="AE18" s="1836"/>
      <c r="AF18" s="1836"/>
      <c r="AG18" s="6007"/>
      <c r="AH18" s="3161"/>
      <c r="AI18" s="3161"/>
    </row>
    <row r="19" spans="1:55" s="506" customFormat="1" ht="13.5" customHeight="1">
      <c r="A19" s="6007"/>
      <c r="B19" s="1836"/>
      <c r="C19" s="1836"/>
      <c r="D19" s="1836"/>
      <c r="E19" s="1836" t="s">
        <v>6408</v>
      </c>
      <c r="F19" s="1836"/>
      <c r="G19" s="1836"/>
      <c r="H19" s="1836"/>
      <c r="I19" s="1836"/>
      <c r="J19" s="1836"/>
      <c r="K19" s="1836"/>
      <c r="L19" s="1836"/>
      <c r="M19" s="1836"/>
      <c r="N19" s="1836"/>
      <c r="O19" s="1836"/>
      <c r="P19" s="1836"/>
      <c r="Q19" s="1836"/>
      <c r="R19" s="1836"/>
      <c r="S19" s="1836"/>
      <c r="T19" s="1836"/>
      <c r="U19" s="1836"/>
      <c r="V19" s="1836"/>
      <c r="W19" s="1836"/>
      <c r="X19" s="1836"/>
      <c r="Y19" s="1836"/>
      <c r="Z19" s="1836"/>
      <c r="AA19" s="1836"/>
      <c r="AB19" s="1836"/>
      <c r="AC19" s="1836"/>
      <c r="AD19" s="1836"/>
      <c r="AE19" s="1836"/>
      <c r="AF19" s="1836"/>
      <c r="AG19" s="6007"/>
      <c r="AH19" s="3161"/>
      <c r="AI19" s="3161"/>
    </row>
    <row r="20" spans="1:55" s="506" customFormat="1" ht="13.5" customHeight="1">
      <c r="A20" s="6007"/>
      <c r="B20" s="6008"/>
      <c r="C20" s="6008"/>
      <c r="D20" s="6008"/>
      <c r="E20" s="6008" t="s">
        <v>6409</v>
      </c>
      <c r="F20" s="6008"/>
      <c r="G20" s="6008"/>
      <c r="H20" s="6008"/>
      <c r="I20" s="6008"/>
      <c r="J20" s="6008"/>
      <c r="K20" s="6008"/>
      <c r="L20" s="6008"/>
      <c r="M20" s="6008"/>
      <c r="N20" s="6008"/>
      <c r="O20" s="6008"/>
      <c r="P20" s="6008"/>
      <c r="Q20" s="6008"/>
      <c r="R20" s="6008"/>
      <c r="S20" s="6008"/>
      <c r="T20" s="6008"/>
      <c r="U20" s="6008"/>
      <c r="V20" s="6008"/>
      <c r="W20" s="6008"/>
      <c r="X20" s="6008"/>
      <c r="Y20" s="6008"/>
      <c r="Z20" s="6008"/>
      <c r="AA20" s="6008"/>
      <c r="AB20" s="6008"/>
      <c r="AC20" s="6008"/>
      <c r="AD20" s="6008"/>
      <c r="AE20" s="6008"/>
      <c r="AF20" s="6008"/>
      <c r="AG20" s="6007"/>
      <c r="AH20" s="3161"/>
      <c r="AI20" s="3161"/>
    </row>
    <row r="21" spans="1:55" ht="14.25">
      <c r="A21" s="2013"/>
      <c r="B21" s="226" t="s">
        <v>6406</v>
      </c>
      <c r="C21" s="247"/>
      <c r="D21" s="247"/>
      <c r="E21" s="247"/>
      <c r="F21" s="247"/>
      <c r="G21" s="247"/>
      <c r="H21" s="247"/>
      <c r="I21" s="247"/>
      <c r="J21" s="247"/>
      <c r="K21" s="1183"/>
      <c r="L21" s="1183"/>
      <c r="M21" s="226" t="str">
        <f>IF($A$35&gt;1,"Check only ONE box.","Check only one box.")</f>
        <v>Check only one box.</v>
      </c>
      <c r="N21" s="226"/>
      <c r="O21" s="247"/>
      <c r="P21" s="247"/>
      <c r="Q21" s="1560"/>
      <c r="R21" s="247"/>
      <c r="S21" s="1836"/>
      <c r="T21" s="1836"/>
      <c r="U21" s="247"/>
      <c r="V21" s="247"/>
      <c r="W21" s="247"/>
      <c r="X21" s="247"/>
      <c r="Y21" s="247"/>
      <c r="Z21" s="247"/>
      <c r="AA21" s="247"/>
      <c r="AB21" s="247"/>
      <c r="AC21" s="247"/>
      <c r="AD21" s="247"/>
      <c r="AE21" s="247"/>
      <c r="AF21" s="6503" t="s">
        <v>4461</v>
      </c>
      <c r="AG21" s="2013"/>
    </row>
    <row r="22" spans="1:55">
      <c r="A22" s="2013"/>
      <c r="B22" s="1560" t="s">
        <v>4462</v>
      </c>
      <c r="C22" s="247"/>
      <c r="D22" s="247"/>
      <c r="E22" s="247"/>
      <c r="F22" s="247"/>
      <c r="G22" s="247"/>
      <c r="H22" s="247"/>
      <c r="I22" s="247"/>
      <c r="J22" s="247"/>
      <c r="K22" s="247"/>
      <c r="L22" s="247"/>
      <c r="M22" s="247"/>
      <c r="N22" s="247"/>
      <c r="O22" s="247"/>
      <c r="P22" s="247"/>
      <c r="Q22" s="247"/>
      <c r="R22" s="247"/>
      <c r="S22" s="247"/>
      <c r="T22" s="247"/>
      <c r="U22" s="247"/>
      <c r="V22" s="247"/>
      <c r="W22" s="247"/>
      <c r="X22" s="247"/>
      <c r="Y22" s="247"/>
      <c r="Z22" s="247"/>
      <c r="AA22" s="247"/>
      <c r="AB22" s="247"/>
      <c r="AC22" s="247"/>
      <c r="AD22" s="247"/>
      <c r="AE22" s="247"/>
      <c r="AF22" s="247"/>
      <c r="AG22" s="2013"/>
      <c r="BA22" s="11475" t="s">
        <v>4463</v>
      </c>
      <c r="BB22" s="8489"/>
      <c r="BC22" s="8469"/>
    </row>
    <row r="23" spans="1:55" ht="12.75" customHeight="1">
      <c r="A23" s="2013"/>
      <c r="B23" s="1560" t="str">
        <f>IF(SpaceUsed_8949A_ST,"ERROR: DO NOT use the space bar to uncheck a box. Use the 'Delete' key.","for one or more of the boxes, complete as many forms with the same box checked as you need.")</f>
        <v>for one or more of the boxes, complete as many forms with the same box checked as you need.</v>
      </c>
      <c r="C23" s="247"/>
      <c r="D23" s="247"/>
      <c r="E23" s="247"/>
      <c r="F23" s="247"/>
      <c r="G23" s="247"/>
      <c r="H23" s="247"/>
      <c r="I23" s="247"/>
      <c r="J23" s="247"/>
      <c r="K23" s="247"/>
      <c r="L23" s="247"/>
      <c r="M23" s="247"/>
      <c r="N23" s="247"/>
      <c r="O23" s="247"/>
      <c r="P23" s="247"/>
      <c r="Q23" s="247"/>
      <c r="R23" s="247"/>
      <c r="S23" s="247"/>
      <c r="T23" s="247"/>
      <c r="U23" s="247"/>
      <c r="V23" s="247"/>
      <c r="W23" s="247"/>
      <c r="X23" s="247"/>
      <c r="Y23" s="247"/>
      <c r="Z23" s="247"/>
      <c r="AA23" s="247"/>
      <c r="AB23" s="247"/>
      <c r="AC23" s="247"/>
      <c r="AD23" s="247"/>
      <c r="AE23" s="247"/>
      <c r="AF23" s="247"/>
      <c r="AG23" s="2013"/>
      <c r="AJ23" s="3809"/>
      <c r="AK23" s="3809"/>
      <c r="AL23" s="3809"/>
      <c r="AM23" s="3809"/>
      <c r="AN23" s="3809"/>
      <c r="AO23" s="3809"/>
      <c r="AP23" s="3809"/>
      <c r="AQ23" s="3809"/>
      <c r="BA23" s="11476" t="s">
        <v>4464</v>
      </c>
      <c r="BB23" s="11476" t="s">
        <v>4465</v>
      </c>
      <c r="BC23" s="11476" t="s">
        <v>4466</v>
      </c>
    </row>
    <row r="24" spans="1:55" ht="4.5" customHeight="1" thickBot="1">
      <c r="A24" s="2013"/>
      <c r="B24" s="247"/>
      <c r="C24" s="247"/>
      <c r="D24" s="247"/>
      <c r="E24" s="247"/>
      <c r="F24" s="247"/>
      <c r="G24" s="247"/>
      <c r="H24" s="247"/>
      <c r="I24" s="247"/>
      <c r="J24" s="247"/>
      <c r="K24" s="247"/>
      <c r="L24" s="247"/>
      <c r="M24" s="247"/>
      <c r="N24" s="247"/>
      <c r="O24" s="247"/>
      <c r="P24" s="247"/>
      <c r="Q24" s="247"/>
      <c r="R24" s="247"/>
      <c r="S24" s="247"/>
      <c r="T24" s="247"/>
      <c r="U24" s="247"/>
      <c r="V24" s="247"/>
      <c r="W24" s="247"/>
      <c r="X24" s="247"/>
      <c r="Y24" s="247"/>
      <c r="Z24" s="247"/>
      <c r="AA24" s="247"/>
      <c r="AB24" s="247"/>
      <c r="AC24" s="247"/>
      <c r="AD24" s="247"/>
      <c r="AE24" s="247"/>
      <c r="AF24" s="247"/>
      <c r="AG24" s="2013"/>
      <c r="BA24" s="11477"/>
      <c r="BB24" s="11477"/>
      <c r="BC24" s="11477"/>
    </row>
    <row r="25" spans="1:55" ht="12" customHeight="1" thickBot="1">
      <c r="A25" s="2013"/>
      <c r="B25" s="1039">
        <f>IF(C25&lt;&gt;"",1,0)</f>
        <v>0</v>
      </c>
      <c r="C25" s="300"/>
      <c r="D25" s="3440" t="s">
        <v>5904</v>
      </c>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013"/>
      <c r="AJ25" s="11381"/>
      <c r="AK25" s="11381"/>
      <c r="AL25" s="11381"/>
      <c r="AM25" s="11381"/>
      <c r="AN25" s="11381"/>
      <c r="AO25" s="11381"/>
      <c r="AP25" s="11381"/>
      <c r="AQ25" s="11381"/>
      <c r="BA25" s="11477"/>
      <c r="BB25" s="11477"/>
      <c r="BC25" s="11477"/>
    </row>
    <row r="26" spans="1:55" ht="4.5" customHeight="1" thickBot="1">
      <c r="A26" s="2013"/>
      <c r="B26" s="1039"/>
      <c r="C26" s="247"/>
      <c r="D26" s="1836"/>
      <c r="E26" s="247"/>
      <c r="F26" s="247"/>
      <c r="G26" s="247"/>
      <c r="H26" s="247"/>
      <c r="I26" s="247"/>
      <c r="J26" s="247"/>
      <c r="K26" s="247"/>
      <c r="L26" s="247"/>
      <c r="M26" s="247"/>
      <c r="N26" s="247"/>
      <c r="O26" s="247"/>
      <c r="P26" s="247"/>
      <c r="Q26" s="247"/>
      <c r="R26" s="247"/>
      <c r="S26" s="247"/>
      <c r="T26" s="247"/>
      <c r="U26" s="247"/>
      <c r="V26" s="247"/>
      <c r="W26" s="247"/>
      <c r="X26" s="247"/>
      <c r="Y26" s="247"/>
      <c r="Z26" s="247"/>
      <c r="AA26" s="247"/>
      <c r="AB26" s="247"/>
      <c r="AC26" s="247"/>
      <c r="AD26" s="247"/>
      <c r="AE26" s="247"/>
      <c r="AF26" s="247"/>
      <c r="AG26" s="2013"/>
      <c r="BA26" s="11477"/>
      <c r="BB26" s="11477"/>
      <c r="BC26" s="11477"/>
    </row>
    <row r="27" spans="1:55" ht="11.25" customHeight="1" thickBot="1">
      <c r="A27" s="2013"/>
      <c r="B27" s="1039">
        <f>IF(C27&lt;&gt;"",1,0)</f>
        <v>0</v>
      </c>
      <c r="C27" s="300"/>
      <c r="D27" s="3440" t="s">
        <v>5905</v>
      </c>
      <c r="E27" s="247"/>
      <c r="F27" s="247"/>
      <c r="G27" s="247"/>
      <c r="H27" s="247"/>
      <c r="I27" s="247"/>
      <c r="J27" s="247"/>
      <c r="K27" s="247"/>
      <c r="L27" s="247"/>
      <c r="M27" s="247"/>
      <c r="N27" s="247"/>
      <c r="O27" s="247"/>
      <c r="P27" s="247"/>
      <c r="Q27" s="247"/>
      <c r="R27" s="247"/>
      <c r="S27" s="247"/>
      <c r="T27" s="247"/>
      <c r="U27" s="247"/>
      <c r="V27" s="247"/>
      <c r="W27" s="247"/>
      <c r="X27" s="247"/>
      <c r="Y27" s="247"/>
      <c r="Z27" s="247"/>
      <c r="AA27" s="247"/>
      <c r="AB27" s="247"/>
      <c r="AC27" s="247"/>
      <c r="AD27" s="247"/>
      <c r="AE27" s="247"/>
      <c r="AF27" s="247"/>
      <c r="AG27" s="2013"/>
      <c r="AJ27" s="11381"/>
      <c r="AK27" s="11381"/>
      <c r="AL27" s="11381"/>
      <c r="AM27" s="11381"/>
      <c r="AN27" s="11381"/>
      <c r="AO27" s="11381"/>
      <c r="AP27" s="11381"/>
      <c r="AQ27" s="11381"/>
      <c r="BA27" s="11477"/>
      <c r="BB27" s="11477"/>
      <c r="BC27" s="11477"/>
    </row>
    <row r="28" spans="1:55" ht="4.5" customHeight="1" thickBot="1">
      <c r="A28" s="2013"/>
      <c r="B28" s="1039"/>
      <c r="C28" s="247"/>
      <c r="D28" s="1836"/>
      <c r="E28" s="247"/>
      <c r="F28" s="247"/>
      <c r="G28" s="247"/>
      <c r="H28" s="247"/>
      <c r="I28" s="247"/>
      <c r="J28" s="247"/>
      <c r="K28" s="247"/>
      <c r="L28" s="247"/>
      <c r="M28" s="247"/>
      <c r="N28" s="247"/>
      <c r="O28" s="247"/>
      <c r="P28" s="247"/>
      <c r="Q28" s="247"/>
      <c r="R28" s="247"/>
      <c r="S28" s="247"/>
      <c r="T28" s="247"/>
      <c r="U28" s="247"/>
      <c r="V28" s="247"/>
      <c r="W28" s="247"/>
      <c r="X28" s="247"/>
      <c r="Y28" s="247"/>
      <c r="Z28" s="247"/>
      <c r="AA28" s="247"/>
      <c r="AB28" s="247"/>
      <c r="AC28" s="247"/>
      <c r="AD28" s="247"/>
      <c r="AE28" s="247"/>
      <c r="AF28" s="247"/>
      <c r="AG28" s="2013"/>
      <c r="BA28" s="11477"/>
      <c r="BB28" s="11477"/>
      <c r="BC28" s="11477"/>
    </row>
    <row r="29" spans="1:55" ht="12" customHeight="1" thickBot="1">
      <c r="A29" s="2013">
        <f>SUM(B25:B29)</f>
        <v>0</v>
      </c>
      <c r="B29" s="1039">
        <f>IF(C29&lt;&gt;"",1,0)</f>
        <v>0</v>
      </c>
      <c r="C29" s="300"/>
      <c r="D29" s="3440" t="s">
        <v>5906</v>
      </c>
      <c r="E29" s="247"/>
      <c r="F29" s="247"/>
      <c r="G29" s="247"/>
      <c r="H29" s="247"/>
      <c r="I29" s="247"/>
      <c r="J29" s="247"/>
      <c r="K29" s="247"/>
      <c r="L29" s="247"/>
      <c r="M29" s="247"/>
      <c r="N29" s="247"/>
      <c r="O29" s="247"/>
      <c r="P29" s="247"/>
      <c r="Q29" s="247"/>
      <c r="R29" s="247"/>
      <c r="S29" s="247"/>
      <c r="T29" s="247"/>
      <c r="U29" s="247"/>
      <c r="V29" s="247"/>
      <c r="W29" s="247"/>
      <c r="X29" s="247"/>
      <c r="Y29" s="247"/>
      <c r="Z29" s="247"/>
      <c r="AA29" s="247"/>
      <c r="AB29" s="247"/>
      <c r="AC29" s="6009"/>
      <c r="AD29" s="6009"/>
      <c r="AE29" s="6010"/>
      <c r="AF29" s="247"/>
      <c r="AG29" s="2013"/>
      <c r="AH29" s="318" t="b">
        <f>OR(F8949CSBOXA=CHAR(32),F8949CSBOXB=CHAR(32),F8949CSBOXC=CHAR(32),F8949CSBOXG=CHAR(32),F8949CSBOXH=CHAR(32),F8949CSBOXI=CHAR(32))</f>
        <v>0</v>
      </c>
      <c r="AJ29" s="11381"/>
      <c r="AK29" s="11381"/>
      <c r="AL29" s="11381"/>
      <c r="AM29" s="11381"/>
      <c r="AN29" s="11381"/>
      <c r="AO29" s="11381"/>
      <c r="AP29" s="11381"/>
      <c r="AQ29" s="11381"/>
      <c r="BA29" s="11477"/>
      <c r="BB29" s="11477"/>
      <c r="BC29" s="11477"/>
    </row>
    <row r="30" spans="1:55" ht="4.5" customHeight="1" thickBot="1">
      <c r="A30" s="2013"/>
      <c r="B30" s="247"/>
      <c r="C30" s="247"/>
      <c r="D30" s="1836"/>
      <c r="E30" s="247"/>
      <c r="F30" s="247"/>
      <c r="G30" s="247"/>
      <c r="H30" s="247"/>
      <c r="I30" s="247"/>
      <c r="J30" s="247"/>
      <c r="K30" s="247"/>
      <c r="L30" s="247"/>
      <c r="M30" s="247"/>
      <c r="N30" s="247"/>
      <c r="O30" s="247"/>
      <c r="P30" s="247"/>
      <c r="Q30" s="247"/>
      <c r="R30" s="247"/>
      <c r="S30" s="247"/>
      <c r="T30" s="247"/>
      <c r="U30" s="247"/>
      <c r="V30" s="247"/>
      <c r="W30" s="247"/>
      <c r="X30" s="247"/>
      <c r="Y30" s="247"/>
      <c r="Z30" s="247"/>
      <c r="AA30" s="247"/>
      <c r="AB30" s="247"/>
      <c r="AC30" s="247"/>
      <c r="AD30" s="247"/>
      <c r="AE30" s="247"/>
      <c r="AF30" s="247"/>
      <c r="AG30" s="2013"/>
      <c r="BA30" s="11477"/>
      <c r="BB30" s="11477"/>
      <c r="BC30" s="11477"/>
    </row>
    <row r="31" spans="1:55" ht="12" customHeight="1" thickBot="1">
      <c r="A31" s="2013"/>
      <c r="B31" s="1039">
        <f>IF(C31&lt;&gt;"",1,0)</f>
        <v>0</v>
      </c>
      <c r="C31" s="300"/>
      <c r="D31" s="3440" t="s">
        <v>5907</v>
      </c>
      <c r="E31" s="247"/>
      <c r="F31" s="247"/>
      <c r="G31" s="247"/>
      <c r="H31" s="247"/>
      <c r="I31" s="247"/>
      <c r="J31" s="247"/>
      <c r="K31" s="247"/>
      <c r="L31" s="247"/>
      <c r="M31" s="247"/>
      <c r="N31" s="247"/>
      <c r="O31" s="247"/>
      <c r="P31" s="247"/>
      <c r="Q31" s="247"/>
      <c r="R31" s="247"/>
      <c r="S31" s="247"/>
      <c r="T31" s="247"/>
      <c r="U31" s="247"/>
      <c r="V31" s="247"/>
      <c r="W31" s="247"/>
      <c r="X31" s="247"/>
      <c r="Y31" s="247"/>
      <c r="Z31" s="247"/>
      <c r="AA31" s="247"/>
      <c r="AB31" s="247"/>
      <c r="AC31" s="247"/>
      <c r="AD31" s="247"/>
      <c r="AE31" s="247"/>
      <c r="AF31" s="247"/>
      <c r="AG31" s="2013"/>
      <c r="AJ31" s="11381"/>
      <c r="AK31" s="11381"/>
      <c r="AL31" s="11381"/>
      <c r="AM31" s="11381"/>
      <c r="AN31" s="11381"/>
      <c r="AO31" s="11381"/>
      <c r="AP31" s="11381"/>
      <c r="AQ31" s="11381"/>
      <c r="BA31" s="11477"/>
      <c r="BB31" s="11477"/>
      <c r="BC31" s="11477"/>
    </row>
    <row r="32" spans="1:55" ht="4.5" customHeight="1" thickBot="1">
      <c r="A32" s="2013"/>
      <c r="B32" s="1039"/>
      <c r="C32" s="247"/>
      <c r="D32" s="1836"/>
      <c r="E32" s="247"/>
      <c r="F32" s="247"/>
      <c r="G32" s="247"/>
      <c r="H32" s="247"/>
      <c r="I32" s="247"/>
      <c r="J32" s="247"/>
      <c r="K32" s="247"/>
      <c r="L32" s="247"/>
      <c r="M32" s="247"/>
      <c r="N32" s="247"/>
      <c r="O32" s="247"/>
      <c r="P32" s="247"/>
      <c r="Q32" s="247"/>
      <c r="R32" s="247"/>
      <c r="S32" s="247"/>
      <c r="T32" s="247"/>
      <c r="U32" s="247"/>
      <c r="V32" s="247"/>
      <c r="W32" s="247"/>
      <c r="X32" s="247"/>
      <c r="Y32" s="247"/>
      <c r="Z32" s="247"/>
      <c r="AA32" s="247"/>
      <c r="AB32" s="247"/>
      <c r="AC32" s="247"/>
      <c r="AD32" s="247"/>
      <c r="AE32" s="247"/>
      <c r="AF32" s="247"/>
      <c r="AG32" s="2013"/>
      <c r="BA32" s="11477"/>
      <c r="BB32" s="11477"/>
      <c r="BC32" s="11477"/>
    </row>
    <row r="33" spans="1:55" ht="11.25" customHeight="1" thickBot="1">
      <c r="A33" s="2013"/>
      <c r="B33" s="1039">
        <f>IF(C33&lt;&gt;"",1,0)</f>
        <v>0</v>
      </c>
      <c r="C33" s="300"/>
      <c r="D33" s="3440" t="s">
        <v>5908</v>
      </c>
      <c r="E33" s="247"/>
      <c r="F33" s="247"/>
      <c r="G33" s="247"/>
      <c r="H33" s="247"/>
      <c r="I33" s="247"/>
      <c r="J33" s="247"/>
      <c r="K33" s="247"/>
      <c r="L33" s="247"/>
      <c r="M33" s="247"/>
      <c r="N33" s="247"/>
      <c r="O33" s="247"/>
      <c r="P33" s="247"/>
      <c r="Q33" s="247"/>
      <c r="R33" s="247"/>
      <c r="S33" s="247"/>
      <c r="T33" s="247"/>
      <c r="U33" s="247"/>
      <c r="V33" s="247"/>
      <c r="W33" s="247"/>
      <c r="X33" s="247"/>
      <c r="Y33" s="247"/>
      <c r="Z33" s="247"/>
      <c r="AA33" s="247"/>
      <c r="AB33" s="247"/>
      <c r="AC33" s="247"/>
      <c r="AD33" s="247"/>
      <c r="AE33" s="247"/>
      <c r="AF33" s="247"/>
      <c r="AG33" s="2013"/>
      <c r="AJ33" s="11381"/>
      <c r="AK33" s="11381"/>
      <c r="AL33" s="11381"/>
      <c r="AM33" s="11381"/>
      <c r="AN33" s="11381"/>
      <c r="AO33" s="11381"/>
      <c r="AP33" s="11381"/>
      <c r="AQ33" s="11381"/>
      <c r="BA33" s="11477"/>
      <c r="BB33" s="11477"/>
      <c r="BC33" s="11477"/>
    </row>
    <row r="34" spans="1:55" ht="4.5" customHeight="1" thickBot="1">
      <c r="A34" s="2013"/>
      <c r="B34" s="1039"/>
      <c r="C34" s="247"/>
      <c r="D34" s="1836"/>
      <c r="E34" s="247"/>
      <c r="F34" s="247"/>
      <c r="G34" s="247"/>
      <c r="H34" s="247"/>
      <c r="I34" s="247"/>
      <c r="J34" s="247"/>
      <c r="K34" s="247"/>
      <c r="L34" s="247"/>
      <c r="M34" s="247"/>
      <c r="N34" s="247"/>
      <c r="O34" s="247"/>
      <c r="P34" s="247"/>
      <c r="Q34" s="247"/>
      <c r="R34" s="247"/>
      <c r="S34" s="247"/>
      <c r="T34" s="247"/>
      <c r="U34" s="247"/>
      <c r="V34" s="247"/>
      <c r="W34" s="247"/>
      <c r="X34" s="247"/>
      <c r="Y34" s="247"/>
      <c r="Z34" s="247"/>
      <c r="AA34" s="247"/>
      <c r="AB34" s="247"/>
      <c r="AC34" s="247"/>
      <c r="AD34" s="247"/>
      <c r="AE34" s="247"/>
      <c r="AF34" s="247"/>
      <c r="AG34" s="2013"/>
      <c r="BA34" s="11477"/>
      <c r="BB34" s="11477"/>
      <c r="BC34" s="11477"/>
    </row>
    <row r="35" spans="1:55" ht="12" customHeight="1" thickBot="1">
      <c r="A35" s="2013">
        <f>SUM(B25:B35)</f>
        <v>0</v>
      </c>
      <c r="B35" s="1039">
        <f>IF(C35&lt;&gt;"",1,0)</f>
        <v>0</v>
      </c>
      <c r="C35" s="300"/>
      <c r="D35" s="3440" t="s">
        <v>5909</v>
      </c>
      <c r="E35" s="247"/>
      <c r="F35" s="247"/>
      <c r="G35" s="247"/>
      <c r="H35" s="247"/>
      <c r="I35" s="247"/>
      <c r="J35" s="247"/>
      <c r="K35" s="247"/>
      <c r="L35" s="247"/>
      <c r="M35" s="247"/>
      <c r="N35" s="247"/>
      <c r="O35" s="247"/>
      <c r="P35" s="247"/>
      <c r="Q35" s="247"/>
      <c r="R35" s="3429"/>
      <c r="S35" s="794"/>
      <c r="T35" s="794"/>
      <c r="U35" s="794"/>
      <c r="V35" s="794"/>
      <c r="W35" s="794"/>
      <c r="X35" s="794"/>
      <c r="Y35" s="794"/>
      <c r="Z35" s="794"/>
      <c r="AA35" s="794"/>
      <c r="AB35" s="3429"/>
      <c r="AC35" s="794"/>
      <c r="AD35" s="794"/>
      <c r="AE35" s="794"/>
      <c r="AF35" s="6011"/>
      <c r="AG35" s="2013"/>
      <c r="AH35" s="318"/>
      <c r="AJ35" s="11381" t="s">
        <v>4467</v>
      </c>
      <c r="AK35" s="11381"/>
      <c r="AL35" s="11381"/>
      <c r="AM35" s="11381"/>
      <c r="AN35" s="11381"/>
      <c r="AO35" s="11381"/>
      <c r="AP35" s="11381"/>
      <c r="AQ35" s="11381"/>
      <c r="BA35" s="11477"/>
      <c r="BB35" s="11477"/>
      <c r="BC35" s="11477"/>
    </row>
    <row r="36" spans="1:55" ht="5.25" customHeight="1">
      <c r="A36" s="2013"/>
      <c r="B36" s="6012"/>
      <c r="C36" s="6013"/>
      <c r="D36" s="6012"/>
      <c r="E36" s="6012"/>
      <c r="F36" s="6012"/>
      <c r="G36" s="6012"/>
      <c r="H36" s="6012"/>
      <c r="I36" s="6012"/>
      <c r="J36" s="6012"/>
      <c r="K36" s="6012"/>
      <c r="L36" s="6012"/>
      <c r="M36" s="6012"/>
      <c r="N36" s="6013"/>
      <c r="O36" s="6012"/>
      <c r="P36" s="6012"/>
      <c r="Q36" s="6012"/>
      <c r="R36" s="6012"/>
      <c r="S36" s="6012"/>
      <c r="T36" s="6012"/>
      <c r="U36" s="6012"/>
      <c r="V36" s="6012"/>
      <c r="W36" s="6012"/>
      <c r="X36" s="6012"/>
      <c r="Y36" s="6013"/>
      <c r="Z36" s="6012"/>
      <c r="AA36" s="6012"/>
      <c r="AB36" s="6012"/>
      <c r="AC36" s="6012"/>
      <c r="AD36" s="6012"/>
      <c r="AE36" s="6012"/>
      <c r="AF36" s="6012"/>
      <c r="AG36" s="2013"/>
      <c r="BA36" s="11477"/>
      <c r="BB36" s="11477"/>
      <c r="BC36" s="11477"/>
    </row>
    <row r="37" spans="1:55" ht="21" customHeight="1">
      <c r="A37" s="2013"/>
      <c r="B37" s="11424">
        <v>1</v>
      </c>
      <c r="C37" s="11428" t="s">
        <v>5894</v>
      </c>
      <c r="D37" s="11429"/>
      <c r="E37" s="11429"/>
      <c r="F37" s="11429"/>
      <c r="G37" s="11429"/>
      <c r="H37" s="11429"/>
      <c r="I37" s="11430"/>
      <c r="J37" s="7366" t="s">
        <v>4468</v>
      </c>
      <c r="K37" s="8481"/>
      <c r="L37" s="11396"/>
      <c r="M37" s="7366" t="s">
        <v>5895</v>
      </c>
      <c r="N37" s="8481"/>
      <c r="O37" s="8481"/>
      <c r="P37" s="11396"/>
      <c r="Q37" s="7366" t="s">
        <v>5896</v>
      </c>
      <c r="R37" s="8481"/>
      <c r="S37" s="8481"/>
      <c r="T37" s="11396"/>
      <c r="U37" s="11388" t="s">
        <v>5897</v>
      </c>
      <c r="V37" s="8460"/>
      <c r="W37" s="8460"/>
      <c r="X37" s="8323"/>
      <c r="Y37" s="11390" t="s">
        <v>4469</v>
      </c>
      <c r="Z37" s="11391"/>
      <c r="AA37" s="11391"/>
      <c r="AB37" s="11392"/>
      <c r="AC37" s="11388" t="s">
        <v>4485</v>
      </c>
      <c r="AD37" s="8460"/>
      <c r="AE37" s="8460"/>
      <c r="AF37" s="8460"/>
      <c r="AG37" s="2013"/>
      <c r="AJ37" s="11461" t="s">
        <v>4470</v>
      </c>
      <c r="AK37" s="11461" t="s">
        <v>4471</v>
      </c>
      <c r="AL37" s="11461" t="s">
        <v>4472</v>
      </c>
      <c r="AM37" s="11461" t="s">
        <v>4473</v>
      </c>
      <c r="AN37" s="11462" t="s">
        <v>4474</v>
      </c>
      <c r="AO37" s="11479" t="s">
        <v>4475</v>
      </c>
      <c r="AP37" s="8339"/>
      <c r="AQ37" s="11461" t="s">
        <v>4476</v>
      </c>
      <c r="BA37" s="11477"/>
      <c r="BB37" s="11477"/>
      <c r="BC37" s="11477"/>
    </row>
    <row r="38" spans="1:55" ht="21" customHeight="1">
      <c r="A38" s="2013"/>
      <c r="B38" s="11425"/>
      <c r="C38" s="7369"/>
      <c r="D38" s="11431"/>
      <c r="E38" s="11431"/>
      <c r="F38" s="11431"/>
      <c r="G38" s="11431"/>
      <c r="H38" s="11431"/>
      <c r="I38" s="11432"/>
      <c r="J38" s="7368"/>
      <c r="K38" s="8299"/>
      <c r="L38" s="11397"/>
      <c r="M38" s="7368"/>
      <c r="N38" s="8299"/>
      <c r="O38" s="8299"/>
      <c r="P38" s="11397"/>
      <c r="Q38" s="7368"/>
      <c r="R38" s="8299"/>
      <c r="S38" s="8299"/>
      <c r="T38" s="11397"/>
      <c r="U38" s="11389"/>
      <c r="V38" s="9500"/>
      <c r="W38" s="9500"/>
      <c r="X38" s="8325"/>
      <c r="Y38" s="11393"/>
      <c r="Z38" s="11394"/>
      <c r="AA38" s="11394"/>
      <c r="AB38" s="11395"/>
      <c r="AC38" s="11389"/>
      <c r="AD38" s="9500"/>
      <c r="AE38" s="9500"/>
      <c r="AF38" s="9500"/>
      <c r="AG38" s="2013"/>
      <c r="AJ38" s="11461"/>
      <c r="AK38" s="11461"/>
      <c r="AL38" s="11461"/>
      <c r="AM38" s="11461"/>
      <c r="AN38" s="11462"/>
      <c r="AO38" s="8457"/>
      <c r="AP38" s="8345"/>
      <c r="AQ38" s="11461"/>
      <c r="BA38" s="11477"/>
      <c r="BB38" s="11477"/>
      <c r="BC38" s="11477"/>
    </row>
    <row r="39" spans="1:55" ht="18" customHeight="1">
      <c r="A39" s="2013"/>
      <c r="B39" s="11426"/>
      <c r="C39" s="11431"/>
      <c r="D39" s="11431"/>
      <c r="E39" s="11431"/>
      <c r="F39" s="11431"/>
      <c r="G39" s="11431"/>
      <c r="H39" s="11431"/>
      <c r="I39" s="11432"/>
      <c r="J39" s="8482"/>
      <c r="K39" s="8299"/>
      <c r="L39" s="11397"/>
      <c r="M39" s="8482"/>
      <c r="N39" s="8299"/>
      <c r="O39" s="8299"/>
      <c r="P39" s="11397"/>
      <c r="Q39" s="8482"/>
      <c r="R39" s="8299"/>
      <c r="S39" s="8299"/>
      <c r="T39" s="11397"/>
      <c r="U39" s="8324"/>
      <c r="V39" s="9500"/>
      <c r="W39" s="9500"/>
      <c r="X39" s="8325"/>
      <c r="Y39" s="8439" t="s">
        <v>4477</v>
      </c>
      <c r="Z39" s="8323"/>
      <c r="AA39" s="8439" t="s">
        <v>4478</v>
      </c>
      <c r="AB39" s="8492"/>
      <c r="AC39" s="8324"/>
      <c r="AD39" s="9500"/>
      <c r="AE39" s="9500"/>
      <c r="AF39" s="9500"/>
      <c r="AG39" s="2013"/>
      <c r="AJ39" s="11461"/>
      <c r="AK39" s="11461"/>
      <c r="AL39" s="11461"/>
      <c r="AM39" s="11461"/>
      <c r="AN39" s="11462"/>
      <c r="AO39" s="8610" t="s">
        <v>4479</v>
      </c>
      <c r="AP39" s="8610" t="s">
        <v>4478</v>
      </c>
      <c r="AQ39" s="11461"/>
      <c r="BA39" s="11477"/>
      <c r="BB39" s="11477"/>
      <c r="BC39" s="11477"/>
    </row>
    <row r="40" spans="1:55" ht="18" customHeight="1">
      <c r="A40" s="2013"/>
      <c r="B40" s="11427"/>
      <c r="C40" s="11433"/>
      <c r="D40" s="11433"/>
      <c r="E40" s="11433"/>
      <c r="F40" s="11433"/>
      <c r="G40" s="11433"/>
      <c r="H40" s="11433"/>
      <c r="I40" s="11434"/>
      <c r="J40" s="8483"/>
      <c r="K40" s="8168"/>
      <c r="L40" s="11398"/>
      <c r="M40" s="8483"/>
      <c r="N40" s="8168"/>
      <c r="O40" s="8168"/>
      <c r="P40" s="11398"/>
      <c r="Q40" s="8483"/>
      <c r="R40" s="8168"/>
      <c r="S40" s="8168"/>
      <c r="T40" s="11398"/>
      <c r="U40" s="8326"/>
      <c r="V40" s="10186"/>
      <c r="W40" s="10186"/>
      <c r="X40" s="8327"/>
      <c r="Y40" s="8326"/>
      <c r="Z40" s="8327"/>
      <c r="AA40" s="7590"/>
      <c r="AB40" s="8494"/>
      <c r="AC40" s="8326"/>
      <c r="AD40" s="10186"/>
      <c r="AE40" s="10186"/>
      <c r="AF40" s="10186"/>
      <c r="AG40" s="2013"/>
      <c r="AJ40" s="11461"/>
      <c r="AK40" s="11461"/>
      <c r="AL40" s="11461"/>
      <c r="AM40" s="11461"/>
      <c r="AN40" s="11462"/>
      <c r="AO40" s="11478"/>
      <c r="AP40" s="11478"/>
      <c r="AQ40" s="11461"/>
      <c r="AZ40" s="185" t="s">
        <v>6739</v>
      </c>
      <c r="BA40" s="11477"/>
      <c r="BB40" s="11477"/>
      <c r="BC40" s="11477"/>
    </row>
    <row r="41" spans="1:55" ht="26.25" customHeight="1">
      <c r="A41" s="2013">
        <f>IF(OR(Q41&lt;&gt;"",U41&lt;&gt;"",AC41&lt;&gt;""),1,0)</f>
        <v>0</v>
      </c>
      <c r="B41" s="11382" t="str">
        <f>IF(AJ41="","",AJ41)</f>
        <v/>
      </c>
      <c r="C41" s="7430"/>
      <c r="D41" s="7430"/>
      <c r="E41" s="7430"/>
      <c r="F41" s="7430"/>
      <c r="G41" s="7430"/>
      <c r="H41" s="7430"/>
      <c r="I41" s="10855"/>
      <c r="J41" s="11383" t="str">
        <f>IF(AK41="","",AK41)</f>
        <v/>
      </c>
      <c r="K41" s="11384"/>
      <c r="L41" s="11384"/>
      <c r="M41" s="11383" t="str">
        <f>IF(AL41="","",AL41)</f>
        <v/>
      </c>
      <c r="N41" s="11399"/>
      <c r="O41" s="11399"/>
      <c r="P41" s="11400"/>
      <c r="Q41" s="8178" t="str">
        <f>IF(AM41="","",AM41)</f>
        <v/>
      </c>
      <c r="R41" s="7375"/>
      <c r="S41" s="7375"/>
      <c r="T41" s="7376"/>
      <c r="U41" s="8178" t="str">
        <f>IF(AN41="","",AN41)</f>
        <v/>
      </c>
      <c r="V41" s="7375"/>
      <c r="W41" s="7375"/>
      <c r="X41" s="7376"/>
      <c r="Y41" s="11387" t="str">
        <f>IF(AO41&lt;&gt;"",AO41,"")</f>
        <v/>
      </c>
      <c r="Z41" s="7336"/>
      <c r="AA41" s="8178" t="str">
        <f>IF(AP41="","",AP41)</f>
        <v/>
      </c>
      <c r="AB41" s="11386"/>
      <c r="AC41" s="11401" t="str">
        <f>IF(AQ41&lt;&gt;"",AQ41,IF(AND(Q41="",U41=""),"",IF(AND(Q41&lt;&gt;"",U41=""),SUM(Q41,AA41),SUM(Q41,-U41,AA41))))</f>
        <v/>
      </c>
      <c r="AD41" s="11402"/>
      <c r="AE41" s="11402"/>
      <c r="AF41" s="11402"/>
      <c r="AG41" s="4271">
        <f>IF(OR(J41="",M41=""),0,IF(OR(BA41,BB41,BC41),0,1))</f>
        <v>0</v>
      </c>
      <c r="AH41" s="6014"/>
      <c r="AI41" s="6014" t="e">
        <f t="shared" ref="AI41:AI51" si="0">M41-J41</f>
        <v>#VALUE!</v>
      </c>
      <c r="AJ41" s="293"/>
      <c r="AK41" s="297"/>
      <c r="AL41" s="297"/>
      <c r="AM41" s="295"/>
      <c r="AN41" s="295"/>
      <c r="AO41" s="296"/>
      <c r="AP41" s="295"/>
      <c r="AQ41" s="294"/>
      <c r="AS41" t="e">
        <f>YEAR(J41)</f>
        <v>#VALUE!</v>
      </c>
      <c r="AT41" t="e">
        <f>MONTH(J41)</f>
        <v>#VALUE!</v>
      </c>
      <c r="AU41" t="e">
        <f>DAY(J41)</f>
        <v>#VALUE!</v>
      </c>
      <c r="AW41" t="e">
        <f>YEAR(M41)</f>
        <v>#VALUE!</v>
      </c>
      <c r="AX41" t="e">
        <f>MONTH(M41)</f>
        <v>#VALUE!</v>
      </c>
      <c r="AY41" t="e">
        <f>DAY(M41)</f>
        <v>#VALUE!</v>
      </c>
      <c r="AZ41" t="e">
        <f>OR(BA41,BB41,BC41)</f>
        <v>#VALUE!</v>
      </c>
      <c r="BA41" t="e">
        <f>AW41=AS41</f>
        <v>#VALUE!</v>
      </c>
      <c r="BB41" t="e">
        <f>AND(AW41=AS41+1,AX41&lt;AT41)</f>
        <v>#VALUE!</v>
      </c>
      <c r="BC41" t="e">
        <f>AND(AW41=AS41+1,AX41=AT41,AY41&lt;=AU41)</f>
        <v>#VALUE!</v>
      </c>
    </row>
    <row r="42" spans="1:55" ht="26.25" customHeight="1">
      <c r="A42" s="2013">
        <f t="shared" ref="A42:A51" si="1">IF(OR(Q42&lt;&gt;"",U42&lt;&gt;"",AC42&lt;&gt;""),1,0)</f>
        <v>0</v>
      </c>
      <c r="B42" s="11382" t="str">
        <f t="shared" ref="B42:B51" si="2">IF(AJ42="","",AJ42)</f>
        <v/>
      </c>
      <c r="C42" s="7430"/>
      <c r="D42" s="7430"/>
      <c r="E42" s="7430"/>
      <c r="F42" s="7430"/>
      <c r="G42" s="7430"/>
      <c r="H42" s="7430"/>
      <c r="I42" s="10855"/>
      <c r="J42" s="11383" t="str">
        <f t="shared" ref="J42:J51" si="3">IF(AK42="","",AK42)</f>
        <v/>
      </c>
      <c r="K42" s="11384"/>
      <c r="L42" s="11384"/>
      <c r="M42" s="11383" t="str">
        <f t="shared" ref="M42:M51" si="4">IF(AL42="","",AL42)</f>
        <v/>
      </c>
      <c r="N42" s="11399"/>
      <c r="O42" s="11399"/>
      <c r="P42" s="11400"/>
      <c r="Q42" s="8178" t="str">
        <f t="shared" ref="Q42:Q51" si="5">IF(AM42="","",AM42)</f>
        <v/>
      </c>
      <c r="R42" s="7375"/>
      <c r="S42" s="7375"/>
      <c r="T42" s="7376"/>
      <c r="U42" s="8178" t="str">
        <f t="shared" ref="U42:U51" si="6">IF(AN42="","",AN42)</f>
        <v/>
      </c>
      <c r="V42" s="7375"/>
      <c r="W42" s="7375"/>
      <c r="X42" s="7376"/>
      <c r="Y42" s="11387" t="str">
        <f>IF(AO42&lt;&gt;"",AO42,"")</f>
        <v/>
      </c>
      <c r="Z42" s="7336"/>
      <c r="AA42" s="8178" t="str">
        <f>IF(AP42="","",AP42)</f>
        <v/>
      </c>
      <c r="AB42" s="11386"/>
      <c r="AC42" s="11401" t="str">
        <f t="shared" ref="AC42:AC51" si="7">IF(AQ42&lt;&gt;"",AQ42,IF(AND(Q42="",U42=""),"",IF(AND(Q42&lt;&gt;"",U42=""),SUM(Q42,AA42),SUM(Q42,-U42,AA42))))</f>
        <v/>
      </c>
      <c r="AD42" s="11402"/>
      <c r="AE42" s="11402"/>
      <c r="AF42" s="11402"/>
      <c r="AG42" s="4271">
        <f t="shared" ref="AG42:AG51" si="8">IF(OR(J42="",M42=""),0,IF(OR(BA42,BB42,BC42),0,1))</f>
        <v>0</v>
      </c>
      <c r="AH42" s="6014"/>
      <c r="AI42" s="6014" t="e">
        <f t="shared" si="0"/>
        <v>#VALUE!</v>
      </c>
      <c r="AJ42" s="293"/>
      <c r="AK42" s="297"/>
      <c r="AL42" s="297"/>
      <c r="AM42" s="295"/>
      <c r="AN42" s="295"/>
      <c r="AO42" s="296"/>
      <c r="AP42" s="295"/>
      <c r="AQ42" s="294"/>
      <c r="AS42" t="e">
        <f t="shared" ref="AS42:AS51" si="9">YEAR(J42)</f>
        <v>#VALUE!</v>
      </c>
      <c r="AT42" t="e">
        <f t="shared" ref="AT42:AT51" si="10">MONTH(J42)</f>
        <v>#VALUE!</v>
      </c>
      <c r="AU42" t="e">
        <f t="shared" ref="AU42:AU51" si="11">DAY(J42)</f>
        <v>#VALUE!</v>
      </c>
      <c r="AW42" t="e">
        <f t="shared" ref="AW42:AW51" si="12">YEAR(M42)</f>
        <v>#VALUE!</v>
      </c>
      <c r="AX42" t="e">
        <f t="shared" ref="AX42:AX51" si="13">MONTH(M42)</f>
        <v>#VALUE!</v>
      </c>
      <c r="AY42" t="e">
        <f t="shared" ref="AY42:AY51" si="14">DAY(M42)</f>
        <v>#VALUE!</v>
      </c>
      <c r="AZ42" t="e">
        <f t="shared" ref="AZ42:AZ51" si="15">OR(BA42,BB42,BC42)</f>
        <v>#VALUE!</v>
      </c>
      <c r="BA42" t="e">
        <f t="shared" ref="BA42:BA51" si="16">AW42=AS42</f>
        <v>#VALUE!</v>
      </c>
      <c r="BB42" t="e">
        <f t="shared" ref="BB42:BB51" si="17">AND(AW42=AS42+1,AX42&lt;AT42)</f>
        <v>#VALUE!</v>
      </c>
      <c r="BC42" t="e">
        <f t="shared" ref="BC42:BC51" si="18">AND(AW42=AS42+1,AX42=AT42,AY42&lt;=AU42)</f>
        <v>#VALUE!</v>
      </c>
    </row>
    <row r="43" spans="1:55" ht="26.25" customHeight="1">
      <c r="A43" s="2013">
        <f t="shared" si="1"/>
        <v>0</v>
      </c>
      <c r="B43" s="11382" t="str">
        <f t="shared" si="2"/>
        <v/>
      </c>
      <c r="C43" s="7430"/>
      <c r="D43" s="7430"/>
      <c r="E43" s="7430"/>
      <c r="F43" s="7430"/>
      <c r="G43" s="7430"/>
      <c r="H43" s="7430"/>
      <c r="I43" s="10855"/>
      <c r="J43" s="11383" t="str">
        <f t="shared" si="3"/>
        <v/>
      </c>
      <c r="K43" s="11384"/>
      <c r="L43" s="11384"/>
      <c r="M43" s="11383" t="str">
        <f t="shared" si="4"/>
        <v/>
      </c>
      <c r="N43" s="11399"/>
      <c r="O43" s="11399"/>
      <c r="P43" s="11400"/>
      <c r="Q43" s="8178" t="str">
        <f t="shared" si="5"/>
        <v/>
      </c>
      <c r="R43" s="7375"/>
      <c r="S43" s="7375"/>
      <c r="T43" s="7376"/>
      <c r="U43" s="8178" t="str">
        <f t="shared" si="6"/>
        <v/>
      </c>
      <c r="V43" s="7375"/>
      <c r="W43" s="7375"/>
      <c r="X43" s="7376"/>
      <c r="Y43" s="11387" t="str">
        <f>IF(AO43&lt;&gt;"",AO43,"")</f>
        <v/>
      </c>
      <c r="Z43" s="7336"/>
      <c r="AA43" s="8178" t="str">
        <f>IF(AP43="","",AP43)</f>
        <v/>
      </c>
      <c r="AB43" s="11386"/>
      <c r="AC43" s="11401" t="str">
        <f t="shared" si="7"/>
        <v/>
      </c>
      <c r="AD43" s="11402"/>
      <c r="AE43" s="11402"/>
      <c r="AF43" s="11402"/>
      <c r="AG43" s="4271">
        <f t="shared" si="8"/>
        <v>0</v>
      </c>
      <c r="AH43" s="6014"/>
      <c r="AI43" s="6014" t="e">
        <f t="shared" si="0"/>
        <v>#VALUE!</v>
      </c>
      <c r="AJ43" s="293"/>
      <c r="AK43" s="297"/>
      <c r="AL43" s="297"/>
      <c r="AM43" s="295"/>
      <c r="AN43" s="295"/>
      <c r="AO43" s="296"/>
      <c r="AP43" s="295"/>
      <c r="AQ43" s="294"/>
      <c r="AS43" t="e">
        <f t="shared" si="9"/>
        <v>#VALUE!</v>
      </c>
      <c r="AT43" t="e">
        <f t="shared" si="10"/>
        <v>#VALUE!</v>
      </c>
      <c r="AU43" t="e">
        <f t="shared" si="11"/>
        <v>#VALUE!</v>
      </c>
      <c r="AW43" t="e">
        <f t="shared" si="12"/>
        <v>#VALUE!</v>
      </c>
      <c r="AX43" t="e">
        <f t="shared" si="13"/>
        <v>#VALUE!</v>
      </c>
      <c r="AY43" t="e">
        <f t="shared" si="14"/>
        <v>#VALUE!</v>
      </c>
      <c r="AZ43" t="e">
        <f t="shared" si="15"/>
        <v>#VALUE!</v>
      </c>
      <c r="BA43" t="e">
        <f t="shared" si="16"/>
        <v>#VALUE!</v>
      </c>
      <c r="BB43" t="e">
        <f t="shared" si="17"/>
        <v>#VALUE!</v>
      </c>
      <c r="BC43" t="e">
        <f t="shared" si="18"/>
        <v>#VALUE!</v>
      </c>
    </row>
    <row r="44" spans="1:55" ht="26.25" customHeight="1">
      <c r="A44" s="2013">
        <f t="shared" si="1"/>
        <v>0</v>
      </c>
      <c r="B44" s="11382" t="str">
        <f t="shared" si="2"/>
        <v/>
      </c>
      <c r="C44" s="7430"/>
      <c r="D44" s="7430"/>
      <c r="E44" s="7430"/>
      <c r="F44" s="7430"/>
      <c r="G44" s="7430"/>
      <c r="H44" s="7430"/>
      <c r="I44" s="10855"/>
      <c r="J44" s="11383" t="str">
        <f t="shared" si="3"/>
        <v/>
      </c>
      <c r="K44" s="11384"/>
      <c r="L44" s="11384"/>
      <c r="M44" s="11383" t="str">
        <f t="shared" si="4"/>
        <v/>
      </c>
      <c r="N44" s="11399"/>
      <c r="O44" s="11399"/>
      <c r="P44" s="11400"/>
      <c r="Q44" s="8178" t="str">
        <f t="shared" si="5"/>
        <v/>
      </c>
      <c r="R44" s="7375"/>
      <c r="S44" s="7375"/>
      <c r="T44" s="7376"/>
      <c r="U44" s="8178" t="str">
        <f t="shared" si="6"/>
        <v/>
      </c>
      <c r="V44" s="7375"/>
      <c r="W44" s="7375"/>
      <c r="X44" s="7376"/>
      <c r="Y44" s="11387" t="str">
        <f t="shared" ref="Y44:Y51" si="19">IF(AO44&lt;&gt;"",AO44,"")</f>
        <v/>
      </c>
      <c r="Z44" s="7336"/>
      <c r="AA44" s="8178" t="str">
        <f t="shared" ref="AA44:AA51" si="20">IF(AP44="","",AP44)</f>
        <v/>
      </c>
      <c r="AB44" s="11386"/>
      <c r="AC44" s="11401" t="str">
        <f t="shared" si="7"/>
        <v/>
      </c>
      <c r="AD44" s="11402"/>
      <c r="AE44" s="11402"/>
      <c r="AF44" s="11402"/>
      <c r="AG44" s="4271">
        <f t="shared" si="8"/>
        <v>0</v>
      </c>
      <c r="AH44" s="6014"/>
      <c r="AI44" s="6014" t="e">
        <f t="shared" si="0"/>
        <v>#VALUE!</v>
      </c>
      <c r="AJ44" s="293"/>
      <c r="AK44" s="297"/>
      <c r="AL44" s="297"/>
      <c r="AM44" s="295"/>
      <c r="AN44" s="295"/>
      <c r="AO44" s="296"/>
      <c r="AP44" s="295"/>
      <c r="AQ44" s="294"/>
      <c r="AS44" t="e">
        <f t="shared" si="9"/>
        <v>#VALUE!</v>
      </c>
      <c r="AT44" t="e">
        <f t="shared" si="10"/>
        <v>#VALUE!</v>
      </c>
      <c r="AU44" t="e">
        <f t="shared" si="11"/>
        <v>#VALUE!</v>
      </c>
      <c r="AW44" t="e">
        <f t="shared" si="12"/>
        <v>#VALUE!</v>
      </c>
      <c r="AX44" t="e">
        <f t="shared" si="13"/>
        <v>#VALUE!</v>
      </c>
      <c r="AY44" t="e">
        <f t="shared" si="14"/>
        <v>#VALUE!</v>
      </c>
      <c r="AZ44" t="e">
        <f t="shared" si="15"/>
        <v>#VALUE!</v>
      </c>
      <c r="BA44" t="e">
        <f t="shared" si="16"/>
        <v>#VALUE!</v>
      </c>
      <c r="BB44" t="e">
        <f t="shared" si="17"/>
        <v>#VALUE!</v>
      </c>
      <c r="BC44" t="e">
        <f t="shared" si="18"/>
        <v>#VALUE!</v>
      </c>
    </row>
    <row r="45" spans="1:55" ht="26.25" customHeight="1">
      <c r="A45" s="2013">
        <f t="shared" si="1"/>
        <v>0</v>
      </c>
      <c r="B45" s="11382" t="str">
        <f t="shared" si="2"/>
        <v/>
      </c>
      <c r="C45" s="7430"/>
      <c r="D45" s="7430"/>
      <c r="E45" s="7430"/>
      <c r="F45" s="7430"/>
      <c r="G45" s="7430"/>
      <c r="H45" s="7430"/>
      <c r="I45" s="10855"/>
      <c r="J45" s="11383" t="str">
        <f t="shared" si="3"/>
        <v/>
      </c>
      <c r="K45" s="11384"/>
      <c r="L45" s="11384"/>
      <c r="M45" s="11383" t="str">
        <f t="shared" si="4"/>
        <v/>
      </c>
      <c r="N45" s="11399"/>
      <c r="O45" s="11399"/>
      <c r="P45" s="11400"/>
      <c r="Q45" s="8178" t="str">
        <f t="shared" si="5"/>
        <v/>
      </c>
      <c r="R45" s="7375"/>
      <c r="S45" s="7375"/>
      <c r="T45" s="7376"/>
      <c r="U45" s="8178" t="str">
        <f t="shared" si="6"/>
        <v/>
      </c>
      <c r="V45" s="7375"/>
      <c r="W45" s="7375"/>
      <c r="X45" s="7376"/>
      <c r="Y45" s="11387" t="str">
        <f t="shared" si="19"/>
        <v/>
      </c>
      <c r="Z45" s="7336"/>
      <c r="AA45" s="8178" t="str">
        <f t="shared" si="20"/>
        <v/>
      </c>
      <c r="AB45" s="11386"/>
      <c r="AC45" s="11401" t="str">
        <f t="shared" si="7"/>
        <v/>
      </c>
      <c r="AD45" s="11402"/>
      <c r="AE45" s="11402"/>
      <c r="AF45" s="11402"/>
      <c r="AG45" s="4271">
        <f t="shared" si="8"/>
        <v>0</v>
      </c>
      <c r="AH45" s="6014"/>
      <c r="AI45" s="6014" t="e">
        <f t="shared" si="0"/>
        <v>#VALUE!</v>
      </c>
      <c r="AJ45" s="293"/>
      <c r="AK45" s="297"/>
      <c r="AL45" s="297"/>
      <c r="AM45" s="295"/>
      <c r="AN45" s="295"/>
      <c r="AO45" s="296"/>
      <c r="AP45" s="295"/>
      <c r="AQ45" s="294"/>
      <c r="AS45" t="e">
        <f t="shared" si="9"/>
        <v>#VALUE!</v>
      </c>
      <c r="AT45" t="e">
        <f t="shared" si="10"/>
        <v>#VALUE!</v>
      </c>
      <c r="AU45" t="e">
        <f t="shared" si="11"/>
        <v>#VALUE!</v>
      </c>
      <c r="AW45" t="e">
        <f t="shared" si="12"/>
        <v>#VALUE!</v>
      </c>
      <c r="AX45" t="e">
        <f t="shared" si="13"/>
        <v>#VALUE!</v>
      </c>
      <c r="AY45" t="e">
        <f t="shared" si="14"/>
        <v>#VALUE!</v>
      </c>
      <c r="AZ45" t="e">
        <f t="shared" si="15"/>
        <v>#VALUE!</v>
      </c>
      <c r="BA45" t="e">
        <f t="shared" si="16"/>
        <v>#VALUE!</v>
      </c>
      <c r="BB45" t="e">
        <f t="shared" si="17"/>
        <v>#VALUE!</v>
      </c>
      <c r="BC45" t="e">
        <f t="shared" si="18"/>
        <v>#VALUE!</v>
      </c>
    </row>
    <row r="46" spans="1:55" ht="26.25" customHeight="1">
      <c r="A46" s="2013">
        <f t="shared" si="1"/>
        <v>0</v>
      </c>
      <c r="B46" s="11382" t="str">
        <f t="shared" si="2"/>
        <v/>
      </c>
      <c r="C46" s="7430"/>
      <c r="D46" s="7430"/>
      <c r="E46" s="7430"/>
      <c r="F46" s="7430"/>
      <c r="G46" s="7430"/>
      <c r="H46" s="7430"/>
      <c r="I46" s="10855"/>
      <c r="J46" s="11383" t="str">
        <f t="shared" si="3"/>
        <v/>
      </c>
      <c r="K46" s="11384"/>
      <c r="L46" s="11384"/>
      <c r="M46" s="11383" t="str">
        <f t="shared" si="4"/>
        <v/>
      </c>
      <c r="N46" s="11399"/>
      <c r="O46" s="11399"/>
      <c r="P46" s="11400"/>
      <c r="Q46" s="8178" t="str">
        <f t="shared" si="5"/>
        <v/>
      </c>
      <c r="R46" s="7375"/>
      <c r="S46" s="7375"/>
      <c r="T46" s="7376"/>
      <c r="U46" s="8178" t="str">
        <f t="shared" si="6"/>
        <v/>
      </c>
      <c r="V46" s="7375"/>
      <c r="W46" s="7375"/>
      <c r="X46" s="7376"/>
      <c r="Y46" s="11387" t="str">
        <f t="shared" si="19"/>
        <v/>
      </c>
      <c r="Z46" s="7336"/>
      <c r="AA46" s="8178" t="str">
        <f t="shared" si="20"/>
        <v/>
      </c>
      <c r="AB46" s="11386"/>
      <c r="AC46" s="11401" t="str">
        <f t="shared" si="7"/>
        <v/>
      </c>
      <c r="AD46" s="11402"/>
      <c r="AE46" s="11402"/>
      <c r="AF46" s="11402"/>
      <c r="AG46" s="4271">
        <f t="shared" si="8"/>
        <v>0</v>
      </c>
      <c r="AH46" s="6014"/>
      <c r="AI46" s="6014" t="e">
        <f t="shared" si="0"/>
        <v>#VALUE!</v>
      </c>
      <c r="AJ46" s="293"/>
      <c r="AK46" s="297"/>
      <c r="AL46" s="297"/>
      <c r="AM46" s="295"/>
      <c r="AN46" s="295"/>
      <c r="AO46" s="296"/>
      <c r="AP46" s="295"/>
      <c r="AQ46" s="294"/>
      <c r="AS46" t="e">
        <f t="shared" si="9"/>
        <v>#VALUE!</v>
      </c>
      <c r="AT46" t="e">
        <f t="shared" si="10"/>
        <v>#VALUE!</v>
      </c>
      <c r="AU46" t="e">
        <f t="shared" si="11"/>
        <v>#VALUE!</v>
      </c>
      <c r="AW46" t="e">
        <f t="shared" si="12"/>
        <v>#VALUE!</v>
      </c>
      <c r="AX46" t="e">
        <f t="shared" si="13"/>
        <v>#VALUE!</v>
      </c>
      <c r="AY46" t="e">
        <f t="shared" si="14"/>
        <v>#VALUE!</v>
      </c>
      <c r="AZ46" t="e">
        <f t="shared" si="15"/>
        <v>#VALUE!</v>
      </c>
      <c r="BA46" t="e">
        <f t="shared" si="16"/>
        <v>#VALUE!</v>
      </c>
      <c r="BB46" t="e">
        <f t="shared" si="17"/>
        <v>#VALUE!</v>
      </c>
      <c r="BC46" t="e">
        <f t="shared" si="18"/>
        <v>#VALUE!</v>
      </c>
    </row>
    <row r="47" spans="1:55" ht="26.25" customHeight="1">
      <c r="A47" s="2013">
        <f t="shared" si="1"/>
        <v>0</v>
      </c>
      <c r="B47" s="11382" t="str">
        <f t="shared" si="2"/>
        <v/>
      </c>
      <c r="C47" s="7430"/>
      <c r="D47" s="7430"/>
      <c r="E47" s="7430"/>
      <c r="F47" s="7430"/>
      <c r="G47" s="7430"/>
      <c r="H47" s="7430"/>
      <c r="I47" s="10855"/>
      <c r="J47" s="11383" t="str">
        <f>IF(AK47="","",AK47)</f>
        <v/>
      </c>
      <c r="K47" s="11384"/>
      <c r="L47" s="11384"/>
      <c r="M47" s="11383" t="str">
        <f>IF(AL47="","",AL47)</f>
        <v/>
      </c>
      <c r="N47" s="11399"/>
      <c r="O47" s="11399"/>
      <c r="P47" s="11400"/>
      <c r="Q47" s="8178" t="str">
        <f t="shared" si="5"/>
        <v/>
      </c>
      <c r="R47" s="7375"/>
      <c r="S47" s="7375"/>
      <c r="T47" s="7376"/>
      <c r="U47" s="8178" t="str">
        <f t="shared" si="6"/>
        <v/>
      </c>
      <c r="V47" s="7375"/>
      <c r="W47" s="7375"/>
      <c r="X47" s="7376"/>
      <c r="Y47" s="11387" t="str">
        <f t="shared" si="19"/>
        <v/>
      </c>
      <c r="Z47" s="7336"/>
      <c r="AA47" s="8178" t="str">
        <f t="shared" si="20"/>
        <v/>
      </c>
      <c r="AB47" s="11386"/>
      <c r="AC47" s="11401" t="str">
        <f t="shared" si="7"/>
        <v/>
      </c>
      <c r="AD47" s="11402"/>
      <c r="AE47" s="11402"/>
      <c r="AF47" s="11402"/>
      <c r="AG47" s="4271">
        <f t="shared" si="8"/>
        <v>0</v>
      </c>
      <c r="AH47" s="6014"/>
      <c r="AI47" s="6014" t="e">
        <f t="shared" si="0"/>
        <v>#VALUE!</v>
      </c>
      <c r="AJ47" s="293"/>
      <c r="AK47" s="297"/>
      <c r="AL47" s="297"/>
      <c r="AM47" s="295"/>
      <c r="AN47" s="295"/>
      <c r="AO47" s="296"/>
      <c r="AP47" s="295"/>
      <c r="AQ47" s="294"/>
      <c r="AS47" t="e">
        <f t="shared" si="9"/>
        <v>#VALUE!</v>
      </c>
      <c r="AT47" t="e">
        <f t="shared" si="10"/>
        <v>#VALUE!</v>
      </c>
      <c r="AU47" t="e">
        <f t="shared" si="11"/>
        <v>#VALUE!</v>
      </c>
      <c r="AW47" t="e">
        <f t="shared" si="12"/>
        <v>#VALUE!</v>
      </c>
      <c r="AX47" t="e">
        <f t="shared" si="13"/>
        <v>#VALUE!</v>
      </c>
      <c r="AY47" t="e">
        <f t="shared" si="14"/>
        <v>#VALUE!</v>
      </c>
      <c r="AZ47" t="e">
        <f t="shared" si="15"/>
        <v>#VALUE!</v>
      </c>
      <c r="BA47" t="e">
        <f t="shared" si="16"/>
        <v>#VALUE!</v>
      </c>
      <c r="BB47" t="e">
        <f t="shared" si="17"/>
        <v>#VALUE!</v>
      </c>
      <c r="BC47" t="e">
        <f t="shared" si="18"/>
        <v>#VALUE!</v>
      </c>
    </row>
    <row r="48" spans="1:55" ht="26.25" customHeight="1">
      <c r="A48" s="2013">
        <f t="shared" si="1"/>
        <v>0</v>
      </c>
      <c r="B48" s="11382" t="str">
        <f t="shared" si="2"/>
        <v/>
      </c>
      <c r="C48" s="7430"/>
      <c r="D48" s="7430"/>
      <c r="E48" s="7430"/>
      <c r="F48" s="7430"/>
      <c r="G48" s="7430"/>
      <c r="H48" s="7430"/>
      <c r="I48" s="10855"/>
      <c r="J48" s="11383" t="str">
        <f t="shared" si="3"/>
        <v/>
      </c>
      <c r="K48" s="11384"/>
      <c r="L48" s="11384"/>
      <c r="M48" s="11383" t="str">
        <f t="shared" si="4"/>
        <v/>
      </c>
      <c r="N48" s="11399"/>
      <c r="O48" s="11399"/>
      <c r="P48" s="11400"/>
      <c r="Q48" s="8178" t="str">
        <f t="shared" si="5"/>
        <v/>
      </c>
      <c r="R48" s="7375"/>
      <c r="S48" s="7375"/>
      <c r="T48" s="7376"/>
      <c r="U48" s="8178" t="str">
        <f t="shared" si="6"/>
        <v/>
      </c>
      <c r="V48" s="7375"/>
      <c r="W48" s="7375"/>
      <c r="X48" s="7376"/>
      <c r="Y48" s="11387" t="str">
        <f t="shared" si="19"/>
        <v/>
      </c>
      <c r="Z48" s="7336"/>
      <c r="AA48" s="8178" t="str">
        <f t="shared" si="20"/>
        <v/>
      </c>
      <c r="AB48" s="11386"/>
      <c r="AC48" s="11401" t="str">
        <f t="shared" si="7"/>
        <v/>
      </c>
      <c r="AD48" s="11402"/>
      <c r="AE48" s="11402"/>
      <c r="AF48" s="11402"/>
      <c r="AG48" s="4271">
        <f t="shared" si="8"/>
        <v>0</v>
      </c>
      <c r="AH48" s="6014"/>
      <c r="AI48" s="6014" t="e">
        <f t="shared" si="0"/>
        <v>#VALUE!</v>
      </c>
      <c r="AJ48" s="293"/>
      <c r="AK48" s="297"/>
      <c r="AL48" s="297"/>
      <c r="AM48" s="295"/>
      <c r="AN48" s="295"/>
      <c r="AO48" s="296"/>
      <c r="AP48" s="295"/>
      <c r="AQ48" s="294"/>
      <c r="AS48" t="e">
        <f t="shared" si="9"/>
        <v>#VALUE!</v>
      </c>
      <c r="AT48" t="e">
        <f t="shared" si="10"/>
        <v>#VALUE!</v>
      </c>
      <c r="AU48" t="e">
        <f t="shared" si="11"/>
        <v>#VALUE!</v>
      </c>
      <c r="AW48" t="e">
        <f t="shared" si="12"/>
        <v>#VALUE!</v>
      </c>
      <c r="AX48" t="e">
        <f t="shared" si="13"/>
        <v>#VALUE!</v>
      </c>
      <c r="AY48" t="e">
        <f t="shared" si="14"/>
        <v>#VALUE!</v>
      </c>
      <c r="AZ48" t="e">
        <f t="shared" si="15"/>
        <v>#VALUE!</v>
      </c>
      <c r="BA48" t="e">
        <f t="shared" si="16"/>
        <v>#VALUE!</v>
      </c>
      <c r="BB48" t="e">
        <f t="shared" si="17"/>
        <v>#VALUE!</v>
      </c>
      <c r="BC48" t="e">
        <f t="shared" si="18"/>
        <v>#VALUE!</v>
      </c>
    </row>
    <row r="49" spans="1:55" ht="26.25" customHeight="1">
      <c r="A49" s="2013">
        <f t="shared" si="1"/>
        <v>0</v>
      </c>
      <c r="B49" s="11382" t="str">
        <f t="shared" si="2"/>
        <v/>
      </c>
      <c r="C49" s="7430"/>
      <c r="D49" s="7430"/>
      <c r="E49" s="7430"/>
      <c r="F49" s="7430"/>
      <c r="G49" s="7430"/>
      <c r="H49" s="7430"/>
      <c r="I49" s="10855"/>
      <c r="J49" s="11383" t="str">
        <f t="shared" si="3"/>
        <v/>
      </c>
      <c r="K49" s="11384"/>
      <c r="L49" s="11384"/>
      <c r="M49" s="11383" t="str">
        <f t="shared" si="4"/>
        <v/>
      </c>
      <c r="N49" s="11399"/>
      <c r="O49" s="11399"/>
      <c r="P49" s="11400"/>
      <c r="Q49" s="8178" t="str">
        <f t="shared" si="5"/>
        <v/>
      </c>
      <c r="R49" s="7375"/>
      <c r="S49" s="7375"/>
      <c r="T49" s="7376"/>
      <c r="U49" s="8178" t="str">
        <f t="shared" si="6"/>
        <v/>
      </c>
      <c r="V49" s="7375"/>
      <c r="W49" s="7375"/>
      <c r="X49" s="7376"/>
      <c r="Y49" s="11387" t="str">
        <f t="shared" si="19"/>
        <v/>
      </c>
      <c r="Z49" s="7336"/>
      <c r="AA49" s="8178" t="str">
        <f t="shared" si="20"/>
        <v/>
      </c>
      <c r="AB49" s="11386"/>
      <c r="AC49" s="11401" t="str">
        <f t="shared" si="7"/>
        <v/>
      </c>
      <c r="AD49" s="11402"/>
      <c r="AE49" s="11402"/>
      <c r="AF49" s="11402"/>
      <c r="AG49" s="4271">
        <f t="shared" si="8"/>
        <v>0</v>
      </c>
      <c r="AH49" s="6014"/>
      <c r="AI49" s="6014" t="e">
        <f t="shared" si="0"/>
        <v>#VALUE!</v>
      </c>
      <c r="AJ49" s="293"/>
      <c r="AK49" s="297"/>
      <c r="AL49" s="297"/>
      <c r="AM49" s="295"/>
      <c r="AN49" s="295"/>
      <c r="AO49" s="296"/>
      <c r="AP49" s="295"/>
      <c r="AQ49" s="294"/>
      <c r="AS49" t="e">
        <f t="shared" si="9"/>
        <v>#VALUE!</v>
      </c>
      <c r="AT49" t="e">
        <f t="shared" si="10"/>
        <v>#VALUE!</v>
      </c>
      <c r="AU49" t="e">
        <f t="shared" si="11"/>
        <v>#VALUE!</v>
      </c>
      <c r="AW49" t="e">
        <f t="shared" si="12"/>
        <v>#VALUE!</v>
      </c>
      <c r="AX49" t="e">
        <f t="shared" si="13"/>
        <v>#VALUE!</v>
      </c>
      <c r="AY49" t="e">
        <f t="shared" si="14"/>
        <v>#VALUE!</v>
      </c>
      <c r="AZ49" t="e">
        <f t="shared" si="15"/>
        <v>#VALUE!</v>
      </c>
      <c r="BA49" t="e">
        <f t="shared" si="16"/>
        <v>#VALUE!</v>
      </c>
      <c r="BB49" t="e">
        <f t="shared" si="17"/>
        <v>#VALUE!</v>
      </c>
      <c r="BC49" t="e">
        <f t="shared" si="18"/>
        <v>#VALUE!</v>
      </c>
    </row>
    <row r="50" spans="1:55" ht="26.25" customHeight="1">
      <c r="A50" s="2013">
        <f t="shared" si="1"/>
        <v>0</v>
      </c>
      <c r="B50" s="11382" t="str">
        <f t="shared" si="2"/>
        <v/>
      </c>
      <c r="C50" s="7430"/>
      <c r="D50" s="7430"/>
      <c r="E50" s="7430"/>
      <c r="F50" s="7430"/>
      <c r="G50" s="7430"/>
      <c r="H50" s="7430"/>
      <c r="I50" s="10855"/>
      <c r="J50" s="11383" t="str">
        <f t="shared" si="3"/>
        <v/>
      </c>
      <c r="K50" s="11384"/>
      <c r="L50" s="11384"/>
      <c r="M50" s="11383" t="str">
        <f t="shared" si="4"/>
        <v/>
      </c>
      <c r="N50" s="11399"/>
      <c r="O50" s="11399"/>
      <c r="P50" s="11400"/>
      <c r="Q50" s="8178" t="str">
        <f t="shared" si="5"/>
        <v/>
      </c>
      <c r="R50" s="7375"/>
      <c r="S50" s="7375"/>
      <c r="T50" s="7376"/>
      <c r="U50" s="8178" t="str">
        <f t="shared" si="6"/>
        <v/>
      </c>
      <c r="V50" s="7375"/>
      <c r="W50" s="7375"/>
      <c r="X50" s="7376"/>
      <c r="Y50" s="11387" t="str">
        <f t="shared" si="19"/>
        <v/>
      </c>
      <c r="Z50" s="7336"/>
      <c r="AA50" s="8178" t="str">
        <f t="shared" si="20"/>
        <v/>
      </c>
      <c r="AB50" s="11386"/>
      <c r="AC50" s="11401" t="str">
        <f t="shared" si="7"/>
        <v/>
      </c>
      <c r="AD50" s="11402"/>
      <c r="AE50" s="11402"/>
      <c r="AF50" s="11402"/>
      <c r="AG50" s="4271">
        <f t="shared" si="8"/>
        <v>0</v>
      </c>
      <c r="AH50" s="6014"/>
      <c r="AI50" s="6014" t="e">
        <f t="shared" si="0"/>
        <v>#VALUE!</v>
      </c>
      <c r="AJ50" s="293"/>
      <c r="AK50" s="297"/>
      <c r="AL50" s="297"/>
      <c r="AM50" s="295"/>
      <c r="AN50" s="295"/>
      <c r="AO50" s="296"/>
      <c r="AP50" s="295"/>
      <c r="AQ50" s="294"/>
      <c r="AS50" t="e">
        <f t="shared" si="9"/>
        <v>#VALUE!</v>
      </c>
      <c r="AT50" t="e">
        <f t="shared" si="10"/>
        <v>#VALUE!</v>
      </c>
      <c r="AU50" t="e">
        <f t="shared" si="11"/>
        <v>#VALUE!</v>
      </c>
      <c r="AW50" t="e">
        <f t="shared" si="12"/>
        <v>#VALUE!</v>
      </c>
      <c r="AX50" t="e">
        <f t="shared" si="13"/>
        <v>#VALUE!</v>
      </c>
      <c r="AY50" t="e">
        <f t="shared" si="14"/>
        <v>#VALUE!</v>
      </c>
      <c r="AZ50" t="e">
        <f t="shared" si="15"/>
        <v>#VALUE!</v>
      </c>
      <c r="BA50" t="e">
        <f t="shared" si="16"/>
        <v>#VALUE!</v>
      </c>
      <c r="BB50" t="e">
        <f t="shared" si="17"/>
        <v>#VALUE!</v>
      </c>
      <c r="BC50" t="e">
        <f t="shared" si="18"/>
        <v>#VALUE!</v>
      </c>
    </row>
    <row r="51" spans="1:55" ht="26.25" customHeight="1">
      <c r="A51" s="2013">
        <f t="shared" si="1"/>
        <v>0</v>
      </c>
      <c r="B51" s="11382" t="str">
        <f t="shared" si="2"/>
        <v/>
      </c>
      <c r="C51" s="7430"/>
      <c r="D51" s="7430"/>
      <c r="E51" s="7430"/>
      <c r="F51" s="7430"/>
      <c r="G51" s="7430"/>
      <c r="H51" s="7430"/>
      <c r="I51" s="10855"/>
      <c r="J51" s="11383" t="str">
        <f t="shared" si="3"/>
        <v/>
      </c>
      <c r="K51" s="11384"/>
      <c r="L51" s="11384"/>
      <c r="M51" s="11383" t="str">
        <f t="shared" si="4"/>
        <v/>
      </c>
      <c r="N51" s="11399"/>
      <c r="O51" s="11399"/>
      <c r="P51" s="11400"/>
      <c r="Q51" s="8178" t="str">
        <f t="shared" si="5"/>
        <v/>
      </c>
      <c r="R51" s="7375"/>
      <c r="S51" s="7375"/>
      <c r="T51" s="7376"/>
      <c r="U51" s="8178" t="str">
        <f t="shared" si="6"/>
        <v/>
      </c>
      <c r="V51" s="7375"/>
      <c r="W51" s="7375"/>
      <c r="X51" s="7376"/>
      <c r="Y51" s="11387" t="str">
        <f t="shared" si="19"/>
        <v/>
      </c>
      <c r="Z51" s="7336"/>
      <c r="AA51" s="8178" t="str">
        <f t="shared" si="20"/>
        <v/>
      </c>
      <c r="AB51" s="11386"/>
      <c r="AC51" s="11401" t="str">
        <f t="shared" si="7"/>
        <v/>
      </c>
      <c r="AD51" s="11402"/>
      <c r="AE51" s="11402"/>
      <c r="AF51" s="11402"/>
      <c r="AG51" s="4271">
        <f t="shared" si="8"/>
        <v>0</v>
      </c>
      <c r="AH51" s="6014"/>
      <c r="AI51" s="6014" t="e">
        <f t="shared" si="0"/>
        <v>#VALUE!</v>
      </c>
      <c r="AJ51" s="293"/>
      <c r="AK51" s="297"/>
      <c r="AL51" s="297"/>
      <c r="AM51" s="295"/>
      <c r="AN51" s="295"/>
      <c r="AO51" s="296"/>
      <c r="AP51" s="295"/>
      <c r="AQ51" s="294"/>
      <c r="AS51" t="e">
        <f t="shared" si="9"/>
        <v>#VALUE!</v>
      </c>
      <c r="AT51" t="e">
        <f t="shared" si="10"/>
        <v>#VALUE!</v>
      </c>
      <c r="AU51" t="e">
        <f t="shared" si="11"/>
        <v>#VALUE!</v>
      </c>
      <c r="AW51" t="e">
        <f t="shared" si="12"/>
        <v>#VALUE!</v>
      </c>
      <c r="AX51" t="e">
        <f t="shared" si="13"/>
        <v>#VALUE!</v>
      </c>
      <c r="AY51" t="e">
        <f t="shared" si="14"/>
        <v>#VALUE!</v>
      </c>
      <c r="AZ51" t="e">
        <f t="shared" si="15"/>
        <v>#VALUE!</v>
      </c>
      <c r="BA51" t="e">
        <f t="shared" si="16"/>
        <v>#VALUE!</v>
      </c>
      <c r="BB51" t="e">
        <f t="shared" si="17"/>
        <v>#VALUE!</v>
      </c>
      <c r="BC51" t="e">
        <f t="shared" si="18"/>
        <v>#VALUE!</v>
      </c>
    </row>
    <row r="52" spans="1:55" ht="12" customHeight="1">
      <c r="A52" s="2013">
        <f>SUM(A41:A51)</f>
        <v>0</v>
      </c>
      <c r="B52" s="11441">
        <v>2</v>
      </c>
      <c r="C52" s="11421" t="s">
        <v>6416</v>
      </c>
      <c r="D52" s="11422"/>
      <c r="E52" s="11422"/>
      <c r="F52" s="11422"/>
      <c r="G52" s="11422"/>
      <c r="H52" s="11422"/>
      <c r="I52" s="11422"/>
      <c r="J52" s="11422"/>
      <c r="K52" s="11422"/>
      <c r="L52" s="11422"/>
      <c r="M52" s="11422"/>
      <c r="N52" s="11422"/>
      <c r="O52" s="11422"/>
      <c r="P52" s="11422"/>
      <c r="Q52" s="11409" t="str">
        <f>IF(A52=0,"",ROUND(SUM(Q41:Q51),0))</f>
        <v/>
      </c>
      <c r="R52" s="11410"/>
      <c r="S52" s="11410"/>
      <c r="T52" s="11411"/>
      <c r="U52" s="11409" t="str">
        <f>IF(A52=0,"",ROUND(SUM(U41:U51),0))</f>
        <v/>
      </c>
      <c r="V52" s="11410"/>
      <c r="W52" s="11410"/>
      <c r="X52" s="11411"/>
      <c r="Y52" s="11403"/>
      <c r="Z52" s="11404"/>
      <c r="AA52" s="11409" t="str">
        <f>IF(A52=0,"",ROUND(SUM(AA41:AA51),0))</f>
        <v/>
      </c>
      <c r="AB52" s="11411"/>
      <c r="AC52" s="11409" t="str">
        <f>IF(A52=0,"",ROUND(SUM(AC41:AC51),0))</f>
        <v/>
      </c>
      <c r="AD52" s="11410"/>
      <c r="AE52" s="11410"/>
      <c r="AF52" s="11410"/>
      <c r="AG52" s="2013"/>
    </row>
    <row r="53" spans="1:55" ht="12" customHeight="1">
      <c r="A53" s="2013"/>
      <c r="B53" s="11442"/>
      <c r="C53" s="11423"/>
      <c r="D53" s="11423"/>
      <c r="E53" s="11423"/>
      <c r="F53" s="11423"/>
      <c r="G53" s="11423"/>
      <c r="H53" s="11423"/>
      <c r="I53" s="11423"/>
      <c r="J53" s="11423"/>
      <c r="K53" s="11423"/>
      <c r="L53" s="11423"/>
      <c r="M53" s="11423"/>
      <c r="N53" s="11423"/>
      <c r="O53" s="11423"/>
      <c r="P53" s="11423"/>
      <c r="Q53" s="11412"/>
      <c r="R53" s="11413"/>
      <c r="S53" s="11413"/>
      <c r="T53" s="11414"/>
      <c r="U53" s="11412"/>
      <c r="V53" s="11413"/>
      <c r="W53" s="11413"/>
      <c r="X53" s="11414"/>
      <c r="Y53" s="11405"/>
      <c r="Z53" s="11406"/>
      <c r="AA53" s="11412"/>
      <c r="AB53" s="11414"/>
      <c r="AC53" s="11412"/>
      <c r="AD53" s="11413"/>
      <c r="AE53" s="11413"/>
      <c r="AF53" s="11413"/>
      <c r="AG53" s="2013"/>
    </row>
    <row r="54" spans="1:55" ht="12" customHeight="1">
      <c r="A54" s="2013"/>
      <c r="B54" s="11442"/>
      <c r="C54" s="11423"/>
      <c r="D54" s="11423"/>
      <c r="E54" s="11423"/>
      <c r="F54" s="11423"/>
      <c r="G54" s="11423"/>
      <c r="H54" s="11423"/>
      <c r="I54" s="11423"/>
      <c r="J54" s="11423"/>
      <c r="K54" s="11423"/>
      <c r="L54" s="11423"/>
      <c r="M54" s="11423"/>
      <c r="N54" s="11423"/>
      <c r="O54" s="11423"/>
      <c r="P54" s="11423"/>
      <c r="Q54" s="11412"/>
      <c r="R54" s="11413"/>
      <c r="S54" s="11413"/>
      <c r="T54" s="11414"/>
      <c r="U54" s="11412"/>
      <c r="V54" s="11413"/>
      <c r="W54" s="11413"/>
      <c r="X54" s="11414"/>
      <c r="Y54" s="11405"/>
      <c r="Z54" s="11406"/>
      <c r="AA54" s="11412"/>
      <c r="AB54" s="11414"/>
      <c r="AC54" s="11412"/>
      <c r="AD54" s="11413"/>
      <c r="AE54" s="11413"/>
      <c r="AF54" s="11413"/>
      <c r="AG54" s="2013"/>
    </row>
    <row r="55" spans="1:55" ht="12" customHeight="1">
      <c r="A55" s="2013"/>
      <c r="B55" s="11442"/>
      <c r="C55" s="11423"/>
      <c r="D55" s="11423"/>
      <c r="E55" s="11423"/>
      <c r="F55" s="11423"/>
      <c r="G55" s="11423"/>
      <c r="H55" s="11423"/>
      <c r="I55" s="11423"/>
      <c r="J55" s="11423"/>
      <c r="K55" s="11423"/>
      <c r="L55" s="11423"/>
      <c r="M55" s="11423"/>
      <c r="N55" s="11423"/>
      <c r="O55" s="11423"/>
      <c r="P55" s="11423"/>
      <c r="Q55" s="11412"/>
      <c r="R55" s="11413"/>
      <c r="S55" s="11413"/>
      <c r="T55" s="11414"/>
      <c r="U55" s="11412"/>
      <c r="V55" s="11413"/>
      <c r="W55" s="11413"/>
      <c r="X55" s="11414"/>
      <c r="Y55" s="11405"/>
      <c r="Z55" s="11406"/>
      <c r="AA55" s="11412"/>
      <c r="AB55" s="11414"/>
      <c r="AC55" s="11412"/>
      <c r="AD55" s="11413"/>
      <c r="AE55" s="11413"/>
      <c r="AF55" s="11413"/>
      <c r="AG55" s="2013"/>
    </row>
    <row r="56" spans="1:55" ht="12" customHeight="1">
      <c r="A56" s="2013"/>
      <c r="B56" s="11442"/>
      <c r="C56" s="11423"/>
      <c r="D56" s="11423"/>
      <c r="E56" s="11423"/>
      <c r="F56" s="11423"/>
      <c r="G56" s="11423"/>
      <c r="H56" s="11423"/>
      <c r="I56" s="11423"/>
      <c r="J56" s="11423"/>
      <c r="K56" s="11423"/>
      <c r="L56" s="11423"/>
      <c r="M56" s="11423"/>
      <c r="N56" s="11423"/>
      <c r="O56" s="11423"/>
      <c r="P56" s="11423"/>
      <c r="Q56" s="11415"/>
      <c r="R56" s="11416"/>
      <c r="S56" s="11416"/>
      <c r="T56" s="11417"/>
      <c r="U56" s="11415"/>
      <c r="V56" s="11416"/>
      <c r="W56" s="11416"/>
      <c r="X56" s="11417"/>
      <c r="Y56" s="11407"/>
      <c r="Z56" s="11408"/>
      <c r="AA56" s="11415"/>
      <c r="AB56" s="11417"/>
      <c r="AC56" s="11412"/>
      <c r="AD56" s="11413"/>
      <c r="AE56" s="11413"/>
      <c r="AF56" s="11413"/>
      <c r="AG56" s="2013"/>
    </row>
    <row r="57" spans="1:55" ht="25.5" customHeight="1" thickBot="1">
      <c r="A57" s="2013"/>
      <c r="B57" s="11418" t="s">
        <v>6415</v>
      </c>
      <c r="C57" s="11419"/>
      <c r="D57" s="11419"/>
      <c r="E57" s="11419"/>
      <c r="F57" s="11419"/>
      <c r="G57" s="11419"/>
      <c r="H57" s="11419"/>
      <c r="I57" s="11419"/>
      <c r="J57" s="11419"/>
      <c r="K57" s="11419"/>
      <c r="L57" s="11419"/>
      <c r="M57" s="11419"/>
      <c r="N57" s="11419"/>
      <c r="O57" s="11419"/>
      <c r="P57" s="11419"/>
      <c r="Q57" s="11419"/>
      <c r="R57" s="11419"/>
      <c r="S57" s="11419"/>
      <c r="T57" s="11419"/>
      <c r="U57" s="11420"/>
      <c r="V57" s="11420"/>
      <c r="W57" s="11420"/>
      <c r="X57" s="11420"/>
      <c r="Y57" s="11419"/>
      <c r="Z57" s="11419"/>
      <c r="AA57" s="11419"/>
      <c r="AB57" s="11419"/>
      <c r="AC57" s="11419"/>
      <c r="AD57" s="11419"/>
      <c r="AE57" s="11419"/>
      <c r="AF57" s="11419"/>
      <c r="AG57" s="2013"/>
      <c r="AJ57" s="329"/>
    </row>
    <row r="58" spans="1:55" ht="16.5" thickTop="1">
      <c r="A58" s="2013"/>
      <c r="B58" s="6015" t="s">
        <v>865</v>
      </c>
      <c r="C58" s="88"/>
      <c r="D58" s="88"/>
      <c r="E58" s="88"/>
      <c r="F58" s="88"/>
      <c r="G58" s="88"/>
      <c r="H58" s="88"/>
      <c r="I58" s="88"/>
      <c r="J58" s="88"/>
      <c r="K58" s="88"/>
      <c r="L58" s="88"/>
      <c r="M58" s="88"/>
      <c r="N58" s="88"/>
      <c r="O58" s="88"/>
      <c r="P58" s="88"/>
      <c r="Q58" s="88"/>
      <c r="R58" s="88"/>
      <c r="S58" s="88"/>
      <c r="T58" s="88"/>
      <c r="U58" s="3931" t="s">
        <v>4480</v>
      </c>
      <c r="V58" s="88"/>
      <c r="W58" s="88"/>
      <c r="X58" s="88"/>
      <c r="Y58" s="88"/>
      <c r="Z58" s="88"/>
      <c r="AA58" s="2052" t="s">
        <v>4481</v>
      </c>
      <c r="AB58" s="6016" t="str">
        <f>"("&amp;TaxYear&amp;")"</f>
        <v>(2025)</v>
      </c>
      <c r="AC58" s="88"/>
      <c r="AD58" s="2052"/>
      <c r="AE58" s="88"/>
      <c r="AF58" s="6016" t="s">
        <v>6418</v>
      </c>
      <c r="AG58" s="2013"/>
    </row>
    <row r="59" spans="1:55" ht="15.75">
      <c r="A59" s="2013"/>
      <c r="B59" s="1931" t="str">
        <f>"Form 8949 ("&amp;TaxYear&amp;")"</f>
        <v>Form 8949 (2025)</v>
      </c>
      <c r="C59" s="2432"/>
      <c r="D59" s="2432"/>
      <c r="E59" s="2432"/>
      <c r="F59" s="2432"/>
      <c r="G59" s="2432"/>
      <c r="H59" s="2432"/>
      <c r="I59" s="2432"/>
      <c r="J59" s="2432"/>
      <c r="K59" s="2432"/>
      <c r="L59" s="2432"/>
      <c r="M59" s="2432"/>
      <c r="N59" s="2432"/>
      <c r="O59" s="2432"/>
      <c r="P59" s="2432"/>
      <c r="Q59" s="2432"/>
      <c r="R59" s="2432"/>
      <c r="S59" s="2432"/>
      <c r="T59" s="2432"/>
      <c r="U59" s="2432"/>
      <c r="V59" s="1931" t="s">
        <v>4482</v>
      </c>
      <c r="W59" s="2432"/>
      <c r="X59" s="2432"/>
      <c r="Y59" s="2432"/>
      <c r="Z59" s="2432"/>
      <c r="AA59" s="2432"/>
      <c r="AB59" s="2432"/>
      <c r="AC59" s="2432"/>
      <c r="AD59" s="2432"/>
      <c r="AE59" s="2432"/>
      <c r="AF59" s="5730" t="s">
        <v>867</v>
      </c>
      <c r="AG59" s="2013"/>
    </row>
    <row r="60" spans="1:55">
      <c r="A60" s="2013"/>
      <c r="B60" s="229" t="s">
        <v>4483</v>
      </c>
      <c r="C60" s="88"/>
      <c r="D60" s="88"/>
      <c r="E60" s="88"/>
      <c r="F60" s="88"/>
      <c r="G60" s="88"/>
      <c r="H60" s="88"/>
      <c r="I60" s="88"/>
      <c r="J60" s="88"/>
      <c r="K60" s="88"/>
      <c r="L60" s="88"/>
      <c r="M60" s="88"/>
      <c r="N60" s="88"/>
      <c r="O60" s="88"/>
      <c r="P60" s="88"/>
      <c r="Q60" s="88"/>
      <c r="R60" s="88"/>
      <c r="S60" s="88"/>
      <c r="T60" s="88"/>
      <c r="U60" s="88"/>
      <c r="V60" s="6006" t="s">
        <v>4458</v>
      </c>
      <c r="W60" s="88"/>
      <c r="X60" s="88"/>
      <c r="Y60" s="88"/>
      <c r="Z60" s="2666"/>
      <c r="AA60" s="88"/>
      <c r="AB60" s="88"/>
      <c r="AC60" s="88"/>
      <c r="AD60" s="88"/>
      <c r="AE60" s="88"/>
      <c r="AF60" s="88"/>
      <c r="AG60" s="2013"/>
    </row>
    <row r="61" spans="1:55" ht="16.5" thickBot="1">
      <c r="A61" s="2013"/>
      <c r="B61" s="11436" t="str">
        <f>Names</f>
        <v/>
      </c>
      <c r="C61" s="11437"/>
      <c r="D61" s="11437"/>
      <c r="E61" s="11437"/>
      <c r="F61" s="11437"/>
      <c r="G61" s="11437"/>
      <c r="H61" s="11437"/>
      <c r="I61" s="11437"/>
      <c r="J61" s="11437"/>
      <c r="K61" s="11437"/>
      <c r="L61" s="11437"/>
      <c r="M61" s="11437"/>
      <c r="N61" s="11437"/>
      <c r="O61" s="11437"/>
      <c r="P61" s="11437"/>
      <c r="Q61" s="11437"/>
      <c r="R61" s="11437"/>
      <c r="S61" s="11437"/>
      <c r="T61" s="11437"/>
      <c r="U61" s="11438"/>
      <c r="V61" s="11439">
        <f>IF(NoSSN,"",SS_Yours)</f>
        <v>1010001</v>
      </c>
      <c r="W61" s="11440"/>
      <c r="X61" s="11440"/>
      <c r="Y61" s="11440"/>
      <c r="Z61" s="11440"/>
      <c r="AA61" s="11440"/>
      <c r="AB61" s="11440"/>
      <c r="AC61" s="11440"/>
      <c r="AD61" s="11440"/>
      <c r="AE61" s="11440"/>
      <c r="AF61" s="11440"/>
      <c r="AG61" s="2013"/>
    </row>
    <row r="62" spans="1:55" ht="12.75" customHeight="1">
      <c r="A62" s="2013"/>
      <c r="B62" s="11443" t="s">
        <v>6410</v>
      </c>
      <c r="C62" s="11444"/>
      <c r="D62" s="11444"/>
      <c r="E62" s="11444"/>
      <c r="F62" s="11444"/>
      <c r="G62" s="11444"/>
      <c r="H62" s="11444"/>
      <c r="I62" s="11444"/>
      <c r="J62" s="11444"/>
      <c r="K62" s="11444"/>
      <c r="L62" s="11444"/>
      <c r="M62" s="11444"/>
      <c r="N62" s="11444"/>
      <c r="O62" s="11444"/>
      <c r="P62" s="11444"/>
      <c r="Q62" s="11444"/>
      <c r="R62" s="11444"/>
      <c r="S62" s="11444"/>
      <c r="T62" s="11444"/>
      <c r="U62" s="11444"/>
      <c r="V62" s="11444"/>
      <c r="W62" s="11444"/>
      <c r="X62" s="11444"/>
      <c r="Y62" s="11444"/>
      <c r="Z62" s="11444"/>
      <c r="AA62" s="11444"/>
      <c r="AB62" s="11444"/>
      <c r="AC62" s="11444"/>
      <c r="AD62" s="11444"/>
      <c r="AE62" s="11444"/>
      <c r="AF62" s="11444"/>
      <c r="AG62" s="2013"/>
    </row>
    <row r="63" spans="1:55" ht="12.75" customHeight="1">
      <c r="A63" s="2013"/>
      <c r="B63" s="9174"/>
      <c r="C63" s="9174"/>
      <c r="D63" s="9174"/>
      <c r="E63" s="9174"/>
      <c r="F63" s="9174"/>
      <c r="G63" s="9174"/>
      <c r="H63" s="9174"/>
      <c r="I63" s="9174"/>
      <c r="J63" s="9174"/>
      <c r="K63" s="9174"/>
      <c r="L63" s="9174"/>
      <c r="M63" s="9174"/>
      <c r="N63" s="9174"/>
      <c r="O63" s="9174"/>
      <c r="P63" s="9174"/>
      <c r="Q63" s="9174"/>
      <c r="R63" s="9174"/>
      <c r="S63" s="9174"/>
      <c r="T63" s="9174"/>
      <c r="U63" s="9174"/>
      <c r="V63" s="9174"/>
      <c r="W63" s="9174"/>
      <c r="X63" s="9174"/>
      <c r="Y63" s="9174"/>
      <c r="Z63" s="9174"/>
      <c r="AA63" s="9174"/>
      <c r="AB63" s="9174"/>
      <c r="AC63" s="9174"/>
      <c r="AD63" s="9174"/>
      <c r="AE63" s="9174"/>
      <c r="AF63" s="9174"/>
      <c r="AG63" s="2013"/>
    </row>
    <row r="64" spans="1:55" ht="12.75" customHeight="1">
      <c r="A64" s="2013"/>
      <c r="B64" s="9004"/>
      <c r="C64" s="9004"/>
      <c r="D64" s="9004"/>
      <c r="E64" s="9004"/>
      <c r="F64" s="9004"/>
      <c r="G64" s="9004"/>
      <c r="H64" s="9004"/>
      <c r="I64" s="9004"/>
      <c r="J64" s="9004"/>
      <c r="K64" s="9004"/>
      <c r="L64" s="9004"/>
      <c r="M64" s="9004"/>
      <c r="N64" s="9004"/>
      <c r="O64" s="9004"/>
      <c r="P64" s="9004"/>
      <c r="Q64" s="9004"/>
      <c r="R64" s="9004"/>
      <c r="S64" s="9004"/>
      <c r="T64" s="9004"/>
      <c r="U64" s="9004"/>
      <c r="V64" s="9004"/>
      <c r="W64" s="9004"/>
      <c r="X64" s="9004"/>
      <c r="Y64" s="9004"/>
      <c r="Z64" s="9004"/>
      <c r="AA64" s="9004"/>
      <c r="AB64" s="9004"/>
      <c r="AC64" s="9004"/>
      <c r="AD64" s="9004"/>
      <c r="AE64" s="9004"/>
      <c r="AF64" s="9004"/>
      <c r="AG64" s="2013"/>
    </row>
    <row r="65" spans="1:55" ht="3.75" customHeight="1">
      <c r="A65" s="2013"/>
      <c r="B65" s="88"/>
      <c r="C65" s="88"/>
      <c r="D65" s="88"/>
      <c r="E65" s="88"/>
      <c r="F65" s="88"/>
      <c r="G65" s="88"/>
      <c r="H65" s="88"/>
      <c r="I65" s="88"/>
      <c r="J65" s="88"/>
      <c r="K65" s="88"/>
      <c r="L65" s="88"/>
      <c r="M65" s="88"/>
      <c r="N65" s="88"/>
      <c r="O65" s="88"/>
      <c r="P65" s="88"/>
      <c r="Q65" s="88"/>
      <c r="R65" s="88"/>
      <c r="S65" s="88"/>
      <c r="T65" s="88"/>
      <c r="U65" s="88"/>
      <c r="V65" s="88"/>
      <c r="W65" s="88"/>
      <c r="X65" s="88"/>
      <c r="Y65" s="88"/>
      <c r="Z65" s="88"/>
      <c r="AA65" s="88"/>
      <c r="AB65" s="88"/>
      <c r="AC65" s="88"/>
      <c r="AD65" s="88"/>
      <c r="AE65" s="88"/>
      <c r="AF65" s="88"/>
      <c r="AG65" s="2013"/>
    </row>
    <row r="66" spans="1:55" ht="15">
      <c r="A66" s="2013"/>
      <c r="B66" s="11435" t="s">
        <v>868</v>
      </c>
      <c r="C66" s="9782"/>
      <c r="D66" s="88"/>
      <c r="E66" s="3414" t="s">
        <v>5432</v>
      </c>
      <c r="F66" s="1836"/>
      <c r="G66" s="1836"/>
      <c r="H66" s="1836"/>
      <c r="I66" s="1836" t="s">
        <v>5433</v>
      </c>
      <c r="J66" s="1836"/>
      <c r="K66" s="1836"/>
      <c r="L66" s="1836"/>
      <c r="M66" s="1836"/>
      <c r="N66" s="1836"/>
      <c r="O66" s="1836"/>
      <c r="P66" s="3414"/>
      <c r="Q66" s="1836"/>
      <c r="R66" s="1836"/>
      <c r="S66" s="1836"/>
      <c r="T66" s="1836"/>
      <c r="U66" s="1836"/>
      <c r="V66" s="1836"/>
      <c r="W66" s="1836"/>
      <c r="X66" s="1836"/>
      <c r="Y66" s="1836"/>
      <c r="Z66" s="1836"/>
      <c r="AA66" s="1836"/>
      <c r="AB66" s="1836"/>
      <c r="AC66" s="1836"/>
      <c r="AD66" s="1836"/>
      <c r="AE66" s="1836"/>
      <c r="AF66" s="1836"/>
      <c r="AG66" s="2013" t="b">
        <f>IF(SUM(AG91:AG101)&gt;0,TRUE,FALSE)</f>
        <v>0</v>
      </c>
    </row>
    <row r="67" spans="1:55" ht="12.75" customHeight="1">
      <c r="A67" s="2013"/>
      <c r="B67" s="88"/>
      <c r="C67" s="88"/>
      <c r="D67" s="88"/>
      <c r="E67" s="1836" t="s">
        <v>4484</v>
      </c>
      <c r="F67" s="1836"/>
      <c r="G67" s="1836"/>
      <c r="H67" s="1836"/>
      <c r="I67" s="1836"/>
      <c r="J67" s="1836"/>
      <c r="K67" s="1836"/>
      <c r="L67" s="1836"/>
      <c r="M67" s="1836"/>
      <c r="N67" s="1836"/>
      <c r="O67" s="1836"/>
      <c r="P67" s="1836"/>
      <c r="Q67" s="1836"/>
      <c r="R67" s="1836"/>
      <c r="S67" s="1836"/>
      <c r="T67" s="1836"/>
      <c r="U67" s="1836"/>
      <c r="V67" s="1836"/>
      <c r="W67" s="1836"/>
      <c r="X67" s="1836"/>
      <c r="Y67" s="1836"/>
      <c r="Z67" s="1836"/>
      <c r="AA67" s="1836"/>
      <c r="AB67" s="1836"/>
      <c r="AC67" s="1836"/>
      <c r="AD67" s="1836"/>
      <c r="AE67" s="1836"/>
      <c r="AF67" s="1836"/>
      <c r="AG67" s="2013"/>
    </row>
    <row r="68" spans="1:55" ht="13.5" customHeight="1">
      <c r="A68" s="2013"/>
      <c r="B68" s="88"/>
      <c r="C68" s="88"/>
      <c r="D68" s="88"/>
      <c r="E68" s="3440" t="s">
        <v>6411</v>
      </c>
      <c r="F68" s="88"/>
      <c r="G68" s="88"/>
      <c r="H68" s="88"/>
      <c r="I68" s="88"/>
      <c r="J68" s="88"/>
      <c r="K68" s="88"/>
      <c r="L68" s="88"/>
      <c r="M68" s="88"/>
      <c r="N68" s="88"/>
      <c r="O68" s="88"/>
      <c r="P68" s="88"/>
      <c r="Q68" s="88"/>
      <c r="R68" s="88"/>
      <c r="S68" s="88"/>
      <c r="T68" s="1836"/>
      <c r="U68" s="88"/>
      <c r="V68" s="88"/>
      <c r="W68" s="88"/>
      <c r="X68" s="1560"/>
      <c r="Y68" s="88"/>
      <c r="Z68" s="88"/>
      <c r="AA68" s="88"/>
      <c r="AB68" s="88"/>
      <c r="AC68" s="88"/>
      <c r="AD68" s="88"/>
      <c r="AE68" s="88"/>
      <c r="AF68" s="88"/>
      <c r="AG68" s="2013"/>
      <c r="AS68" s="506"/>
      <c r="AT68" s="506"/>
      <c r="AU68" s="506"/>
      <c r="AV68" s="506"/>
      <c r="AW68" s="506"/>
      <c r="AX68" s="506"/>
      <c r="AY68" s="506"/>
      <c r="AZ68" s="506"/>
      <c r="BA68" s="506"/>
      <c r="BB68" s="506"/>
      <c r="BC68" s="506"/>
    </row>
    <row r="69" spans="1:55" ht="13.5" customHeight="1">
      <c r="A69" s="2013"/>
      <c r="B69" s="88"/>
      <c r="C69" s="88"/>
      <c r="D69" s="88"/>
      <c r="E69" s="1836" t="s">
        <v>6408</v>
      </c>
      <c r="F69" s="88"/>
      <c r="G69" s="88"/>
      <c r="H69" s="88"/>
      <c r="I69" s="88"/>
      <c r="J69" s="88"/>
      <c r="K69" s="88"/>
      <c r="L69" s="88"/>
      <c r="M69" s="88"/>
      <c r="N69" s="88"/>
      <c r="O69" s="88"/>
      <c r="P69" s="88"/>
      <c r="Q69" s="88"/>
      <c r="R69" s="88"/>
      <c r="S69" s="88"/>
      <c r="T69" s="1836"/>
      <c r="U69" s="88"/>
      <c r="V69" s="88"/>
      <c r="W69" s="88"/>
      <c r="X69" s="1560"/>
      <c r="Y69" s="88"/>
      <c r="Z69" s="88"/>
      <c r="AA69" s="88"/>
      <c r="AB69" s="88"/>
      <c r="AC69" s="88"/>
      <c r="AD69" s="88"/>
      <c r="AE69" s="88"/>
      <c r="AF69" s="88"/>
      <c r="AG69" s="2013"/>
      <c r="AS69" s="506"/>
      <c r="AT69" s="506"/>
      <c r="AU69" s="506"/>
      <c r="AV69" s="506"/>
      <c r="AW69" s="506"/>
      <c r="AX69" s="506"/>
      <c r="AY69" s="506"/>
      <c r="AZ69" s="506"/>
      <c r="BA69" s="506"/>
      <c r="BB69" s="506"/>
      <c r="BC69" s="506"/>
    </row>
    <row r="70" spans="1:55" ht="13.5" customHeight="1">
      <c r="A70" s="2013"/>
      <c r="B70" s="2432"/>
      <c r="C70" s="2432"/>
      <c r="D70" s="2432"/>
      <c r="E70" s="6008" t="s">
        <v>6412</v>
      </c>
      <c r="F70" s="2432"/>
      <c r="G70" s="2432"/>
      <c r="H70" s="2432"/>
      <c r="I70" s="2432"/>
      <c r="J70" s="2432"/>
      <c r="K70" s="2432"/>
      <c r="L70" s="2432"/>
      <c r="M70" s="2432"/>
      <c r="N70" s="2432"/>
      <c r="O70" s="2432"/>
      <c r="P70" s="2432"/>
      <c r="Q70" s="2432"/>
      <c r="R70" s="2432"/>
      <c r="S70" s="2432"/>
      <c r="T70" s="2432"/>
      <c r="U70" s="2432"/>
      <c r="V70" s="2432"/>
      <c r="W70" s="2432"/>
      <c r="X70" s="2432"/>
      <c r="Y70" s="2432"/>
      <c r="Z70" s="2432"/>
      <c r="AA70" s="2432"/>
      <c r="AB70" s="2432"/>
      <c r="AC70" s="2432"/>
      <c r="AD70" s="2432"/>
      <c r="AE70" s="2432"/>
      <c r="AF70" s="2432"/>
      <c r="AG70" s="2013"/>
      <c r="AS70" s="506"/>
      <c r="AT70" s="506"/>
      <c r="AU70" s="506"/>
      <c r="AV70" s="506"/>
      <c r="AW70" s="506"/>
      <c r="AX70" s="506"/>
      <c r="AY70" s="506"/>
      <c r="AZ70" s="506"/>
      <c r="BA70" s="506"/>
      <c r="BB70" s="506"/>
      <c r="BC70" s="506"/>
    </row>
    <row r="71" spans="1:55" ht="14.25">
      <c r="A71" s="2013"/>
      <c r="B71" s="226" t="s">
        <v>6413</v>
      </c>
      <c r="C71" s="247"/>
      <c r="D71" s="247"/>
      <c r="E71" s="247"/>
      <c r="F71" s="247"/>
      <c r="G71" s="247"/>
      <c r="H71" s="247"/>
      <c r="I71" s="247"/>
      <c r="J71" s="247"/>
      <c r="K71" s="1183"/>
      <c r="L71" s="247"/>
      <c r="M71" s="226" t="s">
        <v>4460</v>
      </c>
      <c r="N71" s="226"/>
      <c r="O71" s="247"/>
      <c r="P71" s="1560"/>
      <c r="Q71" s="247"/>
      <c r="R71" s="247"/>
      <c r="S71" s="247"/>
      <c r="T71" s="1836"/>
      <c r="U71" s="247"/>
      <c r="V71" s="247"/>
      <c r="W71" s="247"/>
      <c r="X71" s="247"/>
      <c r="Y71" s="247"/>
      <c r="Z71" s="247"/>
      <c r="AA71" s="247"/>
      <c r="AB71" s="247"/>
      <c r="AC71" s="247"/>
      <c r="AD71" s="247"/>
      <c r="AE71" s="247"/>
      <c r="AF71" s="6503" t="s">
        <v>5912</v>
      </c>
      <c r="AG71" s="2013"/>
    </row>
    <row r="72" spans="1:55">
      <c r="A72" s="2013"/>
      <c r="B72" s="1560" t="s">
        <v>5911</v>
      </c>
      <c r="C72" s="247"/>
      <c r="D72" s="247"/>
      <c r="E72" s="247"/>
      <c r="F72" s="247"/>
      <c r="G72" s="247"/>
      <c r="H72" s="247"/>
      <c r="I72" s="247"/>
      <c r="J72" s="247"/>
      <c r="K72" s="247"/>
      <c r="L72" s="247"/>
      <c r="M72" s="247"/>
      <c r="N72" s="247"/>
      <c r="O72" s="247"/>
      <c r="P72" s="247"/>
      <c r="Q72" s="247"/>
      <c r="R72" s="247"/>
      <c r="S72" s="247"/>
      <c r="T72" s="247"/>
      <c r="U72" s="247"/>
      <c r="V72" s="247"/>
      <c r="W72" s="247"/>
      <c r="X72" s="247"/>
      <c r="Y72" s="247"/>
      <c r="Z72" s="247"/>
      <c r="AA72" s="247"/>
      <c r="AB72" s="247"/>
      <c r="AC72" s="247"/>
      <c r="AD72" s="247"/>
      <c r="AE72" s="247"/>
      <c r="AF72" s="247"/>
      <c r="AG72" s="2013"/>
      <c r="BA72" s="11475" t="s">
        <v>4463</v>
      </c>
      <c r="BB72" s="8489"/>
      <c r="BC72" s="8469"/>
    </row>
    <row r="73" spans="1:55" ht="12.75" customHeight="1">
      <c r="A73" s="2013"/>
      <c r="B73" s="1560" t="str">
        <f>IF(SpaceUsed_8949A_LT,"ERROR: DO NOT use the space bar to uncheck a box. Use the 'Delete' key.","one or more of the boxes, complete as many forms with the same box checked as you need.")</f>
        <v>one or more of the boxes, complete as many forms with the same box checked as you need.</v>
      </c>
      <c r="C73" s="247"/>
      <c r="D73" s="247"/>
      <c r="E73" s="247"/>
      <c r="F73" s="247"/>
      <c r="G73" s="247"/>
      <c r="H73" s="247"/>
      <c r="I73" s="247"/>
      <c r="J73" s="247"/>
      <c r="K73" s="247"/>
      <c r="L73" s="247"/>
      <c r="M73" s="247"/>
      <c r="N73" s="247"/>
      <c r="O73" s="247"/>
      <c r="P73" s="247"/>
      <c r="Q73" s="247"/>
      <c r="R73" s="247"/>
      <c r="S73" s="247"/>
      <c r="T73" s="247"/>
      <c r="U73" s="247"/>
      <c r="V73" s="247"/>
      <c r="W73" s="247"/>
      <c r="X73" s="247"/>
      <c r="Y73" s="247"/>
      <c r="Z73" s="247"/>
      <c r="AA73" s="247"/>
      <c r="AB73" s="247"/>
      <c r="AC73" s="247"/>
      <c r="AD73" s="247"/>
      <c r="AE73" s="247"/>
      <c r="AF73" s="247"/>
      <c r="AG73" s="2013"/>
      <c r="AJ73" s="3809"/>
      <c r="AK73" s="3809"/>
      <c r="AL73" s="3809"/>
      <c r="AM73" s="3809"/>
      <c r="AN73" s="3809"/>
      <c r="AO73" s="3809"/>
      <c r="AP73" s="3809"/>
      <c r="AQ73" s="3809"/>
      <c r="BA73" s="11476" t="s">
        <v>4464</v>
      </c>
      <c r="BB73" s="11476" t="s">
        <v>4465</v>
      </c>
      <c r="BC73" s="11476" t="s">
        <v>4466</v>
      </c>
    </row>
    <row r="74" spans="1:55" ht="4.5" customHeight="1" thickBot="1">
      <c r="A74" s="2013"/>
      <c r="B74" s="247"/>
      <c r="C74" s="247"/>
      <c r="D74" s="247"/>
      <c r="E74" s="247"/>
      <c r="F74" s="247"/>
      <c r="G74" s="247"/>
      <c r="H74" s="247"/>
      <c r="I74" s="247"/>
      <c r="J74" s="247"/>
      <c r="K74" s="247"/>
      <c r="L74" s="247"/>
      <c r="M74" s="247"/>
      <c r="N74" s="247"/>
      <c r="O74" s="247"/>
      <c r="P74" s="247"/>
      <c r="Q74" s="247"/>
      <c r="R74" s="247"/>
      <c r="S74" s="247"/>
      <c r="T74" s="247"/>
      <c r="U74" s="247"/>
      <c r="V74" s="247"/>
      <c r="W74" s="247"/>
      <c r="X74" s="247"/>
      <c r="Y74" s="247"/>
      <c r="Z74" s="247"/>
      <c r="AA74" s="247"/>
      <c r="AB74" s="247"/>
      <c r="AC74" s="247"/>
      <c r="AD74" s="247"/>
      <c r="AE74" s="247"/>
      <c r="AF74" s="247"/>
      <c r="AG74" s="2013"/>
      <c r="BA74" s="11477"/>
      <c r="BB74" s="11477"/>
      <c r="BC74" s="11477"/>
    </row>
    <row r="75" spans="1:55" ht="12" customHeight="1" thickBot="1">
      <c r="A75" s="2013"/>
      <c r="B75" s="1039">
        <f>IF(C75&lt;&gt;"",1,0)</f>
        <v>0</v>
      </c>
      <c r="C75" s="300"/>
      <c r="D75" s="3440" t="s">
        <v>5898</v>
      </c>
      <c r="E75" s="247"/>
      <c r="F75" s="247"/>
      <c r="G75" s="247"/>
      <c r="H75" s="247"/>
      <c r="I75" s="247"/>
      <c r="J75" s="247"/>
      <c r="K75" s="247"/>
      <c r="L75" s="247"/>
      <c r="M75" s="247"/>
      <c r="N75" s="247"/>
      <c r="O75" s="247"/>
      <c r="P75" s="247"/>
      <c r="Q75" s="247"/>
      <c r="R75" s="247"/>
      <c r="S75" s="247"/>
      <c r="T75" s="247"/>
      <c r="U75" s="247"/>
      <c r="V75" s="247"/>
      <c r="W75" s="247"/>
      <c r="X75" s="247"/>
      <c r="Y75" s="247"/>
      <c r="Z75" s="247"/>
      <c r="AA75" s="247"/>
      <c r="AB75" s="247"/>
      <c r="AC75" s="247"/>
      <c r="AD75" s="247"/>
      <c r="AE75" s="247"/>
      <c r="AF75" s="247"/>
      <c r="AG75" s="2013"/>
      <c r="AJ75" s="11381"/>
      <c r="AK75" s="11381"/>
      <c r="AL75" s="11381"/>
      <c r="AM75" s="11381"/>
      <c r="AN75" s="11381"/>
      <c r="AO75" s="11381"/>
      <c r="AP75" s="11381"/>
      <c r="AQ75" s="11381"/>
      <c r="BA75" s="11477"/>
      <c r="BB75" s="11477"/>
      <c r="BC75" s="11477"/>
    </row>
    <row r="76" spans="1:55" ht="4.5" customHeight="1" thickBot="1">
      <c r="A76" s="2013"/>
      <c r="B76" s="6017"/>
      <c r="C76" s="247"/>
      <c r="D76" s="1836"/>
      <c r="E76" s="247"/>
      <c r="F76" s="247"/>
      <c r="G76" s="247"/>
      <c r="H76" s="247"/>
      <c r="I76" s="247"/>
      <c r="J76" s="247"/>
      <c r="K76" s="247"/>
      <c r="L76" s="247"/>
      <c r="M76" s="247"/>
      <c r="N76" s="247"/>
      <c r="O76" s="247"/>
      <c r="P76" s="247"/>
      <c r="Q76" s="247"/>
      <c r="R76" s="247"/>
      <c r="S76" s="247"/>
      <c r="T76" s="247"/>
      <c r="U76" s="247"/>
      <c r="V76" s="247"/>
      <c r="W76" s="247"/>
      <c r="X76" s="247"/>
      <c r="Y76" s="247"/>
      <c r="Z76" s="247"/>
      <c r="AA76" s="247"/>
      <c r="AB76" s="247"/>
      <c r="AC76" s="247"/>
      <c r="AD76" s="247"/>
      <c r="AE76" s="247"/>
      <c r="AF76" s="247"/>
      <c r="AG76" s="2013"/>
      <c r="BA76" s="11477"/>
      <c r="BB76" s="11477"/>
      <c r="BC76" s="11477"/>
    </row>
    <row r="77" spans="1:55" ht="11.25" customHeight="1" thickBot="1">
      <c r="A77" s="2013"/>
      <c r="B77" s="1039">
        <f>IF(C77&lt;&gt;"",1,0)</f>
        <v>0</v>
      </c>
      <c r="C77" s="300"/>
      <c r="D77" s="3440" t="s">
        <v>5899</v>
      </c>
      <c r="E77" s="247"/>
      <c r="F77" s="247"/>
      <c r="G77" s="247"/>
      <c r="H77" s="247"/>
      <c r="I77" s="247"/>
      <c r="J77" s="247"/>
      <c r="K77" s="247"/>
      <c r="L77" s="247"/>
      <c r="M77" s="247"/>
      <c r="N77" s="247"/>
      <c r="O77" s="247"/>
      <c r="P77" s="247"/>
      <c r="Q77" s="504"/>
      <c r="R77" s="504"/>
      <c r="S77" s="504"/>
      <c r="T77" s="504"/>
      <c r="U77" s="504"/>
      <c r="V77" s="504"/>
      <c r="W77" s="504"/>
      <c r="X77" s="504"/>
      <c r="Y77" s="504"/>
      <c r="Z77" s="504"/>
      <c r="AA77" s="504"/>
      <c r="AB77" s="504"/>
      <c r="AC77" s="504"/>
      <c r="AD77" s="504"/>
      <c r="AE77" s="247"/>
      <c r="AF77" s="247"/>
      <c r="AG77" s="2013"/>
      <c r="AJ77" s="11381"/>
      <c r="AK77" s="11381"/>
      <c r="AL77" s="11381"/>
      <c r="AM77" s="11381"/>
      <c r="AN77" s="11381"/>
      <c r="AO77" s="11381"/>
      <c r="AP77" s="11381"/>
      <c r="AQ77" s="11381"/>
      <c r="BA77" s="11477"/>
      <c r="BB77" s="11477"/>
      <c r="BC77" s="11477"/>
    </row>
    <row r="78" spans="1:55" ht="4.5" customHeight="1" thickBot="1">
      <c r="A78" s="2013"/>
      <c r="B78" s="6017"/>
      <c r="C78" s="247"/>
      <c r="D78" s="1836"/>
      <c r="E78" s="247"/>
      <c r="F78" s="247"/>
      <c r="G78" s="247"/>
      <c r="H78" s="247"/>
      <c r="I78" s="247"/>
      <c r="J78" s="247"/>
      <c r="K78" s="247"/>
      <c r="L78" s="247"/>
      <c r="M78" s="247"/>
      <c r="N78" s="247"/>
      <c r="O78" s="247"/>
      <c r="P78" s="247"/>
      <c r="Q78" s="504"/>
      <c r="R78" s="504"/>
      <c r="S78" s="504"/>
      <c r="T78" s="504"/>
      <c r="U78" s="504"/>
      <c r="V78" s="504"/>
      <c r="W78" s="504"/>
      <c r="X78" s="504"/>
      <c r="Y78" s="504"/>
      <c r="Z78" s="504"/>
      <c r="AA78" s="504"/>
      <c r="AB78" s="504"/>
      <c r="AC78" s="504"/>
      <c r="AD78" s="504"/>
      <c r="AE78" s="247"/>
      <c r="AF78" s="247"/>
      <c r="AG78" s="2013"/>
      <c r="BA78" s="11477"/>
      <c r="BB78" s="11477"/>
      <c r="BC78" s="11477"/>
    </row>
    <row r="79" spans="1:55" ht="12" customHeight="1" thickBot="1">
      <c r="A79" s="2013">
        <f>SUM(B75:B79)</f>
        <v>0</v>
      </c>
      <c r="B79" s="1039">
        <f>IF(C79&lt;&gt;"",1,0)</f>
        <v>0</v>
      </c>
      <c r="C79" s="300"/>
      <c r="D79" s="3440" t="s">
        <v>5900</v>
      </c>
      <c r="E79" s="247"/>
      <c r="F79" s="247"/>
      <c r="G79" s="247"/>
      <c r="H79" s="247"/>
      <c r="I79" s="247"/>
      <c r="J79" s="247"/>
      <c r="K79" s="247"/>
      <c r="L79" s="247"/>
      <c r="M79" s="247"/>
      <c r="N79" s="247"/>
      <c r="O79" s="247"/>
      <c r="P79" s="247"/>
      <c r="Q79" s="6018"/>
      <c r="R79" s="6019"/>
      <c r="S79" s="3823"/>
      <c r="T79" s="3823"/>
      <c r="U79" s="3823"/>
      <c r="V79" s="3823"/>
      <c r="W79" s="3823"/>
      <c r="X79" s="3823"/>
      <c r="Y79" s="3823"/>
      <c r="Z79" s="3823"/>
      <c r="AA79" s="3823"/>
      <c r="AB79" s="3823"/>
      <c r="AC79" s="3823"/>
      <c r="AD79" s="3823"/>
      <c r="AE79" s="3823"/>
      <c r="AF79" s="247"/>
      <c r="AG79" s="2013"/>
      <c r="AH79" s="318" t="b">
        <f>OR(F8949CLBOXD=CHAR(32),F8949CLBOXE=CHAR(32),F8949CLBOXF=CHAR(32),F8949CLBOXJ=CHAR(32),F8949CLBOXK=CHAR(32),F8949CLBOXL=CHAR(32))</f>
        <v>0</v>
      </c>
      <c r="AJ79" s="3809"/>
      <c r="AK79" s="3809"/>
      <c r="AL79" s="3809"/>
      <c r="AM79" s="3809"/>
      <c r="AN79" s="3809"/>
      <c r="AO79" s="3809"/>
      <c r="AP79" s="3809"/>
      <c r="AQ79" s="3809"/>
      <c r="BA79" s="11477"/>
      <c r="BB79" s="11477"/>
      <c r="BC79" s="11477"/>
    </row>
    <row r="80" spans="1:55" ht="4.5" customHeight="1" thickBot="1">
      <c r="A80" s="2013"/>
      <c r="B80" s="247"/>
      <c r="C80" s="247"/>
      <c r="D80" s="1836"/>
      <c r="E80" s="247"/>
      <c r="F80" s="247"/>
      <c r="G80" s="247"/>
      <c r="H80" s="247"/>
      <c r="I80" s="247"/>
      <c r="J80" s="247"/>
      <c r="K80" s="247"/>
      <c r="L80" s="247"/>
      <c r="M80" s="247"/>
      <c r="N80" s="247"/>
      <c r="O80" s="247"/>
      <c r="P80" s="247"/>
      <c r="Q80" s="247"/>
      <c r="R80" s="247"/>
      <c r="S80" s="247"/>
      <c r="T80" s="247"/>
      <c r="U80" s="247"/>
      <c r="V80" s="247"/>
      <c r="W80" s="247"/>
      <c r="X80" s="247"/>
      <c r="Y80" s="247"/>
      <c r="Z80" s="247"/>
      <c r="AA80" s="247"/>
      <c r="AB80" s="247"/>
      <c r="AC80" s="247"/>
      <c r="AD80" s="247"/>
      <c r="AE80" s="247"/>
      <c r="AF80" s="247"/>
      <c r="AG80" s="2013"/>
      <c r="BA80" s="11477"/>
      <c r="BB80" s="11477"/>
      <c r="BC80" s="11477"/>
    </row>
    <row r="81" spans="1:55" ht="12" customHeight="1" thickBot="1">
      <c r="A81" s="2013"/>
      <c r="B81" s="1039">
        <f>IF(C81&lt;&gt;"",1,0)</f>
        <v>0</v>
      </c>
      <c r="C81" s="300"/>
      <c r="D81" s="3440" t="s">
        <v>5901</v>
      </c>
      <c r="E81" s="247"/>
      <c r="F81" s="247"/>
      <c r="G81" s="247"/>
      <c r="H81" s="247"/>
      <c r="I81" s="247"/>
      <c r="J81" s="247"/>
      <c r="K81" s="247"/>
      <c r="L81" s="247"/>
      <c r="M81" s="247"/>
      <c r="N81" s="247"/>
      <c r="O81" s="247"/>
      <c r="P81" s="247"/>
      <c r="Q81" s="247"/>
      <c r="R81" s="247"/>
      <c r="S81" s="247"/>
      <c r="T81" s="247"/>
      <c r="U81" s="247"/>
      <c r="V81" s="247"/>
      <c r="W81" s="247"/>
      <c r="X81" s="247"/>
      <c r="Y81" s="247"/>
      <c r="Z81" s="247"/>
      <c r="AA81" s="247"/>
      <c r="AB81" s="247"/>
      <c r="AC81" s="247"/>
      <c r="AD81" s="247"/>
      <c r="AE81" s="247"/>
      <c r="AF81" s="247"/>
      <c r="AG81" s="2013"/>
      <c r="AJ81" s="11381"/>
      <c r="AK81" s="11381"/>
      <c r="AL81" s="11381"/>
      <c r="AM81" s="11381"/>
      <c r="AN81" s="11381"/>
      <c r="AO81" s="11381"/>
      <c r="AP81" s="11381"/>
      <c r="AQ81" s="11381"/>
      <c r="BA81" s="11477"/>
      <c r="BB81" s="11477"/>
      <c r="BC81" s="11477"/>
    </row>
    <row r="82" spans="1:55" ht="4.5" customHeight="1" thickBot="1">
      <c r="A82" s="2013"/>
      <c r="B82" s="6017"/>
      <c r="C82" s="247" t="s">
        <v>510</v>
      </c>
      <c r="D82" s="1836"/>
      <c r="E82" s="247"/>
      <c r="F82" s="247"/>
      <c r="G82" s="247"/>
      <c r="H82" s="247"/>
      <c r="I82" s="247"/>
      <c r="J82" s="247"/>
      <c r="K82" s="247"/>
      <c r="L82" s="247"/>
      <c r="M82" s="247"/>
      <c r="N82" s="247"/>
      <c r="O82" s="247"/>
      <c r="P82" s="247"/>
      <c r="Q82" s="247"/>
      <c r="R82" s="247"/>
      <c r="S82" s="247"/>
      <c r="T82" s="247"/>
      <c r="U82" s="247"/>
      <c r="V82" s="247"/>
      <c r="W82" s="247"/>
      <c r="X82" s="247"/>
      <c r="Y82" s="247"/>
      <c r="Z82" s="247"/>
      <c r="AA82" s="247"/>
      <c r="AB82" s="247"/>
      <c r="AC82" s="247"/>
      <c r="AD82" s="247"/>
      <c r="AE82" s="247"/>
      <c r="AF82" s="247"/>
      <c r="AG82" s="2013"/>
      <c r="BA82" s="11477"/>
      <c r="BB82" s="11477"/>
      <c r="BC82" s="11477"/>
    </row>
    <row r="83" spans="1:55" ht="11.25" customHeight="1" thickBot="1">
      <c r="A83" s="2013"/>
      <c r="B83" s="1039">
        <f>IF(C83&lt;&gt;"",1,0)</f>
        <v>0</v>
      </c>
      <c r="C83" s="300"/>
      <c r="D83" s="3440" t="s">
        <v>5902</v>
      </c>
      <c r="E83" s="247"/>
      <c r="F83" s="247"/>
      <c r="G83" s="247"/>
      <c r="H83" s="247"/>
      <c r="I83" s="247"/>
      <c r="J83" s="247"/>
      <c r="K83" s="247"/>
      <c r="L83" s="247"/>
      <c r="M83" s="247"/>
      <c r="N83" s="247"/>
      <c r="O83" s="247"/>
      <c r="P83" s="247"/>
      <c r="Q83" s="504"/>
      <c r="R83" s="504"/>
      <c r="S83" s="504"/>
      <c r="T83" s="504"/>
      <c r="U83" s="504"/>
      <c r="V83" s="504"/>
      <c r="W83" s="504"/>
      <c r="X83" s="504"/>
      <c r="Y83" s="504"/>
      <c r="Z83" s="504"/>
      <c r="AA83" s="504"/>
      <c r="AB83" s="504"/>
      <c r="AC83" s="504"/>
      <c r="AD83" s="504"/>
      <c r="AE83" s="247"/>
      <c r="AF83" s="247"/>
      <c r="AG83" s="2013"/>
      <c r="AJ83" s="11381"/>
      <c r="AK83" s="11381"/>
      <c r="AL83" s="11381"/>
      <c r="AM83" s="11381"/>
      <c r="AN83" s="11381"/>
      <c r="AO83" s="11381"/>
      <c r="AP83" s="11381"/>
      <c r="AQ83" s="11381"/>
      <c r="BA83" s="11477"/>
      <c r="BB83" s="11477"/>
      <c r="BC83" s="11477"/>
    </row>
    <row r="84" spans="1:55" ht="4.5" customHeight="1" thickBot="1">
      <c r="A84" s="2013"/>
      <c r="B84" s="6017"/>
      <c r="C84" s="247"/>
      <c r="D84" s="1836"/>
      <c r="E84" s="247"/>
      <c r="F84" s="247"/>
      <c r="G84" s="247"/>
      <c r="H84" s="247"/>
      <c r="I84" s="247"/>
      <c r="J84" s="247"/>
      <c r="K84" s="247"/>
      <c r="L84" s="247"/>
      <c r="M84" s="247"/>
      <c r="N84" s="247"/>
      <c r="O84" s="247"/>
      <c r="P84" s="247"/>
      <c r="Q84" s="504"/>
      <c r="R84" s="504"/>
      <c r="S84" s="504"/>
      <c r="T84" s="504"/>
      <c r="U84" s="504"/>
      <c r="V84" s="504"/>
      <c r="W84" s="504"/>
      <c r="X84" s="504"/>
      <c r="Y84" s="504"/>
      <c r="Z84" s="504"/>
      <c r="AA84" s="504"/>
      <c r="AB84" s="504"/>
      <c r="AC84" s="504"/>
      <c r="AD84" s="504"/>
      <c r="AE84" s="247"/>
      <c r="AF84" s="247"/>
      <c r="AG84" s="2013"/>
      <c r="BA84" s="11477"/>
      <c r="BB84" s="11477"/>
      <c r="BC84" s="11477"/>
    </row>
    <row r="85" spans="1:55" ht="12" customHeight="1" thickBot="1">
      <c r="A85" s="2013">
        <f>SUM(B75:B85)</f>
        <v>0</v>
      </c>
      <c r="B85" s="1039">
        <f>IF(C85&lt;&gt;"",1,0)</f>
        <v>0</v>
      </c>
      <c r="C85" s="300"/>
      <c r="D85" s="3440" t="s">
        <v>5903</v>
      </c>
      <c r="E85" s="247"/>
      <c r="F85" s="247"/>
      <c r="G85" s="247"/>
      <c r="H85" s="247"/>
      <c r="I85" s="247"/>
      <c r="J85" s="247"/>
      <c r="K85" s="247"/>
      <c r="L85" s="247"/>
      <c r="M85" s="247"/>
      <c r="N85" s="247"/>
      <c r="O85" s="247"/>
      <c r="P85" s="247"/>
      <c r="Q85" s="6018"/>
      <c r="R85" s="3823"/>
      <c r="S85" s="3823"/>
      <c r="T85" s="3823"/>
      <c r="U85" s="3823"/>
      <c r="V85" s="3823"/>
      <c r="W85" s="3823"/>
      <c r="X85" s="3823"/>
      <c r="Y85" s="3823"/>
      <c r="Z85" s="3823"/>
      <c r="AA85" s="3823"/>
      <c r="AB85" s="3823"/>
      <c r="AC85" s="3823"/>
      <c r="AD85" s="3823"/>
      <c r="AE85" s="3823"/>
      <c r="AF85" s="6020"/>
      <c r="AG85" s="2013"/>
      <c r="AH85" s="318"/>
      <c r="AJ85" s="11381" t="s">
        <v>4467</v>
      </c>
      <c r="AK85" s="11381"/>
      <c r="AL85" s="11381"/>
      <c r="AM85" s="11381"/>
      <c r="AN85" s="11381"/>
      <c r="AO85" s="11381"/>
      <c r="AP85" s="11381"/>
      <c r="AQ85" s="11381"/>
      <c r="BA85" s="11477"/>
      <c r="BB85" s="11477"/>
      <c r="BC85" s="11477"/>
    </row>
    <row r="86" spans="1:55" ht="5.25" customHeight="1">
      <c r="A86" s="2013"/>
      <c r="B86" s="6012"/>
      <c r="C86" s="6013"/>
      <c r="D86" s="6012"/>
      <c r="E86" s="6012"/>
      <c r="F86" s="6012"/>
      <c r="G86" s="6012"/>
      <c r="H86" s="6012"/>
      <c r="I86" s="6012"/>
      <c r="J86" s="6012"/>
      <c r="K86" s="6012"/>
      <c r="L86" s="6012"/>
      <c r="M86" s="6012"/>
      <c r="N86" s="6013"/>
      <c r="O86" s="6012"/>
      <c r="P86" s="6012"/>
      <c r="Q86" s="6012"/>
      <c r="R86" s="6012"/>
      <c r="S86" s="6012"/>
      <c r="T86" s="6012"/>
      <c r="U86" s="6012"/>
      <c r="V86" s="6012"/>
      <c r="W86" s="6012"/>
      <c r="X86" s="6012"/>
      <c r="Y86" s="6013"/>
      <c r="Z86" s="6012"/>
      <c r="AA86" s="6012"/>
      <c r="AB86" s="6012"/>
      <c r="AC86" s="6012"/>
      <c r="AD86" s="6012"/>
      <c r="AE86" s="6012"/>
      <c r="AF86" s="6012"/>
      <c r="AG86" s="2013"/>
      <c r="BA86" s="11477"/>
      <c r="BB86" s="11477"/>
      <c r="BC86" s="11477"/>
    </row>
    <row r="87" spans="1:55" ht="21" customHeight="1">
      <c r="A87" s="2013"/>
      <c r="B87" s="11424">
        <v>1</v>
      </c>
      <c r="C87" s="11428" t="s">
        <v>5894</v>
      </c>
      <c r="D87" s="11429"/>
      <c r="E87" s="11429"/>
      <c r="F87" s="11429"/>
      <c r="G87" s="11429"/>
      <c r="H87" s="11429"/>
      <c r="I87" s="11430"/>
      <c r="J87" s="7366" t="s">
        <v>5910</v>
      </c>
      <c r="K87" s="8481"/>
      <c r="L87" s="11396"/>
      <c r="M87" s="7366" t="s">
        <v>5895</v>
      </c>
      <c r="N87" s="8481"/>
      <c r="O87" s="8481"/>
      <c r="P87" s="11396"/>
      <c r="Q87" s="7366" t="s">
        <v>5896</v>
      </c>
      <c r="R87" s="8481"/>
      <c r="S87" s="8481"/>
      <c r="T87" s="11396"/>
      <c r="U87" s="11388" t="s">
        <v>5897</v>
      </c>
      <c r="V87" s="8460"/>
      <c r="W87" s="8460"/>
      <c r="X87" s="8323"/>
      <c r="Y87" s="11390" t="s">
        <v>4469</v>
      </c>
      <c r="Z87" s="11391"/>
      <c r="AA87" s="11391"/>
      <c r="AB87" s="11392"/>
      <c r="AC87" s="11388" t="s">
        <v>4485</v>
      </c>
      <c r="AD87" s="8460"/>
      <c r="AE87" s="8460"/>
      <c r="AF87" s="8460"/>
      <c r="AG87" s="2013"/>
      <c r="AJ87" s="11461" t="s">
        <v>4470</v>
      </c>
      <c r="AK87" s="11461" t="s">
        <v>4471</v>
      </c>
      <c r="AL87" s="11461" t="s">
        <v>4472</v>
      </c>
      <c r="AM87" s="11461" t="s">
        <v>4473</v>
      </c>
      <c r="AN87" s="11462" t="s">
        <v>4474</v>
      </c>
      <c r="AO87" s="11479" t="s">
        <v>4475</v>
      </c>
      <c r="AP87" s="8339"/>
      <c r="AQ87" s="11461" t="s">
        <v>4485</v>
      </c>
      <c r="BA87" s="11477"/>
      <c r="BB87" s="11477"/>
      <c r="BC87" s="11477"/>
    </row>
    <row r="88" spans="1:55" ht="21" customHeight="1">
      <c r="A88" s="2013"/>
      <c r="B88" s="11425"/>
      <c r="C88" s="7369"/>
      <c r="D88" s="11431"/>
      <c r="E88" s="11431"/>
      <c r="F88" s="11431"/>
      <c r="G88" s="11431"/>
      <c r="H88" s="11431"/>
      <c r="I88" s="11432"/>
      <c r="J88" s="7368"/>
      <c r="K88" s="8299"/>
      <c r="L88" s="11397"/>
      <c r="M88" s="7368"/>
      <c r="N88" s="8299"/>
      <c r="O88" s="8299"/>
      <c r="P88" s="11397"/>
      <c r="Q88" s="7368"/>
      <c r="R88" s="8299"/>
      <c r="S88" s="8299"/>
      <c r="T88" s="11397"/>
      <c r="U88" s="11389"/>
      <c r="V88" s="9500"/>
      <c r="W88" s="9500"/>
      <c r="X88" s="8325"/>
      <c r="Y88" s="11393"/>
      <c r="Z88" s="11394"/>
      <c r="AA88" s="11394"/>
      <c r="AB88" s="11395"/>
      <c r="AC88" s="11389"/>
      <c r="AD88" s="9500"/>
      <c r="AE88" s="9500"/>
      <c r="AF88" s="9500"/>
      <c r="AG88" s="2013"/>
      <c r="AJ88" s="11461"/>
      <c r="AK88" s="11461"/>
      <c r="AL88" s="11461"/>
      <c r="AM88" s="11461"/>
      <c r="AN88" s="11462"/>
      <c r="AO88" s="8457"/>
      <c r="AP88" s="8345"/>
      <c r="AQ88" s="11461"/>
      <c r="BA88" s="11477"/>
      <c r="BB88" s="11477"/>
      <c r="BC88" s="11477"/>
    </row>
    <row r="89" spans="1:55" ht="18" customHeight="1">
      <c r="A89" s="2013"/>
      <c r="B89" s="11426"/>
      <c r="C89" s="11431"/>
      <c r="D89" s="11431"/>
      <c r="E89" s="11431"/>
      <c r="F89" s="11431"/>
      <c r="G89" s="11431"/>
      <c r="H89" s="11431"/>
      <c r="I89" s="11432"/>
      <c r="J89" s="8482"/>
      <c r="K89" s="8299"/>
      <c r="L89" s="11397"/>
      <c r="M89" s="8482"/>
      <c r="N89" s="8299"/>
      <c r="O89" s="8299"/>
      <c r="P89" s="11397"/>
      <c r="Q89" s="8482"/>
      <c r="R89" s="8299"/>
      <c r="S89" s="8299"/>
      <c r="T89" s="11397"/>
      <c r="U89" s="8324"/>
      <c r="V89" s="9500"/>
      <c r="W89" s="9500"/>
      <c r="X89" s="8325"/>
      <c r="Y89" s="8439" t="s">
        <v>4477</v>
      </c>
      <c r="Z89" s="8323"/>
      <c r="AA89" s="8439" t="s">
        <v>4478</v>
      </c>
      <c r="AB89" s="8492"/>
      <c r="AC89" s="8324"/>
      <c r="AD89" s="9500"/>
      <c r="AE89" s="9500"/>
      <c r="AF89" s="9500"/>
      <c r="AG89" s="2013"/>
      <c r="AJ89" s="11461"/>
      <c r="AK89" s="11461"/>
      <c r="AL89" s="11461"/>
      <c r="AM89" s="11461"/>
      <c r="AN89" s="11462"/>
      <c r="AO89" s="8610" t="s">
        <v>4479</v>
      </c>
      <c r="AP89" s="8610" t="s">
        <v>4478</v>
      </c>
      <c r="AQ89" s="11461"/>
      <c r="BA89" s="11477"/>
      <c r="BB89" s="11477"/>
      <c r="BC89" s="11477"/>
    </row>
    <row r="90" spans="1:55" ht="18" customHeight="1">
      <c r="A90" s="2013"/>
      <c r="B90" s="11427"/>
      <c r="C90" s="11433"/>
      <c r="D90" s="11433"/>
      <c r="E90" s="11433"/>
      <c r="F90" s="11433"/>
      <c r="G90" s="11433"/>
      <c r="H90" s="11433"/>
      <c r="I90" s="11434"/>
      <c r="J90" s="8483"/>
      <c r="K90" s="8168"/>
      <c r="L90" s="11398"/>
      <c r="M90" s="8483"/>
      <c r="N90" s="8168"/>
      <c r="O90" s="8168"/>
      <c r="P90" s="11398"/>
      <c r="Q90" s="8483"/>
      <c r="R90" s="8168"/>
      <c r="S90" s="8168"/>
      <c r="T90" s="11398"/>
      <c r="U90" s="8326"/>
      <c r="V90" s="10186"/>
      <c r="W90" s="10186"/>
      <c r="X90" s="8327"/>
      <c r="Y90" s="8326"/>
      <c r="Z90" s="8327"/>
      <c r="AA90" s="7590"/>
      <c r="AB90" s="8494"/>
      <c r="AC90" s="8326"/>
      <c r="AD90" s="10186"/>
      <c r="AE90" s="10186"/>
      <c r="AF90" s="10186"/>
      <c r="AG90" s="2013"/>
      <c r="AJ90" s="11461"/>
      <c r="AK90" s="11461"/>
      <c r="AL90" s="11461"/>
      <c r="AM90" s="11461"/>
      <c r="AN90" s="11462"/>
      <c r="AO90" s="11478"/>
      <c r="AP90" s="11478"/>
      <c r="AQ90" s="11461"/>
      <c r="AZ90" s="185" t="s">
        <v>6739</v>
      </c>
      <c r="BA90" s="11477"/>
      <c r="BB90" s="11477"/>
      <c r="BC90" s="11477"/>
    </row>
    <row r="91" spans="1:55" ht="26.25" customHeight="1">
      <c r="A91" s="2013">
        <f>IF(OR(Q91&lt;&gt;"",U91&lt;&gt;"",AC91&lt;&gt;""),1,0)</f>
        <v>0</v>
      </c>
      <c r="B91" s="11382" t="str">
        <f>IF(AJ91="","",AJ91)</f>
        <v/>
      </c>
      <c r="C91" s="7430"/>
      <c r="D91" s="7430"/>
      <c r="E91" s="7430"/>
      <c r="F91" s="7430"/>
      <c r="G91" s="7430"/>
      <c r="H91" s="7430"/>
      <c r="I91" s="10855"/>
      <c r="J91" s="11383" t="str">
        <f>IF(AK91="","",AK91)</f>
        <v/>
      </c>
      <c r="K91" s="11384"/>
      <c r="L91" s="11384"/>
      <c r="M91" s="11383" t="str">
        <f>IF(AL91="","",AL91)</f>
        <v/>
      </c>
      <c r="N91" s="11384"/>
      <c r="O91" s="11384"/>
      <c r="P91" s="11385"/>
      <c r="Q91" s="8178" t="str">
        <f>IF(AM91="","",AM91)</f>
        <v/>
      </c>
      <c r="R91" s="7375"/>
      <c r="S91" s="7375"/>
      <c r="T91" s="7376"/>
      <c r="U91" s="8178" t="str">
        <f>IF(AN91="","",AN91)</f>
        <v/>
      </c>
      <c r="V91" s="7375"/>
      <c r="W91" s="7375"/>
      <c r="X91" s="7376"/>
      <c r="Y91" s="11387" t="str">
        <f>IF(AO91&lt;&gt;"",AO91,"")</f>
        <v/>
      </c>
      <c r="Z91" s="7336"/>
      <c r="AA91" s="8178" t="str">
        <f>IF(AP91="","",AP91)</f>
        <v/>
      </c>
      <c r="AB91" s="11386"/>
      <c r="AC91" s="11401" t="str">
        <f>IF(AQ91&lt;&gt;"",AQ91,IF(AND(Q91="",U91=""),"",IF(AND(Q91&lt;&gt;"",U91=""),SUM(Q91,AA91),SUM(Q91,-U91,AA91))))</f>
        <v/>
      </c>
      <c r="AD91" s="11402"/>
      <c r="AE91" s="11402"/>
      <c r="AF91" s="11402"/>
      <c r="AG91" s="4271">
        <f t="shared" ref="AG91:AG101" si="21">IF(OR(J91="",M91=""),0,IF(OR(BA91,BB91,BC91),0,1))</f>
        <v>0</v>
      </c>
      <c r="AH91" s="6014"/>
      <c r="AI91" s="6014" t="e">
        <f>M91-J91</f>
        <v>#VALUE!</v>
      </c>
      <c r="AJ91" s="293"/>
      <c r="AK91" s="297"/>
      <c r="AL91" s="297"/>
      <c r="AM91" s="295"/>
      <c r="AN91" s="295"/>
      <c r="AO91" s="296"/>
      <c r="AP91" s="295"/>
      <c r="AQ91" s="294"/>
      <c r="AS91" t="e">
        <f>YEAR(J91)</f>
        <v>#VALUE!</v>
      </c>
      <c r="AT91" t="e">
        <f>MONTH(J91)</f>
        <v>#VALUE!</v>
      </c>
      <c r="AU91" t="e">
        <f>DAY(J91)</f>
        <v>#VALUE!</v>
      </c>
      <c r="AW91" t="e">
        <f>YEAR(M91)</f>
        <v>#VALUE!</v>
      </c>
      <c r="AX91" t="e">
        <f>MONTH(M91)</f>
        <v>#VALUE!</v>
      </c>
      <c r="AY91" t="e">
        <f>DAY(M91)</f>
        <v>#VALUE!</v>
      </c>
      <c r="AZ91" t="e">
        <f>OR(BA91,BB91,BC91)</f>
        <v>#VALUE!</v>
      </c>
      <c r="BA91" t="e">
        <f>AW91=AS91</f>
        <v>#VALUE!</v>
      </c>
      <c r="BB91" t="e">
        <f>AND(AW91=AS91+1,AX91&lt;AT91)</f>
        <v>#VALUE!</v>
      </c>
      <c r="BC91" t="e">
        <f>AND(AW91=AS91+1,AX91=AT91,AY91&lt;=AU91)</f>
        <v>#VALUE!</v>
      </c>
    </row>
    <row r="92" spans="1:55" ht="26.25" customHeight="1">
      <c r="A92" s="2013">
        <f t="shared" ref="A92:A101" si="22">IF(OR(Q92&lt;&gt;"",U92&lt;&gt;"",AC92&lt;&gt;""),1,0)</f>
        <v>0</v>
      </c>
      <c r="B92" s="11382" t="str">
        <f t="shared" ref="B92:B101" si="23">IF(AJ92="","",AJ92)</f>
        <v/>
      </c>
      <c r="C92" s="7430"/>
      <c r="D92" s="7430"/>
      <c r="E92" s="7430"/>
      <c r="F92" s="7430"/>
      <c r="G92" s="7430"/>
      <c r="H92" s="7430"/>
      <c r="I92" s="10855"/>
      <c r="J92" s="11383" t="str">
        <f t="shared" ref="J92:J101" si="24">IF(AK92="","",AK92)</f>
        <v/>
      </c>
      <c r="K92" s="11384"/>
      <c r="L92" s="11384"/>
      <c r="M92" s="11383" t="str">
        <f t="shared" ref="M92:M101" si="25">IF(AL92="","",AL92)</f>
        <v/>
      </c>
      <c r="N92" s="11384"/>
      <c r="O92" s="11384"/>
      <c r="P92" s="11385"/>
      <c r="Q92" s="8178" t="str">
        <f t="shared" ref="Q92:Q101" si="26">IF(AM92="","",AM92)</f>
        <v/>
      </c>
      <c r="R92" s="7375"/>
      <c r="S92" s="7375"/>
      <c r="T92" s="7376"/>
      <c r="U92" s="8178" t="str">
        <f t="shared" ref="U92:U100" si="27">IF(AN92="","",AN92)</f>
        <v/>
      </c>
      <c r="V92" s="7375"/>
      <c r="W92" s="7375"/>
      <c r="X92" s="7376"/>
      <c r="Y92" s="11387" t="str">
        <f t="shared" ref="Y92:Y101" si="28">IF(AO92&lt;&gt;"",AO92,"")</f>
        <v/>
      </c>
      <c r="Z92" s="7336"/>
      <c r="AA92" s="8178" t="str">
        <f t="shared" ref="AA92:AA101" si="29">IF(AP92="","",AP92)</f>
        <v/>
      </c>
      <c r="AB92" s="11386"/>
      <c r="AC92" s="11401" t="str">
        <f t="shared" ref="AC92:AC101" si="30">IF(AQ92&lt;&gt;"",AQ92,IF(AND(Q92="",U92=""),"",IF(AND(Q92&lt;&gt;"",U92=""),SUM(Q92,AA92),SUM(Q92,-U92,AA92))))</f>
        <v/>
      </c>
      <c r="AD92" s="11402"/>
      <c r="AE92" s="11402"/>
      <c r="AF92" s="11402"/>
      <c r="AG92" s="4271">
        <f t="shared" si="21"/>
        <v>0</v>
      </c>
      <c r="AH92" s="6014"/>
      <c r="AI92" s="6014" t="e">
        <f t="shared" ref="AI92:AI101" si="31">M92-J92</f>
        <v>#VALUE!</v>
      </c>
      <c r="AJ92" s="293"/>
      <c r="AK92" s="297"/>
      <c r="AL92" s="297"/>
      <c r="AM92" s="295"/>
      <c r="AN92" s="295"/>
      <c r="AO92" s="296"/>
      <c r="AP92" s="295"/>
      <c r="AQ92" s="294"/>
      <c r="AS92" t="e">
        <f t="shared" ref="AS92:AS101" si="32">YEAR(J92)</f>
        <v>#VALUE!</v>
      </c>
      <c r="AT92" t="e">
        <f t="shared" ref="AT92:AT101" si="33">MONTH(J92)</f>
        <v>#VALUE!</v>
      </c>
      <c r="AU92" t="e">
        <f t="shared" ref="AU92:AU101" si="34">DAY(J92)</f>
        <v>#VALUE!</v>
      </c>
      <c r="AW92" t="e">
        <f t="shared" ref="AW92:AW101" si="35">YEAR(M92)</f>
        <v>#VALUE!</v>
      </c>
      <c r="AX92" t="e">
        <f t="shared" ref="AX92:AX101" si="36">MONTH(M92)</f>
        <v>#VALUE!</v>
      </c>
      <c r="AY92" t="e">
        <f t="shared" ref="AY92:AY101" si="37">DAY(M92)</f>
        <v>#VALUE!</v>
      </c>
      <c r="AZ92" t="e">
        <f t="shared" ref="AZ92:AZ101" si="38">OR(BA92,BB92,BC92)</f>
        <v>#VALUE!</v>
      </c>
      <c r="BA92" t="e">
        <f t="shared" ref="BA92:BA101" si="39">AW92=AS92</f>
        <v>#VALUE!</v>
      </c>
      <c r="BB92" t="e">
        <f t="shared" ref="BB92:BB101" si="40">AND(AW92=AS92+1,AX92&lt;AT92)</f>
        <v>#VALUE!</v>
      </c>
      <c r="BC92" t="e">
        <f t="shared" ref="BC92:BC101" si="41">AND(AW92=AS92+1,AX92=AT92,AY92&lt;=AU92)</f>
        <v>#VALUE!</v>
      </c>
    </row>
    <row r="93" spans="1:55" ht="26.25" customHeight="1">
      <c r="A93" s="2013">
        <f t="shared" si="22"/>
        <v>0</v>
      </c>
      <c r="B93" s="11382" t="str">
        <f t="shared" si="23"/>
        <v/>
      </c>
      <c r="C93" s="7430"/>
      <c r="D93" s="7430"/>
      <c r="E93" s="7430"/>
      <c r="F93" s="7430"/>
      <c r="G93" s="7430"/>
      <c r="H93" s="7430"/>
      <c r="I93" s="10855"/>
      <c r="J93" s="11383" t="str">
        <f t="shared" si="24"/>
        <v/>
      </c>
      <c r="K93" s="11384"/>
      <c r="L93" s="11384"/>
      <c r="M93" s="11383" t="str">
        <f t="shared" si="25"/>
        <v/>
      </c>
      <c r="N93" s="11384"/>
      <c r="O93" s="11384"/>
      <c r="P93" s="11385"/>
      <c r="Q93" s="8178" t="str">
        <f t="shared" si="26"/>
        <v/>
      </c>
      <c r="R93" s="7375"/>
      <c r="S93" s="7375"/>
      <c r="T93" s="7376"/>
      <c r="U93" s="8178" t="str">
        <f t="shared" si="27"/>
        <v/>
      </c>
      <c r="V93" s="7375"/>
      <c r="W93" s="7375"/>
      <c r="X93" s="7376"/>
      <c r="Y93" s="11387" t="str">
        <f t="shared" si="28"/>
        <v/>
      </c>
      <c r="Z93" s="7336"/>
      <c r="AA93" s="8178" t="str">
        <f t="shared" si="29"/>
        <v/>
      </c>
      <c r="AB93" s="11386"/>
      <c r="AC93" s="11401" t="str">
        <f t="shared" si="30"/>
        <v/>
      </c>
      <c r="AD93" s="11402"/>
      <c r="AE93" s="11402"/>
      <c r="AF93" s="11402"/>
      <c r="AG93" s="4271">
        <f t="shared" si="21"/>
        <v>0</v>
      </c>
      <c r="AH93" s="6014"/>
      <c r="AI93" s="6014" t="e">
        <f t="shared" si="31"/>
        <v>#VALUE!</v>
      </c>
      <c r="AJ93" s="293"/>
      <c r="AK93" s="297"/>
      <c r="AL93" s="297"/>
      <c r="AM93" s="295"/>
      <c r="AN93" s="295"/>
      <c r="AO93" s="296"/>
      <c r="AP93" s="295"/>
      <c r="AQ93" s="294"/>
      <c r="AS93" t="e">
        <f t="shared" si="32"/>
        <v>#VALUE!</v>
      </c>
      <c r="AT93" t="e">
        <f t="shared" si="33"/>
        <v>#VALUE!</v>
      </c>
      <c r="AU93" t="e">
        <f t="shared" si="34"/>
        <v>#VALUE!</v>
      </c>
      <c r="AW93" t="e">
        <f t="shared" si="35"/>
        <v>#VALUE!</v>
      </c>
      <c r="AX93" t="e">
        <f t="shared" si="36"/>
        <v>#VALUE!</v>
      </c>
      <c r="AY93" t="e">
        <f t="shared" si="37"/>
        <v>#VALUE!</v>
      </c>
      <c r="AZ93" t="e">
        <f t="shared" si="38"/>
        <v>#VALUE!</v>
      </c>
      <c r="BA93" t="e">
        <f t="shared" si="39"/>
        <v>#VALUE!</v>
      </c>
      <c r="BB93" t="e">
        <f t="shared" si="40"/>
        <v>#VALUE!</v>
      </c>
      <c r="BC93" t="e">
        <f t="shared" si="41"/>
        <v>#VALUE!</v>
      </c>
    </row>
    <row r="94" spans="1:55" ht="26.25" customHeight="1">
      <c r="A94" s="2013">
        <f t="shared" si="22"/>
        <v>0</v>
      </c>
      <c r="B94" s="11382" t="str">
        <f t="shared" si="23"/>
        <v/>
      </c>
      <c r="C94" s="7430"/>
      <c r="D94" s="7430"/>
      <c r="E94" s="7430"/>
      <c r="F94" s="7430"/>
      <c r="G94" s="7430"/>
      <c r="H94" s="7430"/>
      <c r="I94" s="10855"/>
      <c r="J94" s="11383" t="str">
        <f t="shared" si="24"/>
        <v/>
      </c>
      <c r="K94" s="11384"/>
      <c r="L94" s="11384"/>
      <c r="M94" s="11383" t="str">
        <f t="shared" si="25"/>
        <v/>
      </c>
      <c r="N94" s="11384"/>
      <c r="O94" s="11384"/>
      <c r="P94" s="11385"/>
      <c r="Q94" s="8178" t="str">
        <f t="shared" si="26"/>
        <v/>
      </c>
      <c r="R94" s="7375"/>
      <c r="S94" s="7375"/>
      <c r="T94" s="7376"/>
      <c r="U94" s="8178" t="str">
        <f t="shared" si="27"/>
        <v/>
      </c>
      <c r="V94" s="7375"/>
      <c r="W94" s="7375"/>
      <c r="X94" s="7376"/>
      <c r="Y94" s="11387" t="str">
        <f t="shared" si="28"/>
        <v/>
      </c>
      <c r="Z94" s="7336"/>
      <c r="AA94" s="8178" t="str">
        <f t="shared" si="29"/>
        <v/>
      </c>
      <c r="AB94" s="11386"/>
      <c r="AC94" s="11401" t="str">
        <f t="shared" si="30"/>
        <v/>
      </c>
      <c r="AD94" s="11402"/>
      <c r="AE94" s="11402"/>
      <c r="AF94" s="11402"/>
      <c r="AG94" s="4271">
        <f t="shared" si="21"/>
        <v>0</v>
      </c>
      <c r="AH94" s="6014"/>
      <c r="AI94" s="6014" t="e">
        <f t="shared" si="31"/>
        <v>#VALUE!</v>
      </c>
      <c r="AJ94" s="293"/>
      <c r="AK94" s="297"/>
      <c r="AL94" s="297"/>
      <c r="AM94" s="295"/>
      <c r="AN94" s="295"/>
      <c r="AO94" s="296"/>
      <c r="AP94" s="295"/>
      <c r="AQ94" s="294"/>
      <c r="AS94" t="e">
        <f t="shared" si="32"/>
        <v>#VALUE!</v>
      </c>
      <c r="AT94" t="e">
        <f t="shared" si="33"/>
        <v>#VALUE!</v>
      </c>
      <c r="AU94" t="e">
        <f t="shared" si="34"/>
        <v>#VALUE!</v>
      </c>
      <c r="AW94" t="e">
        <f t="shared" si="35"/>
        <v>#VALUE!</v>
      </c>
      <c r="AX94" t="e">
        <f t="shared" si="36"/>
        <v>#VALUE!</v>
      </c>
      <c r="AY94" t="e">
        <f t="shared" si="37"/>
        <v>#VALUE!</v>
      </c>
      <c r="AZ94" t="e">
        <f t="shared" si="38"/>
        <v>#VALUE!</v>
      </c>
      <c r="BA94" t="e">
        <f t="shared" si="39"/>
        <v>#VALUE!</v>
      </c>
      <c r="BB94" t="e">
        <f t="shared" si="40"/>
        <v>#VALUE!</v>
      </c>
      <c r="BC94" t="e">
        <f t="shared" si="41"/>
        <v>#VALUE!</v>
      </c>
    </row>
    <row r="95" spans="1:55" ht="26.25" customHeight="1">
      <c r="A95" s="2013">
        <f t="shared" si="22"/>
        <v>0</v>
      </c>
      <c r="B95" s="11382" t="str">
        <f t="shared" si="23"/>
        <v/>
      </c>
      <c r="C95" s="7430"/>
      <c r="D95" s="7430"/>
      <c r="E95" s="7430"/>
      <c r="F95" s="7430"/>
      <c r="G95" s="7430"/>
      <c r="H95" s="7430"/>
      <c r="I95" s="10855"/>
      <c r="J95" s="11383" t="str">
        <f t="shared" si="24"/>
        <v/>
      </c>
      <c r="K95" s="11384"/>
      <c r="L95" s="11384"/>
      <c r="M95" s="11383" t="str">
        <f t="shared" si="25"/>
        <v/>
      </c>
      <c r="N95" s="11384"/>
      <c r="O95" s="11384"/>
      <c r="P95" s="11385"/>
      <c r="Q95" s="8178" t="str">
        <f t="shared" si="26"/>
        <v/>
      </c>
      <c r="R95" s="7375"/>
      <c r="S95" s="7375"/>
      <c r="T95" s="7376"/>
      <c r="U95" s="8178" t="str">
        <f t="shared" si="27"/>
        <v/>
      </c>
      <c r="V95" s="7375"/>
      <c r="W95" s="7375"/>
      <c r="X95" s="7376"/>
      <c r="Y95" s="11387" t="str">
        <f t="shared" si="28"/>
        <v/>
      </c>
      <c r="Z95" s="7336"/>
      <c r="AA95" s="8178" t="str">
        <f t="shared" si="29"/>
        <v/>
      </c>
      <c r="AB95" s="11386"/>
      <c r="AC95" s="11401" t="str">
        <f t="shared" si="30"/>
        <v/>
      </c>
      <c r="AD95" s="11402"/>
      <c r="AE95" s="11402"/>
      <c r="AF95" s="11402"/>
      <c r="AG95" s="4271">
        <f t="shared" si="21"/>
        <v>0</v>
      </c>
      <c r="AH95" s="6014"/>
      <c r="AI95" s="6014" t="e">
        <f t="shared" si="31"/>
        <v>#VALUE!</v>
      </c>
      <c r="AJ95" s="293"/>
      <c r="AK95" s="297"/>
      <c r="AL95" s="297"/>
      <c r="AM95" s="295"/>
      <c r="AN95" s="295"/>
      <c r="AO95" s="296"/>
      <c r="AP95" s="295"/>
      <c r="AQ95" s="294"/>
      <c r="AS95" t="e">
        <f t="shared" si="32"/>
        <v>#VALUE!</v>
      </c>
      <c r="AT95" t="e">
        <f t="shared" si="33"/>
        <v>#VALUE!</v>
      </c>
      <c r="AU95" t="e">
        <f t="shared" si="34"/>
        <v>#VALUE!</v>
      </c>
      <c r="AW95" t="e">
        <f t="shared" si="35"/>
        <v>#VALUE!</v>
      </c>
      <c r="AX95" t="e">
        <f t="shared" si="36"/>
        <v>#VALUE!</v>
      </c>
      <c r="AY95" t="e">
        <f t="shared" si="37"/>
        <v>#VALUE!</v>
      </c>
      <c r="AZ95" t="e">
        <f t="shared" si="38"/>
        <v>#VALUE!</v>
      </c>
      <c r="BA95" t="e">
        <f t="shared" si="39"/>
        <v>#VALUE!</v>
      </c>
      <c r="BB95" t="e">
        <f t="shared" si="40"/>
        <v>#VALUE!</v>
      </c>
      <c r="BC95" t="e">
        <f t="shared" si="41"/>
        <v>#VALUE!</v>
      </c>
    </row>
    <row r="96" spans="1:55" ht="26.25" customHeight="1">
      <c r="A96" s="2013">
        <f t="shared" si="22"/>
        <v>0</v>
      </c>
      <c r="B96" s="11382" t="str">
        <f t="shared" si="23"/>
        <v/>
      </c>
      <c r="C96" s="7430"/>
      <c r="D96" s="7430"/>
      <c r="E96" s="7430"/>
      <c r="F96" s="7430"/>
      <c r="G96" s="7430"/>
      <c r="H96" s="7430"/>
      <c r="I96" s="10855"/>
      <c r="J96" s="11383" t="str">
        <f t="shared" si="24"/>
        <v/>
      </c>
      <c r="K96" s="11384"/>
      <c r="L96" s="11384"/>
      <c r="M96" s="11383" t="str">
        <f t="shared" si="25"/>
        <v/>
      </c>
      <c r="N96" s="11384"/>
      <c r="O96" s="11384"/>
      <c r="P96" s="11385"/>
      <c r="Q96" s="8178" t="str">
        <f t="shared" si="26"/>
        <v/>
      </c>
      <c r="R96" s="7375"/>
      <c r="S96" s="7375"/>
      <c r="T96" s="7376"/>
      <c r="U96" s="8178" t="str">
        <f t="shared" si="27"/>
        <v/>
      </c>
      <c r="V96" s="7375"/>
      <c r="W96" s="7375"/>
      <c r="X96" s="7376"/>
      <c r="Y96" s="11387" t="str">
        <f t="shared" si="28"/>
        <v/>
      </c>
      <c r="Z96" s="7336"/>
      <c r="AA96" s="8178" t="str">
        <f t="shared" si="29"/>
        <v/>
      </c>
      <c r="AB96" s="11386"/>
      <c r="AC96" s="11401" t="str">
        <f t="shared" si="30"/>
        <v/>
      </c>
      <c r="AD96" s="11402"/>
      <c r="AE96" s="11402"/>
      <c r="AF96" s="11402"/>
      <c r="AG96" s="4271">
        <f t="shared" si="21"/>
        <v>0</v>
      </c>
      <c r="AH96" s="6014"/>
      <c r="AI96" s="6014" t="e">
        <f t="shared" si="31"/>
        <v>#VALUE!</v>
      </c>
      <c r="AJ96" s="293"/>
      <c r="AK96" s="297"/>
      <c r="AL96" s="297"/>
      <c r="AM96" s="295"/>
      <c r="AN96" s="295"/>
      <c r="AO96" s="296"/>
      <c r="AP96" s="295"/>
      <c r="AQ96" s="294"/>
      <c r="AS96" t="e">
        <f t="shared" si="32"/>
        <v>#VALUE!</v>
      </c>
      <c r="AT96" t="e">
        <f t="shared" si="33"/>
        <v>#VALUE!</v>
      </c>
      <c r="AU96" t="e">
        <f t="shared" si="34"/>
        <v>#VALUE!</v>
      </c>
      <c r="AW96" t="e">
        <f t="shared" si="35"/>
        <v>#VALUE!</v>
      </c>
      <c r="AX96" t="e">
        <f t="shared" si="36"/>
        <v>#VALUE!</v>
      </c>
      <c r="AY96" t="e">
        <f t="shared" si="37"/>
        <v>#VALUE!</v>
      </c>
      <c r="AZ96" t="e">
        <f t="shared" si="38"/>
        <v>#VALUE!</v>
      </c>
      <c r="BA96" t="e">
        <f t="shared" si="39"/>
        <v>#VALUE!</v>
      </c>
      <c r="BB96" t="e">
        <f t="shared" si="40"/>
        <v>#VALUE!</v>
      </c>
      <c r="BC96" t="e">
        <f t="shared" si="41"/>
        <v>#VALUE!</v>
      </c>
    </row>
    <row r="97" spans="1:55" ht="26.25" customHeight="1">
      <c r="A97" s="2013">
        <f t="shared" si="22"/>
        <v>0</v>
      </c>
      <c r="B97" s="11382" t="str">
        <f t="shared" si="23"/>
        <v/>
      </c>
      <c r="C97" s="7430"/>
      <c r="D97" s="7430"/>
      <c r="E97" s="7430"/>
      <c r="F97" s="7430"/>
      <c r="G97" s="7430"/>
      <c r="H97" s="7430"/>
      <c r="I97" s="10855"/>
      <c r="J97" s="11383" t="str">
        <f t="shared" si="24"/>
        <v/>
      </c>
      <c r="K97" s="11384"/>
      <c r="L97" s="11384"/>
      <c r="M97" s="11383" t="str">
        <f t="shared" si="25"/>
        <v/>
      </c>
      <c r="N97" s="11384"/>
      <c r="O97" s="11384"/>
      <c r="P97" s="11385"/>
      <c r="Q97" s="8178" t="str">
        <f t="shared" si="26"/>
        <v/>
      </c>
      <c r="R97" s="7375"/>
      <c r="S97" s="7375"/>
      <c r="T97" s="7376"/>
      <c r="U97" s="8178" t="str">
        <f t="shared" si="27"/>
        <v/>
      </c>
      <c r="V97" s="7375"/>
      <c r="W97" s="7375"/>
      <c r="X97" s="7376"/>
      <c r="Y97" s="11387" t="str">
        <f t="shared" si="28"/>
        <v/>
      </c>
      <c r="Z97" s="7336"/>
      <c r="AA97" s="8178" t="str">
        <f t="shared" si="29"/>
        <v/>
      </c>
      <c r="AB97" s="11386"/>
      <c r="AC97" s="11401" t="str">
        <f t="shared" si="30"/>
        <v/>
      </c>
      <c r="AD97" s="11402"/>
      <c r="AE97" s="11402"/>
      <c r="AF97" s="11402"/>
      <c r="AG97" s="4271">
        <f t="shared" si="21"/>
        <v>0</v>
      </c>
      <c r="AH97" s="6014"/>
      <c r="AI97" s="6014" t="e">
        <f t="shared" si="31"/>
        <v>#VALUE!</v>
      </c>
      <c r="AJ97" s="293"/>
      <c r="AK97" s="297"/>
      <c r="AL97" s="297"/>
      <c r="AM97" s="295"/>
      <c r="AN97" s="295"/>
      <c r="AO97" s="296"/>
      <c r="AP97" s="295"/>
      <c r="AQ97" s="294"/>
      <c r="AS97" t="e">
        <f t="shared" si="32"/>
        <v>#VALUE!</v>
      </c>
      <c r="AT97" t="e">
        <f t="shared" si="33"/>
        <v>#VALUE!</v>
      </c>
      <c r="AU97" t="e">
        <f t="shared" si="34"/>
        <v>#VALUE!</v>
      </c>
      <c r="AW97" t="e">
        <f t="shared" si="35"/>
        <v>#VALUE!</v>
      </c>
      <c r="AX97" t="e">
        <f t="shared" si="36"/>
        <v>#VALUE!</v>
      </c>
      <c r="AY97" t="e">
        <f t="shared" si="37"/>
        <v>#VALUE!</v>
      </c>
      <c r="AZ97" t="e">
        <f t="shared" si="38"/>
        <v>#VALUE!</v>
      </c>
      <c r="BA97" t="e">
        <f t="shared" si="39"/>
        <v>#VALUE!</v>
      </c>
      <c r="BB97" t="e">
        <f t="shared" si="40"/>
        <v>#VALUE!</v>
      </c>
      <c r="BC97" t="e">
        <f t="shared" si="41"/>
        <v>#VALUE!</v>
      </c>
    </row>
    <row r="98" spans="1:55" ht="26.25" customHeight="1">
      <c r="A98" s="2013">
        <f t="shared" si="22"/>
        <v>0</v>
      </c>
      <c r="B98" s="11382" t="str">
        <f t="shared" si="23"/>
        <v/>
      </c>
      <c r="C98" s="7430"/>
      <c r="D98" s="7430"/>
      <c r="E98" s="7430"/>
      <c r="F98" s="7430"/>
      <c r="G98" s="7430"/>
      <c r="H98" s="7430"/>
      <c r="I98" s="10855"/>
      <c r="J98" s="11383" t="str">
        <f t="shared" si="24"/>
        <v/>
      </c>
      <c r="K98" s="11384"/>
      <c r="L98" s="11384"/>
      <c r="M98" s="11383" t="str">
        <f t="shared" si="25"/>
        <v/>
      </c>
      <c r="N98" s="11384"/>
      <c r="O98" s="11384"/>
      <c r="P98" s="11385"/>
      <c r="Q98" s="8178" t="str">
        <f t="shared" si="26"/>
        <v/>
      </c>
      <c r="R98" s="7375"/>
      <c r="S98" s="7375"/>
      <c r="T98" s="7376"/>
      <c r="U98" s="8178" t="str">
        <f t="shared" si="27"/>
        <v/>
      </c>
      <c r="V98" s="7375"/>
      <c r="W98" s="7375"/>
      <c r="X98" s="7376"/>
      <c r="Y98" s="11387" t="str">
        <f t="shared" si="28"/>
        <v/>
      </c>
      <c r="Z98" s="7336"/>
      <c r="AA98" s="8178" t="str">
        <f t="shared" si="29"/>
        <v/>
      </c>
      <c r="AB98" s="11386"/>
      <c r="AC98" s="11401" t="str">
        <f t="shared" si="30"/>
        <v/>
      </c>
      <c r="AD98" s="11402"/>
      <c r="AE98" s="11402"/>
      <c r="AF98" s="11402"/>
      <c r="AG98" s="4271">
        <f t="shared" si="21"/>
        <v>0</v>
      </c>
      <c r="AH98" s="6014"/>
      <c r="AI98" s="6014" t="e">
        <f t="shared" si="31"/>
        <v>#VALUE!</v>
      </c>
      <c r="AJ98" s="293"/>
      <c r="AK98" s="297"/>
      <c r="AL98" s="297"/>
      <c r="AM98" s="295"/>
      <c r="AN98" s="295"/>
      <c r="AO98" s="296"/>
      <c r="AP98" s="295"/>
      <c r="AQ98" s="294"/>
      <c r="AS98" t="e">
        <f t="shared" si="32"/>
        <v>#VALUE!</v>
      </c>
      <c r="AT98" t="e">
        <f t="shared" si="33"/>
        <v>#VALUE!</v>
      </c>
      <c r="AU98" t="e">
        <f t="shared" si="34"/>
        <v>#VALUE!</v>
      </c>
      <c r="AW98" t="e">
        <f t="shared" si="35"/>
        <v>#VALUE!</v>
      </c>
      <c r="AX98" t="e">
        <f t="shared" si="36"/>
        <v>#VALUE!</v>
      </c>
      <c r="AY98" t="e">
        <f t="shared" si="37"/>
        <v>#VALUE!</v>
      </c>
      <c r="AZ98" t="e">
        <f t="shared" si="38"/>
        <v>#VALUE!</v>
      </c>
      <c r="BA98" t="e">
        <f t="shared" si="39"/>
        <v>#VALUE!</v>
      </c>
      <c r="BB98" t="e">
        <f t="shared" si="40"/>
        <v>#VALUE!</v>
      </c>
      <c r="BC98" t="e">
        <f t="shared" si="41"/>
        <v>#VALUE!</v>
      </c>
    </row>
    <row r="99" spans="1:55" ht="26.25" customHeight="1">
      <c r="A99" s="2013">
        <f t="shared" si="22"/>
        <v>0</v>
      </c>
      <c r="B99" s="11382" t="str">
        <f t="shared" si="23"/>
        <v/>
      </c>
      <c r="C99" s="7430"/>
      <c r="D99" s="7430"/>
      <c r="E99" s="7430"/>
      <c r="F99" s="7430"/>
      <c r="G99" s="7430"/>
      <c r="H99" s="7430"/>
      <c r="I99" s="10855"/>
      <c r="J99" s="11383" t="str">
        <f t="shared" si="24"/>
        <v/>
      </c>
      <c r="K99" s="11384"/>
      <c r="L99" s="11384"/>
      <c r="M99" s="11383" t="str">
        <f t="shared" si="25"/>
        <v/>
      </c>
      <c r="N99" s="11384"/>
      <c r="O99" s="11384"/>
      <c r="P99" s="11385"/>
      <c r="Q99" s="8178" t="str">
        <f t="shared" si="26"/>
        <v/>
      </c>
      <c r="R99" s="7375"/>
      <c r="S99" s="7375"/>
      <c r="T99" s="7376"/>
      <c r="U99" s="8178" t="str">
        <f t="shared" si="27"/>
        <v/>
      </c>
      <c r="V99" s="7375"/>
      <c r="W99" s="7375"/>
      <c r="X99" s="7376"/>
      <c r="Y99" s="11387" t="str">
        <f t="shared" si="28"/>
        <v/>
      </c>
      <c r="Z99" s="7336"/>
      <c r="AA99" s="8178" t="str">
        <f t="shared" si="29"/>
        <v/>
      </c>
      <c r="AB99" s="11386"/>
      <c r="AC99" s="11401" t="str">
        <f t="shared" si="30"/>
        <v/>
      </c>
      <c r="AD99" s="11402"/>
      <c r="AE99" s="11402"/>
      <c r="AF99" s="11402"/>
      <c r="AG99" s="4271">
        <f t="shared" si="21"/>
        <v>0</v>
      </c>
      <c r="AH99" s="6014"/>
      <c r="AI99" s="6014" t="e">
        <f t="shared" si="31"/>
        <v>#VALUE!</v>
      </c>
      <c r="AJ99" s="293"/>
      <c r="AK99" s="297"/>
      <c r="AL99" s="297"/>
      <c r="AM99" s="295"/>
      <c r="AN99" s="295"/>
      <c r="AO99" s="296"/>
      <c r="AP99" s="295"/>
      <c r="AQ99" s="294"/>
      <c r="AS99" t="e">
        <f t="shared" si="32"/>
        <v>#VALUE!</v>
      </c>
      <c r="AT99" t="e">
        <f t="shared" si="33"/>
        <v>#VALUE!</v>
      </c>
      <c r="AU99" t="e">
        <f t="shared" si="34"/>
        <v>#VALUE!</v>
      </c>
      <c r="AW99" t="e">
        <f t="shared" si="35"/>
        <v>#VALUE!</v>
      </c>
      <c r="AX99" t="e">
        <f t="shared" si="36"/>
        <v>#VALUE!</v>
      </c>
      <c r="AY99" t="e">
        <f t="shared" si="37"/>
        <v>#VALUE!</v>
      </c>
      <c r="AZ99" t="e">
        <f t="shared" si="38"/>
        <v>#VALUE!</v>
      </c>
      <c r="BA99" t="e">
        <f t="shared" si="39"/>
        <v>#VALUE!</v>
      </c>
      <c r="BB99" t="e">
        <f t="shared" si="40"/>
        <v>#VALUE!</v>
      </c>
      <c r="BC99" t="e">
        <f t="shared" si="41"/>
        <v>#VALUE!</v>
      </c>
    </row>
    <row r="100" spans="1:55" ht="26.25" customHeight="1">
      <c r="A100" s="2013">
        <f t="shared" si="22"/>
        <v>0</v>
      </c>
      <c r="B100" s="11382" t="str">
        <f t="shared" si="23"/>
        <v/>
      </c>
      <c r="C100" s="7430"/>
      <c r="D100" s="7430"/>
      <c r="E100" s="7430"/>
      <c r="F100" s="7430"/>
      <c r="G100" s="7430"/>
      <c r="H100" s="7430"/>
      <c r="I100" s="10855"/>
      <c r="J100" s="11383" t="str">
        <f t="shared" si="24"/>
        <v/>
      </c>
      <c r="K100" s="11384"/>
      <c r="L100" s="11384"/>
      <c r="M100" s="11383" t="str">
        <f t="shared" si="25"/>
        <v/>
      </c>
      <c r="N100" s="11384"/>
      <c r="O100" s="11384"/>
      <c r="P100" s="11385"/>
      <c r="Q100" s="8178" t="str">
        <f t="shared" si="26"/>
        <v/>
      </c>
      <c r="R100" s="7375"/>
      <c r="S100" s="7375"/>
      <c r="T100" s="7376"/>
      <c r="U100" s="8178" t="str">
        <f t="shared" si="27"/>
        <v/>
      </c>
      <c r="V100" s="7375"/>
      <c r="W100" s="7375"/>
      <c r="X100" s="7376"/>
      <c r="Y100" s="11387" t="str">
        <f t="shared" si="28"/>
        <v/>
      </c>
      <c r="Z100" s="7336"/>
      <c r="AA100" s="8178" t="str">
        <f t="shared" si="29"/>
        <v/>
      </c>
      <c r="AB100" s="11386"/>
      <c r="AC100" s="11401" t="str">
        <f t="shared" si="30"/>
        <v/>
      </c>
      <c r="AD100" s="11402"/>
      <c r="AE100" s="11402"/>
      <c r="AF100" s="11402"/>
      <c r="AG100" s="4271">
        <f t="shared" si="21"/>
        <v>0</v>
      </c>
      <c r="AH100" s="6014"/>
      <c r="AI100" s="6014" t="e">
        <f t="shared" si="31"/>
        <v>#VALUE!</v>
      </c>
      <c r="AJ100" s="293"/>
      <c r="AK100" s="297"/>
      <c r="AL100" s="297"/>
      <c r="AM100" s="295"/>
      <c r="AN100" s="295"/>
      <c r="AO100" s="296"/>
      <c r="AP100" s="295"/>
      <c r="AQ100" s="294"/>
      <c r="AS100" t="e">
        <f t="shared" si="32"/>
        <v>#VALUE!</v>
      </c>
      <c r="AT100" t="e">
        <f t="shared" si="33"/>
        <v>#VALUE!</v>
      </c>
      <c r="AU100" t="e">
        <f t="shared" si="34"/>
        <v>#VALUE!</v>
      </c>
      <c r="AW100" t="e">
        <f t="shared" si="35"/>
        <v>#VALUE!</v>
      </c>
      <c r="AX100" t="e">
        <f t="shared" si="36"/>
        <v>#VALUE!</v>
      </c>
      <c r="AY100" t="e">
        <f t="shared" si="37"/>
        <v>#VALUE!</v>
      </c>
      <c r="AZ100" t="e">
        <f t="shared" si="38"/>
        <v>#VALUE!</v>
      </c>
      <c r="BA100" t="e">
        <f t="shared" si="39"/>
        <v>#VALUE!</v>
      </c>
      <c r="BB100" t="e">
        <f t="shared" si="40"/>
        <v>#VALUE!</v>
      </c>
      <c r="BC100" t="e">
        <f t="shared" si="41"/>
        <v>#VALUE!</v>
      </c>
    </row>
    <row r="101" spans="1:55" ht="26.25" customHeight="1">
      <c r="A101" s="2013">
        <f t="shared" si="22"/>
        <v>0</v>
      </c>
      <c r="B101" s="11382" t="str">
        <f t="shared" si="23"/>
        <v/>
      </c>
      <c r="C101" s="7430"/>
      <c r="D101" s="7430"/>
      <c r="E101" s="7430"/>
      <c r="F101" s="7430"/>
      <c r="G101" s="7430"/>
      <c r="H101" s="7430"/>
      <c r="I101" s="10855"/>
      <c r="J101" s="11383" t="str">
        <f t="shared" si="24"/>
        <v/>
      </c>
      <c r="K101" s="11384"/>
      <c r="L101" s="11384"/>
      <c r="M101" s="11383" t="str">
        <f t="shared" si="25"/>
        <v/>
      </c>
      <c r="N101" s="11384"/>
      <c r="O101" s="11384"/>
      <c r="P101" s="11385"/>
      <c r="Q101" s="8178" t="str">
        <f t="shared" si="26"/>
        <v/>
      </c>
      <c r="R101" s="7375"/>
      <c r="S101" s="7375"/>
      <c r="T101" s="7376"/>
      <c r="U101" s="8178" t="str">
        <f>IF(AN101="","",AN101)</f>
        <v/>
      </c>
      <c r="V101" s="7375"/>
      <c r="W101" s="7375"/>
      <c r="X101" s="7376"/>
      <c r="Y101" s="11387" t="str">
        <f t="shared" si="28"/>
        <v/>
      </c>
      <c r="Z101" s="7336"/>
      <c r="AA101" s="8178" t="str">
        <f t="shared" si="29"/>
        <v/>
      </c>
      <c r="AB101" s="11386"/>
      <c r="AC101" s="11401" t="str">
        <f t="shared" si="30"/>
        <v/>
      </c>
      <c r="AD101" s="11402"/>
      <c r="AE101" s="11402"/>
      <c r="AF101" s="11402"/>
      <c r="AG101" s="4271">
        <f t="shared" si="21"/>
        <v>0</v>
      </c>
      <c r="AH101" s="6014"/>
      <c r="AI101" s="6014" t="e">
        <f t="shared" si="31"/>
        <v>#VALUE!</v>
      </c>
      <c r="AJ101" s="293"/>
      <c r="AK101" s="297"/>
      <c r="AL101" s="297"/>
      <c r="AM101" s="295"/>
      <c r="AN101" s="295"/>
      <c r="AO101" s="296"/>
      <c r="AP101" s="295"/>
      <c r="AQ101" s="294"/>
      <c r="AS101" t="e">
        <f t="shared" si="32"/>
        <v>#VALUE!</v>
      </c>
      <c r="AT101" t="e">
        <f t="shared" si="33"/>
        <v>#VALUE!</v>
      </c>
      <c r="AU101" t="e">
        <f t="shared" si="34"/>
        <v>#VALUE!</v>
      </c>
      <c r="AW101" t="e">
        <f t="shared" si="35"/>
        <v>#VALUE!</v>
      </c>
      <c r="AX101" t="e">
        <f t="shared" si="36"/>
        <v>#VALUE!</v>
      </c>
      <c r="AY101" t="e">
        <f t="shared" si="37"/>
        <v>#VALUE!</v>
      </c>
      <c r="AZ101" t="e">
        <f t="shared" si="38"/>
        <v>#VALUE!</v>
      </c>
      <c r="BA101" t="e">
        <f t="shared" si="39"/>
        <v>#VALUE!</v>
      </c>
      <c r="BB101" t="e">
        <f t="shared" si="40"/>
        <v>#VALUE!</v>
      </c>
      <c r="BC101" t="e">
        <f t="shared" si="41"/>
        <v>#VALUE!</v>
      </c>
    </row>
    <row r="102" spans="1:55" ht="12" customHeight="1">
      <c r="A102" s="2013">
        <f>SUM(A91:A101)</f>
        <v>0</v>
      </c>
      <c r="B102" s="11445">
        <v>2</v>
      </c>
      <c r="C102" s="11421" t="s">
        <v>6417</v>
      </c>
      <c r="D102" s="11422"/>
      <c r="E102" s="11422"/>
      <c r="F102" s="11422"/>
      <c r="G102" s="11422"/>
      <c r="H102" s="11422"/>
      <c r="I102" s="11422"/>
      <c r="J102" s="11422"/>
      <c r="K102" s="11422"/>
      <c r="L102" s="11422"/>
      <c r="M102" s="11422"/>
      <c r="N102" s="11422"/>
      <c r="O102" s="11422"/>
      <c r="P102" s="11422"/>
      <c r="Q102" s="11409" t="str">
        <f>IF(A102=0,"",ROUND(SUM(Q91:Q101),0))</f>
        <v/>
      </c>
      <c r="R102" s="11410"/>
      <c r="S102" s="11410"/>
      <c r="T102" s="11411"/>
      <c r="U102" s="11409" t="str">
        <f>IF(A102=0,"",ROUND(SUM(U91:U101),0))</f>
        <v/>
      </c>
      <c r="V102" s="11410"/>
      <c r="W102" s="11410"/>
      <c r="X102" s="11411"/>
      <c r="Y102" s="11403"/>
      <c r="Z102" s="11404"/>
      <c r="AA102" s="11409" t="str">
        <f>IF(A102=0,"",ROUND(SUM(AA91:AA101),0))</f>
        <v/>
      </c>
      <c r="AB102" s="11411"/>
      <c r="AC102" s="11409" t="str">
        <f>IF(A102=0,"",ROUND(SUM(AC91:AC101),0))</f>
        <v/>
      </c>
      <c r="AD102" s="11410"/>
      <c r="AE102" s="11410"/>
      <c r="AF102" s="11410"/>
      <c r="AG102" s="2013"/>
    </row>
    <row r="103" spans="1:55" ht="12" customHeight="1">
      <c r="A103" s="2013"/>
      <c r="B103" s="11446"/>
      <c r="C103" s="11423"/>
      <c r="D103" s="11423"/>
      <c r="E103" s="11423"/>
      <c r="F103" s="11423"/>
      <c r="G103" s="11423"/>
      <c r="H103" s="11423"/>
      <c r="I103" s="11423"/>
      <c r="J103" s="11423"/>
      <c r="K103" s="11423"/>
      <c r="L103" s="11423"/>
      <c r="M103" s="11423"/>
      <c r="N103" s="11423"/>
      <c r="O103" s="11423"/>
      <c r="P103" s="11423"/>
      <c r="Q103" s="11412"/>
      <c r="R103" s="11413"/>
      <c r="S103" s="11413"/>
      <c r="T103" s="11414"/>
      <c r="U103" s="11412"/>
      <c r="V103" s="11413"/>
      <c r="W103" s="11413"/>
      <c r="X103" s="11414"/>
      <c r="Y103" s="11405"/>
      <c r="Z103" s="11406"/>
      <c r="AA103" s="11412"/>
      <c r="AB103" s="11414"/>
      <c r="AC103" s="11412"/>
      <c r="AD103" s="11413"/>
      <c r="AE103" s="11413"/>
      <c r="AF103" s="11413"/>
      <c r="AG103" s="2013"/>
    </row>
    <row r="104" spans="1:55" ht="12" customHeight="1">
      <c r="A104" s="2013"/>
      <c r="B104" s="11446"/>
      <c r="C104" s="11423"/>
      <c r="D104" s="11423"/>
      <c r="E104" s="11423"/>
      <c r="F104" s="11423"/>
      <c r="G104" s="11423"/>
      <c r="H104" s="11423"/>
      <c r="I104" s="11423"/>
      <c r="J104" s="11423"/>
      <c r="K104" s="11423"/>
      <c r="L104" s="11423"/>
      <c r="M104" s="11423"/>
      <c r="N104" s="11423"/>
      <c r="O104" s="11423"/>
      <c r="P104" s="11423"/>
      <c r="Q104" s="11412"/>
      <c r="R104" s="11413"/>
      <c r="S104" s="11413"/>
      <c r="T104" s="11414"/>
      <c r="U104" s="11412"/>
      <c r="V104" s="11413"/>
      <c r="W104" s="11413"/>
      <c r="X104" s="11414"/>
      <c r="Y104" s="11405"/>
      <c r="Z104" s="11406"/>
      <c r="AA104" s="11412"/>
      <c r="AB104" s="11414"/>
      <c r="AC104" s="11412"/>
      <c r="AD104" s="11413"/>
      <c r="AE104" s="11413"/>
      <c r="AF104" s="11413"/>
      <c r="AG104" s="2013"/>
    </row>
    <row r="105" spans="1:55" ht="12" customHeight="1">
      <c r="A105" s="2013"/>
      <c r="B105" s="11446"/>
      <c r="C105" s="11423"/>
      <c r="D105" s="11423"/>
      <c r="E105" s="11423"/>
      <c r="F105" s="11423"/>
      <c r="G105" s="11423"/>
      <c r="H105" s="11423"/>
      <c r="I105" s="11423"/>
      <c r="J105" s="11423"/>
      <c r="K105" s="11423"/>
      <c r="L105" s="11423"/>
      <c r="M105" s="11423"/>
      <c r="N105" s="11423"/>
      <c r="O105" s="11423"/>
      <c r="P105" s="11423"/>
      <c r="Q105" s="11412"/>
      <c r="R105" s="11413"/>
      <c r="S105" s="11413"/>
      <c r="T105" s="11414"/>
      <c r="U105" s="11412"/>
      <c r="V105" s="11413"/>
      <c r="W105" s="11413"/>
      <c r="X105" s="11414"/>
      <c r="Y105" s="11405"/>
      <c r="Z105" s="11406"/>
      <c r="AA105" s="11412"/>
      <c r="AB105" s="11414"/>
      <c r="AC105" s="11412"/>
      <c r="AD105" s="11413"/>
      <c r="AE105" s="11413"/>
      <c r="AF105" s="11413"/>
      <c r="AG105" s="2013"/>
    </row>
    <row r="106" spans="1:55" ht="12" customHeight="1" thickBot="1">
      <c r="A106" s="2013"/>
      <c r="B106" s="11446"/>
      <c r="C106" s="11423"/>
      <c r="D106" s="11423"/>
      <c r="E106" s="11423"/>
      <c r="F106" s="11423"/>
      <c r="G106" s="11423"/>
      <c r="H106" s="11423"/>
      <c r="I106" s="11423"/>
      <c r="J106" s="11423"/>
      <c r="K106" s="11423"/>
      <c r="L106" s="11423"/>
      <c r="M106" s="11423"/>
      <c r="N106" s="11423"/>
      <c r="O106" s="11423"/>
      <c r="P106" s="11423"/>
      <c r="Q106" s="11412"/>
      <c r="R106" s="11413"/>
      <c r="S106" s="11413"/>
      <c r="T106" s="11414"/>
      <c r="U106" s="11447"/>
      <c r="V106" s="11448"/>
      <c r="W106" s="11448"/>
      <c r="X106" s="11449"/>
      <c r="Y106" s="11407"/>
      <c r="Z106" s="11408"/>
      <c r="AA106" s="11415"/>
      <c r="AB106" s="11417"/>
      <c r="AC106" s="11412"/>
      <c r="AD106" s="11413"/>
      <c r="AE106" s="11413"/>
      <c r="AF106" s="11413"/>
      <c r="AG106" s="2013"/>
    </row>
    <row r="107" spans="1:55" ht="25.5" customHeight="1" thickBot="1">
      <c r="A107" s="2013"/>
      <c r="B107" s="11418" t="s">
        <v>6414</v>
      </c>
      <c r="C107" s="11419"/>
      <c r="D107" s="11419"/>
      <c r="E107" s="11419"/>
      <c r="F107" s="11419"/>
      <c r="G107" s="11419"/>
      <c r="H107" s="11419"/>
      <c r="I107" s="11419"/>
      <c r="J107" s="11419"/>
      <c r="K107" s="11419"/>
      <c r="L107" s="11419"/>
      <c r="M107" s="11419"/>
      <c r="N107" s="11419"/>
      <c r="O107" s="11419"/>
      <c r="P107" s="11419"/>
      <c r="Q107" s="11419"/>
      <c r="R107" s="11419"/>
      <c r="S107" s="11419"/>
      <c r="T107" s="11419"/>
      <c r="U107" s="11420"/>
      <c r="V107" s="11420"/>
      <c r="W107" s="11420"/>
      <c r="X107" s="11420"/>
      <c r="Y107" s="11419"/>
      <c r="Z107" s="11419"/>
      <c r="AA107" s="11419"/>
      <c r="AB107" s="11419"/>
      <c r="AC107" s="11419"/>
      <c r="AD107" s="11419"/>
      <c r="AE107" s="11419"/>
      <c r="AF107" s="11419"/>
      <c r="AG107" s="2013"/>
    </row>
    <row r="108" spans="1:55" s="141" customFormat="1" ht="14.25" customHeight="1" thickTop="1">
      <c r="A108" s="2306"/>
      <c r="B108" s="6015"/>
      <c r="C108" s="88"/>
      <c r="D108" s="88"/>
      <c r="E108" s="88"/>
      <c r="F108" s="88"/>
      <c r="G108" s="88"/>
      <c r="H108" s="88"/>
      <c r="I108" s="88"/>
      <c r="J108" s="88"/>
      <c r="K108" s="88"/>
      <c r="L108" s="88"/>
      <c r="M108" s="88"/>
      <c r="N108" s="88"/>
      <c r="O108" s="88"/>
      <c r="P108" s="88"/>
      <c r="Q108" s="88"/>
      <c r="R108" s="88"/>
      <c r="S108" s="88"/>
      <c r="T108" s="88"/>
      <c r="U108" s="3931"/>
      <c r="V108" s="88"/>
      <c r="W108" s="88"/>
      <c r="X108" s="88"/>
      <c r="Y108" s="88"/>
      <c r="Z108" s="88"/>
      <c r="AA108" s="88"/>
      <c r="AB108" s="88"/>
      <c r="AC108" s="88"/>
      <c r="AD108" s="2052" t="s">
        <v>4481</v>
      </c>
      <c r="AE108" s="88"/>
      <c r="AF108" s="6016" t="str">
        <f>"("&amp;TaxYear&amp;")"</f>
        <v>(2025)</v>
      </c>
      <c r="AG108" s="2306"/>
      <c r="AH108" s="502"/>
      <c r="AI108" s="502"/>
      <c r="AS108"/>
      <c r="AT108"/>
      <c r="AU108"/>
      <c r="AV108"/>
      <c r="AW108"/>
      <c r="AX108"/>
      <c r="AY108"/>
      <c r="AZ108"/>
      <c r="BA108"/>
      <c r="BB108"/>
      <c r="BC108"/>
    </row>
    <row r="109" spans="1:55">
      <c r="A109" s="2013"/>
      <c r="B109" s="2013"/>
      <c r="C109" s="2013"/>
      <c r="D109" s="2013"/>
      <c r="E109" s="2013"/>
      <c r="F109" s="2013"/>
      <c r="G109" s="2013"/>
      <c r="H109" s="2013"/>
      <c r="I109" s="2013"/>
      <c r="J109" s="2013"/>
      <c r="K109" s="2013"/>
      <c r="L109" s="2013"/>
      <c r="M109" s="2013"/>
      <c r="N109" s="2013"/>
      <c r="O109" s="2013"/>
      <c r="P109" s="2013"/>
      <c r="Q109" s="2013"/>
      <c r="R109" s="2013"/>
      <c r="S109" s="2013"/>
      <c r="T109" s="2013"/>
      <c r="U109" s="2013"/>
      <c r="V109" s="2013"/>
      <c r="W109" s="2013"/>
      <c r="X109" s="2013"/>
      <c r="Y109" s="2013"/>
      <c r="Z109" s="2013"/>
      <c r="AA109" s="2013"/>
      <c r="AB109" s="2013"/>
      <c r="AC109" s="2013"/>
      <c r="AD109" s="2013"/>
      <c r="AE109" s="2013"/>
      <c r="AF109" s="2013"/>
      <c r="AG109" s="2013"/>
    </row>
  </sheetData>
  <sheetProtection algorithmName="SHA-512" hashValue="ytPC/Y1Re/zTRNF47TD3VGTOLte1vJIU8uvEjAEw8XhROqD2UozLngJG3QZQVUQdTfY4zq+gNa0A9e+LuG9GqQ==" saltValue="lFw2HTVBN4KoVJjj5Iv5yQ==" spinCount="100000" sheet="1" objects="1" scenarios="1" formatCells="0" formatColumns="0" formatRows="0"/>
  <mergeCells count="266">
    <mergeCell ref="H8:AA9"/>
    <mergeCell ref="AB8:AD9"/>
    <mergeCell ref="AE8:AF9"/>
    <mergeCell ref="B11:U11"/>
    <mergeCell ref="V11:AF11"/>
    <mergeCell ref="B12:AF14"/>
    <mergeCell ref="B2:K2"/>
    <mergeCell ref="B4:F6"/>
    <mergeCell ref="H4:AA6"/>
    <mergeCell ref="AB4:AF4"/>
    <mergeCell ref="AB5:AF7"/>
    <mergeCell ref="H7:AA7"/>
    <mergeCell ref="B16:C16"/>
    <mergeCell ref="BA22:BC22"/>
    <mergeCell ref="BA23:BA40"/>
    <mergeCell ref="BB23:BB40"/>
    <mergeCell ref="BC23:BC40"/>
    <mergeCell ref="AJ25:AQ25"/>
    <mergeCell ref="AJ27:AQ27"/>
    <mergeCell ref="AJ29:AQ29"/>
    <mergeCell ref="AJ31:AQ31"/>
    <mergeCell ref="AJ33:AQ33"/>
    <mergeCell ref="AQ37:AQ40"/>
    <mergeCell ref="AJ35:AQ35"/>
    <mergeCell ref="B37:B40"/>
    <mergeCell ref="C37:I40"/>
    <mergeCell ref="J37:L40"/>
    <mergeCell ref="M37:P40"/>
    <mergeCell ref="Q37:T40"/>
    <mergeCell ref="U37:X40"/>
    <mergeCell ref="Y37:AB38"/>
    <mergeCell ref="AC37:AF40"/>
    <mergeCell ref="AJ37:AJ40"/>
    <mergeCell ref="Y39:Z40"/>
    <mergeCell ref="AA39:AB40"/>
    <mergeCell ref="AO39:AO40"/>
    <mergeCell ref="AP39:AP40"/>
    <mergeCell ref="B41:I41"/>
    <mergeCell ref="J41:L41"/>
    <mergeCell ref="M41:P41"/>
    <mergeCell ref="Q41:T41"/>
    <mergeCell ref="U41:X41"/>
    <mergeCell ref="Y41:Z41"/>
    <mergeCell ref="AK37:AK40"/>
    <mergeCell ref="AL37:AL40"/>
    <mergeCell ref="AM37:AM40"/>
    <mergeCell ref="AN37:AN40"/>
    <mergeCell ref="AO37:AP38"/>
    <mergeCell ref="AA41:AB41"/>
    <mergeCell ref="AC41:AF41"/>
    <mergeCell ref="B42:I42"/>
    <mergeCell ref="J42:L42"/>
    <mergeCell ref="M42:P42"/>
    <mergeCell ref="Q42:T42"/>
    <mergeCell ref="U42:X42"/>
    <mergeCell ref="Y42:Z42"/>
    <mergeCell ref="AA42:AB42"/>
    <mergeCell ref="AC42:AF42"/>
    <mergeCell ref="AA43:AB43"/>
    <mergeCell ref="AC43:AF43"/>
    <mergeCell ref="B44:I44"/>
    <mergeCell ref="J44:L44"/>
    <mergeCell ref="M44:P44"/>
    <mergeCell ref="Q44:T44"/>
    <mergeCell ref="U44:X44"/>
    <mergeCell ref="Y44:Z44"/>
    <mergeCell ref="AA44:AB44"/>
    <mergeCell ref="AC44:AF44"/>
    <mergeCell ref="B43:I43"/>
    <mergeCell ref="J43:L43"/>
    <mergeCell ref="M43:P43"/>
    <mergeCell ref="Q43:T43"/>
    <mergeCell ref="U43:X43"/>
    <mergeCell ref="Y43:Z43"/>
    <mergeCell ref="AA45:AB45"/>
    <mergeCell ref="AC45:AF45"/>
    <mergeCell ref="B46:I46"/>
    <mergeCell ref="J46:L46"/>
    <mergeCell ref="M46:P46"/>
    <mergeCell ref="Q46:T46"/>
    <mergeCell ref="U46:X46"/>
    <mergeCell ref="Y46:Z46"/>
    <mergeCell ref="AA46:AB46"/>
    <mergeCell ref="AC46:AF46"/>
    <mergeCell ref="B45:I45"/>
    <mergeCell ref="J45:L45"/>
    <mergeCell ref="M45:P45"/>
    <mergeCell ref="Q45:T45"/>
    <mergeCell ref="U45:X45"/>
    <mergeCell ref="Y45:Z45"/>
    <mergeCell ref="AA47:AB47"/>
    <mergeCell ref="AC47:AF47"/>
    <mergeCell ref="B48:I48"/>
    <mergeCell ref="J48:L48"/>
    <mergeCell ref="M48:P48"/>
    <mergeCell ref="Q48:T48"/>
    <mergeCell ref="U48:X48"/>
    <mergeCell ref="Y48:Z48"/>
    <mergeCell ref="AA48:AB48"/>
    <mergeCell ref="AC48:AF48"/>
    <mergeCell ref="B47:I47"/>
    <mergeCell ref="J47:L47"/>
    <mergeCell ref="M47:P47"/>
    <mergeCell ref="Q47:T47"/>
    <mergeCell ref="U47:X47"/>
    <mergeCell ref="Y47:Z47"/>
    <mergeCell ref="AA49:AB49"/>
    <mergeCell ref="AC49:AF49"/>
    <mergeCell ref="B50:I50"/>
    <mergeCell ref="J50:L50"/>
    <mergeCell ref="M50:P50"/>
    <mergeCell ref="Q50:T50"/>
    <mergeCell ref="U50:X50"/>
    <mergeCell ref="Y50:Z50"/>
    <mergeCell ref="AA50:AB50"/>
    <mergeCell ref="AC50:AF50"/>
    <mergeCell ref="B49:I49"/>
    <mergeCell ref="J49:L49"/>
    <mergeCell ref="M49:P49"/>
    <mergeCell ref="Q49:T49"/>
    <mergeCell ref="U49:X49"/>
    <mergeCell ref="Y49:Z49"/>
    <mergeCell ref="B57:AF57"/>
    <mergeCell ref="B61:U61"/>
    <mergeCell ref="V61:AF61"/>
    <mergeCell ref="B62:AF64"/>
    <mergeCell ref="B66:C66"/>
    <mergeCell ref="BA72:BC72"/>
    <mergeCell ref="AA51:AB51"/>
    <mergeCell ref="AC51:AF51"/>
    <mergeCell ref="B52:B56"/>
    <mergeCell ref="C52:P56"/>
    <mergeCell ref="Q52:T56"/>
    <mergeCell ref="U52:X56"/>
    <mergeCell ref="Y52:Z56"/>
    <mergeCell ref="AA52:AB56"/>
    <mergeCell ref="AC52:AF56"/>
    <mergeCell ref="B51:I51"/>
    <mergeCell ref="J51:L51"/>
    <mergeCell ref="M51:P51"/>
    <mergeCell ref="Q51:T51"/>
    <mergeCell ref="U51:X51"/>
    <mergeCell ref="Y51:Z51"/>
    <mergeCell ref="BA73:BA90"/>
    <mergeCell ref="BB73:BB90"/>
    <mergeCell ref="BC73:BC90"/>
    <mergeCell ref="AJ75:AQ75"/>
    <mergeCell ref="AJ77:AQ77"/>
    <mergeCell ref="AJ81:AQ81"/>
    <mergeCell ref="AJ83:AQ83"/>
    <mergeCell ref="AN87:AN90"/>
    <mergeCell ref="AO87:AP88"/>
    <mergeCell ref="AJ85:AQ85"/>
    <mergeCell ref="AQ87:AQ90"/>
    <mergeCell ref="AO89:AO90"/>
    <mergeCell ref="AP89:AP90"/>
    <mergeCell ref="AJ87:AJ90"/>
    <mergeCell ref="AK87:AK90"/>
    <mergeCell ref="AL87:AL90"/>
    <mergeCell ref="AM87:AM90"/>
    <mergeCell ref="B91:I91"/>
    <mergeCell ref="J91:L91"/>
    <mergeCell ref="M91:P91"/>
    <mergeCell ref="Q91:T91"/>
    <mergeCell ref="U91:X91"/>
    <mergeCell ref="Y91:Z91"/>
    <mergeCell ref="AA91:AB91"/>
    <mergeCell ref="AC91:AF91"/>
    <mergeCell ref="Y87:AB88"/>
    <mergeCell ref="AC87:AF90"/>
    <mergeCell ref="B87:B90"/>
    <mergeCell ref="C87:I90"/>
    <mergeCell ref="J87:L90"/>
    <mergeCell ref="M87:P90"/>
    <mergeCell ref="Q87:T90"/>
    <mergeCell ref="U87:X90"/>
    <mergeCell ref="Y89:Z90"/>
    <mergeCell ref="AA89:AB90"/>
    <mergeCell ref="B92:I92"/>
    <mergeCell ref="J92:L92"/>
    <mergeCell ref="M92:P92"/>
    <mergeCell ref="Q92:T92"/>
    <mergeCell ref="U92:X92"/>
    <mergeCell ref="Y92:Z92"/>
    <mergeCell ref="AA92:AB92"/>
    <mergeCell ref="AC92:AF92"/>
    <mergeCell ref="B93:I93"/>
    <mergeCell ref="J93:L93"/>
    <mergeCell ref="M93:P93"/>
    <mergeCell ref="Q93:T93"/>
    <mergeCell ref="U93:X93"/>
    <mergeCell ref="Y93:Z93"/>
    <mergeCell ref="AA93:AB93"/>
    <mergeCell ref="AC93:AF93"/>
    <mergeCell ref="AA94:AB94"/>
    <mergeCell ref="AC94:AF94"/>
    <mergeCell ref="B95:I95"/>
    <mergeCell ref="J95:L95"/>
    <mergeCell ref="M95:P95"/>
    <mergeCell ref="Q95:T95"/>
    <mergeCell ref="U95:X95"/>
    <mergeCell ref="Y95:Z95"/>
    <mergeCell ref="AA95:AB95"/>
    <mergeCell ref="AC95:AF95"/>
    <mergeCell ref="B94:I94"/>
    <mergeCell ref="J94:L94"/>
    <mergeCell ref="M94:P94"/>
    <mergeCell ref="Q94:T94"/>
    <mergeCell ref="U94:X94"/>
    <mergeCell ref="Y94:Z94"/>
    <mergeCell ref="AA96:AB96"/>
    <mergeCell ref="AC96:AF96"/>
    <mergeCell ref="B97:I97"/>
    <mergeCell ref="J97:L97"/>
    <mergeCell ref="M97:P97"/>
    <mergeCell ref="Q97:T97"/>
    <mergeCell ref="U97:X97"/>
    <mergeCell ref="Y97:Z97"/>
    <mergeCell ref="AA97:AB97"/>
    <mergeCell ref="AC97:AF97"/>
    <mergeCell ref="B96:I96"/>
    <mergeCell ref="J96:L96"/>
    <mergeCell ref="M96:P96"/>
    <mergeCell ref="Q96:T96"/>
    <mergeCell ref="U96:X96"/>
    <mergeCell ref="Y96:Z96"/>
    <mergeCell ref="AA98:AB98"/>
    <mergeCell ref="AC98:AF98"/>
    <mergeCell ref="B99:I99"/>
    <mergeCell ref="J99:L99"/>
    <mergeCell ref="M99:P99"/>
    <mergeCell ref="Q99:T99"/>
    <mergeCell ref="U99:X99"/>
    <mergeCell ref="Y99:Z99"/>
    <mergeCell ref="AA99:AB99"/>
    <mergeCell ref="AC99:AF99"/>
    <mergeCell ref="B98:I98"/>
    <mergeCell ref="J98:L98"/>
    <mergeCell ref="M98:P98"/>
    <mergeCell ref="Q98:T98"/>
    <mergeCell ref="U98:X98"/>
    <mergeCell ref="Y98:Z98"/>
    <mergeCell ref="AC102:AF106"/>
    <mergeCell ref="B107:AF107"/>
    <mergeCell ref="B102:B106"/>
    <mergeCell ref="C102:P106"/>
    <mergeCell ref="Q102:T106"/>
    <mergeCell ref="U102:X106"/>
    <mergeCell ref="Y102:Z106"/>
    <mergeCell ref="AA102:AB106"/>
    <mergeCell ref="AA100:AB100"/>
    <mergeCell ref="AC100:AF100"/>
    <mergeCell ref="B101:I101"/>
    <mergeCell ref="J101:L101"/>
    <mergeCell ref="M101:P101"/>
    <mergeCell ref="Q101:T101"/>
    <mergeCell ref="U101:X101"/>
    <mergeCell ref="Y101:Z101"/>
    <mergeCell ref="AA101:AB101"/>
    <mergeCell ref="AC101:AF101"/>
    <mergeCell ref="B100:I100"/>
    <mergeCell ref="J100:L100"/>
    <mergeCell ref="M100:P100"/>
    <mergeCell ref="Q100:T100"/>
    <mergeCell ref="U100:X100"/>
    <mergeCell ref="Y100:Z100"/>
  </mergeCells>
  <conditionalFormatting sqref="B2">
    <cfRule type="expression" dxfId="308" priority="89" stopIfTrue="1">
      <formula>IF(OR($AG$16,$AG$66),1,0)</formula>
    </cfRule>
  </conditionalFormatting>
  <conditionalFormatting sqref="B21">
    <cfRule type="expression" dxfId="307" priority="28">
      <formula>AND(NOT(NoColor),A35=0,AC52&lt;&gt;"")</formula>
    </cfRule>
  </conditionalFormatting>
  <conditionalFormatting sqref="B23">
    <cfRule type="expression" dxfId="306" priority="25">
      <formula>SpaceUsed_8949A_ST</formula>
    </cfRule>
  </conditionalFormatting>
  <conditionalFormatting sqref="B71">
    <cfRule type="expression" dxfId="305" priority="23">
      <formula>AND(NOT(NoColor),A85=0,AC102&lt;&gt;"")</formula>
    </cfRule>
  </conditionalFormatting>
  <conditionalFormatting sqref="B73">
    <cfRule type="expression" dxfId="304" priority="22">
      <formula>SpaceUsed_8949A_LT</formula>
    </cfRule>
  </conditionalFormatting>
  <conditionalFormatting sqref="B11:AF11">
    <cfRule type="expression" dxfId="303" priority="83">
      <formula>IF(NoColor,1,0)</formula>
    </cfRule>
  </conditionalFormatting>
  <conditionalFormatting sqref="B41:AF51">
    <cfRule type="expression" dxfId="302" priority="5">
      <formula>IF(NoColor,1,0)</formula>
    </cfRule>
  </conditionalFormatting>
  <conditionalFormatting sqref="B61:AF61">
    <cfRule type="expression" dxfId="301" priority="80">
      <formula>IF(NoColor,1,0)</formula>
    </cfRule>
  </conditionalFormatting>
  <conditionalFormatting sqref="B91:AF101">
    <cfRule type="expression" dxfId="300" priority="1">
      <formula>IF(NoColor,1,0)</formula>
    </cfRule>
  </conditionalFormatting>
  <conditionalFormatting sqref="C25">
    <cfRule type="expression" dxfId="299" priority="63">
      <formula>IF(NoColor,1,0)</formula>
    </cfRule>
    <cfRule type="expression" dxfId="298" priority="62">
      <formula>C25=CHAR(32)</formula>
    </cfRule>
  </conditionalFormatting>
  <conditionalFormatting sqref="C27">
    <cfRule type="expression" dxfId="297" priority="61">
      <formula>IF(NoColor,1,0)</formula>
    </cfRule>
    <cfRule type="expression" dxfId="296" priority="60">
      <formula>C27=CHAR(32)</formula>
    </cfRule>
  </conditionalFormatting>
  <conditionalFormatting sqref="C29">
    <cfRule type="expression" dxfId="295" priority="59">
      <formula>IF(NoColor,1,0)</formula>
    </cfRule>
    <cfRule type="expression" dxfId="294" priority="58">
      <formula>C29=CHAR(32)</formula>
    </cfRule>
  </conditionalFormatting>
  <conditionalFormatting sqref="C31">
    <cfRule type="expression" dxfId="293" priority="57">
      <formula>IF(NoColor,1,0)</formula>
    </cfRule>
    <cfRule type="expression" dxfId="292" priority="56">
      <formula>C31=CHAR(32)</formula>
    </cfRule>
  </conditionalFormatting>
  <conditionalFormatting sqref="C33">
    <cfRule type="expression" dxfId="291" priority="71">
      <formula>IF(NoColor,1,0)</formula>
    </cfRule>
    <cfRule type="expression" dxfId="290" priority="64">
      <formula>C33=CHAR(32)</formula>
    </cfRule>
  </conditionalFormatting>
  <conditionalFormatting sqref="C35">
    <cfRule type="expression" dxfId="289" priority="55">
      <formula>IF(NoColor,1,0)</formula>
    </cfRule>
    <cfRule type="expression" dxfId="288" priority="54">
      <formula>C35=CHAR(32)</formula>
    </cfRule>
  </conditionalFormatting>
  <conditionalFormatting sqref="C75">
    <cfRule type="expression" dxfId="287" priority="47">
      <formula>AND(SpaceUsed_8949A_LT,C75=CHAR(32))</formula>
    </cfRule>
    <cfRule type="expression" dxfId="286" priority="48">
      <formula>IF(NoColor,1,0)</formula>
    </cfRule>
  </conditionalFormatting>
  <conditionalFormatting sqref="C77">
    <cfRule type="expression" dxfId="285" priority="77">
      <formula>IF(NoColor,1,0)</formula>
    </cfRule>
    <cfRule type="expression" dxfId="284" priority="49">
      <formula>AND(SpaceUsed_8949A_LT,C77=CHAR(32))</formula>
    </cfRule>
  </conditionalFormatting>
  <conditionalFormatting sqref="C79">
    <cfRule type="expression" dxfId="283" priority="45">
      <formula>AND(SpaceUsed_8949A_LT,C79=CHAR(32))</formula>
    </cfRule>
    <cfRule type="expression" dxfId="282" priority="46">
      <formula>IF(NoColor,1,0)</formula>
    </cfRule>
  </conditionalFormatting>
  <conditionalFormatting sqref="C81">
    <cfRule type="expression" dxfId="281" priority="44">
      <formula>IF(NoColor,1,0)</formula>
    </cfRule>
    <cfRule type="expression" dxfId="280" priority="43">
      <formula>AND(SpaceUsed_8949A_LT,C81=CHAR(32))</formula>
    </cfRule>
  </conditionalFormatting>
  <conditionalFormatting sqref="C83">
    <cfRule type="expression" dxfId="279" priority="42">
      <formula>IF(NoColor,1,0)</formula>
    </cfRule>
    <cfRule type="expression" dxfId="278" priority="41">
      <formula>AND(SpaceUsed_8949A_LT,C83=CHAR(32))</formula>
    </cfRule>
  </conditionalFormatting>
  <conditionalFormatting sqref="C85">
    <cfRule type="expression" dxfId="277" priority="40">
      <formula>IF(NoColor,1,0)</formula>
    </cfRule>
    <cfRule type="expression" dxfId="276" priority="39">
      <formula>AND(SpaceUsed_8949A_LT,C85=CHAR(32))</formula>
    </cfRule>
  </conditionalFormatting>
  <conditionalFormatting sqref="D25">
    <cfRule type="expression" dxfId="275" priority="70">
      <formula>C25=CHAR(32)</formula>
    </cfRule>
  </conditionalFormatting>
  <conditionalFormatting sqref="D27">
    <cfRule type="expression" dxfId="274" priority="69">
      <formula>C27=CHAR(32)</formula>
    </cfRule>
  </conditionalFormatting>
  <conditionalFormatting sqref="D29">
    <cfRule type="expression" dxfId="273" priority="68">
      <formula>C29=CHAR(32)</formula>
    </cfRule>
  </conditionalFormatting>
  <conditionalFormatting sqref="D31">
    <cfRule type="expression" dxfId="272" priority="67">
      <formula>C31=CHAR(32)</formula>
    </cfRule>
  </conditionalFormatting>
  <conditionalFormatting sqref="D33">
    <cfRule type="expression" dxfId="271" priority="66">
      <formula>C33=CHAR(32)</formula>
    </cfRule>
  </conditionalFormatting>
  <conditionalFormatting sqref="D35">
    <cfRule type="expression" dxfId="270" priority="65">
      <formula>C35=CHAR(32)</formula>
    </cfRule>
  </conditionalFormatting>
  <conditionalFormatting sqref="D75">
    <cfRule type="expression" dxfId="269" priority="38">
      <formula>AND(SpaceUsed_8949A_LT,C75=CHAR(32))</formula>
    </cfRule>
  </conditionalFormatting>
  <conditionalFormatting sqref="D77">
    <cfRule type="expression" dxfId="268" priority="37">
      <formula>AND(SpaceUsed_8949A_LT,C77=CHAR(32))</formula>
    </cfRule>
  </conditionalFormatting>
  <conditionalFormatting sqref="D79">
    <cfRule type="expression" dxfId="267" priority="36">
      <formula>AND(SpaceUsed_8949A_LT,C79=CHAR(32))</formula>
    </cfRule>
  </conditionalFormatting>
  <conditionalFormatting sqref="D81">
    <cfRule type="expression" dxfId="266" priority="35">
      <formula>AND(SpaceUsed_8949A_LT,C81=CHAR(32))</formula>
    </cfRule>
  </conditionalFormatting>
  <conditionalFormatting sqref="D83">
    <cfRule type="expression" dxfId="265" priority="34">
      <formula>AND(SpaceUsed_8949A_LT,C83=CHAR(32))</formula>
    </cfRule>
  </conditionalFormatting>
  <conditionalFormatting sqref="D85">
    <cfRule type="expression" dxfId="264" priority="33">
      <formula>AND(SpaceUsed_8949A_LT,C85=CHAR(32))</formula>
    </cfRule>
  </conditionalFormatting>
  <conditionalFormatting sqref="J41:J51">
    <cfRule type="expression" dxfId="263" priority="8" stopIfTrue="1">
      <formula>AND($L$2="",NOT($AZ41))</formula>
    </cfRule>
  </conditionalFormatting>
  <conditionalFormatting sqref="J91:L101">
    <cfRule type="expression" dxfId="262" priority="3">
      <formula>AND($L$2="",$AZ91)</formula>
    </cfRule>
  </conditionalFormatting>
  <conditionalFormatting sqref="K71">
    <cfRule type="expression" dxfId="261" priority="24">
      <formula>IF($A$79&gt;1,1,0)</formula>
    </cfRule>
  </conditionalFormatting>
  <conditionalFormatting sqref="L2">
    <cfRule type="expression" dxfId="260" priority="90" stopIfTrue="1">
      <formula>IF(OR($AG$16,$AG$66),1,0)</formula>
    </cfRule>
  </conditionalFormatting>
  <conditionalFormatting sqref="L21">
    <cfRule type="expression" dxfId="259" priority="27">
      <formula>(A29&gt;1)</formula>
    </cfRule>
  </conditionalFormatting>
  <conditionalFormatting sqref="M41:M51">
    <cfRule type="expression" dxfId="258" priority="6" stopIfTrue="1">
      <formula>AND($L$2="",NOT($AZ41))</formula>
    </cfRule>
  </conditionalFormatting>
  <conditionalFormatting sqref="M91:M101">
    <cfRule type="expression" dxfId="257" priority="2" stopIfTrue="1">
      <formula>AND($L$2="",$AZ91)</formula>
    </cfRule>
  </conditionalFormatting>
  <conditionalFormatting sqref="M21:N21">
    <cfRule type="expression" dxfId="256" priority="26">
      <formula>$A$35&gt;1</formula>
    </cfRule>
  </conditionalFormatting>
  <conditionalFormatting sqref="M71:N71">
    <cfRule type="expression" dxfId="255" priority="21">
      <formula>IF($A$85&gt;1,1,0)</formula>
    </cfRule>
  </conditionalFormatting>
  <conditionalFormatting sqref="P66">
    <cfRule type="expression" dxfId="254" priority="88" stopIfTrue="1">
      <formula>IF(AND($L$2="",$AG$66),TRUE,FALSE)</formula>
    </cfRule>
  </conditionalFormatting>
  <conditionalFormatting sqref="Q52:X56">
    <cfRule type="expression" dxfId="253" priority="82">
      <formula>IF(NoColor,1,0)</formula>
    </cfRule>
  </conditionalFormatting>
  <conditionalFormatting sqref="Q102:X106">
    <cfRule type="expression" dxfId="252" priority="79">
      <formula>IF(NoColor,1,0)</formula>
    </cfRule>
  </conditionalFormatting>
  <conditionalFormatting sqref="T16:T19">
    <cfRule type="expression" dxfId="251" priority="87" stopIfTrue="1">
      <formula>IF(AND($L$2="",$AG$16),TRUE,FALSE)</formula>
    </cfRule>
  </conditionalFormatting>
  <conditionalFormatting sqref="T66">
    <cfRule type="expression" dxfId="250" priority="86" stopIfTrue="1">
      <formula>IF(AND($L$2="",$AG$66),TRUE,FALSE)</formula>
    </cfRule>
  </conditionalFormatting>
  <conditionalFormatting sqref="T67:T69">
    <cfRule type="expression" dxfId="249" priority="76" stopIfTrue="1">
      <formula>IF(AND($L$2="",$AG$16),TRUE,FALSE)</formula>
    </cfRule>
  </conditionalFormatting>
  <conditionalFormatting sqref="AA52:AF56">
    <cfRule type="expression" dxfId="248" priority="81">
      <formula>IF(NoColor,1,0)</formula>
    </cfRule>
  </conditionalFormatting>
  <conditionalFormatting sqref="AA102:AF106">
    <cfRule type="expression" dxfId="247" priority="78">
      <formula>IF(NoColor,1,0)</formula>
    </cfRule>
  </conditionalFormatting>
  <conditionalFormatting sqref="AB4:AF4">
    <cfRule type="expression" dxfId="246" priority="30">
      <formula>AND(AI3,AH4="")</formula>
    </cfRule>
  </conditionalFormatting>
  <conditionalFormatting sqref="AH4">
    <cfRule type="expression" dxfId="245" priority="29">
      <formula>$AI$3</formula>
    </cfRule>
  </conditionalFormatting>
  <pageMargins left="0.75" right="0.25" top="0.36" bottom="0.28999999999999998" header="0.36" footer="0.21"/>
  <pageSetup scale="75" fitToHeight="0" orientation="portrait" r:id="rId1"/>
  <rowBreaks count="1" manualBreakCount="1">
    <brk id="58" min="1" max="31" man="1"/>
  </rowBreaks>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pageSetUpPr fitToPage="1"/>
  </sheetPr>
  <dimension ref="A1:BC109"/>
  <sheetViews>
    <sheetView zoomScaleNormal="100" zoomScaleSheetLayoutView="100" workbookViewId="0">
      <selection activeCell="AH38" sqref="AH38"/>
    </sheetView>
  </sheetViews>
  <sheetFormatPr defaultColWidth="3.7109375" defaultRowHeight="12.75"/>
  <cols>
    <col min="1" max="1" width="3.7109375" style="6021" customWidth="1"/>
    <col min="2" max="2" width="4.140625" customWidth="1"/>
    <col min="3" max="3" width="2.28515625" customWidth="1"/>
    <col min="4" max="9" width="3.7109375" customWidth="1"/>
    <col min="10" max="10" width="4" customWidth="1"/>
    <col min="11" max="11" width="6.85546875" customWidth="1"/>
    <col min="12" max="12" width="4" customWidth="1"/>
    <col min="13" max="16" width="3.7109375" customWidth="1"/>
    <col min="17" max="20" width="4.28515625" customWidth="1"/>
    <col min="21" max="23" width="3.85546875" customWidth="1"/>
    <col min="24" max="24" width="3.7109375" customWidth="1"/>
    <col min="25" max="26" width="5.42578125" customWidth="1"/>
    <col min="27" max="28" width="6.42578125" customWidth="1"/>
    <col min="29" max="32" width="3.7109375" customWidth="1"/>
    <col min="33" max="33" width="6" style="6022" customWidth="1"/>
    <col min="34" max="34" width="4.85546875" style="84" customWidth="1"/>
    <col min="35" max="35" width="8.5703125" style="84" bestFit="1" customWidth="1"/>
    <col min="36" max="36" width="29.28515625" customWidth="1"/>
    <col min="37" max="40" width="13.7109375" customWidth="1"/>
    <col min="41" max="41" width="10" customWidth="1"/>
    <col min="42" max="42" width="15.5703125" customWidth="1"/>
    <col min="43" max="43" width="15.42578125" customWidth="1"/>
    <col min="44" max="44" width="13" customWidth="1"/>
    <col min="45" max="47" width="13" hidden="1" customWidth="1"/>
    <col min="48" max="48" width="3.85546875" hidden="1" customWidth="1"/>
    <col min="49" max="51" width="13" hidden="1" customWidth="1"/>
    <col min="52" max="52" width="8.5703125" hidden="1" customWidth="1"/>
    <col min="53" max="55" width="13" hidden="1" customWidth="1"/>
    <col min="56" max="68" width="3.7109375" customWidth="1"/>
  </cols>
  <sheetData>
    <row r="1" spans="1:35">
      <c r="A1" s="2013"/>
      <c r="B1" s="2013"/>
      <c r="C1" s="2013"/>
      <c r="D1" s="2013"/>
      <c r="E1" s="2013"/>
      <c r="F1" s="2013"/>
      <c r="G1" s="2013"/>
      <c r="H1" s="2013"/>
      <c r="I1" s="2013"/>
      <c r="J1" s="2013"/>
      <c r="K1" s="2013"/>
      <c r="L1" s="2013"/>
      <c r="M1" s="2013"/>
      <c r="N1" s="2013"/>
      <c r="O1" s="2013"/>
      <c r="P1" s="2013"/>
      <c r="Q1" s="2013"/>
      <c r="R1" s="2013"/>
      <c r="S1" s="2013"/>
      <c r="T1" s="2013"/>
      <c r="U1" s="2013"/>
      <c r="V1" s="2013"/>
      <c r="W1" s="2013"/>
      <c r="X1" s="2013"/>
      <c r="Y1" s="2013"/>
      <c r="Z1" s="2013"/>
      <c r="AA1" s="2013"/>
      <c r="AB1" s="2013"/>
      <c r="AC1" s="2013"/>
      <c r="AD1" s="2013"/>
      <c r="AE1" s="2013"/>
      <c r="AF1" s="2013"/>
      <c r="AG1" s="2013"/>
    </row>
    <row r="2" spans="1:35">
      <c r="A2" s="139"/>
      <c r="B2" s="11463" t="s">
        <v>4453</v>
      </c>
      <c r="C2" s="11464"/>
      <c r="D2" s="11464"/>
      <c r="E2" s="11464"/>
      <c r="F2" s="11464"/>
      <c r="G2" s="11464"/>
      <c r="H2" s="11464"/>
      <c r="I2" s="11464"/>
      <c r="J2" s="11464"/>
      <c r="K2" s="11464"/>
      <c r="L2" s="264"/>
      <c r="M2" s="139"/>
      <c r="N2" s="139"/>
      <c r="O2" s="139"/>
      <c r="P2" s="139"/>
      <c r="Q2" s="139"/>
      <c r="R2" s="139"/>
      <c r="S2" s="139"/>
      <c r="T2" s="139"/>
      <c r="U2" s="139"/>
      <c r="V2" s="139"/>
      <c r="W2" s="139"/>
      <c r="X2" s="139"/>
      <c r="Y2" s="139"/>
      <c r="Z2" s="139"/>
      <c r="AA2" s="962"/>
      <c r="AB2" s="139"/>
      <c r="AC2" s="139"/>
      <c r="AD2" s="139"/>
      <c r="AE2" s="139"/>
      <c r="AF2" s="139"/>
      <c r="AG2" s="2013"/>
    </row>
    <row r="3" spans="1:35">
      <c r="A3" s="2013"/>
      <c r="B3" s="2013"/>
      <c r="C3" s="2013"/>
      <c r="D3" s="2013"/>
      <c r="E3" s="2013"/>
      <c r="F3" s="2013"/>
      <c r="G3" s="2013"/>
      <c r="H3" s="2013"/>
      <c r="I3" s="2013"/>
      <c r="J3" s="2013"/>
      <c r="K3" s="2013"/>
      <c r="L3" s="2013"/>
      <c r="M3" s="2013"/>
      <c r="N3" s="2013"/>
      <c r="O3" s="2013"/>
      <c r="P3" s="2013"/>
      <c r="Q3" s="2013"/>
      <c r="R3" s="2013"/>
      <c r="S3" s="2013"/>
      <c r="T3" s="2013"/>
      <c r="U3" s="2013"/>
      <c r="V3" s="2013"/>
      <c r="W3" s="2013"/>
      <c r="X3" s="2013"/>
      <c r="Y3" s="2013"/>
      <c r="Z3" s="2013"/>
      <c r="AA3" s="2013"/>
      <c r="AB3" s="2013"/>
      <c r="AC3" s="2013"/>
      <c r="AD3" s="2013"/>
      <c r="AE3" s="2013"/>
      <c r="AF3" s="2013"/>
      <c r="AG3" s="2013"/>
      <c r="AI3" s="318" t="b">
        <f>'Table of Contents'!A64="D"</f>
        <v>0</v>
      </c>
    </row>
    <row r="4" spans="1:35" ht="11.25" customHeight="1">
      <c r="A4" s="2013"/>
      <c r="B4" s="11465" t="s">
        <v>4454</v>
      </c>
      <c r="C4" s="7601"/>
      <c r="D4" s="7601"/>
      <c r="E4" s="7601"/>
      <c r="F4" s="7601"/>
      <c r="G4" s="88"/>
      <c r="H4" s="11467" t="s">
        <v>4455</v>
      </c>
      <c r="I4" s="11468"/>
      <c r="J4" s="11468"/>
      <c r="K4" s="11468"/>
      <c r="L4" s="11468"/>
      <c r="M4" s="11468"/>
      <c r="N4" s="11468"/>
      <c r="O4" s="11468"/>
      <c r="P4" s="11468"/>
      <c r="Q4" s="11468"/>
      <c r="R4" s="11468"/>
      <c r="S4" s="11468"/>
      <c r="T4" s="11468"/>
      <c r="U4" s="11468"/>
      <c r="V4" s="11468"/>
      <c r="W4" s="11468"/>
      <c r="X4" s="11468"/>
      <c r="Y4" s="11468"/>
      <c r="Z4" s="11468"/>
      <c r="AA4" s="11469"/>
      <c r="AB4" s="8062" t="str">
        <f>IF(AND(AI3,AH4=""),"DRAFT","OMB No. 1545-0074")</f>
        <v>OMB No. 1545-0074</v>
      </c>
      <c r="AC4" s="9894"/>
      <c r="AD4" s="9894"/>
      <c r="AE4" s="9894"/>
      <c r="AF4" s="9894"/>
      <c r="AG4" s="2013"/>
      <c r="AH4" s="6003"/>
      <c r="AI4" s="6001" t="str">
        <f>IF(AI3,"Hide 'DRAFT'.","")</f>
        <v/>
      </c>
    </row>
    <row r="5" spans="1:35" ht="11.25" customHeight="1">
      <c r="A5" s="2013"/>
      <c r="B5" s="7601"/>
      <c r="C5" s="7601"/>
      <c r="D5" s="7601"/>
      <c r="E5" s="7601"/>
      <c r="F5" s="7601"/>
      <c r="G5" s="88"/>
      <c r="H5" s="11470"/>
      <c r="I5" s="11468"/>
      <c r="J5" s="11468"/>
      <c r="K5" s="11468"/>
      <c r="L5" s="11468"/>
      <c r="M5" s="11468"/>
      <c r="N5" s="11468"/>
      <c r="O5" s="11468"/>
      <c r="P5" s="11468"/>
      <c r="Q5" s="11468"/>
      <c r="R5" s="11468"/>
      <c r="S5" s="11468"/>
      <c r="T5" s="11468"/>
      <c r="U5" s="11468"/>
      <c r="V5" s="11468"/>
      <c r="W5" s="11468"/>
      <c r="X5" s="11468"/>
      <c r="Y5" s="11468"/>
      <c r="Z5" s="11468"/>
      <c r="AA5" s="11469"/>
      <c r="AB5" s="11466">
        <f>TaxYear</f>
        <v>2025</v>
      </c>
      <c r="AC5" s="7601"/>
      <c r="AD5" s="7601"/>
      <c r="AE5" s="7601"/>
      <c r="AF5" s="7601"/>
      <c r="AG5" s="2013"/>
      <c r="AH5" s="6004"/>
    </row>
    <row r="6" spans="1:35" ht="11.25" customHeight="1">
      <c r="A6" s="2013"/>
      <c r="B6" s="7601"/>
      <c r="C6" s="7601"/>
      <c r="D6" s="7601"/>
      <c r="E6" s="7601"/>
      <c r="F6" s="7601"/>
      <c r="G6" s="88"/>
      <c r="H6" s="11471"/>
      <c r="I6" s="7091"/>
      <c r="J6" s="7091"/>
      <c r="K6" s="7091"/>
      <c r="L6" s="7091"/>
      <c r="M6" s="7091"/>
      <c r="N6" s="7091"/>
      <c r="O6" s="7091"/>
      <c r="P6" s="7091"/>
      <c r="Q6" s="7091"/>
      <c r="R6" s="7091"/>
      <c r="S6" s="7091"/>
      <c r="T6" s="7091"/>
      <c r="U6" s="7091"/>
      <c r="V6" s="7091"/>
      <c r="W6" s="7091"/>
      <c r="X6" s="7091"/>
      <c r="Y6" s="7091"/>
      <c r="Z6" s="7091"/>
      <c r="AA6" s="9627"/>
      <c r="AB6" s="7601"/>
      <c r="AC6" s="7601"/>
      <c r="AD6" s="7601"/>
      <c r="AE6" s="7601"/>
      <c r="AF6" s="7601"/>
      <c r="AG6" s="2013"/>
      <c r="AH6" s="6005"/>
    </row>
    <row r="7" spans="1:35" ht="11.25" customHeight="1">
      <c r="A7" s="2013"/>
      <c r="B7" s="88"/>
      <c r="C7" s="88"/>
      <c r="D7" s="88"/>
      <c r="E7" s="88"/>
      <c r="F7" s="88"/>
      <c r="G7" s="88"/>
      <c r="H7" s="11472" t="s">
        <v>4456</v>
      </c>
      <c r="I7" s="11473"/>
      <c r="J7" s="11473"/>
      <c r="K7" s="11473"/>
      <c r="L7" s="11473"/>
      <c r="M7" s="11473"/>
      <c r="N7" s="11473"/>
      <c r="O7" s="11473"/>
      <c r="P7" s="11473"/>
      <c r="Q7" s="11473"/>
      <c r="R7" s="11473"/>
      <c r="S7" s="11473"/>
      <c r="T7" s="11473"/>
      <c r="U7" s="11473"/>
      <c r="V7" s="11473"/>
      <c r="W7" s="11473"/>
      <c r="X7" s="11473"/>
      <c r="Y7" s="11473"/>
      <c r="Z7" s="11473"/>
      <c r="AA7" s="11474"/>
      <c r="AB7" s="7601"/>
      <c r="AC7" s="7601"/>
      <c r="AD7" s="7601"/>
      <c r="AE7" s="7601"/>
      <c r="AF7" s="7601"/>
      <c r="AG7" s="2013"/>
    </row>
    <row r="8" spans="1:35" ht="10.5" customHeight="1">
      <c r="A8" s="2013"/>
      <c r="B8" s="229" t="s">
        <v>503</v>
      </c>
      <c r="C8" s="88"/>
      <c r="D8" s="88"/>
      <c r="E8" s="88"/>
      <c r="F8" s="88"/>
      <c r="G8" s="88"/>
      <c r="H8" s="11454" t="s">
        <v>5088</v>
      </c>
      <c r="I8" s="11455"/>
      <c r="J8" s="11455"/>
      <c r="K8" s="11455"/>
      <c r="L8" s="11455"/>
      <c r="M8" s="11455"/>
      <c r="N8" s="11455"/>
      <c r="O8" s="11455"/>
      <c r="P8" s="11455"/>
      <c r="Q8" s="11455"/>
      <c r="R8" s="11455"/>
      <c r="S8" s="11455"/>
      <c r="T8" s="11455"/>
      <c r="U8" s="11455"/>
      <c r="V8" s="11455"/>
      <c r="W8" s="11455"/>
      <c r="X8" s="11455"/>
      <c r="Y8" s="11455"/>
      <c r="Z8" s="11455"/>
      <c r="AA8" s="11456"/>
      <c r="AB8" s="11450" t="s">
        <v>1959</v>
      </c>
      <c r="AC8" s="11451"/>
      <c r="AD8" s="11451"/>
      <c r="AE8" s="9111" t="s">
        <v>4457</v>
      </c>
      <c r="AF8" s="9111"/>
      <c r="AG8" s="2013"/>
    </row>
    <row r="9" spans="1:35" ht="10.5" customHeight="1" thickBot="1">
      <c r="A9" s="2013"/>
      <c r="B9" s="6504" t="s">
        <v>505</v>
      </c>
      <c r="C9" s="6505"/>
      <c r="D9" s="6505"/>
      <c r="E9" s="6505"/>
      <c r="F9" s="6505"/>
      <c r="G9" s="6505"/>
      <c r="H9" s="11457"/>
      <c r="I9" s="11458"/>
      <c r="J9" s="11458"/>
      <c r="K9" s="11458"/>
      <c r="L9" s="11458"/>
      <c r="M9" s="11458"/>
      <c r="N9" s="11458"/>
      <c r="O9" s="11458"/>
      <c r="P9" s="11458"/>
      <c r="Q9" s="11458"/>
      <c r="R9" s="11458"/>
      <c r="S9" s="11458"/>
      <c r="T9" s="11458"/>
      <c r="U9" s="11458"/>
      <c r="V9" s="11458"/>
      <c r="W9" s="11458"/>
      <c r="X9" s="11458"/>
      <c r="Y9" s="11458"/>
      <c r="Z9" s="11458"/>
      <c r="AA9" s="11459"/>
      <c r="AB9" s="11452"/>
      <c r="AC9" s="11453"/>
      <c r="AD9" s="11453"/>
      <c r="AE9" s="11460"/>
      <c r="AF9" s="11460"/>
      <c r="AG9" s="2013"/>
    </row>
    <row r="10" spans="1:35" ht="13.5" thickTop="1">
      <c r="A10" s="2013"/>
      <c r="B10" s="229" t="s">
        <v>1918</v>
      </c>
      <c r="C10" s="88"/>
      <c r="D10" s="88"/>
      <c r="E10" s="88"/>
      <c r="F10" s="88"/>
      <c r="G10" s="88"/>
      <c r="H10" s="88"/>
      <c r="I10" s="88"/>
      <c r="J10" s="88"/>
      <c r="K10" s="88"/>
      <c r="L10" s="88"/>
      <c r="M10" s="88"/>
      <c r="N10" s="88"/>
      <c r="O10" s="88"/>
      <c r="P10" s="88"/>
      <c r="Q10" s="88"/>
      <c r="R10" s="88"/>
      <c r="S10" s="88"/>
      <c r="T10" s="88"/>
      <c r="U10" s="88"/>
      <c r="V10" s="6006" t="s">
        <v>4458</v>
      </c>
      <c r="W10" s="88"/>
      <c r="X10" s="88"/>
      <c r="Y10" s="88"/>
      <c r="Z10" s="2666"/>
      <c r="AA10" s="88"/>
      <c r="AB10" s="88"/>
      <c r="AC10" s="88"/>
      <c r="AD10" s="88"/>
      <c r="AE10" s="88"/>
      <c r="AF10" s="88"/>
      <c r="AG10" s="2013"/>
    </row>
    <row r="11" spans="1:35" ht="16.5" thickBot="1">
      <c r="A11" s="2013"/>
      <c r="B11" s="11436" t="str">
        <f>Names</f>
        <v/>
      </c>
      <c r="C11" s="11437"/>
      <c r="D11" s="11437"/>
      <c r="E11" s="11437"/>
      <c r="F11" s="11437"/>
      <c r="G11" s="11437"/>
      <c r="H11" s="11437"/>
      <c r="I11" s="11437"/>
      <c r="J11" s="11437"/>
      <c r="K11" s="11437"/>
      <c r="L11" s="11437"/>
      <c r="M11" s="11437"/>
      <c r="N11" s="11437"/>
      <c r="O11" s="11437"/>
      <c r="P11" s="11437"/>
      <c r="Q11" s="11437"/>
      <c r="R11" s="11437"/>
      <c r="S11" s="11437"/>
      <c r="T11" s="11437"/>
      <c r="U11" s="11438"/>
      <c r="V11" s="11439">
        <f>IF(NoSSN,"",SS_Yours)</f>
        <v>1010001</v>
      </c>
      <c r="W11" s="11440"/>
      <c r="X11" s="11440"/>
      <c r="Y11" s="11440"/>
      <c r="Z11" s="11440"/>
      <c r="AA11" s="11440"/>
      <c r="AB11" s="11440"/>
      <c r="AC11" s="11440"/>
      <c r="AD11" s="11440"/>
      <c r="AE11" s="11440"/>
      <c r="AF11" s="11440"/>
      <c r="AG11" s="2013"/>
    </row>
    <row r="12" spans="1:35" ht="12.75" customHeight="1">
      <c r="A12" s="2013"/>
      <c r="B12" s="11443" t="s">
        <v>6405</v>
      </c>
      <c r="C12" s="11444"/>
      <c r="D12" s="11444"/>
      <c r="E12" s="11444"/>
      <c r="F12" s="11444"/>
      <c r="G12" s="11444"/>
      <c r="H12" s="11444"/>
      <c r="I12" s="11444"/>
      <c r="J12" s="11444"/>
      <c r="K12" s="11444"/>
      <c r="L12" s="11444"/>
      <c r="M12" s="11444"/>
      <c r="N12" s="11444"/>
      <c r="O12" s="11444"/>
      <c r="P12" s="11444"/>
      <c r="Q12" s="11444"/>
      <c r="R12" s="11444"/>
      <c r="S12" s="11444"/>
      <c r="T12" s="11444"/>
      <c r="U12" s="11444"/>
      <c r="V12" s="11444"/>
      <c r="W12" s="11444"/>
      <c r="X12" s="11444"/>
      <c r="Y12" s="11444"/>
      <c r="Z12" s="11444"/>
      <c r="AA12" s="11444"/>
      <c r="AB12" s="11444"/>
      <c r="AC12" s="11444"/>
      <c r="AD12" s="11444"/>
      <c r="AE12" s="11444"/>
      <c r="AF12" s="11444"/>
      <c r="AG12" s="2013"/>
    </row>
    <row r="13" spans="1:35" ht="12.75" customHeight="1">
      <c r="A13" s="2013"/>
      <c r="B13" s="9174"/>
      <c r="C13" s="9174"/>
      <c r="D13" s="9174"/>
      <c r="E13" s="9174"/>
      <c r="F13" s="9174"/>
      <c r="G13" s="9174"/>
      <c r="H13" s="9174"/>
      <c r="I13" s="9174"/>
      <c r="J13" s="9174"/>
      <c r="K13" s="9174"/>
      <c r="L13" s="9174"/>
      <c r="M13" s="9174"/>
      <c r="N13" s="9174"/>
      <c r="O13" s="9174"/>
      <c r="P13" s="9174"/>
      <c r="Q13" s="9174"/>
      <c r="R13" s="9174"/>
      <c r="S13" s="9174"/>
      <c r="T13" s="9174"/>
      <c r="U13" s="9174"/>
      <c r="V13" s="9174"/>
      <c r="W13" s="9174"/>
      <c r="X13" s="9174"/>
      <c r="Y13" s="9174"/>
      <c r="Z13" s="9174"/>
      <c r="AA13" s="9174"/>
      <c r="AB13" s="9174"/>
      <c r="AC13" s="9174"/>
      <c r="AD13" s="9174"/>
      <c r="AE13" s="9174"/>
      <c r="AF13" s="9174"/>
      <c r="AG13" s="2013"/>
    </row>
    <row r="14" spans="1:35" ht="12.75" customHeight="1">
      <c r="A14" s="2013"/>
      <c r="B14" s="9004"/>
      <c r="C14" s="9004"/>
      <c r="D14" s="9004"/>
      <c r="E14" s="9004"/>
      <c r="F14" s="9004"/>
      <c r="G14" s="9004"/>
      <c r="H14" s="9004"/>
      <c r="I14" s="9004"/>
      <c r="J14" s="9004"/>
      <c r="K14" s="9004"/>
      <c r="L14" s="9004"/>
      <c r="M14" s="9004"/>
      <c r="N14" s="9004"/>
      <c r="O14" s="9004"/>
      <c r="P14" s="9004"/>
      <c r="Q14" s="9004"/>
      <c r="R14" s="9004"/>
      <c r="S14" s="9004"/>
      <c r="T14" s="9004"/>
      <c r="U14" s="9004"/>
      <c r="V14" s="9004"/>
      <c r="W14" s="9004"/>
      <c r="X14" s="9004"/>
      <c r="Y14" s="9004"/>
      <c r="Z14" s="9004"/>
      <c r="AA14" s="9004"/>
      <c r="AB14" s="9004"/>
      <c r="AC14" s="9004"/>
      <c r="AD14" s="9004"/>
      <c r="AE14" s="9004"/>
      <c r="AF14" s="9004"/>
      <c r="AG14" s="2013"/>
    </row>
    <row r="15" spans="1:35" ht="3.75" customHeight="1">
      <c r="A15" s="2013"/>
      <c r="B15" s="88"/>
      <c r="C15" s="88"/>
      <c r="D15" s="88"/>
      <c r="E15" s="88"/>
      <c r="F15" s="88"/>
      <c r="G15" s="88"/>
      <c r="H15" s="88"/>
      <c r="I15" s="88"/>
      <c r="J15" s="88"/>
      <c r="K15" s="88"/>
      <c r="L15" s="88"/>
      <c r="M15" s="88"/>
      <c r="N15" s="88"/>
      <c r="O15" s="88"/>
      <c r="P15" s="88"/>
      <c r="Q15" s="88"/>
      <c r="R15" s="88"/>
      <c r="S15" s="88"/>
      <c r="T15" s="88"/>
      <c r="U15" s="88"/>
      <c r="V15" s="88"/>
      <c r="W15" s="88"/>
      <c r="X15" s="88"/>
      <c r="Y15" s="88"/>
      <c r="Z15" s="88"/>
      <c r="AA15" s="88"/>
      <c r="AB15" s="88"/>
      <c r="AC15" s="88"/>
      <c r="AD15" s="88"/>
      <c r="AE15" s="88"/>
      <c r="AF15" s="88"/>
      <c r="AG15" s="2013"/>
    </row>
    <row r="16" spans="1:35" ht="15">
      <c r="A16" s="2013"/>
      <c r="B16" s="11435" t="s">
        <v>780</v>
      </c>
      <c r="C16" s="9782"/>
      <c r="D16" s="88"/>
      <c r="E16" s="3414" t="s">
        <v>5430</v>
      </c>
      <c r="F16" s="88"/>
      <c r="G16" s="88"/>
      <c r="H16" s="88"/>
      <c r="I16" s="1836" t="s">
        <v>5431</v>
      </c>
      <c r="J16" s="88"/>
      <c r="K16" s="88"/>
      <c r="L16" s="88"/>
      <c r="M16" s="88"/>
      <c r="N16" s="88"/>
      <c r="O16" s="88"/>
      <c r="P16" s="88"/>
      <c r="Q16" s="88"/>
      <c r="R16" s="88"/>
      <c r="S16" s="88"/>
      <c r="T16" s="1836"/>
      <c r="U16" s="88"/>
      <c r="V16" s="88"/>
      <c r="W16" s="88"/>
      <c r="X16" s="1836"/>
      <c r="Y16" s="88"/>
      <c r="Z16" s="88"/>
      <c r="AA16" s="88"/>
      <c r="AB16" s="88"/>
      <c r="AC16" s="88"/>
      <c r="AD16" s="88"/>
      <c r="AE16" s="88"/>
      <c r="AF16" s="88"/>
      <c r="AG16" s="2013" t="b">
        <f>IF(SUM(AG41:AG51)&gt;0,TRUE,FALSE)</f>
        <v>0</v>
      </c>
    </row>
    <row r="17" spans="1:55" ht="12.75" customHeight="1">
      <c r="A17" s="2013"/>
      <c r="B17" s="88"/>
      <c r="C17" s="88"/>
      <c r="D17" s="88"/>
      <c r="E17" s="1836" t="s">
        <v>4459</v>
      </c>
      <c r="F17" s="88"/>
      <c r="G17" s="88"/>
      <c r="H17" s="88"/>
      <c r="I17" s="88"/>
      <c r="J17" s="88"/>
      <c r="K17" s="88"/>
      <c r="L17" s="88"/>
      <c r="M17" s="88"/>
      <c r="N17" s="88"/>
      <c r="O17" s="88"/>
      <c r="P17" s="88"/>
      <c r="Q17" s="88"/>
      <c r="R17" s="88"/>
      <c r="S17" s="88"/>
      <c r="T17" s="1836"/>
      <c r="U17" s="88"/>
      <c r="V17" s="88"/>
      <c r="W17" s="88"/>
      <c r="X17" s="1560"/>
      <c r="Y17" s="88"/>
      <c r="Z17" s="88"/>
      <c r="AA17" s="88"/>
      <c r="AB17" s="88"/>
      <c r="AC17" s="88"/>
      <c r="AD17" s="88"/>
      <c r="AE17" s="88"/>
      <c r="AF17" s="88"/>
      <c r="AG17" s="2013"/>
    </row>
    <row r="18" spans="1:55" s="506" customFormat="1" ht="13.5" customHeight="1">
      <c r="A18" s="6007"/>
      <c r="B18" s="1836"/>
      <c r="C18" s="1836"/>
      <c r="D18" s="1836"/>
      <c r="E18" s="3440" t="s">
        <v>6407</v>
      </c>
      <c r="F18" s="1836"/>
      <c r="G18" s="1836"/>
      <c r="H18" s="1836"/>
      <c r="I18" s="1836"/>
      <c r="J18" s="1836"/>
      <c r="K18" s="1836"/>
      <c r="L18" s="1836"/>
      <c r="M18" s="1836"/>
      <c r="N18" s="1836"/>
      <c r="O18" s="1836"/>
      <c r="P18" s="1836"/>
      <c r="Q18" s="1836"/>
      <c r="R18" s="1836"/>
      <c r="S18" s="1836"/>
      <c r="T18" s="1836"/>
      <c r="U18" s="1836"/>
      <c r="V18" s="1836"/>
      <c r="W18" s="1836"/>
      <c r="X18" s="1836"/>
      <c r="Y18" s="1836"/>
      <c r="Z18" s="1836"/>
      <c r="AA18" s="1836"/>
      <c r="AB18" s="1836"/>
      <c r="AC18" s="1836"/>
      <c r="AD18" s="1836"/>
      <c r="AE18" s="1836"/>
      <c r="AF18" s="1836"/>
      <c r="AG18" s="6007"/>
      <c r="AH18" s="3161"/>
      <c r="AI18" s="3161"/>
    </row>
    <row r="19" spans="1:55" s="506" customFormat="1" ht="13.5" customHeight="1">
      <c r="A19" s="6007"/>
      <c r="B19" s="1836"/>
      <c r="C19" s="1836"/>
      <c r="D19" s="1836"/>
      <c r="E19" s="1836" t="s">
        <v>6408</v>
      </c>
      <c r="F19" s="1836"/>
      <c r="G19" s="1836"/>
      <c r="H19" s="1836"/>
      <c r="I19" s="1836"/>
      <c r="J19" s="1836"/>
      <c r="K19" s="1836"/>
      <c r="L19" s="1836"/>
      <c r="M19" s="1836"/>
      <c r="N19" s="1836"/>
      <c r="O19" s="1836"/>
      <c r="P19" s="1836"/>
      <c r="Q19" s="1836"/>
      <c r="R19" s="1836"/>
      <c r="S19" s="1836"/>
      <c r="T19" s="1836"/>
      <c r="U19" s="1836"/>
      <c r="V19" s="1836"/>
      <c r="W19" s="1836"/>
      <c r="X19" s="1836"/>
      <c r="Y19" s="1836"/>
      <c r="Z19" s="1836"/>
      <c r="AA19" s="1836"/>
      <c r="AB19" s="1836"/>
      <c r="AC19" s="1836"/>
      <c r="AD19" s="1836"/>
      <c r="AE19" s="1836"/>
      <c r="AF19" s="1836"/>
      <c r="AG19" s="6007"/>
      <c r="AH19" s="3161"/>
      <c r="AI19" s="3161"/>
    </row>
    <row r="20" spans="1:55" s="506" customFormat="1" ht="13.5" customHeight="1">
      <c r="A20" s="6007"/>
      <c r="B20" s="6008"/>
      <c r="C20" s="6008"/>
      <c r="D20" s="6008"/>
      <c r="E20" s="6008" t="s">
        <v>6409</v>
      </c>
      <c r="F20" s="6008"/>
      <c r="G20" s="6008"/>
      <c r="H20" s="6008"/>
      <c r="I20" s="6008"/>
      <c r="J20" s="6008"/>
      <c r="K20" s="6008"/>
      <c r="L20" s="6008"/>
      <c r="M20" s="6008"/>
      <c r="N20" s="6008"/>
      <c r="O20" s="6008"/>
      <c r="P20" s="6008"/>
      <c r="Q20" s="6008"/>
      <c r="R20" s="6008"/>
      <c r="S20" s="6008"/>
      <c r="T20" s="6008"/>
      <c r="U20" s="6008"/>
      <c r="V20" s="6008"/>
      <c r="W20" s="6008"/>
      <c r="X20" s="6008"/>
      <c r="Y20" s="6008"/>
      <c r="Z20" s="6008"/>
      <c r="AA20" s="6008"/>
      <c r="AB20" s="6008"/>
      <c r="AC20" s="6008"/>
      <c r="AD20" s="6008"/>
      <c r="AE20" s="6008"/>
      <c r="AF20" s="6008"/>
      <c r="AG20" s="6007"/>
      <c r="AH20" s="3161"/>
      <c r="AI20" s="3161"/>
    </row>
    <row r="21" spans="1:55" ht="14.25">
      <c r="A21" s="2013"/>
      <c r="B21" s="226" t="s">
        <v>6406</v>
      </c>
      <c r="C21" s="247"/>
      <c r="D21" s="247"/>
      <c r="E21" s="247"/>
      <c r="F21" s="247"/>
      <c r="G21" s="247"/>
      <c r="H21" s="247"/>
      <c r="I21" s="247"/>
      <c r="J21" s="247"/>
      <c r="K21" s="1183"/>
      <c r="L21" s="1183"/>
      <c r="M21" s="226" t="str">
        <f>IF($A$35&gt;1,"Check only ONE box.","Check only one box.")</f>
        <v>Check only one box.</v>
      </c>
      <c r="N21" s="226"/>
      <c r="O21" s="247"/>
      <c r="P21" s="247"/>
      <c r="Q21" s="1560"/>
      <c r="R21" s="247"/>
      <c r="S21" s="1836"/>
      <c r="T21" s="1836"/>
      <c r="U21" s="247"/>
      <c r="V21" s="247"/>
      <c r="W21" s="247"/>
      <c r="X21" s="247"/>
      <c r="Y21" s="247"/>
      <c r="Z21" s="247"/>
      <c r="AA21" s="247"/>
      <c r="AB21" s="247"/>
      <c r="AC21" s="247"/>
      <c r="AD21" s="247"/>
      <c r="AE21" s="247"/>
      <c r="AF21" s="6503" t="s">
        <v>4461</v>
      </c>
      <c r="AG21" s="2013"/>
    </row>
    <row r="22" spans="1:55">
      <c r="A22" s="2013"/>
      <c r="B22" s="1560" t="s">
        <v>4462</v>
      </c>
      <c r="C22" s="247"/>
      <c r="D22" s="247"/>
      <c r="E22" s="247"/>
      <c r="F22" s="247"/>
      <c r="G22" s="247"/>
      <c r="H22" s="247"/>
      <c r="I22" s="247"/>
      <c r="J22" s="247"/>
      <c r="K22" s="247"/>
      <c r="L22" s="247"/>
      <c r="M22" s="247"/>
      <c r="N22" s="247"/>
      <c r="O22" s="247"/>
      <c r="P22" s="247"/>
      <c r="Q22" s="247"/>
      <c r="R22" s="247"/>
      <c r="S22" s="247"/>
      <c r="T22" s="247"/>
      <c r="U22" s="247"/>
      <c r="V22" s="247"/>
      <c r="W22" s="247"/>
      <c r="X22" s="247"/>
      <c r="Y22" s="247"/>
      <c r="Z22" s="247"/>
      <c r="AA22" s="247"/>
      <c r="AB22" s="247"/>
      <c r="AC22" s="247"/>
      <c r="AD22" s="247"/>
      <c r="AE22" s="247"/>
      <c r="AF22" s="247"/>
      <c r="AG22" s="2013"/>
      <c r="BA22" s="11475" t="s">
        <v>4463</v>
      </c>
      <c r="BB22" s="8489"/>
      <c r="BC22" s="8469"/>
    </row>
    <row r="23" spans="1:55" ht="12.75" customHeight="1">
      <c r="A23" s="2013"/>
      <c r="B23" s="1560" t="str">
        <f>IF(SpaceUsed_8949A_ST,"ERROR: DO NOT use the space bar to uncheck a box. Use the 'Delete' key.","for one or more of the boxes, complete as many forms with the same box checked as you need.")</f>
        <v>for one or more of the boxes, complete as many forms with the same box checked as you need.</v>
      </c>
      <c r="C23" s="247"/>
      <c r="D23" s="247"/>
      <c r="E23" s="247"/>
      <c r="F23" s="247"/>
      <c r="G23" s="247"/>
      <c r="H23" s="247"/>
      <c r="I23" s="247"/>
      <c r="J23" s="247"/>
      <c r="K23" s="247"/>
      <c r="L23" s="247"/>
      <c r="M23" s="247"/>
      <c r="N23" s="247"/>
      <c r="O23" s="247"/>
      <c r="P23" s="247"/>
      <c r="Q23" s="247"/>
      <c r="R23" s="247"/>
      <c r="S23" s="247"/>
      <c r="T23" s="247"/>
      <c r="U23" s="247"/>
      <c r="V23" s="247"/>
      <c r="W23" s="247"/>
      <c r="X23" s="247"/>
      <c r="Y23" s="247"/>
      <c r="Z23" s="247"/>
      <c r="AA23" s="247"/>
      <c r="AB23" s="247"/>
      <c r="AC23" s="247"/>
      <c r="AD23" s="247"/>
      <c r="AE23" s="247"/>
      <c r="AF23" s="247"/>
      <c r="AG23" s="2013"/>
      <c r="AJ23" s="3809"/>
      <c r="AK23" s="3809"/>
      <c r="AL23" s="3809"/>
      <c r="AM23" s="3809"/>
      <c r="AN23" s="3809"/>
      <c r="AO23" s="3809"/>
      <c r="AP23" s="3809"/>
      <c r="AQ23" s="3809"/>
      <c r="BA23" s="11476" t="s">
        <v>4464</v>
      </c>
      <c r="BB23" s="11476" t="s">
        <v>4465</v>
      </c>
      <c r="BC23" s="11476" t="s">
        <v>4466</v>
      </c>
    </row>
    <row r="24" spans="1:55" ht="4.5" customHeight="1" thickBot="1">
      <c r="A24" s="2013"/>
      <c r="B24" s="247"/>
      <c r="C24" s="247"/>
      <c r="D24" s="247"/>
      <c r="E24" s="247"/>
      <c r="F24" s="247"/>
      <c r="G24" s="247"/>
      <c r="H24" s="247"/>
      <c r="I24" s="247"/>
      <c r="J24" s="247"/>
      <c r="K24" s="247"/>
      <c r="L24" s="247"/>
      <c r="M24" s="247"/>
      <c r="N24" s="247"/>
      <c r="O24" s="247"/>
      <c r="P24" s="247"/>
      <c r="Q24" s="247"/>
      <c r="R24" s="247"/>
      <c r="S24" s="247"/>
      <c r="T24" s="247"/>
      <c r="U24" s="247"/>
      <c r="V24" s="247"/>
      <c r="W24" s="247"/>
      <c r="X24" s="247"/>
      <c r="Y24" s="247"/>
      <c r="Z24" s="247"/>
      <c r="AA24" s="247"/>
      <c r="AB24" s="247"/>
      <c r="AC24" s="247"/>
      <c r="AD24" s="247"/>
      <c r="AE24" s="247"/>
      <c r="AF24" s="247"/>
      <c r="AG24" s="2013"/>
      <c r="BA24" s="11477"/>
      <c r="BB24" s="11477"/>
      <c r="BC24" s="11477"/>
    </row>
    <row r="25" spans="1:55" ht="12" customHeight="1" thickBot="1">
      <c r="A25" s="2013"/>
      <c r="B25" s="1039">
        <f>IF(C25&lt;&gt;"",1,0)</f>
        <v>0</v>
      </c>
      <c r="C25" s="300"/>
      <c r="D25" s="3440" t="s">
        <v>5904</v>
      </c>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013"/>
      <c r="AJ25" s="11381"/>
      <c r="AK25" s="11381"/>
      <c r="AL25" s="11381"/>
      <c r="AM25" s="11381"/>
      <c r="AN25" s="11381"/>
      <c r="AO25" s="11381"/>
      <c r="AP25" s="11381"/>
      <c r="AQ25" s="11381"/>
      <c r="BA25" s="11477"/>
      <c r="BB25" s="11477"/>
      <c r="BC25" s="11477"/>
    </row>
    <row r="26" spans="1:55" ht="4.5" customHeight="1" thickBot="1">
      <c r="A26" s="2013"/>
      <c r="B26" s="1039"/>
      <c r="C26" s="247"/>
      <c r="D26" s="1836"/>
      <c r="E26" s="247"/>
      <c r="F26" s="247"/>
      <c r="G26" s="247"/>
      <c r="H26" s="247"/>
      <c r="I26" s="247"/>
      <c r="J26" s="247"/>
      <c r="K26" s="247"/>
      <c r="L26" s="247"/>
      <c r="M26" s="247"/>
      <c r="N26" s="247"/>
      <c r="O26" s="247"/>
      <c r="P26" s="247"/>
      <c r="Q26" s="247"/>
      <c r="R26" s="247"/>
      <c r="S26" s="247"/>
      <c r="T26" s="247"/>
      <c r="U26" s="247"/>
      <c r="V26" s="247"/>
      <c r="W26" s="247"/>
      <c r="X26" s="247"/>
      <c r="Y26" s="247"/>
      <c r="Z26" s="247"/>
      <c r="AA26" s="247"/>
      <c r="AB26" s="247"/>
      <c r="AC26" s="247"/>
      <c r="AD26" s="247"/>
      <c r="AE26" s="247"/>
      <c r="AF26" s="247"/>
      <c r="AG26" s="2013"/>
      <c r="BA26" s="11477"/>
      <c r="BB26" s="11477"/>
      <c r="BC26" s="11477"/>
    </row>
    <row r="27" spans="1:55" ht="11.25" customHeight="1" thickBot="1">
      <c r="A27" s="2013"/>
      <c r="B27" s="1039">
        <f>IF(C27&lt;&gt;"",1,0)</f>
        <v>0</v>
      </c>
      <c r="C27" s="300"/>
      <c r="D27" s="3440" t="s">
        <v>5905</v>
      </c>
      <c r="E27" s="247"/>
      <c r="F27" s="247"/>
      <c r="G27" s="247"/>
      <c r="H27" s="247"/>
      <c r="I27" s="247"/>
      <c r="J27" s="247"/>
      <c r="K27" s="247"/>
      <c r="L27" s="247"/>
      <c r="M27" s="247"/>
      <c r="N27" s="247"/>
      <c r="O27" s="247"/>
      <c r="P27" s="247"/>
      <c r="Q27" s="247"/>
      <c r="R27" s="247"/>
      <c r="S27" s="247"/>
      <c r="T27" s="247"/>
      <c r="U27" s="247"/>
      <c r="V27" s="247"/>
      <c r="W27" s="247"/>
      <c r="X27" s="247"/>
      <c r="Y27" s="247"/>
      <c r="Z27" s="247"/>
      <c r="AA27" s="247"/>
      <c r="AB27" s="247"/>
      <c r="AC27" s="247"/>
      <c r="AD27" s="247"/>
      <c r="AE27" s="247"/>
      <c r="AF27" s="247"/>
      <c r="AG27" s="2013"/>
      <c r="AJ27" s="11381"/>
      <c r="AK27" s="11381"/>
      <c r="AL27" s="11381"/>
      <c r="AM27" s="11381"/>
      <c r="AN27" s="11381"/>
      <c r="AO27" s="11381"/>
      <c r="AP27" s="11381"/>
      <c r="AQ27" s="11381"/>
      <c r="BA27" s="11477"/>
      <c r="BB27" s="11477"/>
      <c r="BC27" s="11477"/>
    </row>
    <row r="28" spans="1:55" ht="4.5" customHeight="1" thickBot="1">
      <c r="A28" s="2013"/>
      <c r="B28" s="1039"/>
      <c r="C28" s="247"/>
      <c r="D28" s="1836"/>
      <c r="E28" s="247"/>
      <c r="F28" s="247"/>
      <c r="G28" s="247"/>
      <c r="H28" s="247"/>
      <c r="I28" s="247"/>
      <c r="J28" s="247"/>
      <c r="K28" s="247"/>
      <c r="L28" s="247"/>
      <c r="M28" s="247"/>
      <c r="N28" s="247"/>
      <c r="O28" s="247"/>
      <c r="P28" s="247"/>
      <c r="Q28" s="247"/>
      <c r="R28" s="247"/>
      <c r="S28" s="247"/>
      <c r="T28" s="247"/>
      <c r="U28" s="247"/>
      <c r="V28" s="247"/>
      <c r="W28" s="247"/>
      <c r="X28" s="247"/>
      <c r="Y28" s="247"/>
      <c r="Z28" s="247"/>
      <c r="AA28" s="247"/>
      <c r="AB28" s="247"/>
      <c r="AC28" s="247"/>
      <c r="AD28" s="247"/>
      <c r="AE28" s="247"/>
      <c r="AF28" s="247"/>
      <c r="AG28" s="2013"/>
      <c r="BA28" s="11477"/>
      <c r="BB28" s="11477"/>
      <c r="BC28" s="11477"/>
    </row>
    <row r="29" spans="1:55" ht="12" customHeight="1" thickBot="1">
      <c r="A29" s="2013">
        <f>SUM(B25:B29)</f>
        <v>0</v>
      </c>
      <c r="B29" s="1039">
        <f>IF(C29&lt;&gt;"",1,0)</f>
        <v>0</v>
      </c>
      <c r="C29" s="300"/>
      <c r="D29" s="3440" t="s">
        <v>5906</v>
      </c>
      <c r="E29" s="247"/>
      <c r="F29" s="247"/>
      <c r="G29" s="247"/>
      <c r="H29" s="247"/>
      <c r="I29" s="247"/>
      <c r="J29" s="247"/>
      <c r="K29" s="247"/>
      <c r="L29" s="247"/>
      <c r="M29" s="247"/>
      <c r="N29" s="247"/>
      <c r="O29" s="247"/>
      <c r="P29" s="247"/>
      <c r="Q29" s="247"/>
      <c r="R29" s="247"/>
      <c r="S29" s="247"/>
      <c r="T29" s="247"/>
      <c r="U29" s="247"/>
      <c r="V29" s="247"/>
      <c r="W29" s="247"/>
      <c r="X29" s="247"/>
      <c r="Y29" s="247"/>
      <c r="Z29" s="247"/>
      <c r="AA29" s="247"/>
      <c r="AB29" s="247"/>
      <c r="AC29" s="6009"/>
      <c r="AD29" s="6009"/>
      <c r="AE29" s="6010"/>
      <c r="AF29" s="247"/>
      <c r="AG29" s="2013"/>
      <c r="AH29" s="318" t="b">
        <f>OR(F8949DSBOXA=CHAR(32),F8949DSBOXB=CHAR(32),F8949DSBOXC=CHAR(32),F8949DSBOXG=CHAR(32),F8949DSBOXH=CHAR(32),F8949DSBOXI=CHAR(32))</f>
        <v>0</v>
      </c>
      <c r="AJ29" s="11381"/>
      <c r="AK29" s="11381"/>
      <c r="AL29" s="11381"/>
      <c r="AM29" s="11381"/>
      <c r="AN29" s="11381"/>
      <c r="AO29" s="11381"/>
      <c r="AP29" s="11381"/>
      <c r="AQ29" s="11381"/>
      <c r="BA29" s="11477"/>
      <c r="BB29" s="11477"/>
      <c r="BC29" s="11477"/>
    </row>
    <row r="30" spans="1:55" ht="4.5" customHeight="1" thickBot="1">
      <c r="A30" s="2013"/>
      <c r="B30" s="247"/>
      <c r="C30" s="247"/>
      <c r="D30" s="1836"/>
      <c r="E30" s="247"/>
      <c r="F30" s="247"/>
      <c r="G30" s="247"/>
      <c r="H30" s="247"/>
      <c r="I30" s="247"/>
      <c r="J30" s="247"/>
      <c r="K30" s="247"/>
      <c r="L30" s="247"/>
      <c r="M30" s="247"/>
      <c r="N30" s="247"/>
      <c r="O30" s="247"/>
      <c r="P30" s="247"/>
      <c r="Q30" s="247"/>
      <c r="R30" s="247"/>
      <c r="S30" s="247"/>
      <c r="T30" s="247"/>
      <c r="U30" s="247"/>
      <c r="V30" s="247"/>
      <c r="W30" s="247"/>
      <c r="X30" s="247"/>
      <c r="Y30" s="247"/>
      <c r="Z30" s="247"/>
      <c r="AA30" s="247"/>
      <c r="AB30" s="247"/>
      <c r="AC30" s="247"/>
      <c r="AD30" s="247"/>
      <c r="AE30" s="247"/>
      <c r="AF30" s="247"/>
      <c r="AG30" s="2013"/>
      <c r="BA30" s="11477"/>
      <c r="BB30" s="11477"/>
      <c r="BC30" s="11477"/>
    </row>
    <row r="31" spans="1:55" ht="12" customHeight="1" thickBot="1">
      <c r="A31" s="2013"/>
      <c r="B31" s="1039">
        <f>IF(C31&lt;&gt;"",1,0)</f>
        <v>0</v>
      </c>
      <c r="C31" s="300"/>
      <c r="D31" s="3440" t="s">
        <v>5907</v>
      </c>
      <c r="E31" s="247"/>
      <c r="F31" s="247"/>
      <c r="G31" s="247"/>
      <c r="H31" s="247"/>
      <c r="I31" s="247"/>
      <c r="J31" s="247"/>
      <c r="K31" s="247"/>
      <c r="L31" s="247"/>
      <c r="M31" s="247"/>
      <c r="N31" s="247"/>
      <c r="O31" s="247"/>
      <c r="P31" s="247"/>
      <c r="Q31" s="247"/>
      <c r="R31" s="247"/>
      <c r="S31" s="247"/>
      <c r="T31" s="247"/>
      <c r="U31" s="247"/>
      <c r="V31" s="247"/>
      <c r="W31" s="247"/>
      <c r="X31" s="247"/>
      <c r="Y31" s="247"/>
      <c r="Z31" s="247"/>
      <c r="AA31" s="247"/>
      <c r="AB31" s="247"/>
      <c r="AC31" s="247"/>
      <c r="AD31" s="247"/>
      <c r="AE31" s="247"/>
      <c r="AF31" s="247"/>
      <c r="AG31" s="2013"/>
      <c r="AJ31" s="11381"/>
      <c r="AK31" s="11381"/>
      <c r="AL31" s="11381"/>
      <c r="AM31" s="11381"/>
      <c r="AN31" s="11381"/>
      <c r="AO31" s="11381"/>
      <c r="AP31" s="11381"/>
      <c r="AQ31" s="11381"/>
      <c r="BA31" s="11477"/>
      <c r="BB31" s="11477"/>
      <c r="BC31" s="11477"/>
    </row>
    <row r="32" spans="1:55" ht="4.5" customHeight="1" thickBot="1">
      <c r="A32" s="2013"/>
      <c r="B32" s="1039"/>
      <c r="C32" s="247"/>
      <c r="D32" s="1836"/>
      <c r="E32" s="247"/>
      <c r="F32" s="247"/>
      <c r="G32" s="247"/>
      <c r="H32" s="247"/>
      <c r="I32" s="247"/>
      <c r="J32" s="247"/>
      <c r="K32" s="247"/>
      <c r="L32" s="247"/>
      <c r="M32" s="247"/>
      <c r="N32" s="247"/>
      <c r="O32" s="247"/>
      <c r="P32" s="247"/>
      <c r="Q32" s="247"/>
      <c r="R32" s="247"/>
      <c r="S32" s="247"/>
      <c r="T32" s="247"/>
      <c r="U32" s="247"/>
      <c r="V32" s="247"/>
      <c r="W32" s="247"/>
      <c r="X32" s="247"/>
      <c r="Y32" s="247"/>
      <c r="Z32" s="247"/>
      <c r="AA32" s="247"/>
      <c r="AB32" s="247"/>
      <c r="AC32" s="247"/>
      <c r="AD32" s="247"/>
      <c r="AE32" s="247"/>
      <c r="AF32" s="247"/>
      <c r="AG32" s="2013"/>
      <c r="BA32" s="11477"/>
      <c r="BB32" s="11477"/>
      <c r="BC32" s="11477"/>
    </row>
    <row r="33" spans="1:55" ht="11.25" customHeight="1" thickBot="1">
      <c r="A33" s="2013"/>
      <c r="B33" s="1039">
        <f>IF(C33&lt;&gt;"",1,0)</f>
        <v>0</v>
      </c>
      <c r="C33" s="300"/>
      <c r="D33" s="3440" t="s">
        <v>5908</v>
      </c>
      <c r="E33" s="247"/>
      <c r="F33" s="247"/>
      <c r="G33" s="247"/>
      <c r="H33" s="247"/>
      <c r="I33" s="247"/>
      <c r="J33" s="247"/>
      <c r="K33" s="247"/>
      <c r="L33" s="247"/>
      <c r="M33" s="247"/>
      <c r="N33" s="247"/>
      <c r="O33" s="247"/>
      <c r="P33" s="247"/>
      <c r="Q33" s="247"/>
      <c r="R33" s="247"/>
      <c r="S33" s="247"/>
      <c r="T33" s="247"/>
      <c r="U33" s="247"/>
      <c r="V33" s="247"/>
      <c r="W33" s="247"/>
      <c r="X33" s="247"/>
      <c r="Y33" s="247"/>
      <c r="Z33" s="247"/>
      <c r="AA33" s="247"/>
      <c r="AB33" s="247"/>
      <c r="AC33" s="247"/>
      <c r="AD33" s="247"/>
      <c r="AE33" s="247"/>
      <c r="AF33" s="247"/>
      <c r="AG33" s="2013"/>
      <c r="AJ33" s="11381"/>
      <c r="AK33" s="11381"/>
      <c r="AL33" s="11381"/>
      <c r="AM33" s="11381"/>
      <c r="AN33" s="11381"/>
      <c r="AO33" s="11381"/>
      <c r="AP33" s="11381"/>
      <c r="AQ33" s="11381"/>
      <c r="BA33" s="11477"/>
      <c r="BB33" s="11477"/>
      <c r="BC33" s="11477"/>
    </row>
    <row r="34" spans="1:55" ht="4.5" customHeight="1" thickBot="1">
      <c r="A34" s="2013"/>
      <c r="B34" s="1039"/>
      <c r="C34" s="247"/>
      <c r="D34" s="1836"/>
      <c r="E34" s="247"/>
      <c r="F34" s="247"/>
      <c r="G34" s="247"/>
      <c r="H34" s="247"/>
      <c r="I34" s="247"/>
      <c r="J34" s="247"/>
      <c r="K34" s="247"/>
      <c r="L34" s="247"/>
      <c r="M34" s="247"/>
      <c r="N34" s="247"/>
      <c r="O34" s="247"/>
      <c r="P34" s="247"/>
      <c r="Q34" s="247"/>
      <c r="R34" s="247"/>
      <c r="S34" s="247"/>
      <c r="T34" s="247"/>
      <c r="U34" s="247"/>
      <c r="V34" s="247"/>
      <c r="W34" s="247"/>
      <c r="X34" s="247"/>
      <c r="Y34" s="247"/>
      <c r="Z34" s="247"/>
      <c r="AA34" s="247"/>
      <c r="AB34" s="247"/>
      <c r="AC34" s="247"/>
      <c r="AD34" s="247"/>
      <c r="AE34" s="247"/>
      <c r="AF34" s="247"/>
      <c r="AG34" s="2013"/>
      <c r="BA34" s="11477"/>
      <c r="BB34" s="11477"/>
      <c r="BC34" s="11477"/>
    </row>
    <row r="35" spans="1:55" ht="12" customHeight="1" thickBot="1">
      <c r="A35" s="2013">
        <f>SUM(B25:B35)</f>
        <v>0</v>
      </c>
      <c r="B35" s="1039">
        <f>IF(C35&lt;&gt;"",1,0)</f>
        <v>0</v>
      </c>
      <c r="C35" s="300"/>
      <c r="D35" s="3440" t="s">
        <v>5909</v>
      </c>
      <c r="E35" s="247"/>
      <c r="F35" s="247"/>
      <c r="G35" s="247"/>
      <c r="H35" s="247"/>
      <c r="I35" s="247"/>
      <c r="J35" s="247"/>
      <c r="K35" s="247"/>
      <c r="L35" s="247"/>
      <c r="M35" s="247"/>
      <c r="N35" s="247"/>
      <c r="O35" s="247"/>
      <c r="P35" s="247"/>
      <c r="Q35" s="247"/>
      <c r="R35" s="3429"/>
      <c r="S35" s="794"/>
      <c r="T35" s="794"/>
      <c r="U35" s="794"/>
      <c r="V35" s="794"/>
      <c r="W35" s="794"/>
      <c r="X35" s="794"/>
      <c r="Y35" s="794"/>
      <c r="Z35" s="794"/>
      <c r="AA35" s="794"/>
      <c r="AB35" s="3429"/>
      <c r="AC35" s="794"/>
      <c r="AD35" s="794"/>
      <c r="AE35" s="794"/>
      <c r="AF35" s="6011"/>
      <c r="AG35" s="2013"/>
      <c r="AH35" s="318"/>
      <c r="AJ35" s="11381" t="s">
        <v>4467</v>
      </c>
      <c r="AK35" s="11381"/>
      <c r="AL35" s="11381"/>
      <c r="AM35" s="11381"/>
      <c r="AN35" s="11381"/>
      <c r="AO35" s="11381"/>
      <c r="AP35" s="11381"/>
      <c r="AQ35" s="11381"/>
      <c r="BA35" s="11477"/>
      <c r="BB35" s="11477"/>
      <c r="BC35" s="11477"/>
    </row>
    <row r="36" spans="1:55" ht="5.25" customHeight="1">
      <c r="A36" s="2013"/>
      <c r="B36" s="6012"/>
      <c r="C36" s="6013"/>
      <c r="D36" s="6012"/>
      <c r="E36" s="6012"/>
      <c r="F36" s="6012"/>
      <c r="G36" s="6012"/>
      <c r="H36" s="6012"/>
      <c r="I36" s="6012"/>
      <c r="J36" s="6012"/>
      <c r="K36" s="6012"/>
      <c r="L36" s="6012"/>
      <c r="M36" s="6012"/>
      <c r="N36" s="6013"/>
      <c r="O36" s="6012"/>
      <c r="P36" s="6012"/>
      <c r="Q36" s="6012"/>
      <c r="R36" s="6012"/>
      <c r="S36" s="6012"/>
      <c r="T36" s="6012"/>
      <c r="U36" s="6012"/>
      <c r="V36" s="6012"/>
      <c r="W36" s="6012"/>
      <c r="X36" s="6012"/>
      <c r="Y36" s="6013"/>
      <c r="Z36" s="6012"/>
      <c r="AA36" s="6012"/>
      <c r="AB36" s="6012"/>
      <c r="AC36" s="6012"/>
      <c r="AD36" s="6012"/>
      <c r="AE36" s="6012"/>
      <c r="AF36" s="6012"/>
      <c r="AG36" s="2013"/>
      <c r="BA36" s="11477"/>
      <c r="BB36" s="11477"/>
      <c r="BC36" s="11477"/>
    </row>
    <row r="37" spans="1:55" ht="21" customHeight="1">
      <c r="A37" s="2013"/>
      <c r="B37" s="11424">
        <v>1</v>
      </c>
      <c r="C37" s="11428" t="s">
        <v>5894</v>
      </c>
      <c r="D37" s="11429"/>
      <c r="E37" s="11429"/>
      <c r="F37" s="11429"/>
      <c r="G37" s="11429"/>
      <c r="H37" s="11429"/>
      <c r="I37" s="11430"/>
      <c r="J37" s="7366" t="s">
        <v>4468</v>
      </c>
      <c r="K37" s="8481"/>
      <c r="L37" s="11396"/>
      <c r="M37" s="7366" t="s">
        <v>5895</v>
      </c>
      <c r="N37" s="8481"/>
      <c r="O37" s="8481"/>
      <c r="P37" s="11396"/>
      <c r="Q37" s="7366" t="s">
        <v>5896</v>
      </c>
      <c r="R37" s="8481"/>
      <c r="S37" s="8481"/>
      <c r="T37" s="11396"/>
      <c r="U37" s="11388" t="s">
        <v>5897</v>
      </c>
      <c r="V37" s="8460"/>
      <c r="W37" s="8460"/>
      <c r="X37" s="8323"/>
      <c r="Y37" s="11390" t="s">
        <v>4469</v>
      </c>
      <c r="Z37" s="11391"/>
      <c r="AA37" s="11391"/>
      <c r="AB37" s="11392"/>
      <c r="AC37" s="11388" t="s">
        <v>4485</v>
      </c>
      <c r="AD37" s="8460"/>
      <c r="AE37" s="8460"/>
      <c r="AF37" s="8460"/>
      <c r="AG37" s="2013"/>
      <c r="AJ37" s="11461" t="s">
        <v>4470</v>
      </c>
      <c r="AK37" s="11461" t="s">
        <v>4471</v>
      </c>
      <c r="AL37" s="11461" t="s">
        <v>4472</v>
      </c>
      <c r="AM37" s="11461" t="s">
        <v>4473</v>
      </c>
      <c r="AN37" s="11462" t="s">
        <v>4474</v>
      </c>
      <c r="AO37" s="11479" t="s">
        <v>4475</v>
      </c>
      <c r="AP37" s="8339"/>
      <c r="AQ37" s="11461" t="s">
        <v>4476</v>
      </c>
      <c r="BA37" s="11477"/>
      <c r="BB37" s="11477"/>
      <c r="BC37" s="11477"/>
    </row>
    <row r="38" spans="1:55" ht="21" customHeight="1">
      <c r="A38" s="2013"/>
      <c r="B38" s="11425"/>
      <c r="C38" s="7369"/>
      <c r="D38" s="11431"/>
      <c r="E38" s="11431"/>
      <c r="F38" s="11431"/>
      <c r="G38" s="11431"/>
      <c r="H38" s="11431"/>
      <c r="I38" s="11432"/>
      <c r="J38" s="7368"/>
      <c r="K38" s="8299"/>
      <c r="L38" s="11397"/>
      <c r="M38" s="7368"/>
      <c r="N38" s="8299"/>
      <c r="O38" s="8299"/>
      <c r="P38" s="11397"/>
      <c r="Q38" s="7368"/>
      <c r="R38" s="8299"/>
      <c r="S38" s="8299"/>
      <c r="T38" s="11397"/>
      <c r="U38" s="11389"/>
      <c r="V38" s="9500"/>
      <c r="W38" s="9500"/>
      <c r="X38" s="8325"/>
      <c r="Y38" s="11393"/>
      <c r="Z38" s="11394"/>
      <c r="AA38" s="11394"/>
      <c r="AB38" s="11395"/>
      <c r="AC38" s="11389"/>
      <c r="AD38" s="9500"/>
      <c r="AE38" s="9500"/>
      <c r="AF38" s="9500"/>
      <c r="AG38" s="2013"/>
      <c r="AJ38" s="11461"/>
      <c r="AK38" s="11461"/>
      <c r="AL38" s="11461"/>
      <c r="AM38" s="11461"/>
      <c r="AN38" s="11462"/>
      <c r="AO38" s="8457"/>
      <c r="AP38" s="8345"/>
      <c r="AQ38" s="11461"/>
      <c r="BA38" s="11477"/>
      <c r="BB38" s="11477"/>
      <c r="BC38" s="11477"/>
    </row>
    <row r="39" spans="1:55" ht="18" customHeight="1">
      <c r="A39" s="2013"/>
      <c r="B39" s="11426"/>
      <c r="C39" s="11431"/>
      <c r="D39" s="11431"/>
      <c r="E39" s="11431"/>
      <c r="F39" s="11431"/>
      <c r="G39" s="11431"/>
      <c r="H39" s="11431"/>
      <c r="I39" s="11432"/>
      <c r="J39" s="8482"/>
      <c r="K39" s="8299"/>
      <c r="L39" s="11397"/>
      <c r="M39" s="8482"/>
      <c r="N39" s="8299"/>
      <c r="O39" s="8299"/>
      <c r="P39" s="11397"/>
      <c r="Q39" s="8482"/>
      <c r="R39" s="8299"/>
      <c r="S39" s="8299"/>
      <c r="T39" s="11397"/>
      <c r="U39" s="8324"/>
      <c r="V39" s="9500"/>
      <c r="W39" s="9500"/>
      <c r="X39" s="8325"/>
      <c r="Y39" s="8439" t="s">
        <v>4477</v>
      </c>
      <c r="Z39" s="8323"/>
      <c r="AA39" s="8439" t="s">
        <v>4478</v>
      </c>
      <c r="AB39" s="8492"/>
      <c r="AC39" s="8324"/>
      <c r="AD39" s="9500"/>
      <c r="AE39" s="9500"/>
      <c r="AF39" s="9500"/>
      <c r="AG39" s="2013"/>
      <c r="AJ39" s="11461"/>
      <c r="AK39" s="11461"/>
      <c r="AL39" s="11461"/>
      <c r="AM39" s="11461"/>
      <c r="AN39" s="11462"/>
      <c r="AO39" s="8610" t="s">
        <v>4479</v>
      </c>
      <c r="AP39" s="8610" t="s">
        <v>4478</v>
      </c>
      <c r="AQ39" s="11461"/>
      <c r="BA39" s="11477"/>
      <c r="BB39" s="11477"/>
      <c r="BC39" s="11477"/>
    </row>
    <row r="40" spans="1:55" ht="18" customHeight="1">
      <c r="A40" s="2013"/>
      <c r="B40" s="11427"/>
      <c r="C40" s="11433"/>
      <c r="D40" s="11433"/>
      <c r="E40" s="11433"/>
      <c r="F40" s="11433"/>
      <c r="G40" s="11433"/>
      <c r="H40" s="11433"/>
      <c r="I40" s="11434"/>
      <c r="J40" s="8483"/>
      <c r="K40" s="8168"/>
      <c r="L40" s="11398"/>
      <c r="M40" s="8483"/>
      <c r="N40" s="8168"/>
      <c r="O40" s="8168"/>
      <c r="P40" s="11398"/>
      <c r="Q40" s="8483"/>
      <c r="R40" s="8168"/>
      <c r="S40" s="8168"/>
      <c r="T40" s="11398"/>
      <c r="U40" s="8326"/>
      <c r="V40" s="10186"/>
      <c r="W40" s="10186"/>
      <c r="X40" s="8327"/>
      <c r="Y40" s="8326"/>
      <c r="Z40" s="8327"/>
      <c r="AA40" s="7590"/>
      <c r="AB40" s="8494"/>
      <c r="AC40" s="8326"/>
      <c r="AD40" s="10186"/>
      <c r="AE40" s="10186"/>
      <c r="AF40" s="10186"/>
      <c r="AG40" s="2013"/>
      <c r="AJ40" s="11461"/>
      <c r="AK40" s="11461"/>
      <c r="AL40" s="11461"/>
      <c r="AM40" s="11461"/>
      <c r="AN40" s="11462"/>
      <c r="AO40" s="11478"/>
      <c r="AP40" s="11478"/>
      <c r="AQ40" s="11461"/>
      <c r="AZ40" s="185" t="s">
        <v>6739</v>
      </c>
      <c r="BA40" s="11477"/>
      <c r="BB40" s="11477"/>
      <c r="BC40" s="11477"/>
    </row>
    <row r="41" spans="1:55" ht="26.25" customHeight="1">
      <c r="A41" s="2013">
        <f>IF(OR(Q41&lt;&gt;"",U41&lt;&gt;"",AC41&lt;&gt;""),1,0)</f>
        <v>0</v>
      </c>
      <c r="B41" s="11382" t="str">
        <f>IF(AJ41="","",AJ41)</f>
        <v/>
      </c>
      <c r="C41" s="7430"/>
      <c r="D41" s="7430"/>
      <c r="E41" s="7430"/>
      <c r="F41" s="7430"/>
      <c r="G41" s="7430"/>
      <c r="H41" s="7430"/>
      <c r="I41" s="10855"/>
      <c r="J41" s="11383" t="str">
        <f>IF(AK41="","",AK41)</f>
        <v/>
      </c>
      <c r="K41" s="11384"/>
      <c r="L41" s="11384"/>
      <c r="M41" s="11383" t="str">
        <f>IF(AL41="","",AL41)</f>
        <v/>
      </c>
      <c r="N41" s="11399"/>
      <c r="O41" s="11399"/>
      <c r="P41" s="11400"/>
      <c r="Q41" s="8178" t="str">
        <f>IF(AM41="","",AM41)</f>
        <v/>
      </c>
      <c r="R41" s="7375"/>
      <c r="S41" s="7375"/>
      <c r="T41" s="7376"/>
      <c r="U41" s="8178" t="str">
        <f>IF(AN41="","",AN41)</f>
        <v/>
      </c>
      <c r="V41" s="7375"/>
      <c r="W41" s="7375"/>
      <c r="X41" s="7376"/>
      <c r="Y41" s="11387" t="str">
        <f>IF(AO41&lt;&gt;"",AO41,"")</f>
        <v/>
      </c>
      <c r="Z41" s="7336"/>
      <c r="AA41" s="8178" t="str">
        <f>IF(AP41="","",AP41)</f>
        <v/>
      </c>
      <c r="AB41" s="11386"/>
      <c r="AC41" s="11401" t="str">
        <f>IF(AQ41&lt;&gt;"",AQ41,IF(AND(Q41="",U41=""),"",IF(AND(Q41&lt;&gt;"",U41=""),SUM(Q41,AA41),SUM(Q41,-U41,AA41))))</f>
        <v/>
      </c>
      <c r="AD41" s="11402"/>
      <c r="AE41" s="11402"/>
      <c r="AF41" s="11402"/>
      <c r="AG41" s="4271">
        <f>IF(OR(J41="",M41=""),0,IF(OR(BA41,BB41,BC41),0,1))</f>
        <v>0</v>
      </c>
      <c r="AH41" s="6014"/>
      <c r="AI41" s="6014" t="e">
        <f t="shared" ref="AI41:AI51" si="0">M41-J41</f>
        <v>#VALUE!</v>
      </c>
      <c r="AJ41" s="293"/>
      <c r="AK41" s="297"/>
      <c r="AL41" s="297"/>
      <c r="AM41" s="295"/>
      <c r="AN41" s="295"/>
      <c r="AO41" s="296"/>
      <c r="AP41" s="295"/>
      <c r="AQ41" s="294"/>
      <c r="AS41" t="e">
        <f>YEAR(J41)</f>
        <v>#VALUE!</v>
      </c>
      <c r="AT41" t="e">
        <f>MONTH(J41)</f>
        <v>#VALUE!</v>
      </c>
      <c r="AU41" t="e">
        <f>DAY(J41)</f>
        <v>#VALUE!</v>
      </c>
      <c r="AW41" t="e">
        <f>YEAR(M41)</f>
        <v>#VALUE!</v>
      </c>
      <c r="AX41" t="e">
        <f>MONTH(M41)</f>
        <v>#VALUE!</v>
      </c>
      <c r="AY41" t="e">
        <f>DAY(M41)</f>
        <v>#VALUE!</v>
      </c>
      <c r="AZ41" t="e">
        <f>OR(BA41,BB41,BC41)</f>
        <v>#VALUE!</v>
      </c>
      <c r="BA41" t="e">
        <f>AW41=AS41</f>
        <v>#VALUE!</v>
      </c>
      <c r="BB41" t="e">
        <f>AND(AW41=AS41+1,AX41&lt;AT41)</f>
        <v>#VALUE!</v>
      </c>
      <c r="BC41" t="e">
        <f>AND(AW41=AS41+1,AX41=AT41,AY41&lt;=AU41)</f>
        <v>#VALUE!</v>
      </c>
    </row>
    <row r="42" spans="1:55" ht="26.25" customHeight="1">
      <c r="A42" s="2013">
        <f t="shared" ref="A42:A51" si="1">IF(OR(Q42&lt;&gt;"",U42&lt;&gt;"",AC42&lt;&gt;""),1,0)</f>
        <v>0</v>
      </c>
      <c r="B42" s="11382" t="str">
        <f t="shared" ref="B42:B51" si="2">IF(AJ42="","",AJ42)</f>
        <v/>
      </c>
      <c r="C42" s="7430"/>
      <c r="D42" s="7430"/>
      <c r="E42" s="7430"/>
      <c r="F42" s="7430"/>
      <c r="G42" s="7430"/>
      <c r="H42" s="7430"/>
      <c r="I42" s="10855"/>
      <c r="J42" s="11383" t="str">
        <f t="shared" ref="J42:J51" si="3">IF(AK42="","",AK42)</f>
        <v/>
      </c>
      <c r="K42" s="11384"/>
      <c r="L42" s="11384"/>
      <c r="M42" s="11383" t="str">
        <f t="shared" ref="M42:M51" si="4">IF(AL42="","",AL42)</f>
        <v/>
      </c>
      <c r="N42" s="11399"/>
      <c r="O42" s="11399"/>
      <c r="P42" s="11400"/>
      <c r="Q42" s="8178" t="str">
        <f t="shared" ref="Q42:Q51" si="5">IF(AM42="","",AM42)</f>
        <v/>
      </c>
      <c r="R42" s="7375"/>
      <c r="S42" s="7375"/>
      <c r="T42" s="7376"/>
      <c r="U42" s="8178" t="str">
        <f t="shared" ref="U42:U51" si="6">IF(AN42="","",AN42)</f>
        <v/>
      </c>
      <c r="V42" s="7375"/>
      <c r="W42" s="7375"/>
      <c r="X42" s="7376"/>
      <c r="Y42" s="11387" t="str">
        <f>IF(AO42&lt;&gt;"",AO42,"")</f>
        <v/>
      </c>
      <c r="Z42" s="7336"/>
      <c r="AA42" s="8178" t="str">
        <f>IF(AP42="","",AP42)</f>
        <v/>
      </c>
      <c r="AB42" s="11386"/>
      <c r="AC42" s="11401" t="str">
        <f t="shared" ref="AC42:AC51" si="7">IF(AQ42&lt;&gt;"",AQ42,IF(AND(Q42="",U42=""),"",IF(AND(Q42&lt;&gt;"",U42=""),SUM(Q42,AA42),SUM(Q42,-U42,AA42))))</f>
        <v/>
      </c>
      <c r="AD42" s="11402"/>
      <c r="AE42" s="11402"/>
      <c r="AF42" s="11402"/>
      <c r="AG42" s="4271">
        <f t="shared" ref="AG42:AG51" si="8">IF(OR(J42="",M42=""),0,IF(OR(BA42,BB42,BC42),0,1))</f>
        <v>0</v>
      </c>
      <c r="AH42" s="6014"/>
      <c r="AI42" s="6014" t="e">
        <f t="shared" si="0"/>
        <v>#VALUE!</v>
      </c>
      <c r="AJ42" s="293"/>
      <c r="AK42" s="297"/>
      <c r="AL42" s="297"/>
      <c r="AM42" s="295"/>
      <c r="AN42" s="295"/>
      <c r="AO42" s="296"/>
      <c r="AP42" s="295"/>
      <c r="AQ42" s="294"/>
      <c r="AS42" t="e">
        <f t="shared" ref="AS42:AS51" si="9">YEAR(J42)</f>
        <v>#VALUE!</v>
      </c>
      <c r="AT42" t="e">
        <f t="shared" ref="AT42:AT51" si="10">MONTH(J42)</f>
        <v>#VALUE!</v>
      </c>
      <c r="AU42" t="e">
        <f t="shared" ref="AU42:AU51" si="11">DAY(J42)</f>
        <v>#VALUE!</v>
      </c>
      <c r="AW42" t="e">
        <f t="shared" ref="AW42:AW51" si="12">YEAR(M42)</f>
        <v>#VALUE!</v>
      </c>
      <c r="AX42" t="e">
        <f t="shared" ref="AX42:AX51" si="13">MONTH(M42)</f>
        <v>#VALUE!</v>
      </c>
      <c r="AY42" t="e">
        <f t="shared" ref="AY42:AY51" si="14">DAY(M42)</f>
        <v>#VALUE!</v>
      </c>
      <c r="AZ42" t="e">
        <f t="shared" ref="AZ42:AZ51" si="15">OR(BA42,BB42,BC42)</f>
        <v>#VALUE!</v>
      </c>
      <c r="BA42" t="e">
        <f t="shared" ref="BA42:BA51" si="16">AW42=AS42</f>
        <v>#VALUE!</v>
      </c>
      <c r="BB42" t="e">
        <f t="shared" ref="BB42:BB51" si="17">AND(AW42=AS42+1,AX42&lt;AT42)</f>
        <v>#VALUE!</v>
      </c>
      <c r="BC42" t="e">
        <f t="shared" ref="BC42:BC51" si="18">AND(AW42=AS42+1,AX42=AT42,AY42&lt;=AU42)</f>
        <v>#VALUE!</v>
      </c>
    </row>
    <row r="43" spans="1:55" ht="26.25" customHeight="1">
      <c r="A43" s="2013">
        <f t="shared" si="1"/>
        <v>0</v>
      </c>
      <c r="B43" s="11382" t="str">
        <f t="shared" si="2"/>
        <v/>
      </c>
      <c r="C43" s="7430"/>
      <c r="D43" s="7430"/>
      <c r="E43" s="7430"/>
      <c r="F43" s="7430"/>
      <c r="G43" s="7430"/>
      <c r="H43" s="7430"/>
      <c r="I43" s="10855"/>
      <c r="J43" s="11383" t="str">
        <f t="shared" si="3"/>
        <v/>
      </c>
      <c r="K43" s="11384"/>
      <c r="L43" s="11384"/>
      <c r="M43" s="11383" t="str">
        <f t="shared" si="4"/>
        <v/>
      </c>
      <c r="N43" s="11399"/>
      <c r="O43" s="11399"/>
      <c r="P43" s="11400"/>
      <c r="Q43" s="8178" t="str">
        <f t="shared" si="5"/>
        <v/>
      </c>
      <c r="R43" s="7375"/>
      <c r="S43" s="7375"/>
      <c r="T43" s="7376"/>
      <c r="U43" s="8178" t="str">
        <f t="shared" si="6"/>
        <v/>
      </c>
      <c r="V43" s="7375"/>
      <c r="W43" s="7375"/>
      <c r="X43" s="7376"/>
      <c r="Y43" s="11387" t="str">
        <f>IF(AO43&lt;&gt;"",AO43,"")</f>
        <v/>
      </c>
      <c r="Z43" s="7336"/>
      <c r="AA43" s="8178" t="str">
        <f>IF(AP43="","",AP43)</f>
        <v/>
      </c>
      <c r="AB43" s="11386"/>
      <c r="AC43" s="11401" t="str">
        <f t="shared" si="7"/>
        <v/>
      </c>
      <c r="AD43" s="11402"/>
      <c r="AE43" s="11402"/>
      <c r="AF43" s="11402"/>
      <c r="AG43" s="4271">
        <f t="shared" si="8"/>
        <v>0</v>
      </c>
      <c r="AH43" s="6014"/>
      <c r="AI43" s="6014" t="e">
        <f t="shared" si="0"/>
        <v>#VALUE!</v>
      </c>
      <c r="AJ43" s="293"/>
      <c r="AK43" s="297"/>
      <c r="AL43" s="297"/>
      <c r="AM43" s="295"/>
      <c r="AN43" s="295"/>
      <c r="AO43" s="296"/>
      <c r="AP43" s="295"/>
      <c r="AQ43" s="294"/>
      <c r="AS43" t="e">
        <f t="shared" si="9"/>
        <v>#VALUE!</v>
      </c>
      <c r="AT43" t="e">
        <f t="shared" si="10"/>
        <v>#VALUE!</v>
      </c>
      <c r="AU43" t="e">
        <f t="shared" si="11"/>
        <v>#VALUE!</v>
      </c>
      <c r="AW43" t="e">
        <f t="shared" si="12"/>
        <v>#VALUE!</v>
      </c>
      <c r="AX43" t="e">
        <f t="shared" si="13"/>
        <v>#VALUE!</v>
      </c>
      <c r="AY43" t="e">
        <f t="shared" si="14"/>
        <v>#VALUE!</v>
      </c>
      <c r="AZ43" t="e">
        <f t="shared" si="15"/>
        <v>#VALUE!</v>
      </c>
      <c r="BA43" t="e">
        <f t="shared" si="16"/>
        <v>#VALUE!</v>
      </c>
      <c r="BB43" t="e">
        <f t="shared" si="17"/>
        <v>#VALUE!</v>
      </c>
      <c r="BC43" t="e">
        <f t="shared" si="18"/>
        <v>#VALUE!</v>
      </c>
    </row>
    <row r="44" spans="1:55" ht="26.25" customHeight="1">
      <c r="A44" s="2013">
        <f t="shared" si="1"/>
        <v>0</v>
      </c>
      <c r="B44" s="11382" t="str">
        <f t="shared" si="2"/>
        <v/>
      </c>
      <c r="C44" s="7430"/>
      <c r="D44" s="7430"/>
      <c r="E44" s="7430"/>
      <c r="F44" s="7430"/>
      <c r="G44" s="7430"/>
      <c r="H44" s="7430"/>
      <c r="I44" s="10855"/>
      <c r="J44" s="11383" t="str">
        <f t="shared" si="3"/>
        <v/>
      </c>
      <c r="K44" s="11384"/>
      <c r="L44" s="11384"/>
      <c r="M44" s="11383" t="str">
        <f t="shared" si="4"/>
        <v/>
      </c>
      <c r="N44" s="11399"/>
      <c r="O44" s="11399"/>
      <c r="P44" s="11400"/>
      <c r="Q44" s="8178" t="str">
        <f t="shared" si="5"/>
        <v/>
      </c>
      <c r="R44" s="7375"/>
      <c r="S44" s="7375"/>
      <c r="T44" s="7376"/>
      <c r="U44" s="8178" t="str">
        <f t="shared" si="6"/>
        <v/>
      </c>
      <c r="V44" s="7375"/>
      <c r="W44" s="7375"/>
      <c r="X44" s="7376"/>
      <c r="Y44" s="11387" t="str">
        <f t="shared" ref="Y44:Y51" si="19">IF(AO44&lt;&gt;"",AO44,"")</f>
        <v/>
      </c>
      <c r="Z44" s="7336"/>
      <c r="AA44" s="8178" t="str">
        <f t="shared" ref="AA44:AA51" si="20">IF(AP44="","",AP44)</f>
        <v/>
      </c>
      <c r="AB44" s="11386"/>
      <c r="AC44" s="11401" t="str">
        <f t="shared" si="7"/>
        <v/>
      </c>
      <c r="AD44" s="11402"/>
      <c r="AE44" s="11402"/>
      <c r="AF44" s="11402"/>
      <c r="AG44" s="4271">
        <f t="shared" si="8"/>
        <v>0</v>
      </c>
      <c r="AH44" s="6014"/>
      <c r="AI44" s="6014" t="e">
        <f t="shared" si="0"/>
        <v>#VALUE!</v>
      </c>
      <c r="AJ44" s="293"/>
      <c r="AK44" s="297"/>
      <c r="AL44" s="297"/>
      <c r="AM44" s="295"/>
      <c r="AN44" s="295"/>
      <c r="AO44" s="296"/>
      <c r="AP44" s="295"/>
      <c r="AQ44" s="294"/>
      <c r="AS44" t="e">
        <f t="shared" si="9"/>
        <v>#VALUE!</v>
      </c>
      <c r="AT44" t="e">
        <f t="shared" si="10"/>
        <v>#VALUE!</v>
      </c>
      <c r="AU44" t="e">
        <f t="shared" si="11"/>
        <v>#VALUE!</v>
      </c>
      <c r="AW44" t="e">
        <f t="shared" si="12"/>
        <v>#VALUE!</v>
      </c>
      <c r="AX44" t="e">
        <f t="shared" si="13"/>
        <v>#VALUE!</v>
      </c>
      <c r="AY44" t="e">
        <f t="shared" si="14"/>
        <v>#VALUE!</v>
      </c>
      <c r="AZ44" t="e">
        <f t="shared" si="15"/>
        <v>#VALUE!</v>
      </c>
      <c r="BA44" t="e">
        <f t="shared" si="16"/>
        <v>#VALUE!</v>
      </c>
      <c r="BB44" t="e">
        <f t="shared" si="17"/>
        <v>#VALUE!</v>
      </c>
      <c r="BC44" t="e">
        <f t="shared" si="18"/>
        <v>#VALUE!</v>
      </c>
    </row>
    <row r="45" spans="1:55" ht="26.25" customHeight="1">
      <c r="A45" s="2013">
        <f t="shared" si="1"/>
        <v>0</v>
      </c>
      <c r="B45" s="11382" t="str">
        <f t="shared" si="2"/>
        <v/>
      </c>
      <c r="C45" s="7430"/>
      <c r="D45" s="7430"/>
      <c r="E45" s="7430"/>
      <c r="F45" s="7430"/>
      <c r="G45" s="7430"/>
      <c r="H45" s="7430"/>
      <c r="I45" s="10855"/>
      <c r="J45" s="11383" t="str">
        <f t="shared" si="3"/>
        <v/>
      </c>
      <c r="K45" s="11384"/>
      <c r="L45" s="11384"/>
      <c r="M45" s="11383" t="str">
        <f t="shared" si="4"/>
        <v/>
      </c>
      <c r="N45" s="11399"/>
      <c r="O45" s="11399"/>
      <c r="P45" s="11400"/>
      <c r="Q45" s="8178" t="str">
        <f t="shared" si="5"/>
        <v/>
      </c>
      <c r="R45" s="7375"/>
      <c r="S45" s="7375"/>
      <c r="T45" s="7376"/>
      <c r="U45" s="8178" t="str">
        <f t="shared" si="6"/>
        <v/>
      </c>
      <c r="V45" s="7375"/>
      <c r="W45" s="7375"/>
      <c r="X45" s="7376"/>
      <c r="Y45" s="11387" t="str">
        <f t="shared" si="19"/>
        <v/>
      </c>
      <c r="Z45" s="7336"/>
      <c r="AA45" s="8178" t="str">
        <f t="shared" si="20"/>
        <v/>
      </c>
      <c r="AB45" s="11386"/>
      <c r="AC45" s="11401" t="str">
        <f t="shared" si="7"/>
        <v/>
      </c>
      <c r="AD45" s="11402"/>
      <c r="AE45" s="11402"/>
      <c r="AF45" s="11402"/>
      <c r="AG45" s="4271">
        <f t="shared" si="8"/>
        <v>0</v>
      </c>
      <c r="AH45" s="6014"/>
      <c r="AI45" s="6014" t="e">
        <f t="shared" si="0"/>
        <v>#VALUE!</v>
      </c>
      <c r="AJ45" s="293"/>
      <c r="AK45" s="297"/>
      <c r="AL45" s="297"/>
      <c r="AM45" s="295"/>
      <c r="AN45" s="295"/>
      <c r="AO45" s="296"/>
      <c r="AP45" s="295"/>
      <c r="AQ45" s="294"/>
      <c r="AS45" t="e">
        <f t="shared" si="9"/>
        <v>#VALUE!</v>
      </c>
      <c r="AT45" t="e">
        <f t="shared" si="10"/>
        <v>#VALUE!</v>
      </c>
      <c r="AU45" t="e">
        <f t="shared" si="11"/>
        <v>#VALUE!</v>
      </c>
      <c r="AW45" t="e">
        <f t="shared" si="12"/>
        <v>#VALUE!</v>
      </c>
      <c r="AX45" t="e">
        <f t="shared" si="13"/>
        <v>#VALUE!</v>
      </c>
      <c r="AY45" t="e">
        <f t="shared" si="14"/>
        <v>#VALUE!</v>
      </c>
      <c r="AZ45" t="e">
        <f t="shared" si="15"/>
        <v>#VALUE!</v>
      </c>
      <c r="BA45" t="e">
        <f t="shared" si="16"/>
        <v>#VALUE!</v>
      </c>
      <c r="BB45" t="e">
        <f t="shared" si="17"/>
        <v>#VALUE!</v>
      </c>
      <c r="BC45" t="e">
        <f t="shared" si="18"/>
        <v>#VALUE!</v>
      </c>
    </row>
    <row r="46" spans="1:55" ht="26.25" customHeight="1">
      <c r="A46" s="2013">
        <f t="shared" si="1"/>
        <v>0</v>
      </c>
      <c r="B46" s="11382" t="str">
        <f t="shared" si="2"/>
        <v/>
      </c>
      <c r="C46" s="7430"/>
      <c r="D46" s="7430"/>
      <c r="E46" s="7430"/>
      <c r="F46" s="7430"/>
      <c r="G46" s="7430"/>
      <c r="H46" s="7430"/>
      <c r="I46" s="10855"/>
      <c r="J46" s="11383" t="str">
        <f t="shared" si="3"/>
        <v/>
      </c>
      <c r="K46" s="11384"/>
      <c r="L46" s="11384"/>
      <c r="M46" s="11383" t="str">
        <f t="shared" si="4"/>
        <v/>
      </c>
      <c r="N46" s="11399"/>
      <c r="O46" s="11399"/>
      <c r="P46" s="11400"/>
      <c r="Q46" s="8178" t="str">
        <f t="shared" si="5"/>
        <v/>
      </c>
      <c r="R46" s="7375"/>
      <c r="S46" s="7375"/>
      <c r="T46" s="7376"/>
      <c r="U46" s="8178" t="str">
        <f t="shared" si="6"/>
        <v/>
      </c>
      <c r="V46" s="7375"/>
      <c r="W46" s="7375"/>
      <c r="X46" s="7376"/>
      <c r="Y46" s="11387" t="str">
        <f t="shared" si="19"/>
        <v/>
      </c>
      <c r="Z46" s="7336"/>
      <c r="AA46" s="8178" t="str">
        <f t="shared" si="20"/>
        <v/>
      </c>
      <c r="AB46" s="11386"/>
      <c r="AC46" s="11401" t="str">
        <f t="shared" si="7"/>
        <v/>
      </c>
      <c r="AD46" s="11402"/>
      <c r="AE46" s="11402"/>
      <c r="AF46" s="11402"/>
      <c r="AG46" s="4271">
        <f t="shared" si="8"/>
        <v>0</v>
      </c>
      <c r="AH46" s="6014"/>
      <c r="AI46" s="6014" t="e">
        <f t="shared" si="0"/>
        <v>#VALUE!</v>
      </c>
      <c r="AJ46" s="293"/>
      <c r="AK46" s="297"/>
      <c r="AL46" s="297"/>
      <c r="AM46" s="295"/>
      <c r="AN46" s="295"/>
      <c r="AO46" s="296"/>
      <c r="AP46" s="295"/>
      <c r="AQ46" s="294"/>
      <c r="AS46" t="e">
        <f t="shared" si="9"/>
        <v>#VALUE!</v>
      </c>
      <c r="AT46" t="e">
        <f t="shared" si="10"/>
        <v>#VALUE!</v>
      </c>
      <c r="AU46" t="e">
        <f t="shared" si="11"/>
        <v>#VALUE!</v>
      </c>
      <c r="AW46" t="e">
        <f t="shared" si="12"/>
        <v>#VALUE!</v>
      </c>
      <c r="AX46" t="e">
        <f t="shared" si="13"/>
        <v>#VALUE!</v>
      </c>
      <c r="AY46" t="e">
        <f t="shared" si="14"/>
        <v>#VALUE!</v>
      </c>
      <c r="AZ46" t="e">
        <f t="shared" si="15"/>
        <v>#VALUE!</v>
      </c>
      <c r="BA46" t="e">
        <f t="shared" si="16"/>
        <v>#VALUE!</v>
      </c>
      <c r="BB46" t="e">
        <f t="shared" si="17"/>
        <v>#VALUE!</v>
      </c>
      <c r="BC46" t="e">
        <f t="shared" si="18"/>
        <v>#VALUE!</v>
      </c>
    </row>
    <row r="47" spans="1:55" ht="26.25" customHeight="1">
      <c r="A47" s="2013">
        <f t="shared" si="1"/>
        <v>0</v>
      </c>
      <c r="B47" s="11382" t="str">
        <f t="shared" si="2"/>
        <v/>
      </c>
      <c r="C47" s="7430"/>
      <c r="D47" s="7430"/>
      <c r="E47" s="7430"/>
      <c r="F47" s="7430"/>
      <c r="G47" s="7430"/>
      <c r="H47" s="7430"/>
      <c r="I47" s="10855"/>
      <c r="J47" s="11383" t="str">
        <f>IF(AK47="","",AK47)</f>
        <v/>
      </c>
      <c r="K47" s="11384"/>
      <c r="L47" s="11384"/>
      <c r="M47" s="11383" t="str">
        <f>IF(AL47="","",AL47)</f>
        <v/>
      </c>
      <c r="N47" s="11399"/>
      <c r="O47" s="11399"/>
      <c r="P47" s="11400"/>
      <c r="Q47" s="8178" t="str">
        <f t="shared" si="5"/>
        <v/>
      </c>
      <c r="R47" s="7375"/>
      <c r="S47" s="7375"/>
      <c r="T47" s="7376"/>
      <c r="U47" s="8178" t="str">
        <f t="shared" si="6"/>
        <v/>
      </c>
      <c r="V47" s="7375"/>
      <c r="W47" s="7375"/>
      <c r="X47" s="7376"/>
      <c r="Y47" s="11387" t="str">
        <f t="shared" si="19"/>
        <v/>
      </c>
      <c r="Z47" s="7336"/>
      <c r="AA47" s="8178" t="str">
        <f t="shared" si="20"/>
        <v/>
      </c>
      <c r="AB47" s="11386"/>
      <c r="AC47" s="11401" t="str">
        <f t="shared" si="7"/>
        <v/>
      </c>
      <c r="AD47" s="11402"/>
      <c r="AE47" s="11402"/>
      <c r="AF47" s="11402"/>
      <c r="AG47" s="4271">
        <f t="shared" si="8"/>
        <v>0</v>
      </c>
      <c r="AH47" s="6014"/>
      <c r="AI47" s="6014" t="e">
        <f t="shared" si="0"/>
        <v>#VALUE!</v>
      </c>
      <c r="AJ47" s="293"/>
      <c r="AK47" s="297"/>
      <c r="AL47" s="297"/>
      <c r="AM47" s="295"/>
      <c r="AN47" s="295"/>
      <c r="AO47" s="296"/>
      <c r="AP47" s="295"/>
      <c r="AQ47" s="294"/>
      <c r="AS47" t="e">
        <f t="shared" si="9"/>
        <v>#VALUE!</v>
      </c>
      <c r="AT47" t="e">
        <f t="shared" si="10"/>
        <v>#VALUE!</v>
      </c>
      <c r="AU47" t="e">
        <f t="shared" si="11"/>
        <v>#VALUE!</v>
      </c>
      <c r="AW47" t="e">
        <f t="shared" si="12"/>
        <v>#VALUE!</v>
      </c>
      <c r="AX47" t="e">
        <f t="shared" si="13"/>
        <v>#VALUE!</v>
      </c>
      <c r="AY47" t="e">
        <f t="shared" si="14"/>
        <v>#VALUE!</v>
      </c>
      <c r="AZ47" t="e">
        <f t="shared" si="15"/>
        <v>#VALUE!</v>
      </c>
      <c r="BA47" t="e">
        <f t="shared" si="16"/>
        <v>#VALUE!</v>
      </c>
      <c r="BB47" t="e">
        <f t="shared" si="17"/>
        <v>#VALUE!</v>
      </c>
      <c r="BC47" t="e">
        <f t="shared" si="18"/>
        <v>#VALUE!</v>
      </c>
    </row>
    <row r="48" spans="1:55" ht="26.25" customHeight="1">
      <c r="A48" s="2013">
        <f t="shared" si="1"/>
        <v>0</v>
      </c>
      <c r="B48" s="11382" t="str">
        <f t="shared" si="2"/>
        <v/>
      </c>
      <c r="C48" s="7430"/>
      <c r="D48" s="7430"/>
      <c r="E48" s="7430"/>
      <c r="F48" s="7430"/>
      <c r="G48" s="7430"/>
      <c r="H48" s="7430"/>
      <c r="I48" s="10855"/>
      <c r="J48" s="11383" t="str">
        <f t="shared" si="3"/>
        <v/>
      </c>
      <c r="K48" s="11384"/>
      <c r="L48" s="11384"/>
      <c r="M48" s="11383" t="str">
        <f t="shared" si="4"/>
        <v/>
      </c>
      <c r="N48" s="11399"/>
      <c r="O48" s="11399"/>
      <c r="P48" s="11400"/>
      <c r="Q48" s="8178" t="str">
        <f t="shared" si="5"/>
        <v/>
      </c>
      <c r="R48" s="7375"/>
      <c r="S48" s="7375"/>
      <c r="T48" s="7376"/>
      <c r="U48" s="8178" t="str">
        <f t="shared" si="6"/>
        <v/>
      </c>
      <c r="V48" s="7375"/>
      <c r="W48" s="7375"/>
      <c r="X48" s="7376"/>
      <c r="Y48" s="11387" t="str">
        <f t="shared" si="19"/>
        <v/>
      </c>
      <c r="Z48" s="7336"/>
      <c r="AA48" s="8178" t="str">
        <f t="shared" si="20"/>
        <v/>
      </c>
      <c r="AB48" s="11386"/>
      <c r="AC48" s="11401" t="str">
        <f t="shared" si="7"/>
        <v/>
      </c>
      <c r="AD48" s="11402"/>
      <c r="AE48" s="11402"/>
      <c r="AF48" s="11402"/>
      <c r="AG48" s="4271">
        <f t="shared" si="8"/>
        <v>0</v>
      </c>
      <c r="AH48" s="6014"/>
      <c r="AI48" s="6014" t="e">
        <f t="shared" si="0"/>
        <v>#VALUE!</v>
      </c>
      <c r="AJ48" s="293"/>
      <c r="AK48" s="297"/>
      <c r="AL48" s="297"/>
      <c r="AM48" s="295"/>
      <c r="AN48" s="295"/>
      <c r="AO48" s="296"/>
      <c r="AP48" s="295"/>
      <c r="AQ48" s="294"/>
      <c r="AS48" t="e">
        <f t="shared" si="9"/>
        <v>#VALUE!</v>
      </c>
      <c r="AT48" t="e">
        <f t="shared" si="10"/>
        <v>#VALUE!</v>
      </c>
      <c r="AU48" t="e">
        <f t="shared" si="11"/>
        <v>#VALUE!</v>
      </c>
      <c r="AW48" t="e">
        <f t="shared" si="12"/>
        <v>#VALUE!</v>
      </c>
      <c r="AX48" t="e">
        <f t="shared" si="13"/>
        <v>#VALUE!</v>
      </c>
      <c r="AY48" t="e">
        <f t="shared" si="14"/>
        <v>#VALUE!</v>
      </c>
      <c r="AZ48" t="e">
        <f t="shared" si="15"/>
        <v>#VALUE!</v>
      </c>
      <c r="BA48" t="e">
        <f t="shared" si="16"/>
        <v>#VALUE!</v>
      </c>
      <c r="BB48" t="e">
        <f t="shared" si="17"/>
        <v>#VALUE!</v>
      </c>
      <c r="BC48" t="e">
        <f t="shared" si="18"/>
        <v>#VALUE!</v>
      </c>
    </row>
    <row r="49" spans="1:55" ht="26.25" customHeight="1">
      <c r="A49" s="2013">
        <f t="shared" si="1"/>
        <v>0</v>
      </c>
      <c r="B49" s="11382" t="str">
        <f t="shared" si="2"/>
        <v/>
      </c>
      <c r="C49" s="7430"/>
      <c r="D49" s="7430"/>
      <c r="E49" s="7430"/>
      <c r="F49" s="7430"/>
      <c r="G49" s="7430"/>
      <c r="H49" s="7430"/>
      <c r="I49" s="10855"/>
      <c r="J49" s="11383" t="str">
        <f t="shared" si="3"/>
        <v/>
      </c>
      <c r="K49" s="11384"/>
      <c r="L49" s="11384"/>
      <c r="M49" s="11383" t="str">
        <f t="shared" si="4"/>
        <v/>
      </c>
      <c r="N49" s="11399"/>
      <c r="O49" s="11399"/>
      <c r="P49" s="11400"/>
      <c r="Q49" s="8178" t="str">
        <f t="shared" si="5"/>
        <v/>
      </c>
      <c r="R49" s="7375"/>
      <c r="S49" s="7375"/>
      <c r="T49" s="7376"/>
      <c r="U49" s="8178" t="str">
        <f t="shared" si="6"/>
        <v/>
      </c>
      <c r="V49" s="7375"/>
      <c r="W49" s="7375"/>
      <c r="X49" s="7376"/>
      <c r="Y49" s="11387" t="str">
        <f t="shared" si="19"/>
        <v/>
      </c>
      <c r="Z49" s="7336"/>
      <c r="AA49" s="8178" t="str">
        <f t="shared" si="20"/>
        <v/>
      </c>
      <c r="AB49" s="11386"/>
      <c r="AC49" s="11401" t="str">
        <f t="shared" si="7"/>
        <v/>
      </c>
      <c r="AD49" s="11402"/>
      <c r="AE49" s="11402"/>
      <c r="AF49" s="11402"/>
      <c r="AG49" s="4271">
        <f t="shared" si="8"/>
        <v>0</v>
      </c>
      <c r="AH49" s="6014"/>
      <c r="AI49" s="6014" t="e">
        <f t="shared" si="0"/>
        <v>#VALUE!</v>
      </c>
      <c r="AJ49" s="293"/>
      <c r="AK49" s="297"/>
      <c r="AL49" s="297"/>
      <c r="AM49" s="295"/>
      <c r="AN49" s="295"/>
      <c r="AO49" s="296"/>
      <c r="AP49" s="295"/>
      <c r="AQ49" s="294"/>
      <c r="AS49" t="e">
        <f t="shared" si="9"/>
        <v>#VALUE!</v>
      </c>
      <c r="AT49" t="e">
        <f t="shared" si="10"/>
        <v>#VALUE!</v>
      </c>
      <c r="AU49" t="e">
        <f t="shared" si="11"/>
        <v>#VALUE!</v>
      </c>
      <c r="AW49" t="e">
        <f t="shared" si="12"/>
        <v>#VALUE!</v>
      </c>
      <c r="AX49" t="e">
        <f t="shared" si="13"/>
        <v>#VALUE!</v>
      </c>
      <c r="AY49" t="e">
        <f t="shared" si="14"/>
        <v>#VALUE!</v>
      </c>
      <c r="AZ49" t="e">
        <f t="shared" si="15"/>
        <v>#VALUE!</v>
      </c>
      <c r="BA49" t="e">
        <f t="shared" si="16"/>
        <v>#VALUE!</v>
      </c>
      <c r="BB49" t="e">
        <f t="shared" si="17"/>
        <v>#VALUE!</v>
      </c>
      <c r="BC49" t="e">
        <f t="shared" si="18"/>
        <v>#VALUE!</v>
      </c>
    </row>
    <row r="50" spans="1:55" ht="26.25" customHeight="1">
      <c r="A50" s="2013">
        <f t="shared" si="1"/>
        <v>0</v>
      </c>
      <c r="B50" s="11382" t="str">
        <f t="shared" si="2"/>
        <v/>
      </c>
      <c r="C50" s="7430"/>
      <c r="D50" s="7430"/>
      <c r="E50" s="7430"/>
      <c r="F50" s="7430"/>
      <c r="G50" s="7430"/>
      <c r="H50" s="7430"/>
      <c r="I50" s="10855"/>
      <c r="J50" s="11383" t="str">
        <f t="shared" si="3"/>
        <v/>
      </c>
      <c r="K50" s="11384"/>
      <c r="L50" s="11384"/>
      <c r="M50" s="11383" t="str">
        <f t="shared" si="4"/>
        <v/>
      </c>
      <c r="N50" s="11399"/>
      <c r="O50" s="11399"/>
      <c r="P50" s="11400"/>
      <c r="Q50" s="8178" t="str">
        <f t="shared" si="5"/>
        <v/>
      </c>
      <c r="R50" s="7375"/>
      <c r="S50" s="7375"/>
      <c r="T50" s="7376"/>
      <c r="U50" s="8178" t="str">
        <f t="shared" si="6"/>
        <v/>
      </c>
      <c r="V50" s="7375"/>
      <c r="W50" s="7375"/>
      <c r="X50" s="7376"/>
      <c r="Y50" s="11387" t="str">
        <f t="shared" si="19"/>
        <v/>
      </c>
      <c r="Z50" s="7336"/>
      <c r="AA50" s="8178" t="str">
        <f t="shared" si="20"/>
        <v/>
      </c>
      <c r="AB50" s="11386"/>
      <c r="AC50" s="11401" t="str">
        <f t="shared" si="7"/>
        <v/>
      </c>
      <c r="AD50" s="11402"/>
      <c r="AE50" s="11402"/>
      <c r="AF50" s="11402"/>
      <c r="AG50" s="4271">
        <f t="shared" si="8"/>
        <v>0</v>
      </c>
      <c r="AH50" s="6014"/>
      <c r="AI50" s="6014" t="e">
        <f t="shared" si="0"/>
        <v>#VALUE!</v>
      </c>
      <c r="AJ50" s="293"/>
      <c r="AK50" s="297"/>
      <c r="AL50" s="297"/>
      <c r="AM50" s="295"/>
      <c r="AN50" s="295"/>
      <c r="AO50" s="296"/>
      <c r="AP50" s="295"/>
      <c r="AQ50" s="294"/>
      <c r="AS50" t="e">
        <f t="shared" si="9"/>
        <v>#VALUE!</v>
      </c>
      <c r="AT50" t="e">
        <f t="shared" si="10"/>
        <v>#VALUE!</v>
      </c>
      <c r="AU50" t="e">
        <f t="shared" si="11"/>
        <v>#VALUE!</v>
      </c>
      <c r="AW50" t="e">
        <f t="shared" si="12"/>
        <v>#VALUE!</v>
      </c>
      <c r="AX50" t="e">
        <f t="shared" si="13"/>
        <v>#VALUE!</v>
      </c>
      <c r="AY50" t="e">
        <f t="shared" si="14"/>
        <v>#VALUE!</v>
      </c>
      <c r="AZ50" t="e">
        <f t="shared" si="15"/>
        <v>#VALUE!</v>
      </c>
      <c r="BA50" t="e">
        <f t="shared" si="16"/>
        <v>#VALUE!</v>
      </c>
      <c r="BB50" t="e">
        <f t="shared" si="17"/>
        <v>#VALUE!</v>
      </c>
      <c r="BC50" t="e">
        <f t="shared" si="18"/>
        <v>#VALUE!</v>
      </c>
    </row>
    <row r="51" spans="1:55" ht="26.25" customHeight="1">
      <c r="A51" s="2013">
        <f t="shared" si="1"/>
        <v>0</v>
      </c>
      <c r="B51" s="11382" t="str">
        <f t="shared" si="2"/>
        <v/>
      </c>
      <c r="C51" s="7430"/>
      <c r="D51" s="7430"/>
      <c r="E51" s="7430"/>
      <c r="F51" s="7430"/>
      <c r="G51" s="7430"/>
      <c r="H51" s="7430"/>
      <c r="I51" s="10855"/>
      <c r="J51" s="11383" t="str">
        <f t="shared" si="3"/>
        <v/>
      </c>
      <c r="K51" s="11384"/>
      <c r="L51" s="11384"/>
      <c r="M51" s="11383" t="str">
        <f t="shared" si="4"/>
        <v/>
      </c>
      <c r="N51" s="11399"/>
      <c r="O51" s="11399"/>
      <c r="P51" s="11400"/>
      <c r="Q51" s="8178" t="str">
        <f t="shared" si="5"/>
        <v/>
      </c>
      <c r="R51" s="7375"/>
      <c r="S51" s="7375"/>
      <c r="T51" s="7376"/>
      <c r="U51" s="8178" t="str">
        <f t="shared" si="6"/>
        <v/>
      </c>
      <c r="V51" s="7375"/>
      <c r="W51" s="7375"/>
      <c r="X51" s="7376"/>
      <c r="Y51" s="11387" t="str">
        <f t="shared" si="19"/>
        <v/>
      </c>
      <c r="Z51" s="7336"/>
      <c r="AA51" s="8178" t="str">
        <f t="shared" si="20"/>
        <v/>
      </c>
      <c r="AB51" s="11386"/>
      <c r="AC51" s="11401" t="str">
        <f t="shared" si="7"/>
        <v/>
      </c>
      <c r="AD51" s="11402"/>
      <c r="AE51" s="11402"/>
      <c r="AF51" s="11402"/>
      <c r="AG51" s="4271">
        <f t="shared" si="8"/>
        <v>0</v>
      </c>
      <c r="AH51" s="6014"/>
      <c r="AI51" s="6014" t="e">
        <f t="shared" si="0"/>
        <v>#VALUE!</v>
      </c>
      <c r="AJ51" s="293"/>
      <c r="AK51" s="297"/>
      <c r="AL51" s="297"/>
      <c r="AM51" s="295"/>
      <c r="AN51" s="295"/>
      <c r="AO51" s="296"/>
      <c r="AP51" s="295"/>
      <c r="AQ51" s="294"/>
      <c r="AS51" t="e">
        <f t="shared" si="9"/>
        <v>#VALUE!</v>
      </c>
      <c r="AT51" t="e">
        <f t="shared" si="10"/>
        <v>#VALUE!</v>
      </c>
      <c r="AU51" t="e">
        <f t="shared" si="11"/>
        <v>#VALUE!</v>
      </c>
      <c r="AW51" t="e">
        <f t="shared" si="12"/>
        <v>#VALUE!</v>
      </c>
      <c r="AX51" t="e">
        <f t="shared" si="13"/>
        <v>#VALUE!</v>
      </c>
      <c r="AY51" t="e">
        <f t="shared" si="14"/>
        <v>#VALUE!</v>
      </c>
      <c r="AZ51" t="e">
        <f t="shared" si="15"/>
        <v>#VALUE!</v>
      </c>
      <c r="BA51" t="e">
        <f t="shared" si="16"/>
        <v>#VALUE!</v>
      </c>
      <c r="BB51" t="e">
        <f t="shared" si="17"/>
        <v>#VALUE!</v>
      </c>
      <c r="BC51" t="e">
        <f t="shared" si="18"/>
        <v>#VALUE!</v>
      </c>
    </row>
    <row r="52" spans="1:55" ht="12" customHeight="1">
      <c r="A52" s="2013">
        <f>SUM(A41:A51)</f>
        <v>0</v>
      </c>
      <c r="B52" s="11441">
        <v>2</v>
      </c>
      <c r="C52" s="11421" t="s">
        <v>6416</v>
      </c>
      <c r="D52" s="11422"/>
      <c r="E52" s="11422"/>
      <c r="F52" s="11422"/>
      <c r="G52" s="11422"/>
      <c r="H52" s="11422"/>
      <c r="I52" s="11422"/>
      <c r="J52" s="11422"/>
      <c r="K52" s="11422"/>
      <c r="L52" s="11422"/>
      <c r="M52" s="11422"/>
      <c r="N52" s="11422"/>
      <c r="O52" s="11422"/>
      <c r="P52" s="11422"/>
      <c r="Q52" s="11409" t="str">
        <f>IF(A52=0,"",ROUND(SUM(Q41:Q51),0))</f>
        <v/>
      </c>
      <c r="R52" s="11410"/>
      <c r="S52" s="11410"/>
      <c r="T52" s="11411"/>
      <c r="U52" s="11409" t="str">
        <f>IF(A52=0,"",ROUND(SUM(U41:U51),0))</f>
        <v/>
      </c>
      <c r="V52" s="11410"/>
      <c r="W52" s="11410"/>
      <c r="X52" s="11411"/>
      <c r="Y52" s="11403"/>
      <c r="Z52" s="11404"/>
      <c r="AA52" s="11409" t="str">
        <f>IF(A52=0,"",ROUND(SUM(AA41:AA51),0))</f>
        <v/>
      </c>
      <c r="AB52" s="11411"/>
      <c r="AC52" s="11409" t="str">
        <f>IF(A52=0,"",ROUND(SUM(AC41:AC51),0))</f>
        <v/>
      </c>
      <c r="AD52" s="11410"/>
      <c r="AE52" s="11410"/>
      <c r="AF52" s="11410"/>
      <c r="AG52" s="2013"/>
    </row>
    <row r="53" spans="1:55" ht="12" customHeight="1">
      <c r="A53" s="2013"/>
      <c r="B53" s="11442"/>
      <c r="C53" s="11423"/>
      <c r="D53" s="11423"/>
      <c r="E53" s="11423"/>
      <c r="F53" s="11423"/>
      <c r="G53" s="11423"/>
      <c r="H53" s="11423"/>
      <c r="I53" s="11423"/>
      <c r="J53" s="11423"/>
      <c r="K53" s="11423"/>
      <c r="L53" s="11423"/>
      <c r="M53" s="11423"/>
      <c r="N53" s="11423"/>
      <c r="O53" s="11423"/>
      <c r="P53" s="11423"/>
      <c r="Q53" s="11412"/>
      <c r="R53" s="11413"/>
      <c r="S53" s="11413"/>
      <c r="T53" s="11414"/>
      <c r="U53" s="11412"/>
      <c r="V53" s="11413"/>
      <c r="W53" s="11413"/>
      <c r="X53" s="11414"/>
      <c r="Y53" s="11405"/>
      <c r="Z53" s="11406"/>
      <c r="AA53" s="11412"/>
      <c r="AB53" s="11414"/>
      <c r="AC53" s="11412"/>
      <c r="AD53" s="11413"/>
      <c r="AE53" s="11413"/>
      <c r="AF53" s="11413"/>
      <c r="AG53" s="2013"/>
    </row>
    <row r="54" spans="1:55" ht="12" customHeight="1">
      <c r="A54" s="2013"/>
      <c r="B54" s="11442"/>
      <c r="C54" s="11423"/>
      <c r="D54" s="11423"/>
      <c r="E54" s="11423"/>
      <c r="F54" s="11423"/>
      <c r="G54" s="11423"/>
      <c r="H54" s="11423"/>
      <c r="I54" s="11423"/>
      <c r="J54" s="11423"/>
      <c r="K54" s="11423"/>
      <c r="L54" s="11423"/>
      <c r="M54" s="11423"/>
      <c r="N54" s="11423"/>
      <c r="O54" s="11423"/>
      <c r="P54" s="11423"/>
      <c r="Q54" s="11412"/>
      <c r="R54" s="11413"/>
      <c r="S54" s="11413"/>
      <c r="T54" s="11414"/>
      <c r="U54" s="11412"/>
      <c r="V54" s="11413"/>
      <c r="W54" s="11413"/>
      <c r="X54" s="11414"/>
      <c r="Y54" s="11405"/>
      <c r="Z54" s="11406"/>
      <c r="AA54" s="11412"/>
      <c r="AB54" s="11414"/>
      <c r="AC54" s="11412"/>
      <c r="AD54" s="11413"/>
      <c r="AE54" s="11413"/>
      <c r="AF54" s="11413"/>
      <c r="AG54" s="2013"/>
    </row>
    <row r="55" spans="1:55" ht="12" customHeight="1">
      <c r="A55" s="2013"/>
      <c r="B55" s="11442"/>
      <c r="C55" s="11423"/>
      <c r="D55" s="11423"/>
      <c r="E55" s="11423"/>
      <c r="F55" s="11423"/>
      <c r="G55" s="11423"/>
      <c r="H55" s="11423"/>
      <c r="I55" s="11423"/>
      <c r="J55" s="11423"/>
      <c r="K55" s="11423"/>
      <c r="L55" s="11423"/>
      <c r="M55" s="11423"/>
      <c r="N55" s="11423"/>
      <c r="O55" s="11423"/>
      <c r="P55" s="11423"/>
      <c r="Q55" s="11412"/>
      <c r="R55" s="11413"/>
      <c r="S55" s="11413"/>
      <c r="T55" s="11414"/>
      <c r="U55" s="11412"/>
      <c r="V55" s="11413"/>
      <c r="W55" s="11413"/>
      <c r="X55" s="11414"/>
      <c r="Y55" s="11405"/>
      <c r="Z55" s="11406"/>
      <c r="AA55" s="11412"/>
      <c r="AB55" s="11414"/>
      <c r="AC55" s="11412"/>
      <c r="AD55" s="11413"/>
      <c r="AE55" s="11413"/>
      <c r="AF55" s="11413"/>
      <c r="AG55" s="2013"/>
    </row>
    <row r="56" spans="1:55" ht="12" customHeight="1">
      <c r="A56" s="2013"/>
      <c r="B56" s="11442"/>
      <c r="C56" s="11423"/>
      <c r="D56" s="11423"/>
      <c r="E56" s="11423"/>
      <c r="F56" s="11423"/>
      <c r="G56" s="11423"/>
      <c r="H56" s="11423"/>
      <c r="I56" s="11423"/>
      <c r="J56" s="11423"/>
      <c r="K56" s="11423"/>
      <c r="L56" s="11423"/>
      <c r="M56" s="11423"/>
      <c r="N56" s="11423"/>
      <c r="O56" s="11423"/>
      <c r="P56" s="11423"/>
      <c r="Q56" s="11415"/>
      <c r="R56" s="11416"/>
      <c r="S56" s="11416"/>
      <c r="T56" s="11417"/>
      <c r="U56" s="11415"/>
      <c r="V56" s="11416"/>
      <c r="W56" s="11416"/>
      <c r="X56" s="11417"/>
      <c r="Y56" s="11407"/>
      <c r="Z56" s="11408"/>
      <c r="AA56" s="11415"/>
      <c r="AB56" s="11417"/>
      <c r="AC56" s="11412"/>
      <c r="AD56" s="11413"/>
      <c r="AE56" s="11413"/>
      <c r="AF56" s="11413"/>
      <c r="AG56" s="2013"/>
    </row>
    <row r="57" spans="1:55" ht="25.5" customHeight="1" thickBot="1">
      <c r="A57" s="2013"/>
      <c r="B57" s="11418" t="s">
        <v>6415</v>
      </c>
      <c r="C57" s="11419"/>
      <c r="D57" s="11419"/>
      <c r="E57" s="11419"/>
      <c r="F57" s="11419"/>
      <c r="G57" s="11419"/>
      <c r="H57" s="11419"/>
      <c r="I57" s="11419"/>
      <c r="J57" s="11419"/>
      <c r="K57" s="11419"/>
      <c r="L57" s="11419"/>
      <c r="M57" s="11419"/>
      <c r="N57" s="11419"/>
      <c r="O57" s="11419"/>
      <c r="P57" s="11419"/>
      <c r="Q57" s="11419"/>
      <c r="R57" s="11419"/>
      <c r="S57" s="11419"/>
      <c r="T57" s="11419"/>
      <c r="U57" s="11420"/>
      <c r="V57" s="11420"/>
      <c r="W57" s="11420"/>
      <c r="X57" s="11420"/>
      <c r="Y57" s="11419"/>
      <c r="Z57" s="11419"/>
      <c r="AA57" s="11419"/>
      <c r="AB57" s="11419"/>
      <c r="AC57" s="11419"/>
      <c r="AD57" s="11419"/>
      <c r="AE57" s="11419"/>
      <c r="AF57" s="11419"/>
      <c r="AG57" s="2013"/>
      <c r="AJ57" s="329"/>
    </row>
    <row r="58" spans="1:55" ht="16.5" thickTop="1">
      <c r="A58" s="2013"/>
      <c r="B58" s="6015" t="s">
        <v>865</v>
      </c>
      <c r="C58" s="88"/>
      <c r="D58" s="88"/>
      <c r="E58" s="88"/>
      <c r="F58" s="88"/>
      <c r="G58" s="88"/>
      <c r="H58" s="88"/>
      <c r="I58" s="88"/>
      <c r="J58" s="88"/>
      <c r="K58" s="88"/>
      <c r="L58" s="88"/>
      <c r="M58" s="88"/>
      <c r="N58" s="88"/>
      <c r="O58" s="88"/>
      <c r="P58" s="88"/>
      <c r="Q58" s="88"/>
      <c r="R58" s="88"/>
      <c r="S58" s="88"/>
      <c r="T58" s="88"/>
      <c r="U58" s="3931" t="s">
        <v>4480</v>
      </c>
      <c r="V58" s="88"/>
      <c r="W58" s="88"/>
      <c r="X58" s="88"/>
      <c r="Y58" s="88"/>
      <c r="Z58" s="88"/>
      <c r="AA58" s="2052" t="s">
        <v>4481</v>
      </c>
      <c r="AB58" s="6016" t="str">
        <f>"("&amp;TaxYear&amp;")"</f>
        <v>(2025)</v>
      </c>
      <c r="AC58" s="88"/>
      <c r="AD58" s="2052"/>
      <c r="AE58" s="88"/>
      <c r="AF58" s="6016" t="s">
        <v>6418</v>
      </c>
      <c r="AG58" s="2013"/>
    </row>
    <row r="59" spans="1:55" ht="15.75">
      <c r="A59" s="2013"/>
      <c r="B59" s="1931" t="str">
        <f>"Form 8949 ("&amp;TaxYear&amp;")"</f>
        <v>Form 8949 (2025)</v>
      </c>
      <c r="C59" s="2432"/>
      <c r="D59" s="2432"/>
      <c r="E59" s="2432"/>
      <c r="F59" s="2432"/>
      <c r="G59" s="2432"/>
      <c r="H59" s="2432"/>
      <c r="I59" s="2432"/>
      <c r="J59" s="2432"/>
      <c r="K59" s="2432"/>
      <c r="L59" s="2432"/>
      <c r="M59" s="2432"/>
      <c r="N59" s="2432"/>
      <c r="O59" s="2432"/>
      <c r="P59" s="2432"/>
      <c r="Q59" s="2432"/>
      <c r="R59" s="2432"/>
      <c r="S59" s="2432"/>
      <c r="T59" s="2432"/>
      <c r="U59" s="2432"/>
      <c r="V59" s="1931" t="s">
        <v>4482</v>
      </c>
      <c r="W59" s="2432"/>
      <c r="X59" s="2432"/>
      <c r="Y59" s="2432"/>
      <c r="Z59" s="2432"/>
      <c r="AA59" s="2432"/>
      <c r="AB59" s="2432"/>
      <c r="AC59" s="2432"/>
      <c r="AD59" s="2432"/>
      <c r="AE59" s="2432"/>
      <c r="AF59" s="5730" t="s">
        <v>867</v>
      </c>
      <c r="AG59" s="2013"/>
    </row>
    <row r="60" spans="1:55">
      <c r="A60" s="2013"/>
      <c r="B60" s="229" t="s">
        <v>4483</v>
      </c>
      <c r="C60" s="88"/>
      <c r="D60" s="88"/>
      <c r="E60" s="88"/>
      <c r="F60" s="88"/>
      <c r="G60" s="88"/>
      <c r="H60" s="88"/>
      <c r="I60" s="88"/>
      <c r="J60" s="88"/>
      <c r="K60" s="88"/>
      <c r="L60" s="88"/>
      <c r="M60" s="88"/>
      <c r="N60" s="88"/>
      <c r="O60" s="88"/>
      <c r="P60" s="88"/>
      <c r="Q60" s="88"/>
      <c r="R60" s="88"/>
      <c r="S60" s="88"/>
      <c r="T60" s="88"/>
      <c r="U60" s="88"/>
      <c r="V60" s="6006" t="s">
        <v>4458</v>
      </c>
      <c r="W60" s="88"/>
      <c r="X60" s="88"/>
      <c r="Y60" s="88"/>
      <c r="Z60" s="2666"/>
      <c r="AA60" s="88"/>
      <c r="AB60" s="88"/>
      <c r="AC60" s="88"/>
      <c r="AD60" s="88"/>
      <c r="AE60" s="88"/>
      <c r="AF60" s="88"/>
      <c r="AG60" s="2013"/>
    </row>
    <row r="61" spans="1:55" ht="16.5" thickBot="1">
      <c r="A61" s="2013"/>
      <c r="B61" s="11436" t="str">
        <f>Names</f>
        <v/>
      </c>
      <c r="C61" s="11437"/>
      <c r="D61" s="11437"/>
      <c r="E61" s="11437"/>
      <c r="F61" s="11437"/>
      <c r="G61" s="11437"/>
      <c r="H61" s="11437"/>
      <c r="I61" s="11437"/>
      <c r="J61" s="11437"/>
      <c r="K61" s="11437"/>
      <c r="L61" s="11437"/>
      <c r="M61" s="11437"/>
      <c r="N61" s="11437"/>
      <c r="O61" s="11437"/>
      <c r="P61" s="11437"/>
      <c r="Q61" s="11437"/>
      <c r="R61" s="11437"/>
      <c r="S61" s="11437"/>
      <c r="T61" s="11437"/>
      <c r="U61" s="11438"/>
      <c r="V61" s="11439">
        <f>IF(NoSSN,"",SS_Yours)</f>
        <v>1010001</v>
      </c>
      <c r="W61" s="11440"/>
      <c r="X61" s="11440"/>
      <c r="Y61" s="11440"/>
      <c r="Z61" s="11440"/>
      <c r="AA61" s="11440"/>
      <c r="AB61" s="11440"/>
      <c r="AC61" s="11440"/>
      <c r="AD61" s="11440"/>
      <c r="AE61" s="11440"/>
      <c r="AF61" s="11440"/>
      <c r="AG61" s="2013"/>
    </row>
    <row r="62" spans="1:55" ht="12.75" customHeight="1">
      <c r="A62" s="2013"/>
      <c r="B62" s="11443" t="s">
        <v>6410</v>
      </c>
      <c r="C62" s="11444"/>
      <c r="D62" s="11444"/>
      <c r="E62" s="11444"/>
      <c r="F62" s="11444"/>
      <c r="G62" s="11444"/>
      <c r="H62" s="11444"/>
      <c r="I62" s="11444"/>
      <c r="J62" s="11444"/>
      <c r="K62" s="11444"/>
      <c r="L62" s="11444"/>
      <c r="M62" s="11444"/>
      <c r="N62" s="11444"/>
      <c r="O62" s="11444"/>
      <c r="P62" s="11444"/>
      <c r="Q62" s="11444"/>
      <c r="R62" s="11444"/>
      <c r="S62" s="11444"/>
      <c r="T62" s="11444"/>
      <c r="U62" s="11444"/>
      <c r="V62" s="11444"/>
      <c r="W62" s="11444"/>
      <c r="X62" s="11444"/>
      <c r="Y62" s="11444"/>
      <c r="Z62" s="11444"/>
      <c r="AA62" s="11444"/>
      <c r="AB62" s="11444"/>
      <c r="AC62" s="11444"/>
      <c r="AD62" s="11444"/>
      <c r="AE62" s="11444"/>
      <c r="AF62" s="11444"/>
      <c r="AG62" s="2013"/>
    </row>
    <row r="63" spans="1:55" ht="12.75" customHeight="1">
      <c r="A63" s="2013"/>
      <c r="B63" s="9174"/>
      <c r="C63" s="9174"/>
      <c r="D63" s="9174"/>
      <c r="E63" s="9174"/>
      <c r="F63" s="9174"/>
      <c r="G63" s="9174"/>
      <c r="H63" s="9174"/>
      <c r="I63" s="9174"/>
      <c r="J63" s="9174"/>
      <c r="K63" s="9174"/>
      <c r="L63" s="9174"/>
      <c r="M63" s="9174"/>
      <c r="N63" s="9174"/>
      <c r="O63" s="9174"/>
      <c r="P63" s="9174"/>
      <c r="Q63" s="9174"/>
      <c r="R63" s="9174"/>
      <c r="S63" s="9174"/>
      <c r="T63" s="9174"/>
      <c r="U63" s="9174"/>
      <c r="V63" s="9174"/>
      <c r="W63" s="9174"/>
      <c r="X63" s="9174"/>
      <c r="Y63" s="9174"/>
      <c r="Z63" s="9174"/>
      <c r="AA63" s="9174"/>
      <c r="AB63" s="9174"/>
      <c r="AC63" s="9174"/>
      <c r="AD63" s="9174"/>
      <c r="AE63" s="9174"/>
      <c r="AF63" s="9174"/>
      <c r="AG63" s="2013"/>
    </row>
    <row r="64" spans="1:55" ht="12.75" customHeight="1">
      <c r="A64" s="2013"/>
      <c r="B64" s="9004"/>
      <c r="C64" s="9004"/>
      <c r="D64" s="9004"/>
      <c r="E64" s="9004"/>
      <c r="F64" s="9004"/>
      <c r="G64" s="9004"/>
      <c r="H64" s="9004"/>
      <c r="I64" s="9004"/>
      <c r="J64" s="9004"/>
      <c r="K64" s="9004"/>
      <c r="L64" s="9004"/>
      <c r="M64" s="9004"/>
      <c r="N64" s="9004"/>
      <c r="O64" s="9004"/>
      <c r="P64" s="9004"/>
      <c r="Q64" s="9004"/>
      <c r="R64" s="9004"/>
      <c r="S64" s="9004"/>
      <c r="T64" s="9004"/>
      <c r="U64" s="9004"/>
      <c r="V64" s="9004"/>
      <c r="W64" s="9004"/>
      <c r="X64" s="9004"/>
      <c r="Y64" s="9004"/>
      <c r="Z64" s="9004"/>
      <c r="AA64" s="9004"/>
      <c r="AB64" s="9004"/>
      <c r="AC64" s="9004"/>
      <c r="AD64" s="9004"/>
      <c r="AE64" s="9004"/>
      <c r="AF64" s="9004"/>
      <c r="AG64" s="2013"/>
    </row>
    <row r="65" spans="1:55" ht="3.75" customHeight="1">
      <c r="A65" s="2013"/>
      <c r="B65" s="88"/>
      <c r="C65" s="88"/>
      <c r="D65" s="88"/>
      <c r="E65" s="88"/>
      <c r="F65" s="88"/>
      <c r="G65" s="88"/>
      <c r="H65" s="88"/>
      <c r="I65" s="88"/>
      <c r="J65" s="88"/>
      <c r="K65" s="88"/>
      <c r="L65" s="88"/>
      <c r="M65" s="88"/>
      <c r="N65" s="88"/>
      <c r="O65" s="88"/>
      <c r="P65" s="88"/>
      <c r="Q65" s="88"/>
      <c r="R65" s="88"/>
      <c r="S65" s="88"/>
      <c r="T65" s="88"/>
      <c r="U65" s="88"/>
      <c r="V65" s="88"/>
      <c r="W65" s="88"/>
      <c r="X65" s="88"/>
      <c r="Y65" s="88"/>
      <c r="Z65" s="88"/>
      <c r="AA65" s="88"/>
      <c r="AB65" s="88"/>
      <c r="AC65" s="88"/>
      <c r="AD65" s="88"/>
      <c r="AE65" s="88"/>
      <c r="AF65" s="88"/>
      <c r="AG65" s="2013"/>
    </row>
    <row r="66" spans="1:55" ht="15">
      <c r="A66" s="2013"/>
      <c r="B66" s="11435" t="s">
        <v>868</v>
      </c>
      <c r="C66" s="9782"/>
      <c r="D66" s="88"/>
      <c r="E66" s="3414" t="s">
        <v>5432</v>
      </c>
      <c r="F66" s="1836"/>
      <c r="G66" s="1836"/>
      <c r="H66" s="1836"/>
      <c r="I66" s="1836" t="s">
        <v>5433</v>
      </c>
      <c r="J66" s="1836"/>
      <c r="K66" s="1836"/>
      <c r="L66" s="1836"/>
      <c r="M66" s="1836"/>
      <c r="N66" s="1836"/>
      <c r="O66" s="1836"/>
      <c r="P66" s="3414"/>
      <c r="Q66" s="1836"/>
      <c r="R66" s="1836"/>
      <c r="S66" s="1836"/>
      <c r="T66" s="1836"/>
      <c r="U66" s="1836"/>
      <c r="V66" s="1836"/>
      <c r="W66" s="1836"/>
      <c r="X66" s="1836"/>
      <c r="Y66" s="1836"/>
      <c r="Z66" s="1836"/>
      <c r="AA66" s="1836"/>
      <c r="AB66" s="1836"/>
      <c r="AC66" s="1836"/>
      <c r="AD66" s="1836"/>
      <c r="AE66" s="1836"/>
      <c r="AF66" s="1836"/>
      <c r="AG66" s="2013" t="b">
        <f>IF(SUM(AG91:AG101)&gt;0,TRUE,FALSE)</f>
        <v>0</v>
      </c>
    </row>
    <row r="67" spans="1:55" ht="12.75" customHeight="1">
      <c r="A67" s="2013"/>
      <c r="B67" s="88"/>
      <c r="C67" s="88"/>
      <c r="D67" s="88"/>
      <c r="E67" s="1836" t="s">
        <v>4484</v>
      </c>
      <c r="F67" s="1836"/>
      <c r="G67" s="1836"/>
      <c r="H67" s="1836"/>
      <c r="I67" s="1836"/>
      <c r="J67" s="1836"/>
      <c r="K67" s="1836"/>
      <c r="L67" s="1836"/>
      <c r="M67" s="1836"/>
      <c r="N67" s="1836"/>
      <c r="O67" s="1836"/>
      <c r="P67" s="1836"/>
      <c r="Q67" s="1836"/>
      <c r="R67" s="1836"/>
      <c r="S67" s="1836"/>
      <c r="T67" s="1836"/>
      <c r="U67" s="1836"/>
      <c r="V67" s="1836"/>
      <c r="W67" s="1836"/>
      <c r="X67" s="1836"/>
      <c r="Y67" s="1836"/>
      <c r="Z67" s="1836"/>
      <c r="AA67" s="1836"/>
      <c r="AB67" s="1836"/>
      <c r="AC67" s="1836"/>
      <c r="AD67" s="1836"/>
      <c r="AE67" s="1836"/>
      <c r="AF67" s="1836"/>
      <c r="AG67" s="2013"/>
    </row>
    <row r="68" spans="1:55" ht="13.5" customHeight="1">
      <c r="A68" s="2013"/>
      <c r="B68" s="88"/>
      <c r="C68" s="88"/>
      <c r="D68" s="88"/>
      <c r="E68" s="3440" t="s">
        <v>6411</v>
      </c>
      <c r="F68" s="88"/>
      <c r="G68" s="88"/>
      <c r="H68" s="88"/>
      <c r="I68" s="88"/>
      <c r="J68" s="88"/>
      <c r="K68" s="88"/>
      <c r="L68" s="88"/>
      <c r="M68" s="88"/>
      <c r="N68" s="88"/>
      <c r="O68" s="88"/>
      <c r="P68" s="88"/>
      <c r="Q68" s="88"/>
      <c r="R68" s="88"/>
      <c r="S68" s="88"/>
      <c r="T68" s="1836"/>
      <c r="U68" s="88"/>
      <c r="V68" s="88"/>
      <c r="W68" s="88"/>
      <c r="X68" s="1560"/>
      <c r="Y68" s="88"/>
      <c r="Z68" s="88"/>
      <c r="AA68" s="88"/>
      <c r="AB68" s="88"/>
      <c r="AC68" s="88"/>
      <c r="AD68" s="88"/>
      <c r="AE68" s="88"/>
      <c r="AF68" s="88"/>
      <c r="AG68" s="2013"/>
      <c r="AS68" s="506"/>
      <c r="AT68" s="506"/>
      <c r="AU68" s="506"/>
      <c r="AV68" s="506"/>
      <c r="AW68" s="506"/>
      <c r="AX68" s="506"/>
      <c r="AY68" s="506"/>
      <c r="AZ68" s="506"/>
      <c r="BA68" s="506"/>
      <c r="BB68" s="506"/>
      <c r="BC68" s="506"/>
    </row>
    <row r="69" spans="1:55" ht="13.5" customHeight="1">
      <c r="A69" s="2013"/>
      <c r="B69" s="88"/>
      <c r="C69" s="88"/>
      <c r="D69" s="88"/>
      <c r="E69" s="1836" t="s">
        <v>6408</v>
      </c>
      <c r="F69" s="88"/>
      <c r="G69" s="88"/>
      <c r="H69" s="88"/>
      <c r="I69" s="88"/>
      <c r="J69" s="88"/>
      <c r="K69" s="88"/>
      <c r="L69" s="88"/>
      <c r="M69" s="88"/>
      <c r="N69" s="88"/>
      <c r="O69" s="88"/>
      <c r="P69" s="88"/>
      <c r="Q69" s="88"/>
      <c r="R69" s="88"/>
      <c r="S69" s="88"/>
      <c r="T69" s="1836"/>
      <c r="U69" s="88"/>
      <c r="V69" s="88"/>
      <c r="W69" s="88"/>
      <c r="X69" s="1560"/>
      <c r="Y69" s="88"/>
      <c r="Z69" s="88"/>
      <c r="AA69" s="88"/>
      <c r="AB69" s="88"/>
      <c r="AC69" s="88"/>
      <c r="AD69" s="88"/>
      <c r="AE69" s="88"/>
      <c r="AF69" s="88"/>
      <c r="AG69" s="2013"/>
      <c r="AS69" s="506"/>
      <c r="AT69" s="506"/>
      <c r="AU69" s="506"/>
      <c r="AV69" s="506"/>
      <c r="AW69" s="506"/>
      <c r="AX69" s="506"/>
      <c r="AY69" s="506"/>
      <c r="AZ69" s="506"/>
      <c r="BA69" s="506"/>
      <c r="BB69" s="506"/>
      <c r="BC69" s="506"/>
    </row>
    <row r="70" spans="1:55" ht="13.5" customHeight="1">
      <c r="A70" s="2013"/>
      <c r="B70" s="2432"/>
      <c r="C70" s="2432"/>
      <c r="D70" s="2432"/>
      <c r="E70" s="6008" t="s">
        <v>6412</v>
      </c>
      <c r="F70" s="2432"/>
      <c r="G70" s="2432"/>
      <c r="H70" s="2432"/>
      <c r="I70" s="2432"/>
      <c r="J70" s="2432"/>
      <c r="K70" s="2432"/>
      <c r="L70" s="2432"/>
      <c r="M70" s="2432"/>
      <c r="N70" s="2432"/>
      <c r="O70" s="2432"/>
      <c r="P70" s="2432"/>
      <c r="Q70" s="2432"/>
      <c r="R70" s="2432"/>
      <c r="S70" s="2432"/>
      <c r="T70" s="2432"/>
      <c r="U70" s="2432"/>
      <c r="V70" s="2432"/>
      <c r="W70" s="2432"/>
      <c r="X70" s="2432"/>
      <c r="Y70" s="2432"/>
      <c r="Z70" s="2432"/>
      <c r="AA70" s="2432"/>
      <c r="AB70" s="2432"/>
      <c r="AC70" s="2432"/>
      <c r="AD70" s="2432"/>
      <c r="AE70" s="2432"/>
      <c r="AF70" s="2432"/>
      <c r="AG70" s="2013"/>
      <c r="AS70" s="506"/>
      <c r="AT70" s="506"/>
      <c r="AU70" s="506"/>
      <c r="AV70" s="506"/>
      <c r="AW70" s="506"/>
      <c r="AX70" s="506"/>
      <c r="AY70" s="506"/>
      <c r="AZ70" s="506"/>
      <c r="BA70" s="506"/>
      <c r="BB70" s="506"/>
      <c r="BC70" s="506"/>
    </row>
    <row r="71" spans="1:55" ht="14.25">
      <c r="A71" s="2013"/>
      <c r="B71" s="226" t="s">
        <v>6413</v>
      </c>
      <c r="C71" s="247"/>
      <c r="D71" s="247"/>
      <c r="E71" s="247"/>
      <c r="F71" s="247"/>
      <c r="G71" s="247"/>
      <c r="H71" s="247"/>
      <c r="I71" s="247"/>
      <c r="J71" s="247"/>
      <c r="K71" s="1183"/>
      <c r="L71" s="247"/>
      <c r="M71" s="226" t="s">
        <v>4460</v>
      </c>
      <c r="N71" s="226"/>
      <c r="O71" s="247"/>
      <c r="P71" s="1560"/>
      <c r="Q71" s="247"/>
      <c r="R71" s="247"/>
      <c r="S71" s="247"/>
      <c r="T71" s="1836"/>
      <c r="U71" s="247"/>
      <c r="V71" s="247"/>
      <c r="W71" s="247"/>
      <c r="X71" s="247"/>
      <c r="Y71" s="247"/>
      <c r="Z71" s="247"/>
      <c r="AA71" s="247"/>
      <c r="AB71" s="247"/>
      <c r="AC71" s="247"/>
      <c r="AD71" s="247"/>
      <c r="AE71" s="247"/>
      <c r="AF71" s="6503" t="s">
        <v>5912</v>
      </c>
      <c r="AG71" s="2013"/>
    </row>
    <row r="72" spans="1:55">
      <c r="A72" s="2013"/>
      <c r="B72" s="1560" t="s">
        <v>5911</v>
      </c>
      <c r="C72" s="247"/>
      <c r="D72" s="247"/>
      <c r="E72" s="247"/>
      <c r="F72" s="247"/>
      <c r="G72" s="247"/>
      <c r="H72" s="247"/>
      <c r="I72" s="247"/>
      <c r="J72" s="247"/>
      <c r="K72" s="247"/>
      <c r="L72" s="247"/>
      <c r="M72" s="247"/>
      <c r="N72" s="247"/>
      <c r="O72" s="247"/>
      <c r="P72" s="247"/>
      <c r="Q72" s="247"/>
      <c r="R72" s="247"/>
      <c r="S72" s="247"/>
      <c r="T72" s="247"/>
      <c r="U72" s="247"/>
      <c r="V72" s="247"/>
      <c r="W72" s="247"/>
      <c r="X72" s="247"/>
      <c r="Y72" s="247"/>
      <c r="Z72" s="247"/>
      <c r="AA72" s="247"/>
      <c r="AB72" s="247"/>
      <c r="AC72" s="247"/>
      <c r="AD72" s="247"/>
      <c r="AE72" s="247"/>
      <c r="AF72" s="247"/>
      <c r="AG72" s="2013"/>
      <c r="BA72" s="11475" t="s">
        <v>4463</v>
      </c>
      <c r="BB72" s="8489"/>
      <c r="BC72" s="8469"/>
    </row>
    <row r="73" spans="1:55" ht="12.75" customHeight="1">
      <c r="A73" s="2013"/>
      <c r="B73" s="1560" t="str">
        <f>IF(SpaceUsed_8949A_LT,"ERROR: DO NOT use the space bar to uncheck a box. Use the 'Delete' key.","one or more of the boxes, complete as many forms with the same box checked as you need.")</f>
        <v>one or more of the boxes, complete as many forms with the same box checked as you need.</v>
      </c>
      <c r="C73" s="247"/>
      <c r="D73" s="247"/>
      <c r="E73" s="247"/>
      <c r="F73" s="247"/>
      <c r="G73" s="247"/>
      <c r="H73" s="247"/>
      <c r="I73" s="247"/>
      <c r="J73" s="247"/>
      <c r="K73" s="247"/>
      <c r="L73" s="247"/>
      <c r="M73" s="247"/>
      <c r="N73" s="247"/>
      <c r="O73" s="247"/>
      <c r="P73" s="247"/>
      <c r="Q73" s="247"/>
      <c r="R73" s="247"/>
      <c r="S73" s="247"/>
      <c r="T73" s="247"/>
      <c r="U73" s="247"/>
      <c r="V73" s="247"/>
      <c r="W73" s="247"/>
      <c r="X73" s="247"/>
      <c r="Y73" s="247"/>
      <c r="Z73" s="247"/>
      <c r="AA73" s="247"/>
      <c r="AB73" s="247"/>
      <c r="AC73" s="247"/>
      <c r="AD73" s="247"/>
      <c r="AE73" s="247"/>
      <c r="AF73" s="247"/>
      <c r="AG73" s="2013"/>
      <c r="AJ73" s="3809"/>
      <c r="AK73" s="3809"/>
      <c r="AL73" s="3809"/>
      <c r="AM73" s="3809"/>
      <c r="AN73" s="3809"/>
      <c r="AO73" s="3809"/>
      <c r="AP73" s="3809"/>
      <c r="AQ73" s="3809"/>
      <c r="BA73" s="11476" t="s">
        <v>4464</v>
      </c>
      <c r="BB73" s="11476" t="s">
        <v>4465</v>
      </c>
      <c r="BC73" s="11476" t="s">
        <v>4466</v>
      </c>
    </row>
    <row r="74" spans="1:55" ht="4.5" customHeight="1" thickBot="1">
      <c r="A74" s="2013"/>
      <c r="B74" s="247"/>
      <c r="C74" s="247"/>
      <c r="D74" s="247"/>
      <c r="E74" s="247"/>
      <c r="F74" s="247"/>
      <c r="G74" s="247"/>
      <c r="H74" s="247"/>
      <c r="I74" s="247"/>
      <c r="J74" s="247"/>
      <c r="K74" s="247"/>
      <c r="L74" s="247"/>
      <c r="M74" s="247"/>
      <c r="N74" s="247"/>
      <c r="O74" s="247"/>
      <c r="P74" s="247"/>
      <c r="Q74" s="247"/>
      <c r="R74" s="247"/>
      <c r="S74" s="247"/>
      <c r="T74" s="247"/>
      <c r="U74" s="247"/>
      <c r="V74" s="247"/>
      <c r="W74" s="247"/>
      <c r="X74" s="247"/>
      <c r="Y74" s="247"/>
      <c r="Z74" s="247"/>
      <c r="AA74" s="247"/>
      <c r="AB74" s="247"/>
      <c r="AC74" s="247"/>
      <c r="AD74" s="247"/>
      <c r="AE74" s="247"/>
      <c r="AF74" s="247"/>
      <c r="AG74" s="2013"/>
      <c r="BA74" s="11477"/>
      <c r="BB74" s="11477"/>
      <c r="BC74" s="11477"/>
    </row>
    <row r="75" spans="1:55" ht="12" customHeight="1" thickBot="1">
      <c r="A75" s="2013"/>
      <c r="B75" s="1039">
        <f>IF(C75&lt;&gt;"",1,0)</f>
        <v>0</v>
      </c>
      <c r="C75" s="300"/>
      <c r="D75" s="3440" t="s">
        <v>5898</v>
      </c>
      <c r="E75" s="247"/>
      <c r="F75" s="247"/>
      <c r="G75" s="247"/>
      <c r="H75" s="247"/>
      <c r="I75" s="247"/>
      <c r="J75" s="247"/>
      <c r="K75" s="247"/>
      <c r="L75" s="247"/>
      <c r="M75" s="247"/>
      <c r="N75" s="247"/>
      <c r="O75" s="247"/>
      <c r="P75" s="247"/>
      <c r="Q75" s="247"/>
      <c r="R75" s="247"/>
      <c r="S75" s="247"/>
      <c r="T75" s="247"/>
      <c r="U75" s="247"/>
      <c r="V75" s="247"/>
      <c r="W75" s="247"/>
      <c r="X75" s="247"/>
      <c r="Y75" s="247"/>
      <c r="Z75" s="247"/>
      <c r="AA75" s="247"/>
      <c r="AB75" s="247"/>
      <c r="AC75" s="247"/>
      <c r="AD75" s="247"/>
      <c r="AE75" s="247"/>
      <c r="AF75" s="247"/>
      <c r="AG75" s="2013"/>
      <c r="AJ75" s="11381"/>
      <c r="AK75" s="11381"/>
      <c r="AL75" s="11381"/>
      <c r="AM75" s="11381"/>
      <c r="AN75" s="11381"/>
      <c r="AO75" s="11381"/>
      <c r="AP75" s="11381"/>
      <c r="AQ75" s="11381"/>
      <c r="BA75" s="11477"/>
      <c r="BB75" s="11477"/>
      <c r="BC75" s="11477"/>
    </row>
    <row r="76" spans="1:55" ht="4.5" customHeight="1" thickBot="1">
      <c r="A76" s="2013"/>
      <c r="B76" s="6017"/>
      <c r="C76" s="247"/>
      <c r="D76" s="1836"/>
      <c r="E76" s="247"/>
      <c r="F76" s="247"/>
      <c r="G76" s="247"/>
      <c r="H76" s="247"/>
      <c r="I76" s="247"/>
      <c r="J76" s="247"/>
      <c r="K76" s="247"/>
      <c r="L76" s="247"/>
      <c r="M76" s="247"/>
      <c r="N76" s="247"/>
      <c r="O76" s="247"/>
      <c r="P76" s="247"/>
      <c r="Q76" s="247"/>
      <c r="R76" s="247"/>
      <c r="S76" s="247"/>
      <c r="T76" s="247"/>
      <c r="U76" s="247"/>
      <c r="V76" s="247"/>
      <c r="W76" s="247"/>
      <c r="X76" s="247"/>
      <c r="Y76" s="247"/>
      <c r="Z76" s="247"/>
      <c r="AA76" s="247"/>
      <c r="AB76" s="247"/>
      <c r="AC76" s="247"/>
      <c r="AD76" s="247"/>
      <c r="AE76" s="247"/>
      <c r="AF76" s="247"/>
      <c r="AG76" s="2013"/>
      <c r="BA76" s="11477"/>
      <c r="BB76" s="11477"/>
      <c r="BC76" s="11477"/>
    </row>
    <row r="77" spans="1:55" ht="11.25" customHeight="1" thickBot="1">
      <c r="A77" s="2013"/>
      <c r="B77" s="1039">
        <f>IF(C77&lt;&gt;"",1,0)</f>
        <v>0</v>
      </c>
      <c r="C77" s="300"/>
      <c r="D77" s="3440" t="s">
        <v>5899</v>
      </c>
      <c r="E77" s="247"/>
      <c r="F77" s="247"/>
      <c r="G77" s="247"/>
      <c r="H77" s="247"/>
      <c r="I77" s="247"/>
      <c r="J77" s="247"/>
      <c r="K77" s="247"/>
      <c r="L77" s="247"/>
      <c r="M77" s="247"/>
      <c r="N77" s="247"/>
      <c r="O77" s="247"/>
      <c r="P77" s="247"/>
      <c r="Q77" s="504"/>
      <c r="R77" s="504"/>
      <c r="S77" s="504"/>
      <c r="T77" s="504"/>
      <c r="U77" s="504"/>
      <c r="V77" s="504"/>
      <c r="W77" s="504"/>
      <c r="X77" s="504"/>
      <c r="Y77" s="504"/>
      <c r="Z77" s="504"/>
      <c r="AA77" s="504"/>
      <c r="AB77" s="504"/>
      <c r="AC77" s="504"/>
      <c r="AD77" s="504"/>
      <c r="AE77" s="247"/>
      <c r="AF77" s="247"/>
      <c r="AG77" s="2013"/>
      <c r="AJ77" s="11381"/>
      <c r="AK77" s="11381"/>
      <c r="AL77" s="11381"/>
      <c r="AM77" s="11381"/>
      <c r="AN77" s="11381"/>
      <c r="AO77" s="11381"/>
      <c r="AP77" s="11381"/>
      <c r="AQ77" s="11381"/>
      <c r="BA77" s="11477"/>
      <c r="BB77" s="11477"/>
      <c r="BC77" s="11477"/>
    </row>
    <row r="78" spans="1:55" ht="4.5" customHeight="1" thickBot="1">
      <c r="A78" s="2013"/>
      <c r="B78" s="6017"/>
      <c r="C78" s="247"/>
      <c r="D78" s="1836"/>
      <c r="E78" s="247"/>
      <c r="F78" s="247"/>
      <c r="G78" s="247"/>
      <c r="H78" s="247"/>
      <c r="I78" s="247"/>
      <c r="J78" s="247"/>
      <c r="K78" s="247"/>
      <c r="L78" s="247"/>
      <c r="M78" s="247"/>
      <c r="N78" s="247"/>
      <c r="O78" s="247"/>
      <c r="P78" s="247"/>
      <c r="Q78" s="504"/>
      <c r="R78" s="504"/>
      <c r="S78" s="504"/>
      <c r="T78" s="504"/>
      <c r="U78" s="504"/>
      <c r="V78" s="504"/>
      <c r="W78" s="504"/>
      <c r="X78" s="504"/>
      <c r="Y78" s="504"/>
      <c r="Z78" s="504"/>
      <c r="AA78" s="504"/>
      <c r="AB78" s="504"/>
      <c r="AC78" s="504"/>
      <c r="AD78" s="504"/>
      <c r="AE78" s="247"/>
      <c r="AF78" s="247"/>
      <c r="AG78" s="2013"/>
      <c r="BA78" s="11477"/>
      <c r="BB78" s="11477"/>
      <c r="BC78" s="11477"/>
    </row>
    <row r="79" spans="1:55" ht="12" customHeight="1" thickBot="1">
      <c r="A79" s="2013">
        <f>SUM(B75:B79)</f>
        <v>0</v>
      </c>
      <c r="B79" s="1039">
        <f>IF(C79&lt;&gt;"",1,0)</f>
        <v>0</v>
      </c>
      <c r="C79" s="300"/>
      <c r="D79" s="3440" t="s">
        <v>5900</v>
      </c>
      <c r="E79" s="247"/>
      <c r="F79" s="247"/>
      <c r="G79" s="247"/>
      <c r="H79" s="247"/>
      <c r="I79" s="247"/>
      <c r="J79" s="247"/>
      <c r="K79" s="247"/>
      <c r="L79" s="247"/>
      <c r="M79" s="247"/>
      <c r="N79" s="247"/>
      <c r="O79" s="247"/>
      <c r="P79" s="247"/>
      <c r="Q79" s="6018"/>
      <c r="R79" s="6019"/>
      <c r="S79" s="3823"/>
      <c r="T79" s="3823"/>
      <c r="U79" s="3823"/>
      <c r="V79" s="3823"/>
      <c r="W79" s="3823"/>
      <c r="X79" s="3823"/>
      <c r="Y79" s="3823"/>
      <c r="Z79" s="3823"/>
      <c r="AA79" s="3823"/>
      <c r="AB79" s="3823"/>
      <c r="AC79" s="3823"/>
      <c r="AD79" s="3823"/>
      <c r="AE79" s="3823"/>
      <c r="AF79" s="247"/>
      <c r="AG79" s="2013"/>
      <c r="AH79" s="318" t="b">
        <f>OR(F8949DLBOXD=CHAR(32),F8949DLBOXE=CHAR(32),F8949DLBOXF=CHAR(32),F8949DLBOXJ=CHAR(32),F8949DLBOXK=CHAR(32),F8949DLBOXL=CHAR(32))</f>
        <v>0</v>
      </c>
      <c r="AJ79" s="3809"/>
      <c r="AK79" s="3809"/>
      <c r="AL79" s="3809"/>
      <c r="AM79" s="3809"/>
      <c r="AN79" s="3809"/>
      <c r="AO79" s="3809"/>
      <c r="AP79" s="3809"/>
      <c r="AQ79" s="3809"/>
      <c r="BA79" s="11477"/>
      <c r="BB79" s="11477"/>
      <c r="BC79" s="11477"/>
    </row>
    <row r="80" spans="1:55" ht="4.5" customHeight="1" thickBot="1">
      <c r="A80" s="2013"/>
      <c r="B80" s="247"/>
      <c r="C80" s="247"/>
      <c r="D80" s="1836"/>
      <c r="E80" s="247"/>
      <c r="F80" s="247"/>
      <c r="G80" s="247"/>
      <c r="H80" s="247"/>
      <c r="I80" s="247"/>
      <c r="J80" s="247"/>
      <c r="K80" s="247"/>
      <c r="L80" s="247"/>
      <c r="M80" s="247"/>
      <c r="N80" s="247"/>
      <c r="O80" s="247"/>
      <c r="P80" s="247"/>
      <c r="Q80" s="247"/>
      <c r="R80" s="247"/>
      <c r="S80" s="247"/>
      <c r="T80" s="247"/>
      <c r="U80" s="247"/>
      <c r="V80" s="247"/>
      <c r="W80" s="247"/>
      <c r="X80" s="247"/>
      <c r="Y80" s="247"/>
      <c r="Z80" s="247"/>
      <c r="AA80" s="247"/>
      <c r="AB80" s="247"/>
      <c r="AC80" s="247"/>
      <c r="AD80" s="247"/>
      <c r="AE80" s="247"/>
      <c r="AF80" s="247"/>
      <c r="AG80" s="2013"/>
      <c r="BA80" s="11477"/>
      <c r="BB80" s="11477"/>
      <c r="BC80" s="11477"/>
    </row>
    <row r="81" spans="1:55" ht="12" customHeight="1" thickBot="1">
      <c r="A81" s="2013"/>
      <c r="B81" s="1039">
        <f>IF(C81&lt;&gt;"",1,0)</f>
        <v>0</v>
      </c>
      <c r="C81" s="300"/>
      <c r="D81" s="3440" t="s">
        <v>5901</v>
      </c>
      <c r="E81" s="247"/>
      <c r="F81" s="247"/>
      <c r="G81" s="247"/>
      <c r="H81" s="247"/>
      <c r="I81" s="247"/>
      <c r="J81" s="247"/>
      <c r="K81" s="247"/>
      <c r="L81" s="247"/>
      <c r="M81" s="247"/>
      <c r="N81" s="247"/>
      <c r="O81" s="247"/>
      <c r="P81" s="247"/>
      <c r="Q81" s="247"/>
      <c r="R81" s="247"/>
      <c r="S81" s="247"/>
      <c r="T81" s="247"/>
      <c r="U81" s="247"/>
      <c r="V81" s="247"/>
      <c r="W81" s="247"/>
      <c r="X81" s="247"/>
      <c r="Y81" s="247"/>
      <c r="Z81" s="247"/>
      <c r="AA81" s="247"/>
      <c r="AB81" s="247"/>
      <c r="AC81" s="247"/>
      <c r="AD81" s="247"/>
      <c r="AE81" s="247"/>
      <c r="AF81" s="247"/>
      <c r="AG81" s="2013"/>
      <c r="AJ81" s="11381"/>
      <c r="AK81" s="11381"/>
      <c r="AL81" s="11381"/>
      <c r="AM81" s="11381"/>
      <c r="AN81" s="11381"/>
      <c r="AO81" s="11381"/>
      <c r="AP81" s="11381"/>
      <c r="AQ81" s="11381"/>
      <c r="BA81" s="11477"/>
      <c r="BB81" s="11477"/>
      <c r="BC81" s="11477"/>
    </row>
    <row r="82" spans="1:55" ht="4.5" customHeight="1" thickBot="1">
      <c r="A82" s="2013"/>
      <c r="B82" s="6017"/>
      <c r="C82" s="247" t="s">
        <v>510</v>
      </c>
      <c r="D82" s="1836"/>
      <c r="E82" s="247"/>
      <c r="F82" s="247"/>
      <c r="G82" s="247"/>
      <c r="H82" s="247"/>
      <c r="I82" s="247"/>
      <c r="J82" s="247"/>
      <c r="K82" s="247"/>
      <c r="L82" s="247"/>
      <c r="M82" s="247"/>
      <c r="N82" s="247"/>
      <c r="O82" s="247"/>
      <c r="P82" s="247"/>
      <c r="Q82" s="247"/>
      <c r="R82" s="247"/>
      <c r="S82" s="247"/>
      <c r="T82" s="247"/>
      <c r="U82" s="247"/>
      <c r="V82" s="247"/>
      <c r="W82" s="247"/>
      <c r="X82" s="247"/>
      <c r="Y82" s="247"/>
      <c r="Z82" s="247"/>
      <c r="AA82" s="247"/>
      <c r="AB82" s="247"/>
      <c r="AC82" s="247"/>
      <c r="AD82" s="247"/>
      <c r="AE82" s="247"/>
      <c r="AF82" s="247"/>
      <c r="AG82" s="2013"/>
      <c r="BA82" s="11477"/>
      <c r="BB82" s="11477"/>
      <c r="BC82" s="11477"/>
    </row>
    <row r="83" spans="1:55" ht="11.25" customHeight="1" thickBot="1">
      <c r="A83" s="2013"/>
      <c r="B83" s="1039">
        <f>IF(C83&lt;&gt;"",1,0)</f>
        <v>0</v>
      </c>
      <c r="C83" s="300"/>
      <c r="D83" s="3440" t="s">
        <v>5902</v>
      </c>
      <c r="E83" s="247"/>
      <c r="F83" s="247"/>
      <c r="G83" s="247"/>
      <c r="H83" s="247"/>
      <c r="I83" s="247"/>
      <c r="J83" s="247"/>
      <c r="K83" s="247"/>
      <c r="L83" s="247"/>
      <c r="M83" s="247"/>
      <c r="N83" s="247"/>
      <c r="O83" s="247"/>
      <c r="P83" s="247"/>
      <c r="Q83" s="504"/>
      <c r="R83" s="504"/>
      <c r="S83" s="504"/>
      <c r="T83" s="504"/>
      <c r="U83" s="504"/>
      <c r="V83" s="504"/>
      <c r="W83" s="504"/>
      <c r="X83" s="504"/>
      <c r="Y83" s="504"/>
      <c r="Z83" s="504"/>
      <c r="AA83" s="504"/>
      <c r="AB83" s="504"/>
      <c r="AC83" s="504"/>
      <c r="AD83" s="504"/>
      <c r="AE83" s="247"/>
      <c r="AF83" s="247"/>
      <c r="AG83" s="2013"/>
      <c r="AJ83" s="11381"/>
      <c r="AK83" s="11381"/>
      <c r="AL83" s="11381"/>
      <c r="AM83" s="11381"/>
      <c r="AN83" s="11381"/>
      <c r="AO83" s="11381"/>
      <c r="AP83" s="11381"/>
      <c r="AQ83" s="11381"/>
      <c r="BA83" s="11477"/>
      <c r="BB83" s="11477"/>
      <c r="BC83" s="11477"/>
    </row>
    <row r="84" spans="1:55" ht="4.5" customHeight="1" thickBot="1">
      <c r="A84" s="2013"/>
      <c r="B84" s="6017"/>
      <c r="C84" s="247"/>
      <c r="D84" s="1836"/>
      <c r="E84" s="247"/>
      <c r="F84" s="247"/>
      <c r="G84" s="247"/>
      <c r="H84" s="247"/>
      <c r="I84" s="247"/>
      <c r="J84" s="247"/>
      <c r="K84" s="247"/>
      <c r="L84" s="247"/>
      <c r="M84" s="247"/>
      <c r="N84" s="247"/>
      <c r="O84" s="247"/>
      <c r="P84" s="247"/>
      <c r="Q84" s="504"/>
      <c r="R84" s="504"/>
      <c r="S84" s="504"/>
      <c r="T84" s="504"/>
      <c r="U84" s="504"/>
      <c r="V84" s="504"/>
      <c r="W84" s="504"/>
      <c r="X84" s="504"/>
      <c r="Y84" s="504"/>
      <c r="Z84" s="504"/>
      <c r="AA84" s="504"/>
      <c r="AB84" s="504"/>
      <c r="AC84" s="504"/>
      <c r="AD84" s="504"/>
      <c r="AE84" s="247"/>
      <c r="AF84" s="247"/>
      <c r="AG84" s="2013"/>
      <c r="BA84" s="11477"/>
      <c r="BB84" s="11477"/>
      <c r="BC84" s="11477"/>
    </row>
    <row r="85" spans="1:55" ht="12" customHeight="1" thickBot="1">
      <c r="A85" s="2013">
        <f>SUM(B75:B85)</f>
        <v>0</v>
      </c>
      <c r="B85" s="1039">
        <f>IF(C85&lt;&gt;"",1,0)</f>
        <v>0</v>
      </c>
      <c r="C85" s="300"/>
      <c r="D85" s="3440" t="s">
        <v>5903</v>
      </c>
      <c r="E85" s="247"/>
      <c r="F85" s="247"/>
      <c r="G85" s="247"/>
      <c r="H85" s="247"/>
      <c r="I85" s="247"/>
      <c r="J85" s="247"/>
      <c r="K85" s="247"/>
      <c r="L85" s="247"/>
      <c r="M85" s="247"/>
      <c r="N85" s="247"/>
      <c r="O85" s="247"/>
      <c r="P85" s="247"/>
      <c r="Q85" s="6018"/>
      <c r="R85" s="3823"/>
      <c r="S85" s="3823"/>
      <c r="T85" s="3823"/>
      <c r="U85" s="3823"/>
      <c r="V85" s="3823"/>
      <c r="W85" s="3823"/>
      <c r="X85" s="3823"/>
      <c r="Y85" s="3823"/>
      <c r="Z85" s="3823"/>
      <c r="AA85" s="3823"/>
      <c r="AB85" s="3823"/>
      <c r="AC85" s="3823"/>
      <c r="AD85" s="3823"/>
      <c r="AE85" s="3823"/>
      <c r="AF85" s="6020"/>
      <c r="AG85" s="2013"/>
      <c r="AH85" s="318"/>
      <c r="AJ85" s="11381" t="s">
        <v>4467</v>
      </c>
      <c r="AK85" s="11381"/>
      <c r="AL85" s="11381"/>
      <c r="AM85" s="11381"/>
      <c r="AN85" s="11381"/>
      <c r="AO85" s="11381"/>
      <c r="AP85" s="11381"/>
      <c r="AQ85" s="11381"/>
      <c r="BA85" s="11477"/>
      <c r="BB85" s="11477"/>
      <c r="BC85" s="11477"/>
    </row>
    <row r="86" spans="1:55" ht="5.25" customHeight="1">
      <c r="A86" s="2013"/>
      <c r="B86" s="6012"/>
      <c r="C86" s="6013"/>
      <c r="D86" s="6012"/>
      <c r="E86" s="6012"/>
      <c r="F86" s="6012"/>
      <c r="G86" s="6012"/>
      <c r="H86" s="6012"/>
      <c r="I86" s="6012"/>
      <c r="J86" s="6012"/>
      <c r="K86" s="6012"/>
      <c r="L86" s="6012"/>
      <c r="M86" s="6012"/>
      <c r="N86" s="6013"/>
      <c r="O86" s="6012"/>
      <c r="P86" s="6012"/>
      <c r="Q86" s="6012"/>
      <c r="R86" s="6012"/>
      <c r="S86" s="6012"/>
      <c r="T86" s="6012"/>
      <c r="U86" s="6012"/>
      <c r="V86" s="6012"/>
      <c r="W86" s="6012"/>
      <c r="X86" s="6012"/>
      <c r="Y86" s="6013"/>
      <c r="Z86" s="6012"/>
      <c r="AA86" s="6012"/>
      <c r="AB86" s="6012"/>
      <c r="AC86" s="6012"/>
      <c r="AD86" s="6012"/>
      <c r="AE86" s="6012"/>
      <c r="AF86" s="6012"/>
      <c r="AG86" s="2013"/>
      <c r="BA86" s="11477"/>
      <c r="BB86" s="11477"/>
      <c r="BC86" s="11477"/>
    </row>
    <row r="87" spans="1:55" ht="21" customHeight="1">
      <c r="A87" s="2013"/>
      <c r="B87" s="11424">
        <v>1</v>
      </c>
      <c r="C87" s="11428" t="s">
        <v>5894</v>
      </c>
      <c r="D87" s="11429"/>
      <c r="E87" s="11429"/>
      <c r="F87" s="11429"/>
      <c r="G87" s="11429"/>
      <c r="H87" s="11429"/>
      <c r="I87" s="11430"/>
      <c r="J87" s="7366" t="s">
        <v>5910</v>
      </c>
      <c r="K87" s="8481"/>
      <c r="L87" s="11396"/>
      <c r="M87" s="7366" t="s">
        <v>5895</v>
      </c>
      <c r="N87" s="8481"/>
      <c r="O87" s="8481"/>
      <c r="P87" s="11396"/>
      <c r="Q87" s="7366" t="s">
        <v>5896</v>
      </c>
      <c r="R87" s="8481"/>
      <c r="S87" s="8481"/>
      <c r="T87" s="11396"/>
      <c r="U87" s="11388" t="s">
        <v>5897</v>
      </c>
      <c r="V87" s="8460"/>
      <c r="W87" s="8460"/>
      <c r="X87" s="8323"/>
      <c r="Y87" s="11390" t="s">
        <v>4469</v>
      </c>
      <c r="Z87" s="11391"/>
      <c r="AA87" s="11391"/>
      <c r="AB87" s="11392"/>
      <c r="AC87" s="11388" t="s">
        <v>4485</v>
      </c>
      <c r="AD87" s="8460"/>
      <c r="AE87" s="8460"/>
      <c r="AF87" s="8460"/>
      <c r="AG87" s="2013"/>
      <c r="AJ87" s="11461" t="s">
        <v>4470</v>
      </c>
      <c r="AK87" s="11461" t="s">
        <v>4471</v>
      </c>
      <c r="AL87" s="11461" t="s">
        <v>4472</v>
      </c>
      <c r="AM87" s="11461" t="s">
        <v>4473</v>
      </c>
      <c r="AN87" s="11462" t="s">
        <v>4474</v>
      </c>
      <c r="AO87" s="11479" t="s">
        <v>4475</v>
      </c>
      <c r="AP87" s="8339"/>
      <c r="AQ87" s="11461" t="s">
        <v>4485</v>
      </c>
      <c r="BA87" s="11477"/>
      <c r="BB87" s="11477"/>
      <c r="BC87" s="11477"/>
    </row>
    <row r="88" spans="1:55" ht="21" customHeight="1">
      <c r="A88" s="2013"/>
      <c r="B88" s="11425"/>
      <c r="C88" s="7369"/>
      <c r="D88" s="11431"/>
      <c r="E88" s="11431"/>
      <c r="F88" s="11431"/>
      <c r="G88" s="11431"/>
      <c r="H88" s="11431"/>
      <c r="I88" s="11432"/>
      <c r="J88" s="7368"/>
      <c r="K88" s="8299"/>
      <c r="L88" s="11397"/>
      <c r="M88" s="7368"/>
      <c r="N88" s="8299"/>
      <c r="O88" s="8299"/>
      <c r="P88" s="11397"/>
      <c r="Q88" s="7368"/>
      <c r="R88" s="8299"/>
      <c r="S88" s="8299"/>
      <c r="T88" s="11397"/>
      <c r="U88" s="11389"/>
      <c r="V88" s="9500"/>
      <c r="W88" s="9500"/>
      <c r="X88" s="8325"/>
      <c r="Y88" s="11393"/>
      <c r="Z88" s="11394"/>
      <c r="AA88" s="11394"/>
      <c r="AB88" s="11395"/>
      <c r="AC88" s="11389"/>
      <c r="AD88" s="9500"/>
      <c r="AE88" s="9500"/>
      <c r="AF88" s="9500"/>
      <c r="AG88" s="2013"/>
      <c r="AJ88" s="11461"/>
      <c r="AK88" s="11461"/>
      <c r="AL88" s="11461"/>
      <c r="AM88" s="11461"/>
      <c r="AN88" s="11462"/>
      <c r="AO88" s="8457"/>
      <c r="AP88" s="8345"/>
      <c r="AQ88" s="11461"/>
      <c r="BA88" s="11477"/>
      <c r="BB88" s="11477"/>
      <c r="BC88" s="11477"/>
    </row>
    <row r="89" spans="1:55" ht="18" customHeight="1">
      <c r="A89" s="2013"/>
      <c r="B89" s="11426"/>
      <c r="C89" s="11431"/>
      <c r="D89" s="11431"/>
      <c r="E89" s="11431"/>
      <c r="F89" s="11431"/>
      <c r="G89" s="11431"/>
      <c r="H89" s="11431"/>
      <c r="I89" s="11432"/>
      <c r="J89" s="8482"/>
      <c r="K89" s="8299"/>
      <c r="L89" s="11397"/>
      <c r="M89" s="8482"/>
      <c r="N89" s="8299"/>
      <c r="O89" s="8299"/>
      <c r="P89" s="11397"/>
      <c r="Q89" s="8482"/>
      <c r="R89" s="8299"/>
      <c r="S89" s="8299"/>
      <c r="T89" s="11397"/>
      <c r="U89" s="8324"/>
      <c r="V89" s="9500"/>
      <c r="W89" s="9500"/>
      <c r="X89" s="8325"/>
      <c r="Y89" s="8439" t="s">
        <v>4477</v>
      </c>
      <c r="Z89" s="8323"/>
      <c r="AA89" s="8439" t="s">
        <v>4478</v>
      </c>
      <c r="AB89" s="8492"/>
      <c r="AC89" s="8324"/>
      <c r="AD89" s="9500"/>
      <c r="AE89" s="9500"/>
      <c r="AF89" s="9500"/>
      <c r="AG89" s="2013"/>
      <c r="AJ89" s="11461"/>
      <c r="AK89" s="11461"/>
      <c r="AL89" s="11461"/>
      <c r="AM89" s="11461"/>
      <c r="AN89" s="11462"/>
      <c r="AO89" s="8610" t="s">
        <v>4479</v>
      </c>
      <c r="AP89" s="8610" t="s">
        <v>4478</v>
      </c>
      <c r="AQ89" s="11461"/>
      <c r="BA89" s="11477"/>
      <c r="BB89" s="11477"/>
      <c r="BC89" s="11477"/>
    </row>
    <row r="90" spans="1:55" ht="18" customHeight="1">
      <c r="A90" s="2013"/>
      <c r="B90" s="11427"/>
      <c r="C90" s="11433"/>
      <c r="D90" s="11433"/>
      <c r="E90" s="11433"/>
      <c r="F90" s="11433"/>
      <c r="G90" s="11433"/>
      <c r="H90" s="11433"/>
      <c r="I90" s="11434"/>
      <c r="J90" s="8483"/>
      <c r="K90" s="8168"/>
      <c r="L90" s="11398"/>
      <c r="M90" s="8483"/>
      <c r="N90" s="8168"/>
      <c r="O90" s="8168"/>
      <c r="P90" s="11398"/>
      <c r="Q90" s="8483"/>
      <c r="R90" s="8168"/>
      <c r="S90" s="8168"/>
      <c r="T90" s="11398"/>
      <c r="U90" s="8326"/>
      <c r="V90" s="10186"/>
      <c r="W90" s="10186"/>
      <c r="X90" s="8327"/>
      <c r="Y90" s="8326"/>
      <c r="Z90" s="8327"/>
      <c r="AA90" s="7590"/>
      <c r="AB90" s="8494"/>
      <c r="AC90" s="8326"/>
      <c r="AD90" s="10186"/>
      <c r="AE90" s="10186"/>
      <c r="AF90" s="10186"/>
      <c r="AG90" s="2013"/>
      <c r="AJ90" s="11461"/>
      <c r="AK90" s="11461"/>
      <c r="AL90" s="11461"/>
      <c r="AM90" s="11461"/>
      <c r="AN90" s="11462"/>
      <c r="AO90" s="11478"/>
      <c r="AP90" s="11478"/>
      <c r="AQ90" s="11461"/>
      <c r="AZ90" s="185" t="s">
        <v>6739</v>
      </c>
      <c r="BA90" s="11477"/>
      <c r="BB90" s="11477"/>
      <c r="BC90" s="11477"/>
    </row>
    <row r="91" spans="1:55" ht="26.25" customHeight="1">
      <c r="A91" s="2013">
        <f>IF(OR(Q91&lt;&gt;"",U91&lt;&gt;"",AC91&lt;&gt;""),1,0)</f>
        <v>0</v>
      </c>
      <c r="B91" s="11382" t="str">
        <f>IF(AJ91="","",AJ91)</f>
        <v/>
      </c>
      <c r="C91" s="7430"/>
      <c r="D91" s="7430"/>
      <c r="E91" s="7430"/>
      <c r="F91" s="7430"/>
      <c r="G91" s="7430"/>
      <c r="H91" s="7430"/>
      <c r="I91" s="10855"/>
      <c r="J91" s="11383" t="str">
        <f>IF(AK91="","",AK91)</f>
        <v/>
      </c>
      <c r="K91" s="11384"/>
      <c r="L91" s="11384"/>
      <c r="M91" s="11383" t="str">
        <f>IF(AL91="","",AL91)</f>
        <v/>
      </c>
      <c r="N91" s="11384"/>
      <c r="O91" s="11384"/>
      <c r="P91" s="11385"/>
      <c r="Q91" s="8178" t="str">
        <f>IF(AM91="","",AM91)</f>
        <v/>
      </c>
      <c r="R91" s="7375"/>
      <c r="S91" s="7375"/>
      <c r="T91" s="7376"/>
      <c r="U91" s="8178" t="str">
        <f>IF(AN91="","",AN91)</f>
        <v/>
      </c>
      <c r="V91" s="7375"/>
      <c r="W91" s="7375"/>
      <c r="X91" s="7376"/>
      <c r="Y91" s="11387" t="str">
        <f>IF(AO91&lt;&gt;"",AO91,"")</f>
        <v/>
      </c>
      <c r="Z91" s="7336"/>
      <c r="AA91" s="8178" t="str">
        <f>IF(AP91="","",AP91)</f>
        <v/>
      </c>
      <c r="AB91" s="11386"/>
      <c r="AC91" s="11401" t="str">
        <f>IF(AQ91&lt;&gt;"",AQ91,IF(AND(Q91="",U91=""),"",IF(AND(Q91&lt;&gt;"",U91=""),SUM(Q91,AA91),SUM(Q91,-U91,AA91))))</f>
        <v/>
      </c>
      <c r="AD91" s="11402"/>
      <c r="AE91" s="11402"/>
      <c r="AF91" s="11402"/>
      <c r="AG91" s="4271">
        <f t="shared" ref="AG91:AG101" si="21">IF(OR(J91="",M91=""),0,IF(OR(BA91,BB91,BC91),0,1))</f>
        <v>0</v>
      </c>
      <c r="AH91" s="6014"/>
      <c r="AI91" s="6014" t="e">
        <f>M91-J91</f>
        <v>#VALUE!</v>
      </c>
      <c r="AJ91" s="293"/>
      <c r="AK91" s="297"/>
      <c r="AL91" s="297"/>
      <c r="AM91" s="295"/>
      <c r="AN91" s="295"/>
      <c r="AO91" s="296"/>
      <c r="AP91" s="295"/>
      <c r="AQ91" s="294"/>
      <c r="AS91" t="e">
        <f>YEAR(J91)</f>
        <v>#VALUE!</v>
      </c>
      <c r="AT91" t="e">
        <f>MONTH(J91)</f>
        <v>#VALUE!</v>
      </c>
      <c r="AU91" t="e">
        <f>DAY(J91)</f>
        <v>#VALUE!</v>
      </c>
      <c r="AW91" t="e">
        <f>YEAR(M91)</f>
        <v>#VALUE!</v>
      </c>
      <c r="AX91" t="e">
        <f>MONTH(M91)</f>
        <v>#VALUE!</v>
      </c>
      <c r="AY91" t="e">
        <f>DAY(M91)</f>
        <v>#VALUE!</v>
      </c>
      <c r="AZ91" t="e">
        <f>OR(BA91,BB91,BC91)</f>
        <v>#VALUE!</v>
      </c>
      <c r="BA91" t="e">
        <f>AW91=AS91</f>
        <v>#VALUE!</v>
      </c>
      <c r="BB91" t="e">
        <f>AND(AW91=AS91+1,AX91&lt;AT91)</f>
        <v>#VALUE!</v>
      </c>
      <c r="BC91" t="e">
        <f>AND(AW91=AS91+1,AX91=AT91,AY91&lt;=AU91)</f>
        <v>#VALUE!</v>
      </c>
    </row>
    <row r="92" spans="1:55" ht="26.25" customHeight="1">
      <c r="A92" s="2013">
        <f t="shared" ref="A92:A101" si="22">IF(OR(Q92&lt;&gt;"",U92&lt;&gt;"",AC92&lt;&gt;""),1,0)</f>
        <v>0</v>
      </c>
      <c r="B92" s="11382" t="str">
        <f t="shared" ref="B92:B101" si="23">IF(AJ92="","",AJ92)</f>
        <v/>
      </c>
      <c r="C92" s="7430"/>
      <c r="D92" s="7430"/>
      <c r="E92" s="7430"/>
      <c r="F92" s="7430"/>
      <c r="G92" s="7430"/>
      <c r="H92" s="7430"/>
      <c r="I92" s="10855"/>
      <c r="J92" s="11383" t="str">
        <f t="shared" ref="J92:J101" si="24">IF(AK92="","",AK92)</f>
        <v/>
      </c>
      <c r="K92" s="11384"/>
      <c r="L92" s="11384"/>
      <c r="M92" s="11383" t="str">
        <f t="shared" ref="M92:M101" si="25">IF(AL92="","",AL92)</f>
        <v/>
      </c>
      <c r="N92" s="11384"/>
      <c r="O92" s="11384"/>
      <c r="P92" s="11385"/>
      <c r="Q92" s="8178" t="str">
        <f t="shared" ref="Q92:Q101" si="26">IF(AM92="","",AM92)</f>
        <v/>
      </c>
      <c r="R92" s="7375"/>
      <c r="S92" s="7375"/>
      <c r="T92" s="7376"/>
      <c r="U92" s="8178" t="str">
        <f t="shared" ref="U92:U101" si="27">IF(AN92="","",AN92)</f>
        <v/>
      </c>
      <c r="V92" s="7375"/>
      <c r="W92" s="7375"/>
      <c r="X92" s="7376"/>
      <c r="Y92" s="11387" t="str">
        <f t="shared" ref="Y92:Y101" si="28">IF(AO92&lt;&gt;"",AO92,"")</f>
        <v/>
      </c>
      <c r="Z92" s="7336"/>
      <c r="AA92" s="8178" t="str">
        <f t="shared" ref="AA92:AA101" si="29">IF(AP92="","",AP92)</f>
        <v/>
      </c>
      <c r="AB92" s="11386"/>
      <c r="AC92" s="11401" t="str">
        <f t="shared" ref="AC92:AC101" si="30">IF(AQ92&lt;&gt;"",AQ92,IF(AND(Q92="",U92=""),"",IF(AND(Q92&lt;&gt;"",U92=""),SUM(Q92,AA92),SUM(Q92,-U92,AA92))))</f>
        <v/>
      </c>
      <c r="AD92" s="11402"/>
      <c r="AE92" s="11402"/>
      <c r="AF92" s="11402"/>
      <c r="AG92" s="4271">
        <f t="shared" si="21"/>
        <v>0</v>
      </c>
      <c r="AH92" s="6014"/>
      <c r="AI92" s="6014" t="e">
        <f t="shared" ref="AI92:AI101" si="31">M92-J92</f>
        <v>#VALUE!</v>
      </c>
      <c r="AJ92" s="293"/>
      <c r="AK92" s="297"/>
      <c r="AL92" s="297"/>
      <c r="AM92" s="295"/>
      <c r="AN92" s="295"/>
      <c r="AO92" s="296"/>
      <c r="AP92" s="295"/>
      <c r="AQ92" s="294"/>
      <c r="AS92" t="e">
        <f t="shared" ref="AS92:AS101" si="32">YEAR(J92)</f>
        <v>#VALUE!</v>
      </c>
      <c r="AT92" t="e">
        <f t="shared" ref="AT92:AT101" si="33">MONTH(J92)</f>
        <v>#VALUE!</v>
      </c>
      <c r="AU92" t="e">
        <f t="shared" ref="AU92:AU101" si="34">DAY(J92)</f>
        <v>#VALUE!</v>
      </c>
      <c r="AW92" t="e">
        <f t="shared" ref="AW92:AW101" si="35">YEAR(M92)</f>
        <v>#VALUE!</v>
      </c>
      <c r="AX92" t="e">
        <f t="shared" ref="AX92:AX101" si="36">MONTH(M92)</f>
        <v>#VALUE!</v>
      </c>
      <c r="AY92" t="e">
        <f t="shared" ref="AY92:AY101" si="37">DAY(M92)</f>
        <v>#VALUE!</v>
      </c>
      <c r="AZ92" t="e">
        <f t="shared" ref="AZ92:AZ101" si="38">OR(BA92,BB92,BC92)</f>
        <v>#VALUE!</v>
      </c>
      <c r="BA92" t="e">
        <f t="shared" ref="BA92:BA101" si="39">AW92=AS92</f>
        <v>#VALUE!</v>
      </c>
      <c r="BB92" t="e">
        <f t="shared" ref="BB92:BB101" si="40">AND(AW92=AS92+1,AX92&lt;AT92)</f>
        <v>#VALUE!</v>
      </c>
      <c r="BC92" t="e">
        <f t="shared" ref="BC92:BC101" si="41">AND(AW92=AS92+1,AX92=AT92,AY92&lt;=AU92)</f>
        <v>#VALUE!</v>
      </c>
    </row>
    <row r="93" spans="1:55" ht="26.25" customHeight="1">
      <c r="A93" s="2013">
        <f t="shared" si="22"/>
        <v>0</v>
      </c>
      <c r="B93" s="11382" t="str">
        <f t="shared" si="23"/>
        <v/>
      </c>
      <c r="C93" s="7430"/>
      <c r="D93" s="7430"/>
      <c r="E93" s="7430"/>
      <c r="F93" s="7430"/>
      <c r="G93" s="7430"/>
      <c r="H93" s="7430"/>
      <c r="I93" s="10855"/>
      <c r="J93" s="11383" t="str">
        <f t="shared" si="24"/>
        <v/>
      </c>
      <c r="K93" s="11384"/>
      <c r="L93" s="11384"/>
      <c r="M93" s="11383" t="str">
        <f t="shared" si="25"/>
        <v/>
      </c>
      <c r="N93" s="11384"/>
      <c r="O93" s="11384"/>
      <c r="P93" s="11385"/>
      <c r="Q93" s="8178" t="str">
        <f t="shared" si="26"/>
        <v/>
      </c>
      <c r="R93" s="7375"/>
      <c r="S93" s="7375"/>
      <c r="T93" s="7376"/>
      <c r="U93" s="8178" t="str">
        <f t="shared" si="27"/>
        <v/>
      </c>
      <c r="V93" s="7375"/>
      <c r="W93" s="7375"/>
      <c r="X93" s="7376"/>
      <c r="Y93" s="11387" t="str">
        <f t="shared" si="28"/>
        <v/>
      </c>
      <c r="Z93" s="7336"/>
      <c r="AA93" s="8178" t="str">
        <f t="shared" si="29"/>
        <v/>
      </c>
      <c r="AB93" s="11386"/>
      <c r="AC93" s="11401" t="str">
        <f t="shared" si="30"/>
        <v/>
      </c>
      <c r="AD93" s="11402"/>
      <c r="AE93" s="11402"/>
      <c r="AF93" s="11402"/>
      <c r="AG93" s="4271">
        <f t="shared" si="21"/>
        <v>0</v>
      </c>
      <c r="AH93" s="6014"/>
      <c r="AI93" s="6014" t="e">
        <f t="shared" si="31"/>
        <v>#VALUE!</v>
      </c>
      <c r="AJ93" s="293"/>
      <c r="AK93" s="297"/>
      <c r="AL93" s="297"/>
      <c r="AM93" s="295"/>
      <c r="AN93" s="295"/>
      <c r="AO93" s="296"/>
      <c r="AP93" s="295"/>
      <c r="AQ93" s="294"/>
      <c r="AS93" t="e">
        <f t="shared" si="32"/>
        <v>#VALUE!</v>
      </c>
      <c r="AT93" t="e">
        <f t="shared" si="33"/>
        <v>#VALUE!</v>
      </c>
      <c r="AU93" t="e">
        <f t="shared" si="34"/>
        <v>#VALUE!</v>
      </c>
      <c r="AW93" t="e">
        <f t="shared" si="35"/>
        <v>#VALUE!</v>
      </c>
      <c r="AX93" t="e">
        <f t="shared" si="36"/>
        <v>#VALUE!</v>
      </c>
      <c r="AY93" t="e">
        <f t="shared" si="37"/>
        <v>#VALUE!</v>
      </c>
      <c r="AZ93" t="e">
        <f t="shared" si="38"/>
        <v>#VALUE!</v>
      </c>
      <c r="BA93" t="e">
        <f t="shared" si="39"/>
        <v>#VALUE!</v>
      </c>
      <c r="BB93" t="e">
        <f t="shared" si="40"/>
        <v>#VALUE!</v>
      </c>
      <c r="BC93" t="e">
        <f t="shared" si="41"/>
        <v>#VALUE!</v>
      </c>
    </row>
    <row r="94" spans="1:55" ht="26.25" customHeight="1">
      <c r="A94" s="2013">
        <f t="shared" si="22"/>
        <v>0</v>
      </c>
      <c r="B94" s="11382" t="str">
        <f t="shared" si="23"/>
        <v/>
      </c>
      <c r="C94" s="7430"/>
      <c r="D94" s="7430"/>
      <c r="E94" s="7430"/>
      <c r="F94" s="7430"/>
      <c r="G94" s="7430"/>
      <c r="H94" s="7430"/>
      <c r="I94" s="10855"/>
      <c r="J94" s="11383" t="str">
        <f t="shared" si="24"/>
        <v/>
      </c>
      <c r="K94" s="11384"/>
      <c r="L94" s="11384"/>
      <c r="M94" s="11383" t="str">
        <f t="shared" si="25"/>
        <v/>
      </c>
      <c r="N94" s="11384"/>
      <c r="O94" s="11384"/>
      <c r="P94" s="11385"/>
      <c r="Q94" s="8178" t="str">
        <f t="shared" si="26"/>
        <v/>
      </c>
      <c r="R94" s="7375"/>
      <c r="S94" s="7375"/>
      <c r="T94" s="7376"/>
      <c r="U94" s="8178" t="str">
        <f t="shared" si="27"/>
        <v/>
      </c>
      <c r="V94" s="7375"/>
      <c r="W94" s="7375"/>
      <c r="X94" s="7376"/>
      <c r="Y94" s="11387" t="str">
        <f t="shared" si="28"/>
        <v/>
      </c>
      <c r="Z94" s="7336"/>
      <c r="AA94" s="8178" t="str">
        <f t="shared" si="29"/>
        <v/>
      </c>
      <c r="AB94" s="11386"/>
      <c r="AC94" s="11401" t="str">
        <f t="shared" si="30"/>
        <v/>
      </c>
      <c r="AD94" s="11402"/>
      <c r="AE94" s="11402"/>
      <c r="AF94" s="11402"/>
      <c r="AG94" s="4271">
        <f t="shared" si="21"/>
        <v>0</v>
      </c>
      <c r="AH94" s="6014"/>
      <c r="AI94" s="6014" t="e">
        <f t="shared" si="31"/>
        <v>#VALUE!</v>
      </c>
      <c r="AJ94" s="293"/>
      <c r="AK94" s="297"/>
      <c r="AL94" s="297"/>
      <c r="AM94" s="295"/>
      <c r="AN94" s="295"/>
      <c r="AO94" s="296"/>
      <c r="AP94" s="295"/>
      <c r="AQ94" s="294"/>
      <c r="AS94" t="e">
        <f t="shared" si="32"/>
        <v>#VALUE!</v>
      </c>
      <c r="AT94" t="e">
        <f t="shared" si="33"/>
        <v>#VALUE!</v>
      </c>
      <c r="AU94" t="e">
        <f t="shared" si="34"/>
        <v>#VALUE!</v>
      </c>
      <c r="AW94" t="e">
        <f t="shared" si="35"/>
        <v>#VALUE!</v>
      </c>
      <c r="AX94" t="e">
        <f t="shared" si="36"/>
        <v>#VALUE!</v>
      </c>
      <c r="AY94" t="e">
        <f t="shared" si="37"/>
        <v>#VALUE!</v>
      </c>
      <c r="AZ94" t="e">
        <f t="shared" si="38"/>
        <v>#VALUE!</v>
      </c>
      <c r="BA94" t="e">
        <f t="shared" si="39"/>
        <v>#VALUE!</v>
      </c>
      <c r="BB94" t="e">
        <f t="shared" si="40"/>
        <v>#VALUE!</v>
      </c>
      <c r="BC94" t="e">
        <f t="shared" si="41"/>
        <v>#VALUE!</v>
      </c>
    </row>
    <row r="95" spans="1:55" ht="26.25" customHeight="1">
      <c r="A95" s="2013">
        <f t="shared" si="22"/>
        <v>0</v>
      </c>
      <c r="B95" s="11382" t="str">
        <f t="shared" si="23"/>
        <v/>
      </c>
      <c r="C95" s="7430"/>
      <c r="D95" s="7430"/>
      <c r="E95" s="7430"/>
      <c r="F95" s="7430"/>
      <c r="G95" s="7430"/>
      <c r="H95" s="7430"/>
      <c r="I95" s="10855"/>
      <c r="J95" s="11383" t="str">
        <f t="shared" si="24"/>
        <v/>
      </c>
      <c r="K95" s="11384"/>
      <c r="L95" s="11384"/>
      <c r="M95" s="11383" t="str">
        <f t="shared" si="25"/>
        <v/>
      </c>
      <c r="N95" s="11384"/>
      <c r="O95" s="11384"/>
      <c r="P95" s="11385"/>
      <c r="Q95" s="8178" t="str">
        <f t="shared" si="26"/>
        <v/>
      </c>
      <c r="R95" s="7375"/>
      <c r="S95" s="7375"/>
      <c r="T95" s="7376"/>
      <c r="U95" s="8178" t="str">
        <f t="shared" si="27"/>
        <v/>
      </c>
      <c r="V95" s="7375"/>
      <c r="W95" s="7375"/>
      <c r="X95" s="7376"/>
      <c r="Y95" s="11387" t="str">
        <f t="shared" si="28"/>
        <v/>
      </c>
      <c r="Z95" s="7336"/>
      <c r="AA95" s="8178" t="str">
        <f t="shared" si="29"/>
        <v/>
      </c>
      <c r="AB95" s="11386"/>
      <c r="AC95" s="11401" t="str">
        <f t="shared" si="30"/>
        <v/>
      </c>
      <c r="AD95" s="11402"/>
      <c r="AE95" s="11402"/>
      <c r="AF95" s="11402"/>
      <c r="AG95" s="4271">
        <f t="shared" si="21"/>
        <v>0</v>
      </c>
      <c r="AH95" s="6014"/>
      <c r="AI95" s="6014" t="e">
        <f t="shared" si="31"/>
        <v>#VALUE!</v>
      </c>
      <c r="AJ95" s="293"/>
      <c r="AK95" s="297"/>
      <c r="AL95" s="297"/>
      <c r="AM95" s="295"/>
      <c r="AN95" s="295"/>
      <c r="AO95" s="296"/>
      <c r="AP95" s="295"/>
      <c r="AQ95" s="294"/>
      <c r="AS95" t="e">
        <f t="shared" si="32"/>
        <v>#VALUE!</v>
      </c>
      <c r="AT95" t="e">
        <f t="shared" si="33"/>
        <v>#VALUE!</v>
      </c>
      <c r="AU95" t="e">
        <f t="shared" si="34"/>
        <v>#VALUE!</v>
      </c>
      <c r="AW95" t="e">
        <f t="shared" si="35"/>
        <v>#VALUE!</v>
      </c>
      <c r="AX95" t="e">
        <f t="shared" si="36"/>
        <v>#VALUE!</v>
      </c>
      <c r="AY95" t="e">
        <f t="shared" si="37"/>
        <v>#VALUE!</v>
      </c>
      <c r="AZ95" t="e">
        <f t="shared" si="38"/>
        <v>#VALUE!</v>
      </c>
      <c r="BA95" t="e">
        <f t="shared" si="39"/>
        <v>#VALUE!</v>
      </c>
      <c r="BB95" t="e">
        <f t="shared" si="40"/>
        <v>#VALUE!</v>
      </c>
      <c r="BC95" t="e">
        <f t="shared" si="41"/>
        <v>#VALUE!</v>
      </c>
    </row>
    <row r="96" spans="1:55" ht="26.25" customHeight="1">
      <c r="A96" s="2013">
        <f t="shared" si="22"/>
        <v>0</v>
      </c>
      <c r="B96" s="11382" t="str">
        <f t="shared" si="23"/>
        <v/>
      </c>
      <c r="C96" s="7430"/>
      <c r="D96" s="7430"/>
      <c r="E96" s="7430"/>
      <c r="F96" s="7430"/>
      <c r="G96" s="7430"/>
      <c r="H96" s="7430"/>
      <c r="I96" s="10855"/>
      <c r="J96" s="11383" t="str">
        <f t="shared" si="24"/>
        <v/>
      </c>
      <c r="K96" s="11384"/>
      <c r="L96" s="11384"/>
      <c r="M96" s="11383" t="str">
        <f t="shared" si="25"/>
        <v/>
      </c>
      <c r="N96" s="11384"/>
      <c r="O96" s="11384"/>
      <c r="P96" s="11385"/>
      <c r="Q96" s="8178" t="str">
        <f t="shared" si="26"/>
        <v/>
      </c>
      <c r="R96" s="7375"/>
      <c r="S96" s="7375"/>
      <c r="T96" s="7376"/>
      <c r="U96" s="8178" t="str">
        <f t="shared" si="27"/>
        <v/>
      </c>
      <c r="V96" s="7375"/>
      <c r="W96" s="7375"/>
      <c r="X96" s="7376"/>
      <c r="Y96" s="11387" t="str">
        <f t="shared" si="28"/>
        <v/>
      </c>
      <c r="Z96" s="7336"/>
      <c r="AA96" s="8178" t="str">
        <f t="shared" si="29"/>
        <v/>
      </c>
      <c r="AB96" s="11386"/>
      <c r="AC96" s="11401" t="str">
        <f t="shared" si="30"/>
        <v/>
      </c>
      <c r="AD96" s="11402"/>
      <c r="AE96" s="11402"/>
      <c r="AF96" s="11402"/>
      <c r="AG96" s="4271">
        <f t="shared" si="21"/>
        <v>0</v>
      </c>
      <c r="AH96" s="6014"/>
      <c r="AI96" s="6014" t="e">
        <f t="shared" si="31"/>
        <v>#VALUE!</v>
      </c>
      <c r="AJ96" s="293"/>
      <c r="AK96" s="297"/>
      <c r="AL96" s="297"/>
      <c r="AM96" s="295"/>
      <c r="AN96" s="295"/>
      <c r="AO96" s="296"/>
      <c r="AP96" s="295"/>
      <c r="AQ96" s="294"/>
      <c r="AS96" t="e">
        <f t="shared" si="32"/>
        <v>#VALUE!</v>
      </c>
      <c r="AT96" t="e">
        <f t="shared" si="33"/>
        <v>#VALUE!</v>
      </c>
      <c r="AU96" t="e">
        <f t="shared" si="34"/>
        <v>#VALUE!</v>
      </c>
      <c r="AW96" t="e">
        <f t="shared" si="35"/>
        <v>#VALUE!</v>
      </c>
      <c r="AX96" t="e">
        <f t="shared" si="36"/>
        <v>#VALUE!</v>
      </c>
      <c r="AY96" t="e">
        <f t="shared" si="37"/>
        <v>#VALUE!</v>
      </c>
      <c r="AZ96" t="e">
        <f t="shared" si="38"/>
        <v>#VALUE!</v>
      </c>
      <c r="BA96" t="e">
        <f t="shared" si="39"/>
        <v>#VALUE!</v>
      </c>
      <c r="BB96" t="e">
        <f t="shared" si="40"/>
        <v>#VALUE!</v>
      </c>
      <c r="BC96" t="e">
        <f t="shared" si="41"/>
        <v>#VALUE!</v>
      </c>
    </row>
    <row r="97" spans="1:55" ht="26.25" customHeight="1">
      <c r="A97" s="2013">
        <f t="shared" si="22"/>
        <v>0</v>
      </c>
      <c r="B97" s="11382" t="str">
        <f t="shared" si="23"/>
        <v/>
      </c>
      <c r="C97" s="7430"/>
      <c r="D97" s="7430"/>
      <c r="E97" s="7430"/>
      <c r="F97" s="7430"/>
      <c r="G97" s="7430"/>
      <c r="H97" s="7430"/>
      <c r="I97" s="10855"/>
      <c r="J97" s="11383" t="str">
        <f t="shared" si="24"/>
        <v/>
      </c>
      <c r="K97" s="11384"/>
      <c r="L97" s="11384"/>
      <c r="M97" s="11383" t="str">
        <f t="shared" si="25"/>
        <v/>
      </c>
      <c r="N97" s="11384"/>
      <c r="O97" s="11384"/>
      <c r="P97" s="11385"/>
      <c r="Q97" s="8178" t="str">
        <f t="shared" si="26"/>
        <v/>
      </c>
      <c r="R97" s="7375"/>
      <c r="S97" s="7375"/>
      <c r="T97" s="7376"/>
      <c r="U97" s="8178" t="str">
        <f t="shared" si="27"/>
        <v/>
      </c>
      <c r="V97" s="7375"/>
      <c r="W97" s="7375"/>
      <c r="X97" s="7376"/>
      <c r="Y97" s="11387" t="str">
        <f t="shared" si="28"/>
        <v/>
      </c>
      <c r="Z97" s="7336"/>
      <c r="AA97" s="8178" t="str">
        <f t="shared" si="29"/>
        <v/>
      </c>
      <c r="AB97" s="11386"/>
      <c r="AC97" s="11401" t="str">
        <f t="shared" si="30"/>
        <v/>
      </c>
      <c r="AD97" s="11402"/>
      <c r="AE97" s="11402"/>
      <c r="AF97" s="11402"/>
      <c r="AG97" s="4271">
        <f t="shared" si="21"/>
        <v>0</v>
      </c>
      <c r="AH97" s="6014"/>
      <c r="AI97" s="6014" t="e">
        <f t="shared" si="31"/>
        <v>#VALUE!</v>
      </c>
      <c r="AJ97" s="293"/>
      <c r="AK97" s="297"/>
      <c r="AL97" s="297"/>
      <c r="AM97" s="295"/>
      <c r="AN97" s="295"/>
      <c r="AO97" s="296"/>
      <c r="AP97" s="295"/>
      <c r="AQ97" s="294"/>
      <c r="AS97" t="e">
        <f t="shared" si="32"/>
        <v>#VALUE!</v>
      </c>
      <c r="AT97" t="e">
        <f t="shared" si="33"/>
        <v>#VALUE!</v>
      </c>
      <c r="AU97" t="e">
        <f t="shared" si="34"/>
        <v>#VALUE!</v>
      </c>
      <c r="AW97" t="e">
        <f t="shared" si="35"/>
        <v>#VALUE!</v>
      </c>
      <c r="AX97" t="e">
        <f t="shared" si="36"/>
        <v>#VALUE!</v>
      </c>
      <c r="AY97" t="e">
        <f t="shared" si="37"/>
        <v>#VALUE!</v>
      </c>
      <c r="AZ97" t="e">
        <f t="shared" si="38"/>
        <v>#VALUE!</v>
      </c>
      <c r="BA97" t="e">
        <f t="shared" si="39"/>
        <v>#VALUE!</v>
      </c>
      <c r="BB97" t="e">
        <f t="shared" si="40"/>
        <v>#VALUE!</v>
      </c>
      <c r="BC97" t="e">
        <f t="shared" si="41"/>
        <v>#VALUE!</v>
      </c>
    </row>
    <row r="98" spans="1:55" ht="26.25" customHeight="1">
      <c r="A98" s="2013">
        <f t="shared" si="22"/>
        <v>0</v>
      </c>
      <c r="B98" s="11382" t="str">
        <f t="shared" si="23"/>
        <v/>
      </c>
      <c r="C98" s="7430"/>
      <c r="D98" s="7430"/>
      <c r="E98" s="7430"/>
      <c r="F98" s="7430"/>
      <c r="G98" s="7430"/>
      <c r="H98" s="7430"/>
      <c r="I98" s="10855"/>
      <c r="J98" s="11383" t="str">
        <f t="shared" si="24"/>
        <v/>
      </c>
      <c r="K98" s="11384"/>
      <c r="L98" s="11384"/>
      <c r="M98" s="11383" t="str">
        <f t="shared" si="25"/>
        <v/>
      </c>
      <c r="N98" s="11384"/>
      <c r="O98" s="11384"/>
      <c r="P98" s="11385"/>
      <c r="Q98" s="8178" t="str">
        <f t="shared" si="26"/>
        <v/>
      </c>
      <c r="R98" s="7375"/>
      <c r="S98" s="7375"/>
      <c r="T98" s="7376"/>
      <c r="U98" s="8178" t="str">
        <f t="shared" si="27"/>
        <v/>
      </c>
      <c r="V98" s="7375"/>
      <c r="W98" s="7375"/>
      <c r="X98" s="7376"/>
      <c r="Y98" s="11387" t="str">
        <f t="shared" si="28"/>
        <v/>
      </c>
      <c r="Z98" s="7336"/>
      <c r="AA98" s="8178" t="str">
        <f t="shared" si="29"/>
        <v/>
      </c>
      <c r="AB98" s="11386"/>
      <c r="AC98" s="11401" t="str">
        <f t="shared" si="30"/>
        <v/>
      </c>
      <c r="AD98" s="11402"/>
      <c r="AE98" s="11402"/>
      <c r="AF98" s="11402"/>
      <c r="AG98" s="4271">
        <f t="shared" si="21"/>
        <v>0</v>
      </c>
      <c r="AH98" s="6014"/>
      <c r="AI98" s="6014" t="e">
        <f t="shared" si="31"/>
        <v>#VALUE!</v>
      </c>
      <c r="AJ98" s="293"/>
      <c r="AK98" s="297"/>
      <c r="AL98" s="297"/>
      <c r="AM98" s="295"/>
      <c r="AN98" s="295"/>
      <c r="AO98" s="296"/>
      <c r="AP98" s="295"/>
      <c r="AQ98" s="294"/>
      <c r="AS98" t="e">
        <f t="shared" si="32"/>
        <v>#VALUE!</v>
      </c>
      <c r="AT98" t="e">
        <f t="shared" si="33"/>
        <v>#VALUE!</v>
      </c>
      <c r="AU98" t="e">
        <f t="shared" si="34"/>
        <v>#VALUE!</v>
      </c>
      <c r="AW98" t="e">
        <f t="shared" si="35"/>
        <v>#VALUE!</v>
      </c>
      <c r="AX98" t="e">
        <f t="shared" si="36"/>
        <v>#VALUE!</v>
      </c>
      <c r="AY98" t="e">
        <f t="shared" si="37"/>
        <v>#VALUE!</v>
      </c>
      <c r="AZ98" t="e">
        <f t="shared" si="38"/>
        <v>#VALUE!</v>
      </c>
      <c r="BA98" t="e">
        <f t="shared" si="39"/>
        <v>#VALUE!</v>
      </c>
      <c r="BB98" t="e">
        <f t="shared" si="40"/>
        <v>#VALUE!</v>
      </c>
      <c r="BC98" t="e">
        <f t="shared" si="41"/>
        <v>#VALUE!</v>
      </c>
    </row>
    <row r="99" spans="1:55" ht="26.25" customHeight="1">
      <c r="A99" s="2013">
        <f t="shared" si="22"/>
        <v>0</v>
      </c>
      <c r="B99" s="11382" t="str">
        <f t="shared" si="23"/>
        <v/>
      </c>
      <c r="C99" s="7430"/>
      <c r="D99" s="7430"/>
      <c r="E99" s="7430"/>
      <c r="F99" s="7430"/>
      <c r="G99" s="7430"/>
      <c r="H99" s="7430"/>
      <c r="I99" s="10855"/>
      <c r="J99" s="11383" t="str">
        <f t="shared" si="24"/>
        <v/>
      </c>
      <c r="K99" s="11384"/>
      <c r="L99" s="11384"/>
      <c r="M99" s="11383" t="str">
        <f t="shared" si="25"/>
        <v/>
      </c>
      <c r="N99" s="11384"/>
      <c r="O99" s="11384"/>
      <c r="P99" s="11385"/>
      <c r="Q99" s="8178" t="str">
        <f t="shared" si="26"/>
        <v/>
      </c>
      <c r="R99" s="7375"/>
      <c r="S99" s="7375"/>
      <c r="T99" s="7376"/>
      <c r="U99" s="8178" t="str">
        <f t="shared" si="27"/>
        <v/>
      </c>
      <c r="V99" s="7375"/>
      <c r="W99" s="7375"/>
      <c r="X99" s="7376"/>
      <c r="Y99" s="11387" t="str">
        <f t="shared" si="28"/>
        <v/>
      </c>
      <c r="Z99" s="7336"/>
      <c r="AA99" s="8178" t="str">
        <f t="shared" si="29"/>
        <v/>
      </c>
      <c r="AB99" s="11386"/>
      <c r="AC99" s="11401" t="str">
        <f t="shared" si="30"/>
        <v/>
      </c>
      <c r="AD99" s="11402"/>
      <c r="AE99" s="11402"/>
      <c r="AF99" s="11402"/>
      <c r="AG99" s="4271">
        <f t="shared" si="21"/>
        <v>0</v>
      </c>
      <c r="AH99" s="6014"/>
      <c r="AI99" s="6014" t="e">
        <f t="shared" si="31"/>
        <v>#VALUE!</v>
      </c>
      <c r="AJ99" s="293"/>
      <c r="AK99" s="297"/>
      <c r="AL99" s="297"/>
      <c r="AM99" s="295"/>
      <c r="AN99" s="295"/>
      <c r="AO99" s="296"/>
      <c r="AP99" s="295"/>
      <c r="AQ99" s="294"/>
      <c r="AS99" t="e">
        <f t="shared" si="32"/>
        <v>#VALUE!</v>
      </c>
      <c r="AT99" t="e">
        <f t="shared" si="33"/>
        <v>#VALUE!</v>
      </c>
      <c r="AU99" t="e">
        <f t="shared" si="34"/>
        <v>#VALUE!</v>
      </c>
      <c r="AW99" t="e">
        <f t="shared" si="35"/>
        <v>#VALUE!</v>
      </c>
      <c r="AX99" t="e">
        <f t="shared" si="36"/>
        <v>#VALUE!</v>
      </c>
      <c r="AY99" t="e">
        <f t="shared" si="37"/>
        <v>#VALUE!</v>
      </c>
      <c r="AZ99" t="e">
        <f t="shared" si="38"/>
        <v>#VALUE!</v>
      </c>
      <c r="BA99" t="e">
        <f t="shared" si="39"/>
        <v>#VALUE!</v>
      </c>
      <c r="BB99" t="e">
        <f t="shared" si="40"/>
        <v>#VALUE!</v>
      </c>
      <c r="BC99" t="e">
        <f t="shared" si="41"/>
        <v>#VALUE!</v>
      </c>
    </row>
    <row r="100" spans="1:55" ht="26.25" customHeight="1">
      <c r="A100" s="2013">
        <f t="shared" si="22"/>
        <v>0</v>
      </c>
      <c r="B100" s="11382" t="str">
        <f t="shared" si="23"/>
        <v/>
      </c>
      <c r="C100" s="7430"/>
      <c r="D100" s="7430"/>
      <c r="E100" s="7430"/>
      <c r="F100" s="7430"/>
      <c r="G100" s="7430"/>
      <c r="H100" s="7430"/>
      <c r="I100" s="10855"/>
      <c r="J100" s="11383" t="str">
        <f t="shared" si="24"/>
        <v/>
      </c>
      <c r="K100" s="11384"/>
      <c r="L100" s="11384"/>
      <c r="M100" s="11383" t="str">
        <f t="shared" si="25"/>
        <v/>
      </c>
      <c r="N100" s="11384"/>
      <c r="O100" s="11384"/>
      <c r="P100" s="11385"/>
      <c r="Q100" s="8178" t="str">
        <f t="shared" si="26"/>
        <v/>
      </c>
      <c r="R100" s="7375"/>
      <c r="S100" s="7375"/>
      <c r="T100" s="7376"/>
      <c r="U100" s="8178" t="str">
        <f t="shared" si="27"/>
        <v/>
      </c>
      <c r="V100" s="7375"/>
      <c r="W100" s="7375"/>
      <c r="X100" s="7376"/>
      <c r="Y100" s="11387" t="str">
        <f t="shared" si="28"/>
        <v/>
      </c>
      <c r="Z100" s="7336"/>
      <c r="AA100" s="8178" t="str">
        <f t="shared" si="29"/>
        <v/>
      </c>
      <c r="AB100" s="11386"/>
      <c r="AC100" s="11401" t="str">
        <f t="shared" si="30"/>
        <v/>
      </c>
      <c r="AD100" s="11402"/>
      <c r="AE100" s="11402"/>
      <c r="AF100" s="11402"/>
      <c r="AG100" s="4271">
        <f t="shared" si="21"/>
        <v>0</v>
      </c>
      <c r="AH100" s="6014"/>
      <c r="AI100" s="6014" t="e">
        <f t="shared" si="31"/>
        <v>#VALUE!</v>
      </c>
      <c r="AJ100" s="293"/>
      <c r="AK100" s="297"/>
      <c r="AL100" s="297"/>
      <c r="AM100" s="295"/>
      <c r="AN100" s="295"/>
      <c r="AO100" s="296"/>
      <c r="AP100" s="295"/>
      <c r="AQ100" s="294"/>
      <c r="AS100" t="e">
        <f t="shared" si="32"/>
        <v>#VALUE!</v>
      </c>
      <c r="AT100" t="e">
        <f t="shared" si="33"/>
        <v>#VALUE!</v>
      </c>
      <c r="AU100" t="e">
        <f t="shared" si="34"/>
        <v>#VALUE!</v>
      </c>
      <c r="AW100" t="e">
        <f t="shared" si="35"/>
        <v>#VALUE!</v>
      </c>
      <c r="AX100" t="e">
        <f t="shared" si="36"/>
        <v>#VALUE!</v>
      </c>
      <c r="AY100" t="e">
        <f t="shared" si="37"/>
        <v>#VALUE!</v>
      </c>
      <c r="AZ100" t="e">
        <f t="shared" si="38"/>
        <v>#VALUE!</v>
      </c>
      <c r="BA100" t="e">
        <f t="shared" si="39"/>
        <v>#VALUE!</v>
      </c>
      <c r="BB100" t="e">
        <f t="shared" si="40"/>
        <v>#VALUE!</v>
      </c>
      <c r="BC100" t="e">
        <f t="shared" si="41"/>
        <v>#VALUE!</v>
      </c>
    </row>
    <row r="101" spans="1:55" ht="26.25" customHeight="1">
      <c r="A101" s="2013">
        <f t="shared" si="22"/>
        <v>0</v>
      </c>
      <c r="B101" s="11382" t="str">
        <f t="shared" si="23"/>
        <v/>
      </c>
      <c r="C101" s="7430"/>
      <c r="D101" s="7430"/>
      <c r="E101" s="7430"/>
      <c r="F101" s="7430"/>
      <c r="G101" s="7430"/>
      <c r="H101" s="7430"/>
      <c r="I101" s="10855"/>
      <c r="J101" s="11383" t="str">
        <f t="shared" si="24"/>
        <v/>
      </c>
      <c r="K101" s="11384"/>
      <c r="L101" s="11384"/>
      <c r="M101" s="11383" t="str">
        <f t="shared" si="25"/>
        <v/>
      </c>
      <c r="N101" s="11384"/>
      <c r="O101" s="11384"/>
      <c r="P101" s="11385"/>
      <c r="Q101" s="8178" t="str">
        <f t="shared" si="26"/>
        <v/>
      </c>
      <c r="R101" s="7375"/>
      <c r="S101" s="7375"/>
      <c r="T101" s="7376"/>
      <c r="U101" s="8178" t="str">
        <f t="shared" si="27"/>
        <v/>
      </c>
      <c r="V101" s="7375"/>
      <c r="W101" s="7375"/>
      <c r="X101" s="7376"/>
      <c r="Y101" s="11387" t="str">
        <f t="shared" si="28"/>
        <v/>
      </c>
      <c r="Z101" s="7336"/>
      <c r="AA101" s="8178" t="str">
        <f t="shared" si="29"/>
        <v/>
      </c>
      <c r="AB101" s="11386"/>
      <c r="AC101" s="11401" t="str">
        <f t="shared" si="30"/>
        <v/>
      </c>
      <c r="AD101" s="11402"/>
      <c r="AE101" s="11402"/>
      <c r="AF101" s="11402"/>
      <c r="AG101" s="4271">
        <f t="shared" si="21"/>
        <v>0</v>
      </c>
      <c r="AH101" s="6014"/>
      <c r="AI101" s="6014" t="e">
        <f t="shared" si="31"/>
        <v>#VALUE!</v>
      </c>
      <c r="AJ101" s="293"/>
      <c r="AK101" s="297"/>
      <c r="AL101" s="297"/>
      <c r="AM101" s="295"/>
      <c r="AN101" s="295"/>
      <c r="AO101" s="296"/>
      <c r="AP101" s="295"/>
      <c r="AQ101" s="294"/>
      <c r="AS101" t="e">
        <f t="shared" si="32"/>
        <v>#VALUE!</v>
      </c>
      <c r="AT101" t="e">
        <f t="shared" si="33"/>
        <v>#VALUE!</v>
      </c>
      <c r="AU101" t="e">
        <f t="shared" si="34"/>
        <v>#VALUE!</v>
      </c>
      <c r="AW101" t="e">
        <f t="shared" si="35"/>
        <v>#VALUE!</v>
      </c>
      <c r="AX101" t="e">
        <f t="shared" si="36"/>
        <v>#VALUE!</v>
      </c>
      <c r="AY101" t="e">
        <f t="shared" si="37"/>
        <v>#VALUE!</v>
      </c>
      <c r="AZ101" t="e">
        <f t="shared" si="38"/>
        <v>#VALUE!</v>
      </c>
      <c r="BA101" t="e">
        <f t="shared" si="39"/>
        <v>#VALUE!</v>
      </c>
      <c r="BB101" t="e">
        <f t="shared" si="40"/>
        <v>#VALUE!</v>
      </c>
      <c r="BC101" t="e">
        <f t="shared" si="41"/>
        <v>#VALUE!</v>
      </c>
    </row>
    <row r="102" spans="1:55" ht="12" customHeight="1">
      <c r="A102" s="2013">
        <f>SUM(A91:A101)</f>
        <v>0</v>
      </c>
      <c r="B102" s="11445">
        <v>2</v>
      </c>
      <c r="C102" s="11421" t="s">
        <v>6417</v>
      </c>
      <c r="D102" s="11422"/>
      <c r="E102" s="11422"/>
      <c r="F102" s="11422"/>
      <c r="G102" s="11422"/>
      <c r="H102" s="11422"/>
      <c r="I102" s="11422"/>
      <c r="J102" s="11422"/>
      <c r="K102" s="11422"/>
      <c r="L102" s="11422"/>
      <c r="M102" s="11422"/>
      <c r="N102" s="11422"/>
      <c r="O102" s="11422"/>
      <c r="P102" s="11422"/>
      <c r="Q102" s="11409" t="str">
        <f>IF(A102=0,"",ROUND(SUM(Q91:Q101),0))</f>
        <v/>
      </c>
      <c r="R102" s="11410"/>
      <c r="S102" s="11410"/>
      <c r="T102" s="11411"/>
      <c r="U102" s="11409" t="str">
        <f>IF(A102=0,"",ROUND(SUM(U91:U101),0))</f>
        <v/>
      </c>
      <c r="V102" s="11410"/>
      <c r="W102" s="11410"/>
      <c r="X102" s="11411"/>
      <c r="Y102" s="11403"/>
      <c r="Z102" s="11404"/>
      <c r="AA102" s="11409" t="str">
        <f>IF(A102=0,"",ROUND(SUM(AA91:AA101),0))</f>
        <v/>
      </c>
      <c r="AB102" s="11411"/>
      <c r="AC102" s="11409" t="str">
        <f>IF(A102=0,"",ROUND(SUM(AC91:AC101),0))</f>
        <v/>
      </c>
      <c r="AD102" s="11410"/>
      <c r="AE102" s="11410"/>
      <c r="AF102" s="11410"/>
      <c r="AG102" s="2013"/>
    </row>
    <row r="103" spans="1:55" ht="12" customHeight="1">
      <c r="A103" s="2013"/>
      <c r="B103" s="11446"/>
      <c r="C103" s="11423"/>
      <c r="D103" s="11423"/>
      <c r="E103" s="11423"/>
      <c r="F103" s="11423"/>
      <c r="G103" s="11423"/>
      <c r="H103" s="11423"/>
      <c r="I103" s="11423"/>
      <c r="J103" s="11423"/>
      <c r="K103" s="11423"/>
      <c r="L103" s="11423"/>
      <c r="M103" s="11423"/>
      <c r="N103" s="11423"/>
      <c r="O103" s="11423"/>
      <c r="P103" s="11423"/>
      <c r="Q103" s="11412"/>
      <c r="R103" s="11413"/>
      <c r="S103" s="11413"/>
      <c r="T103" s="11414"/>
      <c r="U103" s="11412"/>
      <c r="V103" s="11413"/>
      <c r="W103" s="11413"/>
      <c r="X103" s="11414"/>
      <c r="Y103" s="11405"/>
      <c r="Z103" s="11406"/>
      <c r="AA103" s="11412"/>
      <c r="AB103" s="11414"/>
      <c r="AC103" s="11412"/>
      <c r="AD103" s="11413"/>
      <c r="AE103" s="11413"/>
      <c r="AF103" s="11413"/>
      <c r="AG103" s="2013"/>
    </row>
    <row r="104" spans="1:55" ht="12" customHeight="1">
      <c r="A104" s="2013"/>
      <c r="B104" s="11446"/>
      <c r="C104" s="11423"/>
      <c r="D104" s="11423"/>
      <c r="E104" s="11423"/>
      <c r="F104" s="11423"/>
      <c r="G104" s="11423"/>
      <c r="H104" s="11423"/>
      <c r="I104" s="11423"/>
      <c r="J104" s="11423"/>
      <c r="K104" s="11423"/>
      <c r="L104" s="11423"/>
      <c r="M104" s="11423"/>
      <c r="N104" s="11423"/>
      <c r="O104" s="11423"/>
      <c r="P104" s="11423"/>
      <c r="Q104" s="11412"/>
      <c r="R104" s="11413"/>
      <c r="S104" s="11413"/>
      <c r="T104" s="11414"/>
      <c r="U104" s="11412"/>
      <c r="V104" s="11413"/>
      <c r="W104" s="11413"/>
      <c r="X104" s="11414"/>
      <c r="Y104" s="11405"/>
      <c r="Z104" s="11406"/>
      <c r="AA104" s="11412"/>
      <c r="AB104" s="11414"/>
      <c r="AC104" s="11412"/>
      <c r="AD104" s="11413"/>
      <c r="AE104" s="11413"/>
      <c r="AF104" s="11413"/>
      <c r="AG104" s="2013"/>
    </row>
    <row r="105" spans="1:55" ht="12" customHeight="1">
      <c r="A105" s="2013"/>
      <c r="B105" s="11446"/>
      <c r="C105" s="11423"/>
      <c r="D105" s="11423"/>
      <c r="E105" s="11423"/>
      <c r="F105" s="11423"/>
      <c r="G105" s="11423"/>
      <c r="H105" s="11423"/>
      <c r="I105" s="11423"/>
      <c r="J105" s="11423"/>
      <c r="K105" s="11423"/>
      <c r="L105" s="11423"/>
      <c r="M105" s="11423"/>
      <c r="N105" s="11423"/>
      <c r="O105" s="11423"/>
      <c r="P105" s="11423"/>
      <c r="Q105" s="11412"/>
      <c r="R105" s="11413"/>
      <c r="S105" s="11413"/>
      <c r="T105" s="11414"/>
      <c r="U105" s="11412"/>
      <c r="V105" s="11413"/>
      <c r="W105" s="11413"/>
      <c r="X105" s="11414"/>
      <c r="Y105" s="11405"/>
      <c r="Z105" s="11406"/>
      <c r="AA105" s="11412"/>
      <c r="AB105" s="11414"/>
      <c r="AC105" s="11412"/>
      <c r="AD105" s="11413"/>
      <c r="AE105" s="11413"/>
      <c r="AF105" s="11413"/>
      <c r="AG105" s="2013"/>
    </row>
    <row r="106" spans="1:55" ht="12" customHeight="1" thickBot="1">
      <c r="A106" s="2013"/>
      <c r="B106" s="11446"/>
      <c r="C106" s="11423"/>
      <c r="D106" s="11423"/>
      <c r="E106" s="11423"/>
      <c r="F106" s="11423"/>
      <c r="G106" s="11423"/>
      <c r="H106" s="11423"/>
      <c r="I106" s="11423"/>
      <c r="J106" s="11423"/>
      <c r="K106" s="11423"/>
      <c r="L106" s="11423"/>
      <c r="M106" s="11423"/>
      <c r="N106" s="11423"/>
      <c r="O106" s="11423"/>
      <c r="P106" s="11423"/>
      <c r="Q106" s="11412"/>
      <c r="R106" s="11413"/>
      <c r="S106" s="11413"/>
      <c r="T106" s="11414"/>
      <c r="U106" s="11447"/>
      <c r="V106" s="11448"/>
      <c r="W106" s="11448"/>
      <c r="X106" s="11449"/>
      <c r="Y106" s="11407"/>
      <c r="Z106" s="11408"/>
      <c r="AA106" s="11415"/>
      <c r="AB106" s="11417"/>
      <c r="AC106" s="11412"/>
      <c r="AD106" s="11413"/>
      <c r="AE106" s="11413"/>
      <c r="AF106" s="11413"/>
      <c r="AG106" s="2013"/>
    </row>
    <row r="107" spans="1:55" ht="25.5" customHeight="1" thickBot="1">
      <c r="A107" s="2013"/>
      <c r="B107" s="11418" t="s">
        <v>6414</v>
      </c>
      <c r="C107" s="11419"/>
      <c r="D107" s="11419"/>
      <c r="E107" s="11419"/>
      <c r="F107" s="11419"/>
      <c r="G107" s="11419"/>
      <c r="H107" s="11419"/>
      <c r="I107" s="11419"/>
      <c r="J107" s="11419"/>
      <c r="K107" s="11419"/>
      <c r="L107" s="11419"/>
      <c r="M107" s="11419"/>
      <c r="N107" s="11419"/>
      <c r="O107" s="11419"/>
      <c r="P107" s="11419"/>
      <c r="Q107" s="11419"/>
      <c r="R107" s="11419"/>
      <c r="S107" s="11419"/>
      <c r="T107" s="11419"/>
      <c r="U107" s="11420"/>
      <c r="V107" s="11420"/>
      <c r="W107" s="11420"/>
      <c r="X107" s="11420"/>
      <c r="Y107" s="11419"/>
      <c r="Z107" s="11419"/>
      <c r="AA107" s="11419"/>
      <c r="AB107" s="11419"/>
      <c r="AC107" s="11419"/>
      <c r="AD107" s="11419"/>
      <c r="AE107" s="11419"/>
      <c r="AF107" s="11419"/>
      <c r="AG107" s="2013"/>
    </row>
    <row r="108" spans="1:55" s="141" customFormat="1" ht="14.25" customHeight="1" thickTop="1">
      <c r="A108" s="2306"/>
      <c r="B108" s="6015"/>
      <c r="C108" s="88"/>
      <c r="D108" s="88"/>
      <c r="E108" s="88"/>
      <c r="F108" s="88"/>
      <c r="G108" s="88"/>
      <c r="H108" s="88"/>
      <c r="I108" s="88"/>
      <c r="J108" s="88"/>
      <c r="K108" s="88"/>
      <c r="L108" s="88"/>
      <c r="M108" s="88"/>
      <c r="N108" s="88"/>
      <c r="O108" s="88"/>
      <c r="P108" s="88"/>
      <c r="Q108" s="88"/>
      <c r="R108" s="88"/>
      <c r="S108" s="88"/>
      <c r="T108" s="88"/>
      <c r="U108" s="3931"/>
      <c r="V108" s="88"/>
      <c r="W108" s="88"/>
      <c r="X108" s="88"/>
      <c r="Y108" s="88"/>
      <c r="Z108" s="88"/>
      <c r="AA108" s="88"/>
      <c r="AB108" s="88"/>
      <c r="AC108" s="88"/>
      <c r="AD108" s="2052" t="s">
        <v>4481</v>
      </c>
      <c r="AE108" s="88"/>
      <c r="AF108" s="6016" t="str">
        <f>"("&amp;TaxYear&amp;")"</f>
        <v>(2025)</v>
      </c>
      <c r="AG108" s="2306"/>
      <c r="AH108" s="502"/>
      <c r="AI108" s="502"/>
      <c r="AS108"/>
      <c r="AT108"/>
      <c r="AU108"/>
      <c r="AV108"/>
      <c r="AW108"/>
      <c r="AX108"/>
      <c r="AY108"/>
      <c r="AZ108"/>
      <c r="BA108"/>
      <c r="BB108"/>
      <c r="BC108"/>
    </row>
    <row r="109" spans="1:55">
      <c r="A109" s="2013"/>
      <c r="B109" s="2013"/>
      <c r="C109" s="2013"/>
      <c r="D109" s="2013"/>
      <c r="E109" s="2013"/>
      <c r="F109" s="2013"/>
      <c r="G109" s="2013"/>
      <c r="H109" s="2013"/>
      <c r="I109" s="2013"/>
      <c r="J109" s="2013"/>
      <c r="K109" s="2013"/>
      <c r="L109" s="2013"/>
      <c r="M109" s="2013"/>
      <c r="N109" s="2013"/>
      <c r="O109" s="2013"/>
      <c r="P109" s="2013"/>
      <c r="Q109" s="2013"/>
      <c r="R109" s="2013"/>
      <c r="S109" s="2013"/>
      <c r="T109" s="2013"/>
      <c r="U109" s="2013"/>
      <c r="V109" s="2013"/>
      <c r="W109" s="2013"/>
      <c r="X109" s="2013"/>
      <c r="Y109" s="2013"/>
      <c r="Z109" s="2013"/>
      <c r="AA109" s="2013"/>
      <c r="AB109" s="2013"/>
      <c r="AC109" s="2013"/>
      <c r="AD109" s="2013"/>
      <c r="AE109" s="2013"/>
      <c r="AF109" s="2013"/>
      <c r="AG109" s="2013"/>
    </row>
  </sheetData>
  <sheetProtection algorithmName="SHA-512" hashValue="DwEmCd35b292l1l/m3/xEAPQ075/dJucA6Mw37z/KqUlr9g7FGbeHpF/Gn8R57gBX2WchJ3gAI0S9xCQWVOGTw==" saltValue="YANHkV5s9pxFGJVOJAjc7g==" spinCount="100000" sheet="1" objects="1" scenarios="1" formatCells="0" formatColumns="0" formatRows="0"/>
  <mergeCells count="266">
    <mergeCell ref="H8:AA9"/>
    <mergeCell ref="AB8:AD9"/>
    <mergeCell ref="AE8:AF9"/>
    <mergeCell ref="B11:U11"/>
    <mergeCell ref="V11:AF11"/>
    <mergeCell ref="B12:AF14"/>
    <mergeCell ref="B2:K2"/>
    <mergeCell ref="B4:F6"/>
    <mergeCell ref="H4:AA6"/>
    <mergeCell ref="AB4:AF4"/>
    <mergeCell ref="AB5:AF7"/>
    <mergeCell ref="H7:AA7"/>
    <mergeCell ref="B16:C16"/>
    <mergeCell ref="BA22:BC22"/>
    <mergeCell ref="BA23:BA40"/>
    <mergeCell ref="BB23:BB40"/>
    <mergeCell ref="BC23:BC40"/>
    <mergeCell ref="AJ25:AQ25"/>
    <mergeCell ref="AJ27:AQ27"/>
    <mergeCell ref="AJ29:AQ29"/>
    <mergeCell ref="AJ31:AQ31"/>
    <mergeCell ref="AJ33:AQ33"/>
    <mergeCell ref="AQ37:AQ40"/>
    <mergeCell ref="AJ35:AQ35"/>
    <mergeCell ref="B37:B40"/>
    <mergeCell ref="C37:I40"/>
    <mergeCell ref="J37:L40"/>
    <mergeCell ref="M37:P40"/>
    <mergeCell ref="Q37:T40"/>
    <mergeCell ref="U37:X40"/>
    <mergeCell ref="Y37:AB38"/>
    <mergeCell ref="AC37:AF40"/>
    <mergeCell ref="AJ37:AJ40"/>
    <mergeCell ref="Y39:Z40"/>
    <mergeCell ref="AA39:AB40"/>
    <mergeCell ref="AO39:AO40"/>
    <mergeCell ref="AP39:AP40"/>
    <mergeCell ref="B41:I41"/>
    <mergeCell ref="J41:L41"/>
    <mergeCell ref="M41:P41"/>
    <mergeCell ref="Q41:T41"/>
    <mergeCell ref="U41:X41"/>
    <mergeCell ref="Y41:Z41"/>
    <mergeCell ref="AK37:AK40"/>
    <mergeCell ref="AL37:AL40"/>
    <mergeCell ref="AM37:AM40"/>
    <mergeCell ref="AN37:AN40"/>
    <mergeCell ref="AO37:AP38"/>
    <mergeCell ref="AA41:AB41"/>
    <mergeCell ref="AC41:AF41"/>
    <mergeCell ref="B42:I42"/>
    <mergeCell ref="J42:L42"/>
    <mergeCell ref="M42:P42"/>
    <mergeCell ref="Q42:T42"/>
    <mergeCell ref="U42:X42"/>
    <mergeCell ref="Y42:Z42"/>
    <mergeCell ref="AA42:AB42"/>
    <mergeCell ref="AC42:AF42"/>
    <mergeCell ref="AA43:AB43"/>
    <mergeCell ref="AC43:AF43"/>
    <mergeCell ref="B44:I44"/>
    <mergeCell ref="J44:L44"/>
    <mergeCell ref="M44:P44"/>
    <mergeCell ref="Q44:T44"/>
    <mergeCell ref="U44:X44"/>
    <mergeCell ref="Y44:Z44"/>
    <mergeCell ref="AA44:AB44"/>
    <mergeCell ref="AC44:AF44"/>
    <mergeCell ref="B43:I43"/>
    <mergeCell ref="J43:L43"/>
    <mergeCell ref="M43:P43"/>
    <mergeCell ref="Q43:T43"/>
    <mergeCell ref="U43:X43"/>
    <mergeCell ref="Y43:Z43"/>
    <mergeCell ref="AA45:AB45"/>
    <mergeCell ref="AC45:AF45"/>
    <mergeCell ref="B46:I46"/>
    <mergeCell ref="J46:L46"/>
    <mergeCell ref="M46:P46"/>
    <mergeCell ref="Q46:T46"/>
    <mergeCell ref="U46:X46"/>
    <mergeCell ref="Y46:Z46"/>
    <mergeCell ref="AA46:AB46"/>
    <mergeCell ref="AC46:AF46"/>
    <mergeCell ref="B45:I45"/>
    <mergeCell ref="J45:L45"/>
    <mergeCell ref="M45:P45"/>
    <mergeCell ref="Q45:T45"/>
    <mergeCell ref="U45:X45"/>
    <mergeCell ref="Y45:Z45"/>
    <mergeCell ref="AA47:AB47"/>
    <mergeCell ref="AC47:AF47"/>
    <mergeCell ref="B48:I48"/>
    <mergeCell ref="J48:L48"/>
    <mergeCell ref="M48:P48"/>
    <mergeCell ref="Q48:T48"/>
    <mergeCell ref="U48:X48"/>
    <mergeCell ref="Y48:Z48"/>
    <mergeCell ref="AA48:AB48"/>
    <mergeCell ref="AC48:AF48"/>
    <mergeCell ref="B47:I47"/>
    <mergeCell ref="J47:L47"/>
    <mergeCell ref="M47:P47"/>
    <mergeCell ref="Q47:T47"/>
    <mergeCell ref="U47:X47"/>
    <mergeCell ref="Y47:Z47"/>
    <mergeCell ref="AA49:AB49"/>
    <mergeCell ref="AC49:AF49"/>
    <mergeCell ref="B50:I50"/>
    <mergeCell ref="J50:L50"/>
    <mergeCell ref="M50:P50"/>
    <mergeCell ref="Q50:T50"/>
    <mergeCell ref="U50:X50"/>
    <mergeCell ref="Y50:Z50"/>
    <mergeCell ref="AA50:AB50"/>
    <mergeCell ref="AC50:AF50"/>
    <mergeCell ref="B49:I49"/>
    <mergeCell ref="J49:L49"/>
    <mergeCell ref="M49:P49"/>
    <mergeCell ref="Q49:T49"/>
    <mergeCell ref="U49:X49"/>
    <mergeCell ref="Y49:Z49"/>
    <mergeCell ref="B57:AF57"/>
    <mergeCell ref="B61:U61"/>
    <mergeCell ref="V61:AF61"/>
    <mergeCell ref="B62:AF64"/>
    <mergeCell ref="B66:C66"/>
    <mergeCell ref="BA72:BC72"/>
    <mergeCell ref="AA51:AB51"/>
    <mergeCell ref="AC51:AF51"/>
    <mergeCell ref="B52:B56"/>
    <mergeCell ref="C52:P56"/>
    <mergeCell ref="Q52:T56"/>
    <mergeCell ref="U52:X56"/>
    <mergeCell ref="Y52:Z56"/>
    <mergeCell ref="AA52:AB56"/>
    <mergeCell ref="AC52:AF56"/>
    <mergeCell ref="B51:I51"/>
    <mergeCell ref="J51:L51"/>
    <mergeCell ref="M51:P51"/>
    <mergeCell ref="Q51:T51"/>
    <mergeCell ref="U51:X51"/>
    <mergeCell ref="Y51:Z51"/>
    <mergeCell ref="BA73:BA90"/>
    <mergeCell ref="BB73:BB90"/>
    <mergeCell ref="BC73:BC90"/>
    <mergeCell ref="AJ75:AQ75"/>
    <mergeCell ref="AJ77:AQ77"/>
    <mergeCell ref="AJ81:AQ81"/>
    <mergeCell ref="AJ83:AQ83"/>
    <mergeCell ref="AN87:AN90"/>
    <mergeCell ref="AO87:AP88"/>
    <mergeCell ref="AJ85:AQ85"/>
    <mergeCell ref="AQ87:AQ90"/>
    <mergeCell ref="AO89:AO90"/>
    <mergeCell ref="AP89:AP90"/>
    <mergeCell ref="AJ87:AJ90"/>
    <mergeCell ref="AK87:AK90"/>
    <mergeCell ref="AL87:AL90"/>
    <mergeCell ref="AM87:AM90"/>
    <mergeCell ref="B91:I91"/>
    <mergeCell ref="J91:L91"/>
    <mergeCell ref="M91:P91"/>
    <mergeCell ref="Q91:T91"/>
    <mergeCell ref="U91:X91"/>
    <mergeCell ref="Y91:Z91"/>
    <mergeCell ref="AA91:AB91"/>
    <mergeCell ref="AC91:AF91"/>
    <mergeCell ref="Y87:AB88"/>
    <mergeCell ref="AC87:AF90"/>
    <mergeCell ref="B87:B90"/>
    <mergeCell ref="C87:I90"/>
    <mergeCell ref="J87:L90"/>
    <mergeCell ref="M87:P90"/>
    <mergeCell ref="Q87:T90"/>
    <mergeCell ref="U87:X90"/>
    <mergeCell ref="Y89:Z90"/>
    <mergeCell ref="AA89:AB90"/>
    <mergeCell ref="B92:I92"/>
    <mergeCell ref="J92:L92"/>
    <mergeCell ref="M92:P92"/>
    <mergeCell ref="Q92:T92"/>
    <mergeCell ref="U92:X92"/>
    <mergeCell ref="Y92:Z92"/>
    <mergeCell ref="AA92:AB92"/>
    <mergeCell ref="AC92:AF92"/>
    <mergeCell ref="B93:I93"/>
    <mergeCell ref="J93:L93"/>
    <mergeCell ref="M93:P93"/>
    <mergeCell ref="Q93:T93"/>
    <mergeCell ref="U93:X93"/>
    <mergeCell ref="Y93:Z93"/>
    <mergeCell ref="AA93:AB93"/>
    <mergeCell ref="AC93:AF93"/>
    <mergeCell ref="AA94:AB94"/>
    <mergeCell ref="AC94:AF94"/>
    <mergeCell ref="B95:I95"/>
    <mergeCell ref="J95:L95"/>
    <mergeCell ref="M95:P95"/>
    <mergeCell ref="Q95:T95"/>
    <mergeCell ref="U95:X95"/>
    <mergeCell ref="Y95:Z95"/>
    <mergeCell ref="AA95:AB95"/>
    <mergeCell ref="AC95:AF95"/>
    <mergeCell ref="B94:I94"/>
    <mergeCell ref="J94:L94"/>
    <mergeCell ref="M94:P94"/>
    <mergeCell ref="Q94:T94"/>
    <mergeCell ref="U94:X94"/>
    <mergeCell ref="Y94:Z94"/>
    <mergeCell ref="AA96:AB96"/>
    <mergeCell ref="AC96:AF96"/>
    <mergeCell ref="B97:I97"/>
    <mergeCell ref="J97:L97"/>
    <mergeCell ref="M97:P97"/>
    <mergeCell ref="Q97:T97"/>
    <mergeCell ref="U97:X97"/>
    <mergeCell ref="Y97:Z97"/>
    <mergeCell ref="AA97:AB97"/>
    <mergeCell ref="AC97:AF97"/>
    <mergeCell ref="B96:I96"/>
    <mergeCell ref="J96:L96"/>
    <mergeCell ref="M96:P96"/>
    <mergeCell ref="Q96:T96"/>
    <mergeCell ref="U96:X96"/>
    <mergeCell ref="Y96:Z96"/>
    <mergeCell ref="AA98:AB98"/>
    <mergeCell ref="AC98:AF98"/>
    <mergeCell ref="B99:I99"/>
    <mergeCell ref="J99:L99"/>
    <mergeCell ref="M99:P99"/>
    <mergeCell ref="Q99:T99"/>
    <mergeCell ref="U99:X99"/>
    <mergeCell ref="Y99:Z99"/>
    <mergeCell ref="AA99:AB99"/>
    <mergeCell ref="AC99:AF99"/>
    <mergeCell ref="B98:I98"/>
    <mergeCell ref="J98:L98"/>
    <mergeCell ref="M98:P98"/>
    <mergeCell ref="Q98:T98"/>
    <mergeCell ref="U98:X98"/>
    <mergeCell ref="Y98:Z98"/>
    <mergeCell ref="AC102:AF106"/>
    <mergeCell ref="B107:AF107"/>
    <mergeCell ref="B102:B106"/>
    <mergeCell ref="C102:P106"/>
    <mergeCell ref="Q102:T106"/>
    <mergeCell ref="U102:X106"/>
    <mergeCell ref="Y102:Z106"/>
    <mergeCell ref="AA102:AB106"/>
    <mergeCell ref="AA100:AB100"/>
    <mergeCell ref="AC100:AF100"/>
    <mergeCell ref="B101:I101"/>
    <mergeCell ref="J101:L101"/>
    <mergeCell ref="M101:P101"/>
    <mergeCell ref="Q101:T101"/>
    <mergeCell ref="U101:X101"/>
    <mergeCell ref="Y101:Z101"/>
    <mergeCell ref="AA101:AB101"/>
    <mergeCell ref="AC101:AF101"/>
    <mergeCell ref="B100:I100"/>
    <mergeCell ref="J100:L100"/>
    <mergeCell ref="M100:P100"/>
    <mergeCell ref="Q100:T100"/>
    <mergeCell ref="U100:X100"/>
    <mergeCell ref="Y100:Z100"/>
  </mergeCells>
  <conditionalFormatting sqref="B2">
    <cfRule type="expression" dxfId="244" priority="81" stopIfTrue="1">
      <formula>IF(OR($AG$16,$AG$66),1,0)</formula>
    </cfRule>
  </conditionalFormatting>
  <conditionalFormatting sqref="B21">
    <cfRule type="expression" dxfId="243" priority="20">
      <formula>AND(NOT(NoColor),A35=0,AC52&lt;&gt;"")</formula>
    </cfRule>
  </conditionalFormatting>
  <conditionalFormatting sqref="B23">
    <cfRule type="expression" dxfId="242" priority="17">
      <formula>SpaceUsed_8949A_ST</formula>
    </cfRule>
  </conditionalFormatting>
  <conditionalFormatting sqref="B71">
    <cfRule type="expression" dxfId="241" priority="15">
      <formula>AND(NOT(NoColor),A85=0,AC102&lt;&gt;"")</formula>
    </cfRule>
  </conditionalFormatting>
  <conditionalFormatting sqref="B73">
    <cfRule type="expression" dxfId="240" priority="14">
      <formula>SpaceUsed_8949A_LT</formula>
    </cfRule>
  </conditionalFormatting>
  <conditionalFormatting sqref="B11:AF11">
    <cfRule type="expression" dxfId="239" priority="75">
      <formula>IF(NoColor,1,0)</formula>
    </cfRule>
  </conditionalFormatting>
  <conditionalFormatting sqref="B41:AF51">
    <cfRule type="expression" dxfId="238" priority="5">
      <formula>IF(NoColor,1,0)</formula>
    </cfRule>
  </conditionalFormatting>
  <conditionalFormatting sqref="B61:AF61">
    <cfRule type="expression" dxfId="237" priority="72">
      <formula>IF(NoColor,1,0)</formula>
    </cfRule>
  </conditionalFormatting>
  <conditionalFormatting sqref="B91:AF101">
    <cfRule type="expression" dxfId="236" priority="1">
      <formula>IF(NoColor,1,0)</formula>
    </cfRule>
  </conditionalFormatting>
  <conditionalFormatting sqref="C25">
    <cfRule type="expression" dxfId="235" priority="55">
      <formula>IF(NoColor,1,0)</formula>
    </cfRule>
    <cfRule type="expression" dxfId="234" priority="54">
      <formula>C25=CHAR(32)</formula>
    </cfRule>
  </conditionalFormatting>
  <conditionalFormatting sqref="C27">
    <cfRule type="expression" dxfId="233" priority="53">
      <formula>IF(NoColor,1,0)</formula>
    </cfRule>
    <cfRule type="expression" dxfId="232" priority="52">
      <formula>C27=CHAR(32)</formula>
    </cfRule>
  </conditionalFormatting>
  <conditionalFormatting sqref="C29">
    <cfRule type="expression" dxfId="231" priority="51">
      <formula>IF(NoColor,1,0)</formula>
    </cfRule>
    <cfRule type="expression" dxfId="230" priority="50">
      <formula>C29=CHAR(32)</formula>
    </cfRule>
  </conditionalFormatting>
  <conditionalFormatting sqref="C31">
    <cfRule type="expression" dxfId="229" priority="49">
      <formula>IF(NoColor,1,0)</formula>
    </cfRule>
    <cfRule type="expression" dxfId="228" priority="48">
      <formula>C31=CHAR(32)</formula>
    </cfRule>
  </conditionalFormatting>
  <conditionalFormatting sqref="C33">
    <cfRule type="expression" dxfId="227" priority="63">
      <formula>IF(NoColor,1,0)</formula>
    </cfRule>
    <cfRule type="expression" dxfId="226" priority="56">
      <formula>C33=CHAR(32)</formula>
    </cfRule>
  </conditionalFormatting>
  <conditionalFormatting sqref="C35">
    <cfRule type="expression" dxfId="225" priority="47">
      <formula>IF(NoColor,1,0)</formula>
    </cfRule>
    <cfRule type="expression" dxfId="224" priority="46">
      <formula>C35=CHAR(32)</formula>
    </cfRule>
  </conditionalFormatting>
  <conditionalFormatting sqref="C75">
    <cfRule type="expression" dxfId="223" priority="39">
      <formula>AND(SpaceUsed_8949A_LT,C75=CHAR(32))</formula>
    </cfRule>
    <cfRule type="expression" dxfId="222" priority="40">
      <formula>IF(NoColor,1,0)</formula>
    </cfRule>
  </conditionalFormatting>
  <conditionalFormatting sqref="C77">
    <cfRule type="expression" dxfId="221" priority="69">
      <formula>IF(NoColor,1,0)</formula>
    </cfRule>
    <cfRule type="expression" dxfId="220" priority="41">
      <formula>AND(SpaceUsed_8949A_LT,C77=CHAR(32))</formula>
    </cfRule>
  </conditionalFormatting>
  <conditionalFormatting sqref="C79">
    <cfRule type="expression" dxfId="219" priority="37">
      <formula>AND(SpaceUsed_8949A_LT,C79=CHAR(32))</formula>
    </cfRule>
    <cfRule type="expression" dxfId="218" priority="38">
      <formula>IF(NoColor,1,0)</formula>
    </cfRule>
  </conditionalFormatting>
  <conditionalFormatting sqref="C81">
    <cfRule type="expression" dxfId="217" priority="36">
      <formula>IF(NoColor,1,0)</formula>
    </cfRule>
    <cfRule type="expression" dxfId="216" priority="35">
      <formula>AND(SpaceUsed_8949A_LT,C81=CHAR(32))</formula>
    </cfRule>
  </conditionalFormatting>
  <conditionalFormatting sqref="C83">
    <cfRule type="expression" dxfId="215" priority="34">
      <formula>IF(NoColor,1,0)</formula>
    </cfRule>
    <cfRule type="expression" dxfId="214" priority="33">
      <formula>AND(SpaceUsed_8949A_LT,C83=CHAR(32))</formula>
    </cfRule>
  </conditionalFormatting>
  <conditionalFormatting sqref="C85">
    <cfRule type="expression" dxfId="213" priority="32">
      <formula>IF(NoColor,1,0)</formula>
    </cfRule>
    <cfRule type="expression" dxfId="212" priority="31">
      <formula>AND(SpaceUsed_8949A_LT,C85=CHAR(32))</formula>
    </cfRule>
  </conditionalFormatting>
  <conditionalFormatting sqref="D25">
    <cfRule type="expression" dxfId="211" priority="62">
      <formula>C25=CHAR(32)</formula>
    </cfRule>
  </conditionalFormatting>
  <conditionalFormatting sqref="D27">
    <cfRule type="expression" dxfId="210" priority="61">
      <formula>C27=CHAR(32)</formula>
    </cfRule>
  </conditionalFormatting>
  <conditionalFormatting sqref="D29">
    <cfRule type="expression" dxfId="209" priority="60">
      <formula>C29=CHAR(32)</formula>
    </cfRule>
  </conditionalFormatting>
  <conditionalFormatting sqref="D31">
    <cfRule type="expression" dxfId="208" priority="59">
      <formula>C31=CHAR(32)</formula>
    </cfRule>
  </conditionalFormatting>
  <conditionalFormatting sqref="D33">
    <cfRule type="expression" dxfId="207" priority="58">
      <formula>C33=CHAR(32)</formula>
    </cfRule>
  </conditionalFormatting>
  <conditionalFormatting sqref="D35">
    <cfRule type="expression" dxfId="206" priority="57">
      <formula>C35=CHAR(32)</formula>
    </cfRule>
  </conditionalFormatting>
  <conditionalFormatting sqref="D75">
    <cfRule type="expression" dxfId="205" priority="30">
      <formula>AND(SpaceUsed_8949A_LT,C75=CHAR(32))</formula>
    </cfRule>
  </conditionalFormatting>
  <conditionalFormatting sqref="D77">
    <cfRule type="expression" dxfId="204" priority="29">
      <formula>AND(SpaceUsed_8949A_LT,C77=CHAR(32))</formula>
    </cfRule>
  </conditionalFormatting>
  <conditionalFormatting sqref="D79">
    <cfRule type="expression" dxfId="203" priority="28">
      <formula>AND(SpaceUsed_8949A_LT,C79=CHAR(32))</formula>
    </cfRule>
  </conditionalFormatting>
  <conditionalFormatting sqref="D81">
    <cfRule type="expression" dxfId="202" priority="27">
      <formula>AND(SpaceUsed_8949A_LT,C81=CHAR(32))</formula>
    </cfRule>
  </conditionalFormatting>
  <conditionalFormatting sqref="D83">
    <cfRule type="expression" dxfId="201" priority="26">
      <formula>AND(SpaceUsed_8949A_LT,C83=CHAR(32))</formula>
    </cfRule>
  </conditionalFormatting>
  <conditionalFormatting sqref="D85">
    <cfRule type="expression" dxfId="200" priority="25">
      <formula>AND(SpaceUsed_8949A_LT,C85=CHAR(32))</formula>
    </cfRule>
  </conditionalFormatting>
  <conditionalFormatting sqref="J41:J51">
    <cfRule type="expression" dxfId="199" priority="8" stopIfTrue="1">
      <formula>AND($L$2="",NOT($AZ41))</formula>
    </cfRule>
  </conditionalFormatting>
  <conditionalFormatting sqref="J91:L101">
    <cfRule type="expression" dxfId="198" priority="3">
      <formula>AND($L$2="",$AZ91)</formula>
    </cfRule>
  </conditionalFormatting>
  <conditionalFormatting sqref="K71">
    <cfRule type="expression" dxfId="197" priority="16">
      <formula>IF($A$79&gt;1,1,0)</formula>
    </cfRule>
  </conditionalFormatting>
  <conditionalFormatting sqref="L2">
    <cfRule type="expression" dxfId="196" priority="82" stopIfTrue="1">
      <formula>IF(OR($AG$16,$AG$66),1,0)</formula>
    </cfRule>
  </conditionalFormatting>
  <conditionalFormatting sqref="L21">
    <cfRule type="expression" dxfId="195" priority="19">
      <formula>(A29&gt;1)</formula>
    </cfRule>
  </conditionalFormatting>
  <conditionalFormatting sqref="M41:M51">
    <cfRule type="expression" dxfId="194" priority="6" stopIfTrue="1">
      <formula>AND($L$2="",NOT($AZ41))</formula>
    </cfRule>
  </conditionalFormatting>
  <conditionalFormatting sqref="M91:M101">
    <cfRule type="expression" dxfId="193" priority="2" stopIfTrue="1">
      <formula>AND($L$2="",$AZ91)</formula>
    </cfRule>
  </conditionalFormatting>
  <conditionalFormatting sqref="M21:N21">
    <cfRule type="expression" dxfId="192" priority="18">
      <formula>$A$35&gt;1</formula>
    </cfRule>
  </conditionalFormatting>
  <conditionalFormatting sqref="M71:N71">
    <cfRule type="expression" dxfId="191" priority="13">
      <formula>IF($A$85&gt;1,1,0)</formula>
    </cfRule>
  </conditionalFormatting>
  <conditionalFormatting sqref="P66">
    <cfRule type="expression" dxfId="190" priority="80" stopIfTrue="1">
      <formula>IF(AND($L$2="",$AG$66),TRUE,FALSE)</formula>
    </cfRule>
  </conditionalFormatting>
  <conditionalFormatting sqref="Q52:X56">
    <cfRule type="expression" dxfId="189" priority="74">
      <formula>IF(NoColor,1,0)</formula>
    </cfRule>
  </conditionalFormatting>
  <conditionalFormatting sqref="Q102:X106">
    <cfRule type="expression" dxfId="188" priority="71">
      <formula>IF(NoColor,1,0)</formula>
    </cfRule>
  </conditionalFormatting>
  <conditionalFormatting sqref="T16:T19">
    <cfRule type="expression" dxfId="187" priority="79" stopIfTrue="1">
      <formula>IF(AND($L$2="",$AG$16),TRUE,FALSE)</formula>
    </cfRule>
  </conditionalFormatting>
  <conditionalFormatting sqref="T66">
    <cfRule type="expression" dxfId="186" priority="78" stopIfTrue="1">
      <formula>IF(AND($L$2="",$AG$66),TRUE,FALSE)</formula>
    </cfRule>
  </conditionalFormatting>
  <conditionalFormatting sqref="T67:T69">
    <cfRule type="expression" dxfId="185" priority="68" stopIfTrue="1">
      <formula>IF(AND($L$2="",$AG$16),TRUE,FALSE)</formula>
    </cfRule>
  </conditionalFormatting>
  <conditionalFormatting sqref="AA52:AF56">
    <cfRule type="expression" dxfId="184" priority="73">
      <formula>IF(NoColor,1,0)</formula>
    </cfRule>
  </conditionalFormatting>
  <conditionalFormatting sqref="AA102:AF106">
    <cfRule type="expression" dxfId="183" priority="70">
      <formula>IF(NoColor,1,0)</formula>
    </cfRule>
  </conditionalFormatting>
  <conditionalFormatting sqref="AB4:AF4">
    <cfRule type="expression" dxfId="182" priority="22">
      <formula>AND(AI3,AH4="")</formula>
    </cfRule>
  </conditionalFormatting>
  <conditionalFormatting sqref="AH4">
    <cfRule type="expression" dxfId="181" priority="21">
      <formula>$AI$3</formula>
    </cfRule>
  </conditionalFormatting>
  <pageMargins left="0.75" right="0.25" top="0.36" bottom="0.28999999999999998" header="0.36" footer="0.21"/>
  <pageSetup scale="75" fitToHeight="0" orientation="portrait" r:id="rId1"/>
  <rowBreaks count="1" manualBreakCount="1">
    <brk id="58" min="1" max="31" man="1"/>
  </rowBreaks>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pageSetUpPr fitToPage="1"/>
  </sheetPr>
  <dimension ref="A1:Z85"/>
  <sheetViews>
    <sheetView zoomScaleNormal="100" zoomScaleSheetLayoutView="100" workbookViewId="0"/>
  </sheetViews>
  <sheetFormatPr defaultRowHeight="12.75"/>
  <cols>
    <col min="1" max="1" width="2.42578125" customWidth="1"/>
    <col min="2" max="2" width="7.85546875" customWidth="1"/>
    <col min="3" max="3" width="3.140625" customWidth="1"/>
    <col min="4" max="4" width="9.7109375" customWidth="1"/>
    <col min="5" max="5" width="9.42578125" customWidth="1"/>
    <col min="6" max="6" width="20.85546875" customWidth="1"/>
    <col min="7" max="7" width="8.140625" customWidth="1"/>
    <col min="8" max="8" width="3.5703125" customWidth="1"/>
    <col min="9" max="9" width="5.7109375" customWidth="1"/>
    <col min="10" max="10" width="6.140625" customWidth="1"/>
    <col min="11" max="11" width="14.140625" customWidth="1"/>
    <col min="12" max="12" width="3.7109375" customWidth="1"/>
    <col min="13" max="13" width="14.140625" customWidth="1"/>
    <col min="14" max="14" width="2.5703125" customWidth="1"/>
    <col min="15" max="15" width="3.85546875" customWidth="1"/>
    <col min="16" max="16" width="14.5703125" customWidth="1"/>
    <col min="17" max="17" width="2.28515625" customWidth="1"/>
    <col min="18" max="18" width="12.140625" style="6579" customWidth="1"/>
    <col min="19" max="26" width="10.7109375" style="658" customWidth="1"/>
  </cols>
  <sheetData>
    <row r="1" spans="1:26" ht="12.75" customHeight="1" thickBot="1">
      <c r="A1" s="2732"/>
      <c r="B1" s="139"/>
      <c r="C1" s="139"/>
      <c r="D1" s="139"/>
      <c r="E1" s="139"/>
      <c r="F1" s="139"/>
      <c r="G1" s="139"/>
      <c r="H1" s="139"/>
      <c r="I1" s="139"/>
      <c r="J1" s="139"/>
      <c r="K1" s="139"/>
      <c r="L1" s="206"/>
      <c r="M1" s="139"/>
      <c r="N1" s="139"/>
      <c r="O1" s="512"/>
      <c r="P1" s="1318" t="b">
        <f>IF($O$2&lt;&gt;"",TRUE,FALSE)</f>
        <v>0</v>
      </c>
      <c r="Q1" s="512"/>
      <c r="S1" s="657" t="s">
        <v>223</v>
      </c>
    </row>
    <row r="2" spans="1:26" ht="17.25" customHeight="1" thickBot="1">
      <c r="A2" s="2732"/>
      <c r="B2" s="349" t="s">
        <v>4486</v>
      </c>
      <c r="C2" s="253"/>
      <c r="D2" s="253"/>
      <c r="E2" s="253"/>
      <c r="F2" s="253"/>
      <c r="G2" s="253"/>
      <c r="H2" s="253"/>
      <c r="I2" s="253"/>
      <c r="J2" s="253"/>
      <c r="K2" s="253"/>
      <c r="L2" s="6580"/>
      <c r="M2" s="253"/>
      <c r="N2" s="139"/>
      <c r="O2" s="277"/>
      <c r="P2" s="349" t="s">
        <v>4487</v>
      </c>
      <c r="Q2" s="512"/>
    </row>
    <row r="3" spans="1:26" ht="12.75" customHeight="1">
      <c r="A3" s="2732"/>
      <c r="B3" s="6581" t="str">
        <f>IF(P3,"Yes","No")</f>
        <v>No</v>
      </c>
      <c r="C3" s="344" t="str">
        <f>"Your Medicare wages and tips on any single Form W-2 (box 5) are greater than "&amp;TEXT(H24,"$0,000")&amp;"."</f>
        <v>Your Medicare wages and tips on any single Form W-2 (box 5) are greater than $200,000.</v>
      </c>
      <c r="D3" s="253"/>
      <c r="E3" s="253"/>
      <c r="F3" s="253"/>
      <c r="G3" s="253"/>
      <c r="H3" s="253"/>
      <c r="I3" s="253"/>
      <c r="J3" s="253"/>
      <c r="K3" s="253"/>
      <c r="L3" s="6580"/>
      <c r="M3" s="253"/>
      <c r="N3" s="139"/>
      <c r="O3" s="512"/>
      <c r="P3" s="1318" t="b">
        <f>'W-2s'!J71</f>
        <v>0</v>
      </c>
      <c r="Q3" s="512"/>
    </row>
    <row r="4" spans="1:26" ht="12.75" customHeight="1">
      <c r="A4" s="2732"/>
      <c r="B4" s="6581" t="str">
        <f>IF(P4,"Yes","No")</f>
        <v>No</v>
      </c>
      <c r="C4" s="344" t="str">
        <f>"Your railroad retirement (RRTA) compensation on any single Form W-2 (box 14) is greater than "&amp;TEXT(H24,"$0,000")&amp;"."</f>
        <v>Your railroad retirement (RRTA) compensation on any single Form W-2 (box 14) is greater than $200,000.</v>
      </c>
      <c r="D4" s="253"/>
      <c r="E4" s="253"/>
      <c r="F4" s="253"/>
      <c r="G4" s="253"/>
      <c r="H4" s="253"/>
      <c r="I4" s="253"/>
      <c r="J4" s="253"/>
      <c r="K4" s="253"/>
      <c r="L4" s="6580"/>
      <c r="M4" s="253"/>
      <c r="N4" s="139"/>
      <c r="O4" s="512"/>
      <c r="P4" s="1318" t="b">
        <f>'W-2s'!J72</f>
        <v>0</v>
      </c>
      <c r="Q4" s="512"/>
    </row>
    <row r="5" spans="1:26" ht="12.75" customHeight="1">
      <c r="A5" s="2732"/>
      <c r="B5" s="6581" t="str">
        <f>IF(P5,"Yes","No")</f>
        <v>No</v>
      </c>
      <c r="C5" s="344" t="str">
        <f>"Your total Medicare wages and tips plus your self-employment income are &gt; filing status threshold ("&amp;TEXT($M$24,"$0,000")&amp;")."</f>
        <v>Your total Medicare wages and tips plus your self-employment income are &gt; filing status threshold (---).</v>
      </c>
      <c r="D5" s="253"/>
      <c r="E5" s="253"/>
      <c r="F5" s="253"/>
      <c r="G5" s="253"/>
      <c r="H5" s="253"/>
      <c r="I5" s="253"/>
      <c r="J5" s="253"/>
      <c r="K5" s="253"/>
      <c r="L5" s="6580"/>
      <c r="M5" s="253"/>
      <c r="N5" s="139"/>
      <c r="O5" s="512"/>
      <c r="P5" s="1318" t="b">
        <f>(P8&gt;$M$24)</f>
        <v>0</v>
      </c>
      <c r="Q5" s="512"/>
    </row>
    <row r="6" spans="1:26" ht="12.75" customHeight="1">
      <c r="A6" s="2732"/>
      <c r="B6" s="6581" t="str">
        <f>IF(P6,"Yes","No")</f>
        <v>No</v>
      </c>
      <c r="C6" s="344" t="str">
        <f>"Your total railroad retirement (RRTA) compensation and tips (Part III, Line 14) are &gt; filing status threshold ("&amp;TEXT($M$46,"$0,000")&amp;")."</f>
        <v>Your total railroad retirement (RRTA) compensation and tips (Part III, Line 14) are &gt; filing status threshold (---).</v>
      </c>
      <c r="D6" s="253"/>
      <c r="E6" s="253"/>
      <c r="F6" s="253"/>
      <c r="G6" s="253"/>
      <c r="H6" s="253"/>
      <c r="I6" s="253"/>
      <c r="J6" s="253"/>
      <c r="K6" s="253"/>
      <c r="L6" s="6580"/>
      <c r="M6" s="253"/>
      <c r="N6" s="139"/>
      <c r="O6" s="512"/>
      <c r="P6" s="1318" t="b">
        <f>IF(RRTA_Compensation="",FALSE,IF(ROUND(RRTA_Compensation,0)&gt;$M$46,TRUE,FALSE))</f>
        <v>0</v>
      </c>
      <c r="Q6" s="512"/>
    </row>
    <row r="7" spans="1:26" ht="10.5" customHeight="1">
      <c r="A7" s="206"/>
      <c r="B7" s="206"/>
      <c r="C7" s="139"/>
      <c r="D7" s="139"/>
      <c r="E7" s="139"/>
      <c r="F7" s="139"/>
      <c r="G7" s="206"/>
      <c r="H7" s="139"/>
      <c r="I7" s="139"/>
      <c r="J7" s="139"/>
      <c r="K7" s="139"/>
      <c r="L7" s="139"/>
      <c r="M7" s="139"/>
      <c r="N7" s="139"/>
      <c r="O7" s="512"/>
      <c r="P7" s="1318" t="b">
        <f>OR(P1,P3:P6)</f>
        <v>0</v>
      </c>
      <c r="Q7" s="512"/>
    </row>
    <row r="8" spans="1:26">
      <c r="A8" s="139"/>
      <c r="B8" s="88"/>
      <c r="C8" s="88"/>
      <c r="D8" s="90"/>
      <c r="E8" s="88"/>
      <c r="F8" s="88"/>
      <c r="G8" s="88"/>
      <c r="H8" s="88"/>
      <c r="I8" s="88"/>
      <c r="J8" s="88"/>
      <c r="K8" s="88"/>
      <c r="L8" s="10287" t="s">
        <v>2143</v>
      </c>
      <c r="M8" s="9894"/>
      <c r="N8" s="139"/>
      <c r="O8" s="512"/>
      <c r="P8" s="990">
        <f>IF(AND(P17&lt;&gt;"",P30&lt;&gt;""),SUM(ROUND(P17,0),ROUND(P30,0)),IF(P17&lt;&gt;"",SUM(ROUND(P17,0),K29),IF(P30&lt;&gt;"",SUM(MedCare_wages,ROUND(P30,0)),SUM(MedCare_wages,K29))))</f>
        <v>0</v>
      </c>
      <c r="Q8" s="512"/>
      <c r="R8" s="6582"/>
    </row>
    <row r="9" spans="1:26" ht="20.25" customHeight="1">
      <c r="A9" s="139"/>
      <c r="B9" s="11275" t="s">
        <v>46</v>
      </c>
      <c r="C9" s="11480">
        <v>8959</v>
      </c>
      <c r="D9" s="11481"/>
      <c r="E9" s="11484" t="s">
        <v>4488</v>
      </c>
      <c r="F9" s="7091"/>
      <c r="G9" s="7091"/>
      <c r="H9" s="7091"/>
      <c r="I9" s="7091"/>
      <c r="J9" s="7091"/>
      <c r="K9" s="7977"/>
      <c r="L9" s="8169">
        <f>TaxYear</f>
        <v>2025</v>
      </c>
      <c r="M9" s="10288"/>
      <c r="N9" s="2746"/>
      <c r="O9" s="2747"/>
      <c r="P9" s="226" t="s">
        <v>979</v>
      </c>
      <c r="Q9" s="1560"/>
      <c r="R9" s="6583"/>
    </row>
    <row r="10" spans="1:26" ht="14.25" customHeight="1">
      <c r="A10" s="139"/>
      <c r="B10" s="9800"/>
      <c r="C10" s="11482"/>
      <c r="D10" s="11483"/>
      <c r="E10" s="10299" t="s">
        <v>4489</v>
      </c>
      <c r="F10" s="11485"/>
      <c r="G10" s="11485"/>
      <c r="H10" s="11485"/>
      <c r="I10" s="11485"/>
      <c r="J10" s="11485"/>
      <c r="K10" s="11486"/>
      <c r="L10" s="10289"/>
      <c r="M10" s="10290"/>
      <c r="N10" s="2749"/>
      <c r="O10" s="2750"/>
      <c r="P10" s="226" t="s">
        <v>931</v>
      </c>
      <c r="Q10" s="247"/>
      <c r="R10" s="6584"/>
    </row>
    <row r="11" spans="1:26" ht="12.75" customHeight="1">
      <c r="A11" s="139"/>
      <c r="B11" s="11316" t="s">
        <v>503</v>
      </c>
      <c r="C11" s="7844"/>
      <c r="D11" s="11317"/>
      <c r="E11" s="10299" t="s">
        <v>4490</v>
      </c>
      <c r="F11" s="11485"/>
      <c r="G11" s="11485"/>
      <c r="H11" s="11485"/>
      <c r="I11" s="11485"/>
      <c r="J11" s="11485"/>
      <c r="K11" s="11486"/>
      <c r="L11" s="11318" t="s">
        <v>4356</v>
      </c>
      <c r="M11" s="7844"/>
      <c r="N11" s="2746"/>
      <c r="O11" s="2747"/>
      <c r="P11" s="2013"/>
      <c r="Q11" s="247"/>
      <c r="R11" s="6585"/>
    </row>
    <row r="12" spans="1:26" ht="12.75" customHeight="1" thickBot="1">
      <c r="A12" s="139"/>
      <c r="B12" s="11308" t="s">
        <v>505</v>
      </c>
      <c r="C12" s="11309"/>
      <c r="D12" s="11310"/>
      <c r="E12" s="11487" t="s">
        <v>4491</v>
      </c>
      <c r="F12" s="11488"/>
      <c r="G12" s="11488"/>
      <c r="H12" s="11488"/>
      <c r="I12" s="11488"/>
      <c r="J12" s="11488"/>
      <c r="K12" s="11489"/>
      <c r="L12" s="11314" t="s">
        <v>4492</v>
      </c>
      <c r="M12" s="11315"/>
      <c r="N12" s="2749"/>
      <c r="O12" s="2750"/>
      <c r="P12" s="2013"/>
      <c r="Q12" s="1560"/>
      <c r="R12" s="6585"/>
    </row>
    <row r="13" spans="1:26" ht="11.25" customHeight="1">
      <c r="A13" s="139"/>
      <c r="B13" s="2753" t="s">
        <v>1918</v>
      </c>
      <c r="C13" s="2754"/>
      <c r="D13" s="2754"/>
      <c r="E13" s="2755"/>
      <c r="F13" s="2756"/>
      <c r="G13" s="2753"/>
      <c r="H13" s="2756"/>
      <c r="I13" s="2756"/>
      <c r="J13" s="2756"/>
      <c r="K13" s="10305" t="s">
        <v>549</v>
      </c>
      <c r="L13" s="10306"/>
      <c r="M13" s="10306"/>
      <c r="N13" s="2746"/>
      <c r="O13" s="2747"/>
      <c r="P13" s="2013"/>
      <c r="Q13" s="1560"/>
      <c r="R13" s="6584"/>
    </row>
    <row r="14" spans="1:26" ht="14.25" customHeight="1">
      <c r="A14" s="139"/>
      <c r="B14" s="10320" t="str">
        <f>Names</f>
        <v/>
      </c>
      <c r="C14" s="10321"/>
      <c r="D14" s="10321"/>
      <c r="E14" s="10321"/>
      <c r="F14" s="10321"/>
      <c r="G14" s="10321"/>
      <c r="H14" s="10321"/>
      <c r="I14" s="10321"/>
      <c r="J14" s="10322"/>
      <c r="K14" s="8064">
        <f>IF(NoSSN,"",SS_Yours)</f>
        <v>1010001</v>
      </c>
      <c r="L14" s="10302"/>
      <c r="M14" s="10302"/>
      <c r="N14" s="2749"/>
      <c r="O14" s="2750"/>
      <c r="P14" s="2013"/>
      <c r="Q14" s="1560"/>
      <c r="R14" s="6584"/>
    </row>
    <row r="15" spans="1:26" ht="15.75">
      <c r="A15" s="139"/>
      <c r="B15" s="5312" t="s">
        <v>2154</v>
      </c>
      <c r="C15" s="10291" t="s">
        <v>4493</v>
      </c>
      <c r="D15" s="10291"/>
      <c r="E15" s="10292"/>
      <c r="F15" s="10292"/>
      <c r="G15" s="10292"/>
      <c r="H15" s="10292"/>
      <c r="I15" s="10292"/>
      <c r="J15" s="10292"/>
      <c r="K15" s="10292"/>
      <c r="L15" s="10292"/>
      <c r="M15" s="10292"/>
      <c r="N15" s="2762"/>
      <c r="O15" s="2763"/>
      <c r="P15" s="2013"/>
      <c r="Q15" s="1560"/>
    </row>
    <row r="16" spans="1:26" s="214" customFormat="1" ht="12" customHeight="1">
      <c r="A16" s="139"/>
      <c r="B16" s="2768">
        <v>1</v>
      </c>
      <c r="C16" s="2769" t="s">
        <v>4494</v>
      </c>
      <c r="D16" s="2770"/>
      <c r="E16" s="2751"/>
      <c r="F16" s="2751"/>
      <c r="G16" s="2771"/>
      <c r="H16" s="2771"/>
      <c r="I16" s="2771"/>
      <c r="J16" s="6519"/>
      <c r="K16" s="2768"/>
      <c r="L16" s="2781"/>
      <c r="M16" s="2986"/>
      <c r="N16" s="2783"/>
      <c r="O16" s="2784"/>
      <c r="P16" s="2785"/>
      <c r="Q16" s="2988"/>
      <c r="R16" s="2979"/>
      <c r="S16" s="658"/>
      <c r="T16" s="658"/>
      <c r="U16" s="658"/>
      <c r="V16" s="658"/>
      <c r="W16" s="658"/>
      <c r="X16" s="658"/>
      <c r="Y16" s="658"/>
      <c r="Z16" s="658"/>
    </row>
    <row r="17" spans="1:26" ht="12" customHeight="1">
      <c r="A17" s="139"/>
      <c r="B17" s="2768"/>
      <c r="C17" s="2769" t="s">
        <v>4495</v>
      </c>
      <c r="D17" s="2769"/>
      <c r="E17" s="2751"/>
      <c r="F17" s="2751"/>
      <c r="G17" s="2771"/>
      <c r="H17" s="2768"/>
      <c r="I17" s="2768" t="s">
        <v>708</v>
      </c>
      <c r="J17" s="2773">
        <f>B16</f>
        <v>1</v>
      </c>
      <c r="K17" s="2774" t="str">
        <f>IF(P17&lt;&gt;"",ROUND(P17,0),IF(NOT(P7),"",IF(MedCare_wages=0,"",MedCare_wages)))</f>
        <v/>
      </c>
      <c r="L17" s="2781"/>
      <c r="M17" s="2791"/>
      <c r="N17" s="2775"/>
      <c r="O17" s="2776"/>
      <c r="P17" s="118"/>
      <c r="Q17" s="229"/>
      <c r="R17" s="2979"/>
    </row>
    <row r="18" spans="1:26" ht="12" customHeight="1">
      <c r="A18" s="139"/>
      <c r="B18" s="2768">
        <v>2</v>
      </c>
      <c r="C18" s="2769" t="s">
        <v>4496</v>
      </c>
      <c r="D18" s="2769"/>
      <c r="E18" s="2751"/>
      <c r="F18" s="2751"/>
      <c r="G18" s="2771"/>
      <c r="H18" s="2768"/>
      <c r="I18" s="2768" t="s">
        <v>676</v>
      </c>
      <c r="J18" s="2773">
        <f>B18</f>
        <v>2</v>
      </c>
      <c r="K18" s="335"/>
      <c r="L18" s="2781"/>
      <c r="M18" s="2791"/>
      <c r="N18" s="2775"/>
      <c r="O18" s="2776"/>
      <c r="P18" s="2785"/>
      <c r="Q18" s="229"/>
      <c r="R18" s="2979"/>
    </row>
    <row r="19" spans="1:26" ht="12" customHeight="1" thickBot="1">
      <c r="A19" s="139"/>
      <c r="B19" s="2768">
        <v>3</v>
      </c>
      <c r="C19" s="2769" t="s">
        <v>611</v>
      </c>
      <c r="D19" s="2769"/>
      <c r="E19" s="2751"/>
      <c r="F19" s="2751"/>
      <c r="G19" s="2771"/>
      <c r="H19" s="2768"/>
      <c r="I19" s="2768" t="s">
        <v>594</v>
      </c>
      <c r="J19" s="4295">
        <f>B19</f>
        <v>3</v>
      </c>
      <c r="K19" s="1226"/>
      <c r="L19" s="2781"/>
      <c r="M19" s="2791"/>
      <c r="N19" s="2775"/>
      <c r="O19" s="2776"/>
      <c r="P19" s="962"/>
      <c r="Q19" s="229"/>
      <c r="R19" s="2979"/>
    </row>
    <row r="20" spans="1:26" ht="12" customHeight="1">
      <c r="A20" s="139"/>
      <c r="B20" s="2768">
        <v>4</v>
      </c>
      <c r="C20" s="2769" t="s">
        <v>4497</v>
      </c>
      <c r="D20" s="2769"/>
      <c r="E20" s="2751"/>
      <c r="F20" s="2751"/>
      <c r="G20" s="2771"/>
      <c r="H20" s="2768"/>
      <c r="I20" s="2768" t="s">
        <v>1876</v>
      </c>
      <c r="J20" s="2773">
        <f>B20</f>
        <v>4</v>
      </c>
      <c r="K20" s="2774" t="str">
        <f>IF($K$17="","",SUM(K17:K19))</f>
        <v/>
      </c>
      <c r="L20" s="2781"/>
      <c r="M20" s="2791"/>
      <c r="N20" s="2775"/>
      <c r="O20" s="2776"/>
      <c r="P20" s="962"/>
      <c r="Q20" s="229"/>
      <c r="R20" s="2979"/>
    </row>
    <row r="21" spans="1:26" s="214" customFormat="1" ht="12" customHeight="1">
      <c r="A21" s="139"/>
      <c r="B21" s="2768">
        <v>5</v>
      </c>
      <c r="C21" s="2769" t="s">
        <v>4498</v>
      </c>
      <c r="D21" s="2770"/>
      <c r="E21" s="2751"/>
      <c r="F21" s="2751"/>
      <c r="G21" s="2771"/>
      <c r="H21" s="2771"/>
      <c r="I21" s="2771"/>
      <c r="J21" s="6586"/>
      <c r="K21" s="2768"/>
      <c r="L21" s="2781"/>
      <c r="M21" s="2791"/>
      <c r="N21" s="2783"/>
      <c r="O21" s="2784"/>
      <c r="P21" s="962"/>
      <c r="Q21" s="2988"/>
      <c r="R21" s="2979"/>
      <c r="S21" s="658"/>
      <c r="T21" s="658"/>
      <c r="U21" s="658"/>
      <c r="V21" s="658"/>
      <c r="W21" s="658"/>
      <c r="X21" s="658"/>
      <c r="Y21" s="658"/>
      <c r="Z21" s="658"/>
    </row>
    <row r="22" spans="1:26" s="214" customFormat="1" ht="12" customHeight="1">
      <c r="A22" s="139"/>
      <c r="B22" s="2768"/>
      <c r="C22" s="2769" t="s">
        <v>4499</v>
      </c>
      <c r="D22" s="2770"/>
      <c r="E22" s="2771"/>
      <c r="F22" s="2751"/>
      <c r="G22" s="2768" t="s">
        <v>608</v>
      </c>
      <c r="H22" s="11490">
        <v>250000</v>
      </c>
      <c r="I22" s="11491"/>
      <c r="J22" s="2780"/>
      <c r="K22" s="2768"/>
      <c r="L22" s="2781"/>
      <c r="M22" s="2791"/>
      <c r="N22" s="2783"/>
      <c r="O22" s="2784"/>
      <c r="P22" s="962"/>
      <c r="Q22" s="2988"/>
      <c r="R22" s="2979"/>
      <c r="S22" s="658"/>
      <c r="T22" s="658"/>
      <c r="U22" s="658"/>
      <c r="V22" s="658"/>
      <c r="W22" s="658"/>
      <c r="X22" s="658"/>
      <c r="Y22" s="658"/>
      <c r="Z22" s="658"/>
    </row>
    <row r="23" spans="1:26" s="214" customFormat="1" ht="12" customHeight="1">
      <c r="A23" s="139"/>
      <c r="B23" s="2768"/>
      <c r="C23" s="2769" t="s">
        <v>3698</v>
      </c>
      <c r="D23" s="2770"/>
      <c r="E23" s="2771"/>
      <c r="F23" s="2751"/>
      <c r="G23" s="2768" t="s">
        <v>648</v>
      </c>
      <c r="H23" s="11490">
        <v>125000</v>
      </c>
      <c r="I23" s="11491"/>
      <c r="J23" s="2780"/>
      <c r="K23" s="2768"/>
      <c r="L23" s="2781"/>
      <c r="M23" s="2792"/>
      <c r="N23" s="2783"/>
      <c r="O23" s="2784"/>
      <c r="P23" s="962"/>
      <c r="Q23" s="2988"/>
      <c r="R23" s="2979"/>
      <c r="S23" s="658"/>
      <c r="T23" s="658"/>
      <c r="U23" s="658"/>
      <c r="V23" s="658"/>
      <c r="W23" s="658"/>
      <c r="X23" s="658"/>
      <c r="Y23" s="658"/>
      <c r="Z23" s="658"/>
    </row>
    <row r="24" spans="1:26" ht="12" customHeight="1" thickBot="1">
      <c r="A24" s="139"/>
      <c r="B24" s="2768"/>
      <c r="C24" s="2769" t="s">
        <v>5018</v>
      </c>
      <c r="D24" s="2769"/>
      <c r="E24" s="2768"/>
      <c r="F24" s="2751"/>
      <c r="G24" s="2768"/>
      <c r="H24" s="11490">
        <v>200000</v>
      </c>
      <c r="I24" s="11491"/>
      <c r="J24" s="3742">
        <f>B21</f>
        <v>5</v>
      </c>
      <c r="K24" s="6587" t="str">
        <f>IF($K$17="","",IF(M24="---","Filing Status?",M24))</f>
        <v/>
      </c>
      <c r="L24" s="2781"/>
      <c r="M24" s="3630" t="str">
        <f>IF(File_Marr_Joint&lt;&gt;"",H22,IF(File_Marr_Sep&lt;&gt;"",H23,IF(OR(File_Single&lt;&gt;"",File_Head&lt;&gt;"",File_Qual_Widow&lt;&gt;""),H24,"---")))</f>
        <v>---</v>
      </c>
      <c r="N24" s="2775"/>
      <c r="O24" s="2776"/>
      <c r="P24" s="962"/>
      <c r="Q24" s="229"/>
      <c r="R24" s="2979"/>
    </row>
    <row r="25" spans="1:26" ht="12.75" customHeight="1">
      <c r="A25" s="139"/>
      <c r="B25" s="2768">
        <v>6</v>
      </c>
      <c r="C25" s="2769" t="s">
        <v>4500</v>
      </c>
      <c r="D25" s="2770"/>
      <c r="E25" s="2751"/>
      <c r="F25" s="2751"/>
      <c r="G25" s="2771"/>
      <c r="H25" s="2771"/>
      <c r="I25" s="2771"/>
      <c r="J25" s="2771"/>
      <c r="K25" s="2031" t="s">
        <v>5013</v>
      </c>
      <c r="L25" s="2773">
        <f>B25</f>
        <v>6</v>
      </c>
      <c r="M25" s="2774" t="str">
        <f>IF(OR($K$17="",M24="---"),"",IF(K24&gt;=K20,0,SUM(K20,-K24)))</f>
        <v/>
      </c>
      <c r="N25" s="2775"/>
      <c r="O25" s="2776"/>
      <c r="P25" s="962"/>
      <c r="Q25" s="2988"/>
      <c r="R25" s="2979"/>
    </row>
    <row r="26" spans="1:26" s="214" customFormat="1" ht="12" customHeight="1">
      <c r="A26" s="139"/>
      <c r="B26" s="2768">
        <v>7</v>
      </c>
      <c r="C26" s="2769" t="str">
        <f>"Additional Medicare Tax on Medicare wages. Multiply line 6 by "&amp;TEXT(M26,"0.0%")&amp;" ("&amp;TEXT(M26,"0.000")&amp;"). Enter here and"</f>
        <v>Additional Medicare Tax on Medicare wages. Multiply line 6 by 0.9% (0.009). Enter here and</v>
      </c>
      <c r="D26" s="2770"/>
      <c r="E26" s="2751"/>
      <c r="F26" s="2751"/>
      <c r="G26" s="2771"/>
      <c r="H26" s="2771"/>
      <c r="I26" s="2771"/>
      <c r="J26" s="2771"/>
      <c r="K26" s="2768"/>
      <c r="L26" s="2805"/>
      <c r="M26" s="2803">
        <v>8.9999999999999993E-3</v>
      </c>
      <c r="N26" s="2783"/>
      <c r="O26" s="2784"/>
      <c r="P26" s="962"/>
      <c r="Q26" s="2988"/>
      <c r="R26" s="2979"/>
      <c r="S26" s="658"/>
      <c r="T26" s="658"/>
      <c r="U26" s="658"/>
      <c r="V26" s="658"/>
      <c r="W26" s="658"/>
      <c r="X26" s="658"/>
      <c r="Y26" s="658"/>
      <c r="Z26" s="658"/>
    </row>
    <row r="27" spans="1:26" ht="11.25" customHeight="1">
      <c r="A27" s="139"/>
      <c r="B27" s="2768"/>
      <c r="C27" s="2769" t="s">
        <v>4502</v>
      </c>
      <c r="D27" s="2769"/>
      <c r="E27" s="2751"/>
      <c r="F27" s="2751"/>
      <c r="G27" s="2771"/>
      <c r="H27" s="2771"/>
      <c r="I27" s="2771"/>
      <c r="J27" s="2771"/>
      <c r="K27" s="2031" t="s">
        <v>1877</v>
      </c>
      <c r="L27" s="2805">
        <f>B26</f>
        <v>7</v>
      </c>
      <c r="M27" s="2774" t="str">
        <f>IF(P27&lt;&gt;"",ROUND(P27,0),IF(OR(K17="",K20="",M24="---"),"",ROUND(M25*M26,0)))</f>
        <v/>
      </c>
      <c r="N27" s="2775"/>
      <c r="O27" s="2806"/>
      <c r="P27" s="118"/>
      <c r="Q27" s="2988"/>
      <c r="R27" s="6584"/>
    </row>
    <row r="28" spans="1:26" s="214" customFormat="1" ht="15.75" customHeight="1">
      <c r="A28" s="139"/>
      <c r="B28" s="2793" t="s">
        <v>868</v>
      </c>
      <c r="C28" s="10303" t="s">
        <v>4503</v>
      </c>
      <c r="D28" s="10303"/>
      <c r="E28" s="10304"/>
      <c r="F28" s="10304"/>
      <c r="G28" s="10304"/>
      <c r="H28" s="10304"/>
      <c r="I28" s="10304"/>
      <c r="J28" s="10304"/>
      <c r="K28" s="10304"/>
      <c r="L28" s="10304"/>
      <c r="M28" s="10304"/>
      <c r="N28" s="2794"/>
      <c r="O28" s="2795"/>
      <c r="P28" s="962"/>
      <c r="Q28" s="2617"/>
      <c r="R28" s="3040" t="s">
        <v>4504</v>
      </c>
      <c r="S28" s="658"/>
      <c r="T28" s="658"/>
      <c r="U28" s="658"/>
      <c r="V28" s="658"/>
      <c r="W28" s="658"/>
      <c r="X28" s="658"/>
      <c r="Y28" s="658"/>
      <c r="Z28" s="658"/>
    </row>
    <row r="29" spans="1:26" s="214" customFormat="1" ht="12" customHeight="1">
      <c r="A29" s="139"/>
      <c r="B29" s="2768">
        <v>8</v>
      </c>
      <c r="C29" s="2769" t="s">
        <v>5015</v>
      </c>
      <c r="D29" s="2770"/>
      <c r="E29" s="2751"/>
      <c r="F29" s="2751"/>
      <c r="G29" s="2771"/>
      <c r="H29" s="2771"/>
      <c r="I29" s="2771"/>
      <c r="J29" s="6519"/>
      <c r="K29" s="6588">
        <f>SUM(R29,R30)</f>
        <v>0</v>
      </c>
      <c r="L29" s="2781"/>
      <c r="M29" s="2986"/>
      <c r="N29" s="2783"/>
      <c r="O29" s="2784"/>
      <c r="P29" s="962"/>
      <c r="Q29" s="2988"/>
      <c r="R29" s="2979">
        <f>IF(AND('Sch. SE'!X30&lt;&gt;"",'Sch. SE'!X30&gt;0),'Sch. SE'!X30,0)</f>
        <v>0</v>
      </c>
      <c r="S29" s="658"/>
      <c r="T29" s="658"/>
      <c r="U29" s="658"/>
      <c r="V29" s="658"/>
      <c r="W29" s="658"/>
      <c r="X29" s="658"/>
      <c r="Y29" s="658"/>
      <c r="Z29" s="658"/>
    </row>
    <row r="30" spans="1:26" ht="12" customHeight="1">
      <c r="A30" s="139"/>
      <c r="B30" s="2768"/>
      <c r="C30" s="3336" t="s">
        <v>5014</v>
      </c>
      <c r="D30" s="2769"/>
      <c r="E30" s="2751"/>
      <c r="F30" s="2751"/>
      <c r="G30" s="2771"/>
      <c r="H30" s="2768"/>
      <c r="I30" s="2768" t="s">
        <v>590</v>
      </c>
      <c r="J30" s="2773">
        <f>B29</f>
        <v>8</v>
      </c>
      <c r="K30" s="2774" t="str">
        <f>IF(P30&lt;&gt;"",ROUND(P30,2),IF(NOT(P7),"",IF(K29&lt;=400,0,K29)))</f>
        <v/>
      </c>
      <c r="L30" s="2781"/>
      <c r="M30" s="2791"/>
      <c r="N30" s="2775"/>
      <c r="O30" s="2776"/>
      <c r="P30" s="118"/>
      <c r="Q30" s="229"/>
      <c r="R30" s="2979">
        <f>IF(AND('Sch. SE'!X90&lt;&gt;"",'Sch. SE'!X90&gt;=0),'Sch. SE'!X90,0)</f>
        <v>0</v>
      </c>
    </row>
    <row r="31" spans="1:26" s="214" customFormat="1" ht="12" customHeight="1">
      <c r="A31" s="139"/>
      <c r="B31" s="2768">
        <v>9</v>
      </c>
      <c r="C31" s="2769" t="s">
        <v>4498</v>
      </c>
      <c r="D31" s="2770"/>
      <c r="E31" s="2751"/>
      <c r="F31" s="2751"/>
      <c r="G31" s="2771"/>
      <c r="H31" s="2771"/>
      <c r="I31" s="2771"/>
      <c r="J31" s="6586"/>
      <c r="K31" s="2768"/>
      <c r="L31" s="2781"/>
      <c r="M31" s="2791"/>
      <c r="N31" s="2783"/>
      <c r="O31" s="2784"/>
      <c r="P31" s="962"/>
      <c r="Q31" s="2988"/>
      <c r="R31" s="4288"/>
      <c r="S31" s="658"/>
      <c r="T31" s="658"/>
      <c r="U31" s="658"/>
      <c r="V31" s="658"/>
      <c r="W31" s="658"/>
      <c r="X31" s="658"/>
      <c r="Y31" s="658"/>
      <c r="Z31" s="658"/>
    </row>
    <row r="32" spans="1:26" s="214" customFormat="1" ht="12" customHeight="1">
      <c r="A32" s="139"/>
      <c r="B32" s="2768"/>
      <c r="C32" s="2769" t="s">
        <v>4499</v>
      </c>
      <c r="D32" s="2770"/>
      <c r="E32" s="2751"/>
      <c r="F32" s="2768"/>
      <c r="G32" s="2768" t="s">
        <v>594</v>
      </c>
      <c r="H32" s="11490">
        <v>250000</v>
      </c>
      <c r="I32" s="11491"/>
      <c r="J32" s="2780"/>
      <c r="K32" s="2768"/>
      <c r="L32" s="2781"/>
      <c r="M32" s="2791"/>
      <c r="N32" s="2783"/>
      <c r="O32" s="2784"/>
      <c r="P32" s="962"/>
      <c r="Q32" s="2988"/>
      <c r="R32" s="6589"/>
      <c r="S32" s="658"/>
      <c r="T32" s="658"/>
      <c r="U32" s="658"/>
      <c r="V32" s="658"/>
      <c r="W32" s="658"/>
      <c r="X32" s="658"/>
      <c r="Y32" s="658"/>
      <c r="Z32" s="658"/>
    </row>
    <row r="33" spans="1:26" s="214" customFormat="1" ht="12" customHeight="1">
      <c r="A33" s="139"/>
      <c r="B33" s="2768"/>
      <c r="C33" s="2769" t="s">
        <v>3698</v>
      </c>
      <c r="D33" s="2770"/>
      <c r="E33" s="2751"/>
      <c r="F33" s="2768"/>
      <c r="G33" s="2768" t="s">
        <v>608</v>
      </c>
      <c r="H33" s="11490">
        <v>125000</v>
      </c>
      <c r="I33" s="11491"/>
      <c r="J33" s="2780"/>
      <c r="K33" s="2768"/>
      <c r="L33" s="2781"/>
      <c r="M33" s="2792"/>
      <c r="N33" s="2783"/>
      <c r="O33" s="2784"/>
      <c r="P33" s="962"/>
      <c r="Q33" s="2988"/>
      <c r="R33" s="6589"/>
      <c r="S33" s="658"/>
      <c r="T33" s="658"/>
      <c r="U33" s="658"/>
      <c r="V33" s="658"/>
      <c r="W33" s="658"/>
      <c r="X33" s="658"/>
      <c r="Y33" s="658"/>
      <c r="Z33" s="658"/>
    </row>
    <row r="34" spans="1:26" ht="12" customHeight="1">
      <c r="A34" s="139"/>
      <c r="B34" s="2768"/>
      <c r="C34" s="2769" t="s">
        <v>5018</v>
      </c>
      <c r="D34" s="2769"/>
      <c r="E34" s="2751"/>
      <c r="F34" s="3313"/>
      <c r="G34" s="2768"/>
      <c r="H34" s="11490">
        <v>200000</v>
      </c>
      <c r="I34" s="11491"/>
      <c r="J34" s="2773">
        <f>B31</f>
        <v>9</v>
      </c>
      <c r="K34" s="2774" t="str">
        <f>IF(OR($K$30="",NOT(P7)),"",IF(M34="---","Filing Status?",M34))</f>
        <v/>
      </c>
      <c r="L34" s="2781"/>
      <c r="M34" s="3159" t="str">
        <f>IF(File_Marr_Joint&lt;&gt;"",H32,IF(File_Marr_Sep&lt;&gt;"",H33,IF(OR(File_Single&lt;&gt;"",File_Head&lt;&gt;"",File_Qual_Widow&lt;&gt;""),H34,"---")))</f>
        <v>---</v>
      </c>
      <c r="N34" s="2775"/>
      <c r="O34" s="2776"/>
      <c r="P34" s="962"/>
      <c r="Q34" s="229"/>
      <c r="R34" s="2979"/>
    </row>
    <row r="35" spans="1:26" ht="12" customHeight="1" thickBot="1">
      <c r="A35" s="139"/>
      <c r="B35" s="2768">
        <v>10</v>
      </c>
      <c r="C35" s="2769" t="s">
        <v>4505</v>
      </c>
      <c r="D35" s="2769"/>
      <c r="E35" s="2751"/>
      <c r="F35" s="2751"/>
      <c r="G35" s="2771"/>
      <c r="H35" s="2768"/>
      <c r="I35" s="2768" t="s">
        <v>590</v>
      </c>
      <c r="J35" s="5216">
        <f>B35</f>
        <v>10</v>
      </c>
      <c r="K35" s="6590" t="str">
        <f>IF(OR($K$30="",NOT(P7),M34="---"),"",IF(K20="",0,K20))</f>
        <v/>
      </c>
      <c r="L35" s="2781"/>
      <c r="M35" s="2791"/>
      <c r="N35" s="2775"/>
      <c r="O35" s="2776"/>
      <c r="P35" s="962"/>
      <c r="Q35" s="229"/>
      <c r="R35" s="2979"/>
    </row>
    <row r="36" spans="1:26" ht="12" customHeight="1" thickBot="1">
      <c r="A36" s="139"/>
      <c r="B36" s="2768">
        <v>11</v>
      </c>
      <c r="C36" s="2769" t="s">
        <v>4506</v>
      </c>
      <c r="D36" s="2769"/>
      <c r="E36" s="2751"/>
      <c r="F36" s="2751"/>
      <c r="G36" s="2771"/>
      <c r="H36" s="2768"/>
      <c r="I36" s="2768" t="s">
        <v>624</v>
      </c>
      <c r="J36" s="6591">
        <f>B36</f>
        <v>11</v>
      </c>
      <c r="K36" s="6592" t="str">
        <f>IF(OR($K$30="",NOT(P7),M34="---"),"",IF(K35&gt;=K34,0,SUM(K34,-K35)))</f>
        <v/>
      </c>
      <c r="L36" s="2781"/>
      <c r="M36" s="3159">
        <f>SUM(K20,K30)</f>
        <v>0</v>
      </c>
      <c r="N36" s="2775"/>
      <c r="O36" s="2776"/>
      <c r="P36" s="962"/>
      <c r="Q36" s="229"/>
      <c r="R36" s="2979"/>
    </row>
    <row r="37" spans="1:26" ht="12.75" customHeight="1">
      <c r="A37" s="139"/>
      <c r="B37" s="2768">
        <v>12</v>
      </c>
      <c r="C37" s="2769" t="s">
        <v>4507</v>
      </c>
      <c r="D37" s="2770"/>
      <c r="E37" s="2751"/>
      <c r="F37" s="2751"/>
      <c r="G37" s="2771"/>
      <c r="H37" s="2771"/>
      <c r="I37" s="2771"/>
      <c r="J37" s="2771"/>
      <c r="K37" s="2768" t="s">
        <v>648</v>
      </c>
      <c r="L37" s="2773">
        <f>B37</f>
        <v>12</v>
      </c>
      <c r="M37" s="2774" t="str">
        <f>IF(OR($K$30="",NOT(P7),M34="---"),"",IF(K36&gt;=K30,0,SUM(K30,-K36)))</f>
        <v/>
      </c>
      <c r="N37" s="2775"/>
      <c r="O37" s="2776"/>
      <c r="P37" s="962"/>
      <c r="Q37" s="2988"/>
      <c r="R37" s="2979"/>
    </row>
    <row r="38" spans="1:26" s="214" customFormat="1" ht="12" customHeight="1">
      <c r="A38" s="139"/>
      <c r="B38" s="2768">
        <v>13</v>
      </c>
      <c r="C38" s="2769" t="str">
        <f>"Additional Medicare Tax on self-employment income. Multiply line 12 by "&amp;TEXT(M38,"0.0%")&amp;" ("&amp;TEXT(M38,"0.000")&amp;"). Enter here"</f>
        <v>Additional Medicare Tax on self-employment income. Multiply line 12 by 0.9% (0.009). Enter here</v>
      </c>
      <c r="D38" s="2770"/>
      <c r="E38" s="2751"/>
      <c r="F38" s="2751"/>
      <c r="G38" s="2771"/>
      <c r="H38" s="2771"/>
      <c r="I38" s="2771"/>
      <c r="J38" s="2771"/>
      <c r="K38" s="2768"/>
      <c r="L38" s="2805"/>
      <c r="M38" s="2803">
        <v>8.9999999999999993E-3</v>
      </c>
      <c r="N38" s="2783"/>
      <c r="O38" s="2784"/>
      <c r="P38" s="962"/>
      <c r="Q38" s="2988"/>
      <c r="R38" s="2979"/>
      <c r="S38" s="658"/>
      <c r="T38" s="658"/>
      <c r="U38" s="658"/>
      <c r="V38" s="658"/>
      <c r="W38" s="658"/>
      <c r="X38" s="658"/>
      <c r="Y38" s="658"/>
      <c r="Z38" s="658"/>
    </row>
    <row r="39" spans="1:26" ht="12.75" customHeight="1">
      <c r="A39" s="139"/>
      <c r="B39" s="2768"/>
      <c r="C39" s="2769" t="s">
        <v>5016</v>
      </c>
      <c r="D39" s="2769"/>
      <c r="E39" s="2751"/>
      <c r="F39" s="2751"/>
      <c r="G39" s="2771"/>
      <c r="H39" s="2771"/>
      <c r="I39" s="2771"/>
      <c r="J39" s="2771"/>
      <c r="K39" s="2031" t="s">
        <v>1877</v>
      </c>
      <c r="L39" s="2805">
        <f>B38</f>
        <v>13</v>
      </c>
      <c r="M39" s="2774" t="str">
        <f>IF(OR($K$30="",NOT(P7),M34="---"),"",IF(P39&lt;&gt;"",ROUND(P39,0),ROUND(M37*M38,0)))</f>
        <v/>
      </c>
      <c r="N39" s="2775"/>
      <c r="O39" s="2806"/>
      <c r="P39" s="118"/>
      <c r="Q39" s="2988"/>
      <c r="R39" s="6584"/>
    </row>
    <row r="40" spans="1:26" s="214" customFormat="1" ht="15.75" customHeight="1">
      <c r="A40" s="139"/>
      <c r="B40" s="2793" t="s">
        <v>1938</v>
      </c>
      <c r="C40" s="10303" t="s">
        <v>4508</v>
      </c>
      <c r="D40" s="10303"/>
      <c r="E40" s="10304"/>
      <c r="F40" s="10304"/>
      <c r="G40" s="10304"/>
      <c r="H40" s="10304"/>
      <c r="I40" s="10304"/>
      <c r="J40" s="10304"/>
      <c r="K40" s="10304"/>
      <c r="L40" s="10304"/>
      <c r="M40" s="10304"/>
      <c r="N40" s="2794"/>
      <c r="O40" s="2795"/>
      <c r="P40" s="962"/>
      <c r="Q40" s="2617"/>
      <c r="R40" s="2979"/>
      <c r="S40" s="658"/>
      <c r="T40" s="658"/>
      <c r="U40" s="658"/>
      <c r="V40" s="658"/>
      <c r="W40" s="658"/>
      <c r="X40" s="658"/>
      <c r="Y40" s="658"/>
      <c r="Z40" s="658"/>
    </row>
    <row r="41" spans="1:26" s="214" customFormat="1" ht="12" customHeight="1">
      <c r="A41" s="139"/>
      <c r="B41" s="2768">
        <v>14</v>
      </c>
      <c r="C41" s="2770" t="s">
        <v>5017</v>
      </c>
      <c r="D41" s="2770"/>
      <c r="E41" s="2751"/>
      <c r="F41" s="2751"/>
      <c r="G41" s="2771"/>
      <c r="H41" s="2771"/>
      <c r="I41" s="2771"/>
      <c r="J41" s="6519"/>
      <c r="K41" s="2768"/>
      <c r="L41" s="2781"/>
      <c r="M41" s="2986"/>
      <c r="N41" s="2783"/>
      <c r="O41" s="2784"/>
      <c r="P41" s="962"/>
      <c r="Q41" s="2988"/>
      <c r="R41" s="2979"/>
      <c r="S41" s="658"/>
      <c r="T41" s="658"/>
      <c r="U41" s="658"/>
      <c r="V41" s="658"/>
      <c r="W41" s="658"/>
      <c r="X41" s="658"/>
      <c r="Y41" s="658"/>
      <c r="Z41" s="658"/>
    </row>
    <row r="42" spans="1:26" ht="12" customHeight="1">
      <c r="A42" s="139"/>
      <c r="B42" s="2768"/>
      <c r="C42" s="5252" t="s">
        <v>2018</v>
      </c>
      <c r="D42" s="2769"/>
      <c r="E42" s="2751"/>
      <c r="F42" s="2751"/>
      <c r="G42" s="2771"/>
      <c r="H42" s="2768"/>
      <c r="I42" s="2768" t="s">
        <v>590</v>
      </c>
      <c r="J42" s="2773">
        <f>B41</f>
        <v>14</v>
      </c>
      <c r="K42" s="2816" t="str">
        <f>IF(P42&lt;&gt;"",ROUND(P42,0),IF(OR(NOT(P7),RRTA_Compensation=0),"",ROUND(RRTA_Compensation,0)))</f>
        <v/>
      </c>
      <c r="L42" s="2781"/>
      <c r="M42" s="2791"/>
      <c r="N42" s="2775"/>
      <c r="O42" s="2776"/>
      <c r="P42" s="118"/>
      <c r="Q42" s="229"/>
      <c r="R42" s="2979"/>
    </row>
    <row r="43" spans="1:26" s="214" customFormat="1" ht="12" customHeight="1">
      <c r="A43" s="139"/>
      <c r="B43" s="2768">
        <v>15</v>
      </c>
      <c r="C43" s="2769" t="s">
        <v>4498</v>
      </c>
      <c r="D43" s="2770"/>
      <c r="E43" s="2751"/>
      <c r="F43" s="2751"/>
      <c r="G43" s="2771"/>
      <c r="H43" s="2771"/>
      <c r="I43" s="2771"/>
      <c r="J43" s="6586"/>
      <c r="K43" s="2768"/>
      <c r="L43" s="2781"/>
      <c r="M43" s="2791"/>
      <c r="N43" s="2783"/>
      <c r="O43" s="2784"/>
      <c r="P43" s="962"/>
      <c r="Q43" s="2988"/>
      <c r="R43" s="2979"/>
      <c r="S43" s="658"/>
      <c r="T43" s="658"/>
      <c r="U43" s="658"/>
      <c r="V43" s="658"/>
      <c r="W43" s="658"/>
      <c r="X43" s="658"/>
      <c r="Y43" s="658"/>
      <c r="Z43" s="658"/>
    </row>
    <row r="44" spans="1:26" s="214" customFormat="1" ht="12" customHeight="1">
      <c r="A44" s="139"/>
      <c r="B44" s="2768"/>
      <c r="C44" s="2769" t="s">
        <v>4499</v>
      </c>
      <c r="D44" s="2770"/>
      <c r="E44" s="2751"/>
      <c r="F44" s="2768"/>
      <c r="G44" s="2768" t="s">
        <v>594</v>
      </c>
      <c r="H44" s="11490">
        <v>250000</v>
      </c>
      <c r="I44" s="11491"/>
      <c r="J44" s="2780"/>
      <c r="K44" s="2768"/>
      <c r="L44" s="2781"/>
      <c r="M44" s="2791"/>
      <c r="N44" s="2783"/>
      <c r="O44" s="2784"/>
      <c r="P44" s="962"/>
      <c r="Q44" s="2988"/>
      <c r="R44" s="2979"/>
      <c r="S44" s="658"/>
      <c r="T44" s="658"/>
      <c r="U44" s="658"/>
      <c r="V44" s="658"/>
      <c r="W44" s="658"/>
      <c r="X44" s="658"/>
      <c r="Y44" s="658"/>
      <c r="Z44" s="658"/>
    </row>
    <row r="45" spans="1:26" s="214" customFormat="1" ht="12" customHeight="1">
      <c r="A45" s="139"/>
      <c r="B45" s="2768"/>
      <c r="C45" s="2769" t="s">
        <v>3698</v>
      </c>
      <c r="D45" s="2770"/>
      <c r="E45" s="2751"/>
      <c r="F45" s="2768"/>
      <c r="G45" s="2768" t="s">
        <v>648</v>
      </c>
      <c r="H45" s="11490">
        <v>125000</v>
      </c>
      <c r="I45" s="11491"/>
      <c r="J45" s="2780"/>
      <c r="K45" s="2768"/>
      <c r="L45" s="2781"/>
      <c r="M45" s="2792"/>
      <c r="N45" s="2783"/>
      <c r="O45" s="2784"/>
      <c r="P45" s="962"/>
      <c r="Q45" s="2988"/>
      <c r="R45" s="2979"/>
      <c r="S45" s="658"/>
      <c r="T45" s="658"/>
      <c r="U45" s="658"/>
      <c r="V45" s="658"/>
      <c r="W45" s="658"/>
      <c r="X45" s="658"/>
      <c r="Y45" s="658"/>
      <c r="Z45" s="658"/>
    </row>
    <row r="46" spans="1:26" ht="12" customHeight="1" thickBot="1">
      <c r="A46" s="139"/>
      <c r="B46" s="2768"/>
      <c r="C46" s="2769" t="s">
        <v>5018</v>
      </c>
      <c r="D46" s="2769"/>
      <c r="E46" s="2751"/>
      <c r="F46" s="2751"/>
      <c r="G46" s="2768"/>
      <c r="H46" s="11490">
        <v>200000</v>
      </c>
      <c r="I46" s="11491"/>
      <c r="J46" s="3742">
        <f>B43</f>
        <v>15</v>
      </c>
      <c r="K46" s="6587" t="str">
        <f>IF(OR($K$42="",NOT(P7)),"",IF(M46="---","Filing Status?",M46))</f>
        <v/>
      </c>
      <c r="L46" s="2781"/>
      <c r="M46" s="3159" t="str">
        <f>IF(File_Marr_Joint&lt;&gt;"",H44,IF(File_Marr_Sep&lt;&gt;"",H45,IF(OR(File_Single&lt;&gt;"",File_Head&lt;&gt;"",File_Qual_Widow&lt;&gt;""),H46,"---")))</f>
        <v>---</v>
      </c>
      <c r="N46" s="2775"/>
      <c r="O46" s="2776"/>
      <c r="P46" s="962"/>
      <c r="Q46" s="229"/>
      <c r="R46" s="2979"/>
    </row>
    <row r="47" spans="1:26" ht="12.75" customHeight="1">
      <c r="A47" s="139"/>
      <c r="B47" s="2768">
        <v>16</v>
      </c>
      <c r="C47" s="2769" t="s">
        <v>4509</v>
      </c>
      <c r="D47" s="2770"/>
      <c r="E47" s="2751"/>
      <c r="F47" s="2751"/>
      <c r="G47" s="2771"/>
      <c r="H47" s="2771"/>
      <c r="I47" s="2771"/>
      <c r="J47" s="2771"/>
      <c r="K47" s="2031" t="s">
        <v>670</v>
      </c>
      <c r="L47" s="2773">
        <f>B47</f>
        <v>16</v>
      </c>
      <c r="M47" s="2774" t="str">
        <f>IF(OR($K$42="",NOT(P7),M46="---"),"",IF(OR(K42="",K46&gt;=K42),0,SUM(K42,-K46)))</f>
        <v/>
      </c>
      <c r="N47" s="2775"/>
      <c r="O47" s="2776"/>
      <c r="P47" s="962"/>
      <c r="Q47" s="2988"/>
      <c r="R47" s="2979"/>
    </row>
    <row r="48" spans="1:26" s="214" customFormat="1" ht="12" customHeight="1">
      <c r="A48" s="139"/>
      <c r="B48" s="2768">
        <v>17</v>
      </c>
      <c r="C48" s="2770" t="str">
        <f>"Additional Medicare Tax on railroad retirement (RRTA) compensation. Multiply line 16 by "&amp;TEXT(M48,"0.0%")&amp;" ("&amp;TEXT(M48,"0.000")&amp;")."</f>
        <v>Additional Medicare Tax on railroad retirement (RRTA) compensation. Multiply line 16 by 0.9% (0.009).</v>
      </c>
      <c r="D48" s="2770"/>
      <c r="E48" s="2751"/>
      <c r="F48" s="2751"/>
      <c r="G48" s="2771"/>
      <c r="H48" s="2771"/>
      <c r="I48" s="2771"/>
      <c r="J48" s="2771"/>
      <c r="K48" s="5226"/>
      <c r="L48" s="2805"/>
      <c r="M48" s="2803">
        <v>8.9999999999999993E-3</v>
      </c>
      <c r="N48" s="2783"/>
      <c r="O48" s="2784"/>
      <c r="P48" s="962"/>
      <c r="Q48" s="2988"/>
      <c r="R48" s="2979"/>
      <c r="S48" s="658"/>
      <c r="T48" s="658"/>
      <c r="U48" s="658"/>
      <c r="V48" s="658"/>
      <c r="W48" s="658"/>
      <c r="X48" s="658"/>
      <c r="Y48" s="658"/>
      <c r="Z48" s="658"/>
    </row>
    <row r="49" spans="1:26" ht="12.75" customHeight="1">
      <c r="A49" s="139"/>
      <c r="B49" s="2768"/>
      <c r="C49" s="2769" t="s">
        <v>4510</v>
      </c>
      <c r="D49" s="2769"/>
      <c r="E49" s="2751"/>
      <c r="F49" s="2751"/>
      <c r="G49" s="2771"/>
      <c r="H49" s="2771"/>
      <c r="I49" s="2771"/>
      <c r="J49" s="2771"/>
      <c r="K49" s="2031" t="s">
        <v>612</v>
      </c>
      <c r="L49" s="2805">
        <f>B48</f>
        <v>17</v>
      </c>
      <c r="M49" s="2774" t="str">
        <f>IF(OR($K$42="",NOT(P7),M46="---"),"",IF(P49&lt;&gt;"",ROUND(P49,0),ROUND(M47*M48,0)))</f>
        <v/>
      </c>
      <c r="N49" s="2775"/>
      <c r="O49" s="2806"/>
      <c r="P49" s="118"/>
      <c r="Q49" s="2988"/>
      <c r="R49" s="6584"/>
    </row>
    <row r="50" spans="1:26" s="214" customFormat="1" ht="15.75" customHeight="1">
      <c r="A50" s="139"/>
      <c r="B50" s="5312" t="s">
        <v>2102</v>
      </c>
      <c r="C50" s="10303" t="s">
        <v>4511</v>
      </c>
      <c r="D50" s="10303"/>
      <c r="E50" s="10304"/>
      <c r="F50" s="10304"/>
      <c r="G50" s="10304"/>
      <c r="H50" s="10304"/>
      <c r="I50" s="10304"/>
      <c r="J50" s="10304"/>
      <c r="K50" s="10304"/>
      <c r="L50" s="10304"/>
      <c r="M50" s="10304"/>
      <c r="N50" s="2794"/>
      <c r="O50" s="2795"/>
      <c r="P50" s="962"/>
      <c r="Q50" s="2617"/>
      <c r="R50" s="2979"/>
      <c r="S50" s="658"/>
      <c r="T50" s="658"/>
      <c r="U50" s="658"/>
      <c r="V50" s="658"/>
      <c r="W50" s="658"/>
      <c r="X50" s="658"/>
      <c r="Y50" s="658"/>
      <c r="Z50" s="658"/>
    </row>
    <row r="51" spans="1:26" s="214" customFormat="1" ht="12" customHeight="1">
      <c r="A51" s="139"/>
      <c r="B51" s="2768">
        <v>18</v>
      </c>
      <c r="C51" s="2770" t="s">
        <v>5019</v>
      </c>
      <c r="D51" s="2770"/>
      <c r="E51" s="2751"/>
      <c r="F51" s="2770"/>
      <c r="G51" s="2771"/>
      <c r="H51" s="2771"/>
      <c r="I51" s="2771"/>
      <c r="J51" s="2771"/>
      <c r="K51" s="2768"/>
      <c r="L51" s="2802"/>
      <c r="M51" s="2803">
        <v>8.9999999999999993E-3</v>
      </c>
      <c r="N51" s="2783"/>
      <c r="O51" s="2784"/>
      <c r="P51" s="962"/>
      <c r="Q51" s="2988"/>
      <c r="R51" s="2979"/>
      <c r="S51" s="658"/>
      <c r="T51" s="658"/>
      <c r="U51" s="658"/>
      <c r="V51" s="658"/>
      <c r="W51" s="658"/>
      <c r="X51" s="658"/>
      <c r="Y51" s="658"/>
      <c r="Z51" s="658"/>
    </row>
    <row r="52" spans="1:26" ht="12.75" customHeight="1">
      <c r="A52" s="139"/>
      <c r="B52" s="2768"/>
      <c r="C52" s="2770" t="s">
        <v>5020</v>
      </c>
      <c r="D52" s="2769"/>
      <c r="E52" s="2751"/>
      <c r="F52" s="2751"/>
      <c r="G52" s="2771"/>
      <c r="H52" s="2771"/>
      <c r="I52" s="2771"/>
      <c r="J52" s="2771"/>
      <c r="K52" s="2031" t="s">
        <v>597</v>
      </c>
      <c r="L52" s="2805">
        <f>B51</f>
        <v>18</v>
      </c>
      <c r="M52" s="2774" t="str">
        <f>IF(P52&lt;&gt;"",ROUND(P52,0),IF(OR(NOT(P7),AND(M27="",M39="",M49="")),"",SUM(M27,M39,M49)))</f>
        <v/>
      </c>
      <c r="N52" s="2775"/>
      <c r="O52" s="2806"/>
      <c r="P52" s="118"/>
      <c r="Q52" s="2988"/>
      <c r="R52" s="6584"/>
    </row>
    <row r="53" spans="1:26" s="214" customFormat="1" ht="15.75" customHeight="1">
      <c r="A53" s="139"/>
      <c r="B53" s="5312" t="s">
        <v>2117</v>
      </c>
      <c r="C53" s="10303" t="s">
        <v>4512</v>
      </c>
      <c r="D53" s="10303"/>
      <c r="E53" s="10304"/>
      <c r="F53" s="10304"/>
      <c r="G53" s="10304"/>
      <c r="H53" s="10304"/>
      <c r="I53" s="10304"/>
      <c r="J53" s="10304"/>
      <c r="K53" s="10304"/>
      <c r="L53" s="10304"/>
      <c r="M53" s="10304"/>
      <c r="N53" s="2794"/>
      <c r="O53" s="2795"/>
      <c r="P53" s="962"/>
      <c r="Q53" s="2617"/>
      <c r="R53" s="2979"/>
      <c r="S53" s="658"/>
      <c r="T53" s="658"/>
      <c r="U53" s="658"/>
      <c r="V53" s="658"/>
      <c r="W53" s="658"/>
      <c r="X53" s="658"/>
      <c r="Y53" s="658"/>
      <c r="Z53" s="658"/>
    </row>
    <row r="54" spans="1:26" s="214" customFormat="1" ht="12" customHeight="1">
      <c r="A54" s="139"/>
      <c r="B54" s="2768">
        <v>19</v>
      </c>
      <c r="C54" s="2769" t="s">
        <v>4513</v>
      </c>
      <c r="D54" s="2770"/>
      <c r="E54" s="2751"/>
      <c r="F54" s="2751"/>
      <c r="G54" s="2771"/>
      <c r="H54" s="2771"/>
      <c r="I54" s="2771"/>
      <c r="J54" s="6519"/>
      <c r="K54" s="2768"/>
      <c r="L54" s="2781"/>
      <c r="M54" s="2986"/>
      <c r="N54" s="2783"/>
      <c r="O54" s="2784"/>
      <c r="P54" s="962"/>
      <c r="Q54" s="2988"/>
      <c r="R54" s="2979"/>
      <c r="S54" s="658"/>
      <c r="T54" s="658"/>
      <c r="U54" s="658"/>
      <c r="V54" s="658"/>
      <c r="W54" s="658"/>
      <c r="X54" s="658"/>
      <c r="Y54" s="658"/>
      <c r="Z54" s="658"/>
    </row>
    <row r="55" spans="1:26" ht="12" customHeight="1">
      <c r="A55" s="139"/>
      <c r="B55" s="2768"/>
      <c r="C55" s="2769" t="s">
        <v>4514</v>
      </c>
      <c r="D55" s="2769"/>
      <c r="E55" s="2751"/>
      <c r="F55" s="2751"/>
      <c r="G55" s="2771"/>
      <c r="H55" s="2768"/>
      <c r="I55" s="2031" t="s">
        <v>643</v>
      </c>
      <c r="J55" s="2773">
        <f>B54</f>
        <v>19</v>
      </c>
      <c r="K55" s="2774" t="str">
        <f>IF(P55&lt;&gt;"",ROUND(P55,0),IF(OR(NOT(P7),MedCare_Tax_Withheld=0),"",MedCare_Tax_Withheld))</f>
        <v/>
      </c>
      <c r="L55" s="2781"/>
      <c r="M55" s="2791"/>
      <c r="N55" s="2775"/>
      <c r="O55" s="2776"/>
      <c r="P55" s="118"/>
      <c r="Q55" s="229"/>
      <c r="R55" s="2979"/>
    </row>
    <row r="56" spans="1:26" ht="12" customHeight="1">
      <c r="A56" s="139"/>
      <c r="B56" s="2768">
        <v>20</v>
      </c>
      <c r="C56" s="2769" t="s">
        <v>4515</v>
      </c>
      <c r="D56" s="2769"/>
      <c r="E56" s="2751"/>
      <c r="F56" s="2751"/>
      <c r="G56" s="2771"/>
      <c r="H56" s="2768"/>
      <c r="I56" s="2768" t="s">
        <v>594</v>
      </c>
      <c r="J56" s="2773">
        <f>B56</f>
        <v>20</v>
      </c>
      <c r="K56" s="2774" t="str">
        <f>K17</f>
        <v/>
      </c>
      <c r="L56" s="2781"/>
      <c r="M56" s="2791"/>
      <c r="N56" s="2775"/>
      <c r="O56" s="2776"/>
      <c r="P56" s="962"/>
      <c r="Q56" s="229"/>
      <c r="R56" s="2979"/>
    </row>
    <row r="57" spans="1:26" s="214" customFormat="1" ht="12" customHeight="1">
      <c r="A57" s="139"/>
      <c r="B57" s="2768">
        <v>21</v>
      </c>
      <c r="C57" s="2769" t="str">
        <f>"Multiply line 20 by "&amp;TEXT(K57,"0.00%")&amp;" ("&amp;TEXT(K57,"0.0000")&amp;"). This is your regular Medicare tax"</f>
        <v>Multiply line 20 by 1.45% (0.0145). This is your regular Medicare tax</v>
      </c>
      <c r="D57" s="2770"/>
      <c r="E57" s="2751"/>
      <c r="F57" s="2751"/>
      <c r="G57" s="2771"/>
      <c r="H57" s="2771"/>
      <c r="I57" s="2771"/>
      <c r="J57" s="6586"/>
      <c r="K57" s="6593">
        <v>1.4500000000000001E-2</v>
      </c>
      <c r="L57" s="2781"/>
      <c r="M57" s="2792"/>
      <c r="N57" s="2783"/>
      <c r="O57" s="2784"/>
      <c r="P57" s="962"/>
      <c r="Q57" s="2988"/>
      <c r="R57" s="2979"/>
      <c r="S57" s="658"/>
      <c r="T57" s="658"/>
      <c r="U57" s="658"/>
      <c r="V57" s="658"/>
      <c r="W57" s="658"/>
      <c r="X57" s="658"/>
      <c r="Y57" s="658"/>
      <c r="Z57" s="658"/>
    </row>
    <row r="58" spans="1:26" ht="12" customHeight="1" thickBot="1">
      <c r="A58" s="139"/>
      <c r="B58" s="2768"/>
      <c r="C58" s="3336" t="s">
        <v>4516</v>
      </c>
      <c r="D58" s="2769"/>
      <c r="E58" s="2751"/>
      <c r="F58" s="2751"/>
      <c r="G58" s="2771"/>
      <c r="H58" s="2768"/>
      <c r="I58" s="2768" t="s">
        <v>608</v>
      </c>
      <c r="J58" s="3742">
        <f>B57</f>
        <v>21</v>
      </c>
      <c r="K58" s="6587" t="str">
        <f>IF(OR(K56="",NOT(P7)),"",ROUND(K56*K57,0))</f>
        <v/>
      </c>
      <c r="L58" s="2781"/>
      <c r="M58" s="2791"/>
      <c r="N58" s="2775"/>
      <c r="O58" s="2776"/>
      <c r="P58" s="962"/>
      <c r="Q58" s="229"/>
      <c r="R58" s="2979"/>
    </row>
    <row r="59" spans="1:26" s="214" customFormat="1" ht="12" customHeight="1">
      <c r="A59" s="139"/>
      <c r="B59" s="2768">
        <v>22</v>
      </c>
      <c r="C59" s="2769" t="s">
        <v>4517</v>
      </c>
      <c r="D59" s="2770"/>
      <c r="E59" s="2751"/>
      <c r="F59" s="2751"/>
      <c r="G59" s="2771"/>
      <c r="H59" s="2771"/>
      <c r="I59" s="2771"/>
      <c r="J59" s="2771"/>
      <c r="K59" s="2768"/>
      <c r="L59" s="2781"/>
      <c r="M59" s="2803">
        <v>8.9999999999999993E-3</v>
      </c>
      <c r="N59" s="2783"/>
      <c r="O59" s="2784"/>
      <c r="P59" s="962"/>
      <c r="Q59" s="2988"/>
      <c r="R59" s="2979"/>
      <c r="S59" s="658"/>
      <c r="T59" s="658"/>
      <c r="U59" s="658"/>
      <c r="V59" s="658"/>
      <c r="W59" s="658"/>
      <c r="X59" s="658"/>
      <c r="Y59" s="658"/>
      <c r="Z59" s="658"/>
    </row>
    <row r="60" spans="1:26" ht="12.75" customHeight="1">
      <c r="A60" s="139"/>
      <c r="B60" s="2768"/>
      <c r="C60" s="2769" t="s">
        <v>4516</v>
      </c>
      <c r="D60" s="2769"/>
      <c r="E60" s="2751"/>
      <c r="F60" s="2751"/>
      <c r="G60" s="2771"/>
      <c r="H60" s="2771"/>
      <c r="I60" s="2771"/>
      <c r="J60" s="2771"/>
      <c r="K60" s="2031" t="s">
        <v>665</v>
      </c>
      <c r="L60" s="3693">
        <f>B59</f>
        <v>22</v>
      </c>
      <c r="M60" s="2774" t="str">
        <f>IF(OR(NOT(P7),K55="",K58=""),"",MAX(0,SUM(K55,-K58)))</f>
        <v/>
      </c>
      <c r="N60" s="2775"/>
      <c r="O60" s="2806"/>
      <c r="P60" s="962"/>
      <c r="Q60" s="2988"/>
      <c r="R60" s="6584"/>
    </row>
    <row r="61" spans="1:26" s="214" customFormat="1" ht="12" customHeight="1">
      <c r="A61" s="139"/>
      <c r="B61" s="2768">
        <v>23</v>
      </c>
      <c r="C61" s="2769" t="s">
        <v>4518</v>
      </c>
      <c r="D61" s="2770"/>
      <c r="E61" s="2751"/>
      <c r="F61" s="2751"/>
      <c r="G61" s="2771"/>
      <c r="H61" s="2771"/>
      <c r="I61" s="2771"/>
      <c r="J61" s="2771"/>
      <c r="K61" s="2768"/>
      <c r="L61" s="2805"/>
      <c r="M61" s="2803">
        <v>8.9999999999999993E-3</v>
      </c>
      <c r="N61" s="2783"/>
      <c r="O61" s="2784"/>
      <c r="P61" s="962"/>
      <c r="Q61" s="2988"/>
      <c r="R61" s="2979"/>
      <c r="S61" s="658"/>
      <c r="T61" s="658"/>
      <c r="U61" s="658"/>
      <c r="V61" s="658"/>
      <c r="W61" s="658"/>
      <c r="X61" s="658"/>
      <c r="Y61" s="658"/>
      <c r="Z61" s="658"/>
    </row>
    <row r="62" spans="1:26" ht="12.75" customHeight="1" thickBot="1">
      <c r="A62" s="139"/>
      <c r="B62" s="2768"/>
      <c r="C62" s="2769" t="s">
        <v>4519</v>
      </c>
      <c r="D62" s="2769"/>
      <c r="E62" s="2751"/>
      <c r="F62" s="2751"/>
      <c r="G62" s="2771"/>
      <c r="H62" s="2771"/>
      <c r="I62" s="2771"/>
      <c r="J62" s="2771"/>
      <c r="K62" s="2031" t="s">
        <v>665</v>
      </c>
      <c r="L62" s="4303">
        <f>B61</f>
        <v>23</v>
      </c>
      <c r="M62" s="6594" t="str">
        <f>IF(P62&lt;&gt;"",ROUND(P62,0),IF(OR(NOT(P7),RRTA_TaxWH=0),"",ROUND(RRTA_TaxWH,0)))</f>
        <v/>
      </c>
      <c r="N62" s="2775"/>
      <c r="O62" s="2806"/>
      <c r="P62" s="118"/>
      <c r="Q62" s="2988"/>
      <c r="R62" s="6584"/>
    </row>
    <row r="63" spans="1:26" s="214" customFormat="1" ht="12" customHeight="1">
      <c r="A63" s="139"/>
      <c r="B63" s="2768">
        <v>24</v>
      </c>
      <c r="C63" s="2769" t="s">
        <v>4520</v>
      </c>
      <c r="D63" s="2770"/>
      <c r="E63" s="2751"/>
      <c r="F63" s="2751"/>
      <c r="G63" s="2771"/>
      <c r="H63" s="2771"/>
      <c r="I63" s="2771"/>
      <c r="J63" s="2771"/>
      <c r="K63" s="2768"/>
      <c r="L63" s="2805"/>
      <c r="M63" s="2803">
        <v>8.9999999999999993E-3</v>
      </c>
      <c r="N63" s="2783"/>
      <c r="O63" s="2784"/>
      <c r="P63" s="962"/>
      <c r="Q63" s="2988"/>
      <c r="R63" s="2979"/>
      <c r="S63" s="658"/>
      <c r="T63" s="658"/>
      <c r="U63" s="658"/>
      <c r="V63" s="658"/>
      <c r="W63" s="658"/>
      <c r="X63" s="658"/>
      <c r="Y63" s="658"/>
      <c r="Z63" s="658"/>
    </row>
    <row r="64" spans="1:26" s="214" customFormat="1" ht="12" customHeight="1">
      <c r="A64" s="139"/>
      <c r="B64" s="2768"/>
      <c r="C64" s="2769" t="s">
        <v>4521</v>
      </c>
      <c r="D64" s="2770"/>
      <c r="E64" s="2751"/>
      <c r="F64" s="2751"/>
      <c r="G64" s="2771"/>
      <c r="H64" s="2771"/>
      <c r="I64" s="2771"/>
      <c r="J64" s="2771"/>
      <c r="K64" s="2768"/>
      <c r="L64" s="2805"/>
      <c r="M64" s="2803"/>
      <c r="N64" s="2783"/>
      <c r="O64" s="2784"/>
      <c r="P64" s="962"/>
      <c r="Q64" s="2988"/>
      <c r="R64" s="2979"/>
      <c r="S64" s="658"/>
      <c r="T64" s="658"/>
      <c r="U64" s="658"/>
      <c r="V64" s="658"/>
      <c r="W64" s="658"/>
      <c r="X64" s="658"/>
      <c r="Y64" s="658"/>
      <c r="Z64" s="658"/>
    </row>
    <row r="65" spans="1:26" ht="12.75" customHeight="1" thickBot="1">
      <c r="A65" s="139"/>
      <c r="B65" s="2768"/>
      <c r="C65" s="2769" t="s">
        <v>5021</v>
      </c>
      <c r="D65" s="2769"/>
      <c r="E65" s="2751"/>
      <c r="F65" s="2751"/>
      <c r="G65" s="2771"/>
      <c r="H65" s="2771"/>
      <c r="I65" s="2771"/>
      <c r="J65" s="2771"/>
      <c r="K65" s="2031" t="s">
        <v>590</v>
      </c>
      <c r="L65" s="2805">
        <f>B63</f>
        <v>24</v>
      </c>
      <c r="M65" s="2774">
        <f>IF(P65&lt;&gt;"",ROUND(P65,0),IF(OR(NOT(P7),F8959_Tax=""),0,ROUND(SUM(M60,M62),0)))</f>
        <v>0</v>
      </c>
      <c r="N65" s="2775"/>
      <c r="O65" s="2784"/>
      <c r="P65" s="118"/>
      <c r="Q65" s="2988"/>
      <c r="R65" s="6584"/>
    </row>
    <row r="66" spans="1:26" s="80" customFormat="1" ht="17.25" customHeight="1">
      <c r="A66" s="139"/>
      <c r="B66" s="6595" t="s">
        <v>865</v>
      </c>
      <c r="C66" s="2828"/>
      <c r="D66" s="2828"/>
      <c r="E66" s="2828"/>
      <c r="F66" s="2828"/>
      <c r="G66" s="2829"/>
      <c r="H66" s="2830"/>
      <c r="I66" s="5305" t="s">
        <v>4522</v>
      </c>
      <c r="J66" s="6596"/>
      <c r="K66" s="6597" t="s">
        <v>4523</v>
      </c>
      <c r="L66" s="6597"/>
      <c r="M66" s="6598" t="str">
        <f>"  ("&amp;TaxYear&amp;") Created 4/30/25 "</f>
        <v xml:space="preserve">  (2025) Created 4/30/25 </v>
      </c>
      <c r="N66" s="2834"/>
      <c r="O66" s="2784"/>
      <c r="P66" s="962"/>
      <c r="Q66" s="229"/>
      <c r="R66" s="2979"/>
      <c r="S66" s="658"/>
      <c r="T66" s="658"/>
      <c r="U66" s="658"/>
      <c r="V66" s="658"/>
      <c r="W66" s="658"/>
      <c r="X66" s="658"/>
      <c r="Y66" s="658"/>
      <c r="Z66" s="658"/>
    </row>
    <row r="67" spans="1:26" s="80" customFormat="1" ht="15" customHeight="1">
      <c r="A67" s="139"/>
      <c r="B67" s="148"/>
      <c r="C67" s="2733"/>
      <c r="D67" s="2733"/>
      <c r="E67" s="139"/>
      <c r="F67" s="139"/>
      <c r="G67" s="139"/>
      <c r="H67" s="139"/>
      <c r="I67" s="139"/>
      <c r="J67" s="150"/>
      <c r="K67" s="150"/>
      <c r="L67" s="150"/>
      <c r="M67" s="150"/>
      <c r="N67" s="2836"/>
      <c r="O67" s="2784"/>
      <c r="P67" s="962"/>
      <c r="Q67" s="3"/>
      <c r="R67" s="2979"/>
      <c r="S67" s="658"/>
      <c r="T67" s="658"/>
      <c r="U67" s="658"/>
      <c r="V67" s="658"/>
      <c r="W67" s="658"/>
      <c r="X67" s="658"/>
      <c r="Y67" s="658"/>
      <c r="Z67" s="658"/>
    </row>
    <row r="68" spans="1:26" s="80" customFormat="1" ht="23.25" customHeight="1">
      <c r="A68"/>
      <c r="B68" s="1"/>
      <c r="C68" s="12"/>
      <c r="D68" s="12"/>
      <c r="E68"/>
      <c r="F68"/>
      <c r="G68"/>
      <c r="H68"/>
      <c r="I68"/>
      <c r="J68" s="4"/>
      <c r="K68" s="4"/>
      <c r="L68" s="4"/>
      <c r="M68" s="4"/>
      <c r="N68" s="2838"/>
      <c r="O68"/>
      <c r="P68" s="2839"/>
      <c r="Q68" s="3"/>
      <c r="R68" s="2979"/>
      <c r="S68" s="658"/>
      <c r="T68" s="658"/>
      <c r="U68" s="658"/>
      <c r="V68" s="658"/>
      <c r="W68" s="658"/>
      <c r="X68" s="658"/>
      <c r="Y68" s="658"/>
      <c r="Z68" s="658"/>
    </row>
    <row r="69" spans="1:26" s="80" customFormat="1" ht="24" customHeight="1" thickBot="1">
      <c r="A69"/>
      <c r="B69" s="1"/>
      <c r="C69" s="12"/>
      <c r="D69" s="12"/>
      <c r="E69"/>
      <c r="F69"/>
      <c r="G69"/>
      <c r="H69"/>
      <c r="I69"/>
      <c r="J69" s="4"/>
      <c r="K69" s="4"/>
      <c r="L69" s="4"/>
      <c r="M69" s="4"/>
      <c r="N69" s="2838"/>
      <c r="O69"/>
      <c r="P69" s="2839"/>
      <c r="Q69" s="329"/>
      <c r="R69" s="6579"/>
      <c r="S69" s="658"/>
      <c r="T69" s="658"/>
      <c r="U69" s="658"/>
      <c r="V69" s="658"/>
      <c r="W69" s="658"/>
      <c r="X69" s="658"/>
      <c r="Y69" s="658"/>
      <c r="Z69" s="658"/>
    </row>
    <row r="70" spans="1:26" s="80" customFormat="1" ht="15" customHeight="1" thickTop="1" thickBot="1">
      <c r="A70"/>
      <c r="B70" s="1"/>
      <c r="C70" s="7255" t="s">
        <v>4524</v>
      </c>
      <c r="D70" s="8101"/>
      <c r="E70" s="8101"/>
      <c r="F70" s="8101"/>
      <c r="G70" s="8102"/>
      <c r="H70" s="4"/>
      <c r="I70" s="4"/>
      <c r="J70"/>
      <c r="K70"/>
      <c r="L70" s="4"/>
      <c r="M70" s="4"/>
      <c r="N70" s="4"/>
      <c r="O70"/>
      <c r="P70" s="329"/>
      <c r="Q70" s="329"/>
      <c r="R70" s="6579"/>
      <c r="S70" s="658"/>
      <c r="T70" s="658"/>
      <c r="U70" s="658"/>
      <c r="V70" s="658"/>
      <c r="W70" s="658"/>
      <c r="X70" s="658"/>
      <c r="Y70" s="658"/>
      <c r="Z70" s="658"/>
    </row>
    <row r="71" spans="1:26" s="80" customFormat="1" ht="8.25" customHeight="1" thickTop="1" thickBot="1">
      <c r="A71"/>
      <c r="B71" s="1"/>
      <c r="C71" s="12"/>
      <c r="D71" s="12"/>
      <c r="E71"/>
      <c r="F71"/>
      <c r="G71" s="4"/>
      <c r="H71" s="4"/>
      <c r="I71" s="4"/>
      <c r="J71"/>
      <c r="K71"/>
      <c r="L71" s="4"/>
      <c r="M71" s="4"/>
      <c r="N71" s="4"/>
      <c r="O71"/>
      <c r="P71" s="329"/>
      <c r="Q71" s="329"/>
      <c r="R71" s="6579"/>
      <c r="S71" s="658"/>
      <c r="T71" s="658"/>
      <c r="U71" s="658"/>
      <c r="V71" s="658"/>
      <c r="W71" s="658"/>
      <c r="X71" s="658"/>
      <c r="Y71" s="658"/>
      <c r="Z71" s="658"/>
    </row>
    <row r="72" spans="1:26" s="80" customFormat="1" ht="17.25" customHeight="1" thickTop="1" thickBot="1">
      <c r="A72"/>
      <c r="B72" s="1"/>
      <c r="C72" s="7255" t="s">
        <v>4525</v>
      </c>
      <c r="D72" s="8101"/>
      <c r="E72" s="8101"/>
      <c r="F72" s="8101"/>
      <c r="G72" s="8102"/>
      <c r="H72" s="4"/>
      <c r="I72" s="4"/>
      <c r="J72"/>
      <c r="K72"/>
      <c r="L72" s="4"/>
      <c r="M72" s="4"/>
      <c r="N72" s="4"/>
      <c r="O72"/>
      <c r="P72" s="329"/>
      <c r="Q72"/>
      <c r="R72" s="6579"/>
      <c r="S72" s="658"/>
      <c r="T72" s="658"/>
      <c r="U72" s="658"/>
      <c r="V72" s="658"/>
      <c r="W72" s="658"/>
      <c r="X72" s="658"/>
      <c r="Y72" s="658"/>
      <c r="Z72" s="658"/>
    </row>
    <row r="73" spans="1:26" s="80" customFormat="1" ht="12.75" customHeight="1" thickTop="1">
      <c r="A73"/>
      <c r="B73"/>
      <c r="C73"/>
      <c r="D73"/>
      <c r="E73"/>
      <c r="F73"/>
      <c r="G73"/>
      <c r="H73"/>
      <c r="I73"/>
      <c r="J73"/>
      <c r="K73"/>
      <c r="L73"/>
      <c r="M73"/>
      <c r="N73"/>
      <c r="O73"/>
      <c r="P73"/>
      <c r="Q73"/>
      <c r="R73" s="6579"/>
      <c r="S73" s="658"/>
      <c r="T73" s="658"/>
      <c r="U73" s="658"/>
      <c r="V73" s="658"/>
      <c r="W73" s="658"/>
      <c r="X73" s="658"/>
      <c r="Y73" s="658"/>
      <c r="Z73" s="658"/>
    </row>
    <row r="74" spans="1:26" s="80" customFormat="1" ht="21.75" customHeight="1">
      <c r="A74"/>
      <c r="B74"/>
      <c r="C74"/>
      <c r="D74"/>
      <c r="E74"/>
      <c r="F74"/>
      <c r="G74"/>
      <c r="H74"/>
      <c r="I74"/>
      <c r="J74"/>
      <c r="K74"/>
      <c r="L74"/>
      <c r="M74"/>
      <c r="N74"/>
      <c r="O74"/>
      <c r="P74"/>
      <c r="Q74"/>
      <c r="R74" s="6579"/>
      <c r="S74" s="658"/>
      <c r="T74" s="658"/>
      <c r="U74" s="658"/>
      <c r="V74" s="658"/>
      <c r="W74" s="658"/>
      <c r="X74" s="658"/>
      <c r="Y74" s="658"/>
      <c r="Z74" s="658"/>
    </row>
    <row r="75" spans="1:26" s="80" customFormat="1" ht="22.5" customHeight="1">
      <c r="A75"/>
      <c r="B75"/>
      <c r="C75"/>
      <c r="D75"/>
      <c r="E75"/>
      <c r="F75"/>
      <c r="G75"/>
      <c r="H75"/>
      <c r="I75"/>
      <c r="J75"/>
      <c r="K75"/>
      <c r="L75"/>
      <c r="M75"/>
      <c r="N75"/>
      <c r="O75"/>
      <c r="P75"/>
      <c r="Q75"/>
      <c r="R75" s="6579"/>
      <c r="S75" s="658"/>
      <c r="T75" s="658"/>
      <c r="U75" s="658"/>
      <c r="V75" s="658"/>
      <c r="W75" s="658"/>
      <c r="X75" s="658"/>
      <c r="Y75" s="658"/>
      <c r="Z75" s="658"/>
    </row>
    <row r="76" spans="1:26" s="80" customFormat="1" ht="12.75" customHeight="1">
      <c r="A76"/>
      <c r="B76"/>
      <c r="C76"/>
      <c r="D76"/>
      <c r="E76"/>
      <c r="F76"/>
      <c r="G76"/>
      <c r="H76"/>
      <c r="I76"/>
      <c r="J76"/>
      <c r="K76"/>
      <c r="L76"/>
      <c r="M76"/>
      <c r="N76"/>
      <c r="O76"/>
      <c r="P76"/>
      <c r="Q76"/>
      <c r="R76" s="6579"/>
      <c r="S76" s="658"/>
      <c r="T76" s="658"/>
      <c r="U76" s="658"/>
      <c r="V76" s="658"/>
      <c r="W76" s="658"/>
      <c r="X76" s="658"/>
      <c r="Y76" s="658"/>
      <c r="Z76" s="658"/>
    </row>
    <row r="77" spans="1:26" s="80" customFormat="1" ht="12.75" customHeight="1">
      <c r="A77"/>
      <c r="B77"/>
      <c r="C77"/>
      <c r="D77"/>
      <c r="E77"/>
      <c r="F77"/>
      <c r="G77"/>
      <c r="H77"/>
      <c r="I77"/>
      <c r="J77"/>
      <c r="K77"/>
      <c r="L77"/>
      <c r="M77"/>
      <c r="N77"/>
      <c r="O77"/>
      <c r="P77"/>
      <c r="Q77"/>
      <c r="R77" s="6579"/>
      <c r="S77" s="658"/>
      <c r="T77" s="658"/>
      <c r="U77" s="658"/>
      <c r="V77" s="658"/>
      <c r="W77" s="658"/>
      <c r="X77" s="658"/>
      <c r="Y77" s="658"/>
      <c r="Z77" s="658"/>
    </row>
    <row r="78" spans="1:26" s="80" customFormat="1" ht="17.25" customHeight="1">
      <c r="A78"/>
      <c r="B78"/>
      <c r="C78"/>
      <c r="D78"/>
      <c r="E78"/>
      <c r="F78"/>
      <c r="G78"/>
      <c r="H78"/>
      <c r="I78"/>
      <c r="J78"/>
      <c r="K78"/>
      <c r="L78"/>
      <c r="M78"/>
      <c r="N78"/>
      <c r="O78"/>
      <c r="P78"/>
      <c r="Q78"/>
      <c r="R78" s="6579"/>
      <c r="S78" s="658"/>
      <c r="T78" s="658"/>
      <c r="U78" s="658"/>
      <c r="V78" s="658"/>
      <c r="W78" s="658"/>
      <c r="X78" s="658"/>
      <c r="Y78" s="658"/>
      <c r="Z78" s="658"/>
    </row>
    <row r="79" spans="1:26" s="80" customFormat="1" ht="14.25" customHeight="1">
      <c r="A79"/>
      <c r="B79"/>
      <c r="C79"/>
      <c r="D79"/>
      <c r="E79"/>
      <c r="F79"/>
      <c r="G79"/>
      <c r="H79"/>
      <c r="I79"/>
      <c r="J79"/>
      <c r="K79"/>
      <c r="L79"/>
      <c r="M79"/>
      <c r="N79"/>
      <c r="O79"/>
      <c r="P79"/>
      <c r="Q79"/>
      <c r="R79" s="6579"/>
      <c r="S79" s="658"/>
      <c r="T79" s="658"/>
      <c r="U79" s="658"/>
      <c r="V79" s="658"/>
      <c r="W79" s="658"/>
      <c r="X79" s="658"/>
      <c r="Y79" s="658"/>
      <c r="Z79" s="658"/>
    </row>
    <row r="80" spans="1:26" s="80" customFormat="1">
      <c r="A80"/>
      <c r="B80"/>
      <c r="C80"/>
      <c r="D80"/>
      <c r="E80"/>
      <c r="F80"/>
      <c r="G80"/>
      <c r="H80"/>
      <c r="I80"/>
      <c r="J80"/>
      <c r="K80"/>
      <c r="L80"/>
      <c r="M80"/>
      <c r="N80"/>
      <c r="O80"/>
      <c r="P80"/>
      <c r="Q80"/>
      <c r="R80" s="6579"/>
      <c r="S80" s="658"/>
      <c r="T80" s="658"/>
      <c r="U80" s="658"/>
      <c r="V80" s="658"/>
      <c r="W80" s="658"/>
      <c r="X80" s="658"/>
      <c r="Y80" s="658"/>
      <c r="Z80" s="658"/>
    </row>
    <row r="81" spans="1:26" s="80" customFormat="1">
      <c r="A81"/>
      <c r="B81"/>
      <c r="C81"/>
      <c r="D81"/>
      <c r="E81"/>
      <c r="F81"/>
      <c r="G81"/>
      <c r="H81"/>
      <c r="I81"/>
      <c r="J81"/>
      <c r="K81"/>
      <c r="L81"/>
      <c r="M81"/>
      <c r="N81"/>
      <c r="O81"/>
      <c r="P81"/>
      <c r="Q81"/>
      <c r="R81" s="6579"/>
      <c r="S81" s="658"/>
      <c r="T81" s="658"/>
      <c r="U81" s="658"/>
      <c r="V81" s="658"/>
      <c r="W81" s="658"/>
      <c r="X81" s="658"/>
      <c r="Y81" s="658"/>
      <c r="Z81" s="658"/>
    </row>
    <row r="82" spans="1:26" s="80" customFormat="1">
      <c r="A82"/>
      <c r="B82"/>
      <c r="C82"/>
      <c r="D82"/>
      <c r="E82"/>
      <c r="F82"/>
      <c r="G82"/>
      <c r="H82"/>
      <c r="I82"/>
      <c r="J82"/>
      <c r="K82"/>
      <c r="L82"/>
      <c r="M82"/>
      <c r="N82"/>
      <c r="O82"/>
      <c r="P82"/>
      <c r="Q82"/>
      <c r="R82" s="6579"/>
      <c r="S82" s="658"/>
      <c r="T82" s="658"/>
      <c r="U82" s="658"/>
      <c r="V82" s="658"/>
      <c r="W82" s="658"/>
      <c r="X82" s="658"/>
      <c r="Y82" s="658"/>
      <c r="Z82" s="658"/>
    </row>
    <row r="83" spans="1:26" s="80" customFormat="1">
      <c r="A83"/>
      <c r="B83"/>
      <c r="C83"/>
      <c r="D83"/>
      <c r="E83"/>
      <c r="F83"/>
      <c r="G83"/>
      <c r="H83"/>
      <c r="I83"/>
      <c r="J83"/>
      <c r="K83"/>
      <c r="L83"/>
      <c r="M83"/>
      <c r="N83"/>
      <c r="O83"/>
      <c r="P83"/>
      <c r="Q83"/>
      <c r="R83" s="6579"/>
      <c r="S83" s="658"/>
      <c r="T83" s="658"/>
      <c r="U83" s="658"/>
      <c r="V83" s="658"/>
      <c r="W83" s="658"/>
      <c r="X83" s="658"/>
      <c r="Y83" s="658"/>
      <c r="Z83" s="658"/>
    </row>
    <row r="84" spans="1:26" s="80" customFormat="1">
      <c r="A84"/>
      <c r="B84"/>
      <c r="C84"/>
      <c r="D84"/>
      <c r="E84"/>
      <c r="F84"/>
      <c r="G84"/>
      <c r="H84"/>
      <c r="I84"/>
      <c r="J84"/>
      <c r="K84"/>
      <c r="L84"/>
      <c r="M84"/>
      <c r="N84"/>
      <c r="O84"/>
      <c r="P84"/>
      <c r="Q84"/>
      <c r="R84" s="6579"/>
      <c r="S84" s="658"/>
      <c r="T84" s="658"/>
      <c r="U84" s="658"/>
      <c r="V84" s="658"/>
      <c r="W84" s="658"/>
      <c r="X84" s="658"/>
      <c r="Y84" s="658"/>
      <c r="Z84" s="658"/>
    </row>
    <row r="85" spans="1:26" s="80" customFormat="1">
      <c r="A85"/>
      <c r="B85"/>
      <c r="C85"/>
      <c r="D85"/>
      <c r="E85"/>
      <c r="F85"/>
      <c r="G85"/>
      <c r="H85"/>
      <c r="I85"/>
      <c r="J85"/>
      <c r="K85"/>
      <c r="L85"/>
      <c r="M85"/>
      <c r="N85"/>
      <c r="O85"/>
      <c r="P85"/>
      <c r="Q85"/>
      <c r="R85" s="6579"/>
      <c r="S85" s="658"/>
      <c r="T85" s="658"/>
      <c r="U85" s="658"/>
      <c r="V85" s="658"/>
      <c r="W85" s="658"/>
      <c r="X85" s="658"/>
      <c r="Y85" s="658"/>
      <c r="Z85" s="658"/>
    </row>
  </sheetData>
  <sheetProtection algorithmName="SHA-512" hashValue="N1SjQahGiYMHT6cm72tEjkD1tNz3l3pNfqaF96CxH4opSNAdXz2hWHTSuKlsGuqcllbLu5q7xFatR6v6CaB1Qg==" saltValue="34oscW/lj/lyQdh8y6U4JQ==" spinCount="100000" sheet="1" objects="1" scenarios="1" formatCells="0" formatColumns="0" formatRows="0"/>
  <mergeCells count="31">
    <mergeCell ref="H22:I22"/>
    <mergeCell ref="H23:I23"/>
    <mergeCell ref="H24:I24"/>
    <mergeCell ref="H44:I44"/>
    <mergeCell ref="H45:I45"/>
    <mergeCell ref="C70:G70"/>
    <mergeCell ref="C72:G72"/>
    <mergeCell ref="C28:M28"/>
    <mergeCell ref="C40:M40"/>
    <mergeCell ref="C50:M50"/>
    <mergeCell ref="C53:M53"/>
    <mergeCell ref="H32:I32"/>
    <mergeCell ref="H33:I33"/>
    <mergeCell ref="H34:I34"/>
    <mergeCell ref="H46:I46"/>
    <mergeCell ref="K13:M13"/>
    <mergeCell ref="B14:J14"/>
    <mergeCell ref="K14:M14"/>
    <mergeCell ref="C15:M15"/>
    <mergeCell ref="B11:D11"/>
    <mergeCell ref="E11:K11"/>
    <mergeCell ref="L11:M11"/>
    <mergeCell ref="B12:D12"/>
    <mergeCell ref="E12:K12"/>
    <mergeCell ref="L12:M12"/>
    <mergeCell ref="L8:M8"/>
    <mergeCell ref="B9:B10"/>
    <mergeCell ref="C9:D10"/>
    <mergeCell ref="E9:K9"/>
    <mergeCell ref="L9:M10"/>
    <mergeCell ref="E10:K10"/>
  </mergeCells>
  <conditionalFormatting sqref="B3:B6">
    <cfRule type="expression" dxfId="180" priority="2">
      <formula>IF(P3,1,0)</formula>
    </cfRule>
  </conditionalFormatting>
  <conditionalFormatting sqref="B14:M14">
    <cfRule type="expression" dxfId="179" priority="99">
      <formula>IF(NoColor,1,0)</formula>
    </cfRule>
  </conditionalFormatting>
  <conditionalFormatting sqref="K17:K20">
    <cfRule type="expression" dxfId="178" priority="15">
      <formula>IF(NoColor,1,0)</formula>
    </cfRule>
  </conditionalFormatting>
  <conditionalFormatting sqref="K24">
    <cfRule type="expression" dxfId="177" priority="6">
      <formula>IF(NoColor,1,0)</formula>
    </cfRule>
  </conditionalFormatting>
  <conditionalFormatting sqref="K30">
    <cfRule type="expression" dxfId="176" priority="41">
      <formula>IF(NoColor,1,0)</formula>
    </cfRule>
  </conditionalFormatting>
  <conditionalFormatting sqref="K34:K36">
    <cfRule type="expression" dxfId="175" priority="14">
      <formula>IF(NoColor,1,0)</formula>
    </cfRule>
  </conditionalFormatting>
  <conditionalFormatting sqref="K42">
    <cfRule type="expression" dxfId="174" priority="9">
      <formula>IF(NoColor,1,0)</formula>
    </cfRule>
  </conditionalFormatting>
  <conditionalFormatting sqref="K46">
    <cfRule type="expression" dxfId="173" priority="5">
      <formula>IF(NoColor,1,0)</formula>
    </cfRule>
  </conditionalFormatting>
  <conditionalFormatting sqref="K55:K56">
    <cfRule type="expression" dxfId="172" priority="22">
      <formula>IF(NoColor,1,0)</formula>
    </cfRule>
  </conditionalFormatting>
  <conditionalFormatting sqref="K58">
    <cfRule type="expression" dxfId="171" priority="20">
      <formula>IF(NoColor,1,0)</formula>
    </cfRule>
  </conditionalFormatting>
  <conditionalFormatting sqref="M25">
    <cfRule type="expression" dxfId="170" priority="12">
      <formula>IF(NoColor,1,0)</formula>
    </cfRule>
  </conditionalFormatting>
  <conditionalFormatting sqref="M27">
    <cfRule type="expression" dxfId="169" priority="43">
      <formula>IF(NoColor,1,0)</formula>
    </cfRule>
  </conditionalFormatting>
  <conditionalFormatting sqref="M37">
    <cfRule type="expression" dxfId="168" priority="10">
      <formula>IF(NoColor,1,0)</formula>
    </cfRule>
  </conditionalFormatting>
  <conditionalFormatting sqref="M39">
    <cfRule type="expression" dxfId="167" priority="11">
      <formula>IF(NoColor,1,0)</formula>
    </cfRule>
  </conditionalFormatting>
  <conditionalFormatting sqref="M47">
    <cfRule type="expression" dxfId="166" priority="7">
      <formula>IF(NoColor,1,0)</formula>
    </cfRule>
  </conditionalFormatting>
  <conditionalFormatting sqref="M49">
    <cfRule type="expression" dxfId="165" priority="8">
      <formula>IF(NoColor,1,0)</formula>
    </cfRule>
  </conditionalFormatting>
  <conditionalFormatting sqref="M52">
    <cfRule type="expression" dxfId="164" priority="26">
      <formula>IF(NoColor,1,0)</formula>
    </cfRule>
  </conditionalFormatting>
  <conditionalFormatting sqref="M60">
    <cfRule type="expression" dxfId="163" priority="19">
      <formula>IF(NoColor,1,0)</formula>
    </cfRule>
  </conditionalFormatting>
  <conditionalFormatting sqref="M62">
    <cfRule type="expression" dxfId="162" priority="18">
      <formula>IF(NoColor,1,0)</formula>
    </cfRule>
  </conditionalFormatting>
  <conditionalFormatting sqref="M65">
    <cfRule type="expression" dxfId="161" priority="17">
      <formula>IF(NoColor,1,0)</formula>
    </cfRule>
  </conditionalFormatting>
  <hyperlinks>
    <hyperlink ref="C70:G70" r:id="rId1" display="Download Form 8959" xr:uid="{00000000-0004-0000-3B00-000000000000}"/>
    <hyperlink ref="C72:G72" r:id="rId2" display="Download Form 8959 Instructions" xr:uid="{00000000-0004-0000-3B00-000001000000}"/>
  </hyperlinks>
  <pageMargins left="0.75" right="0.25" top="0.36" bottom="0.28999999999999998" header="0.36" footer="0.21"/>
  <pageSetup scale="91" fitToHeight="0" orientation="portrait" r:id="rId3"/>
  <rowBreaks count="1" manualBreakCount="1">
    <brk id="66" min="1" max="12" man="1"/>
  </rowBreaks>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pageSetUpPr fitToPage="1"/>
  </sheetPr>
  <dimension ref="A1:AN102"/>
  <sheetViews>
    <sheetView zoomScaleNormal="100" zoomScaleSheetLayoutView="100" workbookViewId="0"/>
  </sheetViews>
  <sheetFormatPr defaultRowHeight="12.75"/>
  <cols>
    <col min="1" max="1" width="2.42578125" customWidth="1"/>
    <col min="2" max="2" width="7.85546875" customWidth="1"/>
    <col min="3" max="3" width="3.140625" customWidth="1"/>
    <col min="4" max="4" width="10.7109375" customWidth="1"/>
    <col min="5" max="5" width="9.5703125" customWidth="1"/>
    <col min="6" max="6" width="2.7109375" customWidth="1"/>
    <col min="7" max="7" width="18.85546875" customWidth="1"/>
    <col min="8" max="8" width="9.28515625" customWidth="1"/>
    <col min="9" max="9" width="4" customWidth="1"/>
    <col min="10" max="10" width="6.7109375" customWidth="1"/>
    <col min="11" max="11" width="4.5703125" style="84" customWidth="1"/>
    <col min="12" max="12" width="15.140625" customWidth="1"/>
    <col min="13" max="13" width="4.42578125" customWidth="1"/>
    <col min="14" max="14" width="14.140625" customWidth="1"/>
    <col min="15" max="15" width="2.5703125" customWidth="1"/>
    <col min="16" max="16" width="3.85546875" customWidth="1"/>
    <col min="17" max="17" width="18.140625" customWidth="1"/>
    <col min="18" max="18" width="2.28515625" customWidth="1"/>
    <col min="19" max="19" width="13.5703125" style="80" customWidth="1"/>
    <col min="20" max="20" width="2.7109375" style="80" customWidth="1"/>
    <col min="21" max="21" width="5.85546875" customWidth="1"/>
    <col min="22" max="22" width="5" customWidth="1"/>
    <col min="23" max="23" width="4.28515625" customWidth="1"/>
    <col min="24" max="24" width="27" customWidth="1"/>
    <col min="25" max="25" width="12.85546875" customWidth="1"/>
    <col min="26" max="26" width="12.42578125" customWidth="1"/>
    <col min="27" max="27" width="13.7109375" customWidth="1"/>
    <col min="28" max="28" width="9.85546875" customWidth="1"/>
    <col min="29" max="29" width="15.28515625" customWidth="1"/>
    <col min="30" max="30" width="3.85546875" customWidth="1"/>
    <col min="31" max="31" width="4" customWidth="1"/>
    <col min="32" max="40" width="10.7109375" style="658" customWidth="1"/>
  </cols>
  <sheetData>
    <row r="1" spans="1:32" ht="17.25" customHeight="1" thickBot="1">
      <c r="A1" s="2726"/>
      <c r="B1" s="151"/>
      <c r="C1" s="151"/>
      <c r="D1" s="151"/>
      <c r="E1" s="151"/>
      <c r="F1" s="151"/>
      <c r="G1" s="151"/>
      <c r="H1" s="151"/>
      <c r="I1" s="151"/>
      <c r="J1" s="151"/>
      <c r="K1" s="151"/>
      <c r="L1" s="151"/>
      <c r="M1" s="2727"/>
      <c r="N1" s="151"/>
      <c r="O1" s="151"/>
      <c r="P1" s="253"/>
      <c r="Q1" s="253"/>
      <c r="R1" s="253"/>
      <c r="S1" s="344"/>
      <c r="T1" s="344"/>
      <c r="U1" s="253"/>
      <c r="V1" s="253"/>
      <c r="W1" s="253"/>
      <c r="X1" s="253"/>
      <c r="Y1" s="253"/>
      <c r="Z1" s="253"/>
      <c r="AA1" s="253"/>
      <c r="AB1" s="253"/>
      <c r="AC1" s="253"/>
      <c r="AD1" s="253"/>
      <c r="AF1" s="657" t="s">
        <v>223</v>
      </c>
    </row>
    <row r="2" spans="1:32" ht="17.25" customHeight="1">
      <c r="A2" s="2726"/>
      <c r="B2" s="2728" t="s">
        <v>4526</v>
      </c>
      <c r="C2" s="151"/>
      <c r="D2" s="151"/>
      <c r="E2" s="151"/>
      <c r="F2" s="151"/>
      <c r="G2" s="151"/>
      <c r="H2" s="151"/>
      <c r="I2" s="151"/>
      <c r="J2" s="151"/>
      <c r="K2" s="151"/>
      <c r="L2" s="151"/>
      <c r="M2" s="2727"/>
      <c r="N2" s="151"/>
      <c r="O2" s="151"/>
      <c r="P2" s="253"/>
      <c r="Q2" s="512" t="b">
        <f>ModAdjGrossInc&gt;Form8960_Threshhold</f>
        <v>0</v>
      </c>
      <c r="R2" s="253"/>
      <c r="S2" s="344"/>
      <c r="T2" s="344"/>
      <c r="U2" s="2729" t="s">
        <v>4527</v>
      </c>
      <c r="V2" s="2730"/>
      <c r="W2" s="2730"/>
      <c r="X2" s="2730"/>
      <c r="Y2" s="2730"/>
      <c r="Z2" s="2730"/>
      <c r="AA2" s="2730"/>
      <c r="AB2" s="2730"/>
      <c r="AC2" s="2730"/>
      <c r="AD2" s="2731"/>
      <c r="AF2" s="657"/>
    </row>
    <row r="3" spans="1:32" ht="17.25" customHeight="1">
      <c r="A3" s="2732"/>
      <c r="B3" s="2733"/>
      <c r="C3" s="139"/>
      <c r="D3" s="139" t="str">
        <f>"Your MAGI is: "&amp;TEXT(ModAdjGrossInc,"$0,000")&amp;"."</f>
        <v>Your MAGI is: $0,000.</v>
      </c>
      <c r="E3" s="139"/>
      <c r="F3" s="139"/>
      <c r="G3" s="139" t="str">
        <f>"Threshold amount = "&amp;TEXT(Form8960_Threshhold,"$0,000")&amp;"."</f>
        <v>Threshold amount = ---.</v>
      </c>
      <c r="H3" s="139"/>
      <c r="I3" s="139"/>
      <c r="J3" s="139"/>
      <c r="K3" s="139"/>
      <c r="L3" s="2734" t="str">
        <f>IF(NOT(F8960_Applicable),"Check to file Form 8960 anyway.","")</f>
        <v>Check to file Form 8960 anyway.</v>
      </c>
      <c r="M3" s="988"/>
      <c r="N3" s="139"/>
      <c r="O3" s="139"/>
      <c r="P3" s="253"/>
      <c r="Q3" s="512" t="b">
        <f>OR(F8960_Applicable,M3&lt;&gt;"")</f>
        <v>0</v>
      </c>
      <c r="R3" s="253"/>
      <c r="S3" s="344"/>
      <c r="T3" s="344"/>
      <c r="U3" s="2735" t="s">
        <v>4528</v>
      </c>
      <c r="V3" s="979"/>
      <c r="W3" s="979"/>
      <c r="X3" s="979"/>
      <c r="Y3" s="979"/>
      <c r="Z3" s="979"/>
      <c r="AA3" s="979"/>
      <c r="AB3" s="979"/>
      <c r="AC3" s="979"/>
      <c r="AD3" s="2736"/>
      <c r="AF3" s="657"/>
    </row>
    <row r="4" spans="1:32" ht="15.75">
      <c r="A4" s="2727"/>
      <c r="B4" s="2727"/>
      <c r="C4" s="151"/>
      <c r="D4" s="151"/>
      <c r="E4" s="151"/>
      <c r="F4" s="151"/>
      <c r="G4" s="151"/>
      <c r="H4" s="2727"/>
      <c r="I4" s="151"/>
      <c r="J4" s="151"/>
      <c r="K4" s="151"/>
      <c r="L4" s="151"/>
      <c r="M4" s="11492" t="str">
        <f>IF('Table of Contents'!A66="D","DRAFT","")</f>
        <v/>
      </c>
      <c r="N4" s="11492"/>
      <c r="O4" s="2856"/>
      <c r="P4" s="253"/>
      <c r="Q4" s="253"/>
      <c r="R4" s="253"/>
      <c r="S4" s="344"/>
      <c r="T4" s="344"/>
      <c r="U4" s="2737"/>
      <c r="V4" s="979" t="s">
        <v>4529</v>
      </c>
      <c r="W4" s="979"/>
      <c r="X4" s="979"/>
      <c r="Y4" s="979"/>
      <c r="Z4" s="979"/>
      <c r="AA4" s="979"/>
      <c r="AB4" s="979"/>
      <c r="AC4" s="979"/>
      <c r="AD4" s="2736"/>
    </row>
    <row r="5" spans="1:32" ht="15">
      <c r="A5" s="139"/>
      <c r="B5" s="88"/>
      <c r="C5" s="88"/>
      <c r="D5" s="90"/>
      <c r="E5" s="2738"/>
      <c r="F5" s="253"/>
      <c r="G5" s="2739"/>
      <c r="H5" s="2740"/>
      <c r="I5" s="2741"/>
      <c r="J5" s="253"/>
      <c r="K5" s="416"/>
      <c r="L5" s="2742"/>
      <c r="M5" s="10287" t="str">
        <f>IF(AND(O5="",'Table of Contents'!A66="D"),"DRAFT","OMB No. 1545-2227")</f>
        <v>OMB No. 1545-2227</v>
      </c>
      <c r="N5" s="9894"/>
      <c r="O5" s="2857"/>
      <c r="P5" s="253"/>
      <c r="Q5" s="253"/>
      <c r="R5" s="253"/>
      <c r="S5" s="344"/>
      <c r="T5" s="344"/>
      <c r="U5" s="2737"/>
      <c r="V5" s="979" t="s">
        <v>4530</v>
      </c>
      <c r="W5" s="979"/>
      <c r="X5" s="979"/>
      <c r="Y5" s="979"/>
      <c r="Z5" s="979"/>
      <c r="AA5" s="979"/>
      <c r="AB5" s="979"/>
      <c r="AC5" s="979"/>
      <c r="AD5" s="2736"/>
    </row>
    <row r="6" spans="1:32" ht="20.25" customHeight="1">
      <c r="A6" s="139"/>
      <c r="B6" s="11275" t="s">
        <v>46</v>
      </c>
      <c r="C6" s="11276">
        <v>8960</v>
      </c>
      <c r="D6" s="11277"/>
      <c r="E6" s="2743"/>
      <c r="F6" s="2744"/>
      <c r="G6" s="253"/>
      <c r="H6" s="2745" t="s">
        <v>4531</v>
      </c>
      <c r="I6" s="253"/>
      <c r="J6" s="253"/>
      <c r="K6" s="416"/>
      <c r="L6" s="379"/>
      <c r="M6" s="11261">
        <f>TaxYear</f>
        <v>2025</v>
      </c>
      <c r="N6" s="11262"/>
      <c r="O6" s="2746"/>
      <c r="P6" s="2747"/>
      <c r="Q6" s="226" t="s">
        <v>979</v>
      </c>
      <c r="R6" s="344"/>
      <c r="S6" s="514"/>
      <c r="T6" s="514"/>
      <c r="U6" s="2748" t="str">
        <f>" must pay "&amp;TEXT(N59,"0.0%")&amp;" of the smaller of (a) or (b) as their NIIT."</f>
        <v xml:space="preserve"> must pay 3.8% of the smaller of (a) or (b) as their NIIT.</v>
      </c>
      <c r="V6" s="979"/>
      <c r="W6" s="979"/>
      <c r="X6" s="979"/>
      <c r="Y6" s="979"/>
      <c r="Z6" s="979"/>
      <c r="AA6" s="979"/>
      <c r="AB6" s="979"/>
      <c r="AC6" s="979"/>
      <c r="AD6" s="2736"/>
    </row>
    <row r="7" spans="1:32" ht="14.25" customHeight="1">
      <c r="A7" s="139"/>
      <c r="B7" s="9800"/>
      <c r="C7" s="11278"/>
      <c r="D7" s="11279"/>
      <c r="E7" s="11498" t="s">
        <v>4532</v>
      </c>
      <c r="F7" s="11498"/>
      <c r="G7" s="6992"/>
      <c r="H7" s="6992"/>
      <c r="I7" s="6992"/>
      <c r="J7" s="6992"/>
      <c r="K7" s="6992"/>
      <c r="L7" s="6993"/>
      <c r="M7" s="11263"/>
      <c r="N7" s="11264"/>
      <c r="O7" s="2749"/>
      <c r="P7" s="2750"/>
      <c r="Q7" s="226" t="s">
        <v>931</v>
      </c>
      <c r="R7" s="504"/>
      <c r="S7" s="504"/>
      <c r="T7" s="504"/>
      <c r="U7" s="2735" t="s">
        <v>4533</v>
      </c>
      <c r="V7" s="979"/>
      <c r="W7" s="979"/>
      <c r="X7" s="979"/>
      <c r="Y7" s="979"/>
      <c r="Z7" s="979"/>
      <c r="AA7" s="979"/>
      <c r="AB7" s="979"/>
      <c r="AC7" s="979"/>
      <c r="AD7" s="2736"/>
    </row>
    <row r="8" spans="1:32" ht="12.75" customHeight="1">
      <c r="A8" s="139"/>
      <c r="B8" s="11316" t="s">
        <v>503</v>
      </c>
      <c r="C8" s="7844"/>
      <c r="D8" s="11317"/>
      <c r="E8" s="11499" t="s">
        <v>3474</v>
      </c>
      <c r="F8" s="11500"/>
      <c r="G8" s="11501"/>
      <c r="H8" s="11501"/>
      <c r="I8" s="11501"/>
      <c r="J8" s="11501"/>
      <c r="K8" s="11501"/>
      <c r="L8" s="11502"/>
      <c r="M8" s="11318" t="s">
        <v>4356</v>
      </c>
      <c r="N8" s="7844"/>
      <c r="O8" s="2746"/>
      <c r="P8" s="2747"/>
      <c r="Q8" s="2013"/>
      <c r="R8" s="504"/>
      <c r="S8" s="351"/>
      <c r="T8" s="351"/>
      <c r="U8" s="2752" t="str">
        <f>IF(AND(OR(File_Marr_Joint&lt;&gt;"",File_Qual_Widow&lt;&gt;""),F8960_Applicable),"→","• ")</f>
        <v xml:space="preserve">• </v>
      </c>
      <c r="V8" s="979" t="str">
        <f>"Married Filing Jointly or Qualifying Widow(er) is "&amp;TEXT(N42,"$0,000")&amp;"."</f>
        <v>Married Filing Jointly or Qualifying Widow(er) is $250,000.</v>
      </c>
      <c r="W8" s="979"/>
      <c r="X8" s="979"/>
      <c r="Y8" s="979"/>
      <c r="Z8" s="979"/>
      <c r="AA8" s="979"/>
      <c r="AB8" s="979"/>
      <c r="AC8" s="979"/>
      <c r="AD8" s="2736"/>
    </row>
    <row r="9" spans="1:32" ht="14.25" customHeight="1" thickBot="1">
      <c r="A9" s="139"/>
      <c r="B9" s="11308" t="s">
        <v>505</v>
      </c>
      <c r="C9" s="11309"/>
      <c r="D9" s="11310"/>
      <c r="E9" s="11494" t="s">
        <v>4534</v>
      </c>
      <c r="F9" s="11495"/>
      <c r="G9" s="11496"/>
      <c r="H9" s="11496"/>
      <c r="I9" s="11496"/>
      <c r="J9" s="11496"/>
      <c r="K9" s="11496"/>
      <c r="L9" s="11497"/>
      <c r="M9" s="11314" t="s">
        <v>4535</v>
      </c>
      <c r="N9" s="11315"/>
      <c r="O9" s="2749"/>
      <c r="P9" s="2750"/>
      <c r="Q9" s="2013"/>
      <c r="R9" s="344"/>
      <c r="S9" s="351"/>
      <c r="T9" s="351"/>
      <c r="U9" s="2752" t="str">
        <f>IF(AND(File_Marr_Sep&lt;&gt;"",F8960_Applicable),"→","• ")</f>
        <v xml:space="preserve">• </v>
      </c>
      <c r="V9" s="979" t="str">
        <f>"Married Filing Separately is "&amp;TEXT(N43,"$0,000")&amp;"."</f>
        <v>Married Filing Separately is $125,000.</v>
      </c>
      <c r="W9" s="979"/>
      <c r="X9" s="979"/>
      <c r="Y9" s="979"/>
      <c r="Z9" s="979"/>
      <c r="AA9" s="979"/>
      <c r="AB9" s="979"/>
      <c r="AC9" s="979"/>
      <c r="AD9" s="2736"/>
    </row>
    <row r="10" spans="1:32" ht="11.25" customHeight="1">
      <c r="A10" s="139"/>
      <c r="B10" s="2753" t="s">
        <v>4536</v>
      </c>
      <c r="C10" s="2754"/>
      <c r="D10" s="2754"/>
      <c r="E10" s="2755"/>
      <c r="F10" s="2755"/>
      <c r="G10" s="2756"/>
      <c r="H10" s="2753"/>
      <c r="I10" s="2756"/>
      <c r="J10" s="2756"/>
      <c r="K10" s="2757"/>
      <c r="L10" s="10305" t="s">
        <v>4537</v>
      </c>
      <c r="M10" s="10306"/>
      <c r="N10" s="10306"/>
      <c r="O10" s="2746"/>
      <c r="P10" s="2747"/>
      <c r="Q10" s="2013"/>
      <c r="R10" s="344"/>
      <c r="S10" s="2758"/>
      <c r="T10" s="2758"/>
      <c r="U10" s="2752" t="str">
        <f>IF(AND(OR(File_Single&lt;&gt;"",File_Head&lt;&gt;""),F8960_Applicable),"→","• ")</f>
        <v xml:space="preserve">• </v>
      </c>
      <c r="V10" s="516" t="str">
        <f>"Single or Head of Household is "&amp;TEXT(N44,"$0,000")&amp;"."</f>
        <v>Single or Head of Household is $200,000.</v>
      </c>
      <c r="W10" s="979"/>
      <c r="X10" s="979"/>
      <c r="Y10" s="979"/>
      <c r="Z10" s="979"/>
      <c r="AA10" s="979"/>
      <c r="AB10" s="979"/>
      <c r="AC10" s="979"/>
      <c r="AD10" s="2736"/>
    </row>
    <row r="11" spans="1:32" ht="14.25" customHeight="1">
      <c r="A11" s="139"/>
      <c r="B11" s="10320" t="str">
        <f>Names</f>
        <v/>
      </c>
      <c r="C11" s="10321"/>
      <c r="D11" s="10321"/>
      <c r="E11" s="10321"/>
      <c r="F11" s="10321"/>
      <c r="G11" s="10321"/>
      <c r="H11" s="10321"/>
      <c r="I11" s="10321"/>
      <c r="J11" s="10321"/>
      <c r="K11" s="10322"/>
      <c r="L11" s="8064">
        <f>IF(NoSSN,"",SS_Yours)</f>
        <v>1010001</v>
      </c>
      <c r="M11" s="10302"/>
      <c r="N11" s="10302"/>
      <c r="O11" s="2749"/>
      <c r="P11" s="2750"/>
      <c r="Q11" s="2013"/>
      <c r="R11" s="344"/>
      <c r="S11" s="2758"/>
      <c r="T11" s="2758"/>
      <c r="U11" s="2752"/>
      <c r="V11" s="979"/>
      <c r="W11" s="979"/>
      <c r="X11" s="979"/>
      <c r="Y11" s="979"/>
      <c r="Z11" s="979"/>
      <c r="AA11" s="979"/>
      <c r="AB11" s="979"/>
      <c r="AC11" s="979"/>
      <c r="AD11" s="2736"/>
    </row>
    <row r="12" spans="1:32" ht="12" customHeight="1">
      <c r="A12" s="139"/>
      <c r="B12" s="2759" t="s">
        <v>2154</v>
      </c>
      <c r="C12" s="11503" t="s">
        <v>4538</v>
      </c>
      <c r="D12" s="8349"/>
      <c r="E12" s="8350"/>
      <c r="F12" s="2720"/>
      <c r="G12" s="2760" t="s">
        <v>4539</v>
      </c>
      <c r="H12" s="2761"/>
      <c r="I12" s="2761"/>
      <c r="J12" s="2761"/>
      <c r="K12" s="2724"/>
      <c r="L12" s="2761"/>
      <c r="M12" s="2761"/>
      <c r="N12" s="2761"/>
      <c r="O12" s="2762"/>
      <c r="P12" s="2763"/>
      <c r="Q12" s="2013"/>
      <c r="R12" s="344"/>
      <c r="S12" s="344"/>
      <c r="T12" s="344"/>
      <c r="U12" s="2735" t="s">
        <v>4540</v>
      </c>
      <c r="V12" s="979"/>
      <c r="W12" s="979"/>
      <c r="X12" s="979"/>
      <c r="Y12" s="979"/>
      <c r="Z12" s="979"/>
      <c r="AA12" s="979"/>
      <c r="AB12" s="979"/>
      <c r="AC12" s="979"/>
      <c r="AD12" s="2736"/>
    </row>
    <row r="13" spans="1:32" ht="12" customHeight="1">
      <c r="A13" s="139"/>
      <c r="B13" s="84"/>
      <c r="C13" s="9581"/>
      <c r="D13" s="9581"/>
      <c r="E13" s="9582"/>
      <c r="F13" s="2720"/>
      <c r="G13" s="2764" t="s">
        <v>4541</v>
      </c>
      <c r="H13" s="1323"/>
      <c r="I13" s="1323"/>
      <c r="J13" s="1323"/>
      <c r="K13" s="2723"/>
      <c r="L13" s="1323"/>
      <c r="M13" s="1323"/>
      <c r="N13" s="1323"/>
      <c r="O13" s="2762"/>
      <c r="P13" s="2763"/>
      <c r="Q13" s="2013"/>
      <c r="R13" s="344"/>
      <c r="S13" s="344"/>
      <c r="T13" s="344"/>
      <c r="U13" s="2735" t="s">
        <v>4542</v>
      </c>
      <c r="V13" s="979"/>
      <c r="W13" s="979"/>
      <c r="X13" s="979"/>
      <c r="Y13" s="979"/>
      <c r="Z13" s="979"/>
      <c r="AA13" s="979"/>
      <c r="AB13" s="979"/>
      <c r="AC13" s="979"/>
      <c r="AD13" s="2736"/>
    </row>
    <row r="14" spans="1:32" ht="12" customHeight="1">
      <c r="A14" s="139"/>
      <c r="B14" s="368"/>
      <c r="C14" s="2765"/>
      <c r="D14" s="2765"/>
      <c r="E14" s="2766"/>
      <c r="F14" s="2720"/>
      <c r="G14" s="2767" t="s">
        <v>4543</v>
      </c>
      <c r="H14" s="1998"/>
      <c r="I14" s="1998"/>
      <c r="J14" s="1998"/>
      <c r="K14" s="2725"/>
      <c r="L14" s="1998"/>
      <c r="M14" s="1998"/>
      <c r="N14" s="1998"/>
      <c r="O14" s="2762"/>
      <c r="P14" s="2763"/>
      <c r="Q14" s="2013"/>
      <c r="R14" s="344"/>
      <c r="S14" s="344"/>
      <c r="T14" s="344"/>
      <c r="U14" s="2735" t="s">
        <v>4544</v>
      </c>
      <c r="V14" s="979"/>
      <c r="W14" s="979"/>
      <c r="X14" s="979"/>
      <c r="Y14" s="979"/>
      <c r="Z14" s="979"/>
      <c r="AA14" s="979"/>
      <c r="AB14" s="979"/>
      <c r="AC14" s="979"/>
      <c r="AD14" s="2736"/>
    </row>
    <row r="15" spans="1:32" ht="13.5" customHeight="1" thickBot="1">
      <c r="A15" s="139"/>
      <c r="B15" s="2768">
        <v>1</v>
      </c>
      <c r="C15" s="2769" t="s">
        <v>4545</v>
      </c>
      <c r="D15" s="2770"/>
      <c r="E15" s="2751"/>
      <c r="F15" s="2751"/>
      <c r="G15" s="2751"/>
      <c r="H15" s="2771"/>
      <c r="I15" s="2771"/>
      <c r="J15" s="2771"/>
      <c r="K15" s="2772"/>
      <c r="L15" s="2031" t="s">
        <v>665</v>
      </c>
      <c r="M15" s="2773">
        <f>B15</f>
        <v>1</v>
      </c>
      <c r="N15" s="2774" t="str">
        <f>IF(Q15&lt;&gt;"",ROUND(Q15,0),IF(File8960,TaxableInterest,""))</f>
        <v/>
      </c>
      <c r="O15" s="2775"/>
      <c r="P15" s="2776"/>
      <c r="Q15" s="118"/>
      <c r="R15" s="689"/>
      <c r="S15" s="689"/>
      <c r="T15" s="689"/>
      <c r="U15" s="980"/>
      <c r="V15" s="981"/>
      <c r="W15" s="981"/>
      <c r="X15" s="981"/>
      <c r="Y15" s="981"/>
      <c r="Z15" s="981"/>
      <c r="AA15" s="981"/>
      <c r="AB15" s="981"/>
      <c r="AC15" s="981"/>
      <c r="AD15" s="2777"/>
    </row>
    <row r="16" spans="1:32" ht="13.5" customHeight="1" thickBot="1">
      <c r="A16" s="139"/>
      <c r="B16" s="2768">
        <v>2</v>
      </c>
      <c r="C16" s="2769" t="s">
        <v>4546</v>
      </c>
      <c r="D16" s="2770"/>
      <c r="E16" s="2751"/>
      <c r="F16" s="2751"/>
      <c r="G16" s="2751"/>
      <c r="H16" s="2771"/>
      <c r="I16" s="2771"/>
      <c r="J16" s="2771"/>
      <c r="K16" s="2772"/>
      <c r="L16" s="2031" t="s">
        <v>647</v>
      </c>
      <c r="M16" s="2773">
        <f>B16</f>
        <v>2</v>
      </c>
      <c r="N16" s="2774" t="str">
        <f>IF(Q16&lt;&gt;"",ROUND(Q16,0),IF(File8960,OrdinaryDividends,""))</f>
        <v/>
      </c>
      <c r="O16" s="2775"/>
      <c r="P16" s="2776"/>
      <c r="Q16" s="118"/>
      <c r="R16" s="689"/>
      <c r="S16" s="689"/>
      <c r="T16" s="689"/>
      <c r="U16" s="253"/>
      <c r="V16" s="253"/>
      <c r="W16" s="253"/>
      <c r="X16" s="253"/>
      <c r="Y16" s="253"/>
      <c r="Z16" s="253"/>
      <c r="AA16" s="253"/>
      <c r="AB16" s="253"/>
      <c r="AC16" s="253"/>
      <c r="AD16" s="253"/>
    </row>
    <row r="17" spans="1:40" ht="13.5" customHeight="1">
      <c r="A17" s="139"/>
      <c r="B17" s="2768">
        <v>3</v>
      </c>
      <c r="C17" s="2769" t="s">
        <v>4547</v>
      </c>
      <c r="D17" s="2770"/>
      <c r="E17" s="2751"/>
      <c r="F17" s="2751"/>
      <c r="G17" s="2751"/>
      <c r="H17" s="2771"/>
      <c r="I17" s="2771"/>
      <c r="J17" s="2771"/>
      <c r="K17" s="2772"/>
      <c r="L17" s="2031" t="s">
        <v>677</v>
      </c>
      <c r="M17" s="2773">
        <f>B17</f>
        <v>3</v>
      </c>
      <c r="N17" s="2774" t="str">
        <f>IF(Q17&lt;&gt;"",ROUND(Q17,0),IF(File8960,ROUND(NonQualAnnuity,0),""))</f>
        <v/>
      </c>
      <c r="O17" s="2775"/>
      <c r="P17" s="2776"/>
      <c r="Q17" s="118"/>
      <c r="R17" s="689"/>
      <c r="S17" s="689"/>
      <c r="T17" s="689"/>
      <c r="U17" s="338"/>
      <c r="V17" s="2778"/>
      <c r="W17" s="2778"/>
      <c r="X17" s="2778"/>
      <c r="Y17" s="2778"/>
      <c r="Z17" s="2778"/>
      <c r="AA17" s="2778"/>
      <c r="AB17" s="2778"/>
      <c r="AC17" s="2778"/>
      <c r="AD17" s="2779"/>
    </row>
    <row r="18" spans="1:40" s="214" customFormat="1" ht="13.5" customHeight="1">
      <c r="A18" s="139"/>
      <c r="B18" s="2768" t="s">
        <v>591</v>
      </c>
      <c r="C18" s="2769" t="s">
        <v>5089</v>
      </c>
      <c r="D18" s="2770"/>
      <c r="E18" s="2751"/>
      <c r="F18" s="2751"/>
      <c r="G18" s="2751"/>
      <c r="H18" s="2771"/>
      <c r="I18" s="2771"/>
      <c r="J18" s="2771"/>
      <c r="K18" s="2780"/>
      <c r="L18" s="2031"/>
      <c r="M18" s="2781"/>
      <c r="N18" s="2782" t="str">
        <f>IF($P$21,"For Line 4b, enter","")</f>
        <v/>
      </c>
      <c r="O18" s="2783"/>
      <c r="P18" s="2784"/>
      <c r="Q18" s="2785"/>
      <c r="R18" s="689"/>
      <c r="S18" s="689"/>
      <c r="T18" s="689"/>
      <c r="U18" s="341"/>
      <c r="V18" s="349" t="s">
        <v>5105</v>
      </c>
      <c r="W18" s="2786"/>
      <c r="X18" s="2786"/>
      <c r="Y18" s="2786"/>
      <c r="Z18" s="2786"/>
      <c r="AA18" s="2786"/>
      <c r="AB18" s="2786"/>
      <c r="AC18" s="2786"/>
      <c r="AD18" s="2787"/>
      <c r="AF18" s="658"/>
      <c r="AG18" s="658"/>
      <c r="AH18" s="658"/>
      <c r="AI18" s="658"/>
      <c r="AJ18" s="658"/>
      <c r="AK18" s="658"/>
      <c r="AL18" s="658"/>
      <c r="AM18" s="658"/>
      <c r="AN18" s="658"/>
    </row>
    <row r="19" spans="1:40" ht="13.5" customHeight="1">
      <c r="A19" s="139"/>
      <c r="B19" s="2768"/>
      <c r="C19" s="2769" t="s">
        <v>5090</v>
      </c>
      <c r="D19" s="2769"/>
      <c r="E19" s="2751"/>
      <c r="F19" s="2751"/>
      <c r="G19" s="2751"/>
      <c r="H19" s="2771"/>
      <c r="I19" s="2768"/>
      <c r="J19" s="2768" t="s">
        <v>590</v>
      </c>
      <c r="K19" s="2773" t="s">
        <v>591</v>
      </c>
      <c r="L19" s="2774" t="str">
        <f>IF(Q19&lt;&gt;"",ROUND(Q19,0),IF(File8960,SUM(BusinessIncomeLoss,SchE_IncomeLoss),""))</f>
        <v/>
      </c>
      <c r="M19" s="2781"/>
      <c r="N19" s="2788" t="str">
        <f>IF($P$21,"net pos. amounts","")</f>
        <v/>
      </c>
      <c r="O19" s="2775"/>
      <c r="P19" s="2776"/>
      <c r="Q19" s="118"/>
      <c r="R19" s="343"/>
      <c r="S19" s="343"/>
      <c r="T19" s="343"/>
      <c r="U19" s="341"/>
      <c r="V19" s="2786"/>
      <c r="W19" s="2786"/>
      <c r="X19" s="2786"/>
      <c r="Y19" s="2786"/>
      <c r="Z19" s="2786"/>
      <c r="AA19" s="2786"/>
      <c r="AB19" s="2786"/>
      <c r="AC19" s="2786"/>
      <c r="AD19" s="2787"/>
    </row>
    <row r="20" spans="1:40" s="214" customFormat="1" ht="13.5" customHeight="1">
      <c r="A20" s="139"/>
      <c r="B20" s="2768" t="s">
        <v>592</v>
      </c>
      <c r="C20" s="2769" t="s">
        <v>4548</v>
      </c>
      <c r="D20" s="2770"/>
      <c r="E20" s="2751"/>
      <c r="F20" s="2751"/>
      <c r="G20" s="2751"/>
      <c r="H20" s="2771"/>
      <c r="I20" s="2771"/>
      <c r="J20" s="2771"/>
      <c r="K20" s="2780"/>
      <c r="L20" s="2768"/>
      <c r="M20" s="2781"/>
      <c r="N20" s="2782" t="str">
        <f>IF($P$21,"as neg. adjustments","")</f>
        <v/>
      </c>
      <c r="O20" s="2783"/>
      <c r="P20" s="2784"/>
      <c r="Q20" s="2785"/>
      <c r="R20" s="689"/>
      <c r="S20" s="689"/>
      <c r="T20" s="689"/>
      <c r="U20" s="341"/>
      <c r="V20" s="7034" t="s">
        <v>6812</v>
      </c>
      <c r="W20" s="7034"/>
      <c r="X20" s="7034"/>
      <c r="Y20" s="7034"/>
      <c r="Z20" s="7034"/>
      <c r="AA20" s="7034"/>
      <c r="AB20" s="7034"/>
      <c r="AC20" s="7034"/>
      <c r="AD20" s="379"/>
      <c r="AF20" s="658"/>
      <c r="AG20" s="658"/>
      <c r="AH20" s="658"/>
      <c r="AI20" s="658"/>
      <c r="AJ20" s="658"/>
      <c r="AK20" s="658"/>
      <c r="AL20" s="658"/>
      <c r="AM20" s="658"/>
      <c r="AN20" s="658"/>
    </row>
    <row r="21" spans="1:40" ht="13.5" customHeight="1">
      <c r="A21" s="139"/>
      <c r="B21" s="2768"/>
      <c r="C21" s="2769" t="s">
        <v>4549</v>
      </c>
      <c r="D21" s="2769"/>
      <c r="E21" s="2751"/>
      <c r="F21" s="2751"/>
      <c r="G21" s="2751"/>
      <c r="H21" s="2771"/>
      <c r="I21" s="2768"/>
      <c r="J21" s="2768" t="s">
        <v>670</v>
      </c>
      <c r="K21" s="2773" t="s">
        <v>2483</v>
      </c>
      <c r="L21" s="335"/>
      <c r="M21" s="2781"/>
      <c r="N21" s="2788" t="str">
        <f>IF($P$21,"and vice versa.","")</f>
        <v/>
      </c>
      <c r="O21" s="749"/>
      <c r="P21" s="2789" t="b">
        <f>IF(AND(L21&lt;&gt;"",O21=""),TRUE,FALSE)</f>
        <v>0</v>
      </c>
      <c r="Q21" s="2790" t="str">
        <f>IF(L21&lt;&gt;"","Hide note.","")</f>
        <v/>
      </c>
      <c r="R21" s="343"/>
      <c r="S21" s="343"/>
      <c r="T21" s="689"/>
      <c r="U21" s="341"/>
      <c r="V21" s="7034"/>
      <c r="W21" s="7034"/>
      <c r="X21" s="7034"/>
      <c r="Y21" s="7034"/>
      <c r="Z21" s="7034"/>
      <c r="AA21" s="7034"/>
      <c r="AB21" s="7034"/>
      <c r="AC21" s="7034"/>
      <c r="AD21" s="379"/>
      <c r="AE21" s="214"/>
    </row>
    <row r="22" spans="1:40" ht="13.5" customHeight="1">
      <c r="A22" s="139"/>
      <c r="B22" s="2768" t="s">
        <v>595</v>
      </c>
      <c r="C22" s="2769" t="s">
        <v>4550</v>
      </c>
      <c r="D22" s="2770"/>
      <c r="E22" s="2751"/>
      <c r="F22" s="2751"/>
      <c r="G22" s="2751"/>
      <c r="H22" s="2771"/>
      <c r="I22" s="2771"/>
      <c r="J22" s="2771"/>
      <c r="K22" s="2772"/>
      <c r="L22" s="2031" t="s">
        <v>691</v>
      </c>
      <c r="M22" s="2773" t="s">
        <v>2716</v>
      </c>
      <c r="N22" s="2774" t="str">
        <f>IF(Q22&lt;&gt;"",Q22,IF(File8960,SUM(L19,L21),""))</f>
        <v/>
      </c>
      <c r="O22" s="2775"/>
      <c r="P22" s="2776"/>
      <c r="Q22" s="118"/>
      <c r="R22" s="689"/>
      <c r="S22" s="689"/>
      <c r="T22" s="689"/>
      <c r="U22" s="341"/>
      <c r="V22" s="7034"/>
      <c r="W22" s="7034"/>
      <c r="X22" s="7034"/>
      <c r="Y22" s="7034"/>
      <c r="Z22" s="7034"/>
      <c r="AA22" s="7034"/>
      <c r="AB22" s="7034"/>
      <c r="AC22" s="7034"/>
      <c r="AD22" s="379"/>
      <c r="AE22" s="214"/>
    </row>
    <row r="23" spans="1:40" ht="13.5" customHeight="1">
      <c r="A23" s="139"/>
      <c r="B23" s="2768" t="s">
        <v>629</v>
      </c>
      <c r="C23" s="2769" t="s">
        <v>4551</v>
      </c>
      <c r="D23" s="2769"/>
      <c r="E23" s="2751"/>
      <c r="F23" s="2751"/>
      <c r="G23" s="2751"/>
      <c r="H23" s="2771"/>
      <c r="I23" s="2768"/>
      <c r="J23" s="2768" t="s">
        <v>708</v>
      </c>
      <c r="K23" s="2773" t="s">
        <v>629</v>
      </c>
      <c r="L23" s="2774" t="str">
        <f>IF(Q23&lt;&gt;"",ROUND(Q23,0),IF(File8960,SUM(CapitalGains,OtherGainsLosses),""))</f>
        <v/>
      </c>
      <c r="M23" s="2781"/>
      <c r="N23" s="2791"/>
      <c r="O23" s="2775"/>
      <c r="P23" s="2776"/>
      <c r="Q23" s="118"/>
      <c r="R23" s="343"/>
      <c r="S23" s="343"/>
      <c r="T23" s="689"/>
      <c r="U23" s="341"/>
      <c r="V23" s="7034"/>
      <c r="W23" s="7034"/>
      <c r="X23" s="7034"/>
      <c r="Y23" s="7034"/>
      <c r="Z23" s="7034"/>
      <c r="AA23" s="7034"/>
      <c r="AB23" s="7034"/>
      <c r="AC23" s="7034"/>
      <c r="AD23" s="379"/>
      <c r="AE23" s="214"/>
    </row>
    <row r="24" spans="1:40" s="214" customFormat="1" ht="13.5" customHeight="1">
      <c r="A24" s="139"/>
      <c r="B24" s="2768" t="s">
        <v>592</v>
      </c>
      <c r="C24" s="2769" t="s">
        <v>5091</v>
      </c>
      <c r="D24" s="2770"/>
      <c r="E24" s="2751"/>
      <c r="F24" s="2751"/>
      <c r="G24" s="2751"/>
      <c r="H24" s="2771"/>
      <c r="I24" s="2771"/>
      <c r="J24" s="2771"/>
      <c r="K24" s="2780"/>
      <c r="L24" s="2768"/>
      <c r="M24" s="2781"/>
      <c r="N24" s="2792"/>
      <c r="O24" s="2783"/>
      <c r="P24" s="2784"/>
      <c r="Q24" s="962"/>
      <c r="R24" s="689"/>
      <c r="S24" s="689"/>
      <c r="T24" s="689"/>
      <c r="U24" s="341"/>
      <c r="V24" s="7034"/>
      <c r="W24" s="7034"/>
      <c r="X24" s="7034"/>
      <c r="Y24" s="7034"/>
      <c r="Z24" s="7034"/>
      <c r="AA24" s="7034"/>
      <c r="AB24" s="7034"/>
      <c r="AC24" s="7034"/>
      <c r="AD24" s="379"/>
      <c r="AF24" s="658"/>
      <c r="AG24" s="658"/>
      <c r="AH24" s="658"/>
      <c r="AI24" s="658"/>
      <c r="AJ24" s="658"/>
      <c r="AK24" s="658"/>
      <c r="AL24" s="658"/>
      <c r="AM24" s="658"/>
      <c r="AN24" s="658"/>
    </row>
    <row r="25" spans="1:40" ht="13.5" customHeight="1">
      <c r="A25" s="139"/>
      <c r="B25" s="2768"/>
      <c r="C25" s="2769" t="s">
        <v>5092</v>
      </c>
      <c r="D25" s="2769"/>
      <c r="E25" s="2751"/>
      <c r="F25" s="2751"/>
      <c r="G25" s="2751"/>
      <c r="H25" s="2771"/>
      <c r="I25" s="2768"/>
      <c r="J25" s="2768" t="s">
        <v>676</v>
      </c>
      <c r="K25" s="2773" t="s">
        <v>985</v>
      </c>
      <c r="L25" s="335"/>
      <c r="M25" s="2781"/>
      <c r="N25" s="2791"/>
      <c r="O25" s="2775"/>
      <c r="P25" s="2776"/>
      <c r="Q25" s="962"/>
      <c r="R25" s="343"/>
      <c r="S25" s="343"/>
      <c r="T25" s="689"/>
      <c r="U25" s="341"/>
      <c r="V25" s="7034"/>
      <c r="W25" s="7034"/>
      <c r="X25" s="7034"/>
      <c r="Y25" s="7034"/>
      <c r="Z25" s="7034"/>
      <c r="AA25" s="7034"/>
      <c r="AB25" s="7034"/>
      <c r="AC25" s="7034"/>
      <c r="AD25" s="379"/>
      <c r="AE25" s="214"/>
    </row>
    <row r="26" spans="1:40" s="214" customFormat="1" ht="13.5" customHeight="1">
      <c r="A26" s="139"/>
      <c r="B26" s="2768" t="s">
        <v>595</v>
      </c>
      <c r="C26" s="2769" t="s">
        <v>5093</v>
      </c>
      <c r="D26" s="2770"/>
      <c r="E26" s="2751"/>
      <c r="F26" s="2751"/>
      <c r="G26" s="2751"/>
      <c r="H26" s="2771"/>
      <c r="I26" s="2771"/>
      <c r="J26" s="2771"/>
      <c r="K26" s="2780"/>
      <c r="L26" s="2768"/>
      <c r="M26" s="2781"/>
      <c r="N26" s="2792"/>
      <c r="O26" s="2783"/>
      <c r="P26" s="2784"/>
      <c r="Q26" s="962"/>
      <c r="R26" s="689"/>
      <c r="S26" s="689"/>
      <c r="T26" s="689"/>
      <c r="U26" s="341"/>
      <c r="V26" s="7034"/>
      <c r="W26" s="7034"/>
      <c r="X26" s="7034"/>
      <c r="Y26" s="7034"/>
      <c r="Z26" s="7034"/>
      <c r="AA26" s="7034"/>
      <c r="AB26" s="7034"/>
      <c r="AC26" s="7034"/>
      <c r="AD26" s="379"/>
      <c r="AF26" s="658"/>
      <c r="AG26" s="658"/>
      <c r="AH26" s="658"/>
      <c r="AI26" s="658"/>
      <c r="AJ26" s="658"/>
      <c r="AK26" s="658"/>
      <c r="AL26" s="658"/>
      <c r="AM26" s="658"/>
      <c r="AN26" s="658"/>
    </row>
    <row r="27" spans="1:40" ht="13.5" customHeight="1">
      <c r="A27" s="139"/>
      <c r="B27" s="2768"/>
      <c r="C27" s="2769" t="s">
        <v>2018</v>
      </c>
      <c r="D27" s="2769"/>
      <c r="E27" s="2751"/>
      <c r="F27" s="2751"/>
      <c r="G27" s="2751"/>
      <c r="H27" s="2771"/>
      <c r="I27" s="2768"/>
      <c r="J27" s="2768" t="s">
        <v>650</v>
      </c>
      <c r="K27" s="2773" t="s">
        <v>1840</v>
      </c>
      <c r="L27" s="335"/>
      <c r="M27" s="2781"/>
      <c r="N27" s="2791"/>
      <c r="O27" s="2775"/>
      <c r="P27" s="2776"/>
      <c r="Q27" s="962"/>
      <c r="R27" s="343"/>
      <c r="S27" s="343"/>
      <c r="T27" s="689"/>
      <c r="U27" s="341"/>
      <c r="V27" s="7034"/>
      <c r="W27" s="7034"/>
      <c r="X27" s="7034"/>
      <c r="Y27" s="7034"/>
      <c r="Z27" s="7034"/>
      <c r="AA27" s="7034"/>
      <c r="AB27" s="7034"/>
      <c r="AC27" s="7034"/>
      <c r="AD27" s="379"/>
      <c r="AE27" s="214"/>
    </row>
    <row r="28" spans="1:40" ht="13.5" customHeight="1">
      <c r="A28" s="139"/>
      <c r="B28" s="2768" t="s">
        <v>599</v>
      </c>
      <c r="C28" s="2769" t="s">
        <v>4552</v>
      </c>
      <c r="D28" s="2770"/>
      <c r="E28" s="2751"/>
      <c r="F28" s="2751"/>
      <c r="G28" s="2751"/>
      <c r="H28" s="2771"/>
      <c r="I28" s="2771"/>
      <c r="J28" s="2771"/>
      <c r="K28" s="2772"/>
      <c r="L28" s="2031" t="s">
        <v>677</v>
      </c>
      <c r="M28" s="2773" t="s">
        <v>1842</v>
      </c>
      <c r="N28" s="2774" t="str">
        <f>IF(Q28&lt;&gt;"",Q28,IF(File8960,SUM(L23,L25,L27),""))</f>
        <v/>
      </c>
      <c r="O28" s="2775"/>
      <c r="P28" s="2776"/>
      <c r="Q28" s="118"/>
      <c r="R28" s="689"/>
      <c r="S28" s="689"/>
      <c r="T28" s="343"/>
      <c r="U28" s="341"/>
      <c r="V28" s="7034"/>
      <c r="W28" s="7034"/>
      <c r="X28" s="7034"/>
      <c r="Y28" s="7034"/>
      <c r="Z28" s="7034"/>
      <c r="AA28" s="7034"/>
      <c r="AB28" s="7034"/>
      <c r="AC28" s="7034"/>
      <c r="AD28" s="379"/>
    </row>
    <row r="29" spans="1:40" ht="13.5" customHeight="1">
      <c r="A29" s="139"/>
      <c r="B29" s="2768">
        <v>6</v>
      </c>
      <c r="C29" s="2769" t="s">
        <v>4553</v>
      </c>
      <c r="D29" s="2770"/>
      <c r="E29" s="2751"/>
      <c r="F29" s="2751"/>
      <c r="G29" s="2751"/>
      <c r="H29" s="2771"/>
      <c r="I29" s="2771"/>
      <c r="J29" s="2771"/>
      <c r="K29" s="2772"/>
      <c r="L29" s="2031" t="s">
        <v>624</v>
      </c>
      <c r="M29" s="2773">
        <f>B29</f>
        <v>6</v>
      </c>
      <c r="N29" s="335"/>
      <c r="O29" s="2775"/>
      <c r="P29" s="2776"/>
      <c r="Q29" s="962"/>
      <c r="R29" s="689"/>
      <c r="S29" s="689"/>
      <c r="T29" s="689"/>
      <c r="U29" s="341"/>
      <c r="V29" s="7034"/>
      <c r="W29" s="7034"/>
      <c r="X29" s="7034"/>
      <c r="Y29" s="7034"/>
      <c r="Z29" s="7034"/>
      <c r="AA29" s="7034"/>
      <c r="AB29" s="7034"/>
      <c r="AC29" s="7034"/>
      <c r="AD29" s="379"/>
    </row>
    <row r="30" spans="1:40" ht="13.5" customHeight="1">
      <c r="A30" s="139"/>
      <c r="B30" s="2768">
        <v>7</v>
      </c>
      <c r="C30" s="2769" t="s">
        <v>4554</v>
      </c>
      <c r="D30" s="2770"/>
      <c r="E30" s="2751"/>
      <c r="F30" s="2751"/>
      <c r="G30" s="2751"/>
      <c r="H30" s="2771"/>
      <c r="I30" s="2771"/>
      <c r="J30" s="2771"/>
      <c r="K30" s="2772"/>
      <c r="L30" s="2031" t="s">
        <v>608</v>
      </c>
      <c r="M30" s="2773">
        <f>B30</f>
        <v>7</v>
      </c>
      <c r="N30" s="335"/>
      <c r="O30" s="2775"/>
      <c r="P30" s="2776"/>
      <c r="Q30" s="962"/>
      <c r="R30" s="689"/>
      <c r="S30" s="689"/>
      <c r="T30" s="343"/>
      <c r="U30" s="341"/>
      <c r="V30" s="7034"/>
      <c r="W30" s="7034"/>
      <c r="X30" s="7034"/>
      <c r="Y30" s="7034"/>
      <c r="Z30" s="7034"/>
      <c r="AA30" s="7034"/>
      <c r="AB30" s="7034"/>
      <c r="AC30" s="7034"/>
      <c r="AD30" s="379"/>
    </row>
    <row r="31" spans="1:40" ht="13.5" customHeight="1">
      <c r="A31" s="139"/>
      <c r="B31" s="2768">
        <v>8</v>
      </c>
      <c r="C31" s="2769" t="s">
        <v>4555</v>
      </c>
      <c r="D31" s="2770"/>
      <c r="E31" s="2751"/>
      <c r="F31" s="2751"/>
      <c r="G31" s="2751"/>
      <c r="H31" s="2771"/>
      <c r="I31" s="2771"/>
      <c r="J31" s="2771"/>
      <c r="K31" s="2772"/>
      <c r="L31" s="2031" t="s">
        <v>676</v>
      </c>
      <c r="M31" s="2773">
        <f>B31</f>
        <v>8</v>
      </c>
      <c r="N31" s="2774" t="str">
        <f>IF(Q31&lt;&gt;"",Q31,IF(File8960,SUM(N15,N16,N17,N22,N28,N29,N30),""))</f>
        <v/>
      </c>
      <c r="O31" s="2775"/>
      <c r="P31" s="2776"/>
      <c r="Q31" s="118"/>
      <c r="R31" s="689"/>
      <c r="S31" s="689"/>
      <c r="T31" s="689"/>
      <c r="U31" s="341"/>
      <c r="V31" s="7034"/>
      <c r="W31" s="7034"/>
      <c r="X31" s="7034"/>
      <c r="Y31" s="7034"/>
      <c r="Z31" s="7034"/>
      <c r="AA31" s="7034"/>
      <c r="AB31" s="7034"/>
      <c r="AC31" s="7034"/>
      <c r="AD31" s="2787"/>
      <c r="AE31" s="214"/>
    </row>
    <row r="32" spans="1:40" s="214" customFormat="1" ht="15.75" customHeight="1">
      <c r="A32" s="139"/>
      <c r="B32" s="2793" t="s">
        <v>868</v>
      </c>
      <c r="C32" s="10303" t="s">
        <v>4556</v>
      </c>
      <c r="D32" s="10303"/>
      <c r="E32" s="10304"/>
      <c r="F32" s="10304"/>
      <c r="G32" s="10304"/>
      <c r="H32" s="10304"/>
      <c r="I32" s="10304"/>
      <c r="J32" s="10304"/>
      <c r="K32" s="10304"/>
      <c r="L32" s="10304"/>
      <c r="M32" s="10304"/>
      <c r="N32" s="10304"/>
      <c r="O32" s="2794"/>
      <c r="P32" s="2795"/>
      <c r="Q32" s="962"/>
      <c r="R32" s="516"/>
      <c r="S32" s="2796"/>
      <c r="T32" s="343"/>
      <c r="U32" s="341"/>
      <c r="V32" s="7034"/>
      <c r="W32" s="7034"/>
      <c r="X32" s="7034"/>
      <c r="Y32" s="7034"/>
      <c r="Z32" s="7034"/>
      <c r="AA32" s="7034"/>
      <c r="AB32" s="7034"/>
      <c r="AC32" s="7034"/>
      <c r="AD32" s="379"/>
      <c r="AE32"/>
      <c r="AF32" s="658"/>
      <c r="AG32" s="658"/>
      <c r="AH32" s="658"/>
      <c r="AI32" s="658"/>
      <c r="AJ32" s="658"/>
      <c r="AK32" s="658"/>
      <c r="AL32" s="658"/>
      <c r="AM32" s="658"/>
      <c r="AN32" s="658"/>
    </row>
    <row r="33" spans="1:40" ht="13.5" customHeight="1">
      <c r="A33" s="139"/>
      <c r="B33" s="2768" t="s">
        <v>407</v>
      </c>
      <c r="C33" s="2769" t="s">
        <v>4557</v>
      </c>
      <c r="D33" s="2769"/>
      <c r="E33" s="2751"/>
      <c r="F33" s="2751"/>
      <c r="G33" s="2751"/>
      <c r="H33" s="2771"/>
      <c r="I33" s="2768"/>
      <c r="J33" s="2768" t="s">
        <v>601</v>
      </c>
      <c r="K33" s="2773" t="s">
        <v>407</v>
      </c>
      <c r="L33" s="335"/>
      <c r="M33" s="2781"/>
      <c r="N33" s="2799"/>
      <c r="O33" s="2775"/>
      <c r="P33" s="2776"/>
      <c r="Q33" s="962"/>
      <c r="R33" s="343"/>
      <c r="S33" s="343"/>
      <c r="T33" s="689"/>
      <c r="U33" s="341"/>
      <c r="V33" s="7034"/>
      <c r="W33" s="7034"/>
      <c r="X33" s="7034"/>
      <c r="Y33" s="7034"/>
      <c r="Z33" s="7034"/>
      <c r="AA33" s="7034"/>
      <c r="AB33" s="7034"/>
      <c r="AC33" s="7034"/>
      <c r="AD33" s="379"/>
      <c r="AE33" s="214"/>
    </row>
    <row r="34" spans="1:40" ht="13.5" customHeight="1">
      <c r="A34" s="139"/>
      <c r="B34" s="2768" t="s">
        <v>592</v>
      </c>
      <c r="C34" s="2769" t="s">
        <v>4558</v>
      </c>
      <c r="D34" s="2769"/>
      <c r="E34" s="2751"/>
      <c r="F34" s="2751"/>
      <c r="G34" s="2751"/>
      <c r="H34" s="2771"/>
      <c r="I34" s="2768"/>
      <c r="J34" s="2768" t="s">
        <v>631</v>
      </c>
      <c r="K34" s="2773" t="s">
        <v>409</v>
      </c>
      <c r="L34" s="2774" t="str">
        <f>IF(Q34&lt;&gt;"",ROUND(Q34,0),IF(AND(SchA_Filed,File8960),Z53,""))</f>
        <v/>
      </c>
      <c r="M34" s="2781"/>
      <c r="N34" s="2791"/>
      <c r="O34" s="2775"/>
      <c r="P34" s="2776"/>
      <c r="Q34" s="118"/>
      <c r="R34" s="343"/>
      <c r="S34" s="343"/>
      <c r="T34" s="343"/>
      <c r="U34" s="341"/>
      <c r="V34" s="7034"/>
      <c r="W34" s="7034"/>
      <c r="X34" s="7034"/>
      <c r="Y34" s="7034"/>
      <c r="Z34" s="7034"/>
      <c r="AA34" s="7034"/>
      <c r="AB34" s="7034"/>
      <c r="AC34" s="7034"/>
      <c r="AD34" s="379"/>
    </row>
    <row r="35" spans="1:40" ht="13.5" customHeight="1">
      <c r="A35" s="139"/>
      <c r="B35" s="2768" t="s">
        <v>595</v>
      </c>
      <c r="C35" s="2769" t="s">
        <v>4559</v>
      </c>
      <c r="D35" s="2769"/>
      <c r="E35" s="2751"/>
      <c r="F35" s="2751"/>
      <c r="G35" s="2751"/>
      <c r="H35" s="2771"/>
      <c r="I35" s="2768"/>
      <c r="J35" s="2768" t="s">
        <v>631</v>
      </c>
      <c r="K35" s="2773" t="s">
        <v>3161</v>
      </c>
      <c r="L35" s="335"/>
      <c r="M35" s="2781"/>
      <c r="N35" s="2791"/>
      <c r="O35" s="2775"/>
      <c r="P35" s="2776"/>
      <c r="Q35" s="962"/>
      <c r="R35" s="343"/>
      <c r="S35" s="343"/>
      <c r="T35" s="689"/>
      <c r="U35" s="341"/>
      <c r="V35" s="7034"/>
      <c r="W35" s="7034"/>
      <c r="X35" s="7034"/>
      <c r="Y35" s="7034"/>
      <c r="Z35" s="7034"/>
      <c r="AA35" s="7034"/>
      <c r="AB35" s="7034"/>
      <c r="AC35" s="7034"/>
      <c r="AD35" s="379"/>
    </row>
    <row r="36" spans="1:40" ht="13.5" customHeight="1">
      <c r="A36" s="139"/>
      <c r="B36" s="2768" t="s">
        <v>599</v>
      </c>
      <c r="C36" s="2769" t="s">
        <v>4560</v>
      </c>
      <c r="D36" s="2770"/>
      <c r="E36" s="2751"/>
      <c r="F36" s="2751"/>
      <c r="G36" s="2751"/>
      <c r="H36" s="2771"/>
      <c r="I36" s="2771"/>
      <c r="J36" s="2771"/>
      <c r="K36" s="2772"/>
      <c r="L36" s="2031" t="s">
        <v>691</v>
      </c>
      <c r="M36" s="2773" t="s">
        <v>4561</v>
      </c>
      <c r="N36" s="2774" t="str">
        <f>IF(Q36&lt;&gt;"",Q36,IF(File8960,SUM(L33,L34,L35),""))</f>
        <v/>
      </c>
      <c r="O36" s="2775"/>
      <c r="P36" s="2776"/>
      <c r="Q36" s="118"/>
      <c r="R36" s="689"/>
      <c r="S36" s="689"/>
      <c r="T36" s="689"/>
      <c r="U36" s="341"/>
      <c r="V36" s="7034"/>
      <c r="W36" s="7034"/>
      <c r="X36" s="7034"/>
      <c r="Y36" s="7034"/>
      <c r="Z36" s="7034"/>
      <c r="AA36" s="7034"/>
      <c r="AB36" s="7034"/>
      <c r="AC36" s="7034"/>
      <c r="AD36" s="379"/>
    </row>
    <row r="37" spans="1:40" ht="13.5" customHeight="1">
      <c r="A37" s="139"/>
      <c r="B37" s="2768">
        <v>10</v>
      </c>
      <c r="C37" s="2769" t="s">
        <v>4562</v>
      </c>
      <c r="D37" s="2770"/>
      <c r="E37" s="2751"/>
      <c r="F37" s="2751"/>
      <c r="G37" s="2751"/>
      <c r="H37" s="2771"/>
      <c r="I37" s="2771"/>
      <c r="J37" s="2771"/>
      <c r="K37" s="2772"/>
      <c r="L37" s="2031" t="s">
        <v>650</v>
      </c>
      <c r="M37" s="2773">
        <v>10</v>
      </c>
      <c r="N37" s="335"/>
      <c r="O37" s="2775"/>
      <c r="P37" s="2776"/>
      <c r="Q37" s="962"/>
      <c r="R37" s="689"/>
      <c r="S37" s="689"/>
      <c r="T37" s="689"/>
      <c r="U37" s="341"/>
      <c r="V37" s="7034"/>
      <c r="W37" s="7034"/>
      <c r="X37" s="7034"/>
      <c r="Y37" s="7034"/>
      <c r="Z37" s="7034"/>
      <c r="AA37" s="7034"/>
      <c r="AB37" s="7034"/>
      <c r="AC37" s="7034"/>
      <c r="AD37" s="2787"/>
    </row>
    <row r="38" spans="1:40" ht="13.5" customHeight="1">
      <c r="A38" s="139"/>
      <c r="B38" s="2768">
        <v>11</v>
      </c>
      <c r="C38" s="2769" t="s">
        <v>4563</v>
      </c>
      <c r="D38" s="2770"/>
      <c r="E38" s="2751"/>
      <c r="F38" s="2751"/>
      <c r="G38" s="2751"/>
      <c r="H38" s="2771"/>
      <c r="I38" s="2771"/>
      <c r="J38" s="2771"/>
      <c r="K38" s="2772"/>
      <c r="L38" s="2031" t="s">
        <v>594</v>
      </c>
      <c r="M38" s="2773">
        <v>11</v>
      </c>
      <c r="N38" s="2774" t="str">
        <f>IF(Q38&lt;&gt;"",Q38,IF(File8960,SUM(N36,N37),""))</f>
        <v/>
      </c>
      <c r="O38" s="2775"/>
      <c r="P38" s="2776"/>
      <c r="Q38" s="118"/>
      <c r="R38" s="689"/>
      <c r="S38" s="689"/>
      <c r="T38" s="689"/>
      <c r="U38" s="341"/>
      <c r="V38" s="7034"/>
      <c r="W38" s="7034"/>
      <c r="X38" s="7034"/>
      <c r="Y38" s="7034"/>
      <c r="Z38" s="7034"/>
      <c r="AA38" s="7034"/>
      <c r="AB38" s="7034"/>
      <c r="AC38" s="7034"/>
      <c r="AD38" s="379"/>
    </row>
    <row r="39" spans="1:40" s="214" customFormat="1" ht="15.75" customHeight="1">
      <c r="A39" s="139"/>
      <c r="B39" s="2793" t="s">
        <v>1938</v>
      </c>
      <c r="C39" s="10303" t="s">
        <v>4565</v>
      </c>
      <c r="D39" s="10303"/>
      <c r="E39" s="10304"/>
      <c r="F39" s="10304"/>
      <c r="G39" s="10304"/>
      <c r="H39" s="10304"/>
      <c r="I39" s="10304"/>
      <c r="J39" s="10304"/>
      <c r="K39" s="10304"/>
      <c r="L39" s="10304"/>
      <c r="M39" s="10304"/>
      <c r="N39" s="10304"/>
      <c r="O39" s="2794"/>
      <c r="P39" s="2795"/>
      <c r="Q39" s="962"/>
      <c r="R39" s="516"/>
      <c r="S39" s="2796"/>
      <c r="T39" s="2796"/>
      <c r="U39" s="341"/>
      <c r="V39" s="4984"/>
      <c r="W39" s="4984"/>
      <c r="X39" s="4984"/>
      <c r="Y39" s="4984"/>
      <c r="Z39" s="4984"/>
      <c r="AA39" s="4984"/>
      <c r="AB39" s="3789" t="s">
        <v>1595</v>
      </c>
      <c r="AC39" s="846"/>
      <c r="AD39" s="379"/>
      <c r="AF39" s="658"/>
      <c r="AG39" s="658"/>
      <c r="AH39" s="658"/>
      <c r="AI39" s="658"/>
      <c r="AJ39" s="658"/>
      <c r="AK39" s="658"/>
      <c r="AL39" s="658"/>
      <c r="AM39" s="658"/>
      <c r="AN39" s="658"/>
    </row>
    <row r="40" spans="1:40" s="214" customFormat="1" ht="13.5" customHeight="1">
      <c r="A40" s="139"/>
      <c r="B40" s="2768">
        <v>12</v>
      </c>
      <c r="C40" s="2769" t="s">
        <v>4567</v>
      </c>
      <c r="D40" s="2770"/>
      <c r="E40" s="2751"/>
      <c r="F40" s="2751"/>
      <c r="G40" s="2751"/>
      <c r="H40" s="2771"/>
      <c r="I40" s="2771"/>
      <c r="J40" s="2771"/>
      <c r="K40" s="2772"/>
      <c r="L40" s="2768"/>
      <c r="M40" s="2802"/>
      <c r="N40" s="2803"/>
      <c r="O40" s="2783"/>
      <c r="P40" s="2784"/>
      <c r="Q40" s="962"/>
      <c r="R40" s="689"/>
      <c r="S40" s="689"/>
      <c r="T40" s="343"/>
      <c r="U40" s="341"/>
      <c r="V40" s="846"/>
      <c r="W40" s="846"/>
      <c r="X40" s="2797" t="s">
        <v>2238</v>
      </c>
      <c r="Y40" s="846"/>
      <c r="Z40" s="2798" t="str">
        <f>IF(SchA_Filed,"","Line 9b used only when Sch. A is used.")</f>
        <v>Line 9b used only when Sch. A is used.</v>
      </c>
      <c r="AA40" s="846"/>
      <c r="AB40" s="7956" t="s">
        <v>6809</v>
      </c>
      <c r="AC40" s="7956"/>
      <c r="AD40" s="379"/>
      <c r="AE40"/>
      <c r="AF40" s="658"/>
      <c r="AG40" s="658"/>
      <c r="AH40" s="658"/>
      <c r="AI40" s="658"/>
      <c r="AJ40" s="658"/>
      <c r="AK40" s="658"/>
      <c r="AL40" s="658"/>
      <c r="AM40" s="658"/>
      <c r="AN40" s="658"/>
    </row>
    <row r="41" spans="1:40" ht="13.5" customHeight="1">
      <c r="A41" s="139"/>
      <c r="B41" s="2768"/>
      <c r="C41" s="2769" t="s">
        <v>4568</v>
      </c>
      <c r="D41" s="2769"/>
      <c r="E41" s="2751"/>
      <c r="F41" s="2751"/>
      <c r="G41" s="2751"/>
      <c r="H41" s="2771"/>
      <c r="I41" s="2771"/>
      <c r="J41" s="2771"/>
      <c r="K41" s="2772"/>
      <c r="L41" s="2031" t="s">
        <v>4569</v>
      </c>
      <c r="M41" s="2805">
        <v>12</v>
      </c>
      <c r="N41" s="2774" t="str">
        <f>IF(Q41&lt;&gt;"",ROUND(Q41,0),IF(File8960,MAX(0,SUM(N31,-N38)),""))</f>
        <v/>
      </c>
      <c r="O41" s="2775"/>
      <c r="P41" s="2806"/>
      <c r="Q41" s="118"/>
      <c r="R41" s="689"/>
      <c r="S41" s="2807"/>
      <c r="T41" s="343"/>
      <c r="U41" s="341"/>
      <c r="V41" s="846"/>
      <c r="W41" s="846"/>
      <c r="X41" s="2721" t="s">
        <v>6817</v>
      </c>
      <c r="Y41" s="846"/>
      <c r="Z41" s="4639" t="str">
        <f>IF(SchA_Filed,Total_Income,"")</f>
        <v/>
      </c>
      <c r="AA41" s="2800" t="s">
        <v>510</v>
      </c>
      <c r="AB41" s="7956"/>
      <c r="AC41" s="7956"/>
      <c r="AD41" s="379"/>
    </row>
    <row r="42" spans="1:40" ht="13.5" customHeight="1">
      <c r="A42" s="139"/>
      <c r="B42" s="2768"/>
      <c r="C42" s="2808" t="s">
        <v>4571</v>
      </c>
      <c r="D42" s="2769"/>
      <c r="E42" s="2751"/>
      <c r="F42" s="2751"/>
      <c r="G42" s="2751"/>
      <c r="H42" s="2771"/>
      <c r="I42" s="2771"/>
      <c r="J42" s="2771"/>
      <c r="K42" s="2772"/>
      <c r="L42" s="2075"/>
      <c r="M42" s="2781"/>
      <c r="N42" s="353">
        <v>250000</v>
      </c>
      <c r="O42" s="2775"/>
      <c r="P42" s="2806"/>
      <c r="Q42" s="962"/>
      <c r="R42" s="689"/>
      <c r="S42" s="2807"/>
      <c r="T42" s="343"/>
      <c r="U42" s="341"/>
      <c r="V42" s="846"/>
      <c r="W42" s="846"/>
      <c r="X42" s="2721"/>
      <c r="Y42" s="846"/>
      <c r="Z42" s="2801"/>
      <c r="AA42" s="846"/>
      <c r="AB42" s="7956"/>
      <c r="AC42" s="7956"/>
      <c r="AD42" s="379"/>
    </row>
    <row r="43" spans="1:40" ht="13.5" customHeight="1">
      <c r="A43" s="139"/>
      <c r="B43" s="2768">
        <v>13</v>
      </c>
      <c r="C43" s="2769" t="s">
        <v>4573</v>
      </c>
      <c r="D43" s="2769"/>
      <c r="E43" s="2751"/>
      <c r="F43" s="2751"/>
      <c r="G43" s="2751"/>
      <c r="H43" s="2771"/>
      <c r="I43" s="2768"/>
      <c r="J43" s="2768" t="s">
        <v>601</v>
      </c>
      <c r="K43" s="2773">
        <v>13</v>
      </c>
      <c r="L43" s="2774" t="str">
        <f>IF(Q43&lt;&gt;"",ROUND(Q43,0),IF(File8960,ModAdjGrossInc,""))</f>
        <v/>
      </c>
      <c r="M43" s="2781"/>
      <c r="N43" s="354">
        <v>125000</v>
      </c>
      <c r="O43" s="2775"/>
      <c r="P43" s="2776"/>
      <c r="Q43" s="118"/>
      <c r="R43" s="343"/>
      <c r="S43" s="343"/>
      <c r="T43" s="689"/>
      <c r="U43" s="341"/>
      <c r="V43" s="846"/>
      <c r="W43" s="846"/>
      <c r="X43" s="2797" t="s">
        <v>4564</v>
      </c>
      <c r="Y43" s="846"/>
      <c r="Z43" s="2804"/>
      <c r="AA43" s="846"/>
      <c r="AB43" s="7956"/>
      <c r="AC43" s="7956"/>
      <c r="AD43" s="379"/>
      <c r="AE43" s="329"/>
    </row>
    <row r="44" spans="1:40" ht="13.5" customHeight="1">
      <c r="A44" s="139"/>
      <c r="B44" s="2768">
        <v>14</v>
      </c>
      <c r="C44" s="2769" t="s">
        <v>4574</v>
      </c>
      <c r="D44" s="2769"/>
      <c r="E44" s="2751"/>
      <c r="F44" s="2751"/>
      <c r="G44" s="2751"/>
      <c r="H44" s="2771"/>
      <c r="I44" s="2768"/>
      <c r="J44" s="2768" t="s">
        <v>601</v>
      </c>
      <c r="K44" s="2773">
        <v>14</v>
      </c>
      <c r="L44" s="2774" t="str">
        <f>IF(N45="---","Filing status?",IF(File8960,N45,""))</f>
        <v>Filing status?</v>
      </c>
      <c r="M44" s="2781"/>
      <c r="N44" s="354">
        <v>200000</v>
      </c>
      <c r="O44" s="2775"/>
      <c r="P44" s="2776"/>
      <c r="Q44" s="962"/>
      <c r="R44" s="343"/>
      <c r="S44" s="343"/>
      <c r="T44" s="689"/>
      <c r="U44" s="341"/>
      <c r="V44" s="846"/>
      <c r="W44" s="846"/>
      <c r="X44" s="986" t="s">
        <v>4566</v>
      </c>
      <c r="Y44" s="846"/>
      <c r="Z44" s="4639" t="str">
        <f>IF(SchA_Filed,SALT_Limited,"")</f>
        <v/>
      </c>
      <c r="AA44" s="2800" t="s">
        <v>516</v>
      </c>
      <c r="AB44" s="7956"/>
      <c r="AC44" s="7956"/>
      <c r="AD44" s="379"/>
      <c r="AE44" s="329"/>
    </row>
    <row r="45" spans="1:40" ht="13.5" customHeight="1">
      <c r="A45" s="139"/>
      <c r="B45" s="2768">
        <v>15</v>
      </c>
      <c r="C45" s="2769" t="s">
        <v>4575</v>
      </c>
      <c r="D45" s="2769"/>
      <c r="E45" s="2751"/>
      <c r="F45" s="2751"/>
      <c r="G45" s="2751"/>
      <c r="H45" s="2771"/>
      <c r="I45" s="2768"/>
      <c r="J45" s="2768" t="s">
        <v>624</v>
      </c>
      <c r="K45" s="2773">
        <v>15</v>
      </c>
      <c r="L45" s="2774" t="str">
        <f>IF(N45="---","",IF(File8960,MAX(0,SUM(L43,-L44)),""))</f>
        <v/>
      </c>
      <c r="M45" s="2781"/>
      <c r="N45" s="354" t="str">
        <f>IF(OR(File_Marr_Joint&lt;&gt;"",File_Qual_Widow&lt;&gt;""),N42,IF(File_Marr_Sep&lt;&gt;"",N43,IF(OR(File_Single&lt;&gt;"",File_Head&lt;&gt;""),N44,"---")))</f>
        <v>---</v>
      </c>
      <c r="O45" s="2775"/>
      <c r="P45" s="2776"/>
      <c r="Q45" s="962"/>
      <c r="R45" s="343"/>
      <c r="S45" s="343"/>
      <c r="T45" s="689"/>
      <c r="U45" s="341"/>
      <c r="V45" s="846"/>
      <c r="W45" s="846"/>
      <c r="X45" s="2809"/>
      <c r="Y45" s="846"/>
      <c r="Z45" s="2810" t="str">
        <f>IF(AND(SchA_Filed,StateLocalTaxesPaid&gt;SALT_Deduct_Limit),"Amount limited to SALT maximum of "&amp;TEXT(SALT_Deduct_Limit,"$0,000")&amp;".","")</f>
        <v/>
      </c>
      <c r="AA45" s="846"/>
      <c r="AB45" s="7956"/>
      <c r="AC45" s="7956"/>
      <c r="AD45" s="379"/>
      <c r="AE45" s="329"/>
    </row>
    <row r="46" spans="1:40" ht="13.5" customHeight="1">
      <c r="A46" s="139"/>
      <c r="B46" s="2768">
        <v>16</v>
      </c>
      <c r="C46" s="2769" t="s">
        <v>4576</v>
      </c>
      <c r="D46" s="2770"/>
      <c r="E46" s="2751"/>
      <c r="F46" s="2751"/>
      <c r="G46" s="2751"/>
      <c r="H46" s="2771"/>
      <c r="I46" s="2771"/>
      <c r="J46" s="2771"/>
      <c r="K46" s="2772"/>
      <c r="L46" s="2031" t="s">
        <v>665</v>
      </c>
      <c r="M46" s="2773">
        <v>16</v>
      </c>
      <c r="N46" s="2774" t="str">
        <f>IF(N45="---","",IF(Q46&lt;&gt;"",ROUND(Q46,0),IF(File8960,MIN(N41,L45),"")))</f>
        <v/>
      </c>
      <c r="O46" s="2775"/>
      <c r="P46" s="2776"/>
      <c r="Q46" s="118"/>
      <c r="R46" s="689"/>
      <c r="S46" s="2811" t="str">
        <f>IF(AND(F8960_Tax&lt;&gt;"",F8960_Tax&gt;0),"NOTE:","")</f>
        <v/>
      </c>
      <c r="T46" s="2796"/>
      <c r="U46" s="341"/>
      <c r="V46" s="846"/>
      <c r="W46" s="846"/>
      <c r="X46" s="2797" t="s">
        <v>4570</v>
      </c>
      <c r="Y46" s="846"/>
      <c r="Z46" s="2804"/>
      <c r="AA46" s="846"/>
      <c r="AB46" s="7956"/>
      <c r="AC46" s="7956"/>
      <c r="AD46" s="379"/>
      <c r="AE46" s="3"/>
    </row>
    <row r="47" spans="1:40" s="214" customFormat="1" ht="13.5" customHeight="1">
      <c r="A47" s="139"/>
      <c r="B47" s="2768">
        <v>17</v>
      </c>
      <c r="C47" s="2769" t="str">
        <f>"Net investment income tax for individuals. Multiply line 16 by "&amp;TEXT(N47,"0.0%")&amp;" ("&amp;TEXT(N47,"0.000")&amp;")."</f>
        <v>Net investment income tax for individuals. Multiply line 16 by 3.8% (0.038).</v>
      </c>
      <c r="D47" s="2770"/>
      <c r="E47" s="2751"/>
      <c r="F47" s="2751"/>
      <c r="G47" s="2751"/>
      <c r="H47" s="2771"/>
      <c r="I47" s="2771"/>
      <c r="J47" s="2771"/>
      <c r="K47" s="2772"/>
      <c r="L47" s="2768"/>
      <c r="M47" s="2805"/>
      <c r="N47" s="2803">
        <v>3.7999999999999999E-2</v>
      </c>
      <c r="O47" s="2783"/>
      <c r="P47" s="2784"/>
      <c r="Q47" s="962"/>
      <c r="R47" s="689"/>
      <c r="S47" s="2811" t="str">
        <f>IF(AND(F8960_Tax&lt;&gt;"",F8960_Tax&gt;0),"The amount on","")</f>
        <v/>
      </c>
      <c r="T47" s="689"/>
      <c r="U47" s="341"/>
      <c r="V47" s="846"/>
      <c r="W47" s="846"/>
      <c r="X47" s="986" t="s">
        <v>4572</v>
      </c>
      <c r="Y47" s="846"/>
      <c r="Z47" s="4639" t="str">
        <f>IF(SchA_Filed,N31,"")</f>
        <v/>
      </c>
      <c r="AA47" s="2800" t="s">
        <v>518</v>
      </c>
      <c r="AB47" s="7956"/>
      <c r="AC47" s="7956"/>
      <c r="AD47" s="379"/>
      <c r="AE47" s="3"/>
      <c r="AF47" s="658"/>
      <c r="AG47" s="658"/>
      <c r="AH47" s="658"/>
      <c r="AI47" s="658"/>
      <c r="AJ47" s="658"/>
      <c r="AK47" s="658"/>
      <c r="AL47" s="658"/>
      <c r="AM47" s="658"/>
      <c r="AN47" s="658"/>
    </row>
    <row r="48" spans="1:40" ht="13.5" customHeight="1">
      <c r="A48" s="139"/>
      <c r="B48" s="2768"/>
      <c r="C48" s="2812" t="s">
        <v>4577</v>
      </c>
      <c r="D48" s="2769"/>
      <c r="E48" s="2751"/>
      <c r="F48" s="2751"/>
      <c r="G48" s="2751"/>
      <c r="H48" s="2813" t="str">
        <f>IF(O48="","(For Form 1040 filers, Schedule 2, line 12.)","")</f>
        <v>(For Form 1040 filers, Schedule 2, line 12.)</v>
      </c>
      <c r="I48" s="2771"/>
      <c r="J48" s="2771"/>
      <c r="K48" s="2772"/>
      <c r="L48" s="2031"/>
      <c r="M48" s="2805">
        <v>17</v>
      </c>
      <c r="N48" s="2774" t="str">
        <f>IF(N45="---","",IF(Q48&lt;&gt;"",ROUND(Q48,0),IF(File8960,ROUND(N46*N47,0),"")))</f>
        <v/>
      </c>
      <c r="O48" s="1319"/>
      <c r="P48" s="11493" t="s">
        <v>4578</v>
      </c>
      <c r="Q48" s="118"/>
      <c r="R48" s="689"/>
      <c r="S48" s="2814" t="str">
        <f>IF(AND(F8960_Tax&lt;&gt;"",F8960_Tax&gt;0),"Line 17 is entered","")</f>
        <v/>
      </c>
      <c r="T48" s="2807"/>
      <c r="U48" s="341"/>
      <c r="V48" s="846"/>
      <c r="W48" s="846"/>
      <c r="X48" s="986"/>
      <c r="Y48" s="846"/>
      <c r="Z48" s="6989" t="b">
        <f>ISERROR(Z47/Z41)</f>
        <v>1</v>
      </c>
      <c r="AA48" s="2800"/>
      <c r="AB48" s="7956"/>
      <c r="AC48" s="7956"/>
      <c r="AD48" s="379"/>
      <c r="AE48" s="329"/>
    </row>
    <row r="49" spans="1:40" ht="16.5" customHeight="1">
      <c r="A49" s="139"/>
      <c r="B49" s="2768"/>
      <c r="C49" s="2815" t="s">
        <v>4579</v>
      </c>
      <c r="D49" s="2769"/>
      <c r="E49" s="2751"/>
      <c r="F49" s="2751"/>
      <c r="G49" s="2751"/>
      <c r="H49" s="2771"/>
      <c r="I49" s="2771"/>
      <c r="J49" s="2771"/>
      <c r="K49" s="2772"/>
      <c r="L49" s="2075"/>
      <c r="M49" s="2781"/>
      <c r="N49" s="336"/>
      <c r="O49" s="2775"/>
      <c r="P49" s="11493"/>
      <c r="Q49" s="962"/>
      <c r="R49" s="689"/>
      <c r="S49" s="2814" t="str">
        <f>IF(AND(F8960_Tax&lt;&gt;"",F8960_Tax&gt;0),"on Schedule 2,","")</f>
        <v/>
      </c>
      <c r="T49" s="2807"/>
      <c r="U49" s="341"/>
      <c r="V49" s="846"/>
      <c r="W49" s="846"/>
      <c r="X49" s="986" t="s">
        <v>6813</v>
      </c>
      <c r="Y49" s="846"/>
      <c r="Z49" s="6988" t="str">
        <f>IF(Z48,"---",ROUND(Z47/Z41,2))</f>
        <v>---</v>
      </c>
      <c r="AA49" s="2800" t="s">
        <v>6818</v>
      </c>
      <c r="AB49" s="7956"/>
      <c r="AC49" s="7956"/>
      <c r="AD49" s="379"/>
      <c r="AE49" s="329"/>
    </row>
    <row r="50" spans="1:40" ht="13.5" customHeight="1">
      <c r="A50" s="139"/>
      <c r="B50" s="2768" t="s">
        <v>4026</v>
      </c>
      <c r="C50" s="2769" t="s">
        <v>4580</v>
      </c>
      <c r="D50" s="2769"/>
      <c r="E50" s="2751"/>
      <c r="F50" s="2751"/>
      <c r="G50" s="2751"/>
      <c r="H50" s="2771"/>
      <c r="I50" s="2768"/>
      <c r="J50" s="2768" t="s">
        <v>4501</v>
      </c>
      <c r="K50" s="2773" t="s">
        <v>4026</v>
      </c>
      <c r="L50" s="2816" t="str">
        <f>IF(Q50&lt;&gt;"",ROUND(Q50,0),N41)</f>
        <v/>
      </c>
      <c r="M50" s="2781"/>
      <c r="N50" s="2817"/>
      <c r="O50" s="2775"/>
      <c r="P50" s="2776"/>
      <c r="Q50" s="118"/>
      <c r="R50" s="343"/>
      <c r="S50" s="2818" t="str">
        <f>IF(AND(F8960_Tax&lt;&gt;"",F8960_Tax&gt;0),"Line 12.","")</f>
        <v/>
      </c>
      <c r="T50" s="343"/>
      <c r="U50" s="341"/>
      <c r="V50" s="846"/>
      <c r="W50" s="846"/>
      <c r="X50" s="846"/>
      <c r="Y50" s="846"/>
      <c r="Z50" s="846"/>
      <c r="AA50" s="846"/>
      <c r="AB50" s="7956"/>
      <c r="AC50" s="7956"/>
      <c r="AD50" s="379"/>
      <c r="AE50" s="329"/>
    </row>
    <row r="51" spans="1:40" s="214" customFormat="1" ht="13.5" customHeight="1">
      <c r="A51" s="139"/>
      <c r="B51" s="2768" t="s">
        <v>592</v>
      </c>
      <c r="C51" s="2769" t="s">
        <v>5094</v>
      </c>
      <c r="D51" s="2770"/>
      <c r="E51" s="2751"/>
      <c r="F51" s="2751"/>
      <c r="G51" s="2751"/>
      <c r="H51" s="2771"/>
      <c r="I51" s="2771"/>
      <c r="J51" s="2771"/>
      <c r="K51" s="2780"/>
      <c r="L51" s="2768"/>
      <c r="M51" s="2781"/>
      <c r="N51" s="2792"/>
      <c r="O51" s="2783"/>
      <c r="P51" s="2784"/>
      <c r="Q51" s="962"/>
      <c r="R51" s="689"/>
      <c r="S51" s="689"/>
      <c r="T51" s="343"/>
      <c r="U51" s="341"/>
      <c r="V51" s="846"/>
      <c r="W51" s="846"/>
      <c r="X51" s="2797" t="s">
        <v>4570</v>
      </c>
      <c r="Y51" s="846"/>
      <c r="Z51" s="846"/>
      <c r="AA51" s="846"/>
      <c r="AB51" s="7956"/>
      <c r="AC51" s="7956"/>
      <c r="AD51" s="379"/>
      <c r="AE51" s="329"/>
      <c r="AF51" s="658"/>
      <c r="AG51" s="658"/>
      <c r="AH51" s="658"/>
      <c r="AI51" s="658"/>
      <c r="AJ51" s="658"/>
      <c r="AK51" s="658"/>
      <c r="AL51" s="658"/>
      <c r="AM51" s="658"/>
      <c r="AN51" s="658"/>
    </row>
    <row r="52" spans="1:40" ht="13.5" customHeight="1">
      <c r="A52" s="139"/>
      <c r="B52" s="2768"/>
      <c r="C52" s="2769" t="s">
        <v>5095</v>
      </c>
      <c r="D52" s="2769"/>
      <c r="E52" s="2751"/>
      <c r="F52" s="2751"/>
      <c r="G52" s="2751"/>
      <c r="H52" s="2771"/>
      <c r="I52" s="2768"/>
      <c r="J52" s="2768" t="s">
        <v>590</v>
      </c>
      <c r="K52" s="2773" t="s">
        <v>4028</v>
      </c>
      <c r="L52" s="335"/>
      <c r="M52" s="2781"/>
      <c r="N52" s="2791"/>
      <c r="O52" s="2775"/>
      <c r="P52" s="2776"/>
      <c r="Q52" s="962"/>
      <c r="R52" s="343"/>
      <c r="S52" s="343"/>
      <c r="T52" s="343"/>
      <c r="U52" s="341"/>
      <c r="V52" s="846"/>
      <c r="W52" s="846"/>
      <c r="X52" s="2721" t="s">
        <v>6815</v>
      </c>
      <c r="Y52" s="846"/>
      <c r="Z52" s="846"/>
      <c r="AA52" s="846"/>
      <c r="AB52" s="7956"/>
      <c r="AC52" s="7956"/>
      <c r="AD52" s="379"/>
      <c r="AE52" s="329"/>
    </row>
    <row r="53" spans="1:40" s="214" customFormat="1" ht="13.5" customHeight="1">
      <c r="A53" s="139"/>
      <c r="B53" s="2768" t="s">
        <v>595</v>
      </c>
      <c r="C53" s="2769" t="s">
        <v>4582</v>
      </c>
      <c r="D53" s="2770"/>
      <c r="E53" s="2751"/>
      <c r="F53" s="2751"/>
      <c r="G53" s="2751"/>
      <c r="H53" s="2771"/>
      <c r="I53" s="2771"/>
      <c r="J53" s="2771"/>
      <c r="K53" s="2780"/>
      <c r="L53" s="2768"/>
      <c r="M53" s="2781"/>
      <c r="N53" s="2792"/>
      <c r="O53" s="2783"/>
      <c r="P53" s="2784"/>
      <c r="Q53" s="962"/>
      <c r="R53" s="689"/>
      <c r="S53" s="689"/>
      <c r="T53" s="689"/>
      <c r="U53" s="341"/>
      <c r="V53" s="846"/>
      <c r="W53" s="846"/>
      <c r="X53" s="7034" t="s">
        <v>6816</v>
      </c>
      <c r="Y53" s="9742"/>
      <c r="Z53" s="4639" t="str">
        <f>IF(OR(NOT(SchA_Filed),Z48),"",ROUND(Z44*Z49,0))</f>
        <v/>
      </c>
      <c r="AA53" s="2800" t="s">
        <v>6814</v>
      </c>
      <c r="AB53" s="7956"/>
      <c r="AC53" s="7956"/>
      <c r="AD53" s="379"/>
      <c r="AE53" s="329"/>
      <c r="AF53" s="658"/>
      <c r="AG53" s="658"/>
      <c r="AH53" s="658"/>
      <c r="AI53" s="658"/>
      <c r="AJ53" s="658"/>
      <c r="AK53" s="658"/>
      <c r="AL53" s="658"/>
      <c r="AM53" s="658"/>
      <c r="AN53" s="658"/>
    </row>
    <row r="54" spans="1:40" ht="13.5" customHeight="1">
      <c r="A54" s="139"/>
      <c r="B54" s="2768"/>
      <c r="C54" s="2769" t="s">
        <v>4584</v>
      </c>
      <c r="D54" s="2769"/>
      <c r="E54" s="2770" t="s">
        <v>4289</v>
      </c>
      <c r="F54" s="2751"/>
      <c r="G54" s="2751"/>
      <c r="H54" s="2771"/>
      <c r="I54" s="2768"/>
      <c r="J54" s="2768" t="s">
        <v>648</v>
      </c>
      <c r="K54" s="2773" t="s">
        <v>4585</v>
      </c>
      <c r="L54" s="335"/>
      <c r="M54" s="2781"/>
      <c r="N54" s="2791"/>
      <c r="O54" s="2775"/>
      <c r="P54" s="2776"/>
      <c r="Q54" s="962"/>
      <c r="R54" s="343"/>
      <c r="S54" s="343"/>
      <c r="T54" s="689"/>
      <c r="U54" s="341"/>
      <c r="V54" s="846"/>
      <c r="W54" s="846"/>
      <c r="X54" s="2721"/>
      <c r="Y54" s="2721"/>
      <c r="Z54" s="2721"/>
      <c r="AA54" s="2800"/>
      <c r="AB54" s="7956"/>
      <c r="AC54" s="7956"/>
      <c r="AD54" s="379"/>
      <c r="AE54" s="3"/>
    </row>
    <row r="55" spans="1:40" ht="13.5" customHeight="1">
      <c r="A55" s="139"/>
      <c r="B55" s="2768" t="s">
        <v>881</v>
      </c>
      <c r="C55" s="2769" t="s">
        <v>4586</v>
      </c>
      <c r="D55" s="2769"/>
      <c r="E55" s="2751"/>
      <c r="F55" s="2751"/>
      <c r="G55" s="2751"/>
      <c r="H55" s="2771"/>
      <c r="I55" s="2768"/>
      <c r="J55" s="2768" t="s">
        <v>676</v>
      </c>
      <c r="K55" s="2773" t="s">
        <v>881</v>
      </c>
      <c r="L55" s="335"/>
      <c r="M55" s="2781"/>
      <c r="N55" s="2817"/>
      <c r="O55" s="2775"/>
      <c r="P55" s="2776"/>
      <c r="Q55" s="962"/>
      <c r="R55" s="343"/>
      <c r="S55" s="343"/>
      <c r="T55" s="2807"/>
      <c r="U55" s="341"/>
      <c r="V55" s="846"/>
      <c r="W55" s="846"/>
      <c r="X55" s="2721"/>
      <c r="Y55" s="2721"/>
      <c r="Z55" s="2721"/>
      <c r="AA55" s="2800"/>
      <c r="AB55" s="7956"/>
      <c r="AC55" s="7956"/>
      <c r="AD55" s="379"/>
      <c r="AE55" s="329"/>
    </row>
    <row r="56" spans="1:40" s="214" customFormat="1" ht="13.5" customHeight="1">
      <c r="A56" s="139"/>
      <c r="B56" s="2768" t="s">
        <v>592</v>
      </c>
      <c r="C56" s="2769" t="s">
        <v>4588</v>
      </c>
      <c r="D56" s="2769"/>
      <c r="E56" s="2751"/>
      <c r="F56" s="2751"/>
      <c r="G56" s="2751"/>
      <c r="H56" s="2771"/>
      <c r="I56" s="2768"/>
      <c r="J56" s="2768"/>
      <c r="K56" s="2773" t="s">
        <v>4589</v>
      </c>
      <c r="L56" s="335"/>
      <c r="M56" s="2781"/>
      <c r="N56" s="2791"/>
      <c r="O56" s="2775"/>
      <c r="P56" s="2776"/>
      <c r="Q56" s="962"/>
      <c r="R56" s="689"/>
      <c r="S56" s="689"/>
      <c r="T56" s="2807"/>
      <c r="U56" s="341"/>
      <c r="V56" s="846"/>
      <c r="W56" s="846"/>
      <c r="X56" s="846"/>
      <c r="Y56" s="846"/>
      <c r="Z56" s="846"/>
      <c r="AA56" s="846"/>
      <c r="AB56" s="7956"/>
      <c r="AC56" s="7956"/>
      <c r="AD56" s="379"/>
      <c r="AE56" s="329"/>
      <c r="AF56" s="658"/>
      <c r="AG56" s="658"/>
      <c r="AH56" s="658"/>
      <c r="AI56" s="658"/>
      <c r="AJ56" s="658"/>
      <c r="AK56" s="658"/>
      <c r="AL56" s="658"/>
      <c r="AM56" s="658"/>
      <c r="AN56" s="658"/>
    </row>
    <row r="57" spans="1:40" ht="13.5" customHeight="1" thickBot="1">
      <c r="A57" s="139"/>
      <c r="B57" s="2768" t="s">
        <v>595</v>
      </c>
      <c r="C57" s="2769" t="s">
        <v>4591</v>
      </c>
      <c r="D57" s="2769"/>
      <c r="E57" s="2751"/>
      <c r="F57" s="2751"/>
      <c r="G57" s="2770" t="s">
        <v>4289</v>
      </c>
      <c r="H57" s="2771"/>
      <c r="I57" s="2768"/>
      <c r="J57" s="2768" t="s">
        <v>624</v>
      </c>
      <c r="K57" s="2773" t="s">
        <v>4592</v>
      </c>
      <c r="L57" s="2774" t="str">
        <f>IF(N45="---","",IF(File8960,MAX(0,SUM(L55,-L56)),""))</f>
        <v/>
      </c>
      <c r="M57" s="2781"/>
      <c r="N57" s="2791"/>
      <c r="O57" s="2775"/>
      <c r="P57" s="2776"/>
      <c r="Q57" s="962"/>
      <c r="R57" s="343"/>
      <c r="S57" s="343"/>
      <c r="T57" s="343"/>
      <c r="U57" s="347"/>
      <c r="V57" s="498"/>
      <c r="W57" s="498"/>
      <c r="X57" s="498"/>
      <c r="Y57" s="498"/>
      <c r="Z57" s="498"/>
      <c r="AA57" s="498"/>
      <c r="AB57" s="498"/>
      <c r="AC57" s="498"/>
      <c r="AD57" s="499"/>
      <c r="AE57" s="329"/>
    </row>
    <row r="58" spans="1:40" ht="13.5" customHeight="1" thickBot="1">
      <c r="A58" s="139"/>
      <c r="B58" s="2768">
        <v>20</v>
      </c>
      <c r="C58" s="2769" t="s">
        <v>4594</v>
      </c>
      <c r="D58" s="2770"/>
      <c r="E58" s="2751"/>
      <c r="F58" s="2751"/>
      <c r="G58" s="2751"/>
      <c r="H58" s="2771"/>
      <c r="I58" s="2771"/>
      <c r="J58" s="2771"/>
      <c r="K58" s="2772"/>
      <c r="L58" s="2031" t="s">
        <v>617</v>
      </c>
      <c r="M58" s="2773">
        <v>20</v>
      </c>
      <c r="N58" s="2774" t="str">
        <f>IF(Q58&lt;&gt;"",ROUND(Q58,0),IF(N45="---","",IF(File8960,MIN(L54,L57),"")))</f>
        <v/>
      </c>
      <c r="O58" s="2775"/>
      <c r="P58" s="2776"/>
      <c r="Q58" s="118"/>
      <c r="R58" s="343"/>
      <c r="S58" s="343"/>
      <c r="T58" s="689"/>
      <c r="U58" s="253"/>
      <c r="V58" s="344"/>
      <c r="W58" s="344"/>
      <c r="X58" s="344"/>
      <c r="Y58" s="344"/>
      <c r="Z58" s="344"/>
      <c r="AA58" s="344"/>
      <c r="AB58" s="344"/>
      <c r="AC58" s="344"/>
      <c r="AD58" s="344"/>
      <c r="AE58" s="3"/>
    </row>
    <row r="59" spans="1:40" ht="13.5" customHeight="1">
      <c r="A59" s="139"/>
      <c r="B59" s="2768">
        <v>21</v>
      </c>
      <c r="C59" s="2769" t="str">
        <f>"Net investment income tax for estates and trusts. Multiply line 20 by "&amp;TEXT(N59,"0.0%")&amp;" ("&amp;TEXT(N59,"0.038")&amp;")."</f>
        <v>Net investment income tax for estates and trusts. Multiply line 20 by 3.8% (0.038).</v>
      </c>
      <c r="D59" s="2770"/>
      <c r="E59" s="2751"/>
      <c r="F59" s="2751"/>
      <c r="G59" s="2751"/>
      <c r="H59" s="2771"/>
      <c r="I59" s="2771"/>
      <c r="J59" s="2771"/>
      <c r="K59" s="2772"/>
      <c r="L59" s="2768" t="s">
        <v>6744</v>
      </c>
      <c r="M59" s="2805"/>
      <c r="N59" s="2803">
        <v>3.7999999999999999E-2</v>
      </c>
      <c r="O59" s="2783"/>
      <c r="P59" s="2784"/>
      <c r="Q59" s="962"/>
      <c r="R59" s="689"/>
      <c r="S59" s="689"/>
      <c r="T59" s="343"/>
      <c r="U59" s="338"/>
      <c r="V59" s="339"/>
      <c r="W59" s="339"/>
      <c r="X59" s="339"/>
      <c r="Y59" s="339"/>
      <c r="Z59" s="339"/>
      <c r="AA59" s="339"/>
      <c r="AB59" s="339"/>
      <c r="AC59" s="339"/>
      <c r="AD59" s="340"/>
      <c r="AE59" s="329"/>
    </row>
    <row r="60" spans="1:40" s="214" customFormat="1" ht="13.5" customHeight="1" thickBot="1">
      <c r="A60" s="139"/>
      <c r="B60" s="2768"/>
      <c r="C60" s="2826" t="s">
        <v>6745</v>
      </c>
      <c r="D60" s="2769"/>
      <c r="E60" s="2751"/>
      <c r="F60" s="2751"/>
      <c r="G60" s="2751"/>
      <c r="H60" s="2771"/>
      <c r="I60" s="2771"/>
      <c r="J60" s="2771"/>
      <c r="K60" s="2772"/>
      <c r="L60" s="2031" t="s">
        <v>2186</v>
      </c>
      <c r="M60" s="2805">
        <v>21</v>
      </c>
      <c r="N60" s="2774" t="str">
        <f>IF(Q60&lt;&gt;"",ROUND(Q60,0),IF(N45="---","",IF(File8960,ROUND(N58*N59,0),"")))</f>
        <v/>
      </c>
      <c r="O60" s="2775"/>
      <c r="P60" s="2784"/>
      <c r="Q60" s="118"/>
      <c r="R60" s="689"/>
      <c r="S60" s="689"/>
      <c r="T60" s="689"/>
      <c r="U60" s="341"/>
      <c r="V60" s="342" t="s">
        <v>4581</v>
      </c>
      <c r="W60" s="344"/>
      <c r="X60" s="344"/>
      <c r="Y60" s="344"/>
      <c r="Z60" s="344"/>
      <c r="AA60" s="344"/>
      <c r="AB60" s="2819" t="s">
        <v>926</v>
      </c>
      <c r="AC60" s="344"/>
      <c r="AD60" s="346"/>
      <c r="AE60" s="3"/>
      <c r="AF60" s="658"/>
      <c r="AG60" s="658"/>
      <c r="AH60" s="658"/>
      <c r="AI60" s="658"/>
      <c r="AJ60" s="658"/>
      <c r="AK60" s="658"/>
      <c r="AL60" s="658"/>
      <c r="AM60" s="658"/>
      <c r="AN60" s="658"/>
    </row>
    <row r="61" spans="1:40" ht="13.5" customHeight="1">
      <c r="A61" s="139"/>
      <c r="B61" s="2827" t="s">
        <v>865</v>
      </c>
      <c r="C61" s="2828"/>
      <c r="D61" s="2828"/>
      <c r="E61" s="2828"/>
      <c r="F61" s="2828"/>
      <c r="G61" s="2828"/>
      <c r="H61" s="2829"/>
      <c r="I61" s="2830"/>
      <c r="J61" s="2831" t="s">
        <v>4598</v>
      </c>
      <c r="K61" s="2831"/>
      <c r="L61" s="2832" t="s">
        <v>6743</v>
      </c>
      <c r="M61" s="2832"/>
      <c r="N61" s="6523" t="str">
        <f>"  ("&amp;TaxYear&amp;") Created 8/19/25"</f>
        <v xml:space="preserve">  (2025) Created 8/19/25</v>
      </c>
      <c r="O61" s="2834"/>
      <c r="P61" s="2784"/>
      <c r="Q61" s="962"/>
      <c r="R61" s="689"/>
      <c r="S61" s="2807"/>
      <c r="T61" s="343"/>
      <c r="U61" s="341"/>
      <c r="V61" s="342"/>
      <c r="W61" s="343"/>
      <c r="X61" s="343"/>
      <c r="Y61" s="343"/>
      <c r="Z61" s="343"/>
      <c r="AA61" s="343"/>
      <c r="AB61" s="2820"/>
      <c r="AC61" s="2821"/>
      <c r="AD61" s="2822"/>
      <c r="AE61" s="329"/>
    </row>
    <row r="62" spans="1:40" s="80" customFormat="1" ht="15" customHeight="1">
      <c r="A62" s="139"/>
      <c r="B62" s="148"/>
      <c r="C62" s="2733"/>
      <c r="D62" s="2733"/>
      <c r="E62" s="139"/>
      <c r="F62" s="139"/>
      <c r="G62" s="139"/>
      <c r="H62" s="139"/>
      <c r="I62" s="139"/>
      <c r="J62" s="139"/>
      <c r="K62" s="2835"/>
      <c r="L62" s="150"/>
      <c r="M62" s="150"/>
      <c r="N62" s="150"/>
      <c r="O62" s="2836"/>
      <c r="P62" s="2784"/>
      <c r="Q62" s="962"/>
      <c r="R62" s="343"/>
      <c r="S62" s="343"/>
      <c r="T62" s="343"/>
      <c r="U62" s="2823"/>
      <c r="V62" s="2824"/>
      <c r="W62" s="2824"/>
      <c r="X62" s="2824"/>
      <c r="Y62" s="2824"/>
      <c r="Z62" s="2824"/>
      <c r="AA62" s="2824"/>
      <c r="AB62" s="2824"/>
      <c r="AC62" s="2824"/>
      <c r="AD62" s="2825"/>
      <c r="AE62" s="329"/>
      <c r="AF62" s="658"/>
      <c r="AG62" s="658"/>
      <c r="AH62" s="658"/>
      <c r="AI62" s="658"/>
      <c r="AJ62" s="658"/>
      <c r="AK62" s="658"/>
      <c r="AL62" s="658"/>
      <c r="AM62" s="658"/>
      <c r="AN62" s="658"/>
    </row>
    <row r="63" spans="1:40" s="80" customFormat="1" ht="15" customHeight="1">
      <c r="A63"/>
      <c r="B63" s="1"/>
      <c r="C63" s="12"/>
      <c r="D63" s="12"/>
      <c r="E63"/>
      <c r="F63"/>
      <c r="G63"/>
      <c r="H63"/>
      <c r="I63"/>
      <c r="J63"/>
      <c r="K63" s="2837"/>
      <c r="L63" s="4"/>
      <c r="M63" s="4"/>
      <c r="N63" s="4"/>
      <c r="O63" s="2838"/>
      <c r="P63"/>
      <c r="Q63" s="2839"/>
      <c r="R63" s="343"/>
      <c r="S63" s="343"/>
      <c r="T63" s="689"/>
      <c r="U63" s="341"/>
      <c r="V63" s="349" t="s">
        <v>4583</v>
      </c>
      <c r="W63" s="344"/>
      <c r="X63" s="344"/>
      <c r="Y63" s="344"/>
      <c r="Z63" s="344"/>
      <c r="AA63" s="345"/>
      <c r="AB63" s="345" t="s">
        <v>157</v>
      </c>
      <c r="AC63" s="2722">
        <f>Adj_Gross_Inc</f>
        <v>0</v>
      </c>
      <c r="AD63" s="346"/>
      <c r="AE63" s="3"/>
      <c r="AF63" s="658"/>
      <c r="AG63" s="658"/>
      <c r="AH63" s="658"/>
      <c r="AI63" s="658"/>
      <c r="AJ63" s="658"/>
      <c r="AK63" s="658"/>
      <c r="AL63" s="658"/>
      <c r="AM63" s="658"/>
      <c r="AN63" s="658"/>
    </row>
    <row r="64" spans="1:40" s="80" customFormat="1" ht="15" customHeight="1" thickBot="1">
      <c r="A64"/>
      <c r="B64" s="1"/>
      <c r="C64" s="12"/>
      <c r="D64" s="12"/>
      <c r="E64"/>
      <c r="F64"/>
      <c r="G64"/>
      <c r="H64"/>
      <c r="I64"/>
      <c r="J64"/>
      <c r="K64" s="2837"/>
      <c r="L64" s="4"/>
      <c r="M64" s="4"/>
      <c r="N64" s="4"/>
      <c r="O64" s="2838"/>
      <c r="P64"/>
      <c r="Q64" s="2839"/>
      <c r="R64" s="343"/>
      <c r="S64" s="343"/>
      <c r="T64" s="343"/>
      <c r="U64" s="341"/>
      <c r="V64" s="344"/>
      <c r="W64" s="344"/>
      <c r="X64" s="344"/>
      <c r="Y64" s="344"/>
      <c r="Z64" s="344"/>
      <c r="AA64" s="344"/>
      <c r="AB64" s="344"/>
      <c r="AC64" s="344"/>
      <c r="AD64" s="346"/>
      <c r="AE64" s="329"/>
      <c r="AF64" s="658"/>
      <c r="AG64" s="658"/>
      <c r="AH64" s="658"/>
      <c r="AI64" s="658"/>
      <c r="AJ64" s="658"/>
      <c r="AK64" s="658"/>
      <c r="AL64" s="658"/>
      <c r="AM64" s="658"/>
      <c r="AN64" s="658"/>
    </row>
    <row r="65" spans="1:40" s="80" customFormat="1" ht="15" customHeight="1" thickTop="1" thickBot="1">
      <c r="A65"/>
      <c r="B65" s="1"/>
      <c r="C65" s="7255" t="s">
        <v>4601</v>
      </c>
      <c r="D65" s="8101"/>
      <c r="E65" s="8101"/>
      <c r="F65" s="8101"/>
      <c r="G65" s="8101"/>
      <c r="H65" s="8102"/>
      <c r="I65" s="4"/>
      <c r="J65" s="4"/>
      <c r="K65" s="84"/>
      <c r="L65"/>
      <c r="M65" s="4"/>
      <c r="N65" s="4"/>
      <c r="O65" s="4"/>
      <c r="P65"/>
      <c r="Q65" s="329"/>
      <c r="R65" s="344"/>
      <c r="S65" s="344"/>
      <c r="T65" s="343"/>
      <c r="U65" s="341"/>
      <c r="V65" s="349" t="s">
        <v>4587</v>
      </c>
      <c r="W65" s="344"/>
      <c r="X65" s="344"/>
      <c r="Y65" s="344"/>
      <c r="Z65" s="344"/>
      <c r="AA65" s="344"/>
      <c r="AB65" s="344"/>
      <c r="AC65" s="344"/>
      <c r="AD65" s="346"/>
      <c r="AE65" s="329"/>
      <c r="AF65" s="658"/>
      <c r="AG65" s="658"/>
      <c r="AH65" s="658"/>
      <c r="AI65" s="658"/>
      <c r="AJ65" s="658"/>
      <c r="AK65" s="658"/>
      <c r="AL65" s="658"/>
      <c r="AM65" s="658"/>
      <c r="AN65" s="658"/>
    </row>
    <row r="66" spans="1:40" s="80" customFormat="1" ht="15" customHeight="1" thickTop="1" thickBot="1">
      <c r="A66"/>
      <c r="B66" s="1"/>
      <c r="C66" s="12"/>
      <c r="D66" s="12"/>
      <c r="E66"/>
      <c r="F66"/>
      <c r="G66"/>
      <c r="H66" s="4"/>
      <c r="I66" s="4"/>
      <c r="J66" s="4"/>
      <c r="K66" s="84"/>
      <c r="L66"/>
      <c r="M66" s="4"/>
      <c r="N66" s="4"/>
      <c r="O66" s="4"/>
      <c r="P66"/>
      <c r="Q66" s="329"/>
      <c r="R66" s="344"/>
      <c r="S66" s="344"/>
      <c r="T66" s="689"/>
      <c r="U66" s="341"/>
      <c r="V66" s="344"/>
      <c r="W66" s="344" t="s">
        <v>2198</v>
      </c>
      <c r="X66" s="344" t="s">
        <v>4590</v>
      </c>
      <c r="Y66" s="344"/>
      <c r="Z66" s="344"/>
      <c r="AA66" s="344"/>
      <c r="AB66" s="344"/>
      <c r="AC66" s="344"/>
      <c r="AD66" s="346"/>
      <c r="AE66" s="329"/>
      <c r="AF66" s="658"/>
      <c r="AG66" s="658"/>
      <c r="AH66" s="658"/>
      <c r="AI66" s="658"/>
      <c r="AJ66" s="658"/>
      <c r="AK66" s="658"/>
      <c r="AL66" s="658"/>
      <c r="AM66" s="658"/>
      <c r="AN66" s="658"/>
    </row>
    <row r="67" spans="1:40" s="80" customFormat="1" ht="14.25" thickTop="1" thickBot="1">
      <c r="A67"/>
      <c r="B67" s="1"/>
      <c r="C67" s="7255" t="s">
        <v>4604</v>
      </c>
      <c r="D67" s="8101"/>
      <c r="E67" s="8101"/>
      <c r="F67" s="8101"/>
      <c r="G67" s="8101"/>
      <c r="H67" s="8102"/>
      <c r="I67" s="4"/>
      <c r="J67" s="4"/>
      <c r="K67" s="84"/>
      <c r="L67"/>
      <c r="M67" s="4"/>
      <c r="N67" s="4"/>
      <c r="O67" s="4"/>
      <c r="P67"/>
      <c r="Q67" s="329"/>
      <c r="R67" s="344"/>
      <c r="S67" s="344"/>
      <c r="T67" s="689"/>
      <c r="U67" s="341"/>
      <c r="V67" s="344"/>
      <c r="W67" s="344"/>
      <c r="X67" s="344" t="s">
        <v>4593</v>
      </c>
      <c r="Y67" s="344"/>
      <c r="Z67" s="344"/>
      <c r="AA67" s="2628">
        <f>ForeignIncExclusionTotal</f>
        <v>0</v>
      </c>
      <c r="AB67" s="344"/>
      <c r="AC67" s="344"/>
      <c r="AD67" s="346"/>
      <c r="AE67" s="3"/>
      <c r="AF67" s="658"/>
      <c r="AG67" s="658"/>
      <c r="AH67" s="658"/>
      <c r="AI67" s="658"/>
      <c r="AJ67" s="658"/>
      <c r="AK67" s="658"/>
      <c r="AL67" s="658"/>
      <c r="AM67" s="658"/>
      <c r="AN67" s="658"/>
    </row>
    <row r="68" spans="1:40" s="80" customFormat="1" ht="17.25" customHeight="1" thickTop="1">
      <c r="A68"/>
      <c r="B68"/>
      <c r="C68"/>
      <c r="D68"/>
      <c r="E68"/>
      <c r="F68"/>
      <c r="G68"/>
      <c r="H68"/>
      <c r="I68"/>
      <c r="J68"/>
      <c r="K68" s="84"/>
      <c r="L68"/>
      <c r="M68"/>
      <c r="N68"/>
      <c r="O68"/>
      <c r="P68"/>
      <c r="Q68"/>
      <c r="R68" s="253"/>
      <c r="S68" s="344"/>
      <c r="T68" s="2807"/>
      <c r="U68" s="341"/>
      <c r="V68" s="344"/>
      <c r="W68" s="344" t="s">
        <v>2199</v>
      </c>
      <c r="X68" s="344" t="s">
        <v>4595</v>
      </c>
      <c r="Y68" s="344"/>
      <c r="Z68" s="344"/>
      <c r="AA68" s="344"/>
      <c r="AB68" s="344"/>
      <c r="AC68" s="344"/>
      <c r="AD68" s="346"/>
      <c r="AE68" s="329"/>
      <c r="AF68" s="658"/>
      <c r="AG68" s="658"/>
      <c r="AH68" s="658"/>
      <c r="AI68" s="658"/>
      <c r="AJ68" s="658"/>
      <c r="AK68" s="658"/>
      <c r="AL68" s="658"/>
      <c r="AM68" s="658"/>
      <c r="AN68" s="658"/>
    </row>
    <row r="69" spans="1:40" s="80" customFormat="1" ht="12.75" customHeight="1">
      <c r="A69"/>
      <c r="B69"/>
      <c r="C69"/>
      <c r="D69"/>
      <c r="E69"/>
      <c r="F69"/>
      <c r="G69"/>
      <c r="H69"/>
      <c r="I69"/>
      <c r="J69"/>
      <c r="K69" s="84"/>
      <c r="L69"/>
      <c r="M69"/>
      <c r="N69"/>
      <c r="O69"/>
      <c r="P69"/>
      <c r="Q69"/>
      <c r="R69" s="253"/>
      <c r="S69" s="344"/>
      <c r="T69" s="343"/>
      <c r="U69" s="341"/>
      <c r="V69" s="343"/>
      <c r="W69" s="343"/>
      <c r="X69" s="344" t="s">
        <v>4596</v>
      </c>
      <c r="Y69" s="343"/>
      <c r="Z69" s="343"/>
      <c r="AA69" s="343"/>
      <c r="AB69" s="343"/>
      <c r="AC69" s="343"/>
      <c r="AD69" s="2822"/>
      <c r="AE69" s="329"/>
      <c r="AF69" s="658"/>
      <c r="AG69" s="658"/>
      <c r="AH69" s="658"/>
      <c r="AI69" s="658"/>
      <c r="AJ69" s="658"/>
      <c r="AK69" s="658"/>
      <c r="AL69" s="658"/>
      <c r="AM69" s="658"/>
      <c r="AN69" s="658"/>
    </row>
    <row r="70" spans="1:40" s="80" customFormat="1">
      <c r="A70"/>
      <c r="B70"/>
      <c r="C70"/>
      <c r="D70"/>
      <c r="E70"/>
      <c r="F70"/>
      <c r="G70"/>
      <c r="H70"/>
      <c r="I70"/>
      <c r="J70"/>
      <c r="K70" s="84"/>
      <c r="L70"/>
      <c r="M70"/>
      <c r="N70"/>
      <c r="O70"/>
      <c r="P70"/>
      <c r="Q70"/>
      <c r="R70" s="253"/>
      <c r="S70" s="344"/>
      <c r="T70" s="343"/>
      <c r="U70" s="341"/>
      <c r="V70" s="344"/>
      <c r="W70" s="344"/>
      <c r="X70" s="344" t="s">
        <v>4597</v>
      </c>
      <c r="Y70" s="351"/>
      <c r="Z70" s="351" t="s">
        <v>799</v>
      </c>
      <c r="AA70" s="2628">
        <f>'2555'!AE172</f>
        <v>0</v>
      </c>
      <c r="AB70" s="350" t="s">
        <v>800</v>
      </c>
      <c r="AC70" s="344"/>
      <c r="AD70" s="346"/>
      <c r="AE70" s="329"/>
      <c r="AF70" s="658"/>
      <c r="AG70" s="658"/>
      <c r="AH70" s="658"/>
      <c r="AI70" s="658"/>
      <c r="AJ70" s="658"/>
      <c r="AK70" s="658"/>
      <c r="AL70" s="658"/>
      <c r="AM70" s="658"/>
      <c r="AN70" s="658"/>
    </row>
    <row r="71" spans="1:40" s="80" customFormat="1" ht="12" customHeight="1">
      <c r="A71"/>
      <c r="B71"/>
      <c r="C71"/>
      <c r="D71"/>
      <c r="E71"/>
      <c r="F71"/>
      <c r="G71"/>
      <c r="H71"/>
      <c r="I71"/>
      <c r="J71"/>
      <c r="K71" s="84"/>
      <c r="L71"/>
      <c r="M71"/>
      <c r="N71"/>
      <c r="O71"/>
      <c r="P71"/>
      <c r="Q71"/>
      <c r="R71" s="253"/>
      <c r="S71" s="344"/>
      <c r="T71" s="343"/>
      <c r="U71" s="341"/>
      <c r="V71" s="344"/>
      <c r="W71" s="344" t="s">
        <v>3029</v>
      </c>
      <c r="X71" s="344" t="s">
        <v>4599</v>
      </c>
      <c r="Y71" s="344"/>
      <c r="Z71" s="344"/>
      <c r="AA71" s="345"/>
      <c r="AB71" s="345" t="s">
        <v>161</v>
      </c>
      <c r="AC71" s="2722">
        <f>SUM(AA67,-AA70)</f>
        <v>0</v>
      </c>
      <c r="AD71" s="346"/>
      <c r="AE71" s="329"/>
      <c r="AF71" s="658"/>
      <c r="AG71" s="658"/>
      <c r="AH71" s="658"/>
      <c r="AI71" s="658"/>
      <c r="AJ71" s="658"/>
      <c r="AK71" s="658"/>
      <c r="AL71" s="658"/>
      <c r="AM71" s="658"/>
      <c r="AN71" s="658"/>
    </row>
    <row r="72" spans="1:40" s="80" customFormat="1" ht="21.75" customHeight="1">
      <c r="A72"/>
      <c r="B72"/>
      <c r="C72"/>
      <c r="D72"/>
      <c r="E72"/>
      <c r="F72"/>
      <c r="G72"/>
      <c r="H72"/>
      <c r="I72"/>
      <c r="J72"/>
      <c r="K72" s="84"/>
      <c r="L72"/>
      <c r="M72"/>
      <c r="N72"/>
      <c r="O72"/>
      <c r="P72"/>
      <c r="Q72"/>
      <c r="R72" s="253"/>
      <c r="S72" s="344"/>
      <c r="T72" s="344"/>
      <c r="U72" s="341"/>
      <c r="V72" s="344"/>
      <c r="W72" s="344"/>
      <c r="X72" s="344"/>
      <c r="Y72" s="344"/>
      <c r="Z72" s="344"/>
      <c r="AA72" s="344"/>
      <c r="AB72" s="344"/>
      <c r="AC72" s="344"/>
      <c r="AD72" s="346"/>
      <c r="AE72" s="329"/>
      <c r="AF72" s="658"/>
      <c r="AG72" s="658"/>
      <c r="AH72" s="658"/>
      <c r="AI72" s="658"/>
      <c r="AJ72" s="658"/>
      <c r="AK72" s="658"/>
      <c r="AL72" s="658"/>
      <c r="AM72" s="658"/>
      <c r="AN72" s="658"/>
    </row>
    <row r="73" spans="1:40" s="80" customFormat="1" ht="12.75" customHeight="1">
      <c r="A73"/>
      <c r="B73"/>
      <c r="C73"/>
      <c r="D73"/>
      <c r="E73"/>
      <c r="F73"/>
      <c r="G73"/>
      <c r="H73"/>
      <c r="I73"/>
      <c r="J73"/>
      <c r="K73" s="84"/>
      <c r="L73"/>
      <c r="M73"/>
      <c r="N73"/>
      <c r="O73"/>
      <c r="P73"/>
      <c r="Q73"/>
      <c r="R73" s="253"/>
      <c r="S73" s="344"/>
      <c r="T73" s="344"/>
      <c r="U73" s="341"/>
      <c r="V73" s="349" t="s">
        <v>4600</v>
      </c>
      <c r="W73" s="343"/>
      <c r="X73" s="343"/>
      <c r="Y73" s="343"/>
      <c r="Z73" s="343"/>
      <c r="AA73" s="343"/>
      <c r="AB73" s="345" t="s">
        <v>167</v>
      </c>
      <c r="AC73" s="352"/>
      <c r="AD73" s="2822"/>
      <c r="AE73" s="329"/>
      <c r="AF73" s="658"/>
      <c r="AG73" s="658"/>
      <c r="AH73" s="658"/>
      <c r="AI73" s="658"/>
      <c r="AJ73" s="658"/>
      <c r="AK73" s="658"/>
      <c r="AL73" s="658"/>
      <c r="AM73" s="658"/>
      <c r="AN73" s="658"/>
    </row>
    <row r="74" spans="1:40" s="80" customFormat="1" ht="17.25" customHeight="1">
      <c r="A74"/>
      <c r="B74"/>
      <c r="C74"/>
      <c r="D74"/>
      <c r="E74"/>
      <c r="F74"/>
      <c r="G74"/>
      <c r="H74"/>
      <c r="I74"/>
      <c r="J74"/>
      <c r="K74" s="84"/>
      <c r="L74"/>
      <c r="M74"/>
      <c r="N74"/>
      <c r="O74"/>
      <c r="P74"/>
      <c r="Q74"/>
      <c r="R74" s="253"/>
      <c r="S74" s="344"/>
      <c r="T74" s="344"/>
      <c r="U74" s="341"/>
      <c r="V74" s="344"/>
      <c r="W74" s="344"/>
      <c r="X74" s="344"/>
      <c r="Y74" s="344"/>
      <c r="Z74" s="344"/>
      <c r="AA74" s="344"/>
      <c r="AB74" s="344"/>
      <c r="AC74" s="344"/>
      <c r="AD74" s="346"/>
      <c r="AE74" s="329"/>
      <c r="AF74" s="658"/>
      <c r="AG74" s="658"/>
      <c r="AH74" s="658"/>
      <c r="AI74" s="658"/>
      <c r="AJ74" s="658"/>
      <c r="AK74" s="658"/>
      <c r="AL74" s="658"/>
      <c r="AM74" s="658"/>
      <c r="AN74" s="658"/>
    </row>
    <row r="75" spans="1:40" s="80" customFormat="1" ht="14.25" customHeight="1">
      <c r="A75"/>
      <c r="B75"/>
      <c r="C75"/>
      <c r="D75"/>
      <c r="E75"/>
      <c r="F75"/>
      <c r="G75"/>
      <c r="H75"/>
      <c r="I75"/>
      <c r="J75"/>
      <c r="K75" s="84"/>
      <c r="L75"/>
      <c r="M75"/>
      <c r="N75"/>
      <c r="O75"/>
      <c r="P75"/>
      <c r="Q75"/>
      <c r="R75" s="253"/>
      <c r="S75" s="344"/>
      <c r="T75" s="344"/>
      <c r="U75" s="341"/>
      <c r="V75" s="349" t="s">
        <v>4602</v>
      </c>
      <c r="W75" s="343"/>
      <c r="X75" s="343"/>
      <c r="Y75" s="343"/>
      <c r="Z75" s="343"/>
      <c r="AA75" s="343"/>
      <c r="AB75" s="343"/>
      <c r="AC75" s="343"/>
      <c r="AD75" s="2822"/>
      <c r="AE75" s="329"/>
      <c r="AF75" s="658"/>
      <c r="AG75" s="658"/>
      <c r="AH75" s="658"/>
      <c r="AI75" s="658"/>
      <c r="AJ75" s="658"/>
      <c r="AK75" s="658"/>
      <c r="AL75" s="658"/>
      <c r="AM75" s="658"/>
      <c r="AN75" s="658"/>
    </row>
    <row r="76" spans="1:40" s="80" customFormat="1">
      <c r="A76"/>
      <c r="B76"/>
      <c r="C76"/>
      <c r="D76"/>
      <c r="E76"/>
      <c r="F76"/>
      <c r="G76"/>
      <c r="H76"/>
      <c r="I76"/>
      <c r="J76"/>
      <c r="K76" s="84"/>
      <c r="L76"/>
      <c r="M76"/>
      <c r="N76"/>
      <c r="O76"/>
      <c r="P76"/>
      <c r="Q76"/>
      <c r="R76" s="253"/>
      <c r="S76" s="344"/>
      <c r="T76" s="344"/>
      <c r="U76" s="341"/>
      <c r="V76" s="349" t="s">
        <v>4603</v>
      </c>
      <c r="W76" s="344"/>
      <c r="X76" s="344"/>
      <c r="Y76" s="344"/>
      <c r="Z76" s="344"/>
      <c r="AA76" s="344"/>
      <c r="AB76" s="345" t="s">
        <v>171</v>
      </c>
      <c r="AC76" s="2722">
        <f>SUM(AC63,AC71,AC73)</f>
        <v>0</v>
      </c>
      <c r="AD76" s="346"/>
      <c r="AE76" s="329"/>
      <c r="AF76" s="658"/>
      <c r="AG76" s="658"/>
      <c r="AH76" s="658"/>
      <c r="AI76" s="658"/>
      <c r="AJ76" s="658"/>
      <c r="AK76" s="658"/>
      <c r="AL76" s="658"/>
      <c r="AM76" s="658"/>
      <c r="AN76" s="658"/>
    </row>
    <row r="77" spans="1:40" s="80" customFormat="1" ht="20.25" customHeight="1" thickBot="1">
      <c r="A77"/>
      <c r="B77"/>
      <c r="C77"/>
      <c r="D77"/>
      <c r="E77"/>
      <c r="F77"/>
      <c r="G77"/>
      <c r="H77"/>
      <c r="I77"/>
      <c r="J77"/>
      <c r="K77" s="84"/>
      <c r="L77"/>
      <c r="M77"/>
      <c r="N77"/>
      <c r="O77"/>
      <c r="P77"/>
      <c r="Q77"/>
      <c r="R77" s="253"/>
      <c r="S77" s="344"/>
      <c r="T77" s="344"/>
      <c r="U77" s="347"/>
      <c r="V77" s="348"/>
      <c r="W77" s="348"/>
      <c r="X77" s="348"/>
      <c r="Y77" s="348"/>
      <c r="Z77" s="348"/>
      <c r="AA77" s="348"/>
      <c r="AB77" s="348"/>
      <c r="AC77" s="348"/>
      <c r="AD77" s="2840"/>
      <c r="AE77" s="329"/>
      <c r="AF77" s="658"/>
      <c r="AG77" s="658"/>
      <c r="AH77" s="658"/>
      <c r="AI77" s="658"/>
      <c r="AJ77" s="658"/>
      <c r="AK77" s="658"/>
      <c r="AL77" s="658"/>
      <c r="AM77" s="658"/>
      <c r="AN77" s="658"/>
    </row>
    <row r="78" spans="1:40" s="80" customFormat="1" ht="13.5" thickBot="1">
      <c r="A78"/>
      <c r="B78"/>
      <c r="C78"/>
      <c r="D78"/>
      <c r="E78"/>
      <c r="F78"/>
      <c r="G78"/>
      <c r="H78"/>
      <c r="I78"/>
      <c r="J78"/>
      <c r="K78" s="84"/>
      <c r="L78"/>
      <c r="M78"/>
      <c r="N78"/>
      <c r="O78"/>
      <c r="P78"/>
      <c r="Q78"/>
      <c r="R78" s="253"/>
      <c r="S78" s="344"/>
      <c r="T78" s="344"/>
      <c r="U78" s="253"/>
      <c r="V78" s="344"/>
      <c r="W78" s="344"/>
      <c r="X78" s="344"/>
      <c r="Y78" s="344"/>
      <c r="Z78" s="344"/>
      <c r="AA78" s="344"/>
      <c r="AB78" s="344"/>
      <c r="AC78" s="344"/>
      <c r="AD78" s="344"/>
      <c r="AE78" s="329"/>
      <c r="AF78" s="658"/>
      <c r="AG78" s="658"/>
      <c r="AH78" s="658"/>
      <c r="AI78" s="658"/>
      <c r="AJ78" s="658"/>
      <c r="AK78" s="658"/>
      <c r="AL78" s="658"/>
      <c r="AM78" s="658"/>
      <c r="AN78" s="658"/>
    </row>
    <row r="79" spans="1:40" s="80" customFormat="1" ht="15">
      <c r="A79"/>
      <c r="B79"/>
      <c r="C79"/>
      <c r="D79"/>
      <c r="E79"/>
      <c r="F79"/>
      <c r="G79"/>
      <c r="H79"/>
      <c r="I79"/>
      <c r="J79"/>
      <c r="K79" s="84"/>
      <c r="L79"/>
      <c r="M79"/>
      <c r="N79"/>
      <c r="O79"/>
      <c r="P79"/>
      <c r="Q79"/>
      <c r="R79" s="253"/>
      <c r="S79" s="344"/>
      <c r="T79" s="344"/>
      <c r="U79" s="338"/>
      <c r="V79" s="1678" t="s">
        <v>5108</v>
      </c>
      <c r="W79" s="339"/>
      <c r="X79" s="339"/>
      <c r="Y79" s="340"/>
      <c r="Z79" s="1073"/>
      <c r="AA79" s="2841"/>
      <c r="AB79" s="810"/>
      <c r="AC79" s="344"/>
      <c r="AD79" s="344"/>
      <c r="AE79" s="329"/>
      <c r="AF79" s="658"/>
      <c r="AG79" s="658"/>
      <c r="AH79" s="658"/>
      <c r="AI79" s="658"/>
      <c r="AJ79" s="658"/>
      <c r="AK79" s="658"/>
      <c r="AL79" s="658"/>
      <c r="AM79" s="658"/>
      <c r="AN79" s="658"/>
    </row>
    <row r="80" spans="1:40" s="80" customFormat="1" ht="15">
      <c r="A80"/>
      <c r="B80"/>
      <c r="C80"/>
      <c r="D80"/>
      <c r="E80"/>
      <c r="F80"/>
      <c r="G80"/>
      <c r="H80"/>
      <c r="I80"/>
      <c r="J80"/>
      <c r="K80" s="84"/>
      <c r="L80"/>
      <c r="M80"/>
      <c r="N80"/>
      <c r="O80"/>
      <c r="P80"/>
      <c r="Q80"/>
      <c r="R80"/>
      <c r="S80" s="344"/>
      <c r="T80" s="344"/>
      <c r="U80" s="341"/>
      <c r="V80" s="2842" t="s">
        <v>5109</v>
      </c>
      <c r="W80" s="344"/>
      <c r="X80" s="344"/>
      <c r="Y80" s="346"/>
      <c r="Z80" s="1073"/>
      <c r="AA80" s="2843"/>
      <c r="AB80" s="810"/>
      <c r="AC80" s="344"/>
      <c r="AD80" s="343"/>
      <c r="AE80" s="329"/>
      <c r="AF80" s="658"/>
      <c r="AG80" s="658"/>
      <c r="AH80" s="658"/>
      <c r="AI80" s="658"/>
      <c r="AJ80" s="658"/>
      <c r="AK80" s="658"/>
      <c r="AL80" s="658"/>
      <c r="AM80" s="658"/>
      <c r="AN80" s="658"/>
    </row>
    <row r="81" spans="1:40" s="80" customFormat="1" ht="21.75" customHeight="1">
      <c r="A81"/>
      <c r="B81"/>
      <c r="C81"/>
      <c r="D81"/>
      <c r="E81"/>
      <c r="F81"/>
      <c r="G81"/>
      <c r="H81"/>
      <c r="I81"/>
      <c r="J81"/>
      <c r="K81" s="84"/>
      <c r="L81"/>
      <c r="M81"/>
      <c r="N81"/>
      <c r="O81"/>
      <c r="P81"/>
      <c r="Q81"/>
      <c r="R81" s="253"/>
      <c r="S81" s="344"/>
      <c r="T81" s="344"/>
      <c r="U81" s="2844"/>
      <c r="V81" s="2845" t="s">
        <v>5096</v>
      </c>
      <c r="W81" s="343"/>
      <c r="X81" s="343"/>
      <c r="Y81" s="346"/>
      <c r="Z81" s="2846"/>
      <c r="AA81" s="2847"/>
      <c r="AB81" s="2845"/>
      <c r="AC81" s="343"/>
      <c r="AD81" s="344"/>
      <c r="AE81" s="329"/>
      <c r="AF81" s="658"/>
      <c r="AG81" s="658"/>
      <c r="AH81" s="658"/>
      <c r="AI81" s="658"/>
      <c r="AJ81" s="658"/>
      <c r="AK81" s="658"/>
      <c r="AL81" s="658"/>
      <c r="AM81" s="658"/>
      <c r="AN81" s="658"/>
    </row>
    <row r="82" spans="1:40">
      <c r="R82" s="253"/>
      <c r="S82" s="344"/>
      <c r="T82" s="344"/>
      <c r="U82" s="341"/>
      <c r="V82" s="504" t="s">
        <v>5110</v>
      </c>
      <c r="W82" s="344"/>
      <c r="X82" s="344"/>
      <c r="Y82" s="346"/>
      <c r="Z82" s="1073"/>
      <c r="AA82" s="1217"/>
      <c r="AB82" s="344"/>
      <c r="AC82" s="344"/>
      <c r="AD82" s="344"/>
      <c r="AE82" s="329"/>
    </row>
    <row r="83" spans="1:40" ht="23.25" customHeight="1">
      <c r="R83" s="253"/>
      <c r="S83" s="344"/>
      <c r="T83" s="344"/>
      <c r="U83" s="341"/>
      <c r="V83" s="1680" t="s">
        <v>5111</v>
      </c>
      <c r="W83" s="344"/>
      <c r="X83" s="1679"/>
      <c r="Y83" s="346"/>
      <c r="Z83" s="2848"/>
      <c r="AA83" s="1217"/>
      <c r="AB83" s="344"/>
      <c r="AC83" s="344"/>
      <c r="AD83" s="344"/>
      <c r="AE83" s="329"/>
    </row>
    <row r="84" spans="1:40">
      <c r="R84" s="253"/>
      <c r="S84" s="344"/>
      <c r="T84" s="344"/>
      <c r="U84" s="2844"/>
      <c r="V84" s="2845" t="s">
        <v>5097</v>
      </c>
      <c r="W84" s="344"/>
      <c r="X84" s="344"/>
      <c r="Y84" s="346"/>
      <c r="Z84" s="1073"/>
      <c r="AA84" s="2847"/>
      <c r="AB84" s="2845"/>
      <c r="AC84" s="344"/>
      <c r="AD84" s="344"/>
      <c r="AE84" s="329"/>
    </row>
    <row r="85" spans="1:40">
      <c r="R85" s="253"/>
      <c r="S85" s="344"/>
      <c r="T85" s="344"/>
      <c r="U85" s="341"/>
      <c r="V85" s="504" t="s">
        <v>5098</v>
      </c>
      <c r="W85" s="344"/>
      <c r="X85" s="344"/>
      <c r="Y85" s="346"/>
      <c r="Z85" s="1073"/>
      <c r="AA85" s="1217"/>
      <c r="AB85" s="344"/>
      <c r="AC85" s="344"/>
      <c r="AD85" s="344"/>
      <c r="AE85" s="329"/>
    </row>
    <row r="86" spans="1:40">
      <c r="R86" s="253"/>
      <c r="S86" s="344"/>
      <c r="T86" s="344"/>
      <c r="U86" s="341"/>
      <c r="V86" s="504" t="s">
        <v>5099</v>
      </c>
      <c r="W86" s="344"/>
      <c r="X86" s="1679"/>
      <c r="Y86" s="346"/>
      <c r="Z86" s="2848"/>
      <c r="AA86" s="1217"/>
      <c r="AB86" s="344"/>
      <c r="AC86" s="344"/>
      <c r="AD86" s="344"/>
      <c r="AE86" s="329"/>
    </row>
    <row r="87" spans="1:40">
      <c r="R87" s="253"/>
      <c r="S87" s="344"/>
      <c r="T87" s="344"/>
      <c r="U87" s="341"/>
      <c r="V87" s="504" t="s">
        <v>5100</v>
      </c>
      <c r="W87" s="344"/>
      <c r="X87" s="344"/>
      <c r="Y87" s="346"/>
      <c r="Z87" s="1073"/>
      <c r="AA87" s="253"/>
      <c r="AB87" s="344"/>
      <c r="AC87" s="344"/>
      <c r="AD87" s="344"/>
      <c r="AE87" s="329"/>
    </row>
    <row r="88" spans="1:40" ht="13.5" thickBot="1">
      <c r="R88" s="253"/>
      <c r="S88" s="344"/>
      <c r="T88" s="344"/>
      <c r="U88" s="347"/>
      <c r="V88" s="498"/>
      <c r="W88" s="498"/>
      <c r="X88" s="498"/>
      <c r="Y88" s="499"/>
      <c r="Z88" s="344"/>
      <c r="AA88" s="344"/>
      <c r="AB88" s="344"/>
      <c r="AC88" s="344"/>
      <c r="AD88" s="344"/>
      <c r="AE88" s="329"/>
    </row>
    <row r="89" spans="1:40" ht="13.5" thickBot="1">
      <c r="R89" s="253"/>
      <c r="S89" s="344"/>
      <c r="T89" s="344"/>
      <c r="U89" s="253"/>
      <c r="V89" s="344"/>
      <c r="W89" s="344"/>
      <c r="X89" s="344"/>
      <c r="Y89" s="344"/>
      <c r="Z89" s="344"/>
      <c r="AA89" s="344"/>
      <c r="AB89" s="344"/>
      <c r="AC89" s="344"/>
      <c r="AD89" s="344"/>
    </row>
    <row r="90" spans="1:40" ht="15">
      <c r="S90" s="344"/>
      <c r="T90" s="344"/>
      <c r="U90" s="2849"/>
      <c r="V90" s="2850" t="s">
        <v>5106</v>
      </c>
      <c r="W90" s="339"/>
      <c r="X90" s="339"/>
      <c r="Y90" s="340"/>
      <c r="Z90" s="344"/>
      <c r="AA90" s="344"/>
      <c r="AB90" s="344"/>
      <c r="AC90" s="344"/>
      <c r="AD90" s="344"/>
    </row>
    <row r="91" spans="1:40" ht="15">
      <c r="S91" s="329"/>
      <c r="T91" s="344"/>
      <c r="U91" s="2851"/>
      <c r="V91" s="2842" t="s">
        <v>5107</v>
      </c>
      <c r="W91" s="344"/>
      <c r="X91" s="344"/>
      <c r="Y91" s="346"/>
      <c r="Z91" s="344"/>
      <c r="AA91" s="344"/>
      <c r="AB91" s="344"/>
      <c r="AC91" s="344"/>
      <c r="AD91" s="344"/>
    </row>
    <row r="92" spans="1:40">
      <c r="S92" s="329"/>
      <c r="T92" s="344"/>
      <c r="U92" s="2852"/>
      <c r="V92" s="2853"/>
      <c r="W92" s="344"/>
      <c r="X92" s="344"/>
      <c r="Y92" s="346"/>
      <c r="Z92" s="344"/>
      <c r="AA92" s="344"/>
      <c r="AB92" s="344"/>
      <c r="AC92" s="344"/>
      <c r="AD92" s="344"/>
    </row>
    <row r="93" spans="1:40">
      <c r="S93" s="329"/>
      <c r="T93" s="344"/>
      <c r="U93" s="2854"/>
      <c r="V93" s="2845" t="s">
        <v>5101</v>
      </c>
      <c r="W93" s="343"/>
      <c r="X93" s="344"/>
      <c r="Y93" s="346"/>
      <c r="Z93" s="344"/>
      <c r="AA93" s="344"/>
      <c r="AB93" s="344"/>
      <c r="AC93" s="344"/>
      <c r="AD93" s="344"/>
    </row>
    <row r="94" spans="1:40">
      <c r="T94" s="344"/>
      <c r="U94" s="2852"/>
      <c r="V94" s="2855" t="s">
        <v>5102</v>
      </c>
      <c r="W94" s="344"/>
      <c r="X94" s="344"/>
      <c r="Y94" s="346"/>
      <c r="Z94" s="344"/>
      <c r="AA94" s="344"/>
      <c r="AB94" s="344"/>
      <c r="AC94" s="344"/>
      <c r="AD94" s="344"/>
    </row>
    <row r="95" spans="1:40">
      <c r="T95" s="344"/>
      <c r="U95" s="2852"/>
      <c r="V95" s="2855"/>
      <c r="W95" s="344"/>
      <c r="X95" s="344"/>
      <c r="Y95" s="346"/>
      <c r="Z95" s="344"/>
      <c r="AA95" s="344"/>
      <c r="AB95" s="344"/>
      <c r="AC95" s="344"/>
      <c r="AD95" s="344"/>
    </row>
    <row r="96" spans="1:40">
      <c r="T96" s="344"/>
      <c r="U96" s="2854"/>
      <c r="V96" s="2845" t="s">
        <v>5103</v>
      </c>
      <c r="W96" s="344"/>
      <c r="X96" s="344"/>
      <c r="Y96" s="346"/>
      <c r="Z96" s="344"/>
      <c r="AA96" s="344"/>
      <c r="AB96" s="344"/>
      <c r="AC96" s="344"/>
      <c r="AD96" s="344"/>
    </row>
    <row r="97" spans="20:30">
      <c r="T97" s="344"/>
      <c r="U97" s="2852"/>
      <c r="V97" s="2855" t="s">
        <v>5104</v>
      </c>
      <c r="W97" s="344"/>
      <c r="X97" s="344"/>
      <c r="Y97" s="346"/>
      <c r="Z97" s="344"/>
      <c r="AA97" s="344"/>
      <c r="AB97" s="344"/>
      <c r="AC97" s="344"/>
      <c r="AD97" s="344"/>
    </row>
    <row r="98" spans="20:30" ht="13.5" thickBot="1">
      <c r="T98" s="329"/>
      <c r="U98" s="1197"/>
      <c r="V98" s="498"/>
      <c r="W98" s="498"/>
      <c r="X98" s="498"/>
      <c r="Y98" s="499"/>
      <c r="Z98" s="344"/>
      <c r="AA98" s="344"/>
      <c r="AB98" s="344"/>
      <c r="AC98" s="344"/>
      <c r="AD98" s="344"/>
    </row>
    <row r="99" spans="20:30">
      <c r="T99" s="329"/>
      <c r="U99" s="253"/>
      <c r="V99" s="344"/>
      <c r="W99" s="344"/>
      <c r="X99" s="344"/>
      <c r="Y99" s="344"/>
      <c r="Z99" s="344"/>
      <c r="AA99" s="344"/>
      <c r="AB99" s="344"/>
      <c r="AC99" s="344"/>
      <c r="AD99" s="344"/>
    </row>
    <row r="100" spans="20:30">
      <c r="T100" s="329"/>
      <c r="V100" s="329"/>
      <c r="W100" s="329"/>
      <c r="X100" s="329"/>
      <c r="Y100" s="329"/>
      <c r="Z100" s="329"/>
      <c r="AA100" s="329"/>
      <c r="AB100" s="329"/>
      <c r="AC100" s="329"/>
      <c r="AD100" s="329"/>
    </row>
    <row r="101" spans="20:30">
      <c r="V101" s="329"/>
      <c r="W101" s="329"/>
      <c r="X101" s="329"/>
      <c r="Y101" s="329"/>
      <c r="Z101" s="329"/>
      <c r="AA101" s="329"/>
      <c r="AB101" s="329"/>
      <c r="AC101" s="329"/>
      <c r="AD101" s="329"/>
    </row>
    <row r="102" spans="20:30">
      <c r="V102" s="329"/>
      <c r="W102" s="329"/>
      <c r="X102" s="329"/>
    </row>
  </sheetData>
  <sheetProtection algorithmName="SHA-512" hashValue="Ln942oXs/rgUT7S27XEyymlp42IbChsqMCg1UJzl8cV5PqBOqjoyHDr/Ea1kITt7KCrp8clpYZtllBQbS15N1g==" saltValue="+y84DjAt1k/3NMukcC+Msw==" spinCount="100000" sheet="1" objects="1" scenarios="1" formatCells="0" formatColumns="0" formatRows="0"/>
  <mergeCells count="24">
    <mergeCell ref="C67:H67"/>
    <mergeCell ref="C39:N39"/>
    <mergeCell ref="C12:E13"/>
    <mergeCell ref="L10:N10"/>
    <mergeCell ref="B11:K11"/>
    <mergeCell ref="L11:N11"/>
    <mergeCell ref="C32:N32"/>
    <mergeCell ref="C65:H65"/>
    <mergeCell ref="V20:AC38"/>
    <mergeCell ref="X53:Y53"/>
    <mergeCell ref="AB40:AC56"/>
    <mergeCell ref="B6:B7"/>
    <mergeCell ref="C6:D7"/>
    <mergeCell ref="M6:N7"/>
    <mergeCell ref="E7:L7"/>
    <mergeCell ref="B8:D8"/>
    <mergeCell ref="E8:L8"/>
    <mergeCell ref="M8:N8"/>
    <mergeCell ref="B9:D9"/>
    <mergeCell ref="M4:N4"/>
    <mergeCell ref="P48:P49"/>
    <mergeCell ref="M5:N5"/>
    <mergeCell ref="E9:L9"/>
    <mergeCell ref="M9:N9"/>
  </mergeCells>
  <conditionalFormatting sqref="B2:B3">
    <cfRule type="expression" dxfId="160" priority="25">
      <formula>AND(N45&lt;&gt;"---",$Q$2)</formula>
    </cfRule>
  </conditionalFormatting>
  <conditionalFormatting sqref="B11:N11 AA81:AB81 AA84:AB84">
    <cfRule type="expression" dxfId="159" priority="126">
      <formula>IF(NoColor,1,0)</formula>
    </cfRule>
  </conditionalFormatting>
  <conditionalFormatting sqref="E54">
    <cfRule type="expression" dxfId="158" priority="32">
      <formula>($L$54&lt;0)</formula>
    </cfRule>
  </conditionalFormatting>
  <conditionalFormatting sqref="F12:F14">
    <cfRule type="expression" dxfId="157" priority="37">
      <formula>IF(NoColor,1,0)</formula>
    </cfRule>
  </conditionalFormatting>
  <conditionalFormatting sqref="L19">
    <cfRule type="expression" dxfId="156" priority="125">
      <formula>IF(NoColor,1,0)</formula>
    </cfRule>
  </conditionalFormatting>
  <conditionalFormatting sqref="L21">
    <cfRule type="expression" dxfId="155" priority="98">
      <formula>IF(NoColor,1,0)</formula>
    </cfRule>
  </conditionalFormatting>
  <conditionalFormatting sqref="L23">
    <cfRule type="expression" dxfId="154" priority="40">
      <formula>IF(NoColor,1,0)</formula>
    </cfRule>
  </conditionalFormatting>
  <conditionalFormatting sqref="L25">
    <cfRule type="expression" dxfId="153" priority="69">
      <formula>IF(NoColor,1,0)</formula>
    </cfRule>
  </conditionalFormatting>
  <conditionalFormatting sqref="L27">
    <cfRule type="expression" dxfId="152" priority="68">
      <formula>IF(NoColor,1,0)</formula>
    </cfRule>
  </conditionalFormatting>
  <conditionalFormatting sqref="L33:L35">
    <cfRule type="expression" dxfId="151" priority="26">
      <formula>IF(NoColor,1,0)</formula>
    </cfRule>
  </conditionalFormatting>
  <conditionalFormatting sqref="L43:L45">
    <cfRule type="expression" dxfId="150" priority="44">
      <formula>IF(NoColor,1,0)</formula>
    </cfRule>
  </conditionalFormatting>
  <conditionalFormatting sqref="L50">
    <cfRule type="expression" dxfId="149" priority="61">
      <formula>IF(NoColor,1,0)</formula>
    </cfRule>
  </conditionalFormatting>
  <conditionalFormatting sqref="L52">
    <cfRule type="expression" dxfId="148" priority="60">
      <formula>IF(NoColor,1,0)</formula>
    </cfRule>
  </conditionalFormatting>
  <conditionalFormatting sqref="L54:L57">
    <cfRule type="expression" dxfId="147" priority="57">
      <formula>IF(NoColor,1,0)</formula>
    </cfRule>
  </conditionalFormatting>
  <conditionalFormatting sqref="M3">
    <cfRule type="expression" dxfId="146" priority="24">
      <formula>NOT(F8960_Applicable)</formula>
    </cfRule>
  </conditionalFormatting>
  <conditionalFormatting sqref="N15:N17">
    <cfRule type="expression" dxfId="144" priority="35">
      <formula>IF(NoColor,1,0)</formula>
    </cfRule>
  </conditionalFormatting>
  <conditionalFormatting sqref="N22">
    <cfRule type="expression" dxfId="143" priority="97">
      <formula>IF(NoColor,1,0)</formula>
    </cfRule>
  </conditionalFormatting>
  <conditionalFormatting sqref="N28:N31">
    <cfRule type="expression" dxfId="142" priority="66">
      <formula>IF(NoColor,1,0)</formula>
    </cfRule>
  </conditionalFormatting>
  <conditionalFormatting sqref="N36:N38">
    <cfRule type="expression" dxfId="141" priority="62">
      <formula>IF(NoColor,1,0)</formula>
    </cfRule>
  </conditionalFormatting>
  <conditionalFormatting sqref="N41:N46">
    <cfRule type="expression" dxfId="140" priority="46">
      <formula>IF(NoColor,1,0)</formula>
    </cfRule>
  </conditionalFormatting>
  <conditionalFormatting sqref="N48:N49">
    <cfRule type="expression" dxfId="139" priority="77">
      <formula>IF(NoColor,1,0)</formula>
    </cfRule>
  </conditionalFormatting>
  <conditionalFormatting sqref="N58">
    <cfRule type="expression" dxfId="138" priority="102">
      <formula>IF(NoColor,1,0)</formula>
    </cfRule>
  </conditionalFormatting>
  <conditionalFormatting sqref="N60">
    <cfRule type="expression" dxfId="137" priority="103">
      <formula>IF(NoColor,1,0)</formula>
    </cfRule>
  </conditionalFormatting>
  <conditionalFormatting sqref="O21">
    <cfRule type="expression" dxfId="135" priority="34">
      <formula>IF($L$21&lt;&gt;"",TRUE,FALSE)</formula>
    </cfRule>
  </conditionalFormatting>
  <conditionalFormatting sqref="Q21">
    <cfRule type="expression" dxfId="134" priority="33">
      <formula>IF($L$21&lt;&gt;"",TRUE,FALSE)</formula>
    </cfRule>
  </conditionalFormatting>
  <conditionalFormatting sqref="S46:S50">
    <cfRule type="expression" dxfId="133" priority="13">
      <formula>AND(F8960_Tax&lt;&gt;"",F8960_Tax&gt;0)</formula>
    </cfRule>
  </conditionalFormatting>
  <conditionalFormatting sqref="U9:V9">
    <cfRule type="expression" dxfId="132" priority="19">
      <formula>AND(File_Marr_Sep&lt;&gt;"",F8960_Applicable)</formula>
    </cfRule>
  </conditionalFormatting>
  <conditionalFormatting sqref="U10:V10">
    <cfRule type="expression" dxfId="131" priority="18">
      <formula>AND(OR(File_Single&lt;&gt;"",File_Head&lt;&gt;""),F8960_Applicable)</formula>
    </cfRule>
  </conditionalFormatting>
  <conditionalFormatting sqref="U81:V81">
    <cfRule type="expression" dxfId="130" priority="28">
      <formula>IF(NoColor,1,0)</formula>
    </cfRule>
  </conditionalFormatting>
  <conditionalFormatting sqref="U84:V84">
    <cfRule type="expression" dxfId="129" priority="27">
      <formula>IF(NoColor,1,0)</formula>
    </cfRule>
  </conditionalFormatting>
  <conditionalFormatting sqref="U93:V93">
    <cfRule type="expression" dxfId="128" priority="9">
      <formula>IF(NoColor,1,0)</formula>
    </cfRule>
  </conditionalFormatting>
  <conditionalFormatting sqref="U96:V96">
    <cfRule type="expression" dxfId="127" priority="8">
      <formula>IF(NoColor,1,0)</formula>
    </cfRule>
  </conditionalFormatting>
  <conditionalFormatting sqref="U8:W8">
    <cfRule type="expression" dxfId="126" priority="20">
      <formula>AND(OR(File_Marr_Joint&lt;&gt;"",File_Qual_Widow&lt;&gt;""),F8960_Applicable)</formula>
    </cfRule>
  </conditionalFormatting>
  <conditionalFormatting sqref="Z41">
    <cfRule type="expression" dxfId="125" priority="5">
      <formula>NoColor</formula>
    </cfRule>
  </conditionalFormatting>
  <conditionalFormatting sqref="Z44">
    <cfRule type="expression" dxfId="124" priority="4">
      <formula>NoColor</formula>
    </cfRule>
  </conditionalFormatting>
  <conditionalFormatting sqref="Z47">
    <cfRule type="expression" dxfId="123" priority="3">
      <formula>NoColor</formula>
    </cfRule>
  </conditionalFormatting>
  <conditionalFormatting sqref="Z49">
    <cfRule type="expression" dxfId="122" priority="1">
      <formula>NoColor</formula>
    </cfRule>
  </conditionalFormatting>
  <conditionalFormatting sqref="Z53">
    <cfRule type="expression" dxfId="121" priority="2">
      <formula>NoColor</formula>
    </cfRule>
  </conditionalFormatting>
  <conditionalFormatting sqref="AA67">
    <cfRule type="expression" dxfId="120" priority="52">
      <formula>IF(NoColor,1,0)</formula>
    </cfRule>
  </conditionalFormatting>
  <conditionalFormatting sqref="AA70">
    <cfRule type="expression" dxfId="119" priority="41">
      <formula>IF(NoColor,1,0)</formula>
    </cfRule>
  </conditionalFormatting>
  <conditionalFormatting sqref="AC63">
    <cfRule type="expression" dxfId="118" priority="48">
      <formula>IF(NoColor,1,0)</formula>
    </cfRule>
  </conditionalFormatting>
  <conditionalFormatting sqref="AC71">
    <cfRule type="expression" dxfId="117" priority="54">
      <formula>IF(NoColor,1,0)</formula>
    </cfRule>
  </conditionalFormatting>
  <conditionalFormatting sqref="AC73">
    <cfRule type="expression" dxfId="116" priority="47">
      <formula>IF(NoColor,1,0)</formula>
    </cfRule>
  </conditionalFormatting>
  <conditionalFormatting sqref="AC76">
    <cfRule type="expression" dxfId="115" priority="49">
      <formula>IF(NoColor,1,0)</formula>
    </cfRule>
  </conditionalFormatting>
  <hyperlinks>
    <hyperlink ref="C65:H65" r:id="rId1" display="Download Form 8960" xr:uid="{00000000-0004-0000-3C00-000000000000}"/>
    <hyperlink ref="C67:H67" r:id="rId2" display="Download Form 8960 Instructions" xr:uid="{00000000-0004-0000-3C00-000001000000}"/>
  </hyperlinks>
  <pageMargins left="0.75" right="0.25" top="0.36" bottom="0.28999999999999998" header="0.36" footer="0.21"/>
  <pageSetup scale="89" fitToHeight="0" orientation="portrait" r:id="rId3"/>
  <rowBreaks count="1" manualBreakCount="1">
    <brk id="61" min="1" max="12" man="1"/>
  </rowBreaks>
  <drawing r:id="rId4"/>
  <extLst>
    <ext xmlns:x14="http://schemas.microsoft.com/office/spreadsheetml/2009/9/main" uri="{78C0D931-6437-407d-A8EE-F0AAD7539E65}">
      <x14:conditionalFormattings>
        <x14:conditionalFormatting xmlns:xm="http://schemas.microsoft.com/office/excel/2006/main">
          <x14:cfRule type="expression" priority="7" id="{AC67D83B-5E8D-4886-A8E5-4AC66C1E3BC8}">
            <xm:f>AND(O5="",'Table of Contents'!A66="D")</xm:f>
            <x14:dxf>
              <font>
                <b/>
                <i val="0"/>
                <color rgb="FFC00000"/>
              </font>
            </x14:dxf>
          </x14:cfRule>
          <xm:sqref>M5:N5</xm:sqref>
        </x14:conditionalFormatting>
        <x14:conditionalFormatting xmlns:xm="http://schemas.microsoft.com/office/excel/2006/main">
          <x14:cfRule type="expression" priority="6" id="{9698369D-1057-4503-B11A-00744B9953DA}">
            <xm:f>'Table of Contents'!A66="D"</xm:f>
            <x14:dxf>
              <fill>
                <patternFill>
                  <bgColor theme="0"/>
                </patternFill>
              </fill>
              <border>
                <right style="thin">
                  <color auto="1"/>
                </right>
                <top style="thin">
                  <color auto="1"/>
                </top>
                <bottom style="thin">
                  <color auto="1"/>
                </bottom>
                <vertical/>
                <horizontal/>
              </border>
            </x14:dxf>
          </x14:cfRule>
          <xm:sqref>O5</xm:sqref>
        </x14:conditionalFormatting>
      </x14:conditionalFormatting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pageSetUpPr fitToPage="1"/>
  </sheetPr>
  <dimension ref="A1:BW325"/>
  <sheetViews>
    <sheetView zoomScaleNormal="100" zoomScaleSheetLayoutView="100" workbookViewId="0"/>
  </sheetViews>
  <sheetFormatPr defaultColWidth="9.140625" defaultRowHeight="12.75"/>
  <cols>
    <col min="1" max="1" width="3.7109375" customWidth="1"/>
    <col min="2" max="2" width="6.28515625" customWidth="1"/>
    <col min="3" max="3" width="3.140625" customWidth="1"/>
    <col min="4" max="8" width="3.7109375" customWidth="1"/>
    <col min="9" max="9" width="4.7109375" customWidth="1"/>
    <col min="10" max="10" width="3.7109375" customWidth="1"/>
    <col min="11" max="11" width="4.85546875" customWidth="1"/>
    <col min="12" max="12" width="3.7109375" customWidth="1"/>
    <col min="13" max="13" width="4.7109375" customWidth="1"/>
    <col min="14" max="14" width="4.42578125" customWidth="1"/>
    <col min="15" max="17" width="3.7109375" customWidth="1"/>
    <col min="18" max="18" width="4.7109375" customWidth="1"/>
    <col min="19" max="19" width="3.7109375" customWidth="1"/>
    <col min="20" max="20" width="4.42578125" customWidth="1"/>
    <col min="21" max="23" width="3.7109375" customWidth="1"/>
    <col min="24" max="24" width="4.7109375" customWidth="1"/>
    <col min="25" max="27" width="3.7109375" customWidth="1"/>
    <col min="28" max="28" width="4.42578125" customWidth="1"/>
    <col min="29" max="29" width="4.7109375" customWidth="1"/>
    <col min="30" max="32" width="3.7109375" customWidth="1"/>
    <col min="33" max="33" width="4.42578125" customWidth="1"/>
    <col min="34" max="34" width="4.140625" customWidth="1"/>
    <col min="35" max="35" width="2.28515625" customWidth="1"/>
    <col min="36" max="36" width="3.7109375" customWidth="1"/>
    <col min="38" max="38" width="4.42578125" customWidth="1"/>
    <col min="39" max="39" width="12.5703125" customWidth="1"/>
    <col min="40" max="40" width="2" customWidth="1"/>
    <col min="45" max="45" width="13" customWidth="1"/>
    <col min="46" max="46" width="8.28515625" customWidth="1"/>
    <col min="47" max="48" width="9.85546875" customWidth="1"/>
    <col min="49" max="49" width="3.28515625" customWidth="1"/>
    <col min="50" max="50" width="9.140625" customWidth="1"/>
    <col min="51" max="51" width="2.85546875" customWidth="1"/>
    <col min="52" max="52" width="3.7109375" customWidth="1"/>
    <col min="54" max="56" width="10.140625" customWidth="1"/>
    <col min="57" max="57" width="13" customWidth="1"/>
    <col min="58" max="58" width="5.140625" customWidth="1"/>
    <col min="59" max="60" width="9.85546875" customWidth="1"/>
    <col min="61" max="61" width="3.42578125" customWidth="1"/>
    <col min="64" max="64" width="5.140625" customWidth="1"/>
    <col min="65" max="65" width="13.7109375" style="827" customWidth="1"/>
    <col min="66" max="73" width="10.7109375" style="658" customWidth="1"/>
  </cols>
  <sheetData>
    <row r="1" spans="1:65" ht="24" customHeight="1">
      <c r="A1" s="2013"/>
      <c r="B1" s="2013"/>
      <c r="C1" s="3813" t="s">
        <v>4605</v>
      </c>
      <c r="D1" s="2013"/>
      <c r="E1" s="2013"/>
      <c r="F1" s="2013"/>
      <c r="G1" s="2013"/>
      <c r="H1" s="2013"/>
      <c r="I1" s="2013"/>
      <c r="J1" s="2013"/>
      <c r="K1" s="2013"/>
      <c r="L1" s="2013"/>
      <c r="M1" s="2013"/>
      <c r="N1" s="2013"/>
      <c r="O1" s="2013"/>
      <c r="P1" s="2013"/>
      <c r="Q1" s="2013"/>
      <c r="R1" s="2013"/>
      <c r="S1" s="3814"/>
      <c r="T1" s="2013"/>
      <c r="U1" s="2013"/>
      <c r="V1" s="2013"/>
      <c r="W1" s="2013"/>
      <c r="X1" s="2013"/>
      <c r="Y1" s="2013"/>
      <c r="Z1" s="2013"/>
      <c r="AA1" s="2013"/>
      <c r="AB1" s="2013"/>
      <c r="AC1" s="2013"/>
      <c r="AD1" s="2013"/>
      <c r="AE1" s="2013"/>
      <c r="AF1" s="2013"/>
      <c r="AG1" s="2013"/>
      <c r="AH1" s="2013"/>
      <c r="AI1" s="2013"/>
      <c r="AJ1" s="2013"/>
      <c r="AK1" s="2013"/>
      <c r="AL1" s="253"/>
      <c r="AM1" s="253"/>
      <c r="AN1" s="253"/>
      <c r="AO1" s="253"/>
      <c r="AP1" s="253"/>
      <c r="AQ1" s="253"/>
      <c r="AR1" s="253"/>
      <c r="AS1" s="253"/>
      <c r="AT1" s="253"/>
      <c r="AU1" s="253"/>
      <c r="AV1" s="253"/>
      <c r="AW1" s="253"/>
      <c r="AX1" s="253"/>
      <c r="AY1" s="253"/>
      <c r="AZ1" s="253"/>
      <c r="BA1" s="253"/>
      <c r="BB1" s="253"/>
      <c r="BC1" s="3815"/>
      <c r="BD1" s="253"/>
      <c r="BE1" s="253"/>
      <c r="BF1" s="253"/>
      <c r="BG1" s="253"/>
      <c r="BH1" s="253"/>
      <c r="BI1" s="253"/>
      <c r="BJ1" s="253"/>
      <c r="BK1" s="253"/>
      <c r="BL1" s="253"/>
      <c r="BM1" s="825" t="s">
        <v>223</v>
      </c>
    </row>
    <row r="2" spans="1:65" ht="13.5" customHeight="1">
      <c r="A2" s="2013"/>
      <c r="B2" s="2013"/>
      <c r="C2" s="384" t="str">
        <f>IF(AND(NOT(Alaska),NOT(Hawaii)),"X","")</f>
        <v>X</v>
      </c>
      <c r="D2" s="2551" t="s">
        <v>4606</v>
      </c>
      <c r="E2" s="2013"/>
      <c r="F2" s="2013"/>
      <c r="G2" s="2013"/>
      <c r="H2" s="2013"/>
      <c r="I2" s="2013"/>
      <c r="J2" s="2013"/>
      <c r="K2" s="2013"/>
      <c r="L2" s="2013"/>
      <c r="M2" s="384" t="str">
        <f>IF(Alaska,"X","")</f>
        <v/>
      </c>
      <c r="N2" s="2551" t="s">
        <v>538</v>
      </c>
      <c r="O2" s="2013"/>
      <c r="P2" s="2013"/>
      <c r="Q2" s="2013"/>
      <c r="R2" s="2013"/>
      <c r="S2" s="3814" t="str">
        <f>IF(AL2&lt;1,"Check one.",IF(AL2&gt;1,"Check ONLY ONE.",""))</f>
        <v/>
      </c>
      <c r="T2" s="2013"/>
      <c r="U2" s="2013"/>
      <c r="V2" s="2013"/>
      <c r="W2" s="384" t="str">
        <f>IF(Hawaii,"X","")</f>
        <v/>
      </c>
      <c r="X2" s="2551" t="s">
        <v>539</v>
      </c>
      <c r="Y2" s="2013"/>
      <c r="Z2" s="2013"/>
      <c r="AA2" s="2013"/>
      <c r="AB2" s="2013"/>
      <c r="AC2" s="2013"/>
      <c r="AD2" s="2013"/>
      <c r="AE2" s="2013"/>
      <c r="AF2" s="2013"/>
      <c r="AG2" s="2013"/>
      <c r="AH2" s="2013"/>
      <c r="AI2" s="2013"/>
      <c r="AJ2" s="2013"/>
      <c r="AK2" s="2013"/>
      <c r="AL2" s="3812">
        <f>SUM(AM2,AO2,AP2)</f>
        <v>1</v>
      </c>
      <c r="AM2" s="512">
        <f>IF(C2&lt;&gt;"",1,0)</f>
        <v>1</v>
      </c>
      <c r="AN2" s="512"/>
      <c r="AO2" s="512">
        <f>IF(M2&lt;&gt;"",1,0)</f>
        <v>0</v>
      </c>
      <c r="AP2" s="512">
        <f>IF(W2&lt;&gt;"",1,0)</f>
        <v>0</v>
      </c>
      <c r="AQ2" s="253"/>
      <c r="AR2" s="253"/>
      <c r="AS2" s="11572" t="s">
        <v>4607</v>
      </c>
      <c r="AT2" s="11573"/>
      <c r="AU2" s="11573"/>
      <c r="AV2" s="11573"/>
      <c r="AW2" s="11573"/>
      <c r="AX2" s="11574"/>
      <c r="AY2" s="404"/>
      <c r="AZ2" s="253"/>
      <c r="BA2" s="253"/>
      <c r="BB2" s="344"/>
      <c r="BC2" s="3815"/>
      <c r="BD2" s="3815"/>
      <c r="BE2" s="3815"/>
      <c r="BF2" s="253"/>
      <c r="BG2" s="253"/>
      <c r="BH2" s="253"/>
      <c r="BI2" s="253"/>
      <c r="BJ2" s="253"/>
      <c r="BK2" s="253"/>
      <c r="BL2" s="253"/>
      <c r="BM2" s="1397" t="s">
        <v>227</v>
      </c>
    </row>
    <row r="3" spans="1:65" ht="24" customHeight="1">
      <c r="A3" s="2013"/>
      <c r="B3" s="2013"/>
      <c r="C3" s="2013"/>
      <c r="D3" s="2013"/>
      <c r="E3" s="2013"/>
      <c r="F3" s="2013"/>
      <c r="G3" s="2013"/>
      <c r="H3" s="2013"/>
      <c r="I3" s="2013"/>
      <c r="J3" s="2013"/>
      <c r="K3" s="2013"/>
      <c r="L3" s="2013"/>
      <c r="M3" s="2013"/>
      <c r="N3" s="2013"/>
      <c r="O3" s="2013"/>
      <c r="P3" s="2013"/>
      <c r="Q3" s="2013"/>
      <c r="R3" s="2013"/>
      <c r="S3" s="2013"/>
      <c r="T3" s="2013"/>
      <c r="U3" s="2013"/>
      <c r="V3" s="2013"/>
      <c r="W3" s="2013"/>
      <c r="X3" s="2013"/>
      <c r="Y3" s="2013"/>
      <c r="Z3" s="2013"/>
      <c r="AA3" s="2013"/>
      <c r="AB3" s="2013"/>
      <c r="AC3" s="11504" t="str">
        <f>IF('Table of Contents'!A67="D","DRAFT","")</f>
        <v/>
      </c>
      <c r="AD3" s="11504"/>
      <c r="AE3" s="11504"/>
      <c r="AF3" s="11504"/>
      <c r="AG3" s="11504"/>
      <c r="AH3" s="11504"/>
      <c r="AI3" s="11504"/>
      <c r="AJ3" s="11504"/>
      <c r="AK3" s="2013"/>
      <c r="AL3" s="253"/>
      <c r="AM3" s="253"/>
      <c r="AN3" s="253"/>
      <c r="AO3" s="253"/>
      <c r="AP3" s="253"/>
      <c r="AQ3" s="253"/>
      <c r="AR3" s="253"/>
      <c r="AS3" s="11575"/>
      <c r="AT3" s="11576"/>
      <c r="AU3" s="11576"/>
      <c r="AV3" s="11576"/>
      <c r="AW3" s="11576"/>
      <c r="AX3" s="11577"/>
      <c r="AY3" s="404"/>
      <c r="AZ3" s="253"/>
      <c r="BA3" s="253"/>
      <c r="BB3" s="253"/>
      <c r="BC3" s="253"/>
      <c r="BD3" s="253"/>
      <c r="BE3" s="253"/>
      <c r="BF3" s="253"/>
      <c r="BG3" s="253"/>
      <c r="BH3" s="253"/>
      <c r="BI3" s="253"/>
      <c r="BJ3" s="344"/>
      <c r="BK3" s="344"/>
      <c r="BL3" s="253"/>
    </row>
    <row r="4" spans="1:65" ht="18" customHeight="1">
      <c r="A4" s="2013"/>
      <c r="B4" s="253"/>
      <c r="C4" s="253"/>
      <c r="D4" s="9823" t="s">
        <v>145</v>
      </c>
      <c r="E4" s="7601"/>
      <c r="F4" s="7601"/>
      <c r="G4" s="7601"/>
      <c r="H4" s="379"/>
      <c r="I4" s="2741"/>
      <c r="J4" s="253"/>
      <c r="K4" s="253"/>
      <c r="L4" s="253"/>
      <c r="M4" s="253"/>
      <c r="N4" s="253"/>
      <c r="O4" s="253"/>
      <c r="P4" s="253"/>
      <c r="Q4" s="253"/>
      <c r="R4" s="253"/>
      <c r="S4" s="253"/>
      <c r="T4" s="253"/>
      <c r="U4" s="253"/>
      <c r="V4" s="253"/>
      <c r="W4" s="253"/>
      <c r="X4" s="253"/>
      <c r="Y4" s="253"/>
      <c r="Z4" s="253"/>
      <c r="AA4" s="253"/>
      <c r="AB4" s="2910"/>
      <c r="AC4" s="11112" t="str">
        <f>IF(AND(AK4="",'Table of Contents'!A67="D"),"DRAFT","OMB No. 1545-0074")</f>
        <v>OMB No. 1545-0074</v>
      </c>
      <c r="AD4" s="9894"/>
      <c r="AE4" s="9894"/>
      <c r="AF4" s="9894"/>
      <c r="AG4" s="9894"/>
      <c r="AH4" s="9894"/>
      <c r="AI4" s="9894"/>
      <c r="AJ4" s="9894"/>
      <c r="AK4" s="1796"/>
      <c r="AL4" s="253"/>
      <c r="AM4" s="1293" t="s">
        <v>771</v>
      </c>
      <c r="AN4" s="253"/>
      <c r="AO4" s="253"/>
      <c r="AP4" s="253"/>
      <c r="AQ4" s="253"/>
      <c r="AR4" s="253"/>
      <c r="AS4" s="11575"/>
      <c r="AT4" s="11576"/>
      <c r="AU4" s="11576"/>
      <c r="AV4" s="11576"/>
      <c r="AW4" s="11576"/>
      <c r="AX4" s="11577"/>
      <c r="AY4" s="404"/>
      <c r="AZ4" s="253"/>
      <c r="BA4" s="253"/>
      <c r="BB4" s="253"/>
      <c r="BC4" s="253"/>
      <c r="BD4" s="253"/>
      <c r="BE4" s="253"/>
      <c r="BF4" s="253"/>
      <c r="BG4" s="253"/>
      <c r="BH4" s="253"/>
      <c r="BI4" s="253"/>
      <c r="BJ4" s="344"/>
      <c r="BK4" s="344"/>
      <c r="BL4" s="253"/>
    </row>
    <row r="5" spans="1:65" ht="24" customHeight="1">
      <c r="A5" s="2013"/>
      <c r="B5" s="9825" t="s">
        <v>46</v>
      </c>
      <c r="C5" s="9617"/>
      <c r="D5" s="7601"/>
      <c r="E5" s="7601"/>
      <c r="F5" s="7601"/>
      <c r="G5" s="7601"/>
      <c r="H5" s="379"/>
      <c r="I5" s="7931" t="s">
        <v>4608</v>
      </c>
      <c r="J5" s="7932"/>
      <c r="K5" s="7932"/>
      <c r="L5" s="7932"/>
      <c r="M5" s="7932"/>
      <c r="N5" s="7932"/>
      <c r="O5" s="7932"/>
      <c r="P5" s="7932"/>
      <c r="Q5" s="7932"/>
      <c r="R5" s="7932"/>
      <c r="S5" s="7932"/>
      <c r="T5" s="7932"/>
      <c r="U5" s="7932"/>
      <c r="V5" s="7932"/>
      <c r="W5" s="7932"/>
      <c r="X5" s="7932"/>
      <c r="Y5" s="7932"/>
      <c r="Z5" s="7932"/>
      <c r="AA5" s="7932"/>
      <c r="AB5" s="7933"/>
      <c r="AC5" s="9826">
        <f>TaxYear</f>
        <v>2025</v>
      </c>
      <c r="AD5" s="9827"/>
      <c r="AE5" s="9827"/>
      <c r="AF5" s="9827"/>
      <c r="AG5" s="9827"/>
      <c r="AH5" s="9827"/>
      <c r="AI5" s="9827"/>
      <c r="AJ5" s="9827"/>
      <c r="AK5" s="2013"/>
      <c r="AL5" s="253"/>
      <c r="AM5" s="11597" t="s">
        <v>4609</v>
      </c>
      <c r="AN5" s="11597"/>
      <c r="AO5" s="11598"/>
      <c r="AP5" s="11598"/>
      <c r="AQ5" s="11598"/>
      <c r="AR5" s="11598"/>
      <c r="AS5" s="11575"/>
      <c r="AT5" s="11576"/>
      <c r="AU5" s="11576"/>
      <c r="AV5" s="11576"/>
      <c r="AW5" s="11576"/>
      <c r="AX5" s="11577"/>
      <c r="AY5" s="404"/>
      <c r="AZ5" s="253"/>
      <c r="BA5" s="253"/>
      <c r="BB5" s="253"/>
      <c r="BC5" s="253"/>
      <c r="BD5" s="253"/>
      <c r="BE5" s="253"/>
      <c r="BF5" s="253"/>
      <c r="BG5" s="253"/>
      <c r="BH5" s="253"/>
      <c r="BI5" s="253"/>
      <c r="BJ5" s="344"/>
      <c r="BK5" s="344"/>
      <c r="BL5" s="253"/>
    </row>
    <row r="6" spans="1:65" ht="6.75" customHeight="1">
      <c r="A6" s="2013"/>
      <c r="B6" s="253"/>
      <c r="C6" s="253"/>
      <c r="D6" s="253"/>
      <c r="E6" s="253"/>
      <c r="F6" s="253"/>
      <c r="G6" s="253"/>
      <c r="H6" s="379"/>
      <c r="I6" s="2911"/>
      <c r="J6" s="362"/>
      <c r="K6" s="362"/>
      <c r="L6" s="362"/>
      <c r="M6" s="362"/>
      <c r="N6" s="362"/>
      <c r="O6" s="362"/>
      <c r="P6" s="362"/>
      <c r="Q6" s="362"/>
      <c r="R6" s="362"/>
      <c r="S6" s="362"/>
      <c r="T6" s="362"/>
      <c r="U6" s="362"/>
      <c r="V6" s="362"/>
      <c r="W6" s="362"/>
      <c r="X6" s="362"/>
      <c r="Y6" s="362"/>
      <c r="Z6" s="362"/>
      <c r="AA6" s="362"/>
      <c r="AB6" s="2912"/>
      <c r="AC6" s="9828"/>
      <c r="AD6" s="9829"/>
      <c r="AE6" s="9829"/>
      <c r="AF6" s="9829"/>
      <c r="AG6" s="9829"/>
      <c r="AH6" s="9829"/>
      <c r="AI6" s="9829"/>
      <c r="AJ6" s="9829"/>
      <c r="AK6" s="2013"/>
      <c r="AL6" s="253"/>
      <c r="AM6" s="11598"/>
      <c r="AN6" s="11598"/>
      <c r="AO6" s="11598"/>
      <c r="AP6" s="11598"/>
      <c r="AQ6" s="11598"/>
      <c r="AR6" s="11598"/>
      <c r="AS6" s="11575"/>
      <c r="AT6" s="11576"/>
      <c r="AU6" s="11576"/>
      <c r="AV6" s="11576"/>
      <c r="AW6" s="11576"/>
      <c r="AX6" s="11577"/>
      <c r="AY6" s="404"/>
      <c r="AZ6" s="253"/>
      <c r="BA6" s="253"/>
      <c r="BB6" s="253"/>
      <c r="BC6" s="253"/>
      <c r="BD6" s="253"/>
      <c r="BE6" s="253"/>
      <c r="BF6" s="253"/>
      <c r="BG6" s="253"/>
      <c r="BH6" s="253"/>
      <c r="BI6" s="253"/>
      <c r="BJ6" s="344"/>
      <c r="BK6" s="344"/>
      <c r="BL6" s="253"/>
    </row>
    <row r="7" spans="1:65" ht="12.75" customHeight="1">
      <c r="A7" s="2013"/>
      <c r="B7" s="253" t="s">
        <v>503</v>
      </c>
      <c r="C7" s="253"/>
      <c r="D7" s="253"/>
      <c r="E7" s="253"/>
      <c r="F7" s="253"/>
      <c r="G7" s="253"/>
      <c r="H7" s="379"/>
      <c r="I7" s="11118" t="s">
        <v>776</v>
      </c>
      <c r="J7" s="11119"/>
      <c r="K7" s="11119"/>
      <c r="L7" s="11119"/>
      <c r="M7" s="11119"/>
      <c r="N7" s="11119"/>
      <c r="O7" s="11119"/>
      <c r="P7" s="11119"/>
      <c r="Q7" s="11119"/>
      <c r="R7" s="11119"/>
      <c r="S7" s="11119"/>
      <c r="T7" s="11119"/>
      <c r="U7" s="11119"/>
      <c r="V7" s="11119"/>
      <c r="W7" s="11119"/>
      <c r="X7" s="11119"/>
      <c r="Y7" s="11119"/>
      <c r="Z7" s="11119"/>
      <c r="AA7" s="11119"/>
      <c r="AB7" s="11120"/>
      <c r="AC7" s="341"/>
      <c r="AD7" s="9515" t="s">
        <v>3475</v>
      </c>
      <c r="AE7" s="7844"/>
      <c r="AF7" s="7844"/>
      <c r="AG7" s="7844"/>
      <c r="AH7" s="9193">
        <v>73</v>
      </c>
      <c r="AI7" s="9193"/>
      <c r="AJ7" s="253"/>
      <c r="AK7" s="2013"/>
      <c r="AL7" s="253"/>
      <c r="AM7" s="11598"/>
      <c r="AN7" s="11598"/>
      <c r="AO7" s="11598"/>
      <c r="AP7" s="11598"/>
      <c r="AQ7" s="11598"/>
      <c r="AR7" s="11598"/>
      <c r="AS7" s="11575"/>
      <c r="AT7" s="11576"/>
      <c r="AU7" s="11576"/>
      <c r="AV7" s="11576"/>
      <c r="AW7" s="11576"/>
      <c r="AX7" s="11577"/>
      <c r="AY7" s="404"/>
      <c r="AZ7" s="253"/>
      <c r="BA7" s="253"/>
      <c r="BB7" s="253"/>
      <c r="BC7" s="253"/>
      <c r="BD7" s="253"/>
      <c r="BE7" s="253"/>
      <c r="BF7" s="253"/>
      <c r="BG7" s="253"/>
      <c r="BH7" s="253"/>
      <c r="BI7" s="253"/>
      <c r="BJ7" s="344"/>
      <c r="BK7" s="344"/>
      <c r="BL7" s="253"/>
    </row>
    <row r="8" spans="1:65" ht="13.5" customHeight="1" thickBot="1">
      <c r="A8" s="2013"/>
      <c r="B8" s="380" t="s">
        <v>505</v>
      </c>
      <c r="C8" s="380"/>
      <c r="D8" s="380"/>
      <c r="E8" s="380"/>
      <c r="F8" s="380"/>
      <c r="G8" s="380"/>
      <c r="H8" s="381"/>
      <c r="I8" s="11096" t="s">
        <v>4122</v>
      </c>
      <c r="J8" s="11097"/>
      <c r="K8" s="11097"/>
      <c r="L8" s="11097"/>
      <c r="M8" s="11097"/>
      <c r="N8" s="11097"/>
      <c r="O8" s="11097"/>
      <c r="P8" s="11097"/>
      <c r="Q8" s="11097"/>
      <c r="R8" s="11097"/>
      <c r="S8" s="11097"/>
      <c r="T8" s="11097"/>
      <c r="U8" s="11097"/>
      <c r="V8" s="11097"/>
      <c r="W8" s="11097"/>
      <c r="X8" s="11097"/>
      <c r="Y8" s="11097"/>
      <c r="Z8" s="11097"/>
      <c r="AA8" s="11097"/>
      <c r="AB8" s="11098"/>
      <c r="AC8" s="1197"/>
      <c r="AD8" s="9966" t="s">
        <v>3488</v>
      </c>
      <c r="AE8" s="9967"/>
      <c r="AF8" s="9967"/>
      <c r="AG8" s="9967"/>
      <c r="AH8" s="9974"/>
      <c r="AI8" s="9974"/>
      <c r="AJ8" s="380"/>
      <c r="AK8" s="2013"/>
      <c r="AL8" s="253"/>
      <c r="AM8" s="11598"/>
      <c r="AN8" s="11598"/>
      <c r="AO8" s="11598"/>
      <c r="AP8" s="11598"/>
      <c r="AQ8" s="11598"/>
      <c r="AR8" s="11598"/>
      <c r="AS8" s="11575"/>
      <c r="AT8" s="11576"/>
      <c r="AU8" s="11576"/>
      <c r="AV8" s="11576"/>
      <c r="AW8" s="11576"/>
      <c r="AX8" s="11577"/>
      <c r="AY8" s="404"/>
      <c r="AZ8" s="253"/>
      <c r="BA8" s="253"/>
      <c r="BB8" s="253"/>
      <c r="BC8" s="253"/>
      <c r="BD8" s="253"/>
      <c r="BE8" s="253"/>
      <c r="BF8" s="253"/>
      <c r="BG8" s="253"/>
      <c r="BH8" s="253"/>
      <c r="BI8" s="253"/>
      <c r="BJ8" s="344"/>
      <c r="BK8" s="344"/>
      <c r="BL8" s="253"/>
    </row>
    <row r="9" spans="1:65">
      <c r="A9" s="2013"/>
      <c r="B9" s="339" t="s">
        <v>3489</v>
      </c>
      <c r="C9" s="339"/>
      <c r="D9" s="339"/>
      <c r="E9" s="339"/>
      <c r="F9" s="339"/>
      <c r="G9" s="339"/>
      <c r="H9" s="339"/>
      <c r="I9" s="339"/>
      <c r="J9" s="339"/>
      <c r="K9" s="339"/>
      <c r="L9" s="339"/>
      <c r="M9" s="339"/>
      <c r="N9" s="339"/>
      <c r="O9" s="339"/>
      <c r="P9" s="339"/>
      <c r="Q9" s="339"/>
      <c r="R9" s="339"/>
      <c r="S9" s="339"/>
      <c r="T9" s="339"/>
      <c r="U9" s="339"/>
      <c r="V9" s="339"/>
      <c r="W9" s="339"/>
      <c r="X9" s="339"/>
      <c r="Y9" s="3816" t="s">
        <v>549</v>
      </c>
      <c r="Z9" s="377"/>
      <c r="AA9" s="377"/>
      <c r="AB9" s="377"/>
      <c r="AC9" s="408"/>
      <c r="AD9" s="2019"/>
      <c r="AE9" s="2019"/>
      <c r="AF9" s="2019"/>
      <c r="AG9" s="2019"/>
      <c r="AH9" s="2019"/>
      <c r="AI9" s="2019"/>
      <c r="AJ9" s="2019"/>
      <c r="AK9" s="2013"/>
      <c r="AL9" s="253"/>
      <c r="AM9" s="11598"/>
      <c r="AN9" s="11598"/>
      <c r="AO9" s="11598"/>
      <c r="AP9" s="11598"/>
      <c r="AQ9" s="11598"/>
      <c r="AR9" s="11598"/>
      <c r="AS9" s="11575"/>
      <c r="AT9" s="11576"/>
      <c r="AU9" s="11576"/>
      <c r="AV9" s="11576"/>
      <c r="AW9" s="11576"/>
      <c r="AX9" s="11577"/>
      <c r="AY9" s="404"/>
      <c r="AZ9" s="253"/>
      <c r="BA9" s="253"/>
      <c r="BB9" s="253"/>
      <c r="BC9" s="253"/>
      <c r="BD9" s="253"/>
      <c r="BE9" s="253"/>
      <c r="BF9" s="253"/>
      <c r="BG9" s="253"/>
      <c r="BH9" s="253"/>
      <c r="BI9" s="253"/>
      <c r="BJ9" s="344"/>
      <c r="BK9" s="344"/>
      <c r="BL9" s="253"/>
    </row>
    <row r="10" spans="1:65" ht="13.5" customHeight="1">
      <c r="A10" s="2013"/>
      <c r="B10" s="9798" t="str">
        <f>IF(Names="","",Names)</f>
        <v/>
      </c>
      <c r="C10" s="9799"/>
      <c r="D10" s="9799"/>
      <c r="E10" s="9799"/>
      <c r="F10" s="9799"/>
      <c r="G10" s="9799"/>
      <c r="H10" s="9799"/>
      <c r="I10" s="9799"/>
      <c r="J10" s="9799"/>
      <c r="K10" s="9799"/>
      <c r="L10" s="9800"/>
      <c r="M10" s="9800"/>
      <c r="N10" s="9800"/>
      <c r="O10" s="9800"/>
      <c r="P10" s="9800"/>
      <c r="Q10" s="9800"/>
      <c r="R10" s="9800"/>
      <c r="S10" s="9800"/>
      <c r="T10" s="9800"/>
      <c r="U10" s="9800"/>
      <c r="V10" s="9800"/>
      <c r="W10" s="9800"/>
      <c r="X10" s="9801"/>
      <c r="Y10" s="9803">
        <f>IF(OR(NoSSN,SS_Yours=""),"",SS_Yours)</f>
        <v>1010001</v>
      </c>
      <c r="Z10" s="7589"/>
      <c r="AA10" s="7589"/>
      <c r="AB10" s="7589"/>
      <c r="AC10" s="7589"/>
      <c r="AD10" s="7589"/>
      <c r="AE10" s="7589"/>
      <c r="AF10" s="7589"/>
      <c r="AG10" s="7589"/>
      <c r="AH10" s="7589"/>
      <c r="AI10" s="7589"/>
      <c r="AJ10" s="7589"/>
      <c r="AK10" s="2013"/>
      <c r="AL10" s="253"/>
      <c r="AM10" s="11598"/>
      <c r="AN10" s="11598"/>
      <c r="AO10" s="11598"/>
      <c r="AP10" s="11598"/>
      <c r="AQ10" s="11598"/>
      <c r="AR10" s="11598"/>
      <c r="AS10" s="11575"/>
      <c r="AT10" s="11576"/>
      <c r="AU10" s="11576"/>
      <c r="AV10" s="11576"/>
      <c r="AW10" s="11576"/>
      <c r="AX10" s="11577"/>
      <c r="AY10" s="404"/>
      <c r="AZ10" s="253"/>
      <c r="BA10" s="253"/>
      <c r="BB10" s="253"/>
      <c r="BC10" s="253"/>
      <c r="BD10" s="253"/>
      <c r="BE10" s="253"/>
      <c r="BF10" s="253"/>
      <c r="BG10" s="253"/>
      <c r="BH10" s="253"/>
      <c r="BI10" s="253"/>
      <c r="BJ10" s="344"/>
      <c r="BK10" s="344"/>
      <c r="BL10" s="253"/>
    </row>
    <row r="11" spans="1:65" ht="5.25" customHeight="1">
      <c r="A11" s="2013"/>
      <c r="B11" s="9360"/>
      <c r="C11" s="9360"/>
      <c r="D11" s="9360"/>
      <c r="E11" s="9360"/>
      <c r="F11" s="9360"/>
      <c r="G11" s="9360"/>
      <c r="H11" s="9360"/>
      <c r="I11" s="9360"/>
      <c r="J11" s="9360"/>
      <c r="K11" s="9360"/>
      <c r="L11" s="9360"/>
      <c r="M11" s="9360"/>
      <c r="N11" s="9360"/>
      <c r="O11" s="9360"/>
      <c r="P11" s="9360"/>
      <c r="Q11" s="9360"/>
      <c r="R11" s="9360"/>
      <c r="S11" s="9360"/>
      <c r="T11" s="9360"/>
      <c r="U11" s="9360"/>
      <c r="V11" s="9360"/>
      <c r="W11" s="9360"/>
      <c r="X11" s="9802"/>
      <c r="Y11" s="7590"/>
      <c r="Z11" s="7587"/>
      <c r="AA11" s="7587"/>
      <c r="AB11" s="7587"/>
      <c r="AC11" s="7587"/>
      <c r="AD11" s="7587"/>
      <c r="AE11" s="7587"/>
      <c r="AF11" s="7587"/>
      <c r="AG11" s="7587"/>
      <c r="AH11" s="7587"/>
      <c r="AI11" s="7587"/>
      <c r="AJ11" s="7587"/>
      <c r="AK11" s="2013"/>
      <c r="AL11" s="253"/>
      <c r="AM11" s="11598"/>
      <c r="AN11" s="11598"/>
      <c r="AO11" s="11598"/>
      <c r="AP11" s="11598"/>
      <c r="AQ11" s="11598"/>
      <c r="AR11" s="11598"/>
      <c r="AS11" s="11578"/>
      <c r="AT11" s="11579"/>
      <c r="AU11" s="11579"/>
      <c r="AV11" s="11579"/>
      <c r="AW11" s="11579"/>
      <c r="AX11" s="11580"/>
      <c r="AY11" s="404"/>
      <c r="AZ11" s="253"/>
      <c r="BA11" s="253"/>
      <c r="BB11" s="253"/>
      <c r="BC11" s="253"/>
      <c r="BD11" s="253"/>
      <c r="BE11" s="253"/>
      <c r="BF11" s="253"/>
      <c r="BG11" s="253"/>
      <c r="BH11" s="253"/>
      <c r="BI11" s="253"/>
      <c r="BJ11" s="344"/>
      <c r="BK11" s="344"/>
      <c r="BL11" s="253"/>
    </row>
    <row r="12" spans="1:65" ht="4.5" customHeight="1" thickBot="1">
      <c r="A12" s="2013"/>
      <c r="B12" s="1320"/>
      <c r="C12" s="10790" t="s">
        <v>5022</v>
      </c>
      <c r="D12" s="10790"/>
      <c r="E12" s="10790"/>
      <c r="F12" s="10790"/>
      <c r="G12" s="10790"/>
      <c r="H12" s="10790"/>
      <c r="I12" s="10790"/>
      <c r="J12" s="10790"/>
      <c r="K12" s="10790"/>
      <c r="L12" s="10790"/>
      <c r="M12" s="10790"/>
      <c r="N12" s="10790"/>
      <c r="O12" s="10790"/>
      <c r="P12" s="10790"/>
      <c r="Q12" s="10790"/>
      <c r="R12" s="10790"/>
      <c r="S12" s="10790"/>
      <c r="T12" s="10790"/>
      <c r="U12" s="10790"/>
      <c r="V12" s="10790"/>
      <c r="W12" s="10790"/>
      <c r="X12" s="10790"/>
      <c r="Y12" s="10790"/>
      <c r="Z12" s="10790"/>
      <c r="AA12" s="11552" t="s">
        <v>5023</v>
      </c>
      <c r="AB12" s="11552"/>
      <c r="AC12" s="11552"/>
      <c r="AD12" s="11552"/>
      <c r="AE12" s="11552"/>
      <c r="AF12" s="11552"/>
      <c r="AG12" s="11552"/>
      <c r="AH12" s="1320"/>
      <c r="AI12" s="253"/>
      <c r="AJ12" s="253"/>
      <c r="AK12" s="2013"/>
      <c r="AL12" s="253"/>
      <c r="AM12" s="253"/>
      <c r="AN12" s="253"/>
      <c r="AO12" s="253"/>
      <c r="AP12" s="253"/>
      <c r="AQ12" s="253"/>
      <c r="AR12" s="253"/>
      <c r="AS12" s="253"/>
      <c r="AT12" s="253"/>
      <c r="AU12" s="253"/>
      <c r="AV12" s="253"/>
      <c r="AW12" s="253"/>
      <c r="AX12" s="253"/>
      <c r="AY12" s="253"/>
      <c r="AZ12" s="253"/>
      <c r="BA12" s="253"/>
      <c r="BB12" s="253"/>
      <c r="BC12" s="253"/>
      <c r="BD12" s="253"/>
      <c r="BE12" s="253"/>
      <c r="BF12" s="253"/>
      <c r="BG12" s="253"/>
      <c r="BH12" s="253"/>
      <c r="BI12" s="253"/>
      <c r="BJ12" s="344"/>
      <c r="BK12" s="344"/>
      <c r="BL12" s="253"/>
    </row>
    <row r="13" spans="1:65" ht="9.75" customHeight="1" thickBot="1">
      <c r="A13" s="2013"/>
      <c r="B13" s="3817" t="s">
        <v>2043</v>
      </c>
      <c r="C13" s="7314"/>
      <c r="D13" s="7314"/>
      <c r="E13" s="7314"/>
      <c r="F13" s="7314"/>
      <c r="G13" s="7314"/>
      <c r="H13" s="7314"/>
      <c r="I13" s="7314"/>
      <c r="J13" s="7314"/>
      <c r="K13" s="7314"/>
      <c r="L13" s="7314"/>
      <c r="M13" s="7314"/>
      <c r="N13" s="7314"/>
      <c r="O13" s="7314"/>
      <c r="P13" s="7314"/>
      <c r="Q13" s="7314"/>
      <c r="R13" s="7314"/>
      <c r="S13" s="7314"/>
      <c r="T13" s="7314"/>
      <c r="U13" s="7314"/>
      <c r="V13" s="7314"/>
      <c r="W13" s="7314"/>
      <c r="X13" s="7314"/>
      <c r="Y13" s="7314"/>
      <c r="Z13" s="7314"/>
      <c r="AA13" s="11043"/>
      <c r="AB13" s="11043"/>
      <c r="AC13" s="11043"/>
      <c r="AD13" s="11043"/>
      <c r="AE13" s="11043"/>
      <c r="AF13" s="11043"/>
      <c r="AG13" s="11043"/>
      <c r="AH13" s="1321"/>
      <c r="AI13" s="300"/>
      <c r="AJ13" s="253"/>
      <c r="AK13" s="2013"/>
      <c r="AL13" s="3818" t="s">
        <v>4610</v>
      </c>
      <c r="AM13" s="3819" t="b">
        <f>AND($AI$13&lt;&gt;"",OR(File_Head&lt;&gt;"",File_Marr_Joint&lt;&gt;"",File_Qual_Widow&lt;&gt;"",File_Single&lt;&gt;""))</f>
        <v>0</v>
      </c>
      <c r="AN13" s="253"/>
      <c r="AO13" s="253"/>
      <c r="AP13" s="253"/>
      <c r="AQ13" s="253"/>
      <c r="AR13" s="253"/>
      <c r="AS13" s="253"/>
      <c r="AT13" s="253"/>
      <c r="AU13" s="253"/>
      <c r="AV13" s="253"/>
      <c r="AW13" s="253"/>
      <c r="AX13" s="253"/>
      <c r="AY13" s="253"/>
      <c r="AZ13" s="253"/>
      <c r="BA13" s="253"/>
      <c r="BB13" s="253"/>
      <c r="BC13" s="253"/>
      <c r="BD13" s="253"/>
      <c r="BE13" s="253"/>
      <c r="BF13" s="253"/>
      <c r="BG13" s="253"/>
      <c r="BH13" s="253"/>
      <c r="BI13" s="253"/>
      <c r="BJ13" s="344"/>
      <c r="BK13" s="344"/>
      <c r="BL13" s="253"/>
    </row>
    <row r="14" spans="1:65" ht="3" customHeight="1">
      <c r="A14" s="2013"/>
      <c r="B14" s="1055"/>
      <c r="C14" s="11551"/>
      <c r="D14" s="11551"/>
      <c r="E14" s="11551"/>
      <c r="F14" s="11551"/>
      <c r="G14" s="11551"/>
      <c r="H14" s="11551"/>
      <c r="I14" s="11551"/>
      <c r="J14" s="11551"/>
      <c r="K14" s="11551"/>
      <c r="L14" s="11551"/>
      <c r="M14" s="11551"/>
      <c r="N14" s="11551"/>
      <c r="O14" s="11551"/>
      <c r="P14" s="11551"/>
      <c r="Q14" s="11551"/>
      <c r="R14" s="11551"/>
      <c r="S14" s="11551"/>
      <c r="T14" s="11551"/>
      <c r="U14" s="11551"/>
      <c r="V14" s="11551"/>
      <c r="W14" s="11551"/>
      <c r="X14" s="11551"/>
      <c r="Y14" s="11551"/>
      <c r="Z14" s="11551"/>
      <c r="AA14" s="11553"/>
      <c r="AB14" s="11553"/>
      <c r="AC14" s="11553"/>
      <c r="AD14" s="11553"/>
      <c r="AE14" s="11553"/>
      <c r="AF14" s="11553"/>
      <c r="AG14" s="11553"/>
      <c r="AH14" s="1055"/>
      <c r="AI14" s="413"/>
      <c r="AJ14" s="413"/>
      <c r="AK14" s="2013"/>
      <c r="AL14" s="253"/>
      <c r="AM14" s="253"/>
      <c r="AN14" s="253"/>
      <c r="AO14" s="253"/>
      <c r="AP14" s="253"/>
      <c r="AQ14" s="253"/>
      <c r="AR14" s="253"/>
      <c r="AS14" s="253"/>
      <c r="AT14" s="253"/>
      <c r="AU14" s="253"/>
      <c r="AV14" s="253"/>
      <c r="AW14" s="253"/>
      <c r="AX14" s="253"/>
      <c r="AY14" s="253"/>
      <c r="AZ14" s="253"/>
      <c r="BA14" s="253"/>
      <c r="BB14" s="253"/>
      <c r="BC14" s="253"/>
      <c r="BD14" s="253"/>
      <c r="BE14" s="253"/>
      <c r="BF14" s="253"/>
      <c r="BG14" s="253"/>
      <c r="BH14" s="253"/>
      <c r="BI14" s="253"/>
      <c r="BJ14" s="344"/>
      <c r="BK14" s="344"/>
      <c r="BL14" s="253"/>
    </row>
    <row r="15" spans="1:65" ht="18" customHeight="1">
      <c r="A15" s="2013"/>
      <c r="B15" s="7934" t="s">
        <v>780</v>
      </c>
      <c r="C15" s="7934"/>
      <c r="D15" s="2085"/>
      <c r="E15" s="3376" t="s">
        <v>4611</v>
      </c>
      <c r="F15" s="773"/>
      <c r="G15" s="773"/>
      <c r="H15" s="773"/>
      <c r="I15" s="773"/>
      <c r="J15" s="773"/>
      <c r="K15" s="773"/>
      <c r="L15" s="773"/>
      <c r="M15" s="773"/>
      <c r="N15" s="773"/>
      <c r="O15" s="773"/>
      <c r="P15" s="773"/>
      <c r="Q15" s="773"/>
      <c r="R15" s="773"/>
      <c r="S15" s="773"/>
      <c r="T15" s="773"/>
      <c r="U15" s="773"/>
      <c r="V15" s="773"/>
      <c r="W15" s="773"/>
      <c r="X15" s="773"/>
      <c r="Y15" s="773"/>
      <c r="Z15" s="773"/>
      <c r="AA15" s="773"/>
      <c r="AB15" s="773"/>
      <c r="AC15" s="773"/>
      <c r="AD15" s="773"/>
      <c r="AE15" s="773"/>
      <c r="AF15" s="773"/>
      <c r="AG15" s="773"/>
      <c r="AH15" s="773"/>
      <c r="AI15" s="3820"/>
      <c r="AJ15" s="3821" t="str">
        <f>IF($AM$13,"Checkbox is only for 'Married Filing Separately' filers. See instructions.","")</f>
        <v/>
      </c>
      <c r="AK15" s="2013"/>
      <c r="AL15" s="712"/>
      <c r="AM15" s="3822" t="str">
        <f>IF(AM13,"Check this box to remove message.","")</f>
        <v/>
      </c>
      <c r="AN15" s="3823"/>
      <c r="AO15" s="253"/>
      <c r="AP15" s="253"/>
      <c r="AQ15" s="253"/>
      <c r="AR15" s="253"/>
      <c r="AS15" s="253"/>
      <c r="AT15" s="253"/>
      <c r="AU15" s="253"/>
      <c r="AV15" s="253"/>
      <c r="AW15" s="253"/>
      <c r="AX15" s="253"/>
      <c r="AY15" s="253"/>
      <c r="AZ15" s="253"/>
      <c r="BA15" s="253"/>
      <c r="BB15" s="253"/>
      <c r="BC15" s="253"/>
      <c r="BD15" s="253"/>
      <c r="BE15" s="253"/>
      <c r="BF15" s="253"/>
      <c r="BG15" s="253"/>
      <c r="BH15" s="253"/>
      <c r="BI15" s="253"/>
      <c r="BJ15" s="344"/>
      <c r="BK15" s="344"/>
      <c r="BL15" s="253"/>
    </row>
    <row r="16" spans="1:65" ht="7.5" customHeight="1" thickBot="1">
      <c r="A16" s="2013"/>
      <c r="B16" s="253"/>
      <c r="C16" s="253"/>
      <c r="D16" s="253"/>
      <c r="E16" s="253"/>
      <c r="F16" s="253"/>
      <c r="G16" s="253"/>
      <c r="H16" s="253"/>
      <c r="I16" s="253"/>
      <c r="J16" s="253"/>
      <c r="K16" s="253"/>
      <c r="L16" s="253"/>
      <c r="M16" s="253"/>
      <c r="N16" s="253"/>
      <c r="O16" s="253"/>
      <c r="P16" s="253"/>
      <c r="Q16" s="253"/>
      <c r="R16" s="253"/>
      <c r="S16" s="253"/>
      <c r="T16" s="253"/>
      <c r="U16" s="253"/>
      <c r="V16" s="253"/>
      <c r="W16" s="253"/>
      <c r="X16" s="253"/>
      <c r="Y16" s="253"/>
      <c r="Z16" s="253"/>
      <c r="AA16" s="253"/>
      <c r="AB16" s="253"/>
      <c r="AC16" s="253"/>
      <c r="AD16" s="2890"/>
      <c r="AE16" s="253"/>
      <c r="AF16" s="253"/>
      <c r="AG16" s="253"/>
      <c r="AH16" s="253"/>
      <c r="AI16" s="253"/>
      <c r="AJ16" s="253"/>
      <c r="AK16" s="2013"/>
      <c r="AL16" s="253"/>
      <c r="AM16" s="185"/>
      <c r="AN16" s="253"/>
      <c r="AO16" s="253"/>
      <c r="AP16" s="253"/>
      <c r="AQ16" s="253"/>
      <c r="AR16" s="253"/>
      <c r="AS16" s="404"/>
      <c r="AT16" s="404"/>
      <c r="AU16" s="404"/>
      <c r="AV16" s="404"/>
      <c r="AW16" s="404"/>
      <c r="AX16" s="404"/>
      <c r="AY16" s="404"/>
      <c r="AZ16" s="253"/>
      <c r="BA16" s="344"/>
      <c r="BB16" s="344"/>
      <c r="BC16" s="3824"/>
      <c r="BD16" s="3824"/>
      <c r="BE16" s="3824"/>
      <c r="BF16" s="344"/>
      <c r="BG16" s="344"/>
      <c r="BH16" s="344"/>
      <c r="BI16" s="344"/>
      <c r="BJ16" s="344"/>
      <c r="BK16" s="344"/>
      <c r="BL16" s="253"/>
    </row>
    <row r="17" spans="1:64" ht="15" customHeight="1" thickBot="1">
      <c r="A17" s="2013"/>
      <c r="B17" s="253"/>
      <c r="C17" s="2022" t="s">
        <v>228</v>
      </c>
      <c r="D17" s="511" t="s">
        <v>4612</v>
      </c>
      <c r="E17" s="253"/>
      <c r="F17" s="253"/>
      <c r="G17" s="253"/>
      <c r="H17" s="253"/>
      <c r="I17" s="253"/>
      <c r="J17" s="253"/>
      <c r="K17" s="253"/>
      <c r="L17" s="253"/>
      <c r="M17" s="253"/>
      <c r="N17" s="253"/>
      <c r="O17" s="253"/>
      <c r="P17" s="253"/>
      <c r="Q17" s="253"/>
      <c r="R17" s="253"/>
      <c r="S17" s="253"/>
      <c r="T17" s="253"/>
      <c r="U17" s="253"/>
      <c r="V17" s="253"/>
      <c r="W17" s="253"/>
      <c r="X17" s="253"/>
      <c r="Y17" s="253"/>
      <c r="Z17" s="253"/>
      <c r="AA17" s="253"/>
      <c r="AB17" s="253"/>
      <c r="AC17" s="253"/>
      <c r="AD17" s="2895">
        <v>1</v>
      </c>
      <c r="AE17" s="8199">
        <f>IF(AM17&lt;&gt;"",ROUND(AM17,0),IF(AND(File_Marr_Sep&lt;&gt;"",AI13=""),"",TaxFamilySize))</f>
        <v>0</v>
      </c>
      <c r="AF17" s="11583"/>
      <c r="AG17" s="11583"/>
      <c r="AH17" s="11583"/>
      <c r="AI17" s="11583"/>
      <c r="AJ17" s="11583"/>
      <c r="AK17" s="2013"/>
      <c r="AL17" s="817">
        <v>1</v>
      </c>
      <c r="AM17" s="1109"/>
      <c r="AN17" s="253"/>
      <c r="AO17" s="9588" t="s">
        <v>4613</v>
      </c>
      <c r="AP17" s="8287"/>
      <c r="AQ17" s="8287"/>
      <c r="AR17" s="8287"/>
      <c r="AS17" s="8287"/>
      <c r="AT17" s="8287"/>
      <c r="AU17" s="8287"/>
      <c r="AV17" s="8287"/>
      <c r="AW17" s="8287"/>
      <c r="AX17" s="8287"/>
      <c r="AY17" s="3825"/>
      <c r="AZ17" s="253"/>
      <c r="BA17" s="9588" t="s">
        <v>5428</v>
      </c>
      <c r="BB17" s="9589"/>
      <c r="BC17" s="9589"/>
      <c r="BD17" s="9589"/>
      <c r="BE17" s="9589"/>
      <c r="BF17" s="9589"/>
      <c r="BG17" s="9589"/>
      <c r="BH17" s="9589"/>
      <c r="BI17" s="9589"/>
      <c r="BJ17" s="9589"/>
      <c r="BK17" s="9590"/>
      <c r="BL17" s="253"/>
    </row>
    <row r="18" spans="1:64" ht="6.75" customHeight="1" thickBot="1">
      <c r="A18" s="2013"/>
      <c r="B18" s="253"/>
      <c r="C18" s="253"/>
      <c r="D18" s="511"/>
      <c r="E18" s="253"/>
      <c r="F18" s="253"/>
      <c r="G18" s="253"/>
      <c r="H18" s="253"/>
      <c r="I18" s="253"/>
      <c r="J18" s="253"/>
      <c r="K18" s="253"/>
      <c r="L18" s="253"/>
      <c r="M18" s="253"/>
      <c r="N18" s="253"/>
      <c r="O18" s="253"/>
      <c r="P18" s="253"/>
      <c r="Q18" s="253"/>
      <c r="R18" s="253"/>
      <c r="S18" s="253"/>
      <c r="T18" s="253"/>
      <c r="U18" s="253"/>
      <c r="V18" s="253"/>
      <c r="W18" s="253"/>
      <c r="X18" s="253"/>
      <c r="Y18" s="253"/>
      <c r="Z18" s="253"/>
      <c r="AA18" s="253"/>
      <c r="AB18" s="253"/>
      <c r="AC18" s="253"/>
      <c r="AD18" s="2924"/>
      <c r="AE18" s="723"/>
      <c r="AF18" s="723"/>
      <c r="AG18" s="723"/>
      <c r="AH18" s="723"/>
      <c r="AI18" s="723"/>
      <c r="AJ18" s="723"/>
      <c r="AK18" s="2013"/>
      <c r="AL18" s="253"/>
      <c r="AM18" s="253"/>
      <c r="AN18" s="253"/>
      <c r="AO18" s="11599"/>
      <c r="AP18" s="7925"/>
      <c r="AQ18" s="7925"/>
      <c r="AR18" s="7925"/>
      <c r="AS18" s="7925"/>
      <c r="AT18" s="7925"/>
      <c r="AU18" s="7925"/>
      <c r="AV18" s="7925"/>
      <c r="AW18" s="7925"/>
      <c r="AX18" s="7925"/>
      <c r="AY18" s="3826"/>
      <c r="AZ18" s="253"/>
      <c r="BA18" s="9591"/>
      <c r="BB18" s="7062"/>
      <c r="BC18" s="7062"/>
      <c r="BD18" s="7062"/>
      <c r="BE18" s="7062"/>
      <c r="BF18" s="7062"/>
      <c r="BG18" s="7062"/>
      <c r="BH18" s="7062"/>
      <c r="BI18" s="7062"/>
      <c r="BJ18" s="7062"/>
      <c r="BK18" s="9592"/>
      <c r="BL18" s="253"/>
    </row>
    <row r="19" spans="1:64" ht="15.75" thickBot="1">
      <c r="A19" s="2013"/>
      <c r="B19" s="253"/>
      <c r="C19" s="2022" t="s">
        <v>337</v>
      </c>
      <c r="D19" s="511" t="s">
        <v>4614</v>
      </c>
      <c r="E19" s="253"/>
      <c r="F19" s="253"/>
      <c r="G19" s="253"/>
      <c r="H19" s="253"/>
      <c r="I19" s="253"/>
      <c r="J19" s="253"/>
      <c r="K19" s="253"/>
      <c r="L19" s="253"/>
      <c r="M19" s="253"/>
      <c r="N19" s="253"/>
      <c r="O19" s="253"/>
      <c r="P19" s="253"/>
      <c r="Q19" s="253"/>
      <c r="R19" s="253"/>
      <c r="S19" s="2022"/>
      <c r="T19" s="253"/>
      <c r="U19" s="253"/>
      <c r="V19" s="8994" t="s">
        <v>337</v>
      </c>
      <c r="W19" s="9183"/>
      <c r="X19" s="8649">
        <f>IF(AM19&lt;&gt;"",ROUND(AM19,0),AV45)</f>
        <v>0</v>
      </c>
      <c r="Y19" s="11587"/>
      <c r="Z19" s="11587"/>
      <c r="AA19" s="11587"/>
      <c r="AB19" s="11587"/>
      <c r="AC19" s="11587"/>
      <c r="AD19" s="2924"/>
      <c r="AE19" s="723"/>
      <c r="AF19" s="723"/>
      <c r="AG19" s="723"/>
      <c r="AH19" s="723"/>
      <c r="AI19" s="723"/>
      <c r="AJ19" s="723"/>
      <c r="AK19" s="2013"/>
      <c r="AL19" s="817" t="s">
        <v>337</v>
      </c>
      <c r="AM19" s="392"/>
      <c r="AN19" s="253"/>
      <c r="AO19" s="11599"/>
      <c r="AP19" s="7925"/>
      <c r="AQ19" s="7925"/>
      <c r="AR19" s="7925"/>
      <c r="AS19" s="7925"/>
      <c r="AT19" s="7925"/>
      <c r="AU19" s="7925"/>
      <c r="AV19" s="7925"/>
      <c r="AW19" s="7925"/>
      <c r="AX19" s="7925"/>
      <c r="AY19" s="3826"/>
      <c r="AZ19" s="253"/>
      <c r="BA19" s="9591"/>
      <c r="BB19" s="7062"/>
      <c r="BC19" s="7062"/>
      <c r="BD19" s="7062"/>
      <c r="BE19" s="7062"/>
      <c r="BF19" s="7062"/>
      <c r="BG19" s="7062"/>
      <c r="BH19" s="7062"/>
      <c r="BI19" s="7062"/>
      <c r="BJ19" s="7062"/>
      <c r="BK19" s="9592"/>
      <c r="BL19" s="253"/>
    </row>
    <row r="20" spans="1:64" ht="15.75" thickBot="1">
      <c r="A20" s="2013"/>
      <c r="B20" s="253"/>
      <c r="C20" s="3827" t="s">
        <v>592</v>
      </c>
      <c r="D20" s="511" t="s">
        <v>4615</v>
      </c>
      <c r="E20" s="253"/>
      <c r="F20" s="253"/>
      <c r="G20" s="253"/>
      <c r="H20" s="253"/>
      <c r="I20" s="253"/>
      <c r="J20" s="253"/>
      <c r="K20" s="1401"/>
      <c r="L20" s="3828"/>
      <c r="M20" s="3829"/>
      <c r="N20" s="1401"/>
      <c r="O20" s="1401"/>
      <c r="P20" s="1401"/>
      <c r="Q20" s="1401"/>
      <c r="R20" s="1401"/>
      <c r="S20" s="253"/>
      <c r="T20" s="253"/>
      <c r="U20" s="253"/>
      <c r="V20" s="8552" t="s">
        <v>339</v>
      </c>
      <c r="W20" s="8554"/>
      <c r="X20" s="11569">
        <f>IF(AM20&lt;&gt;"",ROUND(AM20,0),BH46)</f>
        <v>0</v>
      </c>
      <c r="Y20" s="11570"/>
      <c r="Z20" s="11570"/>
      <c r="AA20" s="11570"/>
      <c r="AB20" s="11570"/>
      <c r="AC20" s="11571"/>
      <c r="AD20" s="2924"/>
      <c r="AE20" s="723"/>
      <c r="AF20" s="723"/>
      <c r="AG20" s="723"/>
      <c r="AH20" s="723"/>
      <c r="AI20" s="723"/>
      <c r="AJ20" s="723"/>
      <c r="AK20" s="2013"/>
      <c r="AL20" s="817" t="s">
        <v>339</v>
      </c>
      <c r="AM20" s="392"/>
      <c r="AN20" s="253"/>
      <c r="AO20" s="11600"/>
      <c r="AP20" s="8289"/>
      <c r="AQ20" s="8289"/>
      <c r="AR20" s="8289"/>
      <c r="AS20" s="8289"/>
      <c r="AT20" s="8289"/>
      <c r="AU20" s="8289"/>
      <c r="AV20" s="8289"/>
      <c r="AW20" s="8289"/>
      <c r="AX20" s="8289"/>
      <c r="AY20" s="3826"/>
      <c r="AZ20" s="253"/>
      <c r="BA20" s="9593"/>
      <c r="BB20" s="9594"/>
      <c r="BC20" s="9594"/>
      <c r="BD20" s="9594"/>
      <c r="BE20" s="9594"/>
      <c r="BF20" s="9594"/>
      <c r="BG20" s="9594"/>
      <c r="BH20" s="9594"/>
      <c r="BI20" s="9594"/>
      <c r="BJ20" s="9594"/>
      <c r="BK20" s="9595"/>
      <c r="BL20" s="253"/>
    </row>
    <row r="21" spans="1:64" ht="7.5" customHeight="1" thickBot="1">
      <c r="A21" s="2013"/>
      <c r="B21" s="253"/>
      <c r="C21" s="253"/>
      <c r="D21" s="253"/>
      <c r="E21" s="253"/>
      <c r="F21" s="253"/>
      <c r="G21" s="253"/>
      <c r="H21" s="253"/>
      <c r="I21" s="253"/>
      <c r="J21" s="253"/>
      <c r="K21" s="253"/>
      <c r="L21" s="253"/>
      <c r="M21" s="253"/>
      <c r="N21" s="253"/>
      <c r="O21" s="253"/>
      <c r="P21" s="253"/>
      <c r="Q21" s="253"/>
      <c r="R21" s="253"/>
      <c r="S21" s="253"/>
      <c r="T21" s="253"/>
      <c r="U21" s="253"/>
      <c r="V21" s="253"/>
      <c r="W21" s="253"/>
      <c r="X21" s="253"/>
      <c r="Y21" s="253"/>
      <c r="Z21" s="253"/>
      <c r="AA21" s="253"/>
      <c r="AB21" s="253"/>
      <c r="AC21" s="253"/>
      <c r="AD21" s="2890"/>
      <c r="AE21" s="406"/>
      <c r="AF21" s="406"/>
      <c r="AG21" s="406"/>
      <c r="AH21" s="406"/>
      <c r="AI21" s="406"/>
      <c r="AJ21" s="406"/>
      <c r="AK21" s="2013"/>
      <c r="AL21" s="253"/>
      <c r="AM21" s="253"/>
      <c r="AN21" s="253"/>
      <c r="AO21" s="405"/>
      <c r="AP21" s="406"/>
      <c r="AQ21" s="406"/>
      <c r="AR21" s="406"/>
      <c r="AS21" s="406"/>
      <c r="AT21" s="406"/>
      <c r="AU21" s="406"/>
      <c r="AV21" s="406"/>
      <c r="AW21" s="406"/>
      <c r="AX21" s="406"/>
      <c r="AY21" s="407"/>
      <c r="AZ21" s="253"/>
      <c r="BA21" s="405"/>
      <c r="BB21" s="406"/>
      <c r="BC21" s="406"/>
      <c r="BD21" s="406"/>
      <c r="BE21" s="406"/>
      <c r="BF21" s="406"/>
      <c r="BG21" s="406"/>
      <c r="BH21" s="406"/>
      <c r="BI21" s="406"/>
      <c r="BJ21" s="406"/>
      <c r="BK21" s="407"/>
      <c r="BL21" s="253"/>
    </row>
    <row r="22" spans="1:64" ht="16.5" thickBot="1">
      <c r="A22" s="2013"/>
      <c r="B22" s="3827"/>
      <c r="C22" s="2022" t="s">
        <v>232</v>
      </c>
      <c r="D22" s="511" t="s">
        <v>4616</v>
      </c>
      <c r="E22" s="253"/>
      <c r="F22" s="253"/>
      <c r="G22" s="253"/>
      <c r="H22" s="253"/>
      <c r="I22" s="253"/>
      <c r="J22" s="253"/>
      <c r="K22" s="253"/>
      <c r="L22" s="253"/>
      <c r="M22" s="253"/>
      <c r="N22" s="253"/>
      <c r="O22" s="253"/>
      <c r="P22" s="253"/>
      <c r="Q22" s="253"/>
      <c r="R22" s="253"/>
      <c r="S22" s="253"/>
      <c r="T22" s="253"/>
      <c r="U22" s="253"/>
      <c r="V22" s="253"/>
      <c r="W22" s="253"/>
      <c r="X22" s="253"/>
      <c r="Y22" s="253"/>
      <c r="Z22" s="253"/>
      <c r="AA22" s="253"/>
      <c r="AB22" s="253"/>
      <c r="AC22" s="1401" t="s">
        <v>608</v>
      </c>
      <c r="AD22" s="2895">
        <v>3</v>
      </c>
      <c r="AE22" s="8199">
        <f>IF(AM22&lt;&gt;"",ROUND(AM22,0),SUM(X19,X20))</f>
        <v>0</v>
      </c>
      <c r="AF22" s="11542"/>
      <c r="AG22" s="11542"/>
      <c r="AH22" s="11542"/>
      <c r="AI22" s="11542"/>
      <c r="AJ22" s="11542"/>
      <c r="AK22" s="2013"/>
      <c r="AL22" s="817">
        <v>3</v>
      </c>
      <c r="AM22" s="392"/>
      <c r="AN22" s="253"/>
      <c r="AO22" s="408"/>
      <c r="AP22" s="1323" t="s">
        <v>4617</v>
      </c>
      <c r="AQ22" s="253"/>
      <c r="AR22" s="253"/>
      <c r="AS22" s="253"/>
      <c r="AT22" s="253"/>
      <c r="AU22" s="253"/>
      <c r="AV22" s="253"/>
      <c r="AW22" s="253"/>
      <c r="AX22" s="253"/>
      <c r="AY22" s="409"/>
      <c r="AZ22" s="253"/>
      <c r="BA22" s="408"/>
      <c r="BB22" s="1323" t="s">
        <v>4618</v>
      </c>
      <c r="BC22" s="253"/>
      <c r="BD22" s="253"/>
      <c r="BE22" s="253"/>
      <c r="BF22" s="253"/>
      <c r="BG22" s="253"/>
      <c r="BH22" s="253"/>
      <c r="BI22" s="253"/>
      <c r="BJ22" s="253"/>
      <c r="BK22" s="409"/>
      <c r="BL22" s="253"/>
    </row>
    <row r="23" spans="1:64" ht="6" customHeight="1">
      <c r="A23" s="2013"/>
      <c r="B23" s="253"/>
      <c r="C23" s="253"/>
      <c r="D23" s="253"/>
      <c r="E23" s="253"/>
      <c r="F23" s="253"/>
      <c r="G23" s="253"/>
      <c r="H23" s="253"/>
      <c r="I23" s="253"/>
      <c r="J23" s="253"/>
      <c r="K23" s="253"/>
      <c r="L23" s="253"/>
      <c r="M23" s="253"/>
      <c r="N23" s="253"/>
      <c r="O23" s="253"/>
      <c r="P23" s="253"/>
      <c r="Q23" s="253"/>
      <c r="R23" s="253"/>
      <c r="S23" s="253"/>
      <c r="T23" s="253"/>
      <c r="U23" s="253"/>
      <c r="V23" s="253"/>
      <c r="W23" s="253"/>
      <c r="X23" s="253"/>
      <c r="Y23" s="253"/>
      <c r="Z23" s="253"/>
      <c r="AA23" s="253"/>
      <c r="AB23" s="253"/>
      <c r="AC23" s="253"/>
      <c r="AD23" s="726"/>
      <c r="AE23" s="253"/>
      <c r="AF23" s="253"/>
      <c r="AG23" s="253"/>
      <c r="AH23" s="253"/>
      <c r="AI23" s="253"/>
      <c r="AJ23" s="253"/>
      <c r="AK23" s="2013"/>
      <c r="AL23" s="253"/>
      <c r="AM23" s="253"/>
      <c r="AN23" s="253"/>
      <c r="AO23" s="408"/>
      <c r="AP23" s="253"/>
      <c r="AQ23" s="253"/>
      <c r="AR23" s="253"/>
      <c r="AS23" s="253"/>
      <c r="AT23" s="253"/>
      <c r="AU23" s="253"/>
      <c r="AV23" s="253"/>
      <c r="AW23" s="253"/>
      <c r="AX23" s="253"/>
      <c r="AY23" s="409"/>
      <c r="AZ23" s="253"/>
      <c r="BA23" s="408"/>
      <c r="BB23" s="253"/>
      <c r="BC23" s="253"/>
      <c r="BD23" s="253"/>
      <c r="BE23" s="253"/>
      <c r="BF23" s="253"/>
      <c r="BG23" s="253"/>
      <c r="BH23" s="253"/>
      <c r="BI23" s="253"/>
      <c r="BJ23" s="253"/>
      <c r="BK23" s="409"/>
      <c r="BL23" s="253"/>
    </row>
    <row r="24" spans="1:64" ht="15.75" thickBot="1">
      <c r="A24" s="2013"/>
      <c r="B24" s="253"/>
      <c r="C24" s="2022" t="s">
        <v>235</v>
      </c>
      <c r="D24" s="344" t="s">
        <v>5025</v>
      </c>
      <c r="E24" s="253"/>
      <c r="F24" s="253"/>
      <c r="G24" s="253"/>
      <c r="H24" s="253"/>
      <c r="I24" s="253"/>
      <c r="J24" s="253"/>
      <c r="K24" s="253"/>
      <c r="L24" s="253"/>
      <c r="M24" s="253"/>
      <c r="N24" s="253"/>
      <c r="O24" s="253"/>
      <c r="P24" s="253"/>
      <c r="Q24" s="253"/>
      <c r="R24" s="253"/>
      <c r="S24" s="253"/>
      <c r="T24" s="253"/>
      <c r="U24" s="253"/>
      <c r="V24" s="253"/>
      <c r="W24" s="253"/>
      <c r="X24" s="253"/>
      <c r="Y24" s="253"/>
      <c r="Z24" s="253"/>
      <c r="AA24" s="253"/>
      <c r="AB24" s="253"/>
      <c r="AC24" s="253"/>
      <c r="AD24" s="726"/>
      <c r="AE24" s="253"/>
      <c r="AF24" s="253"/>
      <c r="AG24" s="253"/>
      <c r="AH24" s="253"/>
      <c r="AI24" s="253"/>
      <c r="AJ24" s="253"/>
      <c r="AK24" s="2013"/>
      <c r="AL24" s="253"/>
      <c r="AM24" s="1039"/>
      <c r="AN24" s="3830"/>
      <c r="AO24" s="3831" t="s">
        <v>157</v>
      </c>
      <c r="AP24" s="504" t="s">
        <v>4619</v>
      </c>
      <c r="AQ24" s="253"/>
      <c r="AR24" s="253"/>
      <c r="AS24" s="253"/>
      <c r="AT24" s="253"/>
      <c r="AU24" s="253"/>
      <c r="AV24" s="253"/>
      <c r="AW24" s="253"/>
      <c r="AX24" s="730" t="s">
        <v>771</v>
      </c>
      <c r="AY24" s="409"/>
      <c r="AZ24" s="253"/>
      <c r="BA24" s="3831" t="s">
        <v>157</v>
      </c>
      <c r="BB24" s="504" t="s">
        <v>4620</v>
      </c>
      <c r="BC24" s="253"/>
      <c r="BD24" s="253"/>
      <c r="BE24" s="253"/>
      <c r="BF24" s="253"/>
      <c r="BG24" s="345"/>
      <c r="BH24" s="253"/>
      <c r="BI24" s="253"/>
      <c r="BJ24" s="253"/>
      <c r="BK24" s="409"/>
      <c r="BL24" s="253"/>
    </row>
    <row r="25" spans="1:64" ht="14.25" customHeight="1" thickBot="1">
      <c r="A25" s="2013"/>
      <c r="B25" s="253"/>
      <c r="C25" s="253"/>
      <c r="D25" s="344" t="s">
        <v>5024</v>
      </c>
      <c r="E25" s="253"/>
      <c r="F25" s="253"/>
      <c r="G25" s="253"/>
      <c r="H25" s="253"/>
      <c r="I25" s="253"/>
      <c r="J25" s="253"/>
      <c r="K25" s="253"/>
      <c r="L25" s="253"/>
      <c r="M25" s="253"/>
      <c r="N25" s="1401" t="s">
        <v>588</v>
      </c>
      <c r="O25" s="1983" t="str">
        <f>IF(AND($AL$2=1,M2&lt;&gt;""),"X","")</f>
        <v/>
      </c>
      <c r="P25" s="344" t="s">
        <v>538</v>
      </c>
      <c r="Q25" s="344"/>
      <c r="R25" s="1401" t="s">
        <v>592</v>
      </c>
      <c r="S25" s="1983" t="str">
        <f>IF(AND($AL$2=1,W2&lt;&gt;""),"X","")</f>
        <v/>
      </c>
      <c r="T25" s="344" t="s">
        <v>539</v>
      </c>
      <c r="U25" s="253"/>
      <c r="V25" s="1401" t="s">
        <v>595</v>
      </c>
      <c r="W25" s="1983" t="str">
        <f>IF(AND($AL$2=1,C2&lt;&gt;""),"X","")</f>
        <v>X</v>
      </c>
      <c r="X25" s="253" t="s">
        <v>4621</v>
      </c>
      <c r="Y25" s="253"/>
      <c r="Z25" s="253"/>
      <c r="AA25" s="253"/>
      <c r="AB25" s="253"/>
      <c r="AC25" s="253"/>
      <c r="AD25" s="2895">
        <v>4</v>
      </c>
      <c r="AE25" s="8199">
        <f>IF(AM25&lt;&gt;"",ROUND(AM25,0),IF(AND(File_Marr_Sep&lt;&gt;"",AI13=""),"",IF(W25&lt;&gt;"",AM32,IF(O25&lt;&gt;"",AM33,IF(S25&lt;&gt;"",AM35,"")))))</f>
        <v>0</v>
      </c>
      <c r="AF25" s="11542"/>
      <c r="AG25" s="11542"/>
      <c r="AH25" s="11542"/>
      <c r="AI25" s="11542"/>
      <c r="AJ25" s="11542"/>
      <c r="AK25" s="2013"/>
      <c r="AL25" s="817">
        <v>4</v>
      </c>
      <c r="AM25" s="392"/>
      <c r="AN25" s="3830"/>
      <c r="AO25" s="408"/>
      <c r="AP25" s="504" t="s">
        <v>6091</v>
      </c>
      <c r="AQ25" s="253"/>
      <c r="AR25" s="253"/>
      <c r="AS25" s="253"/>
      <c r="AT25" s="253"/>
      <c r="AU25" s="345" t="s">
        <v>157</v>
      </c>
      <c r="AV25" s="3832">
        <f>IF(AX25&lt;&gt;"",ROUND(AX25,0),Adj_Gross_Inc)</f>
        <v>0</v>
      </c>
      <c r="AW25" s="253"/>
      <c r="AX25" s="1317"/>
      <c r="AY25" s="409"/>
      <c r="AZ25" s="253"/>
      <c r="BA25" s="408"/>
      <c r="BB25" s="504" t="s">
        <v>6093</v>
      </c>
      <c r="BC25" s="253"/>
      <c r="BD25" s="253"/>
      <c r="BE25" s="253"/>
      <c r="BF25" s="253"/>
      <c r="BG25" s="345" t="s">
        <v>157</v>
      </c>
      <c r="BH25" s="387"/>
      <c r="BI25" s="253"/>
      <c r="BJ25" s="253"/>
      <c r="BK25" s="409"/>
      <c r="BL25" s="253"/>
    </row>
    <row r="26" spans="1:64" ht="15.75" customHeight="1" thickBot="1">
      <c r="A26" s="2013"/>
      <c r="B26" s="253"/>
      <c r="C26" s="2022" t="s">
        <v>237</v>
      </c>
      <c r="D26" s="344" t="s">
        <v>4622</v>
      </c>
      <c r="E26" s="253"/>
      <c r="F26" s="253"/>
      <c r="G26" s="253"/>
      <c r="H26" s="253"/>
      <c r="I26" s="253"/>
      <c r="J26" s="253"/>
      <c r="K26" s="253"/>
      <c r="L26" s="253"/>
      <c r="M26" s="253"/>
      <c r="N26" s="253"/>
      <c r="O26" s="253"/>
      <c r="P26" s="253"/>
      <c r="Q26" s="253"/>
      <c r="R26" s="253"/>
      <c r="S26" s="253"/>
      <c r="T26" s="253"/>
      <c r="U26" s="253"/>
      <c r="V26" s="253"/>
      <c r="W26" s="253"/>
      <c r="X26" s="253"/>
      <c r="Y26" s="253"/>
      <c r="Z26" s="253"/>
      <c r="AA26" s="253"/>
      <c r="AB26" s="253"/>
      <c r="AC26" s="1401" t="s">
        <v>816</v>
      </c>
      <c r="AD26" s="2895">
        <v>5</v>
      </c>
      <c r="AE26" s="11567" t="str">
        <f>IF(AM26&lt;&gt;"",ROUND(AM26,0),IF(OR(AE25="",AE25=0),"",AV67))</f>
        <v/>
      </c>
      <c r="AF26" s="8267"/>
      <c r="AG26" s="8267"/>
      <c r="AH26" s="8267"/>
      <c r="AI26" s="8267"/>
      <c r="AJ26" s="3833" t="str">
        <f>"%"</f>
        <v>%</v>
      </c>
      <c r="AK26" s="2013"/>
      <c r="AL26" s="817">
        <v>5</v>
      </c>
      <c r="AM26" s="392"/>
      <c r="AN26" s="420"/>
      <c r="AO26" s="408"/>
      <c r="AP26" s="504"/>
      <c r="AQ26" s="253"/>
      <c r="AR26" s="253"/>
      <c r="AS26" s="253"/>
      <c r="AT26" s="253"/>
      <c r="AU26" s="253"/>
      <c r="AV26" s="253"/>
      <c r="AW26" s="253"/>
      <c r="AX26" s="253"/>
      <c r="AY26" s="409"/>
      <c r="AZ26" s="253"/>
      <c r="BA26" s="408"/>
      <c r="BB26" s="504"/>
      <c r="BC26" s="253"/>
      <c r="BD26" s="253"/>
      <c r="BE26" s="253"/>
      <c r="BF26" s="253"/>
      <c r="BG26" s="253"/>
      <c r="BH26" s="253"/>
      <c r="BI26" s="253"/>
      <c r="BJ26" s="253"/>
      <c r="BK26" s="409"/>
      <c r="BL26" s="253"/>
    </row>
    <row r="27" spans="1:64" ht="15.75" customHeight="1">
      <c r="A27" s="2013"/>
      <c r="B27" s="253"/>
      <c r="C27" s="2022" t="s">
        <v>239</v>
      </c>
      <c r="D27" s="344" t="s">
        <v>704</v>
      </c>
      <c r="E27" s="253"/>
      <c r="F27" s="253"/>
      <c r="G27" s="253"/>
      <c r="H27" s="253"/>
      <c r="I27" s="253"/>
      <c r="J27" s="253"/>
      <c r="K27" s="253"/>
      <c r="L27" s="253"/>
      <c r="M27" s="253"/>
      <c r="N27" s="253"/>
      <c r="O27" s="253"/>
      <c r="P27" s="253"/>
      <c r="Q27" s="253"/>
      <c r="R27" s="253"/>
      <c r="S27" s="253"/>
      <c r="T27" s="253"/>
      <c r="U27" s="253"/>
      <c r="V27" s="253"/>
      <c r="W27" s="253"/>
      <c r="X27" s="253"/>
      <c r="Y27" s="253"/>
      <c r="Z27" s="253"/>
      <c r="AA27" s="253"/>
      <c r="AB27" s="253"/>
      <c r="AC27" s="1401" t="s">
        <v>1155</v>
      </c>
      <c r="AD27" s="3834"/>
      <c r="AE27" s="3835"/>
      <c r="AF27" s="3835"/>
      <c r="AG27" s="3835"/>
      <c r="AH27" s="3835"/>
      <c r="AI27" s="3835"/>
      <c r="AJ27" s="3835"/>
      <c r="AK27" s="2013"/>
      <c r="AL27" s="817"/>
      <c r="AM27" s="420"/>
      <c r="AN27" s="420"/>
      <c r="AO27" s="408"/>
      <c r="AP27" s="504"/>
      <c r="AQ27" s="253"/>
      <c r="AR27" s="253"/>
      <c r="AS27" s="253"/>
      <c r="AT27" s="253"/>
      <c r="AU27" s="253"/>
      <c r="AV27" s="253"/>
      <c r="AW27" s="253"/>
      <c r="AX27" s="253"/>
      <c r="AY27" s="409"/>
      <c r="AZ27" s="253"/>
      <c r="BA27" s="408"/>
      <c r="BB27" s="504"/>
      <c r="BC27" s="253"/>
      <c r="BD27" s="253"/>
      <c r="BE27" s="253"/>
      <c r="BF27" s="253"/>
      <c r="BG27" s="253"/>
      <c r="BH27" s="253"/>
      <c r="BI27" s="253"/>
      <c r="BJ27" s="253"/>
      <c r="BK27" s="409"/>
      <c r="BL27" s="253"/>
    </row>
    <row r="28" spans="1:64" ht="15" customHeight="1" thickBot="1">
      <c r="A28" s="2013"/>
      <c r="B28" s="253"/>
      <c r="C28" s="2022" t="s">
        <v>242</v>
      </c>
      <c r="D28" s="253" t="s">
        <v>4623</v>
      </c>
      <c r="E28" s="253"/>
      <c r="F28" s="253"/>
      <c r="G28" s="253"/>
      <c r="H28" s="253"/>
      <c r="I28" s="253"/>
      <c r="J28" s="253"/>
      <c r="K28" s="253"/>
      <c r="L28" s="253"/>
      <c r="M28" s="253"/>
      <c r="N28" s="253"/>
      <c r="O28" s="253"/>
      <c r="P28" s="253"/>
      <c r="Q28" s="253"/>
      <c r="R28" s="253"/>
      <c r="S28" s="253"/>
      <c r="T28" s="253"/>
      <c r="U28" s="253"/>
      <c r="V28" s="253"/>
      <c r="W28" s="253"/>
      <c r="X28" s="253"/>
      <c r="Y28" s="253"/>
      <c r="Z28" s="253"/>
      <c r="AA28" s="253"/>
      <c r="AB28" s="253"/>
      <c r="AC28" s="1401" t="s">
        <v>875</v>
      </c>
      <c r="AD28" s="2895">
        <v>7</v>
      </c>
      <c r="AE28" s="11581" t="str">
        <f>IF(AND(File_Marr_Sep&lt;&gt;"",AI13=""),"",IF(OR(AL2&lt;&gt;1,AE26=0,AE17=0),"",BB56))</f>
        <v/>
      </c>
      <c r="AF28" s="11582"/>
      <c r="AG28" s="11582"/>
      <c r="AH28" s="11582"/>
      <c r="AI28" s="11582"/>
      <c r="AJ28" s="11582"/>
      <c r="AK28" s="2013"/>
      <c r="AL28" s="3836"/>
      <c r="AM28" s="3836"/>
      <c r="AN28" s="3837"/>
      <c r="AO28" s="3831" t="s">
        <v>161</v>
      </c>
      <c r="AP28" s="504" t="s">
        <v>4624</v>
      </c>
      <c r="AQ28" s="253"/>
      <c r="AR28" s="253"/>
      <c r="AS28" s="253"/>
      <c r="AT28" s="253"/>
      <c r="AU28" s="253"/>
      <c r="AV28" s="253"/>
      <c r="AW28" s="253"/>
      <c r="AX28" s="253"/>
      <c r="AY28" s="409"/>
      <c r="AZ28" s="253"/>
      <c r="BA28" s="3831" t="s">
        <v>161</v>
      </c>
      <c r="BB28" s="504" t="s">
        <v>4625</v>
      </c>
      <c r="BC28" s="253"/>
      <c r="BD28" s="253"/>
      <c r="BE28" s="253"/>
      <c r="BF28" s="253"/>
      <c r="BG28" s="253"/>
      <c r="BH28" s="253"/>
      <c r="BI28" s="253"/>
      <c r="BJ28" s="253"/>
      <c r="BK28" s="409"/>
      <c r="BL28" s="253"/>
    </row>
    <row r="29" spans="1:64" ht="14.25" customHeight="1" thickBot="1">
      <c r="A29" s="2013"/>
      <c r="B29" s="253"/>
      <c r="C29" s="2022" t="s">
        <v>798</v>
      </c>
      <c r="D29" s="504" t="s">
        <v>4626</v>
      </c>
      <c r="E29" s="253"/>
      <c r="F29" s="253"/>
      <c r="G29" s="253"/>
      <c r="H29" s="253"/>
      <c r="I29" s="253"/>
      <c r="J29" s="253"/>
      <c r="K29" s="253"/>
      <c r="L29" s="408"/>
      <c r="M29" s="11584"/>
      <c r="N29" s="11584"/>
      <c r="O29" s="11584"/>
      <c r="P29" s="11584"/>
      <c r="Q29" s="11584"/>
      <c r="R29" s="11584"/>
      <c r="S29" s="2022" t="s">
        <v>592</v>
      </c>
      <c r="T29" s="344" t="s">
        <v>4627</v>
      </c>
      <c r="U29" s="253"/>
      <c r="V29" s="253"/>
      <c r="W29" s="253"/>
      <c r="X29" s="253"/>
      <c r="Y29" s="253"/>
      <c r="Z29" s="253"/>
      <c r="AA29" s="253"/>
      <c r="AB29" s="253"/>
      <c r="AC29" s="253"/>
      <c r="AD29" s="726"/>
      <c r="AE29" s="253"/>
      <c r="AF29" s="253"/>
      <c r="AG29" s="253"/>
      <c r="AH29" s="253"/>
      <c r="AI29" s="253"/>
      <c r="AJ29" s="253"/>
      <c r="AK29" s="2013"/>
      <c r="AL29" s="817" t="s">
        <v>798</v>
      </c>
      <c r="AM29" s="392"/>
      <c r="AN29" s="420"/>
      <c r="AO29" s="408"/>
      <c r="AP29" s="504" t="s">
        <v>4628</v>
      </c>
      <c r="AQ29" s="253"/>
      <c r="AR29" s="253"/>
      <c r="AS29" s="253"/>
      <c r="AT29" s="345" t="s">
        <v>161</v>
      </c>
      <c r="AU29" s="3838">
        <f>IF(AX29&lt;&gt;"",ROUND(AX29,0),'1040'!S61)</f>
        <v>0</v>
      </c>
      <c r="AV29" s="253"/>
      <c r="AW29" s="253"/>
      <c r="AX29" s="1317"/>
      <c r="AY29" s="409"/>
      <c r="AZ29" s="253"/>
      <c r="BA29" s="3831"/>
      <c r="BB29" s="504" t="s">
        <v>4629</v>
      </c>
      <c r="BC29" s="253"/>
      <c r="BD29" s="253"/>
      <c r="BE29" s="253"/>
      <c r="BF29" s="253"/>
      <c r="BG29" s="253"/>
      <c r="BH29" s="253"/>
      <c r="BI29" s="253"/>
      <c r="BJ29" s="253"/>
      <c r="BK29" s="409"/>
      <c r="BL29" s="253"/>
    </row>
    <row r="30" spans="1:64" ht="12.75" customHeight="1" thickBot="1">
      <c r="A30" s="2013"/>
      <c r="B30" s="380"/>
      <c r="C30" s="380"/>
      <c r="D30" s="2266" t="s">
        <v>4630</v>
      </c>
      <c r="E30" s="380"/>
      <c r="F30" s="380"/>
      <c r="G30" s="380"/>
      <c r="H30" s="380"/>
      <c r="I30" s="380"/>
      <c r="J30" s="380"/>
      <c r="K30" s="380"/>
      <c r="L30" s="3839" t="s">
        <v>798</v>
      </c>
      <c r="M30" s="8146" t="str">
        <f>IF(AND(File_Marr_Sep&lt;&gt;"",AI13=""),"",IF(AM29&lt;&gt;"",ROUND(AM29,0),IF(OR(AL2&lt;&gt;1,AE26=0,AE17=0),"",ROUND(AE22*AE28,0))))</f>
        <v/>
      </c>
      <c r="N30" s="11606"/>
      <c r="O30" s="11606"/>
      <c r="P30" s="11606"/>
      <c r="Q30" s="11606"/>
      <c r="R30" s="11606"/>
      <c r="S30" s="380"/>
      <c r="T30" s="498" t="s">
        <v>5026</v>
      </c>
      <c r="U30" s="380"/>
      <c r="V30" s="380"/>
      <c r="W30" s="380"/>
      <c r="X30" s="380"/>
      <c r="Y30" s="380"/>
      <c r="Z30" s="380"/>
      <c r="AA30" s="380"/>
      <c r="AB30" s="380"/>
      <c r="AC30" s="1401" t="s">
        <v>875</v>
      </c>
      <c r="AD30" s="3840" t="s">
        <v>803</v>
      </c>
      <c r="AE30" s="8268" t="str">
        <f>IF(AND(File_Marr_Sep&lt;&gt;"",AI13=""),"",IF(AM30&lt;&gt;"",ROUND(AM30,0),IF(OR(AL2&lt;&gt;1,AE26=0,AE17=0),"",ROUND(M30/12,0))))</f>
        <v/>
      </c>
      <c r="AF30" s="11556"/>
      <c r="AG30" s="11556"/>
      <c r="AH30" s="11556"/>
      <c r="AI30" s="11556"/>
      <c r="AJ30" s="11556"/>
      <c r="AK30" s="2013"/>
      <c r="AL30" s="817" t="s">
        <v>803</v>
      </c>
      <c r="AM30" s="845"/>
      <c r="AN30" s="420"/>
      <c r="AO30" s="408"/>
      <c r="AP30" s="504"/>
      <c r="AQ30" s="253"/>
      <c r="AR30" s="253"/>
      <c r="AS30" s="253"/>
      <c r="AT30" s="345"/>
      <c r="AU30" s="253"/>
      <c r="AV30" s="253"/>
      <c r="AW30" s="253"/>
      <c r="AX30" s="253"/>
      <c r="AY30" s="409"/>
      <c r="AZ30" s="253"/>
      <c r="BA30" s="408"/>
      <c r="BB30" s="504" t="s">
        <v>4631</v>
      </c>
      <c r="BC30" s="253"/>
      <c r="BD30" s="253"/>
      <c r="BE30" s="253"/>
      <c r="BF30" s="345" t="s">
        <v>161</v>
      </c>
      <c r="BG30" s="387"/>
      <c r="BH30" s="253"/>
      <c r="BI30" s="253"/>
      <c r="BJ30" s="253"/>
      <c r="BK30" s="409"/>
      <c r="BL30" s="253"/>
    </row>
    <row r="31" spans="1:64" ht="17.25" customHeight="1">
      <c r="A31" s="2013"/>
      <c r="B31" s="11077" t="s">
        <v>868</v>
      </c>
      <c r="C31" s="11077"/>
      <c r="D31" s="2085"/>
      <c r="E31" s="3376" t="s">
        <v>4632</v>
      </c>
      <c r="F31" s="773"/>
      <c r="G31" s="773"/>
      <c r="H31" s="773"/>
      <c r="I31" s="773"/>
      <c r="J31" s="773"/>
      <c r="K31" s="773"/>
      <c r="L31" s="773"/>
      <c r="M31" s="413"/>
      <c r="N31" s="413"/>
      <c r="O31" s="413"/>
      <c r="P31" s="413"/>
      <c r="Q31" s="413"/>
      <c r="R31" s="413"/>
      <c r="S31" s="773"/>
      <c r="T31" s="773"/>
      <c r="U31" s="773"/>
      <c r="V31" s="773"/>
      <c r="W31" s="773"/>
      <c r="X31" s="773"/>
      <c r="Y31" s="773"/>
      <c r="Z31" s="773"/>
      <c r="AA31" s="773"/>
      <c r="AB31" s="773"/>
      <c r="AC31" s="773"/>
      <c r="AD31" s="773"/>
      <c r="AE31" s="773"/>
      <c r="AF31" s="773"/>
      <c r="AG31" s="773"/>
      <c r="AH31" s="773"/>
      <c r="AI31" s="773"/>
      <c r="AJ31" s="773"/>
      <c r="AK31" s="2013"/>
      <c r="AL31" s="253"/>
      <c r="AM31" s="3841"/>
      <c r="AN31" s="3841"/>
      <c r="AO31" s="408"/>
      <c r="AP31" s="504"/>
      <c r="AQ31" s="253"/>
      <c r="AR31" s="253"/>
      <c r="AS31" s="253"/>
      <c r="AT31" s="253"/>
      <c r="AU31" s="253"/>
      <c r="AV31" s="253"/>
      <c r="AW31" s="253"/>
      <c r="AX31" s="253"/>
      <c r="AY31" s="409"/>
      <c r="AZ31" s="253"/>
      <c r="BA31" s="408"/>
      <c r="BB31" s="504"/>
      <c r="BC31" s="253"/>
      <c r="BD31" s="253"/>
      <c r="BE31" s="253"/>
      <c r="BF31" s="253"/>
      <c r="BG31" s="253"/>
      <c r="BH31" s="253"/>
      <c r="BI31" s="253"/>
      <c r="BJ31" s="253"/>
      <c r="BK31" s="409"/>
      <c r="BL31" s="253"/>
    </row>
    <row r="32" spans="1:64" ht="15">
      <c r="A32" s="2013"/>
      <c r="B32" s="253"/>
      <c r="C32" s="2022" t="s">
        <v>377</v>
      </c>
      <c r="D32" s="344" t="s">
        <v>4633</v>
      </c>
      <c r="E32" s="253"/>
      <c r="F32" s="253"/>
      <c r="G32" s="253"/>
      <c r="H32" s="253"/>
      <c r="I32" s="253"/>
      <c r="J32" s="253"/>
      <c r="K32" s="253"/>
      <c r="L32" s="253"/>
      <c r="M32" s="253"/>
      <c r="N32" s="253"/>
      <c r="O32" s="253"/>
      <c r="P32" s="253"/>
      <c r="Q32" s="253"/>
      <c r="R32" s="253"/>
      <c r="S32" s="253"/>
      <c r="T32" s="253"/>
      <c r="U32" s="253"/>
      <c r="V32" s="253"/>
      <c r="W32" s="253"/>
      <c r="X32" s="253"/>
      <c r="Y32" s="253"/>
      <c r="Z32" s="253"/>
      <c r="AA32" s="253"/>
      <c r="AB32" s="253"/>
      <c r="AC32" s="253"/>
      <c r="AD32" s="253"/>
      <c r="AE32" s="253"/>
      <c r="AF32" s="253"/>
      <c r="AG32" s="253"/>
      <c r="AH32" s="253"/>
      <c r="AI32" s="253"/>
      <c r="AJ32" s="253"/>
      <c r="AK32" s="2013"/>
      <c r="AL32" s="253"/>
      <c r="AM32" s="3830">
        <f>IF($AE$17&gt;8,LOOKUP($AE$17,$AP$82:$AP$90,$AQ$82:$AQ$90)+(($AE$17-8)*#REF!),LOOKUP($AE$17,$AP$82:$AP$90,$AQ$82:$AQ$90))</f>
        <v>0</v>
      </c>
      <c r="AN32" s="253"/>
      <c r="AO32" s="3831" t="s">
        <v>167</v>
      </c>
      <c r="AP32" s="504" t="s">
        <v>4634</v>
      </c>
      <c r="AQ32" s="253"/>
      <c r="AR32" s="253"/>
      <c r="AS32" s="253"/>
      <c r="AT32" s="253"/>
      <c r="AU32" s="253"/>
      <c r="AV32" s="253"/>
      <c r="AW32" s="253"/>
      <c r="AX32" s="253"/>
      <c r="AY32" s="409"/>
      <c r="AZ32" s="253"/>
      <c r="BA32" s="408"/>
      <c r="BB32" s="504"/>
      <c r="BC32" s="253"/>
      <c r="BD32" s="253"/>
      <c r="BE32" s="253"/>
      <c r="BF32" s="253"/>
      <c r="BG32" s="253"/>
      <c r="BH32" s="253"/>
      <c r="BI32" s="253"/>
      <c r="BJ32" s="253"/>
      <c r="BK32" s="409"/>
      <c r="BL32" s="253"/>
    </row>
    <row r="33" spans="1:64" ht="13.5" customHeight="1">
      <c r="A33" s="2013"/>
      <c r="B33" s="253"/>
      <c r="C33" s="2022"/>
      <c r="D33" s="384"/>
      <c r="E33" s="349" t="s">
        <v>938</v>
      </c>
      <c r="F33" s="253"/>
      <c r="G33" s="344" t="s">
        <v>4635</v>
      </c>
      <c r="H33" s="253"/>
      <c r="I33" s="344" t="s">
        <v>6082</v>
      </c>
      <c r="J33" s="253"/>
      <c r="K33" s="253"/>
      <c r="L33" s="253"/>
      <c r="M33" s="253"/>
      <c r="N33" s="253"/>
      <c r="O33" s="253"/>
      <c r="P33" s="253"/>
      <c r="Q33" s="253"/>
      <c r="R33" s="253"/>
      <c r="S33" s="253"/>
      <c r="T33" s="253"/>
      <c r="U33" s="253"/>
      <c r="V33" s="253"/>
      <c r="W33" s="253"/>
      <c r="X33" s="253"/>
      <c r="Y33" s="253"/>
      <c r="Z33" s="253"/>
      <c r="AA33" s="253"/>
      <c r="AB33" s="253"/>
      <c r="AC33" s="253"/>
      <c r="AD33" s="253"/>
      <c r="AE33" s="253"/>
      <c r="AF33" s="253"/>
      <c r="AG33" s="253"/>
      <c r="AH33" s="253"/>
      <c r="AI33" s="253"/>
      <c r="AJ33" s="253"/>
      <c r="AK33" s="2013"/>
      <c r="AL33" s="253"/>
      <c r="AM33" s="3830">
        <f>IF($AE$17&gt;8,LOOKUP($AE$17,$AP$82:$AP$90,$AR$82:$AR$90)+(($AE$17-8)*AQ91),LOOKUP($AE$17,$AP$82:$AP$90,$AR$82:$AR$90))</f>
        <v>0</v>
      </c>
      <c r="AN33" s="253"/>
      <c r="AO33" s="408"/>
      <c r="AP33" s="504" t="s">
        <v>4637</v>
      </c>
      <c r="AQ33" s="253"/>
      <c r="AR33" s="253"/>
      <c r="AS33" s="253"/>
      <c r="AT33" s="345" t="s">
        <v>167</v>
      </c>
      <c r="AU33" s="3838">
        <f>IF(AX33&lt;&gt;"",ROUND(AX33,0),IF(ISERROR(SUM(F2555_Line45_Total,ForeignHousingDeductionTotal)),"",SUM(F2555_Line45_Total,ForeignHousingDeductionTotal)))</f>
        <v>0</v>
      </c>
      <c r="AV33" s="253"/>
      <c r="AW33" s="253"/>
      <c r="AX33" s="1317"/>
      <c r="AY33" s="409"/>
      <c r="AZ33" s="253"/>
      <c r="BA33" s="3831" t="s">
        <v>167</v>
      </c>
      <c r="BB33" s="504" t="s">
        <v>4638</v>
      </c>
      <c r="BC33" s="253"/>
      <c r="BD33" s="253"/>
      <c r="BE33" s="253"/>
      <c r="BF33" s="253"/>
      <c r="BG33" s="253"/>
      <c r="BH33" s="253"/>
      <c r="BI33" s="253"/>
      <c r="BJ33" s="253"/>
      <c r="BK33" s="409"/>
      <c r="BL33" s="253"/>
    </row>
    <row r="34" spans="1:64" ht="5.25" customHeight="1">
      <c r="A34" s="2013"/>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Y34" s="253"/>
      <c r="Z34" s="253"/>
      <c r="AA34" s="253"/>
      <c r="AB34" s="253"/>
      <c r="AC34" s="253"/>
      <c r="AD34" s="253"/>
      <c r="AE34" s="253"/>
      <c r="AF34" s="253"/>
      <c r="AG34" s="253"/>
      <c r="AH34" s="253"/>
      <c r="AI34" s="253"/>
      <c r="AJ34" s="253"/>
      <c r="AK34" s="2013"/>
      <c r="AL34" s="253"/>
      <c r="AM34" s="3830">
        <f>IF($AE$17&gt;8,LOOKUP($AE$17,$AP$82:$AP$90,$AS$82:$AS$90)+(($AE$17-8)*AR90),LOOKUP($AE$17,$AP$82:$AP$90,$AS$82:$AS$90))</f>
        <v>0</v>
      </c>
      <c r="AN34" s="253"/>
      <c r="AO34" s="408"/>
      <c r="AP34" s="504"/>
      <c r="AQ34" s="253"/>
      <c r="AR34" s="253"/>
      <c r="AS34" s="253"/>
      <c r="AT34" s="253"/>
      <c r="AU34" s="253"/>
      <c r="AV34" s="253"/>
      <c r="AW34" s="253"/>
      <c r="AX34" s="253"/>
      <c r="AY34" s="409"/>
      <c r="AZ34" s="253"/>
      <c r="BA34" s="3831"/>
      <c r="BB34" s="504"/>
      <c r="BC34" s="253"/>
      <c r="BD34" s="253"/>
      <c r="BE34" s="253"/>
      <c r="BF34" s="253"/>
      <c r="BG34" s="253"/>
      <c r="BH34" s="253"/>
      <c r="BI34" s="253"/>
      <c r="BJ34" s="253"/>
      <c r="BK34" s="409"/>
      <c r="BL34" s="253"/>
    </row>
    <row r="35" spans="1:64" ht="14.25" customHeight="1">
      <c r="A35" s="2013"/>
      <c r="B35" s="253"/>
      <c r="C35" s="253"/>
      <c r="D35" s="1983" t="str">
        <f>IF(OR(AL2&lt;&gt;1,D33&lt;&gt;""),"","X")</f>
        <v>X</v>
      </c>
      <c r="E35" s="1059" t="s">
        <v>4636</v>
      </c>
      <c r="F35" s="253"/>
      <c r="G35" s="253"/>
      <c r="H35" s="253"/>
      <c r="I35" s="253"/>
      <c r="J35" s="253"/>
      <c r="K35" s="253"/>
      <c r="L35" s="253"/>
      <c r="M35" s="253"/>
      <c r="N35" s="253"/>
      <c r="O35" s="253"/>
      <c r="P35" s="253"/>
      <c r="Q35" s="253"/>
      <c r="R35" s="253"/>
      <c r="S35" s="253"/>
      <c r="T35" s="253"/>
      <c r="U35" s="253"/>
      <c r="V35" s="253"/>
      <c r="W35" s="253"/>
      <c r="X35" s="253"/>
      <c r="Y35" s="253"/>
      <c r="Z35" s="253"/>
      <c r="AA35" s="253"/>
      <c r="AB35" s="253"/>
      <c r="AC35" s="253"/>
      <c r="AD35" s="253"/>
      <c r="AE35" s="253"/>
      <c r="AF35" s="253"/>
      <c r="AG35" s="253"/>
      <c r="AH35" s="253"/>
      <c r="AI35" s="253"/>
      <c r="AJ35" s="253"/>
      <c r="AK35" s="2013"/>
      <c r="AL35" s="253"/>
      <c r="AM35" s="3830">
        <f>IF($AE$17&gt;8,LOOKUP($AE$17,$AP$82:$AP$90,$AS$82:$AS$90)+(($AE$17-8)*AR91),LOOKUP($AE$17,$AP$82:$AP$90,$AS$82:$AS$90))</f>
        <v>0</v>
      </c>
      <c r="AN35" s="253"/>
      <c r="AO35" s="408"/>
      <c r="AP35" s="504"/>
      <c r="AQ35" s="253"/>
      <c r="AR35" s="253"/>
      <c r="AS35" s="253"/>
      <c r="AT35" s="253"/>
      <c r="AU35" s="253"/>
      <c r="AV35" s="253"/>
      <c r="AW35" s="253"/>
      <c r="AX35" s="253"/>
      <c r="AY35" s="409"/>
      <c r="AZ35" s="253"/>
      <c r="BA35" s="408"/>
      <c r="BB35" s="504" t="s">
        <v>4639</v>
      </c>
      <c r="BC35" s="253"/>
      <c r="BD35" s="253"/>
      <c r="BE35" s="253"/>
      <c r="BF35" s="345" t="s">
        <v>167</v>
      </c>
      <c r="BG35" s="387"/>
      <c r="BH35" s="253"/>
      <c r="BI35" s="253"/>
      <c r="BJ35" s="253"/>
      <c r="BK35" s="409"/>
      <c r="BL35" s="253"/>
    </row>
    <row r="36" spans="1:64" ht="18" customHeight="1">
      <c r="A36" s="2013"/>
      <c r="B36" s="253"/>
      <c r="C36" s="2022" t="s">
        <v>246</v>
      </c>
      <c r="D36" s="516" t="s">
        <v>4640</v>
      </c>
      <c r="E36" s="253"/>
      <c r="F36" s="253"/>
      <c r="G36" s="253"/>
      <c r="H36" s="253"/>
      <c r="I36" s="253"/>
      <c r="J36" s="253"/>
      <c r="K36" s="253"/>
      <c r="L36" s="253"/>
      <c r="M36" s="253"/>
      <c r="N36" s="253"/>
      <c r="O36" s="253"/>
      <c r="P36" s="253"/>
      <c r="Q36" s="253"/>
      <c r="R36" s="253"/>
      <c r="S36" s="253"/>
      <c r="T36" s="253"/>
      <c r="U36" s="253"/>
      <c r="V36" s="253"/>
      <c r="W36" s="253"/>
      <c r="X36" s="253"/>
      <c r="Y36" s="253"/>
      <c r="Z36" s="253"/>
      <c r="AA36" s="253"/>
      <c r="AB36" s="253"/>
      <c r="AC36" s="253"/>
      <c r="AD36" s="253"/>
      <c r="AE36" s="253"/>
      <c r="AF36" s="253"/>
      <c r="AG36" s="253"/>
      <c r="AH36" s="253"/>
      <c r="AI36" s="253"/>
      <c r="AJ36" s="253"/>
      <c r="AK36" s="2013"/>
      <c r="AL36" s="253"/>
      <c r="AM36" s="253"/>
      <c r="AN36" s="253"/>
      <c r="AO36" s="408"/>
      <c r="AP36" s="504"/>
      <c r="AQ36" s="253"/>
      <c r="AR36" s="253"/>
      <c r="AS36" s="253"/>
      <c r="AT36" s="253"/>
      <c r="AU36" s="253"/>
      <c r="AV36" s="253"/>
      <c r="AW36" s="253"/>
      <c r="AX36" s="253"/>
      <c r="AY36" s="409"/>
      <c r="AZ36" s="253"/>
      <c r="BA36" s="408"/>
      <c r="BB36" s="504"/>
      <c r="BC36" s="253"/>
      <c r="BD36" s="253"/>
      <c r="BE36" s="253"/>
      <c r="BF36" s="253"/>
      <c r="BG36" s="253"/>
      <c r="BH36" s="253"/>
      <c r="BI36" s="253"/>
      <c r="BJ36" s="253"/>
      <c r="BK36" s="409"/>
      <c r="BL36" s="253"/>
    </row>
    <row r="37" spans="1:64" ht="15.75">
      <c r="A37" s="2013"/>
      <c r="B37" s="253"/>
      <c r="C37" s="2022"/>
      <c r="D37" s="384"/>
      <c r="E37" s="344" t="s">
        <v>6083</v>
      </c>
      <c r="F37" s="253"/>
      <c r="G37" s="253"/>
      <c r="H37" s="253"/>
      <c r="I37" s="253"/>
      <c r="J37" s="253"/>
      <c r="K37" s="253"/>
      <c r="L37" s="253"/>
      <c r="M37" s="253"/>
      <c r="N37" s="253"/>
      <c r="O37" s="253"/>
      <c r="P37" s="253"/>
      <c r="Q37" s="253"/>
      <c r="R37" s="253"/>
      <c r="S37" s="253"/>
      <c r="T37" s="253"/>
      <c r="U37" s="253"/>
      <c r="V37" s="253"/>
      <c r="W37" s="253"/>
      <c r="X37" s="253"/>
      <c r="Y37" s="253"/>
      <c r="Z37" s="253"/>
      <c r="AA37" s="253"/>
      <c r="AB37" s="253"/>
      <c r="AC37" s="253"/>
      <c r="AD37" s="253"/>
      <c r="AE37" s="253"/>
      <c r="AF37" s="253"/>
      <c r="AG37" s="253"/>
      <c r="AH37" s="253"/>
      <c r="AI37" s="253"/>
      <c r="AJ37" s="253"/>
      <c r="AK37" s="2013"/>
      <c r="AL37" s="253"/>
      <c r="AM37" s="253"/>
      <c r="AN37" s="253"/>
      <c r="AO37" s="3831" t="s">
        <v>171</v>
      </c>
      <c r="AP37" s="504" t="s">
        <v>4641</v>
      </c>
      <c r="AQ37" s="253"/>
      <c r="AR37" s="253"/>
      <c r="AS37" s="253"/>
      <c r="AT37" s="253"/>
      <c r="AU37" s="253"/>
      <c r="AV37" s="253"/>
      <c r="AW37" s="253"/>
      <c r="AX37" s="253"/>
      <c r="AY37" s="409"/>
      <c r="AZ37" s="253"/>
      <c r="BA37" s="3831" t="s">
        <v>171</v>
      </c>
      <c r="BB37" s="807" t="s">
        <v>4642</v>
      </c>
      <c r="BC37" s="253"/>
      <c r="BD37" s="253"/>
      <c r="BE37" s="253"/>
      <c r="BF37" s="253"/>
      <c r="BG37" s="253"/>
      <c r="BH37" s="253"/>
      <c r="BI37" s="253"/>
      <c r="BJ37" s="253"/>
      <c r="BK37" s="409"/>
      <c r="BL37" s="253"/>
    </row>
    <row r="38" spans="1:64" ht="4.5" customHeight="1">
      <c r="A38" s="2013"/>
      <c r="B38" s="253"/>
      <c r="C38" s="253"/>
      <c r="D38" s="253"/>
      <c r="E38" s="253"/>
      <c r="F38" s="253"/>
      <c r="G38" s="253"/>
      <c r="H38" s="253"/>
      <c r="I38" s="253"/>
      <c r="J38" s="253"/>
      <c r="K38" s="253"/>
      <c r="L38" s="253"/>
      <c r="M38" s="253"/>
      <c r="N38" s="253"/>
      <c r="O38" s="253"/>
      <c r="P38" s="253"/>
      <c r="Q38" s="253"/>
      <c r="R38" s="253"/>
      <c r="S38" s="253"/>
      <c r="T38" s="253"/>
      <c r="U38" s="253"/>
      <c r="V38" s="253"/>
      <c r="W38" s="253"/>
      <c r="X38" s="253"/>
      <c r="Y38" s="253"/>
      <c r="Z38" s="253"/>
      <c r="AA38" s="253"/>
      <c r="AB38" s="253"/>
      <c r="AC38" s="253"/>
      <c r="AD38" s="253"/>
      <c r="AE38" s="253"/>
      <c r="AF38" s="253"/>
      <c r="AG38" s="253"/>
      <c r="AH38" s="253"/>
      <c r="AI38" s="253"/>
      <c r="AJ38" s="253"/>
      <c r="AK38" s="2013"/>
      <c r="AL38" s="253"/>
      <c r="AM38" s="253"/>
      <c r="AN38" s="253"/>
      <c r="AO38" s="408"/>
      <c r="AP38" s="1052"/>
      <c r="AQ38" s="253"/>
      <c r="AR38" s="253"/>
      <c r="AS38" s="253"/>
      <c r="AT38" s="253"/>
      <c r="AU38" s="253"/>
      <c r="AV38" s="253"/>
      <c r="AW38" s="253"/>
      <c r="AX38" s="253"/>
      <c r="AY38" s="409"/>
      <c r="AZ38" s="253"/>
      <c r="BA38" s="3831"/>
      <c r="BB38" s="807"/>
      <c r="BC38" s="253"/>
      <c r="BD38" s="253"/>
      <c r="BE38" s="253"/>
      <c r="BF38" s="253"/>
      <c r="BG38" s="253"/>
      <c r="BH38" s="253"/>
      <c r="BI38" s="253"/>
      <c r="BJ38" s="253"/>
      <c r="BK38" s="409"/>
      <c r="BL38" s="253"/>
    </row>
    <row r="39" spans="1:64" ht="17.25" customHeight="1">
      <c r="A39" s="2013"/>
      <c r="B39" s="253"/>
      <c r="C39" s="253"/>
      <c r="D39" s="1983" t="str">
        <f>IF(OR(AL2&lt;&gt;1,D37&lt;&gt;""),"","X")</f>
        <v>X</v>
      </c>
      <c r="E39" s="344" t="s">
        <v>6081</v>
      </c>
      <c r="F39" s="253"/>
      <c r="G39" s="253"/>
      <c r="H39" s="253"/>
      <c r="I39" s="253"/>
      <c r="J39" s="253"/>
      <c r="K39" s="253"/>
      <c r="L39" s="253"/>
      <c r="M39" s="253"/>
      <c r="N39" s="253"/>
      <c r="O39" s="253"/>
      <c r="P39" s="253"/>
      <c r="Q39" s="253"/>
      <c r="R39" s="253"/>
      <c r="S39" s="253"/>
      <c r="T39" s="253"/>
      <c r="U39" s="253"/>
      <c r="V39" s="253"/>
      <c r="W39" s="253"/>
      <c r="X39" s="253"/>
      <c r="Y39" s="253"/>
      <c r="Z39" s="253"/>
      <c r="AA39" s="253"/>
      <c r="AB39" s="253"/>
      <c r="AC39" s="253"/>
      <c r="AD39" s="253"/>
      <c r="AE39" s="253"/>
      <c r="AF39" s="253"/>
      <c r="AG39" s="253"/>
      <c r="AH39" s="253"/>
      <c r="AI39" s="253"/>
      <c r="AJ39" s="253"/>
      <c r="AK39" s="2013"/>
      <c r="AL39" s="253"/>
      <c r="AM39" s="253"/>
      <c r="AN39" s="253"/>
      <c r="AO39" s="408"/>
      <c r="AP39" s="1052" t="s">
        <v>4643</v>
      </c>
      <c r="AQ39" s="253"/>
      <c r="AR39" s="253"/>
      <c r="AS39" s="253"/>
      <c r="AT39" s="253"/>
      <c r="AU39" s="253"/>
      <c r="AV39" s="253"/>
      <c r="AW39" s="253"/>
      <c r="AX39" s="253"/>
      <c r="AY39" s="409"/>
      <c r="AZ39" s="253"/>
      <c r="BA39" s="3831"/>
      <c r="BB39" s="1052" t="s">
        <v>4644</v>
      </c>
      <c r="BC39" s="253"/>
      <c r="BD39" s="253"/>
      <c r="BE39" s="253"/>
      <c r="BF39" s="253"/>
      <c r="BG39" s="253"/>
      <c r="BH39" s="253"/>
      <c r="BI39" s="253"/>
      <c r="BJ39" s="253"/>
      <c r="BK39" s="409"/>
      <c r="BL39" s="253"/>
    </row>
    <row r="40" spans="1:64" ht="6" customHeight="1">
      <c r="A40" s="2013"/>
      <c r="B40" s="413"/>
      <c r="C40" s="413"/>
      <c r="D40" s="413"/>
      <c r="E40" s="413"/>
      <c r="F40" s="413"/>
      <c r="G40" s="413"/>
      <c r="H40" s="413"/>
      <c r="I40" s="413"/>
      <c r="J40" s="413"/>
      <c r="K40" s="413"/>
      <c r="L40" s="413"/>
      <c r="M40" s="413"/>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2013"/>
      <c r="AL40" s="253"/>
      <c r="AM40" s="253"/>
      <c r="AN40" s="253"/>
      <c r="AO40" s="408"/>
      <c r="AP40" s="1680"/>
      <c r="AQ40" s="253"/>
      <c r="AR40" s="253"/>
      <c r="AS40" s="253"/>
      <c r="AT40" s="253"/>
      <c r="AU40" s="253"/>
      <c r="AV40" s="253"/>
      <c r="AW40" s="253"/>
      <c r="AX40" s="253"/>
      <c r="AY40" s="409"/>
      <c r="AZ40" s="253"/>
      <c r="BA40" s="408"/>
      <c r="BB40" s="1052"/>
      <c r="BC40" s="253"/>
      <c r="BD40" s="253"/>
      <c r="BE40" s="253"/>
      <c r="BF40" s="253"/>
      <c r="BG40" s="253"/>
      <c r="BH40" s="253"/>
      <c r="BI40" s="253"/>
      <c r="BJ40" s="253"/>
      <c r="BK40" s="409"/>
      <c r="BL40" s="253"/>
    </row>
    <row r="41" spans="1:64" ht="6" customHeight="1">
      <c r="A41" s="2013"/>
      <c r="B41" s="11588" t="s">
        <v>4645</v>
      </c>
      <c r="C41" s="11589"/>
      <c r="D41" s="11589"/>
      <c r="E41" s="11589"/>
      <c r="F41" s="11589"/>
      <c r="G41" s="11547" t="s">
        <v>4646</v>
      </c>
      <c r="H41" s="11548"/>
      <c r="I41" s="11548"/>
      <c r="J41" s="11548"/>
      <c r="K41" s="11548"/>
      <c r="L41" s="11547" t="s">
        <v>4647</v>
      </c>
      <c r="M41" s="11548"/>
      <c r="N41" s="11548"/>
      <c r="O41" s="11548"/>
      <c r="P41" s="11548"/>
      <c r="Q41" s="11547" t="s">
        <v>4648</v>
      </c>
      <c r="R41" s="11548"/>
      <c r="S41" s="11548"/>
      <c r="T41" s="11548"/>
      <c r="U41" s="11548"/>
      <c r="V41" s="11547" t="s">
        <v>4649</v>
      </c>
      <c r="W41" s="11548"/>
      <c r="X41" s="11548"/>
      <c r="Y41" s="11548"/>
      <c r="Z41" s="11548"/>
      <c r="AA41" s="11547" t="s">
        <v>4650</v>
      </c>
      <c r="AB41" s="11548"/>
      <c r="AC41" s="11548"/>
      <c r="AD41" s="11548"/>
      <c r="AE41" s="11548"/>
      <c r="AF41" s="11547" t="s">
        <v>4651</v>
      </c>
      <c r="AG41" s="11548"/>
      <c r="AH41" s="11548"/>
      <c r="AI41" s="11548"/>
      <c r="AJ41" s="11585"/>
      <c r="AK41" s="2013"/>
      <c r="AL41" s="253"/>
      <c r="AM41" s="253"/>
      <c r="AN41" s="253"/>
      <c r="AO41" s="408"/>
      <c r="AP41" s="1680"/>
      <c r="AQ41" s="253"/>
      <c r="AR41" s="253"/>
      <c r="AS41" s="253"/>
      <c r="AT41" s="253"/>
      <c r="AU41" s="253"/>
      <c r="AV41" s="253"/>
      <c r="AW41" s="253"/>
      <c r="AX41" s="253"/>
      <c r="AY41" s="409"/>
      <c r="AZ41" s="253"/>
      <c r="BA41" s="408"/>
      <c r="BB41" s="1680"/>
      <c r="BC41" s="253"/>
      <c r="BD41" s="253"/>
      <c r="BE41" s="253"/>
      <c r="BF41" s="345"/>
      <c r="BG41" s="253"/>
      <c r="BH41" s="253"/>
      <c r="BI41" s="253"/>
      <c r="BJ41" s="253"/>
      <c r="BK41" s="409"/>
      <c r="BL41" s="253"/>
    </row>
    <row r="42" spans="1:64" ht="14.25" customHeight="1">
      <c r="A42" s="2013"/>
      <c r="B42" s="11590"/>
      <c r="C42" s="11590"/>
      <c r="D42" s="11590"/>
      <c r="E42" s="11590"/>
      <c r="F42" s="11590"/>
      <c r="G42" s="11549"/>
      <c r="H42" s="11549"/>
      <c r="I42" s="11549"/>
      <c r="J42" s="11549"/>
      <c r="K42" s="11549"/>
      <c r="L42" s="11549"/>
      <c r="M42" s="11549"/>
      <c r="N42" s="11549"/>
      <c r="O42" s="11549"/>
      <c r="P42" s="11549"/>
      <c r="Q42" s="11549"/>
      <c r="R42" s="11549"/>
      <c r="S42" s="11549"/>
      <c r="T42" s="11549"/>
      <c r="U42" s="11549"/>
      <c r="V42" s="11549"/>
      <c r="W42" s="11549"/>
      <c r="X42" s="11549"/>
      <c r="Y42" s="11549"/>
      <c r="Z42" s="11549"/>
      <c r="AA42" s="11549"/>
      <c r="AB42" s="11549"/>
      <c r="AC42" s="11549"/>
      <c r="AD42" s="11549"/>
      <c r="AE42" s="11549"/>
      <c r="AF42" s="11549"/>
      <c r="AG42" s="11549"/>
      <c r="AH42" s="11549"/>
      <c r="AI42" s="11549"/>
      <c r="AJ42" s="11586"/>
      <c r="AK42" s="2013"/>
      <c r="AL42" s="253"/>
      <c r="AM42" s="253"/>
      <c r="AN42" s="253"/>
      <c r="AO42" s="408"/>
      <c r="AP42" s="1680" t="s">
        <v>4652</v>
      </c>
      <c r="AQ42" s="253"/>
      <c r="AR42" s="253"/>
      <c r="AS42" s="253"/>
      <c r="AT42" s="3842" t="s">
        <v>171</v>
      </c>
      <c r="AU42" s="3838">
        <f>IF(AX42&lt;&gt;"",ROUND(AX42,0),IF(SocSecBenefits&gt;SocSecBenefits_Taxable,SUM(SocSecBenefits,-SocSecBenefits_Taxable),0))</f>
        <v>0</v>
      </c>
      <c r="AV42" s="253"/>
      <c r="AW42" s="253"/>
      <c r="AX42" s="1317"/>
      <c r="AY42" s="409"/>
      <c r="AZ42" s="253"/>
      <c r="BA42" s="408"/>
      <c r="BB42" s="1680" t="s">
        <v>4653</v>
      </c>
      <c r="BC42" s="253"/>
      <c r="BD42" s="253"/>
      <c r="BE42" s="253"/>
      <c r="BF42" s="345" t="s">
        <v>171</v>
      </c>
      <c r="BG42" s="387"/>
      <c r="BH42" s="253"/>
      <c r="BI42" s="253"/>
      <c r="BJ42" s="253"/>
      <c r="BK42" s="409"/>
      <c r="BL42" s="253"/>
    </row>
    <row r="43" spans="1:64">
      <c r="A43" s="2013"/>
      <c r="B43" s="11590"/>
      <c r="C43" s="11590"/>
      <c r="D43" s="11590"/>
      <c r="E43" s="11590"/>
      <c r="F43" s="11590"/>
      <c r="G43" s="11549"/>
      <c r="H43" s="11549"/>
      <c r="I43" s="11549"/>
      <c r="J43" s="11549"/>
      <c r="K43" s="11549"/>
      <c r="L43" s="11549"/>
      <c r="M43" s="11549"/>
      <c r="N43" s="11549"/>
      <c r="O43" s="11549"/>
      <c r="P43" s="11549"/>
      <c r="Q43" s="11549"/>
      <c r="R43" s="11549"/>
      <c r="S43" s="11549"/>
      <c r="T43" s="11549"/>
      <c r="U43" s="11549"/>
      <c r="V43" s="11549"/>
      <c r="W43" s="11549"/>
      <c r="X43" s="11549"/>
      <c r="Y43" s="11549"/>
      <c r="Z43" s="11549"/>
      <c r="AA43" s="11549"/>
      <c r="AB43" s="11549"/>
      <c r="AC43" s="11549"/>
      <c r="AD43" s="11549"/>
      <c r="AE43" s="11549"/>
      <c r="AF43" s="11549"/>
      <c r="AG43" s="11549"/>
      <c r="AH43" s="11549"/>
      <c r="AI43" s="11549"/>
      <c r="AJ43" s="11586"/>
      <c r="AK43" s="2013"/>
      <c r="AL43" s="253"/>
      <c r="AM43" s="253"/>
      <c r="AN43" s="1039"/>
      <c r="AO43" s="408"/>
      <c r="AP43" s="504"/>
      <c r="AQ43" s="253"/>
      <c r="AR43" s="253"/>
      <c r="AS43" s="253"/>
      <c r="AT43" s="253"/>
      <c r="AU43" s="253"/>
      <c r="AV43" s="253"/>
      <c r="AW43" s="253"/>
      <c r="AX43" s="344"/>
      <c r="AY43" s="409"/>
      <c r="AZ43" s="253"/>
      <c r="BA43" s="408"/>
      <c r="BB43" s="504"/>
      <c r="BC43" s="253"/>
      <c r="BD43" s="253"/>
      <c r="BE43" s="253"/>
      <c r="BF43" s="253"/>
      <c r="BG43" s="253"/>
      <c r="BH43" s="253"/>
      <c r="BI43" s="253"/>
      <c r="BJ43" s="253"/>
      <c r="BK43" s="409"/>
      <c r="BL43" s="253"/>
    </row>
    <row r="44" spans="1:64">
      <c r="A44" s="2013"/>
      <c r="B44" s="11590"/>
      <c r="C44" s="11590"/>
      <c r="D44" s="11590"/>
      <c r="E44" s="11590"/>
      <c r="F44" s="11590"/>
      <c r="G44" s="11549"/>
      <c r="H44" s="11549"/>
      <c r="I44" s="11549"/>
      <c r="J44" s="11549"/>
      <c r="K44" s="11549"/>
      <c r="L44" s="11549"/>
      <c r="M44" s="11549"/>
      <c r="N44" s="11549"/>
      <c r="O44" s="11549"/>
      <c r="P44" s="11549"/>
      <c r="Q44" s="11549"/>
      <c r="R44" s="11549"/>
      <c r="S44" s="11549"/>
      <c r="T44" s="11549"/>
      <c r="U44" s="11549"/>
      <c r="V44" s="11549"/>
      <c r="W44" s="11549"/>
      <c r="X44" s="11549"/>
      <c r="Y44" s="11549"/>
      <c r="Z44" s="11549"/>
      <c r="AA44" s="11549"/>
      <c r="AB44" s="11549"/>
      <c r="AC44" s="11549"/>
      <c r="AD44" s="11549"/>
      <c r="AE44" s="11549"/>
      <c r="AF44" s="11549"/>
      <c r="AG44" s="11549"/>
      <c r="AH44" s="11549"/>
      <c r="AI44" s="11549"/>
      <c r="AJ44" s="11586"/>
      <c r="AK44" s="2013"/>
      <c r="AL44" s="253"/>
      <c r="AM44" s="253"/>
      <c r="AN44" s="1039"/>
      <c r="AO44" s="3831" t="s">
        <v>184</v>
      </c>
      <c r="AP44" s="504" t="s">
        <v>4654</v>
      </c>
      <c r="AQ44" s="253"/>
      <c r="AR44" s="253"/>
      <c r="AS44" s="253"/>
      <c r="AT44" s="253"/>
      <c r="AU44" s="345"/>
      <c r="AV44" s="345"/>
      <c r="AW44" s="253"/>
      <c r="AX44" s="730" t="s">
        <v>771</v>
      </c>
      <c r="AY44" s="419"/>
      <c r="AZ44" s="253"/>
      <c r="BA44" s="408"/>
      <c r="BB44" s="504"/>
      <c r="BC44" s="253"/>
      <c r="BD44" s="253"/>
      <c r="BE44" s="253"/>
      <c r="BF44" s="253"/>
      <c r="BG44" s="253"/>
      <c r="BH44" s="253"/>
      <c r="BI44" s="253"/>
      <c r="BJ44" s="344"/>
      <c r="BK44" s="409"/>
      <c r="BL44" s="253"/>
    </row>
    <row r="45" spans="1:64" ht="12.75" customHeight="1" thickBot="1">
      <c r="A45" s="2013"/>
      <c r="B45" s="3844" t="s">
        <v>248</v>
      </c>
      <c r="C45" s="11607" t="s">
        <v>4655</v>
      </c>
      <c r="D45" s="11607"/>
      <c r="E45" s="11607"/>
      <c r="F45" s="11608"/>
      <c r="G45" s="11545"/>
      <c r="H45" s="11545"/>
      <c r="I45" s="11545"/>
      <c r="J45" s="11545"/>
      <c r="K45" s="11545"/>
      <c r="L45" s="11545"/>
      <c r="M45" s="11545"/>
      <c r="N45" s="11545"/>
      <c r="O45" s="11545"/>
      <c r="P45" s="11545"/>
      <c r="Q45" s="11546" t="str">
        <f>IF(AM46&lt;&gt;"",ROUND(AM46,2),IF(OR(D33&lt;&gt;"",D37=""),"",IF(M30&lt;&gt;"",M30,"")))</f>
        <v/>
      </c>
      <c r="R45" s="11546"/>
      <c r="S45" s="11546"/>
      <c r="T45" s="11546"/>
      <c r="U45" s="11546"/>
      <c r="V45" s="11546" t="str">
        <f>IF(OR(D33&lt;&gt;"",D37="",G45="",L45=""),"",IF(Q45="",L45,IF(SUM(L45,-Q45)&lt;0,0,SUM(L45,-Q45))))</f>
        <v/>
      </c>
      <c r="W45" s="11546"/>
      <c r="X45" s="11546"/>
      <c r="Y45" s="11546"/>
      <c r="Z45" s="11546"/>
      <c r="AA45" s="11546" t="str">
        <f>IF(OR(D33&lt;&gt;"",D37=""),"",IF(AND(G45&lt;&gt;"",L45&lt;&gt;""),MIN(G45,V45),""))</f>
        <v/>
      </c>
      <c r="AB45" s="11546"/>
      <c r="AC45" s="11546"/>
      <c r="AD45" s="11546"/>
      <c r="AE45" s="11546"/>
      <c r="AF45" s="11545"/>
      <c r="AG45" s="11545"/>
      <c r="AH45" s="11545"/>
      <c r="AI45" s="11545"/>
      <c r="AJ45" s="11568"/>
      <c r="AK45" s="2013"/>
      <c r="AL45" s="253"/>
      <c r="AM45" s="1039"/>
      <c r="AN45" s="1039"/>
      <c r="AO45" s="3831"/>
      <c r="AP45" s="504" t="s">
        <v>4657</v>
      </c>
      <c r="AQ45" s="253"/>
      <c r="AR45" s="253"/>
      <c r="AS45" s="253"/>
      <c r="AT45" s="253"/>
      <c r="AU45" s="345" t="s">
        <v>184</v>
      </c>
      <c r="AV45" s="3838">
        <f>IF(AX45&lt;&gt;"",ROUND(AX45,0),ROUND(SUM(AV25,AU29,AU33,AU42),0))</f>
        <v>0</v>
      </c>
      <c r="AW45" s="253"/>
      <c r="AX45" s="1317"/>
      <c r="AY45" s="419"/>
      <c r="AZ45" s="253"/>
      <c r="BA45" s="3831" t="s">
        <v>184</v>
      </c>
      <c r="BB45" s="504" t="s">
        <v>4654</v>
      </c>
      <c r="BC45" s="253"/>
      <c r="BD45" s="253"/>
      <c r="BE45" s="253"/>
      <c r="BF45" s="253"/>
      <c r="BG45" s="253"/>
      <c r="BH45" s="253"/>
      <c r="BI45" s="253"/>
      <c r="BJ45" s="344" t="s">
        <v>771</v>
      </c>
      <c r="BK45" s="419"/>
      <c r="BL45" s="253"/>
    </row>
    <row r="46" spans="1:64" ht="12.75" customHeight="1" thickBot="1">
      <c r="A46" s="2013"/>
      <c r="B46" s="11588" t="s">
        <v>4659</v>
      </c>
      <c r="C46" s="11589"/>
      <c r="D46" s="11589"/>
      <c r="E46" s="11589"/>
      <c r="F46" s="11589"/>
      <c r="G46" s="11547" t="s">
        <v>4660</v>
      </c>
      <c r="H46" s="11548"/>
      <c r="I46" s="11548"/>
      <c r="J46" s="11548"/>
      <c r="K46" s="11548"/>
      <c r="L46" s="11547" t="s">
        <v>4661</v>
      </c>
      <c r="M46" s="11548"/>
      <c r="N46" s="11548"/>
      <c r="O46" s="11548"/>
      <c r="P46" s="11548"/>
      <c r="Q46" s="11547" t="s">
        <v>4662</v>
      </c>
      <c r="R46" s="11548"/>
      <c r="S46" s="11548"/>
      <c r="T46" s="11548"/>
      <c r="U46" s="11548"/>
      <c r="V46" s="11547" t="s">
        <v>4663</v>
      </c>
      <c r="W46" s="11548"/>
      <c r="X46" s="11548"/>
      <c r="Y46" s="11548"/>
      <c r="Z46" s="11548"/>
      <c r="AA46" s="11547" t="s">
        <v>4664</v>
      </c>
      <c r="AB46" s="11548"/>
      <c r="AC46" s="11548"/>
      <c r="AD46" s="11548"/>
      <c r="AE46" s="11548"/>
      <c r="AF46" s="11547" t="s">
        <v>4665</v>
      </c>
      <c r="AG46" s="11548"/>
      <c r="AH46" s="11548"/>
      <c r="AI46" s="11548"/>
      <c r="AJ46" s="11585"/>
      <c r="AK46" s="2013"/>
      <c r="AL46" s="817" t="s">
        <v>4656</v>
      </c>
      <c r="AM46" s="1032"/>
      <c r="AN46" s="1039"/>
      <c r="AO46" s="412"/>
      <c r="AP46" s="2271"/>
      <c r="AQ46" s="413"/>
      <c r="AR46" s="413"/>
      <c r="AS46" s="413"/>
      <c r="AT46" s="413"/>
      <c r="AU46" s="413"/>
      <c r="AV46" s="413"/>
      <c r="AW46" s="253"/>
      <c r="AX46" s="413"/>
      <c r="AY46" s="409"/>
      <c r="AZ46" s="253"/>
      <c r="BA46" s="3831"/>
      <c r="BB46" s="504" t="s">
        <v>4658</v>
      </c>
      <c r="BC46" s="253"/>
      <c r="BD46" s="253"/>
      <c r="BE46" s="253"/>
      <c r="BF46" s="1061" t="s">
        <v>5429</v>
      </c>
      <c r="BG46" s="345" t="s">
        <v>184</v>
      </c>
      <c r="BH46" s="3843">
        <f>IF(BJ46&lt;&gt;"",ROUND(BJ46,0),ROUND(SUM(BH25,BG30,BG35,BG42),0))</f>
        <v>0</v>
      </c>
      <c r="BI46" s="253"/>
      <c r="BJ46" s="418"/>
      <c r="BK46" s="419"/>
      <c r="BL46" s="253"/>
    </row>
    <row r="47" spans="1:64" ht="21" customHeight="1">
      <c r="A47" s="2013"/>
      <c r="B47" s="11590"/>
      <c r="C47" s="11590"/>
      <c r="D47" s="11590"/>
      <c r="E47" s="11590"/>
      <c r="F47" s="11590"/>
      <c r="G47" s="11549"/>
      <c r="H47" s="11549"/>
      <c r="I47" s="11549"/>
      <c r="J47" s="11549"/>
      <c r="K47" s="11549"/>
      <c r="L47" s="11549"/>
      <c r="M47" s="11549"/>
      <c r="N47" s="11549"/>
      <c r="O47" s="11549"/>
      <c r="P47" s="11549"/>
      <c r="Q47" s="11549"/>
      <c r="R47" s="11549"/>
      <c r="S47" s="11549"/>
      <c r="T47" s="11549"/>
      <c r="U47" s="11549"/>
      <c r="V47" s="11549"/>
      <c r="W47" s="11549"/>
      <c r="X47" s="11549"/>
      <c r="Y47" s="11549"/>
      <c r="Z47" s="11549"/>
      <c r="AA47" s="11549"/>
      <c r="AB47" s="11549"/>
      <c r="AC47" s="11549"/>
      <c r="AD47" s="11549"/>
      <c r="AE47" s="11549"/>
      <c r="AF47" s="11549"/>
      <c r="AG47" s="11549"/>
      <c r="AH47" s="11549"/>
      <c r="AI47" s="11549"/>
      <c r="AJ47" s="11586"/>
      <c r="AK47" s="2013"/>
      <c r="AL47" s="344"/>
      <c r="AM47" s="3845"/>
      <c r="AN47" s="3845"/>
      <c r="AO47" s="11558" t="s">
        <v>6092</v>
      </c>
      <c r="AP47" s="11559"/>
      <c r="AQ47" s="11559"/>
      <c r="AR47" s="11559"/>
      <c r="AS47" s="11559"/>
      <c r="AT47" s="11559"/>
      <c r="AU47" s="11559"/>
      <c r="AV47" s="11559"/>
      <c r="AW47" s="11559"/>
      <c r="AX47" s="11559"/>
      <c r="AY47" s="11560"/>
      <c r="AZ47" s="253"/>
      <c r="BA47" s="412"/>
      <c r="BB47" s="2271"/>
      <c r="BC47" s="413"/>
      <c r="BD47" s="413"/>
      <c r="BE47" s="413"/>
      <c r="BF47" s="413"/>
      <c r="BG47" s="413"/>
      <c r="BH47" s="413"/>
      <c r="BI47" s="413"/>
      <c r="BJ47" s="413"/>
      <c r="BK47" s="409"/>
      <c r="BL47" s="253"/>
    </row>
    <row r="48" spans="1:64" ht="14.25" customHeight="1">
      <c r="A48" s="2013"/>
      <c r="B48" s="11590"/>
      <c r="C48" s="11590"/>
      <c r="D48" s="11590"/>
      <c r="E48" s="11590"/>
      <c r="F48" s="11590"/>
      <c r="G48" s="11549"/>
      <c r="H48" s="11549"/>
      <c r="I48" s="11549"/>
      <c r="J48" s="11549"/>
      <c r="K48" s="11549"/>
      <c r="L48" s="11549"/>
      <c r="M48" s="11549"/>
      <c r="N48" s="11549"/>
      <c r="O48" s="11549"/>
      <c r="P48" s="11549"/>
      <c r="Q48" s="11549"/>
      <c r="R48" s="11549"/>
      <c r="S48" s="11549"/>
      <c r="T48" s="11549"/>
      <c r="U48" s="11549"/>
      <c r="V48" s="11549"/>
      <c r="W48" s="11549"/>
      <c r="X48" s="11549"/>
      <c r="Y48" s="11549"/>
      <c r="Z48" s="11549"/>
      <c r="AA48" s="11549"/>
      <c r="AB48" s="11549"/>
      <c r="AC48" s="11549"/>
      <c r="AD48" s="11549"/>
      <c r="AE48" s="11549"/>
      <c r="AF48" s="11549"/>
      <c r="AG48" s="11549"/>
      <c r="AH48" s="11549"/>
      <c r="AI48" s="11549"/>
      <c r="AJ48" s="11586"/>
      <c r="AK48" s="2013"/>
      <c r="AL48" s="344"/>
      <c r="AM48" s="3845"/>
      <c r="AN48" s="3845"/>
      <c r="AO48" s="11561"/>
      <c r="AP48" s="11562"/>
      <c r="AQ48" s="11562"/>
      <c r="AR48" s="11562"/>
      <c r="AS48" s="11562"/>
      <c r="AT48" s="11562"/>
      <c r="AU48" s="11562"/>
      <c r="AV48" s="11562"/>
      <c r="AW48" s="11562"/>
      <c r="AX48" s="11562"/>
      <c r="AY48" s="11563"/>
      <c r="AZ48" s="253"/>
      <c r="BA48" s="11558" t="s">
        <v>4666</v>
      </c>
      <c r="BB48" s="11559"/>
      <c r="BC48" s="11559"/>
      <c r="BD48" s="11559"/>
      <c r="BE48" s="11559"/>
      <c r="BF48" s="11559"/>
      <c r="BG48" s="11559"/>
      <c r="BH48" s="11559"/>
      <c r="BI48" s="11559"/>
      <c r="BJ48" s="11559"/>
      <c r="BK48" s="11560"/>
      <c r="BL48" s="253"/>
    </row>
    <row r="49" spans="1:75">
      <c r="A49" s="2013"/>
      <c r="B49" s="11590"/>
      <c r="C49" s="11590"/>
      <c r="D49" s="11590"/>
      <c r="E49" s="11590"/>
      <c r="F49" s="11590"/>
      <c r="G49" s="11549"/>
      <c r="H49" s="11549"/>
      <c r="I49" s="11549"/>
      <c r="J49" s="11549"/>
      <c r="K49" s="11549"/>
      <c r="L49" s="11549"/>
      <c r="M49" s="11549"/>
      <c r="N49" s="11549"/>
      <c r="O49" s="11549"/>
      <c r="P49" s="11549"/>
      <c r="Q49" s="11549"/>
      <c r="R49" s="11549"/>
      <c r="S49" s="11549"/>
      <c r="T49" s="11549"/>
      <c r="U49" s="11549"/>
      <c r="V49" s="11549"/>
      <c r="W49" s="11549"/>
      <c r="X49" s="11549"/>
      <c r="Y49" s="11549"/>
      <c r="Z49" s="11549"/>
      <c r="AA49" s="11549"/>
      <c r="AB49" s="11549"/>
      <c r="AC49" s="11549"/>
      <c r="AD49" s="11549"/>
      <c r="AE49" s="11549"/>
      <c r="AF49" s="11549"/>
      <c r="AG49" s="11549"/>
      <c r="AH49" s="11549"/>
      <c r="AI49" s="11549"/>
      <c r="AJ49" s="11586"/>
      <c r="AK49" s="2013"/>
      <c r="AL49" s="253"/>
      <c r="AM49" s="3845"/>
      <c r="AN49" s="3845"/>
      <c r="AO49" s="11561"/>
      <c r="AP49" s="11562"/>
      <c r="AQ49" s="11562"/>
      <c r="AR49" s="11562"/>
      <c r="AS49" s="11562"/>
      <c r="AT49" s="11562"/>
      <c r="AU49" s="11562"/>
      <c r="AV49" s="11562"/>
      <c r="AW49" s="11562"/>
      <c r="AX49" s="11562"/>
      <c r="AY49" s="11563"/>
      <c r="AZ49" s="253"/>
      <c r="BA49" s="11561"/>
      <c r="BB49" s="11562"/>
      <c r="BC49" s="11562"/>
      <c r="BD49" s="11562"/>
      <c r="BE49" s="11562"/>
      <c r="BF49" s="11562"/>
      <c r="BG49" s="11562"/>
      <c r="BH49" s="11562"/>
      <c r="BI49" s="11562"/>
      <c r="BJ49" s="11562"/>
      <c r="BK49" s="11563"/>
      <c r="BL49" s="253"/>
      <c r="BV49" s="421"/>
      <c r="BW49" s="421"/>
    </row>
    <row r="50" spans="1:75" ht="15.75" thickBot="1">
      <c r="A50" s="2013"/>
      <c r="B50" s="3844" t="s">
        <v>1020</v>
      </c>
      <c r="C50" s="3846"/>
      <c r="D50" s="11557" t="s">
        <v>4378</v>
      </c>
      <c r="E50" s="11557"/>
      <c r="F50" s="11557"/>
      <c r="G50" s="11545"/>
      <c r="H50" s="11545"/>
      <c r="I50" s="11545"/>
      <c r="J50" s="11545"/>
      <c r="K50" s="11545"/>
      <c r="L50" s="11545"/>
      <c r="M50" s="11545"/>
      <c r="N50" s="11545"/>
      <c r="O50" s="11545"/>
      <c r="P50" s="11545"/>
      <c r="Q50" s="11546" t="str">
        <f t="shared" ref="Q50:Q61" si="0">IF(AM51&lt;&gt;"",ROUND(AM51,2),IF(OR(G50="",L50="",$D$37&lt;&gt;""),"",$AE$30))</f>
        <v/>
      </c>
      <c r="R50" s="11546"/>
      <c r="S50" s="11546"/>
      <c r="T50" s="11546"/>
      <c r="U50" s="11546"/>
      <c r="V50" s="11546" t="str">
        <f t="shared" ref="V50:V61" si="1">IF(OR(G50="",L50="",$D$37&lt;&gt;""),"",IF(Q50="",L50,IF(SUM(L50,-Q50)&lt;0,0,SUM(L50,-Q50))))</f>
        <v/>
      </c>
      <c r="W50" s="11546"/>
      <c r="X50" s="11546"/>
      <c r="Y50" s="11546"/>
      <c r="Z50" s="11546"/>
      <c r="AA50" s="11546" t="str">
        <f t="shared" ref="AA50:AA61" si="2">IF(OR(G50="",L50="",$D$37&lt;&gt;""),"",MIN(G50,V50))</f>
        <v/>
      </c>
      <c r="AB50" s="11546"/>
      <c r="AC50" s="11546"/>
      <c r="AD50" s="11546"/>
      <c r="AE50" s="11546"/>
      <c r="AF50" s="11550"/>
      <c r="AG50" s="11550"/>
      <c r="AH50" s="11550"/>
      <c r="AI50" s="11550"/>
      <c r="AJ50" s="7737"/>
      <c r="AK50" s="2013"/>
      <c r="AL50" s="253"/>
      <c r="AM50" s="253"/>
      <c r="AN50" s="253"/>
      <c r="AO50" s="11564"/>
      <c r="AP50" s="11565"/>
      <c r="AQ50" s="11565"/>
      <c r="AR50" s="11565"/>
      <c r="AS50" s="11565"/>
      <c r="AT50" s="11565"/>
      <c r="AU50" s="11565"/>
      <c r="AV50" s="11565"/>
      <c r="AW50" s="11565"/>
      <c r="AX50" s="11565"/>
      <c r="AY50" s="11566"/>
      <c r="AZ50" s="253"/>
      <c r="BA50" s="11561"/>
      <c r="BB50" s="11562"/>
      <c r="BC50" s="11562"/>
      <c r="BD50" s="11562"/>
      <c r="BE50" s="11562"/>
      <c r="BF50" s="11562"/>
      <c r="BG50" s="11562"/>
      <c r="BH50" s="11562"/>
      <c r="BI50" s="11562"/>
      <c r="BJ50" s="11562"/>
      <c r="BK50" s="11563"/>
      <c r="BL50" s="253"/>
      <c r="BV50" s="421"/>
      <c r="BW50" s="421"/>
    </row>
    <row r="51" spans="1:75" ht="15.75" customHeight="1" thickBot="1">
      <c r="A51" s="2013"/>
      <c r="B51" s="3844" t="s">
        <v>251</v>
      </c>
      <c r="C51" s="3846"/>
      <c r="D51" s="11557" t="s">
        <v>4383</v>
      </c>
      <c r="E51" s="11557"/>
      <c r="F51" s="11557"/>
      <c r="G51" s="11545"/>
      <c r="H51" s="11545"/>
      <c r="I51" s="11545"/>
      <c r="J51" s="11545"/>
      <c r="K51" s="11545"/>
      <c r="L51" s="11545"/>
      <c r="M51" s="11545"/>
      <c r="N51" s="11545"/>
      <c r="O51" s="11545"/>
      <c r="P51" s="11545"/>
      <c r="Q51" s="11546" t="str">
        <f t="shared" si="0"/>
        <v/>
      </c>
      <c r="R51" s="11546"/>
      <c r="S51" s="11546"/>
      <c r="T51" s="11546"/>
      <c r="U51" s="11546"/>
      <c r="V51" s="11546" t="str">
        <f t="shared" si="1"/>
        <v/>
      </c>
      <c r="W51" s="11546"/>
      <c r="X51" s="11546"/>
      <c r="Y51" s="11546"/>
      <c r="Z51" s="11546"/>
      <c r="AA51" s="11546" t="str">
        <f t="shared" si="2"/>
        <v/>
      </c>
      <c r="AB51" s="11546"/>
      <c r="AC51" s="11546"/>
      <c r="AD51" s="11546"/>
      <c r="AE51" s="11546"/>
      <c r="AF51" s="11550"/>
      <c r="AG51" s="11550"/>
      <c r="AH51" s="11550"/>
      <c r="AI51" s="11550"/>
      <c r="AJ51" s="7737"/>
      <c r="AK51" s="2013"/>
      <c r="AL51" s="817" t="s">
        <v>250</v>
      </c>
      <c r="AM51" s="1032"/>
      <c r="AN51" s="253"/>
      <c r="AO51" s="253"/>
      <c r="AP51" s="253"/>
      <c r="AQ51" s="253"/>
      <c r="AR51" s="253"/>
      <c r="AS51" s="253"/>
      <c r="AT51" s="253"/>
      <c r="AU51" s="253"/>
      <c r="AV51" s="253"/>
      <c r="AW51" s="253"/>
      <c r="AX51" s="253"/>
      <c r="AY51" s="253"/>
      <c r="AZ51" s="253"/>
      <c r="BA51" s="11564"/>
      <c r="BB51" s="11565"/>
      <c r="BC51" s="11565"/>
      <c r="BD51" s="11565"/>
      <c r="BE51" s="11565"/>
      <c r="BF51" s="11565"/>
      <c r="BG51" s="11565"/>
      <c r="BH51" s="11565"/>
      <c r="BI51" s="11565"/>
      <c r="BJ51" s="11565"/>
      <c r="BK51" s="11566"/>
      <c r="BL51" s="253"/>
      <c r="BV51" s="421"/>
      <c r="BW51" s="421"/>
    </row>
    <row r="52" spans="1:75" ht="16.5" customHeight="1" thickBot="1">
      <c r="A52" s="2013"/>
      <c r="B52" s="3844" t="s">
        <v>253</v>
      </c>
      <c r="C52" s="3846"/>
      <c r="D52" s="11557" t="s">
        <v>4386</v>
      </c>
      <c r="E52" s="11557"/>
      <c r="F52" s="11557"/>
      <c r="G52" s="11545"/>
      <c r="H52" s="11545"/>
      <c r="I52" s="11545"/>
      <c r="J52" s="11545"/>
      <c r="K52" s="11545"/>
      <c r="L52" s="11545"/>
      <c r="M52" s="11545"/>
      <c r="N52" s="11545"/>
      <c r="O52" s="11545"/>
      <c r="P52" s="11545"/>
      <c r="Q52" s="11546" t="str">
        <f t="shared" si="0"/>
        <v/>
      </c>
      <c r="R52" s="11546"/>
      <c r="S52" s="11546"/>
      <c r="T52" s="11546"/>
      <c r="U52" s="11546"/>
      <c r="V52" s="11546" t="str">
        <f t="shared" si="1"/>
        <v/>
      </c>
      <c r="W52" s="11546"/>
      <c r="X52" s="11546"/>
      <c r="Y52" s="11546"/>
      <c r="Z52" s="11546"/>
      <c r="AA52" s="11546" t="str">
        <f t="shared" si="2"/>
        <v/>
      </c>
      <c r="AB52" s="11546"/>
      <c r="AC52" s="11546"/>
      <c r="AD52" s="11546"/>
      <c r="AE52" s="11546"/>
      <c r="AF52" s="11550"/>
      <c r="AG52" s="11550"/>
      <c r="AH52" s="11550"/>
      <c r="AI52" s="11550"/>
      <c r="AJ52" s="7737"/>
      <c r="AK52" s="2013"/>
      <c r="AL52" s="817" t="s">
        <v>1167</v>
      </c>
      <c r="AM52" s="1032"/>
      <c r="AN52" s="253"/>
      <c r="AO52" s="512"/>
      <c r="AP52" s="3847" t="s">
        <v>4667</v>
      </c>
      <c r="AQ52" s="3848"/>
      <c r="AR52" s="3849"/>
      <c r="AS52" s="3849"/>
      <c r="AT52" s="3850"/>
      <c r="AU52" s="3851"/>
      <c r="AV52" s="3851"/>
      <c r="AW52" s="407"/>
      <c r="AX52" s="253"/>
      <c r="AY52" s="253"/>
      <c r="AZ52" s="253"/>
      <c r="BA52" s="253"/>
      <c r="BB52" s="253"/>
      <c r="BC52" s="253"/>
      <c r="BD52" s="253"/>
      <c r="BE52" s="253"/>
      <c r="BF52" s="253"/>
      <c r="BG52" s="253"/>
      <c r="BH52" s="253"/>
      <c r="BI52" s="253"/>
      <c r="BJ52" s="253"/>
      <c r="BK52" s="253"/>
      <c r="BL52" s="253"/>
      <c r="BV52" s="421"/>
      <c r="BW52" s="421"/>
    </row>
    <row r="53" spans="1:75" ht="16.5" customHeight="1" thickBot="1">
      <c r="A53" s="2013"/>
      <c r="B53" s="3844" t="s">
        <v>257</v>
      </c>
      <c r="C53" s="3846"/>
      <c r="D53" s="11557" t="s">
        <v>4387</v>
      </c>
      <c r="E53" s="11557"/>
      <c r="F53" s="11557"/>
      <c r="G53" s="11545"/>
      <c r="H53" s="11545"/>
      <c r="I53" s="11545"/>
      <c r="J53" s="11545"/>
      <c r="K53" s="11545"/>
      <c r="L53" s="11545"/>
      <c r="M53" s="11545"/>
      <c r="N53" s="11545"/>
      <c r="O53" s="11545"/>
      <c r="P53" s="11545"/>
      <c r="Q53" s="11546" t="str">
        <f t="shared" si="0"/>
        <v/>
      </c>
      <c r="R53" s="11546"/>
      <c r="S53" s="11546"/>
      <c r="T53" s="11546"/>
      <c r="U53" s="11546"/>
      <c r="V53" s="11546" t="str">
        <f t="shared" si="1"/>
        <v/>
      </c>
      <c r="W53" s="11546"/>
      <c r="X53" s="11546"/>
      <c r="Y53" s="11546"/>
      <c r="Z53" s="11546"/>
      <c r="AA53" s="11546" t="str">
        <f t="shared" si="2"/>
        <v/>
      </c>
      <c r="AB53" s="11546"/>
      <c r="AC53" s="11546"/>
      <c r="AD53" s="11546"/>
      <c r="AE53" s="11546"/>
      <c r="AF53" s="11550"/>
      <c r="AG53" s="11550"/>
      <c r="AH53" s="11550"/>
      <c r="AI53" s="11550"/>
      <c r="AJ53" s="7737"/>
      <c r="AK53" s="2013"/>
      <c r="AL53" s="817" t="s">
        <v>3032</v>
      </c>
      <c r="AM53" s="1032"/>
      <c r="AN53" s="253"/>
      <c r="AO53" s="512"/>
      <c r="AP53" s="3852" t="s">
        <v>157</v>
      </c>
      <c r="AQ53" s="3853" t="s">
        <v>4668</v>
      </c>
      <c r="AR53" s="851"/>
      <c r="AS53" s="3854"/>
      <c r="AT53" s="253"/>
      <c r="AU53" s="3855" t="s">
        <v>4669</v>
      </c>
      <c r="AV53" s="3856">
        <f>AE22</f>
        <v>0</v>
      </c>
      <c r="AW53" s="409"/>
      <c r="AX53" s="253"/>
      <c r="AY53" s="253"/>
      <c r="AZ53" s="253"/>
      <c r="BA53" s="253"/>
      <c r="BB53" s="253"/>
      <c r="BC53" s="253"/>
      <c r="BD53" s="253"/>
      <c r="BE53" s="253"/>
      <c r="BF53" s="253"/>
      <c r="BG53" s="253"/>
      <c r="BH53" s="253"/>
      <c r="BI53" s="253"/>
      <c r="BJ53" s="253"/>
      <c r="BK53" s="253"/>
      <c r="BL53" s="253"/>
    </row>
    <row r="54" spans="1:75" ht="16.5" customHeight="1" thickBot="1">
      <c r="A54" s="2013"/>
      <c r="B54" s="3844" t="s">
        <v>260</v>
      </c>
      <c r="C54" s="3846"/>
      <c r="D54" s="11557" t="s">
        <v>699</v>
      </c>
      <c r="E54" s="11557"/>
      <c r="F54" s="11557"/>
      <c r="G54" s="11545"/>
      <c r="H54" s="11545"/>
      <c r="I54" s="11545"/>
      <c r="J54" s="11545"/>
      <c r="K54" s="11545"/>
      <c r="L54" s="11545"/>
      <c r="M54" s="11545"/>
      <c r="N54" s="11545"/>
      <c r="O54" s="11545"/>
      <c r="P54" s="11545"/>
      <c r="Q54" s="11546" t="str">
        <f t="shared" si="0"/>
        <v/>
      </c>
      <c r="R54" s="11546"/>
      <c r="S54" s="11546"/>
      <c r="T54" s="11546"/>
      <c r="U54" s="11546"/>
      <c r="V54" s="11546" t="str">
        <f t="shared" si="1"/>
        <v/>
      </c>
      <c r="W54" s="11546"/>
      <c r="X54" s="11546"/>
      <c r="Y54" s="11546"/>
      <c r="Z54" s="11546"/>
      <c r="AA54" s="11546" t="str">
        <f t="shared" si="2"/>
        <v/>
      </c>
      <c r="AB54" s="11546"/>
      <c r="AC54" s="11546"/>
      <c r="AD54" s="11546"/>
      <c r="AE54" s="11546"/>
      <c r="AF54" s="11550"/>
      <c r="AG54" s="11550"/>
      <c r="AH54" s="11550"/>
      <c r="AI54" s="11550"/>
      <c r="AJ54" s="7737"/>
      <c r="AK54" s="2013"/>
      <c r="AL54" s="817" t="s">
        <v>3978</v>
      </c>
      <c r="AM54" s="1032"/>
      <c r="AN54" s="253"/>
      <c r="AO54" s="512"/>
      <c r="AP54" s="3852" t="s">
        <v>161</v>
      </c>
      <c r="AQ54" s="3853" t="s">
        <v>4672</v>
      </c>
      <c r="AR54" s="253"/>
      <c r="AS54" s="3854"/>
      <c r="AT54" s="3855" t="s">
        <v>4673</v>
      </c>
      <c r="AU54" s="3856">
        <f>AE25</f>
        <v>0</v>
      </c>
      <c r="AV54" s="3857"/>
      <c r="AW54" s="409"/>
      <c r="AX54" s="253"/>
      <c r="AY54" s="253"/>
      <c r="AZ54" s="253"/>
      <c r="BA54" s="11604" t="s">
        <v>4670</v>
      </c>
      <c r="BB54" s="11604"/>
      <c r="BC54" s="253"/>
      <c r="BD54" s="253"/>
      <c r="BE54" s="253"/>
      <c r="BF54" s="253"/>
      <c r="BG54" s="253"/>
      <c r="BH54" s="253"/>
      <c r="BI54" s="253"/>
      <c r="BJ54" s="253"/>
      <c r="BK54" s="253"/>
      <c r="BL54" s="253"/>
      <c r="BM54" s="827" t="s">
        <v>709</v>
      </c>
    </row>
    <row r="55" spans="1:75" ht="16.5" customHeight="1" thickBot="1">
      <c r="A55" s="2013"/>
      <c r="B55" s="3844" t="s">
        <v>262</v>
      </c>
      <c r="C55" s="3846"/>
      <c r="D55" s="11557" t="s">
        <v>4390</v>
      </c>
      <c r="E55" s="11557"/>
      <c r="F55" s="11557"/>
      <c r="G55" s="11545"/>
      <c r="H55" s="11545"/>
      <c r="I55" s="11545"/>
      <c r="J55" s="11545"/>
      <c r="K55" s="11545"/>
      <c r="L55" s="11545"/>
      <c r="M55" s="11545"/>
      <c r="N55" s="11545"/>
      <c r="O55" s="11545"/>
      <c r="P55" s="11545"/>
      <c r="Q55" s="11546" t="str">
        <f t="shared" si="0"/>
        <v/>
      </c>
      <c r="R55" s="11546"/>
      <c r="S55" s="11546"/>
      <c r="T55" s="11546"/>
      <c r="U55" s="11546"/>
      <c r="V55" s="11546" t="str">
        <f t="shared" si="1"/>
        <v/>
      </c>
      <c r="W55" s="11546"/>
      <c r="X55" s="11546"/>
      <c r="Y55" s="11546"/>
      <c r="Z55" s="11546"/>
      <c r="AA55" s="11546" t="str">
        <f t="shared" si="2"/>
        <v/>
      </c>
      <c r="AB55" s="11546"/>
      <c r="AC55" s="11546"/>
      <c r="AD55" s="11546"/>
      <c r="AE55" s="11546"/>
      <c r="AF55" s="11550"/>
      <c r="AG55" s="11550"/>
      <c r="AH55" s="11550"/>
      <c r="AI55" s="11550"/>
      <c r="AJ55" s="7737"/>
      <c r="AK55" s="2013"/>
      <c r="AL55" s="817" t="s">
        <v>4671</v>
      </c>
      <c r="AM55" s="1032"/>
      <c r="AN55" s="253"/>
      <c r="AO55" s="512"/>
      <c r="AP55" s="3852" t="s">
        <v>167</v>
      </c>
      <c r="AQ55" s="3853" t="str">
        <f>"Multiply the amount on line 2 by "&amp;TEXT(AT55,"0.0")&amp;"."</f>
        <v>Multiply the amount on line 2 by 4.0.</v>
      </c>
      <c r="AR55" s="3854"/>
      <c r="AS55" s="253"/>
      <c r="AT55" s="1039">
        <v>4</v>
      </c>
      <c r="AU55" s="3855" t="s">
        <v>4674</v>
      </c>
      <c r="AV55" s="3856">
        <f>IF(OR(AU54="",AT55=""),"",ROUND(AU54*AT55,0))</f>
        <v>0</v>
      </c>
      <c r="AW55" s="409"/>
      <c r="AX55" s="253"/>
      <c r="AY55" s="253"/>
      <c r="AZ55" s="3858"/>
      <c r="BA55" s="11605"/>
      <c r="BB55" s="11605"/>
      <c r="BC55" s="253"/>
      <c r="BD55" s="253"/>
      <c r="BE55" s="253"/>
      <c r="BF55" s="253"/>
      <c r="BG55" s="253"/>
      <c r="BH55" s="253"/>
      <c r="BI55" s="711"/>
      <c r="BJ55" s="711"/>
      <c r="BK55" s="711"/>
      <c r="BL55" s="253"/>
    </row>
    <row r="56" spans="1:75" ht="14.25" customHeight="1" thickBot="1">
      <c r="A56" s="2013"/>
      <c r="B56" s="3844" t="s">
        <v>264</v>
      </c>
      <c r="C56" s="3846"/>
      <c r="D56" s="11557" t="s">
        <v>4392</v>
      </c>
      <c r="E56" s="11557"/>
      <c r="F56" s="11557"/>
      <c r="G56" s="11545"/>
      <c r="H56" s="11545"/>
      <c r="I56" s="11545"/>
      <c r="J56" s="11545"/>
      <c r="K56" s="11545"/>
      <c r="L56" s="11545"/>
      <c r="M56" s="11545"/>
      <c r="N56" s="11545"/>
      <c r="O56" s="11545"/>
      <c r="P56" s="11545"/>
      <c r="Q56" s="11546" t="str">
        <f t="shared" si="0"/>
        <v/>
      </c>
      <c r="R56" s="11546"/>
      <c r="S56" s="11546"/>
      <c r="T56" s="11546"/>
      <c r="U56" s="11546"/>
      <c r="V56" s="11546" t="str">
        <f t="shared" si="1"/>
        <v/>
      </c>
      <c r="W56" s="11546"/>
      <c r="X56" s="11546"/>
      <c r="Y56" s="11546"/>
      <c r="Z56" s="11546"/>
      <c r="AA56" s="11546" t="str">
        <f t="shared" si="2"/>
        <v/>
      </c>
      <c r="AB56" s="11546"/>
      <c r="AC56" s="11546"/>
      <c r="AD56" s="11546"/>
      <c r="AE56" s="11546"/>
      <c r="AF56" s="11550"/>
      <c r="AG56" s="11550"/>
      <c r="AH56" s="11550"/>
      <c r="AI56" s="11550"/>
      <c r="AJ56" s="7737"/>
      <c r="AK56" s="2013"/>
      <c r="AL56" s="817" t="s">
        <v>1084</v>
      </c>
      <c r="AM56" s="1032"/>
      <c r="AN56" s="253"/>
      <c r="AO56" s="512"/>
      <c r="AP56" s="3862" t="s">
        <v>171</v>
      </c>
      <c r="AQ56" s="3853" t="s">
        <v>4675</v>
      </c>
      <c r="AR56" s="3854"/>
      <c r="AS56" s="253"/>
      <c r="AT56" s="253"/>
      <c r="AU56" s="253"/>
      <c r="AV56" s="3812" t="b">
        <f>AV53&gt;AV55</f>
        <v>0</v>
      </c>
      <c r="AW56" s="409"/>
      <c r="AX56" s="253"/>
      <c r="AY56" s="253"/>
      <c r="AZ56" s="2014"/>
      <c r="BA56" s="3859" t="str">
        <f>AE26</f>
        <v/>
      </c>
      <c r="BB56" s="3860">
        <f>IF(BA56&lt;150,0,IF(BA56&lt;300,ROUND(0.0004*(BA56-150),4),IF(BA56&lt;400,ROUND(0.06+0.00025*(BA56-300),4),0.085)))</f>
        <v>8.5000000000000006E-2</v>
      </c>
      <c r="BC56" s="253"/>
      <c r="BD56" s="253"/>
      <c r="BE56" s="253"/>
      <c r="BF56" s="3861"/>
      <c r="BG56" s="711"/>
      <c r="BH56" s="711"/>
      <c r="BI56" s="711"/>
      <c r="BJ56" s="711"/>
      <c r="BK56" s="711"/>
      <c r="BL56" s="253"/>
    </row>
    <row r="57" spans="1:75" ht="14.25" customHeight="1" thickBot="1">
      <c r="A57" s="2013"/>
      <c r="B57" s="3844" t="s">
        <v>266</v>
      </c>
      <c r="C57" s="3846"/>
      <c r="D57" s="11557" t="s">
        <v>4395</v>
      </c>
      <c r="E57" s="11557"/>
      <c r="F57" s="11557"/>
      <c r="G57" s="11545"/>
      <c r="H57" s="11545"/>
      <c r="I57" s="11545"/>
      <c r="J57" s="11545"/>
      <c r="K57" s="11545"/>
      <c r="L57" s="11545"/>
      <c r="M57" s="11545"/>
      <c r="N57" s="11545"/>
      <c r="O57" s="11545"/>
      <c r="P57" s="11545"/>
      <c r="Q57" s="11546" t="str">
        <f t="shared" si="0"/>
        <v/>
      </c>
      <c r="R57" s="11546"/>
      <c r="S57" s="11546"/>
      <c r="T57" s="11546"/>
      <c r="U57" s="11546"/>
      <c r="V57" s="11546" t="str">
        <f t="shared" si="1"/>
        <v/>
      </c>
      <c r="W57" s="11546"/>
      <c r="X57" s="11546"/>
      <c r="Y57" s="11546"/>
      <c r="Z57" s="11546"/>
      <c r="AA57" s="11546" t="str">
        <f t="shared" si="2"/>
        <v/>
      </c>
      <c r="AB57" s="11546"/>
      <c r="AC57" s="11546"/>
      <c r="AD57" s="11546"/>
      <c r="AE57" s="11546"/>
      <c r="AF57" s="11550"/>
      <c r="AG57" s="11550"/>
      <c r="AH57" s="11550"/>
      <c r="AI57" s="11550"/>
      <c r="AJ57" s="7737"/>
      <c r="AK57" s="2013"/>
      <c r="AL57" s="817" t="s">
        <v>4585</v>
      </c>
      <c r="AM57" s="1032"/>
      <c r="AN57" s="253"/>
      <c r="AO57" s="512"/>
      <c r="AP57" s="3864" t="s">
        <v>4676</v>
      </c>
      <c r="AQ57" s="3865" t="s">
        <v>4677</v>
      </c>
      <c r="AR57" s="3865"/>
      <c r="AS57" s="253"/>
      <c r="AT57" s="253"/>
      <c r="AU57" s="253"/>
      <c r="AV57" s="2741"/>
      <c r="AW57" s="409"/>
      <c r="AX57" s="253"/>
      <c r="AY57" s="253"/>
      <c r="AZ57" s="2034" t="s">
        <v>4678</v>
      </c>
      <c r="BA57" s="253"/>
      <c r="BB57" s="253"/>
      <c r="BC57" s="3863"/>
      <c r="BD57" s="253"/>
      <c r="BE57" s="253"/>
      <c r="BF57" s="3861"/>
      <c r="BG57" s="711"/>
      <c r="BH57" s="711"/>
      <c r="BI57" s="711"/>
      <c r="BJ57" s="711"/>
      <c r="BK57" s="711"/>
      <c r="BL57" s="253"/>
    </row>
    <row r="58" spans="1:75" ht="14.25" customHeight="1" thickBot="1">
      <c r="A58" s="2013"/>
      <c r="B58" s="3844" t="s">
        <v>268</v>
      </c>
      <c r="C58" s="3846"/>
      <c r="D58" s="11557" t="s">
        <v>4397</v>
      </c>
      <c r="E58" s="11557"/>
      <c r="F58" s="11557"/>
      <c r="G58" s="11545"/>
      <c r="H58" s="11545"/>
      <c r="I58" s="11545"/>
      <c r="J58" s="11545"/>
      <c r="K58" s="11545"/>
      <c r="L58" s="11545"/>
      <c r="M58" s="11545"/>
      <c r="N58" s="11545"/>
      <c r="O58" s="11545"/>
      <c r="P58" s="11545"/>
      <c r="Q58" s="11546" t="str">
        <f t="shared" si="0"/>
        <v/>
      </c>
      <c r="R58" s="11546"/>
      <c r="S58" s="11546"/>
      <c r="T58" s="11546"/>
      <c r="U58" s="11546"/>
      <c r="V58" s="11546" t="str">
        <f t="shared" si="1"/>
        <v/>
      </c>
      <c r="W58" s="11546"/>
      <c r="X58" s="11546"/>
      <c r="Y58" s="11546"/>
      <c r="Z58" s="11546"/>
      <c r="AA58" s="11546" t="str">
        <f t="shared" si="2"/>
        <v/>
      </c>
      <c r="AB58" s="11546"/>
      <c r="AC58" s="11546"/>
      <c r="AD58" s="11546"/>
      <c r="AE58" s="11546"/>
      <c r="AF58" s="11550"/>
      <c r="AG58" s="11550"/>
      <c r="AH58" s="11550"/>
      <c r="AI58" s="11550"/>
      <c r="AJ58" s="7737"/>
      <c r="AK58" s="2013"/>
      <c r="AL58" s="817" t="s">
        <v>4592</v>
      </c>
      <c r="AM58" s="1032"/>
      <c r="AN58" s="253"/>
      <c r="AO58" s="253"/>
      <c r="AP58" s="3866"/>
      <c r="AQ58" s="3853" t="s">
        <v>4680</v>
      </c>
      <c r="AR58" s="3854"/>
      <c r="AS58" s="253"/>
      <c r="AT58" s="253"/>
      <c r="AU58" s="253"/>
      <c r="AV58" s="253"/>
      <c r="AW58" s="409"/>
      <c r="AX58" s="253"/>
      <c r="AY58" s="253"/>
      <c r="AZ58" s="2014"/>
      <c r="BA58" s="1322">
        <v>281</v>
      </c>
      <c r="BB58" s="3860">
        <f>IF(BA58&lt;150,0,IF(BA58&lt;300,ROUND(0.0004*(BA58-150),4),IF(BA58&lt;400,ROUND(0.06+0.00025*(BA58-300),4),0.085)))</f>
        <v>5.2400000000000002E-2</v>
      </c>
      <c r="BC58" s="3863"/>
      <c r="BD58" s="711"/>
      <c r="BE58" s="711"/>
      <c r="BF58" s="3861"/>
      <c r="BG58" s="711"/>
      <c r="BH58" s="711"/>
      <c r="BI58" s="711"/>
      <c r="BJ58" s="711"/>
      <c r="BK58" s="711"/>
      <c r="BL58" s="253"/>
    </row>
    <row r="59" spans="1:75" ht="14.25" customHeight="1" thickBot="1">
      <c r="A59" s="2013"/>
      <c r="B59" s="3844" t="s">
        <v>3929</v>
      </c>
      <c r="C59" s="3846"/>
      <c r="D59" s="11557" t="s">
        <v>4399</v>
      </c>
      <c r="E59" s="11557"/>
      <c r="F59" s="11557"/>
      <c r="G59" s="11545"/>
      <c r="H59" s="11545"/>
      <c r="I59" s="11545"/>
      <c r="J59" s="11545"/>
      <c r="K59" s="11545"/>
      <c r="L59" s="11545"/>
      <c r="M59" s="11545"/>
      <c r="N59" s="11545"/>
      <c r="O59" s="11545"/>
      <c r="P59" s="11545"/>
      <c r="Q59" s="11546" t="str">
        <f t="shared" si="0"/>
        <v/>
      </c>
      <c r="R59" s="11546"/>
      <c r="S59" s="11546"/>
      <c r="T59" s="11546"/>
      <c r="U59" s="11546"/>
      <c r="V59" s="11546" t="str">
        <f t="shared" si="1"/>
        <v/>
      </c>
      <c r="W59" s="11546"/>
      <c r="X59" s="11546"/>
      <c r="Y59" s="11546"/>
      <c r="Z59" s="11546"/>
      <c r="AA59" s="11546" t="str">
        <f t="shared" si="2"/>
        <v/>
      </c>
      <c r="AB59" s="11546"/>
      <c r="AC59" s="11546"/>
      <c r="AD59" s="11546"/>
      <c r="AE59" s="11546"/>
      <c r="AF59" s="11550"/>
      <c r="AG59" s="11550"/>
      <c r="AH59" s="11550"/>
      <c r="AI59" s="11550"/>
      <c r="AJ59" s="7737"/>
      <c r="AK59" s="2013"/>
      <c r="AL59" s="817" t="s">
        <v>4679</v>
      </c>
      <c r="AM59" s="1032"/>
      <c r="AN59" s="253"/>
      <c r="AO59" s="253"/>
      <c r="AP59" s="3864" t="s">
        <v>4682</v>
      </c>
      <c r="AQ59" s="3853" t="s">
        <v>4683</v>
      </c>
      <c r="AR59" s="3867"/>
      <c r="AS59" s="253"/>
      <c r="AT59" s="253"/>
      <c r="AU59" s="3868"/>
      <c r="AV59" s="2741"/>
      <c r="AW59" s="409"/>
      <c r="AX59" s="253"/>
      <c r="AY59" s="253"/>
      <c r="AZ59" s="2014"/>
      <c r="BA59" s="730" t="s">
        <v>774</v>
      </c>
      <c r="BB59" s="730" t="s">
        <v>4681</v>
      </c>
      <c r="BC59" s="3863"/>
      <c r="BD59" s="711"/>
      <c r="BE59" s="711"/>
      <c r="BF59" s="3861"/>
      <c r="BG59" s="711"/>
      <c r="BH59" s="711"/>
      <c r="BI59" s="711"/>
      <c r="BJ59" s="711"/>
      <c r="BK59" s="711"/>
      <c r="BL59" s="253"/>
    </row>
    <row r="60" spans="1:75" ht="14.25" customHeight="1" thickBot="1">
      <c r="A60" s="2013"/>
      <c r="B60" s="3844" t="s">
        <v>3931</v>
      </c>
      <c r="C60" s="3846"/>
      <c r="D60" s="11557" t="s">
        <v>4401</v>
      </c>
      <c r="E60" s="11557"/>
      <c r="F60" s="11557"/>
      <c r="G60" s="11545"/>
      <c r="H60" s="11545"/>
      <c r="I60" s="11545"/>
      <c r="J60" s="11545"/>
      <c r="K60" s="11545"/>
      <c r="L60" s="11545"/>
      <c r="M60" s="11545"/>
      <c r="N60" s="11545"/>
      <c r="O60" s="11545"/>
      <c r="P60" s="11545"/>
      <c r="Q60" s="11546" t="str">
        <f t="shared" si="0"/>
        <v/>
      </c>
      <c r="R60" s="11546"/>
      <c r="S60" s="11546"/>
      <c r="T60" s="11546"/>
      <c r="U60" s="11546"/>
      <c r="V60" s="11546" t="str">
        <f t="shared" si="1"/>
        <v/>
      </c>
      <c r="W60" s="11546"/>
      <c r="X60" s="11546"/>
      <c r="Y60" s="11546"/>
      <c r="Z60" s="11546"/>
      <c r="AA60" s="11546" t="str">
        <f t="shared" si="2"/>
        <v/>
      </c>
      <c r="AB60" s="11546"/>
      <c r="AC60" s="11546"/>
      <c r="AD60" s="11546"/>
      <c r="AE60" s="11546"/>
      <c r="AF60" s="11550"/>
      <c r="AG60" s="11550"/>
      <c r="AH60" s="11550"/>
      <c r="AI60" s="11550"/>
      <c r="AJ60" s="7737"/>
      <c r="AK60" s="2013"/>
      <c r="AL60" s="817" t="s">
        <v>3347</v>
      </c>
      <c r="AM60" s="1032"/>
      <c r="AN60" s="253"/>
      <c r="AO60" s="253"/>
      <c r="AP60" s="3869"/>
      <c r="AQ60" s="3853" t="s">
        <v>4684</v>
      </c>
      <c r="AR60" s="3868"/>
      <c r="AS60" s="253"/>
      <c r="AT60" s="3868"/>
      <c r="AU60" s="3870"/>
      <c r="AV60" s="1318"/>
      <c r="AW60" s="409"/>
      <c r="AX60" s="253"/>
      <c r="AY60" s="253"/>
      <c r="AZ60" s="2014"/>
      <c r="BA60" s="253"/>
      <c r="BB60" s="253"/>
      <c r="BC60" s="3863"/>
      <c r="BD60" s="711"/>
      <c r="BE60" s="711"/>
      <c r="BF60" s="3861"/>
      <c r="BG60" s="711"/>
      <c r="BH60" s="711"/>
      <c r="BI60" s="711"/>
      <c r="BJ60" s="711"/>
      <c r="BK60" s="711"/>
      <c r="BL60" s="253"/>
    </row>
    <row r="61" spans="1:75" ht="14.25" customHeight="1" thickBot="1">
      <c r="A61" s="2013"/>
      <c r="B61" s="3871" t="s">
        <v>4042</v>
      </c>
      <c r="C61" s="3872"/>
      <c r="D61" s="11609" t="s">
        <v>4402</v>
      </c>
      <c r="E61" s="11609"/>
      <c r="F61" s="11609"/>
      <c r="G61" s="11554"/>
      <c r="H61" s="11554"/>
      <c r="I61" s="11554"/>
      <c r="J61" s="11554"/>
      <c r="K61" s="11554"/>
      <c r="L61" s="11554"/>
      <c r="M61" s="11554"/>
      <c r="N61" s="11554"/>
      <c r="O61" s="11554"/>
      <c r="P61" s="11554"/>
      <c r="Q61" s="11610" t="str">
        <f t="shared" si="0"/>
        <v/>
      </c>
      <c r="R61" s="11610"/>
      <c r="S61" s="11610"/>
      <c r="T61" s="11610"/>
      <c r="U61" s="11610"/>
      <c r="V61" s="11610" t="str">
        <f t="shared" si="1"/>
        <v/>
      </c>
      <c r="W61" s="11610"/>
      <c r="X61" s="11610"/>
      <c r="Y61" s="11610"/>
      <c r="Z61" s="11610"/>
      <c r="AA61" s="11610" t="str">
        <f t="shared" si="2"/>
        <v/>
      </c>
      <c r="AB61" s="11610"/>
      <c r="AC61" s="11610"/>
      <c r="AD61" s="11610"/>
      <c r="AE61" s="11610"/>
      <c r="AF61" s="11554"/>
      <c r="AG61" s="11554"/>
      <c r="AH61" s="11554"/>
      <c r="AI61" s="11554"/>
      <c r="AJ61" s="11555"/>
      <c r="AK61" s="2013"/>
      <c r="AL61" s="817" t="s">
        <v>3357</v>
      </c>
      <c r="AM61" s="1032"/>
      <c r="AN61" s="253"/>
      <c r="AO61" s="253"/>
      <c r="AP61" s="3873"/>
      <c r="AQ61" s="3853" t="s">
        <v>4685</v>
      </c>
      <c r="AR61" s="3870"/>
      <c r="AS61" s="3870"/>
      <c r="AT61" s="253"/>
      <c r="AU61" s="3855"/>
      <c r="AV61" s="1318"/>
      <c r="AW61" s="409"/>
      <c r="AX61" s="253"/>
      <c r="AY61" s="253"/>
      <c r="AZ61" s="2014"/>
      <c r="BA61" s="253"/>
      <c r="BB61" s="253"/>
      <c r="BC61" s="3863"/>
      <c r="BD61" s="711"/>
      <c r="BE61" s="711"/>
      <c r="BF61" s="3861"/>
      <c r="BG61" s="711"/>
      <c r="BH61" s="711"/>
      <c r="BI61" s="711"/>
      <c r="BJ61" s="711"/>
      <c r="BK61" s="711"/>
      <c r="BL61" s="253"/>
    </row>
    <row r="62" spans="1:75" ht="14.25" customHeight="1" thickBot="1">
      <c r="A62" s="2013"/>
      <c r="B62" s="3874" t="s">
        <v>4043</v>
      </c>
      <c r="C62" s="377"/>
      <c r="D62" s="344" t="s">
        <v>6084</v>
      </c>
      <c r="E62" s="253"/>
      <c r="F62" s="253"/>
      <c r="G62" s="253"/>
      <c r="H62" s="253"/>
      <c r="I62" s="253"/>
      <c r="J62" s="253"/>
      <c r="K62" s="253"/>
      <c r="L62" s="253"/>
      <c r="M62" s="253"/>
      <c r="N62" s="253"/>
      <c r="O62" s="253"/>
      <c r="P62" s="253"/>
      <c r="Q62" s="253"/>
      <c r="R62" s="253"/>
      <c r="S62" s="253"/>
      <c r="T62" s="253"/>
      <c r="U62" s="253"/>
      <c r="V62" s="253"/>
      <c r="W62" s="253"/>
      <c r="X62" s="253"/>
      <c r="Y62" s="253"/>
      <c r="Z62" s="253"/>
      <c r="AA62" s="253"/>
      <c r="AB62" s="253"/>
      <c r="AC62" s="253"/>
      <c r="AD62" s="726"/>
      <c r="AE62" s="253"/>
      <c r="AF62" s="253"/>
      <c r="AG62" s="253"/>
      <c r="AH62" s="253"/>
      <c r="AI62" s="253"/>
      <c r="AJ62" s="253"/>
      <c r="AK62" s="2013"/>
      <c r="AL62" s="817" t="s">
        <v>2380</v>
      </c>
      <c r="AM62" s="1032"/>
      <c r="AN62" s="344"/>
      <c r="AO62" s="253"/>
      <c r="AP62" s="3852"/>
      <c r="AQ62" s="3853" t="s">
        <v>4686</v>
      </c>
      <c r="AR62" s="253"/>
      <c r="AS62" s="253"/>
      <c r="AT62" s="253"/>
      <c r="AU62" s="253"/>
      <c r="AV62" s="253"/>
      <c r="AW62" s="409"/>
      <c r="AX62" s="253"/>
      <c r="AY62" s="253"/>
      <c r="AZ62" s="2014"/>
      <c r="BA62" s="253"/>
      <c r="BB62" s="253"/>
      <c r="BC62" s="3863"/>
      <c r="BD62" s="711"/>
      <c r="BE62" s="711"/>
      <c r="BF62" s="3861"/>
      <c r="BG62" s="711"/>
      <c r="BH62" s="711"/>
      <c r="BI62" s="711"/>
      <c r="BJ62" s="711"/>
      <c r="BK62" s="711"/>
      <c r="BL62" s="253"/>
    </row>
    <row r="63" spans="1:75" ht="14.25" customHeight="1" thickBot="1">
      <c r="A63" s="2013"/>
      <c r="B63" s="3827"/>
      <c r="C63" s="253"/>
      <c r="D63" s="344" t="s">
        <v>584</v>
      </c>
      <c r="E63" s="253"/>
      <c r="F63" s="253"/>
      <c r="G63" s="253"/>
      <c r="H63" s="253"/>
      <c r="I63" s="253"/>
      <c r="J63" s="253"/>
      <c r="K63" s="253"/>
      <c r="L63" s="253"/>
      <c r="M63" s="253"/>
      <c r="N63" s="253"/>
      <c r="O63" s="253"/>
      <c r="P63" s="253"/>
      <c r="Q63" s="253"/>
      <c r="R63" s="253"/>
      <c r="S63" s="253"/>
      <c r="T63" s="253"/>
      <c r="U63" s="253"/>
      <c r="V63" s="253"/>
      <c r="W63" s="253"/>
      <c r="X63" s="253"/>
      <c r="Y63" s="253"/>
      <c r="Z63" s="253"/>
      <c r="AA63" s="253"/>
      <c r="AB63" s="253"/>
      <c r="AC63" s="1657" t="s">
        <v>6087</v>
      </c>
      <c r="AD63" s="2895">
        <v>24</v>
      </c>
      <c r="AE63" s="8198">
        <f>IF(AM63&lt;&gt;"",ROUND(AM63,0),IF(AND(AA45&lt;&gt;"",AA45&gt;0),ROUND(AA45,0),ROUND(AO72,0)))</f>
        <v>0</v>
      </c>
      <c r="AF63" s="11542"/>
      <c r="AG63" s="11542"/>
      <c r="AH63" s="11542"/>
      <c r="AI63" s="11542"/>
      <c r="AJ63" s="11542"/>
      <c r="AK63" s="2013"/>
      <c r="AL63" s="817"/>
      <c r="AM63" s="1032"/>
      <c r="AN63" s="344"/>
      <c r="AO63" s="253"/>
      <c r="AP63" s="3852"/>
      <c r="AQ63" s="3853" t="s">
        <v>4687</v>
      </c>
      <c r="AR63" s="253"/>
      <c r="AS63" s="253"/>
      <c r="AT63" s="253"/>
      <c r="AU63" s="253"/>
      <c r="AV63" s="3875">
        <v>401</v>
      </c>
      <c r="AW63" s="409"/>
      <c r="AX63" s="253"/>
      <c r="AY63" s="253"/>
      <c r="AZ63" s="2014"/>
      <c r="BA63" s="253"/>
      <c r="BB63" s="253"/>
      <c r="BC63" s="3863"/>
      <c r="BD63" s="711"/>
      <c r="BE63" s="711"/>
      <c r="BF63" s="3861"/>
      <c r="BG63" s="711"/>
      <c r="BH63" s="711"/>
      <c r="BI63" s="711"/>
      <c r="BJ63" s="711"/>
      <c r="BK63" s="711"/>
      <c r="BL63" s="253"/>
    </row>
    <row r="64" spans="1:75" ht="14.25" customHeight="1" thickBot="1">
      <c r="A64" s="2013"/>
      <c r="B64" s="3827" t="s">
        <v>4049</v>
      </c>
      <c r="C64" s="253"/>
      <c r="D64" s="344" t="s">
        <v>6085</v>
      </c>
      <c r="E64" s="253"/>
      <c r="F64" s="253"/>
      <c r="G64" s="253"/>
      <c r="H64" s="253"/>
      <c r="I64" s="253"/>
      <c r="J64" s="253"/>
      <c r="K64" s="253"/>
      <c r="L64" s="253"/>
      <c r="M64" s="253"/>
      <c r="N64" s="253"/>
      <c r="O64" s="253"/>
      <c r="P64" s="253"/>
      <c r="Q64" s="253"/>
      <c r="R64" s="253"/>
      <c r="S64" s="253"/>
      <c r="T64" s="253"/>
      <c r="U64" s="253"/>
      <c r="V64" s="253"/>
      <c r="W64" s="253"/>
      <c r="X64" s="253"/>
      <c r="Y64" s="253"/>
      <c r="Z64" s="253"/>
      <c r="AA64" s="253"/>
      <c r="AB64" s="253"/>
      <c r="AC64" s="253"/>
      <c r="AD64" s="726"/>
      <c r="AE64" s="405"/>
      <c r="AF64" s="406"/>
      <c r="AG64" s="406"/>
      <c r="AH64" s="406"/>
      <c r="AI64" s="406"/>
      <c r="AJ64" s="406"/>
      <c r="AK64" s="2013"/>
      <c r="AL64" s="817"/>
      <c r="AM64" s="253"/>
      <c r="AN64" s="710"/>
      <c r="AO64" s="253"/>
      <c r="AP64" s="3852"/>
      <c r="AQ64" s="3853" t="s">
        <v>4689</v>
      </c>
      <c r="AR64" s="253"/>
      <c r="AS64" s="253"/>
      <c r="AT64" s="253"/>
      <c r="AU64" s="253"/>
      <c r="AV64" s="253"/>
      <c r="AW64" s="409"/>
      <c r="AX64" s="253"/>
      <c r="AY64" s="253"/>
      <c r="AZ64" s="2014"/>
      <c r="BA64" s="253"/>
      <c r="BB64" s="253"/>
      <c r="BC64" s="3863"/>
      <c r="BD64" s="711"/>
      <c r="BE64" s="711"/>
      <c r="BF64" s="3861"/>
      <c r="BG64" s="711"/>
      <c r="BH64" s="711"/>
      <c r="BI64" s="711"/>
      <c r="BJ64" s="711"/>
      <c r="BK64" s="711"/>
      <c r="BL64" s="253"/>
    </row>
    <row r="65" spans="1:64" ht="14.25" customHeight="1" thickBot="1">
      <c r="A65" s="2013"/>
      <c r="B65" s="3827"/>
      <c r="C65" s="253"/>
      <c r="D65" s="344" t="s">
        <v>6086</v>
      </c>
      <c r="E65" s="253"/>
      <c r="F65" s="253"/>
      <c r="G65" s="253"/>
      <c r="H65" s="253"/>
      <c r="I65" s="253"/>
      <c r="J65" s="253"/>
      <c r="K65" s="253"/>
      <c r="L65" s="253"/>
      <c r="M65" s="253"/>
      <c r="N65" s="253"/>
      <c r="O65" s="253"/>
      <c r="P65" s="253"/>
      <c r="Q65" s="253"/>
      <c r="R65" s="253"/>
      <c r="S65" s="253"/>
      <c r="T65" s="253"/>
      <c r="U65" s="253"/>
      <c r="V65" s="253"/>
      <c r="W65" s="253"/>
      <c r="X65" s="253"/>
      <c r="Y65" s="253"/>
      <c r="Z65" s="253"/>
      <c r="AA65" s="253"/>
      <c r="AB65" s="253"/>
      <c r="AC65" s="1657" t="s">
        <v>6088</v>
      </c>
      <c r="AD65" s="2895">
        <v>25</v>
      </c>
      <c r="AE65" s="8198">
        <f>IF(AM65&lt;&gt;"",ROUND(AM65,0),IF(D33&lt;&gt;"","",IF(AND(AF45&lt;&gt;"",AF45&gt;0),ROUND(AF45,0),ROUND(AO73,0))))</f>
        <v>0</v>
      </c>
      <c r="AF65" s="11542"/>
      <c r="AG65" s="11542"/>
      <c r="AH65" s="11542"/>
      <c r="AI65" s="11542"/>
      <c r="AJ65" s="11542"/>
      <c r="AK65" s="2013"/>
      <c r="AL65" s="817"/>
      <c r="AM65" s="709"/>
      <c r="AN65" s="710"/>
      <c r="AO65" s="253"/>
      <c r="AP65" s="3864"/>
      <c r="AQ65" s="3853" t="s">
        <v>4693</v>
      </c>
      <c r="AR65" s="253"/>
      <c r="AS65" s="253"/>
      <c r="AT65" s="253"/>
      <c r="AU65" s="253"/>
      <c r="AV65" s="253"/>
      <c r="AW65" s="409"/>
      <c r="AX65" s="253"/>
      <c r="AY65" s="253"/>
      <c r="AZ65" s="2014"/>
      <c r="BA65" s="253"/>
      <c r="BB65" s="253"/>
      <c r="BC65" s="3863"/>
      <c r="BD65" s="711"/>
      <c r="BE65" s="711"/>
      <c r="BF65" s="3861"/>
      <c r="BG65" s="711"/>
      <c r="BH65" s="711"/>
      <c r="BI65" s="711"/>
      <c r="BJ65" s="711"/>
      <c r="BK65" s="711"/>
      <c r="BL65" s="253"/>
    </row>
    <row r="66" spans="1:64" ht="14.25" customHeight="1">
      <c r="A66" s="2013"/>
      <c r="B66" s="3827" t="s">
        <v>4050</v>
      </c>
      <c r="C66" s="253"/>
      <c r="D66" s="759" t="s">
        <v>4688</v>
      </c>
      <c r="E66" s="362"/>
      <c r="F66" s="362"/>
      <c r="G66" s="362"/>
      <c r="H66" s="362"/>
      <c r="I66" s="362"/>
      <c r="J66" s="362"/>
      <c r="K66" s="362"/>
      <c r="L66" s="362"/>
      <c r="M66" s="362"/>
      <c r="N66" s="362"/>
      <c r="O66" s="362"/>
      <c r="P66" s="362"/>
      <c r="Q66" s="362"/>
      <c r="R66" s="362"/>
      <c r="S66" s="362"/>
      <c r="T66" s="362"/>
      <c r="U66" s="362"/>
      <c r="V66" s="362"/>
      <c r="W66" s="362"/>
      <c r="X66" s="362"/>
      <c r="Y66" s="362"/>
      <c r="Z66" s="362"/>
      <c r="AA66" s="362"/>
      <c r="AB66" s="362"/>
      <c r="AC66" s="3876"/>
      <c r="AD66" s="726"/>
      <c r="AE66" s="253"/>
      <c r="AF66" s="253"/>
      <c r="AG66" s="253"/>
      <c r="AH66" s="253"/>
      <c r="AI66" s="253"/>
      <c r="AJ66" s="253"/>
      <c r="AK66" s="2013"/>
      <c r="AL66" s="817"/>
      <c r="AM66" s="253"/>
      <c r="AN66" s="710"/>
      <c r="AO66" s="253"/>
      <c r="AP66" s="3864"/>
      <c r="AQ66" s="3853" t="s">
        <v>4695</v>
      </c>
      <c r="AR66" s="253"/>
      <c r="AS66" s="253"/>
      <c r="AT66" s="253"/>
      <c r="AU66" s="253"/>
      <c r="AV66" s="3868"/>
      <c r="AW66" s="409"/>
      <c r="AX66" s="253"/>
      <c r="AY66" s="253"/>
      <c r="AZ66" s="2014"/>
      <c r="BA66" s="253"/>
      <c r="BB66" s="253"/>
      <c r="BC66" s="3863"/>
      <c r="BD66" s="711"/>
      <c r="BE66" s="711"/>
      <c r="BF66" s="3861"/>
      <c r="BG66" s="711"/>
      <c r="BH66" s="711"/>
      <c r="BI66" s="711"/>
      <c r="BJ66" s="711"/>
      <c r="BK66" s="711"/>
      <c r="BL66" s="253"/>
    </row>
    <row r="67" spans="1:64" ht="14.25" customHeight="1" thickBot="1">
      <c r="A67" s="2013"/>
      <c r="B67" s="253"/>
      <c r="C67" s="253"/>
      <c r="D67" s="759" t="s">
        <v>4690</v>
      </c>
      <c r="E67" s="362"/>
      <c r="F67" s="362"/>
      <c r="G67" s="362"/>
      <c r="H67" s="362"/>
      <c r="I67" s="362"/>
      <c r="J67" s="362"/>
      <c r="K67" s="362"/>
      <c r="L67" s="362"/>
      <c r="M67" s="362"/>
      <c r="N67" s="362"/>
      <c r="O67" s="362"/>
      <c r="P67" s="362"/>
      <c r="Q67" s="362"/>
      <c r="R67" s="362"/>
      <c r="S67" s="7916" t="s">
        <v>4691</v>
      </c>
      <c r="T67" s="7916"/>
      <c r="U67" s="7916"/>
      <c r="V67" s="362" t="s">
        <v>4692</v>
      </c>
      <c r="W67" s="362"/>
      <c r="X67" s="362"/>
      <c r="Y67" s="344"/>
      <c r="Z67" s="362"/>
      <c r="AA67" s="344"/>
      <c r="AB67" s="253"/>
      <c r="AC67" s="409"/>
      <c r="AD67" s="726"/>
      <c r="AE67" s="11603" t="b">
        <f>IF(AE63&gt;AE65,TRUE,FALSE)</f>
        <v>0</v>
      </c>
      <c r="AF67" s="7835"/>
      <c r="AG67" s="7835"/>
      <c r="AH67" s="7835"/>
      <c r="AI67" s="7835"/>
      <c r="AJ67" s="7835"/>
      <c r="AK67" s="2013"/>
      <c r="AL67" s="253"/>
      <c r="AM67" s="253"/>
      <c r="AN67" s="253"/>
      <c r="AO67" s="253"/>
      <c r="AP67" s="3864"/>
      <c r="AQ67" s="3853">
        <v>8962</v>
      </c>
      <c r="AR67" s="3880"/>
      <c r="AS67" s="3854"/>
      <c r="AT67" s="349"/>
      <c r="AU67" s="3855" t="s">
        <v>171</v>
      </c>
      <c r="AV67" s="3881" t="str">
        <f>IF(OR(AND(File_Marr_Sep&lt;&gt;"",AI13=""),AU54=0),"",IF(AV56,AV63,TRUNC(100*AV53/AU54)))</f>
        <v/>
      </c>
      <c r="AW67" s="409"/>
      <c r="AX67" s="253"/>
      <c r="AY67" s="253"/>
      <c r="AZ67" s="2014"/>
      <c r="BA67" s="253"/>
      <c r="BB67" s="253"/>
      <c r="BC67" s="3863"/>
      <c r="BD67" s="711"/>
      <c r="BE67" s="711"/>
      <c r="BF67" s="3861"/>
      <c r="BG67" s="711"/>
      <c r="BH67" s="711"/>
      <c r="BI67" s="711"/>
      <c r="BJ67" s="711"/>
      <c r="BK67" s="711"/>
      <c r="BL67" s="253"/>
    </row>
    <row r="68" spans="1:64" ht="13.5" thickBot="1">
      <c r="A68" s="2013"/>
      <c r="B68" s="413"/>
      <c r="C68" s="413"/>
      <c r="D68" s="3801" t="s">
        <v>4694</v>
      </c>
      <c r="E68" s="413"/>
      <c r="F68" s="413"/>
      <c r="G68" s="413"/>
      <c r="H68" s="413"/>
      <c r="I68" s="413"/>
      <c r="J68" s="413"/>
      <c r="K68" s="413"/>
      <c r="L68" s="413"/>
      <c r="M68" s="413"/>
      <c r="N68" s="413"/>
      <c r="O68" s="413"/>
      <c r="P68" s="413"/>
      <c r="Q68" s="413"/>
      <c r="R68" s="413"/>
      <c r="S68" s="413"/>
      <c r="T68" s="413"/>
      <c r="U68" s="413"/>
      <c r="V68" s="413"/>
      <c r="W68" s="413"/>
      <c r="X68" s="413"/>
      <c r="Y68" s="413"/>
      <c r="Z68" s="413"/>
      <c r="AA68" s="413"/>
      <c r="AB68" s="413"/>
      <c r="AC68" s="3878" t="s">
        <v>668</v>
      </c>
      <c r="AD68" s="2895">
        <v>26</v>
      </c>
      <c r="AE68" s="8198" t="str">
        <f>IF(AM68&lt;&gt;"",ROUND(AM68,0),IF(OR(AE17=0,AE65&gt;AE63),"",IF(AM68,0,IF(AE67,SUM(AE63,-AE65),""))))</f>
        <v/>
      </c>
      <c r="AF68" s="11542"/>
      <c r="AG68" s="11542"/>
      <c r="AH68" s="11542"/>
      <c r="AI68" s="11542"/>
      <c r="AJ68" s="11542"/>
      <c r="AK68" s="2013"/>
      <c r="AL68" s="253"/>
      <c r="AM68" s="709"/>
      <c r="AN68" s="253"/>
      <c r="AO68" s="253"/>
      <c r="AP68" s="3882"/>
      <c r="AQ68" s="3854"/>
      <c r="AR68" s="253"/>
      <c r="AS68" s="253"/>
      <c r="AT68" s="253"/>
      <c r="AU68" s="253"/>
      <c r="AV68" s="2741"/>
      <c r="AW68" s="409"/>
      <c r="AX68" s="253"/>
      <c r="AY68" s="253"/>
      <c r="AZ68" s="2014"/>
      <c r="BA68" s="253"/>
      <c r="BB68" s="253"/>
      <c r="BC68" s="3863"/>
      <c r="BD68" s="711"/>
      <c r="BE68" s="711"/>
      <c r="BF68" s="3861"/>
      <c r="BG68" s="711"/>
      <c r="BH68" s="711"/>
      <c r="BI68" s="711"/>
      <c r="BJ68" s="711"/>
      <c r="BK68" s="711"/>
      <c r="BL68" s="253"/>
    </row>
    <row r="69" spans="1:64" ht="18.75" thickBot="1">
      <c r="A69" s="2013"/>
      <c r="B69" s="7934" t="s">
        <v>1938</v>
      </c>
      <c r="C69" s="7934"/>
      <c r="D69" s="3879"/>
      <c r="E69" s="2873" t="s">
        <v>4696</v>
      </c>
      <c r="F69" s="413"/>
      <c r="G69" s="413"/>
      <c r="H69" s="413"/>
      <c r="I69" s="413"/>
      <c r="J69" s="413"/>
      <c r="K69" s="413"/>
      <c r="L69" s="413"/>
      <c r="M69" s="413"/>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2013"/>
      <c r="AL69" s="253"/>
      <c r="AM69" s="253"/>
      <c r="AN69" s="710"/>
      <c r="AO69" s="253"/>
      <c r="AP69" s="3883" t="s">
        <v>4699</v>
      </c>
      <c r="AQ69" s="3884"/>
      <c r="AR69" s="3884"/>
      <c r="AS69" s="1215"/>
      <c r="AT69" s="3884"/>
      <c r="AU69" s="3884"/>
      <c r="AV69" s="3884"/>
      <c r="AW69" s="409"/>
      <c r="AX69" s="253"/>
      <c r="AY69" s="253"/>
      <c r="AZ69" s="2014"/>
      <c r="BA69" s="253"/>
      <c r="BB69" s="253"/>
      <c r="BC69" s="3863"/>
      <c r="BD69" s="711"/>
      <c r="BE69" s="711"/>
      <c r="BF69" s="3861"/>
      <c r="BG69" s="711"/>
      <c r="BH69" s="711"/>
      <c r="BI69" s="711"/>
      <c r="BJ69" s="711"/>
      <c r="BK69" s="711"/>
      <c r="BL69" s="253"/>
    </row>
    <row r="70" spans="1:64" ht="15.75" thickBot="1">
      <c r="A70" s="2013"/>
      <c r="B70" s="3827" t="s">
        <v>696</v>
      </c>
      <c r="C70" s="344" t="s">
        <v>4697</v>
      </c>
      <c r="D70" s="253"/>
      <c r="E70" s="253"/>
      <c r="F70" s="253"/>
      <c r="G70" s="253"/>
      <c r="H70" s="253"/>
      <c r="I70" s="253"/>
      <c r="J70" s="253"/>
      <c r="K70" s="253"/>
      <c r="L70" s="253"/>
      <c r="M70" s="253"/>
      <c r="N70" s="253"/>
      <c r="O70" s="253"/>
      <c r="P70" s="253"/>
      <c r="Q70" s="253"/>
      <c r="R70" s="253"/>
      <c r="S70" s="253"/>
      <c r="T70" s="253"/>
      <c r="U70" s="253"/>
      <c r="V70" s="253"/>
      <c r="W70" s="253"/>
      <c r="X70" s="253"/>
      <c r="Y70" s="253"/>
      <c r="Z70" s="253"/>
      <c r="AA70" s="253"/>
      <c r="AB70" s="253"/>
      <c r="AC70" s="253"/>
      <c r="AD70" s="2895">
        <v>27</v>
      </c>
      <c r="AE70" s="11601" t="str">
        <f>IF(AM70&lt;&gt;"",AM70,IF(OR(AE63=AE65,AE67),"",IF(AE65&gt;AE63,SUM(AE65,-AE63),0)))</f>
        <v/>
      </c>
      <c r="AF70" s="11602"/>
      <c r="AG70" s="11602"/>
      <c r="AH70" s="11602"/>
      <c r="AI70" s="11602"/>
      <c r="AJ70" s="11602"/>
      <c r="AK70" s="2013"/>
      <c r="AL70" s="253"/>
      <c r="AM70" s="709"/>
      <c r="AN70" s="253"/>
      <c r="AO70" s="253"/>
      <c r="AP70" s="3885" t="s">
        <v>4701</v>
      </c>
      <c r="AQ70" s="3886"/>
      <c r="AR70" s="3886"/>
      <c r="AS70" s="3886"/>
      <c r="AT70" s="3886"/>
      <c r="AU70" s="3886"/>
      <c r="AV70" s="3886"/>
      <c r="AW70" s="414"/>
      <c r="AX70" s="253"/>
      <c r="AY70" s="253"/>
      <c r="AZ70" s="2014"/>
      <c r="BA70" s="253"/>
      <c r="BB70" s="253"/>
      <c r="BC70" s="3863"/>
      <c r="BD70" s="711"/>
      <c r="BE70" s="711"/>
      <c r="BF70" s="3861"/>
      <c r="BG70" s="711"/>
      <c r="BH70" s="711"/>
      <c r="BI70" s="711"/>
      <c r="BJ70" s="711"/>
      <c r="BK70" s="711"/>
      <c r="BL70" s="253"/>
    </row>
    <row r="71" spans="1:64" ht="18" customHeight="1" thickBot="1">
      <c r="A71" s="2013"/>
      <c r="B71" s="3827" t="s">
        <v>3385</v>
      </c>
      <c r="C71" s="344" t="s">
        <v>4698</v>
      </c>
      <c r="D71" s="253"/>
      <c r="E71" s="253"/>
      <c r="F71" s="253"/>
      <c r="G71" s="253"/>
      <c r="H71" s="253"/>
      <c r="I71" s="253"/>
      <c r="J71" s="253"/>
      <c r="K71" s="253"/>
      <c r="L71" s="253"/>
      <c r="M71" s="253"/>
      <c r="N71" s="253"/>
      <c r="O71" s="253"/>
      <c r="P71" s="253"/>
      <c r="Q71" s="253"/>
      <c r="R71" s="253"/>
      <c r="S71" s="253"/>
      <c r="T71" s="253"/>
      <c r="U71" s="253"/>
      <c r="V71" s="253"/>
      <c r="W71" s="253"/>
      <c r="X71" s="253"/>
      <c r="Y71" s="253"/>
      <c r="Z71" s="253"/>
      <c r="AA71" s="253"/>
      <c r="AB71" s="253"/>
      <c r="AC71" s="1401" t="s">
        <v>3758</v>
      </c>
      <c r="AD71" s="2895">
        <v>28</v>
      </c>
      <c r="AE71" s="8198" t="str">
        <f>IF(AM71&lt;&gt;"",AM71,IF(OR(AND(AE63=0,AE65=0),AE67,AM68),"",IF(File_Single&lt;&gt;"",AR78,AS78)))</f>
        <v/>
      </c>
      <c r="AF71" s="11542"/>
      <c r="AG71" s="11542"/>
      <c r="AH71" s="11542"/>
      <c r="AI71" s="11542"/>
      <c r="AJ71" s="11542"/>
      <c r="AK71" s="2013"/>
      <c r="AL71" s="253"/>
      <c r="AM71" s="709"/>
      <c r="AN71" s="710"/>
      <c r="AO71" s="253"/>
      <c r="AP71" s="3887"/>
      <c r="AQ71" s="3854"/>
      <c r="AR71" s="3854"/>
      <c r="AS71" s="253"/>
      <c r="AT71" s="253"/>
      <c r="AU71" s="253"/>
      <c r="AV71" s="253"/>
      <c r="AW71" s="253"/>
      <c r="AX71" s="253"/>
      <c r="AY71" s="253"/>
      <c r="AZ71" s="2014"/>
      <c r="BA71" s="253"/>
      <c r="BB71" s="253"/>
      <c r="BC71" s="3863"/>
      <c r="BD71" s="711"/>
      <c r="BE71" s="711"/>
      <c r="BF71" s="3861"/>
      <c r="BG71" s="711"/>
      <c r="BH71" s="711"/>
      <c r="BI71" s="711"/>
      <c r="BJ71" s="711"/>
      <c r="BK71" s="711"/>
      <c r="BL71" s="253"/>
    </row>
    <row r="72" spans="1:64" ht="18" customHeight="1" thickBot="1">
      <c r="A72" s="2013"/>
      <c r="B72" s="3827" t="s">
        <v>4700</v>
      </c>
      <c r="C72" s="344" t="s">
        <v>5502</v>
      </c>
      <c r="D72" s="253"/>
      <c r="E72" s="253"/>
      <c r="F72" s="253"/>
      <c r="G72" s="253"/>
      <c r="H72" s="253"/>
      <c r="I72" s="253"/>
      <c r="J72" s="253"/>
      <c r="K72" s="253"/>
      <c r="L72" s="253"/>
      <c r="M72" s="253"/>
      <c r="N72" s="253"/>
      <c r="O72" s="253"/>
      <c r="P72" s="253"/>
      <c r="Q72" s="253"/>
      <c r="R72" s="253"/>
      <c r="S72" s="253"/>
      <c r="T72" s="253"/>
      <c r="U72" s="253"/>
      <c r="V72" s="253"/>
      <c r="W72" s="253"/>
      <c r="X72" s="253"/>
      <c r="Y72" s="253"/>
      <c r="Z72" s="253"/>
      <c r="AA72" s="253"/>
      <c r="AB72" s="253"/>
      <c r="AC72" s="1401" t="s">
        <v>627</v>
      </c>
      <c r="AD72" s="2921">
        <v>29</v>
      </c>
      <c r="AE72" s="8078" t="str">
        <f>IF(AM72&lt;&gt;"",AM72,IF(OR(AE63=AE65,AE67),"",IF(AE71="",AE70,MIN(AE70,AE71))))</f>
        <v/>
      </c>
      <c r="AF72" s="11543"/>
      <c r="AG72" s="11543"/>
      <c r="AH72" s="11543"/>
      <c r="AI72" s="11543"/>
      <c r="AJ72" s="11543"/>
      <c r="AK72" s="2013"/>
      <c r="AL72" s="253"/>
      <c r="AM72" s="709"/>
      <c r="AN72" s="710"/>
      <c r="AO72" s="1033">
        <f>IF(ISERROR(ROUND(SUM(AA50:AA61),0)),"",ROUND(SUM(AA50:AA61),0))</f>
        <v>0</v>
      </c>
      <c r="AP72" s="3891" t="s">
        <v>4704</v>
      </c>
      <c r="AQ72" s="3892"/>
      <c r="AR72" s="3892"/>
      <c r="AS72" s="3893"/>
      <c r="AT72" s="253"/>
      <c r="AU72" s="253"/>
      <c r="AV72" s="253"/>
      <c r="AW72" s="253"/>
      <c r="AX72" s="253"/>
      <c r="AY72" s="253"/>
      <c r="AZ72" s="2014"/>
      <c r="BA72" s="253"/>
      <c r="BB72" s="253"/>
      <c r="BC72" s="3863"/>
      <c r="BD72" s="711"/>
      <c r="BE72" s="711"/>
      <c r="BF72" s="3861"/>
      <c r="BG72" s="711"/>
      <c r="BH72" s="711"/>
      <c r="BI72" s="711"/>
      <c r="BJ72" s="711"/>
      <c r="BK72" s="711"/>
      <c r="BL72" s="253"/>
    </row>
    <row r="73" spans="1:64" ht="15.75" customHeight="1">
      <c r="A73" s="3888"/>
      <c r="B73" s="3889" t="s">
        <v>865</v>
      </c>
      <c r="C73" s="2344"/>
      <c r="D73" s="2344"/>
      <c r="E73" s="2344"/>
      <c r="F73" s="2344"/>
      <c r="G73" s="2344"/>
      <c r="H73" s="2344"/>
      <c r="I73" s="2344"/>
      <c r="J73" s="2344"/>
      <c r="K73" s="2344"/>
      <c r="L73" s="2344"/>
      <c r="M73" s="2344"/>
      <c r="N73" s="2344"/>
      <c r="O73" s="2344"/>
      <c r="P73" s="2344"/>
      <c r="Q73" s="89"/>
      <c r="R73" s="89"/>
      <c r="S73" s="89"/>
      <c r="T73" s="89"/>
      <c r="U73" s="3890"/>
      <c r="V73" s="3890" t="s">
        <v>4702</v>
      </c>
      <c r="W73" s="3890"/>
      <c r="X73" s="89"/>
      <c r="Y73" s="89"/>
      <c r="Z73" s="89"/>
      <c r="AA73" s="89"/>
      <c r="AB73" s="89"/>
      <c r="AC73" s="89"/>
      <c r="AD73" s="2345" t="s">
        <v>4703</v>
      </c>
      <c r="AE73" s="2345"/>
      <c r="AF73" s="89"/>
      <c r="AG73" s="89"/>
      <c r="AH73" s="2345"/>
      <c r="AI73" s="89"/>
      <c r="AJ73" s="2345" t="str">
        <f>"("&amp;TaxYear&amp;") Created 3/25/25"</f>
        <v>(2025) Created 3/25/25</v>
      </c>
      <c r="AK73" s="2013"/>
      <c r="AL73" s="253"/>
      <c r="AM73" s="253"/>
      <c r="AN73" s="710"/>
      <c r="AO73" s="1033">
        <f>IF(ISERROR(ROUND(SUM(AF50:AF61),0)),"",ROUND(SUM(AF50:AF61),0))</f>
        <v>0</v>
      </c>
      <c r="AP73" s="3894" t="s">
        <v>4705</v>
      </c>
      <c r="AQ73" s="3895" t="s">
        <v>4706</v>
      </c>
      <c r="AR73" s="3895" t="s">
        <v>13</v>
      </c>
      <c r="AS73" s="3896" t="s">
        <v>1697</v>
      </c>
      <c r="AT73" s="253"/>
      <c r="AU73" s="253"/>
      <c r="AV73" s="253"/>
      <c r="AW73" s="253"/>
      <c r="AX73" s="253"/>
      <c r="AY73" s="253"/>
      <c r="AZ73" s="2014"/>
      <c r="BA73" s="253"/>
      <c r="BB73" s="253"/>
      <c r="BC73" s="3863"/>
      <c r="BD73" s="711"/>
      <c r="BE73" s="711"/>
      <c r="BF73" s="3861"/>
      <c r="BG73" s="711"/>
      <c r="BH73" s="711"/>
      <c r="BI73" s="711"/>
      <c r="BJ73" s="711"/>
      <c r="BK73" s="711"/>
      <c r="BL73" s="253"/>
    </row>
    <row r="74" spans="1:64" ht="18.75" thickBot="1">
      <c r="A74" s="2013"/>
      <c r="B74" s="721" t="str">
        <f>"Form 8962 ("&amp;TaxYear&amp;")"</f>
        <v>Form 8962 (2025)</v>
      </c>
      <c r="C74" s="721"/>
      <c r="D74" s="721"/>
      <c r="E74" s="721"/>
      <c r="F74" s="721"/>
      <c r="G74" s="721"/>
      <c r="H74" s="721"/>
      <c r="I74" s="721"/>
      <c r="J74" s="721"/>
      <c r="K74" s="721"/>
      <c r="L74" s="721"/>
      <c r="M74" s="721"/>
      <c r="N74" s="721"/>
      <c r="O74" s="721"/>
      <c r="P74" s="721"/>
      <c r="Q74" s="721"/>
      <c r="R74" s="721"/>
      <c r="S74" s="721"/>
      <c r="T74" s="721"/>
      <c r="U74" s="721"/>
      <c r="V74" s="721"/>
      <c r="W74" s="721"/>
      <c r="X74" s="721"/>
      <c r="Y74" s="721"/>
      <c r="Z74" s="721"/>
      <c r="AA74" s="721"/>
      <c r="AB74" s="721"/>
      <c r="AC74" s="721"/>
      <c r="AD74" s="721"/>
      <c r="AE74" s="721"/>
      <c r="AF74" s="721"/>
      <c r="AG74" s="721"/>
      <c r="AH74" s="721"/>
      <c r="AI74" s="2053" t="s">
        <v>2079</v>
      </c>
      <c r="AJ74" s="2054">
        <v>2</v>
      </c>
      <c r="AK74" s="2013"/>
      <c r="AL74" s="253"/>
      <c r="AM74" s="253"/>
      <c r="AN74" s="253"/>
      <c r="AO74" s="253"/>
      <c r="AP74" s="3897">
        <v>0</v>
      </c>
      <c r="AQ74" s="3898">
        <v>200</v>
      </c>
      <c r="AR74" s="3899">
        <v>375</v>
      </c>
      <c r="AS74" s="3900">
        <v>750</v>
      </c>
      <c r="AT74" s="253"/>
      <c r="AU74" s="253"/>
      <c r="AV74" s="253"/>
      <c r="AW74" s="253"/>
      <c r="AX74" s="253"/>
      <c r="AY74" s="253"/>
      <c r="AZ74" s="2014"/>
      <c r="BA74" s="253"/>
      <c r="BB74" s="253"/>
      <c r="BC74" s="3863"/>
      <c r="BD74" s="711"/>
      <c r="BE74" s="711"/>
      <c r="BF74" s="3861"/>
      <c r="BG74" s="711"/>
      <c r="BH74" s="711"/>
      <c r="BI74" s="711"/>
      <c r="BJ74" s="711"/>
      <c r="BK74" s="711"/>
      <c r="BL74" s="253"/>
    </row>
    <row r="75" spans="1:64" ht="18.75" thickTop="1">
      <c r="A75" s="2013"/>
      <c r="B75" s="7906" t="s">
        <v>2102</v>
      </c>
      <c r="C75" s="7906"/>
      <c r="D75" s="3879"/>
      <c r="E75" s="2873" t="s">
        <v>4707</v>
      </c>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2013"/>
      <c r="AL75" s="253"/>
      <c r="AM75" s="253"/>
      <c r="AN75" s="253"/>
      <c r="AO75" s="253"/>
      <c r="AP75" s="3897">
        <v>200</v>
      </c>
      <c r="AQ75" s="3898">
        <v>300</v>
      </c>
      <c r="AR75" s="3899">
        <v>975</v>
      </c>
      <c r="AS75" s="3900">
        <v>1950</v>
      </c>
      <c r="AT75" s="253"/>
      <c r="AU75" s="253"/>
      <c r="AV75" s="253"/>
      <c r="AW75" s="253"/>
      <c r="AX75" s="253"/>
      <c r="AY75" s="253"/>
      <c r="AZ75" s="2014"/>
      <c r="BA75" s="253"/>
      <c r="BB75" s="253"/>
      <c r="BC75" s="3863"/>
      <c r="BD75" s="711"/>
      <c r="BE75" s="711"/>
      <c r="BF75" s="3861"/>
      <c r="BG75" s="711"/>
      <c r="BH75" s="711"/>
      <c r="BI75" s="711"/>
      <c r="BJ75" s="711"/>
      <c r="BK75" s="711"/>
      <c r="BL75" s="253"/>
    </row>
    <row r="76" spans="1:64" ht="14.25">
      <c r="A76" s="2013"/>
      <c r="B76" s="3901" t="s">
        <v>4708</v>
      </c>
      <c r="C76" s="773"/>
      <c r="D76" s="773"/>
      <c r="E76" s="773"/>
      <c r="F76" s="773"/>
      <c r="G76" s="773"/>
      <c r="H76" s="773"/>
      <c r="I76" s="773"/>
      <c r="J76" s="773"/>
      <c r="K76" s="773"/>
      <c r="L76" s="773"/>
      <c r="M76" s="773"/>
      <c r="N76" s="773"/>
      <c r="O76" s="773"/>
      <c r="P76" s="773"/>
      <c r="Q76" s="773"/>
      <c r="R76" s="773"/>
      <c r="S76" s="773"/>
      <c r="T76" s="773"/>
      <c r="U76" s="773"/>
      <c r="V76" s="773"/>
      <c r="W76" s="773"/>
      <c r="X76" s="773"/>
      <c r="Y76" s="773"/>
      <c r="Z76" s="773"/>
      <c r="AA76" s="773"/>
      <c r="AB76" s="773"/>
      <c r="AC76" s="773"/>
      <c r="AD76" s="773"/>
      <c r="AE76" s="773"/>
      <c r="AF76" s="773"/>
      <c r="AG76" s="773"/>
      <c r="AH76" s="773"/>
      <c r="AI76" s="773"/>
      <c r="AJ76" s="773"/>
      <c r="AK76" s="2013"/>
      <c r="AL76" s="253"/>
      <c r="AM76" s="253"/>
      <c r="AN76" s="253"/>
      <c r="AO76" s="3902"/>
      <c r="AP76" s="3897">
        <v>300</v>
      </c>
      <c r="AQ76" s="3898">
        <v>400</v>
      </c>
      <c r="AR76" s="3899">
        <v>1625</v>
      </c>
      <c r="AS76" s="3900">
        <v>3250</v>
      </c>
      <c r="AT76" s="253"/>
      <c r="AU76" s="253"/>
      <c r="AV76" s="253"/>
      <c r="AW76" s="253"/>
      <c r="AX76" s="253"/>
      <c r="AY76" s="253"/>
      <c r="AZ76" s="2014"/>
      <c r="BA76" s="253"/>
      <c r="BB76" s="253"/>
      <c r="BC76" s="3863"/>
      <c r="BD76" s="711"/>
      <c r="BE76" s="711"/>
      <c r="BF76" s="3861"/>
      <c r="BG76" s="711"/>
      <c r="BH76" s="711"/>
      <c r="BI76" s="711"/>
      <c r="BJ76" s="711"/>
      <c r="BK76" s="711"/>
      <c r="BL76" s="253"/>
    </row>
    <row r="77" spans="1:64" ht="18" customHeight="1" thickBot="1">
      <c r="A77" s="2013"/>
      <c r="B77" s="3879" t="s">
        <v>4709</v>
      </c>
      <c r="C77" s="413"/>
      <c r="D77" s="413"/>
      <c r="E77" s="413"/>
      <c r="F77" s="413"/>
      <c r="G77" s="413"/>
      <c r="H77" s="413"/>
      <c r="I77" s="413"/>
      <c r="J77" s="413"/>
      <c r="K77" s="413"/>
      <c r="L77" s="413"/>
      <c r="M77" s="413"/>
      <c r="N77" s="413"/>
      <c r="O77" s="413"/>
      <c r="P77" s="413"/>
      <c r="Q77" s="413"/>
      <c r="R77" s="413"/>
      <c r="S77" s="413"/>
      <c r="T77" s="413"/>
      <c r="U77" s="413"/>
      <c r="V77" s="413"/>
      <c r="W77" s="413"/>
      <c r="X77" s="413"/>
      <c r="Y77" s="413"/>
      <c r="Z77" s="413"/>
      <c r="AA77" s="413"/>
      <c r="AB77" s="413"/>
      <c r="AC77" s="413"/>
      <c r="AD77" s="413"/>
      <c r="AE77" s="413"/>
      <c r="AF77" s="413"/>
      <c r="AG77" s="413"/>
      <c r="AH77" s="413"/>
      <c r="AI77" s="413"/>
      <c r="AJ77" s="413"/>
      <c r="AK77" s="2013"/>
      <c r="AL77" s="253"/>
      <c r="AM77" s="253"/>
      <c r="AN77" s="253"/>
      <c r="AO77" s="253"/>
      <c r="AP77" s="11591" t="s">
        <v>4714</v>
      </c>
      <c r="AQ77" s="11592"/>
      <c r="AR77" s="11593"/>
      <c r="AS77" s="11594"/>
      <c r="AT77" s="253"/>
      <c r="AU77" s="253"/>
      <c r="AV77" s="253"/>
      <c r="AW77" s="253"/>
      <c r="AX77" s="253"/>
      <c r="AY77" s="253"/>
      <c r="AZ77" s="2014"/>
      <c r="BA77" s="253"/>
      <c r="BB77" s="253"/>
      <c r="BC77" s="3863"/>
      <c r="BD77" s="711"/>
      <c r="BE77" s="711"/>
      <c r="BF77" s="3861"/>
      <c r="BG77" s="711"/>
      <c r="BH77" s="711"/>
      <c r="BI77" s="711"/>
      <c r="BJ77" s="711"/>
      <c r="BK77" s="711"/>
      <c r="BL77" s="253"/>
    </row>
    <row r="78" spans="1:64" ht="18" customHeight="1">
      <c r="A78" s="2013"/>
      <c r="B78" s="3827" t="s">
        <v>3391</v>
      </c>
      <c r="C78" s="253"/>
      <c r="D78" s="3903" t="s">
        <v>2198</v>
      </c>
      <c r="E78" s="2354" t="s">
        <v>4710</v>
      </c>
      <c r="F78" s="406"/>
      <c r="G78" s="406"/>
      <c r="H78" s="406"/>
      <c r="I78" s="406"/>
      <c r="J78" s="406"/>
      <c r="K78" s="406"/>
      <c r="L78" s="406"/>
      <c r="M78" s="407"/>
      <c r="N78" s="3807" t="s">
        <v>2199</v>
      </c>
      <c r="O78" s="2354" t="s">
        <v>4711</v>
      </c>
      <c r="P78" s="406"/>
      <c r="Q78" s="406"/>
      <c r="R78" s="406"/>
      <c r="S78" s="406"/>
      <c r="T78" s="406"/>
      <c r="U78" s="406"/>
      <c r="V78" s="407"/>
      <c r="W78" s="3807" t="s">
        <v>3029</v>
      </c>
      <c r="X78" s="406" t="s">
        <v>4712</v>
      </c>
      <c r="Y78" s="406"/>
      <c r="Z78" s="406"/>
      <c r="AA78" s="406"/>
      <c r="AB78" s="406"/>
      <c r="AC78" s="407"/>
      <c r="AD78" s="3807" t="s">
        <v>2148</v>
      </c>
      <c r="AE78" s="406" t="s">
        <v>4713</v>
      </c>
      <c r="AF78" s="406"/>
      <c r="AG78" s="406"/>
      <c r="AH78" s="406"/>
      <c r="AI78" s="406"/>
      <c r="AJ78" s="406"/>
      <c r="AK78" s="2013"/>
      <c r="AL78" s="253"/>
      <c r="AM78" s="253"/>
      <c r="AN78" s="253"/>
      <c r="AO78" s="3902"/>
      <c r="AP78" s="3854"/>
      <c r="AQ78" s="3854"/>
      <c r="AR78" s="512" t="str">
        <f>IF(OR(AE17=0,AE26=400,AE26=401),"",LOOKUP($AE$26,$AP$74:$AP$76,AR74:AR76))</f>
        <v/>
      </c>
      <c r="AS78" s="512" t="str">
        <f>IF(OR(AE17=0,AE26=400,AE26=401),"",LOOKUP($AE$26,$AP$74:$AP$76,AS74:AS76))</f>
        <v/>
      </c>
      <c r="AT78" s="253"/>
      <c r="AU78" s="253"/>
      <c r="AV78" s="253"/>
      <c r="AW78" s="253"/>
      <c r="AX78" s="253"/>
      <c r="AY78" s="253"/>
      <c r="AZ78" s="2014"/>
      <c r="BA78" s="253"/>
      <c r="BB78" s="253"/>
      <c r="BC78" s="3863"/>
      <c r="BD78" s="711"/>
      <c r="BE78" s="711"/>
      <c r="BF78" s="3861"/>
      <c r="BG78" s="711"/>
      <c r="BH78" s="711"/>
      <c r="BI78" s="711"/>
      <c r="BJ78" s="711"/>
      <c r="BK78" s="711"/>
      <c r="BL78" s="253"/>
    </row>
    <row r="79" spans="1:64" ht="17.25" customHeight="1" thickBot="1">
      <c r="A79" s="2013"/>
      <c r="B79" s="3827"/>
      <c r="D79" s="11613"/>
      <c r="E79" s="11510"/>
      <c r="F79" s="11510"/>
      <c r="G79" s="11510"/>
      <c r="H79" s="11510"/>
      <c r="I79" s="11511"/>
      <c r="J79" s="11511"/>
      <c r="K79" s="11511"/>
      <c r="L79" s="11511"/>
      <c r="M79" s="11512"/>
      <c r="N79" s="11513"/>
      <c r="O79" s="7364"/>
      <c r="P79" s="7364"/>
      <c r="Q79" s="7364"/>
      <c r="R79" s="7364"/>
      <c r="S79" s="11514"/>
      <c r="T79" s="11514"/>
      <c r="U79" s="11514"/>
      <c r="V79" s="11515"/>
      <c r="W79" s="11519"/>
      <c r="X79" s="11517"/>
      <c r="Y79" s="11517"/>
      <c r="Z79" s="11517"/>
      <c r="AA79" s="11517"/>
      <c r="AB79" s="11518"/>
      <c r="AC79" s="11518"/>
      <c r="AD79" s="11519"/>
      <c r="AE79" s="11517"/>
      <c r="AF79" s="11517"/>
      <c r="AG79" s="11517"/>
      <c r="AH79" s="11517"/>
      <c r="AI79" s="11518"/>
      <c r="AJ79" s="11518"/>
      <c r="AK79" s="2013"/>
      <c r="AL79" s="253"/>
      <c r="AM79" s="253"/>
      <c r="AN79" s="253"/>
      <c r="AO79" s="3902"/>
      <c r="AP79" s="3904" t="s">
        <v>4719</v>
      </c>
      <c r="AQ79" s="3905">
        <f>TaxYear-1</f>
        <v>2024</v>
      </c>
      <c r="AR79" s="516" t="str">
        <f>"Note: "&amp;TaxYear-1&amp;" poverty line numbers are used by the "&amp;TaxYear&amp;" tax return."</f>
        <v>Note: 2024 poverty line numbers are used by the 2025 tax return.</v>
      </c>
      <c r="AS79" s="253"/>
      <c r="AT79" s="253"/>
      <c r="AU79" s="253"/>
      <c r="AV79" s="253"/>
      <c r="AW79" s="253"/>
      <c r="AX79" s="253"/>
      <c r="AY79" s="253"/>
      <c r="AZ79" s="2014"/>
      <c r="BA79" s="253"/>
      <c r="BB79" s="253"/>
      <c r="BC79" s="3863"/>
      <c r="BD79" s="711"/>
      <c r="BE79" s="711"/>
      <c r="BF79" s="3861"/>
      <c r="BG79" s="711"/>
      <c r="BH79" s="711"/>
      <c r="BI79" s="711"/>
      <c r="BJ79" s="711"/>
      <c r="BK79" s="711"/>
      <c r="BL79" s="253"/>
    </row>
    <row r="80" spans="1:64" ht="13.5" thickBot="1">
      <c r="A80" s="2013"/>
      <c r="B80" s="253"/>
      <c r="C80" s="253"/>
      <c r="D80" s="9328" t="s">
        <v>4715</v>
      </c>
      <c r="E80" s="11520"/>
      <c r="F80" s="11520"/>
      <c r="G80" s="11520"/>
      <c r="H80" s="11520"/>
      <c r="I80" s="11521"/>
      <c r="J80" s="11526" t="s">
        <v>4716</v>
      </c>
      <c r="K80" s="11527"/>
      <c r="L80" s="11527"/>
      <c r="M80" s="11527"/>
      <c r="N80" s="11527"/>
      <c r="O80" s="11527"/>
      <c r="P80" s="11527"/>
      <c r="Q80" s="11527"/>
      <c r="R80" s="11528"/>
      <c r="S80" s="11526" t="s">
        <v>4717</v>
      </c>
      <c r="T80" s="11527"/>
      <c r="U80" s="11527"/>
      <c r="V80" s="11527"/>
      <c r="W80" s="11527"/>
      <c r="X80" s="11527"/>
      <c r="Y80" s="11527"/>
      <c r="Z80" s="11527"/>
      <c r="AA80" s="11528"/>
      <c r="AB80" s="11532" t="s">
        <v>4718</v>
      </c>
      <c r="AC80" s="11527"/>
      <c r="AD80" s="11527"/>
      <c r="AE80" s="11527"/>
      <c r="AF80" s="11527"/>
      <c r="AG80" s="11527"/>
      <c r="AH80" s="11527"/>
      <c r="AI80" s="11527"/>
      <c r="AJ80" s="11527"/>
      <c r="AK80" s="2013"/>
      <c r="AL80" s="253"/>
      <c r="AM80" s="253"/>
      <c r="AN80" s="253"/>
      <c r="AO80" s="416"/>
      <c r="AP80" s="3906" t="s">
        <v>4720</v>
      </c>
      <c r="AQ80" s="3907"/>
      <c r="AR80" s="3907"/>
      <c r="AS80" s="3908"/>
      <c r="AT80" s="253"/>
      <c r="AU80" s="253"/>
      <c r="AV80" s="253"/>
      <c r="AW80" s="253"/>
      <c r="AX80" s="253"/>
      <c r="AY80" s="253"/>
      <c r="AZ80" s="2014"/>
      <c r="BA80" s="253"/>
      <c r="BB80" s="253"/>
      <c r="BC80" s="3863"/>
      <c r="BD80" s="711"/>
      <c r="BE80" s="711"/>
      <c r="BF80" s="3861"/>
      <c r="BG80" s="711"/>
      <c r="BH80" s="711"/>
      <c r="BI80" s="711"/>
      <c r="BJ80" s="711"/>
      <c r="BK80" s="711"/>
      <c r="BL80" s="253"/>
    </row>
    <row r="81" spans="1:64" ht="16.5" customHeight="1">
      <c r="A81" s="2013"/>
      <c r="B81" s="253"/>
      <c r="C81" s="253"/>
      <c r="D81" s="11522"/>
      <c r="E81" s="11522"/>
      <c r="F81" s="11522"/>
      <c r="G81" s="11522"/>
      <c r="H81" s="11522"/>
      <c r="I81" s="11523"/>
      <c r="J81" s="11529"/>
      <c r="K81" s="11530"/>
      <c r="L81" s="11530"/>
      <c r="M81" s="11530"/>
      <c r="N81" s="11530"/>
      <c r="O81" s="11530"/>
      <c r="P81" s="11530"/>
      <c r="Q81" s="11530"/>
      <c r="R81" s="11531"/>
      <c r="S81" s="11529"/>
      <c r="T81" s="11530"/>
      <c r="U81" s="11530"/>
      <c r="V81" s="11530"/>
      <c r="W81" s="11530"/>
      <c r="X81" s="11530"/>
      <c r="Y81" s="11530"/>
      <c r="Z81" s="11530"/>
      <c r="AA81" s="11531"/>
      <c r="AB81" s="11529"/>
      <c r="AC81" s="11530"/>
      <c r="AD81" s="11530"/>
      <c r="AE81" s="11530"/>
      <c r="AF81" s="11530"/>
      <c r="AG81" s="11530"/>
      <c r="AH81" s="11530"/>
      <c r="AI81" s="11530"/>
      <c r="AJ81" s="11530"/>
      <c r="AK81" s="2013"/>
      <c r="AL81" s="253"/>
      <c r="AM81" s="253"/>
      <c r="AN81" s="253"/>
      <c r="AO81" s="253"/>
      <c r="AP81" s="3909" t="s">
        <v>4721</v>
      </c>
      <c r="AQ81" s="3910" t="s">
        <v>4722</v>
      </c>
      <c r="AR81" s="3910" t="s">
        <v>538</v>
      </c>
      <c r="AS81" s="3911" t="s">
        <v>539</v>
      </c>
      <c r="AT81" s="253"/>
      <c r="AU81" s="253"/>
      <c r="AV81" s="253"/>
      <c r="AW81" s="253"/>
      <c r="AX81" s="253"/>
      <c r="AY81" s="253"/>
      <c r="AZ81" s="2014"/>
      <c r="BA81" s="253"/>
      <c r="BB81" s="253"/>
      <c r="BC81" s="3863"/>
      <c r="BD81" s="711"/>
      <c r="BE81" s="711"/>
      <c r="BF81" s="3861"/>
      <c r="BG81" s="711"/>
      <c r="BH81" s="711"/>
      <c r="BI81" s="711"/>
      <c r="BJ81" s="711"/>
      <c r="BK81" s="711"/>
      <c r="BL81" s="253"/>
    </row>
    <row r="82" spans="1:64">
      <c r="A82" s="2013"/>
      <c r="B82" s="253"/>
      <c r="C82" s="253"/>
      <c r="D82" s="11522"/>
      <c r="E82" s="11522"/>
      <c r="F82" s="11522"/>
      <c r="G82" s="11522"/>
      <c r="H82" s="11522"/>
      <c r="I82" s="11523"/>
      <c r="J82" s="11529"/>
      <c r="K82" s="11530"/>
      <c r="L82" s="11530"/>
      <c r="M82" s="11530"/>
      <c r="N82" s="11530"/>
      <c r="O82" s="11530"/>
      <c r="P82" s="11530"/>
      <c r="Q82" s="11530"/>
      <c r="R82" s="11531"/>
      <c r="S82" s="11529"/>
      <c r="T82" s="11530"/>
      <c r="U82" s="11530"/>
      <c r="V82" s="11530"/>
      <c r="W82" s="11530"/>
      <c r="X82" s="11530"/>
      <c r="Y82" s="11530"/>
      <c r="Z82" s="11530"/>
      <c r="AA82" s="11531"/>
      <c r="AB82" s="11529"/>
      <c r="AC82" s="11530"/>
      <c r="AD82" s="11530"/>
      <c r="AE82" s="11530"/>
      <c r="AF82" s="11530"/>
      <c r="AG82" s="11530"/>
      <c r="AH82" s="11530"/>
      <c r="AI82" s="11530"/>
      <c r="AJ82" s="11530"/>
      <c r="AK82" s="2013"/>
      <c r="AL82" s="253"/>
      <c r="AM82" s="253"/>
      <c r="AN82" s="253"/>
      <c r="AO82" s="253"/>
      <c r="AP82" s="3912">
        <v>0</v>
      </c>
      <c r="AQ82" s="3811"/>
      <c r="AR82" s="3811"/>
      <c r="AS82" s="3913"/>
      <c r="AT82" s="253"/>
      <c r="AU82" s="253"/>
      <c r="AV82" s="253"/>
      <c r="AW82" s="253"/>
      <c r="AX82" s="253"/>
      <c r="AY82" s="253"/>
      <c r="AZ82" s="2014"/>
      <c r="BA82" s="253"/>
      <c r="BB82" s="253"/>
      <c r="BC82" s="3863"/>
      <c r="BD82" s="711"/>
      <c r="BE82" s="711"/>
      <c r="BF82" s="3861"/>
      <c r="BG82" s="3861"/>
      <c r="BH82" s="711"/>
      <c r="BI82" s="711"/>
      <c r="BJ82" s="711"/>
      <c r="BK82" s="711"/>
      <c r="BL82" s="253"/>
    </row>
    <row r="83" spans="1:64">
      <c r="A83" s="2013"/>
      <c r="B83" s="253"/>
      <c r="C83" s="253"/>
      <c r="D83" s="11522"/>
      <c r="E83" s="11522"/>
      <c r="F83" s="11522"/>
      <c r="G83" s="11522"/>
      <c r="H83" s="11522"/>
      <c r="I83" s="11523"/>
      <c r="J83" s="11529"/>
      <c r="K83" s="11530"/>
      <c r="L83" s="11530"/>
      <c r="M83" s="11530"/>
      <c r="N83" s="11530"/>
      <c r="O83" s="11530"/>
      <c r="P83" s="11530"/>
      <c r="Q83" s="11530"/>
      <c r="R83" s="11531"/>
      <c r="S83" s="11529"/>
      <c r="T83" s="11530"/>
      <c r="U83" s="11530"/>
      <c r="V83" s="11530"/>
      <c r="W83" s="11530"/>
      <c r="X83" s="11530"/>
      <c r="Y83" s="11530"/>
      <c r="Z83" s="11530"/>
      <c r="AA83" s="11531"/>
      <c r="AB83" s="11529"/>
      <c r="AC83" s="11530"/>
      <c r="AD83" s="11530"/>
      <c r="AE83" s="11530"/>
      <c r="AF83" s="11530"/>
      <c r="AG83" s="11530"/>
      <c r="AH83" s="11530"/>
      <c r="AI83" s="11530"/>
      <c r="AJ83" s="11530"/>
      <c r="AK83" s="2013"/>
      <c r="AL83" s="253"/>
      <c r="AM83" s="253"/>
      <c r="AN83" s="253"/>
      <c r="AO83" s="253"/>
      <c r="AP83" s="3912">
        <v>1</v>
      </c>
      <c r="AQ83" s="3914">
        <v>15060</v>
      </c>
      <c r="AR83" s="3914">
        <v>18810</v>
      </c>
      <c r="AS83" s="3915">
        <v>17310</v>
      </c>
      <c r="AT83" s="3916"/>
      <c r="AU83" s="253"/>
      <c r="AV83" s="253"/>
      <c r="AW83" s="253"/>
      <c r="AX83" s="253"/>
      <c r="AY83" s="253"/>
      <c r="AZ83" s="2014"/>
      <c r="BA83" s="253"/>
      <c r="BB83" s="253"/>
      <c r="BC83" s="3863"/>
      <c r="BD83" s="711"/>
      <c r="BE83" s="711"/>
      <c r="BF83" s="3861"/>
      <c r="BG83" s="3861"/>
      <c r="BH83" s="711"/>
      <c r="BI83" s="711"/>
      <c r="BJ83" s="711"/>
      <c r="BK83" s="711"/>
      <c r="BL83" s="253"/>
    </row>
    <row r="84" spans="1:64">
      <c r="A84" s="2013"/>
      <c r="B84" s="413"/>
      <c r="C84" s="413"/>
      <c r="D84" s="11524"/>
      <c r="E84" s="11524"/>
      <c r="F84" s="11524"/>
      <c r="G84" s="11524"/>
      <c r="H84" s="11524"/>
      <c r="I84" s="11525"/>
      <c r="J84" s="11533"/>
      <c r="K84" s="11534"/>
      <c r="L84" s="11534"/>
      <c r="M84" s="11534"/>
      <c r="N84" s="11534"/>
      <c r="O84" s="11535"/>
      <c r="P84" s="11535"/>
      <c r="Q84" s="11535"/>
      <c r="R84" s="11536"/>
      <c r="S84" s="11533"/>
      <c r="T84" s="11534"/>
      <c r="U84" s="11534"/>
      <c r="V84" s="11534"/>
      <c r="W84" s="11534"/>
      <c r="X84" s="11535"/>
      <c r="Y84" s="11535"/>
      <c r="Z84" s="11535"/>
      <c r="AA84" s="11536"/>
      <c r="AB84" s="11534"/>
      <c r="AC84" s="11534"/>
      <c r="AD84" s="11534"/>
      <c r="AE84" s="11534"/>
      <c r="AF84" s="11534"/>
      <c r="AG84" s="11535"/>
      <c r="AH84" s="11535"/>
      <c r="AI84" s="11535"/>
      <c r="AJ84" s="11535"/>
      <c r="AK84" s="2013"/>
      <c r="AL84" s="253"/>
      <c r="AM84" s="253"/>
      <c r="AN84" s="253"/>
      <c r="AO84" s="253"/>
      <c r="AP84" s="3912">
        <v>2</v>
      </c>
      <c r="AQ84" s="3914">
        <v>20440</v>
      </c>
      <c r="AR84" s="3914">
        <v>25540</v>
      </c>
      <c r="AS84" s="3915">
        <v>23500</v>
      </c>
      <c r="AT84" s="3916"/>
      <c r="AU84" s="253"/>
      <c r="AV84" s="253"/>
      <c r="AW84" s="253"/>
      <c r="AX84" s="253"/>
      <c r="AY84" s="253"/>
      <c r="AZ84" s="2014"/>
      <c r="BA84" s="253"/>
      <c r="BB84" s="253"/>
      <c r="BC84" s="3863"/>
      <c r="BD84" s="711"/>
      <c r="BE84" s="711"/>
      <c r="BF84" s="3861"/>
      <c r="BG84" s="3861"/>
      <c r="BH84" s="711"/>
      <c r="BI84" s="711"/>
      <c r="BJ84" s="711"/>
      <c r="BK84" s="711"/>
      <c r="BL84" s="253"/>
    </row>
    <row r="85" spans="1:64" ht="15.75">
      <c r="A85" s="2013"/>
      <c r="B85" s="3879" t="s">
        <v>4723</v>
      </c>
      <c r="C85" s="413"/>
      <c r="D85" s="413"/>
      <c r="E85" s="413"/>
      <c r="F85" s="413"/>
      <c r="G85" s="413"/>
      <c r="H85" s="413"/>
      <c r="I85" s="413"/>
      <c r="J85" s="413"/>
      <c r="K85" s="413"/>
      <c r="L85" s="413"/>
      <c r="M85" s="413"/>
      <c r="N85" s="413"/>
      <c r="O85" s="413"/>
      <c r="P85" s="413"/>
      <c r="Q85" s="413"/>
      <c r="R85" s="413"/>
      <c r="S85" s="413"/>
      <c r="T85" s="413"/>
      <c r="U85" s="413"/>
      <c r="V85" s="413"/>
      <c r="W85" s="413"/>
      <c r="X85" s="413"/>
      <c r="Y85" s="413"/>
      <c r="Z85" s="413"/>
      <c r="AA85" s="413"/>
      <c r="AB85" s="413"/>
      <c r="AC85" s="413"/>
      <c r="AD85" s="413"/>
      <c r="AE85" s="413"/>
      <c r="AF85" s="413"/>
      <c r="AG85" s="413"/>
      <c r="AH85" s="413"/>
      <c r="AI85" s="413"/>
      <c r="AJ85" s="413"/>
      <c r="AK85" s="2013"/>
      <c r="AL85" s="253"/>
      <c r="AM85" s="253"/>
      <c r="AN85" s="253"/>
      <c r="AO85" s="253"/>
      <c r="AP85" s="3912">
        <v>3</v>
      </c>
      <c r="AQ85" s="3914">
        <v>25820</v>
      </c>
      <c r="AR85" s="3914">
        <v>32270</v>
      </c>
      <c r="AS85" s="3915">
        <v>29690</v>
      </c>
      <c r="AT85" s="3916"/>
      <c r="AU85" s="253"/>
      <c r="AV85" s="253"/>
      <c r="AW85" s="253"/>
      <c r="AX85" s="253"/>
      <c r="AY85" s="253"/>
      <c r="AZ85" s="2014"/>
      <c r="BA85" s="253"/>
      <c r="BB85" s="253"/>
      <c r="BC85" s="3863"/>
      <c r="BD85" s="711"/>
      <c r="BE85" s="711"/>
      <c r="BF85" s="3861"/>
      <c r="BG85" s="3861"/>
      <c r="BH85" s="711"/>
      <c r="BI85" s="711"/>
      <c r="BJ85" s="711"/>
      <c r="BK85" s="711"/>
      <c r="BL85" s="253"/>
    </row>
    <row r="86" spans="1:64" ht="15">
      <c r="A86" s="2013"/>
      <c r="B86" s="3827" t="s">
        <v>3393</v>
      </c>
      <c r="C86" s="253"/>
      <c r="D86" s="3903" t="s">
        <v>2198</v>
      </c>
      <c r="E86" s="2354" t="s">
        <v>4710</v>
      </c>
      <c r="F86" s="406"/>
      <c r="G86" s="406"/>
      <c r="H86" s="406"/>
      <c r="I86" s="406"/>
      <c r="J86" s="406"/>
      <c r="K86" s="406"/>
      <c r="L86" s="406"/>
      <c r="M86" s="407"/>
      <c r="N86" s="3807" t="s">
        <v>2199</v>
      </c>
      <c r="O86" s="2354" t="s">
        <v>4711</v>
      </c>
      <c r="P86" s="406"/>
      <c r="Q86" s="406"/>
      <c r="R86" s="406"/>
      <c r="S86" s="406"/>
      <c r="T86" s="406"/>
      <c r="U86" s="406"/>
      <c r="V86" s="407"/>
      <c r="W86" s="3807" t="s">
        <v>3029</v>
      </c>
      <c r="X86" s="406" t="s">
        <v>4712</v>
      </c>
      <c r="Y86" s="406"/>
      <c r="Z86" s="406"/>
      <c r="AA86" s="406"/>
      <c r="AB86" s="406"/>
      <c r="AC86" s="407"/>
      <c r="AD86" s="3807" t="s">
        <v>2148</v>
      </c>
      <c r="AE86" s="406" t="s">
        <v>4713</v>
      </c>
      <c r="AF86" s="406"/>
      <c r="AG86" s="406"/>
      <c r="AH86" s="406"/>
      <c r="AI86" s="406"/>
      <c r="AJ86" s="406"/>
      <c r="AK86" s="2013"/>
      <c r="AL86" s="253"/>
      <c r="AM86" s="253"/>
      <c r="AN86" s="253"/>
      <c r="AO86" s="253"/>
      <c r="AP86" s="3912">
        <v>4</v>
      </c>
      <c r="AQ86" s="3914">
        <v>31200</v>
      </c>
      <c r="AR86" s="3914">
        <v>39000</v>
      </c>
      <c r="AS86" s="3915">
        <v>35880</v>
      </c>
      <c r="AT86" s="3916"/>
      <c r="AU86" s="253"/>
      <c r="AV86" s="253"/>
      <c r="AW86" s="253"/>
      <c r="AX86" s="253"/>
      <c r="AY86" s="253"/>
      <c r="AZ86" s="2014"/>
      <c r="BA86" s="253"/>
      <c r="BB86" s="253"/>
      <c r="BC86" s="3863"/>
      <c r="BD86" s="711"/>
      <c r="BE86" s="711"/>
      <c r="BF86" s="3861"/>
      <c r="BG86" s="3861"/>
      <c r="BH86" s="711"/>
      <c r="BI86" s="711"/>
      <c r="BJ86" s="711"/>
      <c r="BK86" s="711"/>
      <c r="BL86" s="253"/>
    </row>
    <row r="87" spans="1:64" ht="18" customHeight="1">
      <c r="A87" s="2013"/>
      <c r="B87" s="3827"/>
      <c r="D87" s="11510"/>
      <c r="E87" s="11510"/>
      <c r="F87" s="11510"/>
      <c r="G87" s="11510"/>
      <c r="H87" s="11510"/>
      <c r="I87" s="11511"/>
      <c r="J87" s="11511"/>
      <c r="K87" s="11511"/>
      <c r="L87" s="11511"/>
      <c r="M87" s="11512"/>
      <c r="N87" s="11513"/>
      <c r="O87" s="7364"/>
      <c r="P87" s="7364"/>
      <c r="Q87" s="7364"/>
      <c r="R87" s="7364"/>
      <c r="S87" s="11514"/>
      <c r="T87" s="11514"/>
      <c r="U87" s="11514"/>
      <c r="V87" s="11515"/>
      <c r="W87" s="11516"/>
      <c r="X87" s="11517"/>
      <c r="Y87" s="11517"/>
      <c r="Z87" s="11517"/>
      <c r="AA87" s="11517"/>
      <c r="AB87" s="11518"/>
      <c r="AC87" s="11518"/>
      <c r="AD87" s="11519"/>
      <c r="AE87" s="11517"/>
      <c r="AF87" s="11517"/>
      <c r="AG87" s="11517"/>
      <c r="AH87" s="11517"/>
      <c r="AI87" s="11518"/>
      <c r="AJ87" s="11518"/>
      <c r="AK87" s="2013"/>
      <c r="AL87" s="253"/>
      <c r="AM87" s="253"/>
      <c r="AN87" s="253"/>
      <c r="AO87" s="253"/>
      <c r="AP87" s="3912">
        <v>5</v>
      </c>
      <c r="AQ87" s="3914">
        <v>36580</v>
      </c>
      <c r="AR87" s="3914">
        <v>45730</v>
      </c>
      <c r="AS87" s="3915">
        <v>42070</v>
      </c>
      <c r="AT87" s="3916"/>
      <c r="AU87" s="253"/>
      <c r="AV87" s="253"/>
      <c r="AW87" s="253"/>
      <c r="AX87" s="253"/>
      <c r="AY87" s="253"/>
      <c r="AZ87" s="2014"/>
      <c r="BA87" s="253"/>
      <c r="BB87" s="253"/>
      <c r="BC87" s="3863"/>
      <c r="BD87" s="711"/>
      <c r="BE87" s="711"/>
      <c r="BF87" s="3861"/>
      <c r="BG87" s="3861"/>
      <c r="BH87" s="711"/>
      <c r="BI87" s="711"/>
      <c r="BJ87" s="711"/>
      <c r="BK87" s="711"/>
      <c r="BL87" s="253"/>
    </row>
    <row r="88" spans="1:64">
      <c r="A88" s="2013"/>
      <c r="B88" s="253"/>
      <c r="C88" s="253"/>
      <c r="D88" s="9328" t="s">
        <v>4715</v>
      </c>
      <c r="E88" s="11520"/>
      <c r="F88" s="11520"/>
      <c r="G88" s="11520"/>
      <c r="H88" s="11520"/>
      <c r="I88" s="11521"/>
      <c r="J88" s="11526" t="s">
        <v>4716</v>
      </c>
      <c r="K88" s="11527"/>
      <c r="L88" s="11527"/>
      <c r="M88" s="11527"/>
      <c r="N88" s="11527"/>
      <c r="O88" s="11527"/>
      <c r="P88" s="11527"/>
      <c r="Q88" s="11527"/>
      <c r="R88" s="11528"/>
      <c r="S88" s="11526" t="s">
        <v>4717</v>
      </c>
      <c r="T88" s="11527"/>
      <c r="U88" s="11527"/>
      <c r="V88" s="11527"/>
      <c r="W88" s="11527"/>
      <c r="X88" s="11527"/>
      <c r="Y88" s="11527"/>
      <c r="Z88" s="11527"/>
      <c r="AA88" s="11528"/>
      <c r="AB88" s="11532" t="s">
        <v>4718</v>
      </c>
      <c r="AC88" s="11527"/>
      <c r="AD88" s="11527"/>
      <c r="AE88" s="11527"/>
      <c r="AF88" s="11527"/>
      <c r="AG88" s="11527"/>
      <c r="AH88" s="11527"/>
      <c r="AI88" s="11527"/>
      <c r="AJ88" s="11527"/>
      <c r="AK88" s="2013"/>
      <c r="AL88" s="253"/>
      <c r="AM88" s="253"/>
      <c r="AN88" s="253"/>
      <c r="AO88" s="253"/>
      <c r="AP88" s="3912">
        <v>6</v>
      </c>
      <c r="AQ88" s="3914">
        <v>41960</v>
      </c>
      <c r="AR88" s="3914">
        <v>52460</v>
      </c>
      <c r="AS88" s="3915">
        <v>48260</v>
      </c>
      <c r="AT88" s="3916"/>
      <c r="AU88" s="253"/>
      <c r="AV88" s="253"/>
      <c r="AW88" s="253"/>
      <c r="AX88" s="253"/>
      <c r="AY88" s="253"/>
      <c r="AZ88" s="2014"/>
      <c r="BA88" s="253"/>
      <c r="BB88" s="253"/>
      <c r="BC88" s="3863"/>
      <c r="BD88" s="711"/>
      <c r="BE88" s="711"/>
      <c r="BF88" s="3861"/>
      <c r="BG88" s="3861"/>
      <c r="BH88" s="711"/>
      <c r="BI88" s="711"/>
      <c r="BJ88" s="711"/>
      <c r="BK88" s="711"/>
      <c r="BL88" s="253"/>
    </row>
    <row r="89" spans="1:64" ht="16.5" customHeight="1">
      <c r="A89" s="2013"/>
      <c r="B89" s="253"/>
      <c r="C89" s="253"/>
      <c r="D89" s="11522"/>
      <c r="E89" s="11522"/>
      <c r="F89" s="11522"/>
      <c r="G89" s="11522"/>
      <c r="H89" s="11522"/>
      <c r="I89" s="11523"/>
      <c r="J89" s="11529"/>
      <c r="K89" s="11530"/>
      <c r="L89" s="11530"/>
      <c r="M89" s="11530"/>
      <c r="N89" s="11530"/>
      <c r="O89" s="11530"/>
      <c r="P89" s="11530"/>
      <c r="Q89" s="11530"/>
      <c r="R89" s="11531"/>
      <c r="S89" s="11529"/>
      <c r="T89" s="11530"/>
      <c r="U89" s="11530"/>
      <c r="V89" s="11530"/>
      <c r="W89" s="11530"/>
      <c r="X89" s="11530"/>
      <c r="Y89" s="11530"/>
      <c r="Z89" s="11530"/>
      <c r="AA89" s="11531"/>
      <c r="AB89" s="11529"/>
      <c r="AC89" s="11530"/>
      <c r="AD89" s="11530"/>
      <c r="AE89" s="11530"/>
      <c r="AF89" s="11530"/>
      <c r="AG89" s="11530"/>
      <c r="AH89" s="11530"/>
      <c r="AI89" s="11530"/>
      <c r="AJ89" s="11530"/>
      <c r="AK89" s="2013"/>
      <c r="AL89" s="253"/>
      <c r="AM89" s="253"/>
      <c r="AN89" s="253"/>
      <c r="AO89" s="253"/>
      <c r="AP89" s="3912">
        <v>7</v>
      </c>
      <c r="AQ89" s="3914">
        <v>47340</v>
      </c>
      <c r="AR89" s="3914">
        <v>59190</v>
      </c>
      <c r="AS89" s="3915">
        <v>54450</v>
      </c>
      <c r="AT89" s="3916"/>
      <c r="AU89" s="253"/>
      <c r="AV89" s="253"/>
      <c r="AW89" s="253"/>
      <c r="AX89" s="253"/>
      <c r="AY89" s="253"/>
      <c r="AZ89" s="2014"/>
      <c r="BA89" s="253"/>
      <c r="BB89" s="253"/>
      <c r="BC89" s="3863"/>
      <c r="BD89" s="711"/>
      <c r="BE89" s="711"/>
      <c r="BF89" s="3861"/>
      <c r="BG89" s="3861"/>
      <c r="BH89" s="711"/>
      <c r="BI89" s="711"/>
      <c r="BJ89" s="711"/>
      <c r="BK89" s="711"/>
      <c r="BL89" s="253"/>
    </row>
    <row r="90" spans="1:64">
      <c r="A90" s="2013"/>
      <c r="B90" s="253"/>
      <c r="C90" s="253"/>
      <c r="D90" s="11522"/>
      <c r="E90" s="11522"/>
      <c r="F90" s="11522"/>
      <c r="G90" s="11522"/>
      <c r="H90" s="11522"/>
      <c r="I90" s="11523"/>
      <c r="J90" s="11529"/>
      <c r="K90" s="11530"/>
      <c r="L90" s="11530"/>
      <c r="M90" s="11530"/>
      <c r="N90" s="11530"/>
      <c r="O90" s="11530"/>
      <c r="P90" s="11530"/>
      <c r="Q90" s="11530"/>
      <c r="R90" s="11531"/>
      <c r="S90" s="11529"/>
      <c r="T90" s="11530"/>
      <c r="U90" s="11530"/>
      <c r="V90" s="11530"/>
      <c r="W90" s="11530"/>
      <c r="X90" s="11530"/>
      <c r="Y90" s="11530"/>
      <c r="Z90" s="11530"/>
      <c r="AA90" s="11531"/>
      <c r="AB90" s="11529"/>
      <c r="AC90" s="11530"/>
      <c r="AD90" s="11530"/>
      <c r="AE90" s="11530"/>
      <c r="AF90" s="11530"/>
      <c r="AG90" s="11530"/>
      <c r="AH90" s="11530"/>
      <c r="AI90" s="11530"/>
      <c r="AJ90" s="11530"/>
      <c r="AK90" s="2013"/>
      <c r="AL90" s="253"/>
      <c r="AM90" s="253"/>
      <c r="AN90" s="253"/>
      <c r="AO90" s="253"/>
      <c r="AP90" s="3912">
        <v>8</v>
      </c>
      <c r="AQ90" s="3914">
        <v>52720</v>
      </c>
      <c r="AR90" s="3914">
        <v>65920</v>
      </c>
      <c r="AS90" s="3915">
        <v>60640</v>
      </c>
      <c r="AT90" s="3916"/>
      <c r="AU90" s="253"/>
      <c r="AV90" s="253"/>
      <c r="AW90" s="253"/>
      <c r="AX90" s="253"/>
      <c r="AY90" s="2014"/>
      <c r="AZ90" s="2014"/>
      <c r="BA90" s="253"/>
      <c r="BB90" s="253"/>
      <c r="BC90" s="3863"/>
      <c r="BD90" s="711"/>
      <c r="BE90" s="711"/>
      <c r="BF90" s="3861"/>
      <c r="BG90" s="3861"/>
      <c r="BH90" s="711"/>
      <c r="BI90" s="711"/>
      <c r="BJ90" s="711"/>
      <c r="BK90" s="711"/>
      <c r="BL90" s="253"/>
    </row>
    <row r="91" spans="1:64" ht="13.5" thickBot="1">
      <c r="A91" s="2013"/>
      <c r="B91" s="253"/>
      <c r="C91" s="253"/>
      <c r="D91" s="11522"/>
      <c r="E91" s="11522"/>
      <c r="F91" s="11522"/>
      <c r="G91" s="11522"/>
      <c r="H91" s="11522"/>
      <c r="I91" s="11523"/>
      <c r="J91" s="11529"/>
      <c r="K91" s="11530"/>
      <c r="L91" s="11530"/>
      <c r="M91" s="11530"/>
      <c r="N91" s="11530"/>
      <c r="O91" s="11530"/>
      <c r="P91" s="11530"/>
      <c r="Q91" s="11530"/>
      <c r="R91" s="11531"/>
      <c r="S91" s="11529"/>
      <c r="T91" s="11530"/>
      <c r="U91" s="11530"/>
      <c r="V91" s="11530"/>
      <c r="W91" s="11530"/>
      <c r="X91" s="11530"/>
      <c r="Y91" s="11530"/>
      <c r="Z91" s="11530"/>
      <c r="AA91" s="11531"/>
      <c r="AB91" s="11529"/>
      <c r="AC91" s="11530"/>
      <c r="AD91" s="11530"/>
      <c r="AE91" s="11530"/>
      <c r="AF91" s="11530"/>
      <c r="AG91" s="11530"/>
      <c r="AH91" s="11530"/>
      <c r="AI91" s="11530"/>
      <c r="AJ91" s="11530"/>
      <c r="AK91" s="2013"/>
      <c r="AL91" s="253"/>
      <c r="AM91" s="253"/>
      <c r="AN91" s="253"/>
      <c r="AO91" s="253"/>
      <c r="AP91" s="3917" t="s">
        <v>4724</v>
      </c>
      <c r="AQ91" s="3918">
        <v>5380</v>
      </c>
      <c r="AR91" s="3918">
        <v>6730</v>
      </c>
      <c r="AS91" s="3919">
        <v>6190</v>
      </c>
      <c r="AT91" s="253"/>
      <c r="AU91" s="253"/>
      <c r="AV91" s="253"/>
      <c r="AW91" s="253"/>
      <c r="AX91" s="253"/>
      <c r="AY91" s="253"/>
      <c r="AZ91" s="2014"/>
      <c r="BA91" s="253"/>
      <c r="BB91" s="253"/>
      <c r="BC91" s="3863"/>
      <c r="BD91" s="711"/>
      <c r="BE91" s="3861"/>
      <c r="BF91" s="3861"/>
      <c r="BG91" s="711"/>
      <c r="BH91" s="711"/>
      <c r="BI91" s="711"/>
      <c r="BJ91" s="711"/>
      <c r="BK91" s="711"/>
      <c r="BL91" s="253"/>
    </row>
    <row r="92" spans="1:64" ht="12.75" customHeight="1">
      <c r="A92" s="2013"/>
      <c r="B92" s="413"/>
      <c r="C92" s="413"/>
      <c r="D92" s="11524"/>
      <c r="E92" s="11524"/>
      <c r="F92" s="11524"/>
      <c r="G92" s="11524"/>
      <c r="H92" s="11524"/>
      <c r="I92" s="11525"/>
      <c r="J92" s="11533"/>
      <c r="K92" s="11534"/>
      <c r="L92" s="11534"/>
      <c r="M92" s="11534"/>
      <c r="N92" s="11534"/>
      <c r="O92" s="11535"/>
      <c r="P92" s="11535"/>
      <c r="Q92" s="11535"/>
      <c r="R92" s="11536"/>
      <c r="S92" s="11533"/>
      <c r="T92" s="11534"/>
      <c r="U92" s="11534"/>
      <c r="V92" s="11534"/>
      <c r="W92" s="11534"/>
      <c r="X92" s="11535"/>
      <c r="Y92" s="11535"/>
      <c r="Z92" s="11535"/>
      <c r="AA92" s="11536"/>
      <c r="AB92" s="11534"/>
      <c r="AC92" s="11534"/>
      <c r="AD92" s="11534"/>
      <c r="AE92" s="11534"/>
      <c r="AF92" s="11534"/>
      <c r="AG92" s="11535"/>
      <c r="AH92" s="11535"/>
      <c r="AI92" s="11535"/>
      <c r="AJ92" s="11535"/>
      <c r="AK92" s="2013"/>
      <c r="AL92" s="253"/>
      <c r="AM92" s="253"/>
      <c r="AN92" s="253"/>
      <c r="AO92" s="253"/>
      <c r="AP92" s="3920" t="s">
        <v>782</v>
      </c>
      <c r="AQ92" s="3921" t="s">
        <v>4726</v>
      </c>
      <c r="AR92" s="3922"/>
      <c r="AS92" s="3922"/>
      <c r="AT92" s="253"/>
      <c r="AU92" s="253"/>
      <c r="AV92" s="253"/>
      <c r="AW92" s="253"/>
      <c r="AX92" s="253"/>
      <c r="AY92" s="253"/>
      <c r="AZ92" s="2014"/>
      <c r="BA92" s="253"/>
      <c r="BB92" s="253"/>
      <c r="BC92" s="3863"/>
      <c r="BD92" s="711"/>
      <c r="BE92" s="711"/>
      <c r="BF92" s="3861"/>
      <c r="BG92" s="3861"/>
      <c r="BH92" s="711"/>
      <c r="BI92" s="711"/>
      <c r="BJ92" s="711"/>
      <c r="BK92" s="711"/>
      <c r="BL92" s="253"/>
    </row>
    <row r="93" spans="1:64" ht="15.75">
      <c r="A93" s="2013"/>
      <c r="B93" s="3879" t="s">
        <v>4725</v>
      </c>
      <c r="C93" s="413"/>
      <c r="D93" s="413"/>
      <c r="E93" s="413"/>
      <c r="F93" s="413"/>
      <c r="G93" s="413"/>
      <c r="H93" s="413"/>
      <c r="I93" s="413"/>
      <c r="J93" s="413"/>
      <c r="K93" s="413"/>
      <c r="L93" s="413"/>
      <c r="M93" s="413"/>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2013"/>
      <c r="AL93" s="253"/>
      <c r="AM93" s="253"/>
      <c r="AN93" s="253"/>
      <c r="AO93" s="253"/>
      <c r="AP93" s="3854"/>
      <c r="AQ93" s="3923" t="s">
        <v>5169</v>
      </c>
      <c r="AR93" s="253"/>
      <c r="AS93" s="253"/>
      <c r="AT93" s="253"/>
      <c r="AU93" s="253"/>
      <c r="AV93" s="253"/>
      <c r="AW93" s="253"/>
      <c r="AX93" s="253"/>
      <c r="AY93" s="253"/>
      <c r="AZ93" s="2014"/>
      <c r="BA93" s="253"/>
      <c r="BB93" s="253"/>
      <c r="BC93" s="3863"/>
      <c r="BD93" s="711"/>
      <c r="BE93" s="711"/>
      <c r="BF93" s="3861"/>
      <c r="BG93" s="3861"/>
      <c r="BH93" s="711"/>
      <c r="BI93" s="253"/>
      <c r="BJ93" s="253"/>
      <c r="BK93" s="253"/>
      <c r="BL93" s="253"/>
    </row>
    <row r="94" spans="1:64" ht="15">
      <c r="A94" s="2013"/>
      <c r="B94" s="3827" t="s">
        <v>3398</v>
      </c>
      <c r="C94" s="253"/>
      <c r="D94" s="3903" t="s">
        <v>2198</v>
      </c>
      <c r="E94" s="2354" t="s">
        <v>4710</v>
      </c>
      <c r="F94" s="406"/>
      <c r="G94" s="406"/>
      <c r="H94" s="406"/>
      <c r="I94" s="406"/>
      <c r="J94" s="406"/>
      <c r="K94" s="406"/>
      <c r="L94" s="406"/>
      <c r="M94" s="407"/>
      <c r="N94" s="3807" t="s">
        <v>2199</v>
      </c>
      <c r="O94" s="2354" t="s">
        <v>4711</v>
      </c>
      <c r="P94" s="406"/>
      <c r="Q94" s="406"/>
      <c r="R94" s="406"/>
      <c r="S94" s="406"/>
      <c r="T94" s="406"/>
      <c r="U94" s="406"/>
      <c r="V94" s="407"/>
      <c r="W94" s="3807" t="s">
        <v>3029</v>
      </c>
      <c r="X94" s="406" t="s">
        <v>4712</v>
      </c>
      <c r="Y94" s="406"/>
      <c r="Z94" s="406"/>
      <c r="AA94" s="406"/>
      <c r="AB94" s="406"/>
      <c r="AC94" s="407"/>
      <c r="AD94" s="3807" t="s">
        <v>2148</v>
      </c>
      <c r="AE94" s="406" t="s">
        <v>4713</v>
      </c>
      <c r="AF94" s="406"/>
      <c r="AG94" s="406"/>
      <c r="AH94" s="406"/>
      <c r="AI94" s="406"/>
      <c r="AJ94" s="406"/>
      <c r="AK94" s="2013"/>
      <c r="AL94" s="253"/>
      <c r="AM94" s="253"/>
      <c r="AN94" s="253"/>
      <c r="AO94" s="253"/>
      <c r="AP94" s="3854"/>
      <c r="AQ94" s="3854"/>
      <c r="AR94" s="253"/>
      <c r="AS94" s="253"/>
      <c r="AT94" s="253"/>
      <c r="AU94" s="253"/>
      <c r="AV94" s="253"/>
      <c r="AW94" s="253"/>
      <c r="AX94" s="253"/>
      <c r="AY94" s="253"/>
      <c r="AZ94" s="2014"/>
      <c r="BA94" s="253"/>
      <c r="BB94" s="253"/>
      <c r="BC94" s="3863"/>
      <c r="BD94" s="711"/>
      <c r="BE94" s="253"/>
      <c r="BF94" s="3861"/>
      <c r="BG94" s="3861"/>
      <c r="BH94" s="253"/>
      <c r="BI94" s="253"/>
      <c r="BJ94" s="253"/>
      <c r="BK94" s="253"/>
      <c r="BL94" s="253"/>
    </row>
    <row r="95" spans="1:64" ht="18" customHeight="1">
      <c r="A95" s="2013"/>
      <c r="B95" s="3827"/>
      <c r="D95" s="11510"/>
      <c r="E95" s="11510"/>
      <c r="F95" s="11510"/>
      <c r="G95" s="11510"/>
      <c r="H95" s="11510"/>
      <c r="I95" s="11511"/>
      <c r="J95" s="11511"/>
      <c r="K95" s="11511"/>
      <c r="L95" s="11511"/>
      <c r="M95" s="11512"/>
      <c r="N95" s="11513"/>
      <c r="O95" s="7364"/>
      <c r="P95" s="7364"/>
      <c r="Q95" s="7364"/>
      <c r="R95" s="7364"/>
      <c r="S95" s="11514"/>
      <c r="T95" s="11514"/>
      <c r="U95" s="11514"/>
      <c r="V95" s="11515"/>
      <c r="W95" s="11516"/>
      <c r="X95" s="11517"/>
      <c r="Y95" s="11517"/>
      <c r="Z95" s="11517"/>
      <c r="AA95" s="11517"/>
      <c r="AB95" s="11518"/>
      <c r="AC95" s="11518"/>
      <c r="AD95" s="11519"/>
      <c r="AE95" s="11517"/>
      <c r="AF95" s="11517"/>
      <c r="AG95" s="11517"/>
      <c r="AH95" s="11517"/>
      <c r="AI95" s="11518"/>
      <c r="AJ95" s="11518"/>
      <c r="AK95" s="2013"/>
      <c r="AL95" s="253"/>
      <c r="AM95" s="253"/>
      <c r="AN95" s="253"/>
      <c r="AO95" s="253"/>
      <c r="AP95" s="3854"/>
      <c r="AQ95" s="3854"/>
      <c r="AR95" s="253"/>
      <c r="AS95" s="253"/>
      <c r="AT95" s="253"/>
      <c r="AU95" s="253"/>
      <c r="AV95" s="253"/>
      <c r="AW95" s="253"/>
      <c r="AX95" s="253"/>
      <c r="AY95" s="253"/>
      <c r="AZ95" s="2014"/>
      <c r="BA95" s="253"/>
      <c r="BB95" s="253"/>
      <c r="BC95" s="3863"/>
      <c r="BD95" s="711"/>
      <c r="BE95" s="253"/>
      <c r="BF95" s="3861"/>
      <c r="BG95" s="3861"/>
      <c r="BH95" s="253"/>
      <c r="BI95" s="253"/>
      <c r="BJ95" s="253"/>
      <c r="BK95" s="253"/>
      <c r="BL95" s="253"/>
    </row>
    <row r="96" spans="1:64">
      <c r="A96" s="2013"/>
      <c r="B96" s="253"/>
      <c r="C96" s="253"/>
      <c r="D96" s="9328" t="s">
        <v>4715</v>
      </c>
      <c r="E96" s="11520"/>
      <c r="F96" s="11520"/>
      <c r="G96" s="11520"/>
      <c r="H96" s="11520"/>
      <c r="I96" s="11521"/>
      <c r="J96" s="11526" t="s">
        <v>4716</v>
      </c>
      <c r="K96" s="11527"/>
      <c r="L96" s="11527"/>
      <c r="M96" s="11527"/>
      <c r="N96" s="11527"/>
      <c r="O96" s="11527"/>
      <c r="P96" s="11527"/>
      <c r="Q96" s="11527"/>
      <c r="R96" s="11528"/>
      <c r="S96" s="11526" t="s">
        <v>4717</v>
      </c>
      <c r="T96" s="11527"/>
      <c r="U96" s="11527"/>
      <c r="V96" s="11527"/>
      <c r="W96" s="11527"/>
      <c r="X96" s="11527"/>
      <c r="Y96" s="11527"/>
      <c r="Z96" s="11527"/>
      <c r="AA96" s="11528"/>
      <c r="AB96" s="11532" t="s">
        <v>4718</v>
      </c>
      <c r="AC96" s="11527"/>
      <c r="AD96" s="11527"/>
      <c r="AE96" s="11527"/>
      <c r="AF96" s="11527"/>
      <c r="AG96" s="11527"/>
      <c r="AH96" s="11527"/>
      <c r="AI96" s="11527"/>
      <c r="AJ96" s="11527"/>
      <c r="AK96" s="2013"/>
      <c r="AL96" s="253"/>
      <c r="AM96" s="253"/>
      <c r="AN96" s="253"/>
      <c r="AO96" s="253"/>
      <c r="AP96" s="3854"/>
      <c r="AQ96" s="3854"/>
      <c r="AR96" s="253"/>
      <c r="AS96" s="253"/>
      <c r="AT96" s="253"/>
      <c r="AU96" s="253"/>
      <c r="AV96" s="253"/>
      <c r="AW96" s="253"/>
      <c r="AX96" s="253"/>
      <c r="AY96" s="253"/>
      <c r="AZ96" s="2014"/>
      <c r="BA96" s="253"/>
      <c r="BB96" s="253"/>
      <c r="BC96" s="3863"/>
      <c r="BD96" s="711"/>
      <c r="BE96" s="253"/>
      <c r="BF96" s="3861"/>
      <c r="BG96" s="3861"/>
      <c r="BH96" s="253"/>
      <c r="BI96" s="253"/>
      <c r="BJ96" s="253"/>
      <c r="BK96" s="253"/>
      <c r="BL96" s="253"/>
    </row>
    <row r="97" spans="1:73" ht="16.5" customHeight="1">
      <c r="A97" s="2013"/>
      <c r="B97" s="253"/>
      <c r="C97" s="253"/>
      <c r="D97" s="11522"/>
      <c r="E97" s="11522"/>
      <c r="F97" s="11522"/>
      <c r="G97" s="11522"/>
      <c r="H97" s="11522"/>
      <c r="I97" s="11523"/>
      <c r="J97" s="11529"/>
      <c r="K97" s="11530"/>
      <c r="L97" s="11530"/>
      <c r="M97" s="11530"/>
      <c r="N97" s="11530"/>
      <c r="O97" s="11530"/>
      <c r="P97" s="11530"/>
      <c r="Q97" s="11530"/>
      <c r="R97" s="11531"/>
      <c r="S97" s="11529"/>
      <c r="T97" s="11530"/>
      <c r="U97" s="11530"/>
      <c r="V97" s="11530"/>
      <c r="W97" s="11530"/>
      <c r="X97" s="11530"/>
      <c r="Y97" s="11530"/>
      <c r="Z97" s="11530"/>
      <c r="AA97" s="11531"/>
      <c r="AB97" s="11529"/>
      <c r="AC97" s="11530"/>
      <c r="AD97" s="11530"/>
      <c r="AE97" s="11530"/>
      <c r="AF97" s="11530"/>
      <c r="AG97" s="11530"/>
      <c r="AH97" s="11530"/>
      <c r="AI97" s="11530"/>
      <c r="AJ97" s="11530"/>
      <c r="AK97" s="2013"/>
      <c r="AL97" s="253"/>
      <c r="AM97" s="253"/>
      <c r="AN97" s="253"/>
      <c r="AO97" s="253"/>
      <c r="AP97" s="3854"/>
      <c r="AQ97" s="3854"/>
      <c r="AR97" s="253"/>
      <c r="AS97" s="253"/>
      <c r="AT97" s="253"/>
      <c r="AU97" s="253"/>
      <c r="AV97" s="253"/>
      <c r="AW97" s="253"/>
      <c r="AX97" s="253"/>
      <c r="AY97" s="253"/>
      <c r="AZ97" s="2014"/>
      <c r="BA97" s="253"/>
      <c r="BB97" s="253"/>
      <c r="BC97" s="3863"/>
      <c r="BD97" s="711"/>
      <c r="BE97" s="253"/>
      <c r="BF97" s="3861"/>
      <c r="BG97" s="3861"/>
      <c r="BH97" s="253"/>
      <c r="BI97" s="253"/>
      <c r="BJ97" s="253"/>
      <c r="BK97" s="253"/>
      <c r="BL97" s="253"/>
    </row>
    <row r="98" spans="1:73">
      <c r="A98" s="2013"/>
      <c r="B98" s="253"/>
      <c r="C98" s="253"/>
      <c r="D98" s="11522"/>
      <c r="E98" s="11522"/>
      <c r="F98" s="11522"/>
      <c r="G98" s="11522"/>
      <c r="H98" s="11522"/>
      <c r="I98" s="11523"/>
      <c r="J98" s="11529"/>
      <c r="K98" s="11530"/>
      <c r="L98" s="11530"/>
      <c r="M98" s="11530"/>
      <c r="N98" s="11530"/>
      <c r="O98" s="11530"/>
      <c r="P98" s="11530"/>
      <c r="Q98" s="11530"/>
      <c r="R98" s="11531"/>
      <c r="S98" s="11529"/>
      <c r="T98" s="11530"/>
      <c r="U98" s="11530"/>
      <c r="V98" s="11530"/>
      <c r="W98" s="11530"/>
      <c r="X98" s="11530"/>
      <c r="Y98" s="11530"/>
      <c r="Z98" s="11530"/>
      <c r="AA98" s="11531"/>
      <c r="AB98" s="11529"/>
      <c r="AC98" s="11530"/>
      <c r="AD98" s="11530"/>
      <c r="AE98" s="11530"/>
      <c r="AF98" s="11530"/>
      <c r="AG98" s="11530"/>
      <c r="AH98" s="11530"/>
      <c r="AI98" s="11530"/>
      <c r="AJ98" s="11530"/>
      <c r="AK98" s="2013"/>
      <c r="AL98" s="253"/>
      <c r="AM98" s="253"/>
      <c r="AN98" s="253"/>
      <c r="AO98" s="253"/>
      <c r="AP98" s="3854"/>
      <c r="AQ98" s="3854"/>
      <c r="AR98" s="253"/>
      <c r="AS98" s="253"/>
      <c r="AT98" s="253"/>
      <c r="AU98" s="253"/>
      <c r="AV98" s="253"/>
      <c r="AW98" s="253"/>
      <c r="AX98" s="253"/>
      <c r="AY98" s="253"/>
      <c r="AZ98" s="2014"/>
      <c r="BA98" s="253"/>
      <c r="BB98" s="253"/>
      <c r="BC98" s="3863"/>
      <c r="BD98" s="711"/>
      <c r="BE98" s="253"/>
      <c r="BF98" s="3861"/>
      <c r="BG98" s="3861"/>
      <c r="BH98" s="253"/>
      <c r="BI98" s="253"/>
      <c r="BJ98" s="253"/>
      <c r="BK98" s="253"/>
      <c r="BL98" s="253"/>
    </row>
    <row r="99" spans="1:73">
      <c r="A99" s="2013"/>
      <c r="B99" s="253"/>
      <c r="C99" s="253"/>
      <c r="D99" s="11522"/>
      <c r="E99" s="11522"/>
      <c r="F99" s="11522"/>
      <c r="G99" s="11522"/>
      <c r="H99" s="11522"/>
      <c r="I99" s="11523"/>
      <c r="J99" s="11529"/>
      <c r="K99" s="11530"/>
      <c r="L99" s="11530"/>
      <c r="M99" s="11530"/>
      <c r="N99" s="11530"/>
      <c r="O99" s="11530"/>
      <c r="P99" s="11530"/>
      <c r="Q99" s="11530"/>
      <c r="R99" s="11531"/>
      <c r="S99" s="11529"/>
      <c r="T99" s="11530"/>
      <c r="U99" s="11530"/>
      <c r="V99" s="11530"/>
      <c r="W99" s="11530"/>
      <c r="X99" s="11530"/>
      <c r="Y99" s="11530"/>
      <c r="Z99" s="11530"/>
      <c r="AA99" s="11531"/>
      <c r="AB99" s="11529"/>
      <c r="AC99" s="11530"/>
      <c r="AD99" s="11530"/>
      <c r="AE99" s="11530"/>
      <c r="AF99" s="11530"/>
      <c r="AG99" s="11530"/>
      <c r="AH99" s="11530"/>
      <c r="AI99" s="11530"/>
      <c r="AJ99" s="11530"/>
      <c r="AK99" s="2013"/>
      <c r="AL99" s="253"/>
      <c r="AM99" s="253"/>
      <c r="AN99" s="253"/>
      <c r="AO99" s="253"/>
      <c r="AP99" s="3854"/>
      <c r="AQ99" s="3854"/>
      <c r="AR99" s="253"/>
      <c r="AS99" s="253"/>
      <c r="AT99" s="253"/>
      <c r="AU99" s="253"/>
      <c r="AV99" s="253"/>
      <c r="AW99" s="253"/>
      <c r="AX99" s="253"/>
      <c r="AY99" s="253"/>
      <c r="AZ99" s="2014"/>
      <c r="BA99" s="253"/>
      <c r="BB99" s="253"/>
      <c r="BC99" s="3863"/>
      <c r="BD99" s="711"/>
      <c r="BE99" s="253"/>
      <c r="BF99" s="3861"/>
      <c r="BG99" s="3861"/>
      <c r="BH99" s="253"/>
      <c r="BI99" s="253"/>
      <c r="BJ99" s="253"/>
      <c r="BK99" s="253"/>
      <c r="BL99" s="253"/>
    </row>
    <row r="100" spans="1:73" ht="12.75" customHeight="1">
      <c r="A100" s="2013"/>
      <c r="B100" s="413"/>
      <c r="C100" s="413"/>
      <c r="D100" s="11524"/>
      <c r="E100" s="11524"/>
      <c r="F100" s="11524"/>
      <c r="G100" s="11524"/>
      <c r="H100" s="11524"/>
      <c r="I100" s="11525"/>
      <c r="J100" s="11533"/>
      <c r="K100" s="11534"/>
      <c r="L100" s="11534"/>
      <c r="M100" s="11534"/>
      <c r="N100" s="11534"/>
      <c r="O100" s="11535"/>
      <c r="P100" s="11535"/>
      <c r="Q100" s="11535"/>
      <c r="R100" s="11536"/>
      <c r="S100" s="11533"/>
      <c r="T100" s="11534"/>
      <c r="U100" s="11534"/>
      <c r="V100" s="11534"/>
      <c r="W100" s="11534"/>
      <c r="X100" s="11535"/>
      <c r="Y100" s="11535"/>
      <c r="Z100" s="11535"/>
      <c r="AA100" s="11536"/>
      <c r="AB100" s="11534"/>
      <c r="AC100" s="11534"/>
      <c r="AD100" s="11534"/>
      <c r="AE100" s="11534"/>
      <c r="AF100" s="11534"/>
      <c r="AG100" s="11535"/>
      <c r="AH100" s="11535"/>
      <c r="AI100" s="11535"/>
      <c r="AJ100" s="11535"/>
      <c r="AK100" s="2013"/>
      <c r="AL100" s="253"/>
      <c r="AM100" s="253"/>
      <c r="AN100" s="253"/>
      <c r="AO100" s="253"/>
      <c r="AP100" s="3854"/>
      <c r="AQ100" s="3854"/>
      <c r="AR100" s="253"/>
      <c r="AS100" s="253"/>
      <c r="AT100" s="253"/>
      <c r="AU100" s="253"/>
      <c r="AV100" s="253"/>
      <c r="AW100" s="253"/>
      <c r="AX100" s="253"/>
      <c r="AY100" s="253"/>
      <c r="AZ100" s="2014"/>
      <c r="BA100" s="253"/>
      <c r="BB100" s="253"/>
      <c r="BC100" s="3863"/>
      <c r="BD100" s="711"/>
      <c r="BE100" s="253"/>
      <c r="BF100" s="3861"/>
      <c r="BG100" s="3861"/>
      <c r="BH100" s="253"/>
      <c r="BI100" s="253"/>
      <c r="BJ100" s="253"/>
      <c r="BK100" s="253"/>
      <c r="BL100" s="253"/>
    </row>
    <row r="101" spans="1:73" ht="15.75">
      <c r="A101" s="2013"/>
      <c r="B101" s="3879" t="s">
        <v>4727</v>
      </c>
      <c r="C101" s="413"/>
      <c r="D101" s="413"/>
      <c r="E101" s="413"/>
      <c r="F101" s="413"/>
      <c r="G101" s="413"/>
      <c r="H101" s="413"/>
      <c r="I101" s="413"/>
      <c r="J101" s="413"/>
      <c r="K101" s="413"/>
      <c r="L101" s="413"/>
      <c r="M101" s="413"/>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2013"/>
      <c r="AL101" s="253"/>
      <c r="AM101" s="253"/>
      <c r="AN101" s="253"/>
      <c r="AO101" s="253"/>
      <c r="AP101" s="3854"/>
      <c r="AQ101" s="3854"/>
      <c r="AR101" s="253"/>
      <c r="AS101" s="253"/>
      <c r="AT101" s="253"/>
      <c r="AU101" s="253"/>
      <c r="AV101" s="253"/>
      <c r="AW101" s="253"/>
      <c r="AX101" s="253"/>
      <c r="AY101" s="253"/>
      <c r="AZ101" s="2014"/>
      <c r="BA101" s="253"/>
      <c r="BB101" s="253"/>
      <c r="BC101" s="3863"/>
      <c r="BD101" s="711"/>
      <c r="BE101" s="253"/>
      <c r="BF101" s="3861"/>
      <c r="BG101" s="3861"/>
      <c r="BH101" s="253"/>
      <c r="BI101" s="253"/>
      <c r="BJ101" s="253"/>
      <c r="BK101" s="253"/>
      <c r="BL101" s="253"/>
    </row>
    <row r="102" spans="1:73" ht="15">
      <c r="A102" s="2013"/>
      <c r="B102" s="3827" t="s">
        <v>3399</v>
      </c>
      <c r="C102" s="253"/>
      <c r="D102" s="3903" t="s">
        <v>2198</v>
      </c>
      <c r="E102" s="2354" t="s">
        <v>4710</v>
      </c>
      <c r="F102" s="406"/>
      <c r="G102" s="406"/>
      <c r="H102" s="406"/>
      <c r="I102" s="406"/>
      <c r="J102" s="406"/>
      <c r="K102" s="406"/>
      <c r="L102" s="406"/>
      <c r="M102" s="407"/>
      <c r="N102" s="3807" t="s">
        <v>2199</v>
      </c>
      <c r="O102" s="2354" t="s">
        <v>4711</v>
      </c>
      <c r="P102" s="406"/>
      <c r="Q102" s="406"/>
      <c r="R102" s="406"/>
      <c r="S102" s="406"/>
      <c r="T102" s="406"/>
      <c r="U102" s="406"/>
      <c r="V102" s="407"/>
      <c r="W102" s="3807" t="s">
        <v>3029</v>
      </c>
      <c r="X102" s="406" t="s">
        <v>4712</v>
      </c>
      <c r="Y102" s="406"/>
      <c r="Z102" s="406"/>
      <c r="AA102" s="406"/>
      <c r="AB102" s="406"/>
      <c r="AC102" s="407"/>
      <c r="AD102" s="3807" t="s">
        <v>2148</v>
      </c>
      <c r="AE102" s="406" t="s">
        <v>4713</v>
      </c>
      <c r="AF102" s="406"/>
      <c r="AG102" s="406"/>
      <c r="AH102" s="406"/>
      <c r="AI102" s="406"/>
      <c r="AJ102" s="406"/>
      <c r="AK102" s="2013"/>
      <c r="AL102" s="253"/>
      <c r="AM102" s="253"/>
      <c r="AN102" s="253"/>
      <c r="AO102" s="253"/>
      <c r="AP102" s="3854"/>
      <c r="AQ102" s="3854"/>
      <c r="AR102" s="253"/>
      <c r="AS102" s="253"/>
      <c r="AT102" s="253"/>
      <c r="AU102" s="253"/>
      <c r="AV102" s="253"/>
      <c r="AW102" s="253"/>
      <c r="AX102" s="253"/>
      <c r="AY102" s="253"/>
      <c r="AZ102" s="2014"/>
      <c r="BA102" s="253"/>
      <c r="BB102" s="253"/>
      <c r="BC102" s="3863"/>
      <c r="BD102" s="711"/>
      <c r="BE102" s="253"/>
      <c r="BF102" s="3861"/>
      <c r="BG102" s="3861"/>
      <c r="BH102" s="253"/>
      <c r="BI102" s="253"/>
      <c r="BJ102" s="253"/>
      <c r="BK102" s="253"/>
      <c r="BL102" s="253"/>
    </row>
    <row r="103" spans="1:73" ht="18" customHeight="1">
      <c r="A103" s="2013"/>
      <c r="B103" s="3827"/>
      <c r="D103" s="11510"/>
      <c r="E103" s="11510"/>
      <c r="F103" s="11510"/>
      <c r="G103" s="11510"/>
      <c r="H103" s="11510"/>
      <c r="I103" s="11511"/>
      <c r="J103" s="11511"/>
      <c r="K103" s="11511"/>
      <c r="L103" s="11511"/>
      <c r="M103" s="11512"/>
      <c r="N103" s="11513"/>
      <c r="O103" s="7364"/>
      <c r="P103" s="7364"/>
      <c r="Q103" s="7364"/>
      <c r="R103" s="7364"/>
      <c r="S103" s="11514"/>
      <c r="T103" s="11514"/>
      <c r="U103" s="11514"/>
      <c r="V103" s="11515"/>
      <c r="W103" s="11516"/>
      <c r="X103" s="11517"/>
      <c r="Y103" s="11517"/>
      <c r="Z103" s="11517"/>
      <c r="AA103" s="11517"/>
      <c r="AB103" s="11518"/>
      <c r="AC103" s="11518"/>
      <c r="AD103" s="11519"/>
      <c r="AE103" s="11517"/>
      <c r="AF103" s="11517"/>
      <c r="AG103" s="11517"/>
      <c r="AH103" s="11517"/>
      <c r="AI103" s="11518"/>
      <c r="AJ103" s="11518"/>
      <c r="AK103" s="2013"/>
      <c r="AL103" s="253"/>
      <c r="AM103" s="253"/>
      <c r="AN103" s="253"/>
      <c r="AO103" s="253"/>
      <c r="AP103" s="3854"/>
      <c r="AQ103" s="3854"/>
      <c r="AR103" s="253"/>
      <c r="AS103" s="253"/>
      <c r="AT103" s="253"/>
      <c r="AU103" s="253"/>
      <c r="AV103" s="253"/>
      <c r="AW103" s="253"/>
      <c r="AX103" s="253"/>
      <c r="AY103" s="253"/>
      <c r="AZ103" s="2014"/>
      <c r="BA103" s="253"/>
      <c r="BB103" s="253"/>
      <c r="BC103" s="3863"/>
      <c r="BD103" s="711"/>
      <c r="BE103" s="253"/>
      <c r="BF103" s="3861"/>
      <c r="BG103" s="3861"/>
      <c r="BH103" s="253"/>
      <c r="BI103" s="253"/>
      <c r="BJ103" s="253"/>
      <c r="BK103" s="253"/>
      <c r="BL103" s="253"/>
    </row>
    <row r="104" spans="1:73">
      <c r="A104" s="2013"/>
      <c r="B104" s="253"/>
      <c r="C104" s="253"/>
      <c r="D104" s="9328" t="s">
        <v>4715</v>
      </c>
      <c r="E104" s="11520"/>
      <c r="F104" s="11520"/>
      <c r="G104" s="11520"/>
      <c r="H104" s="11520"/>
      <c r="I104" s="11521"/>
      <c r="J104" s="11526" t="s">
        <v>4716</v>
      </c>
      <c r="K104" s="11527"/>
      <c r="L104" s="11527"/>
      <c r="M104" s="11527"/>
      <c r="N104" s="11527"/>
      <c r="O104" s="11527"/>
      <c r="P104" s="11527"/>
      <c r="Q104" s="11527"/>
      <c r="R104" s="11528"/>
      <c r="S104" s="11526" t="s">
        <v>4717</v>
      </c>
      <c r="T104" s="11527"/>
      <c r="U104" s="11527"/>
      <c r="V104" s="11527"/>
      <c r="W104" s="11527"/>
      <c r="X104" s="11527"/>
      <c r="Y104" s="11527"/>
      <c r="Z104" s="11527"/>
      <c r="AA104" s="11528"/>
      <c r="AB104" s="11532" t="s">
        <v>4718</v>
      </c>
      <c r="AC104" s="11527"/>
      <c r="AD104" s="11527"/>
      <c r="AE104" s="11527"/>
      <c r="AF104" s="11527"/>
      <c r="AG104" s="11527"/>
      <c r="AH104" s="11527"/>
      <c r="AI104" s="11527"/>
      <c r="AJ104" s="11527"/>
      <c r="AK104" s="2013"/>
      <c r="AL104" s="253"/>
      <c r="AM104" s="253"/>
      <c r="AN104" s="253"/>
      <c r="AO104" s="253"/>
      <c r="AP104" s="3854"/>
      <c r="AQ104" s="3854"/>
      <c r="AR104" s="253"/>
      <c r="AS104" s="253"/>
      <c r="AT104" s="253"/>
      <c r="AU104" s="253"/>
      <c r="AV104" s="253"/>
      <c r="AW104" s="253"/>
      <c r="AX104" s="253"/>
      <c r="AY104" s="253"/>
      <c r="AZ104" s="2014"/>
      <c r="BA104" s="253"/>
      <c r="BB104" s="253"/>
      <c r="BC104" s="3863"/>
      <c r="BD104" s="711"/>
      <c r="BE104" s="253"/>
      <c r="BF104" s="3861"/>
      <c r="BG104" s="3861"/>
      <c r="BH104" s="253"/>
      <c r="BI104" s="253"/>
      <c r="BJ104" s="253"/>
      <c r="BK104" s="253"/>
      <c r="BL104" s="253"/>
    </row>
    <row r="105" spans="1:73" ht="16.5" customHeight="1">
      <c r="A105" s="2013"/>
      <c r="B105" s="253"/>
      <c r="C105" s="253"/>
      <c r="D105" s="11522"/>
      <c r="E105" s="11522"/>
      <c r="F105" s="11522"/>
      <c r="G105" s="11522"/>
      <c r="H105" s="11522"/>
      <c r="I105" s="11523"/>
      <c r="J105" s="11529"/>
      <c r="K105" s="11530"/>
      <c r="L105" s="11530"/>
      <c r="M105" s="11530"/>
      <c r="N105" s="11530"/>
      <c r="O105" s="11530"/>
      <c r="P105" s="11530"/>
      <c r="Q105" s="11530"/>
      <c r="R105" s="11531"/>
      <c r="S105" s="11529"/>
      <c r="T105" s="11530"/>
      <c r="U105" s="11530"/>
      <c r="V105" s="11530"/>
      <c r="W105" s="11530"/>
      <c r="X105" s="11530"/>
      <c r="Y105" s="11530"/>
      <c r="Z105" s="11530"/>
      <c r="AA105" s="11531"/>
      <c r="AB105" s="11529"/>
      <c r="AC105" s="11530"/>
      <c r="AD105" s="11530"/>
      <c r="AE105" s="11530"/>
      <c r="AF105" s="11530"/>
      <c r="AG105" s="11530"/>
      <c r="AH105" s="11530"/>
      <c r="AI105" s="11530"/>
      <c r="AJ105" s="11530"/>
      <c r="AK105" s="2013"/>
      <c r="AL105" s="253"/>
      <c r="AM105" s="253"/>
      <c r="AN105" s="253"/>
      <c r="AO105" s="253"/>
      <c r="AP105" s="3854"/>
      <c r="AQ105" s="3854"/>
      <c r="AR105" s="253"/>
      <c r="AS105" s="253"/>
      <c r="AT105" s="253"/>
      <c r="AU105" s="253"/>
      <c r="AV105" s="253"/>
      <c r="AW105" s="253"/>
      <c r="AX105" s="253"/>
      <c r="AY105" s="253"/>
      <c r="AZ105" s="2014"/>
      <c r="BA105" s="253"/>
      <c r="BB105" s="253"/>
      <c r="BC105" s="3863"/>
      <c r="BD105" s="711"/>
      <c r="BE105" s="253"/>
      <c r="BF105" s="3861"/>
      <c r="BG105" s="3861"/>
      <c r="BH105" s="253"/>
      <c r="BI105" s="253"/>
      <c r="BJ105" s="253"/>
      <c r="BK105" s="253"/>
      <c r="BL105" s="253"/>
    </row>
    <row r="106" spans="1:73" s="141" customFormat="1" ht="21" customHeight="1">
      <c r="A106" s="2013"/>
      <c r="B106" s="253"/>
      <c r="C106" s="253"/>
      <c r="D106" s="11522"/>
      <c r="E106" s="11522"/>
      <c r="F106" s="11522"/>
      <c r="G106" s="11522"/>
      <c r="H106" s="11522"/>
      <c r="I106" s="11523"/>
      <c r="J106" s="11529"/>
      <c r="K106" s="11530"/>
      <c r="L106" s="11530"/>
      <c r="M106" s="11530"/>
      <c r="N106" s="11530"/>
      <c r="O106" s="11530"/>
      <c r="P106" s="11530"/>
      <c r="Q106" s="11530"/>
      <c r="R106" s="11531"/>
      <c r="S106" s="11529"/>
      <c r="T106" s="11530"/>
      <c r="U106" s="11530"/>
      <c r="V106" s="11530"/>
      <c r="W106" s="11530"/>
      <c r="X106" s="11530"/>
      <c r="Y106" s="11530"/>
      <c r="Z106" s="11530"/>
      <c r="AA106" s="11531"/>
      <c r="AB106" s="11529"/>
      <c r="AC106" s="11530"/>
      <c r="AD106" s="11530"/>
      <c r="AE106" s="11530"/>
      <c r="AF106" s="11530"/>
      <c r="AG106" s="11530"/>
      <c r="AH106" s="11530"/>
      <c r="AI106" s="11530"/>
      <c r="AJ106" s="11530"/>
      <c r="AK106" s="2013"/>
      <c r="AL106" s="253"/>
      <c r="AM106" s="253"/>
      <c r="AN106" s="253"/>
      <c r="AO106" s="253"/>
      <c r="AP106" s="3854"/>
      <c r="AQ106" s="3854"/>
      <c r="AR106" s="253"/>
      <c r="AS106" s="253"/>
      <c r="AT106" s="253"/>
      <c r="AU106" s="253"/>
      <c r="AV106" s="253"/>
      <c r="AW106" s="253"/>
      <c r="AX106" s="253"/>
      <c r="AY106" s="253"/>
      <c r="AZ106" s="2014"/>
      <c r="BA106" s="253"/>
      <c r="BB106" s="253"/>
      <c r="BC106" s="3863"/>
      <c r="BD106" s="711"/>
      <c r="BE106" s="253"/>
      <c r="BF106" s="3861"/>
      <c r="BG106" s="3861"/>
      <c r="BH106" s="253"/>
      <c r="BI106" s="253"/>
      <c r="BJ106" s="253"/>
      <c r="BK106" s="253"/>
      <c r="BL106" s="411"/>
      <c r="BM106" s="1307"/>
      <c r="BN106" s="665"/>
      <c r="BO106" s="665"/>
      <c r="BP106" s="665"/>
      <c r="BQ106" s="665"/>
      <c r="BR106" s="665"/>
      <c r="BS106" s="665"/>
      <c r="BT106" s="665"/>
      <c r="BU106" s="665"/>
    </row>
    <row r="107" spans="1:73">
      <c r="A107" s="2013"/>
      <c r="B107" s="253"/>
      <c r="C107" s="253"/>
      <c r="D107" s="11522"/>
      <c r="E107" s="11522"/>
      <c r="F107" s="11522"/>
      <c r="G107" s="11522"/>
      <c r="H107" s="11522"/>
      <c r="I107" s="11523"/>
      <c r="J107" s="11529"/>
      <c r="K107" s="11530"/>
      <c r="L107" s="11530"/>
      <c r="M107" s="11530"/>
      <c r="N107" s="11530"/>
      <c r="O107" s="11530"/>
      <c r="P107" s="11530"/>
      <c r="Q107" s="11530"/>
      <c r="R107" s="11531"/>
      <c r="S107" s="11529"/>
      <c r="T107" s="11530"/>
      <c r="U107" s="11530"/>
      <c r="V107" s="11530"/>
      <c r="W107" s="11530"/>
      <c r="X107" s="11530"/>
      <c r="Y107" s="11530"/>
      <c r="Z107" s="11530"/>
      <c r="AA107" s="11531"/>
      <c r="AB107" s="11529"/>
      <c r="AC107" s="11530"/>
      <c r="AD107" s="11530"/>
      <c r="AE107" s="11530"/>
      <c r="AF107" s="11530"/>
      <c r="AG107" s="11530"/>
      <c r="AH107" s="11530"/>
      <c r="AI107" s="11530"/>
      <c r="AJ107" s="11530"/>
      <c r="AK107" s="2013"/>
      <c r="AL107" s="253"/>
      <c r="AM107" s="253"/>
      <c r="AN107" s="253"/>
      <c r="AO107" s="253"/>
      <c r="AP107" s="3854"/>
      <c r="AQ107" s="3854"/>
      <c r="AR107" s="411"/>
      <c r="AS107" s="411"/>
      <c r="AT107" s="411"/>
      <c r="AU107" s="411"/>
      <c r="AV107" s="411"/>
      <c r="AW107" s="411"/>
      <c r="AX107" s="411"/>
      <c r="AY107" s="411"/>
      <c r="AZ107" s="3924"/>
      <c r="BA107" s="253"/>
      <c r="BB107" s="253"/>
      <c r="BC107" s="3863"/>
      <c r="BD107" s="711"/>
      <c r="BE107" s="253"/>
      <c r="BF107" s="3861"/>
      <c r="BG107" s="3861"/>
      <c r="BH107" s="253"/>
      <c r="BI107" s="253"/>
      <c r="BJ107" s="253"/>
      <c r="BK107" s="253"/>
      <c r="BL107" s="253"/>
    </row>
    <row r="108" spans="1:73" ht="12.75" customHeight="1">
      <c r="A108" s="2013"/>
      <c r="B108" s="413"/>
      <c r="C108" s="413"/>
      <c r="D108" s="11524"/>
      <c r="E108" s="11524"/>
      <c r="F108" s="11524"/>
      <c r="G108" s="11524"/>
      <c r="H108" s="11524"/>
      <c r="I108" s="11525"/>
      <c r="J108" s="11533"/>
      <c r="K108" s="11534"/>
      <c r="L108" s="11534"/>
      <c r="M108" s="11534"/>
      <c r="N108" s="11534"/>
      <c r="O108" s="11535"/>
      <c r="P108" s="11535"/>
      <c r="Q108" s="11535"/>
      <c r="R108" s="11536"/>
      <c r="S108" s="11533"/>
      <c r="T108" s="11534"/>
      <c r="U108" s="11534"/>
      <c r="V108" s="11534"/>
      <c r="W108" s="11534"/>
      <c r="X108" s="11535"/>
      <c r="Y108" s="11535"/>
      <c r="Z108" s="11535"/>
      <c r="AA108" s="11536"/>
      <c r="AB108" s="11534"/>
      <c r="AC108" s="11534"/>
      <c r="AD108" s="11534"/>
      <c r="AE108" s="11534"/>
      <c r="AF108" s="11534"/>
      <c r="AG108" s="11535"/>
      <c r="AH108" s="11535"/>
      <c r="AI108" s="11535"/>
      <c r="AJ108" s="11535"/>
      <c r="AK108" s="2013"/>
      <c r="AL108" s="253"/>
      <c r="AM108" s="253"/>
      <c r="AN108" s="253"/>
      <c r="AO108" s="253"/>
      <c r="AP108" s="3854"/>
      <c r="AQ108" s="3854"/>
      <c r="AR108" s="253"/>
      <c r="AS108" s="253"/>
      <c r="AT108" s="253"/>
      <c r="AU108" s="253"/>
      <c r="AV108" s="253"/>
      <c r="AW108" s="253"/>
      <c r="AX108" s="253"/>
      <c r="AY108" s="253"/>
      <c r="AZ108" s="2014"/>
      <c r="BA108" s="411"/>
      <c r="BB108" s="411"/>
      <c r="BC108" s="3925"/>
      <c r="BD108" s="711"/>
      <c r="BE108" s="411"/>
      <c r="BF108" s="3861"/>
      <c r="BG108" s="3861"/>
      <c r="BH108" s="411"/>
      <c r="BI108" s="411"/>
      <c r="BJ108" s="411"/>
      <c r="BK108" s="411"/>
      <c r="BL108" s="253"/>
    </row>
    <row r="109" spans="1:73" ht="19.5" customHeight="1">
      <c r="A109" s="2306"/>
      <c r="B109" s="3808" t="s">
        <v>3403</v>
      </c>
      <c r="C109" s="1672" t="s">
        <v>4728</v>
      </c>
      <c r="D109" s="411"/>
      <c r="E109" s="411"/>
      <c r="F109" s="411"/>
      <c r="G109" s="411"/>
      <c r="H109" s="411"/>
      <c r="I109" s="411"/>
      <c r="J109" s="411"/>
      <c r="K109" s="411"/>
      <c r="L109" s="411"/>
      <c r="M109" s="411"/>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2306"/>
      <c r="AL109" s="253"/>
      <c r="AM109" s="253"/>
      <c r="AN109" s="253"/>
      <c r="AO109" s="411"/>
      <c r="AP109" s="3854"/>
      <c r="AQ109" s="3854"/>
      <c r="AR109" s="253"/>
      <c r="AS109" s="253"/>
      <c r="AT109" s="253"/>
      <c r="AU109" s="253"/>
      <c r="AV109" s="253"/>
      <c r="AW109" s="253"/>
      <c r="AX109" s="253"/>
      <c r="AY109" s="253"/>
      <c r="AZ109" s="2014"/>
      <c r="BA109" s="253"/>
      <c r="BB109" s="253"/>
      <c r="BC109" s="3863"/>
      <c r="BD109" s="711"/>
      <c r="BE109" s="253"/>
      <c r="BF109" s="3861"/>
      <c r="BG109" s="3861"/>
      <c r="BH109" s="253"/>
      <c r="BI109" s="253"/>
      <c r="BJ109" s="253"/>
      <c r="BK109" s="253"/>
      <c r="BL109" s="253"/>
    </row>
    <row r="110" spans="1:73" ht="15.75">
      <c r="A110" s="2013"/>
      <c r="B110" s="253"/>
      <c r="C110" s="384"/>
      <c r="D110" s="810" t="s">
        <v>938</v>
      </c>
      <c r="E110" s="253"/>
      <c r="F110" s="511" t="s">
        <v>4729</v>
      </c>
      <c r="G110" s="253"/>
      <c r="H110" s="253"/>
      <c r="I110" s="253"/>
      <c r="J110" s="253"/>
      <c r="K110" s="253"/>
      <c r="L110" s="253"/>
      <c r="M110" s="253"/>
      <c r="N110" s="253"/>
      <c r="O110" s="253"/>
      <c r="P110" s="253"/>
      <c r="Q110" s="253"/>
      <c r="R110" s="253"/>
      <c r="S110" s="253"/>
      <c r="T110" s="253"/>
      <c r="U110" s="253"/>
      <c r="V110" s="253"/>
      <c r="W110" s="253"/>
      <c r="X110" s="253"/>
      <c r="Y110" s="253"/>
      <c r="Z110" s="253"/>
      <c r="AA110" s="253"/>
      <c r="AB110" s="253"/>
      <c r="AC110" s="253"/>
      <c r="AD110" s="253"/>
      <c r="AE110" s="253"/>
      <c r="AF110" s="253"/>
      <c r="AG110" s="253"/>
      <c r="AH110" s="253"/>
      <c r="AI110" s="253"/>
      <c r="AJ110" s="253"/>
      <c r="AK110" s="2013"/>
      <c r="AL110" s="411"/>
      <c r="AM110" s="411"/>
      <c r="AN110" s="411"/>
      <c r="AO110" s="253"/>
      <c r="AP110" s="3854"/>
      <c r="AQ110" s="3854"/>
      <c r="AR110" s="253"/>
      <c r="AS110" s="253"/>
      <c r="AT110" s="253"/>
      <c r="AU110" s="253"/>
      <c r="AV110" s="253"/>
      <c r="AW110" s="253"/>
      <c r="AX110" s="253"/>
      <c r="AY110" s="253"/>
      <c r="AZ110" s="2014"/>
      <c r="BA110" s="253"/>
      <c r="BB110" s="253"/>
      <c r="BC110" s="3863"/>
      <c r="BD110" s="711"/>
      <c r="BE110" s="253"/>
      <c r="BF110" s="3861"/>
      <c r="BG110" s="3861"/>
      <c r="BH110" s="253"/>
      <c r="BI110" s="253"/>
      <c r="BJ110" s="253"/>
      <c r="BK110" s="253"/>
      <c r="BL110" s="253"/>
    </row>
    <row r="111" spans="1:73" ht="18" customHeight="1">
      <c r="A111" s="2013"/>
      <c r="B111" s="253"/>
      <c r="C111" s="511" t="s">
        <v>6090</v>
      </c>
      <c r="D111" s="253"/>
      <c r="E111" s="253"/>
      <c r="F111" s="253"/>
      <c r="G111" s="253"/>
      <c r="H111" s="253"/>
      <c r="I111" s="253"/>
      <c r="J111" s="253"/>
      <c r="K111" s="253"/>
      <c r="L111" s="253"/>
      <c r="M111" s="253"/>
      <c r="N111" s="253"/>
      <c r="O111" s="253"/>
      <c r="P111" s="253"/>
      <c r="Q111" s="253"/>
      <c r="R111" s="253"/>
      <c r="S111" s="253"/>
      <c r="T111" s="253"/>
      <c r="U111" s="253"/>
      <c r="V111" s="253"/>
      <c r="W111" s="253"/>
      <c r="X111" s="253"/>
      <c r="Y111" s="253"/>
      <c r="Z111" s="253"/>
      <c r="AA111" s="253"/>
      <c r="AB111" s="253"/>
      <c r="AC111" s="253"/>
      <c r="AD111" s="253"/>
      <c r="AE111" s="253"/>
      <c r="AF111" s="253"/>
      <c r="AG111" s="253"/>
      <c r="AH111" s="253"/>
      <c r="AI111" s="253"/>
      <c r="AJ111" s="253"/>
      <c r="AK111" s="2013"/>
      <c r="AL111" s="253"/>
      <c r="AM111" s="253"/>
      <c r="AN111" s="253"/>
      <c r="AO111" s="253"/>
      <c r="AP111" s="253"/>
      <c r="AQ111" s="253"/>
      <c r="AR111" s="253"/>
      <c r="AS111" s="253"/>
      <c r="AT111" s="253"/>
      <c r="AU111" s="253"/>
      <c r="AV111" s="253"/>
      <c r="AW111" s="253"/>
      <c r="AX111" s="253"/>
      <c r="AY111" s="253"/>
      <c r="AZ111" s="2014"/>
      <c r="BA111" s="253"/>
      <c r="BB111" s="253"/>
      <c r="BC111" s="3863"/>
      <c r="BD111" s="711"/>
      <c r="BE111" s="253"/>
      <c r="BF111" s="3861"/>
      <c r="BG111" s="3861"/>
      <c r="BH111" s="253"/>
      <c r="BI111" s="253"/>
      <c r="BJ111" s="253"/>
      <c r="BK111" s="253"/>
      <c r="BL111" s="253"/>
    </row>
    <row r="112" spans="1:73" ht="14.25">
      <c r="A112" s="2013"/>
      <c r="B112" s="253"/>
      <c r="C112" s="511" t="s">
        <v>6089</v>
      </c>
      <c r="D112" s="253"/>
      <c r="E112" s="253"/>
      <c r="F112" s="253"/>
      <c r="G112" s="253"/>
      <c r="H112" s="253"/>
      <c r="I112" s="253"/>
      <c r="J112" s="253"/>
      <c r="K112" s="253"/>
      <c r="L112" s="253"/>
      <c r="M112" s="253"/>
      <c r="N112" s="253"/>
      <c r="O112" s="253"/>
      <c r="P112" s="253"/>
      <c r="Q112" s="253"/>
      <c r="R112" s="253"/>
      <c r="S112" s="253"/>
      <c r="T112" s="253"/>
      <c r="U112" s="253"/>
      <c r="V112" s="253"/>
      <c r="W112" s="253"/>
      <c r="X112" s="253"/>
      <c r="Y112" s="253"/>
      <c r="Z112" s="253"/>
      <c r="AA112" s="253"/>
      <c r="AB112" s="253"/>
      <c r="AC112" s="253"/>
      <c r="AD112" s="253"/>
      <c r="AE112" s="253"/>
      <c r="AF112" s="253"/>
      <c r="AG112" s="253"/>
      <c r="AH112" s="253"/>
      <c r="AI112" s="253"/>
      <c r="AJ112" s="253"/>
      <c r="AK112" s="2013"/>
      <c r="AL112" s="253"/>
      <c r="AM112" s="253"/>
      <c r="AN112" s="253"/>
      <c r="AO112" s="253"/>
      <c r="AP112" s="253"/>
      <c r="AQ112" s="253"/>
      <c r="AR112" s="253"/>
      <c r="AS112" s="253"/>
      <c r="AT112" s="253"/>
      <c r="AU112" s="253"/>
      <c r="AV112" s="253"/>
      <c r="AW112" s="253"/>
      <c r="AX112" s="253"/>
      <c r="AY112" s="253"/>
      <c r="AZ112" s="2014"/>
      <c r="BA112" s="253"/>
      <c r="BB112" s="253"/>
      <c r="BC112" s="3863"/>
      <c r="BD112" s="711"/>
      <c r="BE112" s="253"/>
      <c r="BF112" s="3861"/>
      <c r="BG112" s="3861"/>
      <c r="BH112" s="253"/>
      <c r="BI112" s="253"/>
      <c r="BJ112" s="253"/>
      <c r="BK112" s="253"/>
      <c r="BL112" s="253"/>
    </row>
    <row r="113" spans="1:64" ht="9" customHeight="1">
      <c r="A113" s="2013"/>
      <c r="B113" s="253"/>
      <c r="C113" s="253"/>
      <c r="D113" s="253"/>
      <c r="E113" s="253"/>
      <c r="F113" s="253"/>
      <c r="G113" s="253"/>
      <c r="H113" s="253"/>
      <c r="I113" s="253"/>
      <c r="J113" s="253"/>
      <c r="K113" s="253"/>
      <c r="L113" s="253"/>
      <c r="M113" s="253"/>
      <c r="N113" s="253"/>
      <c r="O113" s="253"/>
      <c r="P113" s="253"/>
      <c r="Q113" s="253"/>
      <c r="R113" s="253"/>
      <c r="S113" s="253"/>
      <c r="T113" s="253"/>
      <c r="U113" s="253"/>
      <c r="V113" s="253"/>
      <c r="W113" s="253"/>
      <c r="X113" s="253"/>
      <c r="Y113" s="253"/>
      <c r="Z113" s="253"/>
      <c r="AA113" s="253"/>
      <c r="AB113" s="253"/>
      <c r="AC113" s="253"/>
      <c r="AD113" s="253"/>
      <c r="AE113" s="253"/>
      <c r="AF113" s="253"/>
      <c r="AG113" s="253"/>
      <c r="AH113" s="253"/>
      <c r="AI113" s="253"/>
      <c r="AJ113" s="253"/>
      <c r="AK113" s="2013"/>
      <c r="AL113" s="253"/>
      <c r="AM113" s="253"/>
      <c r="AN113" s="253"/>
      <c r="AO113" s="253"/>
      <c r="AP113" s="253"/>
      <c r="AQ113" s="253"/>
      <c r="AR113" s="253"/>
      <c r="AS113" s="253"/>
      <c r="AT113" s="253"/>
      <c r="AU113" s="253"/>
      <c r="AV113" s="253"/>
      <c r="AW113" s="253"/>
      <c r="AX113" s="253"/>
      <c r="AY113" s="253"/>
      <c r="AZ113" s="2014"/>
      <c r="BA113" s="253"/>
      <c r="BB113" s="253"/>
      <c r="BC113" s="3863"/>
      <c r="BD113" s="711"/>
      <c r="BE113" s="253"/>
      <c r="BF113" s="3861"/>
      <c r="BG113" s="3861"/>
      <c r="BH113" s="253"/>
      <c r="BI113" s="253"/>
      <c r="BJ113" s="253"/>
      <c r="BK113" s="253"/>
      <c r="BL113" s="253"/>
    </row>
    <row r="114" spans="1:64" ht="15.75">
      <c r="A114" s="2013"/>
      <c r="B114" s="253"/>
      <c r="C114" s="384"/>
      <c r="D114" s="810" t="s">
        <v>936</v>
      </c>
      <c r="E114" s="253"/>
      <c r="F114" s="511" t="s">
        <v>4730</v>
      </c>
      <c r="G114" s="253"/>
      <c r="H114" s="253"/>
      <c r="I114" s="253"/>
      <c r="J114" s="253"/>
      <c r="K114" s="253"/>
      <c r="L114" s="253"/>
      <c r="M114" s="253"/>
      <c r="N114" s="253"/>
      <c r="O114" s="253"/>
      <c r="P114" s="253"/>
      <c r="Q114" s="253"/>
      <c r="R114" s="253"/>
      <c r="S114" s="253"/>
      <c r="T114" s="253"/>
      <c r="U114" s="253"/>
      <c r="V114" s="253"/>
      <c r="W114" s="253"/>
      <c r="X114" s="253"/>
      <c r="Y114" s="253"/>
      <c r="Z114" s="253"/>
      <c r="AA114" s="253"/>
      <c r="AB114" s="253"/>
      <c r="AC114" s="253"/>
      <c r="AD114" s="253"/>
      <c r="AE114" s="253"/>
      <c r="AF114" s="253"/>
      <c r="AG114" s="253"/>
      <c r="AH114" s="253"/>
      <c r="AI114" s="253"/>
      <c r="AJ114" s="253"/>
      <c r="AK114" s="2013"/>
      <c r="AL114" s="253"/>
      <c r="AM114" s="253"/>
      <c r="AN114" s="253"/>
      <c r="AO114" s="253"/>
      <c r="AP114" s="253"/>
      <c r="AQ114" s="253"/>
      <c r="AR114" s="253"/>
      <c r="AS114" s="253"/>
      <c r="AT114" s="253"/>
      <c r="AU114" s="253"/>
      <c r="AV114" s="253"/>
      <c r="AW114" s="253"/>
      <c r="AX114" s="253"/>
      <c r="AY114" s="253"/>
      <c r="AZ114" s="2014"/>
      <c r="BA114" s="253"/>
      <c r="BB114" s="253"/>
      <c r="BC114" s="3863"/>
      <c r="BD114" s="711"/>
      <c r="BE114" s="253"/>
      <c r="BF114" s="3861"/>
      <c r="BG114" s="3861"/>
      <c r="BH114" s="253"/>
      <c r="BI114" s="253"/>
      <c r="BJ114" s="253"/>
      <c r="BK114" s="253"/>
      <c r="BL114" s="253"/>
    </row>
    <row r="115" spans="1:64" ht="13.5" thickBot="1">
      <c r="A115" s="2013"/>
      <c r="B115" s="253"/>
      <c r="C115" s="253"/>
      <c r="D115" s="253"/>
      <c r="E115" s="253"/>
      <c r="F115" s="253"/>
      <c r="G115" s="253"/>
      <c r="H115" s="253"/>
      <c r="I115" s="253"/>
      <c r="J115" s="253"/>
      <c r="K115" s="253"/>
      <c r="L115" s="253"/>
      <c r="M115" s="253"/>
      <c r="N115" s="253"/>
      <c r="O115" s="253"/>
      <c r="P115" s="253"/>
      <c r="Q115" s="253"/>
      <c r="R115" s="253"/>
      <c r="S115" s="253"/>
      <c r="T115" s="253"/>
      <c r="U115" s="253"/>
      <c r="V115" s="253"/>
      <c r="W115" s="253"/>
      <c r="X115" s="253"/>
      <c r="Y115" s="253"/>
      <c r="Z115" s="253"/>
      <c r="AA115" s="253"/>
      <c r="AB115" s="253"/>
      <c r="AC115" s="253"/>
      <c r="AD115" s="253"/>
      <c r="AE115" s="253"/>
      <c r="AF115" s="253"/>
      <c r="AG115" s="253"/>
      <c r="AH115" s="253"/>
      <c r="AI115" s="253"/>
      <c r="AJ115" s="253"/>
      <c r="AK115" s="2013"/>
      <c r="AL115" s="253"/>
      <c r="AM115" s="253"/>
      <c r="AN115" s="253"/>
      <c r="AO115" s="253"/>
      <c r="AP115" s="253"/>
      <c r="AQ115" s="253"/>
      <c r="AR115" s="253"/>
      <c r="AS115" s="253"/>
      <c r="AT115" s="253"/>
      <c r="AU115" s="253"/>
      <c r="AV115" s="253"/>
      <c r="AW115" s="253"/>
      <c r="AX115" s="253"/>
      <c r="AY115" s="253"/>
      <c r="AZ115" s="2014"/>
      <c r="BA115" s="253"/>
      <c r="BB115" s="253"/>
      <c r="BC115" s="3863"/>
      <c r="BD115" s="711"/>
      <c r="BE115" s="253"/>
      <c r="BF115" s="3861"/>
      <c r="BG115" s="3861"/>
      <c r="BH115" s="253"/>
      <c r="BI115" s="253"/>
      <c r="BJ115" s="253"/>
      <c r="BK115" s="253"/>
      <c r="BL115" s="253"/>
    </row>
    <row r="116" spans="1:64" ht="19.5" customHeight="1">
      <c r="A116" s="2013"/>
      <c r="B116" s="7934" t="s">
        <v>2117</v>
      </c>
      <c r="C116" s="7934"/>
      <c r="D116" s="3926"/>
      <c r="E116" s="3926" t="s">
        <v>4731</v>
      </c>
      <c r="F116" s="3927"/>
      <c r="G116" s="3927"/>
      <c r="H116" s="3927"/>
      <c r="I116" s="3927"/>
      <c r="J116" s="3927"/>
      <c r="K116" s="3927"/>
      <c r="L116" s="3927"/>
      <c r="M116" s="3927"/>
      <c r="N116" s="3927"/>
      <c r="O116" s="3927"/>
      <c r="P116" s="3927"/>
      <c r="Q116" s="3927"/>
      <c r="R116" s="3927"/>
      <c r="S116" s="3927"/>
      <c r="T116" s="3927"/>
      <c r="U116" s="3927"/>
      <c r="V116" s="3927"/>
      <c r="W116" s="3927"/>
      <c r="X116" s="3927"/>
      <c r="Y116" s="3927"/>
      <c r="Z116" s="3927"/>
      <c r="AA116" s="3927"/>
      <c r="AB116" s="3927"/>
      <c r="AC116" s="3927"/>
      <c r="AD116" s="3927"/>
      <c r="AE116" s="3927"/>
      <c r="AF116" s="3927"/>
      <c r="AG116" s="3927"/>
      <c r="AH116" s="3927"/>
      <c r="AI116" s="3927"/>
      <c r="AJ116" s="3927"/>
      <c r="AK116" s="2013"/>
      <c r="AL116" s="253"/>
      <c r="AM116" s="253"/>
      <c r="AN116" s="253"/>
      <c r="AO116" s="253"/>
      <c r="AP116" s="253"/>
      <c r="AQ116" s="253"/>
      <c r="AR116" s="253"/>
      <c r="AS116" s="253"/>
      <c r="AT116" s="253"/>
      <c r="AU116" s="253"/>
      <c r="AV116" s="253"/>
      <c r="AW116" s="253"/>
      <c r="AX116" s="253"/>
      <c r="AY116" s="253"/>
      <c r="AZ116" s="2014"/>
      <c r="BA116" s="253"/>
      <c r="BB116" s="253"/>
      <c r="BC116" s="3863"/>
      <c r="BD116" s="711"/>
      <c r="BE116" s="253"/>
      <c r="BF116" s="3861"/>
      <c r="BG116" s="3861"/>
      <c r="BH116" s="253"/>
      <c r="BI116" s="253"/>
      <c r="BJ116" s="253"/>
      <c r="BK116" s="253"/>
      <c r="BL116" s="253"/>
    </row>
    <row r="117" spans="1:64" ht="15" customHeight="1">
      <c r="A117" s="2013"/>
      <c r="B117" s="1672" t="s">
        <v>4732</v>
      </c>
      <c r="C117" s="253"/>
      <c r="D117" s="253"/>
      <c r="E117" s="253"/>
      <c r="F117" s="253"/>
      <c r="G117" s="253"/>
      <c r="H117" s="253"/>
      <c r="I117" s="253"/>
      <c r="J117" s="253"/>
      <c r="K117" s="253"/>
      <c r="L117" s="253"/>
      <c r="M117" s="253"/>
      <c r="N117" s="253"/>
      <c r="O117" s="253"/>
      <c r="P117" s="253"/>
      <c r="Q117" s="253"/>
      <c r="R117" s="253"/>
      <c r="S117" s="253"/>
      <c r="T117" s="253"/>
      <c r="U117" s="253"/>
      <c r="V117" s="253"/>
      <c r="W117" s="253"/>
      <c r="X117" s="253"/>
      <c r="Y117" s="253"/>
      <c r="Z117" s="253"/>
      <c r="AA117" s="253"/>
      <c r="AB117" s="253"/>
      <c r="AC117" s="253"/>
      <c r="AD117" s="253"/>
      <c r="AE117" s="253"/>
      <c r="AF117" s="253"/>
      <c r="AG117" s="253"/>
      <c r="AH117" s="253"/>
      <c r="AI117" s="253"/>
      <c r="AJ117" s="253"/>
      <c r="AK117" s="2013"/>
      <c r="AL117" s="253"/>
      <c r="AM117" s="253"/>
      <c r="AN117" s="253"/>
      <c r="AO117" s="253"/>
      <c r="AP117" s="253"/>
      <c r="AQ117" s="253"/>
      <c r="AR117" s="253"/>
      <c r="AS117" s="253"/>
      <c r="AT117" s="253"/>
      <c r="AU117" s="253"/>
      <c r="AV117" s="253"/>
      <c r="AW117" s="253"/>
      <c r="AX117" s="253"/>
      <c r="AY117" s="253"/>
      <c r="AZ117" s="2014"/>
      <c r="BA117" s="253"/>
      <c r="BB117" s="253"/>
      <c r="BC117" s="3863"/>
      <c r="BD117" s="711"/>
      <c r="BE117" s="253"/>
      <c r="BF117" s="3861"/>
      <c r="BG117" s="3861"/>
      <c r="BH117" s="253"/>
      <c r="BI117" s="253"/>
      <c r="BJ117" s="253"/>
      <c r="BK117" s="253"/>
      <c r="BL117" s="253"/>
    </row>
    <row r="118" spans="1:64" ht="15" customHeight="1">
      <c r="A118" s="2013"/>
      <c r="B118" s="1996" t="s">
        <v>4733</v>
      </c>
      <c r="C118" s="413"/>
      <c r="D118" s="413"/>
      <c r="E118" s="413"/>
      <c r="F118" s="413"/>
      <c r="G118" s="413"/>
      <c r="H118" s="413"/>
      <c r="I118" s="413"/>
      <c r="J118" s="413"/>
      <c r="K118" s="413"/>
      <c r="L118" s="413"/>
      <c r="M118" s="413"/>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2013"/>
      <c r="AL118" s="253"/>
      <c r="AM118" s="253"/>
      <c r="AN118" s="253"/>
      <c r="AO118" s="253"/>
      <c r="AP118" s="253"/>
      <c r="AQ118" s="253"/>
      <c r="AR118" s="253"/>
      <c r="AS118" s="253"/>
      <c r="AT118" s="253"/>
      <c r="AU118" s="253"/>
      <c r="AV118" s="253"/>
      <c r="AW118" s="253"/>
      <c r="AX118" s="253"/>
      <c r="AY118" s="253"/>
      <c r="AZ118" s="2014"/>
      <c r="BA118" s="253"/>
      <c r="BB118" s="253"/>
      <c r="BC118" s="3863"/>
      <c r="BD118" s="711"/>
      <c r="BE118" s="253"/>
      <c r="BF118" s="3861"/>
      <c r="BG118" s="3861"/>
      <c r="BH118" s="253"/>
      <c r="BI118" s="253"/>
      <c r="BJ118" s="253"/>
      <c r="BK118" s="253"/>
      <c r="BL118" s="253"/>
    </row>
    <row r="119" spans="1:64" ht="27" customHeight="1">
      <c r="A119" s="2013"/>
      <c r="B119" s="11611" t="s">
        <v>3405</v>
      </c>
      <c r="C119" s="3928"/>
      <c r="D119" s="11595" t="s">
        <v>4734</v>
      </c>
      <c r="E119" s="8287"/>
      <c r="F119" s="8287"/>
      <c r="G119" s="8287"/>
      <c r="H119" s="8288"/>
      <c r="I119" s="3929" t="s">
        <v>2198</v>
      </c>
      <c r="J119" s="11509" t="s">
        <v>4735</v>
      </c>
      <c r="K119" s="11509"/>
      <c r="L119" s="11509"/>
      <c r="M119" s="11509"/>
      <c r="N119" s="11509"/>
      <c r="O119" s="11541"/>
      <c r="P119" s="3930" t="s">
        <v>2199</v>
      </c>
      <c r="Q119" s="11544" t="s">
        <v>4736</v>
      </c>
      <c r="R119" s="11509"/>
      <c r="S119" s="11509"/>
      <c r="T119" s="11509"/>
      <c r="U119" s="11509"/>
      <c r="V119" s="11541"/>
      <c r="W119" s="3930" t="s">
        <v>3029</v>
      </c>
      <c r="X119" s="11509" t="s">
        <v>4737</v>
      </c>
      <c r="Y119" s="11509"/>
      <c r="Z119" s="11509"/>
      <c r="AA119" s="11509"/>
      <c r="AB119" s="11509"/>
      <c r="AC119" s="11541"/>
      <c r="AD119" s="3930" t="s">
        <v>2148</v>
      </c>
      <c r="AE119" s="11509" t="s">
        <v>4738</v>
      </c>
      <c r="AF119" s="11509"/>
      <c r="AG119" s="11509"/>
      <c r="AH119" s="11509"/>
      <c r="AI119" s="11509"/>
      <c r="AJ119" s="11509"/>
      <c r="AK119" s="2013"/>
      <c r="AL119" s="253"/>
      <c r="AM119" s="253"/>
      <c r="AN119" s="253"/>
      <c r="AO119" s="253"/>
      <c r="AP119" s="253"/>
      <c r="AQ119" s="253"/>
      <c r="AR119" s="253"/>
      <c r="AS119" s="253"/>
      <c r="AT119" s="253"/>
      <c r="AU119" s="253"/>
      <c r="AV119" s="253"/>
      <c r="AW119" s="253"/>
      <c r="AX119" s="253"/>
      <c r="AY119" s="253"/>
      <c r="AZ119" s="2014"/>
      <c r="BA119" s="253"/>
      <c r="BB119" s="253"/>
      <c r="BC119" s="3863"/>
      <c r="BD119" s="711"/>
      <c r="BE119" s="253"/>
      <c r="BF119" s="3861"/>
      <c r="BG119" s="3861"/>
      <c r="BH119" s="253"/>
      <c r="BI119" s="253"/>
      <c r="BJ119" s="253"/>
      <c r="BK119" s="253"/>
      <c r="BL119" s="253"/>
    </row>
    <row r="120" spans="1:64" ht="23.25" customHeight="1">
      <c r="A120" s="2013"/>
      <c r="B120" s="11612"/>
      <c r="C120" s="3805"/>
      <c r="D120" s="8289"/>
      <c r="E120" s="8289"/>
      <c r="F120" s="8289"/>
      <c r="G120" s="8289"/>
      <c r="H120" s="8290"/>
      <c r="I120" s="11537"/>
      <c r="J120" s="11538"/>
      <c r="K120" s="11538"/>
      <c r="L120" s="11538"/>
      <c r="M120" s="11538"/>
      <c r="N120" s="11539"/>
      <c r="O120" s="11540"/>
      <c r="P120" s="11505"/>
      <c r="Q120" s="11506"/>
      <c r="R120" s="11506"/>
      <c r="S120" s="11506"/>
      <c r="T120" s="11506"/>
      <c r="U120" s="11507"/>
      <c r="V120" s="11508"/>
      <c r="W120" s="11537"/>
      <c r="X120" s="11538"/>
      <c r="Y120" s="11538"/>
      <c r="Z120" s="11538"/>
      <c r="AA120" s="11538"/>
      <c r="AB120" s="11539"/>
      <c r="AC120" s="11540"/>
      <c r="AD120" s="11537"/>
      <c r="AE120" s="11538"/>
      <c r="AF120" s="11538"/>
      <c r="AG120" s="11538"/>
      <c r="AH120" s="11538"/>
      <c r="AI120" s="11539"/>
      <c r="AJ120" s="11540"/>
      <c r="AK120" s="2013"/>
      <c r="AL120" s="253"/>
      <c r="AM120" s="253"/>
      <c r="AN120" s="253"/>
      <c r="AO120" s="253"/>
      <c r="AP120" s="253"/>
      <c r="AQ120" s="253"/>
      <c r="AR120" s="253"/>
      <c r="AS120" s="253"/>
      <c r="AT120" s="253"/>
      <c r="AU120" s="253"/>
      <c r="AV120" s="253"/>
      <c r="AW120" s="253"/>
      <c r="AX120" s="253"/>
      <c r="AY120" s="253"/>
      <c r="AZ120" s="2014"/>
      <c r="BA120" s="253"/>
      <c r="BB120" s="253"/>
      <c r="BC120" s="3863"/>
      <c r="BD120" s="711"/>
      <c r="BE120" s="253"/>
      <c r="BF120" s="3861"/>
      <c r="BG120" s="3861"/>
      <c r="BH120" s="253"/>
      <c r="BI120" s="253"/>
      <c r="BJ120" s="253"/>
      <c r="BK120" s="253"/>
      <c r="BL120" s="253"/>
    </row>
    <row r="121" spans="1:64" ht="26.25" customHeight="1">
      <c r="A121" s="2013"/>
      <c r="B121" s="11611" t="s">
        <v>3408</v>
      </c>
      <c r="C121" s="3928"/>
      <c r="D121" s="11595" t="s">
        <v>4739</v>
      </c>
      <c r="E121" s="8287"/>
      <c r="F121" s="8287"/>
      <c r="G121" s="8287"/>
      <c r="H121" s="8288"/>
      <c r="I121" s="3929" t="s">
        <v>2198</v>
      </c>
      <c r="J121" s="11509" t="s">
        <v>4735</v>
      </c>
      <c r="K121" s="11509"/>
      <c r="L121" s="11509"/>
      <c r="M121" s="11509"/>
      <c r="N121" s="11509"/>
      <c r="O121" s="11541"/>
      <c r="P121" s="3930" t="s">
        <v>2199</v>
      </c>
      <c r="Q121" s="11544" t="s">
        <v>4736</v>
      </c>
      <c r="R121" s="11509"/>
      <c r="S121" s="11509"/>
      <c r="T121" s="11509"/>
      <c r="U121" s="11509"/>
      <c r="V121" s="11541"/>
      <c r="W121" s="3930" t="s">
        <v>3029</v>
      </c>
      <c r="X121" s="11509" t="s">
        <v>4737</v>
      </c>
      <c r="Y121" s="11509"/>
      <c r="Z121" s="11509"/>
      <c r="AA121" s="11509"/>
      <c r="AB121" s="11509"/>
      <c r="AC121" s="11541"/>
      <c r="AD121" s="3930" t="s">
        <v>2148</v>
      </c>
      <c r="AE121" s="11509" t="s">
        <v>4738</v>
      </c>
      <c r="AF121" s="11509"/>
      <c r="AG121" s="11509"/>
      <c r="AH121" s="11509"/>
      <c r="AI121" s="11509"/>
      <c r="AJ121" s="11509"/>
      <c r="AK121" s="2013"/>
      <c r="AL121" s="253"/>
      <c r="AM121" s="253"/>
      <c r="AN121" s="253"/>
      <c r="AO121" s="253"/>
      <c r="AP121" s="253"/>
      <c r="AQ121" s="253"/>
      <c r="AR121" s="253"/>
      <c r="AS121" s="253"/>
      <c r="AT121" s="253"/>
      <c r="AU121" s="253"/>
      <c r="AV121" s="253"/>
      <c r="AW121" s="253"/>
      <c r="AX121" s="253"/>
      <c r="AY121" s="253"/>
      <c r="AZ121" s="2014"/>
      <c r="BA121" s="253"/>
      <c r="BB121" s="253"/>
      <c r="BC121" s="3863"/>
      <c r="BD121" s="711"/>
      <c r="BE121" s="253"/>
      <c r="BF121" s="3861"/>
      <c r="BG121" s="3861"/>
      <c r="BH121" s="253"/>
      <c r="BI121" s="253"/>
      <c r="BJ121" s="253"/>
      <c r="BK121" s="253"/>
      <c r="BL121" s="253"/>
    </row>
    <row r="122" spans="1:64" ht="23.25" customHeight="1" thickBot="1">
      <c r="A122" s="2013"/>
      <c r="B122" s="9444"/>
      <c r="C122" s="3806"/>
      <c r="D122" s="7926"/>
      <c r="E122" s="7926"/>
      <c r="F122" s="7926"/>
      <c r="G122" s="7926"/>
      <c r="H122" s="11596"/>
      <c r="I122" s="11537"/>
      <c r="J122" s="11538"/>
      <c r="K122" s="11538"/>
      <c r="L122" s="11538"/>
      <c r="M122" s="11538"/>
      <c r="N122" s="11539"/>
      <c r="O122" s="11540"/>
      <c r="P122" s="11505"/>
      <c r="Q122" s="11506"/>
      <c r="R122" s="11506"/>
      <c r="S122" s="11506"/>
      <c r="T122" s="11506"/>
      <c r="U122" s="11507"/>
      <c r="V122" s="11508"/>
      <c r="W122" s="11537"/>
      <c r="X122" s="11538"/>
      <c r="Y122" s="11538"/>
      <c r="Z122" s="11538"/>
      <c r="AA122" s="11538"/>
      <c r="AB122" s="11539"/>
      <c r="AC122" s="11540"/>
      <c r="AD122" s="11537"/>
      <c r="AE122" s="11538"/>
      <c r="AF122" s="11538"/>
      <c r="AG122" s="11538"/>
      <c r="AH122" s="11538"/>
      <c r="AI122" s="11539"/>
      <c r="AJ122" s="11540"/>
      <c r="AK122" s="2013"/>
      <c r="AL122" s="253"/>
      <c r="AM122" s="253"/>
      <c r="AN122" s="253"/>
      <c r="AO122" s="253"/>
      <c r="AP122" s="253"/>
      <c r="AQ122" s="253"/>
      <c r="AR122" s="253"/>
      <c r="AS122" s="253"/>
      <c r="AT122" s="253"/>
      <c r="AU122" s="253"/>
      <c r="AV122" s="253"/>
      <c r="AW122" s="253"/>
      <c r="AX122" s="253"/>
      <c r="AY122" s="253"/>
      <c r="AZ122" s="2014"/>
      <c r="BA122" s="253"/>
      <c r="BB122" s="253"/>
      <c r="BC122" s="3863"/>
      <c r="BD122" s="711"/>
      <c r="BE122" s="253"/>
      <c r="BF122" s="3861"/>
      <c r="BG122" s="3861"/>
      <c r="BH122" s="253"/>
      <c r="BI122" s="253"/>
      <c r="BJ122" s="253"/>
      <c r="BK122" s="253"/>
      <c r="BL122" s="253"/>
    </row>
    <row r="123" spans="1:64" ht="18" customHeight="1">
      <c r="A123" s="2013"/>
      <c r="B123" s="2447"/>
      <c r="C123" s="1560"/>
      <c r="D123" s="1560"/>
      <c r="E123" s="1560"/>
      <c r="F123" s="1560"/>
      <c r="G123" s="1560"/>
      <c r="H123" s="1560"/>
      <c r="I123" s="1560"/>
      <c r="J123" s="1560"/>
      <c r="K123" s="1560"/>
      <c r="L123" s="1560"/>
      <c r="M123" s="1560"/>
      <c r="N123" s="1560"/>
      <c r="O123" s="1560"/>
      <c r="P123" s="1560"/>
      <c r="Q123" s="88"/>
      <c r="R123" s="88"/>
      <c r="S123" s="88"/>
      <c r="T123" s="88"/>
      <c r="U123" s="3931"/>
      <c r="V123" s="88"/>
      <c r="W123" s="3931"/>
      <c r="X123" s="88"/>
      <c r="Y123" s="88"/>
      <c r="Z123" s="88"/>
      <c r="AA123" s="88"/>
      <c r="AB123" s="88"/>
      <c r="AC123" s="88"/>
      <c r="AD123" s="88"/>
      <c r="AE123" s="88"/>
      <c r="AF123" s="88"/>
      <c r="AG123" s="88"/>
      <c r="AH123" s="2052" t="s">
        <v>4740</v>
      </c>
      <c r="AI123" s="88"/>
      <c r="AJ123" s="2052" t="str">
        <f>"("&amp;TaxYear&amp;")"</f>
        <v>(2025)</v>
      </c>
      <c r="AK123" s="2013"/>
      <c r="AL123" s="416"/>
      <c r="AM123" s="416"/>
      <c r="AN123" s="416"/>
      <c r="AO123" s="253"/>
      <c r="AP123" s="253"/>
      <c r="AQ123" s="253"/>
      <c r="AR123" s="253"/>
      <c r="AS123" s="253"/>
      <c r="AT123" s="253"/>
      <c r="AU123" s="253"/>
      <c r="AV123" s="253"/>
      <c r="AW123" s="253"/>
      <c r="AX123" s="253"/>
      <c r="AY123" s="253"/>
      <c r="AZ123" s="2014"/>
      <c r="BA123" s="253"/>
      <c r="BB123" s="253"/>
      <c r="BC123" s="3863"/>
      <c r="BD123" s="711"/>
      <c r="BE123" s="253"/>
      <c r="BF123" s="3861"/>
      <c r="BG123" s="3861"/>
      <c r="BH123" s="253"/>
      <c r="BI123" s="253"/>
      <c r="BJ123" s="253"/>
      <c r="BK123" s="253"/>
      <c r="BL123" s="253"/>
    </row>
    <row r="124" spans="1:64">
      <c r="A124" s="2013"/>
      <c r="B124" s="2013"/>
      <c r="C124" s="2013"/>
      <c r="D124" s="2013"/>
      <c r="E124" s="2013"/>
      <c r="F124" s="2013"/>
      <c r="G124" s="2013"/>
      <c r="H124" s="2013"/>
      <c r="I124" s="2013"/>
      <c r="J124" s="2013"/>
      <c r="K124" s="2013"/>
      <c r="L124" s="2013"/>
      <c r="M124" s="2013"/>
      <c r="N124" s="2013"/>
      <c r="O124" s="2013"/>
      <c r="P124" s="2013"/>
      <c r="Q124" s="2013"/>
      <c r="R124" s="2013"/>
      <c r="S124" s="2013"/>
      <c r="T124" s="2013"/>
      <c r="U124" s="2013"/>
      <c r="V124" s="2013"/>
      <c r="W124" s="2013"/>
      <c r="X124" s="2013"/>
      <c r="Y124" s="2013"/>
      <c r="Z124" s="2013"/>
      <c r="AA124" s="2013"/>
      <c r="AB124" s="2013"/>
      <c r="AC124" s="2013"/>
      <c r="AD124" s="2013"/>
      <c r="AE124" s="2013"/>
      <c r="AF124" s="2013"/>
      <c r="AG124" s="2013"/>
      <c r="AH124" s="2013"/>
      <c r="AI124" s="2013"/>
      <c r="AJ124" s="2013"/>
      <c r="AK124" s="2013"/>
      <c r="AL124" s="416"/>
      <c r="AM124" s="416"/>
      <c r="AN124" s="416"/>
      <c r="AO124" s="253"/>
      <c r="AP124" s="253"/>
      <c r="AQ124" s="253"/>
      <c r="AR124" s="253"/>
      <c r="AS124" s="253"/>
      <c r="AT124" s="253"/>
      <c r="AU124" s="253"/>
      <c r="AV124" s="253"/>
      <c r="AW124" s="253"/>
      <c r="AX124" s="253"/>
      <c r="AY124" s="253"/>
      <c r="AZ124" s="2014"/>
      <c r="BA124" s="253"/>
      <c r="BB124" s="253"/>
      <c r="BC124" s="3863"/>
      <c r="BD124" s="711"/>
      <c r="BE124" s="253"/>
      <c r="BF124" s="3861"/>
      <c r="BG124" s="3861"/>
      <c r="BH124" s="253"/>
      <c r="BI124" s="253"/>
      <c r="BJ124" s="253"/>
      <c r="BK124" s="253"/>
      <c r="BL124" s="253"/>
    </row>
    <row r="125" spans="1:64" ht="27" customHeight="1">
      <c r="AL125" s="253"/>
      <c r="AM125" s="253"/>
      <c r="AN125" s="253"/>
      <c r="AO125" s="253"/>
      <c r="AP125" s="253"/>
      <c r="AQ125" s="253"/>
      <c r="AR125" s="253"/>
      <c r="AS125" s="253"/>
      <c r="AT125" s="253"/>
      <c r="AU125" s="253"/>
      <c r="AV125" s="253"/>
      <c r="AW125" s="253"/>
      <c r="AX125" s="253"/>
      <c r="AY125" s="253"/>
      <c r="AZ125" s="2014"/>
      <c r="BA125" s="253"/>
      <c r="BB125" s="253"/>
      <c r="BC125" s="3863"/>
      <c r="BD125" s="711"/>
      <c r="BE125" s="253"/>
      <c r="BF125" s="3861"/>
      <c r="BG125" s="3861"/>
      <c r="BH125" s="253"/>
      <c r="BI125" s="253"/>
      <c r="BJ125" s="253"/>
      <c r="BK125" s="253"/>
      <c r="BL125" s="253"/>
    </row>
    <row r="126" spans="1:64" ht="13.5" thickBot="1">
      <c r="B126" s="2938"/>
      <c r="C126" s="2938"/>
      <c r="D126" s="2939"/>
      <c r="E126" s="2939"/>
      <c r="F126" s="2939"/>
      <c r="G126" s="2939"/>
      <c r="H126" s="2939"/>
      <c r="I126" s="2939"/>
      <c r="AL126" s="253"/>
      <c r="AM126" s="253"/>
      <c r="AN126" s="253"/>
      <c r="AO126" s="253"/>
      <c r="AP126" s="253"/>
      <c r="AQ126" s="253"/>
      <c r="AR126" s="253"/>
      <c r="AS126" s="253"/>
      <c r="AT126" s="253"/>
      <c r="AU126" s="253"/>
      <c r="AV126" s="253"/>
      <c r="AW126" s="253"/>
      <c r="AX126" s="253"/>
      <c r="AY126" s="253"/>
      <c r="AZ126" s="2014"/>
      <c r="BA126" s="253"/>
      <c r="BB126" s="253"/>
      <c r="BC126" s="3863"/>
      <c r="BD126" s="711"/>
      <c r="BE126" s="253"/>
      <c r="BF126" s="3861"/>
      <c r="BG126" s="3861"/>
      <c r="BH126" s="253"/>
      <c r="BI126" s="253"/>
      <c r="BJ126" s="253"/>
      <c r="BK126" s="253"/>
      <c r="BL126" s="253"/>
    </row>
    <row r="127" spans="1:64" ht="21.75" customHeight="1" thickBot="1">
      <c r="B127" s="8811" t="s">
        <v>4741</v>
      </c>
      <c r="C127" s="8812"/>
      <c r="D127" s="8812"/>
      <c r="E127" s="8812"/>
      <c r="F127" s="8812"/>
      <c r="G127" s="8812"/>
      <c r="H127" s="8812"/>
      <c r="I127" s="8812"/>
      <c r="J127" s="8812"/>
      <c r="K127" s="8812"/>
      <c r="L127" s="8813"/>
      <c r="AO127" s="253"/>
      <c r="AP127" s="253"/>
      <c r="AQ127" s="253"/>
      <c r="AR127" s="253"/>
      <c r="AS127" s="253"/>
      <c r="AT127" s="253"/>
      <c r="AU127" s="253"/>
      <c r="AV127" s="253"/>
      <c r="AW127" s="253"/>
      <c r="AX127" s="253"/>
      <c r="AY127" s="253"/>
      <c r="AZ127" s="2014"/>
      <c r="BA127" s="253"/>
      <c r="BB127" s="253"/>
      <c r="BC127" s="3863"/>
      <c r="BD127" s="711"/>
      <c r="BE127" s="253"/>
      <c r="BF127" s="3861"/>
      <c r="BG127" s="3861"/>
      <c r="BH127" s="253"/>
      <c r="BI127" s="253"/>
      <c r="BJ127" s="253"/>
      <c r="BK127" s="253"/>
      <c r="BL127" s="253"/>
    </row>
    <row r="128" spans="1:64" ht="13.5" thickBot="1">
      <c r="B128" s="2940"/>
      <c r="C128" s="2940"/>
      <c r="D128" s="2941"/>
      <c r="E128" s="2941"/>
      <c r="F128" s="2941"/>
      <c r="G128" s="2941"/>
      <c r="H128" s="2941"/>
      <c r="I128" s="2941"/>
      <c r="AO128" s="253"/>
      <c r="AP128" s="253"/>
      <c r="AQ128" s="253"/>
      <c r="AR128" s="253"/>
      <c r="AS128" s="253"/>
      <c r="AT128" s="253"/>
      <c r="AU128" s="253"/>
      <c r="AV128" s="253"/>
      <c r="AW128" s="253"/>
      <c r="AX128" s="253"/>
      <c r="AY128" s="253"/>
      <c r="AZ128" s="2014"/>
      <c r="BA128" s="253"/>
      <c r="BB128" s="253"/>
      <c r="BC128" s="3863"/>
      <c r="BD128" s="711"/>
      <c r="BE128" s="253"/>
      <c r="BF128" s="3861"/>
      <c r="BG128" s="3861"/>
      <c r="BH128" s="253"/>
      <c r="BI128" s="253"/>
      <c r="BJ128" s="253"/>
      <c r="BK128" s="253"/>
      <c r="BL128" s="253"/>
    </row>
    <row r="129" spans="2:63" ht="13.5" thickBot="1">
      <c r="B129" s="8808" t="s">
        <v>4742</v>
      </c>
      <c r="C129" s="8809"/>
      <c r="D129" s="8809"/>
      <c r="E129" s="8809"/>
      <c r="F129" s="8809"/>
      <c r="G129" s="8809"/>
      <c r="H129" s="8809"/>
      <c r="I129" s="8809"/>
      <c r="J129" s="8809"/>
      <c r="K129" s="8809"/>
      <c r="L129" s="8810"/>
      <c r="AO129" s="253"/>
      <c r="AP129" s="253"/>
      <c r="AQ129" s="253"/>
      <c r="AR129" s="253"/>
      <c r="AS129" s="253"/>
      <c r="AT129" s="253"/>
      <c r="AU129" s="253"/>
      <c r="AV129" s="253"/>
      <c r="AW129" s="253"/>
      <c r="AX129" s="253"/>
      <c r="AY129" s="253"/>
      <c r="AZ129" s="2014"/>
      <c r="BA129" s="253"/>
      <c r="BB129" s="253"/>
      <c r="BC129" s="3863"/>
      <c r="BD129" s="711"/>
      <c r="BE129" s="253"/>
      <c r="BF129" s="3861"/>
      <c r="BG129" s="3861"/>
      <c r="BH129" s="253"/>
      <c r="BI129" s="253"/>
      <c r="BJ129" s="253"/>
      <c r="BK129" s="253"/>
    </row>
    <row r="130" spans="2:63">
      <c r="AO130" s="253"/>
      <c r="AP130" s="253"/>
      <c r="AQ130" s="253"/>
      <c r="AR130" s="253"/>
      <c r="AS130" s="253"/>
      <c r="AT130" s="253"/>
      <c r="AU130" s="253"/>
      <c r="AV130" s="253"/>
      <c r="AW130" s="253"/>
      <c r="AX130" s="253"/>
      <c r="AY130" s="253"/>
      <c r="BA130" s="253"/>
      <c r="BB130" s="253"/>
      <c r="BC130" s="3863"/>
      <c r="BD130" s="711"/>
      <c r="BE130" s="253"/>
      <c r="BF130" s="3861"/>
      <c r="BG130" s="3861"/>
      <c r="BH130" s="253"/>
      <c r="BI130" s="253"/>
      <c r="BJ130" s="253"/>
      <c r="BK130" s="253"/>
    </row>
    <row r="131" spans="2:63" ht="13.5" thickBot="1">
      <c r="AO131" s="253"/>
      <c r="AP131" s="253"/>
      <c r="AQ131" s="253"/>
      <c r="AR131" s="253"/>
      <c r="AS131" s="253"/>
      <c r="AT131" s="253"/>
      <c r="AU131" s="253"/>
      <c r="AV131" s="253"/>
      <c r="AW131" s="253"/>
      <c r="AX131" s="253"/>
      <c r="AY131" s="253"/>
      <c r="BD131" s="421"/>
      <c r="BF131" s="690"/>
      <c r="BG131" s="690"/>
    </row>
    <row r="132" spans="2:63" ht="13.5" customHeight="1">
      <c r="B132" s="7219" t="s">
        <v>42</v>
      </c>
      <c r="C132" s="7220"/>
      <c r="D132" s="7220"/>
      <c r="E132" s="7221"/>
      <c r="AO132" s="416"/>
      <c r="AP132" s="253"/>
      <c r="AQ132" s="253"/>
      <c r="AR132" s="253"/>
      <c r="AS132" s="253"/>
      <c r="AT132" s="253"/>
      <c r="AU132" s="253"/>
      <c r="AV132" s="253"/>
      <c r="AW132" s="253"/>
      <c r="BD132" s="421"/>
      <c r="BF132" s="690"/>
      <c r="BG132" s="690"/>
    </row>
    <row r="133" spans="2:63">
      <c r="B133" s="7222"/>
      <c r="C133" s="7223"/>
      <c r="D133" s="7223"/>
      <c r="E133" s="7225"/>
      <c r="AO133" s="253"/>
      <c r="AP133" s="253"/>
      <c r="AQ133" s="253"/>
      <c r="AR133" s="253"/>
      <c r="AS133" s="253"/>
      <c r="AT133" s="253"/>
      <c r="AU133" s="253"/>
      <c r="AV133" s="253"/>
      <c r="AW133" s="253"/>
      <c r="BD133" s="421"/>
      <c r="BF133" s="690"/>
      <c r="BG133" s="690"/>
    </row>
    <row r="134" spans="2:63" ht="13.5" thickBot="1">
      <c r="B134" s="7226"/>
      <c r="C134" s="7227"/>
      <c r="D134" s="7227"/>
      <c r="E134" s="7228"/>
      <c r="AP134" s="253"/>
      <c r="AQ134" s="253"/>
      <c r="AR134" s="253"/>
      <c r="AS134" s="253"/>
      <c r="AT134" s="253"/>
      <c r="AU134" s="253"/>
      <c r="AV134" s="253"/>
      <c r="AW134" s="253"/>
      <c r="BD134" s="421"/>
      <c r="BF134" s="690"/>
      <c r="BG134" s="690"/>
    </row>
    <row r="135" spans="2:63">
      <c r="BD135" s="421"/>
      <c r="BF135" s="690"/>
      <c r="BG135" s="690"/>
    </row>
    <row r="136" spans="2:63">
      <c r="BD136" s="421"/>
      <c r="BF136" s="690"/>
      <c r="BG136" s="690"/>
    </row>
    <row r="137" spans="2:63">
      <c r="BD137" s="421"/>
      <c r="BF137" s="690"/>
      <c r="BG137" s="690"/>
    </row>
    <row r="138" spans="2:63">
      <c r="BD138" s="421"/>
      <c r="BF138" s="690"/>
      <c r="BG138" s="690"/>
    </row>
    <row r="139" spans="2:63">
      <c r="BD139" s="421"/>
      <c r="BF139" s="690"/>
      <c r="BG139" s="690"/>
    </row>
    <row r="140" spans="2:63">
      <c r="BD140" s="421"/>
      <c r="BF140" s="690"/>
      <c r="BG140" s="690"/>
    </row>
    <row r="141" spans="2:63">
      <c r="BD141" s="421"/>
      <c r="BF141" s="690"/>
      <c r="BG141" s="690"/>
    </row>
    <row r="142" spans="2:63">
      <c r="BD142" s="421"/>
      <c r="BF142" s="690"/>
      <c r="BG142" s="690"/>
    </row>
    <row r="143" spans="2:63">
      <c r="BD143" s="421"/>
      <c r="BF143" s="690"/>
      <c r="BG143" s="690"/>
    </row>
    <row r="144" spans="2:63">
      <c r="BD144" s="421"/>
      <c r="BF144" s="690"/>
      <c r="BG144" s="690"/>
    </row>
    <row r="145" spans="56:59">
      <c r="BD145" s="421"/>
      <c r="BF145" s="690"/>
      <c r="BG145" s="690"/>
    </row>
    <row r="146" spans="56:59">
      <c r="BD146" s="421"/>
      <c r="BF146" s="690"/>
      <c r="BG146" s="690"/>
    </row>
    <row r="147" spans="56:59">
      <c r="BD147" s="421"/>
      <c r="BF147" s="690"/>
      <c r="BG147" s="690"/>
    </row>
    <row r="148" spans="56:59">
      <c r="BD148" s="421"/>
      <c r="BF148" s="690"/>
      <c r="BG148" s="690"/>
    </row>
    <row r="149" spans="56:59">
      <c r="BD149" s="421"/>
      <c r="BF149" s="690"/>
      <c r="BG149" s="690"/>
    </row>
    <row r="150" spans="56:59">
      <c r="BD150" s="421"/>
      <c r="BF150" s="690"/>
      <c r="BG150" s="690"/>
    </row>
    <row r="151" spans="56:59">
      <c r="BD151" s="421"/>
      <c r="BF151" s="690"/>
      <c r="BG151" s="690"/>
    </row>
    <row r="152" spans="56:59">
      <c r="BD152" s="421"/>
      <c r="BF152" s="690"/>
      <c r="BG152" s="690"/>
    </row>
    <row r="153" spans="56:59">
      <c r="BD153" s="421"/>
      <c r="BF153" s="690"/>
      <c r="BG153" s="690"/>
    </row>
    <row r="154" spans="56:59">
      <c r="BD154" s="421"/>
      <c r="BF154" s="690"/>
      <c r="BG154" s="690"/>
    </row>
    <row r="155" spans="56:59">
      <c r="BD155" s="421"/>
      <c r="BF155" s="690"/>
      <c r="BG155" s="690"/>
    </row>
    <row r="156" spans="56:59">
      <c r="BD156" s="421"/>
      <c r="BF156" s="690"/>
      <c r="BG156" s="690"/>
    </row>
    <row r="157" spans="56:59">
      <c r="BD157" s="421"/>
      <c r="BF157" s="690"/>
      <c r="BG157" s="690"/>
    </row>
    <row r="158" spans="56:59">
      <c r="BD158" s="421"/>
      <c r="BF158" s="690"/>
      <c r="BG158" s="690"/>
    </row>
    <row r="159" spans="56:59">
      <c r="BD159" s="421"/>
      <c r="BF159" s="690"/>
      <c r="BG159" s="690"/>
    </row>
    <row r="160" spans="56:59">
      <c r="BD160" s="421"/>
      <c r="BF160" s="690"/>
      <c r="BG160" s="690"/>
    </row>
    <row r="161" spans="56:59">
      <c r="BD161" s="421"/>
      <c r="BF161" s="690"/>
      <c r="BG161" s="690"/>
    </row>
    <row r="162" spans="56:59">
      <c r="BD162" s="421"/>
      <c r="BF162" s="690"/>
      <c r="BG162" s="690"/>
    </row>
    <row r="163" spans="56:59">
      <c r="BD163" s="421"/>
      <c r="BF163" s="690"/>
      <c r="BG163" s="690"/>
    </row>
    <row r="164" spans="56:59">
      <c r="BD164" s="421"/>
      <c r="BF164" s="690"/>
      <c r="BG164" s="690"/>
    </row>
    <row r="165" spans="56:59">
      <c r="BD165" s="421"/>
      <c r="BF165" s="690"/>
      <c r="BG165" s="690"/>
    </row>
    <row r="166" spans="56:59">
      <c r="BD166" s="421"/>
      <c r="BF166" s="690"/>
      <c r="BG166" s="690"/>
    </row>
    <row r="167" spans="56:59">
      <c r="BD167" s="421"/>
      <c r="BF167" s="690"/>
      <c r="BG167" s="690"/>
    </row>
    <row r="168" spans="56:59">
      <c r="BD168" s="421"/>
      <c r="BF168" s="690"/>
      <c r="BG168" s="690"/>
    </row>
    <row r="169" spans="56:59">
      <c r="BD169" s="421"/>
      <c r="BF169" s="690"/>
      <c r="BG169" s="690"/>
    </row>
    <row r="170" spans="56:59">
      <c r="BD170" s="421"/>
      <c r="BF170" s="690"/>
      <c r="BG170" s="690"/>
    </row>
    <row r="171" spans="56:59">
      <c r="BD171" s="421"/>
      <c r="BF171" s="690"/>
      <c r="BG171" s="690"/>
    </row>
    <row r="172" spans="56:59">
      <c r="BD172" s="421"/>
      <c r="BF172" s="690"/>
      <c r="BG172" s="690"/>
    </row>
    <row r="173" spans="56:59">
      <c r="BD173" s="421"/>
      <c r="BF173" s="690"/>
      <c r="BG173" s="690"/>
    </row>
    <row r="174" spans="56:59">
      <c r="BD174" s="421"/>
      <c r="BF174" s="690"/>
      <c r="BG174" s="690"/>
    </row>
    <row r="175" spans="56:59">
      <c r="BD175" s="421"/>
      <c r="BF175" s="690"/>
      <c r="BG175" s="690"/>
    </row>
    <row r="176" spans="56:59">
      <c r="BD176" s="421"/>
      <c r="BF176" s="690"/>
      <c r="BG176" s="690"/>
    </row>
    <row r="177" spans="56:59">
      <c r="BD177" s="421"/>
      <c r="BF177" s="690"/>
      <c r="BG177" s="690"/>
    </row>
    <row r="178" spans="56:59">
      <c r="BD178" s="421"/>
      <c r="BF178" s="690"/>
      <c r="BG178" s="690"/>
    </row>
    <row r="179" spans="56:59">
      <c r="BD179" s="421"/>
      <c r="BF179" s="690"/>
      <c r="BG179" s="690"/>
    </row>
    <row r="180" spans="56:59">
      <c r="BD180" s="421"/>
      <c r="BF180" s="690"/>
      <c r="BG180" s="690"/>
    </row>
    <row r="181" spans="56:59">
      <c r="BD181" s="421"/>
      <c r="BF181" s="690"/>
      <c r="BG181" s="690"/>
    </row>
    <row r="182" spans="56:59">
      <c r="BD182" s="421"/>
      <c r="BF182" s="690"/>
      <c r="BG182" s="690"/>
    </row>
    <row r="183" spans="56:59">
      <c r="BD183" s="421"/>
      <c r="BF183" s="690"/>
      <c r="BG183" s="690"/>
    </row>
    <row r="184" spans="56:59">
      <c r="BD184" s="421"/>
      <c r="BF184" s="690"/>
      <c r="BG184" s="690"/>
    </row>
    <row r="185" spans="56:59">
      <c r="BD185" s="421"/>
      <c r="BF185" s="690"/>
      <c r="BG185" s="690"/>
    </row>
    <row r="186" spans="56:59">
      <c r="BD186" s="421"/>
      <c r="BF186" s="690"/>
      <c r="BG186" s="690"/>
    </row>
    <row r="187" spans="56:59">
      <c r="BD187" s="421"/>
      <c r="BF187" s="690"/>
      <c r="BG187" s="690"/>
    </row>
    <row r="188" spans="56:59">
      <c r="BD188" s="421"/>
      <c r="BF188" s="690"/>
      <c r="BG188" s="690"/>
    </row>
    <row r="189" spans="56:59">
      <c r="BD189" s="421"/>
      <c r="BF189" s="690"/>
      <c r="BG189" s="690"/>
    </row>
    <row r="190" spans="56:59">
      <c r="BD190" s="421"/>
      <c r="BF190" s="690"/>
      <c r="BG190" s="690"/>
    </row>
    <row r="191" spans="56:59">
      <c r="BD191" s="421"/>
      <c r="BF191" s="690"/>
      <c r="BG191" s="690"/>
    </row>
    <row r="192" spans="56:59">
      <c r="BD192" s="421"/>
      <c r="BF192" s="690"/>
      <c r="BG192" s="690"/>
    </row>
    <row r="193" spans="56:59">
      <c r="BD193" s="421"/>
      <c r="BF193" s="690"/>
      <c r="BG193" s="690"/>
    </row>
    <row r="194" spans="56:59">
      <c r="BD194" s="421"/>
      <c r="BF194" s="690"/>
      <c r="BG194" s="690"/>
    </row>
    <row r="195" spans="56:59">
      <c r="BD195" s="421"/>
      <c r="BF195" s="690"/>
      <c r="BG195" s="690"/>
    </row>
    <row r="196" spans="56:59">
      <c r="BD196" s="421"/>
      <c r="BF196" s="690"/>
      <c r="BG196" s="690"/>
    </row>
    <row r="197" spans="56:59">
      <c r="BD197" s="421"/>
      <c r="BF197" s="690"/>
      <c r="BG197" s="690"/>
    </row>
    <row r="198" spans="56:59">
      <c r="BD198" s="421"/>
      <c r="BF198" s="690"/>
      <c r="BG198" s="690"/>
    </row>
    <row r="199" spans="56:59">
      <c r="BD199" s="421"/>
      <c r="BF199" s="690"/>
      <c r="BG199" s="690"/>
    </row>
    <row r="200" spans="56:59">
      <c r="BD200" s="421"/>
      <c r="BF200" s="690"/>
      <c r="BG200" s="690"/>
    </row>
    <row r="201" spans="56:59">
      <c r="BD201" s="421"/>
      <c r="BF201" s="690"/>
      <c r="BG201" s="690"/>
    </row>
    <row r="202" spans="56:59">
      <c r="BD202" s="421"/>
      <c r="BF202" s="690"/>
      <c r="BG202" s="690"/>
    </row>
    <row r="203" spans="56:59">
      <c r="BD203" s="421"/>
      <c r="BF203" s="690"/>
      <c r="BG203" s="690"/>
    </row>
    <row r="204" spans="56:59">
      <c r="BD204" s="421"/>
      <c r="BF204" s="690"/>
      <c r="BG204" s="690"/>
    </row>
    <row r="205" spans="56:59">
      <c r="BD205" s="421"/>
      <c r="BF205" s="690"/>
      <c r="BG205" s="690"/>
    </row>
    <row r="206" spans="56:59">
      <c r="BD206" s="421"/>
      <c r="BF206" s="690"/>
      <c r="BG206" s="690"/>
    </row>
    <row r="207" spans="56:59">
      <c r="BD207" s="421"/>
      <c r="BF207" s="690"/>
      <c r="BG207" s="690"/>
    </row>
    <row r="208" spans="56:59">
      <c r="BD208" s="421"/>
      <c r="BF208" s="690"/>
      <c r="BG208" s="690"/>
    </row>
    <row r="209" spans="56:59">
      <c r="BD209" s="421"/>
      <c r="BF209" s="690"/>
      <c r="BG209" s="690"/>
    </row>
    <row r="210" spans="56:59">
      <c r="BD210" s="421"/>
      <c r="BF210" s="690"/>
      <c r="BG210" s="690"/>
    </row>
    <row r="211" spans="56:59">
      <c r="BD211" s="421"/>
      <c r="BF211" s="690"/>
      <c r="BG211" s="690"/>
    </row>
    <row r="212" spans="56:59">
      <c r="BD212" s="421"/>
      <c r="BF212" s="690"/>
      <c r="BG212" s="690"/>
    </row>
    <row r="213" spans="56:59">
      <c r="BD213" s="421"/>
      <c r="BF213" s="690"/>
      <c r="BG213" s="690"/>
    </row>
    <row r="214" spans="56:59">
      <c r="BD214" s="421"/>
      <c r="BF214" s="690"/>
      <c r="BG214" s="690"/>
    </row>
    <row r="215" spans="56:59">
      <c r="BD215" s="421"/>
      <c r="BF215" s="690"/>
      <c r="BG215" s="690"/>
    </row>
    <row r="216" spans="56:59">
      <c r="BD216" s="421"/>
      <c r="BF216" s="690"/>
      <c r="BG216" s="690"/>
    </row>
    <row r="217" spans="56:59">
      <c r="BD217" s="421"/>
      <c r="BF217" s="690"/>
      <c r="BG217" s="690"/>
    </row>
    <row r="218" spans="56:59">
      <c r="BD218" s="421"/>
      <c r="BF218" s="690"/>
      <c r="BG218" s="690"/>
    </row>
    <row r="219" spans="56:59">
      <c r="BD219" s="421"/>
      <c r="BF219" s="690"/>
      <c r="BG219" s="690"/>
    </row>
    <row r="220" spans="56:59">
      <c r="BD220" s="421"/>
      <c r="BF220" s="690"/>
      <c r="BG220" s="690"/>
    </row>
    <row r="221" spans="56:59">
      <c r="BD221" s="421"/>
      <c r="BF221" s="690"/>
      <c r="BG221" s="690"/>
    </row>
    <row r="222" spans="56:59">
      <c r="BD222" s="421"/>
      <c r="BF222" s="690"/>
      <c r="BG222" s="690"/>
    </row>
    <row r="223" spans="56:59">
      <c r="BD223" s="421"/>
      <c r="BF223" s="690"/>
      <c r="BG223" s="690"/>
    </row>
    <row r="224" spans="56:59">
      <c r="BD224" s="421"/>
      <c r="BF224" s="690"/>
      <c r="BG224" s="690"/>
    </row>
    <row r="225" spans="56:59">
      <c r="BD225" s="421"/>
      <c r="BF225" s="690"/>
      <c r="BG225" s="690"/>
    </row>
    <row r="226" spans="56:59">
      <c r="BD226" s="421"/>
      <c r="BF226" s="690"/>
      <c r="BG226" s="690"/>
    </row>
    <row r="227" spans="56:59">
      <c r="BD227" s="421"/>
      <c r="BF227" s="690"/>
      <c r="BG227" s="690"/>
    </row>
    <row r="228" spans="56:59">
      <c r="BD228" s="421"/>
    </row>
    <row r="229" spans="56:59">
      <c r="BD229" s="421"/>
    </row>
    <row r="230" spans="56:59">
      <c r="BD230" s="421"/>
    </row>
    <row r="231" spans="56:59">
      <c r="BD231" s="421"/>
    </row>
    <row r="232" spans="56:59">
      <c r="BD232" s="421"/>
    </row>
    <row r="233" spans="56:59">
      <c r="BD233" s="421"/>
    </row>
    <row r="234" spans="56:59">
      <c r="BD234" s="421"/>
    </row>
    <row r="235" spans="56:59">
      <c r="BD235" s="421"/>
    </row>
    <row r="236" spans="56:59">
      <c r="BD236" s="421"/>
    </row>
    <row r="237" spans="56:59">
      <c r="BD237" s="421"/>
    </row>
    <row r="238" spans="56:59">
      <c r="BD238" s="421"/>
    </row>
    <row r="239" spans="56:59">
      <c r="BD239" s="421"/>
    </row>
    <row r="240" spans="56:59">
      <c r="BD240" s="421"/>
    </row>
    <row r="241" spans="56:56">
      <c r="BD241" s="421"/>
    </row>
    <row r="242" spans="56:56">
      <c r="BD242" s="421"/>
    </row>
    <row r="243" spans="56:56">
      <c r="BD243" s="421"/>
    </row>
    <row r="244" spans="56:56">
      <c r="BD244" s="421"/>
    </row>
    <row r="245" spans="56:56">
      <c r="BD245" s="421"/>
    </row>
    <row r="246" spans="56:56">
      <c r="BD246" s="421"/>
    </row>
    <row r="247" spans="56:56">
      <c r="BD247" s="421"/>
    </row>
    <row r="248" spans="56:56">
      <c r="BD248" s="421"/>
    </row>
    <row r="249" spans="56:56">
      <c r="BD249" s="421"/>
    </row>
    <row r="250" spans="56:56">
      <c r="BD250" s="421"/>
    </row>
    <row r="251" spans="56:56">
      <c r="BD251" s="421"/>
    </row>
    <row r="252" spans="56:56">
      <c r="BD252" s="421"/>
    </row>
    <row r="253" spans="56:56">
      <c r="BD253" s="421"/>
    </row>
    <row r="254" spans="56:56">
      <c r="BD254" s="421"/>
    </row>
    <row r="255" spans="56:56">
      <c r="BD255" s="421"/>
    </row>
    <row r="256" spans="56:56">
      <c r="BD256" s="421"/>
    </row>
    <row r="257" spans="56:56">
      <c r="BD257" s="421"/>
    </row>
    <row r="258" spans="56:56">
      <c r="BD258" s="421"/>
    </row>
    <row r="259" spans="56:56">
      <c r="BD259" s="421"/>
    </row>
    <row r="260" spans="56:56">
      <c r="BD260" s="421"/>
    </row>
    <row r="261" spans="56:56">
      <c r="BD261" s="421"/>
    </row>
    <row r="262" spans="56:56">
      <c r="BD262" s="421"/>
    </row>
    <row r="263" spans="56:56">
      <c r="BD263" s="421"/>
    </row>
    <row r="264" spans="56:56">
      <c r="BD264" s="421"/>
    </row>
    <row r="265" spans="56:56">
      <c r="BD265" s="421"/>
    </row>
    <row r="266" spans="56:56">
      <c r="BD266" s="421"/>
    </row>
    <row r="267" spans="56:56">
      <c r="BD267" s="421"/>
    </row>
    <row r="268" spans="56:56">
      <c r="BD268" s="421"/>
    </row>
    <row r="269" spans="56:56">
      <c r="BD269" s="421"/>
    </row>
    <row r="270" spans="56:56">
      <c r="BD270" s="421"/>
    </row>
    <row r="271" spans="56:56">
      <c r="BD271" s="421"/>
    </row>
    <row r="272" spans="56:56">
      <c r="BD272" s="421"/>
    </row>
    <row r="273" spans="56:56">
      <c r="BD273" s="421"/>
    </row>
    <row r="274" spans="56:56">
      <c r="BD274" s="421"/>
    </row>
    <row r="275" spans="56:56">
      <c r="BD275" s="421"/>
    </row>
    <row r="276" spans="56:56">
      <c r="BD276" s="421"/>
    </row>
    <row r="277" spans="56:56">
      <c r="BD277" s="421"/>
    </row>
    <row r="278" spans="56:56">
      <c r="BD278" s="421"/>
    </row>
    <row r="279" spans="56:56">
      <c r="BD279" s="421"/>
    </row>
    <row r="280" spans="56:56">
      <c r="BD280" s="421"/>
    </row>
    <row r="281" spans="56:56">
      <c r="BD281" s="421"/>
    </row>
    <row r="282" spans="56:56">
      <c r="BD282" s="421"/>
    </row>
    <row r="283" spans="56:56">
      <c r="BD283" s="421"/>
    </row>
    <row r="284" spans="56:56">
      <c r="BD284" s="421"/>
    </row>
    <row r="285" spans="56:56">
      <c r="BD285" s="421"/>
    </row>
    <row r="286" spans="56:56">
      <c r="BD286" s="421"/>
    </row>
    <row r="287" spans="56:56">
      <c r="BD287" s="421"/>
    </row>
    <row r="288" spans="56:56">
      <c r="BD288" s="421"/>
    </row>
    <row r="289" spans="56:56">
      <c r="BD289" s="421"/>
    </row>
    <row r="290" spans="56:56">
      <c r="BD290" s="421"/>
    </row>
    <row r="291" spans="56:56">
      <c r="BD291" s="421"/>
    </row>
    <row r="292" spans="56:56">
      <c r="BD292" s="421"/>
    </row>
    <row r="293" spans="56:56">
      <c r="BD293" s="421"/>
    </row>
    <row r="294" spans="56:56">
      <c r="BD294" s="421"/>
    </row>
    <row r="295" spans="56:56">
      <c r="BD295" s="421"/>
    </row>
    <row r="296" spans="56:56">
      <c r="BD296" s="421"/>
    </row>
    <row r="297" spans="56:56">
      <c r="BD297" s="421"/>
    </row>
    <row r="298" spans="56:56">
      <c r="BD298" s="421"/>
    </row>
    <row r="299" spans="56:56">
      <c r="BD299" s="421"/>
    </row>
    <row r="300" spans="56:56">
      <c r="BD300" s="421"/>
    </row>
    <row r="301" spans="56:56">
      <c r="BD301" s="421"/>
    </row>
    <row r="302" spans="56:56">
      <c r="BD302" s="421"/>
    </row>
    <row r="303" spans="56:56">
      <c r="BD303" s="421"/>
    </row>
    <row r="304" spans="56:56">
      <c r="BD304" s="421"/>
    </row>
    <row r="305" spans="56:56">
      <c r="BD305" s="421"/>
    </row>
    <row r="306" spans="56:56">
      <c r="BD306" s="421"/>
    </row>
    <row r="307" spans="56:56">
      <c r="BD307" s="421"/>
    </row>
    <row r="308" spans="56:56">
      <c r="BD308" s="421"/>
    </row>
    <row r="309" spans="56:56">
      <c r="BD309" s="421"/>
    </row>
    <row r="310" spans="56:56">
      <c r="BD310" s="421"/>
    </row>
    <row r="311" spans="56:56">
      <c r="BD311" s="421"/>
    </row>
    <row r="312" spans="56:56">
      <c r="BD312" s="421"/>
    </row>
    <row r="313" spans="56:56">
      <c r="BD313" s="421"/>
    </row>
    <row r="314" spans="56:56">
      <c r="BD314" s="421"/>
    </row>
    <row r="315" spans="56:56">
      <c r="BD315" s="421"/>
    </row>
    <row r="316" spans="56:56">
      <c r="BD316" s="421"/>
    </row>
    <row r="317" spans="56:56">
      <c r="BD317" s="421"/>
    </row>
    <row r="318" spans="56:56">
      <c r="BD318" s="421"/>
    </row>
    <row r="319" spans="56:56">
      <c r="BD319" s="421"/>
    </row>
    <row r="320" spans="56:56">
      <c r="BD320" s="421"/>
    </row>
    <row r="321" spans="56:56">
      <c r="BD321" s="421"/>
    </row>
    <row r="322" spans="56:56">
      <c r="BD322" s="421"/>
    </row>
    <row r="323" spans="56:56">
      <c r="BD323" s="421"/>
    </row>
    <row r="324" spans="56:56">
      <c r="BD324" s="421"/>
    </row>
    <row r="325" spans="56:56">
      <c r="BD325" s="421"/>
    </row>
  </sheetData>
  <sheetProtection algorithmName="SHA-512" hashValue="ukYmZshMv70onltnxriBtC7/dh9AcbyAlyvc7Gk8iJtQgTSeFFy5UmrLYNliB9igU+RVdc80YFT7t6+WRWMIiQ==" saltValue="/k9vAvMKWFuewb+zdx0pGQ==" spinCount="100000" sheet="1" objects="1" scenarios="1" formatCells="0" formatColumns="0" formatRows="0"/>
  <mergeCells count="220">
    <mergeCell ref="B132:E134"/>
    <mergeCell ref="B129:L129"/>
    <mergeCell ref="B127:L127"/>
    <mergeCell ref="B119:B120"/>
    <mergeCell ref="B121:B122"/>
    <mergeCell ref="B41:F44"/>
    <mergeCell ref="D50:F50"/>
    <mergeCell ref="D55:F55"/>
    <mergeCell ref="L60:P60"/>
    <mergeCell ref="G52:K52"/>
    <mergeCell ref="L52:P52"/>
    <mergeCell ref="D87:M87"/>
    <mergeCell ref="N87:V87"/>
    <mergeCell ref="Q60:U60"/>
    <mergeCell ref="D79:M79"/>
    <mergeCell ref="N79:V79"/>
    <mergeCell ref="D88:I92"/>
    <mergeCell ref="V52:Z52"/>
    <mergeCell ref="V55:Z55"/>
    <mergeCell ref="L46:P49"/>
    <mergeCell ref="D58:F58"/>
    <mergeCell ref="D57:F57"/>
    <mergeCell ref="J121:O121"/>
    <mergeCell ref="Q121:V121"/>
    <mergeCell ref="S67:U67"/>
    <mergeCell ref="J88:R91"/>
    <mergeCell ref="S88:AA91"/>
    <mergeCell ref="M30:R30"/>
    <mergeCell ref="C45:F45"/>
    <mergeCell ref="B69:C69"/>
    <mergeCell ref="D59:F59"/>
    <mergeCell ref="D56:F56"/>
    <mergeCell ref="D61:F61"/>
    <mergeCell ref="Q61:U61"/>
    <mergeCell ref="V61:Z61"/>
    <mergeCell ref="AA61:AE61"/>
    <mergeCell ref="Q59:U59"/>
    <mergeCell ref="S80:AA83"/>
    <mergeCell ref="AB80:AJ83"/>
    <mergeCell ref="J84:R84"/>
    <mergeCell ref="D60:F60"/>
    <mergeCell ref="W79:AC79"/>
    <mergeCell ref="AE65:AJ65"/>
    <mergeCell ref="AE63:AJ63"/>
    <mergeCell ref="V50:Z50"/>
    <mergeCell ref="AA50:AE50"/>
    <mergeCell ref="Q46:U49"/>
    <mergeCell ref="V46:Z49"/>
    <mergeCell ref="BA54:BB55"/>
    <mergeCell ref="V59:Z59"/>
    <mergeCell ref="AA59:AE59"/>
    <mergeCell ref="AF59:AJ59"/>
    <mergeCell ref="G58:K58"/>
    <mergeCell ref="L58:P58"/>
    <mergeCell ref="Q58:U58"/>
    <mergeCell ref="V58:Z58"/>
    <mergeCell ref="AA56:AE56"/>
    <mergeCell ref="AF56:AJ56"/>
    <mergeCell ref="G57:K57"/>
    <mergeCell ref="L57:P57"/>
    <mergeCell ref="Q57:U57"/>
    <mergeCell ref="V57:Z57"/>
    <mergeCell ref="AA58:AE58"/>
    <mergeCell ref="AF58:AJ58"/>
    <mergeCell ref="AF57:AJ57"/>
    <mergeCell ref="G55:K55"/>
    <mergeCell ref="G59:K59"/>
    <mergeCell ref="L59:P59"/>
    <mergeCell ref="AP77:AS77"/>
    <mergeCell ref="D121:H122"/>
    <mergeCell ref="D119:H120"/>
    <mergeCell ref="AM5:AR11"/>
    <mergeCell ref="AC5:AJ6"/>
    <mergeCell ref="Q54:U54"/>
    <mergeCell ref="AF50:AJ50"/>
    <mergeCell ref="D51:F51"/>
    <mergeCell ref="G51:K51"/>
    <mergeCell ref="L51:P51"/>
    <mergeCell ref="Q51:U51"/>
    <mergeCell ref="V51:Z51"/>
    <mergeCell ref="AA51:AE51"/>
    <mergeCell ref="AF51:AJ51"/>
    <mergeCell ref="D53:F53"/>
    <mergeCell ref="G46:K49"/>
    <mergeCell ref="AO17:AX20"/>
    <mergeCell ref="AE70:AJ70"/>
    <mergeCell ref="AE67:AJ67"/>
    <mergeCell ref="AF52:AJ52"/>
    <mergeCell ref="W87:AC87"/>
    <mergeCell ref="G50:K50"/>
    <mergeCell ref="L50:P50"/>
    <mergeCell ref="D4:G5"/>
    <mergeCell ref="BA48:BK51"/>
    <mergeCell ref="BA17:BK20"/>
    <mergeCell ref="AH7:AI8"/>
    <mergeCell ref="AE26:AI26"/>
    <mergeCell ref="AF45:AJ45"/>
    <mergeCell ref="AO47:AY50"/>
    <mergeCell ref="X20:AC20"/>
    <mergeCell ref="AS2:AX11"/>
    <mergeCell ref="I8:AB8"/>
    <mergeCell ref="I7:AB7"/>
    <mergeCell ref="AE28:AJ28"/>
    <mergeCell ref="AE17:AJ17"/>
    <mergeCell ref="AE22:AJ22"/>
    <mergeCell ref="M29:R29"/>
    <mergeCell ref="AA41:AE44"/>
    <mergeCell ref="AF41:AJ44"/>
    <mergeCell ref="Y10:AJ11"/>
    <mergeCell ref="X19:AC19"/>
    <mergeCell ref="B10:X11"/>
    <mergeCell ref="L41:P44"/>
    <mergeCell ref="I5:AB5"/>
    <mergeCell ref="AF46:AJ49"/>
    <mergeCell ref="B46:F49"/>
    <mergeCell ref="G45:K45"/>
    <mergeCell ref="B5:C5"/>
    <mergeCell ref="AE25:AJ25"/>
    <mergeCell ref="AA46:AE49"/>
    <mergeCell ref="AE30:AJ30"/>
    <mergeCell ref="AA55:AE55"/>
    <mergeCell ref="AF55:AJ55"/>
    <mergeCell ref="Q52:U52"/>
    <mergeCell ref="D52:F52"/>
    <mergeCell ref="V53:Z53"/>
    <mergeCell ref="V54:Z54"/>
    <mergeCell ref="AA54:AE54"/>
    <mergeCell ref="AF54:AJ54"/>
    <mergeCell ref="AA53:AE53"/>
    <mergeCell ref="AF53:AJ53"/>
    <mergeCell ref="D54:F54"/>
    <mergeCell ref="G54:K54"/>
    <mergeCell ref="L54:P54"/>
    <mergeCell ref="G53:K53"/>
    <mergeCell ref="L53:P53"/>
    <mergeCell ref="Q53:U53"/>
    <mergeCell ref="AA52:AE52"/>
    <mergeCell ref="L55:P55"/>
    <mergeCell ref="Q55:U55"/>
    <mergeCell ref="AD7:AG7"/>
    <mergeCell ref="X121:AC121"/>
    <mergeCell ref="C12:Z14"/>
    <mergeCell ref="AA12:AG14"/>
    <mergeCell ref="S84:AA84"/>
    <mergeCell ref="AB84:AJ84"/>
    <mergeCell ref="AD87:AJ87"/>
    <mergeCell ref="AE68:AJ68"/>
    <mergeCell ref="V41:Z44"/>
    <mergeCell ref="Q50:U50"/>
    <mergeCell ref="AA57:AE57"/>
    <mergeCell ref="G56:K56"/>
    <mergeCell ref="L56:P56"/>
    <mergeCell ref="Q56:U56"/>
    <mergeCell ref="V56:Z56"/>
    <mergeCell ref="AA60:AE60"/>
    <mergeCell ref="G61:K61"/>
    <mergeCell ref="L61:P61"/>
    <mergeCell ref="D80:I84"/>
    <mergeCell ref="J80:R83"/>
    <mergeCell ref="B31:C31"/>
    <mergeCell ref="B15:C15"/>
    <mergeCell ref="B75:C75"/>
    <mergeCell ref="B116:C116"/>
    <mergeCell ref="AF61:AJ61"/>
    <mergeCell ref="G60:K60"/>
    <mergeCell ref="V60:Z60"/>
    <mergeCell ref="AD8:AG8"/>
    <mergeCell ref="AC4:AJ4"/>
    <mergeCell ref="L45:P45"/>
    <mergeCell ref="Q45:U45"/>
    <mergeCell ref="V45:Z45"/>
    <mergeCell ref="AA45:AE45"/>
    <mergeCell ref="G41:K44"/>
    <mergeCell ref="Q41:U44"/>
    <mergeCell ref="AF60:AJ60"/>
    <mergeCell ref="V19:W19"/>
    <mergeCell ref="V20:W20"/>
    <mergeCell ref="J119:O119"/>
    <mergeCell ref="AD79:AJ79"/>
    <mergeCell ref="AE71:AJ71"/>
    <mergeCell ref="AE72:AJ72"/>
    <mergeCell ref="AD103:AJ103"/>
    <mergeCell ref="D104:I108"/>
    <mergeCell ref="J104:R107"/>
    <mergeCell ref="S104:AA107"/>
    <mergeCell ref="AB104:AJ107"/>
    <mergeCell ref="J108:R108"/>
    <mergeCell ref="S108:AA108"/>
    <mergeCell ref="AB108:AJ108"/>
    <mergeCell ref="AB88:AJ91"/>
    <mergeCell ref="J92:R92"/>
    <mergeCell ref="S92:AA92"/>
    <mergeCell ref="AB92:AJ92"/>
    <mergeCell ref="Q119:V119"/>
    <mergeCell ref="X119:AC119"/>
    <mergeCell ref="AE119:AJ119"/>
    <mergeCell ref="AC3:AJ3"/>
    <mergeCell ref="P122:V122"/>
    <mergeCell ref="AE121:AJ121"/>
    <mergeCell ref="D95:M95"/>
    <mergeCell ref="N95:V95"/>
    <mergeCell ref="W95:AC95"/>
    <mergeCell ref="AD95:AJ95"/>
    <mergeCell ref="D96:I100"/>
    <mergeCell ref="J96:R99"/>
    <mergeCell ref="S96:AA99"/>
    <mergeCell ref="AB96:AJ99"/>
    <mergeCell ref="J100:R100"/>
    <mergeCell ref="S100:AA100"/>
    <mergeCell ref="AB100:AJ100"/>
    <mergeCell ref="I122:O122"/>
    <mergeCell ref="W122:AC122"/>
    <mergeCell ref="AD122:AJ122"/>
    <mergeCell ref="I120:O120"/>
    <mergeCell ref="P120:V120"/>
    <mergeCell ref="W120:AC120"/>
    <mergeCell ref="AD120:AJ120"/>
    <mergeCell ref="D103:M103"/>
    <mergeCell ref="N103:V103"/>
    <mergeCell ref="W103:AC103"/>
  </mergeCells>
  <phoneticPr fontId="10" type="noConversion"/>
  <conditionalFormatting sqref="B13 AH13">
    <cfRule type="expression" dxfId="114" priority="25">
      <formula>AND(File_Marr_Sep&lt;&gt;"",$AI$13="")</formula>
    </cfRule>
  </conditionalFormatting>
  <conditionalFormatting sqref="B10:K10 AE63:AJ63 AE65:AJ65">
    <cfRule type="expression" dxfId="113" priority="253">
      <formula>IF(NoColor,1,0)</formula>
    </cfRule>
  </conditionalFormatting>
  <conditionalFormatting sqref="C2">
    <cfRule type="expression" dxfId="112" priority="74">
      <formula>IF(NoColor,1,0)</formula>
    </cfRule>
  </conditionalFormatting>
  <conditionalFormatting sqref="C12">
    <cfRule type="expression" dxfId="111" priority="22">
      <formula>IF(AND(File_Marr_Sep&lt;&gt;"",$AI$13=""),1,0)</formula>
    </cfRule>
  </conditionalFormatting>
  <conditionalFormatting sqref="C110">
    <cfRule type="expression" dxfId="110" priority="182">
      <formula>IF(NoColor,1,0)</formula>
    </cfRule>
  </conditionalFormatting>
  <conditionalFormatting sqref="C114">
    <cfRule type="expression" dxfId="109" priority="181">
      <formula>IF(NoColor,1,0)</formula>
    </cfRule>
  </conditionalFormatting>
  <conditionalFormatting sqref="D33">
    <cfRule type="expression" dxfId="108" priority="147">
      <formula>IF(NoColor,1,0)</formula>
    </cfRule>
  </conditionalFormatting>
  <conditionalFormatting sqref="D35">
    <cfRule type="expression" dxfId="107" priority="4">
      <formula>IF(NoColor,1,0)</formula>
    </cfRule>
  </conditionalFormatting>
  <conditionalFormatting sqref="D37">
    <cfRule type="expression" dxfId="106" priority="171">
      <formula>IF(NoColor,1,0)</formula>
    </cfRule>
  </conditionalFormatting>
  <conditionalFormatting sqref="D39">
    <cfRule type="expression" dxfId="105" priority="3">
      <formula>IF(NoColor,1,0)</formula>
    </cfRule>
  </conditionalFormatting>
  <conditionalFormatting sqref="D79:H79">
    <cfRule type="expression" dxfId="104" priority="210">
      <formula>IF(NoColor,1,0)</formula>
    </cfRule>
  </conditionalFormatting>
  <conditionalFormatting sqref="D87:H87">
    <cfRule type="expression" dxfId="103" priority="73">
      <formula>IF(NoColor,1,0)</formula>
    </cfRule>
  </conditionalFormatting>
  <conditionalFormatting sqref="D95:H95">
    <cfRule type="expression" dxfId="102" priority="69">
      <formula>IF(NoColor,1,0)</formula>
    </cfRule>
  </conditionalFormatting>
  <conditionalFormatting sqref="D103:H103">
    <cfRule type="expression" dxfId="101" priority="65">
      <formula>IF(NoColor,1,0)</formula>
    </cfRule>
  </conditionalFormatting>
  <conditionalFormatting sqref="G45:P45">
    <cfRule type="expression" dxfId="100" priority="92">
      <formula>IF($D$37="",1,0)</formula>
    </cfRule>
  </conditionalFormatting>
  <conditionalFormatting sqref="G50:P61">
    <cfRule type="expression" dxfId="99" priority="91">
      <formula>IF($D$37&lt;&gt;"",1,0)</formula>
    </cfRule>
  </conditionalFormatting>
  <conditionalFormatting sqref="G45:AJ45">
    <cfRule type="expression" dxfId="98" priority="30">
      <formula>IF(NoColor,1,0)</formula>
    </cfRule>
  </conditionalFormatting>
  <conditionalFormatting sqref="G50:AJ61">
    <cfRule type="expression" dxfId="97" priority="28">
      <formula>IF(NoColor,1,0)</formula>
    </cfRule>
  </conditionalFormatting>
  <conditionalFormatting sqref="I120:M120">
    <cfRule type="expression" dxfId="96" priority="12">
      <formula>IF(NoColor,1,0)</formula>
    </cfRule>
  </conditionalFormatting>
  <conditionalFormatting sqref="I122:M122">
    <cfRule type="expression" dxfId="95" priority="8">
      <formula>IF(NoColor,1,0)</formula>
    </cfRule>
  </conditionalFormatting>
  <conditionalFormatting sqref="J84:N84">
    <cfRule type="expression" dxfId="94" priority="206">
      <formula>IF(NoColor,1,0)</formula>
    </cfRule>
  </conditionalFormatting>
  <conditionalFormatting sqref="J92:N92">
    <cfRule type="expression" dxfId="93" priority="57">
      <formula>IF(NoColor,1,0)</formula>
    </cfRule>
  </conditionalFormatting>
  <conditionalFormatting sqref="J100:N100">
    <cfRule type="expression" dxfId="92" priority="54">
      <formula>IF(NoColor,1,0)</formula>
    </cfRule>
  </conditionalFormatting>
  <conditionalFormatting sqref="J108:N108">
    <cfRule type="expression" dxfId="91" priority="51">
      <formula>IF(NoColor,1,0)</formula>
    </cfRule>
  </conditionalFormatting>
  <conditionalFormatting sqref="M2">
    <cfRule type="expression" dxfId="90" priority="75">
      <formula>IF(NoColor,1,0)</formula>
    </cfRule>
  </conditionalFormatting>
  <conditionalFormatting sqref="M20:R20">
    <cfRule type="expression" dxfId="89" priority="231">
      <formula>IF(NoColor,1,0)</formula>
    </cfRule>
  </conditionalFormatting>
  <conditionalFormatting sqref="M30:R30">
    <cfRule type="expression" dxfId="88" priority="247">
      <formula>IF(NoColor,1,0)</formula>
    </cfRule>
  </conditionalFormatting>
  <conditionalFormatting sqref="N79:R79">
    <cfRule type="expression" dxfId="87" priority="209">
      <formula>IF(NoColor,1,0)</formula>
    </cfRule>
  </conditionalFormatting>
  <conditionalFormatting sqref="N87:R87">
    <cfRule type="expression" dxfId="86" priority="72">
      <formula>IF(NoColor,1,0)</formula>
    </cfRule>
  </conditionalFormatting>
  <conditionalFormatting sqref="N95:R95">
    <cfRule type="expression" dxfId="85" priority="68">
      <formula>IF(NoColor,1,0)</formula>
    </cfRule>
  </conditionalFormatting>
  <conditionalFormatting sqref="N103:R103">
    <cfRule type="expression" dxfId="84" priority="64">
      <formula>IF(NoColor,1,0)</formula>
    </cfRule>
  </conditionalFormatting>
  <conditionalFormatting sqref="O25">
    <cfRule type="expression" dxfId="83" priority="140">
      <formula>IF(NoColor,1,0)</formula>
    </cfRule>
  </conditionalFormatting>
  <conditionalFormatting sqref="P120:T120">
    <cfRule type="expression" dxfId="82" priority="11">
      <formula>IF(NoColor,1,0)</formula>
    </cfRule>
  </conditionalFormatting>
  <conditionalFormatting sqref="P122:T122">
    <cfRule type="expression" dxfId="81" priority="7">
      <formula>IF(NoColor,1,0)</formula>
    </cfRule>
  </conditionalFormatting>
  <conditionalFormatting sqref="S25">
    <cfRule type="expression" dxfId="80" priority="141">
      <formula>IF(NoColor,1,0)</formula>
    </cfRule>
  </conditionalFormatting>
  <conditionalFormatting sqref="S84:W84">
    <cfRule type="expression" dxfId="79" priority="205">
      <formula>IF(NoColor,1,0)</formula>
    </cfRule>
  </conditionalFormatting>
  <conditionalFormatting sqref="S92:W92">
    <cfRule type="expression" dxfId="78" priority="56">
      <formula>IF(NoColor,1,0)</formula>
    </cfRule>
  </conditionalFormatting>
  <conditionalFormatting sqref="S100:W100">
    <cfRule type="expression" dxfId="77" priority="53">
      <formula>IF(NoColor,1,0)</formula>
    </cfRule>
  </conditionalFormatting>
  <conditionalFormatting sqref="S108:W108">
    <cfRule type="expression" dxfId="76" priority="50">
      <formula>IF(NoColor,1,0)</formula>
    </cfRule>
  </conditionalFormatting>
  <conditionalFormatting sqref="W2">
    <cfRule type="expression" dxfId="75" priority="113">
      <formula>IF(NoColor,1,0)</formula>
    </cfRule>
  </conditionalFormatting>
  <conditionalFormatting sqref="W25">
    <cfRule type="expression" dxfId="74" priority="142">
      <formula>IF(NoColor,1,0)</formula>
    </cfRule>
  </conditionalFormatting>
  <conditionalFormatting sqref="W79:AA79">
    <cfRule type="expression" dxfId="73" priority="208">
      <formula>IF(NoColor,1,0)</formula>
    </cfRule>
  </conditionalFormatting>
  <conditionalFormatting sqref="W87:AA87">
    <cfRule type="expression" dxfId="72" priority="71">
      <formula>IF(NoColor,1,0)</formula>
    </cfRule>
  </conditionalFormatting>
  <conditionalFormatting sqref="W95:AA95">
    <cfRule type="expression" dxfId="71" priority="67">
      <formula>IF(NoColor,1,0)</formula>
    </cfRule>
  </conditionalFormatting>
  <conditionalFormatting sqref="W103:AA103">
    <cfRule type="expression" dxfId="70" priority="63">
      <formula>IF(NoColor,1,0)</formula>
    </cfRule>
  </conditionalFormatting>
  <conditionalFormatting sqref="W120:AA120">
    <cfRule type="expression" dxfId="69" priority="10">
      <formula>IF(NoColor,1,0)</formula>
    </cfRule>
  </conditionalFormatting>
  <conditionalFormatting sqref="W122:AA122">
    <cfRule type="expression" dxfId="68" priority="6">
      <formula>IF(NoColor,1,0)</formula>
    </cfRule>
  </conditionalFormatting>
  <conditionalFormatting sqref="X19:AC20">
    <cfRule type="expression" dxfId="67" priority="45">
      <formula>IF(NoColor,1,0)</formula>
    </cfRule>
  </conditionalFormatting>
  <conditionalFormatting sqref="Y10">
    <cfRule type="expression" dxfId="66" priority="89">
      <formula>IF(NoColor,1,0)</formula>
    </cfRule>
  </conditionalFormatting>
  <conditionalFormatting sqref="AB84:AF84">
    <cfRule type="expression" dxfId="65" priority="204">
      <formula>IF(NoColor,1,0)</formula>
    </cfRule>
  </conditionalFormatting>
  <conditionalFormatting sqref="AB92:AF92">
    <cfRule type="expression" dxfId="64" priority="55">
      <formula>IF(NoColor,1,0)</formula>
    </cfRule>
  </conditionalFormatting>
  <conditionalFormatting sqref="AB100:AF100">
    <cfRule type="expression" dxfId="63" priority="52">
      <formula>IF(NoColor,1,0)</formula>
    </cfRule>
  </conditionalFormatting>
  <conditionalFormatting sqref="AB108:AF108">
    <cfRule type="expression" dxfId="62" priority="49">
      <formula>IF(NoColor,1,0)</formula>
    </cfRule>
  </conditionalFormatting>
  <conditionalFormatting sqref="AD79:AH79">
    <cfRule type="expression" dxfId="60" priority="207">
      <formula>IF(NoColor,1,0)</formula>
    </cfRule>
  </conditionalFormatting>
  <conditionalFormatting sqref="AD87:AH87">
    <cfRule type="expression" dxfId="59" priority="70">
      <formula>IF(NoColor,1,0)</formula>
    </cfRule>
  </conditionalFormatting>
  <conditionalFormatting sqref="AD95:AH95">
    <cfRule type="expression" dxfId="58" priority="66">
      <formula>IF(NoColor,1,0)</formula>
    </cfRule>
  </conditionalFormatting>
  <conditionalFormatting sqref="AD103:AH103">
    <cfRule type="expression" dxfId="57" priority="62">
      <formula>IF(NoColor,1,0)</formula>
    </cfRule>
  </conditionalFormatting>
  <conditionalFormatting sqref="AD120:AH120">
    <cfRule type="expression" dxfId="56" priority="9">
      <formula>IF(NoColor,1,0)</formula>
    </cfRule>
  </conditionalFormatting>
  <conditionalFormatting sqref="AD122:AH122">
    <cfRule type="expression" dxfId="55" priority="5">
      <formula>IF(NoColor,1,0)</formula>
    </cfRule>
  </conditionalFormatting>
  <conditionalFormatting sqref="AE25:AE26">
    <cfRule type="expression" dxfId="54" priority="228">
      <formula>IF(NoColor,1,0)</formula>
    </cfRule>
  </conditionalFormatting>
  <conditionalFormatting sqref="AE17:AJ17">
    <cfRule type="expression" dxfId="53" priority="221">
      <formula>IF(NoColor,1,0)</formula>
    </cfRule>
  </conditionalFormatting>
  <conditionalFormatting sqref="AE22:AJ22">
    <cfRule type="expression" dxfId="52" priority="225">
      <formula>IF(NoColor,1,0)</formula>
    </cfRule>
  </conditionalFormatting>
  <conditionalFormatting sqref="AE25:AJ25">
    <cfRule type="expression" dxfId="51" priority="227">
      <formula>IF(NoColor,1,0)</formula>
    </cfRule>
  </conditionalFormatting>
  <conditionalFormatting sqref="AE28:AJ28">
    <cfRule type="expression" dxfId="50" priority="243">
      <formula>IF(NoColor,1,0)</formula>
    </cfRule>
  </conditionalFormatting>
  <conditionalFormatting sqref="AE30:AJ30">
    <cfRule type="expression" dxfId="49" priority="245">
      <formula>IF(NoColor,1,0)</formula>
    </cfRule>
  </conditionalFormatting>
  <conditionalFormatting sqref="AE68:AJ68">
    <cfRule type="expression" dxfId="48" priority="215">
      <formula>IF(NoColor,1,0)</formula>
    </cfRule>
  </conditionalFormatting>
  <conditionalFormatting sqref="AE70:AJ72">
    <cfRule type="expression" dxfId="47" priority="138">
      <formula>IF(NoColor,1,0)</formula>
    </cfRule>
  </conditionalFormatting>
  <conditionalFormatting sqref="AF61:AJ61">
    <cfRule type="expression" dxfId="46" priority="1">
      <formula>IF($D$37&lt;&gt;"",1,0)</formula>
    </cfRule>
  </conditionalFormatting>
  <conditionalFormatting sqref="AI13">
    <cfRule type="expression" dxfId="45" priority="26">
      <formula>IF(NoColor,1,0)</formula>
    </cfRule>
  </conditionalFormatting>
  <conditionalFormatting sqref="AJ15">
    <cfRule type="expression" dxfId="44" priority="153">
      <formula>IF(AL15&lt;&gt;"",1,0)</formula>
    </cfRule>
  </conditionalFormatting>
  <conditionalFormatting sqref="AJ26">
    <cfRule type="expression" dxfId="43" priority="229">
      <formula>IF(NoColor,1,0)</formula>
    </cfRule>
  </conditionalFormatting>
  <conditionalFormatting sqref="AL13">
    <cfRule type="expression" dxfId="41" priority="4822">
      <formula>IF(AND(File_Marr_Sep&lt;&gt;"",#REF!&lt;&gt;""),TRUE,FALSE)</formula>
    </cfRule>
    <cfRule type="expression" dxfId="40" priority="4823">
      <formula>OR(File_Marr_Sep&lt;&gt;"",AND(File_Marr_Sep="",AI13&lt;&gt;""))</formula>
    </cfRule>
  </conditionalFormatting>
  <conditionalFormatting sqref="AL15">
    <cfRule type="expression" dxfId="39" priority="43">
      <formula>OR($AM$13,$AL$15&lt;&gt;"")</formula>
    </cfRule>
  </conditionalFormatting>
  <conditionalFormatting sqref="AM5:AR11">
    <cfRule type="expression" dxfId="38" priority="4820">
      <formula>File_Marr_Sep&lt;&gt;""</formula>
    </cfRule>
  </conditionalFormatting>
  <conditionalFormatting sqref="AP57 AP65:AP66">
    <cfRule type="expression" dxfId="37" priority="4857">
      <formula>AND($AR$67&lt;&gt;"---",$AR$67&lt;&gt;"",$AV$68)</formula>
    </cfRule>
  </conditionalFormatting>
  <conditionalFormatting sqref="AP59 AP67">
    <cfRule type="expression" dxfId="36" priority="4859">
      <formula>AND($AR$67&lt;&gt;"",NOT($AV$68))</formula>
    </cfRule>
  </conditionalFormatting>
  <conditionalFormatting sqref="AP69">
    <cfRule type="expression" dxfId="35" priority="18">
      <formula>$AP$68</formula>
    </cfRule>
  </conditionalFormatting>
  <conditionalFormatting sqref="AP70">
    <cfRule type="expression" dxfId="34" priority="4856">
      <formula>AND($AR$67&lt;&gt;"",$AR$67&lt;100)</formula>
    </cfRule>
  </conditionalFormatting>
  <conditionalFormatting sqref="AS2">
    <cfRule type="expression" dxfId="33" priority="152">
      <formula>IF(File_Marr_Sep&lt;&gt;"",TRUE,FALSE)</formula>
    </cfRule>
  </conditionalFormatting>
  <conditionalFormatting sqref="AU29">
    <cfRule type="expression" dxfId="32" priority="136">
      <formula>IF(NoColor,1,0)</formula>
    </cfRule>
  </conditionalFormatting>
  <conditionalFormatting sqref="AU33">
    <cfRule type="expression" dxfId="31" priority="78">
      <formula>IF(NoColor,1,0)</formula>
    </cfRule>
  </conditionalFormatting>
  <conditionalFormatting sqref="AU42">
    <cfRule type="expression" dxfId="30" priority="2">
      <formula>IF(NoColor,1,0)</formula>
    </cfRule>
  </conditionalFormatting>
  <conditionalFormatting sqref="AV25">
    <cfRule type="expression" dxfId="29" priority="129">
      <formula>IF(NoColor,1,0)</formula>
    </cfRule>
  </conditionalFormatting>
  <conditionalFormatting sqref="AV45">
    <cfRule type="expression" dxfId="28" priority="31">
      <formula>IF(NoColor,1,0)</formula>
    </cfRule>
  </conditionalFormatting>
  <conditionalFormatting sqref="BG30">
    <cfRule type="expression" dxfId="27" priority="118">
      <formula>IF(NoColor,1,0)</formula>
    </cfRule>
  </conditionalFormatting>
  <conditionalFormatting sqref="BG35">
    <cfRule type="expression" dxfId="26" priority="27">
      <formula>IF(NoColor,1,0)</formula>
    </cfRule>
  </conditionalFormatting>
  <conditionalFormatting sqref="BG42">
    <cfRule type="expression" dxfId="25" priority="36">
      <formula>IF(NoColor,1,0)</formula>
    </cfRule>
  </conditionalFormatting>
  <conditionalFormatting sqref="BH25">
    <cfRule type="expression" dxfId="24" priority="123">
      <formula>IF(NoColor,1,0)</formula>
    </cfRule>
  </conditionalFormatting>
  <conditionalFormatting sqref="BH46">
    <cfRule type="expression" dxfId="23" priority="131">
      <formula>IF(NoColor,1,0)</formula>
    </cfRule>
  </conditionalFormatting>
  <hyperlinks>
    <hyperlink ref="C132:D134" location="'Table of Contents'!A1" display="Table of Contents" xr:uid="{00000000-0004-0000-3D00-000000000000}"/>
    <hyperlink ref="B127:H127" r:id="rId1" display="Download Form 1040 Schedule R" xr:uid="{00000000-0004-0000-3D00-000001000000}"/>
    <hyperlink ref="B129:H129" r:id="rId2" display="Download Form 1040 Schedule R Instructions" xr:uid="{00000000-0004-0000-3D00-000002000000}"/>
    <hyperlink ref="B127:I127" r:id="rId3" display="Download Form 1040 Form 8962" xr:uid="{00000000-0004-0000-3D00-000003000000}"/>
    <hyperlink ref="B129:L129" r:id="rId4" display="Download Form 8962 Instructions" xr:uid="{00000000-0004-0000-3D00-000004000000}"/>
    <hyperlink ref="B127:L127" r:id="rId5" display="Download Form 8962" xr:uid="{00000000-0004-0000-3D00-000005000000}"/>
  </hyperlinks>
  <pageMargins left="0.75" right="0.25" top="0.36" bottom="0.28999999999999998" header="0.36" footer="0.21"/>
  <pageSetup scale="69" fitToHeight="0" orientation="portrait" r:id="rId6"/>
  <rowBreaks count="1" manualBreakCount="1">
    <brk id="73" min="1" max="35" man="1"/>
  </rowBreaks>
  <extLst>
    <ext xmlns:x14="http://schemas.microsoft.com/office/spreadsheetml/2009/9/main" uri="{78C0D931-6437-407d-A8EE-F0AAD7539E65}">
      <x14:conditionalFormattings>
        <x14:conditionalFormatting xmlns:xm="http://schemas.microsoft.com/office/excel/2006/main">
          <x14:cfRule type="expression" priority="13" id="{544D45DF-F5A0-4F8A-99E1-E443120638D7}">
            <xm:f>AND(AK4="",'Table of Contents'!A67="D")</xm:f>
            <x14:dxf>
              <font>
                <b/>
                <i val="0"/>
                <color rgb="FFC00000"/>
              </font>
            </x14:dxf>
          </x14:cfRule>
          <xm:sqref>AC4:AJ4</xm:sqref>
        </x14:conditionalFormatting>
        <x14:conditionalFormatting xmlns:xm="http://schemas.microsoft.com/office/excel/2006/main">
          <x14:cfRule type="expression" priority="14" id="{E0F40B37-C4A7-4946-9DF0-BD2E3E29A913}">
            <xm:f>('Table of Contents'!A67="D")</xm:f>
            <x14:dxf>
              <fill>
                <patternFill>
                  <bgColor theme="0"/>
                </patternFill>
              </fill>
              <border>
                <right style="thin">
                  <color auto="1"/>
                </right>
                <top style="thin">
                  <color auto="1"/>
                </top>
                <bottom style="thin">
                  <color auto="1"/>
                </bottom>
                <vertical/>
                <horizontal/>
              </border>
            </x14:dxf>
          </x14:cfRule>
          <xm:sqref>AK4</xm:sqref>
        </x14:conditionalFormatting>
      </x14:conditionalFormatting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pageSetUpPr fitToPage="1"/>
  </sheetPr>
  <dimension ref="A1:AY52"/>
  <sheetViews>
    <sheetView zoomScaleNormal="100" zoomScaleSheetLayoutView="100" workbookViewId="0"/>
  </sheetViews>
  <sheetFormatPr defaultColWidth="3.42578125" defaultRowHeight="12.75"/>
  <cols>
    <col min="2" max="5" width="3.85546875" customWidth="1"/>
    <col min="6" max="6" width="5.7109375" customWidth="1"/>
    <col min="7" max="8" width="3.42578125" customWidth="1"/>
    <col min="9" max="9" width="4.28515625" customWidth="1"/>
    <col min="10" max="14" width="3.42578125" customWidth="1"/>
    <col min="15" max="15" width="2.7109375" customWidth="1"/>
    <col min="16" max="16" width="3.42578125" customWidth="1"/>
    <col min="17" max="17" width="11.42578125" customWidth="1"/>
    <col min="18" max="18" width="4.28515625" customWidth="1"/>
    <col min="19" max="19" width="3.42578125" customWidth="1"/>
    <col min="20" max="20" width="3.85546875" customWidth="1"/>
    <col min="21" max="21" width="4.28515625" customWidth="1"/>
    <col min="22" max="22" width="5" customWidth="1"/>
    <col min="23" max="26" width="3.42578125" customWidth="1"/>
    <col min="27" max="27" width="3.28515625" customWidth="1"/>
    <col min="28" max="28" width="5" customWidth="1"/>
    <col min="32" max="32" width="5.5703125" customWidth="1"/>
    <col min="33" max="33" width="4.140625" customWidth="1"/>
    <col min="35" max="35" width="4.140625" customWidth="1"/>
    <col min="36" max="36" width="15" customWidth="1"/>
    <col min="37" max="37" width="2.5703125" customWidth="1"/>
    <col min="38" max="38" width="13.140625" style="1224" hidden="1" customWidth="1"/>
    <col min="39" max="39" width="15.85546875" style="329" customWidth="1"/>
    <col min="41" max="41" width="14.5703125" style="827" customWidth="1"/>
    <col min="42" max="51" width="10.7109375" style="658" customWidth="1"/>
    <col min="54" max="64" width="3.28515625" customWidth="1"/>
  </cols>
  <sheetData>
    <row r="1" spans="1:51" ht="15">
      <c r="A1" s="1277"/>
      <c r="B1" s="1277"/>
      <c r="C1" s="1277"/>
      <c r="D1" s="1277"/>
      <c r="E1" s="1277"/>
      <c r="F1" s="1277"/>
      <c r="G1" s="1277"/>
      <c r="H1" s="1277"/>
      <c r="I1" s="1277"/>
      <c r="J1" s="1277"/>
      <c r="K1" s="1277"/>
      <c r="L1" s="1277"/>
      <c r="M1" s="1277"/>
      <c r="N1" s="1277"/>
      <c r="O1" s="1277"/>
      <c r="P1" s="1277"/>
      <c r="Q1" s="1277"/>
      <c r="R1" s="1277"/>
      <c r="S1" s="1277"/>
      <c r="T1" s="1277"/>
      <c r="U1" s="1277"/>
      <c r="V1" s="1277"/>
      <c r="W1" s="1277"/>
      <c r="X1" s="1277"/>
      <c r="Y1" s="1277"/>
      <c r="Z1" s="1277"/>
      <c r="AA1" s="1277"/>
      <c r="AB1" s="1277"/>
      <c r="AC1" s="1277"/>
      <c r="AD1" s="1277"/>
      <c r="AE1" s="1277"/>
      <c r="AF1" s="1277"/>
      <c r="AG1" s="1277"/>
      <c r="AH1" s="1277"/>
      <c r="AJ1" s="2875"/>
      <c r="AO1" s="825" t="s">
        <v>223</v>
      </c>
    </row>
    <row r="2" spans="1:51" ht="18" customHeight="1">
      <c r="A2" s="1277"/>
      <c r="B2" s="11661" t="s">
        <v>4743</v>
      </c>
      <c r="C2" s="11661"/>
      <c r="D2" s="11662">
        <v>8995</v>
      </c>
      <c r="E2" s="11662"/>
      <c r="F2" s="11663"/>
      <c r="G2" s="2876"/>
      <c r="H2" s="253"/>
      <c r="I2" s="253"/>
      <c r="J2" s="253"/>
      <c r="K2" s="253"/>
      <c r="L2" s="253"/>
      <c r="M2" s="253"/>
      <c r="N2" s="253"/>
      <c r="O2" s="344"/>
      <c r="P2" s="253"/>
      <c r="Q2" s="2740"/>
      <c r="R2" s="253"/>
      <c r="S2" s="253"/>
      <c r="T2" s="253"/>
      <c r="U2" s="253"/>
      <c r="V2" s="253"/>
      <c r="W2" s="253"/>
      <c r="X2" s="253"/>
      <c r="Y2" s="253"/>
      <c r="Z2" s="253"/>
      <c r="AA2" s="253"/>
      <c r="AB2" s="11666" t="s">
        <v>4744</v>
      </c>
      <c r="AC2" s="8168"/>
      <c r="AD2" s="8168"/>
      <c r="AE2" s="8168"/>
      <c r="AF2" s="8168"/>
      <c r="AG2" s="8168"/>
      <c r="AH2" s="1277"/>
      <c r="AJ2" s="2875"/>
      <c r="AO2" s="1397" t="s">
        <v>4745</v>
      </c>
    </row>
    <row r="3" spans="1:51" ht="19.5" customHeight="1">
      <c r="A3" s="1277"/>
      <c r="B3" s="11661"/>
      <c r="C3" s="11661"/>
      <c r="D3" s="11662"/>
      <c r="E3" s="11662"/>
      <c r="F3" s="11663"/>
      <c r="G3" s="9192" t="s">
        <v>4746</v>
      </c>
      <c r="H3" s="9193"/>
      <c r="I3" s="9193"/>
      <c r="J3" s="9193"/>
      <c r="K3" s="9193"/>
      <c r="L3" s="9193"/>
      <c r="M3" s="9193"/>
      <c r="N3" s="9193"/>
      <c r="O3" s="9193"/>
      <c r="P3" s="9193"/>
      <c r="Q3" s="9193"/>
      <c r="R3" s="9193"/>
      <c r="S3" s="9193"/>
      <c r="T3" s="9193"/>
      <c r="U3" s="9193"/>
      <c r="V3" s="9193"/>
      <c r="W3" s="9193"/>
      <c r="X3" s="9193"/>
      <c r="Y3" s="9193"/>
      <c r="Z3" s="9193"/>
      <c r="AA3" s="9194"/>
      <c r="AB3" s="7849">
        <f>TaxYear</f>
        <v>2025</v>
      </c>
      <c r="AC3" s="7850"/>
      <c r="AD3" s="7850"/>
      <c r="AE3" s="7850"/>
      <c r="AF3" s="7850"/>
      <c r="AG3" s="7850"/>
      <c r="AH3" s="1277"/>
      <c r="AJ3" s="2875"/>
    </row>
    <row r="4" spans="1:51" ht="19.5" customHeight="1">
      <c r="A4" s="1277"/>
      <c r="B4" s="7922"/>
      <c r="C4" s="7923"/>
      <c r="D4" s="7923"/>
      <c r="E4" s="7923"/>
      <c r="F4" s="7924"/>
      <c r="G4" s="11664" t="s">
        <v>4747</v>
      </c>
      <c r="H4" s="8346"/>
      <c r="I4" s="8346"/>
      <c r="J4" s="8346"/>
      <c r="K4" s="8346"/>
      <c r="L4" s="8346"/>
      <c r="M4" s="8346"/>
      <c r="N4" s="8346"/>
      <c r="O4" s="8346"/>
      <c r="P4" s="8346"/>
      <c r="Q4" s="8346"/>
      <c r="R4" s="8346"/>
      <c r="S4" s="8346"/>
      <c r="T4" s="8346"/>
      <c r="U4" s="8346"/>
      <c r="V4" s="8346"/>
      <c r="W4" s="8346"/>
      <c r="X4" s="8346"/>
      <c r="Y4" s="8346"/>
      <c r="Z4" s="8346"/>
      <c r="AA4" s="11665"/>
      <c r="AB4" s="7851"/>
      <c r="AC4" s="7589"/>
      <c r="AD4" s="7589"/>
      <c r="AE4" s="7589"/>
      <c r="AF4" s="7589"/>
      <c r="AG4" s="7589"/>
      <c r="AH4" s="1277"/>
      <c r="AJ4" s="2875"/>
      <c r="AL4" s="1224">
        <v>197300</v>
      </c>
    </row>
    <row r="5" spans="1:51" ht="14.25" customHeight="1">
      <c r="A5" s="1277"/>
      <c r="B5" s="7929" t="s">
        <v>503</v>
      </c>
      <c r="C5" s="7929"/>
      <c r="D5" s="7929"/>
      <c r="E5" s="7929"/>
      <c r="F5" s="7930"/>
      <c r="G5" s="341"/>
      <c r="H5" s="253"/>
      <c r="I5" s="253"/>
      <c r="J5" s="253"/>
      <c r="K5" s="253"/>
      <c r="L5" s="253"/>
      <c r="M5" s="253"/>
      <c r="N5" s="253"/>
      <c r="O5" s="253"/>
      <c r="P5" s="817"/>
      <c r="Q5" s="817" t="s">
        <v>3474</v>
      </c>
      <c r="R5" s="253"/>
      <c r="S5" s="253"/>
      <c r="T5" s="253"/>
      <c r="U5" s="253"/>
      <c r="V5" s="253"/>
      <c r="W5" s="253"/>
      <c r="X5" s="253"/>
      <c r="Y5" s="253"/>
      <c r="Z5" s="253"/>
      <c r="AA5" s="253"/>
      <c r="AB5" s="2877" t="s">
        <v>1055</v>
      </c>
      <c r="AC5" s="2126"/>
      <c r="AD5" s="2878"/>
      <c r="AE5" s="2878"/>
      <c r="AF5" s="11659">
        <v>55</v>
      </c>
      <c r="AG5" s="2878"/>
      <c r="AH5" s="1277"/>
      <c r="AJ5" s="2875"/>
      <c r="AL5" s="6701">
        <v>170050</v>
      </c>
    </row>
    <row r="6" spans="1:51" ht="13.5" thickBot="1">
      <c r="A6" s="1277"/>
      <c r="B6" s="11657" t="s">
        <v>505</v>
      </c>
      <c r="C6" s="11657"/>
      <c r="D6" s="11657"/>
      <c r="E6" s="11657"/>
      <c r="F6" s="11658"/>
      <c r="G6" s="2879" t="s">
        <v>4748</v>
      </c>
      <c r="H6" s="2880"/>
      <c r="I6" s="2879"/>
      <c r="J6" s="2881"/>
      <c r="K6" s="2880"/>
      <c r="L6" s="2880"/>
      <c r="M6" s="2880"/>
      <c r="N6" s="2880"/>
      <c r="O6" s="2880"/>
      <c r="P6" s="2880"/>
      <c r="Q6" s="2880"/>
      <c r="R6" s="2880"/>
      <c r="S6" s="2880"/>
      <c r="T6" s="2880"/>
      <c r="U6" s="2880"/>
      <c r="V6" s="2880"/>
      <c r="W6" s="2880"/>
      <c r="X6" s="2880"/>
      <c r="Y6" s="2880"/>
      <c r="Z6" s="2880"/>
      <c r="AA6" s="2880"/>
      <c r="AB6" s="2882" t="s">
        <v>3082</v>
      </c>
      <c r="AC6" s="2126"/>
      <c r="AD6" s="2883"/>
      <c r="AE6" s="2883"/>
      <c r="AF6" s="11660"/>
      <c r="AG6" s="2883"/>
      <c r="AH6" s="1277"/>
      <c r="AJ6" s="2875"/>
      <c r="AL6" s="1224">
        <v>394600</v>
      </c>
    </row>
    <row r="7" spans="1:51">
      <c r="A7" s="1277"/>
      <c r="B7" s="344" t="s">
        <v>1918</v>
      </c>
      <c r="C7" s="253"/>
      <c r="D7" s="253"/>
      <c r="E7" s="253"/>
      <c r="F7" s="253"/>
      <c r="G7" s="253"/>
      <c r="H7" s="253"/>
      <c r="I7" s="253"/>
      <c r="J7" s="253"/>
      <c r="K7" s="253"/>
      <c r="L7" s="253"/>
      <c r="M7" s="253"/>
      <c r="N7" s="253"/>
      <c r="O7" s="253"/>
      <c r="P7" s="253"/>
      <c r="Q7" s="253"/>
      <c r="R7" s="253"/>
      <c r="S7" s="253"/>
      <c r="T7" s="253"/>
      <c r="U7" s="253"/>
      <c r="V7" s="253"/>
      <c r="W7" s="253"/>
      <c r="X7" s="253"/>
      <c r="Y7" s="2884"/>
      <c r="Z7" s="253"/>
      <c r="AA7" s="253"/>
      <c r="AB7" s="2884"/>
      <c r="AC7" s="2885" t="s">
        <v>4749</v>
      </c>
      <c r="AD7" s="377"/>
      <c r="AE7" s="377"/>
      <c r="AF7" s="377"/>
      <c r="AG7" s="377"/>
      <c r="AH7" s="1277"/>
      <c r="AJ7" s="2875"/>
      <c r="AL7" s="1224">
        <f>IF(File_Marr_Joint&lt;&gt;"",AL6,AL4)</f>
        <v>197300</v>
      </c>
    </row>
    <row r="8" spans="1:51" ht="9.75" customHeight="1">
      <c r="A8" s="1277"/>
      <c r="B8" s="11641" t="str">
        <f>Names</f>
        <v/>
      </c>
      <c r="C8" s="11641"/>
      <c r="D8" s="11641"/>
      <c r="E8" s="11641"/>
      <c r="F8" s="11641"/>
      <c r="G8" s="11641"/>
      <c r="H8" s="11641"/>
      <c r="I8" s="11641"/>
      <c r="J8" s="11641"/>
      <c r="K8" s="11641"/>
      <c r="L8" s="11641"/>
      <c r="M8" s="11641"/>
      <c r="N8" s="11641"/>
      <c r="O8" s="11641"/>
      <c r="P8" s="11641"/>
      <c r="Q8" s="11641"/>
      <c r="R8" s="11641"/>
      <c r="S8" s="11641"/>
      <c r="T8" s="11641"/>
      <c r="U8" s="11641"/>
      <c r="V8" s="11641"/>
      <c r="W8" s="11641"/>
      <c r="X8" s="11642"/>
      <c r="Y8" s="11645">
        <f>IF(NoSSN,"",SS_Yours)</f>
        <v>1010001</v>
      </c>
      <c r="Z8" s="11646"/>
      <c r="AA8" s="11646"/>
      <c r="AB8" s="11646"/>
      <c r="AC8" s="11646"/>
      <c r="AD8" s="11646"/>
      <c r="AE8" s="11646"/>
      <c r="AF8" s="11646"/>
      <c r="AG8" s="11646"/>
      <c r="AH8" s="1277"/>
      <c r="AJ8" s="2875"/>
      <c r="AL8" s="1224">
        <f>SUM(Adj_Gross_Inc,-Deductions)</f>
        <v>0</v>
      </c>
    </row>
    <row r="9" spans="1:51" ht="9.75" customHeight="1">
      <c r="A9" s="1277"/>
      <c r="B9" s="11643"/>
      <c r="C9" s="11643"/>
      <c r="D9" s="11643"/>
      <c r="E9" s="11643"/>
      <c r="F9" s="11643"/>
      <c r="G9" s="11643"/>
      <c r="H9" s="11643"/>
      <c r="I9" s="11643"/>
      <c r="J9" s="11643"/>
      <c r="K9" s="11643"/>
      <c r="L9" s="11643"/>
      <c r="M9" s="11643"/>
      <c r="N9" s="11643"/>
      <c r="O9" s="11643"/>
      <c r="P9" s="11643"/>
      <c r="Q9" s="11643"/>
      <c r="R9" s="11643"/>
      <c r="S9" s="11643"/>
      <c r="T9" s="11643"/>
      <c r="U9" s="11643"/>
      <c r="V9" s="11643"/>
      <c r="W9" s="11643"/>
      <c r="X9" s="11644"/>
      <c r="Y9" s="11647"/>
      <c r="Z9" s="11648"/>
      <c r="AA9" s="11648"/>
      <c r="AB9" s="11648"/>
      <c r="AC9" s="11648"/>
      <c r="AD9" s="11648"/>
      <c r="AE9" s="11648"/>
      <c r="AF9" s="11648"/>
      <c r="AG9" s="11648"/>
      <c r="AH9" s="1277"/>
      <c r="AI9" s="635"/>
      <c r="AJ9" s="2886" t="str">
        <f>IF(AL10,"Hide emphasis.","")</f>
        <v/>
      </c>
      <c r="AL9" s="5061" t="b">
        <f>(AL8&gt;AL7)</f>
        <v>0</v>
      </c>
      <c r="AM9" s="3"/>
    </row>
    <row r="10" spans="1:51" ht="42" customHeight="1">
      <c r="A10" s="1277"/>
      <c r="B10" s="11672" t="s">
        <v>4750</v>
      </c>
      <c r="C10" s="11672"/>
      <c r="D10" s="11672"/>
      <c r="E10" s="11672"/>
      <c r="F10" s="11672"/>
      <c r="G10" s="11672"/>
      <c r="H10" s="11672"/>
      <c r="I10" s="11672"/>
      <c r="J10" s="11672"/>
      <c r="K10" s="11672"/>
      <c r="L10" s="11672"/>
      <c r="M10" s="11672"/>
      <c r="N10" s="11672"/>
      <c r="O10" s="11672"/>
      <c r="P10" s="11672"/>
      <c r="Q10" s="11672"/>
      <c r="R10" s="11672"/>
      <c r="S10" s="11672"/>
      <c r="T10" s="11672"/>
      <c r="U10" s="11672"/>
      <c r="V10" s="11672"/>
      <c r="W10" s="11672"/>
      <c r="X10" s="11672"/>
      <c r="Y10" s="11672"/>
      <c r="Z10" s="11672"/>
      <c r="AA10" s="11672"/>
      <c r="AB10" s="11672"/>
      <c r="AC10" s="11672"/>
      <c r="AD10" s="11672"/>
      <c r="AE10" s="11672"/>
      <c r="AF10" s="11672"/>
      <c r="AG10" s="11672"/>
      <c r="AH10" s="1277"/>
      <c r="AJ10" s="11667" t="str">
        <f>IF(AL10,"Your taxable income, before your QBI deduction, is "&amp;TEXT(AL8,"$0,000")&amp;".","")</f>
        <v/>
      </c>
      <c r="AL10" s="5061" t="b">
        <f>AND(AL11,AL9)</f>
        <v>0</v>
      </c>
    </row>
    <row r="11" spans="1:51" s="138" customFormat="1" ht="30" customHeight="1">
      <c r="A11" s="2888"/>
      <c r="B11" s="11673" t="str">
        <f>"Use this form if your taxable income, before your qualified business income deduction, is at or below "&amp;TEXT(AL4,"$0,000")&amp;" ("&amp;TEXT(AL6,"$0,000")&amp;" if married"&amp;CHAR(10)&amp;"filing jointly), and you aren't a patron of an agricultural or horticultural cooperative."</f>
        <v>Use this form if your taxable income, before your qualified business income deduction, is at or below $197,300 ($394,600 if married
filing jointly), and you aren't a patron of an agricultural or horticultural cooperative.</v>
      </c>
      <c r="C11" s="11674"/>
      <c r="D11" s="11674"/>
      <c r="E11" s="11674"/>
      <c r="F11" s="11674"/>
      <c r="G11" s="11674"/>
      <c r="H11" s="11674"/>
      <c r="I11" s="11674"/>
      <c r="J11" s="11674"/>
      <c r="K11" s="11674"/>
      <c r="L11" s="11674"/>
      <c r="M11" s="11674"/>
      <c r="N11" s="11674"/>
      <c r="O11" s="11674"/>
      <c r="P11" s="11674"/>
      <c r="Q11" s="11674"/>
      <c r="R11" s="11674"/>
      <c r="S11" s="11674"/>
      <c r="T11" s="11674"/>
      <c r="U11" s="11674"/>
      <c r="V11" s="11674"/>
      <c r="W11" s="11674"/>
      <c r="X11" s="11674"/>
      <c r="Y11" s="11674"/>
      <c r="Z11" s="11674"/>
      <c r="AA11" s="11674"/>
      <c r="AB11" s="11674"/>
      <c r="AC11" s="11674"/>
      <c r="AD11" s="11674"/>
      <c r="AE11" s="11674"/>
      <c r="AF11" s="11674"/>
      <c r="AG11" s="11674"/>
      <c r="AH11" s="2888"/>
      <c r="AJ11" s="11667"/>
      <c r="AL11" s="6702" t="b">
        <f>OR(AND(W25&lt;&gt;"",W25&lt;&gt;0),X26&lt;&gt;"",AND(W34&lt;&gt;"",W34&lt;&gt;0))</f>
        <v>0</v>
      </c>
      <c r="AM11" s="4784"/>
      <c r="AO11" s="1398"/>
      <c r="AP11" s="662"/>
      <c r="AQ11" s="662"/>
      <c r="AR11" s="662"/>
      <c r="AS11" s="662"/>
      <c r="AT11" s="662"/>
      <c r="AU11" s="662"/>
      <c r="AV11" s="662"/>
      <c r="AW11" s="662"/>
      <c r="AX11" s="662"/>
      <c r="AY11" s="662"/>
    </row>
    <row r="12" spans="1:51" ht="37.5" customHeight="1">
      <c r="A12" s="1277"/>
      <c r="B12" s="11649" t="s">
        <v>4751</v>
      </c>
      <c r="C12" s="11650"/>
      <c r="D12" s="11651" t="s">
        <v>4752</v>
      </c>
      <c r="E12" s="11652"/>
      <c r="F12" s="11652"/>
      <c r="G12" s="11652"/>
      <c r="H12" s="11652"/>
      <c r="I12" s="11652"/>
      <c r="J12" s="11652"/>
      <c r="K12" s="11652"/>
      <c r="L12" s="11652"/>
      <c r="M12" s="11652"/>
      <c r="N12" s="11652"/>
      <c r="O12" s="11652"/>
      <c r="P12" s="11652"/>
      <c r="Q12" s="11652"/>
      <c r="R12" s="11652"/>
      <c r="S12" s="11652"/>
      <c r="T12" s="11652"/>
      <c r="U12" s="11653"/>
      <c r="V12" s="10041" t="s">
        <v>4753</v>
      </c>
      <c r="W12" s="11654"/>
      <c r="X12" s="11654"/>
      <c r="Y12" s="11654"/>
      <c r="Z12" s="11654"/>
      <c r="AA12" s="11655"/>
      <c r="AB12" s="10041" t="s">
        <v>4754</v>
      </c>
      <c r="AC12" s="11654"/>
      <c r="AD12" s="11654"/>
      <c r="AE12" s="11654"/>
      <c r="AF12" s="11654"/>
      <c r="AG12" s="11654"/>
      <c r="AH12" s="1277"/>
      <c r="AJ12" s="2889"/>
    </row>
    <row r="13" spans="1:51" ht="17.25" customHeight="1">
      <c r="A13" s="1277"/>
      <c r="B13" s="11639" t="s">
        <v>619</v>
      </c>
      <c r="C13" s="9787"/>
      <c r="D13" s="11633"/>
      <c r="E13" s="11634"/>
      <c r="F13" s="11634"/>
      <c r="G13" s="11634"/>
      <c r="H13" s="11634"/>
      <c r="I13" s="11634"/>
      <c r="J13" s="11634"/>
      <c r="K13" s="11634"/>
      <c r="L13" s="11634"/>
      <c r="M13" s="11634"/>
      <c r="N13" s="11634"/>
      <c r="O13" s="11634"/>
      <c r="P13" s="11634"/>
      <c r="Q13" s="11634"/>
      <c r="R13" s="11634"/>
      <c r="S13" s="11634"/>
      <c r="T13" s="11634"/>
      <c r="U13" s="11635"/>
      <c r="V13" s="11178"/>
      <c r="W13" s="11179"/>
      <c r="X13" s="11179"/>
      <c r="Y13" s="11179"/>
      <c r="Z13" s="11179"/>
      <c r="AA13" s="11180"/>
      <c r="AB13" s="9128"/>
      <c r="AC13" s="9788"/>
      <c r="AD13" s="9788"/>
      <c r="AE13" s="9788"/>
      <c r="AF13" s="9788"/>
      <c r="AG13" s="9788"/>
      <c r="AH13" s="1277"/>
      <c r="AJ13" s="2889"/>
    </row>
    <row r="14" spans="1:51" ht="17.25" customHeight="1">
      <c r="A14" s="1277"/>
      <c r="B14" s="9864"/>
      <c r="C14" s="9183"/>
      <c r="D14" s="11636"/>
      <c r="E14" s="11637"/>
      <c r="F14" s="11637"/>
      <c r="G14" s="11637"/>
      <c r="H14" s="11637"/>
      <c r="I14" s="11637"/>
      <c r="J14" s="11637"/>
      <c r="K14" s="11637"/>
      <c r="L14" s="11637"/>
      <c r="M14" s="11637"/>
      <c r="N14" s="11637"/>
      <c r="O14" s="11637"/>
      <c r="P14" s="11637"/>
      <c r="Q14" s="11637"/>
      <c r="R14" s="11637"/>
      <c r="S14" s="11637"/>
      <c r="T14" s="11637"/>
      <c r="U14" s="11638"/>
      <c r="V14" s="11668"/>
      <c r="W14" s="11669"/>
      <c r="X14" s="11669"/>
      <c r="Y14" s="11669"/>
      <c r="Z14" s="11669"/>
      <c r="AA14" s="11670"/>
      <c r="AB14" s="11656"/>
      <c r="AC14" s="10833"/>
      <c r="AD14" s="10833"/>
      <c r="AE14" s="10833"/>
      <c r="AF14" s="10833"/>
      <c r="AG14" s="10833"/>
      <c r="AH14" s="1277"/>
      <c r="AJ14" s="2889"/>
    </row>
    <row r="15" spans="1:51" ht="17.25" customHeight="1">
      <c r="A15" s="1277"/>
      <c r="B15" s="11639" t="s">
        <v>4755</v>
      </c>
      <c r="C15" s="9787"/>
      <c r="D15" s="11633"/>
      <c r="E15" s="11634"/>
      <c r="F15" s="11634"/>
      <c r="G15" s="11634"/>
      <c r="H15" s="11634"/>
      <c r="I15" s="11634"/>
      <c r="J15" s="11634"/>
      <c r="K15" s="11634"/>
      <c r="L15" s="11634"/>
      <c r="M15" s="11634"/>
      <c r="N15" s="11634"/>
      <c r="O15" s="11634"/>
      <c r="P15" s="11634"/>
      <c r="Q15" s="11634"/>
      <c r="R15" s="11634"/>
      <c r="S15" s="11634"/>
      <c r="T15" s="11634"/>
      <c r="U15" s="11635"/>
      <c r="V15" s="11178"/>
      <c r="W15" s="11179"/>
      <c r="X15" s="11179"/>
      <c r="Y15" s="11179"/>
      <c r="Z15" s="11179"/>
      <c r="AA15" s="11180"/>
      <c r="AB15" s="9128"/>
      <c r="AC15" s="9788"/>
      <c r="AD15" s="9788"/>
      <c r="AE15" s="9788"/>
      <c r="AF15" s="9788"/>
      <c r="AG15" s="9788"/>
      <c r="AH15" s="1277"/>
      <c r="AJ15" s="2889"/>
    </row>
    <row r="16" spans="1:51" ht="17.25" customHeight="1">
      <c r="A16" s="1277"/>
      <c r="B16" s="9864"/>
      <c r="C16" s="9183"/>
      <c r="D16" s="11636"/>
      <c r="E16" s="11637"/>
      <c r="F16" s="11637"/>
      <c r="G16" s="11637"/>
      <c r="H16" s="11637"/>
      <c r="I16" s="11637"/>
      <c r="J16" s="11637"/>
      <c r="K16" s="11637"/>
      <c r="L16" s="11637"/>
      <c r="M16" s="11637"/>
      <c r="N16" s="11637"/>
      <c r="O16" s="11637"/>
      <c r="P16" s="11637"/>
      <c r="Q16" s="11637"/>
      <c r="R16" s="11637"/>
      <c r="S16" s="11637"/>
      <c r="T16" s="11637"/>
      <c r="U16" s="11638"/>
      <c r="V16" s="11668"/>
      <c r="W16" s="11669"/>
      <c r="X16" s="11669"/>
      <c r="Y16" s="11669"/>
      <c r="Z16" s="11669"/>
      <c r="AA16" s="11670"/>
      <c r="AB16" s="11671"/>
      <c r="AC16" s="10833"/>
      <c r="AD16" s="10833"/>
      <c r="AE16" s="10833"/>
      <c r="AF16" s="10833"/>
      <c r="AG16" s="10833"/>
      <c r="AH16" s="1277"/>
      <c r="AJ16" s="2889"/>
    </row>
    <row r="17" spans="1:39" ht="17.25" customHeight="1">
      <c r="A17" s="1277"/>
      <c r="B17" s="11639" t="s">
        <v>4756</v>
      </c>
      <c r="C17" s="9787"/>
      <c r="D17" s="11633"/>
      <c r="E17" s="11634"/>
      <c r="F17" s="11634"/>
      <c r="G17" s="11634"/>
      <c r="H17" s="11634"/>
      <c r="I17" s="11634"/>
      <c r="J17" s="11634"/>
      <c r="K17" s="11634"/>
      <c r="L17" s="11634"/>
      <c r="M17" s="11634"/>
      <c r="N17" s="11634"/>
      <c r="O17" s="11634"/>
      <c r="P17" s="11634"/>
      <c r="Q17" s="11634"/>
      <c r="R17" s="11634"/>
      <c r="S17" s="11634"/>
      <c r="T17" s="11634"/>
      <c r="U17" s="11635"/>
      <c r="V17" s="11178"/>
      <c r="W17" s="11179"/>
      <c r="X17" s="11179"/>
      <c r="Y17" s="11179"/>
      <c r="Z17" s="11179"/>
      <c r="AA17" s="11180"/>
      <c r="AB17" s="9128"/>
      <c r="AC17" s="9788"/>
      <c r="AD17" s="9788"/>
      <c r="AE17" s="9788"/>
      <c r="AF17" s="9788"/>
      <c r="AG17" s="9788"/>
      <c r="AH17" s="1277"/>
      <c r="AJ17" s="2889"/>
    </row>
    <row r="18" spans="1:39" ht="17.25" customHeight="1">
      <c r="A18" s="1277"/>
      <c r="B18" s="9864"/>
      <c r="C18" s="9183"/>
      <c r="D18" s="11636"/>
      <c r="E18" s="11637"/>
      <c r="F18" s="11637"/>
      <c r="G18" s="11637"/>
      <c r="H18" s="11637"/>
      <c r="I18" s="11637"/>
      <c r="J18" s="11637"/>
      <c r="K18" s="11637"/>
      <c r="L18" s="11637"/>
      <c r="M18" s="11637"/>
      <c r="N18" s="11637"/>
      <c r="O18" s="11637"/>
      <c r="P18" s="11637"/>
      <c r="Q18" s="11637"/>
      <c r="R18" s="11637"/>
      <c r="S18" s="11637"/>
      <c r="T18" s="11637"/>
      <c r="U18" s="11638"/>
      <c r="V18" s="11668"/>
      <c r="W18" s="11669"/>
      <c r="X18" s="11669"/>
      <c r="Y18" s="11669"/>
      <c r="Z18" s="11669"/>
      <c r="AA18" s="11670"/>
      <c r="AB18" s="11671"/>
      <c r="AC18" s="10833"/>
      <c r="AD18" s="10833"/>
      <c r="AE18" s="10833"/>
      <c r="AF18" s="10833"/>
      <c r="AG18" s="10833"/>
      <c r="AH18" s="1277"/>
      <c r="AJ18" s="2889"/>
    </row>
    <row r="19" spans="1:39" ht="17.25" customHeight="1">
      <c r="A19" s="1277"/>
      <c r="B19" s="11639" t="s">
        <v>4757</v>
      </c>
      <c r="C19" s="9787"/>
      <c r="D19" s="11633"/>
      <c r="E19" s="11634"/>
      <c r="F19" s="11634"/>
      <c r="G19" s="11634"/>
      <c r="H19" s="11634"/>
      <c r="I19" s="11634"/>
      <c r="J19" s="11634"/>
      <c r="K19" s="11634"/>
      <c r="L19" s="11634"/>
      <c r="M19" s="11634"/>
      <c r="N19" s="11634"/>
      <c r="O19" s="11634"/>
      <c r="P19" s="11634"/>
      <c r="Q19" s="11634"/>
      <c r="R19" s="11634"/>
      <c r="S19" s="11634"/>
      <c r="T19" s="11634"/>
      <c r="U19" s="11635"/>
      <c r="V19" s="11178"/>
      <c r="W19" s="11179"/>
      <c r="X19" s="11179"/>
      <c r="Y19" s="11179"/>
      <c r="Z19" s="11179"/>
      <c r="AA19" s="11180"/>
      <c r="AB19" s="9128"/>
      <c r="AC19" s="9788"/>
      <c r="AD19" s="9788"/>
      <c r="AE19" s="9788"/>
      <c r="AF19" s="9788"/>
      <c r="AG19" s="9788"/>
      <c r="AH19" s="1277"/>
      <c r="AJ19" s="2889"/>
    </row>
    <row r="20" spans="1:39" ht="17.25" customHeight="1">
      <c r="A20" s="1277"/>
      <c r="B20" s="9864"/>
      <c r="C20" s="9183"/>
      <c r="D20" s="11636"/>
      <c r="E20" s="11637"/>
      <c r="F20" s="11637"/>
      <c r="G20" s="11637"/>
      <c r="H20" s="11637"/>
      <c r="I20" s="11637"/>
      <c r="J20" s="11637"/>
      <c r="K20" s="11637"/>
      <c r="L20" s="11637"/>
      <c r="M20" s="11637"/>
      <c r="N20" s="11637"/>
      <c r="O20" s="11637"/>
      <c r="P20" s="11637"/>
      <c r="Q20" s="11637"/>
      <c r="R20" s="11637"/>
      <c r="S20" s="11637"/>
      <c r="T20" s="11637"/>
      <c r="U20" s="11638"/>
      <c r="V20" s="11668"/>
      <c r="W20" s="11669"/>
      <c r="X20" s="11669"/>
      <c r="Y20" s="11669"/>
      <c r="Z20" s="11669"/>
      <c r="AA20" s="11670"/>
      <c r="AB20" s="11671"/>
      <c r="AC20" s="10833"/>
      <c r="AD20" s="10833"/>
      <c r="AE20" s="10833"/>
      <c r="AF20" s="10833"/>
      <c r="AG20" s="10833"/>
      <c r="AH20" s="1277"/>
      <c r="AJ20" s="7562" t="s">
        <v>585</v>
      </c>
    </row>
    <row r="21" spans="1:39" ht="17.25" customHeight="1">
      <c r="A21" s="1277"/>
      <c r="B21" s="11639" t="s">
        <v>4758</v>
      </c>
      <c r="C21" s="9787"/>
      <c r="D21" s="11633"/>
      <c r="E21" s="11634"/>
      <c r="F21" s="11634"/>
      <c r="G21" s="11634"/>
      <c r="H21" s="11634"/>
      <c r="I21" s="11634"/>
      <c r="J21" s="11634"/>
      <c r="K21" s="11634"/>
      <c r="L21" s="11634"/>
      <c r="M21" s="11634"/>
      <c r="N21" s="11634"/>
      <c r="O21" s="11634"/>
      <c r="P21" s="11634"/>
      <c r="Q21" s="11634"/>
      <c r="R21" s="11634"/>
      <c r="S21" s="11634"/>
      <c r="T21" s="11634"/>
      <c r="U21" s="11635"/>
      <c r="V21" s="11178"/>
      <c r="W21" s="11179"/>
      <c r="X21" s="11179"/>
      <c r="Y21" s="11179"/>
      <c r="Z21" s="11179"/>
      <c r="AA21" s="11180"/>
      <c r="AB21" s="9128"/>
      <c r="AC21" s="9788"/>
      <c r="AD21" s="9788"/>
      <c r="AE21" s="9788"/>
      <c r="AF21" s="9788"/>
      <c r="AG21" s="9788"/>
      <c r="AH21" s="1277"/>
      <c r="AJ21" s="7563"/>
    </row>
    <row r="22" spans="1:39" ht="17.25" customHeight="1">
      <c r="A22" s="1277"/>
      <c r="B22" s="9864"/>
      <c r="C22" s="9183"/>
      <c r="D22" s="11636"/>
      <c r="E22" s="11637"/>
      <c r="F22" s="11637"/>
      <c r="G22" s="11637"/>
      <c r="H22" s="11637"/>
      <c r="I22" s="11637"/>
      <c r="J22" s="11637"/>
      <c r="K22" s="11637"/>
      <c r="L22" s="11637"/>
      <c r="M22" s="11637"/>
      <c r="N22" s="11637"/>
      <c r="O22" s="11637"/>
      <c r="P22" s="11637"/>
      <c r="Q22" s="11637"/>
      <c r="R22" s="11637"/>
      <c r="S22" s="11637"/>
      <c r="T22" s="11637"/>
      <c r="U22" s="11638"/>
      <c r="V22" s="11668"/>
      <c r="W22" s="11669"/>
      <c r="X22" s="11669"/>
      <c r="Y22" s="11669"/>
      <c r="Z22" s="11669"/>
      <c r="AA22" s="11670"/>
      <c r="AB22" s="11671"/>
      <c r="AC22" s="10833"/>
      <c r="AD22" s="10833"/>
      <c r="AE22" s="10833"/>
      <c r="AF22" s="10833"/>
      <c r="AG22" s="10833"/>
      <c r="AH22" s="1277"/>
      <c r="AJ22" s="7564"/>
    </row>
    <row r="23" spans="1:39" ht="14.25" customHeight="1">
      <c r="A23" s="1277"/>
      <c r="B23" s="1218"/>
      <c r="C23" s="2373"/>
      <c r="D23" s="253"/>
      <c r="E23" s="253"/>
      <c r="F23" s="817"/>
      <c r="G23" s="344"/>
      <c r="H23" s="253"/>
      <c r="I23" s="253"/>
      <c r="J23" s="253"/>
      <c r="K23" s="253"/>
      <c r="L23" s="253"/>
      <c r="M23" s="253"/>
      <c r="N23" s="253"/>
      <c r="O23" s="253"/>
      <c r="P23" s="253"/>
      <c r="Q23" s="253"/>
      <c r="R23" s="253"/>
      <c r="S23" s="253"/>
      <c r="T23" s="253"/>
      <c r="U23" s="253"/>
      <c r="V23" s="2890"/>
      <c r="W23" s="2891"/>
      <c r="X23" s="2892"/>
      <c r="Y23" s="2892"/>
      <c r="Z23" s="2892"/>
      <c r="AA23" s="2892"/>
      <c r="AB23" s="2893"/>
      <c r="AC23" s="11627" t="str">
        <f>IF(AND(AM27,AH23=""),"OBBBA: A minimum deduction of "&amp;TEXT(AM26,"$0")&amp;" is available for those with &gt;= "&amp;TEXT(AM25,"$0,000")&amp;" of QBI.","")</f>
        <v/>
      </c>
      <c r="AD23" s="11628"/>
      <c r="AE23" s="11628"/>
      <c r="AF23" s="11628"/>
      <c r="AG23" s="11628"/>
      <c r="AH23" s="5596"/>
      <c r="AI23" s="1" t="str">
        <f>IF(AM27," Hide note.","")</f>
        <v/>
      </c>
      <c r="AJ23" s="2875"/>
    </row>
    <row r="24" spans="1:39" ht="14.25" customHeight="1">
      <c r="A24" s="1277"/>
      <c r="B24" s="9029">
        <v>2</v>
      </c>
      <c r="C24" s="9478"/>
      <c r="D24" s="1323" t="s">
        <v>4759</v>
      </c>
      <c r="E24" s="253"/>
      <c r="F24" s="817"/>
      <c r="G24" s="344"/>
      <c r="H24" s="253"/>
      <c r="I24" s="253"/>
      <c r="J24" s="253"/>
      <c r="K24" s="253"/>
      <c r="L24" s="253"/>
      <c r="M24" s="253"/>
      <c r="N24" s="253"/>
      <c r="O24" s="253"/>
      <c r="P24" s="253"/>
      <c r="Q24" s="253"/>
      <c r="R24" s="253"/>
      <c r="S24" s="253"/>
      <c r="T24" s="253"/>
      <c r="U24" s="253"/>
      <c r="V24" s="726"/>
      <c r="W24" s="2018"/>
      <c r="X24" s="349"/>
      <c r="Y24" s="349"/>
      <c r="Z24" s="349"/>
      <c r="AA24" s="349"/>
      <c r="AB24" s="2894"/>
      <c r="AC24" s="11629"/>
      <c r="AD24" s="11630"/>
      <c r="AE24" s="11630"/>
      <c r="AF24" s="11630"/>
      <c r="AG24" s="11630"/>
      <c r="AH24" s="1277"/>
      <c r="AJ24" s="2875"/>
      <c r="AL24" s="4451" t="b">
        <f>OR(AJ25&lt;&gt;"",SUM(AB14,AB16,AB18,AB20,AB22)&lt;&gt;0)</f>
        <v>0</v>
      </c>
    </row>
    <row r="25" spans="1:39" ht="14.25" customHeight="1">
      <c r="A25" s="1277"/>
      <c r="B25" s="9029"/>
      <c r="C25" s="9478"/>
      <c r="D25" s="1323" t="s">
        <v>4760</v>
      </c>
      <c r="E25" s="253"/>
      <c r="F25" s="817"/>
      <c r="G25" s="344"/>
      <c r="H25" s="253"/>
      <c r="I25" s="253"/>
      <c r="J25" s="253"/>
      <c r="K25" s="253"/>
      <c r="L25" s="253"/>
      <c r="M25" s="253"/>
      <c r="N25" s="253"/>
      <c r="O25" s="253"/>
      <c r="P25" s="253"/>
      <c r="Q25" s="253"/>
      <c r="R25" s="253"/>
      <c r="S25" s="253"/>
      <c r="T25" s="253"/>
      <c r="U25" s="1401" t="s">
        <v>872</v>
      </c>
      <c r="V25" s="2895">
        <v>2</v>
      </c>
      <c r="W25" s="11618" t="str">
        <f>IF(AL24,IF(AJ25&lt;&gt;"",ROUND(AJ25,0),SUM(ROUND(AB14,0),ROUND(AB16,0),ROUND(AB18,0),ROUND(AB20,0),ROUND(AB22,0))),"")</f>
        <v/>
      </c>
      <c r="X25" s="11631"/>
      <c r="Y25" s="11631"/>
      <c r="Z25" s="11631"/>
      <c r="AA25" s="11632"/>
      <c r="AB25" s="2894"/>
      <c r="AC25" s="11629"/>
      <c r="AD25" s="11630"/>
      <c r="AE25" s="11630"/>
      <c r="AF25" s="11630"/>
      <c r="AG25" s="11630"/>
      <c r="AH25" s="1277"/>
      <c r="AJ25" s="777"/>
      <c r="AM25" s="1250">
        <v>1000</v>
      </c>
    </row>
    <row r="26" spans="1:39" ht="14.25" customHeight="1">
      <c r="A26" s="1277"/>
      <c r="B26" s="9029">
        <v>3</v>
      </c>
      <c r="C26" s="9478"/>
      <c r="D26" s="1323" t="s">
        <v>4761</v>
      </c>
      <c r="E26" s="253"/>
      <c r="F26" s="817"/>
      <c r="G26" s="344"/>
      <c r="H26" s="253"/>
      <c r="I26" s="253"/>
      <c r="J26" s="253"/>
      <c r="K26" s="253"/>
      <c r="L26" s="253"/>
      <c r="M26" s="253"/>
      <c r="N26" s="253"/>
      <c r="O26" s="253"/>
      <c r="P26" s="253"/>
      <c r="Q26" s="253"/>
      <c r="R26" s="253"/>
      <c r="S26" s="253"/>
      <c r="T26" s="253"/>
      <c r="U26" s="1401" t="s">
        <v>875</v>
      </c>
      <c r="V26" s="2895">
        <v>3</v>
      </c>
      <c r="W26" s="2896" t="s">
        <v>799</v>
      </c>
      <c r="X26" s="11640"/>
      <c r="Y26" s="11640"/>
      <c r="Z26" s="11640"/>
      <c r="AA26" s="2897" t="s">
        <v>800</v>
      </c>
      <c r="AB26" s="2894"/>
      <c r="AC26" s="11629"/>
      <c r="AD26" s="11630"/>
      <c r="AE26" s="11630"/>
      <c r="AF26" s="11630"/>
      <c r="AG26" s="11630"/>
      <c r="AH26" s="1277"/>
      <c r="AJ26" s="2875"/>
      <c r="AL26" s="4451" t="b">
        <f>X26&lt;&gt;""</f>
        <v>0</v>
      </c>
      <c r="AM26" s="1250">
        <v>400</v>
      </c>
    </row>
    <row r="27" spans="1:39" ht="14.25" customHeight="1">
      <c r="A27" s="1277"/>
      <c r="B27" s="9029">
        <v>4</v>
      </c>
      <c r="C27" s="9478"/>
      <c r="D27" s="511" t="s">
        <v>4762</v>
      </c>
      <c r="E27" s="253"/>
      <c r="F27" s="817"/>
      <c r="G27" s="344"/>
      <c r="H27" s="253"/>
      <c r="I27" s="253"/>
      <c r="J27" s="253"/>
      <c r="K27" s="253"/>
      <c r="L27" s="253"/>
      <c r="M27" s="253"/>
      <c r="N27" s="253"/>
      <c r="O27" s="253"/>
      <c r="P27" s="253"/>
      <c r="Q27" s="253"/>
      <c r="R27" s="253"/>
      <c r="S27" s="253"/>
      <c r="T27" s="253"/>
      <c r="U27" s="253"/>
      <c r="V27" s="2895">
        <v>4</v>
      </c>
      <c r="W27" s="11615" t="str">
        <f>IF(AL27,MAX(0,SUM(W25,-ROUND(X26,0))),"")</f>
        <v/>
      </c>
      <c r="X27" s="11625"/>
      <c r="Y27" s="11625"/>
      <c r="Z27" s="11625"/>
      <c r="AA27" s="11625"/>
      <c r="AB27" s="2894"/>
      <c r="AC27" s="11626">
        <v>0.2</v>
      </c>
      <c r="AD27" s="9517"/>
      <c r="AE27" s="9517"/>
      <c r="AF27" s="9517"/>
      <c r="AG27" s="9517"/>
      <c r="AH27" s="1277"/>
      <c r="AJ27" s="2875"/>
      <c r="AL27" s="4451" t="b">
        <f>OR(AND(W25&lt;&gt;"",W25&gt;=0),X26&lt;&gt;"")</f>
        <v>0</v>
      </c>
      <c r="AM27" s="304" t="b">
        <f>AND(W27&gt;=AM25,W27&lt;2*AM25,TaxYear&gt;2025)</f>
        <v>0</v>
      </c>
    </row>
    <row r="28" spans="1:39" ht="14.25" customHeight="1">
      <c r="A28" s="1277"/>
      <c r="B28" s="9029">
        <v>5</v>
      </c>
      <c r="C28" s="9478"/>
      <c r="D28" s="511" t="str">
        <f>"Qualified business income component. Multiply line 4 by "&amp;TEXT(AC27,"0%")&amp;" ("&amp;TEXT(AC27,"0.00"&amp;")")</f>
        <v>Qualified business income component. Multiply line 4 by 20% (0.20)</v>
      </c>
      <c r="E28" s="253"/>
      <c r="F28" s="817"/>
      <c r="G28" s="344"/>
      <c r="H28" s="253"/>
      <c r="I28" s="253"/>
      <c r="J28" s="253"/>
      <c r="K28" s="253"/>
      <c r="L28" s="253"/>
      <c r="M28" s="253"/>
      <c r="N28" s="253"/>
      <c r="O28" s="253"/>
      <c r="P28" s="253"/>
      <c r="Q28" s="253"/>
      <c r="R28" s="253"/>
      <c r="S28" s="253"/>
      <c r="T28" s="253"/>
      <c r="U28" s="253"/>
      <c r="V28" s="1039"/>
      <c r="W28" s="253"/>
      <c r="X28" s="253"/>
      <c r="Y28" s="253"/>
      <c r="Z28" s="253"/>
      <c r="AA28" s="1401" t="s">
        <v>816</v>
      </c>
      <c r="AB28" s="2895">
        <v>5</v>
      </c>
      <c r="AC28" s="11617" t="str">
        <f>IF(AJ28&lt;&gt;"",ROUND(AJ28,0),IF(AND(AL11,AL28,AM27),MAX(AM26,ROUND(W27*AC27,0)),IF(AND(AL11,AL28),ROUND(W27*AC27,0),"")))</f>
        <v/>
      </c>
      <c r="AD28" s="11125"/>
      <c r="AE28" s="11125"/>
      <c r="AF28" s="11125"/>
      <c r="AG28" s="11125"/>
      <c r="AH28" s="1277"/>
      <c r="AJ28" s="777"/>
      <c r="AL28" s="1224" t="b">
        <f>OR(AJ28&lt;&gt;"",W27&lt;&gt;"")</f>
        <v>0</v>
      </c>
    </row>
    <row r="29" spans="1:39" ht="14.25" customHeight="1">
      <c r="A29" s="1277"/>
      <c r="B29" s="9029">
        <v>6</v>
      </c>
      <c r="C29" s="9478"/>
      <c r="D29" s="511" t="s">
        <v>4763</v>
      </c>
      <c r="E29" s="253"/>
      <c r="F29" s="817"/>
      <c r="G29" s="344"/>
      <c r="H29" s="253"/>
      <c r="I29" s="253"/>
      <c r="J29" s="253"/>
      <c r="K29" s="253"/>
      <c r="L29" s="253"/>
      <c r="M29" s="253"/>
      <c r="N29" s="253"/>
      <c r="O29" s="253"/>
      <c r="P29" s="253"/>
      <c r="Q29" s="253"/>
      <c r="R29" s="253"/>
      <c r="S29" s="253"/>
      <c r="T29" s="253"/>
      <c r="U29" s="253"/>
      <c r="V29" s="726"/>
      <c r="W29" s="2018"/>
      <c r="X29" s="349"/>
      <c r="Y29" s="349"/>
      <c r="Z29" s="349"/>
      <c r="AA29" s="349"/>
      <c r="AB29" s="2893"/>
      <c r="AC29" s="2018"/>
      <c r="AD29" s="349"/>
      <c r="AE29" s="349"/>
      <c r="AF29" s="349"/>
      <c r="AG29" s="349"/>
      <c r="AH29" s="1277"/>
      <c r="AJ29" s="2875"/>
      <c r="AM29" s="314" t="s">
        <v>5195</v>
      </c>
    </row>
    <row r="30" spans="1:39" ht="14.25" customHeight="1">
      <c r="A30" s="1277"/>
      <c r="B30" s="9029"/>
      <c r="C30" s="9478"/>
      <c r="D30" s="511" t="s">
        <v>2018</v>
      </c>
      <c r="E30" s="253"/>
      <c r="F30" s="817"/>
      <c r="G30" s="344"/>
      <c r="H30" s="253"/>
      <c r="I30" s="253"/>
      <c r="J30" s="253"/>
      <c r="K30" s="253"/>
      <c r="L30" s="253"/>
      <c r="M30" s="253"/>
      <c r="N30" s="253"/>
      <c r="O30" s="253"/>
      <c r="P30" s="253"/>
      <c r="Q30" s="253"/>
      <c r="R30" s="253"/>
      <c r="S30" s="253"/>
      <c r="T30" s="253"/>
      <c r="U30" s="1401" t="s">
        <v>1859</v>
      </c>
      <c r="V30" s="2895">
        <v>6</v>
      </c>
      <c r="W30" s="11617" t="str">
        <f>IF(AJ30&lt;&gt;"",ROUND(AJ30,0),IF(AL30,Sect199ADividends,""))</f>
        <v/>
      </c>
      <c r="X30" s="11125"/>
      <c r="Y30" s="11125"/>
      <c r="Z30" s="11125"/>
      <c r="AA30" s="11125"/>
      <c r="AB30" s="2894"/>
      <c r="AC30" s="2018"/>
      <c r="AD30" s="349"/>
      <c r="AE30" s="349"/>
      <c r="AF30" s="349"/>
      <c r="AG30" s="349"/>
      <c r="AH30" s="1277"/>
      <c r="AJ30" s="777"/>
      <c r="AL30" s="1224" t="b">
        <f>AND(NOT(AL9),OR(AJ30&lt;&gt;"",AND(Sect199ADividends&lt;&gt;"",Sect199ADividends&gt;0)))</f>
        <v>0</v>
      </c>
      <c r="AM30" s="185" t="s">
        <v>5196</v>
      </c>
    </row>
    <row r="31" spans="1:39" ht="14.25" customHeight="1">
      <c r="A31" s="1277"/>
      <c r="B31" s="9029">
        <v>7</v>
      </c>
      <c r="C31" s="9478"/>
      <c r="D31" s="511" t="s">
        <v>4764</v>
      </c>
      <c r="E31" s="253"/>
      <c r="F31" s="817"/>
      <c r="G31" s="344"/>
      <c r="H31" s="253"/>
      <c r="I31" s="253"/>
      <c r="J31" s="253"/>
      <c r="K31" s="253"/>
      <c r="L31" s="253"/>
      <c r="M31" s="253"/>
      <c r="N31" s="253"/>
      <c r="O31" s="253"/>
      <c r="P31" s="253"/>
      <c r="Q31" s="253"/>
      <c r="R31" s="253"/>
      <c r="S31" s="253"/>
      <c r="T31" s="253"/>
      <c r="U31" s="253"/>
      <c r="V31" s="726"/>
      <c r="W31" s="2018"/>
      <c r="X31" s="349"/>
      <c r="Y31" s="349"/>
      <c r="Z31" s="349"/>
      <c r="AA31" s="349"/>
      <c r="AB31" s="2894"/>
      <c r="AC31" s="2018"/>
      <c r="AD31" s="349"/>
      <c r="AE31" s="349"/>
      <c r="AF31" s="349"/>
      <c r="AG31" s="349"/>
      <c r="AH31" s="1277"/>
      <c r="AJ31" s="2875"/>
    </row>
    <row r="32" spans="1:39" ht="14.25" customHeight="1">
      <c r="A32" s="1277"/>
      <c r="B32" s="9029"/>
      <c r="C32" s="9478"/>
      <c r="D32" s="1323" t="s">
        <v>2550</v>
      </c>
      <c r="E32" s="253"/>
      <c r="F32" s="817"/>
      <c r="G32" s="344"/>
      <c r="H32" s="253"/>
      <c r="I32" s="253"/>
      <c r="J32" s="253"/>
      <c r="K32" s="253"/>
      <c r="L32" s="253"/>
      <c r="M32" s="253"/>
      <c r="N32" s="253"/>
      <c r="O32" s="253"/>
      <c r="P32" s="253"/>
      <c r="Q32" s="253"/>
      <c r="R32" s="253"/>
      <c r="S32" s="253"/>
      <c r="T32" s="253"/>
      <c r="U32" s="1401" t="s">
        <v>871</v>
      </c>
      <c r="V32" s="2895">
        <v>7</v>
      </c>
      <c r="W32" s="2896" t="s">
        <v>799</v>
      </c>
      <c r="X32" s="10833"/>
      <c r="Y32" s="10833"/>
      <c r="Z32" s="10833"/>
      <c r="AA32" s="2897" t="s">
        <v>800</v>
      </c>
      <c r="AB32" s="2894"/>
      <c r="AC32" s="2018"/>
      <c r="AD32" s="349"/>
      <c r="AE32" s="349"/>
      <c r="AF32" s="349"/>
      <c r="AG32" s="349"/>
      <c r="AH32" s="1277"/>
      <c r="AJ32" s="2875"/>
    </row>
    <row r="33" spans="1:39" ht="14.25" customHeight="1">
      <c r="A33" s="1277"/>
      <c r="B33" s="9029">
        <v>8</v>
      </c>
      <c r="C33" s="9478"/>
      <c r="D33" s="511" t="s">
        <v>4765</v>
      </c>
      <c r="E33" s="253"/>
      <c r="F33" s="817"/>
      <c r="G33" s="344"/>
      <c r="H33" s="253"/>
      <c r="I33" s="253"/>
      <c r="J33" s="253"/>
      <c r="K33" s="253"/>
      <c r="L33" s="253"/>
      <c r="M33" s="253"/>
      <c r="N33" s="253"/>
      <c r="O33" s="253"/>
      <c r="P33" s="253"/>
      <c r="Q33" s="253"/>
      <c r="R33" s="253"/>
      <c r="S33" s="253"/>
      <c r="T33" s="253"/>
      <c r="U33" s="253"/>
      <c r="V33" s="726"/>
      <c r="W33" s="11622">
        <f>IF(X32&gt;0,-X32,X32)</f>
        <v>0</v>
      </c>
      <c r="X33" s="11623"/>
      <c r="Y33" s="11623"/>
      <c r="Z33" s="11623"/>
      <c r="AA33" s="11624"/>
      <c r="AB33" s="2894"/>
      <c r="AC33" s="2018"/>
      <c r="AD33" s="349"/>
      <c r="AE33" s="349"/>
      <c r="AF33" s="349"/>
      <c r="AG33" s="349"/>
      <c r="AH33" s="1277"/>
      <c r="AJ33" s="2875"/>
    </row>
    <row r="34" spans="1:39" ht="14.25" customHeight="1">
      <c r="A34" s="1277"/>
      <c r="B34" s="9029"/>
      <c r="C34" s="9478"/>
      <c r="D34" s="511" t="s">
        <v>4766</v>
      </c>
      <c r="E34" s="253"/>
      <c r="F34" s="817"/>
      <c r="G34" s="344"/>
      <c r="H34" s="253"/>
      <c r="I34" s="253"/>
      <c r="J34" s="253"/>
      <c r="K34" s="253"/>
      <c r="L34" s="253"/>
      <c r="M34" s="253"/>
      <c r="N34" s="253"/>
      <c r="O34" s="253"/>
      <c r="P34" s="253"/>
      <c r="Q34" s="253"/>
      <c r="R34" s="253"/>
      <c r="S34" s="253"/>
      <c r="T34" s="253"/>
      <c r="U34" s="1401" t="s">
        <v>1859</v>
      </c>
      <c r="V34" s="2895">
        <v>8</v>
      </c>
      <c r="W34" s="11617" t="str">
        <f>IF(AL34,IF(AJ34&lt;&gt;"",ROUND(AJ34,0),MAX(0,SUM(W30,W33))),"")</f>
        <v/>
      </c>
      <c r="X34" s="11125"/>
      <c r="Y34" s="11125"/>
      <c r="Z34" s="11125"/>
      <c r="AA34" s="11125"/>
      <c r="AB34" s="2894"/>
      <c r="AC34" s="2018"/>
      <c r="AD34" s="349"/>
      <c r="AE34" s="349"/>
      <c r="AF34" s="349"/>
      <c r="AG34" s="349"/>
      <c r="AH34" s="1277"/>
      <c r="AJ34" s="777"/>
      <c r="AL34" s="1224" t="b">
        <f>OR(AJ34&lt;&gt;"",AND(W30&lt;&gt;"",W30&lt;&gt;0),AND(W33&lt;&gt;"",W33&lt;&gt;0))</f>
        <v>0</v>
      </c>
      <c r="AM34" s="6704">
        <f>Adj_Gross_Inc</f>
        <v>0</v>
      </c>
    </row>
    <row r="35" spans="1:39" ht="14.25" customHeight="1">
      <c r="A35" s="1277"/>
      <c r="B35" s="9029">
        <v>9</v>
      </c>
      <c r="C35" s="9478"/>
      <c r="D35" s="511" t="str">
        <f>"REIT and PTP component. Multiply line 8 by "&amp;TEXT(AC27,"0%")&amp;" ("&amp;TEXT(AC27,"0.00")&amp;")"</f>
        <v>REIT and PTP component. Multiply line 8 by 20% (0.20)</v>
      </c>
      <c r="E35" s="253"/>
      <c r="F35" s="817"/>
      <c r="G35" s="344"/>
      <c r="H35" s="253"/>
      <c r="I35" s="253"/>
      <c r="J35" s="253"/>
      <c r="K35" s="253"/>
      <c r="L35" s="253"/>
      <c r="M35" s="253"/>
      <c r="N35" s="253"/>
      <c r="O35" s="253"/>
      <c r="P35" s="253"/>
      <c r="Q35" s="253"/>
      <c r="R35" s="253"/>
      <c r="S35" s="253"/>
      <c r="T35" s="253"/>
      <c r="U35" s="253"/>
      <c r="V35" s="1039"/>
      <c r="W35" s="253"/>
      <c r="X35" s="253"/>
      <c r="Y35" s="253"/>
      <c r="Z35" s="253"/>
      <c r="AA35" s="1401" t="s">
        <v>811</v>
      </c>
      <c r="AB35" s="2895">
        <v>9</v>
      </c>
      <c r="AC35" s="11617" t="str">
        <f>IF(AL35,ROUND(W34*AC27,0),IF(AC28&lt;&gt;"",0,""))</f>
        <v/>
      </c>
      <c r="AD35" s="11125"/>
      <c r="AE35" s="11125"/>
      <c r="AF35" s="11125"/>
      <c r="AG35" s="11125"/>
      <c r="AH35" s="1277"/>
      <c r="AJ35" s="2875"/>
      <c r="AL35" s="1224" t="b">
        <f>AND(AL11,OR(W30&lt;&gt;"",X32&lt;&gt;""))</f>
        <v>0</v>
      </c>
      <c r="AM35" s="6704">
        <f>IF(Deductions="",0,Deductions)</f>
        <v>0</v>
      </c>
    </row>
    <row r="36" spans="1:39" ht="14.25" customHeight="1">
      <c r="A36" s="1277"/>
      <c r="B36" s="9029">
        <v>10</v>
      </c>
      <c r="C36" s="9478"/>
      <c r="D36" s="511" t="s">
        <v>4767</v>
      </c>
      <c r="E36" s="253"/>
      <c r="F36" s="817"/>
      <c r="G36" s="344"/>
      <c r="H36" s="253"/>
      <c r="I36" s="253"/>
      <c r="J36" s="253"/>
      <c r="K36" s="253"/>
      <c r="L36" s="253"/>
      <c r="M36" s="253"/>
      <c r="N36" s="253"/>
      <c r="O36" s="253"/>
      <c r="P36" s="253"/>
      <c r="Q36" s="253"/>
      <c r="R36" s="253"/>
      <c r="S36" s="253"/>
      <c r="T36" s="253"/>
      <c r="U36" s="253"/>
      <c r="V36" s="1039"/>
      <c r="W36" s="253"/>
      <c r="X36" s="253"/>
      <c r="Y36" s="253"/>
      <c r="Z36" s="253"/>
      <c r="AA36" s="1401" t="s">
        <v>808</v>
      </c>
      <c r="AB36" s="2895">
        <v>10</v>
      </c>
      <c r="AC36" s="11617" t="str">
        <f>IF(AL36,SUM(AC28,AC35),"")</f>
        <v/>
      </c>
      <c r="AD36" s="11125"/>
      <c r="AE36" s="11125"/>
      <c r="AF36" s="11125"/>
      <c r="AG36" s="11125"/>
      <c r="AH36" s="1277"/>
      <c r="AJ36" s="2875"/>
      <c r="AL36" s="1224" t="b">
        <f>OR(AL11,AC28&lt;&gt;"",AC35&lt;&gt;"")</f>
        <v>0</v>
      </c>
      <c r="AM36" s="6704">
        <f>IF(Sch1A_Deductions="",0,Sch1A_Deductions)</f>
        <v>0</v>
      </c>
    </row>
    <row r="37" spans="1:39" ht="14.25" customHeight="1">
      <c r="A37" s="1277"/>
      <c r="B37" s="9029">
        <v>11</v>
      </c>
      <c r="C37" s="9478"/>
      <c r="D37" s="511" t="s">
        <v>5112</v>
      </c>
      <c r="E37" s="253"/>
      <c r="F37" s="817"/>
      <c r="G37" s="344"/>
      <c r="H37" s="253"/>
      <c r="I37" s="253"/>
      <c r="J37" s="253"/>
      <c r="K37" s="253"/>
      <c r="L37" s="253"/>
      <c r="M37" s="253"/>
      <c r="N37" s="253"/>
      <c r="O37" s="253"/>
      <c r="P37" s="253"/>
      <c r="Q37" s="253"/>
      <c r="R37" s="253"/>
      <c r="S37" s="253"/>
      <c r="T37" s="253"/>
      <c r="U37" s="1401"/>
      <c r="V37" s="2895">
        <v>11</v>
      </c>
      <c r="W37" s="11618" t="str">
        <f>IF(AJ37&lt;&gt;"",ROUND(AJ37,0),IF(AL37,AM37,""))</f>
        <v/>
      </c>
      <c r="X37" s="11619"/>
      <c r="Y37" s="11619"/>
      <c r="Z37" s="11619"/>
      <c r="AA37" s="11620"/>
      <c r="AB37" s="2893"/>
      <c r="AC37" s="2018"/>
      <c r="AD37" s="349"/>
      <c r="AE37" s="349"/>
      <c r="AF37" s="349"/>
      <c r="AG37" s="349"/>
      <c r="AH37" s="1277"/>
      <c r="AJ37" s="777"/>
      <c r="AL37" s="1224" t="b">
        <f>AND(AL11,AC36&lt;&gt;"")</f>
        <v>0</v>
      </c>
      <c r="AM37" s="6704">
        <f>SUM(AM34,-AM35,-AM36)</f>
        <v>0</v>
      </c>
    </row>
    <row r="38" spans="1:39" ht="14.25" customHeight="1">
      <c r="A38" s="1277"/>
      <c r="B38" s="9029">
        <v>12</v>
      </c>
      <c r="C38" s="9478"/>
      <c r="D38" s="511" t="s">
        <v>5113</v>
      </c>
      <c r="E38" s="253"/>
      <c r="F38" s="817"/>
      <c r="G38" s="344"/>
      <c r="H38" s="253"/>
      <c r="I38" s="253"/>
      <c r="J38" s="253"/>
      <c r="K38" s="253"/>
      <c r="L38" s="253"/>
      <c r="M38" s="253"/>
      <c r="N38" s="253"/>
      <c r="O38" s="253"/>
      <c r="P38" s="253"/>
      <c r="Q38" s="253"/>
      <c r="R38" s="253"/>
      <c r="S38" s="253"/>
      <c r="T38" s="253"/>
      <c r="U38" s="253"/>
      <c r="V38" s="726"/>
      <c r="W38" s="11622"/>
      <c r="X38" s="11623"/>
      <c r="Y38" s="11623"/>
      <c r="Z38" s="11623"/>
      <c r="AA38" s="11624"/>
      <c r="AB38" s="2894"/>
      <c r="AC38" s="2018"/>
      <c r="AD38" s="349"/>
      <c r="AE38" s="349"/>
      <c r="AF38" s="349"/>
      <c r="AG38" s="349"/>
      <c r="AH38" s="1277"/>
      <c r="AJ38" s="2875"/>
    </row>
    <row r="39" spans="1:39" ht="14.25" customHeight="1">
      <c r="A39" s="1277"/>
      <c r="B39" s="9029"/>
      <c r="C39" s="9478"/>
      <c r="D39" s="511" t="s">
        <v>2018</v>
      </c>
      <c r="E39" s="253"/>
      <c r="F39" s="817"/>
      <c r="G39" s="344"/>
      <c r="H39" s="253"/>
      <c r="I39" s="253"/>
      <c r="J39" s="253"/>
      <c r="K39" s="253"/>
      <c r="L39" s="253"/>
      <c r="M39" s="253"/>
      <c r="N39" s="253"/>
      <c r="O39" s="253"/>
      <c r="P39" s="253"/>
      <c r="Q39" s="253"/>
      <c r="R39" s="253"/>
      <c r="S39" s="253"/>
      <c r="T39" s="253"/>
      <c r="U39" s="1401" t="s">
        <v>1859</v>
      </c>
      <c r="V39" s="2895">
        <v>12</v>
      </c>
      <c r="W39" s="11618" t="str">
        <f>IF(AJ39&lt;&gt;"",ROUND(AJ39,0),IF(AL37,SUM(Qualified_Dividends,NetCapitalGain),""))</f>
        <v/>
      </c>
      <c r="X39" s="11619"/>
      <c r="Y39" s="11619"/>
      <c r="Z39" s="11619"/>
      <c r="AA39" s="11620"/>
      <c r="AB39" s="2894"/>
      <c r="AC39" s="11073">
        <f>IF(SchD_NotReqd,CapitalGains,IF(OR(SchDLine15&lt;=0,SchDLine16&lt;=0),0,MIN(SchDLine15,SchDLine16)))</f>
        <v>0</v>
      </c>
      <c r="AD39" s="11621"/>
      <c r="AE39" s="11621"/>
      <c r="AF39" s="11621"/>
      <c r="AG39" s="11621"/>
      <c r="AH39" s="1277"/>
      <c r="AJ39" s="777"/>
    </row>
    <row r="40" spans="1:39" ht="14.25" customHeight="1">
      <c r="A40" s="1277"/>
      <c r="B40" s="9029">
        <v>13</v>
      </c>
      <c r="C40" s="9478"/>
      <c r="D40" s="511" t="s">
        <v>4768</v>
      </c>
      <c r="E40" s="253"/>
      <c r="F40" s="817"/>
      <c r="G40" s="344"/>
      <c r="H40" s="253"/>
      <c r="I40" s="253"/>
      <c r="J40" s="253"/>
      <c r="K40" s="253"/>
      <c r="L40" s="253"/>
      <c r="M40" s="253"/>
      <c r="N40" s="253"/>
      <c r="O40" s="253"/>
      <c r="P40" s="253"/>
      <c r="Q40" s="253"/>
      <c r="R40" s="253"/>
      <c r="S40" s="253"/>
      <c r="T40" s="253"/>
      <c r="U40" s="1401" t="s">
        <v>877</v>
      </c>
      <c r="V40" s="2895">
        <v>13</v>
      </c>
      <c r="W40" s="11615" t="str">
        <f>IF(AL40,MAX(0,SUM(W37,-W39)),"")</f>
        <v/>
      </c>
      <c r="X40" s="11616"/>
      <c r="Y40" s="11616"/>
      <c r="Z40" s="11616"/>
      <c r="AA40" s="11616"/>
      <c r="AB40" s="2894"/>
      <c r="AC40" s="2018"/>
      <c r="AD40" s="349"/>
      <c r="AE40" s="349"/>
      <c r="AF40" s="349"/>
      <c r="AG40" s="349"/>
      <c r="AH40" s="1277"/>
      <c r="AJ40" s="2875"/>
      <c r="AL40" s="1224" t="b">
        <f>AND(AL37,W37&lt;&gt;"",W39&lt;&gt;"")</f>
        <v>0</v>
      </c>
    </row>
    <row r="41" spans="1:39" ht="14.25" customHeight="1">
      <c r="A41" s="1277"/>
      <c r="B41" s="9029">
        <v>14</v>
      </c>
      <c r="C41" s="9478"/>
      <c r="D41" s="511" t="str">
        <f>"Income limitation. Multiply line 13 by "&amp;TEXT(AC27,"0%")&amp;" ("&amp;TEXT(AC27,"0.00")&amp;")"</f>
        <v>Income limitation. Multiply line 13 by 20% (0.20)</v>
      </c>
      <c r="E41" s="253"/>
      <c r="F41" s="817"/>
      <c r="G41" s="344"/>
      <c r="H41" s="253"/>
      <c r="I41" s="253"/>
      <c r="J41" s="253"/>
      <c r="K41" s="253"/>
      <c r="L41" s="253"/>
      <c r="M41" s="253"/>
      <c r="N41" s="253"/>
      <c r="O41" s="253"/>
      <c r="P41" s="253"/>
      <c r="Q41" s="253"/>
      <c r="R41" s="253"/>
      <c r="S41" s="253"/>
      <c r="T41" s="253"/>
      <c r="U41" s="253"/>
      <c r="V41" s="1039"/>
      <c r="W41" s="253"/>
      <c r="X41" s="253"/>
      <c r="Y41" s="253"/>
      <c r="Z41" s="253"/>
      <c r="AA41" s="1401" t="s">
        <v>1066</v>
      </c>
      <c r="AB41" s="2895">
        <v>14</v>
      </c>
      <c r="AC41" s="11617" t="str">
        <f>IF(AL11,ROUND(W40*AC27,0),"")</f>
        <v/>
      </c>
      <c r="AD41" s="11125"/>
      <c r="AE41" s="11125"/>
      <c r="AF41" s="11125"/>
      <c r="AG41" s="11125"/>
      <c r="AH41" s="1277"/>
      <c r="AJ41" s="2875"/>
      <c r="AL41" s="1224" t="b">
        <f>AND(AL37,W37&lt;&gt;"",W39&lt;&gt;"")</f>
        <v>0</v>
      </c>
    </row>
    <row r="42" spans="1:39" ht="14.25" customHeight="1">
      <c r="A42" s="1277"/>
      <c r="B42" s="9029">
        <v>15</v>
      </c>
      <c r="C42" s="9478"/>
      <c r="D42" s="511" t="s">
        <v>4769</v>
      </c>
      <c r="E42" s="253"/>
      <c r="F42" s="817"/>
      <c r="G42" s="344"/>
      <c r="H42" s="253"/>
      <c r="I42" s="253"/>
      <c r="J42" s="253"/>
      <c r="K42" s="253"/>
      <c r="L42" s="253"/>
      <c r="M42" s="253"/>
      <c r="N42" s="253"/>
      <c r="O42" s="253"/>
      <c r="P42" s="253"/>
      <c r="Q42" s="253"/>
      <c r="R42" s="253"/>
      <c r="S42" s="253"/>
      <c r="T42" s="253"/>
      <c r="U42" s="253"/>
      <c r="V42" s="253"/>
      <c r="W42" s="253"/>
      <c r="X42" s="253"/>
      <c r="Y42" s="253"/>
      <c r="Z42" s="253"/>
      <c r="AA42" s="1048"/>
      <c r="AB42" s="2898"/>
      <c r="AC42" s="1991"/>
      <c r="AD42" s="1991"/>
      <c r="AE42" s="1991"/>
      <c r="AF42" s="1991"/>
      <c r="AG42" s="1900"/>
      <c r="AH42" s="1277"/>
      <c r="AJ42" s="2875"/>
    </row>
    <row r="43" spans="1:39" ht="14.25" customHeight="1">
      <c r="A43" s="1277"/>
      <c r="B43" s="9029"/>
      <c r="C43" s="9478"/>
      <c r="D43" s="511" t="s">
        <v>4770</v>
      </c>
      <c r="E43" s="253"/>
      <c r="F43" s="817"/>
      <c r="G43" s="344"/>
      <c r="H43" s="253"/>
      <c r="I43" s="253"/>
      <c r="J43" s="253"/>
      <c r="K43" s="253"/>
      <c r="L43" s="253"/>
      <c r="M43" s="253"/>
      <c r="N43" s="253"/>
      <c r="O43" s="253"/>
      <c r="P43" s="253"/>
      <c r="Q43" s="253"/>
      <c r="R43" s="253"/>
      <c r="S43" s="253"/>
      <c r="T43" s="253"/>
      <c r="U43" s="253"/>
      <c r="V43" s="1039"/>
      <c r="W43" s="253"/>
      <c r="X43" s="253"/>
      <c r="Y43" s="253"/>
      <c r="Z43" s="253"/>
      <c r="AA43" s="1401" t="s">
        <v>3513</v>
      </c>
      <c r="AB43" s="2895">
        <v>15</v>
      </c>
      <c r="AC43" s="11617" t="str">
        <f>IF(AJ43&lt;&gt;"",ROUND(AJ43,0),IF(AL11,MIN(AC36,AC41),""))</f>
        <v/>
      </c>
      <c r="AD43" s="11125"/>
      <c r="AE43" s="11125"/>
      <c r="AF43" s="11125"/>
      <c r="AG43" s="11125"/>
      <c r="AH43" s="1277"/>
      <c r="AJ43" s="777"/>
    </row>
    <row r="44" spans="1:39" ht="14.25" customHeight="1">
      <c r="A44" s="1277"/>
      <c r="B44" s="9029">
        <v>16</v>
      </c>
      <c r="C44" s="9478"/>
      <c r="D44" s="511" t="s">
        <v>4771</v>
      </c>
      <c r="E44" s="253"/>
      <c r="F44" s="817"/>
      <c r="G44" s="344"/>
      <c r="H44" s="253"/>
      <c r="I44" s="253"/>
      <c r="J44" s="253"/>
      <c r="K44" s="253"/>
      <c r="L44" s="253"/>
      <c r="M44" s="253"/>
      <c r="N44" s="253"/>
      <c r="O44" s="253"/>
      <c r="P44" s="253"/>
      <c r="Q44" s="253"/>
      <c r="R44" s="253"/>
      <c r="S44" s="253"/>
      <c r="T44" s="253"/>
      <c r="U44" s="253"/>
      <c r="V44" s="1039"/>
      <c r="W44" s="253"/>
      <c r="X44" s="253"/>
      <c r="Y44" s="253"/>
      <c r="Z44" s="253"/>
      <c r="AA44" s="1401" t="s">
        <v>828</v>
      </c>
      <c r="AB44" s="2895">
        <v>16</v>
      </c>
      <c r="AC44" s="2899" t="s">
        <v>799</v>
      </c>
      <c r="AD44" s="11614" t="str">
        <f>IF(AJ44&lt;&gt;"",ROUND(AJ44,0),IF(AL11,-MIN(0,SUM(W25,-ROUND(X26,0))),""))</f>
        <v/>
      </c>
      <c r="AE44" s="11614"/>
      <c r="AF44" s="11614"/>
      <c r="AG44" s="2900" t="s">
        <v>800</v>
      </c>
      <c r="AH44" s="1277"/>
      <c r="AJ44" s="777"/>
      <c r="AL44" s="1224" t="b">
        <f>SUM(W25,-X26)&lt;0</f>
        <v>0</v>
      </c>
      <c r="AM44" s="1661"/>
    </row>
    <row r="45" spans="1:39" ht="14.25" customHeight="1">
      <c r="A45" s="1277"/>
      <c r="B45" s="9029">
        <v>17</v>
      </c>
      <c r="C45" s="9478"/>
      <c r="D45" s="511" t="s">
        <v>4772</v>
      </c>
      <c r="E45" s="253"/>
      <c r="F45" s="817"/>
      <c r="G45" s="344"/>
      <c r="H45" s="253"/>
      <c r="I45" s="253"/>
      <c r="J45" s="253"/>
      <c r="K45" s="253"/>
      <c r="L45" s="253"/>
      <c r="M45" s="253"/>
      <c r="N45" s="253"/>
      <c r="O45" s="253"/>
      <c r="P45" s="253"/>
      <c r="Q45" s="253"/>
      <c r="R45" s="253"/>
      <c r="S45" s="253"/>
      <c r="T45" s="253"/>
      <c r="U45" s="253"/>
      <c r="V45" s="253"/>
      <c r="W45" s="253"/>
      <c r="X45" s="253"/>
      <c r="Y45" s="253"/>
      <c r="Z45" s="253"/>
      <c r="AA45" s="2901"/>
      <c r="AB45" s="2898"/>
      <c r="AC45" s="2902"/>
      <c r="AD45" s="2903"/>
      <c r="AE45" s="2903"/>
      <c r="AF45" s="2903"/>
      <c r="AG45" s="2904"/>
      <c r="AH45" s="1277"/>
      <c r="AJ45" s="2875"/>
    </row>
    <row r="46" spans="1:39" ht="14.25" customHeight="1" thickBot="1">
      <c r="A46" s="1277"/>
      <c r="B46" s="9029"/>
      <c r="C46" s="9478"/>
      <c r="D46" s="511" t="s">
        <v>4773</v>
      </c>
      <c r="E46" s="253"/>
      <c r="F46" s="817"/>
      <c r="G46" s="344"/>
      <c r="H46" s="253"/>
      <c r="I46" s="253"/>
      <c r="J46" s="253"/>
      <c r="K46" s="253"/>
      <c r="L46" s="253"/>
      <c r="M46" s="253"/>
      <c r="N46" s="253"/>
      <c r="O46" s="253"/>
      <c r="P46" s="253"/>
      <c r="Q46" s="253"/>
      <c r="R46" s="253"/>
      <c r="S46" s="253"/>
      <c r="T46" s="253"/>
      <c r="U46" s="253"/>
      <c r="V46" s="1039"/>
      <c r="W46" s="253"/>
      <c r="X46" s="253"/>
      <c r="Y46" s="253"/>
      <c r="Z46" s="253"/>
      <c r="AA46" s="1401" t="s">
        <v>1991</v>
      </c>
      <c r="AB46" s="2895">
        <v>17</v>
      </c>
      <c r="AC46" s="2905" t="s">
        <v>799</v>
      </c>
      <c r="AD46" s="11123" t="str">
        <f>IF(AJ46&lt;&gt;"",ROUND(AJ46,0),IF(AL11,-MIN(0,SUM(W30,-X32)),""))</f>
        <v/>
      </c>
      <c r="AE46" s="11123"/>
      <c r="AF46" s="11123"/>
      <c r="AG46" s="2906" t="s">
        <v>800</v>
      </c>
      <c r="AH46" s="1277"/>
      <c r="AJ46" s="777"/>
    </row>
    <row r="47" spans="1:39" ht="15.75">
      <c r="A47" s="1277"/>
      <c r="B47" s="2907" t="s">
        <v>4774</v>
      </c>
      <c r="C47" s="2908"/>
      <c r="D47" s="377"/>
      <c r="E47" s="377"/>
      <c r="F47" s="377"/>
      <c r="G47" s="377"/>
      <c r="H47" s="377"/>
      <c r="I47" s="377"/>
      <c r="J47" s="377"/>
      <c r="K47" s="377"/>
      <c r="L47" s="377"/>
      <c r="M47" s="377"/>
      <c r="N47" s="377"/>
      <c r="O47" s="377"/>
      <c r="P47" s="377"/>
      <c r="Q47" s="377"/>
      <c r="R47" s="377"/>
      <c r="S47" s="377"/>
      <c r="T47" s="1993" t="s">
        <v>4775</v>
      </c>
      <c r="U47" s="1993"/>
      <c r="V47" s="377"/>
      <c r="W47" s="2267"/>
      <c r="X47" s="377"/>
      <c r="Y47" s="377"/>
      <c r="Z47" s="377"/>
      <c r="AA47" s="377"/>
      <c r="AB47" s="6557" t="s">
        <v>4776</v>
      </c>
      <c r="AC47" s="6557"/>
      <c r="AD47" s="339"/>
      <c r="AE47" s="377"/>
      <c r="AF47" s="377"/>
      <c r="AG47" s="2909" t="str">
        <f>"("&amp;TaxYear&amp;") Created 9/12/25"</f>
        <v>(2025) Created 9/12/25</v>
      </c>
      <c r="AH47" s="1277"/>
      <c r="AJ47" s="2875"/>
    </row>
    <row r="48" spans="1:39">
      <c r="A48" s="1277"/>
      <c r="B48" s="1277"/>
      <c r="C48" s="1277"/>
      <c r="D48" s="1277"/>
      <c r="E48" s="1277"/>
      <c r="F48" s="1277"/>
      <c r="G48" s="1277"/>
      <c r="H48" s="1277"/>
      <c r="I48" s="1277"/>
      <c r="J48" s="1277"/>
      <c r="K48" s="1277"/>
      <c r="L48" s="1277"/>
      <c r="M48" s="1277"/>
      <c r="N48" s="1277"/>
      <c r="O48" s="1277"/>
      <c r="P48" s="1277"/>
      <c r="Q48" s="1277"/>
      <c r="R48" s="1277"/>
      <c r="S48" s="1277"/>
      <c r="T48" s="1277"/>
      <c r="U48" s="1277"/>
      <c r="V48" s="1277"/>
      <c r="W48" s="1277"/>
      <c r="X48" s="1277"/>
      <c r="Y48" s="1277"/>
      <c r="Z48" s="1277"/>
      <c r="AA48" s="1277"/>
      <c r="AB48" s="1277"/>
      <c r="AC48" s="1277"/>
      <c r="AD48" s="1277"/>
      <c r="AE48" s="1277"/>
      <c r="AF48" s="1277"/>
      <c r="AG48" s="1277"/>
      <c r="AH48" s="1277"/>
      <c r="AJ48" s="2875"/>
    </row>
    <row r="49" spans="2:6" ht="13.5" thickBot="1"/>
    <row r="50" spans="2:6" ht="12.95" customHeight="1">
      <c r="B50" s="7219" t="s">
        <v>42</v>
      </c>
      <c r="C50" s="7220"/>
      <c r="D50" s="7220"/>
      <c r="E50" s="7220"/>
      <c r="F50" s="7221"/>
    </row>
    <row r="51" spans="2:6" ht="12.95" customHeight="1">
      <c r="B51" s="7222"/>
      <c r="C51" s="7224"/>
      <c r="D51" s="7224"/>
      <c r="E51" s="7224"/>
      <c r="F51" s="7225"/>
    </row>
    <row r="52" spans="2:6" ht="12.95" customHeight="1" thickBot="1">
      <c r="B52" s="7226"/>
      <c r="C52" s="7227"/>
      <c r="D52" s="7227"/>
      <c r="E52" s="7227"/>
      <c r="F52" s="7228"/>
    </row>
  </sheetData>
  <sheetProtection algorithmName="SHA-512" hashValue="AakuSA1g4j8eXTeO4D9DewEOYb8/j+3AkWvQEDRTwMRj5T07SQLancN1RgIzRm1XEovUhX2m6eFlnb1hhZm/0g==" saltValue="RCxOGhgm1vIcDtUElwQSAQ==" spinCount="100000" sheet="1" formatCells="0" formatColumns="0" formatRows="0"/>
  <mergeCells count="95">
    <mergeCell ref="B17:C18"/>
    <mergeCell ref="D17:U18"/>
    <mergeCell ref="V17:AA17"/>
    <mergeCell ref="AB17:AG17"/>
    <mergeCell ref="V18:AA18"/>
    <mergeCell ref="AB18:AG18"/>
    <mergeCell ref="AJ20:AJ22"/>
    <mergeCell ref="AJ10:AJ11"/>
    <mergeCell ref="V13:AA13"/>
    <mergeCell ref="AB13:AG13"/>
    <mergeCell ref="V14:AA14"/>
    <mergeCell ref="AB21:AG21"/>
    <mergeCell ref="AB22:AG22"/>
    <mergeCell ref="AB15:AG15"/>
    <mergeCell ref="V16:AA16"/>
    <mergeCell ref="AB16:AG16"/>
    <mergeCell ref="B10:AG10"/>
    <mergeCell ref="B11:AG11"/>
    <mergeCell ref="AB19:AG19"/>
    <mergeCell ref="V20:AA20"/>
    <mergeCell ref="AB20:AG20"/>
    <mergeCell ref="V22:AA22"/>
    <mergeCell ref="B4:F4"/>
    <mergeCell ref="B6:F6"/>
    <mergeCell ref="B5:F5"/>
    <mergeCell ref="AF5:AF6"/>
    <mergeCell ref="B2:C3"/>
    <mergeCell ref="D2:F3"/>
    <mergeCell ref="G3:AA3"/>
    <mergeCell ref="G4:AA4"/>
    <mergeCell ref="AB2:AG2"/>
    <mergeCell ref="AB3:AG4"/>
    <mergeCell ref="B50:F52"/>
    <mergeCell ref="B8:X9"/>
    <mergeCell ref="Y8:AG9"/>
    <mergeCell ref="B12:C12"/>
    <mergeCell ref="D12:U12"/>
    <mergeCell ref="V12:AA12"/>
    <mergeCell ref="AB12:AG12"/>
    <mergeCell ref="AB14:AG14"/>
    <mergeCell ref="B13:C14"/>
    <mergeCell ref="D13:U14"/>
    <mergeCell ref="B15:C16"/>
    <mergeCell ref="D15:U16"/>
    <mergeCell ref="V15:AA15"/>
    <mergeCell ref="B21:C22"/>
    <mergeCell ref="D21:U22"/>
    <mergeCell ref="V21:AA21"/>
    <mergeCell ref="D19:U20"/>
    <mergeCell ref="V19:AA19"/>
    <mergeCell ref="B19:C20"/>
    <mergeCell ref="B27:C27"/>
    <mergeCell ref="X26:Z26"/>
    <mergeCell ref="B28:C28"/>
    <mergeCell ref="AC28:AG28"/>
    <mergeCell ref="W27:AA27"/>
    <mergeCell ref="AC27:AG27"/>
    <mergeCell ref="AC23:AG26"/>
    <mergeCell ref="B25:C25"/>
    <mergeCell ref="B26:C26"/>
    <mergeCell ref="B24:C24"/>
    <mergeCell ref="W25:AA25"/>
    <mergeCell ref="B29:C29"/>
    <mergeCell ref="B30:C30"/>
    <mergeCell ref="W30:AA30"/>
    <mergeCell ref="B31:C31"/>
    <mergeCell ref="B32:C32"/>
    <mergeCell ref="X32:Z32"/>
    <mergeCell ref="B33:C33"/>
    <mergeCell ref="B34:C34"/>
    <mergeCell ref="W34:AA34"/>
    <mergeCell ref="B35:C35"/>
    <mergeCell ref="AC35:AG35"/>
    <mergeCell ref="W33:AA33"/>
    <mergeCell ref="B36:C36"/>
    <mergeCell ref="AC36:AG36"/>
    <mergeCell ref="B37:C37"/>
    <mergeCell ref="W37:AA37"/>
    <mergeCell ref="B39:C39"/>
    <mergeCell ref="W39:AA39"/>
    <mergeCell ref="AC39:AG39"/>
    <mergeCell ref="B38:C38"/>
    <mergeCell ref="W38:AA38"/>
    <mergeCell ref="B40:C40"/>
    <mergeCell ref="W40:AA40"/>
    <mergeCell ref="B41:C41"/>
    <mergeCell ref="AC41:AG41"/>
    <mergeCell ref="B43:C43"/>
    <mergeCell ref="AC43:AG43"/>
    <mergeCell ref="B44:C44"/>
    <mergeCell ref="B42:C42"/>
    <mergeCell ref="B45:C45"/>
    <mergeCell ref="B46:C46"/>
    <mergeCell ref="AD44:AF44"/>
    <mergeCell ref="AD46:AF46"/>
  </mergeCells>
  <conditionalFormatting sqref="B8 Y8">
    <cfRule type="expression" dxfId="22" priority="80">
      <formula>NoColor</formula>
    </cfRule>
  </conditionalFormatting>
  <conditionalFormatting sqref="B11:D11 F11:AG11">
    <cfRule type="expression" dxfId="21" priority="6">
      <formula>AND($AL$10,AI9="")</formula>
    </cfRule>
  </conditionalFormatting>
  <conditionalFormatting sqref="B4:F4">
    <cfRule type="expression" dxfId="20" priority="58">
      <formula>NOT(Draft)</formula>
    </cfRule>
  </conditionalFormatting>
  <conditionalFormatting sqref="D46">
    <cfRule type="expression" dxfId="19" priority="8">
      <formula>$AD$46&lt;0</formula>
    </cfRule>
  </conditionalFormatting>
  <conditionalFormatting sqref="D13:AG22">
    <cfRule type="expression" dxfId="18" priority="23">
      <formula>NoColor</formula>
    </cfRule>
  </conditionalFormatting>
  <conditionalFormatting sqref="E11">
    <cfRule type="expression" dxfId="17" priority="4067">
      <formula>AND($AL$10,AL11="")</formula>
    </cfRule>
  </conditionalFormatting>
  <conditionalFormatting sqref="W25:AA27 W28:Z28 W29:AA32 W33 W34:AA34 W35:Z36 W37:AA37 W38 W39:AA40">
    <cfRule type="expression" dxfId="16" priority="21">
      <formula>NoColor</formula>
    </cfRule>
  </conditionalFormatting>
  <conditionalFormatting sqref="AA42">
    <cfRule type="expression" dxfId="15" priority="39">
      <formula>IF(NoColor,1,0)</formula>
    </cfRule>
  </conditionalFormatting>
  <conditionalFormatting sqref="AA45">
    <cfRule type="expression" dxfId="14" priority="9">
      <formula>$AD$46&lt;0</formula>
    </cfRule>
    <cfRule type="expression" dxfId="13" priority="10">
      <formula>IF(NoColor,1,0)</formula>
    </cfRule>
  </conditionalFormatting>
  <conditionalFormatting sqref="AC28:AG28">
    <cfRule type="expression" dxfId="12" priority="20">
      <formula>NoColor</formula>
    </cfRule>
  </conditionalFormatting>
  <conditionalFormatting sqref="AC35:AG36">
    <cfRule type="expression" dxfId="11" priority="18">
      <formula>NoColor</formula>
    </cfRule>
  </conditionalFormatting>
  <conditionalFormatting sqref="AC41:AG41">
    <cfRule type="expression" dxfId="10" priority="17">
      <formula>NoColor</formula>
    </cfRule>
  </conditionalFormatting>
  <conditionalFormatting sqref="AC42:AG42">
    <cfRule type="expression" dxfId="9" priority="54">
      <formula>IF(NoColor,1,0)</formula>
    </cfRule>
  </conditionalFormatting>
  <conditionalFormatting sqref="AC43:AG44">
    <cfRule type="expression" dxfId="8" priority="11">
      <formula>NoColor</formula>
    </cfRule>
  </conditionalFormatting>
  <conditionalFormatting sqref="AC45:AG45">
    <cfRule type="expression" dxfId="7" priority="26">
      <formula>IF(NoColor,1,0)</formula>
    </cfRule>
  </conditionalFormatting>
  <conditionalFormatting sqref="AC46:AG46">
    <cfRule type="expression" dxfId="6" priority="13">
      <formula>NoColor</formula>
    </cfRule>
  </conditionalFormatting>
  <conditionalFormatting sqref="AH23">
    <cfRule type="expression" dxfId="5" priority="2">
      <formula>$AM$27</formula>
    </cfRule>
  </conditionalFormatting>
  <conditionalFormatting sqref="AI9">
    <cfRule type="expression" dxfId="4" priority="4">
      <formula>$AL$10</formula>
    </cfRule>
  </conditionalFormatting>
  <conditionalFormatting sqref="AJ9">
    <cfRule type="expression" dxfId="3" priority="5">
      <formula>$AL$10</formula>
    </cfRule>
  </conditionalFormatting>
  <conditionalFormatting sqref="AJ10">
    <cfRule type="expression" dxfId="2" priority="7">
      <formula>$AL$10</formula>
    </cfRule>
  </conditionalFormatting>
  <conditionalFormatting sqref="AJ23">
    <cfRule type="expression" dxfId="1" priority="1">
      <formula>$AM$27</formula>
    </cfRule>
  </conditionalFormatting>
  <hyperlinks>
    <hyperlink ref="B50:F52" location="'Table of Contents'!A1" display="Table of Contents" xr:uid="{00000000-0004-0000-3E00-000000000000}"/>
  </hyperlinks>
  <pageMargins left="0.75" right="0.25" top="0.36" bottom="0.28999999999999998" header="0.36" footer="0.21"/>
  <pageSetup scale="74" fitToHeight="0" orientation="portrait" r:id="rId1"/>
  <drawing r:id="rId2"/>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pageSetUpPr fitToPage="1"/>
  </sheetPr>
  <dimension ref="A1:U1384"/>
  <sheetViews>
    <sheetView zoomScale="85" zoomScaleNormal="85" workbookViewId="0">
      <pane xSplit="2" ySplit="2" topLeftCell="G3" activePane="bottomRight" state="frozen"/>
      <selection activeCell="E24" sqref="E24"/>
      <selection pane="topRight" activeCell="E24" sqref="E24"/>
      <selection pane="bottomLeft" activeCell="E24" sqref="E24"/>
      <selection pane="bottomRight" sqref="A1:B1"/>
    </sheetView>
  </sheetViews>
  <sheetFormatPr defaultColWidth="14.7109375" defaultRowHeight="12.75"/>
  <cols>
    <col min="1" max="1" width="14.7109375" style="422" customWidth="1"/>
    <col min="2" max="2" width="14.7109375" style="431" customWidth="1"/>
    <col min="3" max="5" width="11.85546875" style="422" customWidth="1"/>
    <col min="6" max="6" width="11.85546875" style="431" customWidth="1"/>
    <col min="7" max="9" width="11.85546875" style="1382" customWidth="1"/>
    <col min="10" max="10" width="11.85546875" style="1383" customWidth="1"/>
    <col min="11" max="11" width="6.140625" style="195" customWidth="1"/>
    <col min="12" max="12" width="14.140625" style="422" customWidth="1"/>
    <col min="13" max="13" width="18" style="422" customWidth="1"/>
    <col min="14" max="22" width="14.7109375" style="422" customWidth="1"/>
    <col min="23" max="16384" width="14.7109375" style="422"/>
  </cols>
  <sheetData>
    <row r="1" spans="1:21" s="426" customFormat="1">
      <c r="A1" s="11675" t="s">
        <v>5407</v>
      </c>
      <c r="B1" s="11675"/>
      <c r="C1" s="11676" t="s">
        <v>4777</v>
      </c>
      <c r="D1" s="11677"/>
      <c r="E1" s="11677"/>
      <c r="F1" s="11678"/>
      <c r="G1" s="11679" t="s">
        <v>2941</v>
      </c>
      <c r="H1" s="11680"/>
      <c r="I1" s="11680"/>
      <c r="J1" s="11681"/>
      <c r="N1" s="11676" t="s">
        <v>4777</v>
      </c>
      <c r="O1" s="11677"/>
      <c r="P1" s="11677"/>
      <c r="Q1" s="11678"/>
      <c r="R1" s="11676" t="s">
        <v>2941</v>
      </c>
      <c r="S1" s="11677"/>
      <c r="T1" s="11677"/>
      <c r="U1" s="11678"/>
    </row>
    <row r="2" spans="1:21" s="252" customFormat="1" ht="14.25" thickBot="1">
      <c r="A2" s="427" t="s">
        <v>4778</v>
      </c>
      <c r="B2" s="428" t="s">
        <v>4779</v>
      </c>
      <c r="C2" s="429" t="s">
        <v>4780</v>
      </c>
      <c r="D2" s="429" t="s">
        <v>4781</v>
      </c>
      <c r="E2" s="429" t="s">
        <v>4782</v>
      </c>
      <c r="F2" s="430" t="s">
        <v>4783</v>
      </c>
      <c r="G2" s="1380" t="s">
        <v>4780</v>
      </c>
      <c r="H2" s="1380" t="s">
        <v>4781</v>
      </c>
      <c r="I2" s="1380" t="s">
        <v>4782</v>
      </c>
      <c r="J2" s="1381" t="s">
        <v>4783</v>
      </c>
      <c r="K2" s="155"/>
      <c r="L2" s="2859" t="s">
        <v>5408</v>
      </c>
      <c r="N2" s="2860" t="s">
        <v>4780</v>
      </c>
      <c r="O2" s="429" t="s">
        <v>4781</v>
      </c>
      <c r="P2" s="429" t="s">
        <v>4782</v>
      </c>
      <c r="Q2" s="430" t="s">
        <v>4783</v>
      </c>
      <c r="R2" s="429" t="s">
        <v>4780</v>
      </c>
      <c r="S2" s="429" t="s">
        <v>4781</v>
      </c>
      <c r="T2" s="429" t="s">
        <v>4782</v>
      </c>
      <c r="U2" s="430" t="s">
        <v>4783</v>
      </c>
    </row>
    <row r="3" spans="1:21" ht="13.5">
      <c r="A3" s="935">
        <v>1</v>
      </c>
      <c r="B3" s="936">
        <v>50</v>
      </c>
      <c r="C3" s="1375">
        <f t="shared" ref="C3:J18" si="0">IF($L3&gt;N$5,MAX(0,N$3+ROUND((N$9*($L3-N$5)),0)),IF($L3&gt;N$4,N$3,ROUND($L3*N$7,0)))</f>
        <v>2</v>
      </c>
      <c r="D3" s="1376">
        <f t="shared" si="0"/>
        <v>8</v>
      </c>
      <c r="E3" s="1376">
        <f t="shared" si="0"/>
        <v>10</v>
      </c>
      <c r="F3" s="1377">
        <f t="shared" si="0"/>
        <v>11</v>
      </c>
      <c r="G3" s="1375">
        <f t="shared" si="0"/>
        <v>2</v>
      </c>
      <c r="H3" s="1376">
        <f t="shared" si="0"/>
        <v>8</v>
      </c>
      <c r="I3" s="1376">
        <f t="shared" si="0"/>
        <v>10</v>
      </c>
      <c r="J3" s="1377">
        <f t="shared" si="0"/>
        <v>11</v>
      </c>
      <c r="K3" s="422"/>
      <c r="L3" s="935">
        <f>ROUND((A3+B3)/2,2)-1</f>
        <v>24.5</v>
      </c>
      <c r="M3" s="935" t="s">
        <v>5409</v>
      </c>
      <c r="N3" s="2861">
        <v>649</v>
      </c>
      <c r="O3" s="2861">
        <v>4328</v>
      </c>
      <c r="P3" s="2861">
        <v>7152</v>
      </c>
      <c r="Q3" s="2861">
        <v>8046</v>
      </c>
      <c r="R3" s="2861">
        <v>649</v>
      </c>
      <c r="S3" s="2861">
        <v>4328</v>
      </c>
      <c r="T3" s="2861">
        <v>7152</v>
      </c>
      <c r="U3" s="2861">
        <v>8046</v>
      </c>
    </row>
    <row r="4" spans="1:21" ht="13.5">
      <c r="A4" s="448">
        <v>50</v>
      </c>
      <c r="B4" s="447">
        <v>100</v>
      </c>
      <c r="C4" s="1378">
        <f t="shared" si="0"/>
        <v>6</v>
      </c>
      <c r="D4" s="448">
        <f t="shared" si="0"/>
        <v>26</v>
      </c>
      <c r="E4" s="448">
        <f t="shared" si="0"/>
        <v>30</v>
      </c>
      <c r="F4" s="447">
        <f t="shared" si="0"/>
        <v>34</v>
      </c>
      <c r="G4" s="1378">
        <f t="shared" si="0"/>
        <v>6</v>
      </c>
      <c r="H4" s="448">
        <f t="shared" si="0"/>
        <v>26</v>
      </c>
      <c r="I4" s="448">
        <f t="shared" si="0"/>
        <v>30</v>
      </c>
      <c r="J4" s="447">
        <f t="shared" si="0"/>
        <v>34</v>
      </c>
      <c r="K4" s="422"/>
      <c r="L4" s="448">
        <f t="shared" ref="L4:L67" si="1">ROUND((A4+B4)/2,2)</f>
        <v>75</v>
      </c>
      <c r="M4" s="935" t="s">
        <v>5410</v>
      </c>
      <c r="N4" s="2862">
        <v>8490</v>
      </c>
      <c r="O4" s="2862">
        <v>12730</v>
      </c>
      <c r="P4" s="2862">
        <v>17880</v>
      </c>
      <c r="Q4" s="2862">
        <v>17880</v>
      </c>
      <c r="R4" s="2862">
        <v>8490</v>
      </c>
      <c r="S4" s="2862">
        <v>12730</v>
      </c>
      <c r="T4" s="2862">
        <v>17880</v>
      </c>
      <c r="U4" s="2862">
        <v>17880</v>
      </c>
    </row>
    <row r="5" spans="1:21" ht="13.5">
      <c r="A5" s="448">
        <v>100</v>
      </c>
      <c r="B5" s="447">
        <v>150</v>
      </c>
      <c r="C5" s="1378">
        <f t="shared" si="0"/>
        <v>10</v>
      </c>
      <c r="D5" s="448">
        <f t="shared" si="0"/>
        <v>43</v>
      </c>
      <c r="E5" s="448">
        <f t="shared" si="0"/>
        <v>50</v>
      </c>
      <c r="F5" s="447">
        <f t="shared" si="0"/>
        <v>56</v>
      </c>
      <c r="G5" s="1378">
        <f t="shared" si="0"/>
        <v>10</v>
      </c>
      <c r="H5" s="448">
        <f t="shared" si="0"/>
        <v>43</v>
      </c>
      <c r="I5" s="448">
        <f t="shared" si="0"/>
        <v>50</v>
      </c>
      <c r="J5" s="447">
        <f t="shared" si="0"/>
        <v>56</v>
      </c>
      <c r="K5" s="422"/>
      <c r="L5" s="448">
        <f t="shared" si="1"/>
        <v>125</v>
      </c>
      <c r="M5" s="935" t="s">
        <v>5411</v>
      </c>
      <c r="N5" s="2862">
        <v>10620</v>
      </c>
      <c r="O5" s="2862">
        <v>23350</v>
      </c>
      <c r="P5" s="2862">
        <v>23350</v>
      </c>
      <c r="Q5" s="2862">
        <v>23350</v>
      </c>
      <c r="R5" s="2862">
        <v>17730</v>
      </c>
      <c r="S5" s="2862">
        <v>30470</v>
      </c>
      <c r="T5" s="2862">
        <v>30470</v>
      </c>
      <c r="U5" s="2862">
        <v>30470</v>
      </c>
    </row>
    <row r="6" spans="1:21" ht="13.5">
      <c r="A6" s="448">
        <v>150</v>
      </c>
      <c r="B6" s="447">
        <v>200</v>
      </c>
      <c r="C6" s="1378">
        <f t="shared" si="0"/>
        <v>13</v>
      </c>
      <c r="D6" s="448">
        <f t="shared" si="0"/>
        <v>60</v>
      </c>
      <c r="E6" s="448">
        <f t="shared" si="0"/>
        <v>70</v>
      </c>
      <c r="F6" s="447">
        <f t="shared" si="0"/>
        <v>79</v>
      </c>
      <c r="G6" s="1378">
        <f t="shared" si="0"/>
        <v>13</v>
      </c>
      <c r="H6" s="448">
        <f t="shared" si="0"/>
        <v>60</v>
      </c>
      <c r="I6" s="448">
        <f t="shared" si="0"/>
        <v>70</v>
      </c>
      <c r="J6" s="447">
        <f t="shared" si="0"/>
        <v>79</v>
      </c>
      <c r="K6" s="422"/>
      <c r="L6" s="448">
        <f t="shared" si="1"/>
        <v>175</v>
      </c>
      <c r="M6" s="935" t="s">
        <v>5412</v>
      </c>
      <c r="N6" s="2862">
        <v>19104</v>
      </c>
      <c r="O6" s="2862">
        <v>50434</v>
      </c>
      <c r="P6" s="2862">
        <v>57310</v>
      </c>
      <c r="Q6" s="2862">
        <v>61555</v>
      </c>
      <c r="R6" s="2862">
        <v>26214</v>
      </c>
      <c r="S6" s="2862">
        <v>57554</v>
      </c>
      <c r="T6" s="2862">
        <v>64430</v>
      </c>
      <c r="U6" s="2862">
        <v>68675</v>
      </c>
    </row>
    <row r="7" spans="1:21" ht="13.5">
      <c r="A7" s="448">
        <v>200</v>
      </c>
      <c r="B7" s="447">
        <v>250</v>
      </c>
      <c r="C7" s="1378">
        <f t="shared" si="0"/>
        <v>17</v>
      </c>
      <c r="D7" s="448">
        <f t="shared" si="0"/>
        <v>77</v>
      </c>
      <c r="E7" s="448">
        <f t="shared" si="0"/>
        <v>90</v>
      </c>
      <c r="F7" s="447">
        <f t="shared" si="0"/>
        <v>101</v>
      </c>
      <c r="G7" s="1378">
        <f t="shared" si="0"/>
        <v>17</v>
      </c>
      <c r="H7" s="448">
        <f t="shared" si="0"/>
        <v>77</v>
      </c>
      <c r="I7" s="448">
        <f t="shared" si="0"/>
        <v>90</v>
      </c>
      <c r="J7" s="447">
        <f t="shared" si="0"/>
        <v>101</v>
      </c>
      <c r="K7" s="422"/>
      <c r="L7" s="448">
        <f t="shared" si="1"/>
        <v>225</v>
      </c>
      <c r="M7" s="935" t="s">
        <v>5413</v>
      </c>
      <c r="N7" s="2863">
        <f t="shared" ref="N7:U7" si="2">ROUND(N3/N4,4)</f>
        <v>7.6399999999999996E-2</v>
      </c>
      <c r="O7" s="2863">
        <f t="shared" si="2"/>
        <v>0.34</v>
      </c>
      <c r="P7" s="2863">
        <f t="shared" si="2"/>
        <v>0.4</v>
      </c>
      <c r="Q7" s="2863">
        <f t="shared" si="2"/>
        <v>0.45</v>
      </c>
      <c r="R7" s="2863">
        <f t="shared" si="2"/>
        <v>7.6399999999999996E-2</v>
      </c>
      <c r="S7" s="2863">
        <f t="shared" si="2"/>
        <v>0.34</v>
      </c>
      <c r="T7" s="2863">
        <f t="shared" si="2"/>
        <v>0.4</v>
      </c>
      <c r="U7" s="2863">
        <f t="shared" si="2"/>
        <v>0.45</v>
      </c>
    </row>
    <row r="8" spans="1:21" ht="13.5">
      <c r="A8" s="448">
        <v>250</v>
      </c>
      <c r="B8" s="447">
        <v>300</v>
      </c>
      <c r="C8" s="1378">
        <f t="shared" si="0"/>
        <v>21</v>
      </c>
      <c r="D8" s="448">
        <f t="shared" si="0"/>
        <v>94</v>
      </c>
      <c r="E8" s="448">
        <f t="shared" si="0"/>
        <v>110</v>
      </c>
      <c r="F8" s="447">
        <f t="shared" si="0"/>
        <v>124</v>
      </c>
      <c r="G8" s="1378">
        <f t="shared" si="0"/>
        <v>21</v>
      </c>
      <c r="H8" s="448">
        <f t="shared" si="0"/>
        <v>94</v>
      </c>
      <c r="I8" s="448">
        <f t="shared" si="0"/>
        <v>110</v>
      </c>
      <c r="J8" s="447">
        <f t="shared" si="0"/>
        <v>124</v>
      </c>
      <c r="K8" s="422"/>
      <c r="L8" s="448">
        <f t="shared" si="1"/>
        <v>275</v>
      </c>
      <c r="M8" s="935" t="s">
        <v>5414</v>
      </c>
      <c r="N8" s="2863">
        <v>0</v>
      </c>
      <c r="O8" s="2863">
        <v>0</v>
      </c>
      <c r="P8" s="2863">
        <v>0</v>
      </c>
      <c r="Q8" s="2863">
        <v>0</v>
      </c>
      <c r="R8" s="2863">
        <v>0</v>
      </c>
      <c r="S8" s="2863">
        <v>0</v>
      </c>
      <c r="T8" s="2863">
        <v>0</v>
      </c>
      <c r="U8" s="2863">
        <v>0</v>
      </c>
    </row>
    <row r="9" spans="1:21" ht="13.5">
      <c r="A9" s="448">
        <v>300</v>
      </c>
      <c r="B9" s="447">
        <v>350</v>
      </c>
      <c r="C9" s="1378">
        <f t="shared" si="0"/>
        <v>25</v>
      </c>
      <c r="D9" s="448">
        <f t="shared" si="0"/>
        <v>111</v>
      </c>
      <c r="E9" s="448">
        <f t="shared" si="0"/>
        <v>130</v>
      </c>
      <c r="F9" s="447">
        <f t="shared" si="0"/>
        <v>146</v>
      </c>
      <c r="G9" s="1378">
        <f t="shared" si="0"/>
        <v>25</v>
      </c>
      <c r="H9" s="448">
        <f t="shared" si="0"/>
        <v>111</v>
      </c>
      <c r="I9" s="448">
        <f t="shared" si="0"/>
        <v>130</v>
      </c>
      <c r="J9" s="447">
        <f t="shared" si="0"/>
        <v>146</v>
      </c>
      <c r="K9" s="422"/>
      <c r="L9" s="448">
        <f t="shared" si="1"/>
        <v>325</v>
      </c>
      <c r="M9" s="935" t="s">
        <v>5415</v>
      </c>
      <c r="N9" s="2864">
        <f>-ROUND(N3/(N6-N5),7)</f>
        <v>-7.6496900000000007E-2</v>
      </c>
      <c r="O9" s="2864">
        <f>-ROUND(O3/(O6-O5),7)</f>
        <v>-0.1597991</v>
      </c>
      <c r="P9" s="2864">
        <f>-ROUND(P3/(P6-P5),6)</f>
        <v>-0.21060100000000001</v>
      </c>
      <c r="Q9" s="2864">
        <f>-ROUND(Q3/(Q6-Q5),6)</f>
        <v>-0.21060100000000001</v>
      </c>
      <c r="R9" s="2864">
        <f>N9</f>
        <v>-7.6496900000000007E-2</v>
      </c>
      <c r="S9" s="2864">
        <f>O9</f>
        <v>-0.1597991</v>
      </c>
      <c r="T9" s="2864">
        <f>P9</f>
        <v>-0.21060100000000001</v>
      </c>
      <c r="U9" s="2864">
        <f>-ROUND(U3/(U6-U5),6)</f>
        <v>-0.21060100000000001</v>
      </c>
    </row>
    <row r="10" spans="1:21" ht="13.5">
      <c r="A10" s="448">
        <v>350</v>
      </c>
      <c r="B10" s="447">
        <v>400</v>
      </c>
      <c r="C10" s="1378">
        <f t="shared" si="0"/>
        <v>29</v>
      </c>
      <c r="D10" s="448">
        <f t="shared" si="0"/>
        <v>128</v>
      </c>
      <c r="E10" s="448">
        <f t="shared" si="0"/>
        <v>150</v>
      </c>
      <c r="F10" s="447">
        <f t="shared" si="0"/>
        <v>169</v>
      </c>
      <c r="G10" s="1378">
        <f t="shared" si="0"/>
        <v>29</v>
      </c>
      <c r="H10" s="448">
        <f t="shared" si="0"/>
        <v>128</v>
      </c>
      <c r="I10" s="448">
        <f t="shared" si="0"/>
        <v>150</v>
      </c>
      <c r="J10" s="447">
        <f t="shared" si="0"/>
        <v>169</v>
      </c>
      <c r="K10" s="422"/>
      <c r="L10" s="448">
        <f t="shared" si="1"/>
        <v>375</v>
      </c>
    </row>
    <row r="11" spans="1:21" ht="13.5">
      <c r="A11" s="448">
        <v>400</v>
      </c>
      <c r="B11" s="447">
        <v>450</v>
      </c>
      <c r="C11" s="1378">
        <f t="shared" si="0"/>
        <v>32</v>
      </c>
      <c r="D11" s="448">
        <f t="shared" si="0"/>
        <v>145</v>
      </c>
      <c r="E11" s="448">
        <f t="shared" si="0"/>
        <v>170</v>
      </c>
      <c r="F11" s="447">
        <f t="shared" si="0"/>
        <v>191</v>
      </c>
      <c r="G11" s="1378">
        <f t="shared" si="0"/>
        <v>32</v>
      </c>
      <c r="H11" s="448">
        <f t="shared" si="0"/>
        <v>145</v>
      </c>
      <c r="I11" s="448">
        <f t="shared" si="0"/>
        <v>170</v>
      </c>
      <c r="J11" s="447">
        <f t="shared" si="0"/>
        <v>191</v>
      </c>
      <c r="K11" s="422"/>
      <c r="L11" s="448">
        <f t="shared" si="1"/>
        <v>425</v>
      </c>
    </row>
    <row r="12" spans="1:21" ht="13.5">
      <c r="A12" s="448">
        <v>450</v>
      </c>
      <c r="B12" s="447">
        <v>500</v>
      </c>
      <c r="C12" s="1378">
        <f t="shared" si="0"/>
        <v>36</v>
      </c>
      <c r="D12" s="448">
        <f t="shared" si="0"/>
        <v>162</v>
      </c>
      <c r="E12" s="448">
        <f t="shared" si="0"/>
        <v>190</v>
      </c>
      <c r="F12" s="447">
        <f t="shared" si="0"/>
        <v>214</v>
      </c>
      <c r="G12" s="1378">
        <f t="shared" si="0"/>
        <v>36</v>
      </c>
      <c r="H12" s="448">
        <f t="shared" si="0"/>
        <v>162</v>
      </c>
      <c r="I12" s="448">
        <f t="shared" si="0"/>
        <v>190</v>
      </c>
      <c r="J12" s="447">
        <f t="shared" si="0"/>
        <v>214</v>
      </c>
      <c r="K12" s="422"/>
      <c r="L12" s="448">
        <f t="shared" si="1"/>
        <v>475</v>
      </c>
    </row>
    <row r="13" spans="1:21" ht="13.5">
      <c r="A13" s="448">
        <v>500</v>
      </c>
      <c r="B13" s="447">
        <v>550</v>
      </c>
      <c r="C13" s="1378">
        <f t="shared" si="0"/>
        <v>40</v>
      </c>
      <c r="D13" s="448">
        <f t="shared" si="0"/>
        <v>179</v>
      </c>
      <c r="E13" s="448">
        <f t="shared" si="0"/>
        <v>210</v>
      </c>
      <c r="F13" s="447">
        <f t="shared" si="0"/>
        <v>236</v>
      </c>
      <c r="G13" s="1378">
        <f t="shared" si="0"/>
        <v>40</v>
      </c>
      <c r="H13" s="448">
        <f t="shared" si="0"/>
        <v>179</v>
      </c>
      <c r="I13" s="448">
        <f t="shared" si="0"/>
        <v>210</v>
      </c>
      <c r="J13" s="447">
        <f t="shared" si="0"/>
        <v>236</v>
      </c>
      <c r="K13" s="422"/>
      <c r="L13" s="448">
        <f t="shared" si="1"/>
        <v>525</v>
      </c>
    </row>
    <row r="14" spans="1:21" ht="13.5">
      <c r="A14" s="448">
        <v>550</v>
      </c>
      <c r="B14" s="447">
        <v>600</v>
      </c>
      <c r="C14" s="1378">
        <f t="shared" si="0"/>
        <v>44</v>
      </c>
      <c r="D14" s="448">
        <f t="shared" si="0"/>
        <v>196</v>
      </c>
      <c r="E14" s="448">
        <f t="shared" si="0"/>
        <v>230</v>
      </c>
      <c r="F14" s="447">
        <f t="shared" si="0"/>
        <v>259</v>
      </c>
      <c r="G14" s="1378">
        <f t="shared" si="0"/>
        <v>44</v>
      </c>
      <c r="H14" s="448">
        <f t="shared" si="0"/>
        <v>196</v>
      </c>
      <c r="I14" s="448">
        <f t="shared" si="0"/>
        <v>230</v>
      </c>
      <c r="J14" s="447">
        <f t="shared" si="0"/>
        <v>259</v>
      </c>
      <c r="K14" s="422"/>
      <c r="L14" s="448">
        <f t="shared" si="1"/>
        <v>575</v>
      </c>
    </row>
    <row r="15" spans="1:21" ht="13.5">
      <c r="A15" s="448">
        <v>600</v>
      </c>
      <c r="B15" s="447">
        <v>650</v>
      </c>
      <c r="C15" s="1378">
        <f t="shared" si="0"/>
        <v>48</v>
      </c>
      <c r="D15" s="448">
        <f t="shared" si="0"/>
        <v>213</v>
      </c>
      <c r="E15" s="448">
        <f t="shared" si="0"/>
        <v>250</v>
      </c>
      <c r="F15" s="447">
        <f t="shared" si="0"/>
        <v>281</v>
      </c>
      <c r="G15" s="1378">
        <f t="shared" si="0"/>
        <v>48</v>
      </c>
      <c r="H15" s="448">
        <f t="shared" si="0"/>
        <v>213</v>
      </c>
      <c r="I15" s="448">
        <f t="shared" si="0"/>
        <v>250</v>
      </c>
      <c r="J15" s="447">
        <f t="shared" si="0"/>
        <v>281</v>
      </c>
      <c r="K15" s="422"/>
      <c r="L15" s="448">
        <f t="shared" si="1"/>
        <v>625</v>
      </c>
    </row>
    <row r="16" spans="1:21" ht="13.5">
      <c r="A16" s="448">
        <v>650</v>
      </c>
      <c r="B16" s="447">
        <v>700</v>
      </c>
      <c r="C16" s="1378">
        <f t="shared" si="0"/>
        <v>52</v>
      </c>
      <c r="D16" s="448">
        <f t="shared" si="0"/>
        <v>230</v>
      </c>
      <c r="E16" s="448">
        <f t="shared" si="0"/>
        <v>270</v>
      </c>
      <c r="F16" s="447">
        <f t="shared" si="0"/>
        <v>304</v>
      </c>
      <c r="G16" s="1378">
        <f t="shared" si="0"/>
        <v>52</v>
      </c>
      <c r="H16" s="448">
        <f t="shared" si="0"/>
        <v>230</v>
      </c>
      <c r="I16" s="448">
        <f t="shared" si="0"/>
        <v>270</v>
      </c>
      <c r="J16" s="447">
        <f t="shared" si="0"/>
        <v>304</v>
      </c>
      <c r="K16" s="422"/>
      <c r="L16" s="448">
        <f t="shared" si="1"/>
        <v>675</v>
      </c>
    </row>
    <row r="17" spans="1:12" ht="13.5">
      <c r="A17" s="448">
        <v>700</v>
      </c>
      <c r="B17" s="447">
        <v>750</v>
      </c>
      <c r="C17" s="1378">
        <f t="shared" si="0"/>
        <v>55</v>
      </c>
      <c r="D17" s="448">
        <f t="shared" si="0"/>
        <v>247</v>
      </c>
      <c r="E17" s="448">
        <f t="shared" si="0"/>
        <v>290</v>
      </c>
      <c r="F17" s="447">
        <f t="shared" si="0"/>
        <v>326</v>
      </c>
      <c r="G17" s="1378">
        <f t="shared" si="0"/>
        <v>55</v>
      </c>
      <c r="H17" s="448">
        <f t="shared" si="0"/>
        <v>247</v>
      </c>
      <c r="I17" s="448">
        <f t="shared" si="0"/>
        <v>290</v>
      </c>
      <c r="J17" s="447">
        <f t="shared" si="0"/>
        <v>326</v>
      </c>
      <c r="K17" s="422"/>
      <c r="L17" s="448">
        <f t="shared" si="1"/>
        <v>725</v>
      </c>
    </row>
    <row r="18" spans="1:12" ht="13.5">
      <c r="A18" s="448">
        <v>750</v>
      </c>
      <c r="B18" s="447">
        <v>800</v>
      </c>
      <c r="C18" s="1378">
        <f t="shared" si="0"/>
        <v>59</v>
      </c>
      <c r="D18" s="448">
        <f t="shared" si="0"/>
        <v>264</v>
      </c>
      <c r="E18" s="448">
        <f t="shared" si="0"/>
        <v>310</v>
      </c>
      <c r="F18" s="447">
        <f t="shared" si="0"/>
        <v>349</v>
      </c>
      <c r="G18" s="1378">
        <f t="shared" si="0"/>
        <v>59</v>
      </c>
      <c r="H18" s="448">
        <f t="shared" si="0"/>
        <v>264</v>
      </c>
      <c r="I18" s="448">
        <f t="shared" si="0"/>
        <v>310</v>
      </c>
      <c r="J18" s="447">
        <f t="shared" si="0"/>
        <v>349</v>
      </c>
      <c r="K18" s="422"/>
      <c r="L18" s="448">
        <f t="shared" si="1"/>
        <v>775</v>
      </c>
    </row>
    <row r="19" spans="1:12" ht="13.5">
      <c r="A19" s="448">
        <v>800</v>
      </c>
      <c r="B19" s="447">
        <v>850</v>
      </c>
      <c r="C19" s="1378">
        <f t="shared" ref="C19:J34" si="3">IF($L19&gt;N$5,MAX(0,N$3+ROUND((N$9*($L19-N$5)),0)),IF($L19&gt;N$4,N$3,ROUND($L19*N$7,0)))</f>
        <v>63</v>
      </c>
      <c r="D19" s="448">
        <f t="shared" si="3"/>
        <v>281</v>
      </c>
      <c r="E19" s="448">
        <f t="shared" si="3"/>
        <v>330</v>
      </c>
      <c r="F19" s="447">
        <f t="shared" si="3"/>
        <v>371</v>
      </c>
      <c r="G19" s="1378">
        <f t="shared" si="3"/>
        <v>63</v>
      </c>
      <c r="H19" s="448">
        <f t="shared" si="3"/>
        <v>281</v>
      </c>
      <c r="I19" s="448">
        <f t="shared" si="3"/>
        <v>330</v>
      </c>
      <c r="J19" s="447">
        <f t="shared" si="3"/>
        <v>371</v>
      </c>
      <c r="K19" s="422"/>
      <c r="L19" s="448">
        <f t="shared" si="1"/>
        <v>825</v>
      </c>
    </row>
    <row r="20" spans="1:12" ht="13.5">
      <c r="A20" s="448">
        <v>850</v>
      </c>
      <c r="B20" s="447">
        <v>900</v>
      </c>
      <c r="C20" s="1378">
        <f t="shared" si="3"/>
        <v>67</v>
      </c>
      <c r="D20" s="448">
        <f t="shared" si="3"/>
        <v>298</v>
      </c>
      <c r="E20" s="448">
        <f t="shared" si="3"/>
        <v>350</v>
      </c>
      <c r="F20" s="447">
        <f t="shared" si="3"/>
        <v>394</v>
      </c>
      <c r="G20" s="1378">
        <f t="shared" si="3"/>
        <v>67</v>
      </c>
      <c r="H20" s="448">
        <f t="shared" si="3"/>
        <v>298</v>
      </c>
      <c r="I20" s="448">
        <f t="shared" si="3"/>
        <v>350</v>
      </c>
      <c r="J20" s="447">
        <f t="shared" si="3"/>
        <v>394</v>
      </c>
      <c r="K20" s="422"/>
      <c r="L20" s="448">
        <f t="shared" si="1"/>
        <v>875</v>
      </c>
    </row>
    <row r="21" spans="1:12" ht="13.5">
      <c r="A21" s="448">
        <v>900</v>
      </c>
      <c r="B21" s="447">
        <v>950</v>
      </c>
      <c r="C21" s="1378">
        <f t="shared" si="3"/>
        <v>71</v>
      </c>
      <c r="D21" s="448">
        <f t="shared" si="3"/>
        <v>315</v>
      </c>
      <c r="E21" s="448">
        <f t="shared" si="3"/>
        <v>370</v>
      </c>
      <c r="F21" s="447">
        <f t="shared" si="3"/>
        <v>416</v>
      </c>
      <c r="G21" s="1378">
        <f t="shared" si="3"/>
        <v>71</v>
      </c>
      <c r="H21" s="448">
        <f t="shared" si="3"/>
        <v>315</v>
      </c>
      <c r="I21" s="448">
        <f t="shared" si="3"/>
        <v>370</v>
      </c>
      <c r="J21" s="447">
        <f t="shared" si="3"/>
        <v>416</v>
      </c>
      <c r="K21" s="422"/>
      <c r="L21" s="448">
        <f t="shared" si="1"/>
        <v>925</v>
      </c>
    </row>
    <row r="22" spans="1:12" ht="13.5">
      <c r="A22" s="448">
        <v>950</v>
      </c>
      <c r="B22" s="447">
        <v>1000</v>
      </c>
      <c r="C22" s="1378">
        <f t="shared" si="3"/>
        <v>74</v>
      </c>
      <c r="D22" s="448">
        <f t="shared" si="3"/>
        <v>332</v>
      </c>
      <c r="E22" s="448">
        <f t="shared" si="3"/>
        <v>390</v>
      </c>
      <c r="F22" s="447">
        <f t="shared" si="3"/>
        <v>439</v>
      </c>
      <c r="G22" s="1378">
        <f t="shared" si="3"/>
        <v>74</v>
      </c>
      <c r="H22" s="448">
        <f t="shared" si="3"/>
        <v>332</v>
      </c>
      <c r="I22" s="448">
        <f t="shared" si="3"/>
        <v>390</v>
      </c>
      <c r="J22" s="447">
        <f t="shared" si="3"/>
        <v>439</v>
      </c>
      <c r="K22" s="422"/>
      <c r="L22" s="448">
        <f t="shared" si="1"/>
        <v>975</v>
      </c>
    </row>
    <row r="23" spans="1:12" ht="13.5">
      <c r="A23" s="448">
        <v>1000</v>
      </c>
      <c r="B23" s="447">
        <v>1050</v>
      </c>
      <c r="C23" s="1378">
        <f t="shared" si="3"/>
        <v>78</v>
      </c>
      <c r="D23" s="448">
        <f t="shared" si="3"/>
        <v>349</v>
      </c>
      <c r="E23" s="448">
        <f t="shared" si="3"/>
        <v>410</v>
      </c>
      <c r="F23" s="447">
        <f t="shared" si="3"/>
        <v>461</v>
      </c>
      <c r="G23" s="1378">
        <f t="shared" si="3"/>
        <v>78</v>
      </c>
      <c r="H23" s="448">
        <f t="shared" si="3"/>
        <v>349</v>
      </c>
      <c r="I23" s="448">
        <f t="shared" si="3"/>
        <v>410</v>
      </c>
      <c r="J23" s="447">
        <f t="shared" si="3"/>
        <v>461</v>
      </c>
      <c r="K23" s="422"/>
      <c r="L23" s="448">
        <f t="shared" si="1"/>
        <v>1025</v>
      </c>
    </row>
    <row r="24" spans="1:12" ht="13.5">
      <c r="A24" s="448">
        <v>1050</v>
      </c>
      <c r="B24" s="447">
        <v>1100</v>
      </c>
      <c r="C24" s="1378">
        <f t="shared" si="3"/>
        <v>82</v>
      </c>
      <c r="D24" s="448">
        <f t="shared" si="3"/>
        <v>366</v>
      </c>
      <c r="E24" s="448">
        <f t="shared" si="3"/>
        <v>430</v>
      </c>
      <c r="F24" s="447">
        <f t="shared" si="3"/>
        <v>484</v>
      </c>
      <c r="G24" s="1378">
        <f t="shared" si="3"/>
        <v>82</v>
      </c>
      <c r="H24" s="448">
        <f t="shared" si="3"/>
        <v>366</v>
      </c>
      <c r="I24" s="448">
        <f t="shared" si="3"/>
        <v>430</v>
      </c>
      <c r="J24" s="447">
        <f t="shared" si="3"/>
        <v>484</v>
      </c>
      <c r="K24" s="422"/>
      <c r="L24" s="448">
        <f t="shared" si="1"/>
        <v>1075</v>
      </c>
    </row>
    <row r="25" spans="1:12" ht="13.5">
      <c r="A25" s="448">
        <v>1100</v>
      </c>
      <c r="B25" s="447">
        <v>1150</v>
      </c>
      <c r="C25" s="1378">
        <f t="shared" si="3"/>
        <v>86</v>
      </c>
      <c r="D25" s="448">
        <f t="shared" si="3"/>
        <v>383</v>
      </c>
      <c r="E25" s="448">
        <f t="shared" si="3"/>
        <v>450</v>
      </c>
      <c r="F25" s="447">
        <f t="shared" si="3"/>
        <v>506</v>
      </c>
      <c r="G25" s="1378">
        <f t="shared" si="3"/>
        <v>86</v>
      </c>
      <c r="H25" s="448">
        <f t="shared" si="3"/>
        <v>383</v>
      </c>
      <c r="I25" s="448">
        <f t="shared" si="3"/>
        <v>450</v>
      </c>
      <c r="J25" s="447">
        <f t="shared" si="3"/>
        <v>506</v>
      </c>
      <c r="K25" s="422"/>
      <c r="L25" s="448">
        <f t="shared" si="1"/>
        <v>1125</v>
      </c>
    </row>
    <row r="26" spans="1:12" ht="13.5">
      <c r="A26" s="448">
        <v>1150</v>
      </c>
      <c r="B26" s="447">
        <v>1200</v>
      </c>
      <c r="C26" s="1378">
        <f t="shared" si="3"/>
        <v>90</v>
      </c>
      <c r="D26" s="448">
        <f t="shared" si="3"/>
        <v>400</v>
      </c>
      <c r="E26" s="448">
        <f t="shared" si="3"/>
        <v>470</v>
      </c>
      <c r="F26" s="447">
        <f t="shared" si="3"/>
        <v>529</v>
      </c>
      <c r="G26" s="1378">
        <f t="shared" si="3"/>
        <v>90</v>
      </c>
      <c r="H26" s="448">
        <f t="shared" si="3"/>
        <v>400</v>
      </c>
      <c r="I26" s="448">
        <f t="shared" si="3"/>
        <v>470</v>
      </c>
      <c r="J26" s="447">
        <f t="shared" si="3"/>
        <v>529</v>
      </c>
      <c r="K26" s="422"/>
      <c r="L26" s="448">
        <f t="shared" si="1"/>
        <v>1175</v>
      </c>
    </row>
    <row r="27" spans="1:12" ht="13.5">
      <c r="A27" s="448">
        <v>1200</v>
      </c>
      <c r="B27" s="447">
        <v>1250</v>
      </c>
      <c r="C27" s="1378">
        <f t="shared" si="3"/>
        <v>94</v>
      </c>
      <c r="D27" s="448">
        <f t="shared" si="3"/>
        <v>417</v>
      </c>
      <c r="E27" s="448">
        <f t="shared" si="3"/>
        <v>490</v>
      </c>
      <c r="F27" s="447">
        <f t="shared" si="3"/>
        <v>551</v>
      </c>
      <c r="G27" s="1378">
        <f t="shared" si="3"/>
        <v>94</v>
      </c>
      <c r="H27" s="448">
        <f t="shared" si="3"/>
        <v>417</v>
      </c>
      <c r="I27" s="448">
        <f t="shared" si="3"/>
        <v>490</v>
      </c>
      <c r="J27" s="447">
        <f t="shared" si="3"/>
        <v>551</v>
      </c>
      <c r="K27" s="422"/>
      <c r="L27" s="448">
        <f t="shared" si="1"/>
        <v>1225</v>
      </c>
    </row>
    <row r="28" spans="1:12" ht="13.5">
      <c r="A28" s="448">
        <v>1250</v>
      </c>
      <c r="B28" s="447">
        <v>1300</v>
      </c>
      <c r="C28" s="1378">
        <f t="shared" si="3"/>
        <v>97</v>
      </c>
      <c r="D28" s="448">
        <f t="shared" si="3"/>
        <v>434</v>
      </c>
      <c r="E28" s="448">
        <f t="shared" si="3"/>
        <v>510</v>
      </c>
      <c r="F28" s="447">
        <f t="shared" si="3"/>
        <v>574</v>
      </c>
      <c r="G28" s="1378">
        <f t="shared" si="3"/>
        <v>97</v>
      </c>
      <c r="H28" s="448">
        <f t="shared" si="3"/>
        <v>434</v>
      </c>
      <c r="I28" s="448">
        <f t="shared" si="3"/>
        <v>510</v>
      </c>
      <c r="J28" s="447">
        <f t="shared" si="3"/>
        <v>574</v>
      </c>
      <c r="K28" s="422"/>
      <c r="L28" s="448">
        <f t="shared" si="1"/>
        <v>1275</v>
      </c>
    </row>
    <row r="29" spans="1:12" ht="13.5">
      <c r="A29" s="448">
        <v>1300</v>
      </c>
      <c r="B29" s="447">
        <v>1350</v>
      </c>
      <c r="C29" s="1378">
        <f t="shared" si="3"/>
        <v>101</v>
      </c>
      <c r="D29" s="448">
        <f t="shared" si="3"/>
        <v>451</v>
      </c>
      <c r="E29" s="448">
        <f t="shared" si="3"/>
        <v>530</v>
      </c>
      <c r="F29" s="447">
        <f t="shared" si="3"/>
        <v>596</v>
      </c>
      <c r="G29" s="1378">
        <f t="shared" si="3"/>
        <v>101</v>
      </c>
      <c r="H29" s="448">
        <f t="shared" si="3"/>
        <v>451</v>
      </c>
      <c r="I29" s="448">
        <f t="shared" si="3"/>
        <v>530</v>
      </c>
      <c r="J29" s="447">
        <f t="shared" si="3"/>
        <v>596</v>
      </c>
      <c r="K29" s="422"/>
      <c r="L29" s="448">
        <f t="shared" si="1"/>
        <v>1325</v>
      </c>
    </row>
    <row r="30" spans="1:12" ht="13.5">
      <c r="A30" s="448">
        <v>1350</v>
      </c>
      <c r="B30" s="447">
        <v>1400</v>
      </c>
      <c r="C30" s="1378">
        <f t="shared" si="3"/>
        <v>105</v>
      </c>
      <c r="D30" s="448">
        <f t="shared" si="3"/>
        <v>468</v>
      </c>
      <c r="E30" s="448">
        <f t="shared" si="3"/>
        <v>550</v>
      </c>
      <c r="F30" s="447">
        <f t="shared" si="3"/>
        <v>619</v>
      </c>
      <c r="G30" s="1378">
        <f t="shared" si="3"/>
        <v>105</v>
      </c>
      <c r="H30" s="448">
        <f t="shared" si="3"/>
        <v>468</v>
      </c>
      <c r="I30" s="448">
        <f t="shared" si="3"/>
        <v>550</v>
      </c>
      <c r="J30" s="447">
        <f t="shared" si="3"/>
        <v>619</v>
      </c>
      <c r="K30" s="422"/>
      <c r="L30" s="448">
        <f t="shared" si="1"/>
        <v>1375</v>
      </c>
    </row>
    <row r="31" spans="1:12" ht="13.5">
      <c r="A31" s="448">
        <v>1400</v>
      </c>
      <c r="B31" s="447">
        <v>1450</v>
      </c>
      <c r="C31" s="1378">
        <f t="shared" si="3"/>
        <v>109</v>
      </c>
      <c r="D31" s="448">
        <f t="shared" si="3"/>
        <v>485</v>
      </c>
      <c r="E31" s="448">
        <f t="shared" si="3"/>
        <v>570</v>
      </c>
      <c r="F31" s="447">
        <f t="shared" si="3"/>
        <v>641</v>
      </c>
      <c r="G31" s="1378">
        <f t="shared" si="3"/>
        <v>109</v>
      </c>
      <c r="H31" s="448">
        <f t="shared" si="3"/>
        <v>485</v>
      </c>
      <c r="I31" s="448">
        <f t="shared" si="3"/>
        <v>570</v>
      </c>
      <c r="J31" s="447">
        <f t="shared" si="3"/>
        <v>641</v>
      </c>
      <c r="K31" s="422"/>
      <c r="L31" s="448">
        <f t="shared" si="1"/>
        <v>1425</v>
      </c>
    </row>
    <row r="32" spans="1:12" ht="13.5">
      <c r="A32" s="448">
        <v>1450</v>
      </c>
      <c r="B32" s="447">
        <v>1500</v>
      </c>
      <c r="C32" s="1378">
        <f t="shared" si="3"/>
        <v>113</v>
      </c>
      <c r="D32" s="448">
        <f t="shared" si="3"/>
        <v>502</v>
      </c>
      <c r="E32" s="448">
        <f t="shared" si="3"/>
        <v>590</v>
      </c>
      <c r="F32" s="447">
        <f t="shared" si="3"/>
        <v>664</v>
      </c>
      <c r="G32" s="1378">
        <f t="shared" si="3"/>
        <v>113</v>
      </c>
      <c r="H32" s="448">
        <f t="shared" si="3"/>
        <v>502</v>
      </c>
      <c r="I32" s="448">
        <f t="shared" si="3"/>
        <v>590</v>
      </c>
      <c r="J32" s="447">
        <f t="shared" si="3"/>
        <v>664</v>
      </c>
      <c r="K32" s="422"/>
      <c r="L32" s="448">
        <f t="shared" si="1"/>
        <v>1475</v>
      </c>
    </row>
    <row r="33" spans="1:12" ht="13.5">
      <c r="A33" s="448">
        <v>1500</v>
      </c>
      <c r="B33" s="447">
        <v>1550</v>
      </c>
      <c r="C33" s="1378">
        <f t="shared" si="3"/>
        <v>117</v>
      </c>
      <c r="D33" s="448">
        <f t="shared" si="3"/>
        <v>519</v>
      </c>
      <c r="E33" s="448">
        <f t="shared" si="3"/>
        <v>610</v>
      </c>
      <c r="F33" s="447">
        <f t="shared" si="3"/>
        <v>686</v>
      </c>
      <c r="G33" s="1378">
        <f t="shared" si="3"/>
        <v>117</v>
      </c>
      <c r="H33" s="448">
        <f t="shared" si="3"/>
        <v>519</v>
      </c>
      <c r="I33" s="448">
        <f t="shared" si="3"/>
        <v>610</v>
      </c>
      <c r="J33" s="447">
        <f t="shared" si="3"/>
        <v>686</v>
      </c>
      <c r="K33" s="422"/>
      <c r="L33" s="448">
        <f t="shared" si="1"/>
        <v>1525</v>
      </c>
    </row>
    <row r="34" spans="1:12" ht="13.5">
      <c r="A34" s="448">
        <v>1550</v>
      </c>
      <c r="B34" s="447">
        <v>1600</v>
      </c>
      <c r="C34" s="1378">
        <f t="shared" si="3"/>
        <v>120</v>
      </c>
      <c r="D34" s="448">
        <f t="shared" si="3"/>
        <v>536</v>
      </c>
      <c r="E34" s="448">
        <f t="shared" si="3"/>
        <v>630</v>
      </c>
      <c r="F34" s="447">
        <f t="shared" si="3"/>
        <v>709</v>
      </c>
      <c r="G34" s="1378">
        <f t="shared" si="3"/>
        <v>120</v>
      </c>
      <c r="H34" s="448">
        <f t="shared" si="3"/>
        <v>536</v>
      </c>
      <c r="I34" s="448">
        <f t="shared" si="3"/>
        <v>630</v>
      </c>
      <c r="J34" s="447">
        <f t="shared" si="3"/>
        <v>709</v>
      </c>
      <c r="K34" s="422"/>
      <c r="L34" s="448">
        <f t="shared" si="1"/>
        <v>1575</v>
      </c>
    </row>
    <row r="35" spans="1:12" ht="13.5">
      <c r="A35" s="448">
        <v>1600</v>
      </c>
      <c r="B35" s="447">
        <v>1650</v>
      </c>
      <c r="C35" s="1378">
        <f t="shared" ref="C35:J66" si="4">IF($L35&gt;N$5,MAX(0,N$3+ROUND((N$9*($L35-N$5)),0)),IF($L35&gt;N$4,N$3,ROUND($L35*N$7,0)))</f>
        <v>124</v>
      </c>
      <c r="D35" s="448">
        <f t="shared" si="4"/>
        <v>553</v>
      </c>
      <c r="E35" s="448">
        <f t="shared" si="4"/>
        <v>650</v>
      </c>
      <c r="F35" s="447">
        <f t="shared" si="4"/>
        <v>731</v>
      </c>
      <c r="G35" s="1378">
        <f t="shared" si="4"/>
        <v>124</v>
      </c>
      <c r="H35" s="448">
        <f t="shared" si="4"/>
        <v>553</v>
      </c>
      <c r="I35" s="448">
        <f t="shared" si="4"/>
        <v>650</v>
      </c>
      <c r="J35" s="447">
        <f t="shared" si="4"/>
        <v>731</v>
      </c>
      <c r="K35" s="422"/>
      <c r="L35" s="448">
        <f t="shared" si="1"/>
        <v>1625</v>
      </c>
    </row>
    <row r="36" spans="1:12" ht="13.5">
      <c r="A36" s="448">
        <v>1650</v>
      </c>
      <c r="B36" s="447">
        <v>1700</v>
      </c>
      <c r="C36" s="1378">
        <f t="shared" si="4"/>
        <v>128</v>
      </c>
      <c r="D36" s="448">
        <f t="shared" si="4"/>
        <v>570</v>
      </c>
      <c r="E36" s="448">
        <f t="shared" si="4"/>
        <v>670</v>
      </c>
      <c r="F36" s="447">
        <f t="shared" si="4"/>
        <v>754</v>
      </c>
      <c r="G36" s="1378">
        <f t="shared" si="4"/>
        <v>128</v>
      </c>
      <c r="H36" s="448">
        <f t="shared" si="4"/>
        <v>570</v>
      </c>
      <c r="I36" s="448">
        <f t="shared" si="4"/>
        <v>670</v>
      </c>
      <c r="J36" s="447">
        <f t="shared" si="4"/>
        <v>754</v>
      </c>
      <c r="K36" s="422"/>
      <c r="L36" s="448">
        <f t="shared" si="1"/>
        <v>1675</v>
      </c>
    </row>
    <row r="37" spans="1:12" ht="13.5">
      <c r="A37" s="448">
        <v>1700</v>
      </c>
      <c r="B37" s="447">
        <v>1750</v>
      </c>
      <c r="C37" s="1378">
        <f t="shared" si="4"/>
        <v>132</v>
      </c>
      <c r="D37" s="448">
        <f t="shared" si="4"/>
        <v>587</v>
      </c>
      <c r="E37" s="448">
        <f t="shared" si="4"/>
        <v>690</v>
      </c>
      <c r="F37" s="447">
        <f t="shared" si="4"/>
        <v>776</v>
      </c>
      <c r="G37" s="1378">
        <f t="shared" si="4"/>
        <v>132</v>
      </c>
      <c r="H37" s="448">
        <f t="shared" si="4"/>
        <v>587</v>
      </c>
      <c r="I37" s="448">
        <f t="shared" si="4"/>
        <v>690</v>
      </c>
      <c r="J37" s="447">
        <f t="shared" si="4"/>
        <v>776</v>
      </c>
      <c r="K37" s="422"/>
      <c r="L37" s="448">
        <f t="shared" si="1"/>
        <v>1725</v>
      </c>
    </row>
    <row r="38" spans="1:12" ht="13.5">
      <c r="A38" s="448">
        <v>1750</v>
      </c>
      <c r="B38" s="447">
        <v>1800</v>
      </c>
      <c r="C38" s="1378">
        <f t="shared" si="4"/>
        <v>136</v>
      </c>
      <c r="D38" s="448">
        <f t="shared" si="4"/>
        <v>604</v>
      </c>
      <c r="E38" s="448">
        <f t="shared" si="4"/>
        <v>710</v>
      </c>
      <c r="F38" s="447">
        <f t="shared" si="4"/>
        <v>799</v>
      </c>
      <c r="G38" s="1378">
        <f t="shared" si="4"/>
        <v>136</v>
      </c>
      <c r="H38" s="448">
        <f t="shared" si="4"/>
        <v>604</v>
      </c>
      <c r="I38" s="448">
        <f t="shared" si="4"/>
        <v>710</v>
      </c>
      <c r="J38" s="447">
        <f t="shared" si="4"/>
        <v>799</v>
      </c>
      <c r="K38" s="422"/>
      <c r="L38" s="448">
        <f t="shared" si="1"/>
        <v>1775</v>
      </c>
    </row>
    <row r="39" spans="1:12" ht="13.5">
      <c r="A39" s="448">
        <v>1800</v>
      </c>
      <c r="B39" s="447">
        <v>1850</v>
      </c>
      <c r="C39" s="1378">
        <f t="shared" si="4"/>
        <v>139</v>
      </c>
      <c r="D39" s="448">
        <f t="shared" si="4"/>
        <v>621</v>
      </c>
      <c r="E39" s="448">
        <f t="shared" si="4"/>
        <v>730</v>
      </c>
      <c r="F39" s="447">
        <f t="shared" si="4"/>
        <v>821</v>
      </c>
      <c r="G39" s="1378">
        <f t="shared" si="4"/>
        <v>139</v>
      </c>
      <c r="H39" s="448">
        <f t="shared" si="4"/>
        <v>621</v>
      </c>
      <c r="I39" s="448">
        <f t="shared" si="4"/>
        <v>730</v>
      </c>
      <c r="J39" s="447">
        <f t="shared" si="4"/>
        <v>821</v>
      </c>
      <c r="K39" s="422"/>
      <c r="L39" s="448">
        <f t="shared" si="1"/>
        <v>1825</v>
      </c>
    </row>
    <row r="40" spans="1:12" ht="13.5">
      <c r="A40" s="448">
        <v>1850</v>
      </c>
      <c r="B40" s="447">
        <v>1900</v>
      </c>
      <c r="C40" s="1378">
        <f t="shared" si="4"/>
        <v>143</v>
      </c>
      <c r="D40" s="448">
        <f t="shared" si="4"/>
        <v>638</v>
      </c>
      <c r="E40" s="448">
        <f t="shared" si="4"/>
        <v>750</v>
      </c>
      <c r="F40" s="447">
        <f t="shared" si="4"/>
        <v>844</v>
      </c>
      <c r="G40" s="1378">
        <f t="shared" si="4"/>
        <v>143</v>
      </c>
      <c r="H40" s="448">
        <f t="shared" si="4"/>
        <v>638</v>
      </c>
      <c r="I40" s="448">
        <f t="shared" si="4"/>
        <v>750</v>
      </c>
      <c r="J40" s="447">
        <f t="shared" si="4"/>
        <v>844</v>
      </c>
      <c r="K40" s="422"/>
      <c r="L40" s="448">
        <f t="shared" si="1"/>
        <v>1875</v>
      </c>
    </row>
    <row r="41" spans="1:12" ht="13.5">
      <c r="A41" s="448">
        <v>1900</v>
      </c>
      <c r="B41" s="447">
        <v>1950</v>
      </c>
      <c r="C41" s="1378">
        <f t="shared" si="4"/>
        <v>147</v>
      </c>
      <c r="D41" s="448">
        <f t="shared" si="4"/>
        <v>655</v>
      </c>
      <c r="E41" s="448">
        <f t="shared" si="4"/>
        <v>770</v>
      </c>
      <c r="F41" s="447">
        <f t="shared" si="4"/>
        <v>866</v>
      </c>
      <c r="G41" s="1378">
        <f t="shared" si="4"/>
        <v>147</v>
      </c>
      <c r="H41" s="448">
        <f t="shared" si="4"/>
        <v>655</v>
      </c>
      <c r="I41" s="448">
        <f t="shared" si="4"/>
        <v>770</v>
      </c>
      <c r="J41" s="447">
        <f t="shared" si="4"/>
        <v>866</v>
      </c>
      <c r="K41" s="422"/>
      <c r="L41" s="448">
        <f t="shared" si="1"/>
        <v>1925</v>
      </c>
    </row>
    <row r="42" spans="1:12" ht="13.5">
      <c r="A42" s="448">
        <v>1950</v>
      </c>
      <c r="B42" s="447">
        <v>2000</v>
      </c>
      <c r="C42" s="1378">
        <f t="shared" si="4"/>
        <v>151</v>
      </c>
      <c r="D42" s="448">
        <f t="shared" si="4"/>
        <v>672</v>
      </c>
      <c r="E42" s="448">
        <f t="shared" si="4"/>
        <v>790</v>
      </c>
      <c r="F42" s="447">
        <f t="shared" si="4"/>
        <v>889</v>
      </c>
      <c r="G42" s="1378">
        <f t="shared" si="4"/>
        <v>151</v>
      </c>
      <c r="H42" s="448">
        <f t="shared" si="4"/>
        <v>672</v>
      </c>
      <c r="I42" s="448">
        <f t="shared" si="4"/>
        <v>790</v>
      </c>
      <c r="J42" s="447">
        <f t="shared" si="4"/>
        <v>889</v>
      </c>
      <c r="K42" s="422"/>
      <c r="L42" s="448">
        <f t="shared" si="1"/>
        <v>1975</v>
      </c>
    </row>
    <row r="43" spans="1:12" ht="13.5">
      <c r="A43" s="448">
        <v>2000</v>
      </c>
      <c r="B43" s="447">
        <v>2050</v>
      </c>
      <c r="C43" s="1378">
        <f t="shared" si="4"/>
        <v>155</v>
      </c>
      <c r="D43" s="448">
        <f t="shared" si="4"/>
        <v>689</v>
      </c>
      <c r="E43" s="448">
        <f t="shared" si="4"/>
        <v>810</v>
      </c>
      <c r="F43" s="447">
        <f t="shared" si="4"/>
        <v>911</v>
      </c>
      <c r="G43" s="1378">
        <f t="shared" si="4"/>
        <v>155</v>
      </c>
      <c r="H43" s="448">
        <f t="shared" si="4"/>
        <v>689</v>
      </c>
      <c r="I43" s="448">
        <f t="shared" si="4"/>
        <v>810</v>
      </c>
      <c r="J43" s="447">
        <f t="shared" si="4"/>
        <v>911</v>
      </c>
      <c r="K43" s="422"/>
      <c r="L43" s="448">
        <f t="shared" si="1"/>
        <v>2025</v>
      </c>
    </row>
    <row r="44" spans="1:12" ht="13.5">
      <c r="A44" s="448">
        <v>2050</v>
      </c>
      <c r="B44" s="447">
        <v>2100</v>
      </c>
      <c r="C44" s="1378">
        <f t="shared" si="4"/>
        <v>159</v>
      </c>
      <c r="D44" s="448">
        <f t="shared" si="4"/>
        <v>706</v>
      </c>
      <c r="E44" s="448">
        <f t="shared" si="4"/>
        <v>830</v>
      </c>
      <c r="F44" s="447">
        <f t="shared" si="4"/>
        <v>934</v>
      </c>
      <c r="G44" s="1378">
        <f t="shared" si="4"/>
        <v>159</v>
      </c>
      <c r="H44" s="448">
        <f t="shared" si="4"/>
        <v>706</v>
      </c>
      <c r="I44" s="448">
        <f t="shared" si="4"/>
        <v>830</v>
      </c>
      <c r="J44" s="447">
        <f t="shared" si="4"/>
        <v>934</v>
      </c>
      <c r="K44" s="422"/>
      <c r="L44" s="448">
        <f t="shared" si="1"/>
        <v>2075</v>
      </c>
    </row>
    <row r="45" spans="1:12" ht="13.5">
      <c r="A45" s="448">
        <v>2100</v>
      </c>
      <c r="B45" s="447">
        <v>2150</v>
      </c>
      <c r="C45" s="1378">
        <f t="shared" si="4"/>
        <v>162</v>
      </c>
      <c r="D45" s="448">
        <f t="shared" si="4"/>
        <v>723</v>
      </c>
      <c r="E45" s="448">
        <f t="shared" si="4"/>
        <v>850</v>
      </c>
      <c r="F45" s="447">
        <f t="shared" si="4"/>
        <v>956</v>
      </c>
      <c r="G45" s="1378">
        <f t="shared" si="4"/>
        <v>162</v>
      </c>
      <c r="H45" s="448">
        <f t="shared" si="4"/>
        <v>723</v>
      </c>
      <c r="I45" s="448">
        <f t="shared" si="4"/>
        <v>850</v>
      </c>
      <c r="J45" s="447">
        <f t="shared" si="4"/>
        <v>956</v>
      </c>
      <c r="K45" s="422"/>
      <c r="L45" s="448">
        <f t="shared" si="1"/>
        <v>2125</v>
      </c>
    </row>
    <row r="46" spans="1:12" ht="13.5">
      <c r="A46" s="448">
        <v>2150</v>
      </c>
      <c r="B46" s="447">
        <v>2200</v>
      </c>
      <c r="C46" s="1378">
        <f t="shared" si="4"/>
        <v>166</v>
      </c>
      <c r="D46" s="448">
        <f t="shared" si="4"/>
        <v>740</v>
      </c>
      <c r="E46" s="448">
        <f t="shared" si="4"/>
        <v>870</v>
      </c>
      <c r="F46" s="447">
        <f t="shared" si="4"/>
        <v>979</v>
      </c>
      <c r="G46" s="1378">
        <f t="shared" si="4"/>
        <v>166</v>
      </c>
      <c r="H46" s="448">
        <f t="shared" si="4"/>
        <v>740</v>
      </c>
      <c r="I46" s="448">
        <f t="shared" si="4"/>
        <v>870</v>
      </c>
      <c r="J46" s="447">
        <f t="shared" si="4"/>
        <v>979</v>
      </c>
      <c r="K46" s="422"/>
      <c r="L46" s="448">
        <f t="shared" si="1"/>
        <v>2175</v>
      </c>
    </row>
    <row r="47" spans="1:12" ht="13.5">
      <c r="A47" s="448">
        <v>2200</v>
      </c>
      <c r="B47" s="447">
        <v>2250</v>
      </c>
      <c r="C47" s="1378">
        <f t="shared" si="4"/>
        <v>170</v>
      </c>
      <c r="D47" s="448">
        <f t="shared" si="4"/>
        <v>757</v>
      </c>
      <c r="E47" s="448">
        <f t="shared" si="4"/>
        <v>890</v>
      </c>
      <c r="F47" s="447">
        <f t="shared" si="4"/>
        <v>1001</v>
      </c>
      <c r="G47" s="1378">
        <f t="shared" si="4"/>
        <v>170</v>
      </c>
      <c r="H47" s="448">
        <f t="shared" si="4"/>
        <v>757</v>
      </c>
      <c r="I47" s="448">
        <f t="shared" si="4"/>
        <v>890</v>
      </c>
      <c r="J47" s="447">
        <f t="shared" si="4"/>
        <v>1001</v>
      </c>
      <c r="K47" s="422"/>
      <c r="L47" s="448">
        <f t="shared" si="1"/>
        <v>2225</v>
      </c>
    </row>
    <row r="48" spans="1:12" ht="13.5">
      <c r="A48" s="448">
        <v>2250</v>
      </c>
      <c r="B48" s="447">
        <v>2300</v>
      </c>
      <c r="C48" s="1378">
        <f t="shared" si="4"/>
        <v>174</v>
      </c>
      <c r="D48" s="448">
        <f t="shared" si="4"/>
        <v>774</v>
      </c>
      <c r="E48" s="448">
        <f t="shared" si="4"/>
        <v>910</v>
      </c>
      <c r="F48" s="447">
        <f t="shared" si="4"/>
        <v>1024</v>
      </c>
      <c r="G48" s="1378">
        <f t="shared" si="4"/>
        <v>174</v>
      </c>
      <c r="H48" s="448">
        <f t="shared" si="4"/>
        <v>774</v>
      </c>
      <c r="I48" s="448">
        <f t="shared" si="4"/>
        <v>910</v>
      </c>
      <c r="J48" s="447">
        <f t="shared" si="4"/>
        <v>1024</v>
      </c>
      <c r="K48" s="422"/>
      <c r="L48" s="448">
        <f t="shared" si="1"/>
        <v>2275</v>
      </c>
    </row>
    <row r="49" spans="1:12" ht="13.5">
      <c r="A49" s="448">
        <v>2300</v>
      </c>
      <c r="B49" s="447">
        <v>2350</v>
      </c>
      <c r="C49" s="1378">
        <f t="shared" si="4"/>
        <v>178</v>
      </c>
      <c r="D49" s="448">
        <f t="shared" si="4"/>
        <v>791</v>
      </c>
      <c r="E49" s="448">
        <f t="shared" si="4"/>
        <v>930</v>
      </c>
      <c r="F49" s="447">
        <f t="shared" si="4"/>
        <v>1046</v>
      </c>
      <c r="G49" s="1378">
        <f t="shared" si="4"/>
        <v>178</v>
      </c>
      <c r="H49" s="448">
        <f t="shared" si="4"/>
        <v>791</v>
      </c>
      <c r="I49" s="448">
        <f t="shared" si="4"/>
        <v>930</v>
      </c>
      <c r="J49" s="447">
        <f t="shared" si="4"/>
        <v>1046</v>
      </c>
      <c r="K49" s="422"/>
      <c r="L49" s="448">
        <f t="shared" si="1"/>
        <v>2325</v>
      </c>
    </row>
    <row r="50" spans="1:12" ht="13.5">
      <c r="A50" s="448">
        <v>2350</v>
      </c>
      <c r="B50" s="447">
        <v>2400</v>
      </c>
      <c r="C50" s="1378">
        <f t="shared" si="4"/>
        <v>181</v>
      </c>
      <c r="D50" s="448">
        <f t="shared" si="4"/>
        <v>808</v>
      </c>
      <c r="E50" s="448">
        <f t="shared" si="4"/>
        <v>950</v>
      </c>
      <c r="F50" s="447">
        <f t="shared" si="4"/>
        <v>1069</v>
      </c>
      <c r="G50" s="1378">
        <f t="shared" si="4"/>
        <v>181</v>
      </c>
      <c r="H50" s="448">
        <f t="shared" si="4"/>
        <v>808</v>
      </c>
      <c r="I50" s="448">
        <f t="shared" si="4"/>
        <v>950</v>
      </c>
      <c r="J50" s="447">
        <f t="shared" si="4"/>
        <v>1069</v>
      </c>
      <c r="K50" s="422"/>
      <c r="L50" s="448">
        <f t="shared" si="1"/>
        <v>2375</v>
      </c>
    </row>
    <row r="51" spans="1:12" ht="13.5">
      <c r="A51" s="448">
        <v>2400</v>
      </c>
      <c r="B51" s="447">
        <v>2450</v>
      </c>
      <c r="C51" s="1378">
        <f t="shared" si="4"/>
        <v>185</v>
      </c>
      <c r="D51" s="448">
        <f t="shared" si="4"/>
        <v>825</v>
      </c>
      <c r="E51" s="448">
        <f t="shared" si="4"/>
        <v>970</v>
      </c>
      <c r="F51" s="447">
        <f t="shared" si="4"/>
        <v>1091</v>
      </c>
      <c r="G51" s="1378">
        <f t="shared" si="4"/>
        <v>185</v>
      </c>
      <c r="H51" s="448">
        <f t="shared" si="4"/>
        <v>825</v>
      </c>
      <c r="I51" s="448">
        <f t="shared" si="4"/>
        <v>970</v>
      </c>
      <c r="J51" s="447">
        <f t="shared" si="4"/>
        <v>1091</v>
      </c>
      <c r="K51" s="422"/>
      <c r="L51" s="448">
        <f t="shared" si="1"/>
        <v>2425</v>
      </c>
    </row>
    <row r="52" spans="1:12" ht="13.5">
      <c r="A52" s="448">
        <v>2450</v>
      </c>
      <c r="B52" s="447">
        <v>2500</v>
      </c>
      <c r="C52" s="1378">
        <f t="shared" si="4"/>
        <v>189</v>
      </c>
      <c r="D52" s="448">
        <f t="shared" si="4"/>
        <v>842</v>
      </c>
      <c r="E52" s="448">
        <f t="shared" si="4"/>
        <v>990</v>
      </c>
      <c r="F52" s="447">
        <f t="shared" si="4"/>
        <v>1114</v>
      </c>
      <c r="G52" s="1378">
        <f t="shared" si="4"/>
        <v>189</v>
      </c>
      <c r="H52" s="448">
        <f t="shared" si="4"/>
        <v>842</v>
      </c>
      <c r="I52" s="448">
        <f t="shared" si="4"/>
        <v>990</v>
      </c>
      <c r="J52" s="447">
        <f t="shared" si="4"/>
        <v>1114</v>
      </c>
      <c r="K52" s="422"/>
      <c r="L52" s="448">
        <f t="shared" si="1"/>
        <v>2475</v>
      </c>
    </row>
    <row r="53" spans="1:12" ht="13.5">
      <c r="A53" s="448">
        <v>2500</v>
      </c>
      <c r="B53" s="447">
        <v>2550</v>
      </c>
      <c r="C53" s="1378">
        <f t="shared" si="4"/>
        <v>193</v>
      </c>
      <c r="D53" s="448">
        <f t="shared" si="4"/>
        <v>859</v>
      </c>
      <c r="E53" s="448">
        <f t="shared" si="4"/>
        <v>1010</v>
      </c>
      <c r="F53" s="447">
        <f t="shared" si="4"/>
        <v>1136</v>
      </c>
      <c r="G53" s="1378">
        <f t="shared" si="4"/>
        <v>193</v>
      </c>
      <c r="H53" s="448">
        <f t="shared" si="4"/>
        <v>859</v>
      </c>
      <c r="I53" s="448">
        <f t="shared" si="4"/>
        <v>1010</v>
      </c>
      <c r="J53" s="447">
        <f t="shared" si="4"/>
        <v>1136</v>
      </c>
      <c r="K53" s="422"/>
      <c r="L53" s="448">
        <f t="shared" si="1"/>
        <v>2525</v>
      </c>
    </row>
    <row r="54" spans="1:12" ht="13.5">
      <c r="A54" s="448">
        <v>2550</v>
      </c>
      <c r="B54" s="447">
        <v>2600</v>
      </c>
      <c r="C54" s="1378">
        <f t="shared" si="4"/>
        <v>197</v>
      </c>
      <c r="D54" s="448">
        <f t="shared" si="4"/>
        <v>876</v>
      </c>
      <c r="E54" s="448">
        <f t="shared" si="4"/>
        <v>1030</v>
      </c>
      <c r="F54" s="447">
        <f t="shared" si="4"/>
        <v>1159</v>
      </c>
      <c r="G54" s="1378">
        <f t="shared" si="4"/>
        <v>197</v>
      </c>
      <c r="H54" s="448">
        <f t="shared" si="4"/>
        <v>876</v>
      </c>
      <c r="I54" s="448">
        <f t="shared" si="4"/>
        <v>1030</v>
      </c>
      <c r="J54" s="447">
        <f t="shared" si="4"/>
        <v>1159</v>
      </c>
      <c r="K54" s="422"/>
      <c r="L54" s="448">
        <f t="shared" si="1"/>
        <v>2575</v>
      </c>
    </row>
    <row r="55" spans="1:12" ht="13.5">
      <c r="A55" s="448">
        <v>2600</v>
      </c>
      <c r="B55" s="447">
        <v>2650</v>
      </c>
      <c r="C55" s="1378">
        <f t="shared" si="4"/>
        <v>201</v>
      </c>
      <c r="D55" s="448">
        <f t="shared" si="4"/>
        <v>893</v>
      </c>
      <c r="E55" s="448">
        <f t="shared" si="4"/>
        <v>1050</v>
      </c>
      <c r="F55" s="447">
        <f t="shared" si="4"/>
        <v>1181</v>
      </c>
      <c r="G55" s="1378">
        <f t="shared" si="4"/>
        <v>201</v>
      </c>
      <c r="H55" s="448">
        <f t="shared" si="4"/>
        <v>893</v>
      </c>
      <c r="I55" s="448">
        <f t="shared" si="4"/>
        <v>1050</v>
      </c>
      <c r="J55" s="447">
        <f t="shared" si="4"/>
        <v>1181</v>
      </c>
      <c r="K55" s="422"/>
      <c r="L55" s="448">
        <f t="shared" si="1"/>
        <v>2625</v>
      </c>
    </row>
    <row r="56" spans="1:12" ht="13.5">
      <c r="A56" s="448">
        <v>2650</v>
      </c>
      <c r="B56" s="447">
        <v>2700</v>
      </c>
      <c r="C56" s="1378">
        <f t="shared" si="4"/>
        <v>204</v>
      </c>
      <c r="D56" s="448">
        <f t="shared" si="4"/>
        <v>910</v>
      </c>
      <c r="E56" s="448">
        <f t="shared" si="4"/>
        <v>1070</v>
      </c>
      <c r="F56" s="447">
        <f t="shared" si="4"/>
        <v>1204</v>
      </c>
      <c r="G56" s="1378">
        <f t="shared" si="4"/>
        <v>204</v>
      </c>
      <c r="H56" s="448">
        <f t="shared" si="4"/>
        <v>910</v>
      </c>
      <c r="I56" s="448">
        <f t="shared" si="4"/>
        <v>1070</v>
      </c>
      <c r="J56" s="447">
        <f t="shared" si="4"/>
        <v>1204</v>
      </c>
      <c r="K56" s="422"/>
      <c r="L56" s="448">
        <f t="shared" si="1"/>
        <v>2675</v>
      </c>
    </row>
    <row r="57" spans="1:12" ht="13.5">
      <c r="A57" s="448">
        <v>2700</v>
      </c>
      <c r="B57" s="447">
        <v>2750</v>
      </c>
      <c r="C57" s="1378">
        <f t="shared" si="4"/>
        <v>208</v>
      </c>
      <c r="D57" s="448">
        <f t="shared" si="4"/>
        <v>927</v>
      </c>
      <c r="E57" s="448">
        <f t="shared" si="4"/>
        <v>1090</v>
      </c>
      <c r="F57" s="447">
        <f t="shared" si="4"/>
        <v>1226</v>
      </c>
      <c r="G57" s="1378">
        <f t="shared" si="4"/>
        <v>208</v>
      </c>
      <c r="H57" s="448">
        <f t="shared" si="4"/>
        <v>927</v>
      </c>
      <c r="I57" s="448">
        <f t="shared" si="4"/>
        <v>1090</v>
      </c>
      <c r="J57" s="447">
        <f t="shared" si="4"/>
        <v>1226</v>
      </c>
      <c r="K57" s="422"/>
      <c r="L57" s="448">
        <f t="shared" si="1"/>
        <v>2725</v>
      </c>
    </row>
    <row r="58" spans="1:12" ht="13.5">
      <c r="A58" s="448">
        <v>2750</v>
      </c>
      <c r="B58" s="447">
        <v>2800</v>
      </c>
      <c r="C58" s="1378">
        <f t="shared" si="4"/>
        <v>212</v>
      </c>
      <c r="D58" s="448">
        <f t="shared" si="4"/>
        <v>944</v>
      </c>
      <c r="E58" s="448">
        <f t="shared" si="4"/>
        <v>1110</v>
      </c>
      <c r="F58" s="447">
        <f t="shared" si="4"/>
        <v>1249</v>
      </c>
      <c r="G58" s="1378">
        <f t="shared" si="4"/>
        <v>212</v>
      </c>
      <c r="H58" s="448">
        <f t="shared" si="4"/>
        <v>944</v>
      </c>
      <c r="I58" s="448">
        <f t="shared" si="4"/>
        <v>1110</v>
      </c>
      <c r="J58" s="447">
        <f t="shared" si="4"/>
        <v>1249</v>
      </c>
      <c r="K58" s="422"/>
      <c r="L58" s="448">
        <f t="shared" si="1"/>
        <v>2775</v>
      </c>
    </row>
    <row r="59" spans="1:12" ht="13.5">
      <c r="A59" s="448">
        <v>2800</v>
      </c>
      <c r="B59" s="447">
        <v>2850</v>
      </c>
      <c r="C59" s="1378">
        <f t="shared" si="4"/>
        <v>216</v>
      </c>
      <c r="D59" s="448">
        <f t="shared" si="4"/>
        <v>961</v>
      </c>
      <c r="E59" s="448">
        <f t="shared" si="4"/>
        <v>1130</v>
      </c>
      <c r="F59" s="447">
        <f t="shared" si="4"/>
        <v>1271</v>
      </c>
      <c r="G59" s="1378">
        <f t="shared" si="4"/>
        <v>216</v>
      </c>
      <c r="H59" s="448">
        <f t="shared" si="4"/>
        <v>961</v>
      </c>
      <c r="I59" s="448">
        <f t="shared" si="4"/>
        <v>1130</v>
      </c>
      <c r="J59" s="447">
        <f t="shared" si="4"/>
        <v>1271</v>
      </c>
      <c r="K59" s="422"/>
      <c r="L59" s="448">
        <f t="shared" si="1"/>
        <v>2825</v>
      </c>
    </row>
    <row r="60" spans="1:12" ht="13.5">
      <c r="A60" s="448">
        <v>2850</v>
      </c>
      <c r="B60" s="447">
        <v>2900</v>
      </c>
      <c r="C60" s="1378">
        <f t="shared" si="4"/>
        <v>220</v>
      </c>
      <c r="D60" s="448">
        <f t="shared" si="4"/>
        <v>978</v>
      </c>
      <c r="E60" s="448">
        <f t="shared" si="4"/>
        <v>1150</v>
      </c>
      <c r="F60" s="447">
        <f t="shared" si="4"/>
        <v>1294</v>
      </c>
      <c r="G60" s="1378">
        <f t="shared" si="4"/>
        <v>220</v>
      </c>
      <c r="H60" s="448">
        <f t="shared" si="4"/>
        <v>978</v>
      </c>
      <c r="I60" s="448">
        <f t="shared" si="4"/>
        <v>1150</v>
      </c>
      <c r="J60" s="447">
        <f t="shared" si="4"/>
        <v>1294</v>
      </c>
      <c r="K60" s="422"/>
      <c r="L60" s="448">
        <f t="shared" si="1"/>
        <v>2875</v>
      </c>
    </row>
    <row r="61" spans="1:12" ht="13.5">
      <c r="A61" s="448">
        <v>2900</v>
      </c>
      <c r="B61" s="447">
        <v>2950</v>
      </c>
      <c r="C61" s="1378">
        <f t="shared" si="4"/>
        <v>223</v>
      </c>
      <c r="D61" s="448">
        <f t="shared" si="4"/>
        <v>995</v>
      </c>
      <c r="E61" s="448">
        <f t="shared" si="4"/>
        <v>1170</v>
      </c>
      <c r="F61" s="447">
        <f t="shared" si="4"/>
        <v>1316</v>
      </c>
      <c r="G61" s="1378">
        <f t="shared" si="4"/>
        <v>223</v>
      </c>
      <c r="H61" s="448">
        <f t="shared" si="4"/>
        <v>995</v>
      </c>
      <c r="I61" s="448">
        <f t="shared" si="4"/>
        <v>1170</v>
      </c>
      <c r="J61" s="447">
        <f t="shared" si="4"/>
        <v>1316</v>
      </c>
      <c r="K61" s="422"/>
      <c r="L61" s="448">
        <f t="shared" si="1"/>
        <v>2925</v>
      </c>
    </row>
    <row r="62" spans="1:12" ht="13.5">
      <c r="A62" s="448">
        <v>2950</v>
      </c>
      <c r="B62" s="447">
        <v>3000</v>
      </c>
      <c r="C62" s="1378">
        <f t="shared" si="4"/>
        <v>227</v>
      </c>
      <c r="D62" s="448">
        <f t="shared" si="4"/>
        <v>1012</v>
      </c>
      <c r="E62" s="448">
        <f t="shared" si="4"/>
        <v>1190</v>
      </c>
      <c r="F62" s="447">
        <f t="shared" si="4"/>
        <v>1339</v>
      </c>
      <c r="G62" s="1378">
        <f t="shared" si="4"/>
        <v>227</v>
      </c>
      <c r="H62" s="448">
        <f t="shared" si="4"/>
        <v>1012</v>
      </c>
      <c r="I62" s="448">
        <f t="shared" si="4"/>
        <v>1190</v>
      </c>
      <c r="J62" s="447">
        <f t="shared" si="4"/>
        <v>1339</v>
      </c>
      <c r="K62" s="422"/>
      <c r="L62" s="448">
        <f t="shared" si="1"/>
        <v>2975</v>
      </c>
    </row>
    <row r="63" spans="1:12" ht="13.5">
      <c r="A63" s="448">
        <v>3000</v>
      </c>
      <c r="B63" s="447">
        <v>3050</v>
      </c>
      <c r="C63" s="1378">
        <f t="shared" si="4"/>
        <v>231</v>
      </c>
      <c r="D63" s="448">
        <f t="shared" si="4"/>
        <v>1029</v>
      </c>
      <c r="E63" s="448">
        <f t="shared" si="4"/>
        <v>1210</v>
      </c>
      <c r="F63" s="447">
        <f t="shared" si="4"/>
        <v>1361</v>
      </c>
      <c r="G63" s="1378">
        <f t="shared" si="4"/>
        <v>231</v>
      </c>
      <c r="H63" s="448">
        <f t="shared" si="4"/>
        <v>1029</v>
      </c>
      <c r="I63" s="448">
        <f t="shared" si="4"/>
        <v>1210</v>
      </c>
      <c r="J63" s="447">
        <f t="shared" si="4"/>
        <v>1361</v>
      </c>
      <c r="K63" s="422"/>
      <c r="L63" s="448">
        <f t="shared" si="1"/>
        <v>3025</v>
      </c>
    </row>
    <row r="64" spans="1:12" ht="13.5">
      <c r="A64" s="448">
        <v>3050</v>
      </c>
      <c r="B64" s="447">
        <v>3100</v>
      </c>
      <c r="C64" s="1378">
        <f t="shared" si="4"/>
        <v>235</v>
      </c>
      <c r="D64" s="448">
        <f t="shared" si="4"/>
        <v>1046</v>
      </c>
      <c r="E64" s="448">
        <f t="shared" si="4"/>
        <v>1230</v>
      </c>
      <c r="F64" s="447">
        <f t="shared" si="4"/>
        <v>1384</v>
      </c>
      <c r="G64" s="1378">
        <f t="shared" si="4"/>
        <v>235</v>
      </c>
      <c r="H64" s="448">
        <f t="shared" si="4"/>
        <v>1046</v>
      </c>
      <c r="I64" s="448">
        <f t="shared" si="4"/>
        <v>1230</v>
      </c>
      <c r="J64" s="447">
        <f t="shared" si="4"/>
        <v>1384</v>
      </c>
      <c r="K64" s="422"/>
      <c r="L64" s="448">
        <f t="shared" si="1"/>
        <v>3075</v>
      </c>
    </row>
    <row r="65" spans="1:12" ht="13.5">
      <c r="A65" s="448">
        <v>3100</v>
      </c>
      <c r="B65" s="447">
        <v>3150</v>
      </c>
      <c r="C65" s="1378">
        <f t="shared" si="4"/>
        <v>239</v>
      </c>
      <c r="D65" s="448">
        <f t="shared" si="4"/>
        <v>1063</v>
      </c>
      <c r="E65" s="448">
        <f t="shared" si="4"/>
        <v>1250</v>
      </c>
      <c r="F65" s="447">
        <f t="shared" si="4"/>
        <v>1406</v>
      </c>
      <c r="G65" s="1378">
        <f t="shared" si="4"/>
        <v>239</v>
      </c>
      <c r="H65" s="448">
        <f t="shared" si="4"/>
        <v>1063</v>
      </c>
      <c r="I65" s="448">
        <f t="shared" si="4"/>
        <v>1250</v>
      </c>
      <c r="J65" s="447">
        <f t="shared" si="4"/>
        <v>1406</v>
      </c>
      <c r="K65" s="422"/>
      <c r="L65" s="448">
        <f t="shared" si="1"/>
        <v>3125</v>
      </c>
    </row>
    <row r="66" spans="1:12" ht="13.5">
      <c r="A66" s="448">
        <v>3150</v>
      </c>
      <c r="B66" s="447">
        <v>3200</v>
      </c>
      <c r="C66" s="1378">
        <f t="shared" si="4"/>
        <v>243</v>
      </c>
      <c r="D66" s="448">
        <f t="shared" si="4"/>
        <v>1080</v>
      </c>
      <c r="E66" s="448">
        <f t="shared" si="4"/>
        <v>1270</v>
      </c>
      <c r="F66" s="447">
        <f t="shared" si="4"/>
        <v>1429</v>
      </c>
      <c r="G66" s="1378">
        <f t="shared" si="4"/>
        <v>243</v>
      </c>
      <c r="H66" s="448">
        <f t="shared" si="4"/>
        <v>1080</v>
      </c>
      <c r="I66" s="448">
        <f t="shared" si="4"/>
        <v>1270</v>
      </c>
      <c r="J66" s="447">
        <f t="shared" ref="J66:J129" si="5">IF($L66&gt;U$5,MAX(0,U$3+ROUND((U$9*($L66-U$5)),0)),IF($L66&gt;U$4,U$3,ROUND($L66*U$7,0)))</f>
        <v>1429</v>
      </c>
      <c r="K66" s="422"/>
      <c r="L66" s="448">
        <f t="shared" si="1"/>
        <v>3175</v>
      </c>
    </row>
    <row r="67" spans="1:12" ht="13.5">
      <c r="A67" s="448">
        <v>3200</v>
      </c>
      <c r="B67" s="447">
        <v>3250</v>
      </c>
      <c r="C67" s="1378">
        <f t="shared" ref="C67:I103" si="6">IF($L67&gt;N$5,MAX(0,N$3+ROUND((N$9*($L67-N$5)),0)),IF($L67&gt;N$4,N$3,ROUND($L67*N$7,0)))</f>
        <v>246</v>
      </c>
      <c r="D67" s="448">
        <f t="shared" si="6"/>
        <v>1097</v>
      </c>
      <c r="E67" s="448">
        <f t="shared" si="6"/>
        <v>1290</v>
      </c>
      <c r="F67" s="447">
        <f t="shared" si="6"/>
        <v>1451</v>
      </c>
      <c r="G67" s="1378">
        <f t="shared" si="6"/>
        <v>246</v>
      </c>
      <c r="H67" s="448">
        <f t="shared" si="6"/>
        <v>1097</v>
      </c>
      <c r="I67" s="448">
        <f t="shared" si="6"/>
        <v>1290</v>
      </c>
      <c r="J67" s="447">
        <f t="shared" si="5"/>
        <v>1451</v>
      </c>
      <c r="K67" s="422"/>
      <c r="L67" s="448">
        <f t="shared" si="1"/>
        <v>3225</v>
      </c>
    </row>
    <row r="68" spans="1:12" ht="13.5">
      <c r="A68" s="448">
        <v>3250</v>
      </c>
      <c r="B68" s="447">
        <v>3300</v>
      </c>
      <c r="C68" s="1378">
        <f t="shared" si="6"/>
        <v>250</v>
      </c>
      <c r="D68" s="448">
        <f t="shared" si="6"/>
        <v>1114</v>
      </c>
      <c r="E68" s="448">
        <f t="shared" si="6"/>
        <v>1310</v>
      </c>
      <c r="F68" s="447">
        <f t="shared" si="6"/>
        <v>1474</v>
      </c>
      <c r="G68" s="1378">
        <f t="shared" si="6"/>
        <v>250</v>
      </c>
      <c r="H68" s="448">
        <f t="shared" si="6"/>
        <v>1114</v>
      </c>
      <c r="I68" s="448">
        <f t="shared" si="6"/>
        <v>1310</v>
      </c>
      <c r="J68" s="447">
        <f t="shared" si="5"/>
        <v>1474</v>
      </c>
      <c r="K68" s="422"/>
      <c r="L68" s="448">
        <f t="shared" ref="L68:L131" si="7">ROUND((A68+B68)/2,2)</f>
        <v>3275</v>
      </c>
    </row>
    <row r="69" spans="1:12" ht="13.5">
      <c r="A69" s="448">
        <v>3300</v>
      </c>
      <c r="B69" s="447">
        <v>3350</v>
      </c>
      <c r="C69" s="1378">
        <f t="shared" si="6"/>
        <v>254</v>
      </c>
      <c r="D69" s="448">
        <f t="shared" si="6"/>
        <v>1131</v>
      </c>
      <c r="E69" s="448">
        <f t="shared" si="6"/>
        <v>1330</v>
      </c>
      <c r="F69" s="447">
        <f t="shared" si="6"/>
        <v>1496</v>
      </c>
      <c r="G69" s="1378">
        <f t="shared" si="6"/>
        <v>254</v>
      </c>
      <c r="H69" s="448">
        <f t="shared" si="6"/>
        <v>1131</v>
      </c>
      <c r="I69" s="448">
        <f t="shared" si="6"/>
        <v>1330</v>
      </c>
      <c r="J69" s="447">
        <f t="shared" si="5"/>
        <v>1496</v>
      </c>
      <c r="K69" s="422"/>
      <c r="L69" s="448">
        <f t="shared" si="7"/>
        <v>3325</v>
      </c>
    </row>
    <row r="70" spans="1:12" ht="13.5">
      <c r="A70" s="448">
        <v>3350</v>
      </c>
      <c r="B70" s="447">
        <v>3400</v>
      </c>
      <c r="C70" s="1378">
        <f t="shared" si="6"/>
        <v>258</v>
      </c>
      <c r="D70" s="448">
        <f t="shared" si="6"/>
        <v>1148</v>
      </c>
      <c r="E70" s="448">
        <f t="shared" si="6"/>
        <v>1350</v>
      </c>
      <c r="F70" s="447">
        <f t="shared" si="6"/>
        <v>1519</v>
      </c>
      <c r="G70" s="1378">
        <f t="shared" si="6"/>
        <v>258</v>
      </c>
      <c r="H70" s="448">
        <f t="shared" si="6"/>
        <v>1148</v>
      </c>
      <c r="I70" s="448">
        <f t="shared" si="6"/>
        <v>1350</v>
      </c>
      <c r="J70" s="447">
        <f t="shared" si="5"/>
        <v>1519</v>
      </c>
      <c r="K70" s="422"/>
      <c r="L70" s="448">
        <f t="shared" si="7"/>
        <v>3375</v>
      </c>
    </row>
    <row r="71" spans="1:12" ht="13.5">
      <c r="A71" s="448">
        <v>3400</v>
      </c>
      <c r="B71" s="447">
        <v>3450</v>
      </c>
      <c r="C71" s="1378">
        <f t="shared" si="6"/>
        <v>262</v>
      </c>
      <c r="D71" s="448">
        <f t="shared" si="6"/>
        <v>1165</v>
      </c>
      <c r="E71" s="448">
        <f t="shared" si="6"/>
        <v>1370</v>
      </c>
      <c r="F71" s="447">
        <f t="shared" si="6"/>
        <v>1541</v>
      </c>
      <c r="G71" s="1378">
        <f t="shared" si="6"/>
        <v>262</v>
      </c>
      <c r="H71" s="448">
        <f t="shared" si="6"/>
        <v>1165</v>
      </c>
      <c r="I71" s="448">
        <f t="shared" si="6"/>
        <v>1370</v>
      </c>
      <c r="J71" s="447">
        <f t="shared" si="5"/>
        <v>1541</v>
      </c>
      <c r="K71" s="422"/>
      <c r="L71" s="448">
        <f t="shared" si="7"/>
        <v>3425</v>
      </c>
    </row>
    <row r="72" spans="1:12" ht="13.5">
      <c r="A72" s="448">
        <v>3450</v>
      </c>
      <c r="B72" s="447">
        <v>3500</v>
      </c>
      <c r="C72" s="1378">
        <f t="shared" si="6"/>
        <v>265</v>
      </c>
      <c r="D72" s="448">
        <f t="shared" si="6"/>
        <v>1182</v>
      </c>
      <c r="E72" s="448">
        <f t="shared" si="6"/>
        <v>1390</v>
      </c>
      <c r="F72" s="447">
        <f t="shared" si="6"/>
        <v>1564</v>
      </c>
      <c r="G72" s="1378">
        <f t="shared" si="6"/>
        <v>265</v>
      </c>
      <c r="H72" s="448">
        <f t="shared" si="6"/>
        <v>1182</v>
      </c>
      <c r="I72" s="448">
        <f t="shared" si="6"/>
        <v>1390</v>
      </c>
      <c r="J72" s="447">
        <f t="shared" si="5"/>
        <v>1564</v>
      </c>
      <c r="K72" s="422"/>
      <c r="L72" s="448">
        <f t="shared" si="7"/>
        <v>3475</v>
      </c>
    </row>
    <row r="73" spans="1:12" ht="13.5">
      <c r="A73" s="448">
        <v>3500</v>
      </c>
      <c r="B73" s="447">
        <v>3550</v>
      </c>
      <c r="C73" s="1378">
        <f t="shared" si="6"/>
        <v>269</v>
      </c>
      <c r="D73" s="448">
        <f t="shared" si="6"/>
        <v>1199</v>
      </c>
      <c r="E73" s="448">
        <f t="shared" si="6"/>
        <v>1410</v>
      </c>
      <c r="F73" s="447">
        <f t="shared" si="6"/>
        <v>1586</v>
      </c>
      <c r="G73" s="1378">
        <f t="shared" si="6"/>
        <v>269</v>
      </c>
      <c r="H73" s="448">
        <f t="shared" si="6"/>
        <v>1199</v>
      </c>
      <c r="I73" s="448">
        <f t="shared" si="6"/>
        <v>1410</v>
      </c>
      <c r="J73" s="447">
        <f t="shared" si="5"/>
        <v>1586</v>
      </c>
      <c r="K73" s="422"/>
      <c r="L73" s="448">
        <f t="shared" si="7"/>
        <v>3525</v>
      </c>
    </row>
    <row r="74" spans="1:12" ht="13.5">
      <c r="A74" s="448">
        <v>3550</v>
      </c>
      <c r="B74" s="447">
        <v>3600</v>
      </c>
      <c r="C74" s="1378">
        <f t="shared" si="6"/>
        <v>273</v>
      </c>
      <c r="D74" s="448">
        <f t="shared" si="6"/>
        <v>1216</v>
      </c>
      <c r="E74" s="448">
        <f t="shared" si="6"/>
        <v>1430</v>
      </c>
      <c r="F74" s="447">
        <f t="shared" si="6"/>
        <v>1609</v>
      </c>
      <c r="G74" s="1378">
        <f t="shared" si="6"/>
        <v>273</v>
      </c>
      <c r="H74" s="448">
        <f t="shared" si="6"/>
        <v>1216</v>
      </c>
      <c r="I74" s="448">
        <f t="shared" si="6"/>
        <v>1430</v>
      </c>
      <c r="J74" s="447">
        <f t="shared" si="5"/>
        <v>1609</v>
      </c>
      <c r="K74" s="422"/>
      <c r="L74" s="448">
        <f t="shared" si="7"/>
        <v>3575</v>
      </c>
    </row>
    <row r="75" spans="1:12" ht="13.5">
      <c r="A75" s="448">
        <v>3600</v>
      </c>
      <c r="B75" s="447">
        <v>3650</v>
      </c>
      <c r="C75" s="1378">
        <f t="shared" si="6"/>
        <v>277</v>
      </c>
      <c r="D75" s="448">
        <f t="shared" si="6"/>
        <v>1233</v>
      </c>
      <c r="E75" s="448">
        <f t="shared" si="6"/>
        <v>1450</v>
      </c>
      <c r="F75" s="447">
        <f t="shared" si="6"/>
        <v>1631</v>
      </c>
      <c r="G75" s="1378">
        <f t="shared" si="6"/>
        <v>277</v>
      </c>
      <c r="H75" s="448">
        <f t="shared" si="6"/>
        <v>1233</v>
      </c>
      <c r="I75" s="448">
        <f t="shared" si="6"/>
        <v>1450</v>
      </c>
      <c r="J75" s="447">
        <f t="shared" si="5"/>
        <v>1631</v>
      </c>
      <c r="K75" s="422"/>
      <c r="L75" s="448">
        <f t="shared" si="7"/>
        <v>3625</v>
      </c>
    </row>
    <row r="76" spans="1:12" ht="13.5">
      <c r="A76" s="448">
        <v>3650</v>
      </c>
      <c r="B76" s="447">
        <v>3700</v>
      </c>
      <c r="C76" s="1378">
        <f t="shared" si="6"/>
        <v>281</v>
      </c>
      <c r="D76" s="448">
        <f t="shared" si="6"/>
        <v>1250</v>
      </c>
      <c r="E76" s="448">
        <f t="shared" si="6"/>
        <v>1470</v>
      </c>
      <c r="F76" s="447">
        <f t="shared" si="6"/>
        <v>1654</v>
      </c>
      <c r="G76" s="1378">
        <f t="shared" si="6"/>
        <v>281</v>
      </c>
      <c r="H76" s="448">
        <f t="shared" si="6"/>
        <v>1250</v>
      </c>
      <c r="I76" s="448">
        <f t="shared" si="6"/>
        <v>1470</v>
      </c>
      <c r="J76" s="447">
        <f t="shared" si="5"/>
        <v>1654</v>
      </c>
      <c r="K76" s="422"/>
      <c r="L76" s="448">
        <f t="shared" si="7"/>
        <v>3675</v>
      </c>
    </row>
    <row r="77" spans="1:12" ht="13.5">
      <c r="A77" s="448">
        <v>3700</v>
      </c>
      <c r="B77" s="447">
        <v>3750</v>
      </c>
      <c r="C77" s="1378">
        <f t="shared" si="6"/>
        <v>285</v>
      </c>
      <c r="D77" s="448">
        <f t="shared" si="6"/>
        <v>1267</v>
      </c>
      <c r="E77" s="448">
        <f t="shared" si="6"/>
        <v>1490</v>
      </c>
      <c r="F77" s="447">
        <f t="shared" si="6"/>
        <v>1676</v>
      </c>
      <c r="G77" s="1378">
        <f t="shared" si="6"/>
        <v>285</v>
      </c>
      <c r="H77" s="448">
        <f t="shared" si="6"/>
        <v>1267</v>
      </c>
      <c r="I77" s="448">
        <f t="shared" si="6"/>
        <v>1490</v>
      </c>
      <c r="J77" s="447">
        <f t="shared" si="5"/>
        <v>1676</v>
      </c>
      <c r="K77" s="422"/>
      <c r="L77" s="448">
        <f t="shared" si="7"/>
        <v>3725</v>
      </c>
    </row>
    <row r="78" spans="1:12" ht="13.5">
      <c r="A78" s="448">
        <v>3750</v>
      </c>
      <c r="B78" s="447">
        <v>3800</v>
      </c>
      <c r="C78" s="1378">
        <f t="shared" si="6"/>
        <v>288</v>
      </c>
      <c r="D78" s="448">
        <f t="shared" si="6"/>
        <v>1284</v>
      </c>
      <c r="E78" s="448">
        <f t="shared" si="6"/>
        <v>1510</v>
      </c>
      <c r="F78" s="447">
        <f t="shared" si="6"/>
        <v>1699</v>
      </c>
      <c r="G78" s="1378">
        <f t="shared" si="6"/>
        <v>288</v>
      </c>
      <c r="H78" s="448">
        <f t="shared" si="6"/>
        <v>1284</v>
      </c>
      <c r="I78" s="448">
        <f t="shared" si="6"/>
        <v>1510</v>
      </c>
      <c r="J78" s="447">
        <f t="shared" si="5"/>
        <v>1699</v>
      </c>
      <c r="K78" s="422"/>
      <c r="L78" s="448">
        <f t="shared" si="7"/>
        <v>3775</v>
      </c>
    </row>
    <row r="79" spans="1:12" ht="13.5">
      <c r="A79" s="448">
        <v>3800</v>
      </c>
      <c r="B79" s="447">
        <v>3850</v>
      </c>
      <c r="C79" s="1378">
        <f t="shared" si="6"/>
        <v>292</v>
      </c>
      <c r="D79" s="448">
        <f t="shared" si="6"/>
        <v>1301</v>
      </c>
      <c r="E79" s="448">
        <f t="shared" si="6"/>
        <v>1530</v>
      </c>
      <c r="F79" s="447">
        <f t="shared" si="6"/>
        <v>1721</v>
      </c>
      <c r="G79" s="1378">
        <f t="shared" si="6"/>
        <v>292</v>
      </c>
      <c r="H79" s="448">
        <f t="shared" si="6"/>
        <v>1301</v>
      </c>
      <c r="I79" s="448">
        <f t="shared" si="6"/>
        <v>1530</v>
      </c>
      <c r="J79" s="447">
        <f t="shared" si="5"/>
        <v>1721</v>
      </c>
      <c r="K79" s="422"/>
      <c r="L79" s="448">
        <f t="shared" si="7"/>
        <v>3825</v>
      </c>
    </row>
    <row r="80" spans="1:12" ht="13.5">
      <c r="A80" s="448">
        <v>3850</v>
      </c>
      <c r="B80" s="447">
        <v>3900</v>
      </c>
      <c r="C80" s="1378">
        <f t="shared" si="6"/>
        <v>296</v>
      </c>
      <c r="D80" s="448">
        <f t="shared" si="6"/>
        <v>1318</v>
      </c>
      <c r="E80" s="448">
        <f t="shared" si="6"/>
        <v>1550</v>
      </c>
      <c r="F80" s="447">
        <f t="shared" si="6"/>
        <v>1744</v>
      </c>
      <c r="G80" s="1378">
        <f t="shared" si="6"/>
        <v>296</v>
      </c>
      <c r="H80" s="448">
        <f t="shared" si="6"/>
        <v>1318</v>
      </c>
      <c r="I80" s="448">
        <f t="shared" si="6"/>
        <v>1550</v>
      </c>
      <c r="J80" s="447">
        <f t="shared" si="5"/>
        <v>1744</v>
      </c>
      <c r="K80" s="422"/>
      <c r="L80" s="448">
        <f t="shared" si="7"/>
        <v>3875</v>
      </c>
    </row>
    <row r="81" spans="1:12" ht="13.5">
      <c r="A81" s="448">
        <v>3900</v>
      </c>
      <c r="B81" s="447">
        <v>3950</v>
      </c>
      <c r="C81" s="1378">
        <f t="shared" si="6"/>
        <v>300</v>
      </c>
      <c r="D81" s="448">
        <f t="shared" si="6"/>
        <v>1335</v>
      </c>
      <c r="E81" s="448">
        <f t="shared" si="6"/>
        <v>1570</v>
      </c>
      <c r="F81" s="447">
        <f t="shared" si="6"/>
        <v>1766</v>
      </c>
      <c r="G81" s="1378">
        <f t="shared" si="6"/>
        <v>300</v>
      </c>
      <c r="H81" s="448">
        <f t="shared" si="6"/>
        <v>1335</v>
      </c>
      <c r="I81" s="448">
        <f t="shared" si="6"/>
        <v>1570</v>
      </c>
      <c r="J81" s="447">
        <f t="shared" si="5"/>
        <v>1766</v>
      </c>
      <c r="K81" s="422"/>
      <c r="L81" s="448">
        <f t="shared" si="7"/>
        <v>3925</v>
      </c>
    </row>
    <row r="82" spans="1:12" ht="13.5">
      <c r="A82" s="448">
        <v>3950</v>
      </c>
      <c r="B82" s="447">
        <v>4000</v>
      </c>
      <c r="C82" s="1378">
        <f t="shared" si="6"/>
        <v>304</v>
      </c>
      <c r="D82" s="448">
        <f t="shared" si="6"/>
        <v>1352</v>
      </c>
      <c r="E82" s="448">
        <f t="shared" si="6"/>
        <v>1590</v>
      </c>
      <c r="F82" s="447">
        <f t="shared" si="6"/>
        <v>1789</v>
      </c>
      <c r="G82" s="1378">
        <f t="shared" si="6"/>
        <v>304</v>
      </c>
      <c r="H82" s="448">
        <f t="shared" si="6"/>
        <v>1352</v>
      </c>
      <c r="I82" s="448">
        <f t="shared" si="6"/>
        <v>1590</v>
      </c>
      <c r="J82" s="447">
        <f t="shared" si="5"/>
        <v>1789</v>
      </c>
      <c r="K82" s="422"/>
      <c r="L82" s="448">
        <f t="shared" si="7"/>
        <v>3975</v>
      </c>
    </row>
    <row r="83" spans="1:12" ht="13.5">
      <c r="A83" s="448">
        <v>4000</v>
      </c>
      <c r="B83" s="447">
        <v>4050</v>
      </c>
      <c r="C83" s="1378">
        <f t="shared" si="6"/>
        <v>308</v>
      </c>
      <c r="D83" s="448">
        <f t="shared" si="6"/>
        <v>1369</v>
      </c>
      <c r="E83" s="448">
        <f t="shared" si="6"/>
        <v>1610</v>
      </c>
      <c r="F83" s="447">
        <f t="shared" si="6"/>
        <v>1811</v>
      </c>
      <c r="G83" s="1378">
        <f t="shared" si="6"/>
        <v>308</v>
      </c>
      <c r="H83" s="448">
        <f t="shared" si="6"/>
        <v>1369</v>
      </c>
      <c r="I83" s="448">
        <f t="shared" si="6"/>
        <v>1610</v>
      </c>
      <c r="J83" s="447">
        <f t="shared" si="5"/>
        <v>1811</v>
      </c>
      <c r="K83" s="422"/>
      <c r="L83" s="448">
        <f t="shared" si="7"/>
        <v>4025</v>
      </c>
    </row>
    <row r="84" spans="1:12" ht="13.5">
      <c r="A84" s="448">
        <v>4050</v>
      </c>
      <c r="B84" s="447">
        <v>4100</v>
      </c>
      <c r="C84" s="1378">
        <f t="shared" si="6"/>
        <v>311</v>
      </c>
      <c r="D84" s="448">
        <f t="shared" si="6"/>
        <v>1386</v>
      </c>
      <c r="E84" s="448">
        <f t="shared" si="6"/>
        <v>1630</v>
      </c>
      <c r="F84" s="447">
        <f t="shared" si="6"/>
        <v>1834</v>
      </c>
      <c r="G84" s="1378">
        <f t="shared" si="6"/>
        <v>311</v>
      </c>
      <c r="H84" s="448">
        <f t="shared" si="6"/>
        <v>1386</v>
      </c>
      <c r="I84" s="448">
        <f t="shared" si="6"/>
        <v>1630</v>
      </c>
      <c r="J84" s="447">
        <f t="shared" si="5"/>
        <v>1834</v>
      </c>
      <c r="K84" s="422"/>
      <c r="L84" s="448">
        <f t="shared" si="7"/>
        <v>4075</v>
      </c>
    </row>
    <row r="85" spans="1:12" ht="13.5">
      <c r="A85" s="448">
        <v>4100</v>
      </c>
      <c r="B85" s="447">
        <v>4150</v>
      </c>
      <c r="C85" s="1378">
        <f t="shared" si="6"/>
        <v>315</v>
      </c>
      <c r="D85" s="448">
        <f t="shared" si="6"/>
        <v>1403</v>
      </c>
      <c r="E85" s="448">
        <f t="shared" si="6"/>
        <v>1650</v>
      </c>
      <c r="F85" s="447">
        <f t="shared" si="6"/>
        <v>1856</v>
      </c>
      <c r="G85" s="1378">
        <f t="shared" si="6"/>
        <v>315</v>
      </c>
      <c r="H85" s="448">
        <f t="shared" si="6"/>
        <v>1403</v>
      </c>
      <c r="I85" s="448">
        <f t="shared" si="6"/>
        <v>1650</v>
      </c>
      <c r="J85" s="447">
        <f t="shared" si="5"/>
        <v>1856</v>
      </c>
      <c r="K85" s="422"/>
      <c r="L85" s="448">
        <f t="shared" si="7"/>
        <v>4125</v>
      </c>
    </row>
    <row r="86" spans="1:12" ht="13.5">
      <c r="A86" s="448">
        <v>4150</v>
      </c>
      <c r="B86" s="447">
        <v>4200</v>
      </c>
      <c r="C86" s="1378">
        <f t="shared" si="6"/>
        <v>319</v>
      </c>
      <c r="D86" s="448">
        <f t="shared" si="6"/>
        <v>1420</v>
      </c>
      <c r="E86" s="448">
        <f t="shared" si="6"/>
        <v>1670</v>
      </c>
      <c r="F86" s="447">
        <f t="shared" si="6"/>
        <v>1879</v>
      </c>
      <c r="G86" s="1378">
        <f t="shared" si="6"/>
        <v>319</v>
      </c>
      <c r="H86" s="448">
        <f t="shared" si="6"/>
        <v>1420</v>
      </c>
      <c r="I86" s="448">
        <f t="shared" si="6"/>
        <v>1670</v>
      </c>
      <c r="J86" s="447">
        <f t="shared" si="5"/>
        <v>1879</v>
      </c>
      <c r="K86" s="422"/>
      <c r="L86" s="448">
        <f t="shared" si="7"/>
        <v>4175</v>
      </c>
    </row>
    <row r="87" spans="1:12" ht="13.5">
      <c r="A87" s="448">
        <v>4200</v>
      </c>
      <c r="B87" s="447">
        <v>4250</v>
      </c>
      <c r="C87" s="1378">
        <f t="shared" si="6"/>
        <v>323</v>
      </c>
      <c r="D87" s="448">
        <f t="shared" si="6"/>
        <v>1437</v>
      </c>
      <c r="E87" s="448">
        <f t="shared" si="6"/>
        <v>1690</v>
      </c>
      <c r="F87" s="447">
        <f t="shared" si="6"/>
        <v>1901</v>
      </c>
      <c r="G87" s="1378">
        <f t="shared" si="6"/>
        <v>323</v>
      </c>
      <c r="H87" s="448">
        <f t="shared" si="6"/>
        <v>1437</v>
      </c>
      <c r="I87" s="448">
        <f t="shared" si="6"/>
        <v>1690</v>
      </c>
      <c r="J87" s="447">
        <f t="shared" si="5"/>
        <v>1901</v>
      </c>
      <c r="K87" s="422"/>
      <c r="L87" s="448">
        <f t="shared" si="7"/>
        <v>4225</v>
      </c>
    </row>
    <row r="88" spans="1:12" ht="13.5">
      <c r="A88" s="448">
        <v>4250</v>
      </c>
      <c r="B88" s="447">
        <v>4300</v>
      </c>
      <c r="C88" s="1378">
        <f t="shared" si="6"/>
        <v>327</v>
      </c>
      <c r="D88" s="448">
        <f t="shared" si="6"/>
        <v>1454</v>
      </c>
      <c r="E88" s="448">
        <f t="shared" si="6"/>
        <v>1710</v>
      </c>
      <c r="F88" s="447">
        <f t="shared" si="6"/>
        <v>1924</v>
      </c>
      <c r="G88" s="1378">
        <f t="shared" si="6"/>
        <v>327</v>
      </c>
      <c r="H88" s="448">
        <f t="shared" si="6"/>
        <v>1454</v>
      </c>
      <c r="I88" s="448">
        <f t="shared" si="6"/>
        <v>1710</v>
      </c>
      <c r="J88" s="447">
        <f t="shared" si="5"/>
        <v>1924</v>
      </c>
      <c r="K88" s="422"/>
      <c r="L88" s="448">
        <f t="shared" si="7"/>
        <v>4275</v>
      </c>
    </row>
    <row r="89" spans="1:12" ht="13.5">
      <c r="A89" s="448">
        <v>4300</v>
      </c>
      <c r="B89" s="447">
        <v>4350</v>
      </c>
      <c r="C89" s="1378">
        <f t="shared" si="6"/>
        <v>330</v>
      </c>
      <c r="D89" s="448">
        <f t="shared" si="6"/>
        <v>1471</v>
      </c>
      <c r="E89" s="448">
        <f t="shared" si="6"/>
        <v>1730</v>
      </c>
      <c r="F89" s="447">
        <f t="shared" si="6"/>
        <v>1946</v>
      </c>
      <c r="G89" s="1378">
        <f t="shared" si="6"/>
        <v>330</v>
      </c>
      <c r="H89" s="448">
        <f t="shared" si="6"/>
        <v>1471</v>
      </c>
      <c r="I89" s="448">
        <f t="shared" si="6"/>
        <v>1730</v>
      </c>
      <c r="J89" s="447">
        <f t="shared" si="5"/>
        <v>1946</v>
      </c>
      <c r="K89" s="422"/>
      <c r="L89" s="448">
        <f t="shared" si="7"/>
        <v>4325</v>
      </c>
    </row>
    <row r="90" spans="1:12" ht="13.5">
      <c r="A90" s="448">
        <v>4350</v>
      </c>
      <c r="B90" s="447">
        <v>4400</v>
      </c>
      <c r="C90" s="1378">
        <f t="shared" si="6"/>
        <v>334</v>
      </c>
      <c r="D90" s="448">
        <f t="shared" si="6"/>
        <v>1488</v>
      </c>
      <c r="E90" s="448">
        <f t="shared" si="6"/>
        <v>1750</v>
      </c>
      <c r="F90" s="447">
        <f t="shared" si="6"/>
        <v>1969</v>
      </c>
      <c r="G90" s="1378">
        <f t="shared" si="6"/>
        <v>334</v>
      </c>
      <c r="H90" s="448">
        <f t="shared" si="6"/>
        <v>1488</v>
      </c>
      <c r="I90" s="448">
        <f t="shared" si="6"/>
        <v>1750</v>
      </c>
      <c r="J90" s="447">
        <f t="shared" si="5"/>
        <v>1969</v>
      </c>
      <c r="K90" s="422"/>
      <c r="L90" s="448">
        <f t="shared" si="7"/>
        <v>4375</v>
      </c>
    </row>
    <row r="91" spans="1:12" ht="13.5">
      <c r="A91" s="448">
        <v>4400</v>
      </c>
      <c r="B91" s="447">
        <v>4450</v>
      </c>
      <c r="C91" s="1378">
        <f t="shared" si="6"/>
        <v>338</v>
      </c>
      <c r="D91" s="448">
        <f t="shared" si="6"/>
        <v>1505</v>
      </c>
      <c r="E91" s="448">
        <f t="shared" si="6"/>
        <v>1770</v>
      </c>
      <c r="F91" s="447">
        <f t="shared" si="6"/>
        <v>1991</v>
      </c>
      <c r="G91" s="1378">
        <f t="shared" si="6"/>
        <v>338</v>
      </c>
      <c r="H91" s="448">
        <f t="shared" si="6"/>
        <v>1505</v>
      </c>
      <c r="I91" s="448">
        <f t="shared" si="6"/>
        <v>1770</v>
      </c>
      <c r="J91" s="447">
        <f t="shared" si="5"/>
        <v>1991</v>
      </c>
      <c r="K91" s="422"/>
      <c r="L91" s="448">
        <f t="shared" si="7"/>
        <v>4425</v>
      </c>
    </row>
    <row r="92" spans="1:12" ht="13.5">
      <c r="A92" s="448">
        <v>4450</v>
      </c>
      <c r="B92" s="447">
        <v>4500</v>
      </c>
      <c r="C92" s="1378">
        <f t="shared" si="6"/>
        <v>342</v>
      </c>
      <c r="D92" s="448">
        <f t="shared" si="6"/>
        <v>1522</v>
      </c>
      <c r="E92" s="448">
        <f t="shared" si="6"/>
        <v>1790</v>
      </c>
      <c r="F92" s="447">
        <f t="shared" si="6"/>
        <v>2014</v>
      </c>
      <c r="G92" s="1378">
        <f t="shared" si="6"/>
        <v>342</v>
      </c>
      <c r="H92" s="448">
        <f t="shared" si="6"/>
        <v>1522</v>
      </c>
      <c r="I92" s="448">
        <f t="shared" si="6"/>
        <v>1790</v>
      </c>
      <c r="J92" s="447">
        <f t="shared" si="5"/>
        <v>2014</v>
      </c>
      <c r="K92" s="422"/>
      <c r="L92" s="448">
        <f t="shared" si="7"/>
        <v>4475</v>
      </c>
    </row>
    <row r="93" spans="1:12" ht="13.5">
      <c r="A93" s="448">
        <v>4500</v>
      </c>
      <c r="B93" s="447">
        <v>4550</v>
      </c>
      <c r="C93" s="1378">
        <f t="shared" si="6"/>
        <v>346</v>
      </c>
      <c r="D93" s="448">
        <f t="shared" si="6"/>
        <v>1539</v>
      </c>
      <c r="E93" s="448">
        <f t="shared" si="6"/>
        <v>1810</v>
      </c>
      <c r="F93" s="447">
        <f t="shared" si="6"/>
        <v>2036</v>
      </c>
      <c r="G93" s="1378">
        <f t="shared" si="6"/>
        <v>346</v>
      </c>
      <c r="H93" s="448">
        <f t="shared" si="6"/>
        <v>1539</v>
      </c>
      <c r="I93" s="448">
        <f t="shared" si="6"/>
        <v>1810</v>
      </c>
      <c r="J93" s="447">
        <f t="shared" si="5"/>
        <v>2036</v>
      </c>
      <c r="K93" s="422"/>
      <c r="L93" s="448">
        <f t="shared" si="7"/>
        <v>4525</v>
      </c>
    </row>
    <row r="94" spans="1:12" ht="13.5">
      <c r="A94" s="448">
        <v>4550</v>
      </c>
      <c r="B94" s="447">
        <v>4600</v>
      </c>
      <c r="C94" s="1378">
        <f t="shared" si="6"/>
        <v>350</v>
      </c>
      <c r="D94" s="448">
        <f t="shared" si="6"/>
        <v>1556</v>
      </c>
      <c r="E94" s="448">
        <f t="shared" si="6"/>
        <v>1830</v>
      </c>
      <c r="F94" s="447">
        <f t="shared" si="6"/>
        <v>2059</v>
      </c>
      <c r="G94" s="1378">
        <f t="shared" si="6"/>
        <v>350</v>
      </c>
      <c r="H94" s="448">
        <f t="shared" si="6"/>
        <v>1556</v>
      </c>
      <c r="I94" s="448">
        <f t="shared" si="6"/>
        <v>1830</v>
      </c>
      <c r="J94" s="447">
        <f t="shared" si="5"/>
        <v>2059</v>
      </c>
      <c r="K94" s="422"/>
      <c r="L94" s="448">
        <f t="shared" si="7"/>
        <v>4575</v>
      </c>
    </row>
    <row r="95" spans="1:12" ht="13.5">
      <c r="A95" s="448">
        <v>4600</v>
      </c>
      <c r="B95" s="447">
        <v>4650</v>
      </c>
      <c r="C95" s="1378">
        <f t="shared" si="6"/>
        <v>353</v>
      </c>
      <c r="D95" s="448">
        <f t="shared" si="6"/>
        <v>1573</v>
      </c>
      <c r="E95" s="448">
        <f t="shared" si="6"/>
        <v>1850</v>
      </c>
      <c r="F95" s="447">
        <f t="shared" si="6"/>
        <v>2081</v>
      </c>
      <c r="G95" s="1378">
        <f t="shared" si="6"/>
        <v>353</v>
      </c>
      <c r="H95" s="448">
        <f t="shared" si="6"/>
        <v>1573</v>
      </c>
      <c r="I95" s="448">
        <f t="shared" si="6"/>
        <v>1850</v>
      </c>
      <c r="J95" s="447">
        <f t="shared" si="5"/>
        <v>2081</v>
      </c>
      <c r="K95" s="422"/>
      <c r="L95" s="448">
        <f t="shared" si="7"/>
        <v>4625</v>
      </c>
    </row>
    <row r="96" spans="1:12" ht="13.5">
      <c r="A96" s="448">
        <v>4650</v>
      </c>
      <c r="B96" s="447">
        <v>4700</v>
      </c>
      <c r="C96" s="1378">
        <f t="shared" si="6"/>
        <v>357</v>
      </c>
      <c r="D96" s="448">
        <f t="shared" si="6"/>
        <v>1590</v>
      </c>
      <c r="E96" s="448">
        <f t="shared" si="6"/>
        <v>1870</v>
      </c>
      <c r="F96" s="447">
        <f t="shared" si="6"/>
        <v>2104</v>
      </c>
      <c r="G96" s="1378">
        <f t="shared" si="6"/>
        <v>357</v>
      </c>
      <c r="H96" s="448">
        <f t="shared" si="6"/>
        <v>1590</v>
      </c>
      <c r="I96" s="448">
        <f t="shared" si="6"/>
        <v>1870</v>
      </c>
      <c r="J96" s="447">
        <f t="shared" si="5"/>
        <v>2104</v>
      </c>
      <c r="K96" s="422"/>
      <c r="L96" s="448">
        <f t="shared" si="7"/>
        <v>4675</v>
      </c>
    </row>
    <row r="97" spans="1:12" ht="13.5">
      <c r="A97" s="448">
        <v>4700</v>
      </c>
      <c r="B97" s="447">
        <v>4750</v>
      </c>
      <c r="C97" s="1378">
        <f t="shared" si="6"/>
        <v>361</v>
      </c>
      <c r="D97" s="448">
        <f t="shared" si="6"/>
        <v>1607</v>
      </c>
      <c r="E97" s="448">
        <f t="shared" si="6"/>
        <v>1890</v>
      </c>
      <c r="F97" s="447">
        <f t="shared" si="6"/>
        <v>2126</v>
      </c>
      <c r="G97" s="1378">
        <f t="shared" si="6"/>
        <v>361</v>
      </c>
      <c r="H97" s="448">
        <f t="shared" si="6"/>
        <v>1607</v>
      </c>
      <c r="I97" s="448">
        <f t="shared" si="6"/>
        <v>1890</v>
      </c>
      <c r="J97" s="447">
        <f t="shared" si="5"/>
        <v>2126</v>
      </c>
      <c r="K97" s="422"/>
      <c r="L97" s="448">
        <f t="shared" si="7"/>
        <v>4725</v>
      </c>
    </row>
    <row r="98" spans="1:12" ht="13.5">
      <c r="A98" s="448">
        <v>4750</v>
      </c>
      <c r="B98" s="447">
        <v>4800</v>
      </c>
      <c r="C98" s="1378">
        <f t="shared" si="6"/>
        <v>365</v>
      </c>
      <c r="D98" s="448">
        <f t="shared" si="6"/>
        <v>1624</v>
      </c>
      <c r="E98" s="448">
        <f t="shared" si="6"/>
        <v>1910</v>
      </c>
      <c r="F98" s="447">
        <f t="shared" si="6"/>
        <v>2149</v>
      </c>
      <c r="G98" s="1378">
        <f t="shared" si="6"/>
        <v>365</v>
      </c>
      <c r="H98" s="448">
        <f t="shared" si="6"/>
        <v>1624</v>
      </c>
      <c r="I98" s="448">
        <f t="shared" si="6"/>
        <v>1910</v>
      </c>
      <c r="J98" s="447">
        <f t="shared" si="5"/>
        <v>2149</v>
      </c>
      <c r="K98" s="422"/>
      <c r="L98" s="448">
        <f t="shared" si="7"/>
        <v>4775</v>
      </c>
    </row>
    <row r="99" spans="1:12" ht="13.5">
      <c r="A99" s="448">
        <v>4800</v>
      </c>
      <c r="B99" s="447">
        <v>4850</v>
      </c>
      <c r="C99" s="1378">
        <f t="shared" si="6"/>
        <v>369</v>
      </c>
      <c r="D99" s="448">
        <f t="shared" si="6"/>
        <v>1641</v>
      </c>
      <c r="E99" s="448">
        <f t="shared" si="6"/>
        <v>1930</v>
      </c>
      <c r="F99" s="447">
        <f t="shared" si="6"/>
        <v>2171</v>
      </c>
      <c r="G99" s="1378">
        <f t="shared" si="6"/>
        <v>369</v>
      </c>
      <c r="H99" s="448">
        <f t="shared" si="6"/>
        <v>1641</v>
      </c>
      <c r="I99" s="448">
        <f t="shared" si="6"/>
        <v>1930</v>
      </c>
      <c r="J99" s="447">
        <f t="shared" si="5"/>
        <v>2171</v>
      </c>
      <c r="K99" s="422"/>
      <c r="L99" s="448">
        <f t="shared" si="7"/>
        <v>4825</v>
      </c>
    </row>
    <row r="100" spans="1:12" ht="13.5">
      <c r="A100" s="448">
        <v>4850</v>
      </c>
      <c r="B100" s="447">
        <v>4900</v>
      </c>
      <c r="C100" s="1378">
        <f t="shared" si="6"/>
        <v>372</v>
      </c>
      <c r="D100" s="448">
        <f t="shared" si="6"/>
        <v>1658</v>
      </c>
      <c r="E100" s="448">
        <f t="shared" si="6"/>
        <v>1950</v>
      </c>
      <c r="F100" s="447">
        <f t="shared" si="6"/>
        <v>2194</v>
      </c>
      <c r="G100" s="1378">
        <f t="shared" si="6"/>
        <v>372</v>
      </c>
      <c r="H100" s="448">
        <f t="shared" si="6"/>
        <v>1658</v>
      </c>
      <c r="I100" s="448">
        <f t="shared" si="6"/>
        <v>1950</v>
      </c>
      <c r="J100" s="447">
        <f t="shared" si="5"/>
        <v>2194</v>
      </c>
      <c r="K100" s="422"/>
      <c r="L100" s="448">
        <f t="shared" si="7"/>
        <v>4875</v>
      </c>
    </row>
    <row r="101" spans="1:12" ht="13.5">
      <c r="A101" s="448">
        <v>4900</v>
      </c>
      <c r="B101" s="447">
        <v>4950</v>
      </c>
      <c r="C101" s="1378">
        <f t="shared" si="6"/>
        <v>376</v>
      </c>
      <c r="D101" s="448">
        <f t="shared" si="6"/>
        <v>1675</v>
      </c>
      <c r="E101" s="448">
        <f t="shared" si="6"/>
        <v>1970</v>
      </c>
      <c r="F101" s="447">
        <f t="shared" si="6"/>
        <v>2216</v>
      </c>
      <c r="G101" s="1378">
        <f t="shared" si="6"/>
        <v>376</v>
      </c>
      <c r="H101" s="448">
        <f t="shared" si="6"/>
        <v>1675</v>
      </c>
      <c r="I101" s="448">
        <f t="shared" si="6"/>
        <v>1970</v>
      </c>
      <c r="J101" s="447">
        <f t="shared" si="5"/>
        <v>2216</v>
      </c>
      <c r="K101" s="422"/>
      <c r="L101" s="448">
        <f t="shared" si="7"/>
        <v>4925</v>
      </c>
    </row>
    <row r="102" spans="1:12" ht="13.5">
      <c r="A102" s="448">
        <v>4950</v>
      </c>
      <c r="B102" s="447">
        <v>5000</v>
      </c>
      <c r="C102" s="1378">
        <f t="shared" si="6"/>
        <v>380</v>
      </c>
      <c r="D102" s="448">
        <f t="shared" si="6"/>
        <v>1692</v>
      </c>
      <c r="E102" s="448">
        <f t="shared" si="6"/>
        <v>1990</v>
      </c>
      <c r="F102" s="447">
        <f t="shared" si="6"/>
        <v>2239</v>
      </c>
      <c r="G102" s="1378">
        <f t="shared" si="6"/>
        <v>380</v>
      </c>
      <c r="H102" s="448">
        <f t="shared" si="6"/>
        <v>1692</v>
      </c>
      <c r="I102" s="448">
        <f t="shared" si="6"/>
        <v>1990</v>
      </c>
      <c r="J102" s="447">
        <f t="shared" si="5"/>
        <v>2239</v>
      </c>
      <c r="K102" s="422"/>
      <c r="L102" s="448">
        <f t="shared" si="7"/>
        <v>4975</v>
      </c>
    </row>
    <row r="103" spans="1:12" ht="13.5">
      <c r="A103" s="448">
        <v>5000</v>
      </c>
      <c r="B103" s="447">
        <v>5050</v>
      </c>
      <c r="C103" s="1378">
        <f t="shared" si="6"/>
        <v>384</v>
      </c>
      <c r="D103" s="448">
        <f t="shared" si="6"/>
        <v>1709</v>
      </c>
      <c r="E103" s="448">
        <f t="shared" si="6"/>
        <v>2010</v>
      </c>
      <c r="F103" s="447">
        <f t="shared" ref="F103:J159" si="8">IF($L103&gt;Q$5,MAX(0,Q$3+ROUND((Q$9*($L103-Q$5)),0)),IF($L103&gt;Q$4,Q$3,ROUND($L103*Q$7,0)))</f>
        <v>2261</v>
      </c>
      <c r="G103" s="1378">
        <f t="shared" si="8"/>
        <v>384</v>
      </c>
      <c r="H103" s="448">
        <f t="shared" si="8"/>
        <v>1709</v>
      </c>
      <c r="I103" s="448">
        <f t="shared" si="8"/>
        <v>2010</v>
      </c>
      <c r="J103" s="447">
        <f t="shared" si="5"/>
        <v>2261</v>
      </c>
      <c r="K103" s="422"/>
      <c r="L103" s="448">
        <f t="shared" si="7"/>
        <v>5025</v>
      </c>
    </row>
    <row r="104" spans="1:12" ht="13.5">
      <c r="A104" s="448">
        <v>5050</v>
      </c>
      <c r="B104" s="447">
        <v>5100</v>
      </c>
      <c r="C104" s="1378">
        <f t="shared" ref="C104:G167" si="9">IF($L104&gt;N$5,MAX(0,N$3+ROUND((N$9*($L104-N$5)),0)),IF($L104&gt;N$4,N$3,ROUND($L104*N$7,0)))</f>
        <v>388</v>
      </c>
      <c r="D104" s="448">
        <f t="shared" si="9"/>
        <v>1726</v>
      </c>
      <c r="E104" s="448">
        <f t="shared" si="9"/>
        <v>2030</v>
      </c>
      <c r="F104" s="447">
        <f t="shared" si="8"/>
        <v>2284</v>
      </c>
      <c r="G104" s="1378">
        <f t="shared" si="8"/>
        <v>388</v>
      </c>
      <c r="H104" s="448">
        <f t="shared" si="8"/>
        <v>1726</v>
      </c>
      <c r="I104" s="448">
        <f t="shared" si="8"/>
        <v>2030</v>
      </c>
      <c r="J104" s="447">
        <f t="shared" si="5"/>
        <v>2284</v>
      </c>
      <c r="K104" s="422"/>
      <c r="L104" s="448">
        <f t="shared" si="7"/>
        <v>5075</v>
      </c>
    </row>
    <row r="105" spans="1:12" ht="13.5">
      <c r="A105" s="448">
        <v>5100</v>
      </c>
      <c r="B105" s="447">
        <v>5150</v>
      </c>
      <c r="C105" s="1378">
        <f t="shared" si="9"/>
        <v>392</v>
      </c>
      <c r="D105" s="448">
        <f t="shared" si="9"/>
        <v>1743</v>
      </c>
      <c r="E105" s="448">
        <f t="shared" si="9"/>
        <v>2050</v>
      </c>
      <c r="F105" s="447">
        <f t="shared" si="8"/>
        <v>2306</v>
      </c>
      <c r="G105" s="1378">
        <f t="shared" si="8"/>
        <v>392</v>
      </c>
      <c r="H105" s="448">
        <f t="shared" si="8"/>
        <v>1743</v>
      </c>
      <c r="I105" s="448">
        <f t="shared" si="8"/>
        <v>2050</v>
      </c>
      <c r="J105" s="447">
        <f t="shared" si="5"/>
        <v>2306</v>
      </c>
      <c r="K105" s="422"/>
      <c r="L105" s="448">
        <f t="shared" si="7"/>
        <v>5125</v>
      </c>
    </row>
    <row r="106" spans="1:12" ht="13.5">
      <c r="A106" s="448">
        <v>5150</v>
      </c>
      <c r="B106" s="447">
        <v>5200</v>
      </c>
      <c r="C106" s="1378">
        <f t="shared" si="9"/>
        <v>395</v>
      </c>
      <c r="D106" s="448">
        <f t="shared" si="9"/>
        <v>1760</v>
      </c>
      <c r="E106" s="448">
        <f t="shared" si="9"/>
        <v>2070</v>
      </c>
      <c r="F106" s="447">
        <f t="shared" si="8"/>
        <v>2329</v>
      </c>
      <c r="G106" s="1378">
        <f t="shared" si="8"/>
        <v>395</v>
      </c>
      <c r="H106" s="448">
        <f t="shared" si="8"/>
        <v>1760</v>
      </c>
      <c r="I106" s="448">
        <f t="shared" si="8"/>
        <v>2070</v>
      </c>
      <c r="J106" s="447">
        <f t="shared" si="5"/>
        <v>2329</v>
      </c>
      <c r="K106" s="422"/>
      <c r="L106" s="448">
        <f t="shared" si="7"/>
        <v>5175</v>
      </c>
    </row>
    <row r="107" spans="1:12" ht="13.5">
      <c r="A107" s="448">
        <v>5200</v>
      </c>
      <c r="B107" s="447">
        <v>5250</v>
      </c>
      <c r="C107" s="1378">
        <f t="shared" si="9"/>
        <v>399</v>
      </c>
      <c r="D107" s="448">
        <f t="shared" si="9"/>
        <v>1777</v>
      </c>
      <c r="E107" s="448">
        <f t="shared" si="9"/>
        <v>2090</v>
      </c>
      <c r="F107" s="447">
        <f t="shared" si="8"/>
        <v>2351</v>
      </c>
      <c r="G107" s="1378">
        <f t="shared" si="8"/>
        <v>399</v>
      </c>
      <c r="H107" s="448">
        <f t="shared" si="8"/>
        <v>1777</v>
      </c>
      <c r="I107" s="448">
        <f t="shared" si="8"/>
        <v>2090</v>
      </c>
      <c r="J107" s="447">
        <f t="shared" si="5"/>
        <v>2351</v>
      </c>
      <c r="K107" s="422"/>
      <c r="L107" s="448">
        <f t="shared" si="7"/>
        <v>5225</v>
      </c>
    </row>
    <row r="108" spans="1:12" ht="13.5">
      <c r="A108" s="448">
        <v>5250</v>
      </c>
      <c r="B108" s="447">
        <v>5300</v>
      </c>
      <c r="C108" s="1378">
        <f t="shared" si="9"/>
        <v>403</v>
      </c>
      <c r="D108" s="448">
        <f t="shared" si="9"/>
        <v>1794</v>
      </c>
      <c r="E108" s="448">
        <f t="shared" si="9"/>
        <v>2110</v>
      </c>
      <c r="F108" s="447">
        <f t="shared" si="8"/>
        <v>2374</v>
      </c>
      <c r="G108" s="1378">
        <f t="shared" si="8"/>
        <v>403</v>
      </c>
      <c r="H108" s="448">
        <f t="shared" si="8"/>
        <v>1794</v>
      </c>
      <c r="I108" s="448">
        <f t="shared" si="8"/>
        <v>2110</v>
      </c>
      <c r="J108" s="447">
        <f t="shared" si="5"/>
        <v>2374</v>
      </c>
      <c r="K108" s="422"/>
      <c r="L108" s="448">
        <f t="shared" si="7"/>
        <v>5275</v>
      </c>
    </row>
    <row r="109" spans="1:12" ht="13.5">
      <c r="A109" s="448">
        <v>5300</v>
      </c>
      <c r="B109" s="447">
        <v>5350</v>
      </c>
      <c r="C109" s="1378">
        <f t="shared" si="9"/>
        <v>407</v>
      </c>
      <c r="D109" s="448">
        <f t="shared" si="9"/>
        <v>1811</v>
      </c>
      <c r="E109" s="448">
        <f t="shared" si="9"/>
        <v>2130</v>
      </c>
      <c r="F109" s="447">
        <f t="shared" si="8"/>
        <v>2396</v>
      </c>
      <c r="G109" s="1378">
        <f t="shared" si="8"/>
        <v>407</v>
      </c>
      <c r="H109" s="448">
        <f t="shared" si="8"/>
        <v>1811</v>
      </c>
      <c r="I109" s="448">
        <f t="shared" si="8"/>
        <v>2130</v>
      </c>
      <c r="J109" s="447">
        <f t="shared" si="5"/>
        <v>2396</v>
      </c>
      <c r="K109" s="422"/>
      <c r="L109" s="448">
        <f t="shared" si="7"/>
        <v>5325</v>
      </c>
    </row>
    <row r="110" spans="1:12" ht="13.5">
      <c r="A110" s="448">
        <v>5350</v>
      </c>
      <c r="B110" s="447">
        <v>5400</v>
      </c>
      <c r="C110" s="1378">
        <f t="shared" si="9"/>
        <v>411</v>
      </c>
      <c r="D110" s="448">
        <f t="shared" si="9"/>
        <v>1828</v>
      </c>
      <c r="E110" s="448">
        <f t="shared" si="9"/>
        <v>2150</v>
      </c>
      <c r="F110" s="447">
        <f t="shared" si="8"/>
        <v>2419</v>
      </c>
      <c r="G110" s="1378">
        <f t="shared" si="8"/>
        <v>411</v>
      </c>
      <c r="H110" s="448">
        <f t="shared" si="8"/>
        <v>1828</v>
      </c>
      <c r="I110" s="448">
        <f t="shared" si="8"/>
        <v>2150</v>
      </c>
      <c r="J110" s="447">
        <f t="shared" si="5"/>
        <v>2419</v>
      </c>
      <c r="K110" s="422"/>
      <c r="L110" s="448">
        <f t="shared" si="7"/>
        <v>5375</v>
      </c>
    </row>
    <row r="111" spans="1:12" ht="13.5">
      <c r="A111" s="448">
        <v>5400</v>
      </c>
      <c r="B111" s="447">
        <v>5450</v>
      </c>
      <c r="C111" s="1378">
        <f t="shared" si="9"/>
        <v>414</v>
      </c>
      <c r="D111" s="448">
        <f t="shared" si="9"/>
        <v>1845</v>
      </c>
      <c r="E111" s="448">
        <f t="shared" si="9"/>
        <v>2170</v>
      </c>
      <c r="F111" s="447">
        <f t="shared" si="8"/>
        <v>2441</v>
      </c>
      <c r="G111" s="1378">
        <f t="shared" si="8"/>
        <v>414</v>
      </c>
      <c r="H111" s="448">
        <f t="shared" si="8"/>
        <v>1845</v>
      </c>
      <c r="I111" s="448">
        <f t="shared" si="8"/>
        <v>2170</v>
      </c>
      <c r="J111" s="447">
        <f t="shared" si="5"/>
        <v>2441</v>
      </c>
      <c r="K111" s="422"/>
      <c r="L111" s="448">
        <f t="shared" si="7"/>
        <v>5425</v>
      </c>
    </row>
    <row r="112" spans="1:12" ht="13.5">
      <c r="A112" s="448">
        <v>5450</v>
      </c>
      <c r="B112" s="447">
        <v>5500</v>
      </c>
      <c r="C112" s="1378">
        <f t="shared" si="9"/>
        <v>418</v>
      </c>
      <c r="D112" s="448">
        <f t="shared" si="9"/>
        <v>1862</v>
      </c>
      <c r="E112" s="448">
        <f t="shared" si="9"/>
        <v>2190</v>
      </c>
      <c r="F112" s="447">
        <f t="shared" si="8"/>
        <v>2464</v>
      </c>
      <c r="G112" s="1378">
        <f t="shared" si="8"/>
        <v>418</v>
      </c>
      <c r="H112" s="448">
        <f t="shared" si="8"/>
        <v>1862</v>
      </c>
      <c r="I112" s="448">
        <f t="shared" si="8"/>
        <v>2190</v>
      </c>
      <c r="J112" s="447">
        <f t="shared" si="5"/>
        <v>2464</v>
      </c>
      <c r="K112" s="422"/>
      <c r="L112" s="448">
        <f t="shared" si="7"/>
        <v>5475</v>
      </c>
    </row>
    <row r="113" spans="1:12" ht="13.5">
      <c r="A113" s="448">
        <v>5500</v>
      </c>
      <c r="B113" s="447">
        <v>5550</v>
      </c>
      <c r="C113" s="1378">
        <f t="shared" si="9"/>
        <v>422</v>
      </c>
      <c r="D113" s="448">
        <f t="shared" si="9"/>
        <v>1879</v>
      </c>
      <c r="E113" s="448">
        <f t="shared" si="9"/>
        <v>2210</v>
      </c>
      <c r="F113" s="447">
        <f t="shared" si="8"/>
        <v>2486</v>
      </c>
      <c r="G113" s="1378">
        <f t="shared" si="8"/>
        <v>422</v>
      </c>
      <c r="H113" s="448">
        <f t="shared" si="8"/>
        <v>1879</v>
      </c>
      <c r="I113" s="448">
        <f t="shared" si="8"/>
        <v>2210</v>
      </c>
      <c r="J113" s="447">
        <f t="shared" si="5"/>
        <v>2486</v>
      </c>
      <c r="K113" s="422"/>
      <c r="L113" s="448">
        <f t="shared" si="7"/>
        <v>5525</v>
      </c>
    </row>
    <row r="114" spans="1:12" ht="13.5">
      <c r="A114" s="448">
        <v>5550</v>
      </c>
      <c r="B114" s="447">
        <v>5600</v>
      </c>
      <c r="C114" s="1378">
        <f t="shared" si="9"/>
        <v>426</v>
      </c>
      <c r="D114" s="448">
        <f t="shared" si="9"/>
        <v>1896</v>
      </c>
      <c r="E114" s="448">
        <f t="shared" si="9"/>
        <v>2230</v>
      </c>
      <c r="F114" s="447">
        <f t="shared" si="8"/>
        <v>2509</v>
      </c>
      <c r="G114" s="1378">
        <f t="shared" si="8"/>
        <v>426</v>
      </c>
      <c r="H114" s="448">
        <f t="shared" si="8"/>
        <v>1896</v>
      </c>
      <c r="I114" s="448">
        <f t="shared" si="8"/>
        <v>2230</v>
      </c>
      <c r="J114" s="447">
        <f t="shared" si="5"/>
        <v>2509</v>
      </c>
      <c r="K114" s="422"/>
      <c r="L114" s="448">
        <f t="shared" si="7"/>
        <v>5575</v>
      </c>
    </row>
    <row r="115" spans="1:12" ht="13.5">
      <c r="A115" s="448">
        <v>5600</v>
      </c>
      <c r="B115" s="447">
        <v>5650</v>
      </c>
      <c r="C115" s="1378">
        <f t="shared" si="9"/>
        <v>430</v>
      </c>
      <c r="D115" s="448">
        <f t="shared" si="9"/>
        <v>1913</v>
      </c>
      <c r="E115" s="448">
        <f t="shared" si="9"/>
        <v>2250</v>
      </c>
      <c r="F115" s="447">
        <f t="shared" si="8"/>
        <v>2531</v>
      </c>
      <c r="G115" s="1378">
        <f t="shared" si="8"/>
        <v>430</v>
      </c>
      <c r="H115" s="448">
        <f t="shared" si="8"/>
        <v>1913</v>
      </c>
      <c r="I115" s="448">
        <f t="shared" si="8"/>
        <v>2250</v>
      </c>
      <c r="J115" s="447">
        <f t="shared" si="5"/>
        <v>2531</v>
      </c>
      <c r="K115" s="422"/>
      <c r="L115" s="448">
        <f t="shared" si="7"/>
        <v>5625</v>
      </c>
    </row>
    <row r="116" spans="1:12" ht="13.5">
      <c r="A116" s="448">
        <v>5650</v>
      </c>
      <c r="B116" s="447">
        <v>5700</v>
      </c>
      <c r="C116" s="1378">
        <f t="shared" si="9"/>
        <v>434</v>
      </c>
      <c r="D116" s="448">
        <f t="shared" si="9"/>
        <v>1930</v>
      </c>
      <c r="E116" s="448">
        <f t="shared" si="9"/>
        <v>2270</v>
      </c>
      <c r="F116" s="447">
        <f t="shared" si="8"/>
        <v>2554</v>
      </c>
      <c r="G116" s="1378">
        <f t="shared" si="8"/>
        <v>434</v>
      </c>
      <c r="H116" s="448">
        <f t="shared" si="8"/>
        <v>1930</v>
      </c>
      <c r="I116" s="448">
        <f t="shared" si="8"/>
        <v>2270</v>
      </c>
      <c r="J116" s="447">
        <f t="shared" si="5"/>
        <v>2554</v>
      </c>
      <c r="K116" s="422"/>
      <c r="L116" s="448">
        <f t="shared" si="7"/>
        <v>5675</v>
      </c>
    </row>
    <row r="117" spans="1:12" ht="13.5">
      <c r="A117" s="448">
        <v>5700</v>
      </c>
      <c r="B117" s="447">
        <v>5750</v>
      </c>
      <c r="C117" s="1378">
        <f t="shared" si="9"/>
        <v>437</v>
      </c>
      <c r="D117" s="448">
        <f t="shared" si="9"/>
        <v>1947</v>
      </c>
      <c r="E117" s="448">
        <f t="shared" si="9"/>
        <v>2290</v>
      </c>
      <c r="F117" s="447">
        <f t="shared" si="8"/>
        <v>2576</v>
      </c>
      <c r="G117" s="1378">
        <f t="shared" si="8"/>
        <v>437</v>
      </c>
      <c r="H117" s="448">
        <f t="shared" si="8"/>
        <v>1947</v>
      </c>
      <c r="I117" s="448">
        <f t="shared" si="8"/>
        <v>2290</v>
      </c>
      <c r="J117" s="447">
        <f t="shared" si="5"/>
        <v>2576</v>
      </c>
      <c r="K117" s="422"/>
      <c r="L117" s="448">
        <f t="shared" si="7"/>
        <v>5725</v>
      </c>
    </row>
    <row r="118" spans="1:12" ht="13.5">
      <c r="A118" s="448">
        <v>5750</v>
      </c>
      <c r="B118" s="447">
        <v>5800</v>
      </c>
      <c r="C118" s="1378">
        <f t="shared" si="9"/>
        <v>441</v>
      </c>
      <c r="D118" s="448">
        <f t="shared" si="9"/>
        <v>1964</v>
      </c>
      <c r="E118" s="448">
        <f t="shared" si="9"/>
        <v>2310</v>
      </c>
      <c r="F118" s="447">
        <f t="shared" si="8"/>
        <v>2599</v>
      </c>
      <c r="G118" s="1378">
        <f t="shared" si="8"/>
        <v>441</v>
      </c>
      <c r="H118" s="448">
        <f t="shared" si="8"/>
        <v>1964</v>
      </c>
      <c r="I118" s="448">
        <f t="shared" si="8"/>
        <v>2310</v>
      </c>
      <c r="J118" s="447">
        <f t="shared" si="5"/>
        <v>2599</v>
      </c>
      <c r="K118" s="422"/>
      <c r="L118" s="448">
        <f t="shared" si="7"/>
        <v>5775</v>
      </c>
    </row>
    <row r="119" spans="1:12" ht="13.5">
      <c r="A119" s="448">
        <v>5800</v>
      </c>
      <c r="B119" s="447">
        <v>5850</v>
      </c>
      <c r="C119" s="1378">
        <f t="shared" si="9"/>
        <v>445</v>
      </c>
      <c r="D119" s="448">
        <f t="shared" si="9"/>
        <v>1981</v>
      </c>
      <c r="E119" s="448">
        <f t="shared" si="9"/>
        <v>2330</v>
      </c>
      <c r="F119" s="447">
        <f t="shared" si="8"/>
        <v>2621</v>
      </c>
      <c r="G119" s="1378">
        <f t="shared" si="8"/>
        <v>445</v>
      </c>
      <c r="H119" s="448">
        <f t="shared" si="8"/>
        <v>1981</v>
      </c>
      <c r="I119" s="448">
        <f t="shared" si="8"/>
        <v>2330</v>
      </c>
      <c r="J119" s="447">
        <f t="shared" si="5"/>
        <v>2621</v>
      </c>
      <c r="K119" s="422"/>
      <c r="L119" s="448">
        <f t="shared" si="7"/>
        <v>5825</v>
      </c>
    </row>
    <row r="120" spans="1:12" ht="13.5">
      <c r="A120" s="448">
        <v>5850</v>
      </c>
      <c r="B120" s="447">
        <v>5900</v>
      </c>
      <c r="C120" s="1378">
        <f t="shared" si="9"/>
        <v>449</v>
      </c>
      <c r="D120" s="448">
        <f t="shared" si="9"/>
        <v>1998</v>
      </c>
      <c r="E120" s="448">
        <f t="shared" si="9"/>
        <v>2350</v>
      </c>
      <c r="F120" s="447">
        <f t="shared" si="8"/>
        <v>2644</v>
      </c>
      <c r="G120" s="1378">
        <f t="shared" si="8"/>
        <v>449</v>
      </c>
      <c r="H120" s="448">
        <f t="shared" si="8"/>
        <v>1998</v>
      </c>
      <c r="I120" s="448">
        <f t="shared" si="8"/>
        <v>2350</v>
      </c>
      <c r="J120" s="447">
        <f t="shared" si="5"/>
        <v>2644</v>
      </c>
      <c r="K120" s="422"/>
      <c r="L120" s="448">
        <f t="shared" si="7"/>
        <v>5875</v>
      </c>
    </row>
    <row r="121" spans="1:12" ht="13.5">
      <c r="A121" s="448">
        <v>5900</v>
      </c>
      <c r="B121" s="447">
        <v>5950</v>
      </c>
      <c r="C121" s="1378">
        <f t="shared" si="9"/>
        <v>453</v>
      </c>
      <c r="D121" s="448">
        <f t="shared" si="9"/>
        <v>2015</v>
      </c>
      <c r="E121" s="448">
        <f t="shared" si="9"/>
        <v>2370</v>
      </c>
      <c r="F121" s="447">
        <f t="shared" si="8"/>
        <v>2666</v>
      </c>
      <c r="G121" s="1378">
        <f t="shared" si="8"/>
        <v>453</v>
      </c>
      <c r="H121" s="448">
        <f t="shared" si="8"/>
        <v>2015</v>
      </c>
      <c r="I121" s="448">
        <f t="shared" si="8"/>
        <v>2370</v>
      </c>
      <c r="J121" s="447">
        <f t="shared" si="5"/>
        <v>2666</v>
      </c>
      <c r="K121" s="422"/>
      <c r="L121" s="448">
        <f t="shared" si="7"/>
        <v>5925</v>
      </c>
    </row>
    <row r="122" spans="1:12" ht="13.5">
      <c r="A122" s="448">
        <v>5950</v>
      </c>
      <c r="B122" s="447">
        <v>6000</v>
      </c>
      <c r="C122" s="1378">
        <f t="shared" si="9"/>
        <v>456</v>
      </c>
      <c r="D122" s="448">
        <f t="shared" si="9"/>
        <v>2032</v>
      </c>
      <c r="E122" s="448">
        <f t="shared" si="9"/>
        <v>2390</v>
      </c>
      <c r="F122" s="447">
        <f t="shared" si="8"/>
        <v>2689</v>
      </c>
      <c r="G122" s="1378">
        <f t="shared" si="8"/>
        <v>456</v>
      </c>
      <c r="H122" s="448">
        <f t="shared" si="8"/>
        <v>2032</v>
      </c>
      <c r="I122" s="448">
        <f t="shared" si="8"/>
        <v>2390</v>
      </c>
      <c r="J122" s="447">
        <f t="shared" si="5"/>
        <v>2689</v>
      </c>
      <c r="K122" s="422"/>
      <c r="L122" s="448">
        <f t="shared" si="7"/>
        <v>5975</v>
      </c>
    </row>
    <row r="123" spans="1:12" ht="13.5">
      <c r="A123" s="448">
        <v>6000</v>
      </c>
      <c r="B123" s="447">
        <v>6050</v>
      </c>
      <c r="C123" s="1378">
        <f t="shared" si="9"/>
        <v>460</v>
      </c>
      <c r="D123" s="448">
        <f t="shared" si="9"/>
        <v>2049</v>
      </c>
      <c r="E123" s="448">
        <f t="shared" si="9"/>
        <v>2410</v>
      </c>
      <c r="F123" s="447">
        <f t="shared" si="8"/>
        <v>2711</v>
      </c>
      <c r="G123" s="1378">
        <f t="shared" si="8"/>
        <v>460</v>
      </c>
      <c r="H123" s="448">
        <f t="shared" si="8"/>
        <v>2049</v>
      </c>
      <c r="I123" s="448">
        <f t="shared" si="8"/>
        <v>2410</v>
      </c>
      <c r="J123" s="447">
        <f t="shared" si="5"/>
        <v>2711</v>
      </c>
      <c r="K123" s="422"/>
      <c r="L123" s="448">
        <f t="shared" si="7"/>
        <v>6025</v>
      </c>
    </row>
    <row r="124" spans="1:12" ht="13.5">
      <c r="A124" s="448">
        <v>6050</v>
      </c>
      <c r="B124" s="447">
        <v>6100</v>
      </c>
      <c r="C124" s="1378">
        <f t="shared" si="9"/>
        <v>464</v>
      </c>
      <c r="D124" s="448">
        <f t="shared" si="9"/>
        <v>2066</v>
      </c>
      <c r="E124" s="448">
        <f t="shared" si="9"/>
        <v>2430</v>
      </c>
      <c r="F124" s="447">
        <f t="shared" si="8"/>
        <v>2734</v>
      </c>
      <c r="G124" s="1378">
        <f t="shared" si="8"/>
        <v>464</v>
      </c>
      <c r="H124" s="448">
        <f t="shared" si="8"/>
        <v>2066</v>
      </c>
      <c r="I124" s="448">
        <f t="shared" si="8"/>
        <v>2430</v>
      </c>
      <c r="J124" s="447">
        <f t="shared" si="5"/>
        <v>2734</v>
      </c>
      <c r="K124" s="422"/>
      <c r="L124" s="448">
        <f t="shared" si="7"/>
        <v>6075</v>
      </c>
    </row>
    <row r="125" spans="1:12" ht="13.5">
      <c r="A125" s="448">
        <v>6100</v>
      </c>
      <c r="B125" s="447">
        <v>6150</v>
      </c>
      <c r="C125" s="1378">
        <f t="shared" si="9"/>
        <v>468</v>
      </c>
      <c r="D125" s="448">
        <f t="shared" si="9"/>
        <v>2083</v>
      </c>
      <c r="E125" s="448">
        <f t="shared" si="9"/>
        <v>2450</v>
      </c>
      <c r="F125" s="447">
        <f t="shared" si="8"/>
        <v>2756</v>
      </c>
      <c r="G125" s="1378">
        <f t="shared" si="8"/>
        <v>468</v>
      </c>
      <c r="H125" s="448">
        <f t="shared" si="8"/>
        <v>2083</v>
      </c>
      <c r="I125" s="448">
        <f t="shared" si="8"/>
        <v>2450</v>
      </c>
      <c r="J125" s="447">
        <f t="shared" si="5"/>
        <v>2756</v>
      </c>
      <c r="K125" s="422"/>
      <c r="L125" s="448">
        <f t="shared" si="7"/>
        <v>6125</v>
      </c>
    </row>
    <row r="126" spans="1:12" ht="13.5">
      <c r="A126" s="448">
        <v>6150</v>
      </c>
      <c r="B126" s="447">
        <v>6200</v>
      </c>
      <c r="C126" s="1378">
        <f t="shared" si="9"/>
        <v>472</v>
      </c>
      <c r="D126" s="448">
        <f t="shared" si="9"/>
        <v>2100</v>
      </c>
      <c r="E126" s="448">
        <f t="shared" si="9"/>
        <v>2470</v>
      </c>
      <c r="F126" s="447">
        <f t="shared" si="8"/>
        <v>2779</v>
      </c>
      <c r="G126" s="1378">
        <f t="shared" si="8"/>
        <v>472</v>
      </c>
      <c r="H126" s="448">
        <f t="shared" si="8"/>
        <v>2100</v>
      </c>
      <c r="I126" s="448">
        <f t="shared" si="8"/>
        <v>2470</v>
      </c>
      <c r="J126" s="447">
        <f t="shared" si="5"/>
        <v>2779</v>
      </c>
      <c r="K126" s="422"/>
      <c r="L126" s="448">
        <f t="shared" si="7"/>
        <v>6175</v>
      </c>
    </row>
    <row r="127" spans="1:12" ht="13.5">
      <c r="A127" s="448">
        <v>6200</v>
      </c>
      <c r="B127" s="447">
        <v>6250</v>
      </c>
      <c r="C127" s="1378">
        <f t="shared" si="9"/>
        <v>476</v>
      </c>
      <c r="D127" s="448">
        <f t="shared" si="9"/>
        <v>2117</v>
      </c>
      <c r="E127" s="448">
        <f t="shared" si="9"/>
        <v>2490</v>
      </c>
      <c r="F127" s="447">
        <f t="shared" si="8"/>
        <v>2801</v>
      </c>
      <c r="G127" s="1378">
        <f t="shared" si="8"/>
        <v>476</v>
      </c>
      <c r="H127" s="448">
        <f t="shared" si="8"/>
        <v>2117</v>
      </c>
      <c r="I127" s="448">
        <f t="shared" si="8"/>
        <v>2490</v>
      </c>
      <c r="J127" s="447">
        <f t="shared" si="5"/>
        <v>2801</v>
      </c>
      <c r="K127" s="422"/>
      <c r="L127" s="448">
        <f t="shared" si="7"/>
        <v>6225</v>
      </c>
    </row>
    <row r="128" spans="1:12" ht="13.5">
      <c r="A128" s="448">
        <v>6250</v>
      </c>
      <c r="B128" s="447">
        <v>6300</v>
      </c>
      <c r="C128" s="1378">
        <f t="shared" si="9"/>
        <v>479</v>
      </c>
      <c r="D128" s="448">
        <f t="shared" si="9"/>
        <v>2134</v>
      </c>
      <c r="E128" s="448">
        <f t="shared" si="9"/>
        <v>2510</v>
      </c>
      <c r="F128" s="447">
        <f t="shared" si="8"/>
        <v>2824</v>
      </c>
      <c r="G128" s="1378">
        <f t="shared" si="8"/>
        <v>479</v>
      </c>
      <c r="H128" s="448">
        <f t="shared" si="8"/>
        <v>2134</v>
      </c>
      <c r="I128" s="448">
        <f t="shared" si="8"/>
        <v>2510</v>
      </c>
      <c r="J128" s="447">
        <f t="shared" si="5"/>
        <v>2824</v>
      </c>
      <c r="K128" s="422"/>
      <c r="L128" s="448">
        <f t="shared" si="7"/>
        <v>6275</v>
      </c>
    </row>
    <row r="129" spans="1:12" ht="13.5">
      <c r="A129" s="448">
        <v>6300</v>
      </c>
      <c r="B129" s="447">
        <v>6350</v>
      </c>
      <c r="C129" s="1378">
        <f t="shared" si="9"/>
        <v>483</v>
      </c>
      <c r="D129" s="448">
        <f t="shared" si="9"/>
        <v>2151</v>
      </c>
      <c r="E129" s="448">
        <f t="shared" si="9"/>
        <v>2530</v>
      </c>
      <c r="F129" s="447">
        <f t="shared" si="8"/>
        <v>2846</v>
      </c>
      <c r="G129" s="1378">
        <f t="shared" si="8"/>
        <v>483</v>
      </c>
      <c r="H129" s="448">
        <f t="shared" si="8"/>
        <v>2151</v>
      </c>
      <c r="I129" s="448">
        <f t="shared" si="8"/>
        <v>2530</v>
      </c>
      <c r="J129" s="447">
        <f t="shared" si="5"/>
        <v>2846</v>
      </c>
      <c r="K129" s="422"/>
      <c r="L129" s="448">
        <f t="shared" si="7"/>
        <v>6325</v>
      </c>
    </row>
    <row r="130" spans="1:12" ht="13.5">
      <c r="A130" s="448">
        <v>6350</v>
      </c>
      <c r="B130" s="447">
        <v>6400</v>
      </c>
      <c r="C130" s="1378">
        <f t="shared" si="9"/>
        <v>487</v>
      </c>
      <c r="D130" s="448">
        <f t="shared" si="9"/>
        <v>2168</v>
      </c>
      <c r="E130" s="448">
        <f t="shared" si="9"/>
        <v>2550</v>
      </c>
      <c r="F130" s="447">
        <f t="shared" si="8"/>
        <v>2869</v>
      </c>
      <c r="G130" s="1378">
        <f t="shared" si="8"/>
        <v>487</v>
      </c>
      <c r="H130" s="448">
        <f t="shared" si="8"/>
        <v>2168</v>
      </c>
      <c r="I130" s="448">
        <f t="shared" si="8"/>
        <v>2550</v>
      </c>
      <c r="J130" s="447">
        <f t="shared" si="8"/>
        <v>2869</v>
      </c>
      <c r="K130" s="422"/>
      <c r="L130" s="448">
        <f t="shared" si="7"/>
        <v>6375</v>
      </c>
    </row>
    <row r="131" spans="1:12" ht="13.5">
      <c r="A131" s="448">
        <v>6400</v>
      </c>
      <c r="B131" s="447">
        <v>6450</v>
      </c>
      <c r="C131" s="1378">
        <f t="shared" si="9"/>
        <v>491</v>
      </c>
      <c r="D131" s="448">
        <f t="shared" si="9"/>
        <v>2185</v>
      </c>
      <c r="E131" s="448">
        <f t="shared" si="9"/>
        <v>2570</v>
      </c>
      <c r="F131" s="447">
        <f t="shared" si="8"/>
        <v>2891</v>
      </c>
      <c r="G131" s="1378">
        <f t="shared" si="8"/>
        <v>491</v>
      </c>
      <c r="H131" s="448">
        <f t="shared" si="8"/>
        <v>2185</v>
      </c>
      <c r="I131" s="448">
        <f t="shared" si="8"/>
        <v>2570</v>
      </c>
      <c r="J131" s="447">
        <f t="shared" si="8"/>
        <v>2891</v>
      </c>
      <c r="K131" s="422"/>
      <c r="L131" s="448">
        <f t="shared" si="7"/>
        <v>6425</v>
      </c>
    </row>
    <row r="132" spans="1:12" ht="13.5">
      <c r="A132" s="448">
        <v>6450</v>
      </c>
      <c r="B132" s="447">
        <v>6500</v>
      </c>
      <c r="C132" s="1378">
        <f t="shared" si="9"/>
        <v>495</v>
      </c>
      <c r="D132" s="448">
        <f t="shared" si="9"/>
        <v>2202</v>
      </c>
      <c r="E132" s="448">
        <f t="shared" si="9"/>
        <v>2590</v>
      </c>
      <c r="F132" s="447">
        <f t="shared" si="8"/>
        <v>2914</v>
      </c>
      <c r="G132" s="1378">
        <f t="shared" si="8"/>
        <v>495</v>
      </c>
      <c r="H132" s="448">
        <f t="shared" si="8"/>
        <v>2202</v>
      </c>
      <c r="I132" s="448">
        <f t="shared" si="8"/>
        <v>2590</v>
      </c>
      <c r="J132" s="447">
        <f t="shared" si="8"/>
        <v>2914</v>
      </c>
      <c r="K132" s="422"/>
      <c r="L132" s="448">
        <f t="shared" ref="L132:L195" si="10">ROUND((A132+B132)/2,2)</f>
        <v>6475</v>
      </c>
    </row>
    <row r="133" spans="1:12" ht="13.5">
      <c r="A133" s="448">
        <v>6500</v>
      </c>
      <c r="B133" s="447">
        <v>6550</v>
      </c>
      <c r="C133" s="1378">
        <f t="shared" si="9"/>
        <v>499</v>
      </c>
      <c r="D133" s="448">
        <f t="shared" si="9"/>
        <v>2219</v>
      </c>
      <c r="E133" s="448">
        <f t="shared" si="9"/>
        <v>2610</v>
      </c>
      <c r="F133" s="447">
        <f t="shared" si="8"/>
        <v>2936</v>
      </c>
      <c r="G133" s="1378">
        <f t="shared" si="8"/>
        <v>499</v>
      </c>
      <c r="H133" s="448">
        <f t="shared" si="8"/>
        <v>2219</v>
      </c>
      <c r="I133" s="448">
        <f t="shared" si="8"/>
        <v>2610</v>
      </c>
      <c r="J133" s="447">
        <f t="shared" si="8"/>
        <v>2936</v>
      </c>
      <c r="K133" s="422"/>
      <c r="L133" s="448">
        <f t="shared" si="10"/>
        <v>6525</v>
      </c>
    </row>
    <row r="134" spans="1:12" ht="13.5">
      <c r="A134" s="448">
        <v>6550</v>
      </c>
      <c r="B134" s="447">
        <v>6600</v>
      </c>
      <c r="C134" s="1378">
        <f t="shared" si="9"/>
        <v>502</v>
      </c>
      <c r="D134" s="448">
        <f t="shared" si="9"/>
        <v>2236</v>
      </c>
      <c r="E134" s="448">
        <f t="shared" si="9"/>
        <v>2630</v>
      </c>
      <c r="F134" s="447">
        <f t="shared" si="8"/>
        <v>2959</v>
      </c>
      <c r="G134" s="1378">
        <f t="shared" si="8"/>
        <v>502</v>
      </c>
      <c r="H134" s="448">
        <f t="shared" si="8"/>
        <v>2236</v>
      </c>
      <c r="I134" s="448">
        <f t="shared" si="8"/>
        <v>2630</v>
      </c>
      <c r="J134" s="447">
        <f t="shared" si="8"/>
        <v>2959</v>
      </c>
      <c r="K134" s="422"/>
      <c r="L134" s="448">
        <f t="shared" si="10"/>
        <v>6575</v>
      </c>
    </row>
    <row r="135" spans="1:12" ht="13.5">
      <c r="A135" s="448">
        <v>6600</v>
      </c>
      <c r="B135" s="447">
        <v>6650</v>
      </c>
      <c r="C135" s="1378">
        <f t="shared" si="9"/>
        <v>506</v>
      </c>
      <c r="D135" s="448">
        <f t="shared" si="9"/>
        <v>2253</v>
      </c>
      <c r="E135" s="448">
        <f t="shared" si="9"/>
        <v>2650</v>
      </c>
      <c r="F135" s="447">
        <f t="shared" si="8"/>
        <v>2981</v>
      </c>
      <c r="G135" s="1378">
        <f t="shared" si="8"/>
        <v>506</v>
      </c>
      <c r="H135" s="448">
        <f t="shared" si="8"/>
        <v>2253</v>
      </c>
      <c r="I135" s="448">
        <f t="shared" si="8"/>
        <v>2650</v>
      </c>
      <c r="J135" s="447">
        <f t="shared" si="8"/>
        <v>2981</v>
      </c>
      <c r="K135" s="422"/>
      <c r="L135" s="448">
        <f t="shared" si="10"/>
        <v>6625</v>
      </c>
    </row>
    <row r="136" spans="1:12" ht="13.5">
      <c r="A136" s="448">
        <v>6650</v>
      </c>
      <c r="B136" s="447">
        <v>6700</v>
      </c>
      <c r="C136" s="1378">
        <f t="shared" si="9"/>
        <v>510</v>
      </c>
      <c r="D136" s="448">
        <f t="shared" si="9"/>
        <v>2270</v>
      </c>
      <c r="E136" s="448">
        <f t="shared" si="9"/>
        <v>2670</v>
      </c>
      <c r="F136" s="447">
        <f t="shared" si="8"/>
        <v>3004</v>
      </c>
      <c r="G136" s="1378">
        <f t="shared" si="8"/>
        <v>510</v>
      </c>
      <c r="H136" s="448">
        <f t="shared" si="8"/>
        <v>2270</v>
      </c>
      <c r="I136" s="448">
        <f t="shared" si="8"/>
        <v>2670</v>
      </c>
      <c r="J136" s="447">
        <f t="shared" si="8"/>
        <v>3004</v>
      </c>
      <c r="K136" s="422"/>
      <c r="L136" s="448">
        <f t="shared" si="10"/>
        <v>6675</v>
      </c>
    </row>
    <row r="137" spans="1:12" ht="13.5">
      <c r="A137" s="448">
        <v>6700</v>
      </c>
      <c r="B137" s="447">
        <v>6750</v>
      </c>
      <c r="C137" s="1378">
        <f t="shared" si="9"/>
        <v>514</v>
      </c>
      <c r="D137" s="448">
        <f t="shared" si="9"/>
        <v>2287</v>
      </c>
      <c r="E137" s="448">
        <f t="shared" si="9"/>
        <v>2690</v>
      </c>
      <c r="F137" s="447">
        <f t="shared" si="8"/>
        <v>3026</v>
      </c>
      <c r="G137" s="1378">
        <f t="shared" si="8"/>
        <v>514</v>
      </c>
      <c r="H137" s="448">
        <f t="shared" si="8"/>
        <v>2287</v>
      </c>
      <c r="I137" s="448">
        <f t="shared" si="8"/>
        <v>2690</v>
      </c>
      <c r="J137" s="447">
        <f t="shared" si="8"/>
        <v>3026</v>
      </c>
      <c r="K137" s="422"/>
      <c r="L137" s="448">
        <f t="shared" si="10"/>
        <v>6725</v>
      </c>
    </row>
    <row r="138" spans="1:12" ht="13.5">
      <c r="A138" s="448">
        <v>6750</v>
      </c>
      <c r="B138" s="447">
        <v>6800</v>
      </c>
      <c r="C138" s="1378">
        <f t="shared" si="9"/>
        <v>518</v>
      </c>
      <c r="D138" s="448">
        <f t="shared" si="9"/>
        <v>2304</v>
      </c>
      <c r="E138" s="448">
        <f t="shared" si="9"/>
        <v>2710</v>
      </c>
      <c r="F138" s="447">
        <f t="shared" si="8"/>
        <v>3049</v>
      </c>
      <c r="G138" s="1378">
        <f t="shared" si="8"/>
        <v>518</v>
      </c>
      <c r="H138" s="448">
        <f t="shared" si="8"/>
        <v>2304</v>
      </c>
      <c r="I138" s="448">
        <f t="shared" si="8"/>
        <v>2710</v>
      </c>
      <c r="J138" s="447">
        <f t="shared" si="8"/>
        <v>3049</v>
      </c>
      <c r="K138" s="422"/>
      <c r="L138" s="448">
        <f t="shared" si="10"/>
        <v>6775</v>
      </c>
    </row>
    <row r="139" spans="1:12" ht="13.5">
      <c r="A139" s="448">
        <v>6800</v>
      </c>
      <c r="B139" s="447">
        <v>6850</v>
      </c>
      <c r="C139" s="1378">
        <f t="shared" si="9"/>
        <v>521</v>
      </c>
      <c r="D139" s="448">
        <f t="shared" si="9"/>
        <v>2321</v>
      </c>
      <c r="E139" s="448">
        <f t="shared" si="9"/>
        <v>2730</v>
      </c>
      <c r="F139" s="447">
        <f t="shared" si="8"/>
        <v>3071</v>
      </c>
      <c r="G139" s="1378">
        <f t="shared" si="8"/>
        <v>521</v>
      </c>
      <c r="H139" s="448">
        <f t="shared" si="8"/>
        <v>2321</v>
      </c>
      <c r="I139" s="448">
        <f t="shared" si="8"/>
        <v>2730</v>
      </c>
      <c r="J139" s="447">
        <f t="shared" si="8"/>
        <v>3071</v>
      </c>
      <c r="K139" s="422"/>
      <c r="L139" s="448">
        <f t="shared" si="10"/>
        <v>6825</v>
      </c>
    </row>
    <row r="140" spans="1:12" ht="13.5">
      <c r="A140" s="448">
        <v>6850</v>
      </c>
      <c r="B140" s="447">
        <v>6900</v>
      </c>
      <c r="C140" s="1378">
        <f t="shared" si="9"/>
        <v>525</v>
      </c>
      <c r="D140" s="448">
        <f t="shared" si="9"/>
        <v>2338</v>
      </c>
      <c r="E140" s="448">
        <f t="shared" si="9"/>
        <v>2750</v>
      </c>
      <c r="F140" s="447">
        <f t="shared" si="8"/>
        <v>3094</v>
      </c>
      <c r="G140" s="1378">
        <f t="shared" si="8"/>
        <v>525</v>
      </c>
      <c r="H140" s="448">
        <f t="shared" si="8"/>
        <v>2338</v>
      </c>
      <c r="I140" s="448">
        <f t="shared" si="8"/>
        <v>2750</v>
      </c>
      <c r="J140" s="447">
        <f t="shared" si="8"/>
        <v>3094</v>
      </c>
      <c r="K140" s="422"/>
      <c r="L140" s="448">
        <f t="shared" si="10"/>
        <v>6875</v>
      </c>
    </row>
    <row r="141" spans="1:12" ht="13.5">
      <c r="A141" s="448">
        <v>6900</v>
      </c>
      <c r="B141" s="447">
        <v>6950</v>
      </c>
      <c r="C141" s="1378">
        <f t="shared" si="9"/>
        <v>529</v>
      </c>
      <c r="D141" s="448">
        <f t="shared" si="9"/>
        <v>2355</v>
      </c>
      <c r="E141" s="448">
        <f t="shared" si="9"/>
        <v>2770</v>
      </c>
      <c r="F141" s="447">
        <f t="shared" si="8"/>
        <v>3116</v>
      </c>
      <c r="G141" s="1378">
        <f t="shared" si="8"/>
        <v>529</v>
      </c>
      <c r="H141" s="448">
        <f t="shared" si="8"/>
        <v>2355</v>
      </c>
      <c r="I141" s="448">
        <f t="shared" si="8"/>
        <v>2770</v>
      </c>
      <c r="J141" s="447">
        <f t="shared" si="8"/>
        <v>3116</v>
      </c>
      <c r="K141" s="422"/>
      <c r="L141" s="448">
        <f t="shared" si="10"/>
        <v>6925</v>
      </c>
    </row>
    <row r="142" spans="1:12" ht="13.5">
      <c r="A142" s="448">
        <v>6950</v>
      </c>
      <c r="B142" s="447">
        <v>7000</v>
      </c>
      <c r="C142" s="1378">
        <f t="shared" si="9"/>
        <v>533</v>
      </c>
      <c r="D142" s="448">
        <f t="shared" si="9"/>
        <v>2372</v>
      </c>
      <c r="E142" s="448">
        <f t="shared" si="9"/>
        <v>2790</v>
      </c>
      <c r="F142" s="447">
        <f t="shared" si="8"/>
        <v>3139</v>
      </c>
      <c r="G142" s="1378">
        <f t="shared" si="8"/>
        <v>533</v>
      </c>
      <c r="H142" s="448">
        <f t="shared" si="8"/>
        <v>2372</v>
      </c>
      <c r="I142" s="448">
        <f t="shared" si="8"/>
        <v>2790</v>
      </c>
      <c r="J142" s="447">
        <f t="shared" si="8"/>
        <v>3139</v>
      </c>
      <c r="K142" s="422"/>
      <c r="L142" s="448">
        <f t="shared" si="10"/>
        <v>6975</v>
      </c>
    </row>
    <row r="143" spans="1:12" ht="13.5">
      <c r="A143" s="448">
        <v>7000</v>
      </c>
      <c r="B143" s="447">
        <v>7050</v>
      </c>
      <c r="C143" s="1378">
        <f t="shared" si="9"/>
        <v>537</v>
      </c>
      <c r="D143" s="448">
        <f t="shared" si="9"/>
        <v>2389</v>
      </c>
      <c r="E143" s="448">
        <f t="shared" si="9"/>
        <v>2810</v>
      </c>
      <c r="F143" s="447">
        <f t="shared" si="8"/>
        <v>3161</v>
      </c>
      <c r="G143" s="1378">
        <f t="shared" si="8"/>
        <v>537</v>
      </c>
      <c r="H143" s="448">
        <f t="shared" si="8"/>
        <v>2389</v>
      </c>
      <c r="I143" s="448">
        <f t="shared" si="8"/>
        <v>2810</v>
      </c>
      <c r="J143" s="447">
        <f t="shared" si="8"/>
        <v>3161</v>
      </c>
      <c r="K143" s="422"/>
      <c r="L143" s="448">
        <f t="shared" si="10"/>
        <v>7025</v>
      </c>
    </row>
    <row r="144" spans="1:12" ht="13.5">
      <c r="A144" s="448">
        <v>7050</v>
      </c>
      <c r="B144" s="447">
        <v>7100</v>
      </c>
      <c r="C144" s="1378">
        <f t="shared" si="9"/>
        <v>541</v>
      </c>
      <c r="D144" s="448">
        <f t="shared" si="9"/>
        <v>2406</v>
      </c>
      <c r="E144" s="448">
        <f t="shared" si="9"/>
        <v>2830</v>
      </c>
      <c r="F144" s="447">
        <f t="shared" si="8"/>
        <v>3184</v>
      </c>
      <c r="G144" s="1378">
        <f t="shared" si="8"/>
        <v>541</v>
      </c>
      <c r="H144" s="448">
        <f t="shared" si="8"/>
        <v>2406</v>
      </c>
      <c r="I144" s="448">
        <f t="shared" si="8"/>
        <v>2830</v>
      </c>
      <c r="J144" s="447">
        <f t="shared" si="8"/>
        <v>3184</v>
      </c>
      <c r="K144" s="422"/>
      <c r="L144" s="448">
        <f t="shared" si="10"/>
        <v>7075</v>
      </c>
    </row>
    <row r="145" spans="1:12" ht="13.5">
      <c r="A145" s="448">
        <v>7100</v>
      </c>
      <c r="B145" s="447">
        <v>7150</v>
      </c>
      <c r="C145" s="1378">
        <f t="shared" si="9"/>
        <v>544</v>
      </c>
      <c r="D145" s="448">
        <f t="shared" si="9"/>
        <v>2423</v>
      </c>
      <c r="E145" s="448">
        <f t="shared" si="9"/>
        <v>2850</v>
      </c>
      <c r="F145" s="447">
        <f t="shared" si="8"/>
        <v>3206</v>
      </c>
      <c r="G145" s="1378">
        <f t="shared" si="8"/>
        <v>544</v>
      </c>
      <c r="H145" s="448">
        <f t="shared" si="8"/>
        <v>2423</v>
      </c>
      <c r="I145" s="448">
        <f t="shared" si="8"/>
        <v>2850</v>
      </c>
      <c r="J145" s="447">
        <f t="shared" si="8"/>
        <v>3206</v>
      </c>
      <c r="K145" s="422"/>
      <c r="L145" s="448">
        <f t="shared" si="10"/>
        <v>7125</v>
      </c>
    </row>
    <row r="146" spans="1:12" ht="13.5">
      <c r="A146" s="448">
        <v>7150</v>
      </c>
      <c r="B146" s="447">
        <v>7200</v>
      </c>
      <c r="C146" s="1378">
        <f t="shared" si="9"/>
        <v>548</v>
      </c>
      <c r="D146" s="448">
        <f t="shared" si="9"/>
        <v>2440</v>
      </c>
      <c r="E146" s="448">
        <f t="shared" si="9"/>
        <v>2870</v>
      </c>
      <c r="F146" s="447">
        <f t="shared" si="8"/>
        <v>3229</v>
      </c>
      <c r="G146" s="1378">
        <f t="shared" si="8"/>
        <v>548</v>
      </c>
      <c r="H146" s="448">
        <f t="shared" si="8"/>
        <v>2440</v>
      </c>
      <c r="I146" s="448">
        <f t="shared" si="8"/>
        <v>2870</v>
      </c>
      <c r="J146" s="447">
        <f t="shared" si="8"/>
        <v>3229</v>
      </c>
      <c r="K146" s="422"/>
      <c r="L146" s="448">
        <f t="shared" si="10"/>
        <v>7175</v>
      </c>
    </row>
    <row r="147" spans="1:12" ht="13.5">
      <c r="A147" s="448">
        <v>7200</v>
      </c>
      <c r="B147" s="447">
        <v>7250</v>
      </c>
      <c r="C147" s="1378">
        <f t="shared" si="9"/>
        <v>552</v>
      </c>
      <c r="D147" s="448">
        <f t="shared" si="9"/>
        <v>2457</v>
      </c>
      <c r="E147" s="448">
        <f t="shared" si="9"/>
        <v>2890</v>
      </c>
      <c r="F147" s="447">
        <f t="shared" si="8"/>
        <v>3251</v>
      </c>
      <c r="G147" s="1378">
        <f t="shared" si="8"/>
        <v>552</v>
      </c>
      <c r="H147" s="448">
        <f t="shared" si="8"/>
        <v>2457</v>
      </c>
      <c r="I147" s="448">
        <f t="shared" si="8"/>
        <v>2890</v>
      </c>
      <c r="J147" s="447">
        <f t="shared" si="8"/>
        <v>3251</v>
      </c>
      <c r="K147" s="422"/>
      <c r="L147" s="448">
        <f t="shared" si="10"/>
        <v>7225</v>
      </c>
    </row>
    <row r="148" spans="1:12" ht="13.5">
      <c r="A148" s="448">
        <v>7250</v>
      </c>
      <c r="B148" s="447">
        <v>7300</v>
      </c>
      <c r="C148" s="1378">
        <f t="shared" si="9"/>
        <v>556</v>
      </c>
      <c r="D148" s="448">
        <f t="shared" si="9"/>
        <v>2474</v>
      </c>
      <c r="E148" s="448">
        <f t="shared" si="9"/>
        <v>2910</v>
      </c>
      <c r="F148" s="447">
        <f t="shared" si="8"/>
        <v>3274</v>
      </c>
      <c r="G148" s="1378">
        <f t="shared" si="8"/>
        <v>556</v>
      </c>
      <c r="H148" s="448">
        <f t="shared" si="8"/>
        <v>2474</v>
      </c>
      <c r="I148" s="448">
        <f t="shared" si="8"/>
        <v>2910</v>
      </c>
      <c r="J148" s="447">
        <f t="shared" si="8"/>
        <v>3274</v>
      </c>
      <c r="K148" s="422"/>
      <c r="L148" s="448">
        <f t="shared" si="10"/>
        <v>7275</v>
      </c>
    </row>
    <row r="149" spans="1:12" ht="13.5">
      <c r="A149" s="448">
        <v>7300</v>
      </c>
      <c r="B149" s="447">
        <v>7350</v>
      </c>
      <c r="C149" s="1378">
        <f t="shared" si="9"/>
        <v>560</v>
      </c>
      <c r="D149" s="448">
        <f t="shared" si="9"/>
        <v>2491</v>
      </c>
      <c r="E149" s="448">
        <f t="shared" si="9"/>
        <v>2930</v>
      </c>
      <c r="F149" s="447">
        <f t="shared" si="8"/>
        <v>3296</v>
      </c>
      <c r="G149" s="1378">
        <f t="shared" si="8"/>
        <v>560</v>
      </c>
      <c r="H149" s="448">
        <f t="shared" si="8"/>
        <v>2491</v>
      </c>
      <c r="I149" s="448">
        <f t="shared" si="8"/>
        <v>2930</v>
      </c>
      <c r="J149" s="447">
        <f t="shared" si="8"/>
        <v>3296</v>
      </c>
      <c r="K149" s="422"/>
      <c r="L149" s="448">
        <f t="shared" si="10"/>
        <v>7325</v>
      </c>
    </row>
    <row r="150" spans="1:12" ht="13.5">
      <c r="A150" s="448">
        <v>7350</v>
      </c>
      <c r="B150" s="447">
        <v>7400</v>
      </c>
      <c r="C150" s="1378">
        <f t="shared" si="9"/>
        <v>563</v>
      </c>
      <c r="D150" s="448">
        <f t="shared" si="9"/>
        <v>2508</v>
      </c>
      <c r="E150" s="448">
        <f t="shared" si="9"/>
        <v>2950</v>
      </c>
      <c r="F150" s="447">
        <f t="shared" si="8"/>
        <v>3319</v>
      </c>
      <c r="G150" s="1378">
        <f t="shared" si="8"/>
        <v>563</v>
      </c>
      <c r="H150" s="448">
        <f t="shared" si="8"/>
        <v>2508</v>
      </c>
      <c r="I150" s="448">
        <f t="shared" si="8"/>
        <v>2950</v>
      </c>
      <c r="J150" s="447">
        <f t="shared" si="8"/>
        <v>3319</v>
      </c>
      <c r="K150" s="422"/>
      <c r="L150" s="448">
        <f t="shared" si="10"/>
        <v>7375</v>
      </c>
    </row>
    <row r="151" spans="1:12" ht="13.5">
      <c r="A151" s="448">
        <v>7400</v>
      </c>
      <c r="B151" s="447">
        <v>7450</v>
      </c>
      <c r="C151" s="1378">
        <f t="shared" si="9"/>
        <v>567</v>
      </c>
      <c r="D151" s="448">
        <f t="shared" si="9"/>
        <v>2525</v>
      </c>
      <c r="E151" s="448">
        <f t="shared" si="9"/>
        <v>2970</v>
      </c>
      <c r="F151" s="447">
        <f t="shared" si="8"/>
        <v>3341</v>
      </c>
      <c r="G151" s="1378">
        <f t="shared" si="8"/>
        <v>567</v>
      </c>
      <c r="H151" s="448">
        <f t="shared" si="8"/>
        <v>2525</v>
      </c>
      <c r="I151" s="448">
        <f t="shared" si="8"/>
        <v>2970</v>
      </c>
      <c r="J151" s="447">
        <f t="shared" si="8"/>
        <v>3341</v>
      </c>
      <c r="K151" s="422"/>
      <c r="L151" s="448">
        <f t="shared" si="10"/>
        <v>7425</v>
      </c>
    </row>
    <row r="152" spans="1:12" ht="13.5">
      <c r="A152" s="448">
        <v>7450</v>
      </c>
      <c r="B152" s="447">
        <v>7500</v>
      </c>
      <c r="C152" s="1378">
        <f t="shared" si="9"/>
        <v>571</v>
      </c>
      <c r="D152" s="448">
        <f t="shared" si="9"/>
        <v>2542</v>
      </c>
      <c r="E152" s="448">
        <f t="shared" si="9"/>
        <v>2990</v>
      </c>
      <c r="F152" s="447">
        <f t="shared" si="8"/>
        <v>3364</v>
      </c>
      <c r="G152" s="1378">
        <f t="shared" si="8"/>
        <v>571</v>
      </c>
      <c r="H152" s="448">
        <f t="shared" si="8"/>
        <v>2542</v>
      </c>
      <c r="I152" s="448">
        <f t="shared" si="8"/>
        <v>2990</v>
      </c>
      <c r="J152" s="447">
        <f t="shared" si="8"/>
        <v>3364</v>
      </c>
      <c r="K152" s="422"/>
      <c r="L152" s="448">
        <f t="shared" si="10"/>
        <v>7475</v>
      </c>
    </row>
    <row r="153" spans="1:12" ht="13.5">
      <c r="A153" s="448">
        <v>7500</v>
      </c>
      <c r="B153" s="447">
        <v>7550</v>
      </c>
      <c r="C153" s="1378">
        <f t="shared" si="9"/>
        <v>575</v>
      </c>
      <c r="D153" s="448">
        <f t="shared" si="9"/>
        <v>2559</v>
      </c>
      <c r="E153" s="448">
        <f t="shared" si="9"/>
        <v>3010</v>
      </c>
      <c r="F153" s="447">
        <f t="shared" si="8"/>
        <v>3386</v>
      </c>
      <c r="G153" s="1378">
        <f t="shared" si="8"/>
        <v>575</v>
      </c>
      <c r="H153" s="448">
        <f t="shared" si="8"/>
        <v>2559</v>
      </c>
      <c r="I153" s="448">
        <f t="shared" si="8"/>
        <v>3010</v>
      </c>
      <c r="J153" s="447">
        <f t="shared" si="8"/>
        <v>3386</v>
      </c>
      <c r="K153" s="422"/>
      <c r="L153" s="448">
        <f t="shared" si="10"/>
        <v>7525</v>
      </c>
    </row>
    <row r="154" spans="1:12" ht="13.5">
      <c r="A154" s="448">
        <v>7550</v>
      </c>
      <c r="B154" s="447">
        <v>7600</v>
      </c>
      <c r="C154" s="1378">
        <f t="shared" si="9"/>
        <v>579</v>
      </c>
      <c r="D154" s="448">
        <f t="shared" si="9"/>
        <v>2576</v>
      </c>
      <c r="E154" s="448">
        <f t="shared" si="9"/>
        <v>3030</v>
      </c>
      <c r="F154" s="447">
        <f t="shared" si="8"/>
        <v>3409</v>
      </c>
      <c r="G154" s="1378">
        <f t="shared" si="8"/>
        <v>579</v>
      </c>
      <c r="H154" s="448">
        <f t="shared" si="8"/>
        <v>2576</v>
      </c>
      <c r="I154" s="448">
        <f t="shared" si="8"/>
        <v>3030</v>
      </c>
      <c r="J154" s="447">
        <f t="shared" si="8"/>
        <v>3409</v>
      </c>
      <c r="K154" s="422"/>
      <c r="L154" s="448">
        <f t="shared" si="10"/>
        <v>7575</v>
      </c>
    </row>
    <row r="155" spans="1:12" ht="13.5">
      <c r="A155" s="448">
        <v>7600</v>
      </c>
      <c r="B155" s="447">
        <v>7650</v>
      </c>
      <c r="C155" s="1378">
        <f t="shared" si="9"/>
        <v>583</v>
      </c>
      <c r="D155" s="448">
        <f t="shared" si="9"/>
        <v>2593</v>
      </c>
      <c r="E155" s="448">
        <f t="shared" si="9"/>
        <v>3050</v>
      </c>
      <c r="F155" s="447">
        <f t="shared" si="8"/>
        <v>3431</v>
      </c>
      <c r="G155" s="1378">
        <f t="shared" si="8"/>
        <v>583</v>
      </c>
      <c r="H155" s="448">
        <f t="shared" si="8"/>
        <v>2593</v>
      </c>
      <c r="I155" s="448">
        <f t="shared" si="8"/>
        <v>3050</v>
      </c>
      <c r="J155" s="447">
        <f t="shared" si="8"/>
        <v>3431</v>
      </c>
      <c r="K155" s="422"/>
      <c r="L155" s="448">
        <f t="shared" si="10"/>
        <v>7625</v>
      </c>
    </row>
    <row r="156" spans="1:12" ht="13.5">
      <c r="A156" s="448">
        <v>7650</v>
      </c>
      <c r="B156" s="447">
        <v>7700</v>
      </c>
      <c r="C156" s="1378">
        <f t="shared" si="9"/>
        <v>586</v>
      </c>
      <c r="D156" s="448">
        <f t="shared" si="9"/>
        <v>2610</v>
      </c>
      <c r="E156" s="448">
        <f t="shared" si="9"/>
        <v>3070</v>
      </c>
      <c r="F156" s="447">
        <f t="shared" si="8"/>
        <v>3454</v>
      </c>
      <c r="G156" s="1378">
        <f t="shared" si="8"/>
        <v>586</v>
      </c>
      <c r="H156" s="448">
        <f t="shared" si="8"/>
        <v>2610</v>
      </c>
      <c r="I156" s="448">
        <f t="shared" si="8"/>
        <v>3070</v>
      </c>
      <c r="J156" s="447">
        <f t="shared" si="8"/>
        <v>3454</v>
      </c>
      <c r="K156" s="422"/>
      <c r="L156" s="448">
        <f t="shared" si="10"/>
        <v>7675</v>
      </c>
    </row>
    <row r="157" spans="1:12" ht="13.5">
      <c r="A157" s="448">
        <v>7700</v>
      </c>
      <c r="B157" s="447">
        <v>7750</v>
      </c>
      <c r="C157" s="1378">
        <f t="shared" si="9"/>
        <v>590</v>
      </c>
      <c r="D157" s="448">
        <f t="shared" si="9"/>
        <v>2627</v>
      </c>
      <c r="E157" s="448">
        <f t="shared" si="9"/>
        <v>3090</v>
      </c>
      <c r="F157" s="447">
        <f t="shared" si="8"/>
        <v>3476</v>
      </c>
      <c r="G157" s="1378">
        <f t="shared" si="8"/>
        <v>590</v>
      </c>
      <c r="H157" s="448">
        <f t="shared" si="8"/>
        <v>2627</v>
      </c>
      <c r="I157" s="448">
        <f t="shared" si="8"/>
        <v>3090</v>
      </c>
      <c r="J157" s="447">
        <f t="shared" si="8"/>
        <v>3476</v>
      </c>
      <c r="K157" s="422"/>
      <c r="L157" s="448">
        <f t="shared" si="10"/>
        <v>7725</v>
      </c>
    </row>
    <row r="158" spans="1:12" ht="13.5">
      <c r="A158" s="448">
        <v>7750</v>
      </c>
      <c r="B158" s="447">
        <v>7800</v>
      </c>
      <c r="C158" s="1378">
        <f t="shared" si="9"/>
        <v>594</v>
      </c>
      <c r="D158" s="448">
        <f t="shared" si="9"/>
        <v>2644</v>
      </c>
      <c r="E158" s="448">
        <f t="shared" si="9"/>
        <v>3110</v>
      </c>
      <c r="F158" s="447">
        <f t="shared" si="8"/>
        <v>3499</v>
      </c>
      <c r="G158" s="1378">
        <f t="shared" si="8"/>
        <v>594</v>
      </c>
      <c r="H158" s="448">
        <f t="shared" si="8"/>
        <v>2644</v>
      </c>
      <c r="I158" s="448">
        <f t="shared" si="8"/>
        <v>3110</v>
      </c>
      <c r="J158" s="447">
        <f t="shared" si="8"/>
        <v>3499</v>
      </c>
      <c r="K158" s="422"/>
      <c r="L158" s="448">
        <f t="shared" si="10"/>
        <v>7775</v>
      </c>
    </row>
    <row r="159" spans="1:12" ht="13.5">
      <c r="A159" s="448">
        <v>7800</v>
      </c>
      <c r="B159" s="447">
        <v>7850</v>
      </c>
      <c r="C159" s="1378">
        <f t="shared" si="9"/>
        <v>598</v>
      </c>
      <c r="D159" s="448">
        <f t="shared" si="9"/>
        <v>2661</v>
      </c>
      <c r="E159" s="448">
        <f t="shared" si="9"/>
        <v>3130</v>
      </c>
      <c r="F159" s="447">
        <f t="shared" si="8"/>
        <v>3521</v>
      </c>
      <c r="G159" s="1378">
        <f t="shared" si="8"/>
        <v>598</v>
      </c>
      <c r="H159" s="448">
        <f t="shared" ref="H159:J222" si="11">IF($L159&gt;S$5,MAX(0,S$3+ROUND((S$9*($L159-S$5)),0)),IF($L159&gt;S$4,S$3,ROUND($L159*S$7,0)))</f>
        <v>2661</v>
      </c>
      <c r="I159" s="448">
        <f t="shared" si="11"/>
        <v>3130</v>
      </c>
      <c r="J159" s="447">
        <f t="shared" si="11"/>
        <v>3521</v>
      </c>
      <c r="K159" s="422"/>
      <c r="L159" s="448">
        <f t="shared" si="10"/>
        <v>7825</v>
      </c>
    </row>
    <row r="160" spans="1:12" ht="13.5">
      <c r="A160" s="448">
        <v>7850</v>
      </c>
      <c r="B160" s="447">
        <v>7900</v>
      </c>
      <c r="C160" s="1378">
        <f t="shared" si="9"/>
        <v>602</v>
      </c>
      <c r="D160" s="448">
        <f t="shared" si="9"/>
        <v>2678</v>
      </c>
      <c r="E160" s="448">
        <f t="shared" si="9"/>
        <v>3150</v>
      </c>
      <c r="F160" s="447">
        <f t="shared" si="9"/>
        <v>3544</v>
      </c>
      <c r="G160" s="1378">
        <f t="shared" si="9"/>
        <v>602</v>
      </c>
      <c r="H160" s="448">
        <f t="shared" si="11"/>
        <v>2678</v>
      </c>
      <c r="I160" s="448">
        <f t="shared" si="11"/>
        <v>3150</v>
      </c>
      <c r="J160" s="447">
        <f t="shared" si="11"/>
        <v>3544</v>
      </c>
      <c r="K160" s="422"/>
      <c r="L160" s="448">
        <f t="shared" si="10"/>
        <v>7875</v>
      </c>
    </row>
    <row r="161" spans="1:12" ht="13.5">
      <c r="A161" s="448">
        <v>7900</v>
      </c>
      <c r="B161" s="447">
        <v>7950</v>
      </c>
      <c r="C161" s="1378">
        <f t="shared" si="9"/>
        <v>605</v>
      </c>
      <c r="D161" s="448">
        <f t="shared" si="9"/>
        <v>2695</v>
      </c>
      <c r="E161" s="448">
        <f t="shared" si="9"/>
        <v>3170</v>
      </c>
      <c r="F161" s="447">
        <f t="shared" si="9"/>
        <v>3566</v>
      </c>
      <c r="G161" s="1378">
        <f t="shared" si="9"/>
        <v>605</v>
      </c>
      <c r="H161" s="448">
        <f t="shared" si="11"/>
        <v>2695</v>
      </c>
      <c r="I161" s="448">
        <f t="shared" si="11"/>
        <v>3170</v>
      </c>
      <c r="J161" s="447">
        <f t="shared" si="11"/>
        <v>3566</v>
      </c>
      <c r="K161" s="422"/>
      <c r="L161" s="448">
        <f t="shared" si="10"/>
        <v>7925</v>
      </c>
    </row>
    <row r="162" spans="1:12" ht="13.5">
      <c r="A162" s="448">
        <v>7950</v>
      </c>
      <c r="B162" s="447">
        <v>8000</v>
      </c>
      <c r="C162" s="1378">
        <f t="shared" si="9"/>
        <v>609</v>
      </c>
      <c r="D162" s="448">
        <f t="shared" si="9"/>
        <v>2712</v>
      </c>
      <c r="E162" s="448">
        <f t="shared" si="9"/>
        <v>3190</v>
      </c>
      <c r="F162" s="447">
        <f t="shared" si="9"/>
        <v>3589</v>
      </c>
      <c r="G162" s="1378">
        <f t="shared" si="9"/>
        <v>609</v>
      </c>
      <c r="H162" s="448">
        <f t="shared" si="11"/>
        <v>2712</v>
      </c>
      <c r="I162" s="448">
        <f t="shared" si="11"/>
        <v>3190</v>
      </c>
      <c r="J162" s="447">
        <f t="shared" si="11"/>
        <v>3589</v>
      </c>
      <c r="K162" s="422"/>
      <c r="L162" s="448">
        <f t="shared" si="10"/>
        <v>7975</v>
      </c>
    </row>
    <row r="163" spans="1:12" ht="13.5">
      <c r="A163" s="448">
        <v>8000</v>
      </c>
      <c r="B163" s="447">
        <v>8050</v>
      </c>
      <c r="C163" s="1378">
        <f t="shared" si="9"/>
        <v>613</v>
      </c>
      <c r="D163" s="448">
        <f t="shared" si="9"/>
        <v>2729</v>
      </c>
      <c r="E163" s="448">
        <f t="shared" si="9"/>
        <v>3210</v>
      </c>
      <c r="F163" s="447">
        <f t="shared" si="9"/>
        <v>3611</v>
      </c>
      <c r="G163" s="1378">
        <f t="shared" si="9"/>
        <v>613</v>
      </c>
      <c r="H163" s="448">
        <f t="shared" si="11"/>
        <v>2729</v>
      </c>
      <c r="I163" s="448">
        <f t="shared" si="11"/>
        <v>3210</v>
      </c>
      <c r="J163" s="447">
        <f t="shared" si="11"/>
        <v>3611</v>
      </c>
      <c r="K163" s="422"/>
      <c r="L163" s="448">
        <f t="shared" si="10"/>
        <v>8025</v>
      </c>
    </row>
    <row r="164" spans="1:12" ht="13.5">
      <c r="A164" s="448">
        <v>8050</v>
      </c>
      <c r="B164" s="447">
        <v>8100</v>
      </c>
      <c r="C164" s="1378">
        <f t="shared" si="9"/>
        <v>617</v>
      </c>
      <c r="D164" s="448">
        <f t="shared" si="9"/>
        <v>2746</v>
      </c>
      <c r="E164" s="448">
        <f t="shared" si="9"/>
        <v>3230</v>
      </c>
      <c r="F164" s="447">
        <f t="shared" si="9"/>
        <v>3634</v>
      </c>
      <c r="G164" s="1378">
        <f t="shared" si="9"/>
        <v>617</v>
      </c>
      <c r="H164" s="448">
        <f t="shared" si="11"/>
        <v>2746</v>
      </c>
      <c r="I164" s="448">
        <f t="shared" si="11"/>
        <v>3230</v>
      </c>
      <c r="J164" s="447">
        <f t="shared" si="11"/>
        <v>3634</v>
      </c>
      <c r="K164" s="422"/>
      <c r="L164" s="448">
        <f t="shared" si="10"/>
        <v>8075</v>
      </c>
    </row>
    <row r="165" spans="1:12" ht="13.5">
      <c r="A165" s="448">
        <v>8100</v>
      </c>
      <c r="B165" s="447">
        <v>8150</v>
      </c>
      <c r="C165" s="1378">
        <f t="shared" si="9"/>
        <v>621</v>
      </c>
      <c r="D165" s="448">
        <f t="shared" si="9"/>
        <v>2763</v>
      </c>
      <c r="E165" s="448">
        <f t="shared" si="9"/>
        <v>3250</v>
      </c>
      <c r="F165" s="447">
        <f t="shared" si="9"/>
        <v>3656</v>
      </c>
      <c r="G165" s="1378">
        <f t="shared" si="9"/>
        <v>621</v>
      </c>
      <c r="H165" s="448">
        <f t="shared" si="11"/>
        <v>2763</v>
      </c>
      <c r="I165" s="448">
        <f t="shared" si="11"/>
        <v>3250</v>
      </c>
      <c r="J165" s="447">
        <f t="shared" si="11"/>
        <v>3656</v>
      </c>
      <c r="K165" s="422"/>
      <c r="L165" s="448">
        <f t="shared" si="10"/>
        <v>8125</v>
      </c>
    </row>
    <row r="166" spans="1:12" ht="13.5">
      <c r="A166" s="448">
        <v>8150</v>
      </c>
      <c r="B166" s="447">
        <v>8200</v>
      </c>
      <c r="C166" s="1378">
        <f t="shared" si="9"/>
        <v>625</v>
      </c>
      <c r="D166" s="448">
        <f t="shared" si="9"/>
        <v>2780</v>
      </c>
      <c r="E166" s="448">
        <f t="shared" si="9"/>
        <v>3270</v>
      </c>
      <c r="F166" s="447">
        <f t="shared" si="9"/>
        <v>3679</v>
      </c>
      <c r="G166" s="1378">
        <f t="shared" si="9"/>
        <v>625</v>
      </c>
      <c r="H166" s="448">
        <f t="shared" si="11"/>
        <v>2780</v>
      </c>
      <c r="I166" s="448">
        <f t="shared" si="11"/>
        <v>3270</v>
      </c>
      <c r="J166" s="447">
        <f t="shared" si="11"/>
        <v>3679</v>
      </c>
      <c r="K166" s="422"/>
      <c r="L166" s="448">
        <f t="shared" si="10"/>
        <v>8175</v>
      </c>
    </row>
    <row r="167" spans="1:12" ht="13.5">
      <c r="A167" s="448">
        <v>8200</v>
      </c>
      <c r="B167" s="447">
        <v>8250</v>
      </c>
      <c r="C167" s="1378">
        <f t="shared" si="9"/>
        <v>628</v>
      </c>
      <c r="D167" s="448">
        <f t="shared" si="9"/>
        <v>2797</v>
      </c>
      <c r="E167" s="448">
        <f t="shared" si="9"/>
        <v>3290</v>
      </c>
      <c r="F167" s="447">
        <f t="shared" si="9"/>
        <v>3701</v>
      </c>
      <c r="G167" s="1378">
        <f t="shared" si="9"/>
        <v>628</v>
      </c>
      <c r="H167" s="448">
        <f t="shared" si="11"/>
        <v>2797</v>
      </c>
      <c r="I167" s="448">
        <f t="shared" si="11"/>
        <v>3290</v>
      </c>
      <c r="J167" s="447">
        <f t="shared" si="11"/>
        <v>3701</v>
      </c>
      <c r="K167" s="422"/>
      <c r="L167" s="448">
        <f t="shared" si="10"/>
        <v>8225</v>
      </c>
    </row>
    <row r="168" spans="1:12" ht="13.5">
      <c r="A168" s="448">
        <v>8250</v>
      </c>
      <c r="B168" s="447">
        <v>8300</v>
      </c>
      <c r="C168" s="1378">
        <f t="shared" ref="C168:G218" si="12">IF($L168&gt;N$5,MAX(0,N$3+ROUND((N$9*($L168-N$5)),0)),IF($L168&gt;N$4,N$3,ROUND($L168*N$7,0)))</f>
        <v>632</v>
      </c>
      <c r="D168" s="448">
        <f t="shared" si="12"/>
        <v>2814</v>
      </c>
      <c r="E168" s="448">
        <f t="shared" si="12"/>
        <v>3310</v>
      </c>
      <c r="F168" s="447">
        <f t="shared" si="12"/>
        <v>3724</v>
      </c>
      <c r="G168" s="1378">
        <f t="shared" si="12"/>
        <v>632</v>
      </c>
      <c r="H168" s="448">
        <f t="shared" si="11"/>
        <v>2814</v>
      </c>
      <c r="I168" s="448">
        <f t="shared" si="11"/>
        <v>3310</v>
      </c>
      <c r="J168" s="447">
        <f t="shared" si="11"/>
        <v>3724</v>
      </c>
      <c r="K168" s="422"/>
      <c r="L168" s="448">
        <f t="shared" si="10"/>
        <v>8275</v>
      </c>
    </row>
    <row r="169" spans="1:12" ht="13.5">
      <c r="A169" s="448">
        <v>8300</v>
      </c>
      <c r="B169" s="447">
        <v>8350</v>
      </c>
      <c r="C169" s="1378">
        <f t="shared" si="12"/>
        <v>636</v>
      </c>
      <c r="D169" s="448">
        <f t="shared" si="12"/>
        <v>2831</v>
      </c>
      <c r="E169" s="448">
        <f t="shared" si="12"/>
        <v>3330</v>
      </c>
      <c r="F169" s="447">
        <f t="shared" si="12"/>
        <v>3746</v>
      </c>
      <c r="G169" s="1378">
        <f t="shared" si="12"/>
        <v>636</v>
      </c>
      <c r="H169" s="448">
        <f t="shared" si="11"/>
        <v>2831</v>
      </c>
      <c r="I169" s="448">
        <f t="shared" si="11"/>
        <v>3330</v>
      </c>
      <c r="J169" s="447">
        <f t="shared" si="11"/>
        <v>3746</v>
      </c>
      <c r="K169" s="422"/>
      <c r="L169" s="448">
        <f t="shared" si="10"/>
        <v>8325</v>
      </c>
    </row>
    <row r="170" spans="1:12" ht="13.5">
      <c r="A170" s="448">
        <v>8350</v>
      </c>
      <c r="B170" s="447">
        <v>8400</v>
      </c>
      <c r="C170" s="1378">
        <f t="shared" si="12"/>
        <v>640</v>
      </c>
      <c r="D170" s="448">
        <f t="shared" si="12"/>
        <v>2848</v>
      </c>
      <c r="E170" s="448">
        <f t="shared" si="12"/>
        <v>3350</v>
      </c>
      <c r="F170" s="447">
        <f t="shared" si="12"/>
        <v>3769</v>
      </c>
      <c r="G170" s="1378">
        <f t="shared" si="12"/>
        <v>640</v>
      </c>
      <c r="H170" s="448">
        <f t="shared" si="11"/>
        <v>2848</v>
      </c>
      <c r="I170" s="448">
        <f t="shared" si="11"/>
        <v>3350</v>
      </c>
      <c r="J170" s="447">
        <f t="shared" si="11"/>
        <v>3769</v>
      </c>
      <c r="K170" s="422"/>
      <c r="L170" s="448">
        <f t="shared" si="10"/>
        <v>8375</v>
      </c>
    </row>
    <row r="171" spans="1:12" ht="13.5">
      <c r="A171" s="448">
        <v>8400</v>
      </c>
      <c r="B171" s="447">
        <v>8450</v>
      </c>
      <c r="C171" s="1378">
        <f t="shared" si="12"/>
        <v>644</v>
      </c>
      <c r="D171" s="448">
        <f t="shared" si="12"/>
        <v>2865</v>
      </c>
      <c r="E171" s="448">
        <f t="shared" si="12"/>
        <v>3370</v>
      </c>
      <c r="F171" s="447">
        <f t="shared" si="12"/>
        <v>3791</v>
      </c>
      <c r="G171" s="1378">
        <f t="shared" si="12"/>
        <v>644</v>
      </c>
      <c r="H171" s="448">
        <f t="shared" si="11"/>
        <v>2865</v>
      </c>
      <c r="I171" s="448">
        <f t="shared" si="11"/>
        <v>3370</v>
      </c>
      <c r="J171" s="447">
        <f t="shared" si="11"/>
        <v>3791</v>
      </c>
      <c r="K171" s="422"/>
      <c r="L171" s="448">
        <f t="shared" si="10"/>
        <v>8425</v>
      </c>
    </row>
    <row r="172" spans="1:12" ht="13.5">
      <c r="A172" s="448">
        <v>8450</v>
      </c>
      <c r="B172" s="447">
        <v>8500</v>
      </c>
      <c r="C172" s="1378">
        <f t="shared" si="12"/>
        <v>647</v>
      </c>
      <c r="D172" s="448">
        <f t="shared" si="12"/>
        <v>2882</v>
      </c>
      <c r="E172" s="448">
        <f t="shared" si="12"/>
        <v>3390</v>
      </c>
      <c r="F172" s="447">
        <f t="shared" si="12"/>
        <v>3814</v>
      </c>
      <c r="G172" s="1378">
        <f t="shared" si="12"/>
        <v>647</v>
      </c>
      <c r="H172" s="448">
        <f t="shared" si="11"/>
        <v>2882</v>
      </c>
      <c r="I172" s="448">
        <f t="shared" si="11"/>
        <v>3390</v>
      </c>
      <c r="J172" s="447">
        <f t="shared" si="11"/>
        <v>3814</v>
      </c>
      <c r="K172" s="422"/>
      <c r="L172" s="448">
        <f t="shared" si="10"/>
        <v>8475</v>
      </c>
    </row>
    <row r="173" spans="1:12" ht="13.5">
      <c r="A173" s="448">
        <v>8500</v>
      </c>
      <c r="B173" s="447">
        <v>8550</v>
      </c>
      <c r="C173" s="1378">
        <f t="shared" si="12"/>
        <v>649</v>
      </c>
      <c r="D173" s="448">
        <f t="shared" si="12"/>
        <v>2899</v>
      </c>
      <c r="E173" s="448">
        <f t="shared" si="12"/>
        <v>3410</v>
      </c>
      <c r="F173" s="447">
        <f t="shared" si="12"/>
        <v>3836</v>
      </c>
      <c r="G173" s="1378">
        <f t="shared" si="12"/>
        <v>649</v>
      </c>
      <c r="H173" s="448">
        <f t="shared" si="11"/>
        <v>2899</v>
      </c>
      <c r="I173" s="448">
        <f t="shared" si="11"/>
        <v>3410</v>
      </c>
      <c r="J173" s="447">
        <f t="shared" si="11"/>
        <v>3836</v>
      </c>
      <c r="K173" s="422"/>
      <c r="L173" s="448">
        <f t="shared" si="10"/>
        <v>8525</v>
      </c>
    </row>
    <row r="174" spans="1:12" ht="13.5">
      <c r="A174" s="448">
        <v>8550</v>
      </c>
      <c r="B174" s="447">
        <v>8600</v>
      </c>
      <c r="C174" s="1378">
        <f t="shared" si="12"/>
        <v>649</v>
      </c>
      <c r="D174" s="448">
        <f t="shared" si="12"/>
        <v>2916</v>
      </c>
      <c r="E174" s="448">
        <f t="shared" si="12"/>
        <v>3430</v>
      </c>
      <c r="F174" s="447">
        <f t="shared" si="12"/>
        <v>3859</v>
      </c>
      <c r="G174" s="1378">
        <f t="shared" si="12"/>
        <v>649</v>
      </c>
      <c r="H174" s="448">
        <f t="shared" si="11"/>
        <v>2916</v>
      </c>
      <c r="I174" s="448">
        <f t="shared" si="11"/>
        <v>3430</v>
      </c>
      <c r="J174" s="447">
        <f t="shared" si="11"/>
        <v>3859</v>
      </c>
      <c r="K174" s="422"/>
      <c r="L174" s="448">
        <f t="shared" si="10"/>
        <v>8575</v>
      </c>
    </row>
    <row r="175" spans="1:12" ht="13.5">
      <c r="A175" s="448">
        <v>8600</v>
      </c>
      <c r="B175" s="447">
        <v>8650</v>
      </c>
      <c r="C175" s="1378">
        <f t="shared" si="12"/>
        <v>649</v>
      </c>
      <c r="D175" s="448">
        <f t="shared" si="12"/>
        <v>2933</v>
      </c>
      <c r="E175" s="448">
        <f t="shared" si="12"/>
        <v>3450</v>
      </c>
      <c r="F175" s="447">
        <f t="shared" si="12"/>
        <v>3881</v>
      </c>
      <c r="G175" s="1378">
        <f t="shared" si="12"/>
        <v>649</v>
      </c>
      <c r="H175" s="448">
        <f t="shared" si="11"/>
        <v>2933</v>
      </c>
      <c r="I175" s="448">
        <f t="shared" si="11"/>
        <v>3450</v>
      </c>
      <c r="J175" s="447">
        <f t="shared" si="11"/>
        <v>3881</v>
      </c>
      <c r="K175" s="422"/>
      <c r="L175" s="448">
        <f t="shared" si="10"/>
        <v>8625</v>
      </c>
    </row>
    <row r="176" spans="1:12" ht="13.5">
      <c r="A176" s="448">
        <v>8650</v>
      </c>
      <c r="B176" s="447">
        <v>8700</v>
      </c>
      <c r="C176" s="1378">
        <f t="shared" si="12"/>
        <v>649</v>
      </c>
      <c r="D176" s="448">
        <f t="shared" si="12"/>
        <v>2950</v>
      </c>
      <c r="E176" s="448">
        <f t="shared" si="12"/>
        <v>3470</v>
      </c>
      <c r="F176" s="447">
        <f t="shared" si="12"/>
        <v>3904</v>
      </c>
      <c r="G176" s="1378">
        <f t="shared" si="12"/>
        <v>649</v>
      </c>
      <c r="H176" s="448">
        <f t="shared" si="11"/>
        <v>2950</v>
      </c>
      <c r="I176" s="448">
        <f t="shared" si="11"/>
        <v>3470</v>
      </c>
      <c r="J176" s="447">
        <f t="shared" si="11"/>
        <v>3904</v>
      </c>
      <c r="K176" s="422"/>
      <c r="L176" s="448">
        <f t="shared" si="10"/>
        <v>8675</v>
      </c>
    </row>
    <row r="177" spans="1:12" ht="13.5">
      <c r="A177" s="448">
        <v>8700</v>
      </c>
      <c r="B177" s="447">
        <v>8750</v>
      </c>
      <c r="C177" s="1378">
        <f t="shared" si="12"/>
        <v>649</v>
      </c>
      <c r="D177" s="448">
        <f t="shared" si="12"/>
        <v>2967</v>
      </c>
      <c r="E177" s="448">
        <f t="shared" si="12"/>
        <v>3490</v>
      </c>
      <c r="F177" s="447">
        <f t="shared" si="12"/>
        <v>3926</v>
      </c>
      <c r="G177" s="1378">
        <f t="shared" si="12"/>
        <v>649</v>
      </c>
      <c r="H177" s="448">
        <f t="shared" si="11"/>
        <v>2967</v>
      </c>
      <c r="I177" s="448">
        <f t="shared" si="11"/>
        <v>3490</v>
      </c>
      <c r="J177" s="447">
        <f t="shared" si="11"/>
        <v>3926</v>
      </c>
      <c r="K177" s="422"/>
      <c r="L177" s="448">
        <f t="shared" si="10"/>
        <v>8725</v>
      </c>
    </row>
    <row r="178" spans="1:12" ht="13.5">
      <c r="A178" s="448">
        <v>8750</v>
      </c>
      <c r="B178" s="447">
        <v>8800</v>
      </c>
      <c r="C178" s="1378">
        <f t="shared" si="12"/>
        <v>649</v>
      </c>
      <c r="D178" s="448">
        <f t="shared" si="12"/>
        <v>2984</v>
      </c>
      <c r="E178" s="448">
        <f t="shared" si="12"/>
        <v>3510</v>
      </c>
      <c r="F178" s="447">
        <f t="shared" si="12"/>
        <v>3949</v>
      </c>
      <c r="G178" s="1378">
        <f t="shared" si="12"/>
        <v>649</v>
      </c>
      <c r="H178" s="448">
        <f t="shared" si="11"/>
        <v>2984</v>
      </c>
      <c r="I178" s="448">
        <f t="shared" si="11"/>
        <v>3510</v>
      </c>
      <c r="J178" s="447">
        <f t="shared" si="11"/>
        <v>3949</v>
      </c>
      <c r="K178" s="422"/>
      <c r="L178" s="448">
        <f t="shared" si="10"/>
        <v>8775</v>
      </c>
    </row>
    <row r="179" spans="1:12" ht="13.5">
      <c r="A179" s="448">
        <v>8800</v>
      </c>
      <c r="B179" s="447">
        <v>8850</v>
      </c>
      <c r="C179" s="1378">
        <f t="shared" si="12"/>
        <v>649</v>
      </c>
      <c r="D179" s="448">
        <f t="shared" si="12"/>
        <v>3001</v>
      </c>
      <c r="E179" s="448">
        <f t="shared" si="12"/>
        <v>3530</v>
      </c>
      <c r="F179" s="447">
        <f t="shared" si="12"/>
        <v>3971</v>
      </c>
      <c r="G179" s="1378">
        <f t="shared" si="12"/>
        <v>649</v>
      </c>
      <c r="H179" s="448">
        <f t="shared" si="11"/>
        <v>3001</v>
      </c>
      <c r="I179" s="448">
        <f t="shared" si="11"/>
        <v>3530</v>
      </c>
      <c r="J179" s="447">
        <f t="shared" si="11"/>
        <v>3971</v>
      </c>
      <c r="K179" s="422"/>
      <c r="L179" s="448">
        <f t="shared" si="10"/>
        <v>8825</v>
      </c>
    </row>
    <row r="180" spans="1:12" ht="13.5">
      <c r="A180" s="448">
        <v>8850</v>
      </c>
      <c r="B180" s="447">
        <v>8900</v>
      </c>
      <c r="C180" s="1378">
        <f t="shared" si="12"/>
        <v>649</v>
      </c>
      <c r="D180" s="448">
        <f t="shared" si="12"/>
        <v>3018</v>
      </c>
      <c r="E180" s="448">
        <f t="shared" si="12"/>
        <v>3550</v>
      </c>
      <c r="F180" s="447">
        <f t="shared" si="12"/>
        <v>3994</v>
      </c>
      <c r="G180" s="1378">
        <f t="shared" si="12"/>
        <v>649</v>
      </c>
      <c r="H180" s="448">
        <f t="shared" si="11"/>
        <v>3018</v>
      </c>
      <c r="I180" s="448">
        <f t="shared" si="11"/>
        <v>3550</v>
      </c>
      <c r="J180" s="447">
        <f t="shared" si="11"/>
        <v>3994</v>
      </c>
      <c r="K180" s="422"/>
      <c r="L180" s="448">
        <f t="shared" si="10"/>
        <v>8875</v>
      </c>
    </row>
    <row r="181" spans="1:12" ht="13.5">
      <c r="A181" s="448">
        <v>8900</v>
      </c>
      <c r="B181" s="447">
        <v>8950</v>
      </c>
      <c r="C181" s="1378">
        <f t="shared" si="12"/>
        <v>649</v>
      </c>
      <c r="D181" s="448">
        <f t="shared" si="12"/>
        <v>3035</v>
      </c>
      <c r="E181" s="448">
        <f t="shared" si="12"/>
        <v>3570</v>
      </c>
      <c r="F181" s="447">
        <f t="shared" si="12"/>
        <v>4016</v>
      </c>
      <c r="G181" s="1378">
        <f t="shared" si="12"/>
        <v>649</v>
      </c>
      <c r="H181" s="448">
        <f t="shared" si="11"/>
        <v>3035</v>
      </c>
      <c r="I181" s="448">
        <f t="shared" si="11"/>
        <v>3570</v>
      </c>
      <c r="J181" s="447">
        <f t="shared" si="11"/>
        <v>4016</v>
      </c>
      <c r="K181" s="422"/>
      <c r="L181" s="448">
        <f t="shared" si="10"/>
        <v>8925</v>
      </c>
    </row>
    <row r="182" spans="1:12" ht="13.5">
      <c r="A182" s="448">
        <v>8950</v>
      </c>
      <c r="B182" s="447">
        <v>9000</v>
      </c>
      <c r="C182" s="1378">
        <f t="shared" si="12"/>
        <v>649</v>
      </c>
      <c r="D182" s="448">
        <f t="shared" si="12"/>
        <v>3052</v>
      </c>
      <c r="E182" s="448">
        <f t="shared" si="12"/>
        <v>3590</v>
      </c>
      <c r="F182" s="447">
        <f t="shared" si="12"/>
        <v>4039</v>
      </c>
      <c r="G182" s="1378">
        <f t="shared" si="12"/>
        <v>649</v>
      </c>
      <c r="H182" s="448">
        <f t="shared" si="11"/>
        <v>3052</v>
      </c>
      <c r="I182" s="448">
        <f t="shared" si="11"/>
        <v>3590</v>
      </c>
      <c r="J182" s="447">
        <f t="shared" si="11"/>
        <v>4039</v>
      </c>
      <c r="K182" s="422"/>
      <c r="L182" s="448">
        <f t="shared" si="10"/>
        <v>8975</v>
      </c>
    </row>
    <row r="183" spans="1:12" ht="13.5">
      <c r="A183" s="448">
        <v>9000</v>
      </c>
      <c r="B183" s="447">
        <v>9050</v>
      </c>
      <c r="C183" s="1378">
        <f t="shared" si="12"/>
        <v>649</v>
      </c>
      <c r="D183" s="448">
        <f t="shared" si="12"/>
        <v>3069</v>
      </c>
      <c r="E183" s="448">
        <f t="shared" si="12"/>
        <v>3610</v>
      </c>
      <c r="F183" s="447">
        <f t="shared" si="12"/>
        <v>4061</v>
      </c>
      <c r="G183" s="1378">
        <f t="shared" si="12"/>
        <v>649</v>
      </c>
      <c r="H183" s="448">
        <f t="shared" si="11"/>
        <v>3069</v>
      </c>
      <c r="I183" s="448">
        <f t="shared" si="11"/>
        <v>3610</v>
      </c>
      <c r="J183" s="447">
        <f t="shared" si="11"/>
        <v>4061</v>
      </c>
      <c r="K183" s="422"/>
      <c r="L183" s="448">
        <f t="shared" si="10"/>
        <v>9025</v>
      </c>
    </row>
    <row r="184" spans="1:12" ht="13.5">
      <c r="A184" s="448">
        <v>9050</v>
      </c>
      <c r="B184" s="447">
        <v>9100</v>
      </c>
      <c r="C184" s="1378">
        <f t="shared" si="12"/>
        <v>649</v>
      </c>
      <c r="D184" s="448">
        <f t="shared" si="12"/>
        <v>3086</v>
      </c>
      <c r="E184" s="448">
        <f t="shared" si="12"/>
        <v>3630</v>
      </c>
      <c r="F184" s="447">
        <f t="shared" si="12"/>
        <v>4084</v>
      </c>
      <c r="G184" s="1378">
        <f t="shared" si="12"/>
        <v>649</v>
      </c>
      <c r="H184" s="448">
        <f t="shared" si="11"/>
        <v>3086</v>
      </c>
      <c r="I184" s="448">
        <f t="shared" si="11"/>
        <v>3630</v>
      </c>
      <c r="J184" s="447">
        <f t="shared" si="11"/>
        <v>4084</v>
      </c>
      <c r="K184" s="422"/>
      <c r="L184" s="448">
        <f t="shared" si="10"/>
        <v>9075</v>
      </c>
    </row>
    <row r="185" spans="1:12" ht="13.5">
      <c r="A185" s="448">
        <v>9100</v>
      </c>
      <c r="B185" s="447">
        <v>9150</v>
      </c>
      <c r="C185" s="1378">
        <f t="shared" si="12"/>
        <v>649</v>
      </c>
      <c r="D185" s="448">
        <f t="shared" si="12"/>
        <v>3103</v>
      </c>
      <c r="E185" s="448">
        <f t="shared" si="12"/>
        <v>3650</v>
      </c>
      <c r="F185" s="447">
        <f t="shared" si="12"/>
        <v>4106</v>
      </c>
      <c r="G185" s="1378">
        <f t="shared" si="12"/>
        <v>649</v>
      </c>
      <c r="H185" s="448">
        <f t="shared" si="11"/>
        <v>3103</v>
      </c>
      <c r="I185" s="448">
        <f t="shared" si="11"/>
        <v>3650</v>
      </c>
      <c r="J185" s="447">
        <f t="shared" si="11"/>
        <v>4106</v>
      </c>
      <c r="K185" s="422"/>
      <c r="L185" s="448">
        <f t="shared" si="10"/>
        <v>9125</v>
      </c>
    </row>
    <row r="186" spans="1:12" ht="13.5">
      <c r="A186" s="448">
        <v>9150</v>
      </c>
      <c r="B186" s="447">
        <v>9200</v>
      </c>
      <c r="C186" s="1378">
        <f t="shared" si="12"/>
        <v>649</v>
      </c>
      <c r="D186" s="448">
        <f t="shared" si="12"/>
        <v>3120</v>
      </c>
      <c r="E186" s="448">
        <f t="shared" si="12"/>
        <v>3670</v>
      </c>
      <c r="F186" s="447">
        <f t="shared" si="12"/>
        <v>4129</v>
      </c>
      <c r="G186" s="1378">
        <f t="shared" si="12"/>
        <v>649</v>
      </c>
      <c r="H186" s="448">
        <f t="shared" si="11"/>
        <v>3120</v>
      </c>
      <c r="I186" s="448">
        <f t="shared" si="11"/>
        <v>3670</v>
      </c>
      <c r="J186" s="447">
        <f t="shared" si="11"/>
        <v>4129</v>
      </c>
      <c r="K186" s="422"/>
      <c r="L186" s="448">
        <f t="shared" si="10"/>
        <v>9175</v>
      </c>
    </row>
    <row r="187" spans="1:12" ht="13.5">
      <c r="A187" s="448">
        <v>9200</v>
      </c>
      <c r="B187" s="447">
        <v>9250</v>
      </c>
      <c r="C187" s="1378">
        <f t="shared" si="12"/>
        <v>649</v>
      </c>
      <c r="D187" s="448">
        <f t="shared" si="12"/>
        <v>3137</v>
      </c>
      <c r="E187" s="448">
        <f t="shared" si="12"/>
        <v>3690</v>
      </c>
      <c r="F187" s="447">
        <f t="shared" si="12"/>
        <v>4151</v>
      </c>
      <c r="G187" s="1378">
        <f t="shared" si="12"/>
        <v>649</v>
      </c>
      <c r="H187" s="448">
        <f t="shared" si="11"/>
        <v>3137</v>
      </c>
      <c r="I187" s="448">
        <f t="shared" si="11"/>
        <v>3690</v>
      </c>
      <c r="J187" s="447">
        <f t="shared" si="11"/>
        <v>4151</v>
      </c>
      <c r="K187" s="422"/>
      <c r="L187" s="448">
        <f t="shared" si="10"/>
        <v>9225</v>
      </c>
    </row>
    <row r="188" spans="1:12" ht="13.5">
      <c r="A188" s="448">
        <v>9250</v>
      </c>
      <c r="B188" s="447">
        <v>9300</v>
      </c>
      <c r="C188" s="1378">
        <f t="shared" si="12"/>
        <v>649</v>
      </c>
      <c r="D188" s="448">
        <f t="shared" si="12"/>
        <v>3154</v>
      </c>
      <c r="E188" s="448">
        <f t="shared" si="12"/>
        <v>3710</v>
      </c>
      <c r="F188" s="447">
        <f t="shared" si="12"/>
        <v>4174</v>
      </c>
      <c r="G188" s="1378">
        <f t="shared" si="12"/>
        <v>649</v>
      </c>
      <c r="H188" s="448">
        <f t="shared" si="11"/>
        <v>3154</v>
      </c>
      <c r="I188" s="448">
        <f t="shared" si="11"/>
        <v>3710</v>
      </c>
      <c r="J188" s="447">
        <f t="shared" si="11"/>
        <v>4174</v>
      </c>
      <c r="K188" s="422"/>
      <c r="L188" s="448">
        <f t="shared" si="10"/>
        <v>9275</v>
      </c>
    </row>
    <row r="189" spans="1:12" ht="13.5">
      <c r="A189" s="448">
        <v>9300</v>
      </c>
      <c r="B189" s="447">
        <v>9350</v>
      </c>
      <c r="C189" s="1378">
        <f t="shared" si="12"/>
        <v>649</v>
      </c>
      <c r="D189" s="448">
        <f t="shared" si="12"/>
        <v>3171</v>
      </c>
      <c r="E189" s="448">
        <f t="shared" si="12"/>
        <v>3730</v>
      </c>
      <c r="F189" s="447">
        <f t="shared" si="12"/>
        <v>4196</v>
      </c>
      <c r="G189" s="1378">
        <f t="shared" si="12"/>
        <v>649</v>
      </c>
      <c r="H189" s="448">
        <f t="shared" si="11"/>
        <v>3171</v>
      </c>
      <c r="I189" s="448">
        <f t="shared" si="11"/>
        <v>3730</v>
      </c>
      <c r="J189" s="447">
        <f t="shared" si="11"/>
        <v>4196</v>
      </c>
      <c r="K189" s="422"/>
      <c r="L189" s="448">
        <f t="shared" si="10"/>
        <v>9325</v>
      </c>
    </row>
    <row r="190" spans="1:12" ht="13.5">
      <c r="A190" s="448">
        <v>9350</v>
      </c>
      <c r="B190" s="447">
        <v>9400</v>
      </c>
      <c r="C190" s="1378">
        <f t="shared" si="12"/>
        <v>649</v>
      </c>
      <c r="D190" s="448">
        <f t="shared" si="12"/>
        <v>3188</v>
      </c>
      <c r="E190" s="448">
        <f t="shared" si="12"/>
        <v>3750</v>
      </c>
      <c r="F190" s="447">
        <f t="shared" si="12"/>
        <v>4219</v>
      </c>
      <c r="G190" s="1378">
        <f t="shared" si="12"/>
        <v>649</v>
      </c>
      <c r="H190" s="448">
        <f t="shared" si="11"/>
        <v>3188</v>
      </c>
      <c r="I190" s="448">
        <f t="shared" si="11"/>
        <v>3750</v>
      </c>
      <c r="J190" s="447">
        <f t="shared" si="11"/>
        <v>4219</v>
      </c>
      <c r="K190" s="422"/>
      <c r="L190" s="448">
        <f t="shared" si="10"/>
        <v>9375</v>
      </c>
    </row>
    <row r="191" spans="1:12" ht="13.5">
      <c r="A191" s="448">
        <v>9400</v>
      </c>
      <c r="B191" s="447">
        <v>9450</v>
      </c>
      <c r="C191" s="1378">
        <f t="shared" si="12"/>
        <v>649</v>
      </c>
      <c r="D191" s="448">
        <f t="shared" si="12"/>
        <v>3205</v>
      </c>
      <c r="E191" s="448">
        <f t="shared" si="12"/>
        <v>3770</v>
      </c>
      <c r="F191" s="447">
        <f t="shared" si="12"/>
        <v>4241</v>
      </c>
      <c r="G191" s="1378">
        <f t="shared" si="12"/>
        <v>649</v>
      </c>
      <c r="H191" s="448">
        <f t="shared" si="11"/>
        <v>3205</v>
      </c>
      <c r="I191" s="448">
        <f t="shared" si="11"/>
        <v>3770</v>
      </c>
      <c r="J191" s="447">
        <f t="shared" si="11"/>
        <v>4241</v>
      </c>
      <c r="K191" s="422"/>
      <c r="L191" s="448">
        <f t="shared" si="10"/>
        <v>9425</v>
      </c>
    </row>
    <row r="192" spans="1:12" ht="13.5">
      <c r="A192" s="448">
        <v>9450</v>
      </c>
      <c r="B192" s="447">
        <v>9500</v>
      </c>
      <c r="C192" s="1378">
        <f t="shared" si="12"/>
        <v>649</v>
      </c>
      <c r="D192" s="448">
        <f t="shared" si="12"/>
        <v>3222</v>
      </c>
      <c r="E192" s="448">
        <f t="shared" si="12"/>
        <v>3790</v>
      </c>
      <c r="F192" s="447">
        <f t="shared" si="12"/>
        <v>4264</v>
      </c>
      <c r="G192" s="1378">
        <f t="shared" si="12"/>
        <v>649</v>
      </c>
      <c r="H192" s="448">
        <f t="shared" si="11"/>
        <v>3222</v>
      </c>
      <c r="I192" s="448">
        <f t="shared" si="11"/>
        <v>3790</v>
      </c>
      <c r="J192" s="447">
        <f t="shared" si="11"/>
        <v>4264</v>
      </c>
      <c r="K192" s="422"/>
      <c r="L192" s="448">
        <f t="shared" si="10"/>
        <v>9475</v>
      </c>
    </row>
    <row r="193" spans="1:12" ht="13.5">
      <c r="A193" s="448">
        <v>9500</v>
      </c>
      <c r="B193" s="447">
        <v>9550</v>
      </c>
      <c r="C193" s="1378">
        <f t="shared" si="12"/>
        <v>649</v>
      </c>
      <c r="D193" s="448">
        <f t="shared" si="12"/>
        <v>3239</v>
      </c>
      <c r="E193" s="448">
        <f t="shared" si="12"/>
        <v>3810</v>
      </c>
      <c r="F193" s="447">
        <f t="shared" si="12"/>
        <v>4286</v>
      </c>
      <c r="G193" s="1378">
        <f t="shared" si="12"/>
        <v>649</v>
      </c>
      <c r="H193" s="448">
        <f t="shared" si="11"/>
        <v>3239</v>
      </c>
      <c r="I193" s="448">
        <f t="shared" si="11"/>
        <v>3810</v>
      </c>
      <c r="J193" s="447">
        <f t="shared" si="11"/>
        <v>4286</v>
      </c>
      <c r="K193" s="422"/>
      <c r="L193" s="448">
        <f t="shared" si="10"/>
        <v>9525</v>
      </c>
    </row>
    <row r="194" spans="1:12" ht="13.5">
      <c r="A194" s="448">
        <v>9550</v>
      </c>
      <c r="B194" s="447">
        <v>9600</v>
      </c>
      <c r="C194" s="1378">
        <f t="shared" si="12"/>
        <v>649</v>
      </c>
      <c r="D194" s="448">
        <f t="shared" si="12"/>
        <v>3256</v>
      </c>
      <c r="E194" s="448">
        <f t="shared" si="12"/>
        <v>3830</v>
      </c>
      <c r="F194" s="447">
        <f t="shared" si="12"/>
        <v>4309</v>
      </c>
      <c r="G194" s="1378">
        <f t="shared" si="12"/>
        <v>649</v>
      </c>
      <c r="H194" s="448">
        <f t="shared" si="11"/>
        <v>3256</v>
      </c>
      <c r="I194" s="448">
        <f t="shared" si="11"/>
        <v>3830</v>
      </c>
      <c r="J194" s="447">
        <f t="shared" si="11"/>
        <v>4309</v>
      </c>
      <c r="K194" s="422"/>
      <c r="L194" s="448">
        <f t="shared" si="10"/>
        <v>9575</v>
      </c>
    </row>
    <row r="195" spans="1:12" ht="13.5">
      <c r="A195" s="448">
        <v>9600</v>
      </c>
      <c r="B195" s="447">
        <v>9650</v>
      </c>
      <c r="C195" s="1378">
        <f t="shared" si="12"/>
        <v>649</v>
      </c>
      <c r="D195" s="448">
        <f t="shared" si="12"/>
        <v>3273</v>
      </c>
      <c r="E195" s="448">
        <f t="shared" si="12"/>
        <v>3850</v>
      </c>
      <c r="F195" s="447">
        <f t="shared" si="12"/>
        <v>4331</v>
      </c>
      <c r="G195" s="1378">
        <f t="shared" si="12"/>
        <v>649</v>
      </c>
      <c r="H195" s="448">
        <f t="shared" si="11"/>
        <v>3273</v>
      </c>
      <c r="I195" s="448">
        <f t="shared" si="11"/>
        <v>3850</v>
      </c>
      <c r="J195" s="447">
        <f t="shared" si="11"/>
        <v>4331</v>
      </c>
      <c r="K195" s="422"/>
      <c r="L195" s="448">
        <f t="shared" si="10"/>
        <v>9625</v>
      </c>
    </row>
    <row r="196" spans="1:12" ht="13.5">
      <c r="A196" s="448">
        <v>9650</v>
      </c>
      <c r="B196" s="447">
        <v>9700</v>
      </c>
      <c r="C196" s="1378">
        <f t="shared" si="12"/>
        <v>649</v>
      </c>
      <c r="D196" s="448">
        <f t="shared" si="12"/>
        <v>3290</v>
      </c>
      <c r="E196" s="448">
        <f t="shared" si="12"/>
        <v>3870</v>
      </c>
      <c r="F196" s="447">
        <f t="shared" si="12"/>
        <v>4354</v>
      </c>
      <c r="G196" s="1378">
        <f t="shared" si="12"/>
        <v>649</v>
      </c>
      <c r="H196" s="448">
        <f t="shared" si="11"/>
        <v>3290</v>
      </c>
      <c r="I196" s="448">
        <f t="shared" si="11"/>
        <v>3870</v>
      </c>
      <c r="J196" s="447">
        <f t="shared" si="11"/>
        <v>4354</v>
      </c>
      <c r="K196" s="422"/>
      <c r="L196" s="448">
        <f t="shared" ref="L196:L259" si="13">ROUND((A196+B196)/2,2)</f>
        <v>9675</v>
      </c>
    </row>
    <row r="197" spans="1:12" ht="13.5">
      <c r="A197" s="448">
        <v>9700</v>
      </c>
      <c r="B197" s="447">
        <v>9750</v>
      </c>
      <c r="C197" s="1378">
        <f t="shared" si="12"/>
        <v>649</v>
      </c>
      <c r="D197" s="448">
        <f t="shared" si="12"/>
        <v>3307</v>
      </c>
      <c r="E197" s="448">
        <f t="shared" si="12"/>
        <v>3890</v>
      </c>
      <c r="F197" s="447">
        <f t="shared" si="12"/>
        <v>4376</v>
      </c>
      <c r="G197" s="1378">
        <f t="shared" si="12"/>
        <v>649</v>
      </c>
      <c r="H197" s="448">
        <f t="shared" si="11"/>
        <v>3307</v>
      </c>
      <c r="I197" s="448">
        <f t="shared" si="11"/>
        <v>3890</v>
      </c>
      <c r="J197" s="447">
        <f t="shared" si="11"/>
        <v>4376</v>
      </c>
      <c r="K197" s="422"/>
      <c r="L197" s="448">
        <f t="shared" si="13"/>
        <v>9725</v>
      </c>
    </row>
    <row r="198" spans="1:12" ht="13.5">
      <c r="A198" s="448">
        <v>9750</v>
      </c>
      <c r="B198" s="447">
        <v>9800</v>
      </c>
      <c r="C198" s="1378">
        <f t="shared" si="12"/>
        <v>649</v>
      </c>
      <c r="D198" s="448">
        <f t="shared" si="12"/>
        <v>3324</v>
      </c>
      <c r="E198" s="448">
        <f t="shared" si="12"/>
        <v>3910</v>
      </c>
      <c r="F198" s="447">
        <f t="shared" si="12"/>
        <v>4399</v>
      </c>
      <c r="G198" s="1378">
        <f t="shared" si="12"/>
        <v>649</v>
      </c>
      <c r="H198" s="448">
        <f t="shared" si="11"/>
        <v>3324</v>
      </c>
      <c r="I198" s="448">
        <f t="shared" si="11"/>
        <v>3910</v>
      </c>
      <c r="J198" s="447">
        <f t="shared" si="11"/>
        <v>4399</v>
      </c>
      <c r="K198" s="422"/>
      <c r="L198" s="448">
        <f t="shared" si="13"/>
        <v>9775</v>
      </c>
    </row>
    <row r="199" spans="1:12" ht="13.5">
      <c r="A199" s="448">
        <v>9800</v>
      </c>
      <c r="B199" s="447">
        <v>9850</v>
      </c>
      <c r="C199" s="1378">
        <f t="shared" si="12"/>
        <v>649</v>
      </c>
      <c r="D199" s="448">
        <f t="shared" si="12"/>
        <v>3341</v>
      </c>
      <c r="E199" s="448">
        <f t="shared" si="12"/>
        <v>3930</v>
      </c>
      <c r="F199" s="447">
        <f t="shared" si="12"/>
        <v>4421</v>
      </c>
      <c r="G199" s="1378">
        <f t="shared" si="12"/>
        <v>649</v>
      </c>
      <c r="H199" s="448">
        <f t="shared" si="11"/>
        <v>3341</v>
      </c>
      <c r="I199" s="448">
        <f t="shared" si="11"/>
        <v>3930</v>
      </c>
      <c r="J199" s="447">
        <f t="shared" si="11"/>
        <v>4421</v>
      </c>
      <c r="K199" s="422"/>
      <c r="L199" s="448">
        <f t="shared" si="13"/>
        <v>9825</v>
      </c>
    </row>
    <row r="200" spans="1:12" ht="13.5">
      <c r="A200" s="448">
        <v>9850</v>
      </c>
      <c r="B200" s="447">
        <v>9900</v>
      </c>
      <c r="C200" s="1378">
        <f t="shared" si="12"/>
        <v>649</v>
      </c>
      <c r="D200" s="448">
        <f t="shared" si="12"/>
        <v>3358</v>
      </c>
      <c r="E200" s="448">
        <f t="shared" si="12"/>
        <v>3950</v>
      </c>
      <c r="F200" s="447">
        <f t="shared" si="12"/>
        <v>4444</v>
      </c>
      <c r="G200" s="1378">
        <f t="shared" si="12"/>
        <v>649</v>
      </c>
      <c r="H200" s="448">
        <f t="shared" si="11"/>
        <v>3358</v>
      </c>
      <c r="I200" s="448">
        <f t="shared" si="11"/>
        <v>3950</v>
      </c>
      <c r="J200" s="447">
        <f t="shared" si="11"/>
        <v>4444</v>
      </c>
      <c r="K200" s="422"/>
      <c r="L200" s="448">
        <f t="shared" si="13"/>
        <v>9875</v>
      </c>
    </row>
    <row r="201" spans="1:12" ht="13.5">
      <c r="A201" s="448">
        <v>9900</v>
      </c>
      <c r="B201" s="447">
        <v>9950</v>
      </c>
      <c r="C201" s="1378">
        <f t="shared" si="12"/>
        <v>649</v>
      </c>
      <c r="D201" s="448">
        <f t="shared" si="12"/>
        <v>3375</v>
      </c>
      <c r="E201" s="448">
        <f t="shared" si="12"/>
        <v>3970</v>
      </c>
      <c r="F201" s="447">
        <f t="shared" si="12"/>
        <v>4466</v>
      </c>
      <c r="G201" s="1378">
        <f t="shared" si="12"/>
        <v>649</v>
      </c>
      <c r="H201" s="448">
        <f t="shared" si="11"/>
        <v>3375</v>
      </c>
      <c r="I201" s="448">
        <f t="shared" si="11"/>
        <v>3970</v>
      </c>
      <c r="J201" s="447">
        <f t="shared" si="11"/>
        <v>4466</v>
      </c>
      <c r="K201" s="422"/>
      <c r="L201" s="448">
        <f t="shared" si="13"/>
        <v>9925</v>
      </c>
    </row>
    <row r="202" spans="1:12" ht="13.5">
      <c r="A202" s="448">
        <v>9950</v>
      </c>
      <c r="B202" s="447">
        <v>10000</v>
      </c>
      <c r="C202" s="1378">
        <f t="shared" si="12"/>
        <v>649</v>
      </c>
      <c r="D202" s="448">
        <f t="shared" si="12"/>
        <v>3392</v>
      </c>
      <c r="E202" s="448">
        <f t="shared" si="12"/>
        <v>3990</v>
      </c>
      <c r="F202" s="447">
        <f t="shared" si="12"/>
        <v>4489</v>
      </c>
      <c r="G202" s="1378">
        <f t="shared" si="12"/>
        <v>649</v>
      </c>
      <c r="H202" s="448">
        <f t="shared" si="11"/>
        <v>3392</v>
      </c>
      <c r="I202" s="448">
        <f t="shared" si="11"/>
        <v>3990</v>
      </c>
      <c r="J202" s="447">
        <f t="shared" si="11"/>
        <v>4489</v>
      </c>
      <c r="K202" s="422"/>
      <c r="L202" s="448">
        <f t="shared" si="13"/>
        <v>9975</v>
      </c>
    </row>
    <row r="203" spans="1:12" ht="13.5">
      <c r="A203" s="448">
        <v>10000</v>
      </c>
      <c r="B203" s="447">
        <v>10050</v>
      </c>
      <c r="C203" s="1378">
        <f t="shared" si="12"/>
        <v>649</v>
      </c>
      <c r="D203" s="448">
        <f t="shared" si="12"/>
        <v>3409</v>
      </c>
      <c r="E203" s="448">
        <f t="shared" si="12"/>
        <v>4010</v>
      </c>
      <c r="F203" s="447">
        <f t="shared" si="12"/>
        <v>4511</v>
      </c>
      <c r="G203" s="1378">
        <f t="shared" si="12"/>
        <v>649</v>
      </c>
      <c r="H203" s="448">
        <f t="shared" si="11"/>
        <v>3409</v>
      </c>
      <c r="I203" s="448">
        <f t="shared" si="11"/>
        <v>4010</v>
      </c>
      <c r="J203" s="447">
        <f t="shared" si="11"/>
        <v>4511</v>
      </c>
      <c r="K203" s="422"/>
      <c r="L203" s="448">
        <f t="shared" si="13"/>
        <v>10025</v>
      </c>
    </row>
    <row r="204" spans="1:12" ht="13.5">
      <c r="A204" s="448">
        <v>10050</v>
      </c>
      <c r="B204" s="447">
        <v>10100</v>
      </c>
      <c r="C204" s="1378">
        <f t="shared" si="12"/>
        <v>649</v>
      </c>
      <c r="D204" s="448">
        <f t="shared" si="12"/>
        <v>3426</v>
      </c>
      <c r="E204" s="448">
        <f t="shared" si="12"/>
        <v>4030</v>
      </c>
      <c r="F204" s="447">
        <f t="shared" si="12"/>
        <v>4534</v>
      </c>
      <c r="G204" s="1378">
        <f t="shared" si="12"/>
        <v>649</v>
      </c>
      <c r="H204" s="448">
        <f t="shared" si="11"/>
        <v>3426</v>
      </c>
      <c r="I204" s="448">
        <f t="shared" si="11"/>
        <v>4030</v>
      </c>
      <c r="J204" s="447">
        <f t="shared" si="11"/>
        <v>4534</v>
      </c>
      <c r="K204" s="422"/>
      <c r="L204" s="448">
        <f t="shared" si="13"/>
        <v>10075</v>
      </c>
    </row>
    <row r="205" spans="1:12" ht="13.5">
      <c r="A205" s="448">
        <v>10100</v>
      </c>
      <c r="B205" s="447">
        <v>10150</v>
      </c>
      <c r="C205" s="1378">
        <f t="shared" si="12"/>
        <v>649</v>
      </c>
      <c r="D205" s="448">
        <f t="shared" si="12"/>
        <v>3443</v>
      </c>
      <c r="E205" s="448">
        <f t="shared" si="12"/>
        <v>4050</v>
      </c>
      <c r="F205" s="447">
        <f t="shared" si="12"/>
        <v>4556</v>
      </c>
      <c r="G205" s="1378">
        <f t="shared" si="12"/>
        <v>649</v>
      </c>
      <c r="H205" s="448">
        <f t="shared" si="11"/>
        <v>3443</v>
      </c>
      <c r="I205" s="448">
        <f t="shared" si="11"/>
        <v>4050</v>
      </c>
      <c r="J205" s="447">
        <f t="shared" si="11"/>
        <v>4556</v>
      </c>
      <c r="K205" s="422"/>
      <c r="L205" s="448">
        <f t="shared" si="13"/>
        <v>10125</v>
      </c>
    </row>
    <row r="206" spans="1:12" ht="13.5">
      <c r="A206" s="448">
        <v>10150</v>
      </c>
      <c r="B206" s="447">
        <v>10200</v>
      </c>
      <c r="C206" s="1378">
        <f t="shared" si="12"/>
        <v>649</v>
      </c>
      <c r="D206" s="448">
        <f t="shared" si="12"/>
        <v>3460</v>
      </c>
      <c r="E206" s="448">
        <f t="shared" si="12"/>
        <v>4070</v>
      </c>
      <c r="F206" s="447">
        <f t="shared" si="12"/>
        <v>4579</v>
      </c>
      <c r="G206" s="1378">
        <f t="shared" si="12"/>
        <v>649</v>
      </c>
      <c r="H206" s="448">
        <f t="shared" si="11"/>
        <v>3460</v>
      </c>
      <c r="I206" s="448">
        <f t="shared" si="11"/>
        <v>4070</v>
      </c>
      <c r="J206" s="447">
        <f t="shared" si="11"/>
        <v>4579</v>
      </c>
      <c r="K206" s="422"/>
      <c r="L206" s="448">
        <f t="shared" si="13"/>
        <v>10175</v>
      </c>
    </row>
    <row r="207" spans="1:12" ht="13.5">
      <c r="A207" s="448">
        <v>10200</v>
      </c>
      <c r="B207" s="447">
        <v>10250</v>
      </c>
      <c r="C207" s="1378">
        <f t="shared" si="12"/>
        <v>649</v>
      </c>
      <c r="D207" s="448">
        <f t="shared" si="12"/>
        <v>3477</v>
      </c>
      <c r="E207" s="448">
        <f t="shared" si="12"/>
        <v>4090</v>
      </c>
      <c r="F207" s="447">
        <f t="shared" si="12"/>
        <v>4601</v>
      </c>
      <c r="G207" s="1378">
        <f t="shared" si="12"/>
        <v>649</v>
      </c>
      <c r="H207" s="448">
        <f t="shared" si="11"/>
        <v>3477</v>
      </c>
      <c r="I207" s="448">
        <f t="shared" si="11"/>
        <v>4090</v>
      </c>
      <c r="J207" s="447">
        <f t="shared" si="11"/>
        <v>4601</v>
      </c>
      <c r="K207" s="422"/>
      <c r="L207" s="448">
        <f t="shared" si="13"/>
        <v>10225</v>
      </c>
    </row>
    <row r="208" spans="1:12" ht="13.5">
      <c r="A208" s="448">
        <v>10250</v>
      </c>
      <c r="B208" s="447">
        <v>10300</v>
      </c>
      <c r="C208" s="1378">
        <f t="shared" si="12"/>
        <v>649</v>
      </c>
      <c r="D208" s="448">
        <f t="shared" si="12"/>
        <v>3494</v>
      </c>
      <c r="E208" s="448">
        <f t="shared" si="12"/>
        <v>4110</v>
      </c>
      <c r="F208" s="447">
        <f t="shared" si="12"/>
        <v>4624</v>
      </c>
      <c r="G208" s="1378">
        <f t="shared" si="12"/>
        <v>649</v>
      </c>
      <c r="H208" s="448">
        <f t="shared" si="11"/>
        <v>3494</v>
      </c>
      <c r="I208" s="448">
        <f t="shared" si="11"/>
        <v>4110</v>
      </c>
      <c r="J208" s="447">
        <f t="shared" si="11"/>
        <v>4624</v>
      </c>
      <c r="K208" s="422"/>
      <c r="L208" s="448">
        <f t="shared" si="13"/>
        <v>10275</v>
      </c>
    </row>
    <row r="209" spans="1:12" ht="13.5">
      <c r="A209" s="448">
        <v>10300</v>
      </c>
      <c r="B209" s="447">
        <v>10350</v>
      </c>
      <c r="C209" s="1378">
        <f t="shared" si="12"/>
        <v>649</v>
      </c>
      <c r="D209" s="448">
        <f t="shared" si="12"/>
        <v>3511</v>
      </c>
      <c r="E209" s="448">
        <f t="shared" si="12"/>
        <v>4130</v>
      </c>
      <c r="F209" s="447">
        <f t="shared" si="12"/>
        <v>4646</v>
      </c>
      <c r="G209" s="1378">
        <f t="shared" si="12"/>
        <v>649</v>
      </c>
      <c r="H209" s="448">
        <f t="shared" si="11"/>
        <v>3511</v>
      </c>
      <c r="I209" s="448">
        <f t="shared" si="11"/>
        <v>4130</v>
      </c>
      <c r="J209" s="447">
        <f t="shared" si="11"/>
        <v>4646</v>
      </c>
      <c r="K209" s="422"/>
      <c r="L209" s="448">
        <f t="shared" si="13"/>
        <v>10325</v>
      </c>
    </row>
    <row r="210" spans="1:12" ht="13.5">
      <c r="A210" s="448">
        <v>10350</v>
      </c>
      <c r="B210" s="447">
        <v>10400</v>
      </c>
      <c r="C210" s="1378">
        <f t="shared" si="12"/>
        <v>649</v>
      </c>
      <c r="D210" s="448">
        <f t="shared" si="12"/>
        <v>3528</v>
      </c>
      <c r="E210" s="448">
        <f t="shared" si="12"/>
        <v>4150</v>
      </c>
      <c r="F210" s="447">
        <f t="shared" si="12"/>
        <v>4669</v>
      </c>
      <c r="G210" s="1378">
        <f t="shared" si="12"/>
        <v>649</v>
      </c>
      <c r="H210" s="448">
        <f t="shared" si="11"/>
        <v>3528</v>
      </c>
      <c r="I210" s="448">
        <f t="shared" si="11"/>
        <v>4150</v>
      </c>
      <c r="J210" s="447">
        <f t="shared" si="11"/>
        <v>4669</v>
      </c>
      <c r="K210" s="422"/>
      <c r="L210" s="448">
        <f t="shared" si="13"/>
        <v>10375</v>
      </c>
    </row>
    <row r="211" spans="1:12" ht="13.5">
      <c r="A211" s="448">
        <v>10400</v>
      </c>
      <c r="B211" s="447">
        <v>10450</v>
      </c>
      <c r="C211" s="1378">
        <f t="shared" si="12"/>
        <v>649</v>
      </c>
      <c r="D211" s="448">
        <f t="shared" si="12"/>
        <v>3545</v>
      </c>
      <c r="E211" s="448">
        <f t="shared" si="12"/>
        <v>4170</v>
      </c>
      <c r="F211" s="447">
        <f t="shared" si="12"/>
        <v>4691</v>
      </c>
      <c r="G211" s="1378">
        <f t="shared" si="12"/>
        <v>649</v>
      </c>
      <c r="H211" s="448">
        <f t="shared" si="11"/>
        <v>3545</v>
      </c>
      <c r="I211" s="448">
        <f t="shared" si="11"/>
        <v>4170</v>
      </c>
      <c r="J211" s="447">
        <f t="shared" si="11"/>
        <v>4691</v>
      </c>
      <c r="K211" s="422"/>
      <c r="L211" s="448">
        <f t="shared" si="13"/>
        <v>10425</v>
      </c>
    </row>
    <row r="212" spans="1:12" ht="13.5">
      <c r="A212" s="448">
        <v>10450</v>
      </c>
      <c r="B212" s="447">
        <v>10500</v>
      </c>
      <c r="C212" s="1378">
        <f t="shared" si="12"/>
        <v>649</v>
      </c>
      <c r="D212" s="448">
        <f t="shared" si="12"/>
        <v>3562</v>
      </c>
      <c r="E212" s="448">
        <f t="shared" si="12"/>
        <v>4190</v>
      </c>
      <c r="F212" s="447">
        <f t="shared" si="12"/>
        <v>4714</v>
      </c>
      <c r="G212" s="1378">
        <f t="shared" si="12"/>
        <v>649</v>
      </c>
      <c r="H212" s="448">
        <f t="shared" si="11"/>
        <v>3562</v>
      </c>
      <c r="I212" s="448">
        <f t="shared" si="11"/>
        <v>4190</v>
      </c>
      <c r="J212" s="447">
        <f t="shared" si="11"/>
        <v>4714</v>
      </c>
      <c r="K212" s="422"/>
      <c r="L212" s="448">
        <f t="shared" si="13"/>
        <v>10475</v>
      </c>
    </row>
    <row r="213" spans="1:12" ht="13.5">
      <c r="A213" s="448">
        <v>10500</v>
      </c>
      <c r="B213" s="447">
        <v>10550</v>
      </c>
      <c r="C213" s="1378">
        <f t="shared" si="12"/>
        <v>649</v>
      </c>
      <c r="D213" s="448">
        <f t="shared" si="12"/>
        <v>3579</v>
      </c>
      <c r="E213" s="448">
        <f t="shared" si="12"/>
        <v>4210</v>
      </c>
      <c r="F213" s="447">
        <f t="shared" si="12"/>
        <v>4736</v>
      </c>
      <c r="G213" s="1378">
        <f t="shared" si="12"/>
        <v>649</v>
      </c>
      <c r="H213" s="448">
        <f t="shared" si="11"/>
        <v>3579</v>
      </c>
      <c r="I213" s="448">
        <f t="shared" si="11"/>
        <v>4210</v>
      </c>
      <c r="J213" s="447">
        <f t="shared" si="11"/>
        <v>4736</v>
      </c>
      <c r="K213" s="422"/>
      <c r="L213" s="448">
        <f t="shared" si="13"/>
        <v>10525</v>
      </c>
    </row>
    <row r="214" spans="1:12" ht="13.5">
      <c r="A214" s="448">
        <v>10550</v>
      </c>
      <c r="B214" s="447">
        <v>10600</v>
      </c>
      <c r="C214" s="1378">
        <f t="shared" si="12"/>
        <v>649</v>
      </c>
      <c r="D214" s="448">
        <f t="shared" si="12"/>
        <v>3596</v>
      </c>
      <c r="E214" s="448">
        <f t="shared" si="12"/>
        <v>4230</v>
      </c>
      <c r="F214" s="447">
        <f t="shared" si="12"/>
        <v>4759</v>
      </c>
      <c r="G214" s="1378">
        <f t="shared" si="12"/>
        <v>649</v>
      </c>
      <c r="H214" s="448">
        <f t="shared" si="11"/>
        <v>3596</v>
      </c>
      <c r="I214" s="448">
        <f t="shared" si="11"/>
        <v>4230</v>
      </c>
      <c r="J214" s="447">
        <f t="shared" si="11"/>
        <v>4759</v>
      </c>
      <c r="K214" s="422"/>
      <c r="L214" s="448">
        <f t="shared" si="13"/>
        <v>10575</v>
      </c>
    </row>
    <row r="215" spans="1:12" ht="13.5">
      <c r="A215" s="448">
        <v>10600</v>
      </c>
      <c r="B215" s="447">
        <v>10650</v>
      </c>
      <c r="C215" s="1378">
        <f t="shared" si="12"/>
        <v>649</v>
      </c>
      <c r="D215" s="448">
        <f t="shared" si="12"/>
        <v>3613</v>
      </c>
      <c r="E215" s="448">
        <f t="shared" si="12"/>
        <v>4250</v>
      </c>
      <c r="F215" s="447">
        <f t="shared" si="12"/>
        <v>4781</v>
      </c>
      <c r="G215" s="1378">
        <f t="shared" si="12"/>
        <v>649</v>
      </c>
      <c r="H215" s="448">
        <f t="shared" si="11"/>
        <v>3613</v>
      </c>
      <c r="I215" s="448">
        <f t="shared" si="11"/>
        <v>4250</v>
      </c>
      <c r="J215" s="447">
        <f t="shared" si="11"/>
        <v>4781</v>
      </c>
      <c r="K215" s="422"/>
      <c r="L215" s="448">
        <f t="shared" si="13"/>
        <v>10625</v>
      </c>
    </row>
    <row r="216" spans="1:12" ht="13.5">
      <c r="A216" s="448">
        <v>10650</v>
      </c>
      <c r="B216" s="447">
        <v>10700</v>
      </c>
      <c r="C216" s="1378">
        <f t="shared" si="12"/>
        <v>645</v>
      </c>
      <c r="D216" s="448">
        <f t="shared" si="12"/>
        <v>3630</v>
      </c>
      <c r="E216" s="448">
        <f t="shared" si="12"/>
        <v>4270</v>
      </c>
      <c r="F216" s="447">
        <f t="shared" si="12"/>
        <v>4804</v>
      </c>
      <c r="G216" s="1378">
        <f t="shared" si="12"/>
        <v>649</v>
      </c>
      <c r="H216" s="448">
        <f t="shared" si="11"/>
        <v>3630</v>
      </c>
      <c r="I216" s="448">
        <f t="shared" si="11"/>
        <v>4270</v>
      </c>
      <c r="J216" s="447">
        <f t="shared" si="11"/>
        <v>4804</v>
      </c>
      <c r="K216" s="422"/>
      <c r="L216" s="448">
        <f t="shared" si="13"/>
        <v>10675</v>
      </c>
    </row>
    <row r="217" spans="1:12" ht="13.5">
      <c r="A217" s="448">
        <v>10700</v>
      </c>
      <c r="B217" s="447">
        <v>10750</v>
      </c>
      <c r="C217" s="1378">
        <f t="shared" si="12"/>
        <v>641</v>
      </c>
      <c r="D217" s="448">
        <f t="shared" si="12"/>
        <v>3647</v>
      </c>
      <c r="E217" s="448">
        <f t="shared" si="12"/>
        <v>4290</v>
      </c>
      <c r="F217" s="447">
        <f t="shared" si="12"/>
        <v>4826</v>
      </c>
      <c r="G217" s="1378">
        <f t="shared" si="12"/>
        <v>649</v>
      </c>
      <c r="H217" s="448">
        <f t="shared" si="11"/>
        <v>3647</v>
      </c>
      <c r="I217" s="448">
        <f t="shared" si="11"/>
        <v>4290</v>
      </c>
      <c r="J217" s="447">
        <f t="shared" si="11"/>
        <v>4826</v>
      </c>
      <c r="K217" s="422"/>
      <c r="L217" s="448">
        <f t="shared" si="13"/>
        <v>10725</v>
      </c>
    </row>
    <row r="218" spans="1:12" ht="13.5">
      <c r="A218" s="448">
        <v>10750</v>
      </c>
      <c r="B218" s="447">
        <v>10800</v>
      </c>
      <c r="C218" s="1378">
        <f t="shared" si="12"/>
        <v>637</v>
      </c>
      <c r="D218" s="448">
        <f t="shared" si="12"/>
        <v>3664</v>
      </c>
      <c r="E218" s="448">
        <f t="shared" si="12"/>
        <v>4310</v>
      </c>
      <c r="F218" s="447">
        <f t="shared" si="12"/>
        <v>4849</v>
      </c>
      <c r="G218" s="1378">
        <f t="shared" si="12"/>
        <v>649</v>
      </c>
      <c r="H218" s="448">
        <f t="shared" si="11"/>
        <v>3664</v>
      </c>
      <c r="I218" s="448">
        <f t="shared" si="11"/>
        <v>4310</v>
      </c>
      <c r="J218" s="447">
        <f t="shared" si="11"/>
        <v>4849</v>
      </c>
      <c r="K218" s="422"/>
      <c r="L218" s="448">
        <f t="shared" si="13"/>
        <v>10775</v>
      </c>
    </row>
    <row r="219" spans="1:12" ht="13.5">
      <c r="A219" s="448">
        <v>10800</v>
      </c>
      <c r="B219" s="447">
        <v>10850</v>
      </c>
      <c r="C219" s="1378">
        <f t="shared" ref="C219:J252" si="14">IF($L219&gt;N$5,MAX(0,N$3+ROUND((N$9*($L219-N$5)),0)),IF($L219&gt;N$4,N$3,ROUND($L219*N$7,0)))</f>
        <v>633</v>
      </c>
      <c r="D219" s="448">
        <f t="shared" si="14"/>
        <v>3681</v>
      </c>
      <c r="E219" s="448">
        <f t="shared" si="14"/>
        <v>4330</v>
      </c>
      <c r="F219" s="447">
        <f t="shared" si="14"/>
        <v>4871</v>
      </c>
      <c r="G219" s="1378">
        <f t="shared" si="14"/>
        <v>649</v>
      </c>
      <c r="H219" s="448">
        <f t="shared" si="11"/>
        <v>3681</v>
      </c>
      <c r="I219" s="448">
        <f t="shared" si="11"/>
        <v>4330</v>
      </c>
      <c r="J219" s="447">
        <f t="shared" si="11"/>
        <v>4871</v>
      </c>
      <c r="K219" s="422"/>
      <c r="L219" s="448">
        <f t="shared" si="13"/>
        <v>10825</v>
      </c>
    </row>
    <row r="220" spans="1:12" ht="13.5">
      <c r="A220" s="448">
        <v>10850</v>
      </c>
      <c r="B220" s="447">
        <v>10900</v>
      </c>
      <c r="C220" s="1378">
        <f t="shared" si="14"/>
        <v>629</v>
      </c>
      <c r="D220" s="448">
        <f t="shared" si="14"/>
        <v>3698</v>
      </c>
      <c r="E220" s="448">
        <f t="shared" si="14"/>
        <v>4350</v>
      </c>
      <c r="F220" s="447">
        <f t="shared" si="14"/>
        <v>4894</v>
      </c>
      <c r="G220" s="1378">
        <f t="shared" si="14"/>
        <v>649</v>
      </c>
      <c r="H220" s="448">
        <f t="shared" si="11"/>
        <v>3698</v>
      </c>
      <c r="I220" s="448">
        <f t="shared" si="11"/>
        <v>4350</v>
      </c>
      <c r="J220" s="447">
        <f t="shared" si="11"/>
        <v>4894</v>
      </c>
      <c r="K220" s="422"/>
      <c r="L220" s="448">
        <f t="shared" si="13"/>
        <v>10875</v>
      </c>
    </row>
    <row r="221" spans="1:12" ht="13.5">
      <c r="A221" s="448">
        <v>10900</v>
      </c>
      <c r="B221" s="447">
        <v>10950</v>
      </c>
      <c r="C221" s="1378">
        <f t="shared" si="14"/>
        <v>626</v>
      </c>
      <c r="D221" s="448">
        <f t="shared" si="14"/>
        <v>3715</v>
      </c>
      <c r="E221" s="448">
        <f t="shared" si="14"/>
        <v>4370</v>
      </c>
      <c r="F221" s="447">
        <f t="shared" si="14"/>
        <v>4916</v>
      </c>
      <c r="G221" s="1378">
        <f t="shared" si="14"/>
        <v>649</v>
      </c>
      <c r="H221" s="448">
        <f t="shared" si="11"/>
        <v>3715</v>
      </c>
      <c r="I221" s="448">
        <f t="shared" si="11"/>
        <v>4370</v>
      </c>
      <c r="J221" s="447">
        <f t="shared" si="11"/>
        <v>4916</v>
      </c>
      <c r="K221" s="422"/>
      <c r="L221" s="448">
        <f t="shared" si="13"/>
        <v>10925</v>
      </c>
    </row>
    <row r="222" spans="1:12" ht="13.5">
      <c r="A222" s="448">
        <v>10950</v>
      </c>
      <c r="B222" s="447">
        <v>11000</v>
      </c>
      <c r="C222" s="1378">
        <f t="shared" si="14"/>
        <v>622</v>
      </c>
      <c r="D222" s="448">
        <f t="shared" si="14"/>
        <v>3732</v>
      </c>
      <c r="E222" s="448">
        <f t="shared" si="14"/>
        <v>4390</v>
      </c>
      <c r="F222" s="447">
        <f t="shared" si="14"/>
        <v>4939</v>
      </c>
      <c r="G222" s="1378">
        <f t="shared" si="14"/>
        <v>649</v>
      </c>
      <c r="H222" s="448">
        <f t="shared" si="11"/>
        <v>3732</v>
      </c>
      <c r="I222" s="448">
        <f t="shared" si="11"/>
        <v>4390</v>
      </c>
      <c r="J222" s="447">
        <f t="shared" si="11"/>
        <v>4939</v>
      </c>
      <c r="K222" s="422"/>
      <c r="L222" s="448">
        <f t="shared" si="13"/>
        <v>10975</v>
      </c>
    </row>
    <row r="223" spans="1:12" ht="13.5">
      <c r="A223" s="448">
        <v>11000</v>
      </c>
      <c r="B223" s="447">
        <v>11050</v>
      </c>
      <c r="C223" s="1378">
        <f t="shared" si="14"/>
        <v>618</v>
      </c>
      <c r="D223" s="448">
        <f t="shared" si="14"/>
        <v>3749</v>
      </c>
      <c r="E223" s="448">
        <f t="shared" si="14"/>
        <v>4410</v>
      </c>
      <c r="F223" s="447">
        <f t="shared" si="14"/>
        <v>4961</v>
      </c>
      <c r="G223" s="1378">
        <f t="shared" si="14"/>
        <v>649</v>
      </c>
      <c r="H223" s="448">
        <f t="shared" si="14"/>
        <v>3749</v>
      </c>
      <c r="I223" s="448">
        <f t="shared" si="14"/>
        <v>4410</v>
      </c>
      <c r="J223" s="447">
        <f t="shared" si="14"/>
        <v>4961</v>
      </c>
      <c r="K223" s="422"/>
      <c r="L223" s="448">
        <f t="shared" si="13"/>
        <v>11025</v>
      </c>
    </row>
    <row r="224" spans="1:12" ht="13.5">
      <c r="A224" s="448">
        <v>11050</v>
      </c>
      <c r="B224" s="447">
        <v>11100</v>
      </c>
      <c r="C224" s="1378">
        <f t="shared" si="14"/>
        <v>614</v>
      </c>
      <c r="D224" s="448">
        <f t="shared" si="14"/>
        <v>3766</v>
      </c>
      <c r="E224" s="448">
        <f t="shared" si="14"/>
        <v>4430</v>
      </c>
      <c r="F224" s="447">
        <f t="shared" si="14"/>
        <v>4984</v>
      </c>
      <c r="G224" s="1378">
        <f t="shared" si="14"/>
        <v>649</v>
      </c>
      <c r="H224" s="448">
        <f t="shared" si="14"/>
        <v>3766</v>
      </c>
      <c r="I224" s="448">
        <f t="shared" si="14"/>
        <v>4430</v>
      </c>
      <c r="J224" s="447">
        <f t="shared" si="14"/>
        <v>4984</v>
      </c>
      <c r="K224" s="422"/>
      <c r="L224" s="448">
        <f t="shared" si="13"/>
        <v>11075</v>
      </c>
    </row>
    <row r="225" spans="1:12" ht="13.5">
      <c r="A225" s="448">
        <v>11100</v>
      </c>
      <c r="B225" s="447">
        <v>11150</v>
      </c>
      <c r="C225" s="1378">
        <f t="shared" si="14"/>
        <v>610</v>
      </c>
      <c r="D225" s="448">
        <f t="shared" si="14"/>
        <v>3783</v>
      </c>
      <c r="E225" s="448">
        <f t="shared" si="14"/>
        <v>4450</v>
      </c>
      <c r="F225" s="447">
        <f t="shared" si="14"/>
        <v>5006</v>
      </c>
      <c r="G225" s="1378">
        <f t="shared" si="14"/>
        <v>649</v>
      </c>
      <c r="H225" s="448">
        <f t="shared" si="14"/>
        <v>3783</v>
      </c>
      <c r="I225" s="448">
        <f t="shared" si="14"/>
        <v>4450</v>
      </c>
      <c r="J225" s="447">
        <f t="shared" si="14"/>
        <v>5006</v>
      </c>
      <c r="K225" s="422"/>
      <c r="L225" s="448">
        <f t="shared" si="13"/>
        <v>11125</v>
      </c>
    </row>
    <row r="226" spans="1:12" ht="13.5">
      <c r="A226" s="448">
        <v>11150</v>
      </c>
      <c r="B226" s="447">
        <v>11200</v>
      </c>
      <c r="C226" s="1378">
        <f t="shared" si="14"/>
        <v>607</v>
      </c>
      <c r="D226" s="448">
        <f t="shared" si="14"/>
        <v>3800</v>
      </c>
      <c r="E226" s="448">
        <f t="shared" si="14"/>
        <v>4470</v>
      </c>
      <c r="F226" s="447">
        <f t="shared" si="14"/>
        <v>5029</v>
      </c>
      <c r="G226" s="1378">
        <f t="shared" si="14"/>
        <v>649</v>
      </c>
      <c r="H226" s="448">
        <f t="shared" si="14"/>
        <v>3800</v>
      </c>
      <c r="I226" s="448">
        <f t="shared" si="14"/>
        <v>4470</v>
      </c>
      <c r="J226" s="447">
        <f t="shared" si="14"/>
        <v>5029</v>
      </c>
      <c r="K226" s="422"/>
      <c r="L226" s="448">
        <f t="shared" si="13"/>
        <v>11175</v>
      </c>
    </row>
    <row r="227" spans="1:12" ht="13.5">
      <c r="A227" s="448">
        <v>11200</v>
      </c>
      <c r="B227" s="447">
        <v>11250</v>
      </c>
      <c r="C227" s="1378">
        <f t="shared" si="14"/>
        <v>603</v>
      </c>
      <c r="D227" s="448">
        <f t="shared" si="14"/>
        <v>3817</v>
      </c>
      <c r="E227" s="448">
        <f t="shared" si="14"/>
        <v>4490</v>
      </c>
      <c r="F227" s="447">
        <f t="shared" si="14"/>
        <v>5051</v>
      </c>
      <c r="G227" s="1378">
        <f t="shared" si="14"/>
        <v>649</v>
      </c>
      <c r="H227" s="448">
        <f t="shared" si="14"/>
        <v>3817</v>
      </c>
      <c r="I227" s="448">
        <f t="shared" si="14"/>
        <v>4490</v>
      </c>
      <c r="J227" s="447">
        <f t="shared" si="14"/>
        <v>5051</v>
      </c>
      <c r="K227" s="422"/>
      <c r="L227" s="448">
        <f t="shared" si="13"/>
        <v>11225</v>
      </c>
    </row>
    <row r="228" spans="1:12" ht="13.5">
      <c r="A228" s="448">
        <v>11250</v>
      </c>
      <c r="B228" s="447">
        <v>11300</v>
      </c>
      <c r="C228" s="1378">
        <f t="shared" si="14"/>
        <v>599</v>
      </c>
      <c r="D228" s="448">
        <f t="shared" si="14"/>
        <v>3834</v>
      </c>
      <c r="E228" s="448">
        <f t="shared" si="14"/>
        <v>4510</v>
      </c>
      <c r="F228" s="447">
        <f t="shared" si="14"/>
        <v>5074</v>
      </c>
      <c r="G228" s="1378">
        <f t="shared" si="14"/>
        <v>649</v>
      </c>
      <c r="H228" s="448">
        <f t="shared" si="14"/>
        <v>3834</v>
      </c>
      <c r="I228" s="448">
        <f t="shared" si="14"/>
        <v>4510</v>
      </c>
      <c r="J228" s="447">
        <f t="shared" si="14"/>
        <v>5074</v>
      </c>
      <c r="K228" s="422"/>
      <c r="L228" s="448">
        <f t="shared" si="13"/>
        <v>11275</v>
      </c>
    </row>
    <row r="229" spans="1:12" ht="13.5">
      <c r="A229" s="448">
        <v>11300</v>
      </c>
      <c r="B229" s="447">
        <v>11350</v>
      </c>
      <c r="C229" s="1378">
        <f t="shared" si="14"/>
        <v>595</v>
      </c>
      <c r="D229" s="448">
        <f t="shared" si="14"/>
        <v>3851</v>
      </c>
      <c r="E229" s="448">
        <f t="shared" si="14"/>
        <v>4530</v>
      </c>
      <c r="F229" s="447">
        <f t="shared" si="14"/>
        <v>5096</v>
      </c>
      <c r="G229" s="1378">
        <f t="shared" si="14"/>
        <v>649</v>
      </c>
      <c r="H229" s="448">
        <f t="shared" si="14"/>
        <v>3851</v>
      </c>
      <c r="I229" s="448">
        <f t="shared" si="14"/>
        <v>4530</v>
      </c>
      <c r="J229" s="447">
        <f t="shared" si="14"/>
        <v>5096</v>
      </c>
      <c r="K229" s="422"/>
      <c r="L229" s="448">
        <f t="shared" si="13"/>
        <v>11325</v>
      </c>
    </row>
    <row r="230" spans="1:12" ht="13.5">
      <c r="A230" s="448">
        <v>11350</v>
      </c>
      <c r="B230" s="447">
        <v>11400</v>
      </c>
      <c r="C230" s="1378">
        <f t="shared" si="14"/>
        <v>591</v>
      </c>
      <c r="D230" s="448">
        <f t="shared" si="14"/>
        <v>3868</v>
      </c>
      <c r="E230" s="448">
        <f t="shared" si="14"/>
        <v>4550</v>
      </c>
      <c r="F230" s="447">
        <f t="shared" si="14"/>
        <v>5119</v>
      </c>
      <c r="G230" s="1378">
        <f t="shared" si="14"/>
        <v>649</v>
      </c>
      <c r="H230" s="448">
        <f t="shared" si="14"/>
        <v>3868</v>
      </c>
      <c r="I230" s="448">
        <f t="shared" si="14"/>
        <v>4550</v>
      </c>
      <c r="J230" s="447">
        <f t="shared" si="14"/>
        <v>5119</v>
      </c>
      <c r="K230" s="422"/>
      <c r="L230" s="448">
        <f t="shared" si="13"/>
        <v>11375</v>
      </c>
    </row>
    <row r="231" spans="1:12" ht="13.5">
      <c r="A231" s="448">
        <v>11400</v>
      </c>
      <c r="B231" s="447">
        <v>11450</v>
      </c>
      <c r="C231" s="1378">
        <f t="shared" si="14"/>
        <v>587</v>
      </c>
      <c r="D231" s="448">
        <f t="shared" si="14"/>
        <v>3885</v>
      </c>
      <c r="E231" s="448">
        <f t="shared" si="14"/>
        <v>4570</v>
      </c>
      <c r="F231" s="447">
        <f t="shared" si="14"/>
        <v>5141</v>
      </c>
      <c r="G231" s="1378">
        <f t="shared" si="14"/>
        <v>649</v>
      </c>
      <c r="H231" s="448">
        <f t="shared" si="14"/>
        <v>3885</v>
      </c>
      <c r="I231" s="448">
        <f t="shared" si="14"/>
        <v>4570</v>
      </c>
      <c r="J231" s="447">
        <f t="shared" si="14"/>
        <v>5141</v>
      </c>
      <c r="K231" s="422"/>
      <c r="L231" s="448">
        <f t="shared" si="13"/>
        <v>11425</v>
      </c>
    </row>
    <row r="232" spans="1:12" ht="13.5">
      <c r="A232" s="448">
        <v>11450</v>
      </c>
      <c r="B232" s="447">
        <v>11500</v>
      </c>
      <c r="C232" s="1378">
        <f t="shared" si="14"/>
        <v>584</v>
      </c>
      <c r="D232" s="448">
        <f t="shared" si="14"/>
        <v>3902</v>
      </c>
      <c r="E232" s="448">
        <f t="shared" si="14"/>
        <v>4590</v>
      </c>
      <c r="F232" s="447">
        <f t="shared" si="14"/>
        <v>5164</v>
      </c>
      <c r="G232" s="1378">
        <f t="shared" si="14"/>
        <v>649</v>
      </c>
      <c r="H232" s="448">
        <f t="shared" si="14"/>
        <v>3902</v>
      </c>
      <c r="I232" s="448">
        <f t="shared" si="14"/>
        <v>4590</v>
      </c>
      <c r="J232" s="447">
        <f t="shared" si="14"/>
        <v>5164</v>
      </c>
      <c r="K232" s="422"/>
      <c r="L232" s="448">
        <f t="shared" si="13"/>
        <v>11475</v>
      </c>
    </row>
    <row r="233" spans="1:12" ht="13.5">
      <c r="A233" s="448">
        <v>11500</v>
      </c>
      <c r="B233" s="447">
        <v>11550</v>
      </c>
      <c r="C233" s="1378">
        <f t="shared" si="14"/>
        <v>580</v>
      </c>
      <c r="D233" s="448">
        <f t="shared" si="14"/>
        <v>3919</v>
      </c>
      <c r="E233" s="448">
        <f t="shared" si="14"/>
        <v>4610</v>
      </c>
      <c r="F233" s="447">
        <f t="shared" si="14"/>
        <v>5186</v>
      </c>
      <c r="G233" s="1378">
        <f t="shared" si="14"/>
        <v>649</v>
      </c>
      <c r="H233" s="448">
        <f t="shared" si="14"/>
        <v>3919</v>
      </c>
      <c r="I233" s="448">
        <f t="shared" si="14"/>
        <v>4610</v>
      </c>
      <c r="J233" s="447">
        <f t="shared" si="14"/>
        <v>5186</v>
      </c>
      <c r="K233" s="422"/>
      <c r="L233" s="448">
        <f t="shared" si="13"/>
        <v>11525</v>
      </c>
    </row>
    <row r="234" spans="1:12" ht="13.5">
      <c r="A234" s="448">
        <v>11550</v>
      </c>
      <c r="B234" s="447">
        <v>11600</v>
      </c>
      <c r="C234" s="1378">
        <f t="shared" si="14"/>
        <v>576</v>
      </c>
      <c r="D234" s="448">
        <f t="shared" si="14"/>
        <v>3936</v>
      </c>
      <c r="E234" s="448">
        <f t="shared" si="14"/>
        <v>4630</v>
      </c>
      <c r="F234" s="447">
        <f t="shared" si="14"/>
        <v>5209</v>
      </c>
      <c r="G234" s="1378">
        <f t="shared" si="14"/>
        <v>649</v>
      </c>
      <c r="H234" s="448">
        <f t="shared" si="14"/>
        <v>3936</v>
      </c>
      <c r="I234" s="448">
        <f t="shared" si="14"/>
        <v>4630</v>
      </c>
      <c r="J234" s="447">
        <f t="shared" si="14"/>
        <v>5209</v>
      </c>
      <c r="K234" s="422"/>
      <c r="L234" s="448">
        <f t="shared" si="13"/>
        <v>11575</v>
      </c>
    </row>
    <row r="235" spans="1:12" ht="13.5">
      <c r="A235" s="448">
        <v>11600</v>
      </c>
      <c r="B235" s="447">
        <v>11650</v>
      </c>
      <c r="C235" s="1378">
        <f t="shared" si="14"/>
        <v>572</v>
      </c>
      <c r="D235" s="448">
        <f t="shared" si="14"/>
        <v>3953</v>
      </c>
      <c r="E235" s="448">
        <f t="shared" si="14"/>
        <v>4650</v>
      </c>
      <c r="F235" s="447">
        <f t="shared" si="14"/>
        <v>5231</v>
      </c>
      <c r="G235" s="1378">
        <f t="shared" si="14"/>
        <v>649</v>
      </c>
      <c r="H235" s="448">
        <f t="shared" si="14"/>
        <v>3953</v>
      </c>
      <c r="I235" s="448">
        <f t="shared" si="14"/>
        <v>4650</v>
      </c>
      <c r="J235" s="447">
        <f t="shared" si="14"/>
        <v>5231</v>
      </c>
      <c r="K235" s="422"/>
      <c r="L235" s="448">
        <f t="shared" si="13"/>
        <v>11625</v>
      </c>
    </row>
    <row r="236" spans="1:12" ht="13.5">
      <c r="A236" s="448">
        <v>11650</v>
      </c>
      <c r="B236" s="447">
        <v>11700</v>
      </c>
      <c r="C236" s="1378">
        <f t="shared" si="14"/>
        <v>568</v>
      </c>
      <c r="D236" s="448">
        <f t="shared" si="14"/>
        <v>3970</v>
      </c>
      <c r="E236" s="448">
        <f t="shared" si="14"/>
        <v>4670</v>
      </c>
      <c r="F236" s="447">
        <f t="shared" si="14"/>
        <v>5254</v>
      </c>
      <c r="G236" s="1378">
        <f t="shared" si="14"/>
        <v>649</v>
      </c>
      <c r="H236" s="448">
        <f t="shared" si="14"/>
        <v>3970</v>
      </c>
      <c r="I236" s="448">
        <f t="shared" si="14"/>
        <v>4670</v>
      </c>
      <c r="J236" s="447">
        <f t="shared" si="14"/>
        <v>5254</v>
      </c>
      <c r="K236" s="422"/>
      <c r="L236" s="448">
        <f t="shared" si="13"/>
        <v>11675</v>
      </c>
    </row>
    <row r="237" spans="1:12" ht="13.5">
      <c r="A237" s="448">
        <v>11700</v>
      </c>
      <c r="B237" s="447">
        <v>11750</v>
      </c>
      <c r="C237" s="1378">
        <f t="shared" si="14"/>
        <v>564</v>
      </c>
      <c r="D237" s="448">
        <f t="shared" si="14"/>
        <v>3987</v>
      </c>
      <c r="E237" s="448">
        <f t="shared" si="14"/>
        <v>4690</v>
      </c>
      <c r="F237" s="447">
        <f t="shared" si="14"/>
        <v>5276</v>
      </c>
      <c r="G237" s="1378">
        <f t="shared" si="14"/>
        <v>649</v>
      </c>
      <c r="H237" s="448">
        <f t="shared" si="14"/>
        <v>3987</v>
      </c>
      <c r="I237" s="448">
        <f t="shared" si="14"/>
        <v>4690</v>
      </c>
      <c r="J237" s="447">
        <f t="shared" si="14"/>
        <v>5276</v>
      </c>
      <c r="K237" s="422"/>
      <c r="L237" s="448">
        <f t="shared" si="13"/>
        <v>11725</v>
      </c>
    </row>
    <row r="238" spans="1:12" ht="13.5">
      <c r="A238" s="448">
        <v>11750</v>
      </c>
      <c r="B238" s="447">
        <v>11800</v>
      </c>
      <c r="C238" s="1378">
        <f t="shared" si="14"/>
        <v>561</v>
      </c>
      <c r="D238" s="448">
        <f t="shared" si="14"/>
        <v>4004</v>
      </c>
      <c r="E238" s="448">
        <f t="shared" si="14"/>
        <v>4710</v>
      </c>
      <c r="F238" s="447">
        <f t="shared" si="14"/>
        <v>5299</v>
      </c>
      <c r="G238" s="1378">
        <f t="shared" si="14"/>
        <v>649</v>
      </c>
      <c r="H238" s="448">
        <f t="shared" si="14"/>
        <v>4004</v>
      </c>
      <c r="I238" s="448">
        <f t="shared" si="14"/>
        <v>4710</v>
      </c>
      <c r="J238" s="447">
        <f t="shared" si="14"/>
        <v>5299</v>
      </c>
      <c r="K238" s="422"/>
      <c r="L238" s="448">
        <f t="shared" si="13"/>
        <v>11775</v>
      </c>
    </row>
    <row r="239" spans="1:12" ht="13.5">
      <c r="A239" s="448">
        <v>11800</v>
      </c>
      <c r="B239" s="447">
        <v>11850</v>
      </c>
      <c r="C239" s="1378">
        <f t="shared" si="14"/>
        <v>557</v>
      </c>
      <c r="D239" s="448">
        <f t="shared" si="14"/>
        <v>4021</v>
      </c>
      <c r="E239" s="448">
        <f t="shared" si="14"/>
        <v>4730</v>
      </c>
      <c r="F239" s="447">
        <f t="shared" si="14"/>
        <v>5321</v>
      </c>
      <c r="G239" s="1378">
        <f t="shared" si="14"/>
        <v>649</v>
      </c>
      <c r="H239" s="448">
        <f t="shared" si="14"/>
        <v>4021</v>
      </c>
      <c r="I239" s="448">
        <f t="shared" si="14"/>
        <v>4730</v>
      </c>
      <c r="J239" s="447">
        <f t="shared" si="14"/>
        <v>5321</v>
      </c>
      <c r="K239" s="422"/>
      <c r="L239" s="448">
        <f t="shared" si="13"/>
        <v>11825</v>
      </c>
    </row>
    <row r="240" spans="1:12" ht="13.5">
      <c r="A240" s="448">
        <v>11850</v>
      </c>
      <c r="B240" s="447">
        <v>11900</v>
      </c>
      <c r="C240" s="1378">
        <f t="shared" si="14"/>
        <v>553</v>
      </c>
      <c r="D240" s="448">
        <f t="shared" si="14"/>
        <v>4038</v>
      </c>
      <c r="E240" s="448">
        <f t="shared" si="14"/>
        <v>4750</v>
      </c>
      <c r="F240" s="447">
        <f t="shared" si="14"/>
        <v>5344</v>
      </c>
      <c r="G240" s="1378">
        <f t="shared" si="14"/>
        <v>649</v>
      </c>
      <c r="H240" s="448">
        <f t="shared" si="14"/>
        <v>4038</v>
      </c>
      <c r="I240" s="448">
        <f t="shared" si="14"/>
        <v>4750</v>
      </c>
      <c r="J240" s="447">
        <f t="shared" si="14"/>
        <v>5344</v>
      </c>
      <c r="K240" s="422"/>
      <c r="L240" s="448">
        <f t="shared" si="13"/>
        <v>11875</v>
      </c>
    </row>
    <row r="241" spans="1:12" ht="13.5">
      <c r="A241" s="448">
        <v>11900</v>
      </c>
      <c r="B241" s="447">
        <v>11950</v>
      </c>
      <c r="C241" s="1378">
        <f t="shared" si="14"/>
        <v>549</v>
      </c>
      <c r="D241" s="448">
        <f t="shared" si="14"/>
        <v>4055</v>
      </c>
      <c r="E241" s="448">
        <f t="shared" si="14"/>
        <v>4770</v>
      </c>
      <c r="F241" s="447">
        <f t="shared" si="14"/>
        <v>5366</v>
      </c>
      <c r="G241" s="1378">
        <f t="shared" si="14"/>
        <v>649</v>
      </c>
      <c r="H241" s="448">
        <f t="shared" si="14"/>
        <v>4055</v>
      </c>
      <c r="I241" s="448">
        <f t="shared" si="14"/>
        <v>4770</v>
      </c>
      <c r="J241" s="447">
        <f t="shared" si="14"/>
        <v>5366</v>
      </c>
      <c r="K241" s="422"/>
      <c r="L241" s="448">
        <f t="shared" si="13"/>
        <v>11925</v>
      </c>
    </row>
    <row r="242" spans="1:12" ht="13.5">
      <c r="A242" s="448">
        <v>11950</v>
      </c>
      <c r="B242" s="447">
        <v>12000</v>
      </c>
      <c r="C242" s="1378">
        <f t="shared" si="14"/>
        <v>545</v>
      </c>
      <c r="D242" s="448">
        <f t="shared" si="14"/>
        <v>4072</v>
      </c>
      <c r="E242" s="448">
        <f t="shared" si="14"/>
        <v>4790</v>
      </c>
      <c r="F242" s="447">
        <f t="shared" si="14"/>
        <v>5389</v>
      </c>
      <c r="G242" s="1378">
        <f t="shared" si="14"/>
        <v>649</v>
      </c>
      <c r="H242" s="448">
        <f t="shared" si="14"/>
        <v>4072</v>
      </c>
      <c r="I242" s="448">
        <f t="shared" si="14"/>
        <v>4790</v>
      </c>
      <c r="J242" s="447">
        <f t="shared" si="14"/>
        <v>5389</v>
      </c>
      <c r="K242" s="422"/>
      <c r="L242" s="448">
        <f t="shared" si="13"/>
        <v>11975</v>
      </c>
    </row>
    <row r="243" spans="1:12" ht="13.5">
      <c r="A243" s="448">
        <v>12000</v>
      </c>
      <c r="B243" s="447">
        <v>12050</v>
      </c>
      <c r="C243" s="1378">
        <f t="shared" si="14"/>
        <v>542</v>
      </c>
      <c r="D243" s="448">
        <f t="shared" si="14"/>
        <v>4089</v>
      </c>
      <c r="E243" s="448">
        <f t="shared" si="14"/>
        <v>4810</v>
      </c>
      <c r="F243" s="447">
        <f t="shared" si="14"/>
        <v>5411</v>
      </c>
      <c r="G243" s="1378">
        <f t="shared" si="14"/>
        <v>649</v>
      </c>
      <c r="H243" s="448">
        <f t="shared" si="14"/>
        <v>4089</v>
      </c>
      <c r="I243" s="448">
        <f t="shared" si="14"/>
        <v>4810</v>
      </c>
      <c r="J243" s="447">
        <f t="shared" si="14"/>
        <v>5411</v>
      </c>
      <c r="K243" s="422"/>
      <c r="L243" s="448">
        <f t="shared" si="13"/>
        <v>12025</v>
      </c>
    </row>
    <row r="244" spans="1:12" ht="13.5">
      <c r="A244" s="448">
        <v>12050</v>
      </c>
      <c r="B244" s="447">
        <v>12100</v>
      </c>
      <c r="C244" s="1378">
        <f t="shared" si="14"/>
        <v>538</v>
      </c>
      <c r="D244" s="448">
        <f t="shared" si="14"/>
        <v>4106</v>
      </c>
      <c r="E244" s="448">
        <f t="shared" si="14"/>
        <v>4830</v>
      </c>
      <c r="F244" s="447">
        <f t="shared" si="14"/>
        <v>5434</v>
      </c>
      <c r="G244" s="1378">
        <f t="shared" si="14"/>
        <v>649</v>
      </c>
      <c r="H244" s="448">
        <f t="shared" si="14"/>
        <v>4106</v>
      </c>
      <c r="I244" s="448">
        <f t="shared" si="14"/>
        <v>4830</v>
      </c>
      <c r="J244" s="447">
        <f t="shared" si="14"/>
        <v>5434</v>
      </c>
      <c r="K244" s="422"/>
      <c r="L244" s="448">
        <f t="shared" si="13"/>
        <v>12075</v>
      </c>
    </row>
    <row r="245" spans="1:12" ht="13.5">
      <c r="A245" s="448">
        <v>12100</v>
      </c>
      <c r="B245" s="447">
        <v>12150</v>
      </c>
      <c r="C245" s="1378">
        <f t="shared" si="14"/>
        <v>534</v>
      </c>
      <c r="D245" s="448">
        <f t="shared" si="14"/>
        <v>4123</v>
      </c>
      <c r="E245" s="448">
        <f t="shared" si="14"/>
        <v>4850</v>
      </c>
      <c r="F245" s="447">
        <f t="shared" si="14"/>
        <v>5456</v>
      </c>
      <c r="G245" s="1378">
        <f t="shared" si="14"/>
        <v>649</v>
      </c>
      <c r="H245" s="448">
        <f t="shared" si="14"/>
        <v>4123</v>
      </c>
      <c r="I245" s="448">
        <f t="shared" si="14"/>
        <v>4850</v>
      </c>
      <c r="J245" s="447">
        <f t="shared" si="14"/>
        <v>5456</v>
      </c>
      <c r="K245" s="422"/>
      <c r="L245" s="448">
        <f t="shared" si="13"/>
        <v>12125</v>
      </c>
    </row>
    <row r="246" spans="1:12" ht="13.5">
      <c r="A246" s="448">
        <v>12150</v>
      </c>
      <c r="B246" s="447">
        <v>12200</v>
      </c>
      <c r="C246" s="1378">
        <f t="shared" si="14"/>
        <v>530</v>
      </c>
      <c r="D246" s="448">
        <f t="shared" si="14"/>
        <v>4140</v>
      </c>
      <c r="E246" s="448">
        <f t="shared" si="14"/>
        <v>4870</v>
      </c>
      <c r="F246" s="447">
        <f t="shared" si="14"/>
        <v>5479</v>
      </c>
      <c r="G246" s="1378">
        <f t="shared" si="14"/>
        <v>649</v>
      </c>
      <c r="H246" s="448">
        <f t="shared" si="14"/>
        <v>4140</v>
      </c>
      <c r="I246" s="448">
        <f t="shared" si="14"/>
        <v>4870</v>
      </c>
      <c r="J246" s="447">
        <f t="shared" si="14"/>
        <v>5479</v>
      </c>
      <c r="K246" s="422"/>
      <c r="L246" s="448">
        <f t="shared" si="13"/>
        <v>12175</v>
      </c>
    </row>
    <row r="247" spans="1:12" ht="13.5">
      <c r="A247" s="448">
        <v>12200</v>
      </c>
      <c r="B247" s="447">
        <v>12250</v>
      </c>
      <c r="C247" s="1378">
        <f t="shared" si="14"/>
        <v>526</v>
      </c>
      <c r="D247" s="448">
        <f t="shared" si="14"/>
        <v>4157</v>
      </c>
      <c r="E247" s="448">
        <f t="shared" si="14"/>
        <v>4890</v>
      </c>
      <c r="F247" s="447">
        <f t="shared" si="14"/>
        <v>5501</v>
      </c>
      <c r="G247" s="1378">
        <f t="shared" si="14"/>
        <v>649</v>
      </c>
      <c r="H247" s="448">
        <f t="shared" si="14"/>
        <v>4157</v>
      </c>
      <c r="I247" s="448">
        <f t="shared" si="14"/>
        <v>4890</v>
      </c>
      <c r="J247" s="447">
        <f t="shared" si="14"/>
        <v>5501</v>
      </c>
      <c r="K247" s="422"/>
      <c r="L247" s="448">
        <f t="shared" si="13"/>
        <v>12225</v>
      </c>
    </row>
    <row r="248" spans="1:12" ht="13.5">
      <c r="A248" s="448">
        <v>12250</v>
      </c>
      <c r="B248" s="447">
        <v>12300</v>
      </c>
      <c r="C248" s="1378">
        <f t="shared" si="14"/>
        <v>522</v>
      </c>
      <c r="D248" s="448">
        <f t="shared" si="14"/>
        <v>4174</v>
      </c>
      <c r="E248" s="448">
        <f t="shared" si="14"/>
        <v>4910</v>
      </c>
      <c r="F248" s="447">
        <f t="shared" si="14"/>
        <v>5524</v>
      </c>
      <c r="G248" s="1378">
        <f t="shared" si="14"/>
        <v>649</v>
      </c>
      <c r="H248" s="448">
        <f t="shared" si="14"/>
        <v>4174</v>
      </c>
      <c r="I248" s="448">
        <f t="shared" si="14"/>
        <v>4910</v>
      </c>
      <c r="J248" s="447">
        <f t="shared" si="14"/>
        <v>5524</v>
      </c>
      <c r="K248" s="422"/>
      <c r="L248" s="448">
        <f t="shared" si="13"/>
        <v>12275</v>
      </c>
    </row>
    <row r="249" spans="1:12" ht="13.5">
      <c r="A249" s="448">
        <v>12300</v>
      </c>
      <c r="B249" s="447">
        <v>12350</v>
      </c>
      <c r="C249" s="1378">
        <f t="shared" si="14"/>
        <v>519</v>
      </c>
      <c r="D249" s="448">
        <f t="shared" si="14"/>
        <v>4191</v>
      </c>
      <c r="E249" s="448">
        <f t="shared" si="14"/>
        <v>4930</v>
      </c>
      <c r="F249" s="447">
        <f t="shared" si="14"/>
        <v>5546</v>
      </c>
      <c r="G249" s="1378">
        <f t="shared" si="14"/>
        <v>649</v>
      </c>
      <c r="H249" s="448">
        <f t="shared" si="14"/>
        <v>4191</v>
      </c>
      <c r="I249" s="448">
        <f t="shared" si="14"/>
        <v>4930</v>
      </c>
      <c r="J249" s="447">
        <f t="shared" si="14"/>
        <v>5546</v>
      </c>
      <c r="K249" s="422"/>
      <c r="L249" s="448">
        <f t="shared" si="13"/>
        <v>12325</v>
      </c>
    </row>
    <row r="250" spans="1:12" ht="13.5">
      <c r="A250" s="448">
        <v>12350</v>
      </c>
      <c r="B250" s="447">
        <v>12400</v>
      </c>
      <c r="C250" s="1378">
        <f t="shared" si="14"/>
        <v>515</v>
      </c>
      <c r="D250" s="448">
        <f t="shared" si="14"/>
        <v>4208</v>
      </c>
      <c r="E250" s="448">
        <f t="shared" si="14"/>
        <v>4950</v>
      </c>
      <c r="F250" s="447">
        <f t="shared" si="14"/>
        <v>5569</v>
      </c>
      <c r="G250" s="1378">
        <f t="shared" si="14"/>
        <v>649</v>
      </c>
      <c r="H250" s="448">
        <f t="shared" si="14"/>
        <v>4208</v>
      </c>
      <c r="I250" s="448">
        <f t="shared" si="14"/>
        <v>4950</v>
      </c>
      <c r="J250" s="447">
        <f t="shared" si="14"/>
        <v>5569</v>
      </c>
      <c r="K250" s="422"/>
      <c r="L250" s="448">
        <f t="shared" si="13"/>
        <v>12375</v>
      </c>
    </row>
    <row r="251" spans="1:12" ht="13.5">
      <c r="A251" s="448">
        <v>12400</v>
      </c>
      <c r="B251" s="447">
        <v>12450</v>
      </c>
      <c r="C251" s="1378">
        <f t="shared" si="14"/>
        <v>511</v>
      </c>
      <c r="D251" s="448">
        <f t="shared" si="14"/>
        <v>4225</v>
      </c>
      <c r="E251" s="448">
        <f t="shared" si="14"/>
        <v>4970</v>
      </c>
      <c r="F251" s="447">
        <f t="shared" si="14"/>
        <v>5591</v>
      </c>
      <c r="G251" s="1378">
        <f t="shared" si="14"/>
        <v>649</v>
      </c>
      <c r="H251" s="448">
        <f t="shared" si="14"/>
        <v>4225</v>
      </c>
      <c r="I251" s="448">
        <f t="shared" si="14"/>
        <v>4970</v>
      </c>
      <c r="J251" s="447">
        <f t="shared" si="14"/>
        <v>5591</v>
      </c>
      <c r="K251" s="422"/>
      <c r="L251" s="448">
        <f t="shared" si="13"/>
        <v>12425</v>
      </c>
    </row>
    <row r="252" spans="1:12" ht="13.5">
      <c r="A252" s="448">
        <v>12450</v>
      </c>
      <c r="B252" s="447">
        <v>12500</v>
      </c>
      <c r="C252" s="1378">
        <f t="shared" si="14"/>
        <v>507</v>
      </c>
      <c r="D252" s="448">
        <f t="shared" si="14"/>
        <v>4242</v>
      </c>
      <c r="E252" s="448">
        <f t="shared" si="14"/>
        <v>4990</v>
      </c>
      <c r="F252" s="447">
        <f t="shared" ref="F252:J302" si="15">IF($L252&gt;Q$5,MAX(0,Q$3+ROUND((Q$9*($L252-Q$5)),0)),IF($L252&gt;Q$4,Q$3,ROUND($L252*Q$7,0)))</f>
        <v>5614</v>
      </c>
      <c r="G252" s="1378">
        <f t="shared" si="15"/>
        <v>649</v>
      </c>
      <c r="H252" s="448">
        <f t="shared" si="15"/>
        <v>4242</v>
      </c>
      <c r="I252" s="448">
        <f t="shared" si="15"/>
        <v>4990</v>
      </c>
      <c r="J252" s="447">
        <f t="shared" si="15"/>
        <v>5614</v>
      </c>
      <c r="K252" s="422"/>
      <c r="L252" s="448">
        <f t="shared" si="13"/>
        <v>12475</v>
      </c>
    </row>
    <row r="253" spans="1:12" ht="13.5">
      <c r="A253" s="448">
        <v>12500</v>
      </c>
      <c r="B253" s="447">
        <v>12550</v>
      </c>
      <c r="C253" s="1378">
        <f t="shared" ref="C253:C284" si="16">IF($L253&gt;N$5,MAX(0,N$3+ROUND((N$9*($L253-N$5)),0)),IF($L253&gt;N$4,N$3,ROUND($L253*N$7,0)))</f>
        <v>503</v>
      </c>
      <c r="D253" s="448">
        <f t="shared" ref="D253:D284" si="17">IF($L253&gt;O$5,MAX(0,O$3+ROUND((O$9*($L253-O$5)),0)),IF($L253&gt;O$4,O$3,ROUND($L253*O$7,0)))</f>
        <v>4259</v>
      </c>
      <c r="E253" s="448">
        <f t="shared" ref="E253:E284" si="18">IF($L253&gt;P$5,MAX(0,P$3+ROUND((P$9*($L253-P$5)),0)),IF($L253&gt;P$4,P$3,ROUND($L253*P$7,0)))</f>
        <v>5010</v>
      </c>
      <c r="F253" s="447">
        <f t="shared" si="15"/>
        <v>5636</v>
      </c>
      <c r="G253" s="1378">
        <f t="shared" si="15"/>
        <v>649</v>
      </c>
      <c r="H253" s="448">
        <f t="shared" si="15"/>
        <v>4259</v>
      </c>
      <c r="I253" s="448">
        <f t="shared" si="15"/>
        <v>5010</v>
      </c>
      <c r="J253" s="447">
        <f t="shared" si="15"/>
        <v>5636</v>
      </c>
      <c r="K253" s="422"/>
      <c r="L253" s="448">
        <f t="shared" si="13"/>
        <v>12525</v>
      </c>
    </row>
    <row r="254" spans="1:12" ht="13.5">
      <c r="A254" s="448">
        <v>12550</v>
      </c>
      <c r="B254" s="447">
        <v>12600</v>
      </c>
      <c r="C254" s="1378">
        <f t="shared" si="16"/>
        <v>499</v>
      </c>
      <c r="D254" s="448">
        <f t="shared" si="17"/>
        <v>4276</v>
      </c>
      <c r="E254" s="448">
        <f t="shared" si="18"/>
        <v>5030</v>
      </c>
      <c r="F254" s="447">
        <f t="shared" si="15"/>
        <v>5659</v>
      </c>
      <c r="G254" s="1378">
        <f t="shared" si="15"/>
        <v>649</v>
      </c>
      <c r="H254" s="448">
        <f t="shared" si="15"/>
        <v>4276</v>
      </c>
      <c r="I254" s="448">
        <f t="shared" si="15"/>
        <v>5030</v>
      </c>
      <c r="J254" s="447">
        <f t="shared" si="15"/>
        <v>5659</v>
      </c>
      <c r="K254" s="422"/>
      <c r="L254" s="448">
        <f t="shared" si="13"/>
        <v>12575</v>
      </c>
    </row>
    <row r="255" spans="1:12" ht="13.5">
      <c r="A255" s="448">
        <v>12600</v>
      </c>
      <c r="B255" s="447">
        <v>12650</v>
      </c>
      <c r="C255" s="1378">
        <f t="shared" si="16"/>
        <v>496</v>
      </c>
      <c r="D255" s="448">
        <f t="shared" si="17"/>
        <v>4293</v>
      </c>
      <c r="E255" s="448">
        <f t="shared" si="18"/>
        <v>5050</v>
      </c>
      <c r="F255" s="447">
        <f t="shared" si="15"/>
        <v>5681</v>
      </c>
      <c r="G255" s="1378">
        <f t="shared" si="15"/>
        <v>649</v>
      </c>
      <c r="H255" s="448">
        <f t="shared" si="15"/>
        <v>4293</v>
      </c>
      <c r="I255" s="448">
        <f t="shared" si="15"/>
        <v>5050</v>
      </c>
      <c r="J255" s="447">
        <f t="shared" si="15"/>
        <v>5681</v>
      </c>
      <c r="K255" s="422"/>
      <c r="L255" s="448">
        <f t="shared" si="13"/>
        <v>12625</v>
      </c>
    </row>
    <row r="256" spans="1:12" ht="13.5">
      <c r="A256" s="448">
        <v>12650</v>
      </c>
      <c r="B256" s="447">
        <v>12700</v>
      </c>
      <c r="C256" s="1378">
        <f t="shared" si="16"/>
        <v>492</v>
      </c>
      <c r="D256" s="448">
        <f t="shared" si="17"/>
        <v>4310</v>
      </c>
      <c r="E256" s="448">
        <f t="shared" si="18"/>
        <v>5070</v>
      </c>
      <c r="F256" s="447">
        <f t="shared" si="15"/>
        <v>5704</v>
      </c>
      <c r="G256" s="1378">
        <f t="shared" si="15"/>
        <v>649</v>
      </c>
      <c r="H256" s="448">
        <f t="shared" si="15"/>
        <v>4310</v>
      </c>
      <c r="I256" s="448">
        <f t="shared" si="15"/>
        <v>5070</v>
      </c>
      <c r="J256" s="447">
        <f t="shared" si="15"/>
        <v>5704</v>
      </c>
      <c r="K256" s="422"/>
      <c r="L256" s="448">
        <f t="shared" si="13"/>
        <v>12675</v>
      </c>
    </row>
    <row r="257" spans="1:12" ht="13.5">
      <c r="A257" s="448">
        <v>12700</v>
      </c>
      <c r="B257" s="447">
        <v>12750</v>
      </c>
      <c r="C257" s="1378">
        <f t="shared" si="16"/>
        <v>488</v>
      </c>
      <c r="D257" s="448">
        <f t="shared" si="17"/>
        <v>4327</v>
      </c>
      <c r="E257" s="448">
        <f t="shared" si="18"/>
        <v>5090</v>
      </c>
      <c r="F257" s="447">
        <f t="shared" si="15"/>
        <v>5726</v>
      </c>
      <c r="G257" s="1378">
        <f t="shared" si="15"/>
        <v>649</v>
      </c>
      <c r="H257" s="448">
        <f t="shared" si="15"/>
        <v>4327</v>
      </c>
      <c r="I257" s="448">
        <f t="shared" si="15"/>
        <v>5090</v>
      </c>
      <c r="J257" s="447">
        <f t="shared" si="15"/>
        <v>5726</v>
      </c>
      <c r="K257" s="422"/>
      <c r="L257" s="448">
        <f t="shared" si="13"/>
        <v>12725</v>
      </c>
    </row>
    <row r="258" spans="1:12" ht="13.5">
      <c r="A258" s="448">
        <v>12750</v>
      </c>
      <c r="B258" s="447">
        <v>12800</v>
      </c>
      <c r="C258" s="1378">
        <f t="shared" si="16"/>
        <v>484</v>
      </c>
      <c r="D258" s="448">
        <f t="shared" si="17"/>
        <v>4328</v>
      </c>
      <c r="E258" s="448">
        <f t="shared" si="18"/>
        <v>5110</v>
      </c>
      <c r="F258" s="447">
        <f t="shared" si="15"/>
        <v>5749</v>
      </c>
      <c r="G258" s="1378">
        <f t="shared" si="15"/>
        <v>649</v>
      </c>
      <c r="H258" s="448">
        <f t="shared" si="15"/>
        <v>4328</v>
      </c>
      <c r="I258" s="448">
        <f t="shared" si="15"/>
        <v>5110</v>
      </c>
      <c r="J258" s="447">
        <f t="shared" si="15"/>
        <v>5749</v>
      </c>
      <c r="K258" s="422"/>
      <c r="L258" s="448">
        <f t="shared" si="13"/>
        <v>12775</v>
      </c>
    </row>
    <row r="259" spans="1:12" ht="13.5">
      <c r="A259" s="448">
        <v>12800</v>
      </c>
      <c r="B259" s="447">
        <v>12850</v>
      </c>
      <c r="C259" s="1378">
        <f t="shared" si="16"/>
        <v>480</v>
      </c>
      <c r="D259" s="448">
        <f t="shared" si="17"/>
        <v>4328</v>
      </c>
      <c r="E259" s="448">
        <f t="shared" si="18"/>
        <v>5130</v>
      </c>
      <c r="F259" s="447">
        <f t="shared" si="15"/>
        <v>5771</v>
      </c>
      <c r="G259" s="1378">
        <f t="shared" si="15"/>
        <v>649</v>
      </c>
      <c r="H259" s="448">
        <f t="shared" si="15"/>
        <v>4328</v>
      </c>
      <c r="I259" s="448">
        <f t="shared" si="15"/>
        <v>5130</v>
      </c>
      <c r="J259" s="447">
        <f t="shared" si="15"/>
        <v>5771</v>
      </c>
      <c r="K259" s="422"/>
      <c r="L259" s="448">
        <f t="shared" si="13"/>
        <v>12825</v>
      </c>
    </row>
    <row r="260" spans="1:12" ht="13.5">
      <c r="A260" s="448">
        <v>12850</v>
      </c>
      <c r="B260" s="447">
        <v>12900</v>
      </c>
      <c r="C260" s="1378">
        <f t="shared" si="16"/>
        <v>476</v>
      </c>
      <c r="D260" s="448">
        <f t="shared" si="17"/>
        <v>4328</v>
      </c>
      <c r="E260" s="448">
        <f t="shared" si="18"/>
        <v>5150</v>
      </c>
      <c r="F260" s="447">
        <f t="shared" si="15"/>
        <v>5794</v>
      </c>
      <c r="G260" s="1378">
        <f t="shared" si="15"/>
        <v>649</v>
      </c>
      <c r="H260" s="448">
        <f t="shared" si="15"/>
        <v>4328</v>
      </c>
      <c r="I260" s="448">
        <f t="shared" si="15"/>
        <v>5150</v>
      </c>
      <c r="J260" s="447">
        <f t="shared" si="15"/>
        <v>5794</v>
      </c>
      <c r="K260" s="422"/>
      <c r="L260" s="448">
        <f t="shared" ref="L260:L323" si="19">ROUND((A260+B260)/2,2)</f>
        <v>12875</v>
      </c>
    </row>
    <row r="261" spans="1:12" ht="13.5">
      <c r="A261" s="448">
        <v>12900</v>
      </c>
      <c r="B261" s="447">
        <v>12950</v>
      </c>
      <c r="C261" s="1378">
        <f t="shared" si="16"/>
        <v>473</v>
      </c>
      <c r="D261" s="448">
        <f t="shared" si="17"/>
        <v>4328</v>
      </c>
      <c r="E261" s="448">
        <f t="shared" si="18"/>
        <v>5170</v>
      </c>
      <c r="F261" s="447">
        <f t="shared" si="15"/>
        <v>5816</v>
      </c>
      <c r="G261" s="1378">
        <f t="shared" si="15"/>
        <v>649</v>
      </c>
      <c r="H261" s="448">
        <f t="shared" si="15"/>
        <v>4328</v>
      </c>
      <c r="I261" s="448">
        <f t="shared" si="15"/>
        <v>5170</v>
      </c>
      <c r="J261" s="447">
        <f t="shared" si="15"/>
        <v>5816</v>
      </c>
      <c r="K261" s="422"/>
      <c r="L261" s="448">
        <f t="shared" si="19"/>
        <v>12925</v>
      </c>
    </row>
    <row r="262" spans="1:12" ht="13.5">
      <c r="A262" s="448">
        <v>12950</v>
      </c>
      <c r="B262" s="447">
        <v>13000</v>
      </c>
      <c r="C262" s="1378">
        <f t="shared" si="16"/>
        <v>469</v>
      </c>
      <c r="D262" s="448">
        <f t="shared" si="17"/>
        <v>4328</v>
      </c>
      <c r="E262" s="448">
        <f t="shared" si="18"/>
        <v>5190</v>
      </c>
      <c r="F262" s="447">
        <f t="shared" si="15"/>
        <v>5839</v>
      </c>
      <c r="G262" s="1378">
        <f t="shared" si="15"/>
        <v>649</v>
      </c>
      <c r="H262" s="448">
        <f t="shared" si="15"/>
        <v>4328</v>
      </c>
      <c r="I262" s="448">
        <f t="shared" si="15"/>
        <v>5190</v>
      </c>
      <c r="J262" s="447">
        <f t="shared" si="15"/>
        <v>5839</v>
      </c>
      <c r="K262" s="422"/>
      <c r="L262" s="448">
        <f t="shared" si="19"/>
        <v>12975</v>
      </c>
    </row>
    <row r="263" spans="1:12" ht="13.5">
      <c r="A263" s="448">
        <v>13000</v>
      </c>
      <c r="B263" s="447">
        <v>13050</v>
      </c>
      <c r="C263" s="1378">
        <f t="shared" si="16"/>
        <v>465</v>
      </c>
      <c r="D263" s="448">
        <f t="shared" si="17"/>
        <v>4328</v>
      </c>
      <c r="E263" s="448">
        <f t="shared" si="18"/>
        <v>5210</v>
      </c>
      <c r="F263" s="447">
        <f t="shared" si="15"/>
        <v>5861</v>
      </c>
      <c r="G263" s="1378">
        <f t="shared" si="15"/>
        <v>649</v>
      </c>
      <c r="H263" s="448">
        <f t="shared" si="15"/>
        <v>4328</v>
      </c>
      <c r="I263" s="448">
        <f t="shared" si="15"/>
        <v>5210</v>
      </c>
      <c r="J263" s="447">
        <f t="shared" si="15"/>
        <v>5861</v>
      </c>
      <c r="K263" s="422"/>
      <c r="L263" s="448">
        <f t="shared" si="19"/>
        <v>13025</v>
      </c>
    </row>
    <row r="264" spans="1:12" ht="13.5">
      <c r="A264" s="448">
        <v>13050</v>
      </c>
      <c r="B264" s="447">
        <v>13100</v>
      </c>
      <c r="C264" s="1378">
        <f t="shared" si="16"/>
        <v>461</v>
      </c>
      <c r="D264" s="448">
        <f t="shared" si="17"/>
        <v>4328</v>
      </c>
      <c r="E264" s="448">
        <f t="shared" si="18"/>
        <v>5230</v>
      </c>
      <c r="F264" s="447">
        <f t="shared" si="15"/>
        <v>5884</v>
      </c>
      <c r="G264" s="1378">
        <f t="shared" si="15"/>
        <v>649</v>
      </c>
      <c r="H264" s="448">
        <f t="shared" si="15"/>
        <v>4328</v>
      </c>
      <c r="I264" s="448">
        <f t="shared" si="15"/>
        <v>5230</v>
      </c>
      <c r="J264" s="447">
        <f t="shared" si="15"/>
        <v>5884</v>
      </c>
      <c r="K264" s="422"/>
      <c r="L264" s="448">
        <f t="shared" si="19"/>
        <v>13075</v>
      </c>
    </row>
    <row r="265" spans="1:12" ht="13.5">
      <c r="A265" s="448">
        <v>13100</v>
      </c>
      <c r="B265" s="447">
        <v>13150</v>
      </c>
      <c r="C265" s="1378">
        <f t="shared" si="16"/>
        <v>457</v>
      </c>
      <c r="D265" s="448">
        <f t="shared" si="17"/>
        <v>4328</v>
      </c>
      <c r="E265" s="448">
        <f t="shared" si="18"/>
        <v>5250</v>
      </c>
      <c r="F265" s="447">
        <f t="shared" si="15"/>
        <v>5906</v>
      </c>
      <c r="G265" s="1378">
        <f t="shared" si="15"/>
        <v>649</v>
      </c>
      <c r="H265" s="448">
        <f t="shared" si="15"/>
        <v>4328</v>
      </c>
      <c r="I265" s="448">
        <f t="shared" si="15"/>
        <v>5250</v>
      </c>
      <c r="J265" s="447">
        <f t="shared" si="15"/>
        <v>5906</v>
      </c>
      <c r="K265" s="422"/>
      <c r="L265" s="448">
        <f t="shared" si="19"/>
        <v>13125</v>
      </c>
    </row>
    <row r="266" spans="1:12" ht="13.5">
      <c r="A266" s="448">
        <v>13150</v>
      </c>
      <c r="B266" s="447">
        <v>13200</v>
      </c>
      <c r="C266" s="1378">
        <f t="shared" si="16"/>
        <v>454</v>
      </c>
      <c r="D266" s="448">
        <f t="shared" si="17"/>
        <v>4328</v>
      </c>
      <c r="E266" s="448">
        <f t="shared" si="18"/>
        <v>5270</v>
      </c>
      <c r="F266" s="447">
        <f t="shared" si="15"/>
        <v>5929</v>
      </c>
      <c r="G266" s="1378">
        <f t="shared" si="15"/>
        <v>649</v>
      </c>
      <c r="H266" s="448">
        <f t="shared" si="15"/>
        <v>4328</v>
      </c>
      <c r="I266" s="448">
        <f t="shared" si="15"/>
        <v>5270</v>
      </c>
      <c r="J266" s="447">
        <f t="shared" si="15"/>
        <v>5929</v>
      </c>
      <c r="K266" s="422"/>
      <c r="L266" s="448">
        <f t="shared" si="19"/>
        <v>13175</v>
      </c>
    </row>
    <row r="267" spans="1:12" ht="13.5">
      <c r="A267" s="448">
        <v>13200</v>
      </c>
      <c r="B267" s="447">
        <v>13250</v>
      </c>
      <c r="C267" s="1378">
        <f t="shared" si="16"/>
        <v>450</v>
      </c>
      <c r="D267" s="448">
        <f t="shared" si="17"/>
        <v>4328</v>
      </c>
      <c r="E267" s="448">
        <f t="shared" si="18"/>
        <v>5290</v>
      </c>
      <c r="F267" s="447">
        <f t="shared" si="15"/>
        <v>5951</v>
      </c>
      <c r="G267" s="1378">
        <f t="shared" si="15"/>
        <v>649</v>
      </c>
      <c r="H267" s="448">
        <f t="shared" si="15"/>
        <v>4328</v>
      </c>
      <c r="I267" s="448">
        <f t="shared" si="15"/>
        <v>5290</v>
      </c>
      <c r="J267" s="447">
        <f t="shared" si="15"/>
        <v>5951</v>
      </c>
      <c r="K267" s="422"/>
      <c r="L267" s="448">
        <f t="shared" si="19"/>
        <v>13225</v>
      </c>
    </row>
    <row r="268" spans="1:12" ht="13.5">
      <c r="A268" s="448">
        <v>13250</v>
      </c>
      <c r="B268" s="447">
        <v>13300</v>
      </c>
      <c r="C268" s="1378">
        <f t="shared" si="16"/>
        <v>446</v>
      </c>
      <c r="D268" s="448">
        <f t="shared" si="17"/>
        <v>4328</v>
      </c>
      <c r="E268" s="448">
        <f t="shared" si="18"/>
        <v>5310</v>
      </c>
      <c r="F268" s="447">
        <f t="shared" si="15"/>
        <v>5974</v>
      </c>
      <c r="G268" s="1378">
        <f t="shared" si="15"/>
        <v>649</v>
      </c>
      <c r="H268" s="448">
        <f t="shared" si="15"/>
        <v>4328</v>
      </c>
      <c r="I268" s="448">
        <f t="shared" si="15"/>
        <v>5310</v>
      </c>
      <c r="J268" s="447">
        <f t="shared" si="15"/>
        <v>5974</v>
      </c>
      <c r="K268" s="422"/>
      <c r="L268" s="448">
        <f t="shared" si="19"/>
        <v>13275</v>
      </c>
    </row>
    <row r="269" spans="1:12" ht="13.5">
      <c r="A269" s="448">
        <v>13300</v>
      </c>
      <c r="B269" s="447">
        <v>13350</v>
      </c>
      <c r="C269" s="1378">
        <f t="shared" si="16"/>
        <v>442</v>
      </c>
      <c r="D269" s="448">
        <f t="shared" si="17"/>
        <v>4328</v>
      </c>
      <c r="E269" s="448">
        <f t="shared" si="18"/>
        <v>5330</v>
      </c>
      <c r="F269" s="447">
        <f t="shared" si="15"/>
        <v>5996</v>
      </c>
      <c r="G269" s="1378">
        <f t="shared" si="15"/>
        <v>649</v>
      </c>
      <c r="H269" s="448">
        <f t="shared" si="15"/>
        <v>4328</v>
      </c>
      <c r="I269" s="448">
        <f t="shared" si="15"/>
        <v>5330</v>
      </c>
      <c r="J269" s="447">
        <f t="shared" si="15"/>
        <v>5996</v>
      </c>
      <c r="K269" s="422"/>
      <c r="L269" s="448">
        <f t="shared" si="19"/>
        <v>13325</v>
      </c>
    </row>
    <row r="270" spans="1:12" ht="13.5">
      <c r="A270" s="448">
        <v>13350</v>
      </c>
      <c r="B270" s="447">
        <v>13400</v>
      </c>
      <c r="C270" s="1378">
        <f t="shared" si="16"/>
        <v>438</v>
      </c>
      <c r="D270" s="448">
        <f t="shared" si="17"/>
        <v>4328</v>
      </c>
      <c r="E270" s="448">
        <f t="shared" si="18"/>
        <v>5350</v>
      </c>
      <c r="F270" s="447">
        <f t="shared" si="15"/>
        <v>6019</v>
      </c>
      <c r="G270" s="1378">
        <f t="shared" si="15"/>
        <v>649</v>
      </c>
      <c r="H270" s="448">
        <f t="shared" si="15"/>
        <v>4328</v>
      </c>
      <c r="I270" s="448">
        <f t="shared" si="15"/>
        <v>5350</v>
      </c>
      <c r="J270" s="447">
        <f t="shared" si="15"/>
        <v>6019</v>
      </c>
      <c r="K270" s="422"/>
      <c r="L270" s="448">
        <f t="shared" si="19"/>
        <v>13375</v>
      </c>
    </row>
    <row r="271" spans="1:12" ht="13.5">
      <c r="A271" s="448">
        <v>13400</v>
      </c>
      <c r="B271" s="447">
        <v>13450</v>
      </c>
      <c r="C271" s="1378">
        <f t="shared" si="16"/>
        <v>434</v>
      </c>
      <c r="D271" s="448">
        <f t="shared" si="17"/>
        <v>4328</v>
      </c>
      <c r="E271" s="448">
        <f t="shared" si="18"/>
        <v>5370</v>
      </c>
      <c r="F271" s="447">
        <f t="shared" si="15"/>
        <v>6041</v>
      </c>
      <c r="G271" s="1378">
        <f t="shared" si="15"/>
        <v>649</v>
      </c>
      <c r="H271" s="448">
        <f t="shared" si="15"/>
        <v>4328</v>
      </c>
      <c r="I271" s="448">
        <f t="shared" si="15"/>
        <v>5370</v>
      </c>
      <c r="J271" s="447">
        <f t="shared" si="15"/>
        <v>6041</v>
      </c>
      <c r="K271" s="422"/>
      <c r="L271" s="448">
        <f t="shared" si="19"/>
        <v>13425</v>
      </c>
    </row>
    <row r="272" spans="1:12" ht="13.5">
      <c r="A272" s="448">
        <v>13450</v>
      </c>
      <c r="B272" s="447">
        <v>13500</v>
      </c>
      <c r="C272" s="1378">
        <f t="shared" si="16"/>
        <v>431</v>
      </c>
      <c r="D272" s="448">
        <f t="shared" si="17"/>
        <v>4328</v>
      </c>
      <c r="E272" s="448">
        <f t="shared" si="18"/>
        <v>5390</v>
      </c>
      <c r="F272" s="447">
        <f t="shared" si="15"/>
        <v>6064</v>
      </c>
      <c r="G272" s="1378">
        <f t="shared" si="15"/>
        <v>649</v>
      </c>
      <c r="H272" s="448">
        <f t="shared" si="15"/>
        <v>4328</v>
      </c>
      <c r="I272" s="448">
        <f t="shared" si="15"/>
        <v>5390</v>
      </c>
      <c r="J272" s="447">
        <f t="shared" si="15"/>
        <v>6064</v>
      </c>
      <c r="K272" s="422"/>
      <c r="L272" s="448">
        <f t="shared" si="19"/>
        <v>13475</v>
      </c>
    </row>
    <row r="273" spans="1:12" ht="13.5">
      <c r="A273" s="448">
        <v>13500</v>
      </c>
      <c r="B273" s="447">
        <v>13550</v>
      </c>
      <c r="C273" s="1378">
        <f t="shared" si="16"/>
        <v>427</v>
      </c>
      <c r="D273" s="448">
        <f t="shared" si="17"/>
        <v>4328</v>
      </c>
      <c r="E273" s="448">
        <f t="shared" si="18"/>
        <v>5410</v>
      </c>
      <c r="F273" s="447">
        <f t="shared" si="15"/>
        <v>6086</v>
      </c>
      <c r="G273" s="1378">
        <f t="shared" si="15"/>
        <v>649</v>
      </c>
      <c r="H273" s="448">
        <f t="shared" si="15"/>
        <v>4328</v>
      </c>
      <c r="I273" s="448">
        <f t="shared" si="15"/>
        <v>5410</v>
      </c>
      <c r="J273" s="447">
        <f t="shared" si="15"/>
        <v>6086</v>
      </c>
      <c r="K273" s="422"/>
      <c r="L273" s="448">
        <f t="shared" si="19"/>
        <v>13525</v>
      </c>
    </row>
    <row r="274" spans="1:12" ht="13.5">
      <c r="A274" s="448">
        <v>13550</v>
      </c>
      <c r="B274" s="447">
        <v>13600</v>
      </c>
      <c r="C274" s="1378">
        <f t="shared" si="16"/>
        <v>423</v>
      </c>
      <c r="D274" s="448">
        <f t="shared" si="17"/>
        <v>4328</v>
      </c>
      <c r="E274" s="448">
        <f t="shared" si="18"/>
        <v>5430</v>
      </c>
      <c r="F274" s="447">
        <f t="shared" si="15"/>
        <v>6109</v>
      </c>
      <c r="G274" s="1378">
        <f t="shared" si="15"/>
        <v>649</v>
      </c>
      <c r="H274" s="448">
        <f t="shared" si="15"/>
        <v>4328</v>
      </c>
      <c r="I274" s="448">
        <f t="shared" si="15"/>
        <v>5430</v>
      </c>
      <c r="J274" s="447">
        <f t="shared" si="15"/>
        <v>6109</v>
      </c>
      <c r="K274" s="422"/>
      <c r="L274" s="448">
        <f t="shared" si="19"/>
        <v>13575</v>
      </c>
    </row>
    <row r="275" spans="1:12" ht="13.5">
      <c r="A275" s="448">
        <v>13600</v>
      </c>
      <c r="B275" s="447">
        <v>13650</v>
      </c>
      <c r="C275" s="1378">
        <f t="shared" si="16"/>
        <v>419</v>
      </c>
      <c r="D275" s="448">
        <f t="shared" si="17"/>
        <v>4328</v>
      </c>
      <c r="E275" s="448">
        <f t="shared" si="18"/>
        <v>5450</v>
      </c>
      <c r="F275" s="447">
        <f t="shared" si="15"/>
        <v>6131</v>
      </c>
      <c r="G275" s="1378">
        <f t="shared" si="15"/>
        <v>649</v>
      </c>
      <c r="H275" s="448">
        <f t="shared" si="15"/>
        <v>4328</v>
      </c>
      <c r="I275" s="448">
        <f t="shared" si="15"/>
        <v>5450</v>
      </c>
      <c r="J275" s="447">
        <f t="shared" si="15"/>
        <v>6131</v>
      </c>
      <c r="K275" s="422"/>
      <c r="L275" s="448">
        <f t="shared" si="19"/>
        <v>13625</v>
      </c>
    </row>
    <row r="276" spans="1:12" ht="13.5">
      <c r="A276" s="448">
        <v>13650</v>
      </c>
      <c r="B276" s="447">
        <v>13700</v>
      </c>
      <c r="C276" s="1378">
        <f t="shared" si="16"/>
        <v>415</v>
      </c>
      <c r="D276" s="448">
        <f t="shared" si="17"/>
        <v>4328</v>
      </c>
      <c r="E276" s="448">
        <f t="shared" si="18"/>
        <v>5470</v>
      </c>
      <c r="F276" s="447">
        <f t="shared" si="15"/>
        <v>6154</v>
      </c>
      <c r="G276" s="1378">
        <f t="shared" si="15"/>
        <v>649</v>
      </c>
      <c r="H276" s="448">
        <f t="shared" si="15"/>
        <v>4328</v>
      </c>
      <c r="I276" s="448">
        <f t="shared" si="15"/>
        <v>5470</v>
      </c>
      <c r="J276" s="447">
        <f t="shared" si="15"/>
        <v>6154</v>
      </c>
      <c r="K276" s="422"/>
      <c r="L276" s="448">
        <f t="shared" si="19"/>
        <v>13675</v>
      </c>
    </row>
    <row r="277" spans="1:12" ht="13.5">
      <c r="A277" s="448">
        <v>13700</v>
      </c>
      <c r="B277" s="447">
        <v>13750</v>
      </c>
      <c r="C277" s="1378">
        <f t="shared" si="16"/>
        <v>411</v>
      </c>
      <c r="D277" s="448">
        <f t="shared" si="17"/>
        <v>4328</v>
      </c>
      <c r="E277" s="448">
        <f t="shared" si="18"/>
        <v>5490</v>
      </c>
      <c r="F277" s="447">
        <f t="shared" si="15"/>
        <v>6176</v>
      </c>
      <c r="G277" s="1378">
        <f t="shared" si="15"/>
        <v>649</v>
      </c>
      <c r="H277" s="448">
        <f t="shared" si="15"/>
        <v>4328</v>
      </c>
      <c r="I277" s="448">
        <f t="shared" si="15"/>
        <v>5490</v>
      </c>
      <c r="J277" s="447">
        <f t="shared" si="15"/>
        <v>6176</v>
      </c>
      <c r="K277" s="422"/>
      <c r="L277" s="448">
        <f t="shared" si="19"/>
        <v>13725</v>
      </c>
    </row>
    <row r="278" spans="1:12" ht="13.5">
      <c r="A278" s="448">
        <v>13750</v>
      </c>
      <c r="B278" s="447">
        <v>13800</v>
      </c>
      <c r="C278" s="1378">
        <f t="shared" si="16"/>
        <v>408</v>
      </c>
      <c r="D278" s="448">
        <f t="shared" si="17"/>
        <v>4328</v>
      </c>
      <c r="E278" s="448">
        <f t="shared" si="18"/>
        <v>5510</v>
      </c>
      <c r="F278" s="447">
        <f t="shared" si="15"/>
        <v>6199</v>
      </c>
      <c r="G278" s="1378">
        <f t="shared" si="15"/>
        <v>649</v>
      </c>
      <c r="H278" s="448">
        <f t="shared" si="15"/>
        <v>4328</v>
      </c>
      <c r="I278" s="448">
        <f t="shared" si="15"/>
        <v>5510</v>
      </c>
      <c r="J278" s="447">
        <f t="shared" si="15"/>
        <v>6199</v>
      </c>
      <c r="K278" s="422"/>
      <c r="L278" s="448">
        <f t="shared" si="19"/>
        <v>13775</v>
      </c>
    </row>
    <row r="279" spans="1:12" ht="13.5">
      <c r="A279" s="448">
        <v>13800</v>
      </c>
      <c r="B279" s="447">
        <v>13850</v>
      </c>
      <c r="C279" s="1378">
        <f t="shared" si="16"/>
        <v>404</v>
      </c>
      <c r="D279" s="448">
        <f t="shared" si="17"/>
        <v>4328</v>
      </c>
      <c r="E279" s="448">
        <f t="shared" si="18"/>
        <v>5530</v>
      </c>
      <c r="F279" s="447">
        <f t="shared" si="15"/>
        <v>6221</v>
      </c>
      <c r="G279" s="1378">
        <f t="shared" si="15"/>
        <v>649</v>
      </c>
      <c r="H279" s="448">
        <f t="shared" si="15"/>
        <v>4328</v>
      </c>
      <c r="I279" s="448">
        <f t="shared" si="15"/>
        <v>5530</v>
      </c>
      <c r="J279" s="447">
        <f t="shared" si="15"/>
        <v>6221</v>
      </c>
      <c r="K279" s="422"/>
      <c r="L279" s="448">
        <f t="shared" si="19"/>
        <v>13825</v>
      </c>
    </row>
    <row r="280" spans="1:12" ht="13.5">
      <c r="A280" s="448">
        <v>13850</v>
      </c>
      <c r="B280" s="447">
        <v>13900</v>
      </c>
      <c r="C280" s="1378">
        <f t="shared" si="16"/>
        <v>400</v>
      </c>
      <c r="D280" s="448">
        <f t="shared" si="17"/>
        <v>4328</v>
      </c>
      <c r="E280" s="448">
        <f t="shared" si="18"/>
        <v>5550</v>
      </c>
      <c r="F280" s="447">
        <f t="shared" si="15"/>
        <v>6244</v>
      </c>
      <c r="G280" s="1378">
        <f t="shared" si="15"/>
        <v>649</v>
      </c>
      <c r="H280" s="448">
        <f t="shared" si="15"/>
        <v>4328</v>
      </c>
      <c r="I280" s="448">
        <f t="shared" si="15"/>
        <v>5550</v>
      </c>
      <c r="J280" s="447">
        <f t="shared" si="15"/>
        <v>6244</v>
      </c>
      <c r="K280" s="422"/>
      <c r="L280" s="448">
        <f t="shared" si="19"/>
        <v>13875</v>
      </c>
    </row>
    <row r="281" spans="1:12" ht="13.5">
      <c r="A281" s="448">
        <v>13900</v>
      </c>
      <c r="B281" s="447">
        <v>13950</v>
      </c>
      <c r="C281" s="1378">
        <f t="shared" si="16"/>
        <v>396</v>
      </c>
      <c r="D281" s="448">
        <f t="shared" si="17"/>
        <v>4328</v>
      </c>
      <c r="E281" s="448">
        <f t="shared" si="18"/>
        <v>5570</v>
      </c>
      <c r="F281" s="447">
        <f t="shared" si="15"/>
        <v>6266</v>
      </c>
      <c r="G281" s="1378">
        <f t="shared" si="15"/>
        <v>649</v>
      </c>
      <c r="H281" s="448">
        <f t="shared" si="15"/>
        <v>4328</v>
      </c>
      <c r="I281" s="448">
        <f t="shared" si="15"/>
        <v>5570</v>
      </c>
      <c r="J281" s="447">
        <f t="shared" si="15"/>
        <v>6266</v>
      </c>
      <c r="K281" s="422"/>
      <c r="L281" s="448">
        <f t="shared" si="19"/>
        <v>13925</v>
      </c>
    </row>
    <row r="282" spans="1:12" ht="13.5">
      <c r="A282" s="448">
        <v>13950</v>
      </c>
      <c r="B282" s="447">
        <v>14000</v>
      </c>
      <c r="C282" s="1378">
        <f t="shared" si="16"/>
        <v>392</v>
      </c>
      <c r="D282" s="448">
        <f t="shared" si="17"/>
        <v>4328</v>
      </c>
      <c r="E282" s="448">
        <f t="shared" si="18"/>
        <v>5590</v>
      </c>
      <c r="F282" s="447">
        <f t="shared" si="15"/>
        <v>6289</v>
      </c>
      <c r="G282" s="1378">
        <f t="shared" si="15"/>
        <v>649</v>
      </c>
      <c r="H282" s="448">
        <f t="shared" si="15"/>
        <v>4328</v>
      </c>
      <c r="I282" s="448">
        <f t="shared" si="15"/>
        <v>5590</v>
      </c>
      <c r="J282" s="447">
        <f t="shared" si="15"/>
        <v>6289</v>
      </c>
      <c r="K282" s="422"/>
      <c r="L282" s="448">
        <f t="shared" si="19"/>
        <v>13975</v>
      </c>
    </row>
    <row r="283" spans="1:12" ht="13.5">
      <c r="A283" s="448">
        <v>14000</v>
      </c>
      <c r="B283" s="447">
        <v>14050</v>
      </c>
      <c r="C283" s="1378">
        <f t="shared" si="16"/>
        <v>389</v>
      </c>
      <c r="D283" s="448">
        <f t="shared" si="17"/>
        <v>4328</v>
      </c>
      <c r="E283" s="448">
        <f t="shared" si="18"/>
        <v>5610</v>
      </c>
      <c r="F283" s="447">
        <f t="shared" si="15"/>
        <v>6311</v>
      </c>
      <c r="G283" s="1378">
        <f t="shared" si="15"/>
        <v>649</v>
      </c>
      <c r="H283" s="448">
        <f t="shared" si="15"/>
        <v>4328</v>
      </c>
      <c r="I283" s="448">
        <f t="shared" si="15"/>
        <v>5610</v>
      </c>
      <c r="J283" s="447">
        <f t="shared" si="15"/>
        <v>6311</v>
      </c>
      <c r="K283" s="422"/>
      <c r="L283" s="448">
        <f t="shared" si="19"/>
        <v>14025</v>
      </c>
    </row>
    <row r="284" spans="1:12" ht="13.5">
      <c r="A284" s="448">
        <v>14050</v>
      </c>
      <c r="B284" s="447">
        <v>14100</v>
      </c>
      <c r="C284" s="1378">
        <f t="shared" si="16"/>
        <v>385</v>
      </c>
      <c r="D284" s="448">
        <f t="shared" si="17"/>
        <v>4328</v>
      </c>
      <c r="E284" s="448">
        <f t="shared" si="18"/>
        <v>5630</v>
      </c>
      <c r="F284" s="447">
        <f t="shared" si="15"/>
        <v>6334</v>
      </c>
      <c r="G284" s="1378">
        <f t="shared" si="15"/>
        <v>649</v>
      </c>
      <c r="H284" s="448">
        <f t="shared" si="15"/>
        <v>4328</v>
      </c>
      <c r="I284" s="448">
        <f t="shared" si="15"/>
        <v>5630</v>
      </c>
      <c r="J284" s="447">
        <f t="shared" si="15"/>
        <v>6334</v>
      </c>
      <c r="K284" s="422"/>
      <c r="L284" s="448">
        <f t="shared" si="19"/>
        <v>14075</v>
      </c>
    </row>
    <row r="285" spans="1:12" ht="13.5">
      <c r="A285" s="448">
        <v>14100</v>
      </c>
      <c r="B285" s="447">
        <v>14150</v>
      </c>
      <c r="C285" s="1378">
        <f t="shared" ref="C285:C315" si="20">IF($L285&gt;N$5,MAX(0,N$3+ROUND((N$9*($L285-N$5)),0)),IF($L285&gt;N$4,N$3,ROUND($L285*N$7,0)))</f>
        <v>381</v>
      </c>
      <c r="D285" s="448">
        <f t="shared" ref="D285:D315" si="21">IF($L285&gt;O$5,MAX(0,O$3+ROUND((O$9*($L285-O$5)),0)),IF($L285&gt;O$4,O$3,ROUND($L285*O$7,0)))</f>
        <v>4328</v>
      </c>
      <c r="E285" s="448">
        <f t="shared" ref="E285:E315" si="22">IF($L285&gt;P$5,MAX(0,P$3+ROUND((P$9*($L285-P$5)),0)),IF($L285&gt;P$4,P$3,ROUND($L285*P$7,0)))</f>
        <v>5650</v>
      </c>
      <c r="F285" s="447">
        <f t="shared" si="15"/>
        <v>6356</v>
      </c>
      <c r="G285" s="1378">
        <f t="shared" si="15"/>
        <v>649</v>
      </c>
      <c r="H285" s="448">
        <f t="shared" si="15"/>
        <v>4328</v>
      </c>
      <c r="I285" s="448">
        <f t="shared" si="15"/>
        <v>5650</v>
      </c>
      <c r="J285" s="447">
        <f t="shared" si="15"/>
        <v>6356</v>
      </c>
      <c r="K285" s="422"/>
      <c r="L285" s="448">
        <f t="shared" si="19"/>
        <v>14125</v>
      </c>
    </row>
    <row r="286" spans="1:12" ht="13.5">
      <c r="A286" s="448">
        <v>14150</v>
      </c>
      <c r="B286" s="447">
        <v>14200</v>
      </c>
      <c r="C286" s="1378">
        <f t="shared" si="20"/>
        <v>377</v>
      </c>
      <c r="D286" s="448">
        <f t="shared" si="21"/>
        <v>4328</v>
      </c>
      <c r="E286" s="448">
        <f t="shared" si="22"/>
        <v>5670</v>
      </c>
      <c r="F286" s="447">
        <f t="shared" si="15"/>
        <v>6379</v>
      </c>
      <c r="G286" s="1378">
        <f t="shared" si="15"/>
        <v>649</v>
      </c>
      <c r="H286" s="448">
        <f t="shared" si="15"/>
        <v>4328</v>
      </c>
      <c r="I286" s="448">
        <f t="shared" si="15"/>
        <v>5670</v>
      </c>
      <c r="J286" s="447">
        <f t="shared" si="15"/>
        <v>6379</v>
      </c>
      <c r="K286" s="422"/>
      <c r="L286" s="448">
        <f t="shared" si="19"/>
        <v>14175</v>
      </c>
    </row>
    <row r="287" spans="1:12" ht="13.5">
      <c r="A287" s="448">
        <v>14200</v>
      </c>
      <c r="B287" s="447">
        <v>14250</v>
      </c>
      <c r="C287" s="1378">
        <f t="shared" si="20"/>
        <v>373</v>
      </c>
      <c r="D287" s="448">
        <f t="shared" si="21"/>
        <v>4328</v>
      </c>
      <c r="E287" s="448">
        <f t="shared" si="22"/>
        <v>5690</v>
      </c>
      <c r="F287" s="447">
        <f t="shared" si="15"/>
        <v>6401</v>
      </c>
      <c r="G287" s="1378">
        <f t="shared" si="15"/>
        <v>649</v>
      </c>
      <c r="H287" s="448">
        <f t="shared" si="15"/>
        <v>4328</v>
      </c>
      <c r="I287" s="448">
        <f t="shared" si="15"/>
        <v>5690</v>
      </c>
      <c r="J287" s="447">
        <f t="shared" si="15"/>
        <v>6401</v>
      </c>
      <c r="K287" s="422"/>
      <c r="L287" s="448">
        <f t="shared" si="19"/>
        <v>14225</v>
      </c>
    </row>
    <row r="288" spans="1:12" ht="13.5">
      <c r="A288" s="448">
        <v>14250</v>
      </c>
      <c r="B288" s="447">
        <v>14300</v>
      </c>
      <c r="C288" s="1378">
        <f t="shared" si="20"/>
        <v>369</v>
      </c>
      <c r="D288" s="448">
        <f t="shared" si="21"/>
        <v>4328</v>
      </c>
      <c r="E288" s="448">
        <f t="shared" si="22"/>
        <v>5710</v>
      </c>
      <c r="F288" s="447">
        <f t="shared" si="15"/>
        <v>6424</v>
      </c>
      <c r="G288" s="1378">
        <f t="shared" si="15"/>
        <v>649</v>
      </c>
      <c r="H288" s="448">
        <f t="shared" si="15"/>
        <v>4328</v>
      </c>
      <c r="I288" s="448">
        <f t="shared" si="15"/>
        <v>5710</v>
      </c>
      <c r="J288" s="447">
        <f t="shared" si="15"/>
        <v>6424</v>
      </c>
      <c r="K288" s="422"/>
      <c r="L288" s="448">
        <f t="shared" si="19"/>
        <v>14275</v>
      </c>
    </row>
    <row r="289" spans="1:12" ht="13.5">
      <c r="A289" s="448">
        <v>14300</v>
      </c>
      <c r="B289" s="447">
        <v>14350</v>
      </c>
      <c r="C289" s="1378">
        <f t="shared" si="20"/>
        <v>366</v>
      </c>
      <c r="D289" s="448">
        <f t="shared" si="21"/>
        <v>4328</v>
      </c>
      <c r="E289" s="448">
        <f t="shared" si="22"/>
        <v>5730</v>
      </c>
      <c r="F289" s="447">
        <f t="shared" si="15"/>
        <v>6446</v>
      </c>
      <c r="G289" s="1378">
        <f t="shared" si="15"/>
        <v>649</v>
      </c>
      <c r="H289" s="448">
        <f t="shared" si="15"/>
        <v>4328</v>
      </c>
      <c r="I289" s="448">
        <f t="shared" si="15"/>
        <v>5730</v>
      </c>
      <c r="J289" s="447">
        <f t="shared" si="15"/>
        <v>6446</v>
      </c>
      <c r="K289" s="422"/>
      <c r="L289" s="448">
        <f t="shared" si="19"/>
        <v>14325</v>
      </c>
    </row>
    <row r="290" spans="1:12" ht="13.5">
      <c r="A290" s="448">
        <v>14350</v>
      </c>
      <c r="B290" s="447">
        <v>14400</v>
      </c>
      <c r="C290" s="1378">
        <f t="shared" si="20"/>
        <v>362</v>
      </c>
      <c r="D290" s="448">
        <f t="shared" si="21"/>
        <v>4328</v>
      </c>
      <c r="E290" s="448">
        <f t="shared" si="22"/>
        <v>5750</v>
      </c>
      <c r="F290" s="447">
        <f t="shared" si="15"/>
        <v>6469</v>
      </c>
      <c r="G290" s="1378">
        <f t="shared" si="15"/>
        <v>649</v>
      </c>
      <c r="H290" s="448">
        <f t="shared" si="15"/>
        <v>4328</v>
      </c>
      <c r="I290" s="448">
        <f t="shared" si="15"/>
        <v>5750</v>
      </c>
      <c r="J290" s="447">
        <f t="shared" si="15"/>
        <v>6469</v>
      </c>
      <c r="K290" s="422"/>
      <c r="L290" s="448">
        <f t="shared" si="19"/>
        <v>14375</v>
      </c>
    </row>
    <row r="291" spans="1:12" ht="13.5">
      <c r="A291" s="448">
        <v>14400</v>
      </c>
      <c r="B291" s="447">
        <v>14450</v>
      </c>
      <c r="C291" s="1378">
        <f t="shared" si="20"/>
        <v>358</v>
      </c>
      <c r="D291" s="448">
        <f t="shared" si="21"/>
        <v>4328</v>
      </c>
      <c r="E291" s="448">
        <f t="shared" si="22"/>
        <v>5770</v>
      </c>
      <c r="F291" s="447">
        <f t="shared" si="15"/>
        <v>6491</v>
      </c>
      <c r="G291" s="1378">
        <f t="shared" si="15"/>
        <v>649</v>
      </c>
      <c r="H291" s="448">
        <f t="shared" si="15"/>
        <v>4328</v>
      </c>
      <c r="I291" s="448">
        <f t="shared" si="15"/>
        <v>5770</v>
      </c>
      <c r="J291" s="447">
        <f t="shared" si="15"/>
        <v>6491</v>
      </c>
      <c r="K291" s="422"/>
      <c r="L291" s="448">
        <f t="shared" si="19"/>
        <v>14425</v>
      </c>
    </row>
    <row r="292" spans="1:12" ht="13.5">
      <c r="A292" s="448">
        <v>14450</v>
      </c>
      <c r="B292" s="447">
        <v>14500</v>
      </c>
      <c r="C292" s="1378">
        <f t="shared" si="20"/>
        <v>354</v>
      </c>
      <c r="D292" s="448">
        <f t="shared" si="21"/>
        <v>4328</v>
      </c>
      <c r="E292" s="448">
        <f t="shared" si="22"/>
        <v>5790</v>
      </c>
      <c r="F292" s="447">
        <f t="shared" si="15"/>
        <v>6514</v>
      </c>
      <c r="G292" s="1378">
        <f t="shared" si="15"/>
        <v>649</v>
      </c>
      <c r="H292" s="448">
        <f t="shared" si="15"/>
        <v>4328</v>
      </c>
      <c r="I292" s="448">
        <f t="shared" si="15"/>
        <v>5790</v>
      </c>
      <c r="J292" s="447">
        <f t="shared" si="15"/>
        <v>6514</v>
      </c>
      <c r="K292" s="422"/>
      <c r="L292" s="448">
        <f t="shared" si="19"/>
        <v>14475</v>
      </c>
    </row>
    <row r="293" spans="1:12" ht="13.5">
      <c r="A293" s="448">
        <v>14500</v>
      </c>
      <c r="B293" s="447">
        <v>14550</v>
      </c>
      <c r="C293" s="1378">
        <f t="shared" si="20"/>
        <v>350</v>
      </c>
      <c r="D293" s="448">
        <f t="shared" si="21"/>
        <v>4328</v>
      </c>
      <c r="E293" s="448">
        <f t="shared" si="22"/>
        <v>5810</v>
      </c>
      <c r="F293" s="447">
        <f t="shared" si="15"/>
        <v>6536</v>
      </c>
      <c r="G293" s="1378">
        <f t="shared" si="15"/>
        <v>649</v>
      </c>
      <c r="H293" s="448">
        <f t="shared" si="15"/>
        <v>4328</v>
      </c>
      <c r="I293" s="448">
        <f t="shared" si="15"/>
        <v>5810</v>
      </c>
      <c r="J293" s="447">
        <f t="shared" si="15"/>
        <v>6536</v>
      </c>
      <c r="K293" s="422"/>
      <c r="L293" s="448">
        <f t="shared" si="19"/>
        <v>14525</v>
      </c>
    </row>
    <row r="294" spans="1:12" ht="13.5">
      <c r="A294" s="448">
        <v>14550</v>
      </c>
      <c r="B294" s="447">
        <v>14600</v>
      </c>
      <c r="C294" s="1378">
        <f t="shared" si="20"/>
        <v>346</v>
      </c>
      <c r="D294" s="448">
        <f t="shared" si="21"/>
        <v>4328</v>
      </c>
      <c r="E294" s="448">
        <f t="shared" si="22"/>
        <v>5830</v>
      </c>
      <c r="F294" s="447">
        <f t="shared" si="15"/>
        <v>6559</v>
      </c>
      <c r="G294" s="1378">
        <f t="shared" si="15"/>
        <v>649</v>
      </c>
      <c r="H294" s="448">
        <f t="shared" si="15"/>
        <v>4328</v>
      </c>
      <c r="I294" s="448">
        <f t="shared" si="15"/>
        <v>5830</v>
      </c>
      <c r="J294" s="447">
        <f t="shared" si="15"/>
        <v>6559</v>
      </c>
      <c r="K294" s="422"/>
      <c r="L294" s="448">
        <f t="shared" si="19"/>
        <v>14575</v>
      </c>
    </row>
    <row r="295" spans="1:12" ht="13.5">
      <c r="A295" s="448">
        <v>14600</v>
      </c>
      <c r="B295" s="447">
        <v>14650</v>
      </c>
      <c r="C295" s="1378">
        <f t="shared" si="20"/>
        <v>343</v>
      </c>
      <c r="D295" s="448">
        <f t="shared" si="21"/>
        <v>4328</v>
      </c>
      <c r="E295" s="448">
        <f t="shared" si="22"/>
        <v>5850</v>
      </c>
      <c r="F295" s="447">
        <f t="shared" si="15"/>
        <v>6581</v>
      </c>
      <c r="G295" s="1378">
        <f t="shared" si="15"/>
        <v>649</v>
      </c>
      <c r="H295" s="448">
        <f t="shared" si="15"/>
        <v>4328</v>
      </c>
      <c r="I295" s="448">
        <f t="shared" si="15"/>
        <v>5850</v>
      </c>
      <c r="J295" s="447">
        <f t="shared" si="15"/>
        <v>6581</v>
      </c>
      <c r="K295" s="422"/>
      <c r="L295" s="448">
        <f t="shared" si="19"/>
        <v>14625</v>
      </c>
    </row>
    <row r="296" spans="1:12" ht="13.5">
      <c r="A296" s="448">
        <v>14650</v>
      </c>
      <c r="B296" s="447">
        <v>14700</v>
      </c>
      <c r="C296" s="1378">
        <f t="shared" si="20"/>
        <v>339</v>
      </c>
      <c r="D296" s="448">
        <f t="shared" si="21"/>
        <v>4328</v>
      </c>
      <c r="E296" s="448">
        <f t="shared" si="22"/>
        <v>5870</v>
      </c>
      <c r="F296" s="447">
        <f t="shared" si="15"/>
        <v>6604</v>
      </c>
      <c r="G296" s="1378">
        <f t="shared" si="15"/>
        <v>649</v>
      </c>
      <c r="H296" s="448">
        <f t="shared" si="15"/>
        <v>4328</v>
      </c>
      <c r="I296" s="448">
        <f t="shared" si="15"/>
        <v>5870</v>
      </c>
      <c r="J296" s="447">
        <f t="shared" si="15"/>
        <v>6604</v>
      </c>
      <c r="K296" s="422"/>
      <c r="L296" s="448">
        <f t="shared" si="19"/>
        <v>14675</v>
      </c>
    </row>
    <row r="297" spans="1:12" ht="13.5">
      <c r="A297" s="448">
        <v>14700</v>
      </c>
      <c r="B297" s="447">
        <v>14750</v>
      </c>
      <c r="C297" s="1378">
        <f t="shared" si="20"/>
        <v>335</v>
      </c>
      <c r="D297" s="448">
        <f t="shared" si="21"/>
        <v>4328</v>
      </c>
      <c r="E297" s="448">
        <f t="shared" si="22"/>
        <v>5890</v>
      </c>
      <c r="F297" s="447">
        <f t="shared" si="15"/>
        <v>6626</v>
      </c>
      <c r="G297" s="1378">
        <f t="shared" si="15"/>
        <v>649</v>
      </c>
      <c r="H297" s="448">
        <f t="shared" si="15"/>
        <v>4328</v>
      </c>
      <c r="I297" s="448">
        <f t="shared" si="15"/>
        <v>5890</v>
      </c>
      <c r="J297" s="447">
        <f t="shared" si="15"/>
        <v>6626</v>
      </c>
      <c r="K297" s="422"/>
      <c r="L297" s="448">
        <f t="shared" si="19"/>
        <v>14725</v>
      </c>
    </row>
    <row r="298" spans="1:12" ht="13.5">
      <c r="A298" s="448">
        <v>14750</v>
      </c>
      <c r="B298" s="447">
        <v>14800</v>
      </c>
      <c r="C298" s="1378">
        <f t="shared" si="20"/>
        <v>331</v>
      </c>
      <c r="D298" s="448">
        <f t="shared" si="21"/>
        <v>4328</v>
      </c>
      <c r="E298" s="448">
        <f t="shared" si="22"/>
        <v>5910</v>
      </c>
      <c r="F298" s="447">
        <f t="shared" si="15"/>
        <v>6649</v>
      </c>
      <c r="G298" s="1378">
        <f t="shared" si="15"/>
        <v>649</v>
      </c>
      <c r="H298" s="448">
        <f t="shared" si="15"/>
        <v>4328</v>
      </c>
      <c r="I298" s="448">
        <f t="shared" si="15"/>
        <v>5910</v>
      </c>
      <c r="J298" s="447">
        <f t="shared" si="15"/>
        <v>6649</v>
      </c>
      <c r="K298" s="422"/>
      <c r="L298" s="448">
        <f t="shared" si="19"/>
        <v>14775</v>
      </c>
    </row>
    <row r="299" spans="1:12" ht="13.5">
      <c r="A299" s="448">
        <v>14800</v>
      </c>
      <c r="B299" s="447">
        <v>14850</v>
      </c>
      <c r="C299" s="1378">
        <f t="shared" si="20"/>
        <v>327</v>
      </c>
      <c r="D299" s="448">
        <f t="shared" si="21"/>
        <v>4328</v>
      </c>
      <c r="E299" s="448">
        <f t="shared" si="22"/>
        <v>5930</v>
      </c>
      <c r="F299" s="447">
        <f t="shared" si="15"/>
        <v>6671</v>
      </c>
      <c r="G299" s="1378">
        <f t="shared" si="15"/>
        <v>649</v>
      </c>
      <c r="H299" s="448">
        <f t="shared" si="15"/>
        <v>4328</v>
      </c>
      <c r="I299" s="448">
        <f t="shared" si="15"/>
        <v>5930</v>
      </c>
      <c r="J299" s="447">
        <f t="shared" si="15"/>
        <v>6671</v>
      </c>
      <c r="K299" s="422"/>
      <c r="L299" s="448">
        <f t="shared" si="19"/>
        <v>14825</v>
      </c>
    </row>
    <row r="300" spans="1:12" ht="13.5">
      <c r="A300" s="448">
        <v>14850</v>
      </c>
      <c r="B300" s="447">
        <v>14900</v>
      </c>
      <c r="C300" s="1378">
        <f t="shared" si="20"/>
        <v>324</v>
      </c>
      <c r="D300" s="448">
        <f t="shared" si="21"/>
        <v>4328</v>
      </c>
      <c r="E300" s="448">
        <f t="shared" si="22"/>
        <v>5950</v>
      </c>
      <c r="F300" s="447">
        <f t="shared" si="15"/>
        <v>6694</v>
      </c>
      <c r="G300" s="1378">
        <f t="shared" si="15"/>
        <v>649</v>
      </c>
      <c r="H300" s="448">
        <f t="shared" si="15"/>
        <v>4328</v>
      </c>
      <c r="I300" s="448">
        <f t="shared" si="15"/>
        <v>5950</v>
      </c>
      <c r="J300" s="447">
        <f t="shared" si="15"/>
        <v>6694</v>
      </c>
      <c r="K300" s="422"/>
      <c r="L300" s="448">
        <f t="shared" si="19"/>
        <v>14875</v>
      </c>
    </row>
    <row r="301" spans="1:12" ht="13.5">
      <c r="A301" s="448">
        <v>14900</v>
      </c>
      <c r="B301" s="447">
        <v>14950</v>
      </c>
      <c r="C301" s="1378">
        <f t="shared" si="20"/>
        <v>320</v>
      </c>
      <c r="D301" s="448">
        <f t="shared" si="21"/>
        <v>4328</v>
      </c>
      <c r="E301" s="448">
        <f t="shared" si="22"/>
        <v>5970</v>
      </c>
      <c r="F301" s="447">
        <f t="shared" si="15"/>
        <v>6716</v>
      </c>
      <c r="G301" s="1378">
        <f t="shared" si="15"/>
        <v>649</v>
      </c>
      <c r="H301" s="448">
        <f t="shared" si="15"/>
        <v>4328</v>
      </c>
      <c r="I301" s="448">
        <f t="shared" si="15"/>
        <v>5970</v>
      </c>
      <c r="J301" s="447">
        <f t="shared" si="15"/>
        <v>6716</v>
      </c>
      <c r="K301" s="422"/>
      <c r="L301" s="448">
        <f t="shared" si="19"/>
        <v>14925</v>
      </c>
    </row>
    <row r="302" spans="1:12" ht="13.5">
      <c r="A302" s="448">
        <v>14950</v>
      </c>
      <c r="B302" s="447">
        <v>15000</v>
      </c>
      <c r="C302" s="1378">
        <f t="shared" si="20"/>
        <v>316</v>
      </c>
      <c r="D302" s="448">
        <f t="shared" si="21"/>
        <v>4328</v>
      </c>
      <c r="E302" s="448">
        <f t="shared" si="22"/>
        <v>5990</v>
      </c>
      <c r="F302" s="447">
        <f t="shared" si="15"/>
        <v>6739</v>
      </c>
      <c r="G302" s="1378">
        <f t="shared" si="15"/>
        <v>649</v>
      </c>
      <c r="H302" s="448">
        <f t="shared" si="15"/>
        <v>4328</v>
      </c>
      <c r="I302" s="448">
        <f t="shared" si="15"/>
        <v>5990</v>
      </c>
      <c r="J302" s="447">
        <f t="shared" si="15"/>
        <v>6739</v>
      </c>
      <c r="K302" s="422"/>
      <c r="L302" s="448">
        <f t="shared" si="19"/>
        <v>14975</v>
      </c>
    </row>
    <row r="303" spans="1:12" ht="13.5">
      <c r="A303" s="448">
        <v>15000</v>
      </c>
      <c r="B303" s="447">
        <v>15050</v>
      </c>
      <c r="C303" s="1378">
        <f t="shared" si="20"/>
        <v>312</v>
      </c>
      <c r="D303" s="448">
        <f t="shared" si="21"/>
        <v>4328</v>
      </c>
      <c r="E303" s="448">
        <f t="shared" si="22"/>
        <v>6010</v>
      </c>
      <c r="F303" s="447">
        <f t="shared" ref="F303:F315" si="23">IF($L303&gt;Q$5,MAX(0,Q$3+ROUND((Q$9*($L303-Q$5)),0)),IF($L303&gt;Q$4,Q$3,ROUND($L303*Q$7,0)))</f>
        <v>6761</v>
      </c>
      <c r="G303" s="1378">
        <f t="shared" ref="G303:G315" si="24">IF($L303&gt;R$5,MAX(0,R$3+ROUND((R$9*($L303-R$5)),0)),IF($L303&gt;R$4,R$3,ROUND($L303*R$7,0)))</f>
        <v>649</v>
      </c>
      <c r="H303" s="448">
        <f t="shared" ref="H303:H315" si="25">IF($L303&gt;S$5,MAX(0,S$3+ROUND((S$9*($L303-S$5)),0)),IF($L303&gt;S$4,S$3,ROUND($L303*S$7,0)))</f>
        <v>4328</v>
      </c>
      <c r="I303" s="448">
        <f t="shared" ref="I303:I315" si="26">IF($L303&gt;T$5,MAX(0,T$3+ROUND((T$9*($L303-T$5)),0)),IF($L303&gt;T$4,T$3,ROUND($L303*T$7,0)))</f>
        <v>6010</v>
      </c>
      <c r="J303" s="447">
        <f t="shared" ref="J303:J315" si="27">IF($L303&gt;U$5,MAX(0,U$3+ROUND((U$9*($L303-U$5)),0)),IF($L303&gt;U$4,U$3,ROUND($L303*U$7,0)))</f>
        <v>6761</v>
      </c>
      <c r="K303" s="422"/>
      <c r="L303" s="448">
        <f t="shared" si="19"/>
        <v>15025</v>
      </c>
    </row>
    <row r="304" spans="1:12" ht="13.5">
      <c r="A304" s="448">
        <v>15050</v>
      </c>
      <c r="B304" s="447">
        <v>15100</v>
      </c>
      <c r="C304" s="1378">
        <f t="shared" si="20"/>
        <v>308</v>
      </c>
      <c r="D304" s="448">
        <f t="shared" si="21"/>
        <v>4328</v>
      </c>
      <c r="E304" s="448">
        <f t="shared" si="22"/>
        <v>6030</v>
      </c>
      <c r="F304" s="447">
        <f t="shared" si="23"/>
        <v>6784</v>
      </c>
      <c r="G304" s="1378">
        <f t="shared" si="24"/>
        <v>649</v>
      </c>
      <c r="H304" s="448">
        <f t="shared" si="25"/>
        <v>4328</v>
      </c>
      <c r="I304" s="448">
        <f t="shared" si="26"/>
        <v>6030</v>
      </c>
      <c r="J304" s="447">
        <f t="shared" si="27"/>
        <v>6784</v>
      </c>
      <c r="K304" s="422"/>
      <c r="L304" s="448">
        <f t="shared" si="19"/>
        <v>15075</v>
      </c>
    </row>
    <row r="305" spans="1:12" ht="13.5">
      <c r="A305" s="448">
        <v>15100</v>
      </c>
      <c r="B305" s="447">
        <v>15150</v>
      </c>
      <c r="C305" s="1378">
        <f t="shared" si="20"/>
        <v>304</v>
      </c>
      <c r="D305" s="448">
        <f t="shared" si="21"/>
        <v>4328</v>
      </c>
      <c r="E305" s="448">
        <f t="shared" si="22"/>
        <v>6050</v>
      </c>
      <c r="F305" s="447">
        <f t="shared" si="23"/>
        <v>6806</v>
      </c>
      <c r="G305" s="1378">
        <f t="shared" si="24"/>
        <v>649</v>
      </c>
      <c r="H305" s="448">
        <f t="shared" si="25"/>
        <v>4328</v>
      </c>
      <c r="I305" s="448">
        <f t="shared" si="26"/>
        <v>6050</v>
      </c>
      <c r="J305" s="447">
        <f t="shared" si="27"/>
        <v>6806</v>
      </c>
      <c r="K305" s="422"/>
      <c r="L305" s="448">
        <f t="shared" si="19"/>
        <v>15125</v>
      </c>
    </row>
    <row r="306" spans="1:12" ht="13.5">
      <c r="A306" s="448">
        <v>15150</v>
      </c>
      <c r="B306" s="447">
        <v>15200</v>
      </c>
      <c r="C306" s="1378">
        <f t="shared" si="20"/>
        <v>301</v>
      </c>
      <c r="D306" s="448">
        <f t="shared" si="21"/>
        <v>4328</v>
      </c>
      <c r="E306" s="448">
        <f t="shared" si="22"/>
        <v>6070</v>
      </c>
      <c r="F306" s="447">
        <f t="shared" si="23"/>
        <v>6829</v>
      </c>
      <c r="G306" s="1378">
        <f t="shared" si="24"/>
        <v>649</v>
      </c>
      <c r="H306" s="448">
        <f t="shared" si="25"/>
        <v>4328</v>
      </c>
      <c r="I306" s="448">
        <f t="shared" si="26"/>
        <v>6070</v>
      </c>
      <c r="J306" s="447">
        <f t="shared" si="27"/>
        <v>6829</v>
      </c>
      <c r="K306" s="422"/>
      <c r="L306" s="448">
        <f t="shared" si="19"/>
        <v>15175</v>
      </c>
    </row>
    <row r="307" spans="1:12" ht="13.5">
      <c r="A307" s="448">
        <v>15200</v>
      </c>
      <c r="B307" s="447">
        <v>15250</v>
      </c>
      <c r="C307" s="1378">
        <f t="shared" si="20"/>
        <v>297</v>
      </c>
      <c r="D307" s="448">
        <f t="shared" si="21"/>
        <v>4328</v>
      </c>
      <c r="E307" s="448">
        <f t="shared" si="22"/>
        <v>6090</v>
      </c>
      <c r="F307" s="447">
        <f t="shared" si="23"/>
        <v>6851</v>
      </c>
      <c r="G307" s="1378">
        <f t="shared" si="24"/>
        <v>649</v>
      </c>
      <c r="H307" s="448">
        <f t="shared" si="25"/>
        <v>4328</v>
      </c>
      <c r="I307" s="448">
        <f t="shared" si="26"/>
        <v>6090</v>
      </c>
      <c r="J307" s="447">
        <f t="shared" si="27"/>
        <v>6851</v>
      </c>
      <c r="K307" s="422"/>
      <c r="L307" s="448">
        <f t="shared" si="19"/>
        <v>15225</v>
      </c>
    </row>
    <row r="308" spans="1:12" ht="13.5">
      <c r="A308" s="448">
        <v>15250</v>
      </c>
      <c r="B308" s="447">
        <v>15300</v>
      </c>
      <c r="C308" s="1378">
        <f t="shared" si="20"/>
        <v>293</v>
      </c>
      <c r="D308" s="448">
        <f t="shared" si="21"/>
        <v>4328</v>
      </c>
      <c r="E308" s="448">
        <f t="shared" si="22"/>
        <v>6110</v>
      </c>
      <c r="F308" s="447">
        <f t="shared" si="23"/>
        <v>6874</v>
      </c>
      <c r="G308" s="1378">
        <f t="shared" si="24"/>
        <v>649</v>
      </c>
      <c r="H308" s="448">
        <f t="shared" si="25"/>
        <v>4328</v>
      </c>
      <c r="I308" s="448">
        <f t="shared" si="26"/>
        <v>6110</v>
      </c>
      <c r="J308" s="447">
        <f t="shared" si="27"/>
        <v>6874</v>
      </c>
      <c r="K308" s="422"/>
      <c r="L308" s="448">
        <f t="shared" si="19"/>
        <v>15275</v>
      </c>
    </row>
    <row r="309" spans="1:12" ht="13.5">
      <c r="A309" s="448">
        <v>15300</v>
      </c>
      <c r="B309" s="447">
        <v>15350</v>
      </c>
      <c r="C309" s="1378">
        <f t="shared" si="20"/>
        <v>289</v>
      </c>
      <c r="D309" s="448">
        <f t="shared" si="21"/>
        <v>4328</v>
      </c>
      <c r="E309" s="448">
        <f t="shared" si="22"/>
        <v>6130</v>
      </c>
      <c r="F309" s="447">
        <f t="shared" si="23"/>
        <v>6896</v>
      </c>
      <c r="G309" s="1378">
        <f t="shared" si="24"/>
        <v>649</v>
      </c>
      <c r="H309" s="448">
        <f t="shared" si="25"/>
        <v>4328</v>
      </c>
      <c r="I309" s="448">
        <f t="shared" si="26"/>
        <v>6130</v>
      </c>
      <c r="J309" s="447">
        <f t="shared" si="27"/>
        <v>6896</v>
      </c>
      <c r="K309" s="422"/>
      <c r="L309" s="448">
        <f t="shared" si="19"/>
        <v>15325</v>
      </c>
    </row>
    <row r="310" spans="1:12" ht="13.5">
      <c r="A310" s="448">
        <v>15350</v>
      </c>
      <c r="B310" s="447">
        <v>15400</v>
      </c>
      <c r="C310" s="1378">
        <f t="shared" si="20"/>
        <v>285</v>
      </c>
      <c r="D310" s="448">
        <f t="shared" si="21"/>
        <v>4328</v>
      </c>
      <c r="E310" s="448">
        <f t="shared" si="22"/>
        <v>6150</v>
      </c>
      <c r="F310" s="447">
        <f t="shared" si="23"/>
        <v>6919</v>
      </c>
      <c r="G310" s="1378">
        <f t="shared" si="24"/>
        <v>649</v>
      </c>
      <c r="H310" s="448">
        <f t="shared" si="25"/>
        <v>4328</v>
      </c>
      <c r="I310" s="448">
        <f t="shared" si="26"/>
        <v>6150</v>
      </c>
      <c r="J310" s="447">
        <f t="shared" si="27"/>
        <v>6919</v>
      </c>
      <c r="K310" s="422"/>
      <c r="L310" s="448">
        <f t="shared" si="19"/>
        <v>15375</v>
      </c>
    </row>
    <row r="311" spans="1:12" ht="13.5">
      <c r="A311" s="448">
        <v>15400</v>
      </c>
      <c r="B311" s="447">
        <v>15450</v>
      </c>
      <c r="C311" s="1378">
        <f t="shared" si="20"/>
        <v>281</v>
      </c>
      <c r="D311" s="448">
        <f t="shared" si="21"/>
        <v>4328</v>
      </c>
      <c r="E311" s="448">
        <f t="shared" si="22"/>
        <v>6170</v>
      </c>
      <c r="F311" s="447">
        <f t="shared" si="23"/>
        <v>6941</v>
      </c>
      <c r="G311" s="1378">
        <f t="shared" si="24"/>
        <v>649</v>
      </c>
      <c r="H311" s="448">
        <f t="shared" si="25"/>
        <v>4328</v>
      </c>
      <c r="I311" s="448">
        <f t="shared" si="26"/>
        <v>6170</v>
      </c>
      <c r="J311" s="447">
        <f t="shared" si="27"/>
        <v>6941</v>
      </c>
      <c r="K311" s="422"/>
      <c r="L311" s="448">
        <f t="shared" si="19"/>
        <v>15425</v>
      </c>
    </row>
    <row r="312" spans="1:12" ht="13.5">
      <c r="A312" s="448">
        <v>15450</v>
      </c>
      <c r="B312" s="447">
        <v>15500</v>
      </c>
      <c r="C312" s="1378">
        <f t="shared" si="20"/>
        <v>278</v>
      </c>
      <c r="D312" s="448">
        <f t="shared" si="21"/>
        <v>4328</v>
      </c>
      <c r="E312" s="448">
        <f t="shared" si="22"/>
        <v>6190</v>
      </c>
      <c r="F312" s="447">
        <f t="shared" si="23"/>
        <v>6964</v>
      </c>
      <c r="G312" s="1378">
        <f t="shared" si="24"/>
        <v>649</v>
      </c>
      <c r="H312" s="448">
        <f t="shared" si="25"/>
        <v>4328</v>
      </c>
      <c r="I312" s="448">
        <f t="shared" si="26"/>
        <v>6190</v>
      </c>
      <c r="J312" s="447">
        <f t="shared" si="27"/>
        <v>6964</v>
      </c>
      <c r="K312" s="422"/>
      <c r="L312" s="448">
        <f t="shared" si="19"/>
        <v>15475</v>
      </c>
    </row>
    <row r="313" spans="1:12" ht="13.5">
      <c r="A313" s="448">
        <v>15500</v>
      </c>
      <c r="B313" s="447">
        <v>15550</v>
      </c>
      <c r="C313" s="1378">
        <f t="shared" si="20"/>
        <v>274</v>
      </c>
      <c r="D313" s="448">
        <f t="shared" si="21"/>
        <v>4328</v>
      </c>
      <c r="E313" s="448">
        <f t="shared" si="22"/>
        <v>6210</v>
      </c>
      <c r="F313" s="447">
        <f t="shared" si="23"/>
        <v>6986</v>
      </c>
      <c r="G313" s="1378">
        <f t="shared" si="24"/>
        <v>649</v>
      </c>
      <c r="H313" s="448">
        <f t="shared" si="25"/>
        <v>4328</v>
      </c>
      <c r="I313" s="448">
        <f t="shared" si="26"/>
        <v>6210</v>
      </c>
      <c r="J313" s="447">
        <f t="shared" si="27"/>
        <v>6986</v>
      </c>
      <c r="K313" s="422"/>
      <c r="L313" s="448">
        <f t="shared" si="19"/>
        <v>15525</v>
      </c>
    </row>
    <row r="314" spans="1:12" ht="13.5">
      <c r="A314" s="448">
        <v>15550</v>
      </c>
      <c r="B314" s="447">
        <v>15600</v>
      </c>
      <c r="C314" s="1378">
        <f t="shared" si="20"/>
        <v>270</v>
      </c>
      <c r="D314" s="448">
        <f t="shared" si="21"/>
        <v>4328</v>
      </c>
      <c r="E314" s="448">
        <f t="shared" si="22"/>
        <v>6230</v>
      </c>
      <c r="F314" s="447">
        <f t="shared" si="23"/>
        <v>7009</v>
      </c>
      <c r="G314" s="1378">
        <f t="shared" si="24"/>
        <v>649</v>
      </c>
      <c r="H314" s="448">
        <f t="shared" si="25"/>
        <v>4328</v>
      </c>
      <c r="I314" s="448">
        <f t="shared" si="26"/>
        <v>6230</v>
      </c>
      <c r="J314" s="447">
        <f t="shared" si="27"/>
        <v>7009</v>
      </c>
      <c r="K314" s="422"/>
      <c r="L314" s="448">
        <f t="shared" si="19"/>
        <v>15575</v>
      </c>
    </row>
    <row r="315" spans="1:12" ht="13.5">
      <c r="A315" s="448">
        <v>15600</v>
      </c>
      <c r="B315" s="447">
        <v>15650</v>
      </c>
      <c r="C315" s="1378">
        <f t="shared" si="20"/>
        <v>266</v>
      </c>
      <c r="D315" s="448">
        <f t="shared" si="21"/>
        <v>4328</v>
      </c>
      <c r="E315" s="448">
        <f t="shared" si="22"/>
        <v>6250</v>
      </c>
      <c r="F315" s="447">
        <f t="shared" si="23"/>
        <v>7031</v>
      </c>
      <c r="G315" s="1378">
        <f t="shared" si="24"/>
        <v>649</v>
      </c>
      <c r="H315" s="448">
        <f t="shared" si="25"/>
        <v>4328</v>
      </c>
      <c r="I315" s="448">
        <f t="shared" si="26"/>
        <v>6250</v>
      </c>
      <c r="J315" s="447">
        <f t="shared" si="27"/>
        <v>7031</v>
      </c>
      <c r="K315" s="422"/>
      <c r="L315" s="448">
        <f t="shared" si="19"/>
        <v>15625</v>
      </c>
    </row>
    <row r="316" spans="1:12" ht="13.5">
      <c r="A316" s="448">
        <v>15650</v>
      </c>
      <c r="B316" s="447">
        <v>15700</v>
      </c>
      <c r="C316" s="1378">
        <f>IF($L316&gt;N$5,MAX(0,N$3+ROUND((N$9*($L316-N$5)),0)),IF($L316&gt;N$4,N$3,ROUND($L316*N$7,0)))</f>
        <v>262</v>
      </c>
      <c r="D316" s="448">
        <f t="shared" ref="D316:J352" si="28">IF($L316&gt;O$5,MAX(0,O$3+ROUND((O$9*($L316-O$5)),0)),IF($L316&gt;O$4,O$3,ROUND($L316*O$7,0)))</f>
        <v>4328</v>
      </c>
      <c r="E316" s="448">
        <f t="shared" si="28"/>
        <v>6270</v>
      </c>
      <c r="F316" s="447">
        <f t="shared" si="28"/>
        <v>7054</v>
      </c>
      <c r="G316" s="1378">
        <f t="shared" si="28"/>
        <v>649</v>
      </c>
      <c r="H316" s="448">
        <f t="shared" si="28"/>
        <v>4328</v>
      </c>
      <c r="I316" s="448">
        <f t="shared" si="28"/>
        <v>6270</v>
      </c>
      <c r="J316" s="447">
        <f t="shared" si="28"/>
        <v>7054</v>
      </c>
      <c r="K316" s="422"/>
      <c r="L316" s="448">
        <f t="shared" si="19"/>
        <v>15675</v>
      </c>
    </row>
    <row r="317" spans="1:12" ht="13.5">
      <c r="A317" s="448">
        <v>15700</v>
      </c>
      <c r="B317" s="447">
        <v>15750</v>
      </c>
      <c r="C317" s="1378">
        <f t="shared" ref="C317:F380" si="29">IF($L317&gt;N$5,MAX(0,N$3+ROUND((N$9*($L317-N$5)),0)),IF($L317&gt;N$4,N$3,ROUND($L317*N$7,0)))</f>
        <v>258</v>
      </c>
      <c r="D317" s="448">
        <f t="shared" si="28"/>
        <v>4328</v>
      </c>
      <c r="E317" s="448">
        <f t="shared" si="28"/>
        <v>6290</v>
      </c>
      <c r="F317" s="447">
        <f t="shared" si="28"/>
        <v>7076</v>
      </c>
      <c r="G317" s="1378">
        <f t="shared" si="28"/>
        <v>649</v>
      </c>
      <c r="H317" s="448">
        <f t="shared" si="28"/>
        <v>4328</v>
      </c>
      <c r="I317" s="448">
        <f t="shared" si="28"/>
        <v>6290</v>
      </c>
      <c r="J317" s="447">
        <f t="shared" si="28"/>
        <v>7076</v>
      </c>
      <c r="K317" s="422"/>
      <c r="L317" s="448">
        <f t="shared" si="19"/>
        <v>15725</v>
      </c>
    </row>
    <row r="318" spans="1:12" ht="13.5">
      <c r="A318" s="448">
        <v>15750</v>
      </c>
      <c r="B318" s="447">
        <v>15800</v>
      </c>
      <c r="C318" s="1378">
        <f t="shared" si="29"/>
        <v>255</v>
      </c>
      <c r="D318" s="448">
        <f t="shared" si="28"/>
        <v>4328</v>
      </c>
      <c r="E318" s="448">
        <f t="shared" si="28"/>
        <v>6310</v>
      </c>
      <c r="F318" s="447">
        <f t="shared" si="28"/>
        <v>7099</v>
      </c>
      <c r="G318" s="1378">
        <f t="shared" si="28"/>
        <v>649</v>
      </c>
      <c r="H318" s="448">
        <f t="shared" si="28"/>
        <v>4328</v>
      </c>
      <c r="I318" s="448">
        <f t="shared" si="28"/>
        <v>6310</v>
      </c>
      <c r="J318" s="447">
        <f t="shared" si="28"/>
        <v>7099</v>
      </c>
      <c r="K318" s="422"/>
      <c r="L318" s="448">
        <f t="shared" si="19"/>
        <v>15775</v>
      </c>
    </row>
    <row r="319" spans="1:12" ht="13.5">
      <c r="A319" s="448">
        <v>15800</v>
      </c>
      <c r="B319" s="447">
        <v>15850</v>
      </c>
      <c r="C319" s="1378">
        <f t="shared" si="29"/>
        <v>251</v>
      </c>
      <c r="D319" s="448">
        <f t="shared" si="28"/>
        <v>4328</v>
      </c>
      <c r="E319" s="448">
        <f t="shared" si="28"/>
        <v>6330</v>
      </c>
      <c r="F319" s="447">
        <f t="shared" si="28"/>
        <v>7121</v>
      </c>
      <c r="G319" s="1378">
        <f t="shared" si="28"/>
        <v>649</v>
      </c>
      <c r="H319" s="448">
        <f t="shared" si="28"/>
        <v>4328</v>
      </c>
      <c r="I319" s="448">
        <f t="shared" si="28"/>
        <v>6330</v>
      </c>
      <c r="J319" s="447">
        <f t="shared" si="28"/>
        <v>7121</v>
      </c>
      <c r="K319" s="422"/>
      <c r="L319" s="448">
        <f t="shared" si="19"/>
        <v>15825</v>
      </c>
    </row>
    <row r="320" spans="1:12" ht="13.5">
      <c r="A320" s="448">
        <v>15850</v>
      </c>
      <c r="B320" s="447">
        <v>15900</v>
      </c>
      <c r="C320" s="1378">
        <f t="shared" si="29"/>
        <v>247</v>
      </c>
      <c r="D320" s="448">
        <f t="shared" si="28"/>
        <v>4328</v>
      </c>
      <c r="E320" s="448">
        <f t="shared" si="28"/>
        <v>6350</v>
      </c>
      <c r="F320" s="447">
        <f t="shared" si="28"/>
        <v>7144</v>
      </c>
      <c r="G320" s="1378">
        <f t="shared" si="28"/>
        <v>649</v>
      </c>
      <c r="H320" s="448">
        <f t="shared" si="28"/>
        <v>4328</v>
      </c>
      <c r="I320" s="448">
        <f t="shared" si="28"/>
        <v>6350</v>
      </c>
      <c r="J320" s="447">
        <f t="shared" si="28"/>
        <v>7144</v>
      </c>
      <c r="K320" s="422"/>
      <c r="L320" s="448">
        <f t="shared" si="19"/>
        <v>15875</v>
      </c>
    </row>
    <row r="321" spans="1:12" ht="13.5">
      <c r="A321" s="448">
        <v>15900</v>
      </c>
      <c r="B321" s="447">
        <v>15950</v>
      </c>
      <c r="C321" s="1378">
        <f t="shared" si="29"/>
        <v>243</v>
      </c>
      <c r="D321" s="448">
        <f t="shared" si="28"/>
        <v>4328</v>
      </c>
      <c r="E321" s="448">
        <f t="shared" si="28"/>
        <v>6370</v>
      </c>
      <c r="F321" s="447">
        <f t="shared" si="28"/>
        <v>7166</v>
      </c>
      <c r="G321" s="1378">
        <f t="shared" si="28"/>
        <v>649</v>
      </c>
      <c r="H321" s="448">
        <f t="shared" si="28"/>
        <v>4328</v>
      </c>
      <c r="I321" s="448">
        <f t="shared" si="28"/>
        <v>6370</v>
      </c>
      <c r="J321" s="447">
        <f t="shared" si="28"/>
        <v>7166</v>
      </c>
      <c r="K321" s="422"/>
      <c r="L321" s="448">
        <f t="shared" si="19"/>
        <v>15925</v>
      </c>
    </row>
    <row r="322" spans="1:12" ht="13.5">
      <c r="A322" s="448">
        <v>15950</v>
      </c>
      <c r="B322" s="447">
        <v>16000</v>
      </c>
      <c r="C322" s="1378">
        <f t="shared" si="29"/>
        <v>239</v>
      </c>
      <c r="D322" s="448">
        <f t="shared" si="28"/>
        <v>4328</v>
      </c>
      <c r="E322" s="448">
        <f t="shared" si="28"/>
        <v>6390</v>
      </c>
      <c r="F322" s="447">
        <f t="shared" si="28"/>
        <v>7189</v>
      </c>
      <c r="G322" s="1378">
        <f t="shared" si="28"/>
        <v>649</v>
      </c>
      <c r="H322" s="448">
        <f t="shared" si="28"/>
        <v>4328</v>
      </c>
      <c r="I322" s="448">
        <f t="shared" si="28"/>
        <v>6390</v>
      </c>
      <c r="J322" s="447">
        <f t="shared" si="28"/>
        <v>7189</v>
      </c>
      <c r="K322" s="422"/>
      <c r="L322" s="448">
        <f t="shared" si="19"/>
        <v>15975</v>
      </c>
    </row>
    <row r="323" spans="1:12" ht="13.5">
      <c r="A323" s="448">
        <v>16000</v>
      </c>
      <c r="B323" s="447">
        <v>16050</v>
      </c>
      <c r="C323" s="1378">
        <f t="shared" si="29"/>
        <v>236</v>
      </c>
      <c r="D323" s="448">
        <f t="shared" si="28"/>
        <v>4328</v>
      </c>
      <c r="E323" s="448">
        <f t="shared" si="28"/>
        <v>6410</v>
      </c>
      <c r="F323" s="447">
        <f t="shared" si="28"/>
        <v>7211</v>
      </c>
      <c r="G323" s="1378">
        <f t="shared" si="28"/>
        <v>649</v>
      </c>
      <c r="H323" s="448">
        <f t="shared" si="28"/>
        <v>4328</v>
      </c>
      <c r="I323" s="448">
        <f t="shared" si="28"/>
        <v>6410</v>
      </c>
      <c r="J323" s="447">
        <f t="shared" si="28"/>
        <v>7211</v>
      </c>
      <c r="K323" s="422"/>
      <c r="L323" s="448">
        <f t="shared" si="19"/>
        <v>16025</v>
      </c>
    </row>
    <row r="324" spans="1:12" ht="13.5">
      <c r="A324" s="448">
        <v>16050</v>
      </c>
      <c r="B324" s="447">
        <v>16100</v>
      </c>
      <c r="C324" s="1378">
        <f t="shared" si="29"/>
        <v>232</v>
      </c>
      <c r="D324" s="448">
        <f t="shared" si="28"/>
        <v>4328</v>
      </c>
      <c r="E324" s="448">
        <f t="shared" si="28"/>
        <v>6430</v>
      </c>
      <c r="F324" s="447">
        <f t="shared" si="28"/>
        <v>7234</v>
      </c>
      <c r="G324" s="1378">
        <f t="shared" si="28"/>
        <v>649</v>
      </c>
      <c r="H324" s="448">
        <f t="shared" si="28"/>
        <v>4328</v>
      </c>
      <c r="I324" s="448">
        <f t="shared" si="28"/>
        <v>6430</v>
      </c>
      <c r="J324" s="447">
        <f t="shared" si="28"/>
        <v>7234</v>
      </c>
      <c r="K324" s="422"/>
      <c r="L324" s="448">
        <f t="shared" ref="L324:L389" si="30">ROUND((A324+B324)/2,2)</f>
        <v>16075</v>
      </c>
    </row>
    <row r="325" spans="1:12" ht="13.5">
      <c r="A325" s="448">
        <v>16100</v>
      </c>
      <c r="B325" s="447">
        <v>16150</v>
      </c>
      <c r="C325" s="1378">
        <f t="shared" si="29"/>
        <v>228</v>
      </c>
      <c r="D325" s="448">
        <f t="shared" si="28"/>
        <v>4328</v>
      </c>
      <c r="E325" s="448">
        <f t="shared" si="28"/>
        <v>6450</v>
      </c>
      <c r="F325" s="447">
        <f t="shared" si="28"/>
        <v>7256</v>
      </c>
      <c r="G325" s="1378">
        <f t="shared" si="28"/>
        <v>649</v>
      </c>
      <c r="H325" s="448">
        <f t="shared" si="28"/>
        <v>4328</v>
      </c>
      <c r="I325" s="448">
        <f t="shared" si="28"/>
        <v>6450</v>
      </c>
      <c r="J325" s="447">
        <f t="shared" si="28"/>
        <v>7256</v>
      </c>
      <c r="K325" s="422"/>
      <c r="L325" s="448">
        <f t="shared" si="30"/>
        <v>16125</v>
      </c>
    </row>
    <row r="326" spans="1:12" ht="13.5">
      <c r="A326" s="448">
        <v>16150</v>
      </c>
      <c r="B326" s="447">
        <v>16200</v>
      </c>
      <c r="C326" s="1378">
        <f t="shared" si="29"/>
        <v>224</v>
      </c>
      <c r="D326" s="448">
        <f t="shared" si="28"/>
        <v>4328</v>
      </c>
      <c r="E326" s="448">
        <f t="shared" si="28"/>
        <v>6470</v>
      </c>
      <c r="F326" s="447">
        <f t="shared" si="28"/>
        <v>7279</v>
      </c>
      <c r="G326" s="1378">
        <f t="shared" si="28"/>
        <v>649</v>
      </c>
      <c r="H326" s="448">
        <f t="shared" si="28"/>
        <v>4328</v>
      </c>
      <c r="I326" s="448">
        <f t="shared" si="28"/>
        <v>6470</v>
      </c>
      <c r="J326" s="447">
        <f t="shared" si="28"/>
        <v>7279</v>
      </c>
      <c r="K326" s="422"/>
      <c r="L326" s="448">
        <f t="shared" si="30"/>
        <v>16175</v>
      </c>
    </row>
    <row r="327" spans="1:12" ht="13.5">
      <c r="A327" s="448">
        <v>16200</v>
      </c>
      <c r="B327" s="447">
        <v>16250</v>
      </c>
      <c r="C327" s="1378">
        <f t="shared" si="29"/>
        <v>220</v>
      </c>
      <c r="D327" s="448">
        <f t="shared" si="28"/>
        <v>4328</v>
      </c>
      <c r="E327" s="448">
        <f t="shared" si="28"/>
        <v>6490</v>
      </c>
      <c r="F327" s="447">
        <f t="shared" si="28"/>
        <v>7301</v>
      </c>
      <c r="G327" s="1378">
        <f t="shared" si="28"/>
        <v>649</v>
      </c>
      <c r="H327" s="448">
        <f t="shared" si="28"/>
        <v>4328</v>
      </c>
      <c r="I327" s="448">
        <f t="shared" si="28"/>
        <v>6490</v>
      </c>
      <c r="J327" s="447">
        <f t="shared" si="28"/>
        <v>7301</v>
      </c>
      <c r="K327" s="422"/>
      <c r="L327" s="448">
        <f t="shared" si="30"/>
        <v>16225</v>
      </c>
    </row>
    <row r="328" spans="1:12" ht="13.5">
      <c r="A328" s="448">
        <v>16250</v>
      </c>
      <c r="B328" s="447">
        <v>16300</v>
      </c>
      <c r="C328" s="1378">
        <f t="shared" si="29"/>
        <v>216</v>
      </c>
      <c r="D328" s="448">
        <f t="shared" si="28"/>
        <v>4328</v>
      </c>
      <c r="E328" s="448">
        <f t="shared" si="28"/>
        <v>6510</v>
      </c>
      <c r="F328" s="447">
        <f t="shared" si="28"/>
        <v>7324</v>
      </c>
      <c r="G328" s="1378">
        <f t="shared" si="28"/>
        <v>649</v>
      </c>
      <c r="H328" s="448">
        <f t="shared" si="28"/>
        <v>4328</v>
      </c>
      <c r="I328" s="448">
        <f t="shared" si="28"/>
        <v>6510</v>
      </c>
      <c r="J328" s="447">
        <f t="shared" si="28"/>
        <v>7324</v>
      </c>
      <c r="K328" s="422"/>
      <c r="L328" s="448">
        <f t="shared" si="30"/>
        <v>16275</v>
      </c>
    </row>
    <row r="329" spans="1:12" ht="13.5">
      <c r="A329" s="448">
        <v>16300</v>
      </c>
      <c r="B329" s="447">
        <v>16350</v>
      </c>
      <c r="C329" s="1378">
        <f t="shared" si="29"/>
        <v>213</v>
      </c>
      <c r="D329" s="448">
        <f t="shared" si="28"/>
        <v>4328</v>
      </c>
      <c r="E329" s="448">
        <f t="shared" si="28"/>
        <v>6530</v>
      </c>
      <c r="F329" s="447">
        <f t="shared" si="28"/>
        <v>7346</v>
      </c>
      <c r="G329" s="1378">
        <f t="shared" si="28"/>
        <v>649</v>
      </c>
      <c r="H329" s="448">
        <f t="shared" si="28"/>
        <v>4328</v>
      </c>
      <c r="I329" s="448">
        <f t="shared" si="28"/>
        <v>6530</v>
      </c>
      <c r="J329" s="447">
        <f t="shared" si="28"/>
        <v>7346</v>
      </c>
      <c r="K329" s="422"/>
      <c r="L329" s="448">
        <f t="shared" si="30"/>
        <v>16325</v>
      </c>
    </row>
    <row r="330" spans="1:12" ht="13.5">
      <c r="A330" s="448">
        <v>16350</v>
      </c>
      <c r="B330" s="447">
        <v>16400</v>
      </c>
      <c r="C330" s="1378">
        <f t="shared" si="29"/>
        <v>209</v>
      </c>
      <c r="D330" s="448">
        <f t="shared" si="28"/>
        <v>4328</v>
      </c>
      <c r="E330" s="448">
        <f t="shared" si="28"/>
        <v>6550</v>
      </c>
      <c r="F330" s="447">
        <f t="shared" si="28"/>
        <v>7369</v>
      </c>
      <c r="G330" s="1378">
        <f t="shared" si="28"/>
        <v>649</v>
      </c>
      <c r="H330" s="448">
        <f t="shared" si="28"/>
        <v>4328</v>
      </c>
      <c r="I330" s="448">
        <f t="shared" si="28"/>
        <v>6550</v>
      </c>
      <c r="J330" s="447">
        <f t="shared" si="28"/>
        <v>7369</v>
      </c>
      <c r="K330" s="422"/>
      <c r="L330" s="448">
        <f t="shared" si="30"/>
        <v>16375</v>
      </c>
    </row>
    <row r="331" spans="1:12" ht="13.5">
      <c r="A331" s="448">
        <v>16400</v>
      </c>
      <c r="B331" s="447">
        <v>16450</v>
      </c>
      <c r="C331" s="1378">
        <f t="shared" si="29"/>
        <v>205</v>
      </c>
      <c r="D331" s="448">
        <f t="shared" si="28"/>
        <v>4328</v>
      </c>
      <c r="E331" s="448">
        <f t="shared" si="28"/>
        <v>6570</v>
      </c>
      <c r="F331" s="447">
        <f t="shared" si="28"/>
        <v>7391</v>
      </c>
      <c r="G331" s="1378">
        <f t="shared" si="28"/>
        <v>649</v>
      </c>
      <c r="H331" s="448">
        <f t="shared" si="28"/>
        <v>4328</v>
      </c>
      <c r="I331" s="448">
        <f t="shared" si="28"/>
        <v>6570</v>
      </c>
      <c r="J331" s="447">
        <f t="shared" si="28"/>
        <v>7391</v>
      </c>
      <c r="K331" s="422"/>
      <c r="L331" s="448">
        <f t="shared" si="30"/>
        <v>16425</v>
      </c>
    </row>
    <row r="332" spans="1:12" ht="13.5">
      <c r="A332" s="448">
        <v>16450</v>
      </c>
      <c r="B332" s="447">
        <v>16500</v>
      </c>
      <c r="C332" s="1378">
        <f t="shared" si="29"/>
        <v>201</v>
      </c>
      <c r="D332" s="448">
        <f t="shared" si="28"/>
        <v>4328</v>
      </c>
      <c r="E332" s="448">
        <f t="shared" si="28"/>
        <v>6590</v>
      </c>
      <c r="F332" s="447">
        <f t="shared" si="28"/>
        <v>7414</v>
      </c>
      <c r="G332" s="1378">
        <f t="shared" si="28"/>
        <v>649</v>
      </c>
      <c r="H332" s="448">
        <f t="shared" si="28"/>
        <v>4328</v>
      </c>
      <c r="I332" s="448">
        <f t="shared" si="28"/>
        <v>6590</v>
      </c>
      <c r="J332" s="447">
        <f t="shared" si="28"/>
        <v>7414</v>
      </c>
      <c r="K332" s="422"/>
      <c r="L332" s="448">
        <f t="shared" si="30"/>
        <v>16475</v>
      </c>
    </row>
    <row r="333" spans="1:12" ht="13.5">
      <c r="A333" s="448">
        <v>16500</v>
      </c>
      <c r="B333" s="447">
        <v>16550</v>
      </c>
      <c r="C333" s="1378">
        <f t="shared" si="29"/>
        <v>197</v>
      </c>
      <c r="D333" s="448">
        <f t="shared" si="28"/>
        <v>4328</v>
      </c>
      <c r="E333" s="448">
        <f t="shared" si="28"/>
        <v>6610</v>
      </c>
      <c r="F333" s="447">
        <f t="shared" si="28"/>
        <v>7436</v>
      </c>
      <c r="G333" s="1378">
        <f t="shared" si="28"/>
        <v>649</v>
      </c>
      <c r="H333" s="448">
        <f t="shared" si="28"/>
        <v>4328</v>
      </c>
      <c r="I333" s="448">
        <f t="shared" si="28"/>
        <v>6610</v>
      </c>
      <c r="J333" s="447">
        <f t="shared" si="28"/>
        <v>7436</v>
      </c>
      <c r="K333" s="422"/>
      <c r="L333" s="448">
        <f t="shared" si="30"/>
        <v>16525</v>
      </c>
    </row>
    <row r="334" spans="1:12" ht="13.5">
      <c r="A334" s="448">
        <v>16550</v>
      </c>
      <c r="B334" s="447">
        <v>16600</v>
      </c>
      <c r="C334" s="1378">
        <f t="shared" si="29"/>
        <v>193</v>
      </c>
      <c r="D334" s="448">
        <f t="shared" si="28"/>
        <v>4328</v>
      </c>
      <c r="E334" s="448">
        <f t="shared" si="28"/>
        <v>6630</v>
      </c>
      <c r="F334" s="447">
        <f t="shared" si="28"/>
        <v>7459</v>
      </c>
      <c r="G334" s="1378">
        <f t="shared" si="28"/>
        <v>649</v>
      </c>
      <c r="H334" s="448">
        <f t="shared" si="28"/>
        <v>4328</v>
      </c>
      <c r="I334" s="448">
        <f t="shared" si="28"/>
        <v>6630</v>
      </c>
      <c r="J334" s="447">
        <f t="shared" si="28"/>
        <v>7459</v>
      </c>
      <c r="K334" s="422"/>
      <c r="L334" s="448">
        <f t="shared" si="30"/>
        <v>16575</v>
      </c>
    </row>
    <row r="335" spans="1:12" ht="13.5">
      <c r="A335" s="448">
        <v>16600</v>
      </c>
      <c r="B335" s="447">
        <v>16650</v>
      </c>
      <c r="C335" s="1378">
        <f t="shared" si="29"/>
        <v>190</v>
      </c>
      <c r="D335" s="448">
        <f t="shared" si="28"/>
        <v>4328</v>
      </c>
      <c r="E335" s="448">
        <f t="shared" si="28"/>
        <v>6650</v>
      </c>
      <c r="F335" s="447">
        <f t="shared" si="28"/>
        <v>7481</v>
      </c>
      <c r="G335" s="1378">
        <f t="shared" si="28"/>
        <v>649</v>
      </c>
      <c r="H335" s="448">
        <f t="shared" si="28"/>
        <v>4328</v>
      </c>
      <c r="I335" s="448">
        <f t="shared" si="28"/>
        <v>6650</v>
      </c>
      <c r="J335" s="447">
        <f t="shared" si="28"/>
        <v>7481</v>
      </c>
      <c r="K335" s="422"/>
      <c r="L335" s="448">
        <f t="shared" si="30"/>
        <v>16625</v>
      </c>
    </row>
    <row r="336" spans="1:12" ht="13.5">
      <c r="A336" s="448">
        <v>16650</v>
      </c>
      <c r="B336" s="447">
        <v>16700</v>
      </c>
      <c r="C336" s="1378">
        <f t="shared" si="29"/>
        <v>186</v>
      </c>
      <c r="D336" s="448">
        <f t="shared" si="28"/>
        <v>4328</v>
      </c>
      <c r="E336" s="448">
        <f t="shared" si="28"/>
        <v>6670</v>
      </c>
      <c r="F336" s="447">
        <f t="shared" si="28"/>
        <v>7504</v>
      </c>
      <c r="G336" s="1378">
        <f t="shared" si="28"/>
        <v>649</v>
      </c>
      <c r="H336" s="448">
        <f t="shared" si="28"/>
        <v>4328</v>
      </c>
      <c r="I336" s="448">
        <f t="shared" si="28"/>
        <v>6670</v>
      </c>
      <c r="J336" s="447">
        <f t="shared" si="28"/>
        <v>7504</v>
      </c>
      <c r="K336" s="422"/>
      <c r="L336" s="448">
        <f t="shared" si="30"/>
        <v>16675</v>
      </c>
    </row>
    <row r="337" spans="1:12" ht="13.5">
      <c r="A337" s="448">
        <v>16700</v>
      </c>
      <c r="B337" s="447">
        <v>16750</v>
      </c>
      <c r="C337" s="1378">
        <f t="shared" si="29"/>
        <v>182</v>
      </c>
      <c r="D337" s="448">
        <f t="shared" si="28"/>
        <v>4328</v>
      </c>
      <c r="E337" s="448">
        <f t="shared" si="28"/>
        <v>6690</v>
      </c>
      <c r="F337" s="447">
        <f t="shared" si="28"/>
        <v>7526</v>
      </c>
      <c r="G337" s="1378">
        <f t="shared" si="28"/>
        <v>649</v>
      </c>
      <c r="H337" s="448">
        <f t="shared" si="28"/>
        <v>4328</v>
      </c>
      <c r="I337" s="448">
        <f t="shared" si="28"/>
        <v>6690</v>
      </c>
      <c r="J337" s="447">
        <f t="shared" si="28"/>
        <v>7526</v>
      </c>
      <c r="K337" s="422"/>
      <c r="L337" s="448">
        <f t="shared" si="30"/>
        <v>16725</v>
      </c>
    </row>
    <row r="338" spans="1:12" ht="13.5">
      <c r="A338" s="448">
        <v>16750</v>
      </c>
      <c r="B338" s="447">
        <v>16800</v>
      </c>
      <c r="C338" s="1378">
        <f t="shared" si="29"/>
        <v>178</v>
      </c>
      <c r="D338" s="448">
        <f t="shared" si="28"/>
        <v>4328</v>
      </c>
      <c r="E338" s="448">
        <f t="shared" si="28"/>
        <v>6710</v>
      </c>
      <c r="F338" s="447">
        <f t="shared" si="28"/>
        <v>7549</v>
      </c>
      <c r="G338" s="1378">
        <f t="shared" si="28"/>
        <v>649</v>
      </c>
      <c r="H338" s="448">
        <f t="shared" si="28"/>
        <v>4328</v>
      </c>
      <c r="I338" s="448">
        <f t="shared" si="28"/>
        <v>6710</v>
      </c>
      <c r="J338" s="447">
        <f t="shared" si="28"/>
        <v>7549</v>
      </c>
      <c r="K338" s="422"/>
      <c r="L338" s="448">
        <f t="shared" si="30"/>
        <v>16775</v>
      </c>
    </row>
    <row r="339" spans="1:12" ht="13.5">
      <c r="A339" s="448">
        <v>16800</v>
      </c>
      <c r="B339" s="447">
        <v>16850</v>
      </c>
      <c r="C339" s="1378">
        <f t="shared" si="29"/>
        <v>174</v>
      </c>
      <c r="D339" s="448">
        <f t="shared" si="28"/>
        <v>4328</v>
      </c>
      <c r="E339" s="448">
        <f t="shared" si="28"/>
        <v>6730</v>
      </c>
      <c r="F339" s="447">
        <f t="shared" si="28"/>
        <v>7571</v>
      </c>
      <c r="G339" s="1378">
        <f t="shared" si="28"/>
        <v>649</v>
      </c>
      <c r="H339" s="448">
        <f t="shared" si="28"/>
        <v>4328</v>
      </c>
      <c r="I339" s="448">
        <f t="shared" si="28"/>
        <v>6730</v>
      </c>
      <c r="J339" s="447">
        <f t="shared" si="28"/>
        <v>7571</v>
      </c>
      <c r="K339" s="422"/>
      <c r="L339" s="448">
        <f t="shared" si="30"/>
        <v>16825</v>
      </c>
    </row>
    <row r="340" spans="1:12" ht="13.5">
      <c r="A340" s="448">
        <v>16850</v>
      </c>
      <c r="B340" s="447">
        <v>16900</v>
      </c>
      <c r="C340" s="1378">
        <f t="shared" si="29"/>
        <v>171</v>
      </c>
      <c r="D340" s="448">
        <f t="shared" si="28"/>
        <v>4328</v>
      </c>
      <c r="E340" s="448">
        <f t="shared" si="28"/>
        <v>6750</v>
      </c>
      <c r="F340" s="447">
        <f t="shared" si="28"/>
        <v>7594</v>
      </c>
      <c r="G340" s="1378">
        <f t="shared" si="28"/>
        <v>649</v>
      </c>
      <c r="H340" s="448">
        <f t="shared" si="28"/>
        <v>4328</v>
      </c>
      <c r="I340" s="448">
        <f t="shared" si="28"/>
        <v>6750</v>
      </c>
      <c r="J340" s="447">
        <f t="shared" si="28"/>
        <v>7594</v>
      </c>
      <c r="K340" s="422"/>
      <c r="L340" s="448">
        <f t="shared" si="30"/>
        <v>16875</v>
      </c>
    </row>
    <row r="341" spans="1:12" ht="13.5">
      <c r="A341" s="448">
        <v>16900</v>
      </c>
      <c r="B341" s="447">
        <v>16950</v>
      </c>
      <c r="C341" s="1378">
        <f t="shared" si="29"/>
        <v>167</v>
      </c>
      <c r="D341" s="448">
        <f t="shared" si="28"/>
        <v>4328</v>
      </c>
      <c r="E341" s="448">
        <f t="shared" si="28"/>
        <v>6770</v>
      </c>
      <c r="F341" s="447">
        <f t="shared" si="28"/>
        <v>7616</v>
      </c>
      <c r="G341" s="1378">
        <f t="shared" si="28"/>
        <v>649</v>
      </c>
      <c r="H341" s="448">
        <f t="shared" si="28"/>
        <v>4328</v>
      </c>
      <c r="I341" s="448">
        <f t="shared" si="28"/>
        <v>6770</v>
      </c>
      <c r="J341" s="447">
        <f t="shared" si="28"/>
        <v>7616</v>
      </c>
      <c r="K341" s="422"/>
      <c r="L341" s="448">
        <f t="shared" si="30"/>
        <v>16925</v>
      </c>
    </row>
    <row r="342" spans="1:12" ht="13.5">
      <c r="A342" s="448">
        <v>16950</v>
      </c>
      <c r="B342" s="447">
        <v>17000</v>
      </c>
      <c r="C342" s="1378">
        <f t="shared" si="29"/>
        <v>163</v>
      </c>
      <c r="D342" s="448">
        <f t="shared" si="28"/>
        <v>4328</v>
      </c>
      <c r="E342" s="448">
        <f t="shared" si="28"/>
        <v>6790</v>
      </c>
      <c r="F342" s="447">
        <f t="shared" si="28"/>
        <v>7639</v>
      </c>
      <c r="G342" s="1378">
        <f t="shared" si="28"/>
        <v>649</v>
      </c>
      <c r="H342" s="448">
        <f t="shared" si="28"/>
        <v>4328</v>
      </c>
      <c r="I342" s="448">
        <f t="shared" si="28"/>
        <v>6790</v>
      </c>
      <c r="J342" s="447">
        <f t="shared" si="28"/>
        <v>7639</v>
      </c>
      <c r="K342" s="422"/>
      <c r="L342" s="448">
        <f t="shared" si="30"/>
        <v>16975</v>
      </c>
    </row>
    <row r="343" spans="1:12" ht="13.5">
      <c r="A343" s="448">
        <v>17000</v>
      </c>
      <c r="B343" s="447">
        <v>17050</v>
      </c>
      <c r="C343" s="1378">
        <f t="shared" si="29"/>
        <v>159</v>
      </c>
      <c r="D343" s="448">
        <f t="shared" si="28"/>
        <v>4328</v>
      </c>
      <c r="E343" s="448">
        <f t="shared" si="28"/>
        <v>6810</v>
      </c>
      <c r="F343" s="447">
        <f t="shared" si="28"/>
        <v>7661</v>
      </c>
      <c r="G343" s="1378">
        <f t="shared" si="28"/>
        <v>649</v>
      </c>
      <c r="H343" s="448">
        <f t="shared" si="28"/>
        <v>4328</v>
      </c>
      <c r="I343" s="448">
        <f t="shared" si="28"/>
        <v>6810</v>
      </c>
      <c r="J343" s="447">
        <f t="shared" si="28"/>
        <v>7661</v>
      </c>
      <c r="K343" s="422"/>
      <c r="L343" s="448">
        <f t="shared" si="30"/>
        <v>17025</v>
      </c>
    </row>
    <row r="344" spans="1:12" ht="13.5">
      <c r="A344" s="448">
        <v>17050</v>
      </c>
      <c r="B344" s="447">
        <v>17100</v>
      </c>
      <c r="C344" s="1378">
        <f t="shared" si="29"/>
        <v>155</v>
      </c>
      <c r="D344" s="448">
        <f t="shared" si="28"/>
        <v>4328</v>
      </c>
      <c r="E344" s="448">
        <f t="shared" si="28"/>
        <v>6830</v>
      </c>
      <c r="F344" s="447">
        <f t="shared" si="28"/>
        <v>7684</v>
      </c>
      <c r="G344" s="1378">
        <f t="shared" si="28"/>
        <v>649</v>
      </c>
      <c r="H344" s="448">
        <f t="shared" si="28"/>
        <v>4328</v>
      </c>
      <c r="I344" s="448">
        <f t="shared" si="28"/>
        <v>6830</v>
      </c>
      <c r="J344" s="447">
        <f t="shared" si="28"/>
        <v>7684</v>
      </c>
      <c r="K344" s="422"/>
      <c r="L344" s="448">
        <f t="shared" si="30"/>
        <v>17075</v>
      </c>
    </row>
    <row r="345" spans="1:12" ht="13.5">
      <c r="A345" s="448">
        <v>17100</v>
      </c>
      <c r="B345" s="447">
        <v>17150</v>
      </c>
      <c r="C345" s="1378">
        <f t="shared" si="29"/>
        <v>151</v>
      </c>
      <c r="D345" s="448">
        <f t="shared" si="28"/>
        <v>4328</v>
      </c>
      <c r="E345" s="448">
        <f t="shared" si="28"/>
        <v>6850</v>
      </c>
      <c r="F345" s="447">
        <f t="shared" si="28"/>
        <v>7706</v>
      </c>
      <c r="G345" s="1378">
        <f t="shared" si="28"/>
        <v>649</v>
      </c>
      <c r="H345" s="448">
        <f t="shared" si="28"/>
        <v>4328</v>
      </c>
      <c r="I345" s="448">
        <f t="shared" si="28"/>
        <v>6850</v>
      </c>
      <c r="J345" s="447">
        <f t="shared" si="28"/>
        <v>7706</v>
      </c>
      <c r="K345" s="422"/>
      <c r="L345" s="448">
        <f t="shared" si="30"/>
        <v>17125</v>
      </c>
    </row>
    <row r="346" spans="1:12" ht="13.5">
      <c r="A346" s="448">
        <v>17150</v>
      </c>
      <c r="B346" s="447">
        <v>17200</v>
      </c>
      <c r="C346" s="1378">
        <f t="shared" si="29"/>
        <v>148</v>
      </c>
      <c r="D346" s="448">
        <f t="shared" si="28"/>
        <v>4328</v>
      </c>
      <c r="E346" s="448">
        <f t="shared" si="28"/>
        <v>6870</v>
      </c>
      <c r="F346" s="447">
        <f t="shared" si="28"/>
        <v>7729</v>
      </c>
      <c r="G346" s="1378">
        <f t="shared" si="28"/>
        <v>649</v>
      </c>
      <c r="H346" s="448">
        <f t="shared" si="28"/>
        <v>4328</v>
      </c>
      <c r="I346" s="448">
        <f t="shared" si="28"/>
        <v>6870</v>
      </c>
      <c r="J346" s="447">
        <f t="shared" si="28"/>
        <v>7729</v>
      </c>
      <c r="K346" s="422"/>
      <c r="L346" s="448">
        <f t="shared" si="30"/>
        <v>17175</v>
      </c>
    </row>
    <row r="347" spans="1:12" ht="13.5">
      <c r="A347" s="448">
        <v>17200</v>
      </c>
      <c r="B347" s="447">
        <v>17250</v>
      </c>
      <c r="C347" s="1378">
        <f t="shared" si="29"/>
        <v>144</v>
      </c>
      <c r="D347" s="448">
        <f t="shared" si="28"/>
        <v>4328</v>
      </c>
      <c r="E347" s="448">
        <f t="shared" si="28"/>
        <v>6890</v>
      </c>
      <c r="F347" s="447">
        <f t="shared" si="28"/>
        <v>7751</v>
      </c>
      <c r="G347" s="1378">
        <f t="shared" si="28"/>
        <v>649</v>
      </c>
      <c r="H347" s="448">
        <f t="shared" si="28"/>
        <v>4328</v>
      </c>
      <c r="I347" s="448">
        <f t="shared" si="28"/>
        <v>6890</v>
      </c>
      <c r="J347" s="447">
        <f t="shared" si="28"/>
        <v>7751</v>
      </c>
      <c r="K347" s="422"/>
      <c r="L347" s="448">
        <f t="shared" si="30"/>
        <v>17225</v>
      </c>
    </row>
    <row r="348" spans="1:12" ht="13.5">
      <c r="A348" s="448">
        <v>17250</v>
      </c>
      <c r="B348" s="447">
        <v>17300</v>
      </c>
      <c r="C348" s="1378">
        <f t="shared" si="29"/>
        <v>140</v>
      </c>
      <c r="D348" s="448">
        <f t="shared" si="28"/>
        <v>4328</v>
      </c>
      <c r="E348" s="448">
        <f t="shared" si="28"/>
        <v>6910</v>
      </c>
      <c r="F348" s="447">
        <f t="shared" si="28"/>
        <v>7774</v>
      </c>
      <c r="G348" s="1378">
        <f t="shared" si="28"/>
        <v>649</v>
      </c>
      <c r="H348" s="448">
        <f t="shared" si="28"/>
        <v>4328</v>
      </c>
      <c r="I348" s="448">
        <f t="shared" si="28"/>
        <v>6910</v>
      </c>
      <c r="J348" s="447">
        <f t="shared" si="28"/>
        <v>7774</v>
      </c>
      <c r="K348" s="422"/>
      <c r="L348" s="448">
        <f t="shared" si="30"/>
        <v>17275</v>
      </c>
    </row>
    <row r="349" spans="1:12" ht="13.5">
      <c r="A349" s="448">
        <v>17300</v>
      </c>
      <c r="B349" s="447">
        <v>17350</v>
      </c>
      <c r="C349" s="1378">
        <f t="shared" si="29"/>
        <v>136</v>
      </c>
      <c r="D349" s="448">
        <f t="shared" si="28"/>
        <v>4328</v>
      </c>
      <c r="E349" s="448">
        <f t="shared" si="28"/>
        <v>6930</v>
      </c>
      <c r="F349" s="447">
        <f t="shared" si="28"/>
        <v>7796</v>
      </c>
      <c r="G349" s="1378">
        <f t="shared" si="28"/>
        <v>649</v>
      </c>
      <c r="H349" s="448">
        <f t="shared" si="28"/>
        <v>4328</v>
      </c>
      <c r="I349" s="448">
        <f t="shared" si="28"/>
        <v>6930</v>
      </c>
      <c r="J349" s="447">
        <f t="shared" si="28"/>
        <v>7796</v>
      </c>
      <c r="K349" s="422"/>
      <c r="L349" s="448">
        <f t="shared" si="30"/>
        <v>17325</v>
      </c>
    </row>
    <row r="350" spans="1:12" ht="13.5">
      <c r="A350" s="448">
        <v>17350</v>
      </c>
      <c r="B350" s="447">
        <v>17400</v>
      </c>
      <c r="C350" s="1378">
        <f t="shared" si="29"/>
        <v>132</v>
      </c>
      <c r="D350" s="448">
        <f t="shared" si="28"/>
        <v>4328</v>
      </c>
      <c r="E350" s="448">
        <f t="shared" si="28"/>
        <v>6950</v>
      </c>
      <c r="F350" s="447">
        <f t="shared" si="28"/>
        <v>7819</v>
      </c>
      <c r="G350" s="1378">
        <f t="shared" si="28"/>
        <v>649</v>
      </c>
      <c r="H350" s="448">
        <f t="shared" si="28"/>
        <v>4328</v>
      </c>
      <c r="I350" s="448">
        <f t="shared" si="28"/>
        <v>6950</v>
      </c>
      <c r="J350" s="447">
        <f t="shared" si="28"/>
        <v>7819</v>
      </c>
      <c r="K350" s="422"/>
      <c r="L350" s="448">
        <f t="shared" si="30"/>
        <v>17375</v>
      </c>
    </row>
    <row r="351" spans="1:12" ht="13.5">
      <c r="A351" s="448">
        <v>17400</v>
      </c>
      <c r="B351" s="447">
        <v>17450</v>
      </c>
      <c r="C351" s="1378">
        <f t="shared" si="29"/>
        <v>128</v>
      </c>
      <c r="D351" s="448">
        <f t="shared" si="28"/>
        <v>4328</v>
      </c>
      <c r="E351" s="448">
        <f t="shared" si="28"/>
        <v>6970</v>
      </c>
      <c r="F351" s="447">
        <f t="shared" si="28"/>
        <v>7841</v>
      </c>
      <c r="G351" s="1378">
        <f t="shared" si="28"/>
        <v>649</v>
      </c>
      <c r="H351" s="448">
        <f t="shared" si="28"/>
        <v>4328</v>
      </c>
      <c r="I351" s="448">
        <f t="shared" si="28"/>
        <v>6970</v>
      </c>
      <c r="J351" s="447">
        <f t="shared" si="28"/>
        <v>7841</v>
      </c>
      <c r="K351" s="422"/>
      <c r="L351" s="448">
        <f t="shared" si="30"/>
        <v>17425</v>
      </c>
    </row>
    <row r="352" spans="1:12" ht="13.5">
      <c r="A352" s="448">
        <v>17450</v>
      </c>
      <c r="B352" s="447">
        <v>17500</v>
      </c>
      <c r="C352" s="1378">
        <f t="shared" si="29"/>
        <v>125</v>
      </c>
      <c r="D352" s="448">
        <f t="shared" si="28"/>
        <v>4328</v>
      </c>
      <c r="E352" s="448">
        <f t="shared" si="28"/>
        <v>6990</v>
      </c>
      <c r="F352" s="447">
        <f t="shared" si="28"/>
        <v>7864</v>
      </c>
      <c r="G352" s="1378">
        <f t="shared" ref="G352:J415" si="31">IF($L352&gt;R$5,MAX(0,R$3+ROUND((R$9*($L352-R$5)),0)),IF($L352&gt;R$4,R$3,ROUND($L352*R$7,0)))</f>
        <v>649</v>
      </c>
      <c r="H352" s="448">
        <f t="shared" si="31"/>
        <v>4328</v>
      </c>
      <c r="I352" s="448">
        <f t="shared" si="31"/>
        <v>6990</v>
      </c>
      <c r="J352" s="447">
        <f t="shared" si="31"/>
        <v>7864</v>
      </c>
      <c r="K352" s="422"/>
      <c r="L352" s="448">
        <f t="shared" si="30"/>
        <v>17475</v>
      </c>
    </row>
    <row r="353" spans="1:13" ht="13.5">
      <c r="A353" s="448">
        <v>17500</v>
      </c>
      <c r="B353" s="447">
        <v>17550</v>
      </c>
      <c r="C353" s="1378">
        <f t="shared" si="29"/>
        <v>121</v>
      </c>
      <c r="D353" s="448">
        <f t="shared" si="29"/>
        <v>4328</v>
      </c>
      <c r="E353" s="448">
        <f t="shared" si="29"/>
        <v>7010</v>
      </c>
      <c r="F353" s="447">
        <f t="shared" si="29"/>
        <v>7886</v>
      </c>
      <c r="G353" s="1378">
        <f t="shared" si="31"/>
        <v>649</v>
      </c>
      <c r="H353" s="448">
        <f t="shared" si="31"/>
        <v>4328</v>
      </c>
      <c r="I353" s="448">
        <f t="shared" si="31"/>
        <v>7010</v>
      </c>
      <c r="J353" s="447">
        <f t="shared" si="31"/>
        <v>7886</v>
      </c>
      <c r="K353" s="422"/>
      <c r="L353" s="448">
        <f t="shared" si="30"/>
        <v>17525</v>
      </c>
    </row>
    <row r="354" spans="1:13" ht="13.5">
      <c r="A354" s="448">
        <v>17550</v>
      </c>
      <c r="B354" s="447">
        <v>17600</v>
      </c>
      <c r="C354" s="1378">
        <f t="shared" si="29"/>
        <v>117</v>
      </c>
      <c r="D354" s="448">
        <f t="shared" si="29"/>
        <v>4328</v>
      </c>
      <c r="E354" s="448">
        <f t="shared" si="29"/>
        <v>7030</v>
      </c>
      <c r="F354" s="447">
        <f t="shared" si="29"/>
        <v>7909</v>
      </c>
      <c r="G354" s="1378">
        <f t="shared" si="31"/>
        <v>649</v>
      </c>
      <c r="H354" s="448">
        <f t="shared" si="31"/>
        <v>4328</v>
      </c>
      <c r="I354" s="448">
        <f t="shared" si="31"/>
        <v>7030</v>
      </c>
      <c r="J354" s="447">
        <f t="shared" si="31"/>
        <v>7909</v>
      </c>
      <c r="K354" s="422"/>
      <c r="L354" s="448">
        <f t="shared" si="30"/>
        <v>17575</v>
      </c>
    </row>
    <row r="355" spans="1:13" ht="13.5">
      <c r="A355" s="448">
        <v>17650</v>
      </c>
      <c r="B355" s="447">
        <v>17650</v>
      </c>
      <c r="C355" s="1378">
        <f t="shared" si="29"/>
        <v>111</v>
      </c>
      <c r="D355" s="448">
        <f t="shared" si="29"/>
        <v>4328</v>
      </c>
      <c r="E355" s="448">
        <f t="shared" si="29"/>
        <v>7060</v>
      </c>
      <c r="F355" s="447">
        <f t="shared" si="29"/>
        <v>7943</v>
      </c>
      <c r="G355" s="1378">
        <f t="shared" si="31"/>
        <v>649</v>
      </c>
      <c r="H355" s="448">
        <f t="shared" si="31"/>
        <v>4328</v>
      </c>
      <c r="I355" s="448">
        <f t="shared" si="31"/>
        <v>7060</v>
      </c>
      <c r="J355" s="447">
        <f t="shared" si="31"/>
        <v>7943</v>
      </c>
      <c r="K355" s="422"/>
      <c r="L355" s="448">
        <f>ROUND((A355+B355)/2,2)</f>
        <v>17650</v>
      </c>
    </row>
    <row r="356" spans="1:13" s="1526" customFormat="1" ht="13.5">
      <c r="A356" s="448">
        <v>17650</v>
      </c>
      <c r="B356" s="447">
        <v>17700</v>
      </c>
      <c r="C356" s="1378">
        <f t="shared" si="29"/>
        <v>109</v>
      </c>
      <c r="D356" s="448">
        <f t="shared" si="29"/>
        <v>4328</v>
      </c>
      <c r="E356" s="448">
        <f t="shared" si="29"/>
        <v>7070</v>
      </c>
      <c r="F356" s="447">
        <f t="shared" si="29"/>
        <v>7954</v>
      </c>
      <c r="G356" s="1378">
        <f t="shared" si="31"/>
        <v>649</v>
      </c>
      <c r="H356" s="448">
        <f t="shared" si="31"/>
        <v>4328</v>
      </c>
      <c r="I356" s="448">
        <f t="shared" si="31"/>
        <v>7070</v>
      </c>
      <c r="J356" s="447">
        <f t="shared" si="31"/>
        <v>7954</v>
      </c>
      <c r="K356" s="422"/>
      <c r="L356" s="448">
        <f>ROUND((A356+B356)/2,2)</f>
        <v>17675</v>
      </c>
      <c r="M356" s="2865"/>
    </row>
    <row r="357" spans="1:13" ht="13.5">
      <c r="A357" s="448">
        <v>17700</v>
      </c>
      <c r="B357" s="447">
        <v>17750</v>
      </c>
      <c r="C357" s="1378">
        <f t="shared" si="29"/>
        <v>105</v>
      </c>
      <c r="D357" s="448">
        <f t="shared" si="29"/>
        <v>4328</v>
      </c>
      <c r="E357" s="448">
        <f t="shared" si="29"/>
        <v>7090</v>
      </c>
      <c r="F357" s="447">
        <f t="shared" si="29"/>
        <v>7976</v>
      </c>
      <c r="G357" s="1378">
        <f t="shared" si="31"/>
        <v>649</v>
      </c>
      <c r="H357" s="448">
        <f t="shared" si="31"/>
        <v>4328</v>
      </c>
      <c r="I357" s="448">
        <f t="shared" si="31"/>
        <v>7090</v>
      </c>
      <c r="J357" s="447">
        <f t="shared" si="31"/>
        <v>7976</v>
      </c>
      <c r="K357" s="422"/>
      <c r="L357" s="448">
        <f t="shared" si="30"/>
        <v>17725</v>
      </c>
    </row>
    <row r="358" spans="1:13" ht="13.5">
      <c r="A358" s="448">
        <v>17750</v>
      </c>
      <c r="B358" s="447">
        <v>17800</v>
      </c>
      <c r="C358" s="1378">
        <f t="shared" si="29"/>
        <v>102</v>
      </c>
      <c r="D358" s="448">
        <f t="shared" si="29"/>
        <v>4328</v>
      </c>
      <c r="E358" s="448">
        <f t="shared" si="29"/>
        <v>7110</v>
      </c>
      <c r="F358" s="447">
        <f t="shared" si="29"/>
        <v>7999</v>
      </c>
      <c r="G358" s="1378">
        <f t="shared" si="31"/>
        <v>646</v>
      </c>
      <c r="H358" s="448">
        <f t="shared" si="31"/>
        <v>4328</v>
      </c>
      <c r="I358" s="448">
        <f t="shared" si="31"/>
        <v>7110</v>
      </c>
      <c r="J358" s="447">
        <f t="shared" si="31"/>
        <v>7999</v>
      </c>
      <c r="K358" s="422"/>
      <c r="L358" s="448">
        <f t="shared" si="30"/>
        <v>17775</v>
      </c>
    </row>
    <row r="359" spans="1:13" ht="13.5">
      <c r="A359" s="448">
        <v>17800</v>
      </c>
      <c r="B359" s="447">
        <v>17850</v>
      </c>
      <c r="C359" s="1378">
        <f t="shared" si="29"/>
        <v>98</v>
      </c>
      <c r="D359" s="448">
        <f t="shared" si="29"/>
        <v>4328</v>
      </c>
      <c r="E359" s="448">
        <f t="shared" si="29"/>
        <v>7130</v>
      </c>
      <c r="F359" s="447">
        <f t="shared" si="29"/>
        <v>8021</v>
      </c>
      <c r="G359" s="1378">
        <f t="shared" si="31"/>
        <v>642</v>
      </c>
      <c r="H359" s="448">
        <f t="shared" si="31"/>
        <v>4328</v>
      </c>
      <c r="I359" s="448">
        <f t="shared" si="31"/>
        <v>7130</v>
      </c>
      <c r="J359" s="447">
        <f t="shared" si="31"/>
        <v>8021</v>
      </c>
      <c r="K359" s="422"/>
      <c r="L359" s="448">
        <f t="shared" si="30"/>
        <v>17825</v>
      </c>
    </row>
    <row r="360" spans="1:13" ht="13.5">
      <c r="A360" s="448">
        <v>17850</v>
      </c>
      <c r="B360" s="447">
        <v>17900</v>
      </c>
      <c r="C360" s="1378">
        <f t="shared" si="29"/>
        <v>94</v>
      </c>
      <c r="D360" s="448">
        <f t="shared" si="29"/>
        <v>4328</v>
      </c>
      <c r="E360" s="448">
        <f t="shared" si="29"/>
        <v>7150</v>
      </c>
      <c r="F360" s="447">
        <f t="shared" si="29"/>
        <v>8044</v>
      </c>
      <c r="G360" s="1378">
        <f t="shared" si="31"/>
        <v>638</v>
      </c>
      <c r="H360" s="448">
        <f t="shared" si="31"/>
        <v>4328</v>
      </c>
      <c r="I360" s="448">
        <f t="shared" si="31"/>
        <v>7150</v>
      </c>
      <c r="J360" s="447">
        <f t="shared" si="31"/>
        <v>8044</v>
      </c>
      <c r="K360" s="422"/>
      <c r="L360" s="448">
        <f t="shared" si="30"/>
        <v>17875</v>
      </c>
    </row>
    <row r="361" spans="1:13" ht="13.5">
      <c r="A361" s="448">
        <v>17900</v>
      </c>
      <c r="B361" s="447">
        <v>17950</v>
      </c>
      <c r="C361" s="1378">
        <f t="shared" si="29"/>
        <v>90</v>
      </c>
      <c r="D361" s="448">
        <f t="shared" si="29"/>
        <v>4328</v>
      </c>
      <c r="E361" s="448">
        <f t="shared" si="29"/>
        <v>7152</v>
      </c>
      <c r="F361" s="447">
        <f t="shared" si="29"/>
        <v>8046</v>
      </c>
      <c r="G361" s="1378">
        <f t="shared" si="31"/>
        <v>634</v>
      </c>
      <c r="H361" s="448">
        <f t="shared" si="31"/>
        <v>4328</v>
      </c>
      <c r="I361" s="448">
        <f t="shared" si="31"/>
        <v>7152</v>
      </c>
      <c r="J361" s="447">
        <f t="shared" si="31"/>
        <v>8046</v>
      </c>
      <c r="K361" s="422"/>
      <c r="L361" s="448">
        <f t="shared" si="30"/>
        <v>17925</v>
      </c>
    </row>
    <row r="362" spans="1:13" ht="13.5">
      <c r="A362" s="448">
        <v>17950</v>
      </c>
      <c r="B362" s="447">
        <v>18000</v>
      </c>
      <c r="C362" s="1378">
        <f t="shared" si="29"/>
        <v>86</v>
      </c>
      <c r="D362" s="448">
        <f t="shared" si="29"/>
        <v>4328</v>
      </c>
      <c r="E362" s="448">
        <f t="shared" si="29"/>
        <v>7152</v>
      </c>
      <c r="F362" s="447">
        <f t="shared" si="29"/>
        <v>8046</v>
      </c>
      <c r="G362" s="1378">
        <f t="shared" si="31"/>
        <v>630</v>
      </c>
      <c r="H362" s="448">
        <f t="shared" si="31"/>
        <v>4328</v>
      </c>
      <c r="I362" s="448">
        <f t="shared" si="31"/>
        <v>7152</v>
      </c>
      <c r="J362" s="447">
        <f t="shared" si="31"/>
        <v>8046</v>
      </c>
      <c r="K362" s="422"/>
      <c r="L362" s="448">
        <f t="shared" si="30"/>
        <v>17975</v>
      </c>
    </row>
    <row r="363" spans="1:13" ht="13.5">
      <c r="A363" s="448">
        <v>18000</v>
      </c>
      <c r="B363" s="447">
        <v>18050</v>
      </c>
      <c r="C363" s="1378">
        <f t="shared" si="29"/>
        <v>83</v>
      </c>
      <c r="D363" s="448">
        <f t="shared" si="29"/>
        <v>4328</v>
      </c>
      <c r="E363" s="448">
        <f t="shared" si="29"/>
        <v>7152</v>
      </c>
      <c r="F363" s="447">
        <f t="shared" si="29"/>
        <v>8046</v>
      </c>
      <c r="G363" s="1378">
        <f t="shared" si="31"/>
        <v>626</v>
      </c>
      <c r="H363" s="448">
        <f t="shared" si="31"/>
        <v>4328</v>
      </c>
      <c r="I363" s="448">
        <f t="shared" si="31"/>
        <v>7152</v>
      </c>
      <c r="J363" s="447">
        <f t="shared" si="31"/>
        <v>8046</v>
      </c>
      <c r="K363" s="422"/>
      <c r="L363" s="448">
        <f t="shared" si="30"/>
        <v>18025</v>
      </c>
    </row>
    <row r="364" spans="1:13" ht="13.5">
      <c r="A364" s="448">
        <v>18050</v>
      </c>
      <c r="B364" s="447">
        <v>18100</v>
      </c>
      <c r="C364" s="1378">
        <f t="shared" si="29"/>
        <v>79</v>
      </c>
      <c r="D364" s="448">
        <f t="shared" si="29"/>
        <v>4328</v>
      </c>
      <c r="E364" s="448">
        <f t="shared" si="29"/>
        <v>7152</v>
      </c>
      <c r="F364" s="447">
        <f t="shared" si="29"/>
        <v>8046</v>
      </c>
      <c r="G364" s="1378">
        <f t="shared" si="31"/>
        <v>623</v>
      </c>
      <c r="H364" s="448">
        <f t="shared" si="31"/>
        <v>4328</v>
      </c>
      <c r="I364" s="448">
        <f t="shared" si="31"/>
        <v>7152</v>
      </c>
      <c r="J364" s="447">
        <f t="shared" si="31"/>
        <v>8046</v>
      </c>
      <c r="K364" s="422"/>
      <c r="L364" s="448">
        <f t="shared" si="30"/>
        <v>18075</v>
      </c>
    </row>
    <row r="365" spans="1:13" ht="13.5">
      <c r="A365" s="448">
        <v>18100</v>
      </c>
      <c r="B365" s="447">
        <v>18150</v>
      </c>
      <c r="C365" s="1378">
        <f t="shared" si="29"/>
        <v>75</v>
      </c>
      <c r="D365" s="448">
        <f t="shared" si="29"/>
        <v>4328</v>
      </c>
      <c r="E365" s="448">
        <f t="shared" si="29"/>
        <v>7152</v>
      </c>
      <c r="F365" s="447">
        <f t="shared" si="29"/>
        <v>8046</v>
      </c>
      <c r="G365" s="1378">
        <f t="shared" si="31"/>
        <v>619</v>
      </c>
      <c r="H365" s="448">
        <f t="shared" si="31"/>
        <v>4328</v>
      </c>
      <c r="I365" s="448">
        <f t="shared" si="31"/>
        <v>7152</v>
      </c>
      <c r="J365" s="447">
        <f t="shared" si="31"/>
        <v>8046</v>
      </c>
      <c r="K365" s="422"/>
      <c r="L365" s="448">
        <f t="shared" si="30"/>
        <v>18125</v>
      </c>
    </row>
    <row r="366" spans="1:13" ht="13.5">
      <c r="A366" s="448">
        <v>18150</v>
      </c>
      <c r="B366" s="447">
        <v>18200</v>
      </c>
      <c r="C366" s="1378">
        <f t="shared" si="29"/>
        <v>71</v>
      </c>
      <c r="D366" s="448">
        <f t="shared" si="29"/>
        <v>4328</v>
      </c>
      <c r="E366" s="448">
        <f t="shared" si="29"/>
        <v>7152</v>
      </c>
      <c r="F366" s="447">
        <f t="shared" si="29"/>
        <v>8046</v>
      </c>
      <c r="G366" s="1378">
        <f t="shared" si="31"/>
        <v>615</v>
      </c>
      <c r="H366" s="448">
        <f t="shared" si="31"/>
        <v>4328</v>
      </c>
      <c r="I366" s="448">
        <f t="shared" si="31"/>
        <v>7152</v>
      </c>
      <c r="J366" s="447">
        <f t="shared" si="31"/>
        <v>8046</v>
      </c>
      <c r="K366" s="422"/>
      <c r="L366" s="448">
        <f t="shared" si="30"/>
        <v>18175</v>
      </c>
    </row>
    <row r="367" spans="1:13" ht="13.5">
      <c r="A367" s="448">
        <v>18200</v>
      </c>
      <c r="B367" s="447">
        <v>18250</v>
      </c>
      <c r="C367" s="1378">
        <f t="shared" si="29"/>
        <v>67</v>
      </c>
      <c r="D367" s="448">
        <f t="shared" si="29"/>
        <v>4328</v>
      </c>
      <c r="E367" s="448">
        <f t="shared" si="29"/>
        <v>7152</v>
      </c>
      <c r="F367" s="447">
        <f t="shared" si="29"/>
        <v>8046</v>
      </c>
      <c r="G367" s="1378">
        <f t="shared" si="31"/>
        <v>611</v>
      </c>
      <c r="H367" s="448">
        <f t="shared" si="31"/>
        <v>4328</v>
      </c>
      <c r="I367" s="448">
        <f t="shared" si="31"/>
        <v>7152</v>
      </c>
      <c r="J367" s="447">
        <f t="shared" si="31"/>
        <v>8046</v>
      </c>
      <c r="K367" s="422"/>
      <c r="L367" s="448">
        <f t="shared" si="30"/>
        <v>18225</v>
      </c>
    </row>
    <row r="368" spans="1:13" ht="13.5">
      <c r="A368" s="448">
        <v>18250</v>
      </c>
      <c r="B368" s="447">
        <v>18300</v>
      </c>
      <c r="C368" s="1378">
        <f t="shared" si="29"/>
        <v>63</v>
      </c>
      <c r="D368" s="448">
        <f t="shared" si="29"/>
        <v>4328</v>
      </c>
      <c r="E368" s="448">
        <f t="shared" si="29"/>
        <v>7152</v>
      </c>
      <c r="F368" s="447">
        <f t="shared" si="29"/>
        <v>8046</v>
      </c>
      <c r="G368" s="1378">
        <f t="shared" si="31"/>
        <v>607</v>
      </c>
      <c r="H368" s="448">
        <f t="shared" si="31"/>
        <v>4328</v>
      </c>
      <c r="I368" s="448">
        <f t="shared" si="31"/>
        <v>7152</v>
      </c>
      <c r="J368" s="447">
        <f t="shared" si="31"/>
        <v>8046</v>
      </c>
      <c r="K368" s="422"/>
      <c r="L368" s="448">
        <f t="shared" si="30"/>
        <v>18275</v>
      </c>
    </row>
    <row r="369" spans="1:12" ht="13.5">
      <c r="A369" s="448">
        <v>18300</v>
      </c>
      <c r="B369" s="447">
        <v>18350</v>
      </c>
      <c r="C369" s="1378">
        <f t="shared" si="29"/>
        <v>60</v>
      </c>
      <c r="D369" s="448">
        <f t="shared" si="29"/>
        <v>4328</v>
      </c>
      <c r="E369" s="448">
        <f t="shared" si="29"/>
        <v>7152</v>
      </c>
      <c r="F369" s="447">
        <f t="shared" si="29"/>
        <v>8046</v>
      </c>
      <c r="G369" s="1378">
        <f t="shared" si="31"/>
        <v>603</v>
      </c>
      <c r="H369" s="448">
        <f t="shared" si="31"/>
        <v>4328</v>
      </c>
      <c r="I369" s="448">
        <f t="shared" si="31"/>
        <v>7152</v>
      </c>
      <c r="J369" s="447">
        <f t="shared" si="31"/>
        <v>8046</v>
      </c>
      <c r="K369" s="422"/>
      <c r="L369" s="448">
        <f t="shared" si="30"/>
        <v>18325</v>
      </c>
    </row>
    <row r="370" spans="1:12" ht="13.5">
      <c r="A370" s="448">
        <v>18350</v>
      </c>
      <c r="B370" s="447">
        <v>18400</v>
      </c>
      <c r="C370" s="1378">
        <f t="shared" si="29"/>
        <v>56</v>
      </c>
      <c r="D370" s="448">
        <f t="shared" si="29"/>
        <v>4328</v>
      </c>
      <c r="E370" s="448">
        <f t="shared" si="29"/>
        <v>7152</v>
      </c>
      <c r="F370" s="447">
        <f t="shared" si="29"/>
        <v>8046</v>
      </c>
      <c r="G370" s="1378">
        <f t="shared" si="31"/>
        <v>600</v>
      </c>
      <c r="H370" s="448">
        <f t="shared" si="31"/>
        <v>4328</v>
      </c>
      <c r="I370" s="448">
        <f t="shared" si="31"/>
        <v>7152</v>
      </c>
      <c r="J370" s="447">
        <f t="shared" si="31"/>
        <v>8046</v>
      </c>
      <c r="K370" s="422"/>
      <c r="L370" s="448">
        <f t="shared" si="30"/>
        <v>18375</v>
      </c>
    </row>
    <row r="371" spans="1:12" ht="13.5">
      <c r="A371" s="448">
        <v>18400</v>
      </c>
      <c r="B371" s="447">
        <v>18450</v>
      </c>
      <c r="C371" s="1378">
        <f t="shared" si="29"/>
        <v>52</v>
      </c>
      <c r="D371" s="448">
        <f t="shared" si="29"/>
        <v>4328</v>
      </c>
      <c r="E371" s="448">
        <f t="shared" si="29"/>
        <v>7152</v>
      </c>
      <c r="F371" s="447">
        <f t="shared" si="29"/>
        <v>8046</v>
      </c>
      <c r="G371" s="1378">
        <f t="shared" si="31"/>
        <v>596</v>
      </c>
      <c r="H371" s="448">
        <f t="shared" si="31"/>
        <v>4328</v>
      </c>
      <c r="I371" s="448">
        <f t="shared" si="31"/>
        <v>7152</v>
      </c>
      <c r="J371" s="447">
        <f t="shared" si="31"/>
        <v>8046</v>
      </c>
      <c r="K371" s="422"/>
      <c r="L371" s="448">
        <f t="shared" si="30"/>
        <v>18425</v>
      </c>
    </row>
    <row r="372" spans="1:12" ht="13.5">
      <c r="A372" s="448">
        <v>18450</v>
      </c>
      <c r="B372" s="447">
        <v>18500</v>
      </c>
      <c r="C372" s="1378">
        <f t="shared" si="29"/>
        <v>48</v>
      </c>
      <c r="D372" s="448">
        <f t="shared" si="29"/>
        <v>4328</v>
      </c>
      <c r="E372" s="448">
        <f t="shared" si="29"/>
        <v>7152</v>
      </c>
      <c r="F372" s="447">
        <f t="shared" si="29"/>
        <v>8046</v>
      </c>
      <c r="G372" s="1378">
        <f t="shared" si="31"/>
        <v>592</v>
      </c>
      <c r="H372" s="448">
        <f t="shared" si="31"/>
        <v>4328</v>
      </c>
      <c r="I372" s="448">
        <f t="shared" si="31"/>
        <v>7152</v>
      </c>
      <c r="J372" s="447">
        <f t="shared" si="31"/>
        <v>8046</v>
      </c>
      <c r="K372" s="422"/>
      <c r="L372" s="448">
        <f t="shared" si="30"/>
        <v>18475</v>
      </c>
    </row>
    <row r="373" spans="1:12" ht="13.5">
      <c r="A373" s="448">
        <v>18500</v>
      </c>
      <c r="B373" s="447">
        <v>18550</v>
      </c>
      <c r="C373" s="1378">
        <f t="shared" si="29"/>
        <v>44</v>
      </c>
      <c r="D373" s="448">
        <f t="shared" si="29"/>
        <v>4328</v>
      </c>
      <c r="E373" s="448">
        <f t="shared" si="29"/>
        <v>7152</v>
      </c>
      <c r="F373" s="447">
        <f t="shared" si="29"/>
        <v>8046</v>
      </c>
      <c r="G373" s="1378">
        <f t="shared" si="31"/>
        <v>588</v>
      </c>
      <c r="H373" s="448">
        <f t="shared" si="31"/>
        <v>4328</v>
      </c>
      <c r="I373" s="448">
        <f t="shared" si="31"/>
        <v>7152</v>
      </c>
      <c r="J373" s="447">
        <f t="shared" si="31"/>
        <v>8046</v>
      </c>
      <c r="K373" s="422"/>
      <c r="L373" s="448">
        <f t="shared" si="30"/>
        <v>18525</v>
      </c>
    </row>
    <row r="374" spans="1:12" ht="13.5">
      <c r="A374" s="448">
        <v>18550</v>
      </c>
      <c r="B374" s="447">
        <v>18600</v>
      </c>
      <c r="C374" s="1378">
        <f t="shared" si="29"/>
        <v>40</v>
      </c>
      <c r="D374" s="448">
        <f t="shared" si="29"/>
        <v>4328</v>
      </c>
      <c r="E374" s="448">
        <f t="shared" si="29"/>
        <v>7152</v>
      </c>
      <c r="F374" s="447">
        <f t="shared" si="29"/>
        <v>8046</v>
      </c>
      <c r="G374" s="1378">
        <f t="shared" si="31"/>
        <v>584</v>
      </c>
      <c r="H374" s="448">
        <f t="shared" si="31"/>
        <v>4328</v>
      </c>
      <c r="I374" s="448">
        <f t="shared" si="31"/>
        <v>7152</v>
      </c>
      <c r="J374" s="447">
        <f t="shared" si="31"/>
        <v>8046</v>
      </c>
      <c r="K374" s="422"/>
      <c r="L374" s="448">
        <f t="shared" si="30"/>
        <v>18575</v>
      </c>
    </row>
    <row r="375" spans="1:12" ht="13.5">
      <c r="A375" s="448">
        <v>18600</v>
      </c>
      <c r="B375" s="447">
        <v>18650</v>
      </c>
      <c r="C375" s="1378">
        <f t="shared" si="29"/>
        <v>37</v>
      </c>
      <c r="D375" s="448">
        <f t="shared" si="29"/>
        <v>4328</v>
      </c>
      <c r="E375" s="448">
        <f t="shared" si="29"/>
        <v>7152</v>
      </c>
      <c r="F375" s="447">
        <f t="shared" si="29"/>
        <v>8046</v>
      </c>
      <c r="G375" s="1378">
        <f t="shared" si="31"/>
        <v>581</v>
      </c>
      <c r="H375" s="448">
        <f t="shared" si="31"/>
        <v>4328</v>
      </c>
      <c r="I375" s="448">
        <f t="shared" si="31"/>
        <v>7152</v>
      </c>
      <c r="J375" s="447">
        <f t="shared" si="31"/>
        <v>8046</v>
      </c>
      <c r="K375" s="422"/>
      <c r="L375" s="448">
        <f t="shared" si="30"/>
        <v>18625</v>
      </c>
    </row>
    <row r="376" spans="1:12" ht="13.5">
      <c r="A376" s="448">
        <v>18650</v>
      </c>
      <c r="B376" s="447">
        <v>18700</v>
      </c>
      <c r="C376" s="1378">
        <f t="shared" si="29"/>
        <v>33</v>
      </c>
      <c r="D376" s="448">
        <f t="shared" si="29"/>
        <v>4328</v>
      </c>
      <c r="E376" s="448">
        <f t="shared" si="29"/>
        <v>7152</v>
      </c>
      <c r="F376" s="447">
        <f t="shared" si="29"/>
        <v>8046</v>
      </c>
      <c r="G376" s="1378">
        <f t="shared" si="31"/>
        <v>577</v>
      </c>
      <c r="H376" s="448">
        <f t="shared" si="31"/>
        <v>4328</v>
      </c>
      <c r="I376" s="448">
        <f t="shared" si="31"/>
        <v>7152</v>
      </c>
      <c r="J376" s="447">
        <f t="shared" si="31"/>
        <v>8046</v>
      </c>
      <c r="K376" s="422"/>
      <c r="L376" s="448">
        <f t="shared" si="30"/>
        <v>18675</v>
      </c>
    </row>
    <row r="377" spans="1:12" ht="13.5">
      <c r="A377" s="448">
        <v>18700</v>
      </c>
      <c r="B377" s="447">
        <v>18750</v>
      </c>
      <c r="C377" s="1378">
        <f t="shared" si="29"/>
        <v>29</v>
      </c>
      <c r="D377" s="448">
        <f t="shared" si="29"/>
        <v>4328</v>
      </c>
      <c r="E377" s="448">
        <f t="shared" si="29"/>
        <v>7152</v>
      </c>
      <c r="F377" s="447">
        <f t="shared" si="29"/>
        <v>8046</v>
      </c>
      <c r="G377" s="1378">
        <f t="shared" si="31"/>
        <v>573</v>
      </c>
      <c r="H377" s="448">
        <f t="shared" si="31"/>
        <v>4328</v>
      </c>
      <c r="I377" s="448">
        <f t="shared" si="31"/>
        <v>7152</v>
      </c>
      <c r="J377" s="447">
        <f t="shared" si="31"/>
        <v>8046</v>
      </c>
      <c r="K377" s="422"/>
      <c r="L377" s="448">
        <f t="shared" si="30"/>
        <v>18725</v>
      </c>
    </row>
    <row r="378" spans="1:12" ht="13.5">
      <c r="A378" s="448">
        <v>18750</v>
      </c>
      <c r="B378" s="447">
        <v>18800</v>
      </c>
      <c r="C378" s="1378">
        <f t="shared" si="29"/>
        <v>25</v>
      </c>
      <c r="D378" s="448">
        <f t="shared" si="29"/>
        <v>4328</v>
      </c>
      <c r="E378" s="448">
        <f t="shared" si="29"/>
        <v>7152</v>
      </c>
      <c r="F378" s="447">
        <f t="shared" si="29"/>
        <v>8046</v>
      </c>
      <c r="G378" s="1378">
        <f t="shared" si="31"/>
        <v>569</v>
      </c>
      <c r="H378" s="448">
        <f t="shared" si="31"/>
        <v>4328</v>
      </c>
      <c r="I378" s="448">
        <f t="shared" si="31"/>
        <v>7152</v>
      </c>
      <c r="J378" s="447">
        <f t="shared" si="31"/>
        <v>8046</v>
      </c>
      <c r="K378" s="422"/>
      <c r="L378" s="448">
        <f t="shared" si="30"/>
        <v>18775</v>
      </c>
    </row>
    <row r="379" spans="1:12" ht="13.5">
      <c r="A379" s="448">
        <v>18800</v>
      </c>
      <c r="B379" s="447">
        <v>18850</v>
      </c>
      <c r="C379" s="1378">
        <f t="shared" si="29"/>
        <v>21</v>
      </c>
      <c r="D379" s="448">
        <f t="shared" si="29"/>
        <v>4328</v>
      </c>
      <c r="E379" s="448">
        <f t="shared" si="29"/>
        <v>7152</v>
      </c>
      <c r="F379" s="447">
        <f t="shared" si="29"/>
        <v>8046</v>
      </c>
      <c r="G379" s="1378">
        <f t="shared" si="31"/>
        <v>565</v>
      </c>
      <c r="H379" s="448">
        <f t="shared" si="31"/>
        <v>4328</v>
      </c>
      <c r="I379" s="448">
        <f t="shared" si="31"/>
        <v>7152</v>
      </c>
      <c r="J379" s="447">
        <f t="shared" si="31"/>
        <v>8046</v>
      </c>
      <c r="K379" s="422"/>
      <c r="L379" s="448">
        <f t="shared" si="30"/>
        <v>18825</v>
      </c>
    </row>
    <row r="380" spans="1:12" ht="13.5">
      <c r="A380" s="448">
        <v>18850</v>
      </c>
      <c r="B380" s="447">
        <v>18900</v>
      </c>
      <c r="C380" s="1378">
        <f t="shared" si="29"/>
        <v>18</v>
      </c>
      <c r="D380" s="448">
        <f t="shared" si="29"/>
        <v>4328</v>
      </c>
      <c r="E380" s="448">
        <f t="shared" si="29"/>
        <v>7152</v>
      </c>
      <c r="F380" s="447">
        <f t="shared" si="29"/>
        <v>8046</v>
      </c>
      <c r="G380" s="1378">
        <f t="shared" si="31"/>
        <v>561</v>
      </c>
      <c r="H380" s="448">
        <f t="shared" si="31"/>
        <v>4328</v>
      </c>
      <c r="I380" s="448">
        <f t="shared" si="31"/>
        <v>7152</v>
      </c>
      <c r="J380" s="447">
        <f t="shared" si="31"/>
        <v>8046</v>
      </c>
      <c r="K380" s="422"/>
      <c r="L380" s="448">
        <f t="shared" si="30"/>
        <v>18875</v>
      </c>
    </row>
    <row r="381" spans="1:12" ht="13.5">
      <c r="A381" s="448">
        <v>18900</v>
      </c>
      <c r="B381" s="447">
        <v>18950</v>
      </c>
      <c r="C381" s="1378">
        <f t="shared" ref="C381:J430" si="32">IF($L381&gt;N$5,MAX(0,N$3+ROUND((N$9*($L381-N$5)),0)),IF($L381&gt;N$4,N$3,ROUND($L381*N$7,0)))</f>
        <v>14</v>
      </c>
      <c r="D381" s="448">
        <f t="shared" si="32"/>
        <v>4328</v>
      </c>
      <c r="E381" s="448">
        <f t="shared" si="32"/>
        <v>7152</v>
      </c>
      <c r="F381" s="447">
        <f t="shared" si="32"/>
        <v>8046</v>
      </c>
      <c r="G381" s="1378">
        <f t="shared" si="31"/>
        <v>558</v>
      </c>
      <c r="H381" s="448">
        <f t="shared" si="31"/>
        <v>4328</v>
      </c>
      <c r="I381" s="448">
        <f t="shared" si="31"/>
        <v>7152</v>
      </c>
      <c r="J381" s="447">
        <f t="shared" si="31"/>
        <v>8046</v>
      </c>
      <c r="K381" s="422"/>
      <c r="L381" s="448">
        <f t="shared" si="30"/>
        <v>18925</v>
      </c>
    </row>
    <row r="382" spans="1:12" ht="13.5">
      <c r="A382" s="448">
        <v>18950</v>
      </c>
      <c r="B382" s="447">
        <v>19000</v>
      </c>
      <c r="C382" s="1378">
        <f t="shared" si="32"/>
        <v>10</v>
      </c>
      <c r="D382" s="448">
        <f t="shared" si="32"/>
        <v>4328</v>
      </c>
      <c r="E382" s="448">
        <f t="shared" si="32"/>
        <v>7152</v>
      </c>
      <c r="F382" s="447">
        <f t="shared" si="32"/>
        <v>8046</v>
      </c>
      <c r="G382" s="1378">
        <f t="shared" si="31"/>
        <v>554</v>
      </c>
      <c r="H382" s="448">
        <f t="shared" si="31"/>
        <v>4328</v>
      </c>
      <c r="I382" s="448">
        <f t="shared" si="31"/>
        <v>7152</v>
      </c>
      <c r="J382" s="447">
        <f t="shared" si="31"/>
        <v>8046</v>
      </c>
      <c r="K382" s="422"/>
      <c r="L382" s="448">
        <f t="shared" si="30"/>
        <v>18975</v>
      </c>
    </row>
    <row r="383" spans="1:12" ht="13.5">
      <c r="A383" s="448">
        <v>19000</v>
      </c>
      <c r="B383" s="447">
        <v>19050</v>
      </c>
      <c r="C383" s="1378">
        <f t="shared" si="32"/>
        <v>6</v>
      </c>
      <c r="D383" s="448">
        <f t="shared" si="32"/>
        <v>4328</v>
      </c>
      <c r="E383" s="448">
        <f t="shared" si="32"/>
        <v>7152</v>
      </c>
      <c r="F383" s="447">
        <f t="shared" si="32"/>
        <v>8046</v>
      </c>
      <c r="G383" s="1378">
        <f t="shared" si="31"/>
        <v>550</v>
      </c>
      <c r="H383" s="448">
        <f t="shared" si="31"/>
        <v>4328</v>
      </c>
      <c r="I383" s="448">
        <f t="shared" si="31"/>
        <v>7152</v>
      </c>
      <c r="J383" s="447">
        <f t="shared" si="31"/>
        <v>8046</v>
      </c>
      <c r="K383" s="422"/>
      <c r="L383" s="448">
        <f t="shared" si="30"/>
        <v>19025</v>
      </c>
    </row>
    <row r="384" spans="1:12" ht="14.25" thickBot="1">
      <c r="A384" s="448">
        <v>19050</v>
      </c>
      <c r="B384" s="447">
        <v>19100</v>
      </c>
      <c r="C384" s="1378">
        <f t="shared" si="32"/>
        <v>2</v>
      </c>
      <c r="D384" s="448">
        <f t="shared" si="32"/>
        <v>4328</v>
      </c>
      <c r="E384" s="448">
        <f t="shared" si="32"/>
        <v>7152</v>
      </c>
      <c r="F384" s="447">
        <f t="shared" si="32"/>
        <v>8046</v>
      </c>
      <c r="G384" s="1378">
        <f t="shared" si="31"/>
        <v>546</v>
      </c>
      <c r="H384" s="448">
        <f t="shared" si="31"/>
        <v>4328</v>
      </c>
      <c r="I384" s="448">
        <f t="shared" si="31"/>
        <v>7152</v>
      </c>
      <c r="J384" s="447">
        <f t="shared" si="31"/>
        <v>8046</v>
      </c>
      <c r="K384" s="422"/>
      <c r="L384" s="448">
        <f t="shared" si="30"/>
        <v>19075</v>
      </c>
    </row>
    <row r="385" spans="1:18" ht="13.5">
      <c r="A385" s="6558">
        <v>19100</v>
      </c>
      <c r="B385" s="6559">
        <v>19104</v>
      </c>
      <c r="C385" s="1378">
        <f t="shared" si="32"/>
        <v>0</v>
      </c>
      <c r="D385" s="448">
        <f t="shared" si="32"/>
        <v>4328</v>
      </c>
      <c r="E385" s="448">
        <f t="shared" si="32"/>
        <v>7152</v>
      </c>
      <c r="F385" s="447">
        <f t="shared" si="32"/>
        <v>8046</v>
      </c>
      <c r="G385" s="1378">
        <f t="shared" si="31"/>
        <v>544</v>
      </c>
      <c r="H385" s="448">
        <f t="shared" si="31"/>
        <v>4328</v>
      </c>
      <c r="I385" s="448">
        <f t="shared" si="31"/>
        <v>7152</v>
      </c>
      <c r="J385" s="447">
        <f t="shared" si="31"/>
        <v>8046</v>
      </c>
      <c r="K385" s="422"/>
      <c r="L385" s="448">
        <f t="shared" si="30"/>
        <v>19102</v>
      </c>
    </row>
    <row r="386" spans="1:18" ht="14.25" thickBot="1">
      <c r="A386" s="6560">
        <v>19104</v>
      </c>
      <c r="B386" s="6561">
        <v>19150</v>
      </c>
      <c r="C386" s="1378">
        <f>IF($L386&gt;N$5,MAX(0,N$3+ROUND((N$9*($L386-N$5)),0)),IF($L386&gt;N$4,N$3,ROUND($L386*N$7,0)))</f>
        <v>0</v>
      </c>
      <c r="D386" s="6562">
        <v>4328</v>
      </c>
      <c r="E386" s="6562">
        <v>7152</v>
      </c>
      <c r="F386" s="6563">
        <v>8046</v>
      </c>
      <c r="G386" s="6564">
        <v>544</v>
      </c>
      <c r="H386" s="6562">
        <v>4328</v>
      </c>
      <c r="I386" s="6562">
        <v>7152</v>
      </c>
      <c r="J386" s="6563">
        <v>8046</v>
      </c>
      <c r="K386" s="422"/>
      <c r="L386" s="448">
        <f>ROUND((A386+B386)/2,2)</f>
        <v>19127</v>
      </c>
    </row>
    <row r="387" spans="1:18" ht="13.5">
      <c r="A387" s="448">
        <v>19150</v>
      </c>
      <c r="B387" s="447">
        <v>19200</v>
      </c>
      <c r="C387" s="1378">
        <f t="shared" si="32"/>
        <v>0</v>
      </c>
      <c r="D387" s="448">
        <f t="shared" si="32"/>
        <v>4328</v>
      </c>
      <c r="E387" s="448">
        <f t="shared" si="32"/>
        <v>7152</v>
      </c>
      <c r="F387" s="447">
        <f t="shared" si="32"/>
        <v>8046</v>
      </c>
      <c r="G387" s="1378">
        <f t="shared" si="31"/>
        <v>538</v>
      </c>
      <c r="H387" s="448">
        <f t="shared" si="31"/>
        <v>4328</v>
      </c>
      <c r="I387" s="448">
        <f t="shared" si="31"/>
        <v>7152</v>
      </c>
      <c r="J387" s="447">
        <f t="shared" si="31"/>
        <v>8046</v>
      </c>
      <c r="K387" s="422"/>
      <c r="L387" s="448">
        <f t="shared" si="30"/>
        <v>19175</v>
      </c>
    </row>
    <row r="388" spans="1:18" ht="13.5">
      <c r="A388" s="448">
        <v>19200</v>
      </c>
      <c r="B388" s="447">
        <v>19250</v>
      </c>
      <c r="C388" s="1378">
        <f t="shared" si="32"/>
        <v>0</v>
      </c>
      <c r="D388" s="448">
        <f t="shared" si="32"/>
        <v>4328</v>
      </c>
      <c r="E388" s="448">
        <f t="shared" si="32"/>
        <v>7152</v>
      </c>
      <c r="F388" s="447">
        <f t="shared" si="32"/>
        <v>8046</v>
      </c>
      <c r="G388" s="1378">
        <f t="shared" si="31"/>
        <v>535</v>
      </c>
      <c r="H388" s="448">
        <f t="shared" si="31"/>
        <v>4328</v>
      </c>
      <c r="I388" s="448">
        <f t="shared" si="31"/>
        <v>7152</v>
      </c>
      <c r="J388" s="447">
        <f t="shared" si="31"/>
        <v>8046</v>
      </c>
      <c r="K388" s="422"/>
      <c r="L388" s="448">
        <f t="shared" si="30"/>
        <v>19225</v>
      </c>
    </row>
    <row r="389" spans="1:18" ht="13.5">
      <c r="A389" s="448">
        <v>19250</v>
      </c>
      <c r="B389" s="447">
        <v>19300</v>
      </c>
      <c r="C389" s="1378">
        <f t="shared" si="32"/>
        <v>0</v>
      </c>
      <c r="D389" s="448">
        <f t="shared" si="32"/>
        <v>4328</v>
      </c>
      <c r="E389" s="448">
        <f t="shared" si="32"/>
        <v>7152</v>
      </c>
      <c r="F389" s="447">
        <f t="shared" si="32"/>
        <v>8046</v>
      </c>
      <c r="G389" s="1378">
        <f t="shared" si="31"/>
        <v>531</v>
      </c>
      <c r="H389" s="448">
        <f t="shared" si="31"/>
        <v>4328</v>
      </c>
      <c r="I389" s="448">
        <f t="shared" si="31"/>
        <v>7152</v>
      </c>
      <c r="J389" s="447">
        <f t="shared" si="31"/>
        <v>8046</v>
      </c>
      <c r="K389" s="422"/>
      <c r="L389" s="448">
        <f t="shared" si="30"/>
        <v>19275</v>
      </c>
    </row>
    <row r="390" spans="1:18" ht="13.5">
      <c r="A390" s="448">
        <v>19300</v>
      </c>
      <c r="B390" s="447">
        <v>19350</v>
      </c>
      <c r="C390" s="1378">
        <f t="shared" si="32"/>
        <v>0</v>
      </c>
      <c r="D390" s="448">
        <f t="shared" si="32"/>
        <v>4328</v>
      </c>
      <c r="E390" s="448">
        <f t="shared" si="32"/>
        <v>7152</v>
      </c>
      <c r="F390" s="447">
        <f t="shared" si="32"/>
        <v>8046</v>
      </c>
      <c r="G390" s="1378">
        <f t="shared" si="31"/>
        <v>527</v>
      </c>
      <c r="H390" s="448">
        <f t="shared" si="31"/>
        <v>4328</v>
      </c>
      <c r="I390" s="448">
        <f t="shared" si="31"/>
        <v>7152</v>
      </c>
      <c r="J390" s="447">
        <f t="shared" si="31"/>
        <v>8046</v>
      </c>
      <c r="K390" s="422"/>
      <c r="L390" s="448">
        <f t="shared" ref="L390:L453" si="33">ROUND((A390+B390)/2,2)</f>
        <v>19325</v>
      </c>
    </row>
    <row r="391" spans="1:18" ht="13.5">
      <c r="A391" s="448">
        <v>19350</v>
      </c>
      <c r="B391" s="447">
        <v>19400</v>
      </c>
      <c r="C391" s="1378">
        <f t="shared" si="32"/>
        <v>0</v>
      </c>
      <c r="D391" s="448">
        <f t="shared" si="32"/>
        <v>4328</v>
      </c>
      <c r="E391" s="448">
        <f t="shared" si="32"/>
        <v>7152</v>
      </c>
      <c r="F391" s="447">
        <f t="shared" si="32"/>
        <v>8046</v>
      </c>
      <c r="G391" s="1378">
        <f t="shared" si="31"/>
        <v>523</v>
      </c>
      <c r="H391" s="448">
        <f t="shared" si="31"/>
        <v>4328</v>
      </c>
      <c r="I391" s="448">
        <f t="shared" si="31"/>
        <v>7152</v>
      </c>
      <c r="J391" s="447">
        <f t="shared" si="31"/>
        <v>8046</v>
      </c>
      <c r="K391" s="422"/>
      <c r="L391" s="448">
        <f t="shared" si="33"/>
        <v>19375</v>
      </c>
    </row>
    <row r="392" spans="1:18" ht="13.5">
      <c r="A392" s="448">
        <v>19400</v>
      </c>
      <c r="B392" s="447">
        <v>19450</v>
      </c>
      <c r="C392" s="1378">
        <f t="shared" si="32"/>
        <v>0</v>
      </c>
      <c r="D392" s="448">
        <f t="shared" si="32"/>
        <v>4328</v>
      </c>
      <c r="E392" s="448">
        <f t="shared" si="32"/>
        <v>7152</v>
      </c>
      <c r="F392" s="447">
        <f t="shared" si="32"/>
        <v>8046</v>
      </c>
      <c r="G392" s="1378">
        <f t="shared" si="31"/>
        <v>519</v>
      </c>
      <c r="H392" s="448">
        <f t="shared" si="31"/>
        <v>4328</v>
      </c>
      <c r="I392" s="448">
        <f t="shared" si="31"/>
        <v>7152</v>
      </c>
      <c r="J392" s="447">
        <f t="shared" si="31"/>
        <v>8046</v>
      </c>
      <c r="K392" s="422"/>
      <c r="L392" s="448">
        <f t="shared" si="33"/>
        <v>19425</v>
      </c>
    </row>
    <row r="393" spans="1:18" ht="13.5">
      <c r="A393" s="448">
        <v>19450</v>
      </c>
      <c r="B393" s="447">
        <v>19500</v>
      </c>
      <c r="C393" s="1378">
        <f t="shared" si="32"/>
        <v>0</v>
      </c>
      <c r="D393" s="448">
        <f t="shared" si="32"/>
        <v>4328</v>
      </c>
      <c r="E393" s="448">
        <f t="shared" si="32"/>
        <v>7152</v>
      </c>
      <c r="F393" s="447">
        <f t="shared" si="32"/>
        <v>8046</v>
      </c>
      <c r="G393" s="1378">
        <f t="shared" si="31"/>
        <v>516</v>
      </c>
      <c r="H393" s="448">
        <f t="shared" si="31"/>
        <v>4328</v>
      </c>
      <c r="I393" s="448">
        <f t="shared" si="31"/>
        <v>7152</v>
      </c>
      <c r="J393" s="447">
        <f t="shared" si="31"/>
        <v>8046</v>
      </c>
      <c r="K393" s="422"/>
      <c r="L393" s="448">
        <f t="shared" si="33"/>
        <v>19475</v>
      </c>
    </row>
    <row r="394" spans="1:18" ht="13.5">
      <c r="A394" s="448">
        <v>19500</v>
      </c>
      <c r="B394" s="447">
        <v>19550</v>
      </c>
      <c r="C394" s="1378">
        <f t="shared" si="32"/>
        <v>0</v>
      </c>
      <c r="D394" s="448">
        <f t="shared" si="32"/>
        <v>4328</v>
      </c>
      <c r="E394" s="448">
        <f t="shared" si="32"/>
        <v>7152</v>
      </c>
      <c r="F394" s="447">
        <f t="shared" si="32"/>
        <v>8046</v>
      </c>
      <c r="G394" s="1378">
        <f t="shared" si="31"/>
        <v>512</v>
      </c>
      <c r="H394" s="448">
        <f t="shared" si="31"/>
        <v>4328</v>
      </c>
      <c r="I394" s="448">
        <f t="shared" si="31"/>
        <v>7152</v>
      </c>
      <c r="J394" s="447">
        <f t="shared" si="31"/>
        <v>8046</v>
      </c>
      <c r="K394" s="422"/>
      <c r="L394" s="448">
        <f t="shared" si="33"/>
        <v>19525</v>
      </c>
    </row>
    <row r="395" spans="1:18" ht="13.5">
      <c r="A395" s="448">
        <v>19550</v>
      </c>
      <c r="B395" s="447">
        <v>19600</v>
      </c>
      <c r="C395" s="1378">
        <f t="shared" si="32"/>
        <v>0</v>
      </c>
      <c r="D395" s="448">
        <f t="shared" si="32"/>
        <v>4328</v>
      </c>
      <c r="E395" s="448">
        <f t="shared" si="32"/>
        <v>7152</v>
      </c>
      <c r="F395" s="447">
        <f t="shared" si="32"/>
        <v>8046</v>
      </c>
      <c r="G395" s="1378">
        <f t="shared" si="31"/>
        <v>508</v>
      </c>
      <c r="H395" s="448">
        <f t="shared" si="31"/>
        <v>4328</v>
      </c>
      <c r="I395" s="448">
        <f t="shared" si="31"/>
        <v>7152</v>
      </c>
      <c r="J395" s="447">
        <f t="shared" si="31"/>
        <v>8046</v>
      </c>
      <c r="K395" s="422"/>
      <c r="L395" s="448">
        <f t="shared" si="33"/>
        <v>19575</v>
      </c>
      <c r="M395" s="2866"/>
      <c r="N395" s="2866"/>
      <c r="O395" s="2867"/>
      <c r="Q395" s="448"/>
      <c r="R395" s="448"/>
    </row>
    <row r="396" spans="1:18" ht="13.5">
      <c r="A396" s="448">
        <v>19600</v>
      </c>
      <c r="B396" s="447">
        <v>19650</v>
      </c>
      <c r="C396" s="1378">
        <f t="shared" si="32"/>
        <v>0</v>
      </c>
      <c r="D396" s="448">
        <f t="shared" si="32"/>
        <v>4328</v>
      </c>
      <c r="E396" s="448">
        <f t="shared" si="32"/>
        <v>7152</v>
      </c>
      <c r="F396" s="447">
        <f t="shared" si="32"/>
        <v>8046</v>
      </c>
      <c r="G396" s="1378">
        <f t="shared" si="31"/>
        <v>504</v>
      </c>
      <c r="H396" s="448">
        <f t="shared" si="31"/>
        <v>4328</v>
      </c>
      <c r="I396" s="448">
        <f t="shared" si="31"/>
        <v>7152</v>
      </c>
      <c r="J396" s="447">
        <f t="shared" si="31"/>
        <v>8046</v>
      </c>
      <c r="K396" s="422"/>
      <c r="L396" s="448">
        <f t="shared" si="33"/>
        <v>19625</v>
      </c>
      <c r="M396" s="2866"/>
      <c r="N396" s="2866"/>
      <c r="O396" s="2867"/>
      <c r="Q396" s="448"/>
      <c r="R396" s="448"/>
    </row>
    <row r="397" spans="1:18" ht="13.5">
      <c r="A397" s="448">
        <v>19650</v>
      </c>
      <c r="B397" s="447">
        <v>19700</v>
      </c>
      <c r="C397" s="1378">
        <f t="shared" si="32"/>
        <v>0</v>
      </c>
      <c r="D397" s="448">
        <f t="shared" si="32"/>
        <v>4328</v>
      </c>
      <c r="E397" s="448">
        <f t="shared" si="32"/>
        <v>7152</v>
      </c>
      <c r="F397" s="447">
        <f t="shared" si="32"/>
        <v>8046</v>
      </c>
      <c r="G397" s="1378">
        <f t="shared" si="31"/>
        <v>500</v>
      </c>
      <c r="H397" s="448">
        <f t="shared" si="31"/>
        <v>4328</v>
      </c>
      <c r="I397" s="448">
        <f t="shared" si="31"/>
        <v>7152</v>
      </c>
      <c r="J397" s="447">
        <f t="shared" si="31"/>
        <v>8046</v>
      </c>
      <c r="K397" s="422"/>
      <c r="L397" s="448">
        <f t="shared" si="33"/>
        <v>19675</v>
      </c>
      <c r="M397" s="2866"/>
      <c r="N397" s="2866"/>
      <c r="O397" s="2867"/>
      <c r="Q397" s="448"/>
      <c r="R397" s="448"/>
    </row>
    <row r="398" spans="1:18" ht="13.5">
      <c r="A398" s="448">
        <v>19700</v>
      </c>
      <c r="B398" s="447">
        <v>19750</v>
      </c>
      <c r="C398" s="1378">
        <f t="shared" si="32"/>
        <v>0</v>
      </c>
      <c r="D398" s="448">
        <f t="shared" si="32"/>
        <v>4328</v>
      </c>
      <c r="E398" s="448">
        <f t="shared" si="32"/>
        <v>7152</v>
      </c>
      <c r="F398" s="447">
        <f t="shared" si="32"/>
        <v>8046</v>
      </c>
      <c r="G398" s="1378">
        <f t="shared" si="31"/>
        <v>496</v>
      </c>
      <c r="H398" s="448">
        <f t="shared" si="31"/>
        <v>4328</v>
      </c>
      <c r="I398" s="448">
        <f t="shared" si="31"/>
        <v>7152</v>
      </c>
      <c r="J398" s="447">
        <f t="shared" si="31"/>
        <v>8046</v>
      </c>
      <c r="K398" s="422"/>
      <c r="L398" s="448">
        <f t="shared" si="33"/>
        <v>19725</v>
      </c>
      <c r="M398" s="2866"/>
      <c r="N398" s="2866"/>
      <c r="O398" s="2867"/>
      <c r="Q398" s="448"/>
      <c r="R398" s="448"/>
    </row>
    <row r="399" spans="1:18" ht="13.5">
      <c r="A399" s="448">
        <v>19750</v>
      </c>
      <c r="B399" s="447">
        <v>19800</v>
      </c>
      <c r="C399" s="1378">
        <f t="shared" si="32"/>
        <v>0</v>
      </c>
      <c r="D399" s="448">
        <f t="shared" si="32"/>
        <v>4328</v>
      </c>
      <c r="E399" s="448">
        <f t="shared" si="32"/>
        <v>7152</v>
      </c>
      <c r="F399" s="447">
        <f t="shared" si="32"/>
        <v>8046</v>
      </c>
      <c r="G399" s="1378">
        <f t="shared" si="31"/>
        <v>493</v>
      </c>
      <c r="H399" s="448">
        <f t="shared" si="31"/>
        <v>4328</v>
      </c>
      <c r="I399" s="448">
        <f t="shared" si="31"/>
        <v>7152</v>
      </c>
      <c r="J399" s="447">
        <f t="shared" si="31"/>
        <v>8046</v>
      </c>
      <c r="K399" s="422"/>
      <c r="L399" s="448">
        <f t="shared" si="33"/>
        <v>19775</v>
      </c>
      <c r="M399" s="2866"/>
      <c r="N399" s="2866"/>
      <c r="O399" s="2867"/>
      <c r="Q399" s="448"/>
      <c r="R399" s="448"/>
    </row>
    <row r="400" spans="1:18" ht="13.5">
      <c r="A400" s="448">
        <v>19800</v>
      </c>
      <c r="B400" s="447">
        <v>19850</v>
      </c>
      <c r="C400" s="1378">
        <f t="shared" si="32"/>
        <v>0</v>
      </c>
      <c r="D400" s="448">
        <f t="shared" si="32"/>
        <v>4328</v>
      </c>
      <c r="E400" s="448">
        <f t="shared" si="32"/>
        <v>7152</v>
      </c>
      <c r="F400" s="447">
        <f t="shared" si="32"/>
        <v>8046</v>
      </c>
      <c r="G400" s="1378">
        <f t="shared" si="31"/>
        <v>489</v>
      </c>
      <c r="H400" s="448">
        <f t="shared" si="31"/>
        <v>4328</v>
      </c>
      <c r="I400" s="448">
        <f t="shared" si="31"/>
        <v>7152</v>
      </c>
      <c r="J400" s="447">
        <f t="shared" si="31"/>
        <v>8046</v>
      </c>
      <c r="K400" s="422"/>
      <c r="L400" s="448">
        <f t="shared" si="33"/>
        <v>19825</v>
      </c>
      <c r="M400" s="2866"/>
      <c r="N400" s="2866"/>
      <c r="O400" s="2867"/>
      <c r="Q400" s="448"/>
      <c r="R400" s="448"/>
    </row>
    <row r="401" spans="1:18" ht="13.5">
      <c r="A401" s="448">
        <v>19850</v>
      </c>
      <c r="B401" s="447">
        <v>19900</v>
      </c>
      <c r="C401" s="1378">
        <f t="shared" si="32"/>
        <v>0</v>
      </c>
      <c r="D401" s="448">
        <f t="shared" si="32"/>
        <v>4328</v>
      </c>
      <c r="E401" s="448">
        <f t="shared" si="32"/>
        <v>7152</v>
      </c>
      <c r="F401" s="447">
        <f t="shared" si="32"/>
        <v>8046</v>
      </c>
      <c r="G401" s="1378">
        <f t="shared" si="31"/>
        <v>485</v>
      </c>
      <c r="H401" s="448">
        <f t="shared" si="31"/>
        <v>4328</v>
      </c>
      <c r="I401" s="448">
        <f t="shared" si="31"/>
        <v>7152</v>
      </c>
      <c r="J401" s="447">
        <f t="shared" si="31"/>
        <v>8046</v>
      </c>
      <c r="K401" s="422"/>
      <c r="L401" s="448">
        <f t="shared" si="33"/>
        <v>19875</v>
      </c>
      <c r="M401" s="2866"/>
      <c r="N401" s="2866"/>
      <c r="O401" s="2867"/>
      <c r="Q401" s="448"/>
      <c r="R401" s="448"/>
    </row>
    <row r="402" spans="1:18" ht="13.5">
      <c r="A402" s="448">
        <v>19900</v>
      </c>
      <c r="B402" s="447">
        <v>19950</v>
      </c>
      <c r="C402" s="1378">
        <f t="shared" si="32"/>
        <v>0</v>
      </c>
      <c r="D402" s="448">
        <f t="shared" si="32"/>
        <v>4328</v>
      </c>
      <c r="E402" s="448">
        <f t="shared" si="32"/>
        <v>7152</v>
      </c>
      <c r="F402" s="447">
        <f t="shared" si="32"/>
        <v>8046</v>
      </c>
      <c r="G402" s="1378">
        <f t="shared" si="31"/>
        <v>481</v>
      </c>
      <c r="H402" s="448">
        <f t="shared" si="31"/>
        <v>4328</v>
      </c>
      <c r="I402" s="448">
        <f t="shared" si="31"/>
        <v>7152</v>
      </c>
      <c r="J402" s="447">
        <f t="shared" si="31"/>
        <v>8046</v>
      </c>
      <c r="K402" s="422"/>
      <c r="L402" s="448">
        <f t="shared" si="33"/>
        <v>19925</v>
      </c>
      <c r="M402" s="2866"/>
      <c r="N402" s="2866"/>
      <c r="O402" s="2867"/>
      <c r="Q402" s="448"/>
      <c r="R402" s="448"/>
    </row>
    <row r="403" spans="1:18" ht="13.5">
      <c r="A403" s="448">
        <v>19950</v>
      </c>
      <c r="B403" s="447">
        <v>20000</v>
      </c>
      <c r="C403" s="1378">
        <f t="shared" si="32"/>
        <v>0</v>
      </c>
      <c r="D403" s="448">
        <f t="shared" si="32"/>
        <v>4328</v>
      </c>
      <c r="E403" s="448">
        <f t="shared" si="32"/>
        <v>7152</v>
      </c>
      <c r="F403" s="447">
        <f t="shared" si="32"/>
        <v>8046</v>
      </c>
      <c r="G403" s="1378">
        <f t="shared" si="31"/>
        <v>477</v>
      </c>
      <c r="H403" s="448">
        <f t="shared" si="31"/>
        <v>4328</v>
      </c>
      <c r="I403" s="448">
        <f t="shared" si="31"/>
        <v>7152</v>
      </c>
      <c r="J403" s="447">
        <f t="shared" si="31"/>
        <v>8046</v>
      </c>
      <c r="K403" s="422"/>
      <c r="L403" s="448">
        <f t="shared" si="33"/>
        <v>19975</v>
      </c>
      <c r="M403" s="2866"/>
      <c r="N403" s="2866"/>
      <c r="O403" s="2867"/>
      <c r="Q403" s="448"/>
      <c r="R403" s="448"/>
    </row>
    <row r="404" spans="1:18" ht="13.5">
      <c r="A404" s="448">
        <v>20000</v>
      </c>
      <c r="B404" s="447">
        <v>20050</v>
      </c>
      <c r="C404" s="1378">
        <f t="shared" si="32"/>
        <v>0</v>
      </c>
      <c r="D404" s="448">
        <f t="shared" si="32"/>
        <v>4328</v>
      </c>
      <c r="E404" s="448">
        <f t="shared" si="32"/>
        <v>7152</v>
      </c>
      <c r="F404" s="447">
        <f t="shared" si="32"/>
        <v>8046</v>
      </c>
      <c r="G404" s="1378">
        <f t="shared" si="31"/>
        <v>473</v>
      </c>
      <c r="H404" s="448">
        <f t="shared" si="31"/>
        <v>4328</v>
      </c>
      <c r="I404" s="448">
        <f t="shared" si="31"/>
        <v>7152</v>
      </c>
      <c r="J404" s="447">
        <f t="shared" si="31"/>
        <v>8046</v>
      </c>
      <c r="K404" s="422"/>
      <c r="L404" s="448">
        <f t="shared" si="33"/>
        <v>20025</v>
      </c>
      <c r="M404" s="2866"/>
      <c r="N404" s="2866"/>
      <c r="O404" s="2867"/>
      <c r="Q404" s="448"/>
      <c r="R404" s="448"/>
    </row>
    <row r="405" spans="1:18" ht="13.5">
      <c r="A405" s="448">
        <v>20050</v>
      </c>
      <c r="B405" s="447">
        <v>20100</v>
      </c>
      <c r="C405" s="1378">
        <f t="shared" si="32"/>
        <v>0</v>
      </c>
      <c r="D405" s="448">
        <f t="shared" si="32"/>
        <v>4328</v>
      </c>
      <c r="E405" s="448">
        <f t="shared" si="32"/>
        <v>7152</v>
      </c>
      <c r="F405" s="447">
        <f t="shared" si="32"/>
        <v>8046</v>
      </c>
      <c r="G405" s="1378">
        <f t="shared" si="31"/>
        <v>470</v>
      </c>
      <c r="H405" s="448">
        <f t="shared" si="31"/>
        <v>4328</v>
      </c>
      <c r="I405" s="448">
        <f t="shared" si="31"/>
        <v>7152</v>
      </c>
      <c r="J405" s="447">
        <f t="shared" si="31"/>
        <v>8046</v>
      </c>
      <c r="K405" s="422"/>
      <c r="L405" s="448">
        <f t="shared" si="33"/>
        <v>20075</v>
      </c>
      <c r="M405" s="2866"/>
      <c r="N405" s="2866"/>
      <c r="O405" s="2867"/>
      <c r="Q405" s="448"/>
      <c r="R405" s="448"/>
    </row>
    <row r="406" spans="1:18" ht="13.5">
      <c r="A406" s="448">
        <v>20100</v>
      </c>
      <c r="B406" s="447">
        <v>20150</v>
      </c>
      <c r="C406" s="1378">
        <f t="shared" si="32"/>
        <v>0</v>
      </c>
      <c r="D406" s="448">
        <f t="shared" si="32"/>
        <v>4328</v>
      </c>
      <c r="E406" s="448">
        <f t="shared" si="32"/>
        <v>7152</v>
      </c>
      <c r="F406" s="447">
        <f t="shared" si="32"/>
        <v>8046</v>
      </c>
      <c r="G406" s="1378">
        <f t="shared" si="31"/>
        <v>466</v>
      </c>
      <c r="H406" s="448">
        <f t="shared" si="31"/>
        <v>4328</v>
      </c>
      <c r="I406" s="448">
        <f t="shared" si="31"/>
        <v>7152</v>
      </c>
      <c r="J406" s="447">
        <f t="shared" si="31"/>
        <v>8046</v>
      </c>
      <c r="K406" s="422"/>
      <c r="L406" s="448">
        <f t="shared" si="33"/>
        <v>20125</v>
      </c>
      <c r="M406" s="2866"/>
      <c r="N406" s="2866"/>
      <c r="O406" s="2867"/>
      <c r="Q406" s="448"/>
      <c r="R406" s="448"/>
    </row>
    <row r="407" spans="1:18" ht="13.5">
      <c r="A407" s="448">
        <v>20150</v>
      </c>
      <c r="B407" s="447">
        <v>20200</v>
      </c>
      <c r="C407" s="1378">
        <f t="shared" si="32"/>
        <v>0</v>
      </c>
      <c r="D407" s="448">
        <f t="shared" si="32"/>
        <v>4328</v>
      </c>
      <c r="E407" s="448">
        <f t="shared" si="32"/>
        <v>7152</v>
      </c>
      <c r="F407" s="447">
        <f t="shared" si="32"/>
        <v>8046</v>
      </c>
      <c r="G407" s="1378">
        <f t="shared" si="31"/>
        <v>462</v>
      </c>
      <c r="H407" s="448">
        <f t="shared" si="31"/>
        <v>4328</v>
      </c>
      <c r="I407" s="448">
        <f t="shared" si="31"/>
        <v>7152</v>
      </c>
      <c r="J407" s="447">
        <f t="shared" si="31"/>
        <v>8046</v>
      </c>
      <c r="K407" s="422"/>
      <c r="L407" s="448">
        <f t="shared" si="33"/>
        <v>20175</v>
      </c>
      <c r="M407" s="2866"/>
      <c r="N407" s="2866"/>
      <c r="O407" s="2867"/>
      <c r="Q407" s="448"/>
      <c r="R407" s="448"/>
    </row>
    <row r="408" spans="1:18" ht="13.5">
      <c r="A408" s="448">
        <v>20200</v>
      </c>
      <c r="B408" s="447">
        <v>20250</v>
      </c>
      <c r="C408" s="1378">
        <f t="shared" si="32"/>
        <v>0</v>
      </c>
      <c r="D408" s="448">
        <f t="shared" si="32"/>
        <v>4328</v>
      </c>
      <c r="E408" s="448">
        <f t="shared" si="32"/>
        <v>7152</v>
      </c>
      <c r="F408" s="447">
        <f t="shared" si="32"/>
        <v>8046</v>
      </c>
      <c r="G408" s="1378">
        <f t="shared" si="31"/>
        <v>458</v>
      </c>
      <c r="H408" s="448">
        <f t="shared" si="31"/>
        <v>4328</v>
      </c>
      <c r="I408" s="448">
        <f t="shared" si="31"/>
        <v>7152</v>
      </c>
      <c r="J408" s="447">
        <f t="shared" si="31"/>
        <v>8046</v>
      </c>
      <c r="K408" s="422"/>
      <c r="L408" s="448">
        <f t="shared" si="33"/>
        <v>20225</v>
      </c>
      <c r="M408" s="2866"/>
      <c r="N408" s="2866"/>
      <c r="O408" s="2867"/>
      <c r="Q408" s="448"/>
      <c r="R408" s="448"/>
    </row>
    <row r="409" spans="1:18" ht="13.5">
      <c r="A409" s="448">
        <v>20250</v>
      </c>
      <c r="B409" s="447">
        <v>20300</v>
      </c>
      <c r="C409" s="1378">
        <f t="shared" si="32"/>
        <v>0</v>
      </c>
      <c r="D409" s="448">
        <f t="shared" si="32"/>
        <v>4328</v>
      </c>
      <c r="E409" s="448">
        <f t="shared" si="32"/>
        <v>7152</v>
      </c>
      <c r="F409" s="447">
        <f t="shared" si="32"/>
        <v>8046</v>
      </c>
      <c r="G409" s="1378">
        <f t="shared" si="31"/>
        <v>454</v>
      </c>
      <c r="H409" s="448">
        <f t="shared" si="31"/>
        <v>4328</v>
      </c>
      <c r="I409" s="448">
        <f t="shared" si="31"/>
        <v>7152</v>
      </c>
      <c r="J409" s="447">
        <f t="shared" si="31"/>
        <v>8046</v>
      </c>
      <c r="K409" s="422"/>
      <c r="L409" s="448">
        <f t="shared" si="33"/>
        <v>20275</v>
      </c>
      <c r="M409" s="2866"/>
      <c r="N409" s="2866"/>
      <c r="O409" s="2867"/>
      <c r="Q409" s="448"/>
      <c r="R409" s="448"/>
    </row>
    <row r="410" spans="1:18" ht="13.5">
      <c r="A410" s="448">
        <v>20300</v>
      </c>
      <c r="B410" s="447">
        <v>20350</v>
      </c>
      <c r="C410" s="1378">
        <f t="shared" si="32"/>
        <v>0</v>
      </c>
      <c r="D410" s="448">
        <f t="shared" si="32"/>
        <v>4328</v>
      </c>
      <c r="E410" s="448">
        <f t="shared" si="32"/>
        <v>7152</v>
      </c>
      <c r="F410" s="447">
        <f t="shared" si="32"/>
        <v>8046</v>
      </c>
      <c r="G410" s="1378">
        <f t="shared" si="31"/>
        <v>450</v>
      </c>
      <c r="H410" s="448">
        <f t="shared" si="31"/>
        <v>4328</v>
      </c>
      <c r="I410" s="448">
        <f t="shared" si="31"/>
        <v>7152</v>
      </c>
      <c r="J410" s="447">
        <f t="shared" si="31"/>
        <v>8046</v>
      </c>
      <c r="K410" s="422"/>
      <c r="L410" s="448">
        <f t="shared" si="33"/>
        <v>20325</v>
      </c>
      <c r="M410" s="2866"/>
      <c r="N410" s="2866"/>
      <c r="O410" s="2867"/>
      <c r="Q410" s="448"/>
      <c r="R410" s="448"/>
    </row>
    <row r="411" spans="1:18" ht="13.5">
      <c r="A411" s="448">
        <v>20350</v>
      </c>
      <c r="B411" s="447">
        <v>20400</v>
      </c>
      <c r="C411" s="1378">
        <f t="shared" si="32"/>
        <v>0</v>
      </c>
      <c r="D411" s="448">
        <f t="shared" si="32"/>
        <v>4328</v>
      </c>
      <c r="E411" s="448">
        <f t="shared" si="32"/>
        <v>7152</v>
      </c>
      <c r="F411" s="447">
        <f t="shared" si="32"/>
        <v>8046</v>
      </c>
      <c r="G411" s="1378">
        <f t="shared" si="31"/>
        <v>447</v>
      </c>
      <c r="H411" s="448">
        <f t="shared" si="31"/>
        <v>4328</v>
      </c>
      <c r="I411" s="448">
        <f t="shared" si="31"/>
        <v>7152</v>
      </c>
      <c r="J411" s="447">
        <f t="shared" si="31"/>
        <v>8046</v>
      </c>
      <c r="K411" s="422"/>
      <c r="L411" s="448">
        <f t="shared" si="33"/>
        <v>20375</v>
      </c>
      <c r="M411" s="2866"/>
      <c r="N411" s="2866"/>
      <c r="O411" s="2867"/>
      <c r="Q411" s="448"/>
      <c r="R411" s="448"/>
    </row>
    <row r="412" spans="1:18" ht="13.5">
      <c r="A412" s="448">
        <v>20400</v>
      </c>
      <c r="B412" s="447">
        <v>20450</v>
      </c>
      <c r="C412" s="1378">
        <f t="shared" si="32"/>
        <v>0</v>
      </c>
      <c r="D412" s="448">
        <f t="shared" si="32"/>
        <v>4328</v>
      </c>
      <c r="E412" s="448">
        <f t="shared" si="32"/>
        <v>7152</v>
      </c>
      <c r="F412" s="447">
        <f t="shared" si="32"/>
        <v>8046</v>
      </c>
      <c r="G412" s="1378">
        <f t="shared" si="31"/>
        <v>443</v>
      </c>
      <c r="H412" s="448">
        <f t="shared" si="31"/>
        <v>4328</v>
      </c>
      <c r="I412" s="448">
        <f t="shared" si="31"/>
        <v>7152</v>
      </c>
      <c r="J412" s="447">
        <f t="shared" si="31"/>
        <v>8046</v>
      </c>
      <c r="K412" s="422"/>
      <c r="L412" s="448">
        <f t="shared" si="33"/>
        <v>20425</v>
      </c>
      <c r="M412" s="2866"/>
      <c r="N412" s="2866"/>
      <c r="O412" s="2867"/>
      <c r="Q412" s="448"/>
      <c r="R412" s="448"/>
    </row>
    <row r="413" spans="1:18" ht="13.5">
      <c r="A413" s="448">
        <v>20450</v>
      </c>
      <c r="B413" s="447">
        <v>20500</v>
      </c>
      <c r="C413" s="1378">
        <f t="shared" si="32"/>
        <v>0</v>
      </c>
      <c r="D413" s="448">
        <f t="shared" si="32"/>
        <v>4328</v>
      </c>
      <c r="E413" s="448">
        <f t="shared" si="32"/>
        <v>7152</v>
      </c>
      <c r="F413" s="447">
        <f t="shared" si="32"/>
        <v>8046</v>
      </c>
      <c r="G413" s="1378">
        <f t="shared" si="31"/>
        <v>439</v>
      </c>
      <c r="H413" s="448">
        <f t="shared" si="31"/>
        <v>4328</v>
      </c>
      <c r="I413" s="448">
        <f t="shared" si="31"/>
        <v>7152</v>
      </c>
      <c r="J413" s="447">
        <f t="shared" si="31"/>
        <v>8046</v>
      </c>
      <c r="K413" s="422"/>
      <c r="L413" s="448">
        <f t="shared" si="33"/>
        <v>20475</v>
      </c>
      <c r="M413" s="2866"/>
      <c r="N413" s="2866"/>
      <c r="O413" s="2867"/>
      <c r="Q413" s="448"/>
      <c r="R413" s="448"/>
    </row>
    <row r="414" spans="1:18" ht="13.5">
      <c r="A414" s="448">
        <v>20500</v>
      </c>
      <c r="B414" s="447">
        <v>20550</v>
      </c>
      <c r="C414" s="1378">
        <f t="shared" si="32"/>
        <v>0</v>
      </c>
      <c r="D414" s="448">
        <f t="shared" si="32"/>
        <v>4328</v>
      </c>
      <c r="E414" s="448">
        <f t="shared" si="32"/>
        <v>7152</v>
      </c>
      <c r="F414" s="447">
        <f t="shared" si="32"/>
        <v>8046</v>
      </c>
      <c r="G414" s="1378">
        <f t="shared" si="31"/>
        <v>435</v>
      </c>
      <c r="H414" s="448">
        <f t="shared" si="31"/>
        <v>4328</v>
      </c>
      <c r="I414" s="448">
        <f t="shared" si="31"/>
        <v>7152</v>
      </c>
      <c r="J414" s="447">
        <f t="shared" si="31"/>
        <v>8046</v>
      </c>
      <c r="K414" s="422"/>
      <c r="L414" s="448">
        <f t="shared" si="33"/>
        <v>20525</v>
      </c>
      <c r="M414" s="2866"/>
      <c r="N414" s="2866"/>
      <c r="O414" s="2867"/>
      <c r="Q414" s="448"/>
      <c r="R414" s="448"/>
    </row>
    <row r="415" spans="1:18" ht="13.5">
      <c r="A415" s="448">
        <v>20550</v>
      </c>
      <c r="B415" s="447">
        <v>20600</v>
      </c>
      <c r="C415" s="1378">
        <f t="shared" si="32"/>
        <v>0</v>
      </c>
      <c r="D415" s="448">
        <f t="shared" si="32"/>
        <v>4328</v>
      </c>
      <c r="E415" s="448">
        <f t="shared" si="32"/>
        <v>7152</v>
      </c>
      <c r="F415" s="447">
        <f t="shared" si="32"/>
        <v>8046</v>
      </c>
      <c r="G415" s="1378">
        <f t="shared" si="31"/>
        <v>431</v>
      </c>
      <c r="H415" s="448">
        <f t="shared" si="31"/>
        <v>4328</v>
      </c>
      <c r="I415" s="448">
        <f t="shared" si="31"/>
        <v>7152</v>
      </c>
      <c r="J415" s="447">
        <f t="shared" si="31"/>
        <v>8046</v>
      </c>
      <c r="K415" s="422"/>
      <c r="L415" s="448">
        <f t="shared" si="33"/>
        <v>20575</v>
      </c>
      <c r="M415" s="2866"/>
      <c r="N415" s="2866"/>
      <c r="O415" s="2867"/>
      <c r="Q415" s="448"/>
      <c r="R415" s="448"/>
    </row>
    <row r="416" spans="1:18" ht="13.5">
      <c r="A416" s="448">
        <v>20600</v>
      </c>
      <c r="B416" s="447">
        <v>20650</v>
      </c>
      <c r="C416" s="1378">
        <f t="shared" si="32"/>
        <v>0</v>
      </c>
      <c r="D416" s="448">
        <f t="shared" si="32"/>
        <v>4328</v>
      </c>
      <c r="E416" s="448">
        <f t="shared" si="32"/>
        <v>7152</v>
      </c>
      <c r="F416" s="447">
        <f t="shared" si="32"/>
        <v>8046</v>
      </c>
      <c r="G416" s="1378">
        <f t="shared" si="32"/>
        <v>428</v>
      </c>
      <c r="H416" s="448">
        <f t="shared" si="32"/>
        <v>4328</v>
      </c>
      <c r="I416" s="448">
        <f t="shared" si="32"/>
        <v>7152</v>
      </c>
      <c r="J416" s="447">
        <f t="shared" si="32"/>
        <v>8046</v>
      </c>
      <c r="K416" s="422"/>
      <c r="L416" s="448">
        <f t="shared" si="33"/>
        <v>20625</v>
      </c>
      <c r="M416" s="2866"/>
      <c r="N416" s="2866"/>
      <c r="O416" s="2867"/>
      <c r="Q416" s="448"/>
      <c r="R416" s="448"/>
    </row>
    <row r="417" spans="1:18" ht="13.5">
      <c r="A417" s="448">
        <v>20650</v>
      </c>
      <c r="B417" s="447">
        <v>20700</v>
      </c>
      <c r="C417" s="1378">
        <f t="shared" si="32"/>
        <v>0</v>
      </c>
      <c r="D417" s="448">
        <f t="shared" si="32"/>
        <v>4328</v>
      </c>
      <c r="E417" s="448">
        <f t="shared" si="32"/>
        <v>7152</v>
      </c>
      <c r="F417" s="447">
        <f t="shared" si="32"/>
        <v>8046</v>
      </c>
      <c r="G417" s="1378">
        <f t="shared" si="32"/>
        <v>424</v>
      </c>
      <c r="H417" s="448">
        <f t="shared" si="32"/>
        <v>4328</v>
      </c>
      <c r="I417" s="448">
        <f t="shared" si="32"/>
        <v>7152</v>
      </c>
      <c r="J417" s="447">
        <f t="shared" si="32"/>
        <v>8046</v>
      </c>
      <c r="K417" s="422"/>
      <c r="L417" s="448">
        <f t="shared" si="33"/>
        <v>20675</v>
      </c>
      <c r="M417" s="2866"/>
      <c r="N417" s="2866"/>
      <c r="O417" s="2867"/>
      <c r="Q417" s="448"/>
      <c r="R417" s="448"/>
    </row>
    <row r="418" spans="1:18" ht="13.5">
      <c r="A418" s="448">
        <v>20700</v>
      </c>
      <c r="B418" s="447">
        <v>20750</v>
      </c>
      <c r="C418" s="1378">
        <f t="shared" si="32"/>
        <v>0</v>
      </c>
      <c r="D418" s="448">
        <f t="shared" si="32"/>
        <v>4328</v>
      </c>
      <c r="E418" s="448">
        <f t="shared" si="32"/>
        <v>7152</v>
      </c>
      <c r="F418" s="447">
        <f t="shared" si="32"/>
        <v>8046</v>
      </c>
      <c r="G418" s="1378">
        <f t="shared" si="32"/>
        <v>420</v>
      </c>
      <c r="H418" s="448">
        <f t="shared" si="32"/>
        <v>4328</v>
      </c>
      <c r="I418" s="448">
        <f t="shared" si="32"/>
        <v>7152</v>
      </c>
      <c r="J418" s="447">
        <f t="shared" si="32"/>
        <v>8046</v>
      </c>
      <c r="K418" s="422"/>
      <c r="L418" s="448">
        <f t="shared" si="33"/>
        <v>20725</v>
      </c>
      <c r="M418" s="2866"/>
      <c r="N418" s="2866"/>
      <c r="O418" s="2867"/>
      <c r="Q418" s="448"/>
      <c r="R418" s="448"/>
    </row>
    <row r="419" spans="1:18" ht="13.5">
      <c r="A419" s="448">
        <v>20750</v>
      </c>
      <c r="B419" s="447">
        <v>20800</v>
      </c>
      <c r="C419" s="1378">
        <f t="shared" si="32"/>
        <v>0</v>
      </c>
      <c r="D419" s="448">
        <f t="shared" si="32"/>
        <v>4328</v>
      </c>
      <c r="E419" s="448">
        <f t="shared" si="32"/>
        <v>7152</v>
      </c>
      <c r="F419" s="447">
        <f t="shared" si="32"/>
        <v>8046</v>
      </c>
      <c r="G419" s="1378">
        <f t="shared" si="32"/>
        <v>416</v>
      </c>
      <c r="H419" s="448">
        <f t="shared" si="32"/>
        <v>4328</v>
      </c>
      <c r="I419" s="448">
        <f t="shared" si="32"/>
        <v>7152</v>
      </c>
      <c r="J419" s="447">
        <f t="shared" si="32"/>
        <v>8046</v>
      </c>
      <c r="K419" s="422"/>
      <c r="L419" s="448">
        <f t="shared" si="33"/>
        <v>20775</v>
      </c>
      <c r="M419" s="2866"/>
      <c r="N419" s="2866"/>
      <c r="O419" s="2867"/>
      <c r="Q419" s="448"/>
      <c r="R419" s="448"/>
    </row>
    <row r="420" spans="1:18" ht="13.5">
      <c r="A420" s="448">
        <v>20800</v>
      </c>
      <c r="B420" s="447">
        <v>20850</v>
      </c>
      <c r="C420" s="1378">
        <f t="shared" si="32"/>
        <v>0</v>
      </c>
      <c r="D420" s="448">
        <f t="shared" si="32"/>
        <v>4328</v>
      </c>
      <c r="E420" s="448">
        <f t="shared" si="32"/>
        <v>7152</v>
      </c>
      <c r="F420" s="447">
        <f t="shared" si="32"/>
        <v>8046</v>
      </c>
      <c r="G420" s="1378">
        <f t="shared" si="32"/>
        <v>412</v>
      </c>
      <c r="H420" s="448">
        <f t="shared" si="32"/>
        <v>4328</v>
      </c>
      <c r="I420" s="448">
        <f t="shared" si="32"/>
        <v>7152</v>
      </c>
      <c r="J420" s="447">
        <f t="shared" si="32"/>
        <v>8046</v>
      </c>
      <c r="K420" s="422"/>
      <c r="L420" s="448">
        <f t="shared" si="33"/>
        <v>20825</v>
      </c>
    </row>
    <row r="421" spans="1:18" ht="13.5">
      <c r="A421" s="448">
        <v>20850</v>
      </c>
      <c r="B421" s="447">
        <v>20900</v>
      </c>
      <c r="C421" s="1378">
        <f t="shared" si="32"/>
        <v>0</v>
      </c>
      <c r="D421" s="448">
        <f t="shared" si="32"/>
        <v>4328</v>
      </c>
      <c r="E421" s="448">
        <f t="shared" si="32"/>
        <v>7152</v>
      </c>
      <c r="F421" s="447">
        <f t="shared" si="32"/>
        <v>8046</v>
      </c>
      <c r="G421" s="1378">
        <f t="shared" si="32"/>
        <v>408</v>
      </c>
      <c r="H421" s="448">
        <f t="shared" si="32"/>
        <v>4328</v>
      </c>
      <c r="I421" s="448">
        <f t="shared" si="32"/>
        <v>7152</v>
      </c>
      <c r="J421" s="447">
        <f t="shared" si="32"/>
        <v>8046</v>
      </c>
      <c r="K421" s="422"/>
      <c r="L421" s="448">
        <f t="shared" si="33"/>
        <v>20875</v>
      </c>
    </row>
    <row r="422" spans="1:18" ht="13.5">
      <c r="A422" s="448">
        <v>20900</v>
      </c>
      <c r="B422" s="447">
        <v>20950</v>
      </c>
      <c r="C422" s="1378">
        <f t="shared" si="32"/>
        <v>0</v>
      </c>
      <c r="D422" s="448">
        <f t="shared" si="32"/>
        <v>4328</v>
      </c>
      <c r="E422" s="448">
        <f t="shared" si="32"/>
        <v>7152</v>
      </c>
      <c r="F422" s="447">
        <f t="shared" si="32"/>
        <v>8046</v>
      </c>
      <c r="G422" s="1378">
        <f t="shared" si="32"/>
        <v>405</v>
      </c>
      <c r="H422" s="448">
        <f t="shared" si="32"/>
        <v>4328</v>
      </c>
      <c r="I422" s="448">
        <f t="shared" si="32"/>
        <v>7152</v>
      </c>
      <c r="J422" s="447">
        <f t="shared" si="32"/>
        <v>8046</v>
      </c>
      <c r="K422" s="422"/>
      <c r="L422" s="448">
        <f t="shared" si="33"/>
        <v>20925</v>
      </c>
    </row>
    <row r="423" spans="1:18" ht="13.5">
      <c r="A423" s="448">
        <v>20950</v>
      </c>
      <c r="B423" s="447">
        <v>21000</v>
      </c>
      <c r="C423" s="1378">
        <f t="shared" si="32"/>
        <v>0</v>
      </c>
      <c r="D423" s="448">
        <f t="shared" si="32"/>
        <v>4328</v>
      </c>
      <c r="E423" s="448">
        <f t="shared" si="32"/>
        <v>7152</v>
      </c>
      <c r="F423" s="447">
        <f t="shared" si="32"/>
        <v>8046</v>
      </c>
      <c r="G423" s="1378">
        <f t="shared" si="32"/>
        <v>401</v>
      </c>
      <c r="H423" s="448">
        <f t="shared" si="32"/>
        <v>4328</v>
      </c>
      <c r="I423" s="448">
        <f t="shared" si="32"/>
        <v>7152</v>
      </c>
      <c r="J423" s="447">
        <f t="shared" si="32"/>
        <v>8046</v>
      </c>
      <c r="K423" s="422"/>
      <c r="L423" s="448">
        <f t="shared" si="33"/>
        <v>20975</v>
      </c>
    </row>
    <row r="424" spans="1:18" ht="13.5">
      <c r="A424" s="448">
        <v>21000</v>
      </c>
      <c r="B424" s="447">
        <v>21050</v>
      </c>
      <c r="C424" s="1378">
        <f t="shared" si="32"/>
        <v>0</v>
      </c>
      <c r="D424" s="448">
        <f t="shared" si="32"/>
        <v>4328</v>
      </c>
      <c r="E424" s="448">
        <f t="shared" si="32"/>
        <v>7152</v>
      </c>
      <c r="F424" s="447">
        <f t="shared" si="32"/>
        <v>8046</v>
      </c>
      <c r="G424" s="1378">
        <f t="shared" si="32"/>
        <v>397</v>
      </c>
      <c r="H424" s="448">
        <f t="shared" si="32"/>
        <v>4328</v>
      </c>
      <c r="I424" s="448">
        <f t="shared" si="32"/>
        <v>7152</v>
      </c>
      <c r="J424" s="447">
        <f t="shared" si="32"/>
        <v>8046</v>
      </c>
      <c r="K424" s="422"/>
      <c r="L424" s="448">
        <f t="shared" si="33"/>
        <v>21025</v>
      </c>
    </row>
    <row r="425" spans="1:18" ht="13.5">
      <c r="A425" s="448">
        <v>21050</v>
      </c>
      <c r="B425" s="447">
        <v>21100</v>
      </c>
      <c r="C425" s="1378">
        <f t="shared" si="32"/>
        <v>0</v>
      </c>
      <c r="D425" s="448">
        <f t="shared" si="32"/>
        <v>4328</v>
      </c>
      <c r="E425" s="448">
        <f t="shared" si="32"/>
        <v>7152</v>
      </c>
      <c r="F425" s="447">
        <f t="shared" si="32"/>
        <v>8046</v>
      </c>
      <c r="G425" s="1378">
        <f t="shared" si="32"/>
        <v>393</v>
      </c>
      <c r="H425" s="448">
        <f t="shared" si="32"/>
        <v>4328</v>
      </c>
      <c r="I425" s="448">
        <f t="shared" si="32"/>
        <v>7152</v>
      </c>
      <c r="J425" s="447">
        <f t="shared" si="32"/>
        <v>8046</v>
      </c>
      <c r="K425" s="422"/>
      <c r="L425" s="448">
        <f t="shared" si="33"/>
        <v>21075</v>
      </c>
    </row>
    <row r="426" spans="1:18" ht="13.5">
      <c r="A426" s="448">
        <v>21100</v>
      </c>
      <c r="B426" s="447">
        <v>21150</v>
      </c>
      <c r="C426" s="1378">
        <f t="shared" si="32"/>
        <v>0</v>
      </c>
      <c r="D426" s="448">
        <f t="shared" si="32"/>
        <v>4328</v>
      </c>
      <c r="E426" s="448">
        <f t="shared" si="32"/>
        <v>7152</v>
      </c>
      <c r="F426" s="447">
        <f t="shared" si="32"/>
        <v>8046</v>
      </c>
      <c r="G426" s="1378">
        <f t="shared" si="32"/>
        <v>389</v>
      </c>
      <c r="H426" s="448">
        <f t="shared" si="32"/>
        <v>4328</v>
      </c>
      <c r="I426" s="448">
        <f t="shared" si="32"/>
        <v>7152</v>
      </c>
      <c r="J426" s="447">
        <f t="shared" si="32"/>
        <v>8046</v>
      </c>
      <c r="K426" s="422"/>
      <c r="L426" s="448">
        <f t="shared" si="33"/>
        <v>21125</v>
      </c>
    </row>
    <row r="427" spans="1:18" ht="13.5">
      <c r="A427" s="448">
        <v>21150</v>
      </c>
      <c r="B427" s="447">
        <v>21200</v>
      </c>
      <c r="C427" s="1378">
        <f t="shared" si="32"/>
        <v>0</v>
      </c>
      <c r="D427" s="448">
        <f t="shared" si="32"/>
        <v>4328</v>
      </c>
      <c r="E427" s="448">
        <f t="shared" si="32"/>
        <v>7152</v>
      </c>
      <c r="F427" s="447">
        <f t="shared" si="32"/>
        <v>8046</v>
      </c>
      <c r="G427" s="1378">
        <f t="shared" si="32"/>
        <v>385</v>
      </c>
      <c r="H427" s="448">
        <f t="shared" si="32"/>
        <v>4328</v>
      </c>
      <c r="I427" s="448">
        <f t="shared" si="32"/>
        <v>7152</v>
      </c>
      <c r="J427" s="447">
        <f t="shared" si="32"/>
        <v>8046</v>
      </c>
      <c r="K427" s="422"/>
      <c r="L427" s="448">
        <f t="shared" si="33"/>
        <v>21175</v>
      </c>
    </row>
    <row r="428" spans="1:18" ht="13.5">
      <c r="A428" s="448">
        <v>21200</v>
      </c>
      <c r="B428" s="447">
        <v>21250</v>
      </c>
      <c r="C428" s="1378">
        <f t="shared" si="32"/>
        <v>0</v>
      </c>
      <c r="D428" s="448">
        <f t="shared" si="32"/>
        <v>4328</v>
      </c>
      <c r="E428" s="448">
        <f t="shared" si="32"/>
        <v>7152</v>
      </c>
      <c r="F428" s="447">
        <f t="shared" si="32"/>
        <v>8046</v>
      </c>
      <c r="G428" s="1378">
        <f t="shared" si="32"/>
        <v>382</v>
      </c>
      <c r="H428" s="448">
        <f t="shared" si="32"/>
        <v>4328</v>
      </c>
      <c r="I428" s="448">
        <f t="shared" si="32"/>
        <v>7152</v>
      </c>
      <c r="J428" s="447">
        <f t="shared" si="32"/>
        <v>8046</v>
      </c>
      <c r="K428" s="422"/>
      <c r="L428" s="448">
        <f t="shared" si="33"/>
        <v>21225</v>
      </c>
    </row>
    <row r="429" spans="1:18" ht="13.5">
      <c r="A429" s="448">
        <v>21250</v>
      </c>
      <c r="B429" s="447">
        <v>21300</v>
      </c>
      <c r="C429" s="1378">
        <f t="shared" si="32"/>
        <v>0</v>
      </c>
      <c r="D429" s="448">
        <f t="shared" si="32"/>
        <v>4328</v>
      </c>
      <c r="E429" s="448">
        <f t="shared" si="32"/>
        <v>7152</v>
      </c>
      <c r="F429" s="447">
        <f t="shared" si="32"/>
        <v>8046</v>
      </c>
      <c r="G429" s="1378">
        <f t="shared" si="32"/>
        <v>378</v>
      </c>
      <c r="H429" s="448">
        <f t="shared" si="32"/>
        <v>4328</v>
      </c>
      <c r="I429" s="448">
        <f t="shared" si="32"/>
        <v>7152</v>
      </c>
      <c r="J429" s="447">
        <f t="shared" si="32"/>
        <v>8046</v>
      </c>
      <c r="K429" s="422"/>
      <c r="L429" s="448">
        <f t="shared" si="33"/>
        <v>21275</v>
      </c>
    </row>
    <row r="430" spans="1:18" ht="13.5">
      <c r="A430" s="448">
        <v>21300</v>
      </c>
      <c r="B430" s="447">
        <v>21350</v>
      </c>
      <c r="C430" s="1378">
        <f t="shared" si="32"/>
        <v>0</v>
      </c>
      <c r="D430" s="448">
        <f t="shared" si="32"/>
        <v>4328</v>
      </c>
      <c r="E430" s="448">
        <f t="shared" si="32"/>
        <v>7152</v>
      </c>
      <c r="F430" s="447">
        <f t="shared" si="32"/>
        <v>8046</v>
      </c>
      <c r="G430" s="1378">
        <f t="shared" si="32"/>
        <v>374</v>
      </c>
      <c r="H430" s="448">
        <f t="shared" si="32"/>
        <v>4328</v>
      </c>
      <c r="I430" s="448">
        <f t="shared" si="32"/>
        <v>7152</v>
      </c>
      <c r="J430" s="447">
        <f t="shared" ref="J430:J493" si="34">IF($L430&gt;U$5,MAX(0,U$3+ROUND((U$9*($L430-U$5)),0)),IF($L430&gt;U$4,U$3,ROUND($L430*U$7,0)))</f>
        <v>8046</v>
      </c>
      <c r="K430" s="422"/>
      <c r="L430" s="448">
        <f t="shared" si="33"/>
        <v>21325</v>
      </c>
    </row>
    <row r="431" spans="1:18" ht="13.5">
      <c r="A431" s="448">
        <v>21350</v>
      </c>
      <c r="B431" s="447">
        <v>21400</v>
      </c>
      <c r="C431" s="1378">
        <f t="shared" ref="C431:I467" si="35">IF($L431&gt;N$5,MAX(0,N$3+ROUND((N$9*($L431-N$5)),0)),IF($L431&gt;N$4,N$3,ROUND($L431*N$7,0)))</f>
        <v>0</v>
      </c>
      <c r="D431" s="448">
        <f t="shared" si="35"/>
        <v>4328</v>
      </c>
      <c r="E431" s="448">
        <f t="shared" si="35"/>
        <v>7152</v>
      </c>
      <c r="F431" s="447">
        <f t="shared" si="35"/>
        <v>8046</v>
      </c>
      <c r="G431" s="1378">
        <f t="shared" si="35"/>
        <v>370</v>
      </c>
      <c r="H431" s="448">
        <f t="shared" si="35"/>
        <v>4328</v>
      </c>
      <c r="I431" s="448">
        <f t="shared" si="35"/>
        <v>7152</v>
      </c>
      <c r="J431" s="447">
        <f t="shared" si="34"/>
        <v>8046</v>
      </c>
      <c r="K431" s="422"/>
      <c r="L431" s="448">
        <f t="shared" si="33"/>
        <v>21375</v>
      </c>
    </row>
    <row r="432" spans="1:18" ht="13.5">
      <c r="A432" s="448">
        <v>21400</v>
      </c>
      <c r="B432" s="447">
        <v>21450</v>
      </c>
      <c r="C432" s="1378">
        <f t="shared" si="35"/>
        <v>0</v>
      </c>
      <c r="D432" s="448">
        <f t="shared" si="35"/>
        <v>4328</v>
      </c>
      <c r="E432" s="448">
        <f t="shared" si="35"/>
        <v>7152</v>
      </c>
      <c r="F432" s="447">
        <f t="shared" si="35"/>
        <v>8046</v>
      </c>
      <c r="G432" s="1378">
        <f t="shared" si="35"/>
        <v>366</v>
      </c>
      <c r="H432" s="448">
        <f t="shared" si="35"/>
        <v>4328</v>
      </c>
      <c r="I432" s="448">
        <f t="shared" si="35"/>
        <v>7152</v>
      </c>
      <c r="J432" s="447">
        <f t="shared" si="34"/>
        <v>8046</v>
      </c>
      <c r="K432" s="422"/>
      <c r="L432" s="448">
        <f t="shared" si="33"/>
        <v>21425</v>
      </c>
    </row>
    <row r="433" spans="1:12" ht="13.5">
      <c r="A433" s="448">
        <v>21450</v>
      </c>
      <c r="B433" s="447">
        <v>21500</v>
      </c>
      <c r="C433" s="1378">
        <f t="shared" si="35"/>
        <v>0</v>
      </c>
      <c r="D433" s="448">
        <f t="shared" si="35"/>
        <v>4328</v>
      </c>
      <c r="E433" s="448">
        <f t="shared" si="35"/>
        <v>7152</v>
      </c>
      <c r="F433" s="447">
        <f t="shared" si="35"/>
        <v>8046</v>
      </c>
      <c r="G433" s="1378">
        <f t="shared" si="35"/>
        <v>363</v>
      </c>
      <c r="H433" s="448">
        <f t="shared" si="35"/>
        <v>4328</v>
      </c>
      <c r="I433" s="448">
        <f t="shared" si="35"/>
        <v>7152</v>
      </c>
      <c r="J433" s="447">
        <f t="shared" si="34"/>
        <v>8046</v>
      </c>
      <c r="K433" s="422"/>
      <c r="L433" s="448">
        <f t="shared" si="33"/>
        <v>21475</v>
      </c>
    </row>
    <row r="434" spans="1:12" ht="13.5">
      <c r="A434" s="448">
        <v>21500</v>
      </c>
      <c r="B434" s="447">
        <v>21550</v>
      </c>
      <c r="C434" s="1378">
        <f t="shared" si="35"/>
        <v>0</v>
      </c>
      <c r="D434" s="448">
        <f t="shared" si="35"/>
        <v>4328</v>
      </c>
      <c r="E434" s="448">
        <f t="shared" si="35"/>
        <v>7152</v>
      </c>
      <c r="F434" s="447">
        <f t="shared" si="35"/>
        <v>8046</v>
      </c>
      <c r="G434" s="1378">
        <f t="shared" si="35"/>
        <v>359</v>
      </c>
      <c r="H434" s="448">
        <f t="shared" si="35"/>
        <v>4328</v>
      </c>
      <c r="I434" s="448">
        <f t="shared" si="35"/>
        <v>7152</v>
      </c>
      <c r="J434" s="447">
        <f t="shared" si="34"/>
        <v>8046</v>
      </c>
      <c r="K434" s="422"/>
      <c r="L434" s="448">
        <f t="shared" si="33"/>
        <v>21525</v>
      </c>
    </row>
    <row r="435" spans="1:12" ht="13.5">
      <c r="A435" s="448">
        <v>21550</v>
      </c>
      <c r="B435" s="447">
        <v>21600</v>
      </c>
      <c r="C435" s="1378">
        <f t="shared" si="35"/>
        <v>0</v>
      </c>
      <c r="D435" s="448">
        <f t="shared" si="35"/>
        <v>4328</v>
      </c>
      <c r="E435" s="448">
        <f t="shared" si="35"/>
        <v>7152</v>
      </c>
      <c r="F435" s="447">
        <f t="shared" si="35"/>
        <v>8046</v>
      </c>
      <c r="G435" s="1378">
        <f t="shared" si="35"/>
        <v>355</v>
      </c>
      <c r="H435" s="448">
        <f t="shared" si="35"/>
        <v>4328</v>
      </c>
      <c r="I435" s="448">
        <f t="shared" si="35"/>
        <v>7152</v>
      </c>
      <c r="J435" s="447">
        <f t="shared" si="34"/>
        <v>8046</v>
      </c>
      <c r="K435" s="422"/>
      <c r="L435" s="448">
        <f t="shared" si="33"/>
        <v>21575</v>
      </c>
    </row>
    <row r="436" spans="1:12" ht="13.5">
      <c r="A436" s="448">
        <v>21600</v>
      </c>
      <c r="B436" s="447">
        <v>21650</v>
      </c>
      <c r="C436" s="1378">
        <f t="shared" si="35"/>
        <v>0</v>
      </c>
      <c r="D436" s="448">
        <f t="shared" si="35"/>
        <v>4328</v>
      </c>
      <c r="E436" s="448">
        <f t="shared" si="35"/>
        <v>7152</v>
      </c>
      <c r="F436" s="447">
        <f t="shared" si="35"/>
        <v>8046</v>
      </c>
      <c r="G436" s="1378">
        <f t="shared" si="35"/>
        <v>351</v>
      </c>
      <c r="H436" s="448">
        <f t="shared" si="35"/>
        <v>4328</v>
      </c>
      <c r="I436" s="448">
        <f t="shared" si="35"/>
        <v>7152</v>
      </c>
      <c r="J436" s="447">
        <f t="shared" si="34"/>
        <v>8046</v>
      </c>
      <c r="K436" s="422"/>
      <c r="L436" s="448">
        <f t="shared" si="33"/>
        <v>21625</v>
      </c>
    </row>
    <row r="437" spans="1:12" ht="13.5">
      <c r="A437" s="448">
        <v>21650</v>
      </c>
      <c r="B437" s="447">
        <v>21700</v>
      </c>
      <c r="C437" s="1378">
        <f t="shared" si="35"/>
        <v>0</v>
      </c>
      <c r="D437" s="448">
        <f t="shared" si="35"/>
        <v>4328</v>
      </c>
      <c r="E437" s="448">
        <f t="shared" si="35"/>
        <v>7152</v>
      </c>
      <c r="F437" s="447">
        <f t="shared" si="35"/>
        <v>8046</v>
      </c>
      <c r="G437" s="1378">
        <f t="shared" si="35"/>
        <v>347</v>
      </c>
      <c r="H437" s="448">
        <f t="shared" si="35"/>
        <v>4328</v>
      </c>
      <c r="I437" s="448">
        <f t="shared" si="35"/>
        <v>7152</v>
      </c>
      <c r="J437" s="447">
        <f t="shared" si="34"/>
        <v>8046</v>
      </c>
      <c r="K437" s="422"/>
      <c r="L437" s="448">
        <f t="shared" si="33"/>
        <v>21675</v>
      </c>
    </row>
    <row r="438" spans="1:12" ht="13.5">
      <c r="A438" s="448">
        <v>21700</v>
      </c>
      <c r="B438" s="447">
        <v>21750</v>
      </c>
      <c r="C438" s="1378">
        <f t="shared" si="35"/>
        <v>0</v>
      </c>
      <c r="D438" s="448">
        <f t="shared" si="35"/>
        <v>4328</v>
      </c>
      <c r="E438" s="448">
        <f t="shared" si="35"/>
        <v>7152</v>
      </c>
      <c r="F438" s="447">
        <f t="shared" si="35"/>
        <v>8046</v>
      </c>
      <c r="G438" s="1378">
        <f t="shared" si="35"/>
        <v>343</v>
      </c>
      <c r="H438" s="448">
        <f t="shared" si="35"/>
        <v>4328</v>
      </c>
      <c r="I438" s="448">
        <f t="shared" si="35"/>
        <v>7152</v>
      </c>
      <c r="J438" s="447">
        <f t="shared" si="34"/>
        <v>8046</v>
      </c>
      <c r="K438" s="422"/>
      <c r="L438" s="448">
        <f t="shared" si="33"/>
        <v>21725</v>
      </c>
    </row>
    <row r="439" spans="1:12" ht="13.5">
      <c r="A439" s="448">
        <v>21750</v>
      </c>
      <c r="B439" s="447">
        <v>21800</v>
      </c>
      <c r="C439" s="1378">
        <f t="shared" si="35"/>
        <v>0</v>
      </c>
      <c r="D439" s="448">
        <f t="shared" si="35"/>
        <v>4328</v>
      </c>
      <c r="E439" s="448">
        <f t="shared" si="35"/>
        <v>7152</v>
      </c>
      <c r="F439" s="447">
        <f t="shared" si="35"/>
        <v>8046</v>
      </c>
      <c r="G439" s="1378">
        <f t="shared" si="35"/>
        <v>340</v>
      </c>
      <c r="H439" s="448">
        <f t="shared" si="35"/>
        <v>4328</v>
      </c>
      <c r="I439" s="448">
        <f t="shared" si="35"/>
        <v>7152</v>
      </c>
      <c r="J439" s="447">
        <f t="shared" si="34"/>
        <v>8046</v>
      </c>
      <c r="K439" s="422"/>
      <c r="L439" s="448">
        <f t="shared" si="33"/>
        <v>21775</v>
      </c>
    </row>
    <row r="440" spans="1:12" ht="13.5">
      <c r="A440" s="448">
        <v>21800</v>
      </c>
      <c r="B440" s="447">
        <v>21850</v>
      </c>
      <c r="C440" s="1378">
        <f t="shared" si="35"/>
        <v>0</v>
      </c>
      <c r="D440" s="448">
        <f t="shared" si="35"/>
        <v>4328</v>
      </c>
      <c r="E440" s="448">
        <f t="shared" si="35"/>
        <v>7152</v>
      </c>
      <c r="F440" s="447">
        <f t="shared" si="35"/>
        <v>8046</v>
      </c>
      <c r="G440" s="1378">
        <f t="shared" si="35"/>
        <v>336</v>
      </c>
      <c r="H440" s="448">
        <f t="shared" si="35"/>
        <v>4328</v>
      </c>
      <c r="I440" s="448">
        <f t="shared" si="35"/>
        <v>7152</v>
      </c>
      <c r="J440" s="447">
        <f t="shared" si="34"/>
        <v>8046</v>
      </c>
      <c r="K440" s="422"/>
      <c r="L440" s="448">
        <f t="shared" si="33"/>
        <v>21825</v>
      </c>
    </row>
    <row r="441" spans="1:12" ht="13.5">
      <c r="A441" s="448">
        <v>21850</v>
      </c>
      <c r="B441" s="447">
        <v>21900</v>
      </c>
      <c r="C441" s="1378">
        <f t="shared" si="35"/>
        <v>0</v>
      </c>
      <c r="D441" s="448">
        <f t="shared" si="35"/>
        <v>4328</v>
      </c>
      <c r="E441" s="448">
        <f t="shared" si="35"/>
        <v>7152</v>
      </c>
      <c r="F441" s="447">
        <f t="shared" si="35"/>
        <v>8046</v>
      </c>
      <c r="G441" s="1378">
        <f t="shared" si="35"/>
        <v>332</v>
      </c>
      <c r="H441" s="448">
        <f t="shared" si="35"/>
        <v>4328</v>
      </c>
      <c r="I441" s="448">
        <f t="shared" si="35"/>
        <v>7152</v>
      </c>
      <c r="J441" s="447">
        <f t="shared" si="34"/>
        <v>8046</v>
      </c>
      <c r="K441" s="422"/>
      <c r="L441" s="448">
        <f t="shared" si="33"/>
        <v>21875</v>
      </c>
    </row>
    <row r="442" spans="1:12" ht="13.5">
      <c r="A442" s="448">
        <v>21900</v>
      </c>
      <c r="B442" s="447">
        <v>21950</v>
      </c>
      <c r="C442" s="1378">
        <f t="shared" si="35"/>
        <v>0</v>
      </c>
      <c r="D442" s="448">
        <f t="shared" si="35"/>
        <v>4328</v>
      </c>
      <c r="E442" s="448">
        <f t="shared" si="35"/>
        <v>7152</v>
      </c>
      <c r="F442" s="447">
        <f t="shared" si="35"/>
        <v>8046</v>
      </c>
      <c r="G442" s="1378">
        <f t="shared" si="35"/>
        <v>328</v>
      </c>
      <c r="H442" s="448">
        <f t="shared" si="35"/>
        <v>4328</v>
      </c>
      <c r="I442" s="448">
        <f t="shared" si="35"/>
        <v>7152</v>
      </c>
      <c r="J442" s="447">
        <f t="shared" si="34"/>
        <v>8046</v>
      </c>
      <c r="K442" s="422"/>
      <c r="L442" s="448">
        <f t="shared" si="33"/>
        <v>21925</v>
      </c>
    </row>
    <row r="443" spans="1:12" ht="13.5">
      <c r="A443" s="448">
        <v>21950</v>
      </c>
      <c r="B443" s="447">
        <v>22000</v>
      </c>
      <c r="C443" s="1378">
        <f t="shared" si="35"/>
        <v>0</v>
      </c>
      <c r="D443" s="448">
        <f t="shared" si="35"/>
        <v>4328</v>
      </c>
      <c r="E443" s="448">
        <f t="shared" si="35"/>
        <v>7152</v>
      </c>
      <c r="F443" s="447">
        <f t="shared" si="35"/>
        <v>8046</v>
      </c>
      <c r="G443" s="1378">
        <f t="shared" si="35"/>
        <v>324</v>
      </c>
      <c r="H443" s="448">
        <f t="shared" si="35"/>
        <v>4328</v>
      </c>
      <c r="I443" s="448">
        <f t="shared" si="35"/>
        <v>7152</v>
      </c>
      <c r="J443" s="447">
        <f t="shared" si="34"/>
        <v>8046</v>
      </c>
      <c r="K443" s="422"/>
      <c r="L443" s="448">
        <f t="shared" si="33"/>
        <v>21975</v>
      </c>
    </row>
    <row r="444" spans="1:12" ht="13.5">
      <c r="A444" s="448">
        <v>22000</v>
      </c>
      <c r="B444" s="447">
        <v>22050</v>
      </c>
      <c r="C444" s="1378">
        <f t="shared" si="35"/>
        <v>0</v>
      </c>
      <c r="D444" s="448">
        <f t="shared" si="35"/>
        <v>4328</v>
      </c>
      <c r="E444" s="448">
        <f t="shared" si="35"/>
        <v>7152</v>
      </c>
      <c r="F444" s="447">
        <f t="shared" si="35"/>
        <v>8046</v>
      </c>
      <c r="G444" s="1378">
        <f t="shared" si="35"/>
        <v>320</v>
      </c>
      <c r="H444" s="448">
        <f t="shared" si="35"/>
        <v>4328</v>
      </c>
      <c r="I444" s="448">
        <f t="shared" si="35"/>
        <v>7152</v>
      </c>
      <c r="J444" s="447">
        <f t="shared" si="34"/>
        <v>8046</v>
      </c>
      <c r="K444" s="422"/>
      <c r="L444" s="448">
        <f t="shared" si="33"/>
        <v>22025</v>
      </c>
    </row>
    <row r="445" spans="1:12" ht="13.5">
      <c r="A445" s="448">
        <v>22050</v>
      </c>
      <c r="B445" s="447">
        <v>22100</v>
      </c>
      <c r="C445" s="1378">
        <f t="shared" si="35"/>
        <v>0</v>
      </c>
      <c r="D445" s="448">
        <f t="shared" si="35"/>
        <v>4328</v>
      </c>
      <c r="E445" s="448">
        <f t="shared" si="35"/>
        <v>7152</v>
      </c>
      <c r="F445" s="447">
        <f t="shared" si="35"/>
        <v>8046</v>
      </c>
      <c r="G445" s="1378">
        <f t="shared" si="35"/>
        <v>317</v>
      </c>
      <c r="H445" s="448">
        <f t="shared" si="35"/>
        <v>4328</v>
      </c>
      <c r="I445" s="448">
        <f t="shared" si="35"/>
        <v>7152</v>
      </c>
      <c r="J445" s="447">
        <f t="shared" si="34"/>
        <v>8046</v>
      </c>
      <c r="K445" s="422"/>
      <c r="L445" s="448">
        <f t="shared" si="33"/>
        <v>22075</v>
      </c>
    </row>
    <row r="446" spans="1:12" ht="13.5">
      <c r="A446" s="448">
        <v>22100</v>
      </c>
      <c r="B446" s="447">
        <v>22150</v>
      </c>
      <c r="C446" s="1378">
        <f t="shared" si="35"/>
        <v>0</v>
      </c>
      <c r="D446" s="448">
        <f t="shared" si="35"/>
        <v>4328</v>
      </c>
      <c r="E446" s="448">
        <f t="shared" si="35"/>
        <v>7152</v>
      </c>
      <c r="F446" s="447">
        <f t="shared" si="35"/>
        <v>8046</v>
      </c>
      <c r="G446" s="1378">
        <f t="shared" si="35"/>
        <v>313</v>
      </c>
      <c r="H446" s="448">
        <f t="shared" si="35"/>
        <v>4328</v>
      </c>
      <c r="I446" s="448">
        <f t="shared" si="35"/>
        <v>7152</v>
      </c>
      <c r="J446" s="447">
        <f t="shared" si="34"/>
        <v>8046</v>
      </c>
      <c r="K446" s="422"/>
      <c r="L446" s="448">
        <f t="shared" si="33"/>
        <v>22125</v>
      </c>
    </row>
    <row r="447" spans="1:12" ht="13.5">
      <c r="A447" s="448">
        <v>22150</v>
      </c>
      <c r="B447" s="447">
        <v>22200</v>
      </c>
      <c r="C447" s="1378">
        <f t="shared" si="35"/>
        <v>0</v>
      </c>
      <c r="D447" s="448">
        <f t="shared" si="35"/>
        <v>4328</v>
      </c>
      <c r="E447" s="448">
        <f t="shared" si="35"/>
        <v>7152</v>
      </c>
      <c r="F447" s="447">
        <f t="shared" si="35"/>
        <v>8046</v>
      </c>
      <c r="G447" s="1378">
        <f t="shared" si="35"/>
        <v>309</v>
      </c>
      <c r="H447" s="448">
        <f t="shared" si="35"/>
        <v>4328</v>
      </c>
      <c r="I447" s="448">
        <f t="shared" si="35"/>
        <v>7152</v>
      </c>
      <c r="J447" s="447">
        <f t="shared" si="34"/>
        <v>8046</v>
      </c>
      <c r="K447" s="422"/>
      <c r="L447" s="448">
        <f t="shared" si="33"/>
        <v>22175</v>
      </c>
    </row>
    <row r="448" spans="1:12" ht="13.5">
      <c r="A448" s="448">
        <v>22200</v>
      </c>
      <c r="B448" s="447">
        <v>22250</v>
      </c>
      <c r="C448" s="1378">
        <f t="shared" si="35"/>
        <v>0</v>
      </c>
      <c r="D448" s="448">
        <f t="shared" si="35"/>
        <v>4328</v>
      </c>
      <c r="E448" s="448">
        <f t="shared" si="35"/>
        <v>7152</v>
      </c>
      <c r="F448" s="447">
        <f t="shared" si="35"/>
        <v>8046</v>
      </c>
      <c r="G448" s="1378">
        <f t="shared" si="35"/>
        <v>305</v>
      </c>
      <c r="H448" s="448">
        <f t="shared" si="35"/>
        <v>4328</v>
      </c>
      <c r="I448" s="448">
        <f t="shared" si="35"/>
        <v>7152</v>
      </c>
      <c r="J448" s="447">
        <f t="shared" si="34"/>
        <v>8046</v>
      </c>
      <c r="K448" s="422"/>
      <c r="L448" s="448">
        <f t="shared" si="33"/>
        <v>22225</v>
      </c>
    </row>
    <row r="449" spans="1:12" ht="13.5">
      <c r="A449" s="448">
        <v>22250</v>
      </c>
      <c r="B449" s="447">
        <v>22300</v>
      </c>
      <c r="C449" s="1378">
        <f t="shared" si="35"/>
        <v>0</v>
      </c>
      <c r="D449" s="448">
        <f t="shared" si="35"/>
        <v>4328</v>
      </c>
      <c r="E449" s="448">
        <f t="shared" si="35"/>
        <v>7152</v>
      </c>
      <c r="F449" s="447">
        <f t="shared" si="35"/>
        <v>8046</v>
      </c>
      <c r="G449" s="1378">
        <f t="shared" si="35"/>
        <v>301</v>
      </c>
      <c r="H449" s="448">
        <f t="shared" si="35"/>
        <v>4328</v>
      </c>
      <c r="I449" s="448">
        <f t="shared" si="35"/>
        <v>7152</v>
      </c>
      <c r="J449" s="447">
        <f t="shared" si="34"/>
        <v>8046</v>
      </c>
      <c r="K449" s="422"/>
      <c r="L449" s="448">
        <f t="shared" si="33"/>
        <v>22275</v>
      </c>
    </row>
    <row r="450" spans="1:12" ht="13.5">
      <c r="A450" s="448">
        <v>22300</v>
      </c>
      <c r="B450" s="447">
        <v>22350</v>
      </c>
      <c r="C450" s="1378">
        <f t="shared" si="35"/>
        <v>0</v>
      </c>
      <c r="D450" s="448">
        <f t="shared" si="35"/>
        <v>4328</v>
      </c>
      <c r="E450" s="448">
        <f t="shared" si="35"/>
        <v>7152</v>
      </c>
      <c r="F450" s="447">
        <f t="shared" si="35"/>
        <v>8046</v>
      </c>
      <c r="G450" s="1378">
        <f t="shared" si="35"/>
        <v>297</v>
      </c>
      <c r="H450" s="448">
        <f t="shared" si="35"/>
        <v>4328</v>
      </c>
      <c r="I450" s="448">
        <f t="shared" si="35"/>
        <v>7152</v>
      </c>
      <c r="J450" s="447">
        <f t="shared" si="34"/>
        <v>8046</v>
      </c>
      <c r="K450" s="422"/>
      <c r="L450" s="448">
        <f t="shared" si="33"/>
        <v>22325</v>
      </c>
    </row>
    <row r="451" spans="1:12" ht="13.5">
      <c r="A451" s="448">
        <v>22350</v>
      </c>
      <c r="B451" s="447">
        <v>22400</v>
      </c>
      <c r="C451" s="1378">
        <f t="shared" si="35"/>
        <v>0</v>
      </c>
      <c r="D451" s="448">
        <f t="shared" si="35"/>
        <v>4328</v>
      </c>
      <c r="E451" s="448">
        <f t="shared" si="35"/>
        <v>7152</v>
      </c>
      <c r="F451" s="447">
        <f t="shared" si="35"/>
        <v>8046</v>
      </c>
      <c r="G451" s="1378">
        <f t="shared" si="35"/>
        <v>294</v>
      </c>
      <c r="H451" s="448">
        <f t="shared" si="35"/>
        <v>4328</v>
      </c>
      <c r="I451" s="448">
        <f t="shared" si="35"/>
        <v>7152</v>
      </c>
      <c r="J451" s="447">
        <f t="shared" si="34"/>
        <v>8046</v>
      </c>
      <c r="K451" s="422"/>
      <c r="L451" s="448">
        <f t="shared" si="33"/>
        <v>22375</v>
      </c>
    </row>
    <row r="452" spans="1:12" ht="13.5">
      <c r="A452" s="448">
        <v>22400</v>
      </c>
      <c r="B452" s="447">
        <v>22450</v>
      </c>
      <c r="C452" s="1378">
        <f t="shared" si="35"/>
        <v>0</v>
      </c>
      <c r="D452" s="448">
        <f t="shared" si="35"/>
        <v>4328</v>
      </c>
      <c r="E452" s="448">
        <f t="shared" si="35"/>
        <v>7152</v>
      </c>
      <c r="F452" s="447">
        <f t="shared" si="35"/>
        <v>8046</v>
      </c>
      <c r="G452" s="1378">
        <f t="shared" si="35"/>
        <v>290</v>
      </c>
      <c r="H452" s="448">
        <f t="shared" si="35"/>
        <v>4328</v>
      </c>
      <c r="I452" s="448">
        <f t="shared" si="35"/>
        <v>7152</v>
      </c>
      <c r="J452" s="447">
        <f t="shared" si="34"/>
        <v>8046</v>
      </c>
      <c r="K452" s="422"/>
      <c r="L452" s="448">
        <f t="shared" si="33"/>
        <v>22425</v>
      </c>
    </row>
    <row r="453" spans="1:12" ht="13.5">
      <c r="A453" s="448">
        <v>22450</v>
      </c>
      <c r="B453" s="447">
        <v>22500</v>
      </c>
      <c r="C453" s="1378">
        <f t="shared" si="35"/>
        <v>0</v>
      </c>
      <c r="D453" s="448">
        <f t="shared" si="35"/>
        <v>4328</v>
      </c>
      <c r="E453" s="448">
        <f t="shared" si="35"/>
        <v>7152</v>
      </c>
      <c r="F453" s="447">
        <f t="shared" si="35"/>
        <v>8046</v>
      </c>
      <c r="G453" s="1378">
        <f t="shared" si="35"/>
        <v>286</v>
      </c>
      <c r="H453" s="448">
        <f t="shared" si="35"/>
        <v>4328</v>
      </c>
      <c r="I453" s="448">
        <f t="shared" si="35"/>
        <v>7152</v>
      </c>
      <c r="J453" s="447">
        <f t="shared" si="34"/>
        <v>8046</v>
      </c>
      <c r="K453" s="422"/>
      <c r="L453" s="448">
        <f t="shared" si="33"/>
        <v>22475</v>
      </c>
    </row>
    <row r="454" spans="1:12" ht="13.5">
      <c r="A454" s="448">
        <v>22500</v>
      </c>
      <c r="B454" s="447">
        <v>22550</v>
      </c>
      <c r="C454" s="1378">
        <f t="shared" si="35"/>
        <v>0</v>
      </c>
      <c r="D454" s="448">
        <f t="shared" si="35"/>
        <v>4328</v>
      </c>
      <c r="E454" s="448">
        <f t="shared" si="35"/>
        <v>7152</v>
      </c>
      <c r="F454" s="447">
        <f t="shared" si="35"/>
        <v>8046</v>
      </c>
      <c r="G454" s="1378">
        <f t="shared" si="35"/>
        <v>282</v>
      </c>
      <c r="H454" s="448">
        <f t="shared" si="35"/>
        <v>4328</v>
      </c>
      <c r="I454" s="448">
        <f t="shared" si="35"/>
        <v>7152</v>
      </c>
      <c r="J454" s="447">
        <f t="shared" si="34"/>
        <v>8046</v>
      </c>
      <c r="K454" s="422"/>
      <c r="L454" s="448">
        <f t="shared" ref="L454:L517" si="36">ROUND((A454+B454)/2,2)</f>
        <v>22525</v>
      </c>
    </row>
    <row r="455" spans="1:12" ht="13.5">
      <c r="A455" s="448">
        <v>22550</v>
      </c>
      <c r="B455" s="447">
        <v>22600</v>
      </c>
      <c r="C455" s="1378">
        <f t="shared" si="35"/>
        <v>0</v>
      </c>
      <c r="D455" s="448">
        <f t="shared" si="35"/>
        <v>4328</v>
      </c>
      <c r="E455" s="448">
        <f t="shared" si="35"/>
        <v>7152</v>
      </c>
      <c r="F455" s="447">
        <f t="shared" si="35"/>
        <v>8046</v>
      </c>
      <c r="G455" s="1378">
        <f t="shared" si="35"/>
        <v>278</v>
      </c>
      <c r="H455" s="448">
        <f t="shared" si="35"/>
        <v>4328</v>
      </c>
      <c r="I455" s="448">
        <f t="shared" si="35"/>
        <v>7152</v>
      </c>
      <c r="J455" s="447">
        <f t="shared" si="34"/>
        <v>8046</v>
      </c>
      <c r="K455" s="422"/>
      <c r="L455" s="448">
        <f t="shared" si="36"/>
        <v>22575</v>
      </c>
    </row>
    <row r="456" spans="1:12" ht="13.5">
      <c r="A456" s="448">
        <v>22600</v>
      </c>
      <c r="B456" s="447">
        <v>22650</v>
      </c>
      <c r="C456" s="1378">
        <f t="shared" si="35"/>
        <v>0</v>
      </c>
      <c r="D456" s="448">
        <f t="shared" si="35"/>
        <v>4328</v>
      </c>
      <c r="E456" s="448">
        <f t="shared" si="35"/>
        <v>7152</v>
      </c>
      <c r="F456" s="447">
        <f t="shared" si="35"/>
        <v>8046</v>
      </c>
      <c r="G456" s="1378">
        <f t="shared" si="35"/>
        <v>275</v>
      </c>
      <c r="H456" s="448">
        <f t="shared" si="35"/>
        <v>4328</v>
      </c>
      <c r="I456" s="448">
        <f t="shared" si="35"/>
        <v>7152</v>
      </c>
      <c r="J456" s="447">
        <f t="shared" si="34"/>
        <v>8046</v>
      </c>
      <c r="K456" s="422"/>
      <c r="L456" s="448">
        <f t="shared" si="36"/>
        <v>22625</v>
      </c>
    </row>
    <row r="457" spans="1:12" ht="13.5">
      <c r="A457" s="448">
        <v>22650</v>
      </c>
      <c r="B457" s="447">
        <v>22700</v>
      </c>
      <c r="C457" s="1378">
        <f t="shared" si="35"/>
        <v>0</v>
      </c>
      <c r="D457" s="448">
        <f t="shared" si="35"/>
        <v>4328</v>
      </c>
      <c r="E457" s="448">
        <f t="shared" si="35"/>
        <v>7152</v>
      </c>
      <c r="F457" s="447">
        <f t="shared" si="35"/>
        <v>8046</v>
      </c>
      <c r="G457" s="1378">
        <f t="shared" si="35"/>
        <v>271</v>
      </c>
      <c r="H457" s="448">
        <f t="shared" si="35"/>
        <v>4328</v>
      </c>
      <c r="I457" s="448">
        <f t="shared" si="35"/>
        <v>7152</v>
      </c>
      <c r="J457" s="447">
        <f t="shared" si="34"/>
        <v>8046</v>
      </c>
      <c r="K457" s="422"/>
      <c r="L457" s="448">
        <f t="shared" si="36"/>
        <v>22675</v>
      </c>
    </row>
    <row r="458" spans="1:12" ht="13.5">
      <c r="A458" s="448">
        <v>22700</v>
      </c>
      <c r="B458" s="447">
        <v>22750</v>
      </c>
      <c r="C458" s="1378">
        <f t="shared" si="35"/>
        <v>0</v>
      </c>
      <c r="D458" s="448">
        <f t="shared" si="35"/>
        <v>4328</v>
      </c>
      <c r="E458" s="448">
        <f t="shared" si="35"/>
        <v>7152</v>
      </c>
      <c r="F458" s="447">
        <f t="shared" si="35"/>
        <v>8046</v>
      </c>
      <c r="G458" s="1378">
        <f t="shared" si="35"/>
        <v>267</v>
      </c>
      <c r="H458" s="448">
        <f t="shared" si="35"/>
        <v>4328</v>
      </c>
      <c r="I458" s="448">
        <f t="shared" si="35"/>
        <v>7152</v>
      </c>
      <c r="J458" s="447">
        <f t="shared" si="34"/>
        <v>8046</v>
      </c>
      <c r="K458" s="422"/>
      <c r="L458" s="448">
        <f t="shared" si="36"/>
        <v>22725</v>
      </c>
    </row>
    <row r="459" spans="1:12" ht="13.5">
      <c r="A459" s="448">
        <v>22750</v>
      </c>
      <c r="B459" s="447">
        <v>22800</v>
      </c>
      <c r="C459" s="1378">
        <f t="shared" si="35"/>
        <v>0</v>
      </c>
      <c r="D459" s="448">
        <f t="shared" si="35"/>
        <v>4328</v>
      </c>
      <c r="E459" s="448">
        <f t="shared" si="35"/>
        <v>7152</v>
      </c>
      <c r="F459" s="447">
        <f t="shared" si="35"/>
        <v>8046</v>
      </c>
      <c r="G459" s="1378">
        <f t="shared" si="35"/>
        <v>263</v>
      </c>
      <c r="H459" s="448">
        <f t="shared" si="35"/>
        <v>4328</v>
      </c>
      <c r="I459" s="448">
        <f t="shared" si="35"/>
        <v>7152</v>
      </c>
      <c r="J459" s="447">
        <f t="shared" si="34"/>
        <v>8046</v>
      </c>
      <c r="K459" s="422"/>
      <c r="L459" s="448">
        <f t="shared" si="36"/>
        <v>22775</v>
      </c>
    </row>
    <row r="460" spans="1:12" ht="13.5">
      <c r="A460" s="448">
        <v>22800</v>
      </c>
      <c r="B460" s="447">
        <v>22850</v>
      </c>
      <c r="C460" s="1378">
        <f t="shared" si="35"/>
        <v>0</v>
      </c>
      <c r="D460" s="448">
        <f t="shared" si="35"/>
        <v>4328</v>
      </c>
      <c r="E460" s="448">
        <f t="shared" si="35"/>
        <v>7152</v>
      </c>
      <c r="F460" s="447">
        <f t="shared" si="35"/>
        <v>8046</v>
      </c>
      <c r="G460" s="1378">
        <f t="shared" si="35"/>
        <v>259</v>
      </c>
      <c r="H460" s="448">
        <f t="shared" si="35"/>
        <v>4328</v>
      </c>
      <c r="I460" s="448">
        <f t="shared" si="35"/>
        <v>7152</v>
      </c>
      <c r="J460" s="447">
        <f t="shared" si="34"/>
        <v>8046</v>
      </c>
      <c r="K460" s="422"/>
      <c r="L460" s="448">
        <f t="shared" si="36"/>
        <v>22825</v>
      </c>
    </row>
    <row r="461" spans="1:12" ht="13.5">
      <c r="A461" s="448">
        <v>22850</v>
      </c>
      <c r="B461" s="447">
        <v>22900</v>
      </c>
      <c r="C461" s="1378">
        <f t="shared" si="35"/>
        <v>0</v>
      </c>
      <c r="D461" s="448">
        <f t="shared" si="35"/>
        <v>4328</v>
      </c>
      <c r="E461" s="448">
        <f t="shared" si="35"/>
        <v>7152</v>
      </c>
      <c r="F461" s="447">
        <f t="shared" si="35"/>
        <v>8046</v>
      </c>
      <c r="G461" s="1378">
        <f t="shared" si="35"/>
        <v>255</v>
      </c>
      <c r="H461" s="448">
        <f t="shared" si="35"/>
        <v>4328</v>
      </c>
      <c r="I461" s="448">
        <f t="shared" si="35"/>
        <v>7152</v>
      </c>
      <c r="J461" s="447">
        <f t="shared" si="34"/>
        <v>8046</v>
      </c>
      <c r="K461" s="422"/>
      <c r="L461" s="448">
        <f t="shared" si="36"/>
        <v>22875</v>
      </c>
    </row>
    <row r="462" spans="1:12" ht="13.5">
      <c r="A462" s="448">
        <v>22900</v>
      </c>
      <c r="B462" s="447">
        <v>22950</v>
      </c>
      <c r="C462" s="1378">
        <f t="shared" si="35"/>
        <v>0</v>
      </c>
      <c r="D462" s="448">
        <f t="shared" si="35"/>
        <v>4328</v>
      </c>
      <c r="E462" s="448">
        <f t="shared" si="35"/>
        <v>7152</v>
      </c>
      <c r="F462" s="447">
        <f t="shared" si="35"/>
        <v>8046</v>
      </c>
      <c r="G462" s="1378">
        <f t="shared" si="35"/>
        <v>252</v>
      </c>
      <c r="H462" s="448">
        <f t="shared" si="35"/>
        <v>4328</v>
      </c>
      <c r="I462" s="448">
        <f t="shared" si="35"/>
        <v>7152</v>
      </c>
      <c r="J462" s="447">
        <f t="shared" si="34"/>
        <v>8046</v>
      </c>
      <c r="K462" s="422"/>
      <c r="L462" s="448">
        <f t="shared" si="36"/>
        <v>22925</v>
      </c>
    </row>
    <row r="463" spans="1:12" ht="13.5">
      <c r="A463" s="448">
        <v>22950</v>
      </c>
      <c r="B463" s="447">
        <v>23000</v>
      </c>
      <c r="C463" s="1378">
        <f t="shared" si="35"/>
        <v>0</v>
      </c>
      <c r="D463" s="448">
        <f t="shared" si="35"/>
        <v>4328</v>
      </c>
      <c r="E463" s="448">
        <f t="shared" si="35"/>
        <v>7152</v>
      </c>
      <c r="F463" s="447">
        <f t="shared" si="35"/>
        <v>8046</v>
      </c>
      <c r="G463" s="1378">
        <f t="shared" si="35"/>
        <v>248</v>
      </c>
      <c r="H463" s="448">
        <f t="shared" si="35"/>
        <v>4328</v>
      </c>
      <c r="I463" s="448">
        <f t="shared" si="35"/>
        <v>7152</v>
      </c>
      <c r="J463" s="447">
        <f t="shared" si="34"/>
        <v>8046</v>
      </c>
      <c r="K463" s="422"/>
      <c r="L463" s="448">
        <f t="shared" si="36"/>
        <v>22975</v>
      </c>
    </row>
    <row r="464" spans="1:12" ht="13.5">
      <c r="A464" s="448">
        <v>23000</v>
      </c>
      <c r="B464" s="447">
        <v>23050</v>
      </c>
      <c r="C464" s="1378">
        <f t="shared" si="35"/>
        <v>0</v>
      </c>
      <c r="D464" s="448">
        <f t="shared" si="35"/>
        <v>4328</v>
      </c>
      <c r="E464" s="448">
        <f t="shared" si="35"/>
        <v>7152</v>
      </c>
      <c r="F464" s="447">
        <f t="shared" si="35"/>
        <v>8046</v>
      </c>
      <c r="G464" s="1378">
        <f t="shared" si="35"/>
        <v>244</v>
      </c>
      <c r="H464" s="448">
        <f t="shared" si="35"/>
        <v>4328</v>
      </c>
      <c r="I464" s="448">
        <f t="shared" si="35"/>
        <v>7152</v>
      </c>
      <c r="J464" s="447">
        <f t="shared" si="34"/>
        <v>8046</v>
      </c>
      <c r="K464" s="422"/>
      <c r="L464" s="448">
        <f t="shared" si="36"/>
        <v>23025</v>
      </c>
    </row>
    <row r="465" spans="1:12" ht="13.5">
      <c r="A465" s="448">
        <v>23050</v>
      </c>
      <c r="B465" s="447">
        <v>23100</v>
      </c>
      <c r="C465" s="1378">
        <f t="shared" si="35"/>
        <v>0</v>
      </c>
      <c r="D465" s="448">
        <f t="shared" si="35"/>
        <v>4328</v>
      </c>
      <c r="E465" s="448">
        <f t="shared" si="35"/>
        <v>7152</v>
      </c>
      <c r="F465" s="447">
        <f t="shared" si="35"/>
        <v>8046</v>
      </c>
      <c r="G465" s="1378">
        <f t="shared" si="35"/>
        <v>240</v>
      </c>
      <c r="H465" s="448">
        <f t="shared" si="35"/>
        <v>4328</v>
      </c>
      <c r="I465" s="448">
        <f t="shared" si="35"/>
        <v>7152</v>
      </c>
      <c r="J465" s="447">
        <f t="shared" si="34"/>
        <v>8046</v>
      </c>
      <c r="K465" s="422"/>
      <c r="L465" s="448">
        <f t="shared" si="36"/>
        <v>23075</v>
      </c>
    </row>
    <row r="466" spans="1:12" ht="13.5">
      <c r="A466" s="448">
        <v>23100</v>
      </c>
      <c r="B466" s="447">
        <v>23150</v>
      </c>
      <c r="C466" s="1378">
        <f t="shared" si="35"/>
        <v>0</v>
      </c>
      <c r="D466" s="448">
        <f t="shared" si="35"/>
        <v>4328</v>
      </c>
      <c r="E466" s="448">
        <f t="shared" si="35"/>
        <v>7152</v>
      </c>
      <c r="F466" s="447">
        <f t="shared" si="35"/>
        <v>8046</v>
      </c>
      <c r="G466" s="1378">
        <f t="shared" si="35"/>
        <v>236</v>
      </c>
      <c r="H466" s="448">
        <f t="shared" si="35"/>
        <v>4328</v>
      </c>
      <c r="I466" s="448">
        <f t="shared" si="35"/>
        <v>7152</v>
      </c>
      <c r="J466" s="447">
        <f t="shared" si="34"/>
        <v>8046</v>
      </c>
      <c r="K466" s="422"/>
      <c r="L466" s="448">
        <f t="shared" si="36"/>
        <v>23125</v>
      </c>
    </row>
    <row r="467" spans="1:12" ht="13.5">
      <c r="A467" s="448">
        <v>23150</v>
      </c>
      <c r="B467" s="447">
        <v>23200</v>
      </c>
      <c r="C467" s="1378">
        <f t="shared" si="35"/>
        <v>0</v>
      </c>
      <c r="D467" s="448">
        <f t="shared" si="35"/>
        <v>4328</v>
      </c>
      <c r="E467" s="448">
        <f t="shared" si="35"/>
        <v>7152</v>
      </c>
      <c r="F467" s="447">
        <f t="shared" ref="F467:J523" si="37">IF($L467&gt;Q$5,MAX(0,Q$3+ROUND((Q$9*($L467-Q$5)),0)),IF($L467&gt;Q$4,Q$3,ROUND($L467*Q$7,0)))</f>
        <v>8046</v>
      </c>
      <c r="G467" s="1378">
        <f t="shared" si="37"/>
        <v>232</v>
      </c>
      <c r="H467" s="448">
        <f t="shared" si="37"/>
        <v>4328</v>
      </c>
      <c r="I467" s="448">
        <f t="shared" si="37"/>
        <v>7152</v>
      </c>
      <c r="J467" s="447">
        <f t="shared" si="34"/>
        <v>8046</v>
      </c>
      <c r="K467" s="422"/>
      <c r="L467" s="448">
        <f t="shared" si="36"/>
        <v>23175</v>
      </c>
    </row>
    <row r="468" spans="1:12" ht="13.5">
      <c r="A468" s="448">
        <v>23200</v>
      </c>
      <c r="B468" s="447">
        <v>23250</v>
      </c>
      <c r="C468" s="1378">
        <f t="shared" ref="C468:G532" si="38">IF($L468&gt;N$5,MAX(0,N$3+ROUND((N$9*($L468-N$5)),0)),IF($L468&gt;N$4,N$3,ROUND($L468*N$7,0)))</f>
        <v>0</v>
      </c>
      <c r="D468" s="448">
        <f t="shared" si="38"/>
        <v>4328</v>
      </c>
      <c r="E468" s="448">
        <f t="shared" si="38"/>
        <v>7152</v>
      </c>
      <c r="F468" s="447">
        <f t="shared" si="37"/>
        <v>8046</v>
      </c>
      <c r="G468" s="1378">
        <f t="shared" si="37"/>
        <v>229</v>
      </c>
      <c r="H468" s="448">
        <f t="shared" si="37"/>
        <v>4328</v>
      </c>
      <c r="I468" s="448">
        <f t="shared" si="37"/>
        <v>7152</v>
      </c>
      <c r="J468" s="447">
        <f t="shared" si="34"/>
        <v>8046</v>
      </c>
      <c r="K468" s="422"/>
      <c r="L468" s="448">
        <f t="shared" si="36"/>
        <v>23225</v>
      </c>
    </row>
    <row r="469" spans="1:12" ht="13.5">
      <c r="A469" s="448">
        <v>23250</v>
      </c>
      <c r="B469" s="447">
        <v>23300</v>
      </c>
      <c r="C469" s="1378">
        <f t="shared" si="38"/>
        <v>0</v>
      </c>
      <c r="D469" s="448">
        <f t="shared" si="38"/>
        <v>4328</v>
      </c>
      <c r="E469" s="448">
        <f t="shared" si="38"/>
        <v>7152</v>
      </c>
      <c r="F469" s="447">
        <f t="shared" si="37"/>
        <v>8046</v>
      </c>
      <c r="G469" s="1378">
        <f t="shared" si="37"/>
        <v>225</v>
      </c>
      <c r="H469" s="448">
        <f t="shared" si="37"/>
        <v>4328</v>
      </c>
      <c r="I469" s="448">
        <f t="shared" si="37"/>
        <v>7152</v>
      </c>
      <c r="J469" s="447">
        <f t="shared" si="34"/>
        <v>8046</v>
      </c>
      <c r="K469" s="422"/>
      <c r="L469" s="448">
        <f t="shared" si="36"/>
        <v>23275</v>
      </c>
    </row>
    <row r="470" spans="1:12" ht="13.5">
      <c r="A470" s="448">
        <v>23300</v>
      </c>
      <c r="B470" s="447">
        <v>23350</v>
      </c>
      <c r="C470" s="1378">
        <f t="shared" si="38"/>
        <v>0</v>
      </c>
      <c r="D470" s="448">
        <f t="shared" si="38"/>
        <v>4328</v>
      </c>
      <c r="E470" s="448">
        <f t="shared" si="38"/>
        <v>7152</v>
      </c>
      <c r="F470" s="447">
        <f t="shared" si="37"/>
        <v>8046</v>
      </c>
      <c r="G470" s="1378">
        <f t="shared" si="37"/>
        <v>221</v>
      </c>
      <c r="H470" s="448">
        <f t="shared" si="37"/>
        <v>4328</v>
      </c>
      <c r="I470" s="448">
        <f t="shared" si="37"/>
        <v>7152</v>
      </c>
      <c r="J470" s="447">
        <f t="shared" si="34"/>
        <v>8046</v>
      </c>
      <c r="K470" s="422"/>
      <c r="L470" s="448">
        <f t="shared" si="36"/>
        <v>23325</v>
      </c>
    </row>
    <row r="471" spans="1:12" ht="13.5">
      <c r="A471" s="448">
        <v>23350</v>
      </c>
      <c r="B471" s="447">
        <v>23400</v>
      </c>
      <c r="C471" s="1378">
        <f t="shared" si="38"/>
        <v>0</v>
      </c>
      <c r="D471" s="448">
        <f t="shared" si="38"/>
        <v>4324</v>
      </c>
      <c r="E471" s="448">
        <f t="shared" si="38"/>
        <v>7147</v>
      </c>
      <c r="F471" s="447">
        <f t="shared" si="37"/>
        <v>8041</v>
      </c>
      <c r="G471" s="1378">
        <f t="shared" si="37"/>
        <v>217</v>
      </c>
      <c r="H471" s="448">
        <f t="shared" si="37"/>
        <v>4328</v>
      </c>
      <c r="I471" s="448">
        <f t="shared" si="37"/>
        <v>7152</v>
      </c>
      <c r="J471" s="447">
        <f t="shared" si="34"/>
        <v>8046</v>
      </c>
      <c r="K471" s="422"/>
      <c r="L471" s="448">
        <f t="shared" si="36"/>
        <v>23375</v>
      </c>
    </row>
    <row r="472" spans="1:12" ht="13.5">
      <c r="A472" s="448">
        <v>23400</v>
      </c>
      <c r="B472" s="447">
        <v>23450</v>
      </c>
      <c r="C472" s="1378">
        <f t="shared" si="38"/>
        <v>0</v>
      </c>
      <c r="D472" s="448">
        <f t="shared" si="38"/>
        <v>4316</v>
      </c>
      <c r="E472" s="448">
        <f t="shared" si="38"/>
        <v>7136</v>
      </c>
      <c r="F472" s="447">
        <f t="shared" si="37"/>
        <v>8030</v>
      </c>
      <c r="G472" s="1378">
        <f t="shared" si="37"/>
        <v>213</v>
      </c>
      <c r="H472" s="448">
        <f t="shared" si="37"/>
        <v>4328</v>
      </c>
      <c r="I472" s="448">
        <f t="shared" si="37"/>
        <v>7152</v>
      </c>
      <c r="J472" s="447">
        <f t="shared" si="34"/>
        <v>8046</v>
      </c>
      <c r="K472" s="422"/>
      <c r="L472" s="448">
        <f t="shared" si="36"/>
        <v>23425</v>
      </c>
    </row>
    <row r="473" spans="1:12" ht="13.5">
      <c r="A473" s="448">
        <v>23450</v>
      </c>
      <c r="B473" s="447">
        <v>23500</v>
      </c>
      <c r="C473" s="1378">
        <f t="shared" si="38"/>
        <v>0</v>
      </c>
      <c r="D473" s="448">
        <f t="shared" si="38"/>
        <v>4308</v>
      </c>
      <c r="E473" s="448">
        <f t="shared" si="38"/>
        <v>7126</v>
      </c>
      <c r="F473" s="447">
        <f t="shared" si="37"/>
        <v>8020</v>
      </c>
      <c r="G473" s="1378">
        <f t="shared" si="37"/>
        <v>210</v>
      </c>
      <c r="H473" s="448">
        <f t="shared" si="37"/>
        <v>4328</v>
      </c>
      <c r="I473" s="448">
        <f t="shared" si="37"/>
        <v>7152</v>
      </c>
      <c r="J473" s="447">
        <f t="shared" si="34"/>
        <v>8046</v>
      </c>
      <c r="K473" s="422"/>
      <c r="L473" s="448">
        <f t="shared" si="36"/>
        <v>23475</v>
      </c>
    </row>
    <row r="474" spans="1:12" ht="13.5">
      <c r="A474" s="448">
        <v>23500</v>
      </c>
      <c r="B474" s="447">
        <v>23550</v>
      </c>
      <c r="C474" s="1378">
        <f t="shared" si="38"/>
        <v>0</v>
      </c>
      <c r="D474" s="448">
        <f t="shared" si="38"/>
        <v>4300</v>
      </c>
      <c r="E474" s="448">
        <f t="shared" si="38"/>
        <v>7115</v>
      </c>
      <c r="F474" s="447">
        <f t="shared" si="37"/>
        <v>8009</v>
      </c>
      <c r="G474" s="1378">
        <f t="shared" si="37"/>
        <v>206</v>
      </c>
      <c r="H474" s="448">
        <f t="shared" si="37"/>
        <v>4328</v>
      </c>
      <c r="I474" s="448">
        <f t="shared" si="37"/>
        <v>7152</v>
      </c>
      <c r="J474" s="447">
        <f t="shared" si="34"/>
        <v>8046</v>
      </c>
      <c r="K474" s="422"/>
      <c r="L474" s="448">
        <f t="shared" si="36"/>
        <v>23525</v>
      </c>
    </row>
    <row r="475" spans="1:12" ht="13.5">
      <c r="A475" s="448">
        <v>23550</v>
      </c>
      <c r="B475" s="447">
        <v>23600</v>
      </c>
      <c r="C475" s="1378">
        <f t="shared" si="38"/>
        <v>0</v>
      </c>
      <c r="D475" s="448">
        <f t="shared" si="38"/>
        <v>4292</v>
      </c>
      <c r="E475" s="448">
        <f t="shared" si="38"/>
        <v>7105</v>
      </c>
      <c r="F475" s="447">
        <f t="shared" si="37"/>
        <v>7999</v>
      </c>
      <c r="G475" s="1378">
        <f t="shared" si="37"/>
        <v>202</v>
      </c>
      <c r="H475" s="448">
        <f t="shared" si="37"/>
        <v>4328</v>
      </c>
      <c r="I475" s="448">
        <f t="shared" si="37"/>
        <v>7152</v>
      </c>
      <c r="J475" s="447">
        <f t="shared" si="34"/>
        <v>8046</v>
      </c>
      <c r="K475" s="422"/>
      <c r="L475" s="448">
        <f t="shared" si="36"/>
        <v>23575</v>
      </c>
    </row>
    <row r="476" spans="1:12" ht="13.5">
      <c r="A476" s="448">
        <v>23600</v>
      </c>
      <c r="B476" s="447">
        <v>23650</v>
      </c>
      <c r="C476" s="1378">
        <f t="shared" si="38"/>
        <v>0</v>
      </c>
      <c r="D476" s="448">
        <f t="shared" si="38"/>
        <v>4284</v>
      </c>
      <c r="E476" s="448">
        <f t="shared" si="38"/>
        <v>7094</v>
      </c>
      <c r="F476" s="447">
        <f t="shared" si="37"/>
        <v>7988</v>
      </c>
      <c r="G476" s="1378">
        <f t="shared" si="37"/>
        <v>198</v>
      </c>
      <c r="H476" s="448">
        <f t="shared" si="37"/>
        <v>4328</v>
      </c>
      <c r="I476" s="448">
        <f t="shared" si="37"/>
        <v>7152</v>
      </c>
      <c r="J476" s="447">
        <f t="shared" si="34"/>
        <v>8046</v>
      </c>
      <c r="K476" s="422"/>
      <c r="L476" s="448">
        <f t="shared" si="36"/>
        <v>23625</v>
      </c>
    </row>
    <row r="477" spans="1:12" ht="13.5">
      <c r="A477" s="448">
        <v>23650</v>
      </c>
      <c r="B477" s="447">
        <v>23700</v>
      </c>
      <c r="C477" s="1378">
        <f t="shared" si="38"/>
        <v>0</v>
      </c>
      <c r="D477" s="448">
        <f t="shared" si="38"/>
        <v>4276</v>
      </c>
      <c r="E477" s="448">
        <f t="shared" si="38"/>
        <v>7084</v>
      </c>
      <c r="F477" s="447">
        <f t="shared" si="37"/>
        <v>7978</v>
      </c>
      <c r="G477" s="1378">
        <f t="shared" si="37"/>
        <v>194</v>
      </c>
      <c r="H477" s="448">
        <f t="shared" si="37"/>
        <v>4328</v>
      </c>
      <c r="I477" s="448">
        <f t="shared" si="37"/>
        <v>7152</v>
      </c>
      <c r="J477" s="447">
        <f t="shared" si="34"/>
        <v>8046</v>
      </c>
      <c r="K477" s="422"/>
      <c r="L477" s="448">
        <f t="shared" si="36"/>
        <v>23675</v>
      </c>
    </row>
    <row r="478" spans="1:12" ht="13.5">
      <c r="A478" s="448">
        <v>23700</v>
      </c>
      <c r="B478" s="447">
        <v>23750</v>
      </c>
      <c r="C478" s="1378">
        <f t="shared" si="38"/>
        <v>0</v>
      </c>
      <c r="D478" s="448">
        <f t="shared" si="38"/>
        <v>4268</v>
      </c>
      <c r="E478" s="448">
        <f t="shared" si="38"/>
        <v>7073</v>
      </c>
      <c r="F478" s="447">
        <f t="shared" si="37"/>
        <v>7967</v>
      </c>
      <c r="G478" s="1378">
        <f t="shared" si="37"/>
        <v>190</v>
      </c>
      <c r="H478" s="448">
        <f t="shared" si="37"/>
        <v>4328</v>
      </c>
      <c r="I478" s="448">
        <f t="shared" si="37"/>
        <v>7152</v>
      </c>
      <c r="J478" s="447">
        <f t="shared" si="34"/>
        <v>8046</v>
      </c>
      <c r="K478" s="422"/>
      <c r="L478" s="448">
        <f t="shared" si="36"/>
        <v>23725</v>
      </c>
    </row>
    <row r="479" spans="1:12" ht="13.5">
      <c r="A479" s="448">
        <v>23750</v>
      </c>
      <c r="B479" s="447">
        <v>23800</v>
      </c>
      <c r="C479" s="1378">
        <f t="shared" si="38"/>
        <v>0</v>
      </c>
      <c r="D479" s="448">
        <f t="shared" si="38"/>
        <v>4260</v>
      </c>
      <c r="E479" s="448">
        <f t="shared" si="38"/>
        <v>7062</v>
      </c>
      <c r="F479" s="447">
        <f t="shared" si="37"/>
        <v>7956</v>
      </c>
      <c r="G479" s="1378">
        <f t="shared" si="37"/>
        <v>187</v>
      </c>
      <c r="H479" s="448">
        <f t="shared" si="37"/>
        <v>4328</v>
      </c>
      <c r="I479" s="448">
        <f t="shared" si="37"/>
        <v>7152</v>
      </c>
      <c r="J479" s="447">
        <f t="shared" si="34"/>
        <v>8046</v>
      </c>
      <c r="K479" s="422"/>
      <c r="L479" s="448">
        <f t="shared" si="36"/>
        <v>23775</v>
      </c>
    </row>
    <row r="480" spans="1:12" ht="13.5">
      <c r="A480" s="448">
        <v>23800</v>
      </c>
      <c r="B480" s="447">
        <v>23850</v>
      </c>
      <c r="C480" s="1378">
        <f t="shared" si="38"/>
        <v>0</v>
      </c>
      <c r="D480" s="448">
        <f t="shared" si="38"/>
        <v>4252</v>
      </c>
      <c r="E480" s="448">
        <f t="shared" si="38"/>
        <v>7052</v>
      </c>
      <c r="F480" s="447">
        <f t="shared" si="37"/>
        <v>7946</v>
      </c>
      <c r="G480" s="1378">
        <f t="shared" si="37"/>
        <v>183</v>
      </c>
      <c r="H480" s="448">
        <f t="shared" si="37"/>
        <v>4328</v>
      </c>
      <c r="I480" s="448">
        <f t="shared" si="37"/>
        <v>7152</v>
      </c>
      <c r="J480" s="447">
        <f t="shared" si="34"/>
        <v>8046</v>
      </c>
      <c r="K480" s="422"/>
      <c r="L480" s="448">
        <f t="shared" si="36"/>
        <v>23825</v>
      </c>
    </row>
    <row r="481" spans="1:12" ht="13.5">
      <c r="A481" s="448">
        <v>23850</v>
      </c>
      <c r="B481" s="447">
        <v>23900</v>
      </c>
      <c r="C481" s="1378">
        <f t="shared" si="38"/>
        <v>0</v>
      </c>
      <c r="D481" s="448">
        <f t="shared" si="38"/>
        <v>4244</v>
      </c>
      <c r="E481" s="448">
        <f t="shared" si="38"/>
        <v>7041</v>
      </c>
      <c r="F481" s="447">
        <f t="shared" si="37"/>
        <v>7935</v>
      </c>
      <c r="G481" s="1378">
        <f t="shared" si="37"/>
        <v>179</v>
      </c>
      <c r="H481" s="448">
        <f t="shared" si="37"/>
        <v>4328</v>
      </c>
      <c r="I481" s="448">
        <f t="shared" si="37"/>
        <v>7152</v>
      </c>
      <c r="J481" s="447">
        <f t="shared" si="34"/>
        <v>8046</v>
      </c>
      <c r="K481" s="422"/>
      <c r="L481" s="448">
        <f t="shared" si="36"/>
        <v>23875</v>
      </c>
    </row>
    <row r="482" spans="1:12" ht="13.5">
      <c r="A482" s="448">
        <v>23900</v>
      </c>
      <c r="B482" s="447">
        <v>23950</v>
      </c>
      <c r="C482" s="1378">
        <f t="shared" si="38"/>
        <v>0</v>
      </c>
      <c r="D482" s="448">
        <f t="shared" si="38"/>
        <v>4236</v>
      </c>
      <c r="E482" s="448">
        <f t="shared" si="38"/>
        <v>7031</v>
      </c>
      <c r="F482" s="447">
        <f t="shared" si="37"/>
        <v>7925</v>
      </c>
      <c r="G482" s="1378">
        <f t="shared" si="37"/>
        <v>175</v>
      </c>
      <c r="H482" s="448">
        <f t="shared" si="37"/>
        <v>4328</v>
      </c>
      <c r="I482" s="448">
        <f t="shared" si="37"/>
        <v>7152</v>
      </c>
      <c r="J482" s="447">
        <f t="shared" si="34"/>
        <v>8046</v>
      </c>
      <c r="K482" s="422"/>
      <c r="L482" s="448">
        <f t="shared" si="36"/>
        <v>23925</v>
      </c>
    </row>
    <row r="483" spans="1:12" ht="13.5">
      <c r="A483" s="448">
        <v>23950</v>
      </c>
      <c r="B483" s="447">
        <v>24000</v>
      </c>
      <c r="C483" s="1378">
        <f t="shared" si="38"/>
        <v>0</v>
      </c>
      <c r="D483" s="448">
        <f t="shared" si="38"/>
        <v>4228</v>
      </c>
      <c r="E483" s="448">
        <f t="shared" si="38"/>
        <v>7020</v>
      </c>
      <c r="F483" s="447">
        <f t="shared" si="37"/>
        <v>7914</v>
      </c>
      <c r="G483" s="1378">
        <f t="shared" si="37"/>
        <v>171</v>
      </c>
      <c r="H483" s="448">
        <f t="shared" si="37"/>
        <v>4328</v>
      </c>
      <c r="I483" s="448">
        <f t="shared" si="37"/>
        <v>7152</v>
      </c>
      <c r="J483" s="447">
        <f t="shared" si="34"/>
        <v>8046</v>
      </c>
      <c r="K483" s="422"/>
      <c r="L483" s="448">
        <f t="shared" si="36"/>
        <v>23975</v>
      </c>
    </row>
    <row r="484" spans="1:12" ht="13.5">
      <c r="A484" s="448">
        <v>24000</v>
      </c>
      <c r="B484" s="447">
        <v>24050</v>
      </c>
      <c r="C484" s="1378">
        <f t="shared" si="38"/>
        <v>0</v>
      </c>
      <c r="D484" s="448">
        <f t="shared" si="38"/>
        <v>4220</v>
      </c>
      <c r="E484" s="448">
        <f t="shared" si="38"/>
        <v>7010</v>
      </c>
      <c r="F484" s="447">
        <f t="shared" si="37"/>
        <v>7904</v>
      </c>
      <c r="G484" s="1378">
        <f t="shared" si="37"/>
        <v>167</v>
      </c>
      <c r="H484" s="448">
        <f t="shared" si="37"/>
        <v>4328</v>
      </c>
      <c r="I484" s="448">
        <f t="shared" si="37"/>
        <v>7152</v>
      </c>
      <c r="J484" s="447">
        <f t="shared" si="34"/>
        <v>8046</v>
      </c>
      <c r="K484" s="422"/>
      <c r="L484" s="448">
        <f t="shared" si="36"/>
        <v>24025</v>
      </c>
    </row>
    <row r="485" spans="1:12" ht="13.5">
      <c r="A485" s="448">
        <v>24050</v>
      </c>
      <c r="B485" s="447">
        <v>24100</v>
      </c>
      <c r="C485" s="1378">
        <f t="shared" si="38"/>
        <v>0</v>
      </c>
      <c r="D485" s="448">
        <f t="shared" si="38"/>
        <v>4212</v>
      </c>
      <c r="E485" s="448">
        <f t="shared" si="38"/>
        <v>6999</v>
      </c>
      <c r="F485" s="447">
        <f t="shared" si="37"/>
        <v>7893</v>
      </c>
      <c r="G485" s="1378">
        <f t="shared" si="37"/>
        <v>164</v>
      </c>
      <c r="H485" s="448">
        <f t="shared" si="37"/>
        <v>4328</v>
      </c>
      <c r="I485" s="448">
        <f t="shared" si="37"/>
        <v>7152</v>
      </c>
      <c r="J485" s="447">
        <f t="shared" si="34"/>
        <v>8046</v>
      </c>
      <c r="K485" s="422"/>
      <c r="L485" s="448">
        <f t="shared" si="36"/>
        <v>24075</v>
      </c>
    </row>
    <row r="486" spans="1:12" ht="13.5">
      <c r="A486" s="448">
        <v>24100</v>
      </c>
      <c r="B486" s="447">
        <v>24150</v>
      </c>
      <c r="C486" s="1378">
        <f t="shared" si="38"/>
        <v>0</v>
      </c>
      <c r="D486" s="448">
        <f t="shared" si="38"/>
        <v>4204</v>
      </c>
      <c r="E486" s="448">
        <f t="shared" si="38"/>
        <v>6989</v>
      </c>
      <c r="F486" s="447">
        <f t="shared" si="37"/>
        <v>7883</v>
      </c>
      <c r="G486" s="1378">
        <f t="shared" si="37"/>
        <v>160</v>
      </c>
      <c r="H486" s="448">
        <f t="shared" si="37"/>
        <v>4328</v>
      </c>
      <c r="I486" s="448">
        <f t="shared" si="37"/>
        <v>7152</v>
      </c>
      <c r="J486" s="447">
        <f t="shared" si="34"/>
        <v>8046</v>
      </c>
      <c r="K486" s="422"/>
      <c r="L486" s="448">
        <f t="shared" si="36"/>
        <v>24125</v>
      </c>
    </row>
    <row r="487" spans="1:12" ht="13.5">
      <c r="A487" s="448">
        <v>24150</v>
      </c>
      <c r="B487" s="447">
        <v>24200</v>
      </c>
      <c r="C487" s="1378">
        <f t="shared" si="38"/>
        <v>0</v>
      </c>
      <c r="D487" s="448">
        <f t="shared" si="38"/>
        <v>4196</v>
      </c>
      <c r="E487" s="448">
        <f t="shared" si="38"/>
        <v>6978</v>
      </c>
      <c r="F487" s="447">
        <f t="shared" si="37"/>
        <v>7872</v>
      </c>
      <c r="G487" s="1378">
        <f t="shared" si="37"/>
        <v>156</v>
      </c>
      <c r="H487" s="448">
        <f t="shared" si="37"/>
        <v>4328</v>
      </c>
      <c r="I487" s="448">
        <f t="shared" si="37"/>
        <v>7152</v>
      </c>
      <c r="J487" s="447">
        <f t="shared" si="34"/>
        <v>8046</v>
      </c>
      <c r="K487" s="422"/>
      <c r="L487" s="448">
        <f t="shared" si="36"/>
        <v>24175</v>
      </c>
    </row>
    <row r="488" spans="1:12" ht="13.5">
      <c r="A488" s="448">
        <v>24200</v>
      </c>
      <c r="B488" s="447">
        <v>24250</v>
      </c>
      <c r="C488" s="1378">
        <f t="shared" si="38"/>
        <v>0</v>
      </c>
      <c r="D488" s="448">
        <f t="shared" si="38"/>
        <v>4188</v>
      </c>
      <c r="E488" s="448">
        <f t="shared" si="38"/>
        <v>6968</v>
      </c>
      <c r="F488" s="447">
        <f t="shared" si="37"/>
        <v>7862</v>
      </c>
      <c r="G488" s="1378">
        <f t="shared" si="37"/>
        <v>152</v>
      </c>
      <c r="H488" s="448">
        <f t="shared" si="37"/>
        <v>4328</v>
      </c>
      <c r="I488" s="448">
        <f t="shared" si="37"/>
        <v>7152</v>
      </c>
      <c r="J488" s="447">
        <f t="shared" si="34"/>
        <v>8046</v>
      </c>
      <c r="K488" s="422"/>
      <c r="L488" s="448">
        <f t="shared" si="36"/>
        <v>24225</v>
      </c>
    </row>
    <row r="489" spans="1:12" ht="13.5">
      <c r="A489" s="448">
        <v>24250</v>
      </c>
      <c r="B489" s="447">
        <v>24300</v>
      </c>
      <c r="C489" s="1378">
        <f t="shared" si="38"/>
        <v>0</v>
      </c>
      <c r="D489" s="448">
        <f t="shared" si="38"/>
        <v>4180</v>
      </c>
      <c r="E489" s="448">
        <f t="shared" si="38"/>
        <v>6957</v>
      </c>
      <c r="F489" s="447">
        <f t="shared" si="37"/>
        <v>7851</v>
      </c>
      <c r="G489" s="1378">
        <f t="shared" si="37"/>
        <v>148</v>
      </c>
      <c r="H489" s="448">
        <f t="shared" si="37"/>
        <v>4328</v>
      </c>
      <c r="I489" s="448">
        <f t="shared" si="37"/>
        <v>7152</v>
      </c>
      <c r="J489" s="447">
        <f t="shared" si="34"/>
        <v>8046</v>
      </c>
      <c r="K489" s="422"/>
      <c r="L489" s="448">
        <f t="shared" si="36"/>
        <v>24275</v>
      </c>
    </row>
    <row r="490" spans="1:12" ht="13.5">
      <c r="A490" s="448">
        <v>24300</v>
      </c>
      <c r="B490" s="447">
        <v>24350</v>
      </c>
      <c r="C490" s="1378">
        <f t="shared" si="38"/>
        <v>0</v>
      </c>
      <c r="D490" s="448">
        <f t="shared" si="38"/>
        <v>4172</v>
      </c>
      <c r="E490" s="448">
        <f t="shared" si="38"/>
        <v>6947</v>
      </c>
      <c r="F490" s="447">
        <f t="shared" si="37"/>
        <v>7841</v>
      </c>
      <c r="G490" s="1378">
        <f t="shared" si="37"/>
        <v>145</v>
      </c>
      <c r="H490" s="448">
        <f t="shared" si="37"/>
        <v>4328</v>
      </c>
      <c r="I490" s="448">
        <f t="shared" si="37"/>
        <v>7152</v>
      </c>
      <c r="J490" s="447">
        <f t="shared" si="34"/>
        <v>8046</v>
      </c>
      <c r="K490" s="422"/>
      <c r="L490" s="448">
        <f t="shared" si="36"/>
        <v>24325</v>
      </c>
    </row>
    <row r="491" spans="1:12" ht="13.5">
      <c r="A491" s="448">
        <v>24350</v>
      </c>
      <c r="B491" s="447">
        <v>24400</v>
      </c>
      <c r="C491" s="1378">
        <f t="shared" si="38"/>
        <v>0</v>
      </c>
      <c r="D491" s="448">
        <f t="shared" si="38"/>
        <v>4164</v>
      </c>
      <c r="E491" s="448">
        <f t="shared" si="38"/>
        <v>6936</v>
      </c>
      <c r="F491" s="447">
        <f t="shared" si="37"/>
        <v>7830</v>
      </c>
      <c r="G491" s="1378">
        <f t="shared" si="37"/>
        <v>141</v>
      </c>
      <c r="H491" s="448">
        <f t="shared" si="37"/>
        <v>4328</v>
      </c>
      <c r="I491" s="448">
        <f t="shared" si="37"/>
        <v>7152</v>
      </c>
      <c r="J491" s="447">
        <f t="shared" si="34"/>
        <v>8046</v>
      </c>
      <c r="K491" s="422"/>
      <c r="L491" s="448">
        <f t="shared" si="36"/>
        <v>24375</v>
      </c>
    </row>
    <row r="492" spans="1:12" ht="13.5">
      <c r="A492" s="448">
        <v>24400</v>
      </c>
      <c r="B492" s="447">
        <v>24450</v>
      </c>
      <c r="C492" s="1378">
        <f t="shared" si="38"/>
        <v>0</v>
      </c>
      <c r="D492" s="448">
        <f t="shared" si="38"/>
        <v>4156</v>
      </c>
      <c r="E492" s="448">
        <f t="shared" si="38"/>
        <v>6926</v>
      </c>
      <c r="F492" s="447">
        <f t="shared" si="37"/>
        <v>7820</v>
      </c>
      <c r="G492" s="1378">
        <f t="shared" si="37"/>
        <v>137</v>
      </c>
      <c r="H492" s="448">
        <f t="shared" si="37"/>
        <v>4328</v>
      </c>
      <c r="I492" s="448">
        <f t="shared" si="37"/>
        <v>7152</v>
      </c>
      <c r="J492" s="447">
        <f t="shared" si="34"/>
        <v>8046</v>
      </c>
      <c r="K492" s="422"/>
      <c r="L492" s="448">
        <f t="shared" si="36"/>
        <v>24425</v>
      </c>
    </row>
    <row r="493" spans="1:12" ht="13.5">
      <c r="A493" s="448">
        <v>24450</v>
      </c>
      <c r="B493" s="447">
        <v>24500</v>
      </c>
      <c r="C493" s="1378">
        <f t="shared" si="38"/>
        <v>0</v>
      </c>
      <c r="D493" s="448">
        <f t="shared" si="38"/>
        <v>4148</v>
      </c>
      <c r="E493" s="448">
        <f t="shared" si="38"/>
        <v>6915</v>
      </c>
      <c r="F493" s="447">
        <f t="shared" si="37"/>
        <v>7809</v>
      </c>
      <c r="G493" s="1378">
        <f t="shared" si="37"/>
        <v>133</v>
      </c>
      <c r="H493" s="448">
        <f t="shared" si="37"/>
        <v>4328</v>
      </c>
      <c r="I493" s="448">
        <f t="shared" si="37"/>
        <v>7152</v>
      </c>
      <c r="J493" s="447">
        <f t="shared" si="34"/>
        <v>8046</v>
      </c>
      <c r="K493" s="422"/>
      <c r="L493" s="448">
        <f t="shared" si="36"/>
        <v>24475</v>
      </c>
    </row>
    <row r="494" spans="1:12" ht="13.5">
      <c r="A494" s="448">
        <v>24500</v>
      </c>
      <c r="B494" s="447">
        <v>24550</v>
      </c>
      <c r="C494" s="1378">
        <f t="shared" si="38"/>
        <v>0</v>
      </c>
      <c r="D494" s="448">
        <f t="shared" si="38"/>
        <v>4140</v>
      </c>
      <c r="E494" s="448">
        <f t="shared" si="38"/>
        <v>6905</v>
      </c>
      <c r="F494" s="447">
        <f t="shared" si="37"/>
        <v>7799</v>
      </c>
      <c r="G494" s="1378">
        <f t="shared" si="37"/>
        <v>129</v>
      </c>
      <c r="H494" s="448">
        <f t="shared" si="37"/>
        <v>4328</v>
      </c>
      <c r="I494" s="448">
        <f t="shared" si="37"/>
        <v>7152</v>
      </c>
      <c r="J494" s="447">
        <f t="shared" si="37"/>
        <v>8046</v>
      </c>
      <c r="K494" s="422"/>
      <c r="L494" s="448">
        <f t="shared" si="36"/>
        <v>24525</v>
      </c>
    </row>
    <row r="495" spans="1:12" ht="13.5">
      <c r="A495" s="448">
        <v>24550</v>
      </c>
      <c r="B495" s="447">
        <v>24600</v>
      </c>
      <c r="C495" s="1378">
        <f t="shared" si="38"/>
        <v>0</v>
      </c>
      <c r="D495" s="448">
        <f t="shared" si="38"/>
        <v>4132</v>
      </c>
      <c r="E495" s="448">
        <f t="shared" si="38"/>
        <v>6894</v>
      </c>
      <c r="F495" s="447">
        <f t="shared" si="37"/>
        <v>7788</v>
      </c>
      <c r="G495" s="1378">
        <f t="shared" si="37"/>
        <v>125</v>
      </c>
      <c r="H495" s="448">
        <f t="shared" si="37"/>
        <v>4328</v>
      </c>
      <c r="I495" s="448">
        <f t="shared" si="37"/>
        <v>7152</v>
      </c>
      <c r="J495" s="447">
        <f t="shared" si="37"/>
        <v>8046</v>
      </c>
      <c r="K495" s="422"/>
      <c r="L495" s="448">
        <f t="shared" si="36"/>
        <v>24575</v>
      </c>
    </row>
    <row r="496" spans="1:12" ht="13.5">
      <c r="A496" s="448">
        <v>24600</v>
      </c>
      <c r="B496" s="447">
        <v>24650</v>
      </c>
      <c r="C496" s="1378">
        <f t="shared" si="38"/>
        <v>0</v>
      </c>
      <c r="D496" s="448">
        <f t="shared" si="38"/>
        <v>4124</v>
      </c>
      <c r="E496" s="448">
        <f t="shared" si="38"/>
        <v>6883</v>
      </c>
      <c r="F496" s="447">
        <f t="shared" si="37"/>
        <v>7777</v>
      </c>
      <c r="G496" s="1378">
        <f t="shared" si="37"/>
        <v>122</v>
      </c>
      <c r="H496" s="448">
        <f t="shared" si="37"/>
        <v>4328</v>
      </c>
      <c r="I496" s="448">
        <f t="shared" si="37"/>
        <v>7152</v>
      </c>
      <c r="J496" s="447">
        <f t="shared" si="37"/>
        <v>8046</v>
      </c>
      <c r="K496" s="422"/>
      <c r="L496" s="448">
        <f t="shared" si="36"/>
        <v>24625</v>
      </c>
    </row>
    <row r="497" spans="1:12" ht="13.5">
      <c r="A497" s="448">
        <v>24650</v>
      </c>
      <c r="B497" s="447">
        <v>24700</v>
      </c>
      <c r="C497" s="1378">
        <f t="shared" si="38"/>
        <v>0</v>
      </c>
      <c r="D497" s="448">
        <f t="shared" si="38"/>
        <v>4116</v>
      </c>
      <c r="E497" s="448">
        <f t="shared" si="38"/>
        <v>6873</v>
      </c>
      <c r="F497" s="447">
        <f t="shared" si="37"/>
        <v>7767</v>
      </c>
      <c r="G497" s="1378">
        <f t="shared" si="37"/>
        <v>118</v>
      </c>
      <c r="H497" s="448">
        <f t="shared" si="37"/>
        <v>4328</v>
      </c>
      <c r="I497" s="448">
        <f t="shared" si="37"/>
        <v>7152</v>
      </c>
      <c r="J497" s="447">
        <f t="shared" si="37"/>
        <v>8046</v>
      </c>
      <c r="K497" s="422"/>
      <c r="L497" s="448">
        <f t="shared" si="36"/>
        <v>24675</v>
      </c>
    </row>
    <row r="498" spans="1:12" ht="13.5">
      <c r="A498" s="448">
        <v>24700</v>
      </c>
      <c r="B498" s="447">
        <v>24750</v>
      </c>
      <c r="C498" s="1378">
        <f t="shared" si="38"/>
        <v>0</v>
      </c>
      <c r="D498" s="448">
        <f t="shared" si="38"/>
        <v>4108</v>
      </c>
      <c r="E498" s="448">
        <f t="shared" si="38"/>
        <v>6862</v>
      </c>
      <c r="F498" s="447">
        <f t="shared" si="37"/>
        <v>7756</v>
      </c>
      <c r="G498" s="1378">
        <f t="shared" si="37"/>
        <v>114</v>
      </c>
      <c r="H498" s="448">
        <f t="shared" si="37"/>
        <v>4328</v>
      </c>
      <c r="I498" s="448">
        <f t="shared" si="37"/>
        <v>7152</v>
      </c>
      <c r="J498" s="447">
        <f t="shared" si="37"/>
        <v>8046</v>
      </c>
      <c r="K498" s="422"/>
      <c r="L498" s="448">
        <f t="shared" si="36"/>
        <v>24725</v>
      </c>
    </row>
    <row r="499" spans="1:12" ht="13.5">
      <c r="A499" s="448">
        <v>24750</v>
      </c>
      <c r="B499" s="447">
        <v>24800</v>
      </c>
      <c r="C499" s="1378">
        <f t="shared" si="38"/>
        <v>0</v>
      </c>
      <c r="D499" s="448">
        <f t="shared" si="38"/>
        <v>4100</v>
      </c>
      <c r="E499" s="448">
        <f t="shared" si="38"/>
        <v>6852</v>
      </c>
      <c r="F499" s="447">
        <f t="shared" si="37"/>
        <v>7746</v>
      </c>
      <c r="G499" s="1378">
        <f t="shared" si="37"/>
        <v>110</v>
      </c>
      <c r="H499" s="448">
        <f t="shared" si="37"/>
        <v>4328</v>
      </c>
      <c r="I499" s="448">
        <f t="shared" si="37"/>
        <v>7152</v>
      </c>
      <c r="J499" s="447">
        <f t="shared" si="37"/>
        <v>8046</v>
      </c>
      <c r="K499" s="422"/>
      <c r="L499" s="448">
        <f t="shared" si="36"/>
        <v>24775</v>
      </c>
    </row>
    <row r="500" spans="1:12" ht="13.5">
      <c r="A500" s="448">
        <v>24800</v>
      </c>
      <c r="B500" s="447">
        <v>24850</v>
      </c>
      <c r="C500" s="1378">
        <f t="shared" si="38"/>
        <v>0</v>
      </c>
      <c r="D500" s="448">
        <f t="shared" si="38"/>
        <v>4092</v>
      </c>
      <c r="E500" s="448">
        <f t="shared" si="38"/>
        <v>6841</v>
      </c>
      <c r="F500" s="447">
        <f t="shared" si="37"/>
        <v>7735</v>
      </c>
      <c r="G500" s="1378">
        <f t="shared" si="37"/>
        <v>106</v>
      </c>
      <c r="H500" s="448">
        <f t="shared" si="37"/>
        <v>4328</v>
      </c>
      <c r="I500" s="448">
        <f t="shared" si="37"/>
        <v>7152</v>
      </c>
      <c r="J500" s="447">
        <f t="shared" si="37"/>
        <v>8046</v>
      </c>
      <c r="K500" s="422"/>
      <c r="L500" s="448">
        <f t="shared" si="36"/>
        <v>24825</v>
      </c>
    </row>
    <row r="501" spans="1:12" ht="13.5">
      <c r="A501" s="448">
        <v>24850</v>
      </c>
      <c r="B501" s="447">
        <v>24900</v>
      </c>
      <c r="C501" s="1378">
        <f t="shared" si="38"/>
        <v>0</v>
      </c>
      <c r="D501" s="448">
        <f t="shared" si="38"/>
        <v>4084</v>
      </c>
      <c r="E501" s="448">
        <f t="shared" si="38"/>
        <v>6831</v>
      </c>
      <c r="F501" s="447">
        <f t="shared" si="37"/>
        <v>7725</v>
      </c>
      <c r="G501" s="1378">
        <f t="shared" si="37"/>
        <v>102</v>
      </c>
      <c r="H501" s="448">
        <f t="shared" si="37"/>
        <v>4328</v>
      </c>
      <c r="I501" s="448">
        <f t="shared" si="37"/>
        <v>7152</v>
      </c>
      <c r="J501" s="447">
        <f t="shared" si="37"/>
        <v>8046</v>
      </c>
      <c r="K501" s="422"/>
      <c r="L501" s="448">
        <f t="shared" si="36"/>
        <v>24875</v>
      </c>
    </row>
    <row r="502" spans="1:12" ht="13.5">
      <c r="A502" s="448">
        <v>24900</v>
      </c>
      <c r="B502" s="447">
        <v>24950</v>
      </c>
      <c r="C502" s="1378">
        <f t="shared" si="38"/>
        <v>0</v>
      </c>
      <c r="D502" s="448">
        <f t="shared" si="38"/>
        <v>4076</v>
      </c>
      <c r="E502" s="448">
        <f t="shared" si="38"/>
        <v>6820</v>
      </c>
      <c r="F502" s="447">
        <f t="shared" si="37"/>
        <v>7714</v>
      </c>
      <c r="G502" s="1378">
        <f t="shared" si="37"/>
        <v>99</v>
      </c>
      <c r="H502" s="448">
        <f t="shared" si="37"/>
        <v>4328</v>
      </c>
      <c r="I502" s="448">
        <f t="shared" si="37"/>
        <v>7152</v>
      </c>
      <c r="J502" s="447">
        <f t="shared" si="37"/>
        <v>8046</v>
      </c>
      <c r="K502" s="422"/>
      <c r="L502" s="448">
        <f t="shared" si="36"/>
        <v>24925</v>
      </c>
    </row>
    <row r="503" spans="1:12" ht="13.5">
      <c r="A503" s="448">
        <v>24950</v>
      </c>
      <c r="B503" s="447">
        <v>25000</v>
      </c>
      <c r="C503" s="1378">
        <f t="shared" si="38"/>
        <v>0</v>
      </c>
      <c r="D503" s="448">
        <f t="shared" si="38"/>
        <v>4068</v>
      </c>
      <c r="E503" s="448">
        <f t="shared" si="38"/>
        <v>6810</v>
      </c>
      <c r="F503" s="447">
        <f t="shared" si="37"/>
        <v>7704</v>
      </c>
      <c r="G503" s="1378">
        <f t="shared" si="37"/>
        <v>95</v>
      </c>
      <c r="H503" s="448">
        <f t="shared" si="37"/>
        <v>4328</v>
      </c>
      <c r="I503" s="448">
        <f t="shared" si="37"/>
        <v>7152</v>
      </c>
      <c r="J503" s="447">
        <f t="shared" si="37"/>
        <v>8046</v>
      </c>
      <c r="K503" s="422"/>
      <c r="L503" s="448">
        <f t="shared" si="36"/>
        <v>24975</v>
      </c>
    </row>
    <row r="504" spans="1:12" ht="13.5">
      <c r="A504" s="448">
        <v>25000</v>
      </c>
      <c r="B504" s="447">
        <v>25050</v>
      </c>
      <c r="C504" s="1378">
        <f t="shared" si="38"/>
        <v>0</v>
      </c>
      <c r="D504" s="448">
        <f t="shared" si="38"/>
        <v>4060</v>
      </c>
      <c r="E504" s="448">
        <f t="shared" si="38"/>
        <v>6799</v>
      </c>
      <c r="F504" s="447">
        <f t="shared" si="37"/>
        <v>7693</v>
      </c>
      <c r="G504" s="1378">
        <f t="shared" si="37"/>
        <v>91</v>
      </c>
      <c r="H504" s="448">
        <f t="shared" si="37"/>
        <v>4328</v>
      </c>
      <c r="I504" s="448">
        <f t="shared" si="37"/>
        <v>7152</v>
      </c>
      <c r="J504" s="447">
        <f t="shared" si="37"/>
        <v>8046</v>
      </c>
      <c r="K504" s="422"/>
      <c r="L504" s="448">
        <f t="shared" si="36"/>
        <v>25025</v>
      </c>
    </row>
    <row r="505" spans="1:12" ht="13.5">
      <c r="A505" s="448">
        <v>25050</v>
      </c>
      <c r="B505" s="447">
        <v>25100</v>
      </c>
      <c r="C505" s="1378">
        <f t="shared" si="38"/>
        <v>0</v>
      </c>
      <c r="D505" s="448">
        <f t="shared" si="38"/>
        <v>4052</v>
      </c>
      <c r="E505" s="448">
        <f t="shared" si="38"/>
        <v>6789</v>
      </c>
      <c r="F505" s="447">
        <f t="shared" si="37"/>
        <v>7683</v>
      </c>
      <c r="G505" s="1378">
        <f t="shared" si="37"/>
        <v>87</v>
      </c>
      <c r="H505" s="448">
        <f t="shared" si="37"/>
        <v>4328</v>
      </c>
      <c r="I505" s="448">
        <f t="shared" si="37"/>
        <v>7152</v>
      </c>
      <c r="J505" s="447">
        <f t="shared" si="37"/>
        <v>8046</v>
      </c>
      <c r="K505" s="422"/>
      <c r="L505" s="448">
        <f t="shared" si="36"/>
        <v>25075</v>
      </c>
    </row>
    <row r="506" spans="1:12" ht="13.5">
      <c r="A506" s="448">
        <v>25100</v>
      </c>
      <c r="B506" s="447">
        <v>25150</v>
      </c>
      <c r="C506" s="1378">
        <f t="shared" si="38"/>
        <v>0</v>
      </c>
      <c r="D506" s="448">
        <f t="shared" si="38"/>
        <v>4044</v>
      </c>
      <c r="E506" s="448">
        <f t="shared" si="38"/>
        <v>6778</v>
      </c>
      <c r="F506" s="447">
        <f t="shared" si="37"/>
        <v>7672</v>
      </c>
      <c r="G506" s="1378">
        <f t="shared" si="37"/>
        <v>83</v>
      </c>
      <c r="H506" s="448">
        <f t="shared" si="37"/>
        <v>4328</v>
      </c>
      <c r="I506" s="448">
        <f t="shared" si="37"/>
        <v>7152</v>
      </c>
      <c r="J506" s="447">
        <f t="shared" si="37"/>
        <v>8046</v>
      </c>
      <c r="K506" s="422"/>
      <c r="L506" s="448">
        <f t="shared" si="36"/>
        <v>25125</v>
      </c>
    </row>
    <row r="507" spans="1:12" ht="13.5">
      <c r="A507" s="448">
        <v>25150</v>
      </c>
      <c r="B507" s="447">
        <v>25200</v>
      </c>
      <c r="C507" s="1378">
        <f t="shared" si="38"/>
        <v>0</v>
      </c>
      <c r="D507" s="448">
        <f t="shared" si="38"/>
        <v>4036</v>
      </c>
      <c r="E507" s="448">
        <f t="shared" si="38"/>
        <v>6768</v>
      </c>
      <c r="F507" s="447">
        <f t="shared" si="37"/>
        <v>7662</v>
      </c>
      <c r="G507" s="1378">
        <f t="shared" si="37"/>
        <v>79</v>
      </c>
      <c r="H507" s="448">
        <f t="shared" si="37"/>
        <v>4328</v>
      </c>
      <c r="I507" s="448">
        <f t="shared" si="37"/>
        <v>7152</v>
      </c>
      <c r="J507" s="447">
        <f t="shared" si="37"/>
        <v>8046</v>
      </c>
      <c r="K507" s="422"/>
      <c r="L507" s="448">
        <f t="shared" si="36"/>
        <v>25175</v>
      </c>
    </row>
    <row r="508" spans="1:12" ht="13.5">
      <c r="A508" s="448">
        <v>25200</v>
      </c>
      <c r="B508" s="447">
        <v>25250</v>
      </c>
      <c r="C508" s="1378">
        <f t="shared" si="38"/>
        <v>0</v>
      </c>
      <c r="D508" s="448">
        <f t="shared" si="38"/>
        <v>4028</v>
      </c>
      <c r="E508" s="448">
        <f t="shared" si="38"/>
        <v>6757</v>
      </c>
      <c r="F508" s="447">
        <f t="shared" si="37"/>
        <v>7651</v>
      </c>
      <c r="G508" s="1378">
        <f t="shared" si="37"/>
        <v>76</v>
      </c>
      <c r="H508" s="448">
        <f t="shared" si="37"/>
        <v>4328</v>
      </c>
      <c r="I508" s="448">
        <f t="shared" si="37"/>
        <v>7152</v>
      </c>
      <c r="J508" s="447">
        <f t="shared" si="37"/>
        <v>8046</v>
      </c>
      <c r="K508" s="422"/>
      <c r="L508" s="448">
        <f t="shared" si="36"/>
        <v>25225</v>
      </c>
    </row>
    <row r="509" spans="1:12" ht="13.5">
      <c r="A509" s="448">
        <v>25250</v>
      </c>
      <c r="B509" s="447">
        <v>25300</v>
      </c>
      <c r="C509" s="1378">
        <f t="shared" si="38"/>
        <v>0</v>
      </c>
      <c r="D509" s="448">
        <f t="shared" si="38"/>
        <v>4020</v>
      </c>
      <c r="E509" s="448">
        <f t="shared" si="38"/>
        <v>6747</v>
      </c>
      <c r="F509" s="447">
        <f t="shared" si="37"/>
        <v>7641</v>
      </c>
      <c r="G509" s="1378">
        <f t="shared" si="37"/>
        <v>72</v>
      </c>
      <c r="H509" s="448">
        <f t="shared" si="37"/>
        <v>4328</v>
      </c>
      <c r="I509" s="448">
        <f t="shared" si="37"/>
        <v>7152</v>
      </c>
      <c r="J509" s="447">
        <f t="shared" si="37"/>
        <v>8046</v>
      </c>
      <c r="K509" s="422"/>
      <c r="L509" s="448">
        <f t="shared" si="36"/>
        <v>25275</v>
      </c>
    </row>
    <row r="510" spans="1:12" ht="13.5">
      <c r="A510" s="448">
        <v>25300</v>
      </c>
      <c r="B510" s="447">
        <v>25350</v>
      </c>
      <c r="C510" s="1378">
        <f t="shared" si="38"/>
        <v>0</v>
      </c>
      <c r="D510" s="448">
        <f t="shared" si="38"/>
        <v>4012</v>
      </c>
      <c r="E510" s="448">
        <f t="shared" si="38"/>
        <v>6736</v>
      </c>
      <c r="F510" s="447">
        <f t="shared" si="37"/>
        <v>7630</v>
      </c>
      <c r="G510" s="1378">
        <f t="shared" si="37"/>
        <v>68</v>
      </c>
      <c r="H510" s="448">
        <f t="shared" si="37"/>
        <v>4328</v>
      </c>
      <c r="I510" s="448">
        <f t="shared" si="37"/>
        <v>7152</v>
      </c>
      <c r="J510" s="447">
        <f t="shared" si="37"/>
        <v>8046</v>
      </c>
      <c r="K510" s="422"/>
      <c r="L510" s="448">
        <f t="shared" si="36"/>
        <v>25325</v>
      </c>
    </row>
    <row r="511" spans="1:12" ht="13.5">
      <c r="A511" s="448">
        <v>25350</v>
      </c>
      <c r="B511" s="447">
        <v>25400</v>
      </c>
      <c r="C511" s="1378">
        <f t="shared" si="38"/>
        <v>0</v>
      </c>
      <c r="D511" s="448">
        <f t="shared" si="38"/>
        <v>4004</v>
      </c>
      <c r="E511" s="448">
        <f t="shared" si="38"/>
        <v>6726</v>
      </c>
      <c r="F511" s="447">
        <f t="shared" si="37"/>
        <v>7620</v>
      </c>
      <c r="G511" s="1378">
        <f t="shared" si="37"/>
        <v>64</v>
      </c>
      <c r="H511" s="448">
        <f t="shared" si="37"/>
        <v>4328</v>
      </c>
      <c r="I511" s="448">
        <f t="shared" si="37"/>
        <v>7152</v>
      </c>
      <c r="J511" s="447">
        <f t="shared" si="37"/>
        <v>8046</v>
      </c>
      <c r="K511" s="422"/>
      <c r="L511" s="448">
        <f t="shared" si="36"/>
        <v>25375</v>
      </c>
    </row>
    <row r="512" spans="1:12" ht="13.5">
      <c r="A512" s="448">
        <v>25400</v>
      </c>
      <c r="B512" s="447">
        <v>25450</v>
      </c>
      <c r="C512" s="1378">
        <f t="shared" si="38"/>
        <v>0</v>
      </c>
      <c r="D512" s="448">
        <f t="shared" si="38"/>
        <v>3996</v>
      </c>
      <c r="E512" s="448">
        <f t="shared" si="38"/>
        <v>6715</v>
      </c>
      <c r="F512" s="447">
        <f t="shared" si="37"/>
        <v>7609</v>
      </c>
      <c r="G512" s="1378">
        <f t="shared" si="37"/>
        <v>60</v>
      </c>
      <c r="H512" s="448">
        <f t="shared" si="37"/>
        <v>4328</v>
      </c>
      <c r="I512" s="448">
        <f t="shared" si="37"/>
        <v>7152</v>
      </c>
      <c r="J512" s="447">
        <f t="shared" si="37"/>
        <v>8046</v>
      </c>
      <c r="K512" s="422"/>
      <c r="L512" s="448">
        <f t="shared" si="36"/>
        <v>25425</v>
      </c>
    </row>
    <row r="513" spans="1:12" ht="13.5">
      <c r="A513" s="448">
        <v>25450</v>
      </c>
      <c r="B513" s="447">
        <v>25500</v>
      </c>
      <c r="C513" s="1378">
        <f t="shared" si="38"/>
        <v>0</v>
      </c>
      <c r="D513" s="448">
        <f t="shared" si="38"/>
        <v>3988</v>
      </c>
      <c r="E513" s="448">
        <f t="shared" si="38"/>
        <v>6704</v>
      </c>
      <c r="F513" s="447">
        <f t="shared" si="37"/>
        <v>7598</v>
      </c>
      <c r="G513" s="1378">
        <f t="shared" si="37"/>
        <v>57</v>
      </c>
      <c r="H513" s="448">
        <f t="shared" si="37"/>
        <v>4328</v>
      </c>
      <c r="I513" s="448">
        <f t="shared" si="37"/>
        <v>7152</v>
      </c>
      <c r="J513" s="447">
        <f t="shared" si="37"/>
        <v>8046</v>
      </c>
      <c r="K513" s="422"/>
      <c r="L513" s="448">
        <f t="shared" si="36"/>
        <v>25475</v>
      </c>
    </row>
    <row r="514" spans="1:12" ht="13.5">
      <c r="A514" s="448">
        <v>25500</v>
      </c>
      <c r="B514" s="447">
        <v>25550</v>
      </c>
      <c r="C514" s="1378">
        <f t="shared" si="38"/>
        <v>0</v>
      </c>
      <c r="D514" s="448">
        <f t="shared" si="38"/>
        <v>3980</v>
      </c>
      <c r="E514" s="448">
        <f t="shared" si="38"/>
        <v>6694</v>
      </c>
      <c r="F514" s="447">
        <f t="shared" si="37"/>
        <v>7588</v>
      </c>
      <c r="G514" s="1378">
        <f t="shared" si="37"/>
        <v>53</v>
      </c>
      <c r="H514" s="448">
        <f t="shared" si="37"/>
        <v>4328</v>
      </c>
      <c r="I514" s="448">
        <f t="shared" si="37"/>
        <v>7152</v>
      </c>
      <c r="J514" s="447">
        <f t="shared" si="37"/>
        <v>8046</v>
      </c>
      <c r="K514" s="422"/>
      <c r="L514" s="448">
        <f t="shared" si="36"/>
        <v>25525</v>
      </c>
    </row>
    <row r="515" spans="1:12" ht="13.5">
      <c r="A515" s="448">
        <v>25550</v>
      </c>
      <c r="B515" s="447">
        <v>25600</v>
      </c>
      <c r="C515" s="1378">
        <f t="shared" si="38"/>
        <v>0</v>
      </c>
      <c r="D515" s="448">
        <f t="shared" si="38"/>
        <v>3972</v>
      </c>
      <c r="E515" s="448">
        <f t="shared" si="38"/>
        <v>6683</v>
      </c>
      <c r="F515" s="447">
        <f t="shared" si="37"/>
        <v>7577</v>
      </c>
      <c r="G515" s="1378">
        <f t="shared" si="37"/>
        <v>49</v>
      </c>
      <c r="H515" s="448">
        <f t="shared" si="37"/>
        <v>4328</v>
      </c>
      <c r="I515" s="448">
        <f t="shared" si="37"/>
        <v>7152</v>
      </c>
      <c r="J515" s="447">
        <f t="shared" si="37"/>
        <v>8046</v>
      </c>
      <c r="K515" s="422"/>
      <c r="L515" s="448">
        <f t="shared" si="36"/>
        <v>25575</v>
      </c>
    </row>
    <row r="516" spans="1:12" ht="13.5">
      <c r="A516" s="448">
        <v>25600</v>
      </c>
      <c r="B516" s="447">
        <v>25650</v>
      </c>
      <c r="C516" s="1378">
        <f t="shared" si="38"/>
        <v>0</v>
      </c>
      <c r="D516" s="448">
        <f t="shared" si="38"/>
        <v>3964</v>
      </c>
      <c r="E516" s="448">
        <f t="shared" si="38"/>
        <v>6673</v>
      </c>
      <c r="F516" s="447">
        <f t="shared" si="37"/>
        <v>7567</v>
      </c>
      <c r="G516" s="1378">
        <f t="shared" si="37"/>
        <v>45</v>
      </c>
      <c r="H516" s="448">
        <f t="shared" si="37"/>
        <v>4328</v>
      </c>
      <c r="I516" s="448">
        <f t="shared" si="37"/>
        <v>7152</v>
      </c>
      <c r="J516" s="447">
        <f t="shared" si="37"/>
        <v>8046</v>
      </c>
      <c r="K516" s="422"/>
      <c r="L516" s="448">
        <f t="shared" si="36"/>
        <v>25625</v>
      </c>
    </row>
    <row r="517" spans="1:12" ht="13.5">
      <c r="A517" s="448">
        <v>25650</v>
      </c>
      <c r="B517" s="447">
        <v>25700</v>
      </c>
      <c r="C517" s="1378">
        <f t="shared" si="38"/>
        <v>0</v>
      </c>
      <c r="D517" s="448">
        <f t="shared" si="38"/>
        <v>3956</v>
      </c>
      <c r="E517" s="448">
        <f t="shared" si="38"/>
        <v>6662</v>
      </c>
      <c r="F517" s="447">
        <f t="shared" si="37"/>
        <v>7556</v>
      </c>
      <c r="G517" s="1378">
        <f t="shared" si="37"/>
        <v>41</v>
      </c>
      <c r="H517" s="448">
        <f t="shared" si="37"/>
        <v>4328</v>
      </c>
      <c r="I517" s="448">
        <f t="shared" si="37"/>
        <v>7152</v>
      </c>
      <c r="J517" s="447">
        <f t="shared" si="37"/>
        <v>8046</v>
      </c>
      <c r="K517" s="422"/>
      <c r="L517" s="448">
        <f t="shared" si="36"/>
        <v>25675</v>
      </c>
    </row>
    <row r="518" spans="1:12" ht="13.5">
      <c r="A518" s="448">
        <v>25700</v>
      </c>
      <c r="B518" s="447">
        <v>25750</v>
      </c>
      <c r="C518" s="1378">
        <f t="shared" si="38"/>
        <v>0</v>
      </c>
      <c r="D518" s="448">
        <f t="shared" si="38"/>
        <v>3948</v>
      </c>
      <c r="E518" s="448">
        <f t="shared" si="38"/>
        <v>6652</v>
      </c>
      <c r="F518" s="447">
        <f t="shared" si="37"/>
        <v>7546</v>
      </c>
      <c r="G518" s="1378">
        <f t="shared" si="37"/>
        <v>37</v>
      </c>
      <c r="H518" s="448">
        <f t="shared" si="37"/>
        <v>4328</v>
      </c>
      <c r="I518" s="448">
        <f t="shared" si="37"/>
        <v>7152</v>
      </c>
      <c r="J518" s="447">
        <f t="shared" si="37"/>
        <v>8046</v>
      </c>
      <c r="K518" s="422"/>
      <c r="L518" s="448">
        <f t="shared" ref="L518:L582" si="39">ROUND((A518+B518)/2,2)</f>
        <v>25725</v>
      </c>
    </row>
    <row r="519" spans="1:12" ht="13.5">
      <c r="A519" s="448">
        <v>25750</v>
      </c>
      <c r="B519" s="447">
        <v>25800</v>
      </c>
      <c r="C519" s="1378">
        <f t="shared" si="38"/>
        <v>0</v>
      </c>
      <c r="D519" s="448">
        <f t="shared" si="38"/>
        <v>3940</v>
      </c>
      <c r="E519" s="448">
        <f t="shared" si="38"/>
        <v>6641</v>
      </c>
      <c r="F519" s="447">
        <f t="shared" si="37"/>
        <v>7535</v>
      </c>
      <c r="G519" s="1378">
        <f t="shared" si="37"/>
        <v>34</v>
      </c>
      <c r="H519" s="448">
        <f t="shared" si="37"/>
        <v>4328</v>
      </c>
      <c r="I519" s="448">
        <f t="shared" si="37"/>
        <v>7152</v>
      </c>
      <c r="J519" s="447">
        <f t="shared" si="37"/>
        <v>8046</v>
      </c>
      <c r="K519" s="422"/>
      <c r="L519" s="448">
        <f t="shared" si="39"/>
        <v>25775</v>
      </c>
    </row>
    <row r="520" spans="1:12" ht="13.5">
      <c r="A520" s="448">
        <v>25800</v>
      </c>
      <c r="B520" s="447">
        <v>25850</v>
      </c>
      <c r="C520" s="1378">
        <f t="shared" si="38"/>
        <v>0</v>
      </c>
      <c r="D520" s="448">
        <f t="shared" si="38"/>
        <v>3932</v>
      </c>
      <c r="E520" s="448">
        <f t="shared" si="38"/>
        <v>6631</v>
      </c>
      <c r="F520" s="447">
        <f t="shared" si="37"/>
        <v>7525</v>
      </c>
      <c r="G520" s="1378">
        <f t="shared" si="37"/>
        <v>30</v>
      </c>
      <c r="H520" s="448">
        <f t="shared" si="37"/>
        <v>4328</v>
      </c>
      <c r="I520" s="448">
        <f t="shared" si="37"/>
        <v>7152</v>
      </c>
      <c r="J520" s="447">
        <f t="shared" si="37"/>
        <v>8046</v>
      </c>
      <c r="K520" s="422"/>
      <c r="L520" s="448">
        <f t="shared" si="39"/>
        <v>25825</v>
      </c>
    </row>
    <row r="521" spans="1:12" ht="13.5">
      <c r="A521" s="448">
        <v>25850</v>
      </c>
      <c r="B521" s="447">
        <v>25900</v>
      </c>
      <c r="C521" s="1378">
        <f t="shared" si="38"/>
        <v>0</v>
      </c>
      <c r="D521" s="448">
        <f t="shared" si="38"/>
        <v>3925</v>
      </c>
      <c r="E521" s="448">
        <f t="shared" si="38"/>
        <v>6620</v>
      </c>
      <c r="F521" s="447">
        <f t="shared" si="37"/>
        <v>7514</v>
      </c>
      <c r="G521" s="1378">
        <f t="shared" si="37"/>
        <v>26</v>
      </c>
      <c r="H521" s="448">
        <f t="shared" si="37"/>
        <v>4328</v>
      </c>
      <c r="I521" s="448">
        <f t="shared" si="37"/>
        <v>7152</v>
      </c>
      <c r="J521" s="447">
        <f t="shared" si="37"/>
        <v>8046</v>
      </c>
      <c r="K521" s="422"/>
      <c r="L521" s="448">
        <f t="shared" si="39"/>
        <v>25875</v>
      </c>
    </row>
    <row r="522" spans="1:12" ht="13.5">
      <c r="A522" s="448">
        <v>25900</v>
      </c>
      <c r="B522" s="447">
        <v>25950</v>
      </c>
      <c r="C522" s="1378">
        <f t="shared" si="38"/>
        <v>0</v>
      </c>
      <c r="D522" s="448">
        <f t="shared" si="38"/>
        <v>3917</v>
      </c>
      <c r="E522" s="448">
        <f t="shared" si="38"/>
        <v>6610</v>
      </c>
      <c r="F522" s="447">
        <f t="shared" si="37"/>
        <v>7504</v>
      </c>
      <c r="G522" s="1378">
        <f t="shared" si="37"/>
        <v>22</v>
      </c>
      <c r="H522" s="448">
        <f t="shared" si="37"/>
        <v>4328</v>
      </c>
      <c r="I522" s="448">
        <f t="shared" si="37"/>
        <v>7152</v>
      </c>
      <c r="J522" s="447">
        <f t="shared" si="37"/>
        <v>8046</v>
      </c>
      <c r="K522" s="422"/>
      <c r="L522" s="448">
        <f t="shared" si="39"/>
        <v>25925</v>
      </c>
    </row>
    <row r="523" spans="1:12" ht="13.5">
      <c r="A523" s="448">
        <v>25950</v>
      </c>
      <c r="B523" s="447">
        <v>26000</v>
      </c>
      <c r="C523" s="1378">
        <f t="shared" si="38"/>
        <v>0</v>
      </c>
      <c r="D523" s="448">
        <f t="shared" si="38"/>
        <v>3909</v>
      </c>
      <c r="E523" s="448">
        <f t="shared" si="38"/>
        <v>6599</v>
      </c>
      <c r="F523" s="447">
        <f t="shared" si="37"/>
        <v>7493</v>
      </c>
      <c r="G523" s="1378">
        <f t="shared" si="37"/>
        <v>18</v>
      </c>
      <c r="H523" s="448">
        <f t="shared" ref="H523:J587" si="40">IF($L523&gt;S$5,MAX(0,S$3+ROUND((S$9*($L523-S$5)),0)),IF($L523&gt;S$4,S$3,ROUND($L523*S$7,0)))</f>
        <v>4328</v>
      </c>
      <c r="I523" s="448">
        <f t="shared" si="40"/>
        <v>7152</v>
      </c>
      <c r="J523" s="447">
        <f t="shared" si="40"/>
        <v>8046</v>
      </c>
      <c r="K523" s="422"/>
      <c r="L523" s="448">
        <f t="shared" si="39"/>
        <v>25975</v>
      </c>
    </row>
    <row r="524" spans="1:12" ht="13.5">
      <c r="A524" s="448">
        <v>26000</v>
      </c>
      <c r="B524" s="447">
        <v>26050</v>
      </c>
      <c r="C524" s="1378">
        <f t="shared" si="38"/>
        <v>0</v>
      </c>
      <c r="D524" s="448">
        <f t="shared" si="38"/>
        <v>3901</v>
      </c>
      <c r="E524" s="448">
        <f t="shared" si="38"/>
        <v>6589</v>
      </c>
      <c r="F524" s="447">
        <f t="shared" si="38"/>
        <v>7483</v>
      </c>
      <c r="G524" s="1378">
        <f t="shared" si="38"/>
        <v>14</v>
      </c>
      <c r="H524" s="448">
        <f t="shared" si="40"/>
        <v>4328</v>
      </c>
      <c r="I524" s="448">
        <f t="shared" si="40"/>
        <v>7152</v>
      </c>
      <c r="J524" s="447">
        <f t="shared" si="40"/>
        <v>8046</v>
      </c>
      <c r="K524" s="422"/>
      <c r="L524" s="448">
        <f t="shared" si="39"/>
        <v>26025</v>
      </c>
    </row>
    <row r="525" spans="1:12" ht="13.5">
      <c r="A525" s="448">
        <v>26050</v>
      </c>
      <c r="B525" s="447">
        <v>26100</v>
      </c>
      <c r="C525" s="1378">
        <f t="shared" si="38"/>
        <v>0</v>
      </c>
      <c r="D525" s="448">
        <f t="shared" si="38"/>
        <v>3893</v>
      </c>
      <c r="E525" s="448">
        <f t="shared" si="38"/>
        <v>6578</v>
      </c>
      <c r="F525" s="447">
        <f t="shared" si="38"/>
        <v>7472</v>
      </c>
      <c r="G525" s="1378">
        <f t="shared" si="38"/>
        <v>11</v>
      </c>
      <c r="H525" s="448">
        <f t="shared" si="40"/>
        <v>4328</v>
      </c>
      <c r="I525" s="448">
        <f t="shared" si="40"/>
        <v>7152</v>
      </c>
      <c r="J525" s="447">
        <f t="shared" si="40"/>
        <v>8046</v>
      </c>
      <c r="K525" s="422"/>
      <c r="L525" s="448">
        <f t="shared" si="39"/>
        <v>26075</v>
      </c>
    </row>
    <row r="526" spans="1:12" ht="13.5">
      <c r="A526" s="448">
        <v>26100</v>
      </c>
      <c r="B526" s="447">
        <v>26150</v>
      </c>
      <c r="C526" s="1378">
        <f t="shared" si="38"/>
        <v>0</v>
      </c>
      <c r="D526" s="448">
        <f t="shared" si="38"/>
        <v>3885</v>
      </c>
      <c r="E526" s="448">
        <f t="shared" si="38"/>
        <v>6568</v>
      </c>
      <c r="F526" s="447">
        <f t="shared" si="38"/>
        <v>7462</v>
      </c>
      <c r="G526" s="1378">
        <f t="shared" si="38"/>
        <v>7</v>
      </c>
      <c r="H526" s="448">
        <f t="shared" si="40"/>
        <v>4328</v>
      </c>
      <c r="I526" s="448">
        <f t="shared" si="40"/>
        <v>7152</v>
      </c>
      <c r="J526" s="447">
        <f t="shared" si="40"/>
        <v>8046</v>
      </c>
      <c r="K526" s="422"/>
      <c r="L526" s="448">
        <f t="shared" si="39"/>
        <v>26125</v>
      </c>
    </row>
    <row r="527" spans="1:12" ht="14.25" thickBot="1">
      <c r="A527" s="448">
        <v>26150</v>
      </c>
      <c r="B527" s="447">
        <v>26200</v>
      </c>
      <c r="C527" s="1378">
        <f t="shared" si="38"/>
        <v>0</v>
      </c>
      <c r="D527" s="448">
        <f t="shared" si="38"/>
        <v>3877</v>
      </c>
      <c r="E527" s="448">
        <f t="shared" si="38"/>
        <v>6557</v>
      </c>
      <c r="F527" s="447">
        <f t="shared" si="38"/>
        <v>7451</v>
      </c>
      <c r="G527" s="1378">
        <f t="shared" si="38"/>
        <v>3</v>
      </c>
      <c r="H527" s="448">
        <f t="shared" si="40"/>
        <v>4328</v>
      </c>
      <c r="I527" s="448">
        <f t="shared" si="40"/>
        <v>7152</v>
      </c>
      <c r="J527" s="447">
        <f t="shared" si="40"/>
        <v>8046</v>
      </c>
      <c r="K527" s="422"/>
      <c r="L527" s="448">
        <f t="shared" si="39"/>
        <v>26175</v>
      </c>
    </row>
    <row r="528" spans="1:12" ht="13.5">
      <c r="A528" s="6558">
        <v>26200</v>
      </c>
      <c r="B528" s="6559">
        <v>26214</v>
      </c>
      <c r="C528" s="1378">
        <f t="shared" si="38"/>
        <v>0</v>
      </c>
      <c r="D528" s="448">
        <f t="shared" si="38"/>
        <v>3871</v>
      </c>
      <c r="E528" s="448">
        <f t="shared" si="38"/>
        <v>6550</v>
      </c>
      <c r="F528" s="447">
        <f t="shared" si="38"/>
        <v>7444</v>
      </c>
      <c r="G528" s="1378">
        <f t="shared" si="38"/>
        <v>1</v>
      </c>
      <c r="H528" s="448">
        <f t="shared" si="40"/>
        <v>4328</v>
      </c>
      <c r="I528" s="448">
        <f t="shared" si="40"/>
        <v>7152</v>
      </c>
      <c r="J528" s="447">
        <f t="shared" si="40"/>
        <v>8046</v>
      </c>
      <c r="K528" s="422"/>
      <c r="L528" s="448">
        <f t="shared" si="39"/>
        <v>26207</v>
      </c>
    </row>
    <row r="529" spans="1:12" ht="14.25" thickBot="1">
      <c r="A529" s="6560">
        <v>26214</v>
      </c>
      <c r="B529" s="6561">
        <v>26250</v>
      </c>
      <c r="C529" s="6564">
        <f>IF($L529&gt;N$5,MAX(0,N$3+ROUND((N$9*($L529-N$5)),0)),IF($L529&gt;N$4,N$3,ROUND($L529*N$7,0)))</f>
        <v>0</v>
      </c>
      <c r="D529" s="6562">
        <v>3871</v>
      </c>
      <c r="E529" s="6562">
        <v>6550</v>
      </c>
      <c r="F529" s="6563">
        <v>7444</v>
      </c>
      <c r="G529" s="6564">
        <f>IF($L529&gt;R$5,MAX(0,R$3+ROUND((R$9*($L529-R$5)),0)),IF($L529&gt;R$4,R$3,ROUND($L529*R$7,0)))</f>
        <v>0</v>
      </c>
      <c r="H529" s="6562">
        <v>4328</v>
      </c>
      <c r="I529" s="6562">
        <v>7152</v>
      </c>
      <c r="J529" s="6563">
        <v>8046</v>
      </c>
      <c r="K529" s="422"/>
      <c r="L529" s="448">
        <f>ROUND((A529+B529)/2,2)</f>
        <v>26232</v>
      </c>
    </row>
    <row r="530" spans="1:12" ht="13.5">
      <c r="A530" s="448">
        <v>26250</v>
      </c>
      <c r="B530" s="447">
        <v>26300</v>
      </c>
      <c r="C530" s="1378">
        <f t="shared" si="38"/>
        <v>0</v>
      </c>
      <c r="D530" s="448">
        <f t="shared" si="38"/>
        <v>3861</v>
      </c>
      <c r="E530" s="448">
        <f t="shared" si="38"/>
        <v>6536</v>
      </c>
      <c r="F530" s="447">
        <f t="shared" si="38"/>
        <v>7430</v>
      </c>
      <c r="G530" s="1378">
        <f t="shared" si="38"/>
        <v>0</v>
      </c>
      <c r="H530" s="448">
        <f t="shared" si="40"/>
        <v>4328</v>
      </c>
      <c r="I530" s="448">
        <f t="shared" si="40"/>
        <v>7152</v>
      </c>
      <c r="J530" s="447">
        <f t="shared" si="40"/>
        <v>8046</v>
      </c>
      <c r="K530" s="422"/>
      <c r="L530" s="448">
        <f t="shared" si="39"/>
        <v>26275</v>
      </c>
    </row>
    <row r="531" spans="1:12" ht="13.5">
      <c r="A531" s="448">
        <v>26300</v>
      </c>
      <c r="B531" s="447">
        <v>26350</v>
      </c>
      <c r="C531" s="1378">
        <f t="shared" si="38"/>
        <v>0</v>
      </c>
      <c r="D531" s="448">
        <f t="shared" si="38"/>
        <v>3853</v>
      </c>
      <c r="E531" s="448">
        <f t="shared" si="38"/>
        <v>6525</v>
      </c>
      <c r="F531" s="447">
        <f t="shared" si="38"/>
        <v>7419</v>
      </c>
      <c r="G531" s="1378">
        <f t="shared" si="38"/>
        <v>0</v>
      </c>
      <c r="H531" s="448">
        <f t="shared" si="40"/>
        <v>4328</v>
      </c>
      <c r="I531" s="448">
        <f t="shared" si="40"/>
        <v>7152</v>
      </c>
      <c r="J531" s="447">
        <f t="shared" si="40"/>
        <v>8046</v>
      </c>
      <c r="K531" s="422"/>
      <c r="L531" s="448">
        <f t="shared" si="39"/>
        <v>26325</v>
      </c>
    </row>
    <row r="532" spans="1:12" ht="13.5">
      <c r="A532" s="448">
        <v>26350</v>
      </c>
      <c r="B532" s="447">
        <v>26400</v>
      </c>
      <c r="C532" s="1378">
        <f t="shared" si="38"/>
        <v>0</v>
      </c>
      <c r="D532" s="448">
        <f t="shared" si="38"/>
        <v>3845</v>
      </c>
      <c r="E532" s="448">
        <f t="shared" si="38"/>
        <v>6515</v>
      </c>
      <c r="F532" s="447">
        <f t="shared" si="38"/>
        <v>7409</v>
      </c>
      <c r="G532" s="1378">
        <f t="shared" si="38"/>
        <v>0</v>
      </c>
      <c r="H532" s="448">
        <f t="shared" si="40"/>
        <v>4328</v>
      </c>
      <c r="I532" s="448">
        <f t="shared" si="40"/>
        <v>7152</v>
      </c>
      <c r="J532" s="447">
        <f t="shared" si="40"/>
        <v>8046</v>
      </c>
      <c r="K532" s="422"/>
      <c r="L532" s="448">
        <f t="shared" si="39"/>
        <v>26375</v>
      </c>
    </row>
    <row r="533" spans="1:12" ht="13.5">
      <c r="A533" s="448">
        <v>26400</v>
      </c>
      <c r="B533" s="447">
        <v>26450</v>
      </c>
      <c r="C533" s="1378">
        <f t="shared" ref="C533:G583" si="41">IF($L533&gt;N$5,MAX(0,N$3+ROUND((N$9*($L533-N$5)),0)),IF($L533&gt;N$4,N$3,ROUND($L533*N$7,0)))</f>
        <v>0</v>
      </c>
      <c r="D533" s="448">
        <f t="shared" si="41"/>
        <v>3837</v>
      </c>
      <c r="E533" s="448">
        <f t="shared" si="41"/>
        <v>6504</v>
      </c>
      <c r="F533" s="447">
        <f t="shared" si="41"/>
        <v>7398</v>
      </c>
      <c r="G533" s="1378">
        <f t="shared" si="41"/>
        <v>0</v>
      </c>
      <c r="H533" s="448">
        <f t="shared" si="40"/>
        <v>4328</v>
      </c>
      <c r="I533" s="448">
        <f t="shared" si="40"/>
        <v>7152</v>
      </c>
      <c r="J533" s="447">
        <f t="shared" si="40"/>
        <v>8046</v>
      </c>
      <c r="K533" s="422"/>
      <c r="L533" s="448">
        <f t="shared" si="39"/>
        <v>26425</v>
      </c>
    </row>
    <row r="534" spans="1:12" ht="13.5">
      <c r="A534" s="448">
        <v>26450</v>
      </c>
      <c r="B534" s="447">
        <v>26500</v>
      </c>
      <c r="C534" s="1378">
        <f t="shared" si="41"/>
        <v>0</v>
      </c>
      <c r="D534" s="448">
        <f t="shared" si="41"/>
        <v>3829</v>
      </c>
      <c r="E534" s="448">
        <f t="shared" si="41"/>
        <v>6494</v>
      </c>
      <c r="F534" s="447">
        <f t="shared" si="41"/>
        <v>7388</v>
      </c>
      <c r="G534" s="1378">
        <f t="shared" si="41"/>
        <v>0</v>
      </c>
      <c r="H534" s="448">
        <f t="shared" si="40"/>
        <v>4328</v>
      </c>
      <c r="I534" s="448">
        <f t="shared" si="40"/>
        <v>7152</v>
      </c>
      <c r="J534" s="447">
        <f t="shared" si="40"/>
        <v>8046</v>
      </c>
      <c r="K534" s="422"/>
      <c r="L534" s="448">
        <f t="shared" si="39"/>
        <v>26475</v>
      </c>
    </row>
    <row r="535" spans="1:12" ht="13.5">
      <c r="A535" s="448">
        <v>26500</v>
      </c>
      <c r="B535" s="447">
        <v>26550</v>
      </c>
      <c r="C535" s="1378">
        <f t="shared" si="41"/>
        <v>0</v>
      </c>
      <c r="D535" s="448">
        <f t="shared" si="41"/>
        <v>3821</v>
      </c>
      <c r="E535" s="448">
        <f t="shared" si="41"/>
        <v>6483</v>
      </c>
      <c r="F535" s="447">
        <f t="shared" si="41"/>
        <v>7377</v>
      </c>
      <c r="G535" s="1378">
        <f t="shared" si="41"/>
        <v>0</v>
      </c>
      <c r="H535" s="448">
        <f t="shared" si="40"/>
        <v>4328</v>
      </c>
      <c r="I535" s="448">
        <f t="shared" si="40"/>
        <v>7152</v>
      </c>
      <c r="J535" s="447">
        <f t="shared" si="40"/>
        <v>8046</v>
      </c>
      <c r="K535" s="422"/>
      <c r="L535" s="448">
        <f t="shared" si="39"/>
        <v>26525</v>
      </c>
    </row>
    <row r="536" spans="1:12" ht="13.5">
      <c r="A536" s="448">
        <v>26550</v>
      </c>
      <c r="B536" s="447">
        <v>26600</v>
      </c>
      <c r="C536" s="1378">
        <f t="shared" si="41"/>
        <v>0</v>
      </c>
      <c r="D536" s="448">
        <f t="shared" si="41"/>
        <v>3813</v>
      </c>
      <c r="E536" s="448">
        <f t="shared" si="41"/>
        <v>6473</v>
      </c>
      <c r="F536" s="447">
        <f t="shared" si="41"/>
        <v>7367</v>
      </c>
      <c r="G536" s="1378">
        <f t="shared" si="41"/>
        <v>0</v>
      </c>
      <c r="H536" s="448">
        <f t="shared" si="40"/>
        <v>4328</v>
      </c>
      <c r="I536" s="448">
        <f t="shared" si="40"/>
        <v>7152</v>
      </c>
      <c r="J536" s="447">
        <f t="shared" si="40"/>
        <v>8046</v>
      </c>
      <c r="K536" s="422"/>
      <c r="L536" s="448">
        <f t="shared" si="39"/>
        <v>26575</v>
      </c>
    </row>
    <row r="537" spans="1:12" ht="13.5">
      <c r="A537" s="448">
        <v>26600</v>
      </c>
      <c r="B537" s="447">
        <v>26650</v>
      </c>
      <c r="C537" s="1378">
        <f t="shared" si="41"/>
        <v>0</v>
      </c>
      <c r="D537" s="448">
        <f t="shared" si="41"/>
        <v>3805</v>
      </c>
      <c r="E537" s="448">
        <f t="shared" si="41"/>
        <v>6462</v>
      </c>
      <c r="F537" s="447">
        <f t="shared" si="41"/>
        <v>7356</v>
      </c>
      <c r="G537" s="1378">
        <f t="shared" si="41"/>
        <v>0</v>
      </c>
      <c r="H537" s="448">
        <f t="shared" si="40"/>
        <v>4328</v>
      </c>
      <c r="I537" s="448">
        <f t="shared" si="40"/>
        <v>7152</v>
      </c>
      <c r="J537" s="447">
        <f t="shared" si="40"/>
        <v>8046</v>
      </c>
      <c r="K537" s="422"/>
      <c r="L537" s="448">
        <f t="shared" si="39"/>
        <v>26625</v>
      </c>
    </row>
    <row r="538" spans="1:12" ht="13.5">
      <c r="A538" s="448">
        <v>26650</v>
      </c>
      <c r="B538" s="447">
        <v>26700</v>
      </c>
      <c r="C538" s="1378">
        <f t="shared" si="41"/>
        <v>0</v>
      </c>
      <c r="D538" s="448">
        <f t="shared" si="41"/>
        <v>3797</v>
      </c>
      <c r="E538" s="448">
        <f t="shared" si="41"/>
        <v>6452</v>
      </c>
      <c r="F538" s="447">
        <f t="shared" si="41"/>
        <v>7346</v>
      </c>
      <c r="G538" s="1378">
        <f t="shared" si="41"/>
        <v>0</v>
      </c>
      <c r="H538" s="448">
        <f t="shared" si="40"/>
        <v>4328</v>
      </c>
      <c r="I538" s="448">
        <f t="shared" si="40"/>
        <v>7152</v>
      </c>
      <c r="J538" s="447">
        <f t="shared" si="40"/>
        <v>8046</v>
      </c>
      <c r="K538" s="422"/>
      <c r="L538" s="448">
        <f t="shared" si="39"/>
        <v>26675</v>
      </c>
    </row>
    <row r="539" spans="1:12" ht="13.5">
      <c r="A539" s="448">
        <v>26700</v>
      </c>
      <c r="B539" s="447">
        <v>26750</v>
      </c>
      <c r="C539" s="1378">
        <f t="shared" si="41"/>
        <v>0</v>
      </c>
      <c r="D539" s="448">
        <f t="shared" si="41"/>
        <v>3789</v>
      </c>
      <c r="E539" s="448">
        <f t="shared" si="41"/>
        <v>6441</v>
      </c>
      <c r="F539" s="447">
        <f t="shared" si="41"/>
        <v>7335</v>
      </c>
      <c r="G539" s="1378">
        <f t="shared" si="41"/>
        <v>0</v>
      </c>
      <c r="H539" s="448">
        <f t="shared" si="40"/>
        <v>4328</v>
      </c>
      <c r="I539" s="448">
        <f t="shared" si="40"/>
        <v>7152</v>
      </c>
      <c r="J539" s="447">
        <f t="shared" si="40"/>
        <v>8046</v>
      </c>
      <c r="K539" s="422"/>
      <c r="L539" s="448">
        <f t="shared" si="39"/>
        <v>26725</v>
      </c>
    </row>
    <row r="540" spans="1:12" ht="13.5">
      <c r="A540" s="448">
        <v>26750</v>
      </c>
      <c r="B540" s="447">
        <v>26800</v>
      </c>
      <c r="C540" s="1378">
        <f t="shared" si="41"/>
        <v>0</v>
      </c>
      <c r="D540" s="448">
        <f t="shared" si="41"/>
        <v>3781</v>
      </c>
      <c r="E540" s="448">
        <f t="shared" si="41"/>
        <v>6431</v>
      </c>
      <c r="F540" s="447">
        <f t="shared" si="41"/>
        <v>7325</v>
      </c>
      <c r="G540" s="1378">
        <f t="shared" si="41"/>
        <v>0</v>
      </c>
      <c r="H540" s="448">
        <f t="shared" si="40"/>
        <v>4328</v>
      </c>
      <c r="I540" s="448">
        <f t="shared" si="40"/>
        <v>7152</v>
      </c>
      <c r="J540" s="447">
        <f t="shared" si="40"/>
        <v>8046</v>
      </c>
      <c r="K540" s="422"/>
      <c r="L540" s="448">
        <f t="shared" si="39"/>
        <v>26775</v>
      </c>
    </row>
    <row r="541" spans="1:12" ht="13.5">
      <c r="A541" s="448">
        <v>26800</v>
      </c>
      <c r="B541" s="447">
        <v>26850</v>
      </c>
      <c r="C541" s="1378">
        <f t="shared" si="41"/>
        <v>0</v>
      </c>
      <c r="D541" s="448">
        <f t="shared" si="41"/>
        <v>3773</v>
      </c>
      <c r="E541" s="448">
        <f t="shared" si="41"/>
        <v>6420</v>
      </c>
      <c r="F541" s="447">
        <f t="shared" si="41"/>
        <v>7314</v>
      </c>
      <c r="G541" s="1378">
        <f t="shared" si="41"/>
        <v>0</v>
      </c>
      <c r="H541" s="448">
        <f t="shared" si="40"/>
        <v>4328</v>
      </c>
      <c r="I541" s="448">
        <f t="shared" si="40"/>
        <v>7152</v>
      </c>
      <c r="J541" s="447">
        <f t="shared" si="40"/>
        <v>8046</v>
      </c>
      <c r="K541" s="422"/>
      <c r="L541" s="448">
        <f t="shared" si="39"/>
        <v>26825</v>
      </c>
    </row>
    <row r="542" spans="1:12" ht="13.5">
      <c r="A542" s="448">
        <v>26850</v>
      </c>
      <c r="B542" s="447">
        <v>26900</v>
      </c>
      <c r="C542" s="1378">
        <f t="shared" si="41"/>
        <v>0</v>
      </c>
      <c r="D542" s="448">
        <f t="shared" si="41"/>
        <v>3765</v>
      </c>
      <c r="E542" s="448">
        <f t="shared" si="41"/>
        <v>6410</v>
      </c>
      <c r="F542" s="447">
        <f t="shared" si="41"/>
        <v>7304</v>
      </c>
      <c r="G542" s="1378">
        <f t="shared" si="41"/>
        <v>0</v>
      </c>
      <c r="H542" s="448">
        <f t="shared" si="40"/>
        <v>4328</v>
      </c>
      <c r="I542" s="448">
        <f t="shared" si="40"/>
        <v>7152</v>
      </c>
      <c r="J542" s="447">
        <f t="shared" si="40"/>
        <v>8046</v>
      </c>
      <c r="K542" s="422"/>
      <c r="L542" s="448">
        <f t="shared" si="39"/>
        <v>26875</v>
      </c>
    </row>
    <row r="543" spans="1:12" ht="13.5">
      <c r="A543" s="448">
        <v>26900</v>
      </c>
      <c r="B543" s="447">
        <v>26950</v>
      </c>
      <c r="C543" s="1378">
        <f t="shared" si="41"/>
        <v>0</v>
      </c>
      <c r="D543" s="448">
        <f t="shared" si="41"/>
        <v>3757</v>
      </c>
      <c r="E543" s="448">
        <f t="shared" si="41"/>
        <v>6399</v>
      </c>
      <c r="F543" s="447">
        <f t="shared" si="41"/>
        <v>7293</v>
      </c>
      <c r="G543" s="1378">
        <f t="shared" si="41"/>
        <v>0</v>
      </c>
      <c r="H543" s="448">
        <f t="shared" si="40"/>
        <v>4328</v>
      </c>
      <c r="I543" s="448">
        <f t="shared" si="40"/>
        <v>7152</v>
      </c>
      <c r="J543" s="447">
        <f t="shared" si="40"/>
        <v>8046</v>
      </c>
      <c r="K543" s="422"/>
      <c r="L543" s="448">
        <f t="shared" si="39"/>
        <v>26925</v>
      </c>
    </row>
    <row r="544" spans="1:12" ht="13.5">
      <c r="A544" s="448">
        <v>26950</v>
      </c>
      <c r="B544" s="447">
        <v>27000</v>
      </c>
      <c r="C544" s="1378">
        <f t="shared" si="41"/>
        <v>0</v>
      </c>
      <c r="D544" s="448">
        <f t="shared" si="41"/>
        <v>3749</v>
      </c>
      <c r="E544" s="448">
        <f t="shared" si="41"/>
        <v>6389</v>
      </c>
      <c r="F544" s="447">
        <f t="shared" si="41"/>
        <v>7283</v>
      </c>
      <c r="G544" s="1378">
        <f t="shared" si="41"/>
        <v>0</v>
      </c>
      <c r="H544" s="448">
        <f t="shared" si="40"/>
        <v>4328</v>
      </c>
      <c r="I544" s="448">
        <f t="shared" si="40"/>
        <v>7152</v>
      </c>
      <c r="J544" s="447">
        <f t="shared" si="40"/>
        <v>8046</v>
      </c>
      <c r="K544" s="422"/>
      <c r="L544" s="448">
        <f t="shared" si="39"/>
        <v>26975</v>
      </c>
    </row>
    <row r="545" spans="1:12" ht="13.5">
      <c r="A545" s="448">
        <v>27000</v>
      </c>
      <c r="B545" s="447">
        <v>27050</v>
      </c>
      <c r="C545" s="1378">
        <f t="shared" si="41"/>
        <v>0</v>
      </c>
      <c r="D545" s="448">
        <f t="shared" si="41"/>
        <v>3741</v>
      </c>
      <c r="E545" s="448">
        <f t="shared" si="41"/>
        <v>6378</v>
      </c>
      <c r="F545" s="447">
        <f t="shared" si="41"/>
        <v>7272</v>
      </c>
      <c r="G545" s="1378">
        <f t="shared" si="41"/>
        <v>0</v>
      </c>
      <c r="H545" s="448">
        <f t="shared" si="40"/>
        <v>4328</v>
      </c>
      <c r="I545" s="448">
        <f t="shared" si="40"/>
        <v>7152</v>
      </c>
      <c r="J545" s="447">
        <f t="shared" si="40"/>
        <v>8046</v>
      </c>
      <c r="K545" s="422"/>
      <c r="L545" s="448">
        <f t="shared" si="39"/>
        <v>27025</v>
      </c>
    </row>
    <row r="546" spans="1:12" ht="13.5">
      <c r="A546" s="448">
        <v>27050</v>
      </c>
      <c r="B546" s="447">
        <v>27100</v>
      </c>
      <c r="C546" s="1378">
        <f t="shared" si="41"/>
        <v>0</v>
      </c>
      <c r="D546" s="448">
        <f t="shared" si="41"/>
        <v>3733</v>
      </c>
      <c r="E546" s="448">
        <f t="shared" si="41"/>
        <v>6368</v>
      </c>
      <c r="F546" s="447">
        <f t="shared" si="41"/>
        <v>7262</v>
      </c>
      <c r="G546" s="1378">
        <f t="shared" si="41"/>
        <v>0</v>
      </c>
      <c r="H546" s="448">
        <f t="shared" si="40"/>
        <v>4328</v>
      </c>
      <c r="I546" s="448">
        <f t="shared" si="40"/>
        <v>7152</v>
      </c>
      <c r="J546" s="447">
        <f t="shared" si="40"/>
        <v>8046</v>
      </c>
      <c r="K546" s="422"/>
      <c r="L546" s="448">
        <f t="shared" si="39"/>
        <v>27075</v>
      </c>
    </row>
    <row r="547" spans="1:12" ht="13.5">
      <c r="A547" s="448">
        <v>27100</v>
      </c>
      <c r="B547" s="447">
        <v>27150</v>
      </c>
      <c r="C547" s="1378">
        <f t="shared" si="41"/>
        <v>0</v>
      </c>
      <c r="D547" s="448">
        <f t="shared" si="41"/>
        <v>3725</v>
      </c>
      <c r="E547" s="448">
        <f t="shared" si="41"/>
        <v>6357</v>
      </c>
      <c r="F547" s="447">
        <f t="shared" si="41"/>
        <v>7251</v>
      </c>
      <c r="G547" s="1378">
        <f t="shared" si="41"/>
        <v>0</v>
      </c>
      <c r="H547" s="448">
        <f t="shared" si="40"/>
        <v>4328</v>
      </c>
      <c r="I547" s="448">
        <f t="shared" si="40"/>
        <v>7152</v>
      </c>
      <c r="J547" s="447">
        <f t="shared" si="40"/>
        <v>8046</v>
      </c>
      <c r="K547" s="422"/>
      <c r="L547" s="448">
        <f t="shared" si="39"/>
        <v>27125</v>
      </c>
    </row>
    <row r="548" spans="1:12" ht="13.5">
      <c r="A548" s="448">
        <v>27150</v>
      </c>
      <c r="B548" s="447">
        <v>27200</v>
      </c>
      <c r="C548" s="1378">
        <f t="shared" si="41"/>
        <v>0</v>
      </c>
      <c r="D548" s="448">
        <f t="shared" si="41"/>
        <v>3717</v>
      </c>
      <c r="E548" s="448">
        <f t="shared" si="41"/>
        <v>6346</v>
      </c>
      <c r="F548" s="447">
        <f t="shared" si="41"/>
        <v>7240</v>
      </c>
      <c r="G548" s="1378">
        <f t="shared" si="41"/>
        <v>0</v>
      </c>
      <c r="H548" s="448">
        <f t="shared" si="40"/>
        <v>4328</v>
      </c>
      <c r="I548" s="448">
        <f t="shared" si="40"/>
        <v>7152</v>
      </c>
      <c r="J548" s="447">
        <f t="shared" si="40"/>
        <v>8046</v>
      </c>
      <c r="K548" s="422"/>
      <c r="L548" s="448">
        <f t="shared" si="39"/>
        <v>27175</v>
      </c>
    </row>
    <row r="549" spans="1:12" ht="13.5">
      <c r="A549" s="448">
        <v>27200</v>
      </c>
      <c r="B549" s="447">
        <v>27250</v>
      </c>
      <c r="C549" s="1378">
        <f t="shared" si="41"/>
        <v>0</v>
      </c>
      <c r="D549" s="448">
        <f t="shared" si="41"/>
        <v>3709</v>
      </c>
      <c r="E549" s="448">
        <f t="shared" si="41"/>
        <v>6336</v>
      </c>
      <c r="F549" s="447">
        <f t="shared" si="41"/>
        <v>7230</v>
      </c>
      <c r="G549" s="1378">
        <f t="shared" si="41"/>
        <v>0</v>
      </c>
      <c r="H549" s="448">
        <f t="shared" si="40"/>
        <v>4328</v>
      </c>
      <c r="I549" s="448">
        <f t="shared" si="40"/>
        <v>7152</v>
      </c>
      <c r="J549" s="447">
        <f t="shared" si="40"/>
        <v>8046</v>
      </c>
      <c r="K549" s="422"/>
      <c r="L549" s="448">
        <f t="shared" si="39"/>
        <v>27225</v>
      </c>
    </row>
    <row r="550" spans="1:12" ht="13.5">
      <c r="A550" s="448">
        <v>27250</v>
      </c>
      <c r="B550" s="447">
        <v>27300</v>
      </c>
      <c r="C550" s="1378">
        <f t="shared" si="41"/>
        <v>0</v>
      </c>
      <c r="D550" s="448">
        <f t="shared" si="41"/>
        <v>3701</v>
      </c>
      <c r="E550" s="448">
        <f t="shared" si="41"/>
        <v>6325</v>
      </c>
      <c r="F550" s="447">
        <f t="shared" si="41"/>
        <v>7219</v>
      </c>
      <c r="G550" s="1378">
        <f t="shared" si="41"/>
        <v>0</v>
      </c>
      <c r="H550" s="448">
        <f t="shared" si="40"/>
        <v>4328</v>
      </c>
      <c r="I550" s="448">
        <f t="shared" si="40"/>
        <v>7152</v>
      </c>
      <c r="J550" s="447">
        <f t="shared" si="40"/>
        <v>8046</v>
      </c>
      <c r="K550" s="422"/>
      <c r="L550" s="448">
        <f t="shared" si="39"/>
        <v>27275</v>
      </c>
    </row>
    <row r="551" spans="1:12" ht="13.5">
      <c r="A551" s="448">
        <v>27300</v>
      </c>
      <c r="B551" s="447">
        <v>27350</v>
      </c>
      <c r="C551" s="1378">
        <f t="shared" si="41"/>
        <v>0</v>
      </c>
      <c r="D551" s="448">
        <f t="shared" si="41"/>
        <v>3693</v>
      </c>
      <c r="E551" s="448">
        <f t="shared" si="41"/>
        <v>6315</v>
      </c>
      <c r="F551" s="447">
        <f t="shared" si="41"/>
        <v>7209</v>
      </c>
      <c r="G551" s="1378">
        <f t="shared" si="41"/>
        <v>0</v>
      </c>
      <c r="H551" s="448">
        <f t="shared" si="40"/>
        <v>4328</v>
      </c>
      <c r="I551" s="448">
        <f t="shared" si="40"/>
        <v>7152</v>
      </c>
      <c r="J551" s="447">
        <f t="shared" si="40"/>
        <v>8046</v>
      </c>
      <c r="K551" s="422"/>
      <c r="L551" s="448">
        <f t="shared" si="39"/>
        <v>27325</v>
      </c>
    </row>
    <row r="552" spans="1:12" ht="13.5">
      <c r="A552" s="448">
        <v>27350</v>
      </c>
      <c r="B552" s="447">
        <v>27400</v>
      </c>
      <c r="C552" s="1378">
        <f t="shared" si="41"/>
        <v>0</v>
      </c>
      <c r="D552" s="448">
        <f t="shared" si="41"/>
        <v>3685</v>
      </c>
      <c r="E552" s="448">
        <f t="shared" si="41"/>
        <v>6304</v>
      </c>
      <c r="F552" s="447">
        <f t="shared" si="41"/>
        <v>7198</v>
      </c>
      <c r="G552" s="1378">
        <f t="shared" si="41"/>
        <v>0</v>
      </c>
      <c r="H552" s="448">
        <f t="shared" si="40"/>
        <v>4328</v>
      </c>
      <c r="I552" s="448">
        <f t="shared" si="40"/>
        <v>7152</v>
      </c>
      <c r="J552" s="447">
        <f t="shared" si="40"/>
        <v>8046</v>
      </c>
      <c r="K552" s="422"/>
      <c r="L552" s="448">
        <f t="shared" si="39"/>
        <v>27375</v>
      </c>
    </row>
    <row r="553" spans="1:12" ht="13.5">
      <c r="A553" s="448">
        <v>27400</v>
      </c>
      <c r="B553" s="447">
        <v>27450</v>
      </c>
      <c r="C553" s="1378">
        <f t="shared" si="41"/>
        <v>0</v>
      </c>
      <c r="D553" s="448">
        <f t="shared" si="41"/>
        <v>3677</v>
      </c>
      <c r="E553" s="448">
        <f t="shared" si="41"/>
        <v>6294</v>
      </c>
      <c r="F553" s="447">
        <f t="shared" si="41"/>
        <v>7188</v>
      </c>
      <c r="G553" s="1378">
        <f t="shared" si="41"/>
        <v>0</v>
      </c>
      <c r="H553" s="448">
        <f t="shared" si="40"/>
        <v>4328</v>
      </c>
      <c r="I553" s="448">
        <f t="shared" si="40"/>
        <v>7152</v>
      </c>
      <c r="J553" s="447">
        <f t="shared" si="40"/>
        <v>8046</v>
      </c>
      <c r="K553" s="422"/>
      <c r="L553" s="448">
        <f t="shared" si="39"/>
        <v>27425</v>
      </c>
    </row>
    <row r="554" spans="1:12" ht="13.5">
      <c r="A554" s="448">
        <v>27450</v>
      </c>
      <c r="B554" s="447">
        <v>27500</v>
      </c>
      <c r="C554" s="1378">
        <f t="shared" si="41"/>
        <v>0</v>
      </c>
      <c r="D554" s="448">
        <f t="shared" si="41"/>
        <v>3669</v>
      </c>
      <c r="E554" s="448">
        <f t="shared" si="41"/>
        <v>6283</v>
      </c>
      <c r="F554" s="447">
        <f t="shared" si="41"/>
        <v>7177</v>
      </c>
      <c r="G554" s="1378">
        <f t="shared" si="41"/>
        <v>0</v>
      </c>
      <c r="H554" s="448">
        <f t="shared" si="40"/>
        <v>4328</v>
      </c>
      <c r="I554" s="448">
        <f t="shared" si="40"/>
        <v>7152</v>
      </c>
      <c r="J554" s="447">
        <f t="shared" si="40"/>
        <v>8046</v>
      </c>
      <c r="K554" s="422"/>
      <c r="L554" s="448">
        <f t="shared" si="39"/>
        <v>27475</v>
      </c>
    </row>
    <row r="555" spans="1:12" ht="13.5">
      <c r="A555" s="448">
        <v>27500</v>
      </c>
      <c r="B555" s="447">
        <v>27550</v>
      </c>
      <c r="C555" s="1378">
        <f t="shared" si="41"/>
        <v>0</v>
      </c>
      <c r="D555" s="448">
        <f t="shared" si="41"/>
        <v>3661</v>
      </c>
      <c r="E555" s="448">
        <f t="shared" si="41"/>
        <v>6273</v>
      </c>
      <c r="F555" s="447">
        <f t="shared" si="41"/>
        <v>7167</v>
      </c>
      <c r="G555" s="1378">
        <f t="shared" si="41"/>
        <v>0</v>
      </c>
      <c r="H555" s="448">
        <f t="shared" si="40"/>
        <v>4328</v>
      </c>
      <c r="I555" s="448">
        <f t="shared" si="40"/>
        <v>7152</v>
      </c>
      <c r="J555" s="447">
        <f t="shared" si="40"/>
        <v>8046</v>
      </c>
      <c r="K555" s="422"/>
      <c r="L555" s="448">
        <f t="shared" si="39"/>
        <v>27525</v>
      </c>
    </row>
    <row r="556" spans="1:12" ht="13.5">
      <c r="A556" s="448">
        <v>27550</v>
      </c>
      <c r="B556" s="447">
        <v>27600</v>
      </c>
      <c r="C556" s="1378">
        <f t="shared" si="41"/>
        <v>0</v>
      </c>
      <c r="D556" s="448">
        <f t="shared" si="41"/>
        <v>3653</v>
      </c>
      <c r="E556" s="448">
        <f t="shared" si="41"/>
        <v>6262</v>
      </c>
      <c r="F556" s="447">
        <f t="shared" si="41"/>
        <v>7156</v>
      </c>
      <c r="G556" s="1378">
        <f t="shared" si="41"/>
        <v>0</v>
      </c>
      <c r="H556" s="448">
        <f t="shared" si="40"/>
        <v>4328</v>
      </c>
      <c r="I556" s="448">
        <f t="shared" si="40"/>
        <v>7152</v>
      </c>
      <c r="J556" s="447">
        <f t="shared" si="40"/>
        <v>8046</v>
      </c>
      <c r="K556" s="422"/>
      <c r="L556" s="448">
        <f t="shared" si="39"/>
        <v>27575</v>
      </c>
    </row>
    <row r="557" spans="1:12" ht="13.5">
      <c r="A557" s="448">
        <v>27600</v>
      </c>
      <c r="B557" s="447">
        <v>27650</v>
      </c>
      <c r="C557" s="1378">
        <f t="shared" si="41"/>
        <v>0</v>
      </c>
      <c r="D557" s="448">
        <f t="shared" si="41"/>
        <v>3645</v>
      </c>
      <c r="E557" s="448">
        <f t="shared" si="41"/>
        <v>6252</v>
      </c>
      <c r="F557" s="447">
        <f t="shared" si="41"/>
        <v>7146</v>
      </c>
      <c r="G557" s="1378">
        <f t="shared" si="41"/>
        <v>0</v>
      </c>
      <c r="H557" s="448">
        <f t="shared" si="40"/>
        <v>4328</v>
      </c>
      <c r="I557" s="448">
        <f t="shared" si="40"/>
        <v>7152</v>
      </c>
      <c r="J557" s="447">
        <f t="shared" si="40"/>
        <v>8046</v>
      </c>
      <c r="K557" s="422"/>
      <c r="L557" s="448">
        <f t="shared" si="39"/>
        <v>27625</v>
      </c>
    </row>
    <row r="558" spans="1:12" ht="13.5">
      <c r="A558" s="448">
        <v>27650</v>
      </c>
      <c r="B558" s="447">
        <v>27700</v>
      </c>
      <c r="C558" s="1378">
        <f t="shared" si="41"/>
        <v>0</v>
      </c>
      <c r="D558" s="448">
        <f t="shared" si="41"/>
        <v>3637</v>
      </c>
      <c r="E558" s="448">
        <f t="shared" si="41"/>
        <v>6241</v>
      </c>
      <c r="F558" s="447">
        <f t="shared" si="41"/>
        <v>7135</v>
      </c>
      <c r="G558" s="1378">
        <f t="shared" si="41"/>
        <v>0</v>
      </c>
      <c r="H558" s="448">
        <f t="shared" si="40"/>
        <v>4328</v>
      </c>
      <c r="I558" s="448">
        <f t="shared" si="40"/>
        <v>7152</v>
      </c>
      <c r="J558" s="447">
        <f t="shared" si="40"/>
        <v>8046</v>
      </c>
      <c r="K558" s="422"/>
      <c r="L558" s="448">
        <f t="shared" si="39"/>
        <v>27675</v>
      </c>
    </row>
    <row r="559" spans="1:12" ht="13.5">
      <c r="A559" s="448">
        <v>27700</v>
      </c>
      <c r="B559" s="447">
        <v>27750</v>
      </c>
      <c r="C559" s="1378">
        <f t="shared" si="41"/>
        <v>0</v>
      </c>
      <c r="D559" s="448">
        <f t="shared" si="41"/>
        <v>3629</v>
      </c>
      <c r="E559" s="448">
        <f t="shared" si="41"/>
        <v>6231</v>
      </c>
      <c r="F559" s="447">
        <f t="shared" si="41"/>
        <v>7125</v>
      </c>
      <c r="G559" s="1378">
        <f t="shared" si="41"/>
        <v>0</v>
      </c>
      <c r="H559" s="448">
        <f t="shared" si="40"/>
        <v>4328</v>
      </c>
      <c r="I559" s="448">
        <f t="shared" si="40"/>
        <v>7152</v>
      </c>
      <c r="J559" s="447">
        <f t="shared" si="40"/>
        <v>8046</v>
      </c>
      <c r="K559" s="422"/>
      <c r="L559" s="448">
        <f t="shared" si="39"/>
        <v>27725</v>
      </c>
    </row>
    <row r="560" spans="1:12" ht="13.5">
      <c r="A560" s="448">
        <v>27750</v>
      </c>
      <c r="B560" s="447">
        <v>27800</v>
      </c>
      <c r="C560" s="1378">
        <f t="shared" si="41"/>
        <v>0</v>
      </c>
      <c r="D560" s="448">
        <f t="shared" si="41"/>
        <v>3621</v>
      </c>
      <c r="E560" s="448">
        <f t="shared" si="41"/>
        <v>6220</v>
      </c>
      <c r="F560" s="447">
        <f t="shared" si="41"/>
        <v>7114</v>
      </c>
      <c r="G560" s="1378">
        <f t="shared" si="41"/>
        <v>0</v>
      </c>
      <c r="H560" s="448">
        <f t="shared" si="40"/>
        <v>4328</v>
      </c>
      <c r="I560" s="448">
        <f t="shared" si="40"/>
        <v>7152</v>
      </c>
      <c r="J560" s="447">
        <f t="shared" si="40"/>
        <v>8046</v>
      </c>
      <c r="K560" s="422"/>
      <c r="L560" s="448">
        <f t="shared" si="39"/>
        <v>27775</v>
      </c>
    </row>
    <row r="561" spans="1:12" ht="13.5">
      <c r="A561" s="448">
        <v>27800</v>
      </c>
      <c r="B561" s="447">
        <v>27850</v>
      </c>
      <c r="C561" s="1378">
        <f t="shared" si="41"/>
        <v>0</v>
      </c>
      <c r="D561" s="448">
        <f t="shared" si="41"/>
        <v>3613</v>
      </c>
      <c r="E561" s="448">
        <f t="shared" si="41"/>
        <v>6210</v>
      </c>
      <c r="F561" s="447">
        <f t="shared" si="41"/>
        <v>7104</v>
      </c>
      <c r="G561" s="1378">
        <f t="shared" si="41"/>
        <v>0</v>
      </c>
      <c r="H561" s="448">
        <f t="shared" si="40"/>
        <v>4328</v>
      </c>
      <c r="I561" s="448">
        <f t="shared" si="40"/>
        <v>7152</v>
      </c>
      <c r="J561" s="447">
        <f t="shared" si="40"/>
        <v>8046</v>
      </c>
      <c r="K561" s="422"/>
      <c r="L561" s="448">
        <f t="shared" si="39"/>
        <v>27825</v>
      </c>
    </row>
    <row r="562" spans="1:12" ht="13.5">
      <c r="A562" s="448">
        <v>27850</v>
      </c>
      <c r="B562" s="447">
        <v>27900</v>
      </c>
      <c r="C562" s="1378">
        <f t="shared" si="41"/>
        <v>0</v>
      </c>
      <c r="D562" s="448">
        <f t="shared" si="41"/>
        <v>3605</v>
      </c>
      <c r="E562" s="448">
        <f t="shared" si="41"/>
        <v>6199</v>
      </c>
      <c r="F562" s="447">
        <f t="shared" si="41"/>
        <v>7093</v>
      </c>
      <c r="G562" s="1378">
        <f t="shared" si="41"/>
        <v>0</v>
      </c>
      <c r="H562" s="448">
        <f t="shared" si="40"/>
        <v>4328</v>
      </c>
      <c r="I562" s="448">
        <f t="shared" si="40"/>
        <v>7152</v>
      </c>
      <c r="J562" s="447">
        <f t="shared" si="40"/>
        <v>8046</v>
      </c>
      <c r="K562" s="422"/>
      <c r="L562" s="448">
        <f t="shared" si="39"/>
        <v>27875</v>
      </c>
    </row>
    <row r="563" spans="1:12" ht="13.5">
      <c r="A563" s="448">
        <v>27900</v>
      </c>
      <c r="B563" s="447">
        <v>27950</v>
      </c>
      <c r="C563" s="1378">
        <f t="shared" si="41"/>
        <v>0</v>
      </c>
      <c r="D563" s="448">
        <f t="shared" si="41"/>
        <v>3597</v>
      </c>
      <c r="E563" s="448">
        <f t="shared" si="41"/>
        <v>6189</v>
      </c>
      <c r="F563" s="447">
        <f t="shared" si="41"/>
        <v>7083</v>
      </c>
      <c r="G563" s="1378">
        <f t="shared" si="41"/>
        <v>0</v>
      </c>
      <c r="H563" s="448">
        <f t="shared" si="40"/>
        <v>4328</v>
      </c>
      <c r="I563" s="448">
        <f t="shared" si="40"/>
        <v>7152</v>
      </c>
      <c r="J563" s="447">
        <f t="shared" si="40"/>
        <v>8046</v>
      </c>
      <c r="K563" s="422"/>
      <c r="L563" s="448">
        <f t="shared" si="39"/>
        <v>27925</v>
      </c>
    </row>
    <row r="564" spans="1:12" ht="13.5">
      <c r="A564" s="448">
        <v>27950</v>
      </c>
      <c r="B564" s="447">
        <v>28000</v>
      </c>
      <c r="C564" s="1378">
        <f t="shared" si="41"/>
        <v>0</v>
      </c>
      <c r="D564" s="448">
        <f t="shared" si="41"/>
        <v>3589</v>
      </c>
      <c r="E564" s="448">
        <f t="shared" si="41"/>
        <v>6178</v>
      </c>
      <c r="F564" s="447">
        <f t="shared" si="41"/>
        <v>7072</v>
      </c>
      <c r="G564" s="1378">
        <f t="shared" si="41"/>
        <v>0</v>
      </c>
      <c r="H564" s="448">
        <f t="shared" si="40"/>
        <v>4328</v>
      </c>
      <c r="I564" s="448">
        <f t="shared" si="40"/>
        <v>7152</v>
      </c>
      <c r="J564" s="447">
        <f t="shared" si="40"/>
        <v>8046</v>
      </c>
      <c r="K564" s="422"/>
      <c r="L564" s="448">
        <f t="shared" si="39"/>
        <v>27975</v>
      </c>
    </row>
    <row r="565" spans="1:12" ht="13.5">
      <c r="A565" s="448">
        <v>28000</v>
      </c>
      <c r="B565" s="447">
        <v>28050</v>
      </c>
      <c r="C565" s="1378">
        <f t="shared" si="41"/>
        <v>0</v>
      </c>
      <c r="D565" s="448">
        <f t="shared" si="41"/>
        <v>3581</v>
      </c>
      <c r="E565" s="448">
        <f t="shared" si="41"/>
        <v>6167</v>
      </c>
      <c r="F565" s="447">
        <f t="shared" si="41"/>
        <v>7061</v>
      </c>
      <c r="G565" s="1378">
        <f t="shared" si="41"/>
        <v>0</v>
      </c>
      <c r="H565" s="448">
        <f t="shared" si="40"/>
        <v>4328</v>
      </c>
      <c r="I565" s="448">
        <f t="shared" si="40"/>
        <v>7152</v>
      </c>
      <c r="J565" s="447">
        <f t="shared" si="40"/>
        <v>8046</v>
      </c>
      <c r="K565" s="422"/>
      <c r="L565" s="448">
        <f t="shared" si="39"/>
        <v>28025</v>
      </c>
    </row>
    <row r="566" spans="1:12" ht="13.5">
      <c r="A566" s="448">
        <v>28050</v>
      </c>
      <c r="B566" s="447">
        <v>28100</v>
      </c>
      <c r="C566" s="1378">
        <f t="shared" si="41"/>
        <v>0</v>
      </c>
      <c r="D566" s="448">
        <f t="shared" si="41"/>
        <v>3573</v>
      </c>
      <c r="E566" s="448">
        <f t="shared" si="41"/>
        <v>6157</v>
      </c>
      <c r="F566" s="447">
        <f t="shared" si="41"/>
        <v>7051</v>
      </c>
      <c r="G566" s="1378">
        <f t="shared" si="41"/>
        <v>0</v>
      </c>
      <c r="H566" s="448">
        <f t="shared" si="40"/>
        <v>4328</v>
      </c>
      <c r="I566" s="448">
        <f t="shared" si="40"/>
        <v>7152</v>
      </c>
      <c r="J566" s="447">
        <f t="shared" si="40"/>
        <v>8046</v>
      </c>
      <c r="K566" s="422"/>
      <c r="L566" s="448">
        <f t="shared" si="39"/>
        <v>28075</v>
      </c>
    </row>
    <row r="567" spans="1:12" ht="13.5">
      <c r="A567" s="448">
        <v>28100</v>
      </c>
      <c r="B567" s="447">
        <v>28150</v>
      </c>
      <c r="C567" s="1378">
        <f t="shared" si="41"/>
        <v>0</v>
      </c>
      <c r="D567" s="448">
        <f t="shared" si="41"/>
        <v>3565</v>
      </c>
      <c r="E567" s="448">
        <f t="shared" si="41"/>
        <v>6146</v>
      </c>
      <c r="F567" s="447">
        <f t="shared" si="41"/>
        <v>7040</v>
      </c>
      <c r="G567" s="1378">
        <f t="shared" si="41"/>
        <v>0</v>
      </c>
      <c r="H567" s="448">
        <f t="shared" si="40"/>
        <v>4328</v>
      </c>
      <c r="I567" s="448">
        <f t="shared" si="40"/>
        <v>7152</v>
      </c>
      <c r="J567" s="447">
        <f t="shared" si="40"/>
        <v>8046</v>
      </c>
      <c r="K567" s="422"/>
      <c r="L567" s="448">
        <f t="shared" si="39"/>
        <v>28125</v>
      </c>
    </row>
    <row r="568" spans="1:12" ht="13.5">
      <c r="A568" s="448">
        <v>28150</v>
      </c>
      <c r="B568" s="447">
        <v>28200</v>
      </c>
      <c r="C568" s="1378">
        <f t="shared" si="41"/>
        <v>0</v>
      </c>
      <c r="D568" s="448">
        <f t="shared" si="41"/>
        <v>3557</v>
      </c>
      <c r="E568" s="448">
        <f t="shared" si="41"/>
        <v>6136</v>
      </c>
      <c r="F568" s="447">
        <f t="shared" si="41"/>
        <v>7030</v>
      </c>
      <c r="G568" s="1378">
        <f t="shared" si="41"/>
        <v>0</v>
      </c>
      <c r="H568" s="448">
        <f t="shared" si="40"/>
        <v>4328</v>
      </c>
      <c r="I568" s="448">
        <f t="shared" si="40"/>
        <v>7152</v>
      </c>
      <c r="J568" s="447">
        <f t="shared" si="40"/>
        <v>8046</v>
      </c>
      <c r="K568" s="422"/>
      <c r="L568" s="448">
        <f t="shared" si="39"/>
        <v>28175</v>
      </c>
    </row>
    <row r="569" spans="1:12" ht="13.5">
      <c r="A569" s="448">
        <v>28200</v>
      </c>
      <c r="B569" s="447">
        <v>28250</v>
      </c>
      <c r="C569" s="1378">
        <f t="shared" si="41"/>
        <v>0</v>
      </c>
      <c r="D569" s="448">
        <f t="shared" si="41"/>
        <v>3549</v>
      </c>
      <c r="E569" s="448">
        <f t="shared" si="41"/>
        <v>6125</v>
      </c>
      <c r="F569" s="447">
        <f t="shared" si="41"/>
        <v>7019</v>
      </c>
      <c r="G569" s="1378">
        <f t="shared" si="41"/>
        <v>0</v>
      </c>
      <c r="H569" s="448">
        <f t="shared" si="40"/>
        <v>4328</v>
      </c>
      <c r="I569" s="448">
        <f t="shared" si="40"/>
        <v>7152</v>
      </c>
      <c r="J569" s="447">
        <f t="shared" si="40"/>
        <v>8046</v>
      </c>
      <c r="K569" s="422"/>
      <c r="L569" s="448">
        <f t="shared" si="39"/>
        <v>28225</v>
      </c>
    </row>
    <row r="570" spans="1:12" ht="13.5">
      <c r="A570" s="448">
        <v>28250</v>
      </c>
      <c r="B570" s="447">
        <v>28300</v>
      </c>
      <c r="C570" s="1378">
        <f t="shared" si="41"/>
        <v>0</v>
      </c>
      <c r="D570" s="448">
        <f t="shared" si="41"/>
        <v>3541</v>
      </c>
      <c r="E570" s="448">
        <f t="shared" si="41"/>
        <v>6115</v>
      </c>
      <c r="F570" s="447">
        <f t="shared" si="41"/>
        <v>7009</v>
      </c>
      <c r="G570" s="1378">
        <f t="shared" si="41"/>
        <v>0</v>
      </c>
      <c r="H570" s="448">
        <f t="shared" si="40"/>
        <v>4328</v>
      </c>
      <c r="I570" s="448">
        <f t="shared" si="40"/>
        <v>7152</v>
      </c>
      <c r="J570" s="447">
        <f t="shared" si="40"/>
        <v>8046</v>
      </c>
      <c r="K570" s="422"/>
      <c r="L570" s="448">
        <f t="shared" si="39"/>
        <v>28275</v>
      </c>
    </row>
    <row r="571" spans="1:12" ht="13.5">
      <c r="A571" s="448">
        <v>28300</v>
      </c>
      <c r="B571" s="447">
        <v>28350</v>
      </c>
      <c r="C571" s="1378">
        <f t="shared" si="41"/>
        <v>0</v>
      </c>
      <c r="D571" s="448">
        <f t="shared" si="41"/>
        <v>3533</v>
      </c>
      <c r="E571" s="448">
        <f t="shared" si="41"/>
        <v>6104</v>
      </c>
      <c r="F571" s="447">
        <f t="shared" si="41"/>
        <v>6998</v>
      </c>
      <c r="G571" s="1378">
        <f t="shared" si="41"/>
        <v>0</v>
      </c>
      <c r="H571" s="448">
        <f t="shared" si="40"/>
        <v>4328</v>
      </c>
      <c r="I571" s="448">
        <f t="shared" si="40"/>
        <v>7152</v>
      </c>
      <c r="J571" s="447">
        <f t="shared" si="40"/>
        <v>8046</v>
      </c>
      <c r="K571" s="422"/>
      <c r="L571" s="448">
        <f t="shared" si="39"/>
        <v>28325</v>
      </c>
    </row>
    <row r="572" spans="1:12" ht="13.5">
      <c r="A572" s="448">
        <v>28350</v>
      </c>
      <c r="B572" s="447">
        <v>28400</v>
      </c>
      <c r="C572" s="1378">
        <f t="shared" si="41"/>
        <v>0</v>
      </c>
      <c r="D572" s="448">
        <f t="shared" si="41"/>
        <v>3525</v>
      </c>
      <c r="E572" s="448">
        <f t="shared" si="41"/>
        <v>6094</v>
      </c>
      <c r="F572" s="447">
        <f t="shared" si="41"/>
        <v>6988</v>
      </c>
      <c r="G572" s="1378">
        <f t="shared" si="41"/>
        <v>0</v>
      </c>
      <c r="H572" s="448">
        <f t="shared" si="40"/>
        <v>4328</v>
      </c>
      <c r="I572" s="448">
        <f t="shared" si="40"/>
        <v>7152</v>
      </c>
      <c r="J572" s="447">
        <f t="shared" si="40"/>
        <v>8046</v>
      </c>
      <c r="K572" s="422"/>
      <c r="L572" s="448">
        <f t="shared" si="39"/>
        <v>28375</v>
      </c>
    </row>
    <row r="573" spans="1:12" ht="13.5">
      <c r="A573" s="448">
        <v>28400</v>
      </c>
      <c r="B573" s="447">
        <v>28450</v>
      </c>
      <c r="C573" s="1378">
        <f t="shared" si="41"/>
        <v>0</v>
      </c>
      <c r="D573" s="448">
        <f t="shared" si="41"/>
        <v>3517</v>
      </c>
      <c r="E573" s="448">
        <f t="shared" si="41"/>
        <v>6083</v>
      </c>
      <c r="F573" s="447">
        <f t="shared" si="41"/>
        <v>6977</v>
      </c>
      <c r="G573" s="1378">
        <f t="shared" si="41"/>
        <v>0</v>
      </c>
      <c r="H573" s="448">
        <f t="shared" si="40"/>
        <v>4328</v>
      </c>
      <c r="I573" s="448">
        <f t="shared" si="40"/>
        <v>7152</v>
      </c>
      <c r="J573" s="447">
        <f t="shared" si="40"/>
        <v>8046</v>
      </c>
      <c r="K573" s="422"/>
      <c r="L573" s="448">
        <f t="shared" si="39"/>
        <v>28425</v>
      </c>
    </row>
    <row r="574" spans="1:12" ht="13.5">
      <c r="A574" s="448">
        <v>28450</v>
      </c>
      <c r="B574" s="447">
        <v>28500</v>
      </c>
      <c r="C574" s="1378">
        <f t="shared" si="41"/>
        <v>0</v>
      </c>
      <c r="D574" s="448">
        <f t="shared" si="41"/>
        <v>3509</v>
      </c>
      <c r="E574" s="448">
        <f t="shared" si="41"/>
        <v>6073</v>
      </c>
      <c r="F574" s="447">
        <f t="shared" si="41"/>
        <v>6967</v>
      </c>
      <c r="G574" s="1378">
        <f t="shared" si="41"/>
        <v>0</v>
      </c>
      <c r="H574" s="448">
        <f t="shared" si="40"/>
        <v>4328</v>
      </c>
      <c r="I574" s="448">
        <f t="shared" si="40"/>
        <v>7152</v>
      </c>
      <c r="J574" s="447">
        <f t="shared" si="40"/>
        <v>8046</v>
      </c>
      <c r="K574" s="422"/>
      <c r="L574" s="448">
        <f t="shared" si="39"/>
        <v>28475</v>
      </c>
    </row>
    <row r="575" spans="1:12" ht="13.5">
      <c r="A575" s="448">
        <v>28500</v>
      </c>
      <c r="B575" s="447">
        <v>28550</v>
      </c>
      <c r="C575" s="1378">
        <f t="shared" si="41"/>
        <v>0</v>
      </c>
      <c r="D575" s="448">
        <f t="shared" si="41"/>
        <v>3501</v>
      </c>
      <c r="E575" s="448">
        <f t="shared" si="41"/>
        <v>6062</v>
      </c>
      <c r="F575" s="447">
        <f t="shared" si="41"/>
        <v>6956</v>
      </c>
      <c r="G575" s="1378">
        <f t="shared" si="41"/>
        <v>0</v>
      </c>
      <c r="H575" s="448">
        <f t="shared" si="40"/>
        <v>4328</v>
      </c>
      <c r="I575" s="448">
        <f t="shared" si="40"/>
        <v>7152</v>
      </c>
      <c r="J575" s="447">
        <f t="shared" si="40"/>
        <v>8046</v>
      </c>
      <c r="K575" s="422"/>
      <c r="L575" s="448">
        <f t="shared" si="39"/>
        <v>28525</v>
      </c>
    </row>
    <row r="576" spans="1:12" ht="13.5">
      <c r="A576" s="448">
        <v>28550</v>
      </c>
      <c r="B576" s="447">
        <v>28600</v>
      </c>
      <c r="C576" s="1378">
        <f t="shared" si="41"/>
        <v>0</v>
      </c>
      <c r="D576" s="448">
        <f t="shared" si="41"/>
        <v>3493</v>
      </c>
      <c r="E576" s="448">
        <f t="shared" si="41"/>
        <v>6052</v>
      </c>
      <c r="F576" s="447">
        <f t="shared" si="41"/>
        <v>6946</v>
      </c>
      <c r="G576" s="1378">
        <f t="shared" si="41"/>
        <v>0</v>
      </c>
      <c r="H576" s="448">
        <f t="shared" si="40"/>
        <v>4328</v>
      </c>
      <c r="I576" s="448">
        <f t="shared" si="40"/>
        <v>7152</v>
      </c>
      <c r="J576" s="447">
        <f t="shared" si="40"/>
        <v>8046</v>
      </c>
      <c r="K576" s="422"/>
      <c r="L576" s="448">
        <f t="shared" si="39"/>
        <v>28575</v>
      </c>
    </row>
    <row r="577" spans="1:12" ht="13.5">
      <c r="A577" s="448">
        <v>28600</v>
      </c>
      <c r="B577" s="447">
        <v>28650</v>
      </c>
      <c r="C577" s="1378">
        <f t="shared" si="41"/>
        <v>0</v>
      </c>
      <c r="D577" s="448">
        <f t="shared" si="41"/>
        <v>3485</v>
      </c>
      <c r="E577" s="448">
        <f t="shared" si="41"/>
        <v>6041</v>
      </c>
      <c r="F577" s="447">
        <f t="shared" si="41"/>
        <v>6935</v>
      </c>
      <c r="G577" s="1378">
        <f t="shared" si="41"/>
        <v>0</v>
      </c>
      <c r="H577" s="448">
        <f t="shared" si="40"/>
        <v>4328</v>
      </c>
      <c r="I577" s="448">
        <f t="shared" si="40"/>
        <v>7152</v>
      </c>
      <c r="J577" s="447">
        <f t="shared" si="40"/>
        <v>8046</v>
      </c>
      <c r="K577" s="422"/>
      <c r="L577" s="448">
        <f t="shared" si="39"/>
        <v>28625</v>
      </c>
    </row>
    <row r="578" spans="1:12" ht="13.5">
      <c r="A578" s="448">
        <v>28650</v>
      </c>
      <c r="B578" s="447">
        <v>28700</v>
      </c>
      <c r="C578" s="1378">
        <f t="shared" si="41"/>
        <v>0</v>
      </c>
      <c r="D578" s="448">
        <f t="shared" si="41"/>
        <v>3477</v>
      </c>
      <c r="E578" s="448">
        <f t="shared" si="41"/>
        <v>6031</v>
      </c>
      <c r="F578" s="447">
        <f t="shared" si="41"/>
        <v>6925</v>
      </c>
      <c r="G578" s="1378">
        <f t="shared" si="41"/>
        <v>0</v>
      </c>
      <c r="H578" s="448">
        <f t="shared" si="40"/>
        <v>4328</v>
      </c>
      <c r="I578" s="448">
        <f t="shared" si="40"/>
        <v>7152</v>
      </c>
      <c r="J578" s="447">
        <f t="shared" si="40"/>
        <v>8046</v>
      </c>
      <c r="K578" s="422"/>
      <c r="L578" s="448">
        <f t="shared" si="39"/>
        <v>28675</v>
      </c>
    </row>
    <row r="579" spans="1:12" ht="13.5">
      <c r="A579" s="448">
        <v>28700</v>
      </c>
      <c r="B579" s="447">
        <v>28750</v>
      </c>
      <c r="C579" s="1378">
        <f t="shared" si="41"/>
        <v>0</v>
      </c>
      <c r="D579" s="448">
        <f t="shared" si="41"/>
        <v>3469</v>
      </c>
      <c r="E579" s="448">
        <f t="shared" si="41"/>
        <v>6020</v>
      </c>
      <c r="F579" s="447">
        <f t="shared" si="41"/>
        <v>6914</v>
      </c>
      <c r="G579" s="1378">
        <f t="shared" si="41"/>
        <v>0</v>
      </c>
      <c r="H579" s="448">
        <f t="shared" si="40"/>
        <v>4328</v>
      </c>
      <c r="I579" s="448">
        <f t="shared" si="40"/>
        <v>7152</v>
      </c>
      <c r="J579" s="447">
        <f t="shared" si="40"/>
        <v>8046</v>
      </c>
      <c r="K579" s="422"/>
      <c r="L579" s="448">
        <f t="shared" si="39"/>
        <v>28725</v>
      </c>
    </row>
    <row r="580" spans="1:12" ht="13.5">
      <c r="A580" s="448">
        <v>28750</v>
      </c>
      <c r="B580" s="447">
        <v>28800</v>
      </c>
      <c r="C580" s="1378">
        <f t="shared" si="41"/>
        <v>0</v>
      </c>
      <c r="D580" s="448">
        <f t="shared" si="41"/>
        <v>3461</v>
      </c>
      <c r="E580" s="448">
        <f t="shared" si="41"/>
        <v>6009</v>
      </c>
      <c r="F580" s="447">
        <f t="shared" si="41"/>
        <v>6903</v>
      </c>
      <c r="G580" s="1378">
        <f t="shared" si="41"/>
        <v>0</v>
      </c>
      <c r="H580" s="448">
        <f t="shared" si="40"/>
        <v>4328</v>
      </c>
      <c r="I580" s="448">
        <f t="shared" si="40"/>
        <v>7152</v>
      </c>
      <c r="J580" s="447">
        <f t="shared" si="40"/>
        <v>8046</v>
      </c>
      <c r="K580" s="422"/>
      <c r="L580" s="448">
        <f t="shared" si="39"/>
        <v>28775</v>
      </c>
    </row>
    <row r="581" spans="1:12" ht="13.5">
      <c r="A581" s="448">
        <v>28800</v>
      </c>
      <c r="B581" s="447">
        <v>28850</v>
      </c>
      <c r="C581" s="1378">
        <f t="shared" si="41"/>
        <v>0</v>
      </c>
      <c r="D581" s="448">
        <f t="shared" si="41"/>
        <v>3453</v>
      </c>
      <c r="E581" s="448">
        <f t="shared" si="41"/>
        <v>5999</v>
      </c>
      <c r="F581" s="447">
        <f t="shared" si="41"/>
        <v>6893</v>
      </c>
      <c r="G581" s="1378">
        <f t="shared" si="41"/>
        <v>0</v>
      </c>
      <c r="H581" s="448">
        <f t="shared" si="40"/>
        <v>4328</v>
      </c>
      <c r="I581" s="448">
        <f t="shared" si="40"/>
        <v>7152</v>
      </c>
      <c r="J581" s="447">
        <f t="shared" si="40"/>
        <v>8046</v>
      </c>
      <c r="K581" s="422"/>
      <c r="L581" s="448">
        <f t="shared" si="39"/>
        <v>28825</v>
      </c>
    </row>
    <row r="582" spans="1:12" ht="13.5">
      <c r="A582" s="448">
        <v>28850</v>
      </c>
      <c r="B582" s="447">
        <v>28900</v>
      </c>
      <c r="C582" s="1378">
        <f t="shared" si="41"/>
        <v>0</v>
      </c>
      <c r="D582" s="448">
        <f t="shared" si="41"/>
        <v>3445</v>
      </c>
      <c r="E582" s="448">
        <f t="shared" si="41"/>
        <v>5988</v>
      </c>
      <c r="F582" s="447">
        <f t="shared" si="41"/>
        <v>6882</v>
      </c>
      <c r="G582" s="1378">
        <f t="shared" si="41"/>
        <v>0</v>
      </c>
      <c r="H582" s="448">
        <f t="shared" si="40"/>
        <v>4328</v>
      </c>
      <c r="I582" s="448">
        <f t="shared" si="40"/>
        <v>7152</v>
      </c>
      <c r="J582" s="447">
        <f t="shared" si="40"/>
        <v>8046</v>
      </c>
      <c r="K582" s="422"/>
      <c r="L582" s="448">
        <f t="shared" si="39"/>
        <v>28875</v>
      </c>
    </row>
    <row r="583" spans="1:12" ht="13.5">
      <c r="A583" s="448">
        <v>28900</v>
      </c>
      <c r="B583" s="447">
        <v>28950</v>
      </c>
      <c r="C583" s="1378">
        <f t="shared" si="41"/>
        <v>0</v>
      </c>
      <c r="D583" s="448">
        <f t="shared" si="41"/>
        <v>3437</v>
      </c>
      <c r="E583" s="448">
        <f t="shared" si="41"/>
        <v>5978</v>
      </c>
      <c r="F583" s="447">
        <f t="shared" si="41"/>
        <v>6872</v>
      </c>
      <c r="G583" s="1378">
        <f t="shared" si="41"/>
        <v>0</v>
      </c>
      <c r="H583" s="448">
        <f t="shared" si="40"/>
        <v>4328</v>
      </c>
      <c r="I583" s="448">
        <f t="shared" si="40"/>
        <v>7152</v>
      </c>
      <c r="J583" s="447">
        <f t="shared" si="40"/>
        <v>8046</v>
      </c>
      <c r="K583" s="422"/>
      <c r="L583" s="448">
        <f t="shared" ref="L583:L646" si="42">ROUND((A583+B583)/2,2)</f>
        <v>28925</v>
      </c>
    </row>
    <row r="584" spans="1:12" ht="13.5">
      <c r="A584" s="448">
        <v>28950</v>
      </c>
      <c r="B584" s="447">
        <v>29000</v>
      </c>
      <c r="C584" s="1378">
        <f t="shared" ref="C584:J617" si="43">IF($L584&gt;N$5,MAX(0,N$3+ROUND((N$9*($L584-N$5)),0)),IF($L584&gt;N$4,N$3,ROUND($L584*N$7,0)))</f>
        <v>0</v>
      </c>
      <c r="D584" s="448">
        <f t="shared" si="43"/>
        <v>3429</v>
      </c>
      <c r="E584" s="448">
        <f t="shared" si="43"/>
        <v>5967</v>
      </c>
      <c r="F584" s="447">
        <f t="shared" si="43"/>
        <v>6861</v>
      </c>
      <c r="G584" s="1378">
        <f t="shared" si="43"/>
        <v>0</v>
      </c>
      <c r="H584" s="448">
        <f t="shared" si="40"/>
        <v>4328</v>
      </c>
      <c r="I584" s="448">
        <f t="shared" si="40"/>
        <v>7152</v>
      </c>
      <c r="J584" s="447">
        <f t="shared" si="40"/>
        <v>8046</v>
      </c>
      <c r="K584" s="422"/>
      <c r="L584" s="448">
        <f t="shared" si="42"/>
        <v>28975</v>
      </c>
    </row>
    <row r="585" spans="1:12" ht="13.5">
      <c r="A585" s="448">
        <v>29000</v>
      </c>
      <c r="B585" s="447">
        <v>29050</v>
      </c>
      <c r="C585" s="1378">
        <f t="shared" si="43"/>
        <v>0</v>
      </c>
      <c r="D585" s="448">
        <f t="shared" si="43"/>
        <v>3421</v>
      </c>
      <c r="E585" s="448">
        <f t="shared" si="43"/>
        <v>5957</v>
      </c>
      <c r="F585" s="447">
        <f t="shared" si="43"/>
        <v>6851</v>
      </c>
      <c r="G585" s="1378">
        <f t="shared" si="43"/>
        <v>0</v>
      </c>
      <c r="H585" s="448">
        <f t="shared" si="40"/>
        <v>4328</v>
      </c>
      <c r="I585" s="448">
        <f t="shared" si="40"/>
        <v>7152</v>
      </c>
      <c r="J585" s="447">
        <f t="shared" si="40"/>
        <v>8046</v>
      </c>
      <c r="K585" s="422"/>
      <c r="L585" s="448">
        <f t="shared" si="42"/>
        <v>29025</v>
      </c>
    </row>
    <row r="586" spans="1:12" ht="13.5">
      <c r="A586" s="448">
        <v>29050</v>
      </c>
      <c r="B586" s="447">
        <v>29100</v>
      </c>
      <c r="C586" s="1378">
        <f t="shared" si="43"/>
        <v>0</v>
      </c>
      <c r="D586" s="448">
        <f t="shared" si="43"/>
        <v>3413</v>
      </c>
      <c r="E586" s="448">
        <f t="shared" si="43"/>
        <v>5946</v>
      </c>
      <c r="F586" s="447">
        <f t="shared" si="43"/>
        <v>6840</v>
      </c>
      <c r="G586" s="1378">
        <f t="shared" si="43"/>
        <v>0</v>
      </c>
      <c r="H586" s="448">
        <f t="shared" si="40"/>
        <v>4328</v>
      </c>
      <c r="I586" s="448">
        <f t="shared" si="40"/>
        <v>7152</v>
      </c>
      <c r="J586" s="447">
        <f t="shared" si="40"/>
        <v>8046</v>
      </c>
      <c r="K586" s="422"/>
      <c r="L586" s="448">
        <f t="shared" si="42"/>
        <v>29075</v>
      </c>
    </row>
    <row r="587" spans="1:12" ht="13.5">
      <c r="A587" s="448">
        <v>29100</v>
      </c>
      <c r="B587" s="447">
        <v>29150</v>
      </c>
      <c r="C587" s="1378">
        <f t="shared" si="43"/>
        <v>0</v>
      </c>
      <c r="D587" s="448">
        <f t="shared" si="43"/>
        <v>3405</v>
      </c>
      <c r="E587" s="448">
        <f t="shared" si="43"/>
        <v>5936</v>
      </c>
      <c r="F587" s="447">
        <f t="shared" si="43"/>
        <v>6830</v>
      </c>
      <c r="G587" s="1378">
        <f t="shared" si="43"/>
        <v>0</v>
      </c>
      <c r="H587" s="448">
        <f t="shared" si="40"/>
        <v>4328</v>
      </c>
      <c r="I587" s="448">
        <f t="shared" si="40"/>
        <v>7152</v>
      </c>
      <c r="J587" s="447">
        <f t="shared" si="40"/>
        <v>8046</v>
      </c>
      <c r="K587" s="422"/>
      <c r="L587" s="448">
        <f t="shared" si="42"/>
        <v>29125</v>
      </c>
    </row>
    <row r="588" spans="1:12" ht="13.5">
      <c r="A588" s="448">
        <v>29150</v>
      </c>
      <c r="B588" s="447">
        <v>29200</v>
      </c>
      <c r="C588" s="1378">
        <f t="shared" si="43"/>
        <v>0</v>
      </c>
      <c r="D588" s="448">
        <f t="shared" si="43"/>
        <v>3397</v>
      </c>
      <c r="E588" s="448">
        <f t="shared" si="43"/>
        <v>5925</v>
      </c>
      <c r="F588" s="447">
        <f t="shared" si="43"/>
        <v>6819</v>
      </c>
      <c r="G588" s="1378">
        <f t="shared" si="43"/>
        <v>0</v>
      </c>
      <c r="H588" s="448">
        <f t="shared" si="43"/>
        <v>4328</v>
      </c>
      <c r="I588" s="448">
        <f t="shared" si="43"/>
        <v>7152</v>
      </c>
      <c r="J588" s="447">
        <f t="shared" si="43"/>
        <v>8046</v>
      </c>
      <c r="K588" s="422"/>
      <c r="L588" s="448">
        <f t="shared" si="42"/>
        <v>29175</v>
      </c>
    </row>
    <row r="589" spans="1:12" ht="13.5">
      <c r="A589" s="448">
        <v>29200</v>
      </c>
      <c r="B589" s="447">
        <v>29250</v>
      </c>
      <c r="C589" s="1378">
        <f t="shared" si="43"/>
        <v>0</v>
      </c>
      <c r="D589" s="448">
        <f t="shared" si="43"/>
        <v>3389</v>
      </c>
      <c r="E589" s="448">
        <f t="shared" si="43"/>
        <v>5915</v>
      </c>
      <c r="F589" s="447">
        <f t="shared" si="43"/>
        <v>6809</v>
      </c>
      <c r="G589" s="1378">
        <f t="shared" si="43"/>
        <v>0</v>
      </c>
      <c r="H589" s="448">
        <f t="shared" si="43"/>
        <v>4328</v>
      </c>
      <c r="I589" s="448">
        <f t="shared" si="43"/>
        <v>7152</v>
      </c>
      <c r="J589" s="447">
        <f t="shared" si="43"/>
        <v>8046</v>
      </c>
      <c r="K589" s="422"/>
      <c r="L589" s="448">
        <f t="shared" si="42"/>
        <v>29225</v>
      </c>
    </row>
    <row r="590" spans="1:12" ht="13.5">
      <c r="A590" s="448">
        <v>29250</v>
      </c>
      <c r="B590" s="447">
        <v>29300</v>
      </c>
      <c r="C590" s="1378">
        <f t="shared" si="43"/>
        <v>0</v>
      </c>
      <c r="D590" s="448">
        <f t="shared" si="43"/>
        <v>3381</v>
      </c>
      <c r="E590" s="448">
        <f t="shared" si="43"/>
        <v>5904</v>
      </c>
      <c r="F590" s="447">
        <f t="shared" si="43"/>
        <v>6798</v>
      </c>
      <c r="G590" s="1378">
        <f t="shared" si="43"/>
        <v>0</v>
      </c>
      <c r="H590" s="448">
        <f t="shared" si="43"/>
        <v>4328</v>
      </c>
      <c r="I590" s="448">
        <f t="shared" si="43"/>
        <v>7152</v>
      </c>
      <c r="J590" s="447">
        <f t="shared" si="43"/>
        <v>8046</v>
      </c>
      <c r="K590" s="422"/>
      <c r="L590" s="448">
        <f t="shared" si="42"/>
        <v>29275</v>
      </c>
    </row>
    <row r="591" spans="1:12" ht="13.5">
      <c r="A591" s="448">
        <v>29300</v>
      </c>
      <c r="B591" s="447">
        <v>29350</v>
      </c>
      <c r="C591" s="1378">
        <f t="shared" si="43"/>
        <v>0</v>
      </c>
      <c r="D591" s="448">
        <f t="shared" si="43"/>
        <v>3373</v>
      </c>
      <c r="E591" s="448">
        <f t="shared" si="43"/>
        <v>5894</v>
      </c>
      <c r="F591" s="447">
        <f t="shared" si="43"/>
        <v>6788</v>
      </c>
      <c r="G591" s="1378">
        <f t="shared" si="43"/>
        <v>0</v>
      </c>
      <c r="H591" s="448">
        <f t="shared" si="43"/>
        <v>4328</v>
      </c>
      <c r="I591" s="448">
        <f t="shared" si="43"/>
        <v>7152</v>
      </c>
      <c r="J591" s="447">
        <f t="shared" si="43"/>
        <v>8046</v>
      </c>
      <c r="K591" s="422"/>
      <c r="L591" s="448">
        <f t="shared" si="42"/>
        <v>29325</v>
      </c>
    </row>
    <row r="592" spans="1:12" ht="13.5">
      <c r="A592" s="448">
        <v>29350</v>
      </c>
      <c r="B592" s="447">
        <v>29400</v>
      </c>
      <c r="C592" s="1378">
        <f t="shared" si="43"/>
        <v>0</v>
      </c>
      <c r="D592" s="448">
        <f t="shared" si="43"/>
        <v>3365</v>
      </c>
      <c r="E592" s="448">
        <f t="shared" si="43"/>
        <v>5883</v>
      </c>
      <c r="F592" s="447">
        <f t="shared" si="43"/>
        <v>6777</v>
      </c>
      <c r="G592" s="1378">
        <f t="shared" si="43"/>
        <v>0</v>
      </c>
      <c r="H592" s="448">
        <f t="shared" si="43"/>
        <v>4328</v>
      </c>
      <c r="I592" s="448">
        <f t="shared" si="43"/>
        <v>7152</v>
      </c>
      <c r="J592" s="447">
        <f t="shared" si="43"/>
        <v>8046</v>
      </c>
      <c r="K592" s="422"/>
      <c r="L592" s="448">
        <f t="shared" si="42"/>
        <v>29375</v>
      </c>
    </row>
    <row r="593" spans="1:12" ht="13.5">
      <c r="A593" s="448">
        <v>29400</v>
      </c>
      <c r="B593" s="447">
        <v>29450</v>
      </c>
      <c r="C593" s="1378">
        <f t="shared" si="43"/>
        <v>0</v>
      </c>
      <c r="D593" s="448">
        <f t="shared" si="43"/>
        <v>3357</v>
      </c>
      <c r="E593" s="448">
        <f t="shared" si="43"/>
        <v>5873</v>
      </c>
      <c r="F593" s="447">
        <f t="shared" si="43"/>
        <v>6767</v>
      </c>
      <c r="G593" s="1378">
        <f t="shared" si="43"/>
        <v>0</v>
      </c>
      <c r="H593" s="448">
        <f t="shared" si="43"/>
        <v>4328</v>
      </c>
      <c r="I593" s="448">
        <f t="shared" si="43"/>
        <v>7152</v>
      </c>
      <c r="J593" s="447">
        <f t="shared" si="43"/>
        <v>8046</v>
      </c>
      <c r="K593" s="422"/>
      <c r="L593" s="448">
        <f t="shared" si="42"/>
        <v>29425</v>
      </c>
    </row>
    <row r="594" spans="1:12" ht="13.5">
      <c r="A594" s="448">
        <v>29450</v>
      </c>
      <c r="B594" s="447">
        <v>29500</v>
      </c>
      <c r="C594" s="1378">
        <f t="shared" si="43"/>
        <v>0</v>
      </c>
      <c r="D594" s="448">
        <f t="shared" si="43"/>
        <v>3349</v>
      </c>
      <c r="E594" s="448">
        <f t="shared" si="43"/>
        <v>5862</v>
      </c>
      <c r="F594" s="447">
        <f t="shared" si="43"/>
        <v>6756</v>
      </c>
      <c r="G594" s="1378">
        <f t="shared" si="43"/>
        <v>0</v>
      </c>
      <c r="H594" s="448">
        <f t="shared" si="43"/>
        <v>4328</v>
      </c>
      <c r="I594" s="448">
        <f t="shared" si="43"/>
        <v>7152</v>
      </c>
      <c r="J594" s="447">
        <f t="shared" si="43"/>
        <v>8046</v>
      </c>
      <c r="K594" s="422"/>
      <c r="L594" s="448">
        <f t="shared" si="42"/>
        <v>29475</v>
      </c>
    </row>
    <row r="595" spans="1:12" ht="13.5">
      <c r="A595" s="448">
        <v>29500</v>
      </c>
      <c r="B595" s="447">
        <v>29550</v>
      </c>
      <c r="C595" s="1378">
        <f t="shared" si="43"/>
        <v>0</v>
      </c>
      <c r="D595" s="448">
        <f t="shared" si="43"/>
        <v>3341</v>
      </c>
      <c r="E595" s="448">
        <f t="shared" si="43"/>
        <v>5852</v>
      </c>
      <c r="F595" s="447">
        <f t="shared" si="43"/>
        <v>6746</v>
      </c>
      <c r="G595" s="1378">
        <f t="shared" si="43"/>
        <v>0</v>
      </c>
      <c r="H595" s="448">
        <f t="shared" si="43"/>
        <v>4328</v>
      </c>
      <c r="I595" s="448">
        <f t="shared" si="43"/>
        <v>7152</v>
      </c>
      <c r="J595" s="447">
        <f t="shared" si="43"/>
        <v>8046</v>
      </c>
      <c r="K595" s="422"/>
      <c r="L595" s="448">
        <f t="shared" si="42"/>
        <v>29525</v>
      </c>
    </row>
    <row r="596" spans="1:12" ht="13.5">
      <c r="A596" s="448">
        <v>29550</v>
      </c>
      <c r="B596" s="447">
        <v>29600</v>
      </c>
      <c r="C596" s="1378">
        <f t="shared" si="43"/>
        <v>0</v>
      </c>
      <c r="D596" s="448">
        <f t="shared" si="43"/>
        <v>3333</v>
      </c>
      <c r="E596" s="448">
        <f t="shared" si="43"/>
        <v>5841</v>
      </c>
      <c r="F596" s="447">
        <f t="shared" si="43"/>
        <v>6735</v>
      </c>
      <c r="G596" s="1378">
        <f t="shared" si="43"/>
        <v>0</v>
      </c>
      <c r="H596" s="448">
        <f t="shared" si="43"/>
        <v>4328</v>
      </c>
      <c r="I596" s="448">
        <f t="shared" si="43"/>
        <v>7152</v>
      </c>
      <c r="J596" s="447">
        <f t="shared" si="43"/>
        <v>8046</v>
      </c>
      <c r="K596" s="422"/>
      <c r="L596" s="448">
        <f t="shared" si="42"/>
        <v>29575</v>
      </c>
    </row>
    <row r="597" spans="1:12" ht="13.5">
      <c r="A597" s="448">
        <v>29600</v>
      </c>
      <c r="B597" s="447">
        <v>29650</v>
      </c>
      <c r="C597" s="1378">
        <f t="shared" si="43"/>
        <v>0</v>
      </c>
      <c r="D597" s="448">
        <f t="shared" si="43"/>
        <v>3325</v>
      </c>
      <c r="E597" s="448">
        <f t="shared" si="43"/>
        <v>5830</v>
      </c>
      <c r="F597" s="447">
        <f t="shared" si="43"/>
        <v>6724</v>
      </c>
      <c r="G597" s="1378">
        <f t="shared" si="43"/>
        <v>0</v>
      </c>
      <c r="H597" s="448">
        <f t="shared" si="43"/>
        <v>4328</v>
      </c>
      <c r="I597" s="448">
        <f t="shared" si="43"/>
        <v>7152</v>
      </c>
      <c r="J597" s="447">
        <f t="shared" si="43"/>
        <v>8046</v>
      </c>
      <c r="K597" s="422"/>
      <c r="L597" s="448">
        <f t="shared" si="42"/>
        <v>29625</v>
      </c>
    </row>
    <row r="598" spans="1:12" ht="13.5">
      <c r="A598" s="448">
        <v>29650</v>
      </c>
      <c r="B598" s="447">
        <v>29700</v>
      </c>
      <c r="C598" s="1378">
        <f t="shared" si="43"/>
        <v>0</v>
      </c>
      <c r="D598" s="448">
        <f t="shared" si="43"/>
        <v>3317</v>
      </c>
      <c r="E598" s="448">
        <f t="shared" si="43"/>
        <v>5820</v>
      </c>
      <c r="F598" s="447">
        <f t="shared" si="43"/>
        <v>6714</v>
      </c>
      <c r="G598" s="1378">
        <f t="shared" si="43"/>
        <v>0</v>
      </c>
      <c r="H598" s="448">
        <f t="shared" si="43"/>
        <v>4328</v>
      </c>
      <c r="I598" s="448">
        <f t="shared" si="43"/>
        <v>7152</v>
      </c>
      <c r="J598" s="447">
        <f t="shared" si="43"/>
        <v>8046</v>
      </c>
      <c r="K598" s="422"/>
      <c r="L598" s="448">
        <f t="shared" si="42"/>
        <v>29675</v>
      </c>
    </row>
    <row r="599" spans="1:12" ht="13.5">
      <c r="A599" s="448">
        <v>29700</v>
      </c>
      <c r="B599" s="447">
        <v>29750</v>
      </c>
      <c r="C599" s="1378">
        <f t="shared" si="43"/>
        <v>0</v>
      </c>
      <c r="D599" s="448">
        <f t="shared" si="43"/>
        <v>3309</v>
      </c>
      <c r="E599" s="448">
        <f t="shared" si="43"/>
        <v>5809</v>
      </c>
      <c r="F599" s="447">
        <f t="shared" si="43"/>
        <v>6703</v>
      </c>
      <c r="G599" s="1378">
        <f t="shared" si="43"/>
        <v>0</v>
      </c>
      <c r="H599" s="448">
        <f t="shared" si="43"/>
        <v>4328</v>
      </c>
      <c r="I599" s="448">
        <f t="shared" si="43"/>
        <v>7152</v>
      </c>
      <c r="J599" s="447">
        <f t="shared" si="43"/>
        <v>8046</v>
      </c>
      <c r="K599" s="422"/>
      <c r="L599" s="448">
        <f t="shared" si="42"/>
        <v>29725</v>
      </c>
    </row>
    <row r="600" spans="1:12" ht="13.5">
      <c r="A600" s="448">
        <v>29750</v>
      </c>
      <c r="B600" s="447">
        <v>29800</v>
      </c>
      <c r="C600" s="1378">
        <f t="shared" si="43"/>
        <v>0</v>
      </c>
      <c r="D600" s="448">
        <f t="shared" si="43"/>
        <v>3301</v>
      </c>
      <c r="E600" s="448">
        <f t="shared" si="43"/>
        <v>5799</v>
      </c>
      <c r="F600" s="447">
        <f t="shared" si="43"/>
        <v>6693</v>
      </c>
      <c r="G600" s="1378">
        <f t="shared" si="43"/>
        <v>0</v>
      </c>
      <c r="H600" s="448">
        <f t="shared" si="43"/>
        <v>4328</v>
      </c>
      <c r="I600" s="448">
        <f t="shared" si="43"/>
        <v>7152</v>
      </c>
      <c r="J600" s="447">
        <f t="shared" si="43"/>
        <v>8046</v>
      </c>
      <c r="K600" s="422"/>
      <c r="L600" s="448">
        <f t="shared" si="42"/>
        <v>29775</v>
      </c>
    </row>
    <row r="601" spans="1:12" ht="13.5">
      <c r="A601" s="448">
        <v>29800</v>
      </c>
      <c r="B601" s="447">
        <v>29850</v>
      </c>
      <c r="C601" s="1378">
        <f t="shared" si="43"/>
        <v>0</v>
      </c>
      <c r="D601" s="448">
        <f t="shared" si="43"/>
        <v>3293</v>
      </c>
      <c r="E601" s="448">
        <f t="shared" si="43"/>
        <v>5788</v>
      </c>
      <c r="F601" s="447">
        <f t="shared" si="43"/>
        <v>6682</v>
      </c>
      <c r="G601" s="1378">
        <f t="shared" si="43"/>
        <v>0</v>
      </c>
      <c r="H601" s="448">
        <f t="shared" si="43"/>
        <v>4328</v>
      </c>
      <c r="I601" s="448">
        <f t="shared" si="43"/>
        <v>7152</v>
      </c>
      <c r="J601" s="447">
        <f t="shared" si="43"/>
        <v>8046</v>
      </c>
      <c r="K601" s="422"/>
      <c r="L601" s="448">
        <f t="shared" si="42"/>
        <v>29825</v>
      </c>
    </row>
    <row r="602" spans="1:12" ht="13.5">
      <c r="A602" s="448">
        <v>29850</v>
      </c>
      <c r="B602" s="447">
        <v>29900</v>
      </c>
      <c r="C602" s="1378">
        <f t="shared" si="43"/>
        <v>0</v>
      </c>
      <c r="D602" s="448">
        <f t="shared" si="43"/>
        <v>3285</v>
      </c>
      <c r="E602" s="448">
        <f t="shared" si="43"/>
        <v>5778</v>
      </c>
      <c r="F602" s="447">
        <f t="shared" si="43"/>
        <v>6672</v>
      </c>
      <c r="G602" s="1378">
        <f t="shared" si="43"/>
        <v>0</v>
      </c>
      <c r="H602" s="448">
        <f t="shared" si="43"/>
        <v>4328</v>
      </c>
      <c r="I602" s="448">
        <f t="shared" si="43"/>
        <v>7152</v>
      </c>
      <c r="J602" s="447">
        <f t="shared" si="43"/>
        <v>8046</v>
      </c>
      <c r="K602" s="422"/>
      <c r="L602" s="448">
        <f t="shared" si="42"/>
        <v>29875</v>
      </c>
    </row>
    <row r="603" spans="1:12" ht="13.5">
      <c r="A603" s="448">
        <v>29900</v>
      </c>
      <c r="B603" s="447">
        <v>29950</v>
      </c>
      <c r="C603" s="1378">
        <f t="shared" si="43"/>
        <v>0</v>
      </c>
      <c r="D603" s="448">
        <f t="shared" si="43"/>
        <v>3277</v>
      </c>
      <c r="E603" s="448">
        <f t="shared" si="43"/>
        <v>5767</v>
      </c>
      <c r="F603" s="447">
        <f t="shared" si="43"/>
        <v>6661</v>
      </c>
      <c r="G603" s="1378">
        <f t="shared" si="43"/>
        <v>0</v>
      </c>
      <c r="H603" s="448">
        <f t="shared" si="43"/>
        <v>4328</v>
      </c>
      <c r="I603" s="448">
        <f t="shared" si="43"/>
        <v>7152</v>
      </c>
      <c r="J603" s="447">
        <f t="shared" si="43"/>
        <v>8046</v>
      </c>
      <c r="K603" s="422"/>
      <c r="L603" s="448">
        <f t="shared" si="42"/>
        <v>29925</v>
      </c>
    </row>
    <row r="604" spans="1:12" ht="13.5">
      <c r="A604" s="448">
        <v>29950</v>
      </c>
      <c r="B604" s="447">
        <v>30000</v>
      </c>
      <c r="C604" s="1378">
        <f t="shared" si="43"/>
        <v>0</v>
      </c>
      <c r="D604" s="448">
        <f t="shared" si="43"/>
        <v>3269</v>
      </c>
      <c r="E604" s="448">
        <f t="shared" si="43"/>
        <v>5757</v>
      </c>
      <c r="F604" s="447">
        <f t="shared" si="43"/>
        <v>6651</v>
      </c>
      <c r="G604" s="1378">
        <f t="shared" si="43"/>
        <v>0</v>
      </c>
      <c r="H604" s="448">
        <f t="shared" si="43"/>
        <v>4328</v>
      </c>
      <c r="I604" s="448">
        <f t="shared" si="43"/>
        <v>7152</v>
      </c>
      <c r="J604" s="447">
        <f t="shared" si="43"/>
        <v>8046</v>
      </c>
      <c r="K604" s="422"/>
      <c r="L604" s="448">
        <f t="shared" si="42"/>
        <v>29975</v>
      </c>
    </row>
    <row r="605" spans="1:12" ht="13.5">
      <c r="A605" s="448">
        <v>30000</v>
      </c>
      <c r="B605" s="447">
        <v>30050</v>
      </c>
      <c r="C605" s="1378">
        <f t="shared" si="43"/>
        <v>0</v>
      </c>
      <c r="D605" s="448">
        <f t="shared" si="43"/>
        <v>3261</v>
      </c>
      <c r="E605" s="448">
        <f t="shared" si="43"/>
        <v>5746</v>
      </c>
      <c r="F605" s="447">
        <f t="shared" si="43"/>
        <v>6640</v>
      </c>
      <c r="G605" s="1378">
        <f t="shared" si="43"/>
        <v>0</v>
      </c>
      <c r="H605" s="448">
        <f t="shared" si="43"/>
        <v>4328</v>
      </c>
      <c r="I605" s="448">
        <f t="shared" si="43"/>
        <v>7152</v>
      </c>
      <c r="J605" s="447">
        <f t="shared" si="43"/>
        <v>8046</v>
      </c>
      <c r="K605" s="422"/>
      <c r="L605" s="448">
        <f t="shared" si="42"/>
        <v>30025</v>
      </c>
    </row>
    <row r="606" spans="1:12" ht="13.5">
      <c r="A606" s="448">
        <v>30050</v>
      </c>
      <c r="B606" s="447">
        <v>30100</v>
      </c>
      <c r="C606" s="1378">
        <f t="shared" si="43"/>
        <v>0</v>
      </c>
      <c r="D606" s="448">
        <f t="shared" si="43"/>
        <v>3253</v>
      </c>
      <c r="E606" s="448">
        <f t="shared" si="43"/>
        <v>5736</v>
      </c>
      <c r="F606" s="447">
        <f t="shared" si="43"/>
        <v>6630</v>
      </c>
      <c r="G606" s="1378">
        <f t="shared" si="43"/>
        <v>0</v>
      </c>
      <c r="H606" s="448">
        <f t="shared" si="43"/>
        <v>4328</v>
      </c>
      <c r="I606" s="448">
        <f t="shared" si="43"/>
        <v>7152</v>
      </c>
      <c r="J606" s="447">
        <f t="shared" si="43"/>
        <v>8046</v>
      </c>
      <c r="K606" s="422"/>
      <c r="L606" s="448">
        <f t="shared" si="42"/>
        <v>30075</v>
      </c>
    </row>
    <row r="607" spans="1:12" ht="13.5">
      <c r="A607" s="448">
        <v>30100</v>
      </c>
      <c r="B607" s="447">
        <v>30150</v>
      </c>
      <c r="C607" s="1378">
        <f t="shared" si="43"/>
        <v>0</v>
      </c>
      <c r="D607" s="448">
        <f t="shared" si="43"/>
        <v>3245</v>
      </c>
      <c r="E607" s="448">
        <f t="shared" si="43"/>
        <v>5725</v>
      </c>
      <c r="F607" s="447">
        <f t="shared" si="43"/>
        <v>6619</v>
      </c>
      <c r="G607" s="1378">
        <f t="shared" si="43"/>
        <v>0</v>
      </c>
      <c r="H607" s="448">
        <f t="shared" si="43"/>
        <v>4328</v>
      </c>
      <c r="I607" s="448">
        <f t="shared" si="43"/>
        <v>7152</v>
      </c>
      <c r="J607" s="447">
        <f t="shared" si="43"/>
        <v>8046</v>
      </c>
      <c r="K607" s="422"/>
      <c r="L607" s="448">
        <f t="shared" si="42"/>
        <v>30125</v>
      </c>
    </row>
    <row r="608" spans="1:12" ht="13.5">
      <c r="A608" s="448">
        <v>30150</v>
      </c>
      <c r="B608" s="447">
        <v>30200</v>
      </c>
      <c r="C608" s="1378">
        <f t="shared" si="43"/>
        <v>0</v>
      </c>
      <c r="D608" s="448">
        <f t="shared" si="43"/>
        <v>3237</v>
      </c>
      <c r="E608" s="448">
        <f t="shared" si="43"/>
        <v>5715</v>
      </c>
      <c r="F608" s="447">
        <f t="shared" si="43"/>
        <v>6609</v>
      </c>
      <c r="G608" s="1378">
        <f t="shared" si="43"/>
        <v>0</v>
      </c>
      <c r="H608" s="448">
        <f t="shared" si="43"/>
        <v>4328</v>
      </c>
      <c r="I608" s="448">
        <f t="shared" si="43"/>
        <v>7152</v>
      </c>
      <c r="J608" s="447">
        <f t="shared" si="43"/>
        <v>8046</v>
      </c>
      <c r="K608" s="422"/>
      <c r="L608" s="448">
        <f t="shared" si="42"/>
        <v>30175</v>
      </c>
    </row>
    <row r="609" spans="1:12" ht="13.5">
      <c r="A609" s="448">
        <v>30200</v>
      </c>
      <c r="B609" s="447">
        <v>30250</v>
      </c>
      <c r="C609" s="1378">
        <f t="shared" si="43"/>
        <v>0</v>
      </c>
      <c r="D609" s="448">
        <f t="shared" si="43"/>
        <v>3229</v>
      </c>
      <c r="E609" s="448">
        <f t="shared" si="43"/>
        <v>5704</v>
      </c>
      <c r="F609" s="447">
        <f t="shared" si="43"/>
        <v>6598</v>
      </c>
      <c r="G609" s="1378">
        <f t="shared" si="43"/>
        <v>0</v>
      </c>
      <c r="H609" s="448">
        <f t="shared" si="43"/>
        <v>4328</v>
      </c>
      <c r="I609" s="448">
        <f t="shared" si="43"/>
        <v>7152</v>
      </c>
      <c r="J609" s="447">
        <f t="shared" si="43"/>
        <v>8046</v>
      </c>
      <c r="K609" s="422"/>
      <c r="L609" s="448">
        <f t="shared" si="42"/>
        <v>30225</v>
      </c>
    </row>
    <row r="610" spans="1:12" ht="13.5">
      <c r="A610" s="448">
        <v>30250</v>
      </c>
      <c r="B610" s="447">
        <v>30300</v>
      </c>
      <c r="C610" s="1378">
        <f t="shared" si="43"/>
        <v>0</v>
      </c>
      <c r="D610" s="448">
        <f t="shared" si="43"/>
        <v>3221</v>
      </c>
      <c r="E610" s="448">
        <f t="shared" si="43"/>
        <v>5694</v>
      </c>
      <c r="F610" s="447">
        <f t="shared" si="43"/>
        <v>6588</v>
      </c>
      <c r="G610" s="1378">
        <f t="shared" si="43"/>
        <v>0</v>
      </c>
      <c r="H610" s="448">
        <f t="shared" si="43"/>
        <v>4328</v>
      </c>
      <c r="I610" s="448">
        <f t="shared" si="43"/>
        <v>7152</v>
      </c>
      <c r="J610" s="447">
        <f t="shared" si="43"/>
        <v>8046</v>
      </c>
      <c r="K610" s="422"/>
      <c r="L610" s="448">
        <f t="shared" si="42"/>
        <v>30275</v>
      </c>
    </row>
    <row r="611" spans="1:12" ht="13.5">
      <c r="A611" s="448">
        <v>30300</v>
      </c>
      <c r="B611" s="447">
        <v>30350</v>
      </c>
      <c r="C611" s="1378">
        <f t="shared" si="43"/>
        <v>0</v>
      </c>
      <c r="D611" s="448">
        <f t="shared" si="43"/>
        <v>3213</v>
      </c>
      <c r="E611" s="448">
        <f t="shared" si="43"/>
        <v>5683</v>
      </c>
      <c r="F611" s="447">
        <f t="shared" si="43"/>
        <v>6577</v>
      </c>
      <c r="G611" s="1378">
        <f t="shared" si="43"/>
        <v>0</v>
      </c>
      <c r="H611" s="448">
        <f t="shared" si="43"/>
        <v>4328</v>
      </c>
      <c r="I611" s="448">
        <f t="shared" si="43"/>
        <v>7152</v>
      </c>
      <c r="J611" s="447">
        <f t="shared" si="43"/>
        <v>8046</v>
      </c>
      <c r="K611" s="422"/>
      <c r="L611" s="448">
        <f t="shared" si="42"/>
        <v>30325</v>
      </c>
    </row>
    <row r="612" spans="1:12" ht="13.5">
      <c r="A612" s="448">
        <v>30350</v>
      </c>
      <c r="B612" s="447">
        <v>30400</v>
      </c>
      <c r="C612" s="1378">
        <f t="shared" si="43"/>
        <v>0</v>
      </c>
      <c r="D612" s="448">
        <f t="shared" si="43"/>
        <v>3205</v>
      </c>
      <c r="E612" s="448">
        <f t="shared" si="43"/>
        <v>5673</v>
      </c>
      <c r="F612" s="447">
        <f t="shared" si="43"/>
        <v>6567</v>
      </c>
      <c r="G612" s="1378">
        <f t="shared" si="43"/>
        <v>0</v>
      </c>
      <c r="H612" s="448">
        <f t="shared" si="43"/>
        <v>4328</v>
      </c>
      <c r="I612" s="448">
        <f t="shared" si="43"/>
        <v>7152</v>
      </c>
      <c r="J612" s="447">
        <f t="shared" si="43"/>
        <v>8046</v>
      </c>
      <c r="K612" s="422"/>
      <c r="L612" s="448">
        <f t="shared" si="42"/>
        <v>30375</v>
      </c>
    </row>
    <row r="613" spans="1:12" ht="13.5">
      <c r="A613" s="448">
        <v>30400</v>
      </c>
      <c r="B613" s="447">
        <v>30450</v>
      </c>
      <c r="C613" s="1378">
        <f t="shared" si="43"/>
        <v>0</v>
      </c>
      <c r="D613" s="448">
        <f t="shared" si="43"/>
        <v>3197</v>
      </c>
      <c r="E613" s="448">
        <f t="shared" si="43"/>
        <v>5662</v>
      </c>
      <c r="F613" s="447">
        <f t="shared" si="43"/>
        <v>6556</v>
      </c>
      <c r="G613" s="1378">
        <f t="shared" si="43"/>
        <v>0</v>
      </c>
      <c r="H613" s="448">
        <f t="shared" si="43"/>
        <v>4328</v>
      </c>
      <c r="I613" s="448">
        <f t="shared" si="43"/>
        <v>7152</v>
      </c>
      <c r="J613" s="447">
        <f t="shared" si="43"/>
        <v>8046</v>
      </c>
      <c r="K613" s="422"/>
      <c r="L613" s="448">
        <f t="shared" si="42"/>
        <v>30425</v>
      </c>
    </row>
    <row r="614" spans="1:12" ht="13.5">
      <c r="A614" s="448">
        <v>30450</v>
      </c>
      <c r="B614" s="447">
        <v>30500</v>
      </c>
      <c r="C614" s="1378">
        <f t="shared" si="43"/>
        <v>0</v>
      </c>
      <c r="D614" s="448">
        <f t="shared" si="43"/>
        <v>3189</v>
      </c>
      <c r="E614" s="448">
        <f t="shared" si="43"/>
        <v>5651</v>
      </c>
      <c r="F614" s="447">
        <f t="shared" si="43"/>
        <v>6545</v>
      </c>
      <c r="G614" s="1378">
        <f t="shared" si="43"/>
        <v>0</v>
      </c>
      <c r="H614" s="448">
        <f t="shared" si="43"/>
        <v>4327</v>
      </c>
      <c r="I614" s="448">
        <f t="shared" si="43"/>
        <v>7151</v>
      </c>
      <c r="J614" s="447">
        <f t="shared" si="43"/>
        <v>8045</v>
      </c>
      <c r="K614" s="422"/>
      <c r="L614" s="448">
        <f t="shared" si="42"/>
        <v>30475</v>
      </c>
    </row>
    <row r="615" spans="1:12" ht="13.5">
      <c r="A615" s="448">
        <v>30500</v>
      </c>
      <c r="B615" s="447">
        <v>30550</v>
      </c>
      <c r="C615" s="1378">
        <f t="shared" si="43"/>
        <v>0</v>
      </c>
      <c r="D615" s="448">
        <f t="shared" si="43"/>
        <v>3181</v>
      </c>
      <c r="E615" s="448">
        <f t="shared" si="43"/>
        <v>5641</v>
      </c>
      <c r="F615" s="447">
        <f t="shared" si="43"/>
        <v>6535</v>
      </c>
      <c r="G615" s="1378">
        <f t="shared" si="43"/>
        <v>0</v>
      </c>
      <c r="H615" s="448">
        <f t="shared" si="43"/>
        <v>4319</v>
      </c>
      <c r="I615" s="448">
        <f t="shared" si="43"/>
        <v>7140</v>
      </c>
      <c r="J615" s="447">
        <f t="shared" si="43"/>
        <v>8034</v>
      </c>
      <c r="K615" s="422"/>
      <c r="L615" s="448">
        <f t="shared" si="42"/>
        <v>30525</v>
      </c>
    </row>
    <row r="616" spans="1:12" ht="13.5">
      <c r="A616" s="448">
        <v>30550</v>
      </c>
      <c r="B616" s="447">
        <v>30600</v>
      </c>
      <c r="C616" s="1378">
        <f t="shared" si="43"/>
        <v>0</v>
      </c>
      <c r="D616" s="448">
        <f t="shared" si="43"/>
        <v>3173</v>
      </c>
      <c r="E616" s="448">
        <f t="shared" si="43"/>
        <v>5630</v>
      </c>
      <c r="F616" s="447">
        <f t="shared" si="43"/>
        <v>6524</v>
      </c>
      <c r="G616" s="1378">
        <f t="shared" si="43"/>
        <v>0</v>
      </c>
      <c r="H616" s="448">
        <f t="shared" si="43"/>
        <v>4311</v>
      </c>
      <c r="I616" s="448">
        <f t="shared" si="43"/>
        <v>7130</v>
      </c>
      <c r="J616" s="447">
        <f t="shared" si="43"/>
        <v>8024</v>
      </c>
      <c r="K616" s="422"/>
      <c r="L616" s="448">
        <f t="shared" si="42"/>
        <v>30575</v>
      </c>
    </row>
    <row r="617" spans="1:12" ht="13.5">
      <c r="A617" s="448">
        <v>30600</v>
      </c>
      <c r="B617" s="447">
        <v>30650</v>
      </c>
      <c r="C617" s="1378">
        <f t="shared" si="43"/>
        <v>0</v>
      </c>
      <c r="D617" s="448">
        <f t="shared" si="43"/>
        <v>3165</v>
      </c>
      <c r="E617" s="448">
        <f t="shared" si="43"/>
        <v>5620</v>
      </c>
      <c r="F617" s="447">
        <f t="shared" ref="F617:J667" si="44">IF($L617&gt;Q$5,MAX(0,Q$3+ROUND((Q$9*($L617-Q$5)),0)),IF($L617&gt;Q$4,Q$3,ROUND($L617*Q$7,0)))</f>
        <v>6514</v>
      </c>
      <c r="G617" s="1378">
        <f t="shared" si="44"/>
        <v>0</v>
      </c>
      <c r="H617" s="448">
        <f t="shared" si="44"/>
        <v>4303</v>
      </c>
      <c r="I617" s="448">
        <f t="shared" si="44"/>
        <v>7119</v>
      </c>
      <c r="J617" s="447">
        <f t="shared" si="44"/>
        <v>8013</v>
      </c>
      <c r="K617" s="422"/>
      <c r="L617" s="448">
        <f t="shared" si="42"/>
        <v>30625</v>
      </c>
    </row>
    <row r="618" spans="1:12" ht="13.5">
      <c r="A618" s="448">
        <v>30650</v>
      </c>
      <c r="B618" s="447">
        <v>30700</v>
      </c>
      <c r="C618" s="1378">
        <f t="shared" ref="C618:C649" si="45">IF($L618&gt;N$5,MAX(0,N$3+ROUND((N$9*($L618-N$5)),0)),IF($L618&gt;N$4,N$3,ROUND($L618*N$7,0)))</f>
        <v>0</v>
      </c>
      <c r="D618" s="448">
        <f t="shared" ref="D618:D649" si="46">IF($L618&gt;O$5,MAX(0,O$3+ROUND((O$9*($L618-O$5)),0)),IF($L618&gt;O$4,O$3,ROUND($L618*O$7,0)))</f>
        <v>3157</v>
      </c>
      <c r="E618" s="448">
        <f t="shared" ref="E618:E649" si="47">IF($L618&gt;P$5,MAX(0,P$3+ROUND((P$9*($L618-P$5)),0)),IF($L618&gt;P$4,P$3,ROUND($L618*P$7,0)))</f>
        <v>5609</v>
      </c>
      <c r="F618" s="447">
        <f t="shared" si="44"/>
        <v>6503</v>
      </c>
      <c r="G618" s="1378">
        <f t="shared" si="44"/>
        <v>0</v>
      </c>
      <c r="H618" s="448">
        <f t="shared" si="44"/>
        <v>4295</v>
      </c>
      <c r="I618" s="448">
        <f t="shared" si="44"/>
        <v>7109</v>
      </c>
      <c r="J618" s="447">
        <f t="shared" si="44"/>
        <v>8003</v>
      </c>
      <c r="K618" s="422"/>
      <c r="L618" s="448">
        <f t="shared" si="42"/>
        <v>30675</v>
      </c>
    </row>
    <row r="619" spans="1:12" ht="13.5">
      <c r="A619" s="448">
        <v>30700</v>
      </c>
      <c r="B619" s="447">
        <v>30750</v>
      </c>
      <c r="C619" s="1378">
        <f t="shared" si="45"/>
        <v>0</v>
      </c>
      <c r="D619" s="448">
        <f t="shared" si="46"/>
        <v>3149</v>
      </c>
      <c r="E619" s="448">
        <f t="shared" si="47"/>
        <v>5599</v>
      </c>
      <c r="F619" s="447">
        <f t="shared" si="44"/>
        <v>6493</v>
      </c>
      <c r="G619" s="1378">
        <f t="shared" si="44"/>
        <v>0</v>
      </c>
      <c r="H619" s="448">
        <f t="shared" si="44"/>
        <v>4287</v>
      </c>
      <c r="I619" s="448">
        <f t="shared" si="44"/>
        <v>7098</v>
      </c>
      <c r="J619" s="447">
        <f t="shared" si="44"/>
        <v>7992</v>
      </c>
      <c r="K619" s="422"/>
      <c r="L619" s="448">
        <f t="shared" si="42"/>
        <v>30725</v>
      </c>
    </row>
    <row r="620" spans="1:12" ht="13.5">
      <c r="A620" s="448">
        <v>30750</v>
      </c>
      <c r="B620" s="447">
        <v>30800</v>
      </c>
      <c r="C620" s="1378">
        <f t="shared" si="45"/>
        <v>0</v>
      </c>
      <c r="D620" s="448">
        <f t="shared" si="46"/>
        <v>3141</v>
      </c>
      <c r="E620" s="448">
        <f t="shared" si="47"/>
        <v>5588</v>
      </c>
      <c r="F620" s="447">
        <f t="shared" si="44"/>
        <v>6482</v>
      </c>
      <c r="G620" s="1378">
        <f t="shared" si="44"/>
        <v>0</v>
      </c>
      <c r="H620" s="448">
        <f t="shared" si="44"/>
        <v>4279</v>
      </c>
      <c r="I620" s="448">
        <f t="shared" si="44"/>
        <v>7088</v>
      </c>
      <c r="J620" s="447">
        <f t="shared" si="44"/>
        <v>7982</v>
      </c>
      <c r="K620" s="422"/>
      <c r="L620" s="448">
        <f t="shared" si="42"/>
        <v>30775</v>
      </c>
    </row>
    <row r="621" spans="1:12" ht="13.5">
      <c r="A621" s="448">
        <v>30800</v>
      </c>
      <c r="B621" s="447">
        <v>30850</v>
      </c>
      <c r="C621" s="1378">
        <f t="shared" si="45"/>
        <v>0</v>
      </c>
      <c r="D621" s="448">
        <f t="shared" si="46"/>
        <v>3134</v>
      </c>
      <c r="E621" s="448">
        <f t="shared" si="47"/>
        <v>5578</v>
      </c>
      <c r="F621" s="447">
        <f t="shared" si="44"/>
        <v>6472</v>
      </c>
      <c r="G621" s="1378">
        <f t="shared" si="44"/>
        <v>0</v>
      </c>
      <c r="H621" s="448">
        <f t="shared" si="44"/>
        <v>4271</v>
      </c>
      <c r="I621" s="448">
        <f t="shared" si="44"/>
        <v>7077</v>
      </c>
      <c r="J621" s="447">
        <f t="shared" si="44"/>
        <v>7971</v>
      </c>
      <c r="K621" s="422"/>
      <c r="L621" s="448">
        <f t="shared" si="42"/>
        <v>30825</v>
      </c>
    </row>
    <row r="622" spans="1:12" ht="13.5">
      <c r="A622" s="448">
        <v>30850</v>
      </c>
      <c r="B622" s="447">
        <v>30900</v>
      </c>
      <c r="C622" s="1378">
        <f t="shared" si="45"/>
        <v>0</v>
      </c>
      <c r="D622" s="448">
        <f t="shared" si="46"/>
        <v>3126</v>
      </c>
      <c r="E622" s="448">
        <f t="shared" si="47"/>
        <v>5567</v>
      </c>
      <c r="F622" s="447">
        <f t="shared" si="44"/>
        <v>6461</v>
      </c>
      <c r="G622" s="1378">
        <f t="shared" si="44"/>
        <v>0</v>
      </c>
      <c r="H622" s="448">
        <f t="shared" si="44"/>
        <v>4263</v>
      </c>
      <c r="I622" s="448">
        <f t="shared" si="44"/>
        <v>7067</v>
      </c>
      <c r="J622" s="447">
        <f t="shared" si="44"/>
        <v>7961</v>
      </c>
      <c r="K622" s="422"/>
      <c r="L622" s="448">
        <f t="shared" si="42"/>
        <v>30875</v>
      </c>
    </row>
    <row r="623" spans="1:12" ht="13.5">
      <c r="A623" s="448">
        <v>30900</v>
      </c>
      <c r="B623" s="447">
        <v>30950</v>
      </c>
      <c r="C623" s="1378">
        <f t="shared" si="45"/>
        <v>0</v>
      </c>
      <c r="D623" s="448">
        <f t="shared" si="46"/>
        <v>3118</v>
      </c>
      <c r="E623" s="448">
        <f t="shared" si="47"/>
        <v>5557</v>
      </c>
      <c r="F623" s="447">
        <f t="shared" si="44"/>
        <v>6451</v>
      </c>
      <c r="G623" s="1378">
        <f t="shared" si="44"/>
        <v>0</v>
      </c>
      <c r="H623" s="448">
        <f t="shared" si="44"/>
        <v>4255</v>
      </c>
      <c r="I623" s="448">
        <f t="shared" si="44"/>
        <v>7056</v>
      </c>
      <c r="J623" s="447">
        <f t="shared" si="44"/>
        <v>7950</v>
      </c>
      <c r="K623" s="422"/>
      <c r="L623" s="448">
        <f t="shared" si="42"/>
        <v>30925</v>
      </c>
    </row>
    <row r="624" spans="1:12" ht="13.5">
      <c r="A624" s="448">
        <v>30950</v>
      </c>
      <c r="B624" s="447">
        <v>31000</v>
      </c>
      <c r="C624" s="1378">
        <f t="shared" si="45"/>
        <v>0</v>
      </c>
      <c r="D624" s="448">
        <f t="shared" si="46"/>
        <v>3110</v>
      </c>
      <c r="E624" s="448">
        <f t="shared" si="47"/>
        <v>5546</v>
      </c>
      <c r="F624" s="447">
        <f t="shared" si="44"/>
        <v>6440</v>
      </c>
      <c r="G624" s="1378">
        <f t="shared" si="44"/>
        <v>0</v>
      </c>
      <c r="H624" s="448">
        <f t="shared" si="44"/>
        <v>4247</v>
      </c>
      <c r="I624" s="448">
        <f t="shared" si="44"/>
        <v>7046</v>
      </c>
      <c r="J624" s="447">
        <f t="shared" si="44"/>
        <v>7940</v>
      </c>
      <c r="K624" s="422"/>
      <c r="L624" s="448">
        <f t="shared" si="42"/>
        <v>30975</v>
      </c>
    </row>
    <row r="625" spans="1:12" ht="13.5">
      <c r="A625" s="448">
        <v>31000</v>
      </c>
      <c r="B625" s="447">
        <v>31050</v>
      </c>
      <c r="C625" s="1378">
        <f t="shared" si="45"/>
        <v>0</v>
      </c>
      <c r="D625" s="448">
        <f t="shared" si="46"/>
        <v>3102</v>
      </c>
      <c r="E625" s="448">
        <f t="shared" si="47"/>
        <v>5536</v>
      </c>
      <c r="F625" s="447">
        <f t="shared" si="44"/>
        <v>6430</v>
      </c>
      <c r="G625" s="1378">
        <f t="shared" si="44"/>
        <v>0</v>
      </c>
      <c r="H625" s="448">
        <f t="shared" si="44"/>
        <v>4239</v>
      </c>
      <c r="I625" s="448">
        <f t="shared" si="44"/>
        <v>7035</v>
      </c>
      <c r="J625" s="447">
        <f t="shared" si="44"/>
        <v>7929</v>
      </c>
      <c r="K625" s="422"/>
      <c r="L625" s="448">
        <f t="shared" si="42"/>
        <v>31025</v>
      </c>
    </row>
    <row r="626" spans="1:12" ht="13.5">
      <c r="A626" s="448">
        <v>31050</v>
      </c>
      <c r="B626" s="447">
        <v>31100</v>
      </c>
      <c r="C626" s="1378">
        <f t="shared" si="45"/>
        <v>0</v>
      </c>
      <c r="D626" s="448">
        <f t="shared" si="46"/>
        <v>3094</v>
      </c>
      <c r="E626" s="448">
        <f t="shared" si="47"/>
        <v>5525</v>
      </c>
      <c r="F626" s="447">
        <f t="shared" si="44"/>
        <v>6419</v>
      </c>
      <c r="G626" s="1378">
        <f t="shared" si="44"/>
        <v>0</v>
      </c>
      <c r="H626" s="448">
        <f t="shared" si="44"/>
        <v>4231</v>
      </c>
      <c r="I626" s="448">
        <f t="shared" si="44"/>
        <v>7025</v>
      </c>
      <c r="J626" s="447">
        <f t="shared" si="44"/>
        <v>7919</v>
      </c>
      <c r="K626" s="422"/>
      <c r="L626" s="448">
        <f t="shared" si="42"/>
        <v>31075</v>
      </c>
    </row>
    <row r="627" spans="1:12" ht="13.5">
      <c r="A627" s="448">
        <v>31100</v>
      </c>
      <c r="B627" s="447">
        <v>31150</v>
      </c>
      <c r="C627" s="1378">
        <f t="shared" si="45"/>
        <v>0</v>
      </c>
      <c r="D627" s="448">
        <f t="shared" si="46"/>
        <v>3086</v>
      </c>
      <c r="E627" s="448">
        <f t="shared" si="47"/>
        <v>5515</v>
      </c>
      <c r="F627" s="447">
        <f t="shared" si="44"/>
        <v>6409</v>
      </c>
      <c r="G627" s="1378">
        <f t="shared" si="44"/>
        <v>0</v>
      </c>
      <c r="H627" s="448">
        <f t="shared" si="44"/>
        <v>4223</v>
      </c>
      <c r="I627" s="448">
        <f t="shared" si="44"/>
        <v>7014</v>
      </c>
      <c r="J627" s="447">
        <f t="shared" si="44"/>
        <v>7908</v>
      </c>
      <c r="K627" s="422"/>
      <c r="L627" s="448">
        <f t="shared" si="42"/>
        <v>31125</v>
      </c>
    </row>
    <row r="628" spans="1:12" ht="13.5">
      <c r="A628" s="448">
        <v>31150</v>
      </c>
      <c r="B628" s="447">
        <v>31200</v>
      </c>
      <c r="C628" s="1378">
        <f t="shared" si="45"/>
        <v>0</v>
      </c>
      <c r="D628" s="448">
        <f t="shared" si="46"/>
        <v>3078</v>
      </c>
      <c r="E628" s="448">
        <f t="shared" si="47"/>
        <v>5504</v>
      </c>
      <c r="F628" s="447">
        <f t="shared" si="44"/>
        <v>6398</v>
      </c>
      <c r="G628" s="1378">
        <f t="shared" si="44"/>
        <v>0</v>
      </c>
      <c r="H628" s="448">
        <f t="shared" si="44"/>
        <v>4215</v>
      </c>
      <c r="I628" s="448">
        <f t="shared" si="44"/>
        <v>7004</v>
      </c>
      <c r="J628" s="447">
        <f t="shared" si="44"/>
        <v>7898</v>
      </c>
      <c r="K628" s="422"/>
      <c r="L628" s="448">
        <f t="shared" si="42"/>
        <v>31175</v>
      </c>
    </row>
    <row r="629" spans="1:12" ht="13.5">
      <c r="A629" s="448">
        <v>31200</v>
      </c>
      <c r="B629" s="447">
        <v>31250</v>
      </c>
      <c r="C629" s="1378">
        <f t="shared" si="45"/>
        <v>0</v>
      </c>
      <c r="D629" s="448">
        <f t="shared" si="46"/>
        <v>3070</v>
      </c>
      <c r="E629" s="448">
        <f t="shared" si="47"/>
        <v>5494</v>
      </c>
      <c r="F629" s="447">
        <f t="shared" si="44"/>
        <v>6388</v>
      </c>
      <c r="G629" s="1378">
        <f t="shared" si="44"/>
        <v>0</v>
      </c>
      <c r="H629" s="448">
        <f t="shared" si="44"/>
        <v>4207</v>
      </c>
      <c r="I629" s="448">
        <f t="shared" si="44"/>
        <v>6993</v>
      </c>
      <c r="J629" s="447">
        <f t="shared" si="44"/>
        <v>7887</v>
      </c>
      <c r="K629" s="422"/>
      <c r="L629" s="448">
        <f t="shared" si="42"/>
        <v>31225</v>
      </c>
    </row>
    <row r="630" spans="1:12" ht="13.5">
      <c r="A630" s="448">
        <v>31250</v>
      </c>
      <c r="B630" s="447">
        <v>31300</v>
      </c>
      <c r="C630" s="1378">
        <f t="shared" si="45"/>
        <v>0</v>
      </c>
      <c r="D630" s="448">
        <f t="shared" si="46"/>
        <v>3062</v>
      </c>
      <c r="E630" s="448">
        <f t="shared" si="47"/>
        <v>5483</v>
      </c>
      <c r="F630" s="447">
        <f t="shared" si="44"/>
        <v>6377</v>
      </c>
      <c r="G630" s="1378">
        <f t="shared" si="44"/>
        <v>0</v>
      </c>
      <c r="H630" s="448">
        <f t="shared" si="44"/>
        <v>4199</v>
      </c>
      <c r="I630" s="448">
        <f t="shared" si="44"/>
        <v>6982</v>
      </c>
      <c r="J630" s="447">
        <f t="shared" si="44"/>
        <v>7876</v>
      </c>
      <c r="K630" s="422"/>
      <c r="L630" s="448">
        <f t="shared" si="42"/>
        <v>31275</v>
      </c>
    </row>
    <row r="631" spans="1:12" ht="13.5">
      <c r="A631" s="448">
        <v>31300</v>
      </c>
      <c r="B631" s="447">
        <v>31350</v>
      </c>
      <c r="C631" s="1378">
        <f t="shared" si="45"/>
        <v>0</v>
      </c>
      <c r="D631" s="448">
        <f t="shared" si="46"/>
        <v>3054</v>
      </c>
      <c r="E631" s="448">
        <f t="shared" si="47"/>
        <v>5472</v>
      </c>
      <c r="F631" s="447">
        <f t="shared" si="44"/>
        <v>6366</v>
      </c>
      <c r="G631" s="1378">
        <f t="shared" si="44"/>
        <v>0</v>
      </c>
      <c r="H631" s="448">
        <f t="shared" si="44"/>
        <v>4191</v>
      </c>
      <c r="I631" s="448">
        <f t="shared" si="44"/>
        <v>6972</v>
      </c>
      <c r="J631" s="447">
        <f t="shared" si="44"/>
        <v>7866</v>
      </c>
      <c r="K631" s="422"/>
      <c r="L631" s="448">
        <f t="shared" si="42"/>
        <v>31325</v>
      </c>
    </row>
    <row r="632" spans="1:12" ht="13.5">
      <c r="A632" s="448">
        <v>31350</v>
      </c>
      <c r="B632" s="447">
        <v>31400</v>
      </c>
      <c r="C632" s="1378">
        <f t="shared" si="45"/>
        <v>0</v>
      </c>
      <c r="D632" s="448">
        <f t="shared" si="46"/>
        <v>3046</v>
      </c>
      <c r="E632" s="448">
        <f t="shared" si="47"/>
        <v>5462</v>
      </c>
      <c r="F632" s="447">
        <f t="shared" si="44"/>
        <v>6356</v>
      </c>
      <c r="G632" s="1378">
        <f t="shared" si="44"/>
        <v>0</v>
      </c>
      <c r="H632" s="448">
        <f t="shared" si="44"/>
        <v>4183</v>
      </c>
      <c r="I632" s="448">
        <f t="shared" si="44"/>
        <v>6961</v>
      </c>
      <c r="J632" s="447">
        <f t="shared" si="44"/>
        <v>7855</v>
      </c>
      <c r="K632" s="422"/>
      <c r="L632" s="448">
        <f t="shared" si="42"/>
        <v>31375</v>
      </c>
    </row>
    <row r="633" spans="1:12" ht="13.5">
      <c r="A633" s="448">
        <v>31400</v>
      </c>
      <c r="B633" s="447">
        <v>31450</v>
      </c>
      <c r="C633" s="1378">
        <f t="shared" si="45"/>
        <v>0</v>
      </c>
      <c r="D633" s="448">
        <f t="shared" si="46"/>
        <v>3038</v>
      </c>
      <c r="E633" s="448">
        <f t="shared" si="47"/>
        <v>5451</v>
      </c>
      <c r="F633" s="447">
        <f t="shared" si="44"/>
        <v>6345</v>
      </c>
      <c r="G633" s="1378">
        <f t="shared" si="44"/>
        <v>0</v>
      </c>
      <c r="H633" s="448">
        <f t="shared" si="44"/>
        <v>4175</v>
      </c>
      <c r="I633" s="448">
        <f t="shared" si="44"/>
        <v>6951</v>
      </c>
      <c r="J633" s="447">
        <f t="shared" si="44"/>
        <v>7845</v>
      </c>
      <c r="K633" s="422"/>
      <c r="L633" s="448">
        <f t="shared" si="42"/>
        <v>31425</v>
      </c>
    </row>
    <row r="634" spans="1:12" ht="13.5">
      <c r="A634" s="448">
        <v>31450</v>
      </c>
      <c r="B634" s="447">
        <v>31500</v>
      </c>
      <c r="C634" s="1378">
        <f t="shared" si="45"/>
        <v>0</v>
      </c>
      <c r="D634" s="448">
        <f t="shared" si="46"/>
        <v>3030</v>
      </c>
      <c r="E634" s="448">
        <f t="shared" si="47"/>
        <v>5441</v>
      </c>
      <c r="F634" s="447">
        <f t="shared" si="44"/>
        <v>6335</v>
      </c>
      <c r="G634" s="1378">
        <f t="shared" si="44"/>
        <v>0</v>
      </c>
      <c r="H634" s="448">
        <f t="shared" si="44"/>
        <v>4167</v>
      </c>
      <c r="I634" s="448">
        <f t="shared" si="44"/>
        <v>6940</v>
      </c>
      <c r="J634" s="447">
        <f t="shared" si="44"/>
        <v>7834</v>
      </c>
      <c r="K634" s="422"/>
      <c r="L634" s="448">
        <f t="shared" si="42"/>
        <v>31475</v>
      </c>
    </row>
    <row r="635" spans="1:12" ht="13.5">
      <c r="A635" s="448">
        <v>31500</v>
      </c>
      <c r="B635" s="447">
        <v>31550</v>
      </c>
      <c r="C635" s="1378">
        <f t="shared" si="45"/>
        <v>0</v>
      </c>
      <c r="D635" s="448">
        <f t="shared" si="46"/>
        <v>3022</v>
      </c>
      <c r="E635" s="448">
        <f t="shared" si="47"/>
        <v>5430</v>
      </c>
      <c r="F635" s="447">
        <f t="shared" si="44"/>
        <v>6324</v>
      </c>
      <c r="G635" s="1378">
        <f t="shared" si="44"/>
        <v>0</v>
      </c>
      <c r="H635" s="448">
        <f t="shared" si="44"/>
        <v>4159</v>
      </c>
      <c r="I635" s="448">
        <f t="shared" si="44"/>
        <v>6930</v>
      </c>
      <c r="J635" s="447">
        <f t="shared" si="44"/>
        <v>7824</v>
      </c>
      <c r="K635" s="422"/>
      <c r="L635" s="448">
        <f t="shared" si="42"/>
        <v>31525</v>
      </c>
    </row>
    <row r="636" spans="1:12" ht="13.5">
      <c r="A636" s="448">
        <v>31550</v>
      </c>
      <c r="B636" s="447">
        <v>31600</v>
      </c>
      <c r="C636" s="1378">
        <f t="shared" si="45"/>
        <v>0</v>
      </c>
      <c r="D636" s="448">
        <f t="shared" si="46"/>
        <v>3014</v>
      </c>
      <c r="E636" s="448">
        <f t="shared" si="47"/>
        <v>5420</v>
      </c>
      <c r="F636" s="447">
        <f t="shared" si="44"/>
        <v>6314</v>
      </c>
      <c r="G636" s="1378">
        <f t="shared" si="44"/>
        <v>0</v>
      </c>
      <c r="H636" s="448">
        <f t="shared" si="44"/>
        <v>4151</v>
      </c>
      <c r="I636" s="448">
        <f t="shared" si="44"/>
        <v>6919</v>
      </c>
      <c r="J636" s="447">
        <f t="shared" si="44"/>
        <v>7813</v>
      </c>
      <c r="K636" s="422"/>
      <c r="L636" s="448">
        <f t="shared" si="42"/>
        <v>31575</v>
      </c>
    </row>
    <row r="637" spans="1:12" ht="13.5">
      <c r="A637" s="448">
        <v>31600</v>
      </c>
      <c r="B637" s="447">
        <v>31650</v>
      </c>
      <c r="C637" s="1378">
        <f t="shared" si="45"/>
        <v>0</v>
      </c>
      <c r="D637" s="448">
        <f t="shared" si="46"/>
        <v>3006</v>
      </c>
      <c r="E637" s="448">
        <f t="shared" si="47"/>
        <v>5409</v>
      </c>
      <c r="F637" s="447">
        <f t="shared" si="44"/>
        <v>6303</v>
      </c>
      <c r="G637" s="1378">
        <f t="shared" si="44"/>
        <v>0</v>
      </c>
      <c r="H637" s="448">
        <f t="shared" si="44"/>
        <v>4143</v>
      </c>
      <c r="I637" s="448">
        <f t="shared" si="44"/>
        <v>6909</v>
      </c>
      <c r="J637" s="447">
        <f t="shared" si="44"/>
        <v>7803</v>
      </c>
      <c r="K637" s="422"/>
      <c r="L637" s="448">
        <f t="shared" si="42"/>
        <v>31625</v>
      </c>
    </row>
    <row r="638" spans="1:12" ht="13.5">
      <c r="A638" s="448">
        <v>31650</v>
      </c>
      <c r="B638" s="447">
        <v>31700</v>
      </c>
      <c r="C638" s="1378">
        <f t="shared" si="45"/>
        <v>0</v>
      </c>
      <c r="D638" s="448">
        <f t="shared" si="46"/>
        <v>2998</v>
      </c>
      <c r="E638" s="448">
        <f t="shared" si="47"/>
        <v>5399</v>
      </c>
      <c r="F638" s="447">
        <f t="shared" si="44"/>
        <v>6293</v>
      </c>
      <c r="G638" s="1378">
        <f t="shared" si="44"/>
        <v>0</v>
      </c>
      <c r="H638" s="448">
        <f t="shared" si="44"/>
        <v>4135</v>
      </c>
      <c r="I638" s="448">
        <f t="shared" si="44"/>
        <v>6898</v>
      </c>
      <c r="J638" s="447">
        <f t="shared" si="44"/>
        <v>7792</v>
      </c>
      <c r="K638" s="422"/>
      <c r="L638" s="448">
        <f t="shared" si="42"/>
        <v>31675</v>
      </c>
    </row>
    <row r="639" spans="1:12" ht="13.5">
      <c r="A639" s="448">
        <v>31700</v>
      </c>
      <c r="B639" s="447">
        <v>31750</v>
      </c>
      <c r="C639" s="1378">
        <f t="shared" si="45"/>
        <v>0</v>
      </c>
      <c r="D639" s="448">
        <f t="shared" si="46"/>
        <v>2990</v>
      </c>
      <c r="E639" s="448">
        <f t="shared" si="47"/>
        <v>5388</v>
      </c>
      <c r="F639" s="447">
        <f t="shared" si="44"/>
        <v>6282</v>
      </c>
      <c r="G639" s="1378">
        <f t="shared" si="44"/>
        <v>0</v>
      </c>
      <c r="H639" s="448">
        <f t="shared" si="44"/>
        <v>4127</v>
      </c>
      <c r="I639" s="448">
        <f t="shared" si="44"/>
        <v>6888</v>
      </c>
      <c r="J639" s="447">
        <f t="shared" si="44"/>
        <v>7782</v>
      </c>
      <c r="K639" s="422"/>
      <c r="L639" s="448">
        <f t="shared" si="42"/>
        <v>31725</v>
      </c>
    </row>
    <row r="640" spans="1:12" ht="13.5">
      <c r="A640" s="448">
        <v>31750</v>
      </c>
      <c r="B640" s="447">
        <v>31800</v>
      </c>
      <c r="C640" s="1378">
        <f t="shared" si="45"/>
        <v>0</v>
      </c>
      <c r="D640" s="448">
        <f t="shared" si="46"/>
        <v>2982</v>
      </c>
      <c r="E640" s="448">
        <f t="shared" si="47"/>
        <v>5378</v>
      </c>
      <c r="F640" s="447">
        <f t="shared" si="44"/>
        <v>6272</v>
      </c>
      <c r="G640" s="1378">
        <f t="shared" si="44"/>
        <v>0</v>
      </c>
      <c r="H640" s="448">
        <f t="shared" si="44"/>
        <v>4119</v>
      </c>
      <c r="I640" s="448">
        <f t="shared" si="44"/>
        <v>6877</v>
      </c>
      <c r="J640" s="447">
        <f t="shared" si="44"/>
        <v>7771</v>
      </c>
      <c r="K640" s="422"/>
      <c r="L640" s="448">
        <f t="shared" si="42"/>
        <v>31775</v>
      </c>
    </row>
    <row r="641" spans="1:12" ht="13.5">
      <c r="A641" s="448">
        <v>31800</v>
      </c>
      <c r="B641" s="447">
        <v>31850</v>
      </c>
      <c r="C641" s="1378">
        <f t="shared" si="45"/>
        <v>0</v>
      </c>
      <c r="D641" s="448">
        <f t="shared" si="46"/>
        <v>2974</v>
      </c>
      <c r="E641" s="448">
        <f t="shared" si="47"/>
        <v>5367</v>
      </c>
      <c r="F641" s="447">
        <f t="shared" si="44"/>
        <v>6261</v>
      </c>
      <c r="G641" s="1378">
        <f t="shared" si="44"/>
        <v>0</v>
      </c>
      <c r="H641" s="448">
        <f t="shared" si="44"/>
        <v>4111</v>
      </c>
      <c r="I641" s="448">
        <f t="shared" si="44"/>
        <v>6867</v>
      </c>
      <c r="J641" s="447">
        <f t="shared" si="44"/>
        <v>7761</v>
      </c>
      <c r="K641" s="422"/>
      <c r="L641" s="448">
        <f t="shared" si="42"/>
        <v>31825</v>
      </c>
    </row>
    <row r="642" spans="1:12" ht="13.5">
      <c r="A642" s="448">
        <v>31850</v>
      </c>
      <c r="B642" s="447">
        <v>31900</v>
      </c>
      <c r="C642" s="1378">
        <f t="shared" si="45"/>
        <v>0</v>
      </c>
      <c r="D642" s="448">
        <f t="shared" si="46"/>
        <v>2966</v>
      </c>
      <c r="E642" s="448">
        <f t="shared" si="47"/>
        <v>5357</v>
      </c>
      <c r="F642" s="447">
        <f t="shared" si="44"/>
        <v>6251</v>
      </c>
      <c r="G642" s="1378">
        <f t="shared" si="44"/>
        <v>0</v>
      </c>
      <c r="H642" s="448">
        <f t="shared" si="44"/>
        <v>4103</v>
      </c>
      <c r="I642" s="448">
        <f t="shared" si="44"/>
        <v>6856</v>
      </c>
      <c r="J642" s="447">
        <f t="shared" si="44"/>
        <v>7750</v>
      </c>
      <c r="K642" s="422"/>
      <c r="L642" s="448">
        <f t="shared" si="42"/>
        <v>31875</v>
      </c>
    </row>
    <row r="643" spans="1:12" ht="13.5">
      <c r="A643" s="448">
        <v>31900</v>
      </c>
      <c r="B643" s="447">
        <v>31950</v>
      </c>
      <c r="C643" s="1378">
        <f t="shared" si="45"/>
        <v>0</v>
      </c>
      <c r="D643" s="448">
        <f t="shared" si="46"/>
        <v>2958</v>
      </c>
      <c r="E643" s="448">
        <f t="shared" si="47"/>
        <v>5346</v>
      </c>
      <c r="F643" s="447">
        <f t="shared" si="44"/>
        <v>6240</v>
      </c>
      <c r="G643" s="1378">
        <f t="shared" si="44"/>
        <v>0</v>
      </c>
      <c r="H643" s="448">
        <f t="shared" si="44"/>
        <v>4095</v>
      </c>
      <c r="I643" s="448">
        <f t="shared" si="44"/>
        <v>6846</v>
      </c>
      <c r="J643" s="447">
        <f t="shared" si="44"/>
        <v>7740</v>
      </c>
      <c r="K643" s="422"/>
      <c r="L643" s="448">
        <f t="shared" si="42"/>
        <v>31925</v>
      </c>
    </row>
    <row r="644" spans="1:12" ht="13.5">
      <c r="A644" s="448">
        <v>31950</v>
      </c>
      <c r="B644" s="447">
        <v>32000</v>
      </c>
      <c r="C644" s="1378">
        <f t="shared" si="45"/>
        <v>0</v>
      </c>
      <c r="D644" s="448">
        <f t="shared" si="46"/>
        <v>2950</v>
      </c>
      <c r="E644" s="448">
        <f t="shared" si="47"/>
        <v>5336</v>
      </c>
      <c r="F644" s="447">
        <f t="shared" si="44"/>
        <v>6230</v>
      </c>
      <c r="G644" s="1378">
        <f t="shared" si="44"/>
        <v>0</v>
      </c>
      <c r="H644" s="448">
        <f t="shared" si="44"/>
        <v>4088</v>
      </c>
      <c r="I644" s="448">
        <f t="shared" si="44"/>
        <v>6835</v>
      </c>
      <c r="J644" s="447">
        <f t="shared" si="44"/>
        <v>7729</v>
      </c>
      <c r="K644" s="422"/>
      <c r="L644" s="448">
        <f t="shared" si="42"/>
        <v>31975</v>
      </c>
    </row>
    <row r="645" spans="1:12" ht="13.5">
      <c r="A645" s="448">
        <v>32000</v>
      </c>
      <c r="B645" s="447">
        <v>32050</v>
      </c>
      <c r="C645" s="1378">
        <f t="shared" si="45"/>
        <v>0</v>
      </c>
      <c r="D645" s="448">
        <f t="shared" si="46"/>
        <v>2942</v>
      </c>
      <c r="E645" s="448">
        <f t="shared" si="47"/>
        <v>5325</v>
      </c>
      <c r="F645" s="447">
        <f t="shared" si="44"/>
        <v>6219</v>
      </c>
      <c r="G645" s="1378">
        <f t="shared" si="44"/>
        <v>0</v>
      </c>
      <c r="H645" s="448">
        <f t="shared" si="44"/>
        <v>4080</v>
      </c>
      <c r="I645" s="448">
        <f t="shared" si="44"/>
        <v>6825</v>
      </c>
      <c r="J645" s="447">
        <f t="shared" si="44"/>
        <v>7719</v>
      </c>
      <c r="K645" s="422"/>
      <c r="L645" s="448">
        <f t="shared" si="42"/>
        <v>32025</v>
      </c>
    </row>
    <row r="646" spans="1:12" ht="13.5">
      <c r="A646" s="448">
        <v>32050</v>
      </c>
      <c r="B646" s="447">
        <v>32100</v>
      </c>
      <c r="C646" s="1378">
        <f t="shared" si="45"/>
        <v>0</v>
      </c>
      <c r="D646" s="448">
        <f t="shared" si="46"/>
        <v>2934</v>
      </c>
      <c r="E646" s="448">
        <f t="shared" si="47"/>
        <v>5315</v>
      </c>
      <c r="F646" s="447">
        <f t="shared" si="44"/>
        <v>6209</v>
      </c>
      <c r="G646" s="1378">
        <f t="shared" si="44"/>
        <v>0</v>
      </c>
      <c r="H646" s="448">
        <f t="shared" si="44"/>
        <v>4072</v>
      </c>
      <c r="I646" s="448">
        <f t="shared" si="44"/>
        <v>6814</v>
      </c>
      <c r="J646" s="447">
        <f t="shared" si="44"/>
        <v>7708</v>
      </c>
      <c r="K646" s="422"/>
      <c r="L646" s="448">
        <f t="shared" si="42"/>
        <v>32075</v>
      </c>
    </row>
    <row r="647" spans="1:12" ht="13.5">
      <c r="A647" s="448">
        <v>32100</v>
      </c>
      <c r="B647" s="447">
        <v>32150</v>
      </c>
      <c r="C647" s="1378">
        <f t="shared" si="45"/>
        <v>0</v>
      </c>
      <c r="D647" s="448">
        <f t="shared" si="46"/>
        <v>2926</v>
      </c>
      <c r="E647" s="448">
        <f t="shared" si="47"/>
        <v>5304</v>
      </c>
      <c r="F647" s="447">
        <f t="shared" si="44"/>
        <v>6198</v>
      </c>
      <c r="G647" s="1378">
        <f t="shared" si="44"/>
        <v>0</v>
      </c>
      <c r="H647" s="448">
        <f t="shared" si="44"/>
        <v>4064</v>
      </c>
      <c r="I647" s="448">
        <f t="shared" si="44"/>
        <v>6803</v>
      </c>
      <c r="J647" s="447">
        <f t="shared" si="44"/>
        <v>7697</v>
      </c>
      <c r="K647" s="422"/>
      <c r="L647" s="448">
        <f t="shared" ref="L647:L710" si="48">ROUND((A647+B647)/2,2)</f>
        <v>32125</v>
      </c>
    </row>
    <row r="648" spans="1:12" ht="13.5">
      <c r="A648" s="448">
        <v>32150</v>
      </c>
      <c r="B648" s="447">
        <v>32200</v>
      </c>
      <c r="C648" s="1378">
        <f t="shared" si="45"/>
        <v>0</v>
      </c>
      <c r="D648" s="448">
        <f t="shared" si="46"/>
        <v>2918</v>
      </c>
      <c r="E648" s="448">
        <f t="shared" si="47"/>
        <v>5293</v>
      </c>
      <c r="F648" s="447">
        <f t="shared" si="44"/>
        <v>6187</v>
      </c>
      <c r="G648" s="1378">
        <f t="shared" si="44"/>
        <v>0</v>
      </c>
      <c r="H648" s="448">
        <f t="shared" si="44"/>
        <v>4056</v>
      </c>
      <c r="I648" s="448">
        <f t="shared" si="44"/>
        <v>6793</v>
      </c>
      <c r="J648" s="447">
        <f t="shared" si="44"/>
        <v>7687</v>
      </c>
      <c r="K648" s="422"/>
      <c r="L648" s="448">
        <f t="shared" si="48"/>
        <v>32175</v>
      </c>
    </row>
    <row r="649" spans="1:12" ht="13.5">
      <c r="A649" s="448">
        <v>32200</v>
      </c>
      <c r="B649" s="447">
        <v>32250</v>
      </c>
      <c r="C649" s="1378">
        <f t="shared" si="45"/>
        <v>0</v>
      </c>
      <c r="D649" s="448">
        <f t="shared" si="46"/>
        <v>2910</v>
      </c>
      <c r="E649" s="448">
        <f t="shared" si="47"/>
        <v>5283</v>
      </c>
      <c r="F649" s="447">
        <f t="shared" si="44"/>
        <v>6177</v>
      </c>
      <c r="G649" s="1378">
        <f t="shared" si="44"/>
        <v>0</v>
      </c>
      <c r="H649" s="448">
        <f t="shared" si="44"/>
        <v>4048</v>
      </c>
      <c r="I649" s="448">
        <f t="shared" si="44"/>
        <v>6782</v>
      </c>
      <c r="J649" s="447">
        <f t="shared" si="44"/>
        <v>7676</v>
      </c>
      <c r="K649" s="422"/>
      <c r="L649" s="448">
        <f t="shared" si="48"/>
        <v>32225</v>
      </c>
    </row>
    <row r="650" spans="1:12" ht="13.5">
      <c r="A650" s="448">
        <v>32250</v>
      </c>
      <c r="B650" s="447">
        <v>32300</v>
      </c>
      <c r="C650" s="1378">
        <f t="shared" ref="C650:C680" si="49">IF($L650&gt;N$5,MAX(0,N$3+ROUND((N$9*($L650-N$5)),0)),IF($L650&gt;N$4,N$3,ROUND($L650*N$7,0)))</f>
        <v>0</v>
      </c>
      <c r="D650" s="448">
        <f t="shared" ref="D650:D680" si="50">IF($L650&gt;O$5,MAX(0,O$3+ROUND((O$9*($L650-O$5)),0)),IF($L650&gt;O$4,O$3,ROUND($L650*O$7,0)))</f>
        <v>2902</v>
      </c>
      <c r="E650" s="448">
        <f t="shared" ref="E650:E680" si="51">IF($L650&gt;P$5,MAX(0,P$3+ROUND((P$9*($L650-P$5)),0)),IF($L650&gt;P$4,P$3,ROUND($L650*P$7,0)))</f>
        <v>5272</v>
      </c>
      <c r="F650" s="447">
        <f t="shared" si="44"/>
        <v>6166</v>
      </c>
      <c r="G650" s="1378">
        <f t="shared" si="44"/>
        <v>0</v>
      </c>
      <c r="H650" s="448">
        <f t="shared" si="44"/>
        <v>4040</v>
      </c>
      <c r="I650" s="448">
        <f t="shared" si="44"/>
        <v>6772</v>
      </c>
      <c r="J650" s="447">
        <f t="shared" si="44"/>
        <v>7666</v>
      </c>
      <c r="K650" s="422"/>
      <c r="L650" s="448">
        <f t="shared" si="48"/>
        <v>32275</v>
      </c>
    </row>
    <row r="651" spans="1:12" ht="13.5">
      <c r="A651" s="448">
        <v>32300</v>
      </c>
      <c r="B651" s="447">
        <v>32350</v>
      </c>
      <c r="C651" s="1378">
        <f t="shared" si="49"/>
        <v>0</v>
      </c>
      <c r="D651" s="448">
        <f t="shared" si="50"/>
        <v>2894</v>
      </c>
      <c r="E651" s="448">
        <f t="shared" si="51"/>
        <v>5262</v>
      </c>
      <c r="F651" s="447">
        <f t="shared" si="44"/>
        <v>6156</v>
      </c>
      <c r="G651" s="1378">
        <f t="shared" si="44"/>
        <v>0</v>
      </c>
      <c r="H651" s="448">
        <f t="shared" si="44"/>
        <v>4032</v>
      </c>
      <c r="I651" s="448">
        <f t="shared" si="44"/>
        <v>6761</v>
      </c>
      <c r="J651" s="447">
        <f t="shared" si="44"/>
        <v>7655</v>
      </c>
      <c r="K651" s="422"/>
      <c r="L651" s="448">
        <f t="shared" si="48"/>
        <v>32325</v>
      </c>
    </row>
    <row r="652" spans="1:12" ht="13.5">
      <c r="A652" s="448">
        <v>32350</v>
      </c>
      <c r="B652" s="447">
        <v>32400</v>
      </c>
      <c r="C652" s="1378">
        <f t="shared" si="49"/>
        <v>0</v>
      </c>
      <c r="D652" s="448">
        <f t="shared" si="50"/>
        <v>2886</v>
      </c>
      <c r="E652" s="448">
        <f t="shared" si="51"/>
        <v>5251</v>
      </c>
      <c r="F652" s="447">
        <f t="shared" si="44"/>
        <v>6145</v>
      </c>
      <c r="G652" s="1378">
        <f t="shared" si="44"/>
        <v>0</v>
      </c>
      <c r="H652" s="448">
        <f t="shared" si="44"/>
        <v>4024</v>
      </c>
      <c r="I652" s="448">
        <f t="shared" si="44"/>
        <v>6751</v>
      </c>
      <c r="J652" s="447">
        <f t="shared" si="44"/>
        <v>7645</v>
      </c>
      <c r="K652" s="422"/>
      <c r="L652" s="448">
        <f t="shared" si="48"/>
        <v>32375</v>
      </c>
    </row>
    <row r="653" spans="1:12" ht="13.5">
      <c r="A653" s="448">
        <v>32400</v>
      </c>
      <c r="B653" s="447">
        <v>32450</v>
      </c>
      <c r="C653" s="1378">
        <f t="shared" si="49"/>
        <v>0</v>
      </c>
      <c r="D653" s="448">
        <f t="shared" si="50"/>
        <v>2878</v>
      </c>
      <c r="E653" s="448">
        <f t="shared" si="51"/>
        <v>5241</v>
      </c>
      <c r="F653" s="447">
        <f t="shared" si="44"/>
        <v>6135</v>
      </c>
      <c r="G653" s="1378">
        <f t="shared" si="44"/>
        <v>0</v>
      </c>
      <c r="H653" s="448">
        <f t="shared" si="44"/>
        <v>4016</v>
      </c>
      <c r="I653" s="448">
        <f t="shared" si="44"/>
        <v>6740</v>
      </c>
      <c r="J653" s="447">
        <f t="shared" si="44"/>
        <v>7634</v>
      </c>
      <c r="K653" s="422"/>
      <c r="L653" s="448">
        <f t="shared" si="48"/>
        <v>32425</v>
      </c>
    </row>
    <row r="654" spans="1:12" ht="13.5">
      <c r="A654" s="448">
        <v>32450</v>
      </c>
      <c r="B654" s="447">
        <v>32500</v>
      </c>
      <c r="C654" s="1378">
        <f t="shared" si="49"/>
        <v>0</v>
      </c>
      <c r="D654" s="448">
        <f t="shared" si="50"/>
        <v>2870</v>
      </c>
      <c r="E654" s="448">
        <f t="shared" si="51"/>
        <v>5230</v>
      </c>
      <c r="F654" s="447">
        <f t="shared" si="44"/>
        <v>6124</v>
      </c>
      <c r="G654" s="1378">
        <f t="shared" si="44"/>
        <v>0</v>
      </c>
      <c r="H654" s="448">
        <f t="shared" si="44"/>
        <v>4008</v>
      </c>
      <c r="I654" s="448">
        <f t="shared" si="44"/>
        <v>6730</v>
      </c>
      <c r="J654" s="447">
        <f t="shared" si="44"/>
        <v>7624</v>
      </c>
      <c r="K654" s="422"/>
      <c r="L654" s="448">
        <f t="shared" si="48"/>
        <v>32475</v>
      </c>
    </row>
    <row r="655" spans="1:12" ht="13.5">
      <c r="A655" s="448">
        <v>32500</v>
      </c>
      <c r="B655" s="447">
        <v>32550</v>
      </c>
      <c r="C655" s="1378">
        <f t="shared" si="49"/>
        <v>0</v>
      </c>
      <c r="D655" s="448">
        <f t="shared" si="50"/>
        <v>2862</v>
      </c>
      <c r="E655" s="448">
        <f t="shared" si="51"/>
        <v>5220</v>
      </c>
      <c r="F655" s="447">
        <f t="shared" si="44"/>
        <v>6114</v>
      </c>
      <c r="G655" s="1378">
        <f t="shared" si="44"/>
        <v>0</v>
      </c>
      <c r="H655" s="448">
        <f t="shared" si="44"/>
        <v>4000</v>
      </c>
      <c r="I655" s="448">
        <f t="shared" si="44"/>
        <v>6719</v>
      </c>
      <c r="J655" s="447">
        <f t="shared" si="44"/>
        <v>7613</v>
      </c>
      <c r="K655" s="422"/>
      <c r="L655" s="448">
        <f t="shared" si="48"/>
        <v>32525</v>
      </c>
    </row>
    <row r="656" spans="1:12" ht="13.5">
      <c r="A656" s="448">
        <v>32550</v>
      </c>
      <c r="B656" s="447">
        <v>32600</v>
      </c>
      <c r="C656" s="1378">
        <f t="shared" si="49"/>
        <v>0</v>
      </c>
      <c r="D656" s="448">
        <f t="shared" si="50"/>
        <v>2854</v>
      </c>
      <c r="E656" s="448">
        <f t="shared" si="51"/>
        <v>5209</v>
      </c>
      <c r="F656" s="447">
        <f t="shared" si="44"/>
        <v>6103</v>
      </c>
      <c r="G656" s="1378">
        <f t="shared" si="44"/>
        <v>0</v>
      </c>
      <c r="H656" s="448">
        <f t="shared" si="44"/>
        <v>3992</v>
      </c>
      <c r="I656" s="448">
        <f t="shared" si="44"/>
        <v>6709</v>
      </c>
      <c r="J656" s="447">
        <f t="shared" si="44"/>
        <v>7603</v>
      </c>
      <c r="K656" s="422"/>
      <c r="L656" s="448">
        <f t="shared" si="48"/>
        <v>32575</v>
      </c>
    </row>
    <row r="657" spans="1:12" ht="13.5">
      <c r="A657" s="448">
        <v>32600</v>
      </c>
      <c r="B657" s="447">
        <v>32650</v>
      </c>
      <c r="C657" s="1378">
        <f t="shared" si="49"/>
        <v>0</v>
      </c>
      <c r="D657" s="448">
        <f t="shared" si="50"/>
        <v>2846</v>
      </c>
      <c r="E657" s="448">
        <f t="shared" si="51"/>
        <v>5199</v>
      </c>
      <c r="F657" s="447">
        <f t="shared" si="44"/>
        <v>6093</v>
      </c>
      <c r="G657" s="1378">
        <f t="shared" si="44"/>
        <v>0</v>
      </c>
      <c r="H657" s="448">
        <f t="shared" si="44"/>
        <v>3984</v>
      </c>
      <c r="I657" s="448">
        <f t="shared" si="44"/>
        <v>6698</v>
      </c>
      <c r="J657" s="447">
        <f t="shared" si="44"/>
        <v>7592</v>
      </c>
      <c r="K657" s="422"/>
      <c r="L657" s="448">
        <f t="shared" si="48"/>
        <v>32625</v>
      </c>
    </row>
    <row r="658" spans="1:12" ht="13.5">
      <c r="A658" s="448">
        <v>32650</v>
      </c>
      <c r="B658" s="447">
        <v>32700</v>
      </c>
      <c r="C658" s="1378">
        <f t="shared" si="49"/>
        <v>0</v>
      </c>
      <c r="D658" s="448">
        <f t="shared" si="50"/>
        <v>2838</v>
      </c>
      <c r="E658" s="448">
        <f t="shared" si="51"/>
        <v>5188</v>
      </c>
      <c r="F658" s="447">
        <f t="shared" si="44"/>
        <v>6082</v>
      </c>
      <c r="G658" s="1378">
        <f t="shared" si="44"/>
        <v>0</v>
      </c>
      <c r="H658" s="448">
        <f t="shared" si="44"/>
        <v>3976</v>
      </c>
      <c r="I658" s="448">
        <f t="shared" si="44"/>
        <v>6688</v>
      </c>
      <c r="J658" s="447">
        <f t="shared" si="44"/>
        <v>7582</v>
      </c>
      <c r="K658" s="422"/>
      <c r="L658" s="448">
        <f t="shared" si="48"/>
        <v>32675</v>
      </c>
    </row>
    <row r="659" spans="1:12" ht="13.5">
      <c r="A659" s="448">
        <v>32700</v>
      </c>
      <c r="B659" s="447">
        <v>32750</v>
      </c>
      <c r="C659" s="1378">
        <f t="shared" si="49"/>
        <v>0</v>
      </c>
      <c r="D659" s="448">
        <f t="shared" si="50"/>
        <v>2830</v>
      </c>
      <c r="E659" s="448">
        <f t="shared" si="51"/>
        <v>5178</v>
      </c>
      <c r="F659" s="447">
        <f t="shared" si="44"/>
        <v>6072</v>
      </c>
      <c r="G659" s="1378">
        <f t="shared" si="44"/>
        <v>0</v>
      </c>
      <c r="H659" s="448">
        <f t="shared" si="44"/>
        <v>3968</v>
      </c>
      <c r="I659" s="448">
        <f t="shared" si="44"/>
        <v>6677</v>
      </c>
      <c r="J659" s="447">
        <f t="shared" si="44"/>
        <v>7571</v>
      </c>
      <c r="K659" s="422"/>
      <c r="L659" s="448">
        <f t="shared" si="48"/>
        <v>32725</v>
      </c>
    </row>
    <row r="660" spans="1:12" ht="13.5">
      <c r="A660" s="448">
        <v>32750</v>
      </c>
      <c r="B660" s="447">
        <v>32800</v>
      </c>
      <c r="C660" s="1378">
        <f t="shared" si="49"/>
        <v>0</v>
      </c>
      <c r="D660" s="448">
        <f t="shared" si="50"/>
        <v>2822</v>
      </c>
      <c r="E660" s="448">
        <f t="shared" si="51"/>
        <v>5167</v>
      </c>
      <c r="F660" s="447">
        <f t="shared" si="44"/>
        <v>6061</v>
      </c>
      <c r="G660" s="1378">
        <f t="shared" si="44"/>
        <v>0</v>
      </c>
      <c r="H660" s="448">
        <f t="shared" si="44"/>
        <v>3960</v>
      </c>
      <c r="I660" s="448">
        <f t="shared" si="44"/>
        <v>6667</v>
      </c>
      <c r="J660" s="447">
        <f t="shared" si="44"/>
        <v>7561</v>
      </c>
      <c r="K660" s="422"/>
      <c r="L660" s="448">
        <f t="shared" si="48"/>
        <v>32775</v>
      </c>
    </row>
    <row r="661" spans="1:12" ht="13.5">
      <c r="A661" s="448">
        <v>32800</v>
      </c>
      <c r="B661" s="447">
        <v>32850</v>
      </c>
      <c r="C661" s="1378">
        <f t="shared" si="49"/>
        <v>0</v>
      </c>
      <c r="D661" s="448">
        <f t="shared" si="50"/>
        <v>2814</v>
      </c>
      <c r="E661" s="448">
        <f t="shared" si="51"/>
        <v>5157</v>
      </c>
      <c r="F661" s="447">
        <f t="shared" si="44"/>
        <v>6051</v>
      </c>
      <c r="G661" s="1378">
        <f t="shared" si="44"/>
        <v>0</v>
      </c>
      <c r="H661" s="448">
        <f t="shared" si="44"/>
        <v>3952</v>
      </c>
      <c r="I661" s="448">
        <f t="shared" si="44"/>
        <v>6656</v>
      </c>
      <c r="J661" s="447">
        <f t="shared" si="44"/>
        <v>7550</v>
      </c>
      <c r="K661" s="422"/>
      <c r="L661" s="448">
        <f t="shared" si="48"/>
        <v>32825</v>
      </c>
    </row>
    <row r="662" spans="1:12" ht="13.5">
      <c r="A662" s="448">
        <v>32850</v>
      </c>
      <c r="B662" s="447">
        <v>32900</v>
      </c>
      <c r="C662" s="1378">
        <f t="shared" si="49"/>
        <v>0</v>
      </c>
      <c r="D662" s="448">
        <f t="shared" si="50"/>
        <v>2806</v>
      </c>
      <c r="E662" s="448">
        <f t="shared" si="51"/>
        <v>5146</v>
      </c>
      <c r="F662" s="447">
        <f t="shared" si="44"/>
        <v>6040</v>
      </c>
      <c r="G662" s="1378">
        <f t="shared" si="44"/>
        <v>0</v>
      </c>
      <c r="H662" s="448">
        <f t="shared" si="44"/>
        <v>3944</v>
      </c>
      <c r="I662" s="448">
        <f t="shared" si="44"/>
        <v>6646</v>
      </c>
      <c r="J662" s="447">
        <f t="shared" si="44"/>
        <v>7540</v>
      </c>
      <c r="K662" s="422"/>
      <c r="L662" s="448">
        <f t="shared" si="48"/>
        <v>32875</v>
      </c>
    </row>
    <row r="663" spans="1:12" ht="13.5">
      <c r="A663" s="448">
        <v>32900</v>
      </c>
      <c r="B663" s="447">
        <v>32950</v>
      </c>
      <c r="C663" s="1378">
        <f t="shared" si="49"/>
        <v>0</v>
      </c>
      <c r="D663" s="448">
        <f t="shared" si="50"/>
        <v>2798</v>
      </c>
      <c r="E663" s="448">
        <f t="shared" si="51"/>
        <v>5135</v>
      </c>
      <c r="F663" s="447">
        <f t="shared" si="44"/>
        <v>6029</v>
      </c>
      <c r="G663" s="1378">
        <f t="shared" si="44"/>
        <v>0</v>
      </c>
      <c r="H663" s="448">
        <f t="shared" si="44"/>
        <v>3936</v>
      </c>
      <c r="I663" s="448">
        <f t="shared" si="44"/>
        <v>6635</v>
      </c>
      <c r="J663" s="447">
        <f t="shared" si="44"/>
        <v>7529</v>
      </c>
      <c r="K663" s="422"/>
      <c r="L663" s="448">
        <f t="shared" si="48"/>
        <v>32925</v>
      </c>
    </row>
    <row r="664" spans="1:12" ht="13.5">
      <c r="A664" s="448">
        <v>32950</v>
      </c>
      <c r="B664" s="447">
        <v>33000</v>
      </c>
      <c r="C664" s="1378">
        <f t="shared" si="49"/>
        <v>0</v>
      </c>
      <c r="D664" s="448">
        <f t="shared" si="50"/>
        <v>2790</v>
      </c>
      <c r="E664" s="448">
        <f t="shared" si="51"/>
        <v>5125</v>
      </c>
      <c r="F664" s="447">
        <f t="shared" si="44"/>
        <v>6019</v>
      </c>
      <c r="G664" s="1378">
        <f t="shared" si="44"/>
        <v>0</v>
      </c>
      <c r="H664" s="448">
        <f t="shared" si="44"/>
        <v>3928</v>
      </c>
      <c r="I664" s="448">
        <f t="shared" si="44"/>
        <v>6624</v>
      </c>
      <c r="J664" s="447">
        <f t="shared" si="44"/>
        <v>7518</v>
      </c>
      <c r="K664" s="422"/>
      <c r="L664" s="448">
        <f t="shared" si="48"/>
        <v>32975</v>
      </c>
    </row>
    <row r="665" spans="1:12" ht="13.5">
      <c r="A665" s="448">
        <v>33000</v>
      </c>
      <c r="B665" s="447">
        <v>33050</v>
      </c>
      <c r="C665" s="1378">
        <f t="shared" si="49"/>
        <v>0</v>
      </c>
      <c r="D665" s="448">
        <f t="shared" si="50"/>
        <v>2782</v>
      </c>
      <c r="E665" s="448">
        <f t="shared" si="51"/>
        <v>5114</v>
      </c>
      <c r="F665" s="447">
        <f t="shared" si="44"/>
        <v>6008</v>
      </c>
      <c r="G665" s="1378">
        <f t="shared" si="44"/>
        <v>0</v>
      </c>
      <c r="H665" s="448">
        <f t="shared" si="44"/>
        <v>3920</v>
      </c>
      <c r="I665" s="448">
        <f t="shared" si="44"/>
        <v>6614</v>
      </c>
      <c r="J665" s="447">
        <f t="shared" si="44"/>
        <v>7508</v>
      </c>
      <c r="K665" s="422"/>
      <c r="L665" s="448">
        <f t="shared" si="48"/>
        <v>33025</v>
      </c>
    </row>
    <row r="666" spans="1:12" ht="13.5">
      <c r="A666" s="448">
        <v>33050</v>
      </c>
      <c r="B666" s="447">
        <v>33100</v>
      </c>
      <c r="C666" s="1378">
        <f t="shared" si="49"/>
        <v>0</v>
      </c>
      <c r="D666" s="448">
        <f t="shared" si="50"/>
        <v>2774</v>
      </c>
      <c r="E666" s="448">
        <f t="shared" si="51"/>
        <v>5104</v>
      </c>
      <c r="F666" s="447">
        <f t="shared" si="44"/>
        <v>5998</v>
      </c>
      <c r="G666" s="1378">
        <f t="shared" si="44"/>
        <v>0</v>
      </c>
      <c r="H666" s="448">
        <f t="shared" si="44"/>
        <v>3912</v>
      </c>
      <c r="I666" s="448">
        <f t="shared" si="44"/>
        <v>6603</v>
      </c>
      <c r="J666" s="447">
        <f t="shared" si="44"/>
        <v>7497</v>
      </c>
      <c r="K666" s="422"/>
      <c r="L666" s="448">
        <f t="shared" si="48"/>
        <v>33075</v>
      </c>
    </row>
    <row r="667" spans="1:12" ht="13.5">
      <c r="A667" s="448">
        <v>33100</v>
      </c>
      <c r="B667" s="447">
        <v>33150</v>
      </c>
      <c r="C667" s="1378">
        <f t="shared" si="49"/>
        <v>0</v>
      </c>
      <c r="D667" s="448">
        <f t="shared" si="50"/>
        <v>2766</v>
      </c>
      <c r="E667" s="448">
        <f t="shared" si="51"/>
        <v>5093</v>
      </c>
      <c r="F667" s="447">
        <f t="shared" si="44"/>
        <v>5987</v>
      </c>
      <c r="G667" s="1378">
        <f t="shared" si="44"/>
        <v>0</v>
      </c>
      <c r="H667" s="448">
        <f t="shared" si="44"/>
        <v>3904</v>
      </c>
      <c r="I667" s="448">
        <f t="shared" si="44"/>
        <v>6593</v>
      </c>
      <c r="J667" s="447">
        <f t="shared" si="44"/>
        <v>7487</v>
      </c>
      <c r="K667" s="422"/>
      <c r="L667" s="448">
        <f t="shared" si="48"/>
        <v>33125</v>
      </c>
    </row>
    <row r="668" spans="1:12" ht="13.5">
      <c r="A668" s="448">
        <v>33150</v>
      </c>
      <c r="B668" s="447">
        <v>33200</v>
      </c>
      <c r="C668" s="1378">
        <f t="shared" si="49"/>
        <v>0</v>
      </c>
      <c r="D668" s="448">
        <f t="shared" si="50"/>
        <v>2758</v>
      </c>
      <c r="E668" s="448">
        <f t="shared" si="51"/>
        <v>5083</v>
      </c>
      <c r="F668" s="447">
        <f t="shared" ref="F668:F680" si="52">IF($L668&gt;Q$5,MAX(0,Q$3+ROUND((Q$9*($L668-Q$5)),0)),IF($L668&gt;Q$4,Q$3,ROUND($L668*Q$7,0)))</f>
        <v>5977</v>
      </c>
      <c r="G668" s="1378">
        <f t="shared" ref="G668:G680" si="53">IF($L668&gt;R$5,MAX(0,R$3+ROUND((R$9*($L668-R$5)),0)),IF($L668&gt;R$4,R$3,ROUND($L668*R$7,0)))</f>
        <v>0</v>
      </c>
      <c r="H668" s="448">
        <f t="shared" ref="H668:H680" si="54">IF($L668&gt;S$5,MAX(0,S$3+ROUND((S$9*($L668-S$5)),0)),IF($L668&gt;S$4,S$3,ROUND($L668*S$7,0)))</f>
        <v>3896</v>
      </c>
      <c r="I668" s="448">
        <f t="shared" ref="I668:I680" si="55">IF($L668&gt;T$5,MAX(0,T$3+ROUND((T$9*($L668-T$5)),0)),IF($L668&gt;T$4,T$3,ROUND($L668*T$7,0)))</f>
        <v>6582</v>
      </c>
      <c r="J668" s="447">
        <f t="shared" ref="J668:J680" si="56">IF($L668&gt;U$5,MAX(0,U$3+ROUND((U$9*($L668-U$5)),0)),IF($L668&gt;U$4,U$3,ROUND($L668*U$7,0)))</f>
        <v>7476</v>
      </c>
      <c r="K668" s="422"/>
      <c r="L668" s="448">
        <f t="shared" si="48"/>
        <v>33175</v>
      </c>
    </row>
    <row r="669" spans="1:12" ht="13.5">
      <c r="A669" s="448">
        <v>33200</v>
      </c>
      <c r="B669" s="447">
        <v>33250</v>
      </c>
      <c r="C669" s="1378">
        <f t="shared" si="49"/>
        <v>0</v>
      </c>
      <c r="D669" s="448">
        <f t="shared" si="50"/>
        <v>2750</v>
      </c>
      <c r="E669" s="448">
        <f t="shared" si="51"/>
        <v>5072</v>
      </c>
      <c r="F669" s="447">
        <f t="shared" si="52"/>
        <v>5966</v>
      </c>
      <c r="G669" s="1378">
        <f t="shared" si="53"/>
        <v>0</v>
      </c>
      <c r="H669" s="448">
        <f t="shared" si="54"/>
        <v>3888</v>
      </c>
      <c r="I669" s="448">
        <f t="shared" si="55"/>
        <v>6572</v>
      </c>
      <c r="J669" s="447">
        <f t="shared" si="56"/>
        <v>7466</v>
      </c>
      <c r="K669" s="422"/>
      <c r="L669" s="448">
        <f t="shared" si="48"/>
        <v>33225</v>
      </c>
    </row>
    <row r="670" spans="1:12" ht="13.5">
      <c r="A670" s="448">
        <v>33250</v>
      </c>
      <c r="B670" s="447">
        <v>33300</v>
      </c>
      <c r="C670" s="1378">
        <f t="shared" si="49"/>
        <v>0</v>
      </c>
      <c r="D670" s="448">
        <f t="shared" si="50"/>
        <v>2742</v>
      </c>
      <c r="E670" s="448">
        <f t="shared" si="51"/>
        <v>5062</v>
      </c>
      <c r="F670" s="447">
        <f t="shared" si="52"/>
        <v>5956</v>
      </c>
      <c r="G670" s="1378">
        <f t="shared" si="53"/>
        <v>0</v>
      </c>
      <c r="H670" s="448">
        <f t="shared" si="54"/>
        <v>3880</v>
      </c>
      <c r="I670" s="448">
        <f t="shared" si="55"/>
        <v>6561</v>
      </c>
      <c r="J670" s="447">
        <f t="shared" si="56"/>
        <v>7455</v>
      </c>
      <c r="K670" s="422"/>
      <c r="L670" s="448">
        <f t="shared" si="48"/>
        <v>33275</v>
      </c>
    </row>
    <row r="671" spans="1:12" ht="13.5">
      <c r="A671" s="448">
        <v>33300</v>
      </c>
      <c r="B671" s="447">
        <v>33350</v>
      </c>
      <c r="C671" s="1378">
        <f t="shared" si="49"/>
        <v>0</v>
      </c>
      <c r="D671" s="448">
        <f t="shared" si="50"/>
        <v>2734</v>
      </c>
      <c r="E671" s="448">
        <f t="shared" si="51"/>
        <v>5051</v>
      </c>
      <c r="F671" s="447">
        <f t="shared" si="52"/>
        <v>5945</v>
      </c>
      <c r="G671" s="1378">
        <f t="shared" si="53"/>
        <v>0</v>
      </c>
      <c r="H671" s="448">
        <f t="shared" si="54"/>
        <v>3872</v>
      </c>
      <c r="I671" s="448">
        <f t="shared" si="55"/>
        <v>6551</v>
      </c>
      <c r="J671" s="447">
        <f t="shared" si="56"/>
        <v>7445</v>
      </c>
      <c r="K671" s="422"/>
      <c r="L671" s="448">
        <f t="shared" si="48"/>
        <v>33325</v>
      </c>
    </row>
    <row r="672" spans="1:12" ht="13.5">
      <c r="A672" s="448">
        <v>33350</v>
      </c>
      <c r="B672" s="447">
        <v>33400</v>
      </c>
      <c r="C672" s="1378">
        <f t="shared" si="49"/>
        <v>0</v>
      </c>
      <c r="D672" s="448">
        <f t="shared" si="50"/>
        <v>2726</v>
      </c>
      <c r="E672" s="448">
        <f t="shared" si="51"/>
        <v>5041</v>
      </c>
      <c r="F672" s="447">
        <f t="shared" si="52"/>
        <v>5935</v>
      </c>
      <c r="G672" s="1378">
        <f t="shared" si="53"/>
        <v>0</v>
      </c>
      <c r="H672" s="448">
        <f t="shared" si="54"/>
        <v>3864</v>
      </c>
      <c r="I672" s="448">
        <f t="shared" si="55"/>
        <v>6540</v>
      </c>
      <c r="J672" s="447">
        <f t="shared" si="56"/>
        <v>7434</v>
      </c>
      <c r="K672" s="422"/>
      <c r="L672" s="448">
        <f t="shared" si="48"/>
        <v>33375</v>
      </c>
    </row>
    <row r="673" spans="1:12" ht="13.5">
      <c r="A673" s="448">
        <v>33400</v>
      </c>
      <c r="B673" s="447">
        <v>33450</v>
      </c>
      <c r="C673" s="1378">
        <f t="shared" si="49"/>
        <v>0</v>
      </c>
      <c r="D673" s="448">
        <f t="shared" si="50"/>
        <v>2718</v>
      </c>
      <c r="E673" s="448">
        <f t="shared" si="51"/>
        <v>5030</v>
      </c>
      <c r="F673" s="447">
        <f t="shared" si="52"/>
        <v>5924</v>
      </c>
      <c r="G673" s="1378">
        <f t="shared" si="53"/>
        <v>0</v>
      </c>
      <c r="H673" s="448">
        <f t="shared" si="54"/>
        <v>3856</v>
      </c>
      <c r="I673" s="448">
        <f t="shared" si="55"/>
        <v>6530</v>
      </c>
      <c r="J673" s="447">
        <f t="shared" si="56"/>
        <v>7424</v>
      </c>
      <c r="K673" s="422"/>
      <c r="L673" s="448">
        <f t="shared" si="48"/>
        <v>33425</v>
      </c>
    </row>
    <row r="674" spans="1:12" ht="13.5">
      <c r="A674" s="448">
        <v>33450</v>
      </c>
      <c r="B674" s="447">
        <v>33500</v>
      </c>
      <c r="C674" s="1378">
        <f t="shared" si="49"/>
        <v>0</v>
      </c>
      <c r="D674" s="448">
        <f t="shared" si="50"/>
        <v>2710</v>
      </c>
      <c r="E674" s="448">
        <f t="shared" si="51"/>
        <v>5020</v>
      </c>
      <c r="F674" s="447">
        <f t="shared" si="52"/>
        <v>5914</v>
      </c>
      <c r="G674" s="1378">
        <f t="shared" si="53"/>
        <v>0</v>
      </c>
      <c r="H674" s="448">
        <f t="shared" si="54"/>
        <v>3848</v>
      </c>
      <c r="I674" s="448">
        <f t="shared" si="55"/>
        <v>6519</v>
      </c>
      <c r="J674" s="447">
        <f t="shared" si="56"/>
        <v>7413</v>
      </c>
      <c r="K674" s="422"/>
      <c r="L674" s="448">
        <f t="shared" si="48"/>
        <v>33475</v>
      </c>
    </row>
    <row r="675" spans="1:12" ht="13.5">
      <c r="A675" s="448">
        <v>33500</v>
      </c>
      <c r="B675" s="447">
        <v>33550</v>
      </c>
      <c r="C675" s="1378">
        <f t="shared" si="49"/>
        <v>0</v>
      </c>
      <c r="D675" s="448">
        <f t="shared" si="50"/>
        <v>2702</v>
      </c>
      <c r="E675" s="448">
        <f t="shared" si="51"/>
        <v>5009</v>
      </c>
      <c r="F675" s="447">
        <f t="shared" si="52"/>
        <v>5903</v>
      </c>
      <c r="G675" s="1378">
        <f t="shared" si="53"/>
        <v>0</v>
      </c>
      <c r="H675" s="448">
        <f t="shared" si="54"/>
        <v>3840</v>
      </c>
      <c r="I675" s="448">
        <f t="shared" si="55"/>
        <v>6509</v>
      </c>
      <c r="J675" s="447">
        <f t="shared" si="56"/>
        <v>7403</v>
      </c>
      <c r="K675" s="422"/>
      <c r="L675" s="448">
        <f t="shared" si="48"/>
        <v>33525</v>
      </c>
    </row>
    <row r="676" spans="1:12" ht="13.5">
      <c r="A676" s="448">
        <v>33550</v>
      </c>
      <c r="B676" s="447">
        <v>33600</v>
      </c>
      <c r="C676" s="1378">
        <f t="shared" si="49"/>
        <v>0</v>
      </c>
      <c r="D676" s="448">
        <f t="shared" si="50"/>
        <v>2694</v>
      </c>
      <c r="E676" s="448">
        <f t="shared" si="51"/>
        <v>4999</v>
      </c>
      <c r="F676" s="447">
        <f t="shared" si="52"/>
        <v>5893</v>
      </c>
      <c r="G676" s="1378">
        <f t="shared" si="53"/>
        <v>0</v>
      </c>
      <c r="H676" s="448">
        <f t="shared" si="54"/>
        <v>3832</v>
      </c>
      <c r="I676" s="448">
        <f t="shared" si="55"/>
        <v>6498</v>
      </c>
      <c r="J676" s="447">
        <f t="shared" si="56"/>
        <v>7392</v>
      </c>
      <c r="K676" s="422"/>
      <c r="L676" s="448">
        <f t="shared" si="48"/>
        <v>33575</v>
      </c>
    </row>
    <row r="677" spans="1:12" ht="13.5">
      <c r="A677" s="448">
        <v>33600</v>
      </c>
      <c r="B677" s="447">
        <v>33650</v>
      </c>
      <c r="C677" s="1378">
        <f t="shared" si="49"/>
        <v>0</v>
      </c>
      <c r="D677" s="448">
        <f t="shared" si="50"/>
        <v>2686</v>
      </c>
      <c r="E677" s="448">
        <f t="shared" si="51"/>
        <v>4988</v>
      </c>
      <c r="F677" s="447">
        <f t="shared" si="52"/>
        <v>5882</v>
      </c>
      <c r="G677" s="1378">
        <f t="shared" si="53"/>
        <v>0</v>
      </c>
      <c r="H677" s="448">
        <f t="shared" si="54"/>
        <v>3824</v>
      </c>
      <c r="I677" s="448">
        <f t="shared" si="55"/>
        <v>6488</v>
      </c>
      <c r="J677" s="447">
        <f t="shared" si="56"/>
        <v>7382</v>
      </c>
      <c r="K677" s="422"/>
      <c r="L677" s="448">
        <f t="shared" si="48"/>
        <v>33625</v>
      </c>
    </row>
    <row r="678" spans="1:12" ht="13.5">
      <c r="A678" s="448">
        <v>33650</v>
      </c>
      <c r="B678" s="447">
        <v>33700</v>
      </c>
      <c r="C678" s="1378">
        <f t="shared" si="49"/>
        <v>0</v>
      </c>
      <c r="D678" s="448">
        <f t="shared" si="50"/>
        <v>2678</v>
      </c>
      <c r="E678" s="448">
        <f t="shared" si="51"/>
        <v>4978</v>
      </c>
      <c r="F678" s="447">
        <f t="shared" si="52"/>
        <v>5872</v>
      </c>
      <c r="G678" s="1378">
        <f t="shared" si="53"/>
        <v>0</v>
      </c>
      <c r="H678" s="448">
        <f t="shared" si="54"/>
        <v>3816</v>
      </c>
      <c r="I678" s="448">
        <f t="shared" si="55"/>
        <v>6477</v>
      </c>
      <c r="J678" s="447">
        <f t="shared" si="56"/>
        <v>7371</v>
      </c>
      <c r="K678" s="422"/>
      <c r="L678" s="448">
        <f t="shared" si="48"/>
        <v>33675</v>
      </c>
    </row>
    <row r="679" spans="1:12" ht="13.5">
      <c r="A679" s="448">
        <v>33700</v>
      </c>
      <c r="B679" s="447">
        <v>33750</v>
      </c>
      <c r="C679" s="1378">
        <f t="shared" si="49"/>
        <v>0</v>
      </c>
      <c r="D679" s="448">
        <f t="shared" si="50"/>
        <v>2670</v>
      </c>
      <c r="E679" s="448">
        <f t="shared" si="51"/>
        <v>4967</v>
      </c>
      <c r="F679" s="447">
        <f t="shared" si="52"/>
        <v>5861</v>
      </c>
      <c r="G679" s="1378">
        <f t="shared" si="53"/>
        <v>0</v>
      </c>
      <c r="H679" s="448">
        <f t="shared" si="54"/>
        <v>3808</v>
      </c>
      <c r="I679" s="448">
        <f t="shared" si="55"/>
        <v>6466</v>
      </c>
      <c r="J679" s="447">
        <f t="shared" si="56"/>
        <v>7360</v>
      </c>
      <c r="K679" s="422"/>
      <c r="L679" s="448">
        <f t="shared" si="48"/>
        <v>33725</v>
      </c>
    </row>
    <row r="680" spans="1:12" ht="13.5">
      <c r="A680" s="448">
        <v>33750</v>
      </c>
      <c r="B680" s="447">
        <v>33800</v>
      </c>
      <c r="C680" s="1378">
        <f t="shared" si="49"/>
        <v>0</v>
      </c>
      <c r="D680" s="448">
        <f t="shared" si="50"/>
        <v>2662</v>
      </c>
      <c r="E680" s="448">
        <f t="shared" si="51"/>
        <v>4956</v>
      </c>
      <c r="F680" s="447">
        <f t="shared" si="52"/>
        <v>5850</v>
      </c>
      <c r="G680" s="1378">
        <f t="shared" si="53"/>
        <v>0</v>
      </c>
      <c r="H680" s="448">
        <f t="shared" si="54"/>
        <v>3800</v>
      </c>
      <c r="I680" s="448">
        <f t="shared" si="55"/>
        <v>6456</v>
      </c>
      <c r="J680" s="447">
        <f t="shared" si="56"/>
        <v>7350</v>
      </c>
      <c r="K680" s="422"/>
      <c r="L680" s="448">
        <f t="shared" si="48"/>
        <v>33775</v>
      </c>
    </row>
    <row r="681" spans="1:12" ht="13.5">
      <c r="A681" s="448">
        <v>33800</v>
      </c>
      <c r="B681" s="447">
        <v>33850</v>
      </c>
      <c r="C681" s="1378">
        <f>IF($L681&gt;N$5,MAX(0,N$3+ROUND((N$9*($L681-N$5)),0)),IF($L681&gt;N$4,N$3,ROUND($L681*N$7,0)))</f>
        <v>0</v>
      </c>
      <c r="D681" s="448">
        <f t="shared" ref="D681:J717" si="57">IF($L681&gt;O$5,MAX(0,O$3+ROUND((O$9*($L681-O$5)),0)),IF($L681&gt;O$4,O$3,ROUND($L681*O$7,0)))</f>
        <v>2654</v>
      </c>
      <c r="E681" s="448">
        <f t="shared" si="57"/>
        <v>4946</v>
      </c>
      <c r="F681" s="447">
        <f t="shared" si="57"/>
        <v>5840</v>
      </c>
      <c r="G681" s="1378">
        <f t="shared" si="57"/>
        <v>0</v>
      </c>
      <c r="H681" s="448">
        <f t="shared" si="57"/>
        <v>3792</v>
      </c>
      <c r="I681" s="448">
        <f t="shared" si="57"/>
        <v>6445</v>
      </c>
      <c r="J681" s="447">
        <f t="shared" si="57"/>
        <v>7339</v>
      </c>
      <c r="K681" s="422"/>
      <c r="L681" s="448">
        <f t="shared" si="48"/>
        <v>33825</v>
      </c>
    </row>
    <row r="682" spans="1:12" ht="13.5">
      <c r="A682" s="448">
        <v>33850</v>
      </c>
      <c r="B682" s="447">
        <v>33900</v>
      </c>
      <c r="C682" s="1378">
        <f t="shared" ref="C682:F745" si="58">IF($L682&gt;N$5,MAX(0,N$3+ROUND((N$9*($L682-N$5)),0)),IF($L682&gt;N$4,N$3,ROUND($L682*N$7,0)))</f>
        <v>0</v>
      </c>
      <c r="D682" s="448">
        <f t="shared" si="57"/>
        <v>2646</v>
      </c>
      <c r="E682" s="448">
        <f t="shared" si="57"/>
        <v>4935</v>
      </c>
      <c r="F682" s="447">
        <f t="shared" si="57"/>
        <v>5829</v>
      </c>
      <c r="G682" s="1378">
        <f t="shared" si="57"/>
        <v>0</v>
      </c>
      <c r="H682" s="448">
        <f t="shared" si="57"/>
        <v>3784</v>
      </c>
      <c r="I682" s="448">
        <f t="shared" si="57"/>
        <v>6435</v>
      </c>
      <c r="J682" s="447">
        <f t="shared" si="57"/>
        <v>7329</v>
      </c>
      <c r="K682" s="422"/>
      <c r="L682" s="448">
        <f t="shared" si="48"/>
        <v>33875</v>
      </c>
    </row>
    <row r="683" spans="1:12" ht="13.5">
      <c r="A683" s="448">
        <v>33900</v>
      </c>
      <c r="B683" s="447">
        <v>33950</v>
      </c>
      <c r="C683" s="1378">
        <f t="shared" si="58"/>
        <v>0</v>
      </c>
      <c r="D683" s="448">
        <f t="shared" si="57"/>
        <v>2638</v>
      </c>
      <c r="E683" s="448">
        <f t="shared" si="57"/>
        <v>4925</v>
      </c>
      <c r="F683" s="447">
        <f t="shared" si="57"/>
        <v>5819</v>
      </c>
      <c r="G683" s="1378">
        <f t="shared" si="57"/>
        <v>0</v>
      </c>
      <c r="H683" s="448">
        <f t="shared" si="57"/>
        <v>3776</v>
      </c>
      <c r="I683" s="448">
        <f t="shared" si="57"/>
        <v>6424</v>
      </c>
      <c r="J683" s="447">
        <f t="shared" si="57"/>
        <v>7318</v>
      </c>
      <c r="K683" s="422"/>
      <c r="L683" s="448">
        <f t="shared" si="48"/>
        <v>33925</v>
      </c>
    </row>
    <row r="684" spans="1:12" ht="13.5">
      <c r="A684" s="448">
        <v>33950</v>
      </c>
      <c r="B684" s="447">
        <v>34000</v>
      </c>
      <c r="C684" s="1378">
        <f t="shared" si="58"/>
        <v>0</v>
      </c>
      <c r="D684" s="448">
        <f t="shared" si="57"/>
        <v>2630</v>
      </c>
      <c r="E684" s="448">
        <f t="shared" si="57"/>
        <v>4914</v>
      </c>
      <c r="F684" s="447">
        <f t="shared" si="57"/>
        <v>5808</v>
      </c>
      <c r="G684" s="1378">
        <f t="shared" si="57"/>
        <v>0</v>
      </c>
      <c r="H684" s="448">
        <f t="shared" si="57"/>
        <v>3768</v>
      </c>
      <c r="I684" s="448">
        <f t="shared" si="57"/>
        <v>6414</v>
      </c>
      <c r="J684" s="447">
        <f t="shared" si="57"/>
        <v>7308</v>
      </c>
      <c r="K684" s="422"/>
      <c r="L684" s="448">
        <f t="shared" si="48"/>
        <v>33975</v>
      </c>
    </row>
    <row r="685" spans="1:12" ht="13.5">
      <c r="A685" s="448">
        <v>34000</v>
      </c>
      <c r="B685" s="447">
        <v>34050</v>
      </c>
      <c r="C685" s="1378">
        <f t="shared" si="58"/>
        <v>0</v>
      </c>
      <c r="D685" s="448">
        <f t="shared" si="57"/>
        <v>2622</v>
      </c>
      <c r="E685" s="448">
        <f t="shared" si="57"/>
        <v>4904</v>
      </c>
      <c r="F685" s="447">
        <f t="shared" si="57"/>
        <v>5798</v>
      </c>
      <c r="G685" s="1378">
        <f t="shared" si="57"/>
        <v>0</v>
      </c>
      <c r="H685" s="448">
        <f t="shared" si="57"/>
        <v>3760</v>
      </c>
      <c r="I685" s="448">
        <f t="shared" si="57"/>
        <v>6403</v>
      </c>
      <c r="J685" s="447">
        <f t="shared" si="57"/>
        <v>7297</v>
      </c>
      <c r="K685" s="422"/>
      <c r="L685" s="448">
        <f t="shared" si="48"/>
        <v>34025</v>
      </c>
    </row>
    <row r="686" spans="1:12" ht="13.5">
      <c r="A686" s="448">
        <v>34050</v>
      </c>
      <c r="B686" s="447">
        <v>34100</v>
      </c>
      <c r="C686" s="1378">
        <f t="shared" si="58"/>
        <v>0</v>
      </c>
      <c r="D686" s="448">
        <f t="shared" si="57"/>
        <v>2614</v>
      </c>
      <c r="E686" s="448">
        <f t="shared" si="57"/>
        <v>4893</v>
      </c>
      <c r="F686" s="447">
        <f t="shared" si="57"/>
        <v>5787</v>
      </c>
      <c r="G686" s="1378">
        <f t="shared" si="57"/>
        <v>0</v>
      </c>
      <c r="H686" s="448">
        <f t="shared" si="57"/>
        <v>3752</v>
      </c>
      <c r="I686" s="448">
        <f t="shared" si="57"/>
        <v>6393</v>
      </c>
      <c r="J686" s="447">
        <f t="shared" si="57"/>
        <v>7287</v>
      </c>
      <c r="K686" s="422"/>
      <c r="L686" s="448">
        <f t="shared" si="48"/>
        <v>34075</v>
      </c>
    </row>
    <row r="687" spans="1:12" ht="13.5">
      <c r="A687" s="448">
        <v>34100</v>
      </c>
      <c r="B687" s="447">
        <v>34150</v>
      </c>
      <c r="C687" s="1378">
        <f t="shared" si="58"/>
        <v>0</v>
      </c>
      <c r="D687" s="448">
        <f t="shared" si="57"/>
        <v>2606</v>
      </c>
      <c r="E687" s="448">
        <f t="shared" si="57"/>
        <v>4883</v>
      </c>
      <c r="F687" s="447">
        <f t="shared" si="57"/>
        <v>5777</v>
      </c>
      <c r="G687" s="1378">
        <f t="shared" si="57"/>
        <v>0</v>
      </c>
      <c r="H687" s="448">
        <f t="shared" si="57"/>
        <v>3744</v>
      </c>
      <c r="I687" s="448">
        <f t="shared" si="57"/>
        <v>6382</v>
      </c>
      <c r="J687" s="447">
        <f t="shared" si="57"/>
        <v>7276</v>
      </c>
      <c r="K687" s="422"/>
      <c r="L687" s="448">
        <f t="shared" si="48"/>
        <v>34125</v>
      </c>
    </row>
    <row r="688" spans="1:12" ht="13.5">
      <c r="A688" s="448">
        <v>34150</v>
      </c>
      <c r="B688" s="447">
        <v>34200</v>
      </c>
      <c r="C688" s="1378">
        <f t="shared" si="58"/>
        <v>0</v>
      </c>
      <c r="D688" s="448">
        <f t="shared" si="57"/>
        <v>2598</v>
      </c>
      <c r="E688" s="448">
        <f t="shared" si="57"/>
        <v>4872</v>
      </c>
      <c r="F688" s="447">
        <f t="shared" si="57"/>
        <v>5766</v>
      </c>
      <c r="G688" s="1378">
        <f t="shared" si="57"/>
        <v>0</v>
      </c>
      <c r="H688" s="448">
        <f t="shared" si="57"/>
        <v>3736</v>
      </c>
      <c r="I688" s="448">
        <f t="shared" si="57"/>
        <v>6372</v>
      </c>
      <c r="J688" s="447">
        <f t="shared" si="57"/>
        <v>7266</v>
      </c>
      <c r="K688" s="422"/>
      <c r="L688" s="448">
        <f t="shared" si="48"/>
        <v>34175</v>
      </c>
    </row>
    <row r="689" spans="1:12" ht="13.5">
      <c r="A689" s="448">
        <v>34200</v>
      </c>
      <c r="B689" s="447">
        <v>34250</v>
      </c>
      <c r="C689" s="1378">
        <f t="shared" si="58"/>
        <v>0</v>
      </c>
      <c r="D689" s="448">
        <f t="shared" si="57"/>
        <v>2590</v>
      </c>
      <c r="E689" s="448">
        <f t="shared" si="57"/>
        <v>4862</v>
      </c>
      <c r="F689" s="447">
        <f t="shared" si="57"/>
        <v>5756</v>
      </c>
      <c r="G689" s="1378">
        <f t="shared" si="57"/>
        <v>0</v>
      </c>
      <c r="H689" s="448">
        <f t="shared" si="57"/>
        <v>3728</v>
      </c>
      <c r="I689" s="448">
        <f t="shared" si="57"/>
        <v>6361</v>
      </c>
      <c r="J689" s="447">
        <f t="shared" si="57"/>
        <v>7255</v>
      </c>
      <c r="K689" s="422"/>
      <c r="L689" s="448">
        <f t="shared" si="48"/>
        <v>34225</v>
      </c>
    </row>
    <row r="690" spans="1:12" ht="13.5">
      <c r="A690" s="448">
        <v>34250</v>
      </c>
      <c r="B690" s="447">
        <v>34300</v>
      </c>
      <c r="C690" s="1378">
        <f t="shared" si="58"/>
        <v>0</v>
      </c>
      <c r="D690" s="448">
        <f t="shared" si="57"/>
        <v>2582</v>
      </c>
      <c r="E690" s="448">
        <f t="shared" si="57"/>
        <v>4851</v>
      </c>
      <c r="F690" s="447">
        <f t="shared" si="57"/>
        <v>5745</v>
      </c>
      <c r="G690" s="1378">
        <f t="shared" si="57"/>
        <v>0</v>
      </c>
      <c r="H690" s="448">
        <f t="shared" si="57"/>
        <v>3720</v>
      </c>
      <c r="I690" s="448">
        <f t="shared" si="57"/>
        <v>6351</v>
      </c>
      <c r="J690" s="447">
        <f t="shared" si="57"/>
        <v>7245</v>
      </c>
      <c r="K690" s="422"/>
      <c r="L690" s="448">
        <f t="shared" si="48"/>
        <v>34275</v>
      </c>
    </row>
    <row r="691" spans="1:12" ht="13.5">
      <c r="A691" s="448">
        <v>34300</v>
      </c>
      <c r="B691" s="447">
        <v>34350</v>
      </c>
      <c r="C691" s="1378">
        <f t="shared" si="58"/>
        <v>0</v>
      </c>
      <c r="D691" s="448">
        <f t="shared" si="57"/>
        <v>2574</v>
      </c>
      <c r="E691" s="448">
        <f t="shared" si="57"/>
        <v>4841</v>
      </c>
      <c r="F691" s="447">
        <f t="shared" si="57"/>
        <v>5735</v>
      </c>
      <c r="G691" s="1378">
        <f t="shared" si="57"/>
        <v>0</v>
      </c>
      <c r="H691" s="448">
        <f t="shared" si="57"/>
        <v>3712</v>
      </c>
      <c r="I691" s="448">
        <f t="shared" si="57"/>
        <v>6340</v>
      </c>
      <c r="J691" s="447">
        <f t="shared" si="57"/>
        <v>7234</v>
      </c>
      <c r="K691" s="422"/>
      <c r="L691" s="448">
        <f t="shared" si="48"/>
        <v>34325</v>
      </c>
    </row>
    <row r="692" spans="1:12" ht="13.5">
      <c r="A692" s="448">
        <v>34350</v>
      </c>
      <c r="B692" s="447">
        <v>34400</v>
      </c>
      <c r="C692" s="1378">
        <f t="shared" si="58"/>
        <v>0</v>
      </c>
      <c r="D692" s="448">
        <f t="shared" si="57"/>
        <v>2566</v>
      </c>
      <c r="E692" s="448">
        <f t="shared" si="57"/>
        <v>4830</v>
      </c>
      <c r="F692" s="447">
        <f t="shared" si="57"/>
        <v>5724</v>
      </c>
      <c r="G692" s="1378">
        <f t="shared" si="57"/>
        <v>0</v>
      </c>
      <c r="H692" s="448">
        <f t="shared" si="57"/>
        <v>3704</v>
      </c>
      <c r="I692" s="448">
        <f t="shared" si="57"/>
        <v>6330</v>
      </c>
      <c r="J692" s="447">
        <f t="shared" si="57"/>
        <v>7224</v>
      </c>
      <c r="K692" s="422"/>
      <c r="L692" s="448">
        <f t="shared" si="48"/>
        <v>34375</v>
      </c>
    </row>
    <row r="693" spans="1:12" ht="13.5">
      <c r="A693" s="448">
        <v>34400</v>
      </c>
      <c r="B693" s="447">
        <v>34450</v>
      </c>
      <c r="C693" s="1378">
        <f t="shared" si="58"/>
        <v>0</v>
      </c>
      <c r="D693" s="448">
        <f t="shared" si="57"/>
        <v>2558</v>
      </c>
      <c r="E693" s="448">
        <f t="shared" si="57"/>
        <v>4820</v>
      </c>
      <c r="F693" s="447">
        <f t="shared" si="57"/>
        <v>5714</v>
      </c>
      <c r="G693" s="1378">
        <f t="shared" si="57"/>
        <v>0</v>
      </c>
      <c r="H693" s="448">
        <f t="shared" si="57"/>
        <v>3696</v>
      </c>
      <c r="I693" s="448">
        <f t="shared" si="57"/>
        <v>6319</v>
      </c>
      <c r="J693" s="447">
        <f t="shared" si="57"/>
        <v>7213</v>
      </c>
      <c r="K693" s="422"/>
      <c r="L693" s="448">
        <f t="shared" si="48"/>
        <v>34425</v>
      </c>
    </row>
    <row r="694" spans="1:12" ht="13.5">
      <c r="A694" s="448">
        <v>34450</v>
      </c>
      <c r="B694" s="447">
        <v>34500</v>
      </c>
      <c r="C694" s="1378">
        <f t="shared" si="58"/>
        <v>0</v>
      </c>
      <c r="D694" s="448">
        <f t="shared" si="57"/>
        <v>2550</v>
      </c>
      <c r="E694" s="448">
        <f t="shared" si="57"/>
        <v>4809</v>
      </c>
      <c r="F694" s="447">
        <f t="shared" si="57"/>
        <v>5703</v>
      </c>
      <c r="G694" s="1378">
        <f t="shared" si="57"/>
        <v>0</v>
      </c>
      <c r="H694" s="448">
        <f t="shared" si="57"/>
        <v>3688</v>
      </c>
      <c r="I694" s="448">
        <f t="shared" si="57"/>
        <v>6309</v>
      </c>
      <c r="J694" s="447">
        <f t="shared" si="57"/>
        <v>7203</v>
      </c>
      <c r="K694" s="422"/>
      <c r="L694" s="448">
        <f t="shared" si="48"/>
        <v>34475</v>
      </c>
    </row>
    <row r="695" spans="1:12" ht="13.5">
      <c r="A695" s="448">
        <v>34500</v>
      </c>
      <c r="B695" s="447">
        <v>34550</v>
      </c>
      <c r="C695" s="1378">
        <f t="shared" si="58"/>
        <v>0</v>
      </c>
      <c r="D695" s="448">
        <f t="shared" si="57"/>
        <v>2542</v>
      </c>
      <c r="E695" s="448">
        <f t="shared" si="57"/>
        <v>4799</v>
      </c>
      <c r="F695" s="447">
        <f t="shared" si="57"/>
        <v>5693</v>
      </c>
      <c r="G695" s="1378">
        <f t="shared" si="57"/>
        <v>0</v>
      </c>
      <c r="H695" s="448">
        <f t="shared" si="57"/>
        <v>3680</v>
      </c>
      <c r="I695" s="448">
        <f t="shared" si="57"/>
        <v>6298</v>
      </c>
      <c r="J695" s="447">
        <f t="shared" si="57"/>
        <v>7192</v>
      </c>
      <c r="K695" s="422"/>
      <c r="L695" s="448">
        <f t="shared" si="48"/>
        <v>34525</v>
      </c>
    </row>
    <row r="696" spans="1:12" ht="13.5">
      <c r="A696" s="448">
        <v>34550</v>
      </c>
      <c r="B696" s="447">
        <v>34600</v>
      </c>
      <c r="C696" s="1378">
        <f t="shared" si="58"/>
        <v>0</v>
      </c>
      <c r="D696" s="448">
        <f t="shared" si="57"/>
        <v>2534</v>
      </c>
      <c r="E696" s="448">
        <f t="shared" si="57"/>
        <v>4788</v>
      </c>
      <c r="F696" s="447">
        <f t="shared" si="57"/>
        <v>5682</v>
      </c>
      <c r="G696" s="1378">
        <f t="shared" si="57"/>
        <v>0</v>
      </c>
      <c r="H696" s="448">
        <f t="shared" si="57"/>
        <v>3672</v>
      </c>
      <c r="I696" s="448">
        <f t="shared" si="57"/>
        <v>6287</v>
      </c>
      <c r="J696" s="447">
        <f t="shared" si="57"/>
        <v>7181</v>
      </c>
      <c r="K696" s="422"/>
      <c r="L696" s="448">
        <f t="shared" si="48"/>
        <v>34575</v>
      </c>
    </row>
    <row r="697" spans="1:12" ht="13.5">
      <c r="A697" s="448">
        <v>34600</v>
      </c>
      <c r="B697" s="447">
        <v>34650</v>
      </c>
      <c r="C697" s="1378">
        <f t="shared" si="58"/>
        <v>0</v>
      </c>
      <c r="D697" s="448">
        <f t="shared" si="57"/>
        <v>2526</v>
      </c>
      <c r="E697" s="448">
        <f t="shared" si="57"/>
        <v>4777</v>
      </c>
      <c r="F697" s="447">
        <f t="shared" si="57"/>
        <v>5671</v>
      </c>
      <c r="G697" s="1378">
        <f t="shared" si="57"/>
        <v>0</v>
      </c>
      <c r="H697" s="448">
        <f t="shared" si="57"/>
        <v>3664</v>
      </c>
      <c r="I697" s="448">
        <f t="shared" si="57"/>
        <v>6277</v>
      </c>
      <c r="J697" s="447">
        <f t="shared" si="57"/>
        <v>7171</v>
      </c>
      <c r="K697" s="422"/>
      <c r="L697" s="448">
        <f t="shared" si="48"/>
        <v>34625</v>
      </c>
    </row>
    <row r="698" spans="1:12" ht="13.5">
      <c r="A698" s="448">
        <v>34650</v>
      </c>
      <c r="B698" s="447">
        <v>34700</v>
      </c>
      <c r="C698" s="1378">
        <f t="shared" si="58"/>
        <v>0</v>
      </c>
      <c r="D698" s="448">
        <f t="shared" si="57"/>
        <v>2518</v>
      </c>
      <c r="E698" s="448">
        <f t="shared" si="57"/>
        <v>4767</v>
      </c>
      <c r="F698" s="447">
        <f t="shared" si="57"/>
        <v>5661</v>
      </c>
      <c r="G698" s="1378">
        <f t="shared" si="57"/>
        <v>0</v>
      </c>
      <c r="H698" s="448">
        <f t="shared" si="57"/>
        <v>3656</v>
      </c>
      <c r="I698" s="448">
        <f t="shared" si="57"/>
        <v>6266</v>
      </c>
      <c r="J698" s="447">
        <f t="shared" si="57"/>
        <v>7160</v>
      </c>
      <c r="K698" s="422"/>
      <c r="L698" s="448">
        <f t="shared" si="48"/>
        <v>34675</v>
      </c>
    </row>
    <row r="699" spans="1:12" ht="13.5">
      <c r="A699" s="448">
        <v>34700</v>
      </c>
      <c r="B699" s="447">
        <v>34750</v>
      </c>
      <c r="C699" s="1378">
        <f t="shared" si="58"/>
        <v>0</v>
      </c>
      <c r="D699" s="448">
        <f t="shared" si="57"/>
        <v>2510</v>
      </c>
      <c r="E699" s="448">
        <f t="shared" si="57"/>
        <v>4756</v>
      </c>
      <c r="F699" s="447">
        <f t="shared" si="57"/>
        <v>5650</v>
      </c>
      <c r="G699" s="1378">
        <f t="shared" si="57"/>
        <v>0</v>
      </c>
      <c r="H699" s="448">
        <f t="shared" si="57"/>
        <v>3648</v>
      </c>
      <c r="I699" s="448">
        <f t="shared" si="57"/>
        <v>6256</v>
      </c>
      <c r="J699" s="447">
        <f t="shared" si="57"/>
        <v>7150</v>
      </c>
      <c r="K699" s="422"/>
      <c r="L699" s="448">
        <f t="shared" si="48"/>
        <v>34725</v>
      </c>
    </row>
    <row r="700" spans="1:12" ht="13.5">
      <c r="A700" s="448">
        <v>34750</v>
      </c>
      <c r="B700" s="447">
        <v>34800</v>
      </c>
      <c r="C700" s="1378">
        <f t="shared" si="58"/>
        <v>0</v>
      </c>
      <c r="D700" s="448">
        <f t="shared" si="57"/>
        <v>2502</v>
      </c>
      <c r="E700" s="448">
        <f t="shared" si="57"/>
        <v>4746</v>
      </c>
      <c r="F700" s="447">
        <f t="shared" si="57"/>
        <v>5640</v>
      </c>
      <c r="G700" s="1378">
        <f t="shared" si="57"/>
        <v>0</v>
      </c>
      <c r="H700" s="448">
        <f t="shared" si="57"/>
        <v>3640</v>
      </c>
      <c r="I700" s="448">
        <f t="shared" si="57"/>
        <v>6245</v>
      </c>
      <c r="J700" s="447">
        <f t="shared" si="57"/>
        <v>7139</v>
      </c>
      <c r="K700" s="422"/>
      <c r="L700" s="448">
        <f t="shared" si="48"/>
        <v>34775</v>
      </c>
    </row>
    <row r="701" spans="1:12" ht="13.5">
      <c r="A701" s="448">
        <v>34800</v>
      </c>
      <c r="B701" s="447">
        <v>34850</v>
      </c>
      <c r="C701" s="1378">
        <f t="shared" si="58"/>
        <v>0</v>
      </c>
      <c r="D701" s="448">
        <f t="shared" si="57"/>
        <v>2494</v>
      </c>
      <c r="E701" s="448">
        <f t="shared" si="57"/>
        <v>4735</v>
      </c>
      <c r="F701" s="447">
        <f t="shared" si="57"/>
        <v>5629</v>
      </c>
      <c r="G701" s="1378">
        <f t="shared" si="57"/>
        <v>0</v>
      </c>
      <c r="H701" s="448">
        <f t="shared" si="57"/>
        <v>3632</v>
      </c>
      <c r="I701" s="448">
        <f t="shared" si="57"/>
        <v>6235</v>
      </c>
      <c r="J701" s="447">
        <f t="shared" si="57"/>
        <v>7129</v>
      </c>
      <c r="K701" s="422"/>
      <c r="L701" s="448">
        <f t="shared" si="48"/>
        <v>34825</v>
      </c>
    </row>
    <row r="702" spans="1:12" ht="13.5">
      <c r="A702" s="448">
        <v>34850</v>
      </c>
      <c r="B702" s="447">
        <v>34900</v>
      </c>
      <c r="C702" s="1378">
        <f t="shared" si="58"/>
        <v>0</v>
      </c>
      <c r="D702" s="448">
        <f t="shared" si="57"/>
        <v>2486</v>
      </c>
      <c r="E702" s="448">
        <f t="shared" si="57"/>
        <v>4725</v>
      </c>
      <c r="F702" s="447">
        <f t="shared" si="57"/>
        <v>5619</v>
      </c>
      <c r="G702" s="1378">
        <f t="shared" si="57"/>
        <v>0</v>
      </c>
      <c r="H702" s="448">
        <f t="shared" si="57"/>
        <v>3624</v>
      </c>
      <c r="I702" s="448">
        <f t="shared" si="57"/>
        <v>6224</v>
      </c>
      <c r="J702" s="447">
        <f t="shared" si="57"/>
        <v>7118</v>
      </c>
      <c r="K702" s="422"/>
      <c r="L702" s="448">
        <f t="shared" si="48"/>
        <v>34875</v>
      </c>
    </row>
    <row r="703" spans="1:12" ht="13.5">
      <c r="A703" s="448">
        <v>34900</v>
      </c>
      <c r="B703" s="447">
        <v>34950</v>
      </c>
      <c r="C703" s="1378">
        <f t="shared" si="58"/>
        <v>0</v>
      </c>
      <c r="D703" s="448">
        <f t="shared" si="57"/>
        <v>2478</v>
      </c>
      <c r="E703" s="448">
        <f t="shared" si="57"/>
        <v>4714</v>
      </c>
      <c r="F703" s="447">
        <f t="shared" si="57"/>
        <v>5608</v>
      </c>
      <c r="G703" s="1378">
        <f t="shared" si="57"/>
        <v>0</v>
      </c>
      <c r="H703" s="448">
        <f t="shared" si="57"/>
        <v>3616</v>
      </c>
      <c r="I703" s="448">
        <f t="shared" si="57"/>
        <v>6214</v>
      </c>
      <c r="J703" s="447">
        <f t="shared" si="57"/>
        <v>7108</v>
      </c>
      <c r="K703" s="422"/>
      <c r="L703" s="448">
        <f t="shared" si="48"/>
        <v>34925</v>
      </c>
    </row>
    <row r="704" spans="1:12" ht="13.5">
      <c r="A704" s="448">
        <v>34950</v>
      </c>
      <c r="B704" s="447">
        <v>35000</v>
      </c>
      <c r="C704" s="1378">
        <f t="shared" si="58"/>
        <v>0</v>
      </c>
      <c r="D704" s="448">
        <f t="shared" si="57"/>
        <v>2470</v>
      </c>
      <c r="E704" s="448">
        <f t="shared" si="57"/>
        <v>4704</v>
      </c>
      <c r="F704" s="447">
        <f t="shared" si="57"/>
        <v>5598</v>
      </c>
      <c r="G704" s="1378">
        <f t="shared" si="57"/>
        <v>0</v>
      </c>
      <c r="H704" s="448">
        <f t="shared" si="57"/>
        <v>3608</v>
      </c>
      <c r="I704" s="448">
        <f t="shared" si="57"/>
        <v>6203</v>
      </c>
      <c r="J704" s="447">
        <f t="shared" si="57"/>
        <v>7097</v>
      </c>
      <c r="K704" s="422"/>
      <c r="L704" s="448">
        <f t="shared" si="48"/>
        <v>34975</v>
      </c>
    </row>
    <row r="705" spans="1:12" ht="13.5">
      <c r="A705" s="448">
        <v>35000</v>
      </c>
      <c r="B705" s="447">
        <v>35050</v>
      </c>
      <c r="C705" s="1378">
        <f t="shared" si="58"/>
        <v>0</v>
      </c>
      <c r="D705" s="448">
        <f t="shared" si="57"/>
        <v>2462</v>
      </c>
      <c r="E705" s="448">
        <f t="shared" si="57"/>
        <v>4693</v>
      </c>
      <c r="F705" s="447">
        <f t="shared" si="57"/>
        <v>5587</v>
      </c>
      <c r="G705" s="1378">
        <f t="shared" si="57"/>
        <v>0</v>
      </c>
      <c r="H705" s="448">
        <f t="shared" si="57"/>
        <v>3600</v>
      </c>
      <c r="I705" s="448">
        <f t="shared" si="57"/>
        <v>6193</v>
      </c>
      <c r="J705" s="447">
        <f t="shared" si="57"/>
        <v>7087</v>
      </c>
      <c r="K705" s="422"/>
      <c r="L705" s="448">
        <f t="shared" si="48"/>
        <v>35025</v>
      </c>
    </row>
    <row r="706" spans="1:12" ht="13.5">
      <c r="A706" s="448">
        <v>35050</v>
      </c>
      <c r="B706" s="447">
        <v>35100</v>
      </c>
      <c r="C706" s="1378">
        <f t="shared" si="58"/>
        <v>0</v>
      </c>
      <c r="D706" s="448">
        <f t="shared" si="57"/>
        <v>2454</v>
      </c>
      <c r="E706" s="448">
        <f t="shared" si="57"/>
        <v>4683</v>
      </c>
      <c r="F706" s="447">
        <f t="shared" si="57"/>
        <v>5577</v>
      </c>
      <c r="G706" s="1378">
        <f t="shared" si="57"/>
        <v>0</v>
      </c>
      <c r="H706" s="448">
        <f t="shared" si="57"/>
        <v>3592</v>
      </c>
      <c r="I706" s="448">
        <f t="shared" si="57"/>
        <v>6182</v>
      </c>
      <c r="J706" s="447">
        <f t="shared" si="57"/>
        <v>7076</v>
      </c>
      <c r="K706" s="422"/>
      <c r="L706" s="448">
        <f t="shared" si="48"/>
        <v>35075</v>
      </c>
    </row>
    <row r="707" spans="1:12" ht="13.5">
      <c r="A707" s="448">
        <v>35100</v>
      </c>
      <c r="B707" s="447">
        <v>35150</v>
      </c>
      <c r="C707" s="1378">
        <f t="shared" si="58"/>
        <v>0</v>
      </c>
      <c r="D707" s="448">
        <f t="shared" si="57"/>
        <v>2446</v>
      </c>
      <c r="E707" s="448">
        <f t="shared" si="57"/>
        <v>4672</v>
      </c>
      <c r="F707" s="447">
        <f t="shared" si="57"/>
        <v>5566</v>
      </c>
      <c r="G707" s="1378">
        <f t="shared" si="57"/>
        <v>0</v>
      </c>
      <c r="H707" s="448">
        <f t="shared" si="57"/>
        <v>3584</v>
      </c>
      <c r="I707" s="448">
        <f t="shared" si="57"/>
        <v>6172</v>
      </c>
      <c r="J707" s="447">
        <f t="shared" si="57"/>
        <v>7066</v>
      </c>
      <c r="K707" s="422"/>
      <c r="L707" s="448">
        <f t="shared" si="48"/>
        <v>35125</v>
      </c>
    </row>
    <row r="708" spans="1:12" ht="13.5">
      <c r="A708" s="448">
        <v>35150</v>
      </c>
      <c r="B708" s="447">
        <v>35200</v>
      </c>
      <c r="C708" s="1378">
        <f t="shared" si="58"/>
        <v>0</v>
      </c>
      <c r="D708" s="448">
        <f t="shared" si="57"/>
        <v>2438</v>
      </c>
      <c r="E708" s="448">
        <f t="shared" si="57"/>
        <v>4662</v>
      </c>
      <c r="F708" s="447">
        <f t="shared" si="57"/>
        <v>5556</v>
      </c>
      <c r="G708" s="1378">
        <f t="shared" si="57"/>
        <v>0</v>
      </c>
      <c r="H708" s="448">
        <f t="shared" si="57"/>
        <v>3576</v>
      </c>
      <c r="I708" s="448">
        <f t="shared" si="57"/>
        <v>6161</v>
      </c>
      <c r="J708" s="447">
        <f t="shared" si="57"/>
        <v>7055</v>
      </c>
      <c r="K708" s="422"/>
      <c r="L708" s="448">
        <f t="shared" si="48"/>
        <v>35175</v>
      </c>
    </row>
    <row r="709" spans="1:12" ht="13.5">
      <c r="A709" s="448">
        <v>35200</v>
      </c>
      <c r="B709" s="447">
        <v>35250</v>
      </c>
      <c r="C709" s="1378">
        <f t="shared" si="58"/>
        <v>0</v>
      </c>
      <c r="D709" s="448">
        <f t="shared" si="57"/>
        <v>2430</v>
      </c>
      <c r="E709" s="448">
        <f t="shared" si="57"/>
        <v>4651</v>
      </c>
      <c r="F709" s="447">
        <f t="shared" si="57"/>
        <v>5545</v>
      </c>
      <c r="G709" s="1378">
        <f t="shared" si="57"/>
        <v>0</v>
      </c>
      <c r="H709" s="448">
        <f t="shared" si="57"/>
        <v>3568</v>
      </c>
      <c r="I709" s="448">
        <f t="shared" si="57"/>
        <v>6151</v>
      </c>
      <c r="J709" s="447">
        <f t="shared" si="57"/>
        <v>7045</v>
      </c>
      <c r="K709" s="422"/>
      <c r="L709" s="448">
        <f t="shared" si="48"/>
        <v>35225</v>
      </c>
    </row>
    <row r="710" spans="1:12" ht="13.5">
      <c r="A710" s="448">
        <v>35250</v>
      </c>
      <c r="B710" s="447">
        <v>35300</v>
      </c>
      <c r="C710" s="1378">
        <f t="shared" si="58"/>
        <v>0</v>
      </c>
      <c r="D710" s="448">
        <f t="shared" si="57"/>
        <v>2422</v>
      </c>
      <c r="E710" s="448">
        <f t="shared" si="57"/>
        <v>4641</v>
      </c>
      <c r="F710" s="447">
        <f t="shared" si="57"/>
        <v>5535</v>
      </c>
      <c r="G710" s="1378">
        <f t="shared" si="57"/>
        <v>0</v>
      </c>
      <c r="H710" s="448">
        <f t="shared" si="57"/>
        <v>3560</v>
      </c>
      <c r="I710" s="448">
        <f t="shared" si="57"/>
        <v>6140</v>
      </c>
      <c r="J710" s="447">
        <f t="shared" si="57"/>
        <v>7034</v>
      </c>
      <c r="K710" s="422"/>
      <c r="L710" s="448">
        <f t="shared" si="48"/>
        <v>35275</v>
      </c>
    </row>
    <row r="711" spans="1:12" ht="13.5">
      <c r="A711" s="448">
        <v>35300</v>
      </c>
      <c r="B711" s="447">
        <v>35350</v>
      </c>
      <c r="C711" s="1378">
        <f t="shared" si="58"/>
        <v>0</v>
      </c>
      <c r="D711" s="448">
        <f t="shared" si="57"/>
        <v>2414</v>
      </c>
      <c r="E711" s="448">
        <f t="shared" si="57"/>
        <v>4630</v>
      </c>
      <c r="F711" s="447">
        <f t="shared" si="57"/>
        <v>5524</v>
      </c>
      <c r="G711" s="1378">
        <f t="shared" si="57"/>
        <v>0</v>
      </c>
      <c r="H711" s="448">
        <f t="shared" si="57"/>
        <v>3552</v>
      </c>
      <c r="I711" s="448">
        <f t="shared" si="57"/>
        <v>6130</v>
      </c>
      <c r="J711" s="447">
        <f t="shared" si="57"/>
        <v>7024</v>
      </c>
      <c r="K711" s="422"/>
      <c r="L711" s="448">
        <f t="shared" ref="L711:L774" si="59">ROUND((A711+B711)/2,2)</f>
        <v>35325</v>
      </c>
    </row>
    <row r="712" spans="1:12" ht="13.5">
      <c r="A712" s="448">
        <v>35350</v>
      </c>
      <c r="B712" s="447">
        <v>35400</v>
      </c>
      <c r="C712" s="1378">
        <f t="shared" si="58"/>
        <v>0</v>
      </c>
      <c r="D712" s="448">
        <f t="shared" si="57"/>
        <v>2406</v>
      </c>
      <c r="E712" s="448">
        <f t="shared" si="57"/>
        <v>4620</v>
      </c>
      <c r="F712" s="447">
        <f t="shared" si="57"/>
        <v>5514</v>
      </c>
      <c r="G712" s="1378">
        <f t="shared" si="57"/>
        <v>0</v>
      </c>
      <c r="H712" s="448">
        <f t="shared" si="57"/>
        <v>3544</v>
      </c>
      <c r="I712" s="448">
        <f t="shared" si="57"/>
        <v>6119</v>
      </c>
      <c r="J712" s="447">
        <f t="shared" si="57"/>
        <v>7013</v>
      </c>
      <c r="K712" s="422"/>
      <c r="L712" s="448">
        <f t="shared" si="59"/>
        <v>35375</v>
      </c>
    </row>
    <row r="713" spans="1:12" ht="13.5">
      <c r="A713" s="448">
        <v>35400</v>
      </c>
      <c r="B713" s="447">
        <v>35450</v>
      </c>
      <c r="C713" s="1378">
        <f t="shared" si="58"/>
        <v>0</v>
      </c>
      <c r="D713" s="448">
        <f t="shared" si="57"/>
        <v>2398</v>
      </c>
      <c r="E713" s="448">
        <f t="shared" si="57"/>
        <v>4609</v>
      </c>
      <c r="F713" s="447">
        <f t="shared" si="57"/>
        <v>5503</v>
      </c>
      <c r="G713" s="1378">
        <f t="shared" si="57"/>
        <v>0</v>
      </c>
      <c r="H713" s="448">
        <f t="shared" si="57"/>
        <v>3536</v>
      </c>
      <c r="I713" s="448">
        <f t="shared" si="57"/>
        <v>6108</v>
      </c>
      <c r="J713" s="447">
        <f t="shared" si="57"/>
        <v>7002</v>
      </c>
      <c r="K713" s="422"/>
      <c r="L713" s="448">
        <f t="shared" si="59"/>
        <v>35425</v>
      </c>
    </row>
    <row r="714" spans="1:12" ht="13.5">
      <c r="A714" s="448">
        <v>35450</v>
      </c>
      <c r="B714" s="447">
        <v>35500</v>
      </c>
      <c r="C714" s="1378">
        <f t="shared" si="58"/>
        <v>0</v>
      </c>
      <c r="D714" s="448">
        <f t="shared" si="57"/>
        <v>2390</v>
      </c>
      <c r="E714" s="448">
        <f t="shared" si="57"/>
        <v>4598</v>
      </c>
      <c r="F714" s="447">
        <f t="shared" si="57"/>
        <v>5492</v>
      </c>
      <c r="G714" s="1378">
        <f t="shared" si="57"/>
        <v>0</v>
      </c>
      <c r="H714" s="448">
        <f t="shared" si="57"/>
        <v>3528</v>
      </c>
      <c r="I714" s="448">
        <f t="shared" si="57"/>
        <v>6098</v>
      </c>
      <c r="J714" s="447">
        <f t="shared" si="57"/>
        <v>6992</v>
      </c>
      <c r="K714" s="422"/>
      <c r="L714" s="448">
        <f t="shared" si="59"/>
        <v>35475</v>
      </c>
    </row>
    <row r="715" spans="1:12" ht="13.5">
      <c r="A715" s="448">
        <v>35500</v>
      </c>
      <c r="B715" s="447">
        <v>35550</v>
      </c>
      <c r="C715" s="1378">
        <f t="shared" si="58"/>
        <v>0</v>
      </c>
      <c r="D715" s="448">
        <f t="shared" si="57"/>
        <v>2382</v>
      </c>
      <c r="E715" s="448">
        <f t="shared" si="57"/>
        <v>4588</v>
      </c>
      <c r="F715" s="447">
        <f t="shared" si="57"/>
        <v>5482</v>
      </c>
      <c r="G715" s="1378">
        <f t="shared" si="57"/>
        <v>0</v>
      </c>
      <c r="H715" s="448">
        <f t="shared" si="57"/>
        <v>3520</v>
      </c>
      <c r="I715" s="448">
        <f t="shared" si="57"/>
        <v>6087</v>
      </c>
      <c r="J715" s="447">
        <f t="shared" si="57"/>
        <v>6981</v>
      </c>
      <c r="K715" s="422"/>
      <c r="L715" s="448">
        <f t="shared" si="59"/>
        <v>35525</v>
      </c>
    </row>
    <row r="716" spans="1:12" ht="13.5">
      <c r="A716" s="448">
        <v>35550</v>
      </c>
      <c r="B716" s="447">
        <v>35600</v>
      </c>
      <c r="C716" s="1378">
        <f t="shared" si="58"/>
        <v>0</v>
      </c>
      <c r="D716" s="448">
        <f t="shared" si="57"/>
        <v>2374</v>
      </c>
      <c r="E716" s="448">
        <f t="shared" si="57"/>
        <v>4577</v>
      </c>
      <c r="F716" s="447">
        <f t="shared" si="57"/>
        <v>5471</v>
      </c>
      <c r="G716" s="1378">
        <f t="shared" si="57"/>
        <v>0</v>
      </c>
      <c r="H716" s="448">
        <f t="shared" si="57"/>
        <v>3512</v>
      </c>
      <c r="I716" s="448">
        <f t="shared" si="57"/>
        <v>6077</v>
      </c>
      <c r="J716" s="447">
        <f t="shared" si="57"/>
        <v>6971</v>
      </c>
      <c r="K716" s="422"/>
      <c r="L716" s="448">
        <f t="shared" si="59"/>
        <v>35575</v>
      </c>
    </row>
    <row r="717" spans="1:12" ht="13.5">
      <c r="A717" s="448">
        <v>35600</v>
      </c>
      <c r="B717" s="447">
        <v>35650</v>
      </c>
      <c r="C717" s="1378">
        <f t="shared" si="58"/>
        <v>0</v>
      </c>
      <c r="D717" s="448">
        <f t="shared" si="57"/>
        <v>2366</v>
      </c>
      <c r="E717" s="448">
        <f t="shared" si="57"/>
        <v>4567</v>
      </c>
      <c r="F717" s="447">
        <f t="shared" si="57"/>
        <v>5461</v>
      </c>
      <c r="G717" s="1378">
        <f t="shared" ref="G717:J780" si="60">IF($L717&gt;R$5,MAX(0,R$3+ROUND((R$9*($L717-R$5)),0)),IF($L717&gt;R$4,R$3,ROUND($L717*R$7,0)))</f>
        <v>0</v>
      </c>
      <c r="H717" s="448">
        <f t="shared" si="60"/>
        <v>3504</v>
      </c>
      <c r="I717" s="448">
        <f t="shared" si="60"/>
        <v>6066</v>
      </c>
      <c r="J717" s="447">
        <f t="shared" si="60"/>
        <v>6960</v>
      </c>
      <c r="K717" s="422"/>
      <c r="L717" s="448">
        <f t="shared" si="59"/>
        <v>35625</v>
      </c>
    </row>
    <row r="718" spans="1:12" ht="13.5">
      <c r="A718" s="448">
        <v>35650</v>
      </c>
      <c r="B718" s="447">
        <v>35700</v>
      </c>
      <c r="C718" s="1378">
        <f t="shared" si="58"/>
        <v>0</v>
      </c>
      <c r="D718" s="448">
        <f t="shared" si="58"/>
        <v>2358</v>
      </c>
      <c r="E718" s="448">
        <f t="shared" si="58"/>
        <v>4556</v>
      </c>
      <c r="F718" s="447">
        <f t="shared" si="58"/>
        <v>5450</v>
      </c>
      <c r="G718" s="1378">
        <f t="shared" si="60"/>
        <v>0</v>
      </c>
      <c r="H718" s="448">
        <f t="shared" si="60"/>
        <v>3496</v>
      </c>
      <c r="I718" s="448">
        <f t="shared" si="60"/>
        <v>6056</v>
      </c>
      <c r="J718" s="447">
        <f t="shared" si="60"/>
        <v>6950</v>
      </c>
      <c r="K718" s="422"/>
      <c r="L718" s="448">
        <f t="shared" si="59"/>
        <v>35675</v>
      </c>
    </row>
    <row r="719" spans="1:12" ht="13.5">
      <c r="A719" s="448">
        <v>35700</v>
      </c>
      <c r="B719" s="447">
        <v>35750</v>
      </c>
      <c r="C719" s="1378">
        <f t="shared" si="58"/>
        <v>0</v>
      </c>
      <c r="D719" s="448">
        <f t="shared" si="58"/>
        <v>2350</v>
      </c>
      <c r="E719" s="448">
        <f t="shared" si="58"/>
        <v>4546</v>
      </c>
      <c r="F719" s="447">
        <f t="shared" si="58"/>
        <v>5440</v>
      </c>
      <c r="G719" s="1378">
        <f t="shared" si="60"/>
        <v>0</v>
      </c>
      <c r="H719" s="448">
        <f t="shared" si="60"/>
        <v>3488</v>
      </c>
      <c r="I719" s="448">
        <f t="shared" si="60"/>
        <v>6045</v>
      </c>
      <c r="J719" s="447">
        <f t="shared" si="60"/>
        <v>6939</v>
      </c>
      <c r="K719" s="422"/>
      <c r="L719" s="448">
        <f t="shared" si="59"/>
        <v>35725</v>
      </c>
    </row>
    <row r="720" spans="1:12" ht="13.5">
      <c r="A720" s="448">
        <v>35750</v>
      </c>
      <c r="B720" s="447">
        <v>35800</v>
      </c>
      <c r="C720" s="1378">
        <f t="shared" si="58"/>
        <v>0</v>
      </c>
      <c r="D720" s="448">
        <f t="shared" si="58"/>
        <v>2342</v>
      </c>
      <c r="E720" s="448">
        <f t="shared" si="58"/>
        <v>4535</v>
      </c>
      <c r="F720" s="447">
        <f t="shared" si="58"/>
        <v>5429</v>
      </c>
      <c r="G720" s="1378">
        <f t="shared" si="60"/>
        <v>0</v>
      </c>
      <c r="H720" s="448">
        <f t="shared" si="60"/>
        <v>3480</v>
      </c>
      <c r="I720" s="448">
        <f t="shared" si="60"/>
        <v>6035</v>
      </c>
      <c r="J720" s="447">
        <f t="shared" si="60"/>
        <v>6929</v>
      </c>
      <c r="K720" s="422"/>
      <c r="L720" s="448">
        <f t="shared" si="59"/>
        <v>35775</v>
      </c>
    </row>
    <row r="721" spans="1:12" ht="13.5">
      <c r="A721" s="448">
        <v>35800</v>
      </c>
      <c r="B721" s="447">
        <v>35850</v>
      </c>
      <c r="C721" s="1378">
        <f t="shared" si="58"/>
        <v>0</v>
      </c>
      <c r="D721" s="448">
        <f t="shared" si="58"/>
        <v>2335</v>
      </c>
      <c r="E721" s="448">
        <f t="shared" si="58"/>
        <v>4525</v>
      </c>
      <c r="F721" s="447">
        <f t="shared" si="58"/>
        <v>5419</v>
      </c>
      <c r="G721" s="1378">
        <f t="shared" si="60"/>
        <v>0</v>
      </c>
      <c r="H721" s="448">
        <f t="shared" si="60"/>
        <v>3472</v>
      </c>
      <c r="I721" s="448">
        <f t="shared" si="60"/>
        <v>6024</v>
      </c>
      <c r="J721" s="447">
        <f t="shared" si="60"/>
        <v>6918</v>
      </c>
      <c r="K721" s="422"/>
      <c r="L721" s="448">
        <f t="shared" si="59"/>
        <v>35825</v>
      </c>
    </row>
    <row r="722" spans="1:12" ht="13.5">
      <c r="A722" s="448">
        <v>35850</v>
      </c>
      <c r="B722" s="447">
        <v>35900</v>
      </c>
      <c r="C722" s="1378">
        <f t="shared" si="58"/>
        <v>0</v>
      </c>
      <c r="D722" s="448">
        <f t="shared" si="58"/>
        <v>2327</v>
      </c>
      <c r="E722" s="448">
        <f t="shared" si="58"/>
        <v>4514</v>
      </c>
      <c r="F722" s="447">
        <f t="shared" si="58"/>
        <v>5408</v>
      </c>
      <c r="G722" s="1378">
        <f t="shared" si="60"/>
        <v>0</v>
      </c>
      <c r="H722" s="448">
        <f t="shared" si="60"/>
        <v>3464</v>
      </c>
      <c r="I722" s="448">
        <f t="shared" si="60"/>
        <v>6014</v>
      </c>
      <c r="J722" s="447">
        <f t="shared" si="60"/>
        <v>6908</v>
      </c>
      <c r="K722" s="422"/>
      <c r="L722" s="448">
        <f t="shared" si="59"/>
        <v>35875</v>
      </c>
    </row>
    <row r="723" spans="1:12" ht="13.5">
      <c r="A723" s="448">
        <v>35900</v>
      </c>
      <c r="B723" s="447">
        <v>35950</v>
      </c>
      <c r="C723" s="1378">
        <f t="shared" si="58"/>
        <v>0</v>
      </c>
      <c r="D723" s="448">
        <f t="shared" si="58"/>
        <v>2319</v>
      </c>
      <c r="E723" s="448">
        <f t="shared" si="58"/>
        <v>4504</v>
      </c>
      <c r="F723" s="447">
        <f t="shared" si="58"/>
        <v>5398</v>
      </c>
      <c r="G723" s="1378">
        <f t="shared" si="60"/>
        <v>0</v>
      </c>
      <c r="H723" s="448">
        <f t="shared" si="60"/>
        <v>3456</v>
      </c>
      <c r="I723" s="448">
        <f t="shared" si="60"/>
        <v>6003</v>
      </c>
      <c r="J723" s="447">
        <f t="shared" si="60"/>
        <v>6897</v>
      </c>
      <c r="K723" s="422"/>
      <c r="L723" s="448">
        <f t="shared" si="59"/>
        <v>35925</v>
      </c>
    </row>
    <row r="724" spans="1:12" ht="13.5">
      <c r="A724" s="448">
        <v>35950</v>
      </c>
      <c r="B724" s="447">
        <v>36000</v>
      </c>
      <c r="C724" s="1378">
        <f t="shared" si="58"/>
        <v>0</v>
      </c>
      <c r="D724" s="448">
        <f t="shared" si="58"/>
        <v>2311</v>
      </c>
      <c r="E724" s="448">
        <f t="shared" si="58"/>
        <v>4493</v>
      </c>
      <c r="F724" s="447">
        <f t="shared" si="58"/>
        <v>5387</v>
      </c>
      <c r="G724" s="1378">
        <f t="shared" si="60"/>
        <v>0</v>
      </c>
      <c r="H724" s="448">
        <f t="shared" si="60"/>
        <v>3448</v>
      </c>
      <c r="I724" s="448">
        <f t="shared" si="60"/>
        <v>5993</v>
      </c>
      <c r="J724" s="447">
        <f t="shared" si="60"/>
        <v>6887</v>
      </c>
      <c r="K724" s="422"/>
      <c r="L724" s="448">
        <f t="shared" si="59"/>
        <v>35975</v>
      </c>
    </row>
    <row r="725" spans="1:12" ht="13.5">
      <c r="A725" s="448">
        <v>36000</v>
      </c>
      <c r="B725" s="447">
        <v>36050</v>
      </c>
      <c r="C725" s="1378">
        <f t="shared" si="58"/>
        <v>0</v>
      </c>
      <c r="D725" s="448">
        <f t="shared" si="58"/>
        <v>2303</v>
      </c>
      <c r="E725" s="448">
        <f t="shared" si="58"/>
        <v>4483</v>
      </c>
      <c r="F725" s="447">
        <f t="shared" si="58"/>
        <v>5377</v>
      </c>
      <c r="G725" s="1378">
        <f t="shared" si="60"/>
        <v>0</v>
      </c>
      <c r="H725" s="448">
        <f t="shared" si="60"/>
        <v>3440</v>
      </c>
      <c r="I725" s="448">
        <f t="shared" si="60"/>
        <v>5982</v>
      </c>
      <c r="J725" s="447">
        <f t="shared" si="60"/>
        <v>6876</v>
      </c>
      <c r="K725" s="422"/>
      <c r="L725" s="448">
        <f t="shared" si="59"/>
        <v>36025</v>
      </c>
    </row>
    <row r="726" spans="1:12" ht="13.5">
      <c r="A726" s="448">
        <v>36050</v>
      </c>
      <c r="B726" s="447">
        <v>36100</v>
      </c>
      <c r="C726" s="1378">
        <f t="shared" si="58"/>
        <v>0</v>
      </c>
      <c r="D726" s="448">
        <f t="shared" si="58"/>
        <v>2295</v>
      </c>
      <c r="E726" s="448">
        <f t="shared" si="58"/>
        <v>4472</v>
      </c>
      <c r="F726" s="447">
        <f t="shared" si="58"/>
        <v>5366</v>
      </c>
      <c r="G726" s="1378">
        <f t="shared" si="60"/>
        <v>0</v>
      </c>
      <c r="H726" s="448">
        <f t="shared" si="60"/>
        <v>3432</v>
      </c>
      <c r="I726" s="448">
        <f t="shared" si="60"/>
        <v>5972</v>
      </c>
      <c r="J726" s="447">
        <f t="shared" si="60"/>
        <v>6866</v>
      </c>
      <c r="K726" s="422"/>
      <c r="L726" s="448">
        <f t="shared" si="59"/>
        <v>36075</v>
      </c>
    </row>
    <row r="727" spans="1:12" ht="13.5">
      <c r="A727" s="448">
        <v>36100</v>
      </c>
      <c r="B727" s="447">
        <v>36150</v>
      </c>
      <c r="C727" s="1378">
        <f t="shared" si="58"/>
        <v>0</v>
      </c>
      <c r="D727" s="448">
        <f t="shared" si="58"/>
        <v>2287</v>
      </c>
      <c r="E727" s="448">
        <f t="shared" si="58"/>
        <v>4462</v>
      </c>
      <c r="F727" s="447">
        <f t="shared" si="58"/>
        <v>5356</v>
      </c>
      <c r="G727" s="1378">
        <f t="shared" si="60"/>
        <v>0</v>
      </c>
      <c r="H727" s="448">
        <f t="shared" si="60"/>
        <v>3424</v>
      </c>
      <c r="I727" s="448">
        <f t="shared" si="60"/>
        <v>5961</v>
      </c>
      <c r="J727" s="447">
        <f t="shared" si="60"/>
        <v>6855</v>
      </c>
      <c r="K727" s="422"/>
      <c r="L727" s="448">
        <f t="shared" si="59"/>
        <v>36125</v>
      </c>
    </row>
    <row r="728" spans="1:12" ht="13.5">
      <c r="A728" s="448">
        <v>36150</v>
      </c>
      <c r="B728" s="447">
        <v>36200</v>
      </c>
      <c r="C728" s="1378">
        <f t="shared" si="58"/>
        <v>0</v>
      </c>
      <c r="D728" s="448">
        <f t="shared" si="58"/>
        <v>2279</v>
      </c>
      <c r="E728" s="448">
        <f t="shared" si="58"/>
        <v>4451</v>
      </c>
      <c r="F728" s="447">
        <f t="shared" si="58"/>
        <v>5345</v>
      </c>
      <c r="G728" s="1378">
        <f t="shared" si="60"/>
        <v>0</v>
      </c>
      <c r="H728" s="448">
        <f t="shared" si="60"/>
        <v>3416</v>
      </c>
      <c r="I728" s="448">
        <f t="shared" si="60"/>
        <v>5951</v>
      </c>
      <c r="J728" s="447">
        <f t="shared" si="60"/>
        <v>6845</v>
      </c>
      <c r="K728" s="422"/>
      <c r="L728" s="448">
        <f t="shared" si="59"/>
        <v>36175</v>
      </c>
    </row>
    <row r="729" spans="1:12" ht="13.5">
      <c r="A729" s="448">
        <v>36200</v>
      </c>
      <c r="B729" s="447">
        <v>36250</v>
      </c>
      <c r="C729" s="1378">
        <f t="shared" si="58"/>
        <v>0</v>
      </c>
      <c r="D729" s="448">
        <f t="shared" si="58"/>
        <v>2271</v>
      </c>
      <c r="E729" s="448">
        <f t="shared" si="58"/>
        <v>4441</v>
      </c>
      <c r="F729" s="447">
        <f t="shared" si="58"/>
        <v>5335</v>
      </c>
      <c r="G729" s="1378">
        <f t="shared" si="60"/>
        <v>0</v>
      </c>
      <c r="H729" s="448">
        <f t="shared" si="60"/>
        <v>3408</v>
      </c>
      <c r="I729" s="448">
        <f t="shared" si="60"/>
        <v>5940</v>
      </c>
      <c r="J729" s="447">
        <f t="shared" si="60"/>
        <v>6834</v>
      </c>
      <c r="K729" s="422"/>
      <c r="L729" s="448">
        <f t="shared" si="59"/>
        <v>36225</v>
      </c>
    </row>
    <row r="730" spans="1:12" ht="13.5">
      <c r="A730" s="448">
        <v>36250</v>
      </c>
      <c r="B730" s="447">
        <v>36300</v>
      </c>
      <c r="C730" s="1378">
        <f t="shared" si="58"/>
        <v>0</v>
      </c>
      <c r="D730" s="448">
        <f t="shared" si="58"/>
        <v>2263</v>
      </c>
      <c r="E730" s="448">
        <f t="shared" si="58"/>
        <v>4430</v>
      </c>
      <c r="F730" s="447">
        <f t="shared" si="58"/>
        <v>5324</v>
      </c>
      <c r="G730" s="1378">
        <f t="shared" si="60"/>
        <v>0</v>
      </c>
      <c r="H730" s="448">
        <f t="shared" si="60"/>
        <v>3400</v>
      </c>
      <c r="I730" s="448">
        <f t="shared" si="60"/>
        <v>5929</v>
      </c>
      <c r="J730" s="447">
        <f t="shared" si="60"/>
        <v>6823</v>
      </c>
      <c r="K730" s="422"/>
      <c r="L730" s="448">
        <f t="shared" si="59"/>
        <v>36275</v>
      </c>
    </row>
    <row r="731" spans="1:12" ht="13.5">
      <c r="A731" s="448">
        <v>36300</v>
      </c>
      <c r="B731" s="447">
        <v>36350</v>
      </c>
      <c r="C731" s="1378">
        <f t="shared" si="58"/>
        <v>0</v>
      </c>
      <c r="D731" s="448">
        <f t="shared" si="58"/>
        <v>2255</v>
      </c>
      <c r="E731" s="448">
        <f t="shared" si="58"/>
        <v>4419</v>
      </c>
      <c r="F731" s="447">
        <f t="shared" si="58"/>
        <v>5313</v>
      </c>
      <c r="G731" s="1378">
        <f t="shared" si="60"/>
        <v>0</v>
      </c>
      <c r="H731" s="448">
        <f t="shared" si="60"/>
        <v>3392</v>
      </c>
      <c r="I731" s="448">
        <f t="shared" si="60"/>
        <v>5919</v>
      </c>
      <c r="J731" s="447">
        <f t="shared" si="60"/>
        <v>6813</v>
      </c>
      <c r="K731" s="422"/>
      <c r="L731" s="448">
        <f t="shared" si="59"/>
        <v>36325</v>
      </c>
    </row>
    <row r="732" spans="1:12" ht="13.5">
      <c r="A732" s="448">
        <v>36350</v>
      </c>
      <c r="B732" s="447">
        <v>36400</v>
      </c>
      <c r="C732" s="1378">
        <f t="shared" si="58"/>
        <v>0</v>
      </c>
      <c r="D732" s="448">
        <f t="shared" si="58"/>
        <v>2247</v>
      </c>
      <c r="E732" s="448">
        <f t="shared" si="58"/>
        <v>4409</v>
      </c>
      <c r="F732" s="447">
        <f t="shared" si="58"/>
        <v>5303</v>
      </c>
      <c r="G732" s="1378">
        <f t="shared" si="60"/>
        <v>0</v>
      </c>
      <c r="H732" s="448">
        <f t="shared" si="60"/>
        <v>3384</v>
      </c>
      <c r="I732" s="448">
        <f t="shared" si="60"/>
        <v>5908</v>
      </c>
      <c r="J732" s="447">
        <f t="shared" si="60"/>
        <v>6802</v>
      </c>
      <c r="K732" s="422"/>
      <c r="L732" s="448">
        <f t="shared" si="59"/>
        <v>36375</v>
      </c>
    </row>
    <row r="733" spans="1:12" ht="13.5">
      <c r="A733" s="448">
        <v>36400</v>
      </c>
      <c r="B733" s="447">
        <v>36450</v>
      </c>
      <c r="C733" s="1378">
        <f t="shared" si="58"/>
        <v>0</v>
      </c>
      <c r="D733" s="448">
        <f t="shared" si="58"/>
        <v>2239</v>
      </c>
      <c r="E733" s="448">
        <f t="shared" si="58"/>
        <v>4398</v>
      </c>
      <c r="F733" s="447">
        <f t="shared" si="58"/>
        <v>5292</v>
      </c>
      <c r="G733" s="1378">
        <f t="shared" si="60"/>
        <v>0</v>
      </c>
      <c r="H733" s="448">
        <f t="shared" si="60"/>
        <v>3376</v>
      </c>
      <c r="I733" s="448">
        <f t="shared" si="60"/>
        <v>5898</v>
      </c>
      <c r="J733" s="447">
        <f t="shared" si="60"/>
        <v>6792</v>
      </c>
      <c r="K733" s="422"/>
      <c r="L733" s="448">
        <f t="shared" si="59"/>
        <v>36425</v>
      </c>
    </row>
    <row r="734" spans="1:12" ht="13.5">
      <c r="A734" s="448">
        <v>36450</v>
      </c>
      <c r="B734" s="447">
        <v>36500</v>
      </c>
      <c r="C734" s="1378">
        <f t="shared" si="58"/>
        <v>0</v>
      </c>
      <c r="D734" s="448">
        <f t="shared" si="58"/>
        <v>2231</v>
      </c>
      <c r="E734" s="448">
        <f t="shared" si="58"/>
        <v>4388</v>
      </c>
      <c r="F734" s="447">
        <f t="shared" si="58"/>
        <v>5282</v>
      </c>
      <c r="G734" s="1378">
        <f t="shared" si="60"/>
        <v>0</v>
      </c>
      <c r="H734" s="448">
        <f t="shared" si="60"/>
        <v>3368</v>
      </c>
      <c r="I734" s="448">
        <f t="shared" si="60"/>
        <v>5887</v>
      </c>
      <c r="J734" s="447">
        <f t="shared" si="60"/>
        <v>6781</v>
      </c>
      <c r="K734" s="422"/>
      <c r="L734" s="448">
        <f t="shared" si="59"/>
        <v>36475</v>
      </c>
    </row>
    <row r="735" spans="1:12" ht="13.5">
      <c r="A735" s="448">
        <v>36500</v>
      </c>
      <c r="B735" s="447">
        <v>36550</v>
      </c>
      <c r="C735" s="1378">
        <f t="shared" si="58"/>
        <v>0</v>
      </c>
      <c r="D735" s="448">
        <f t="shared" si="58"/>
        <v>2223</v>
      </c>
      <c r="E735" s="448">
        <f t="shared" si="58"/>
        <v>4377</v>
      </c>
      <c r="F735" s="447">
        <f t="shared" si="58"/>
        <v>5271</v>
      </c>
      <c r="G735" s="1378">
        <f t="shared" si="60"/>
        <v>0</v>
      </c>
      <c r="H735" s="448">
        <f t="shared" si="60"/>
        <v>3360</v>
      </c>
      <c r="I735" s="448">
        <f t="shared" si="60"/>
        <v>5877</v>
      </c>
      <c r="J735" s="447">
        <f t="shared" si="60"/>
        <v>6771</v>
      </c>
      <c r="K735" s="422"/>
      <c r="L735" s="448">
        <f t="shared" si="59"/>
        <v>36525</v>
      </c>
    </row>
    <row r="736" spans="1:12" ht="13.5">
      <c r="A736" s="448">
        <v>36550</v>
      </c>
      <c r="B736" s="447">
        <v>36600</v>
      </c>
      <c r="C736" s="1378">
        <f t="shared" si="58"/>
        <v>0</v>
      </c>
      <c r="D736" s="448">
        <f t="shared" si="58"/>
        <v>2215</v>
      </c>
      <c r="E736" s="448">
        <f t="shared" si="58"/>
        <v>4367</v>
      </c>
      <c r="F736" s="447">
        <f t="shared" si="58"/>
        <v>5261</v>
      </c>
      <c r="G736" s="1378">
        <f t="shared" si="60"/>
        <v>0</v>
      </c>
      <c r="H736" s="448">
        <f t="shared" si="60"/>
        <v>3352</v>
      </c>
      <c r="I736" s="448">
        <f t="shared" si="60"/>
        <v>5866</v>
      </c>
      <c r="J736" s="447">
        <f t="shared" si="60"/>
        <v>6760</v>
      </c>
      <c r="K736" s="422"/>
      <c r="L736" s="448">
        <f t="shared" si="59"/>
        <v>36575</v>
      </c>
    </row>
    <row r="737" spans="1:12" ht="13.5">
      <c r="A737" s="448">
        <v>36600</v>
      </c>
      <c r="B737" s="447">
        <v>36650</v>
      </c>
      <c r="C737" s="1378">
        <f t="shared" si="58"/>
        <v>0</v>
      </c>
      <c r="D737" s="448">
        <f t="shared" si="58"/>
        <v>2207</v>
      </c>
      <c r="E737" s="448">
        <f t="shared" si="58"/>
        <v>4356</v>
      </c>
      <c r="F737" s="447">
        <f t="shared" si="58"/>
        <v>5250</v>
      </c>
      <c r="G737" s="1378">
        <f t="shared" si="60"/>
        <v>0</v>
      </c>
      <c r="H737" s="448">
        <f t="shared" si="60"/>
        <v>3344</v>
      </c>
      <c r="I737" s="448">
        <f t="shared" si="60"/>
        <v>5856</v>
      </c>
      <c r="J737" s="447">
        <f t="shared" si="60"/>
        <v>6750</v>
      </c>
      <c r="K737" s="422"/>
      <c r="L737" s="448">
        <f t="shared" si="59"/>
        <v>36625</v>
      </c>
    </row>
    <row r="738" spans="1:12" ht="13.5">
      <c r="A738" s="448">
        <v>36650</v>
      </c>
      <c r="B738" s="447">
        <v>36700</v>
      </c>
      <c r="C738" s="1378">
        <f t="shared" si="58"/>
        <v>0</v>
      </c>
      <c r="D738" s="448">
        <f t="shared" si="58"/>
        <v>2199</v>
      </c>
      <c r="E738" s="448">
        <f t="shared" si="58"/>
        <v>4346</v>
      </c>
      <c r="F738" s="447">
        <f t="shared" si="58"/>
        <v>5240</v>
      </c>
      <c r="G738" s="1378">
        <f t="shared" si="60"/>
        <v>0</v>
      </c>
      <c r="H738" s="448">
        <f t="shared" si="60"/>
        <v>3336</v>
      </c>
      <c r="I738" s="448">
        <f t="shared" si="60"/>
        <v>5845</v>
      </c>
      <c r="J738" s="447">
        <f t="shared" si="60"/>
        <v>6739</v>
      </c>
      <c r="K738" s="422"/>
      <c r="L738" s="448">
        <f t="shared" si="59"/>
        <v>36675</v>
      </c>
    </row>
    <row r="739" spans="1:12" ht="13.5">
      <c r="A739" s="448">
        <v>36700</v>
      </c>
      <c r="B739" s="447">
        <v>36750</v>
      </c>
      <c r="C739" s="1378">
        <f t="shared" si="58"/>
        <v>0</v>
      </c>
      <c r="D739" s="448">
        <f t="shared" si="58"/>
        <v>2191</v>
      </c>
      <c r="E739" s="448">
        <f t="shared" si="58"/>
        <v>4335</v>
      </c>
      <c r="F739" s="447">
        <f t="shared" si="58"/>
        <v>5229</v>
      </c>
      <c r="G739" s="1378">
        <f t="shared" si="60"/>
        <v>0</v>
      </c>
      <c r="H739" s="448">
        <f t="shared" si="60"/>
        <v>3328</v>
      </c>
      <c r="I739" s="448">
        <f t="shared" si="60"/>
        <v>5835</v>
      </c>
      <c r="J739" s="447">
        <f t="shared" si="60"/>
        <v>6729</v>
      </c>
      <c r="K739" s="422"/>
      <c r="L739" s="448">
        <f t="shared" si="59"/>
        <v>36725</v>
      </c>
    </row>
    <row r="740" spans="1:12" ht="13.5">
      <c r="A740" s="448">
        <v>36750</v>
      </c>
      <c r="B740" s="447">
        <v>36800</v>
      </c>
      <c r="C740" s="1378">
        <f t="shared" si="58"/>
        <v>0</v>
      </c>
      <c r="D740" s="448">
        <f t="shared" si="58"/>
        <v>2183</v>
      </c>
      <c r="E740" s="448">
        <f t="shared" si="58"/>
        <v>4325</v>
      </c>
      <c r="F740" s="447">
        <f t="shared" si="58"/>
        <v>5219</v>
      </c>
      <c r="G740" s="1378">
        <f t="shared" si="60"/>
        <v>0</v>
      </c>
      <c r="H740" s="448">
        <f t="shared" si="60"/>
        <v>3320</v>
      </c>
      <c r="I740" s="448">
        <f t="shared" si="60"/>
        <v>5824</v>
      </c>
      <c r="J740" s="447">
        <f t="shared" si="60"/>
        <v>6718</v>
      </c>
      <c r="K740" s="422"/>
      <c r="L740" s="448">
        <f t="shared" si="59"/>
        <v>36775</v>
      </c>
    </row>
    <row r="741" spans="1:12" ht="13.5">
      <c r="A741" s="448">
        <v>36800</v>
      </c>
      <c r="B741" s="447">
        <v>36850</v>
      </c>
      <c r="C741" s="1378">
        <f t="shared" si="58"/>
        <v>0</v>
      </c>
      <c r="D741" s="448">
        <f t="shared" si="58"/>
        <v>2175</v>
      </c>
      <c r="E741" s="448">
        <f t="shared" si="58"/>
        <v>4314</v>
      </c>
      <c r="F741" s="447">
        <f t="shared" si="58"/>
        <v>5208</v>
      </c>
      <c r="G741" s="1378">
        <f t="shared" si="60"/>
        <v>0</v>
      </c>
      <c r="H741" s="448">
        <f t="shared" si="60"/>
        <v>3312</v>
      </c>
      <c r="I741" s="448">
        <f t="shared" si="60"/>
        <v>5814</v>
      </c>
      <c r="J741" s="447">
        <f t="shared" si="60"/>
        <v>6708</v>
      </c>
      <c r="K741" s="422"/>
      <c r="L741" s="448">
        <f t="shared" si="59"/>
        <v>36825</v>
      </c>
    </row>
    <row r="742" spans="1:12" ht="13.5">
      <c r="A742" s="448">
        <v>36850</v>
      </c>
      <c r="B742" s="447">
        <v>36900</v>
      </c>
      <c r="C742" s="1378">
        <f t="shared" si="58"/>
        <v>0</v>
      </c>
      <c r="D742" s="448">
        <f t="shared" si="58"/>
        <v>2167</v>
      </c>
      <c r="E742" s="448">
        <f t="shared" si="58"/>
        <v>4304</v>
      </c>
      <c r="F742" s="447">
        <f t="shared" si="58"/>
        <v>5198</v>
      </c>
      <c r="G742" s="1378">
        <f t="shared" si="60"/>
        <v>0</v>
      </c>
      <c r="H742" s="448">
        <f t="shared" si="60"/>
        <v>3304</v>
      </c>
      <c r="I742" s="448">
        <f t="shared" si="60"/>
        <v>5803</v>
      </c>
      <c r="J742" s="447">
        <f t="shared" si="60"/>
        <v>6697</v>
      </c>
      <c r="K742" s="422"/>
      <c r="L742" s="448">
        <f t="shared" si="59"/>
        <v>36875</v>
      </c>
    </row>
    <row r="743" spans="1:12" ht="13.5">
      <c r="A743" s="448">
        <v>36900</v>
      </c>
      <c r="B743" s="447">
        <v>36950</v>
      </c>
      <c r="C743" s="1378">
        <f t="shared" si="58"/>
        <v>0</v>
      </c>
      <c r="D743" s="448">
        <f t="shared" si="58"/>
        <v>2159</v>
      </c>
      <c r="E743" s="448">
        <f t="shared" si="58"/>
        <v>4293</v>
      </c>
      <c r="F743" s="447">
        <f t="shared" si="58"/>
        <v>5187</v>
      </c>
      <c r="G743" s="1378">
        <f t="shared" si="60"/>
        <v>0</v>
      </c>
      <c r="H743" s="448">
        <f t="shared" si="60"/>
        <v>3296</v>
      </c>
      <c r="I743" s="448">
        <f t="shared" si="60"/>
        <v>5793</v>
      </c>
      <c r="J743" s="447">
        <f t="shared" si="60"/>
        <v>6687</v>
      </c>
      <c r="K743" s="422"/>
      <c r="L743" s="448">
        <f t="shared" si="59"/>
        <v>36925</v>
      </c>
    </row>
    <row r="744" spans="1:12" ht="13.5">
      <c r="A744" s="448">
        <v>36950</v>
      </c>
      <c r="B744" s="447">
        <v>37000</v>
      </c>
      <c r="C744" s="1378">
        <f t="shared" si="58"/>
        <v>0</v>
      </c>
      <c r="D744" s="448">
        <f t="shared" si="58"/>
        <v>2151</v>
      </c>
      <c r="E744" s="448">
        <f t="shared" si="58"/>
        <v>4283</v>
      </c>
      <c r="F744" s="447">
        <f t="shared" si="58"/>
        <v>5177</v>
      </c>
      <c r="G744" s="1378">
        <f t="shared" si="60"/>
        <v>0</v>
      </c>
      <c r="H744" s="448">
        <f t="shared" si="60"/>
        <v>3289</v>
      </c>
      <c r="I744" s="448">
        <f t="shared" si="60"/>
        <v>5782</v>
      </c>
      <c r="J744" s="447">
        <f t="shared" si="60"/>
        <v>6676</v>
      </c>
      <c r="K744" s="422"/>
      <c r="L744" s="448">
        <f t="shared" si="59"/>
        <v>36975</v>
      </c>
    </row>
    <row r="745" spans="1:12" ht="13.5">
      <c r="A745" s="448">
        <v>37000</v>
      </c>
      <c r="B745" s="447">
        <v>37050</v>
      </c>
      <c r="C745" s="1378">
        <f t="shared" si="58"/>
        <v>0</v>
      </c>
      <c r="D745" s="448">
        <f t="shared" si="58"/>
        <v>2143</v>
      </c>
      <c r="E745" s="448">
        <f t="shared" si="58"/>
        <v>4272</v>
      </c>
      <c r="F745" s="447">
        <f t="shared" si="58"/>
        <v>5166</v>
      </c>
      <c r="G745" s="1378">
        <f t="shared" si="60"/>
        <v>0</v>
      </c>
      <c r="H745" s="448">
        <f t="shared" si="60"/>
        <v>3281</v>
      </c>
      <c r="I745" s="448">
        <f t="shared" si="60"/>
        <v>5772</v>
      </c>
      <c r="J745" s="447">
        <f t="shared" si="60"/>
        <v>6666</v>
      </c>
      <c r="K745" s="422"/>
      <c r="L745" s="448">
        <f t="shared" si="59"/>
        <v>37025</v>
      </c>
    </row>
    <row r="746" spans="1:12" ht="13.5">
      <c r="A746" s="448">
        <v>37050</v>
      </c>
      <c r="B746" s="447">
        <v>37100</v>
      </c>
      <c r="C746" s="1378">
        <f t="shared" ref="C746:I797" si="61">IF($L746&gt;N$5,MAX(0,N$3+ROUND((N$9*($L746-N$5)),0)),IF($L746&gt;N$4,N$3,ROUND($L746*N$7,0)))</f>
        <v>0</v>
      </c>
      <c r="D746" s="448">
        <f t="shared" si="61"/>
        <v>2135</v>
      </c>
      <c r="E746" s="448">
        <f t="shared" si="61"/>
        <v>4262</v>
      </c>
      <c r="F746" s="447">
        <f t="shared" si="61"/>
        <v>5156</v>
      </c>
      <c r="G746" s="1378">
        <f t="shared" si="60"/>
        <v>0</v>
      </c>
      <c r="H746" s="448">
        <f t="shared" si="60"/>
        <v>3273</v>
      </c>
      <c r="I746" s="448">
        <f t="shared" si="60"/>
        <v>5761</v>
      </c>
      <c r="J746" s="447">
        <f t="shared" si="60"/>
        <v>6655</v>
      </c>
      <c r="K746" s="422"/>
      <c r="L746" s="448">
        <f t="shared" si="59"/>
        <v>37075</v>
      </c>
    </row>
    <row r="747" spans="1:12" ht="13.5">
      <c r="A747" s="448">
        <v>37100</v>
      </c>
      <c r="B747" s="447">
        <v>37150</v>
      </c>
      <c r="C747" s="1378">
        <f t="shared" si="61"/>
        <v>0</v>
      </c>
      <c r="D747" s="448">
        <f t="shared" si="61"/>
        <v>2127</v>
      </c>
      <c r="E747" s="448">
        <f t="shared" si="61"/>
        <v>4251</v>
      </c>
      <c r="F747" s="447">
        <f t="shared" si="61"/>
        <v>5145</v>
      </c>
      <c r="G747" s="1378">
        <f t="shared" si="60"/>
        <v>0</v>
      </c>
      <c r="H747" s="448">
        <f t="shared" si="60"/>
        <v>3265</v>
      </c>
      <c r="I747" s="448">
        <f t="shared" si="60"/>
        <v>5750</v>
      </c>
      <c r="J747" s="447">
        <f t="shared" si="60"/>
        <v>6644</v>
      </c>
      <c r="K747" s="422"/>
      <c r="L747" s="448">
        <f t="shared" si="59"/>
        <v>37125</v>
      </c>
    </row>
    <row r="748" spans="1:12" ht="13.5">
      <c r="A748" s="448">
        <v>37150</v>
      </c>
      <c r="B748" s="447">
        <v>37200</v>
      </c>
      <c r="C748" s="1378">
        <f t="shared" si="61"/>
        <v>0</v>
      </c>
      <c r="D748" s="448">
        <f t="shared" si="61"/>
        <v>2119</v>
      </c>
      <c r="E748" s="448">
        <f t="shared" si="61"/>
        <v>4240</v>
      </c>
      <c r="F748" s="447">
        <f t="shared" si="61"/>
        <v>5134</v>
      </c>
      <c r="G748" s="1378">
        <f t="shared" si="60"/>
        <v>0</v>
      </c>
      <c r="H748" s="448">
        <f t="shared" si="60"/>
        <v>3257</v>
      </c>
      <c r="I748" s="448">
        <f t="shared" si="60"/>
        <v>5740</v>
      </c>
      <c r="J748" s="447">
        <f t="shared" si="60"/>
        <v>6634</v>
      </c>
      <c r="K748" s="422"/>
      <c r="L748" s="448">
        <f t="shared" si="59"/>
        <v>37175</v>
      </c>
    </row>
    <row r="749" spans="1:12" ht="13.5">
      <c r="A749" s="448">
        <v>37200</v>
      </c>
      <c r="B749" s="447">
        <v>37250</v>
      </c>
      <c r="C749" s="1378">
        <f t="shared" si="61"/>
        <v>0</v>
      </c>
      <c r="D749" s="448">
        <f t="shared" si="61"/>
        <v>2111</v>
      </c>
      <c r="E749" s="448">
        <f t="shared" si="61"/>
        <v>4230</v>
      </c>
      <c r="F749" s="447">
        <f t="shared" si="61"/>
        <v>5124</v>
      </c>
      <c r="G749" s="1378">
        <f t="shared" si="60"/>
        <v>0</v>
      </c>
      <c r="H749" s="448">
        <f t="shared" si="60"/>
        <v>3249</v>
      </c>
      <c r="I749" s="448">
        <f t="shared" si="60"/>
        <v>5729</v>
      </c>
      <c r="J749" s="447">
        <f t="shared" si="60"/>
        <v>6623</v>
      </c>
      <c r="K749" s="422"/>
      <c r="L749" s="448">
        <f t="shared" si="59"/>
        <v>37225</v>
      </c>
    </row>
    <row r="750" spans="1:12" ht="13.5">
      <c r="A750" s="448">
        <v>37250</v>
      </c>
      <c r="B750" s="447">
        <v>37300</v>
      </c>
      <c r="C750" s="1378">
        <f t="shared" si="61"/>
        <v>0</v>
      </c>
      <c r="D750" s="448">
        <f t="shared" si="61"/>
        <v>2103</v>
      </c>
      <c r="E750" s="448">
        <f t="shared" si="61"/>
        <v>4219</v>
      </c>
      <c r="F750" s="447">
        <f t="shared" si="61"/>
        <v>5113</v>
      </c>
      <c r="G750" s="1378">
        <f t="shared" si="60"/>
        <v>0</v>
      </c>
      <c r="H750" s="448">
        <f t="shared" si="60"/>
        <v>3241</v>
      </c>
      <c r="I750" s="448">
        <f t="shared" si="60"/>
        <v>5719</v>
      </c>
      <c r="J750" s="447">
        <f t="shared" si="60"/>
        <v>6613</v>
      </c>
      <c r="K750" s="422"/>
      <c r="L750" s="448">
        <f t="shared" si="59"/>
        <v>37275</v>
      </c>
    </row>
    <row r="751" spans="1:12" ht="13.5">
      <c r="A751" s="448">
        <v>37300</v>
      </c>
      <c r="B751" s="447">
        <v>37350</v>
      </c>
      <c r="C751" s="1378">
        <f t="shared" si="61"/>
        <v>0</v>
      </c>
      <c r="D751" s="448">
        <f t="shared" si="61"/>
        <v>2095</v>
      </c>
      <c r="E751" s="448">
        <f t="shared" si="61"/>
        <v>4209</v>
      </c>
      <c r="F751" s="447">
        <f t="shared" si="61"/>
        <v>5103</v>
      </c>
      <c r="G751" s="1378">
        <f t="shared" si="60"/>
        <v>0</v>
      </c>
      <c r="H751" s="448">
        <f t="shared" si="60"/>
        <v>3233</v>
      </c>
      <c r="I751" s="448">
        <f t="shared" si="60"/>
        <v>5708</v>
      </c>
      <c r="J751" s="447">
        <f t="shared" si="60"/>
        <v>6602</v>
      </c>
      <c r="K751" s="422"/>
      <c r="L751" s="448">
        <f t="shared" si="59"/>
        <v>37325</v>
      </c>
    </row>
    <row r="752" spans="1:12" ht="13.5">
      <c r="A752" s="448">
        <v>37350</v>
      </c>
      <c r="B752" s="447">
        <v>37400</v>
      </c>
      <c r="C752" s="1378">
        <f t="shared" si="61"/>
        <v>0</v>
      </c>
      <c r="D752" s="448">
        <f t="shared" si="61"/>
        <v>2087</v>
      </c>
      <c r="E752" s="448">
        <f t="shared" si="61"/>
        <v>4198</v>
      </c>
      <c r="F752" s="447">
        <f t="shared" si="61"/>
        <v>5092</v>
      </c>
      <c r="G752" s="1378">
        <f t="shared" si="60"/>
        <v>0</v>
      </c>
      <c r="H752" s="448">
        <f t="shared" si="60"/>
        <v>3225</v>
      </c>
      <c r="I752" s="448">
        <f t="shared" si="60"/>
        <v>5698</v>
      </c>
      <c r="J752" s="447">
        <f t="shared" si="60"/>
        <v>6592</v>
      </c>
      <c r="K752" s="422"/>
      <c r="L752" s="448">
        <f t="shared" si="59"/>
        <v>37375</v>
      </c>
    </row>
    <row r="753" spans="1:12" ht="13.5">
      <c r="A753" s="448">
        <v>37400</v>
      </c>
      <c r="B753" s="447">
        <v>37450</v>
      </c>
      <c r="C753" s="1378">
        <f t="shared" si="61"/>
        <v>0</v>
      </c>
      <c r="D753" s="448">
        <f t="shared" si="61"/>
        <v>2079</v>
      </c>
      <c r="E753" s="448">
        <f t="shared" si="61"/>
        <v>4188</v>
      </c>
      <c r="F753" s="447">
        <f t="shared" si="61"/>
        <v>5082</v>
      </c>
      <c r="G753" s="1378">
        <f t="shared" si="60"/>
        <v>0</v>
      </c>
      <c r="H753" s="448">
        <f t="shared" si="60"/>
        <v>3217</v>
      </c>
      <c r="I753" s="448">
        <f t="shared" si="60"/>
        <v>5687</v>
      </c>
      <c r="J753" s="447">
        <f t="shared" si="60"/>
        <v>6581</v>
      </c>
      <c r="K753" s="422"/>
      <c r="L753" s="448">
        <f t="shared" si="59"/>
        <v>37425</v>
      </c>
    </row>
    <row r="754" spans="1:12" ht="13.5">
      <c r="A754" s="448">
        <v>37450</v>
      </c>
      <c r="B754" s="447">
        <v>37500</v>
      </c>
      <c r="C754" s="1378">
        <f t="shared" si="61"/>
        <v>0</v>
      </c>
      <c r="D754" s="448">
        <f t="shared" si="61"/>
        <v>2071</v>
      </c>
      <c r="E754" s="448">
        <f t="shared" si="61"/>
        <v>4177</v>
      </c>
      <c r="F754" s="447">
        <f t="shared" si="61"/>
        <v>5071</v>
      </c>
      <c r="G754" s="1378">
        <f t="shared" si="60"/>
        <v>0</v>
      </c>
      <c r="H754" s="448">
        <f t="shared" si="60"/>
        <v>3209</v>
      </c>
      <c r="I754" s="448">
        <f t="shared" si="60"/>
        <v>5677</v>
      </c>
      <c r="J754" s="447">
        <f t="shared" si="60"/>
        <v>6571</v>
      </c>
      <c r="K754" s="422"/>
      <c r="L754" s="448">
        <f t="shared" si="59"/>
        <v>37475</v>
      </c>
    </row>
    <row r="755" spans="1:12" ht="13.5">
      <c r="A755" s="448">
        <v>37500</v>
      </c>
      <c r="B755" s="447">
        <v>37550</v>
      </c>
      <c r="C755" s="1378">
        <f t="shared" si="61"/>
        <v>0</v>
      </c>
      <c r="D755" s="448">
        <f t="shared" si="61"/>
        <v>2063</v>
      </c>
      <c r="E755" s="448">
        <f t="shared" si="61"/>
        <v>4167</v>
      </c>
      <c r="F755" s="447">
        <f t="shared" si="61"/>
        <v>5061</v>
      </c>
      <c r="G755" s="1378">
        <f t="shared" si="60"/>
        <v>0</v>
      </c>
      <c r="H755" s="448">
        <f t="shared" si="60"/>
        <v>3201</v>
      </c>
      <c r="I755" s="448">
        <f t="shared" si="60"/>
        <v>5666</v>
      </c>
      <c r="J755" s="447">
        <f t="shared" si="60"/>
        <v>6560</v>
      </c>
      <c r="K755" s="422"/>
      <c r="L755" s="448">
        <f t="shared" si="59"/>
        <v>37525</v>
      </c>
    </row>
    <row r="756" spans="1:12" ht="13.5">
      <c r="A756" s="448">
        <v>37550</v>
      </c>
      <c r="B756" s="447">
        <v>37600</v>
      </c>
      <c r="C756" s="1378">
        <f t="shared" si="61"/>
        <v>0</v>
      </c>
      <c r="D756" s="448">
        <f t="shared" si="61"/>
        <v>2055</v>
      </c>
      <c r="E756" s="448">
        <f t="shared" si="61"/>
        <v>4156</v>
      </c>
      <c r="F756" s="447">
        <f t="shared" si="61"/>
        <v>5050</v>
      </c>
      <c r="G756" s="1378">
        <f t="shared" si="60"/>
        <v>0</v>
      </c>
      <c r="H756" s="448">
        <f t="shared" si="60"/>
        <v>3193</v>
      </c>
      <c r="I756" s="448">
        <f t="shared" si="60"/>
        <v>5656</v>
      </c>
      <c r="J756" s="447">
        <f t="shared" si="60"/>
        <v>6550</v>
      </c>
      <c r="K756" s="422"/>
      <c r="L756" s="448">
        <f t="shared" si="59"/>
        <v>37575</v>
      </c>
    </row>
    <row r="757" spans="1:12" ht="13.5">
      <c r="A757" s="448">
        <v>37600</v>
      </c>
      <c r="B757" s="447">
        <v>37650</v>
      </c>
      <c r="C757" s="1378">
        <f t="shared" si="61"/>
        <v>0</v>
      </c>
      <c r="D757" s="448">
        <f t="shared" si="61"/>
        <v>2047</v>
      </c>
      <c r="E757" s="448">
        <f t="shared" si="61"/>
        <v>4146</v>
      </c>
      <c r="F757" s="447">
        <f t="shared" si="61"/>
        <v>5040</v>
      </c>
      <c r="G757" s="1378">
        <f t="shared" si="60"/>
        <v>0</v>
      </c>
      <c r="H757" s="448">
        <f t="shared" si="60"/>
        <v>3185</v>
      </c>
      <c r="I757" s="448">
        <f t="shared" si="60"/>
        <v>5645</v>
      </c>
      <c r="J757" s="447">
        <f t="shared" si="60"/>
        <v>6539</v>
      </c>
      <c r="K757" s="422"/>
      <c r="L757" s="448">
        <f t="shared" si="59"/>
        <v>37625</v>
      </c>
    </row>
    <row r="758" spans="1:12" ht="13.5">
      <c r="A758" s="448">
        <v>37650</v>
      </c>
      <c r="B758" s="447">
        <v>37700</v>
      </c>
      <c r="C758" s="1378">
        <f t="shared" si="61"/>
        <v>0</v>
      </c>
      <c r="D758" s="448">
        <f t="shared" si="61"/>
        <v>2039</v>
      </c>
      <c r="E758" s="448">
        <f t="shared" si="61"/>
        <v>4135</v>
      </c>
      <c r="F758" s="447">
        <f t="shared" si="61"/>
        <v>5029</v>
      </c>
      <c r="G758" s="1378">
        <f t="shared" si="60"/>
        <v>0</v>
      </c>
      <c r="H758" s="448">
        <f t="shared" si="60"/>
        <v>3177</v>
      </c>
      <c r="I758" s="448">
        <f t="shared" si="60"/>
        <v>5635</v>
      </c>
      <c r="J758" s="447">
        <f t="shared" si="60"/>
        <v>6529</v>
      </c>
      <c r="K758" s="422"/>
      <c r="L758" s="448">
        <f t="shared" si="59"/>
        <v>37675</v>
      </c>
    </row>
    <row r="759" spans="1:12" ht="13.5">
      <c r="A759" s="448">
        <v>37700</v>
      </c>
      <c r="B759" s="447">
        <v>37750</v>
      </c>
      <c r="C759" s="1378">
        <f t="shared" si="61"/>
        <v>0</v>
      </c>
      <c r="D759" s="448">
        <f t="shared" si="61"/>
        <v>2031</v>
      </c>
      <c r="E759" s="448">
        <f t="shared" si="61"/>
        <v>4125</v>
      </c>
      <c r="F759" s="447">
        <f t="shared" si="61"/>
        <v>5019</v>
      </c>
      <c r="G759" s="1378">
        <f t="shared" si="60"/>
        <v>0</v>
      </c>
      <c r="H759" s="448">
        <f t="shared" si="60"/>
        <v>3169</v>
      </c>
      <c r="I759" s="448">
        <f t="shared" si="60"/>
        <v>5624</v>
      </c>
      <c r="J759" s="447">
        <f t="shared" si="60"/>
        <v>6518</v>
      </c>
      <c r="K759" s="422"/>
      <c r="L759" s="448">
        <f t="shared" si="59"/>
        <v>37725</v>
      </c>
    </row>
    <row r="760" spans="1:12" ht="13.5">
      <c r="A760" s="448">
        <v>37750</v>
      </c>
      <c r="B760" s="447">
        <v>37800</v>
      </c>
      <c r="C760" s="1378">
        <f t="shared" si="61"/>
        <v>0</v>
      </c>
      <c r="D760" s="448">
        <f t="shared" si="61"/>
        <v>2023</v>
      </c>
      <c r="E760" s="448">
        <f t="shared" si="61"/>
        <v>4114</v>
      </c>
      <c r="F760" s="447">
        <f t="shared" si="61"/>
        <v>5008</v>
      </c>
      <c r="G760" s="1378">
        <f t="shared" si="60"/>
        <v>0</v>
      </c>
      <c r="H760" s="448">
        <f t="shared" si="60"/>
        <v>3161</v>
      </c>
      <c r="I760" s="448">
        <f t="shared" si="60"/>
        <v>5614</v>
      </c>
      <c r="J760" s="447">
        <f t="shared" si="60"/>
        <v>6508</v>
      </c>
      <c r="K760" s="422"/>
      <c r="L760" s="448">
        <f t="shared" si="59"/>
        <v>37775</v>
      </c>
    </row>
    <row r="761" spans="1:12" ht="13.5">
      <c r="A761" s="448">
        <v>37800</v>
      </c>
      <c r="B761" s="447">
        <v>37850</v>
      </c>
      <c r="C761" s="1378">
        <f t="shared" si="61"/>
        <v>0</v>
      </c>
      <c r="D761" s="448">
        <f t="shared" si="61"/>
        <v>2015</v>
      </c>
      <c r="E761" s="448">
        <f t="shared" si="61"/>
        <v>4104</v>
      </c>
      <c r="F761" s="447">
        <f t="shared" si="61"/>
        <v>4998</v>
      </c>
      <c r="G761" s="1378">
        <f t="shared" si="60"/>
        <v>0</v>
      </c>
      <c r="H761" s="448">
        <f t="shared" si="60"/>
        <v>3153</v>
      </c>
      <c r="I761" s="448">
        <f t="shared" si="60"/>
        <v>5603</v>
      </c>
      <c r="J761" s="447">
        <f t="shared" si="60"/>
        <v>6497</v>
      </c>
      <c r="K761" s="422"/>
      <c r="L761" s="448">
        <f t="shared" si="59"/>
        <v>37825</v>
      </c>
    </row>
    <row r="762" spans="1:12" ht="13.5">
      <c r="A762" s="448">
        <v>37850</v>
      </c>
      <c r="B762" s="447">
        <v>37900</v>
      </c>
      <c r="C762" s="1378">
        <f t="shared" si="61"/>
        <v>0</v>
      </c>
      <c r="D762" s="448">
        <f t="shared" si="61"/>
        <v>2007</v>
      </c>
      <c r="E762" s="448">
        <f t="shared" si="61"/>
        <v>4093</v>
      </c>
      <c r="F762" s="447">
        <f t="shared" si="61"/>
        <v>4987</v>
      </c>
      <c r="G762" s="1378">
        <f t="shared" si="60"/>
        <v>0</v>
      </c>
      <c r="H762" s="448">
        <f t="shared" si="60"/>
        <v>3145</v>
      </c>
      <c r="I762" s="448">
        <f t="shared" si="60"/>
        <v>5592</v>
      </c>
      <c r="J762" s="447">
        <f t="shared" si="60"/>
        <v>6486</v>
      </c>
      <c r="K762" s="422"/>
      <c r="L762" s="448">
        <f t="shared" si="59"/>
        <v>37875</v>
      </c>
    </row>
    <row r="763" spans="1:12" ht="13.5">
      <c r="A763" s="448">
        <v>37900</v>
      </c>
      <c r="B763" s="447">
        <v>37950</v>
      </c>
      <c r="C763" s="1378">
        <f t="shared" si="61"/>
        <v>0</v>
      </c>
      <c r="D763" s="448">
        <f t="shared" si="61"/>
        <v>1999</v>
      </c>
      <c r="E763" s="448">
        <f t="shared" si="61"/>
        <v>4082</v>
      </c>
      <c r="F763" s="447">
        <f t="shared" si="61"/>
        <v>4976</v>
      </c>
      <c r="G763" s="1378">
        <f t="shared" si="60"/>
        <v>0</v>
      </c>
      <c r="H763" s="448">
        <f t="shared" si="60"/>
        <v>3137</v>
      </c>
      <c r="I763" s="448">
        <f t="shared" si="60"/>
        <v>5582</v>
      </c>
      <c r="J763" s="447">
        <f t="shared" si="60"/>
        <v>6476</v>
      </c>
      <c r="K763" s="422"/>
      <c r="L763" s="448">
        <f t="shared" si="59"/>
        <v>37925</v>
      </c>
    </row>
    <row r="764" spans="1:12" ht="13.5">
      <c r="A764" s="448">
        <v>37950</v>
      </c>
      <c r="B764" s="447">
        <v>38000</v>
      </c>
      <c r="C764" s="1378">
        <f t="shared" si="61"/>
        <v>0</v>
      </c>
      <c r="D764" s="448">
        <f t="shared" si="61"/>
        <v>1991</v>
      </c>
      <c r="E764" s="448">
        <f t="shared" si="61"/>
        <v>4072</v>
      </c>
      <c r="F764" s="447">
        <f t="shared" si="61"/>
        <v>4966</v>
      </c>
      <c r="G764" s="1378">
        <f t="shared" si="60"/>
        <v>0</v>
      </c>
      <c r="H764" s="448">
        <f t="shared" si="60"/>
        <v>3129</v>
      </c>
      <c r="I764" s="448">
        <f t="shared" si="60"/>
        <v>5571</v>
      </c>
      <c r="J764" s="447">
        <f t="shared" si="60"/>
        <v>6465</v>
      </c>
      <c r="K764" s="422"/>
      <c r="L764" s="448">
        <f t="shared" si="59"/>
        <v>37975</v>
      </c>
    </row>
    <row r="765" spans="1:12" ht="13.5">
      <c r="A765" s="448">
        <v>38000</v>
      </c>
      <c r="B765" s="447">
        <v>38050</v>
      </c>
      <c r="C765" s="1378">
        <f t="shared" si="61"/>
        <v>0</v>
      </c>
      <c r="D765" s="448">
        <f t="shared" si="61"/>
        <v>1983</v>
      </c>
      <c r="E765" s="448">
        <f t="shared" si="61"/>
        <v>4061</v>
      </c>
      <c r="F765" s="447">
        <f t="shared" si="61"/>
        <v>4955</v>
      </c>
      <c r="G765" s="1378">
        <f t="shared" si="60"/>
        <v>0</v>
      </c>
      <c r="H765" s="448">
        <f t="shared" si="60"/>
        <v>3121</v>
      </c>
      <c r="I765" s="448">
        <f t="shared" si="60"/>
        <v>5561</v>
      </c>
      <c r="J765" s="447">
        <f t="shared" si="60"/>
        <v>6455</v>
      </c>
      <c r="K765" s="422"/>
      <c r="L765" s="448">
        <f t="shared" si="59"/>
        <v>38025</v>
      </c>
    </row>
    <row r="766" spans="1:12" ht="13.5">
      <c r="A766" s="448">
        <v>38050</v>
      </c>
      <c r="B766" s="447">
        <v>38100</v>
      </c>
      <c r="C766" s="1378">
        <f t="shared" si="61"/>
        <v>0</v>
      </c>
      <c r="D766" s="448">
        <f t="shared" si="61"/>
        <v>1975</v>
      </c>
      <c r="E766" s="448">
        <f t="shared" si="61"/>
        <v>4051</v>
      </c>
      <c r="F766" s="447">
        <f t="shared" si="61"/>
        <v>4945</v>
      </c>
      <c r="G766" s="1378">
        <f t="shared" si="60"/>
        <v>0</v>
      </c>
      <c r="H766" s="448">
        <f t="shared" si="60"/>
        <v>3113</v>
      </c>
      <c r="I766" s="448">
        <f t="shared" si="60"/>
        <v>5550</v>
      </c>
      <c r="J766" s="447">
        <f t="shared" si="60"/>
        <v>6444</v>
      </c>
      <c r="K766" s="422"/>
      <c r="L766" s="448">
        <f t="shared" si="59"/>
        <v>38075</v>
      </c>
    </row>
    <row r="767" spans="1:12" ht="13.5">
      <c r="A767" s="448">
        <v>38100</v>
      </c>
      <c r="B767" s="447">
        <v>38150</v>
      </c>
      <c r="C767" s="1378">
        <f t="shared" si="61"/>
        <v>0</v>
      </c>
      <c r="D767" s="448">
        <f t="shared" si="61"/>
        <v>1967</v>
      </c>
      <c r="E767" s="448">
        <f t="shared" si="61"/>
        <v>4040</v>
      </c>
      <c r="F767" s="447">
        <f t="shared" si="61"/>
        <v>4934</v>
      </c>
      <c r="G767" s="1378">
        <f t="shared" si="60"/>
        <v>0</v>
      </c>
      <c r="H767" s="448">
        <f t="shared" si="60"/>
        <v>3105</v>
      </c>
      <c r="I767" s="448">
        <f t="shared" si="60"/>
        <v>5540</v>
      </c>
      <c r="J767" s="447">
        <f t="shared" si="60"/>
        <v>6434</v>
      </c>
      <c r="K767" s="422"/>
      <c r="L767" s="448">
        <f t="shared" si="59"/>
        <v>38125</v>
      </c>
    </row>
    <row r="768" spans="1:12" ht="13.5">
      <c r="A768" s="448">
        <v>38150</v>
      </c>
      <c r="B768" s="447">
        <v>38200</v>
      </c>
      <c r="C768" s="1378">
        <f t="shared" si="61"/>
        <v>0</v>
      </c>
      <c r="D768" s="448">
        <f t="shared" si="61"/>
        <v>1959</v>
      </c>
      <c r="E768" s="448">
        <f t="shared" si="61"/>
        <v>4030</v>
      </c>
      <c r="F768" s="447">
        <f t="shared" si="61"/>
        <v>4924</v>
      </c>
      <c r="G768" s="1378">
        <f t="shared" si="60"/>
        <v>0</v>
      </c>
      <c r="H768" s="448">
        <f t="shared" si="60"/>
        <v>3097</v>
      </c>
      <c r="I768" s="448">
        <f t="shared" si="60"/>
        <v>5529</v>
      </c>
      <c r="J768" s="447">
        <f t="shared" si="60"/>
        <v>6423</v>
      </c>
      <c r="K768" s="422"/>
      <c r="L768" s="448">
        <f t="shared" si="59"/>
        <v>38175</v>
      </c>
    </row>
    <row r="769" spans="1:12" ht="13.5">
      <c r="A769" s="448">
        <v>38200</v>
      </c>
      <c r="B769" s="447">
        <v>38250</v>
      </c>
      <c r="C769" s="1378">
        <f t="shared" si="61"/>
        <v>0</v>
      </c>
      <c r="D769" s="448">
        <f t="shared" si="61"/>
        <v>1951</v>
      </c>
      <c r="E769" s="448">
        <f t="shared" si="61"/>
        <v>4019</v>
      </c>
      <c r="F769" s="447">
        <f t="shared" si="61"/>
        <v>4913</v>
      </c>
      <c r="G769" s="1378">
        <f t="shared" si="60"/>
        <v>0</v>
      </c>
      <c r="H769" s="448">
        <f t="shared" si="60"/>
        <v>3089</v>
      </c>
      <c r="I769" s="448">
        <f t="shared" si="60"/>
        <v>5519</v>
      </c>
      <c r="J769" s="447">
        <f t="shared" si="60"/>
        <v>6413</v>
      </c>
      <c r="K769" s="422"/>
      <c r="L769" s="448">
        <f t="shared" si="59"/>
        <v>38225</v>
      </c>
    </row>
    <row r="770" spans="1:12" ht="13.5">
      <c r="A770" s="448">
        <v>38250</v>
      </c>
      <c r="B770" s="447">
        <v>38300</v>
      </c>
      <c r="C770" s="1378">
        <f t="shared" si="61"/>
        <v>0</v>
      </c>
      <c r="D770" s="448">
        <f t="shared" si="61"/>
        <v>1943</v>
      </c>
      <c r="E770" s="448">
        <f t="shared" si="61"/>
        <v>4009</v>
      </c>
      <c r="F770" s="447">
        <f t="shared" si="61"/>
        <v>4903</v>
      </c>
      <c r="G770" s="1378">
        <f t="shared" si="60"/>
        <v>0</v>
      </c>
      <c r="H770" s="448">
        <f t="shared" si="60"/>
        <v>3081</v>
      </c>
      <c r="I770" s="448">
        <f t="shared" si="60"/>
        <v>5508</v>
      </c>
      <c r="J770" s="447">
        <f t="shared" si="60"/>
        <v>6402</v>
      </c>
      <c r="K770" s="422"/>
      <c r="L770" s="448">
        <f t="shared" si="59"/>
        <v>38275</v>
      </c>
    </row>
    <row r="771" spans="1:12" ht="13.5">
      <c r="A771" s="448">
        <v>38300</v>
      </c>
      <c r="B771" s="447">
        <v>38350</v>
      </c>
      <c r="C771" s="1378">
        <f t="shared" si="61"/>
        <v>0</v>
      </c>
      <c r="D771" s="448">
        <f t="shared" si="61"/>
        <v>1935</v>
      </c>
      <c r="E771" s="448">
        <f t="shared" si="61"/>
        <v>3998</v>
      </c>
      <c r="F771" s="447">
        <f t="shared" si="61"/>
        <v>4892</v>
      </c>
      <c r="G771" s="1378">
        <f t="shared" si="60"/>
        <v>0</v>
      </c>
      <c r="H771" s="448">
        <f t="shared" si="60"/>
        <v>3073</v>
      </c>
      <c r="I771" s="448">
        <f t="shared" si="60"/>
        <v>5498</v>
      </c>
      <c r="J771" s="447">
        <f t="shared" si="60"/>
        <v>6392</v>
      </c>
      <c r="K771" s="422"/>
      <c r="L771" s="448">
        <f t="shared" si="59"/>
        <v>38325</v>
      </c>
    </row>
    <row r="772" spans="1:12" ht="13.5">
      <c r="A772" s="448">
        <v>38350</v>
      </c>
      <c r="B772" s="447">
        <v>38400</v>
      </c>
      <c r="C772" s="1378">
        <f t="shared" si="61"/>
        <v>0</v>
      </c>
      <c r="D772" s="448">
        <f t="shared" si="61"/>
        <v>1927</v>
      </c>
      <c r="E772" s="448">
        <f t="shared" si="61"/>
        <v>3988</v>
      </c>
      <c r="F772" s="447">
        <f t="shared" si="61"/>
        <v>4882</v>
      </c>
      <c r="G772" s="1378">
        <f t="shared" si="60"/>
        <v>0</v>
      </c>
      <c r="H772" s="448">
        <f t="shared" si="60"/>
        <v>3065</v>
      </c>
      <c r="I772" s="448">
        <f t="shared" si="60"/>
        <v>5487</v>
      </c>
      <c r="J772" s="447">
        <f t="shared" si="60"/>
        <v>6381</v>
      </c>
      <c r="K772" s="422"/>
      <c r="L772" s="448">
        <f t="shared" si="59"/>
        <v>38375</v>
      </c>
    </row>
    <row r="773" spans="1:12" ht="13.5">
      <c r="A773" s="448">
        <v>38400</v>
      </c>
      <c r="B773" s="447">
        <v>38450</v>
      </c>
      <c r="C773" s="1378">
        <f t="shared" si="61"/>
        <v>0</v>
      </c>
      <c r="D773" s="448">
        <f t="shared" si="61"/>
        <v>1919</v>
      </c>
      <c r="E773" s="448">
        <f t="shared" si="61"/>
        <v>3977</v>
      </c>
      <c r="F773" s="447">
        <f t="shared" si="61"/>
        <v>4871</v>
      </c>
      <c r="G773" s="1378">
        <f t="shared" si="60"/>
        <v>0</v>
      </c>
      <c r="H773" s="448">
        <f t="shared" si="60"/>
        <v>3057</v>
      </c>
      <c r="I773" s="448">
        <f t="shared" si="60"/>
        <v>5477</v>
      </c>
      <c r="J773" s="447">
        <f t="shared" si="60"/>
        <v>6371</v>
      </c>
      <c r="K773" s="422"/>
      <c r="L773" s="448">
        <f t="shared" si="59"/>
        <v>38425</v>
      </c>
    </row>
    <row r="774" spans="1:12" ht="13.5">
      <c r="A774" s="448">
        <v>38450</v>
      </c>
      <c r="B774" s="447">
        <v>38500</v>
      </c>
      <c r="C774" s="1378">
        <f t="shared" si="61"/>
        <v>0</v>
      </c>
      <c r="D774" s="448">
        <f t="shared" si="61"/>
        <v>1911</v>
      </c>
      <c r="E774" s="448">
        <f t="shared" si="61"/>
        <v>3967</v>
      </c>
      <c r="F774" s="447">
        <f t="shared" si="61"/>
        <v>4861</v>
      </c>
      <c r="G774" s="1378">
        <f t="shared" si="60"/>
        <v>0</v>
      </c>
      <c r="H774" s="448">
        <f t="shared" si="60"/>
        <v>3049</v>
      </c>
      <c r="I774" s="448">
        <f t="shared" si="60"/>
        <v>5466</v>
      </c>
      <c r="J774" s="447">
        <f t="shared" si="60"/>
        <v>6360</v>
      </c>
      <c r="K774" s="422"/>
      <c r="L774" s="448">
        <f t="shared" si="59"/>
        <v>38475</v>
      </c>
    </row>
    <row r="775" spans="1:12" ht="13.5">
      <c r="A775" s="448">
        <v>38500</v>
      </c>
      <c r="B775" s="447">
        <v>38550</v>
      </c>
      <c r="C775" s="1378">
        <f t="shared" si="61"/>
        <v>0</v>
      </c>
      <c r="D775" s="448">
        <f t="shared" si="61"/>
        <v>1903</v>
      </c>
      <c r="E775" s="448">
        <f t="shared" si="61"/>
        <v>3956</v>
      </c>
      <c r="F775" s="447">
        <f t="shared" si="61"/>
        <v>4850</v>
      </c>
      <c r="G775" s="1378">
        <f t="shared" si="60"/>
        <v>0</v>
      </c>
      <c r="H775" s="448">
        <f t="shared" si="60"/>
        <v>3041</v>
      </c>
      <c r="I775" s="448">
        <f t="shared" si="60"/>
        <v>5456</v>
      </c>
      <c r="J775" s="447">
        <f t="shared" si="60"/>
        <v>6350</v>
      </c>
      <c r="K775" s="422"/>
      <c r="L775" s="448">
        <f t="shared" ref="L775:L838" si="62">ROUND((A775+B775)/2,2)</f>
        <v>38525</v>
      </c>
    </row>
    <row r="776" spans="1:12" ht="13.5">
      <c r="A776" s="448">
        <v>38550</v>
      </c>
      <c r="B776" s="447">
        <v>38600</v>
      </c>
      <c r="C776" s="1378">
        <f t="shared" si="61"/>
        <v>0</v>
      </c>
      <c r="D776" s="448">
        <f t="shared" si="61"/>
        <v>1895</v>
      </c>
      <c r="E776" s="448">
        <f t="shared" si="61"/>
        <v>3946</v>
      </c>
      <c r="F776" s="447">
        <f t="shared" si="61"/>
        <v>4840</v>
      </c>
      <c r="G776" s="1378">
        <f t="shared" si="60"/>
        <v>0</v>
      </c>
      <c r="H776" s="448">
        <f t="shared" si="60"/>
        <v>3033</v>
      </c>
      <c r="I776" s="448">
        <f t="shared" si="60"/>
        <v>5445</v>
      </c>
      <c r="J776" s="447">
        <f t="shared" si="60"/>
        <v>6339</v>
      </c>
      <c r="K776" s="422"/>
      <c r="L776" s="448">
        <f t="shared" si="62"/>
        <v>38575</v>
      </c>
    </row>
    <row r="777" spans="1:12" ht="13.5">
      <c r="A777" s="448">
        <v>38600</v>
      </c>
      <c r="B777" s="447">
        <v>38650</v>
      </c>
      <c r="C777" s="1378">
        <f t="shared" si="61"/>
        <v>0</v>
      </c>
      <c r="D777" s="448">
        <f t="shared" si="61"/>
        <v>1887</v>
      </c>
      <c r="E777" s="448">
        <f t="shared" si="61"/>
        <v>3935</v>
      </c>
      <c r="F777" s="447">
        <f t="shared" si="61"/>
        <v>4829</v>
      </c>
      <c r="G777" s="1378">
        <f t="shared" si="60"/>
        <v>0</v>
      </c>
      <c r="H777" s="448">
        <f t="shared" si="60"/>
        <v>3025</v>
      </c>
      <c r="I777" s="448">
        <f t="shared" si="60"/>
        <v>5435</v>
      </c>
      <c r="J777" s="447">
        <f t="shared" si="60"/>
        <v>6329</v>
      </c>
      <c r="K777" s="422"/>
      <c r="L777" s="448">
        <f t="shared" si="62"/>
        <v>38625</v>
      </c>
    </row>
    <row r="778" spans="1:12" ht="13.5">
      <c r="A778" s="448">
        <v>38650</v>
      </c>
      <c r="B778" s="447">
        <v>38700</v>
      </c>
      <c r="C778" s="1378">
        <f t="shared" si="61"/>
        <v>0</v>
      </c>
      <c r="D778" s="448">
        <f t="shared" si="61"/>
        <v>1879</v>
      </c>
      <c r="E778" s="448">
        <f t="shared" si="61"/>
        <v>3925</v>
      </c>
      <c r="F778" s="447">
        <f t="shared" si="61"/>
        <v>4819</v>
      </c>
      <c r="G778" s="1378">
        <f t="shared" si="60"/>
        <v>0</v>
      </c>
      <c r="H778" s="448">
        <f t="shared" si="60"/>
        <v>3017</v>
      </c>
      <c r="I778" s="448">
        <f t="shared" si="60"/>
        <v>5424</v>
      </c>
      <c r="J778" s="447">
        <f t="shared" si="60"/>
        <v>6318</v>
      </c>
      <c r="K778" s="422"/>
      <c r="L778" s="448">
        <f t="shared" si="62"/>
        <v>38675</v>
      </c>
    </row>
    <row r="779" spans="1:12" ht="13.5">
      <c r="A779" s="448">
        <v>38700</v>
      </c>
      <c r="B779" s="447">
        <v>38750</v>
      </c>
      <c r="C779" s="1378">
        <f t="shared" si="61"/>
        <v>0</v>
      </c>
      <c r="D779" s="448">
        <f t="shared" si="61"/>
        <v>1871</v>
      </c>
      <c r="E779" s="448">
        <f t="shared" si="61"/>
        <v>3914</v>
      </c>
      <c r="F779" s="447">
        <f t="shared" si="61"/>
        <v>4808</v>
      </c>
      <c r="G779" s="1378">
        <f t="shared" si="60"/>
        <v>0</v>
      </c>
      <c r="H779" s="448">
        <f t="shared" si="60"/>
        <v>3009</v>
      </c>
      <c r="I779" s="448">
        <f t="shared" si="60"/>
        <v>5413</v>
      </c>
      <c r="J779" s="447">
        <f t="shared" si="60"/>
        <v>6307</v>
      </c>
      <c r="K779" s="422"/>
      <c r="L779" s="448">
        <f t="shared" si="62"/>
        <v>38725</v>
      </c>
    </row>
    <row r="780" spans="1:12" ht="13.5">
      <c r="A780" s="448">
        <v>38750</v>
      </c>
      <c r="B780" s="447">
        <v>38800</v>
      </c>
      <c r="C780" s="1378">
        <f t="shared" si="61"/>
        <v>0</v>
      </c>
      <c r="D780" s="448">
        <f t="shared" si="61"/>
        <v>1863</v>
      </c>
      <c r="E780" s="448">
        <f t="shared" si="61"/>
        <v>3903</v>
      </c>
      <c r="F780" s="447">
        <f t="shared" si="61"/>
        <v>4797</v>
      </c>
      <c r="G780" s="1378">
        <f t="shared" si="60"/>
        <v>0</v>
      </c>
      <c r="H780" s="448">
        <f t="shared" si="60"/>
        <v>3001</v>
      </c>
      <c r="I780" s="448">
        <f t="shared" si="60"/>
        <v>5403</v>
      </c>
      <c r="J780" s="447">
        <f t="shared" ref="J780:J843" si="63">IF($L780&gt;U$5,MAX(0,U$3+ROUND((U$9*($L780-U$5)),0)),IF($L780&gt;U$4,U$3,ROUND($L780*U$7,0)))</f>
        <v>6297</v>
      </c>
      <c r="K780" s="422"/>
      <c r="L780" s="448">
        <f t="shared" si="62"/>
        <v>38775</v>
      </c>
    </row>
    <row r="781" spans="1:12" ht="13.5">
      <c r="A781" s="448">
        <v>38800</v>
      </c>
      <c r="B781" s="447">
        <v>38850</v>
      </c>
      <c r="C781" s="1378">
        <f t="shared" si="61"/>
        <v>0</v>
      </c>
      <c r="D781" s="448">
        <f t="shared" si="61"/>
        <v>1855</v>
      </c>
      <c r="E781" s="448">
        <f t="shared" si="61"/>
        <v>3893</v>
      </c>
      <c r="F781" s="447">
        <f t="shared" si="61"/>
        <v>4787</v>
      </c>
      <c r="G781" s="1378">
        <f t="shared" si="61"/>
        <v>0</v>
      </c>
      <c r="H781" s="448">
        <f t="shared" si="61"/>
        <v>2993</v>
      </c>
      <c r="I781" s="448">
        <f t="shared" si="61"/>
        <v>5392</v>
      </c>
      <c r="J781" s="447">
        <f t="shared" si="63"/>
        <v>6286</v>
      </c>
      <c r="K781" s="422"/>
      <c r="L781" s="448">
        <f t="shared" si="62"/>
        <v>38825</v>
      </c>
    </row>
    <row r="782" spans="1:12" ht="13.5">
      <c r="A782" s="448">
        <v>38850</v>
      </c>
      <c r="B782" s="447">
        <v>38900</v>
      </c>
      <c r="C782" s="1378">
        <f t="shared" si="61"/>
        <v>0</v>
      </c>
      <c r="D782" s="448">
        <f t="shared" si="61"/>
        <v>1847</v>
      </c>
      <c r="E782" s="448">
        <f t="shared" si="61"/>
        <v>3882</v>
      </c>
      <c r="F782" s="447">
        <f t="shared" si="61"/>
        <v>4776</v>
      </c>
      <c r="G782" s="1378">
        <f t="shared" si="61"/>
        <v>0</v>
      </c>
      <c r="H782" s="448">
        <f t="shared" si="61"/>
        <v>2985</v>
      </c>
      <c r="I782" s="448">
        <f t="shared" si="61"/>
        <v>5382</v>
      </c>
      <c r="J782" s="447">
        <f t="shared" si="63"/>
        <v>6276</v>
      </c>
      <c r="K782" s="422"/>
      <c r="L782" s="448">
        <f t="shared" si="62"/>
        <v>38875</v>
      </c>
    </row>
    <row r="783" spans="1:12" ht="13.5">
      <c r="A783" s="448">
        <v>38900</v>
      </c>
      <c r="B783" s="447">
        <v>38950</v>
      </c>
      <c r="C783" s="1378">
        <f t="shared" si="61"/>
        <v>0</v>
      </c>
      <c r="D783" s="448">
        <f t="shared" si="61"/>
        <v>1839</v>
      </c>
      <c r="E783" s="448">
        <f t="shared" si="61"/>
        <v>3872</v>
      </c>
      <c r="F783" s="447">
        <f t="shared" si="61"/>
        <v>4766</v>
      </c>
      <c r="G783" s="1378">
        <f t="shared" si="61"/>
        <v>0</v>
      </c>
      <c r="H783" s="448">
        <f t="shared" si="61"/>
        <v>2977</v>
      </c>
      <c r="I783" s="448">
        <f t="shared" si="61"/>
        <v>5371</v>
      </c>
      <c r="J783" s="447">
        <f t="shared" si="63"/>
        <v>6265</v>
      </c>
      <c r="K783" s="422"/>
      <c r="L783" s="448">
        <f t="shared" si="62"/>
        <v>38925</v>
      </c>
    </row>
    <row r="784" spans="1:12" ht="13.5">
      <c r="A784" s="448">
        <v>38950</v>
      </c>
      <c r="B784" s="447">
        <v>39000</v>
      </c>
      <c r="C784" s="1378">
        <f t="shared" si="61"/>
        <v>0</v>
      </c>
      <c r="D784" s="448">
        <f t="shared" si="61"/>
        <v>1831</v>
      </c>
      <c r="E784" s="448">
        <f t="shared" si="61"/>
        <v>3861</v>
      </c>
      <c r="F784" s="447">
        <f t="shared" si="61"/>
        <v>4755</v>
      </c>
      <c r="G784" s="1378">
        <f t="shared" si="61"/>
        <v>0</v>
      </c>
      <c r="H784" s="448">
        <f t="shared" si="61"/>
        <v>2969</v>
      </c>
      <c r="I784" s="448">
        <f t="shared" si="61"/>
        <v>5361</v>
      </c>
      <c r="J784" s="447">
        <f t="shared" si="63"/>
        <v>6255</v>
      </c>
      <c r="K784" s="422"/>
      <c r="L784" s="448">
        <f t="shared" si="62"/>
        <v>38975</v>
      </c>
    </row>
    <row r="785" spans="1:12" ht="13.5">
      <c r="A785" s="448">
        <v>39000</v>
      </c>
      <c r="B785" s="447">
        <v>39050</v>
      </c>
      <c r="C785" s="1378">
        <f t="shared" si="61"/>
        <v>0</v>
      </c>
      <c r="D785" s="448">
        <f t="shared" si="61"/>
        <v>1823</v>
      </c>
      <c r="E785" s="448">
        <f t="shared" si="61"/>
        <v>3851</v>
      </c>
      <c r="F785" s="447">
        <f t="shared" si="61"/>
        <v>4745</v>
      </c>
      <c r="G785" s="1378">
        <f t="shared" si="61"/>
        <v>0</v>
      </c>
      <c r="H785" s="448">
        <f t="shared" si="61"/>
        <v>2961</v>
      </c>
      <c r="I785" s="448">
        <f t="shared" si="61"/>
        <v>5350</v>
      </c>
      <c r="J785" s="447">
        <f t="shared" si="63"/>
        <v>6244</v>
      </c>
      <c r="K785" s="422"/>
      <c r="L785" s="448">
        <f t="shared" si="62"/>
        <v>39025</v>
      </c>
    </row>
    <row r="786" spans="1:12" ht="13.5">
      <c r="A786" s="448">
        <v>39050</v>
      </c>
      <c r="B786" s="447">
        <v>39100</v>
      </c>
      <c r="C786" s="1378">
        <f t="shared" si="61"/>
        <v>0</v>
      </c>
      <c r="D786" s="448">
        <f t="shared" si="61"/>
        <v>1815</v>
      </c>
      <c r="E786" s="448">
        <f t="shared" si="61"/>
        <v>3840</v>
      </c>
      <c r="F786" s="447">
        <f t="shared" si="61"/>
        <v>4734</v>
      </c>
      <c r="G786" s="1378">
        <f t="shared" si="61"/>
        <v>0</v>
      </c>
      <c r="H786" s="448">
        <f t="shared" si="61"/>
        <v>2953</v>
      </c>
      <c r="I786" s="448">
        <f t="shared" si="61"/>
        <v>5340</v>
      </c>
      <c r="J786" s="447">
        <f t="shared" si="63"/>
        <v>6234</v>
      </c>
      <c r="K786" s="422"/>
      <c r="L786" s="448">
        <f t="shared" si="62"/>
        <v>39075</v>
      </c>
    </row>
    <row r="787" spans="1:12" ht="13.5">
      <c r="A787" s="448">
        <v>39100</v>
      </c>
      <c r="B787" s="447">
        <v>39150</v>
      </c>
      <c r="C787" s="1378">
        <f t="shared" si="61"/>
        <v>0</v>
      </c>
      <c r="D787" s="448">
        <f t="shared" si="61"/>
        <v>1807</v>
      </c>
      <c r="E787" s="448">
        <f t="shared" si="61"/>
        <v>3830</v>
      </c>
      <c r="F787" s="447">
        <f t="shared" si="61"/>
        <v>4724</v>
      </c>
      <c r="G787" s="1378">
        <f t="shared" si="61"/>
        <v>0</v>
      </c>
      <c r="H787" s="448">
        <f t="shared" si="61"/>
        <v>2945</v>
      </c>
      <c r="I787" s="448">
        <f t="shared" si="61"/>
        <v>5329</v>
      </c>
      <c r="J787" s="447">
        <f t="shared" si="63"/>
        <v>6223</v>
      </c>
      <c r="K787" s="422"/>
      <c r="L787" s="448">
        <f t="shared" si="62"/>
        <v>39125</v>
      </c>
    </row>
    <row r="788" spans="1:12" ht="13.5">
      <c r="A788" s="448">
        <v>39150</v>
      </c>
      <c r="B788" s="447">
        <v>39200</v>
      </c>
      <c r="C788" s="1378">
        <f t="shared" si="61"/>
        <v>0</v>
      </c>
      <c r="D788" s="448">
        <f t="shared" si="61"/>
        <v>1799</v>
      </c>
      <c r="E788" s="448">
        <f t="shared" si="61"/>
        <v>3819</v>
      </c>
      <c r="F788" s="447">
        <f t="shared" si="61"/>
        <v>4713</v>
      </c>
      <c r="G788" s="1378">
        <f t="shared" si="61"/>
        <v>0</v>
      </c>
      <c r="H788" s="448">
        <f t="shared" si="61"/>
        <v>2937</v>
      </c>
      <c r="I788" s="448">
        <f t="shared" si="61"/>
        <v>5319</v>
      </c>
      <c r="J788" s="447">
        <f t="shared" si="63"/>
        <v>6213</v>
      </c>
      <c r="K788" s="422"/>
      <c r="L788" s="448">
        <f t="shared" si="62"/>
        <v>39175</v>
      </c>
    </row>
    <row r="789" spans="1:12" ht="13.5">
      <c r="A789" s="448">
        <v>39200</v>
      </c>
      <c r="B789" s="447">
        <v>39250</v>
      </c>
      <c r="C789" s="1378">
        <f t="shared" si="61"/>
        <v>0</v>
      </c>
      <c r="D789" s="448">
        <f t="shared" si="61"/>
        <v>1791</v>
      </c>
      <c r="E789" s="448">
        <f t="shared" si="61"/>
        <v>3809</v>
      </c>
      <c r="F789" s="447">
        <f t="shared" si="61"/>
        <v>4703</v>
      </c>
      <c r="G789" s="1378">
        <f t="shared" si="61"/>
        <v>0</v>
      </c>
      <c r="H789" s="448">
        <f t="shared" si="61"/>
        <v>2929</v>
      </c>
      <c r="I789" s="448">
        <f t="shared" si="61"/>
        <v>5308</v>
      </c>
      <c r="J789" s="447">
        <f t="shared" si="63"/>
        <v>6202</v>
      </c>
      <c r="K789" s="422"/>
      <c r="L789" s="448">
        <f t="shared" si="62"/>
        <v>39225</v>
      </c>
    </row>
    <row r="790" spans="1:12" ht="13.5">
      <c r="A790" s="448">
        <v>39250</v>
      </c>
      <c r="B790" s="447">
        <v>39300</v>
      </c>
      <c r="C790" s="1378">
        <f t="shared" si="61"/>
        <v>0</v>
      </c>
      <c r="D790" s="448">
        <f t="shared" si="61"/>
        <v>1783</v>
      </c>
      <c r="E790" s="448">
        <f t="shared" si="61"/>
        <v>3798</v>
      </c>
      <c r="F790" s="447">
        <f t="shared" si="61"/>
        <v>4692</v>
      </c>
      <c r="G790" s="1378">
        <f t="shared" si="61"/>
        <v>0</v>
      </c>
      <c r="H790" s="448">
        <f t="shared" si="61"/>
        <v>2921</v>
      </c>
      <c r="I790" s="448">
        <f t="shared" si="61"/>
        <v>5298</v>
      </c>
      <c r="J790" s="447">
        <f t="shared" si="63"/>
        <v>6192</v>
      </c>
      <c r="K790" s="422"/>
      <c r="L790" s="448">
        <f t="shared" si="62"/>
        <v>39275</v>
      </c>
    </row>
    <row r="791" spans="1:12" ht="13.5">
      <c r="A791" s="448">
        <v>39300</v>
      </c>
      <c r="B791" s="447">
        <v>39350</v>
      </c>
      <c r="C791" s="1378">
        <f t="shared" si="61"/>
        <v>0</v>
      </c>
      <c r="D791" s="448">
        <f t="shared" si="61"/>
        <v>1775</v>
      </c>
      <c r="E791" s="448">
        <f t="shared" si="61"/>
        <v>3788</v>
      </c>
      <c r="F791" s="447">
        <f t="shared" si="61"/>
        <v>4682</v>
      </c>
      <c r="G791" s="1378">
        <f t="shared" si="61"/>
        <v>0</v>
      </c>
      <c r="H791" s="448">
        <f t="shared" si="61"/>
        <v>2913</v>
      </c>
      <c r="I791" s="448">
        <f t="shared" si="61"/>
        <v>5287</v>
      </c>
      <c r="J791" s="447">
        <f t="shared" si="63"/>
        <v>6181</v>
      </c>
      <c r="K791" s="422"/>
      <c r="L791" s="448">
        <f t="shared" si="62"/>
        <v>39325</v>
      </c>
    </row>
    <row r="792" spans="1:12" ht="13.5">
      <c r="A792" s="448">
        <v>39350</v>
      </c>
      <c r="B792" s="447">
        <v>39400</v>
      </c>
      <c r="C792" s="1378">
        <f t="shared" si="61"/>
        <v>0</v>
      </c>
      <c r="D792" s="448">
        <f t="shared" si="61"/>
        <v>1767</v>
      </c>
      <c r="E792" s="448">
        <f t="shared" si="61"/>
        <v>3777</v>
      </c>
      <c r="F792" s="447">
        <f t="shared" si="61"/>
        <v>4671</v>
      </c>
      <c r="G792" s="1378">
        <f t="shared" si="61"/>
        <v>0</v>
      </c>
      <c r="H792" s="448">
        <f t="shared" si="61"/>
        <v>2905</v>
      </c>
      <c r="I792" s="448">
        <f t="shared" si="61"/>
        <v>5277</v>
      </c>
      <c r="J792" s="447">
        <f t="shared" si="63"/>
        <v>6171</v>
      </c>
      <c r="K792" s="422"/>
      <c r="L792" s="448">
        <f t="shared" si="62"/>
        <v>39375</v>
      </c>
    </row>
    <row r="793" spans="1:12" ht="13.5">
      <c r="A793" s="448">
        <v>39400</v>
      </c>
      <c r="B793" s="447">
        <v>39450</v>
      </c>
      <c r="C793" s="1378">
        <f t="shared" si="61"/>
        <v>0</v>
      </c>
      <c r="D793" s="448">
        <f t="shared" si="61"/>
        <v>1759</v>
      </c>
      <c r="E793" s="448">
        <f t="shared" si="61"/>
        <v>3767</v>
      </c>
      <c r="F793" s="447">
        <f t="shared" si="61"/>
        <v>4661</v>
      </c>
      <c r="G793" s="1378">
        <f t="shared" si="61"/>
        <v>0</v>
      </c>
      <c r="H793" s="448">
        <f t="shared" si="61"/>
        <v>2897</v>
      </c>
      <c r="I793" s="448">
        <f t="shared" si="61"/>
        <v>5266</v>
      </c>
      <c r="J793" s="447">
        <f t="shared" si="63"/>
        <v>6160</v>
      </c>
      <c r="K793" s="422"/>
      <c r="L793" s="448">
        <f t="shared" si="62"/>
        <v>39425</v>
      </c>
    </row>
    <row r="794" spans="1:12" ht="13.5">
      <c r="A794" s="448">
        <v>39450</v>
      </c>
      <c r="B794" s="447">
        <v>39500</v>
      </c>
      <c r="C794" s="1378">
        <f t="shared" si="61"/>
        <v>0</v>
      </c>
      <c r="D794" s="448">
        <f t="shared" si="61"/>
        <v>1751</v>
      </c>
      <c r="E794" s="448">
        <f t="shared" si="61"/>
        <v>3756</v>
      </c>
      <c r="F794" s="447">
        <f t="shared" si="61"/>
        <v>4650</v>
      </c>
      <c r="G794" s="1378">
        <f t="shared" si="61"/>
        <v>0</v>
      </c>
      <c r="H794" s="448">
        <f t="shared" si="61"/>
        <v>2889</v>
      </c>
      <c r="I794" s="448">
        <f t="shared" si="61"/>
        <v>5256</v>
      </c>
      <c r="J794" s="447">
        <f t="shared" si="63"/>
        <v>6150</v>
      </c>
      <c r="K794" s="422"/>
      <c r="L794" s="448">
        <f t="shared" si="62"/>
        <v>39475</v>
      </c>
    </row>
    <row r="795" spans="1:12" ht="13.5">
      <c r="A795" s="448">
        <v>39500</v>
      </c>
      <c r="B795" s="447">
        <v>39550</v>
      </c>
      <c r="C795" s="1378">
        <f t="shared" si="61"/>
        <v>0</v>
      </c>
      <c r="D795" s="448">
        <f t="shared" si="61"/>
        <v>1743</v>
      </c>
      <c r="E795" s="448">
        <f t="shared" si="61"/>
        <v>3746</v>
      </c>
      <c r="F795" s="447">
        <f t="shared" si="61"/>
        <v>4640</v>
      </c>
      <c r="G795" s="1378">
        <f t="shared" si="61"/>
        <v>0</v>
      </c>
      <c r="H795" s="448">
        <f t="shared" si="61"/>
        <v>2881</v>
      </c>
      <c r="I795" s="448">
        <f t="shared" si="61"/>
        <v>5245</v>
      </c>
      <c r="J795" s="447">
        <f t="shared" si="63"/>
        <v>6139</v>
      </c>
      <c r="K795" s="422"/>
      <c r="L795" s="448">
        <f t="shared" si="62"/>
        <v>39525</v>
      </c>
    </row>
    <row r="796" spans="1:12" ht="13.5">
      <c r="A796" s="448">
        <v>39550</v>
      </c>
      <c r="B796" s="447">
        <v>39600</v>
      </c>
      <c r="C796" s="1378">
        <f t="shared" si="61"/>
        <v>0</v>
      </c>
      <c r="D796" s="448">
        <f t="shared" si="61"/>
        <v>1735</v>
      </c>
      <c r="E796" s="448">
        <f t="shared" si="61"/>
        <v>3735</v>
      </c>
      <c r="F796" s="447">
        <f t="shared" si="61"/>
        <v>4629</v>
      </c>
      <c r="G796" s="1378">
        <f t="shared" si="61"/>
        <v>0</v>
      </c>
      <c r="H796" s="448">
        <f t="shared" si="61"/>
        <v>2873</v>
      </c>
      <c r="I796" s="448">
        <f t="shared" si="61"/>
        <v>5234</v>
      </c>
      <c r="J796" s="447">
        <f t="shared" si="63"/>
        <v>6128</v>
      </c>
      <c r="K796" s="422"/>
      <c r="L796" s="448">
        <f t="shared" si="62"/>
        <v>39575</v>
      </c>
    </row>
    <row r="797" spans="1:12" ht="13.5">
      <c r="A797" s="448">
        <v>39600</v>
      </c>
      <c r="B797" s="447">
        <v>39650</v>
      </c>
      <c r="C797" s="1378">
        <f t="shared" si="61"/>
        <v>0</v>
      </c>
      <c r="D797" s="448">
        <f t="shared" si="61"/>
        <v>1727</v>
      </c>
      <c r="E797" s="448">
        <f t="shared" si="61"/>
        <v>3724</v>
      </c>
      <c r="F797" s="447">
        <f t="shared" ref="F797:J857" si="64">IF($L797&gt;Q$5,MAX(0,Q$3+ROUND((Q$9*($L797-Q$5)),0)),IF($L797&gt;Q$4,Q$3,ROUND($L797*Q$7,0)))</f>
        <v>4618</v>
      </c>
      <c r="G797" s="1378">
        <f t="shared" si="64"/>
        <v>0</v>
      </c>
      <c r="H797" s="448">
        <f t="shared" si="64"/>
        <v>2865</v>
      </c>
      <c r="I797" s="448">
        <f t="shared" si="64"/>
        <v>5224</v>
      </c>
      <c r="J797" s="447">
        <f t="shared" si="63"/>
        <v>6118</v>
      </c>
      <c r="K797" s="422"/>
      <c r="L797" s="448">
        <f t="shared" si="62"/>
        <v>39625</v>
      </c>
    </row>
    <row r="798" spans="1:12" ht="13.5">
      <c r="A798" s="448">
        <v>39650</v>
      </c>
      <c r="B798" s="447">
        <v>39700</v>
      </c>
      <c r="C798" s="1378">
        <f t="shared" ref="C798:G861" si="65">IF($L798&gt;N$5,MAX(0,N$3+ROUND((N$9*($L798-N$5)),0)),IF($L798&gt;N$4,N$3,ROUND($L798*N$7,0)))</f>
        <v>0</v>
      </c>
      <c r="D798" s="448">
        <f t="shared" si="65"/>
        <v>1719</v>
      </c>
      <c r="E798" s="448">
        <f t="shared" si="65"/>
        <v>3714</v>
      </c>
      <c r="F798" s="447">
        <f t="shared" si="64"/>
        <v>4608</v>
      </c>
      <c r="G798" s="1378">
        <f t="shared" si="64"/>
        <v>0</v>
      </c>
      <c r="H798" s="448">
        <f t="shared" si="64"/>
        <v>2857</v>
      </c>
      <c r="I798" s="448">
        <f t="shared" si="64"/>
        <v>5213</v>
      </c>
      <c r="J798" s="447">
        <f t="shared" si="63"/>
        <v>6107</v>
      </c>
      <c r="K798" s="422"/>
      <c r="L798" s="448">
        <f t="shared" si="62"/>
        <v>39675</v>
      </c>
    </row>
    <row r="799" spans="1:12" ht="13.5">
      <c r="A799" s="448">
        <v>39700</v>
      </c>
      <c r="B799" s="447">
        <v>39750</v>
      </c>
      <c r="C799" s="1378">
        <f t="shared" si="65"/>
        <v>0</v>
      </c>
      <c r="D799" s="448">
        <f t="shared" si="65"/>
        <v>1711</v>
      </c>
      <c r="E799" s="448">
        <f t="shared" si="65"/>
        <v>3703</v>
      </c>
      <c r="F799" s="447">
        <f t="shared" si="64"/>
        <v>4597</v>
      </c>
      <c r="G799" s="1378">
        <f t="shared" si="64"/>
        <v>0</v>
      </c>
      <c r="H799" s="448">
        <f t="shared" si="64"/>
        <v>2849</v>
      </c>
      <c r="I799" s="448">
        <f t="shared" si="64"/>
        <v>5203</v>
      </c>
      <c r="J799" s="447">
        <f t="shared" si="63"/>
        <v>6097</v>
      </c>
      <c r="K799" s="422"/>
      <c r="L799" s="448">
        <f t="shared" si="62"/>
        <v>39725</v>
      </c>
    </row>
    <row r="800" spans="1:12" ht="13.5">
      <c r="A800" s="448">
        <v>39750</v>
      </c>
      <c r="B800" s="447">
        <v>39800</v>
      </c>
      <c r="C800" s="1378">
        <f t="shared" si="65"/>
        <v>0</v>
      </c>
      <c r="D800" s="448">
        <f t="shared" si="65"/>
        <v>1703</v>
      </c>
      <c r="E800" s="448">
        <f t="shared" si="65"/>
        <v>3693</v>
      </c>
      <c r="F800" s="447">
        <f t="shared" si="64"/>
        <v>4587</v>
      </c>
      <c r="G800" s="1378">
        <f t="shared" si="64"/>
        <v>0</v>
      </c>
      <c r="H800" s="448">
        <f t="shared" si="64"/>
        <v>2841</v>
      </c>
      <c r="I800" s="448">
        <f t="shared" si="64"/>
        <v>5192</v>
      </c>
      <c r="J800" s="447">
        <f t="shared" si="63"/>
        <v>6086</v>
      </c>
      <c r="K800" s="422"/>
      <c r="L800" s="448">
        <f t="shared" si="62"/>
        <v>39775</v>
      </c>
    </row>
    <row r="801" spans="1:12" ht="13.5">
      <c r="A801" s="448">
        <v>39800</v>
      </c>
      <c r="B801" s="447">
        <v>39850</v>
      </c>
      <c r="C801" s="1378">
        <f t="shared" si="65"/>
        <v>0</v>
      </c>
      <c r="D801" s="448">
        <f t="shared" si="65"/>
        <v>1695</v>
      </c>
      <c r="E801" s="448">
        <f t="shared" si="65"/>
        <v>3682</v>
      </c>
      <c r="F801" s="447">
        <f t="shared" si="64"/>
        <v>4576</v>
      </c>
      <c r="G801" s="1378">
        <f t="shared" si="64"/>
        <v>0</v>
      </c>
      <c r="H801" s="448">
        <f t="shared" si="64"/>
        <v>2833</v>
      </c>
      <c r="I801" s="448">
        <f t="shared" si="64"/>
        <v>5182</v>
      </c>
      <c r="J801" s="447">
        <f t="shared" si="63"/>
        <v>6076</v>
      </c>
      <c r="K801" s="422"/>
      <c r="L801" s="448">
        <f t="shared" si="62"/>
        <v>39825</v>
      </c>
    </row>
    <row r="802" spans="1:12" ht="13.5">
      <c r="A802" s="448">
        <v>39850</v>
      </c>
      <c r="B802" s="447">
        <v>39900</v>
      </c>
      <c r="C802" s="1378">
        <f t="shared" si="65"/>
        <v>0</v>
      </c>
      <c r="D802" s="448">
        <f t="shared" si="65"/>
        <v>1687</v>
      </c>
      <c r="E802" s="448">
        <f t="shared" si="65"/>
        <v>3672</v>
      </c>
      <c r="F802" s="447">
        <f t="shared" si="64"/>
        <v>4566</v>
      </c>
      <c r="G802" s="1378">
        <f t="shared" si="64"/>
        <v>0</v>
      </c>
      <c r="H802" s="448">
        <f t="shared" si="64"/>
        <v>2825</v>
      </c>
      <c r="I802" s="448">
        <f t="shared" si="64"/>
        <v>5171</v>
      </c>
      <c r="J802" s="447">
        <f t="shared" si="63"/>
        <v>6065</v>
      </c>
      <c r="K802" s="422"/>
      <c r="L802" s="448">
        <f t="shared" si="62"/>
        <v>39875</v>
      </c>
    </row>
    <row r="803" spans="1:12" ht="13.5">
      <c r="A803" s="448">
        <v>39900</v>
      </c>
      <c r="B803" s="447">
        <v>39950</v>
      </c>
      <c r="C803" s="1378">
        <f t="shared" si="65"/>
        <v>0</v>
      </c>
      <c r="D803" s="448">
        <f t="shared" si="65"/>
        <v>1679</v>
      </c>
      <c r="E803" s="448">
        <f t="shared" si="65"/>
        <v>3661</v>
      </c>
      <c r="F803" s="447">
        <f t="shared" si="64"/>
        <v>4555</v>
      </c>
      <c r="G803" s="1378">
        <f t="shared" si="64"/>
        <v>0</v>
      </c>
      <c r="H803" s="448">
        <f t="shared" si="64"/>
        <v>2817</v>
      </c>
      <c r="I803" s="448">
        <f t="shared" si="64"/>
        <v>5161</v>
      </c>
      <c r="J803" s="447">
        <f t="shared" si="63"/>
        <v>6055</v>
      </c>
      <c r="K803" s="422"/>
      <c r="L803" s="448">
        <f t="shared" si="62"/>
        <v>39925</v>
      </c>
    </row>
    <row r="804" spans="1:12" ht="13.5">
      <c r="A804" s="448">
        <v>39950</v>
      </c>
      <c r="B804" s="447">
        <v>40000</v>
      </c>
      <c r="C804" s="1378">
        <f t="shared" si="65"/>
        <v>0</v>
      </c>
      <c r="D804" s="448">
        <f t="shared" si="65"/>
        <v>1671</v>
      </c>
      <c r="E804" s="448">
        <f t="shared" si="65"/>
        <v>3651</v>
      </c>
      <c r="F804" s="447">
        <f t="shared" si="64"/>
        <v>4545</v>
      </c>
      <c r="G804" s="1378">
        <f t="shared" si="64"/>
        <v>0</v>
      </c>
      <c r="H804" s="448">
        <f t="shared" si="64"/>
        <v>2809</v>
      </c>
      <c r="I804" s="448">
        <f t="shared" si="64"/>
        <v>5150</v>
      </c>
      <c r="J804" s="447">
        <f t="shared" si="63"/>
        <v>6044</v>
      </c>
      <c r="K804" s="422"/>
      <c r="L804" s="448">
        <f t="shared" si="62"/>
        <v>39975</v>
      </c>
    </row>
    <row r="805" spans="1:12" ht="13.5">
      <c r="A805" s="448">
        <v>40000</v>
      </c>
      <c r="B805" s="447">
        <v>40050</v>
      </c>
      <c r="C805" s="1378">
        <f t="shared" si="65"/>
        <v>0</v>
      </c>
      <c r="D805" s="448">
        <f t="shared" si="65"/>
        <v>1663</v>
      </c>
      <c r="E805" s="448">
        <f t="shared" si="65"/>
        <v>3640</v>
      </c>
      <c r="F805" s="447">
        <f t="shared" si="64"/>
        <v>4534</v>
      </c>
      <c r="G805" s="1378">
        <f t="shared" si="64"/>
        <v>0</v>
      </c>
      <c r="H805" s="448">
        <f t="shared" si="64"/>
        <v>2801</v>
      </c>
      <c r="I805" s="448">
        <f t="shared" si="64"/>
        <v>5140</v>
      </c>
      <c r="J805" s="447">
        <f t="shared" si="63"/>
        <v>6034</v>
      </c>
      <c r="K805" s="422"/>
      <c r="L805" s="448">
        <f t="shared" si="62"/>
        <v>40025</v>
      </c>
    </row>
    <row r="806" spans="1:12" ht="13.5">
      <c r="A806" s="448">
        <v>40050</v>
      </c>
      <c r="B806" s="447">
        <v>40100</v>
      </c>
      <c r="C806" s="1378">
        <f t="shared" si="65"/>
        <v>0</v>
      </c>
      <c r="D806" s="448">
        <f t="shared" si="65"/>
        <v>1655</v>
      </c>
      <c r="E806" s="448">
        <f t="shared" si="65"/>
        <v>3630</v>
      </c>
      <c r="F806" s="447">
        <f t="shared" si="64"/>
        <v>4524</v>
      </c>
      <c r="G806" s="1378">
        <f t="shared" si="64"/>
        <v>0</v>
      </c>
      <c r="H806" s="448">
        <f t="shared" si="64"/>
        <v>2793</v>
      </c>
      <c r="I806" s="448">
        <f t="shared" si="64"/>
        <v>5129</v>
      </c>
      <c r="J806" s="447">
        <f t="shared" si="63"/>
        <v>6023</v>
      </c>
      <c r="K806" s="422"/>
      <c r="L806" s="448">
        <f t="shared" si="62"/>
        <v>40075</v>
      </c>
    </row>
    <row r="807" spans="1:12" ht="13.5">
      <c r="A807" s="448">
        <v>40100</v>
      </c>
      <c r="B807" s="447">
        <v>40150</v>
      </c>
      <c r="C807" s="1378">
        <f t="shared" si="65"/>
        <v>0</v>
      </c>
      <c r="D807" s="448">
        <f t="shared" si="65"/>
        <v>1647</v>
      </c>
      <c r="E807" s="448">
        <f t="shared" si="65"/>
        <v>3619</v>
      </c>
      <c r="F807" s="447">
        <f t="shared" si="64"/>
        <v>4513</v>
      </c>
      <c r="G807" s="1378">
        <f t="shared" si="64"/>
        <v>0</v>
      </c>
      <c r="H807" s="448">
        <f t="shared" si="64"/>
        <v>2785</v>
      </c>
      <c r="I807" s="448">
        <f t="shared" si="64"/>
        <v>5119</v>
      </c>
      <c r="J807" s="447">
        <f t="shared" si="63"/>
        <v>6013</v>
      </c>
      <c r="K807" s="422"/>
      <c r="L807" s="448">
        <f t="shared" si="62"/>
        <v>40125</v>
      </c>
    </row>
    <row r="808" spans="1:12" ht="13.5">
      <c r="A808" s="448">
        <v>40150</v>
      </c>
      <c r="B808" s="447">
        <v>40200</v>
      </c>
      <c r="C808" s="1378">
        <f t="shared" si="65"/>
        <v>0</v>
      </c>
      <c r="D808" s="448">
        <f t="shared" si="65"/>
        <v>1639</v>
      </c>
      <c r="E808" s="448">
        <f t="shared" si="65"/>
        <v>3609</v>
      </c>
      <c r="F808" s="447">
        <f t="shared" si="64"/>
        <v>4503</v>
      </c>
      <c r="G808" s="1378">
        <f t="shared" si="64"/>
        <v>0</v>
      </c>
      <c r="H808" s="448">
        <f t="shared" si="64"/>
        <v>2777</v>
      </c>
      <c r="I808" s="448">
        <f t="shared" si="64"/>
        <v>5108</v>
      </c>
      <c r="J808" s="447">
        <f t="shared" si="63"/>
        <v>6002</v>
      </c>
      <c r="K808" s="422"/>
      <c r="L808" s="448">
        <f t="shared" si="62"/>
        <v>40175</v>
      </c>
    </row>
    <row r="809" spans="1:12" ht="13.5">
      <c r="A809" s="448">
        <v>40200</v>
      </c>
      <c r="B809" s="447">
        <v>40250</v>
      </c>
      <c r="C809" s="1378">
        <f t="shared" si="65"/>
        <v>0</v>
      </c>
      <c r="D809" s="448">
        <f t="shared" si="65"/>
        <v>1631</v>
      </c>
      <c r="E809" s="448">
        <f t="shared" si="65"/>
        <v>3598</v>
      </c>
      <c r="F809" s="447">
        <f t="shared" si="64"/>
        <v>4492</v>
      </c>
      <c r="G809" s="1378">
        <f t="shared" si="64"/>
        <v>0</v>
      </c>
      <c r="H809" s="448">
        <f t="shared" si="64"/>
        <v>2769</v>
      </c>
      <c r="I809" s="448">
        <f t="shared" si="64"/>
        <v>5098</v>
      </c>
      <c r="J809" s="447">
        <f t="shared" si="63"/>
        <v>5992</v>
      </c>
      <c r="K809" s="422"/>
      <c r="L809" s="448">
        <f t="shared" si="62"/>
        <v>40225</v>
      </c>
    </row>
    <row r="810" spans="1:12" ht="13.5">
      <c r="A810" s="448">
        <v>40250</v>
      </c>
      <c r="B810" s="447">
        <v>40300</v>
      </c>
      <c r="C810" s="1378">
        <f t="shared" si="65"/>
        <v>0</v>
      </c>
      <c r="D810" s="448">
        <f t="shared" si="65"/>
        <v>1623</v>
      </c>
      <c r="E810" s="448">
        <f t="shared" si="65"/>
        <v>3588</v>
      </c>
      <c r="F810" s="447">
        <f t="shared" si="64"/>
        <v>4482</v>
      </c>
      <c r="G810" s="1378">
        <f t="shared" si="64"/>
        <v>0</v>
      </c>
      <c r="H810" s="448">
        <f t="shared" si="64"/>
        <v>2761</v>
      </c>
      <c r="I810" s="448">
        <f t="shared" si="64"/>
        <v>5087</v>
      </c>
      <c r="J810" s="447">
        <f t="shared" si="63"/>
        <v>5981</v>
      </c>
      <c r="K810" s="422"/>
      <c r="L810" s="448">
        <f t="shared" si="62"/>
        <v>40275</v>
      </c>
    </row>
    <row r="811" spans="1:12" ht="13.5">
      <c r="A811" s="448">
        <v>40300</v>
      </c>
      <c r="B811" s="447">
        <v>40350</v>
      </c>
      <c r="C811" s="1378">
        <f t="shared" si="65"/>
        <v>0</v>
      </c>
      <c r="D811" s="448">
        <f t="shared" si="65"/>
        <v>1615</v>
      </c>
      <c r="E811" s="448">
        <f t="shared" si="65"/>
        <v>3577</v>
      </c>
      <c r="F811" s="447">
        <f t="shared" si="64"/>
        <v>4471</v>
      </c>
      <c r="G811" s="1378">
        <f t="shared" si="64"/>
        <v>0</v>
      </c>
      <c r="H811" s="448">
        <f t="shared" si="64"/>
        <v>2753</v>
      </c>
      <c r="I811" s="448">
        <f t="shared" si="64"/>
        <v>5077</v>
      </c>
      <c r="J811" s="447">
        <f t="shared" si="63"/>
        <v>5971</v>
      </c>
      <c r="K811" s="422"/>
      <c r="L811" s="448">
        <f t="shared" si="62"/>
        <v>40325</v>
      </c>
    </row>
    <row r="812" spans="1:12" ht="13.5">
      <c r="A812" s="448">
        <v>40350</v>
      </c>
      <c r="B812" s="447">
        <v>40400</v>
      </c>
      <c r="C812" s="1378">
        <f t="shared" si="65"/>
        <v>0</v>
      </c>
      <c r="D812" s="448">
        <f t="shared" si="65"/>
        <v>1607</v>
      </c>
      <c r="E812" s="448">
        <f t="shared" si="65"/>
        <v>3567</v>
      </c>
      <c r="F812" s="447">
        <f t="shared" si="64"/>
        <v>4461</v>
      </c>
      <c r="G812" s="1378">
        <f t="shared" si="64"/>
        <v>0</v>
      </c>
      <c r="H812" s="448">
        <f t="shared" si="64"/>
        <v>2745</v>
      </c>
      <c r="I812" s="448">
        <f t="shared" si="64"/>
        <v>5066</v>
      </c>
      <c r="J812" s="447">
        <f t="shared" si="63"/>
        <v>5960</v>
      </c>
      <c r="K812" s="422"/>
      <c r="L812" s="448">
        <f t="shared" si="62"/>
        <v>40375</v>
      </c>
    </row>
    <row r="813" spans="1:12" ht="13.5">
      <c r="A813" s="448">
        <v>40400</v>
      </c>
      <c r="B813" s="447">
        <v>40450</v>
      </c>
      <c r="C813" s="1378">
        <f t="shared" si="65"/>
        <v>0</v>
      </c>
      <c r="D813" s="448">
        <f t="shared" si="65"/>
        <v>1599</v>
      </c>
      <c r="E813" s="448">
        <f t="shared" si="65"/>
        <v>3556</v>
      </c>
      <c r="F813" s="447">
        <f t="shared" si="64"/>
        <v>4450</v>
      </c>
      <c r="G813" s="1378">
        <f t="shared" si="64"/>
        <v>0</v>
      </c>
      <c r="H813" s="448">
        <f t="shared" si="64"/>
        <v>2737</v>
      </c>
      <c r="I813" s="448">
        <f t="shared" si="64"/>
        <v>5055</v>
      </c>
      <c r="J813" s="447">
        <f t="shared" si="63"/>
        <v>5949</v>
      </c>
      <c r="K813" s="422"/>
      <c r="L813" s="448">
        <f t="shared" si="62"/>
        <v>40425</v>
      </c>
    </row>
    <row r="814" spans="1:12" ht="13.5">
      <c r="A814" s="448">
        <v>40450</v>
      </c>
      <c r="B814" s="447">
        <v>40500</v>
      </c>
      <c r="C814" s="1378">
        <f t="shared" si="65"/>
        <v>0</v>
      </c>
      <c r="D814" s="448">
        <f t="shared" si="65"/>
        <v>1591</v>
      </c>
      <c r="E814" s="448">
        <f t="shared" si="65"/>
        <v>3545</v>
      </c>
      <c r="F814" s="447">
        <f t="shared" si="64"/>
        <v>4439</v>
      </c>
      <c r="G814" s="1378">
        <f t="shared" si="64"/>
        <v>0</v>
      </c>
      <c r="H814" s="448">
        <f t="shared" si="64"/>
        <v>2729</v>
      </c>
      <c r="I814" s="448">
        <f t="shared" si="64"/>
        <v>5045</v>
      </c>
      <c r="J814" s="447">
        <f t="shared" si="63"/>
        <v>5939</v>
      </c>
      <c r="K814" s="422"/>
      <c r="L814" s="448">
        <f t="shared" si="62"/>
        <v>40475</v>
      </c>
    </row>
    <row r="815" spans="1:12" ht="13.5">
      <c r="A815" s="448">
        <v>40500</v>
      </c>
      <c r="B815" s="447">
        <v>40550</v>
      </c>
      <c r="C815" s="1378">
        <f t="shared" si="65"/>
        <v>0</v>
      </c>
      <c r="D815" s="448">
        <f t="shared" si="65"/>
        <v>1583</v>
      </c>
      <c r="E815" s="448">
        <f t="shared" si="65"/>
        <v>3535</v>
      </c>
      <c r="F815" s="447">
        <f t="shared" si="64"/>
        <v>4429</v>
      </c>
      <c r="G815" s="1378">
        <f t="shared" si="64"/>
        <v>0</v>
      </c>
      <c r="H815" s="448">
        <f t="shared" si="64"/>
        <v>2721</v>
      </c>
      <c r="I815" s="448">
        <f t="shared" si="64"/>
        <v>5034</v>
      </c>
      <c r="J815" s="447">
        <f t="shared" si="63"/>
        <v>5928</v>
      </c>
      <c r="K815" s="422"/>
      <c r="L815" s="448">
        <f t="shared" si="62"/>
        <v>40525</v>
      </c>
    </row>
    <row r="816" spans="1:12" ht="13.5">
      <c r="A816" s="448">
        <v>40550</v>
      </c>
      <c r="B816" s="447">
        <v>40600</v>
      </c>
      <c r="C816" s="1378">
        <f t="shared" si="65"/>
        <v>0</v>
      </c>
      <c r="D816" s="448">
        <f t="shared" si="65"/>
        <v>1575</v>
      </c>
      <c r="E816" s="448">
        <f t="shared" si="65"/>
        <v>3524</v>
      </c>
      <c r="F816" s="447">
        <f t="shared" si="64"/>
        <v>4418</v>
      </c>
      <c r="G816" s="1378">
        <f t="shared" si="64"/>
        <v>0</v>
      </c>
      <c r="H816" s="448">
        <f t="shared" si="64"/>
        <v>2713</v>
      </c>
      <c r="I816" s="448">
        <f t="shared" si="64"/>
        <v>5024</v>
      </c>
      <c r="J816" s="447">
        <f t="shared" si="63"/>
        <v>5918</v>
      </c>
      <c r="K816" s="422"/>
      <c r="L816" s="448">
        <f t="shared" si="62"/>
        <v>40575</v>
      </c>
    </row>
    <row r="817" spans="1:12" ht="13.5">
      <c r="A817" s="448">
        <v>40600</v>
      </c>
      <c r="B817" s="447">
        <v>40650</v>
      </c>
      <c r="C817" s="1378">
        <f t="shared" si="65"/>
        <v>0</v>
      </c>
      <c r="D817" s="448">
        <f t="shared" si="65"/>
        <v>1567</v>
      </c>
      <c r="E817" s="448">
        <f t="shared" si="65"/>
        <v>3514</v>
      </c>
      <c r="F817" s="447">
        <f t="shared" si="64"/>
        <v>4408</v>
      </c>
      <c r="G817" s="1378">
        <f t="shared" si="64"/>
        <v>0</v>
      </c>
      <c r="H817" s="448">
        <f t="shared" si="64"/>
        <v>2705</v>
      </c>
      <c r="I817" s="448">
        <f t="shared" si="64"/>
        <v>5013</v>
      </c>
      <c r="J817" s="447">
        <f t="shared" si="63"/>
        <v>5907</v>
      </c>
      <c r="K817" s="422"/>
      <c r="L817" s="448">
        <f t="shared" si="62"/>
        <v>40625</v>
      </c>
    </row>
    <row r="818" spans="1:12" ht="13.5">
      <c r="A818" s="448">
        <v>40650</v>
      </c>
      <c r="B818" s="447">
        <v>40700</v>
      </c>
      <c r="C818" s="1378">
        <f t="shared" si="65"/>
        <v>0</v>
      </c>
      <c r="D818" s="448">
        <f t="shared" si="65"/>
        <v>1559</v>
      </c>
      <c r="E818" s="448">
        <f t="shared" si="65"/>
        <v>3503</v>
      </c>
      <c r="F818" s="447">
        <f t="shared" si="64"/>
        <v>4397</v>
      </c>
      <c r="G818" s="1378">
        <f t="shared" si="64"/>
        <v>0</v>
      </c>
      <c r="H818" s="448">
        <f t="shared" si="64"/>
        <v>2697</v>
      </c>
      <c r="I818" s="448">
        <f t="shared" si="64"/>
        <v>5003</v>
      </c>
      <c r="J818" s="447">
        <f t="shared" si="63"/>
        <v>5897</v>
      </c>
      <c r="K818" s="422"/>
      <c r="L818" s="448">
        <f t="shared" si="62"/>
        <v>40675</v>
      </c>
    </row>
    <row r="819" spans="1:12" ht="13.5">
      <c r="A819" s="448">
        <v>40700</v>
      </c>
      <c r="B819" s="447">
        <v>40750</v>
      </c>
      <c r="C819" s="1378">
        <f t="shared" si="65"/>
        <v>0</v>
      </c>
      <c r="D819" s="448">
        <f t="shared" si="65"/>
        <v>1551</v>
      </c>
      <c r="E819" s="448">
        <f t="shared" si="65"/>
        <v>3493</v>
      </c>
      <c r="F819" s="447">
        <f t="shared" si="64"/>
        <v>4387</v>
      </c>
      <c r="G819" s="1378">
        <f t="shared" si="64"/>
        <v>0</v>
      </c>
      <c r="H819" s="448">
        <f t="shared" si="64"/>
        <v>2689</v>
      </c>
      <c r="I819" s="448">
        <f t="shared" si="64"/>
        <v>4992</v>
      </c>
      <c r="J819" s="447">
        <f t="shared" si="63"/>
        <v>5886</v>
      </c>
      <c r="K819" s="422"/>
      <c r="L819" s="448">
        <f t="shared" si="62"/>
        <v>40725</v>
      </c>
    </row>
    <row r="820" spans="1:12" ht="13.5">
      <c r="A820" s="448">
        <v>40750</v>
      </c>
      <c r="B820" s="447">
        <v>40800</v>
      </c>
      <c r="C820" s="1378">
        <f t="shared" si="65"/>
        <v>0</v>
      </c>
      <c r="D820" s="448">
        <f t="shared" si="65"/>
        <v>1544</v>
      </c>
      <c r="E820" s="448">
        <f t="shared" si="65"/>
        <v>3482</v>
      </c>
      <c r="F820" s="447">
        <f t="shared" si="64"/>
        <v>4376</v>
      </c>
      <c r="G820" s="1378">
        <f t="shared" si="64"/>
        <v>0</v>
      </c>
      <c r="H820" s="448">
        <f t="shared" si="64"/>
        <v>2681</v>
      </c>
      <c r="I820" s="448">
        <f t="shared" si="64"/>
        <v>4982</v>
      </c>
      <c r="J820" s="447">
        <f t="shared" si="63"/>
        <v>5876</v>
      </c>
      <c r="K820" s="422"/>
      <c r="L820" s="448">
        <f t="shared" si="62"/>
        <v>40775</v>
      </c>
    </row>
    <row r="821" spans="1:12" ht="13.5">
      <c r="A821" s="448">
        <v>40800</v>
      </c>
      <c r="B821" s="447">
        <v>40850</v>
      </c>
      <c r="C821" s="1378">
        <f t="shared" si="65"/>
        <v>0</v>
      </c>
      <c r="D821" s="448">
        <f t="shared" si="65"/>
        <v>1536</v>
      </c>
      <c r="E821" s="448">
        <f t="shared" si="65"/>
        <v>3472</v>
      </c>
      <c r="F821" s="447">
        <f t="shared" si="64"/>
        <v>4366</v>
      </c>
      <c r="G821" s="1378">
        <f t="shared" si="64"/>
        <v>0</v>
      </c>
      <c r="H821" s="448">
        <f t="shared" si="64"/>
        <v>2673</v>
      </c>
      <c r="I821" s="448">
        <f t="shared" si="64"/>
        <v>4971</v>
      </c>
      <c r="J821" s="447">
        <f t="shared" si="63"/>
        <v>5865</v>
      </c>
      <c r="K821" s="422"/>
      <c r="L821" s="448">
        <f t="shared" si="62"/>
        <v>40825</v>
      </c>
    </row>
    <row r="822" spans="1:12" ht="13.5">
      <c r="A822" s="448">
        <v>40850</v>
      </c>
      <c r="B822" s="447">
        <v>40900</v>
      </c>
      <c r="C822" s="1378">
        <f t="shared" si="65"/>
        <v>0</v>
      </c>
      <c r="D822" s="448">
        <f t="shared" si="65"/>
        <v>1528</v>
      </c>
      <c r="E822" s="448">
        <f t="shared" si="65"/>
        <v>3461</v>
      </c>
      <c r="F822" s="447">
        <f t="shared" si="64"/>
        <v>4355</v>
      </c>
      <c r="G822" s="1378">
        <f t="shared" si="64"/>
        <v>0</v>
      </c>
      <c r="H822" s="448">
        <f t="shared" si="64"/>
        <v>2665</v>
      </c>
      <c r="I822" s="448">
        <f t="shared" si="64"/>
        <v>4961</v>
      </c>
      <c r="J822" s="447">
        <f t="shared" si="63"/>
        <v>5855</v>
      </c>
      <c r="K822" s="422"/>
      <c r="L822" s="448">
        <f t="shared" si="62"/>
        <v>40875</v>
      </c>
    </row>
    <row r="823" spans="1:12" ht="13.5">
      <c r="A823" s="448">
        <v>40900</v>
      </c>
      <c r="B823" s="447">
        <v>40950</v>
      </c>
      <c r="C823" s="1378">
        <f t="shared" si="65"/>
        <v>0</v>
      </c>
      <c r="D823" s="448">
        <f t="shared" si="65"/>
        <v>1520</v>
      </c>
      <c r="E823" s="448">
        <f t="shared" si="65"/>
        <v>3451</v>
      </c>
      <c r="F823" s="447">
        <f t="shared" si="64"/>
        <v>4345</v>
      </c>
      <c r="G823" s="1378">
        <f t="shared" si="64"/>
        <v>0</v>
      </c>
      <c r="H823" s="448">
        <f t="shared" si="64"/>
        <v>2657</v>
      </c>
      <c r="I823" s="448">
        <f t="shared" si="64"/>
        <v>4950</v>
      </c>
      <c r="J823" s="447">
        <f t="shared" si="63"/>
        <v>5844</v>
      </c>
      <c r="K823" s="422"/>
      <c r="L823" s="448">
        <f t="shared" si="62"/>
        <v>40925</v>
      </c>
    </row>
    <row r="824" spans="1:12" ht="13.5">
      <c r="A824" s="448">
        <v>40950</v>
      </c>
      <c r="B824" s="447">
        <v>41000</v>
      </c>
      <c r="C824" s="1378">
        <f t="shared" si="65"/>
        <v>0</v>
      </c>
      <c r="D824" s="448">
        <f t="shared" si="65"/>
        <v>1512</v>
      </c>
      <c r="E824" s="448">
        <f t="shared" si="65"/>
        <v>3440</v>
      </c>
      <c r="F824" s="447">
        <f t="shared" si="64"/>
        <v>4334</v>
      </c>
      <c r="G824" s="1378">
        <f t="shared" si="64"/>
        <v>0</v>
      </c>
      <c r="H824" s="448">
        <f t="shared" si="64"/>
        <v>2649</v>
      </c>
      <c r="I824" s="448">
        <f t="shared" si="64"/>
        <v>4940</v>
      </c>
      <c r="J824" s="447">
        <f t="shared" si="63"/>
        <v>5834</v>
      </c>
      <c r="K824" s="422"/>
      <c r="L824" s="448">
        <f t="shared" si="62"/>
        <v>40975</v>
      </c>
    </row>
    <row r="825" spans="1:12" ht="13.5">
      <c r="A825" s="448">
        <v>41000</v>
      </c>
      <c r="B825" s="447">
        <v>41050</v>
      </c>
      <c r="C825" s="1378">
        <f t="shared" si="65"/>
        <v>0</v>
      </c>
      <c r="D825" s="448">
        <f t="shared" si="65"/>
        <v>1504</v>
      </c>
      <c r="E825" s="448">
        <f t="shared" si="65"/>
        <v>3430</v>
      </c>
      <c r="F825" s="447">
        <f t="shared" si="64"/>
        <v>4324</v>
      </c>
      <c r="G825" s="1378">
        <f t="shared" si="64"/>
        <v>0</v>
      </c>
      <c r="H825" s="448">
        <f t="shared" si="64"/>
        <v>2641</v>
      </c>
      <c r="I825" s="448">
        <f t="shared" si="64"/>
        <v>4929</v>
      </c>
      <c r="J825" s="447">
        <f t="shared" si="63"/>
        <v>5823</v>
      </c>
      <c r="K825" s="422"/>
      <c r="L825" s="448">
        <f t="shared" si="62"/>
        <v>41025</v>
      </c>
    </row>
    <row r="826" spans="1:12" ht="13.5">
      <c r="A826" s="448">
        <v>41050</v>
      </c>
      <c r="B826" s="447">
        <v>41100</v>
      </c>
      <c r="C826" s="1378">
        <f t="shared" si="65"/>
        <v>0</v>
      </c>
      <c r="D826" s="448">
        <f t="shared" si="65"/>
        <v>1496</v>
      </c>
      <c r="E826" s="448">
        <f t="shared" si="65"/>
        <v>3419</v>
      </c>
      <c r="F826" s="447">
        <f t="shared" si="64"/>
        <v>4313</v>
      </c>
      <c r="G826" s="1378">
        <f t="shared" si="64"/>
        <v>0</v>
      </c>
      <c r="H826" s="448">
        <f t="shared" si="64"/>
        <v>2633</v>
      </c>
      <c r="I826" s="448">
        <f t="shared" si="64"/>
        <v>4919</v>
      </c>
      <c r="J826" s="447">
        <f t="shared" si="63"/>
        <v>5813</v>
      </c>
      <c r="K826" s="422"/>
      <c r="L826" s="448">
        <f t="shared" si="62"/>
        <v>41075</v>
      </c>
    </row>
    <row r="827" spans="1:12" ht="13.5">
      <c r="A827" s="448">
        <v>41100</v>
      </c>
      <c r="B827" s="447">
        <v>41150</v>
      </c>
      <c r="C827" s="1378">
        <f t="shared" si="65"/>
        <v>0</v>
      </c>
      <c r="D827" s="448">
        <f t="shared" si="65"/>
        <v>1488</v>
      </c>
      <c r="E827" s="448">
        <f t="shared" si="65"/>
        <v>3409</v>
      </c>
      <c r="F827" s="447">
        <f t="shared" si="64"/>
        <v>4303</v>
      </c>
      <c r="G827" s="1378">
        <f t="shared" si="64"/>
        <v>0</v>
      </c>
      <c r="H827" s="448">
        <f t="shared" si="64"/>
        <v>2625</v>
      </c>
      <c r="I827" s="448">
        <f t="shared" si="64"/>
        <v>4908</v>
      </c>
      <c r="J827" s="447">
        <f t="shared" si="63"/>
        <v>5802</v>
      </c>
      <c r="K827" s="422"/>
      <c r="L827" s="448">
        <f t="shared" si="62"/>
        <v>41125</v>
      </c>
    </row>
    <row r="828" spans="1:12" ht="13.5">
      <c r="A828" s="448">
        <v>41150</v>
      </c>
      <c r="B828" s="447">
        <v>41200</v>
      </c>
      <c r="C828" s="1378">
        <f t="shared" si="65"/>
        <v>0</v>
      </c>
      <c r="D828" s="448">
        <f t="shared" si="65"/>
        <v>1480</v>
      </c>
      <c r="E828" s="448">
        <f t="shared" si="65"/>
        <v>3398</v>
      </c>
      <c r="F828" s="447">
        <f t="shared" si="64"/>
        <v>4292</v>
      </c>
      <c r="G828" s="1378">
        <f t="shared" si="64"/>
        <v>0</v>
      </c>
      <c r="H828" s="448">
        <f t="shared" si="64"/>
        <v>2617</v>
      </c>
      <c r="I828" s="448">
        <f t="shared" si="64"/>
        <v>4898</v>
      </c>
      <c r="J828" s="447">
        <f t="shared" si="63"/>
        <v>5792</v>
      </c>
      <c r="K828" s="422"/>
      <c r="L828" s="448">
        <f t="shared" si="62"/>
        <v>41175</v>
      </c>
    </row>
    <row r="829" spans="1:12" ht="13.5">
      <c r="A829" s="448">
        <v>41200</v>
      </c>
      <c r="B829" s="447">
        <v>41250</v>
      </c>
      <c r="C829" s="1378">
        <f t="shared" si="65"/>
        <v>0</v>
      </c>
      <c r="D829" s="448">
        <f t="shared" si="65"/>
        <v>1472</v>
      </c>
      <c r="E829" s="448">
        <f t="shared" si="65"/>
        <v>3388</v>
      </c>
      <c r="F829" s="447">
        <f t="shared" si="64"/>
        <v>4282</v>
      </c>
      <c r="G829" s="1378">
        <f t="shared" si="64"/>
        <v>0</v>
      </c>
      <c r="H829" s="448">
        <f t="shared" si="64"/>
        <v>2609</v>
      </c>
      <c r="I829" s="448">
        <f t="shared" si="64"/>
        <v>4887</v>
      </c>
      <c r="J829" s="447">
        <f t="shared" si="63"/>
        <v>5781</v>
      </c>
      <c r="K829" s="422"/>
      <c r="L829" s="448">
        <f t="shared" si="62"/>
        <v>41225</v>
      </c>
    </row>
    <row r="830" spans="1:12" ht="13.5">
      <c r="A830" s="448">
        <v>41250</v>
      </c>
      <c r="B830" s="447">
        <v>41300</v>
      </c>
      <c r="C830" s="1378">
        <f t="shared" si="65"/>
        <v>0</v>
      </c>
      <c r="D830" s="448">
        <f t="shared" si="65"/>
        <v>1464</v>
      </c>
      <c r="E830" s="448">
        <f t="shared" si="65"/>
        <v>3377</v>
      </c>
      <c r="F830" s="447">
        <f t="shared" si="64"/>
        <v>4271</v>
      </c>
      <c r="G830" s="1378">
        <f t="shared" si="64"/>
        <v>0</v>
      </c>
      <c r="H830" s="448">
        <f t="shared" si="64"/>
        <v>2601</v>
      </c>
      <c r="I830" s="448">
        <f t="shared" si="64"/>
        <v>4876</v>
      </c>
      <c r="J830" s="447">
        <f t="shared" si="63"/>
        <v>5770</v>
      </c>
      <c r="K830" s="422"/>
      <c r="L830" s="448">
        <f t="shared" si="62"/>
        <v>41275</v>
      </c>
    </row>
    <row r="831" spans="1:12" ht="13.5">
      <c r="A831" s="448">
        <v>41300</v>
      </c>
      <c r="B831" s="447">
        <v>41350</v>
      </c>
      <c r="C831" s="1378">
        <f t="shared" si="65"/>
        <v>0</v>
      </c>
      <c r="D831" s="448">
        <f t="shared" si="65"/>
        <v>1456</v>
      </c>
      <c r="E831" s="448">
        <f t="shared" si="65"/>
        <v>3366</v>
      </c>
      <c r="F831" s="447">
        <f t="shared" si="64"/>
        <v>4260</v>
      </c>
      <c r="G831" s="1378">
        <f t="shared" si="64"/>
        <v>0</v>
      </c>
      <c r="H831" s="448">
        <f t="shared" si="64"/>
        <v>2593</v>
      </c>
      <c r="I831" s="448">
        <f t="shared" si="64"/>
        <v>4866</v>
      </c>
      <c r="J831" s="447">
        <f t="shared" si="63"/>
        <v>5760</v>
      </c>
      <c r="K831" s="422"/>
      <c r="L831" s="448">
        <f t="shared" si="62"/>
        <v>41325</v>
      </c>
    </row>
    <row r="832" spans="1:12" ht="13.5">
      <c r="A832" s="448">
        <v>41350</v>
      </c>
      <c r="B832" s="447">
        <v>41400</v>
      </c>
      <c r="C832" s="1378">
        <f t="shared" si="65"/>
        <v>0</v>
      </c>
      <c r="D832" s="448">
        <f t="shared" si="65"/>
        <v>1448</v>
      </c>
      <c r="E832" s="448">
        <f t="shared" si="65"/>
        <v>3356</v>
      </c>
      <c r="F832" s="447">
        <f t="shared" si="64"/>
        <v>4250</v>
      </c>
      <c r="G832" s="1378">
        <f t="shared" si="64"/>
        <v>0</v>
      </c>
      <c r="H832" s="448">
        <f t="shared" si="64"/>
        <v>2585</v>
      </c>
      <c r="I832" s="448">
        <f t="shared" si="64"/>
        <v>4855</v>
      </c>
      <c r="J832" s="447">
        <f t="shared" si="63"/>
        <v>5749</v>
      </c>
      <c r="K832" s="422"/>
      <c r="L832" s="448">
        <f t="shared" si="62"/>
        <v>41375</v>
      </c>
    </row>
    <row r="833" spans="1:12" ht="13.5">
      <c r="A833" s="448">
        <v>41400</v>
      </c>
      <c r="B833" s="447">
        <v>41450</v>
      </c>
      <c r="C833" s="1378">
        <f t="shared" si="65"/>
        <v>0</v>
      </c>
      <c r="D833" s="448">
        <f t="shared" si="65"/>
        <v>1440</v>
      </c>
      <c r="E833" s="448">
        <f t="shared" si="65"/>
        <v>3345</v>
      </c>
      <c r="F833" s="447">
        <f t="shared" si="64"/>
        <v>4239</v>
      </c>
      <c r="G833" s="1378">
        <f t="shared" si="64"/>
        <v>0</v>
      </c>
      <c r="H833" s="448">
        <f t="shared" si="64"/>
        <v>2577</v>
      </c>
      <c r="I833" s="448">
        <f t="shared" si="64"/>
        <v>4845</v>
      </c>
      <c r="J833" s="447">
        <f t="shared" si="63"/>
        <v>5739</v>
      </c>
      <c r="K833" s="422"/>
      <c r="L833" s="448">
        <f t="shared" si="62"/>
        <v>41425</v>
      </c>
    </row>
    <row r="834" spans="1:12" ht="13.5">
      <c r="A834" s="448">
        <v>41450</v>
      </c>
      <c r="B834" s="447">
        <v>41500</v>
      </c>
      <c r="C834" s="1378">
        <f t="shared" si="65"/>
        <v>0</v>
      </c>
      <c r="D834" s="448">
        <f t="shared" si="65"/>
        <v>1432</v>
      </c>
      <c r="E834" s="448">
        <f t="shared" si="65"/>
        <v>3335</v>
      </c>
      <c r="F834" s="447">
        <f t="shared" si="64"/>
        <v>4229</v>
      </c>
      <c r="G834" s="1378">
        <f t="shared" si="64"/>
        <v>0</v>
      </c>
      <c r="H834" s="448">
        <f t="shared" si="64"/>
        <v>2569</v>
      </c>
      <c r="I834" s="448">
        <f t="shared" si="64"/>
        <v>4834</v>
      </c>
      <c r="J834" s="447">
        <f t="shared" si="63"/>
        <v>5728</v>
      </c>
      <c r="K834" s="422"/>
      <c r="L834" s="448">
        <f t="shared" si="62"/>
        <v>41475</v>
      </c>
    </row>
    <row r="835" spans="1:12" ht="13.5">
      <c r="A835" s="448">
        <v>41500</v>
      </c>
      <c r="B835" s="447">
        <v>41550</v>
      </c>
      <c r="C835" s="1378">
        <f t="shared" si="65"/>
        <v>0</v>
      </c>
      <c r="D835" s="448">
        <f t="shared" si="65"/>
        <v>1424</v>
      </c>
      <c r="E835" s="448">
        <f t="shared" si="65"/>
        <v>3324</v>
      </c>
      <c r="F835" s="447">
        <f t="shared" si="64"/>
        <v>4218</v>
      </c>
      <c r="G835" s="1378">
        <f t="shared" si="64"/>
        <v>0</v>
      </c>
      <c r="H835" s="448">
        <f t="shared" si="64"/>
        <v>2561</v>
      </c>
      <c r="I835" s="448">
        <f t="shared" si="64"/>
        <v>4824</v>
      </c>
      <c r="J835" s="447">
        <f t="shared" si="63"/>
        <v>5718</v>
      </c>
      <c r="K835" s="422"/>
      <c r="L835" s="448">
        <f t="shared" si="62"/>
        <v>41525</v>
      </c>
    </row>
    <row r="836" spans="1:12" ht="13.5">
      <c r="A836" s="448">
        <v>41550</v>
      </c>
      <c r="B836" s="447">
        <v>41600</v>
      </c>
      <c r="C836" s="1378">
        <f t="shared" si="65"/>
        <v>0</v>
      </c>
      <c r="D836" s="448">
        <f t="shared" si="65"/>
        <v>1416</v>
      </c>
      <c r="E836" s="448">
        <f t="shared" si="65"/>
        <v>3314</v>
      </c>
      <c r="F836" s="447">
        <f t="shared" si="64"/>
        <v>4208</v>
      </c>
      <c r="G836" s="1378">
        <f t="shared" si="64"/>
        <v>0</v>
      </c>
      <c r="H836" s="448">
        <f t="shared" si="64"/>
        <v>2553</v>
      </c>
      <c r="I836" s="448">
        <f t="shared" si="64"/>
        <v>4813</v>
      </c>
      <c r="J836" s="447">
        <f t="shared" si="63"/>
        <v>5707</v>
      </c>
      <c r="K836" s="422"/>
      <c r="L836" s="448">
        <f t="shared" si="62"/>
        <v>41575</v>
      </c>
    </row>
    <row r="837" spans="1:12" ht="13.5">
      <c r="A837" s="448">
        <v>41600</v>
      </c>
      <c r="B837" s="447">
        <v>41650</v>
      </c>
      <c r="C837" s="1378">
        <f t="shared" si="65"/>
        <v>0</v>
      </c>
      <c r="D837" s="448">
        <f t="shared" si="65"/>
        <v>1408</v>
      </c>
      <c r="E837" s="448">
        <f t="shared" si="65"/>
        <v>3303</v>
      </c>
      <c r="F837" s="447">
        <f t="shared" si="64"/>
        <v>4197</v>
      </c>
      <c r="G837" s="1378">
        <f t="shared" si="64"/>
        <v>0</v>
      </c>
      <c r="H837" s="448">
        <f t="shared" si="64"/>
        <v>2545</v>
      </c>
      <c r="I837" s="448">
        <f t="shared" si="64"/>
        <v>4803</v>
      </c>
      <c r="J837" s="447">
        <f t="shared" si="63"/>
        <v>5697</v>
      </c>
      <c r="K837" s="422"/>
      <c r="L837" s="448">
        <f t="shared" si="62"/>
        <v>41625</v>
      </c>
    </row>
    <row r="838" spans="1:12" ht="13.5">
      <c r="A838" s="448">
        <v>41650</v>
      </c>
      <c r="B838" s="447">
        <v>41700</v>
      </c>
      <c r="C838" s="1378">
        <f t="shared" si="65"/>
        <v>0</v>
      </c>
      <c r="D838" s="448">
        <f t="shared" si="65"/>
        <v>1400</v>
      </c>
      <c r="E838" s="448">
        <f t="shared" si="65"/>
        <v>3293</v>
      </c>
      <c r="F838" s="447">
        <f t="shared" si="64"/>
        <v>4187</v>
      </c>
      <c r="G838" s="1378">
        <f t="shared" si="64"/>
        <v>0</v>
      </c>
      <c r="H838" s="448">
        <f t="shared" si="64"/>
        <v>2537</v>
      </c>
      <c r="I838" s="448">
        <f t="shared" si="64"/>
        <v>4792</v>
      </c>
      <c r="J838" s="447">
        <f t="shared" si="63"/>
        <v>5686</v>
      </c>
      <c r="K838" s="422"/>
      <c r="L838" s="448">
        <f t="shared" si="62"/>
        <v>41675</v>
      </c>
    </row>
    <row r="839" spans="1:12" ht="13.5">
      <c r="A839" s="448">
        <v>41700</v>
      </c>
      <c r="B839" s="447">
        <v>41750</v>
      </c>
      <c r="C839" s="1378">
        <f t="shared" si="65"/>
        <v>0</v>
      </c>
      <c r="D839" s="448">
        <f t="shared" si="65"/>
        <v>1392</v>
      </c>
      <c r="E839" s="448">
        <f t="shared" si="65"/>
        <v>3282</v>
      </c>
      <c r="F839" s="447">
        <f t="shared" si="64"/>
        <v>4176</v>
      </c>
      <c r="G839" s="1378">
        <f t="shared" si="64"/>
        <v>0</v>
      </c>
      <c r="H839" s="448">
        <f t="shared" si="64"/>
        <v>2529</v>
      </c>
      <c r="I839" s="448">
        <f t="shared" si="64"/>
        <v>4782</v>
      </c>
      <c r="J839" s="447">
        <f t="shared" si="63"/>
        <v>5676</v>
      </c>
      <c r="K839" s="422"/>
      <c r="L839" s="448">
        <f t="shared" ref="L839:L902" si="66">ROUND((A839+B839)/2,2)</f>
        <v>41725</v>
      </c>
    </row>
    <row r="840" spans="1:12" ht="13.5">
      <c r="A840" s="448">
        <v>41750</v>
      </c>
      <c r="B840" s="447">
        <v>41800</v>
      </c>
      <c r="C840" s="1378">
        <f t="shared" si="65"/>
        <v>0</v>
      </c>
      <c r="D840" s="448">
        <f t="shared" si="65"/>
        <v>1384</v>
      </c>
      <c r="E840" s="448">
        <f t="shared" si="65"/>
        <v>3272</v>
      </c>
      <c r="F840" s="447">
        <f t="shared" si="64"/>
        <v>4166</v>
      </c>
      <c r="G840" s="1378">
        <f t="shared" si="64"/>
        <v>0</v>
      </c>
      <c r="H840" s="448">
        <f t="shared" si="64"/>
        <v>2521</v>
      </c>
      <c r="I840" s="448">
        <f t="shared" si="64"/>
        <v>4771</v>
      </c>
      <c r="J840" s="447">
        <f t="shared" si="63"/>
        <v>5665</v>
      </c>
      <c r="K840" s="422"/>
      <c r="L840" s="448">
        <f t="shared" si="66"/>
        <v>41775</v>
      </c>
    </row>
    <row r="841" spans="1:12" ht="13.5">
      <c r="A841" s="448">
        <v>41800</v>
      </c>
      <c r="B841" s="447">
        <v>41850</v>
      </c>
      <c r="C841" s="1378">
        <f t="shared" si="65"/>
        <v>0</v>
      </c>
      <c r="D841" s="448">
        <f t="shared" si="65"/>
        <v>1376</v>
      </c>
      <c r="E841" s="448">
        <f t="shared" si="65"/>
        <v>3261</v>
      </c>
      <c r="F841" s="447">
        <f t="shared" si="64"/>
        <v>4155</v>
      </c>
      <c r="G841" s="1378">
        <f t="shared" si="64"/>
        <v>0</v>
      </c>
      <c r="H841" s="448">
        <f t="shared" si="64"/>
        <v>2513</v>
      </c>
      <c r="I841" s="448">
        <f t="shared" si="64"/>
        <v>4761</v>
      </c>
      <c r="J841" s="447">
        <f t="shared" si="63"/>
        <v>5655</v>
      </c>
      <c r="K841" s="422"/>
      <c r="L841" s="448">
        <f t="shared" si="66"/>
        <v>41825</v>
      </c>
    </row>
    <row r="842" spans="1:12" ht="13.5">
      <c r="A842" s="448">
        <v>41850</v>
      </c>
      <c r="B842" s="447">
        <v>41900</v>
      </c>
      <c r="C842" s="1378">
        <f t="shared" si="65"/>
        <v>0</v>
      </c>
      <c r="D842" s="448">
        <f t="shared" si="65"/>
        <v>1368</v>
      </c>
      <c r="E842" s="448">
        <f t="shared" si="65"/>
        <v>3251</v>
      </c>
      <c r="F842" s="447">
        <f t="shared" si="64"/>
        <v>4145</v>
      </c>
      <c r="G842" s="1378">
        <f t="shared" si="64"/>
        <v>0</v>
      </c>
      <c r="H842" s="448">
        <f t="shared" si="64"/>
        <v>2505</v>
      </c>
      <c r="I842" s="448">
        <f t="shared" si="64"/>
        <v>4750</v>
      </c>
      <c r="J842" s="447">
        <f t="shared" si="63"/>
        <v>5644</v>
      </c>
      <c r="K842" s="422"/>
      <c r="L842" s="448">
        <f t="shared" si="66"/>
        <v>41875</v>
      </c>
    </row>
    <row r="843" spans="1:12" ht="13.5">
      <c r="A843" s="448">
        <v>41900</v>
      </c>
      <c r="B843" s="447">
        <v>41950</v>
      </c>
      <c r="C843" s="1378">
        <f t="shared" si="65"/>
        <v>0</v>
      </c>
      <c r="D843" s="448">
        <f t="shared" si="65"/>
        <v>1360</v>
      </c>
      <c r="E843" s="448">
        <f t="shared" si="65"/>
        <v>3240</v>
      </c>
      <c r="F843" s="447">
        <f t="shared" si="64"/>
        <v>4134</v>
      </c>
      <c r="G843" s="1378">
        <f t="shared" si="64"/>
        <v>0</v>
      </c>
      <c r="H843" s="448">
        <f t="shared" si="64"/>
        <v>2498</v>
      </c>
      <c r="I843" s="448">
        <f t="shared" si="64"/>
        <v>4740</v>
      </c>
      <c r="J843" s="447">
        <f t="shared" si="63"/>
        <v>5634</v>
      </c>
      <c r="K843" s="422"/>
      <c r="L843" s="448">
        <f t="shared" si="66"/>
        <v>41925</v>
      </c>
    </row>
    <row r="844" spans="1:12" ht="13.5">
      <c r="A844" s="448">
        <v>41950</v>
      </c>
      <c r="B844" s="447">
        <v>42000</v>
      </c>
      <c r="C844" s="1378">
        <f t="shared" si="65"/>
        <v>0</v>
      </c>
      <c r="D844" s="448">
        <f t="shared" si="65"/>
        <v>1352</v>
      </c>
      <c r="E844" s="448">
        <f t="shared" si="65"/>
        <v>3230</v>
      </c>
      <c r="F844" s="447">
        <f t="shared" si="64"/>
        <v>4124</v>
      </c>
      <c r="G844" s="1378">
        <f t="shared" si="64"/>
        <v>0</v>
      </c>
      <c r="H844" s="448">
        <f t="shared" si="64"/>
        <v>2490</v>
      </c>
      <c r="I844" s="448">
        <f t="shared" si="64"/>
        <v>4729</v>
      </c>
      <c r="J844" s="447">
        <f t="shared" si="64"/>
        <v>5623</v>
      </c>
      <c r="K844" s="422"/>
      <c r="L844" s="448">
        <f t="shared" si="66"/>
        <v>41975</v>
      </c>
    </row>
    <row r="845" spans="1:12" ht="13.5">
      <c r="A845" s="448">
        <v>42000</v>
      </c>
      <c r="B845" s="447">
        <v>42050</v>
      </c>
      <c r="C845" s="1378">
        <f t="shared" si="65"/>
        <v>0</v>
      </c>
      <c r="D845" s="448">
        <f t="shared" si="65"/>
        <v>1344</v>
      </c>
      <c r="E845" s="448">
        <f t="shared" si="65"/>
        <v>3219</v>
      </c>
      <c r="F845" s="447">
        <f t="shared" si="64"/>
        <v>4113</v>
      </c>
      <c r="G845" s="1378">
        <f t="shared" si="64"/>
        <v>0</v>
      </c>
      <c r="H845" s="448">
        <f t="shared" si="64"/>
        <v>2482</v>
      </c>
      <c r="I845" s="448">
        <f t="shared" si="64"/>
        <v>4719</v>
      </c>
      <c r="J845" s="447">
        <f t="shared" si="64"/>
        <v>5613</v>
      </c>
      <c r="K845" s="422"/>
      <c r="L845" s="448">
        <f t="shared" si="66"/>
        <v>42025</v>
      </c>
    </row>
    <row r="846" spans="1:12" ht="13.5">
      <c r="A846" s="448">
        <v>42050</v>
      </c>
      <c r="B846" s="447">
        <v>42100</v>
      </c>
      <c r="C846" s="1378">
        <f t="shared" si="65"/>
        <v>0</v>
      </c>
      <c r="D846" s="448">
        <f t="shared" si="65"/>
        <v>1336</v>
      </c>
      <c r="E846" s="448">
        <f t="shared" si="65"/>
        <v>3208</v>
      </c>
      <c r="F846" s="447">
        <f t="shared" si="64"/>
        <v>4102</v>
      </c>
      <c r="G846" s="1378">
        <f t="shared" si="64"/>
        <v>0</v>
      </c>
      <c r="H846" s="448">
        <f t="shared" si="64"/>
        <v>2474</v>
      </c>
      <c r="I846" s="448">
        <f t="shared" si="64"/>
        <v>4708</v>
      </c>
      <c r="J846" s="447">
        <f t="shared" si="64"/>
        <v>5602</v>
      </c>
      <c r="K846" s="422"/>
      <c r="L846" s="448">
        <f t="shared" si="66"/>
        <v>42075</v>
      </c>
    </row>
    <row r="847" spans="1:12" ht="13.5">
      <c r="A847" s="448">
        <v>42100</v>
      </c>
      <c r="B847" s="447">
        <v>42150</v>
      </c>
      <c r="C847" s="1378">
        <f t="shared" si="65"/>
        <v>0</v>
      </c>
      <c r="D847" s="448">
        <f t="shared" si="65"/>
        <v>1328</v>
      </c>
      <c r="E847" s="448">
        <f t="shared" si="65"/>
        <v>3198</v>
      </c>
      <c r="F847" s="447">
        <f t="shared" si="64"/>
        <v>4092</v>
      </c>
      <c r="G847" s="1378">
        <f t="shared" si="64"/>
        <v>0</v>
      </c>
      <c r="H847" s="448">
        <f t="shared" si="64"/>
        <v>2466</v>
      </c>
      <c r="I847" s="448">
        <f t="shared" si="64"/>
        <v>4697</v>
      </c>
      <c r="J847" s="447">
        <f t="shared" si="64"/>
        <v>5591</v>
      </c>
      <c r="K847" s="422"/>
      <c r="L847" s="448">
        <f t="shared" si="66"/>
        <v>42125</v>
      </c>
    </row>
    <row r="848" spans="1:12" ht="13.5">
      <c r="A848" s="448">
        <v>42150</v>
      </c>
      <c r="B848" s="447">
        <v>42200</v>
      </c>
      <c r="C848" s="1378">
        <f t="shared" si="65"/>
        <v>0</v>
      </c>
      <c r="D848" s="448">
        <f t="shared" si="65"/>
        <v>1320</v>
      </c>
      <c r="E848" s="448">
        <f t="shared" si="65"/>
        <v>3187</v>
      </c>
      <c r="F848" s="447">
        <f t="shared" si="64"/>
        <v>4081</v>
      </c>
      <c r="G848" s="1378">
        <f t="shared" si="64"/>
        <v>0</v>
      </c>
      <c r="H848" s="448">
        <f t="shared" si="64"/>
        <v>2458</v>
      </c>
      <c r="I848" s="448">
        <f t="shared" si="64"/>
        <v>4687</v>
      </c>
      <c r="J848" s="447">
        <f t="shared" si="64"/>
        <v>5581</v>
      </c>
      <c r="K848" s="422"/>
      <c r="L848" s="448">
        <f t="shared" si="66"/>
        <v>42175</v>
      </c>
    </row>
    <row r="849" spans="1:12" ht="13.5">
      <c r="A849" s="448">
        <v>42200</v>
      </c>
      <c r="B849" s="447">
        <v>42250</v>
      </c>
      <c r="C849" s="1378">
        <f t="shared" si="65"/>
        <v>0</v>
      </c>
      <c r="D849" s="448">
        <f t="shared" si="65"/>
        <v>1312</v>
      </c>
      <c r="E849" s="448">
        <f t="shared" si="65"/>
        <v>3177</v>
      </c>
      <c r="F849" s="447">
        <f t="shared" si="64"/>
        <v>4071</v>
      </c>
      <c r="G849" s="1378">
        <f t="shared" si="64"/>
        <v>0</v>
      </c>
      <c r="H849" s="448">
        <f t="shared" si="64"/>
        <v>2450</v>
      </c>
      <c r="I849" s="448">
        <f t="shared" si="64"/>
        <v>4676</v>
      </c>
      <c r="J849" s="447">
        <f t="shared" si="64"/>
        <v>5570</v>
      </c>
      <c r="K849" s="422"/>
      <c r="L849" s="448">
        <f t="shared" si="66"/>
        <v>42225</v>
      </c>
    </row>
    <row r="850" spans="1:12" ht="13.5">
      <c r="A850" s="448">
        <v>42250</v>
      </c>
      <c r="B850" s="447">
        <v>42300</v>
      </c>
      <c r="C850" s="1378">
        <f t="shared" si="65"/>
        <v>0</v>
      </c>
      <c r="D850" s="448">
        <f t="shared" si="65"/>
        <v>1304</v>
      </c>
      <c r="E850" s="448">
        <f t="shared" si="65"/>
        <v>3166</v>
      </c>
      <c r="F850" s="447">
        <f t="shared" si="64"/>
        <v>4060</v>
      </c>
      <c r="G850" s="1378">
        <f t="shared" si="64"/>
        <v>0</v>
      </c>
      <c r="H850" s="448">
        <f t="shared" si="64"/>
        <v>2442</v>
      </c>
      <c r="I850" s="448">
        <f t="shared" si="64"/>
        <v>4666</v>
      </c>
      <c r="J850" s="447">
        <f t="shared" si="64"/>
        <v>5560</v>
      </c>
      <c r="K850" s="422"/>
      <c r="L850" s="448">
        <f t="shared" si="66"/>
        <v>42275</v>
      </c>
    </row>
    <row r="851" spans="1:12" ht="13.5">
      <c r="A851" s="448">
        <v>42300</v>
      </c>
      <c r="B851" s="447">
        <v>42350</v>
      </c>
      <c r="C851" s="1378">
        <f t="shared" si="65"/>
        <v>0</v>
      </c>
      <c r="D851" s="448">
        <f t="shared" si="65"/>
        <v>1296</v>
      </c>
      <c r="E851" s="448">
        <f t="shared" si="65"/>
        <v>3156</v>
      </c>
      <c r="F851" s="447">
        <f t="shared" si="64"/>
        <v>4050</v>
      </c>
      <c r="G851" s="1378">
        <f t="shared" si="64"/>
        <v>0</v>
      </c>
      <c r="H851" s="448">
        <f t="shared" si="64"/>
        <v>2434</v>
      </c>
      <c r="I851" s="448">
        <f t="shared" si="64"/>
        <v>4655</v>
      </c>
      <c r="J851" s="447">
        <f t="shared" si="64"/>
        <v>5549</v>
      </c>
      <c r="K851" s="422"/>
      <c r="L851" s="448">
        <f t="shared" si="66"/>
        <v>42325</v>
      </c>
    </row>
    <row r="852" spans="1:12" ht="13.5">
      <c r="A852" s="448">
        <v>42350</v>
      </c>
      <c r="B852" s="447">
        <v>42400</v>
      </c>
      <c r="C852" s="1378">
        <f t="shared" si="65"/>
        <v>0</v>
      </c>
      <c r="D852" s="448">
        <f t="shared" si="65"/>
        <v>1288</v>
      </c>
      <c r="E852" s="448">
        <f t="shared" si="65"/>
        <v>3145</v>
      </c>
      <c r="F852" s="447">
        <f t="shared" si="64"/>
        <v>4039</v>
      </c>
      <c r="G852" s="1378">
        <f t="shared" si="64"/>
        <v>0</v>
      </c>
      <c r="H852" s="448">
        <f t="shared" si="64"/>
        <v>2426</v>
      </c>
      <c r="I852" s="448">
        <f t="shared" si="64"/>
        <v>4645</v>
      </c>
      <c r="J852" s="447">
        <f t="shared" si="64"/>
        <v>5539</v>
      </c>
      <c r="K852" s="422"/>
      <c r="L852" s="448">
        <f t="shared" si="66"/>
        <v>42375</v>
      </c>
    </row>
    <row r="853" spans="1:12" ht="13.5">
      <c r="A853" s="448">
        <v>42400</v>
      </c>
      <c r="B853" s="447">
        <v>42450</v>
      </c>
      <c r="C853" s="1378">
        <f t="shared" si="65"/>
        <v>0</v>
      </c>
      <c r="D853" s="448">
        <f t="shared" si="65"/>
        <v>1280</v>
      </c>
      <c r="E853" s="448">
        <f t="shared" si="65"/>
        <v>3135</v>
      </c>
      <c r="F853" s="447">
        <f t="shared" si="64"/>
        <v>4029</v>
      </c>
      <c r="G853" s="1378">
        <f t="shared" si="64"/>
        <v>0</v>
      </c>
      <c r="H853" s="448">
        <f t="shared" si="64"/>
        <v>2418</v>
      </c>
      <c r="I853" s="448">
        <f t="shared" si="64"/>
        <v>4634</v>
      </c>
      <c r="J853" s="447">
        <f t="shared" si="64"/>
        <v>5528</v>
      </c>
      <c r="K853" s="422"/>
      <c r="L853" s="448">
        <f t="shared" si="66"/>
        <v>42425</v>
      </c>
    </row>
    <row r="854" spans="1:12" ht="13.5">
      <c r="A854" s="448">
        <v>42450</v>
      </c>
      <c r="B854" s="447">
        <v>42500</v>
      </c>
      <c r="C854" s="1378">
        <f t="shared" si="65"/>
        <v>0</v>
      </c>
      <c r="D854" s="448">
        <f t="shared" si="65"/>
        <v>1272</v>
      </c>
      <c r="E854" s="448">
        <f t="shared" si="65"/>
        <v>3124</v>
      </c>
      <c r="F854" s="447">
        <f t="shared" si="64"/>
        <v>4018</v>
      </c>
      <c r="G854" s="1378">
        <f t="shared" si="64"/>
        <v>0</v>
      </c>
      <c r="H854" s="448">
        <f t="shared" si="64"/>
        <v>2410</v>
      </c>
      <c r="I854" s="448">
        <f t="shared" si="64"/>
        <v>4624</v>
      </c>
      <c r="J854" s="447">
        <f t="shared" si="64"/>
        <v>5518</v>
      </c>
      <c r="K854" s="422"/>
      <c r="L854" s="448">
        <f t="shared" si="66"/>
        <v>42475</v>
      </c>
    </row>
    <row r="855" spans="1:12" ht="13.5">
      <c r="A855" s="448">
        <v>42500</v>
      </c>
      <c r="B855" s="447">
        <v>42550</v>
      </c>
      <c r="C855" s="1378">
        <f t="shared" si="65"/>
        <v>0</v>
      </c>
      <c r="D855" s="448">
        <f t="shared" si="65"/>
        <v>1264</v>
      </c>
      <c r="E855" s="448">
        <f t="shared" si="65"/>
        <v>3114</v>
      </c>
      <c r="F855" s="447">
        <f t="shared" si="64"/>
        <v>4008</v>
      </c>
      <c r="G855" s="1378">
        <f t="shared" si="64"/>
        <v>0</v>
      </c>
      <c r="H855" s="448">
        <f t="shared" si="64"/>
        <v>2402</v>
      </c>
      <c r="I855" s="448">
        <f t="shared" si="64"/>
        <v>4613</v>
      </c>
      <c r="J855" s="447">
        <f t="shared" si="64"/>
        <v>5507</v>
      </c>
      <c r="K855" s="422"/>
      <c r="L855" s="448">
        <f t="shared" si="66"/>
        <v>42525</v>
      </c>
    </row>
    <row r="856" spans="1:12" ht="13.5">
      <c r="A856" s="448">
        <v>42550</v>
      </c>
      <c r="B856" s="447">
        <v>42600</v>
      </c>
      <c r="C856" s="1378">
        <f t="shared" si="65"/>
        <v>0</v>
      </c>
      <c r="D856" s="448">
        <f t="shared" si="65"/>
        <v>1256</v>
      </c>
      <c r="E856" s="448">
        <f t="shared" si="65"/>
        <v>3103</v>
      </c>
      <c r="F856" s="447">
        <f t="shared" si="64"/>
        <v>3997</v>
      </c>
      <c r="G856" s="1378">
        <f t="shared" si="64"/>
        <v>0</v>
      </c>
      <c r="H856" s="448">
        <f t="shared" si="64"/>
        <v>2394</v>
      </c>
      <c r="I856" s="448">
        <f t="shared" si="64"/>
        <v>4603</v>
      </c>
      <c r="J856" s="447">
        <f t="shared" si="64"/>
        <v>5497</v>
      </c>
      <c r="K856" s="422"/>
      <c r="L856" s="448">
        <f t="shared" si="66"/>
        <v>42575</v>
      </c>
    </row>
    <row r="857" spans="1:12" ht="13.5">
      <c r="A857" s="448">
        <v>42600</v>
      </c>
      <c r="B857" s="447">
        <v>42650</v>
      </c>
      <c r="C857" s="1378">
        <f t="shared" si="65"/>
        <v>0</v>
      </c>
      <c r="D857" s="448">
        <f t="shared" si="65"/>
        <v>1248</v>
      </c>
      <c r="E857" s="448">
        <f t="shared" si="65"/>
        <v>3093</v>
      </c>
      <c r="F857" s="447">
        <f t="shared" si="64"/>
        <v>3987</v>
      </c>
      <c r="G857" s="1378">
        <f t="shared" si="64"/>
        <v>0</v>
      </c>
      <c r="H857" s="448">
        <f t="shared" ref="H857:J920" si="67">IF($L857&gt;S$5,MAX(0,S$3+ROUND((S$9*($L857-S$5)),0)),IF($L857&gt;S$4,S$3,ROUND($L857*S$7,0)))</f>
        <v>2386</v>
      </c>
      <c r="I857" s="448">
        <f t="shared" si="67"/>
        <v>4592</v>
      </c>
      <c r="J857" s="447">
        <f t="shared" si="67"/>
        <v>5486</v>
      </c>
      <c r="K857" s="422"/>
      <c r="L857" s="448">
        <f t="shared" si="66"/>
        <v>42625</v>
      </c>
    </row>
    <row r="858" spans="1:12" ht="13.5">
      <c r="A858" s="448">
        <v>42650</v>
      </c>
      <c r="B858" s="447">
        <v>42700</v>
      </c>
      <c r="C858" s="1378">
        <f t="shared" si="65"/>
        <v>0</v>
      </c>
      <c r="D858" s="448">
        <f t="shared" si="65"/>
        <v>1240</v>
      </c>
      <c r="E858" s="448">
        <f t="shared" si="65"/>
        <v>3082</v>
      </c>
      <c r="F858" s="447">
        <f t="shared" si="65"/>
        <v>3976</v>
      </c>
      <c r="G858" s="1378">
        <f t="shared" si="65"/>
        <v>0</v>
      </c>
      <c r="H858" s="448">
        <f t="shared" si="67"/>
        <v>2378</v>
      </c>
      <c r="I858" s="448">
        <f t="shared" si="67"/>
        <v>4582</v>
      </c>
      <c r="J858" s="447">
        <f t="shared" si="67"/>
        <v>5476</v>
      </c>
      <c r="K858" s="422"/>
      <c r="L858" s="448">
        <f t="shared" si="66"/>
        <v>42675</v>
      </c>
    </row>
    <row r="859" spans="1:12" ht="13.5">
      <c r="A859" s="448">
        <v>42700</v>
      </c>
      <c r="B859" s="447">
        <v>42750</v>
      </c>
      <c r="C859" s="1378">
        <f t="shared" si="65"/>
        <v>0</v>
      </c>
      <c r="D859" s="448">
        <f t="shared" si="65"/>
        <v>1232</v>
      </c>
      <c r="E859" s="448">
        <f t="shared" si="65"/>
        <v>3072</v>
      </c>
      <c r="F859" s="447">
        <f t="shared" si="65"/>
        <v>3966</v>
      </c>
      <c r="G859" s="1378">
        <f t="shared" si="65"/>
        <v>0</v>
      </c>
      <c r="H859" s="448">
        <f t="shared" si="67"/>
        <v>2370</v>
      </c>
      <c r="I859" s="448">
        <f t="shared" si="67"/>
        <v>4571</v>
      </c>
      <c r="J859" s="447">
        <f t="shared" si="67"/>
        <v>5465</v>
      </c>
      <c r="K859" s="422"/>
      <c r="L859" s="448">
        <f t="shared" si="66"/>
        <v>42725</v>
      </c>
    </row>
    <row r="860" spans="1:12" ht="13.5">
      <c r="A860" s="448">
        <v>42750</v>
      </c>
      <c r="B860" s="447">
        <v>42800</v>
      </c>
      <c r="C860" s="1378">
        <f t="shared" si="65"/>
        <v>0</v>
      </c>
      <c r="D860" s="448">
        <f t="shared" si="65"/>
        <v>1224</v>
      </c>
      <c r="E860" s="448">
        <f t="shared" si="65"/>
        <v>3061</v>
      </c>
      <c r="F860" s="447">
        <f t="shared" si="65"/>
        <v>3955</v>
      </c>
      <c r="G860" s="1378">
        <f t="shared" si="65"/>
        <v>0</v>
      </c>
      <c r="H860" s="448">
        <f t="shared" si="67"/>
        <v>2362</v>
      </c>
      <c r="I860" s="448">
        <f t="shared" si="67"/>
        <v>4561</v>
      </c>
      <c r="J860" s="447">
        <f t="shared" si="67"/>
        <v>5455</v>
      </c>
      <c r="K860" s="422"/>
      <c r="L860" s="448">
        <f t="shared" si="66"/>
        <v>42775</v>
      </c>
    </row>
    <row r="861" spans="1:12" ht="13.5">
      <c r="A861" s="448">
        <v>42800</v>
      </c>
      <c r="B861" s="447">
        <v>42850</v>
      </c>
      <c r="C861" s="1378">
        <f t="shared" si="65"/>
        <v>0</v>
      </c>
      <c r="D861" s="448">
        <f t="shared" si="65"/>
        <v>1216</v>
      </c>
      <c r="E861" s="448">
        <f t="shared" si="65"/>
        <v>3051</v>
      </c>
      <c r="F861" s="447">
        <f t="shared" si="65"/>
        <v>3945</v>
      </c>
      <c r="G861" s="1378">
        <f t="shared" si="65"/>
        <v>0</v>
      </c>
      <c r="H861" s="448">
        <f t="shared" si="67"/>
        <v>2354</v>
      </c>
      <c r="I861" s="448">
        <f t="shared" si="67"/>
        <v>4550</v>
      </c>
      <c r="J861" s="447">
        <f t="shared" si="67"/>
        <v>5444</v>
      </c>
      <c r="K861" s="422"/>
      <c r="L861" s="448">
        <f t="shared" si="66"/>
        <v>42825</v>
      </c>
    </row>
    <row r="862" spans="1:12" ht="13.5">
      <c r="A862" s="448">
        <v>42850</v>
      </c>
      <c r="B862" s="447">
        <v>42900</v>
      </c>
      <c r="C862" s="1378">
        <f t="shared" ref="C862:G912" si="68">IF($L862&gt;N$5,MAX(0,N$3+ROUND((N$9*($L862-N$5)),0)),IF($L862&gt;N$4,N$3,ROUND($L862*N$7,0)))</f>
        <v>0</v>
      </c>
      <c r="D862" s="448">
        <f t="shared" si="68"/>
        <v>1208</v>
      </c>
      <c r="E862" s="448">
        <f t="shared" si="68"/>
        <v>3040</v>
      </c>
      <c r="F862" s="447">
        <f t="shared" si="68"/>
        <v>3934</v>
      </c>
      <c r="G862" s="1378">
        <f t="shared" si="68"/>
        <v>0</v>
      </c>
      <c r="H862" s="448">
        <f t="shared" si="67"/>
        <v>2346</v>
      </c>
      <c r="I862" s="448">
        <f t="shared" si="67"/>
        <v>4539</v>
      </c>
      <c r="J862" s="447">
        <f t="shared" si="67"/>
        <v>5433</v>
      </c>
      <c r="K862" s="422"/>
      <c r="L862" s="448">
        <f t="shared" si="66"/>
        <v>42875</v>
      </c>
    </row>
    <row r="863" spans="1:12" ht="13.5">
      <c r="A863" s="448">
        <v>42900</v>
      </c>
      <c r="B863" s="447">
        <v>42950</v>
      </c>
      <c r="C863" s="1378">
        <f t="shared" si="68"/>
        <v>0</v>
      </c>
      <c r="D863" s="448">
        <f t="shared" si="68"/>
        <v>1200</v>
      </c>
      <c r="E863" s="448">
        <f t="shared" si="68"/>
        <v>3029</v>
      </c>
      <c r="F863" s="447">
        <f t="shared" si="68"/>
        <v>3923</v>
      </c>
      <c r="G863" s="1378">
        <f t="shared" si="68"/>
        <v>0</v>
      </c>
      <c r="H863" s="448">
        <f t="shared" si="67"/>
        <v>2338</v>
      </c>
      <c r="I863" s="448">
        <f t="shared" si="67"/>
        <v>4529</v>
      </c>
      <c r="J863" s="447">
        <f t="shared" si="67"/>
        <v>5423</v>
      </c>
      <c r="K863" s="422"/>
      <c r="L863" s="448">
        <f t="shared" si="66"/>
        <v>42925</v>
      </c>
    </row>
    <row r="864" spans="1:12" ht="13.5">
      <c r="A864" s="448">
        <v>42950</v>
      </c>
      <c r="B864" s="447">
        <v>43000</v>
      </c>
      <c r="C864" s="1378">
        <f t="shared" si="68"/>
        <v>0</v>
      </c>
      <c r="D864" s="448">
        <f t="shared" si="68"/>
        <v>1192</v>
      </c>
      <c r="E864" s="448">
        <f t="shared" si="68"/>
        <v>3019</v>
      </c>
      <c r="F864" s="447">
        <f t="shared" si="68"/>
        <v>3913</v>
      </c>
      <c r="G864" s="1378">
        <f t="shared" si="68"/>
        <v>0</v>
      </c>
      <c r="H864" s="448">
        <f t="shared" si="67"/>
        <v>2330</v>
      </c>
      <c r="I864" s="448">
        <f t="shared" si="67"/>
        <v>4518</v>
      </c>
      <c r="J864" s="447">
        <f t="shared" si="67"/>
        <v>5412</v>
      </c>
      <c r="K864" s="422"/>
      <c r="L864" s="448">
        <f t="shared" si="66"/>
        <v>42975</v>
      </c>
    </row>
    <row r="865" spans="1:12" ht="13.5">
      <c r="A865" s="448">
        <v>43000</v>
      </c>
      <c r="B865" s="447">
        <v>43050</v>
      </c>
      <c r="C865" s="1378">
        <f t="shared" si="68"/>
        <v>0</v>
      </c>
      <c r="D865" s="448">
        <f t="shared" si="68"/>
        <v>1184</v>
      </c>
      <c r="E865" s="448">
        <f t="shared" si="68"/>
        <v>3008</v>
      </c>
      <c r="F865" s="447">
        <f t="shared" si="68"/>
        <v>3902</v>
      </c>
      <c r="G865" s="1378">
        <f t="shared" si="68"/>
        <v>0</v>
      </c>
      <c r="H865" s="448">
        <f t="shared" si="67"/>
        <v>2322</v>
      </c>
      <c r="I865" s="448">
        <f t="shared" si="67"/>
        <v>4508</v>
      </c>
      <c r="J865" s="447">
        <f t="shared" si="67"/>
        <v>5402</v>
      </c>
      <c r="K865" s="422"/>
      <c r="L865" s="448">
        <f t="shared" si="66"/>
        <v>43025</v>
      </c>
    </row>
    <row r="866" spans="1:12" ht="13.5">
      <c r="A866" s="448">
        <v>43050</v>
      </c>
      <c r="B866" s="447">
        <v>43100</v>
      </c>
      <c r="C866" s="1378">
        <f t="shared" si="68"/>
        <v>0</v>
      </c>
      <c r="D866" s="448">
        <f t="shared" si="68"/>
        <v>1176</v>
      </c>
      <c r="E866" s="448">
        <f t="shared" si="68"/>
        <v>2998</v>
      </c>
      <c r="F866" s="447">
        <f t="shared" si="68"/>
        <v>3892</v>
      </c>
      <c r="G866" s="1378">
        <f t="shared" si="68"/>
        <v>0</v>
      </c>
      <c r="H866" s="448">
        <f t="shared" si="67"/>
        <v>2314</v>
      </c>
      <c r="I866" s="448">
        <f t="shared" si="67"/>
        <v>4497</v>
      </c>
      <c r="J866" s="447">
        <f t="shared" si="67"/>
        <v>5391</v>
      </c>
      <c r="K866" s="422"/>
      <c r="L866" s="448">
        <f t="shared" si="66"/>
        <v>43075</v>
      </c>
    </row>
    <row r="867" spans="1:12" ht="13.5">
      <c r="A867" s="448">
        <v>43100</v>
      </c>
      <c r="B867" s="447">
        <v>43150</v>
      </c>
      <c r="C867" s="1378">
        <f t="shared" si="68"/>
        <v>0</v>
      </c>
      <c r="D867" s="448">
        <f t="shared" si="68"/>
        <v>1168</v>
      </c>
      <c r="E867" s="448">
        <f t="shared" si="68"/>
        <v>2987</v>
      </c>
      <c r="F867" s="447">
        <f t="shared" si="68"/>
        <v>3881</v>
      </c>
      <c r="G867" s="1378">
        <f t="shared" si="68"/>
        <v>0</v>
      </c>
      <c r="H867" s="448">
        <f t="shared" si="67"/>
        <v>2306</v>
      </c>
      <c r="I867" s="448">
        <f t="shared" si="67"/>
        <v>4487</v>
      </c>
      <c r="J867" s="447">
        <f t="shared" si="67"/>
        <v>5381</v>
      </c>
      <c r="K867" s="422"/>
      <c r="L867" s="448">
        <f t="shared" si="66"/>
        <v>43125</v>
      </c>
    </row>
    <row r="868" spans="1:12" ht="13.5">
      <c r="A868" s="448">
        <v>43150</v>
      </c>
      <c r="B868" s="447">
        <v>43200</v>
      </c>
      <c r="C868" s="1378">
        <f t="shared" si="68"/>
        <v>0</v>
      </c>
      <c r="D868" s="448">
        <f t="shared" si="68"/>
        <v>1160</v>
      </c>
      <c r="E868" s="448">
        <f t="shared" si="68"/>
        <v>2977</v>
      </c>
      <c r="F868" s="447">
        <f t="shared" si="68"/>
        <v>3871</v>
      </c>
      <c r="G868" s="1378">
        <f t="shared" si="68"/>
        <v>0</v>
      </c>
      <c r="H868" s="448">
        <f t="shared" si="67"/>
        <v>2298</v>
      </c>
      <c r="I868" s="448">
        <f t="shared" si="67"/>
        <v>4476</v>
      </c>
      <c r="J868" s="447">
        <f t="shared" si="67"/>
        <v>5370</v>
      </c>
      <c r="K868" s="422"/>
      <c r="L868" s="448">
        <f t="shared" si="66"/>
        <v>43175</v>
      </c>
    </row>
    <row r="869" spans="1:12" ht="13.5">
      <c r="A869" s="448">
        <v>43200</v>
      </c>
      <c r="B869" s="447">
        <v>43250</v>
      </c>
      <c r="C869" s="1378">
        <f t="shared" si="68"/>
        <v>0</v>
      </c>
      <c r="D869" s="448">
        <f t="shared" si="68"/>
        <v>1152</v>
      </c>
      <c r="E869" s="448">
        <f t="shared" si="68"/>
        <v>2966</v>
      </c>
      <c r="F869" s="447">
        <f t="shared" si="68"/>
        <v>3860</v>
      </c>
      <c r="G869" s="1378">
        <f t="shared" si="68"/>
        <v>0</v>
      </c>
      <c r="H869" s="448">
        <f t="shared" si="67"/>
        <v>2290</v>
      </c>
      <c r="I869" s="448">
        <f t="shared" si="67"/>
        <v>4466</v>
      </c>
      <c r="J869" s="447">
        <f t="shared" si="67"/>
        <v>5360</v>
      </c>
      <c r="K869" s="422"/>
      <c r="L869" s="448">
        <f t="shared" si="66"/>
        <v>43225</v>
      </c>
    </row>
    <row r="870" spans="1:12" ht="13.5">
      <c r="A870" s="448">
        <v>43250</v>
      </c>
      <c r="B870" s="447">
        <v>43300</v>
      </c>
      <c r="C870" s="1378">
        <f t="shared" si="68"/>
        <v>0</v>
      </c>
      <c r="D870" s="448">
        <f t="shared" si="68"/>
        <v>1144</v>
      </c>
      <c r="E870" s="448">
        <f t="shared" si="68"/>
        <v>2956</v>
      </c>
      <c r="F870" s="447">
        <f t="shared" si="68"/>
        <v>3850</v>
      </c>
      <c r="G870" s="1378">
        <f t="shared" si="68"/>
        <v>0</v>
      </c>
      <c r="H870" s="448">
        <f t="shared" si="67"/>
        <v>2282</v>
      </c>
      <c r="I870" s="448">
        <f t="shared" si="67"/>
        <v>4455</v>
      </c>
      <c r="J870" s="447">
        <f t="shared" si="67"/>
        <v>5349</v>
      </c>
      <c r="K870" s="422"/>
      <c r="L870" s="448">
        <f t="shared" si="66"/>
        <v>43275</v>
      </c>
    </row>
    <row r="871" spans="1:12" ht="13.5">
      <c r="A871" s="448">
        <v>43300</v>
      </c>
      <c r="B871" s="447">
        <v>43350</v>
      </c>
      <c r="C871" s="1378">
        <f t="shared" si="68"/>
        <v>0</v>
      </c>
      <c r="D871" s="448">
        <f t="shared" si="68"/>
        <v>1136</v>
      </c>
      <c r="E871" s="448">
        <f t="shared" si="68"/>
        <v>2945</v>
      </c>
      <c r="F871" s="447">
        <f t="shared" si="68"/>
        <v>3839</v>
      </c>
      <c r="G871" s="1378">
        <f t="shared" si="68"/>
        <v>0</v>
      </c>
      <c r="H871" s="448">
        <f t="shared" si="67"/>
        <v>2274</v>
      </c>
      <c r="I871" s="448">
        <f t="shared" si="67"/>
        <v>4445</v>
      </c>
      <c r="J871" s="447">
        <f t="shared" si="67"/>
        <v>5339</v>
      </c>
      <c r="K871" s="422"/>
      <c r="L871" s="448">
        <f t="shared" si="66"/>
        <v>43325</v>
      </c>
    </row>
    <row r="872" spans="1:12" ht="13.5">
      <c r="A872" s="448">
        <v>43350</v>
      </c>
      <c r="B872" s="447">
        <v>43400</v>
      </c>
      <c r="C872" s="1378">
        <f t="shared" si="68"/>
        <v>0</v>
      </c>
      <c r="D872" s="448">
        <f t="shared" si="68"/>
        <v>1128</v>
      </c>
      <c r="E872" s="448">
        <f t="shared" si="68"/>
        <v>2935</v>
      </c>
      <c r="F872" s="447">
        <f t="shared" si="68"/>
        <v>3829</v>
      </c>
      <c r="G872" s="1378">
        <f t="shared" si="68"/>
        <v>0</v>
      </c>
      <c r="H872" s="448">
        <f t="shared" si="67"/>
        <v>2266</v>
      </c>
      <c r="I872" s="448">
        <f t="shared" si="67"/>
        <v>4434</v>
      </c>
      <c r="J872" s="447">
        <f t="shared" si="67"/>
        <v>5328</v>
      </c>
      <c r="K872" s="422"/>
      <c r="L872" s="448">
        <f t="shared" si="66"/>
        <v>43375</v>
      </c>
    </row>
    <row r="873" spans="1:12" ht="13.5">
      <c r="A873" s="448">
        <v>43400</v>
      </c>
      <c r="B873" s="447">
        <v>43450</v>
      </c>
      <c r="C873" s="1378">
        <f t="shared" si="68"/>
        <v>0</v>
      </c>
      <c r="D873" s="448">
        <f t="shared" si="68"/>
        <v>1120</v>
      </c>
      <c r="E873" s="448">
        <f t="shared" si="68"/>
        <v>2924</v>
      </c>
      <c r="F873" s="447">
        <f t="shared" si="68"/>
        <v>3818</v>
      </c>
      <c r="G873" s="1378">
        <f t="shared" si="68"/>
        <v>0</v>
      </c>
      <c r="H873" s="448">
        <f t="shared" si="67"/>
        <v>2258</v>
      </c>
      <c r="I873" s="448">
        <f t="shared" si="67"/>
        <v>4424</v>
      </c>
      <c r="J873" s="447">
        <f t="shared" si="67"/>
        <v>5318</v>
      </c>
      <c r="K873" s="422"/>
      <c r="L873" s="448">
        <f t="shared" si="66"/>
        <v>43425</v>
      </c>
    </row>
    <row r="874" spans="1:12" ht="13.5">
      <c r="A874" s="448">
        <v>43450</v>
      </c>
      <c r="B874" s="447">
        <v>43500</v>
      </c>
      <c r="C874" s="1378">
        <f t="shared" si="68"/>
        <v>0</v>
      </c>
      <c r="D874" s="448">
        <f t="shared" si="68"/>
        <v>1112</v>
      </c>
      <c r="E874" s="448">
        <f t="shared" si="68"/>
        <v>2914</v>
      </c>
      <c r="F874" s="447">
        <f t="shared" si="68"/>
        <v>3808</v>
      </c>
      <c r="G874" s="1378">
        <f t="shared" si="68"/>
        <v>0</v>
      </c>
      <c r="H874" s="448">
        <f t="shared" si="67"/>
        <v>2250</v>
      </c>
      <c r="I874" s="448">
        <f t="shared" si="67"/>
        <v>4413</v>
      </c>
      <c r="J874" s="447">
        <f t="shared" si="67"/>
        <v>5307</v>
      </c>
      <c r="K874" s="422"/>
      <c r="L874" s="448">
        <f t="shared" si="66"/>
        <v>43475</v>
      </c>
    </row>
    <row r="875" spans="1:12" ht="13.5">
      <c r="A875" s="448">
        <v>43500</v>
      </c>
      <c r="B875" s="447">
        <v>43550</v>
      </c>
      <c r="C875" s="1378">
        <f t="shared" si="68"/>
        <v>0</v>
      </c>
      <c r="D875" s="448">
        <f t="shared" si="68"/>
        <v>1104</v>
      </c>
      <c r="E875" s="448">
        <f t="shared" si="68"/>
        <v>2903</v>
      </c>
      <c r="F875" s="447">
        <f t="shared" si="68"/>
        <v>3797</v>
      </c>
      <c r="G875" s="1378">
        <f t="shared" si="68"/>
        <v>0</v>
      </c>
      <c r="H875" s="448">
        <f t="shared" si="67"/>
        <v>2242</v>
      </c>
      <c r="I875" s="448">
        <f t="shared" si="67"/>
        <v>4403</v>
      </c>
      <c r="J875" s="447">
        <f t="shared" si="67"/>
        <v>5297</v>
      </c>
      <c r="K875" s="422"/>
      <c r="L875" s="448">
        <f t="shared" si="66"/>
        <v>43525</v>
      </c>
    </row>
    <row r="876" spans="1:12" ht="13.5">
      <c r="A876" s="448">
        <v>43550</v>
      </c>
      <c r="B876" s="447">
        <v>43600</v>
      </c>
      <c r="C876" s="1378">
        <f t="shared" si="68"/>
        <v>0</v>
      </c>
      <c r="D876" s="448">
        <f t="shared" si="68"/>
        <v>1096</v>
      </c>
      <c r="E876" s="448">
        <f t="shared" si="68"/>
        <v>2893</v>
      </c>
      <c r="F876" s="447">
        <f t="shared" si="68"/>
        <v>3787</v>
      </c>
      <c r="G876" s="1378">
        <f t="shared" si="68"/>
        <v>0</v>
      </c>
      <c r="H876" s="448">
        <f t="shared" si="67"/>
        <v>2234</v>
      </c>
      <c r="I876" s="448">
        <f t="shared" si="67"/>
        <v>4392</v>
      </c>
      <c r="J876" s="447">
        <f t="shared" si="67"/>
        <v>5286</v>
      </c>
      <c r="K876" s="422"/>
      <c r="L876" s="448">
        <f t="shared" si="66"/>
        <v>43575</v>
      </c>
    </row>
    <row r="877" spans="1:12" ht="13.5">
      <c r="A877" s="448">
        <v>43600</v>
      </c>
      <c r="B877" s="447">
        <v>43650</v>
      </c>
      <c r="C877" s="1378">
        <f t="shared" si="68"/>
        <v>0</v>
      </c>
      <c r="D877" s="448">
        <f t="shared" si="68"/>
        <v>1088</v>
      </c>
      <c r="E877" s="448">
        <f t="shared" si="68"/>
        <v>2882</v>
      </c>
      <c r="F877" s="447">
        <f t="shared" si="68"/>
        <v>3776</v>
      </c>
      <c r="G877" s="1378">
        <f t="shared" si="68"/>
        <v>0</v>
      </c>
      <c r="H877" s="448">
        <f t="shared" si="67"/>
        <v>2226</v>
      </c>
      <c r="I877" s="448">
        <f t="shared" si="67"/>
        <v>4382</v>
      </c>
      <c r="J877" s="447">
        <f t="shared" si="67"/>
        <v>5276</v>
      </c>
      <c r="K877" s="422"/>
      <c r="L877" s="448">
        <f t="shared" si="66"/>
        <v>43625</v>
      </c>
    </row>
    <row r="878" spans="1:12" ht="13.5">
      <c r="A878" s="448">
        <v>43650</v>
      </c>
      <c r="B878" s="447">
        <v>43700</v>
      </c>
      <c r="C878" s="1378">
        <f t="shared" si="68"/>
        <v>0</v>
      </c>
      <c r="D878" s="448">
        <f t="shared" si="68"/>
        <v>1080</v>
      </c>
      <c r="E878" s="448">
        <f t="shared" si="68"/>
        <v>2872</v>
      </c>
      <c r="F878" s="447">
        <f t="shared" si="68"/>
        <v>3766</v>
      </c>
      <c r="G878" s="1378">
        <f t="shared" si="68"/>
        <v>0</v>
      </c>
      <c r="H878" s="448">
        <f t="shared" si="67"/>
        <v>2218</v>
      </c>
      <c r="I878" s="448">
        <f t="shared" si="67"/>
        <v>4371</v>
      </c>
      <c r="J878" s="447">
        <f t="shared" si="67"/>
        <v>5265</v>
      </c>
      <c r="K878" s="422"/>
      <c r="L878" s="448">
        <f t="shared" si="66"/>
        <v>43675</v>
      </c>
    </row>
    <row r="879" spans="1:12" ht="13.5">
      <c r="A879" s="448">
        <v>43700</v>
      </c>
      <c r="B879" s="447">
        <v>43750</v>
      </c>
      <c r="C879" s="1378">
        <f t="shared" si="68"/>
        <v>0</v>
      </c>
      <c r="D879" s="448">
        <f t="shared" si="68"/>
        <v>1072</v>
      </c>
      <c r="E879" s="448">
        <f t="shared" si="68"/>
        <v>2861</v>
      </c>
      <c r="F879" s="447">
        <f t="shared" si="68"/>
        <v>3755</v>
      </c>
      <c r="G879" s="1378">
        <f t="shared" si="68"/>
        <v>0</v>
      </c>
      <c r="H879" s="448">
        <f t="shared" si="67"/>
        <v>2210</v>
      </c>
      <c r="I879" s="448">
        <f t="shared" si="67"/>
        <v>4360</v>
      </c>
      <c r="J879" s="447">
        <f t="shared" si="67"/>
        <v>5254</v>
      </c>
      <c r="K879" s="422"/>
      <c r="L879" s="448">
        <f t="shared" si="66"/>
        <v>43725</v>
      </c>
    </row>
    <row r="880" spans="1:12" ht="13.5">
      <c r="A880" s="448">
        <v>43750</v>
      </c>
      <c r="B880" s="447">
        <v>43800</v>
      </c>
      <c r="C880" s="1378">
        <f t="shared" si="68"/>
        <v>0</v>
      </c>
      <c r="D880" s="448">
        <f t="shared" si="68"/>
        <v>1064</v>
      </c>
      <c r="E880" s="448">
        <f t="shared" si="68"/>
        <v>2850</v>
      </c>
      <c r="F880" s="447">
        <f t="shared" si="68"/>
        <v>3744</v>
      </c>
      <c r="G880" s="1378">
        <f t="shared" si="68"/>
        <v>0</v>
      </c>
      <c r="H880" s="448">
        <f t="shared" si="67"/>
        <v>2202</v>
      </c>
      <c r="I880" s="448">
        <f t="shared" si="67"/>
        <v>4350</v>
      </c>
      <c r="J880" s="447">
        <f t="shared" si="67"/>
        <v>5244</v>
      </c>
      <c r="K880" s="422"/>
      <c r="L880" s="448">
        <f t="shared" si="66"/>
        <v>43775</v>
      </c>
    </row>
    <row r="881" spans="1:12" ht="13.5">
      <c r="A881" s="448">
        <v>43800</v>
      </c>
      <c r="B881" s="447">
        <v>43850</v>
      </c>
      <c r="C881" s="1378">
        <f t="shared" si="68"/>
        <v>0</v>
      </c>
      <c r="D881" s="448">
        <f t="shared" si="68"/>
        <v>1056</v>
      </c>
      <c r="E881" s="448">
        <f t="shared" si="68"/>
        <v>2840</v>
      </c>
      <c r="F881" s="447">
        <f t="shared" si="68"/>
        <v>3734</v>
      </c>
      <c r="G881" s="1378">
        <f t="shared" si="68"/>
        <v>0</v>
      </c>
      <c r="H881" s="448">
        <f t="shared" si="67"/>
        <v>2194</v>
      </c>
      <c r="I881" s="448">
        <f t="shared" si="67"/>
        <v>4339</v>
      </c>
      <c r="J881" s="447">
        <f t="shared" si="67"/>
        <v>5233</v>
      </c>
      <c r="K881" s="422"/>
      <c r="L881" s="448">
        <f t="shared" si="66"/>
        <v>43825</v>
      </c>
    </row>
    <row r="882" spans="1:12" ht="13.5">
      <c r="A882" s="448">
        <v>43850</v>
      </c>
      <c r="B882" s="447">
        <v>43900</v>
      </c>
      <c r="C882" s="1378">
        <f t="shared" si="68"/>
        <v>0</v>
      </c>
      <c r="D882" s="448">
        <f t="shared" si="68"/>
        <v>1048</v>
      </c>
      <c r="E882" s="448">
        <f t="shared" si="68"/>
        <v>2829</v>
      </c>
      <c r="F882" s="447">
        <f t="shared" si="68"/>
        <v>3723</v>
      </c>
      <c r="G882" s="1378">
        <f t="shared" si="68"/>
        <v>0</v>
      </c>
      <c r="H882" s="448">
        <f t="shared" si="67"/>
        <v>2186</v>
      </c>
      <c r="I882" s="448">
        <f t="shared" si="67"/>
        <v>4329</v>
      </c>
      <c r="J882" s="447">
        <f t="shared" si="67"/>
        <v>5223</v>
      </c>
      <c r="K882" s="422"/>
      <c r="L882" s="448">
        <f t="shared" si="66"/>
        <v>43875</v>
      </c>
    </row>
    <row r="883" spans="1:12" ht="13.5">
      <c r="A883" s="448">
        <v>43900</v>
      </c>
      <c r="B883" s="447">
        <v>43950</v>
      </c>
      <c r="C883" s="1378">
        <f t="shared" si="68"/>
        <v>0</v>
      </c>
      <c r="D883" s="448">
        <f t="shared" si="68"/>
        <v>1040</v>
      </c>
      <c r="E883" s="448">
        <f t="shared" si="68"/>
        <v>2819</v>
      </c>
      <c r="F883" s="447">
        <f t="shared" si="68"/>
        <v>3713</v>
      </c>
      <c r="G883" s="1378">
        <f t="shared" si="68"/>
        <v>0</v>
      </c>
      <c r="H883" s="448">
        <f t="shared" si="67"/>
        <v>2178</v>
      </c>
      <c r="I883" s="448">
        <f t="shared" si="67"/>
        <v>4318</v>
      </c>
      <c r="J883" s="447">
        <f t="shared" si="67"/>
        <v>5212</v>
      </c>
      <c r="K883" s="422"/>
      <c r="L883" s="448">
        <f t="shared" si="66"/>
        <v>43925</v>
      </c>
    </row>
    <row r="884" spans="1:12" ht="13.5">
      <c r="A884" s="448">
        <v>43950</v>
      </c>
      <c r="B884" s="447">
        <v>44000</v>
      </c>
      <c r="C884" s="1378">
        <f t="shared" si="68"/>
        <v>0</v>
      </c>
      <c r="D884" s="448">
        <f t="shared" si="68"/>
        <v>1032</v>
      </c>
      <c r="E884" s="448">
        <f t="shared" si="68"/>
        <v>2808</v>
      </c>
      <c r="F884" s="447">
        <f t="shared" si="68"/>
        <v>3702</v>
      </c>
      <c r="G884" s="1378">
        <f t="shared" si="68"/>
        <v>0</v>
      </c>
      <c r="H884" s="448">
        <f t="shared" si="67"/>
        <v>2170</v>
      </c>
      <c r="I884" s="448">
        <f t="shared" si="67"/>
        <v>4308</v>
      </c>
      <c r="J884" s="447">
        <f t="shared" si="67"/>
        <v>5202</v>
      </c>
      <c r="K884" s="422"/>
      <c r="L884" s="448">
        <f t="shared" si="66"/>
        <v>43975</v>
      </c>
    </row>
    <row r="885" spans="1:12" ht="13.5">
      <c r="A885" s="448">
        <v>44000</v>
      </c>
      <c r="B885" s="447">
        <v>44050</v>
      </c>
      <c r="C885" s="1378">
        <f t="shared" si="68"/>
        <v>0</v>
      </c>
      <c r="D885" s="448">
        <f t="shared" si="68"/>
        <v>1024</v>
      </c>
      <c r="E885" s="448">
        <f t="shared" si="68"/>
        <v>2798</v>
      </c>
      <c r="F885" s="447">
        <f t="shared" si="68"/>
        <v>3692</v>
      </c>
      <c r="G885" s="1378">
        <f t="shared" si="68"/>
        <v>0</v>
      </c>
      <c r="H885" s="448">
        <f t="shared" si="67"/>
        <v>2162</v>
      </c>
      <c r="I885" s="448">
        <f t="shared" si="67"/>
        <v>4297</v>
      </c>
      <c r="J885" s="447">
        <f t="shared" si="67"/>
        <v>5191</v>
      </c>
      <c r="K885" s="422"/>
      <c r="L885" s="448">
        <f t="shared" si="66"/>
        <v>44025</v>
      </c>
    </row>
    <row r="886" spans="1:12" ht="13.5">
      <c r="A886" s="448">
        <v>44050</v>
      </c>
      <c r="B886" s="447">
        <v>44100</v>
      </c>
      <c r="C886" s="1378">
        <f t="shared" si="68"/>
        <v>0</v>
      </c>
      <c r="D886" s="448">
        <f t="shared" si="68"/>
        <v>1016</v>
      </c>
      <c r="E886" s="448">
        <f t="shared" si="68"/>
        <v>2787</v>
      </c>
      <c r="F886" s="447">
        <f t="shared" si="68"/>
        <v>3681</v>
      </c>
      <c r="G886" s="1378">
        <f t="shared" si="68"/>
        <v>0</v>
      </c>
      <c r="H886" s="448">
        <f t="shared" si="67"/>
        <v>2154</v>
      </c>
      <c r="I886" s="448">
        <f t="shared" si="67"/>
        <v>4287</v>
      </c>
      <c r="J886" s="447">
        <f t="shared" si="67"/>
        <v>5181</v>
      </c>
      <c r="K886" s="422"/>
      <c r="L886" s="448">
        <f t="shared" si="66"/>
        <v>44075</v>
      </c>
    </row>
    <row r="887" spans="1:12" ht="13.5">
      <c r="A887" s="448">
        <v>44100</v>
      </c>
      <c r="B887" s="447">
        <v>44150</v>
      </c>
      <c r="C887" s="1378">
        <f t="shared" si="68"/>
        <v>0</v>
      </c>
      <c r="D887" s="448">
        <f t="shared" si="68"/>
        <v>1008</v>
      </c>
      <c r="E887" s="448">
        <f t="shared" si="68"/>
        <v>2777</v>
      </c>
      <c r="F887" s="447">
        <f t="shared" si="68"/>
        <v>3671</v>
      </c>
      <c r="G887" s="1378">
        <f t="shared" si="68"/>
        <v>0</v>
      </c>
      <c r="H887" s="448">
        <f t="shared" si="67"/>
        <v>2146</v>
      </c>
      <c r="I887" s="448">
        <f t="shared" si="67"/>
        <v>4276</v>
      </c>
      <c r="J887" s="447">
        <f t="shared" si="67"/>
        <v>5170</v>
      </c>
      <c r="K887" s="422"/>
      <c r="L887" s="448">
        <f t="shared" si="66"/>
        <v>44125</v>
      </c>
    </row>
    <row r="888" spans="1:12" ht="13.5">
      <c r="A888" s="448">
        <v>44150</v>
      </c>
      <c r="B888" s="447">
        <v>44200</v>
      </c>
      <c r="C888" s="1378">
        <f t="shared" si="68"/>
        <v>0</v>
      </c>
      <c r="D888" s="448">
        <f t="shared" si="68"/>
        <v>1000</v>
      </c>
      <c r="E888" s="448">
        <f t="shared" si="68"/>
        <v>2766</v>
      </c>
      <c r="F888" s="447">
        <f t="shared" si="68"/>
        <v>3660</v>
      </c>
      <c r="G888" s="1378">
        <f t="shared" si="68"/>
        <v>0</v>
      </c>
      <c r="H888" s="448">
        <f t="shared" si="67"/>
        <v>2138</v>
      </c>
      <c r="I888" s="448">
        <f t="shared" si="67"/>
        <v>4266</v>
      </c>
      <c r="J888" s="447">
        <f t="shared" si="67"/>
        <v>5160</v>
      </c>
      <c r="K888" s="422"/>
      <c r="L888" s="448">
        <f t="shared" si="66"/>
        <v>44175</v>
      </c>
    </row>
    <row r="889" spans="1:12" ht="13.5">
      <c r="A889" s="448">
        <v>44200</v>
      </c>
      <c r="B889" s="447">
        <v>44250</v>
      </c>
      <c r="C889" s="1378">
        <f t="shared" si="68"/>
        <v>0</v>
      </c>
      <c r="D889" s="448">
        <f t="shared" si="68"/>
        <v>992</v>
      </c>
      <c r="E889" s="448">
        <f t="shared" si="68"/>
        <v>2756</v>
      </c>
      <c r="F889" s="447">
        <f t="shared" si="68"/>
        <v>3650</v>
      </c>
      <c r="G889" s="1378">
        <f t="shared" si="68"/>
        <v>0</v>
      </c>
      <c r="H889" s="448">
        <f t="shared" si="67"/>
        <v>2130</v>
      </c>
      <c r="I889" s="448">
        <f t="shared" si="67"/>
        <v>4255</v>
      </c>
      <c r="J889" s="447">
        <f t="shared" si="67"/>
        <v>5149</v>
      </c>
      <c r="K889" s="422"/>
      <c r="L889" s="448">
        <f t="shared" si="66"/>
        <v>44225</v>
      </c>
    </row>
    <row r="890" spans="1:12" ht="13.5">
      <c r="A890" s="448">
        <v>44250</v>
      </c>
      <c r="B890" s="447">
        <v>44300</v>
      </c>
      <c r="C890" s="1378">
        <f t="shared" si="68"/>
        <v>0</v>
      </c>
      <c r="D890" s="448">
        <f t="shared" si="68"/>
        <v>984</v>
      </c>
      <c r="E890" s="448">
        <f t="shared" si="68"/>
        <v>2745</v>
      </c>
      <c r="F890" s="447">
        <f t="shared" si="68"/>
        <v>3639</v>
      </c>
      <c r="G890" s="1378">
        <f t="shared" si="68"/>
        <v>0</v>
      </c>
      <c r="H890" s="448">
        <f t="shared" si="67"/>
        <v>2122</v>
      </c>
      <c r="I890" s="448">
        <f t="shared" si="67"/>
        <v>4245</v>
      </c>
      <c r="J890" s="447">
        <f t="shared" si="67"/>
        <v>5139</v>
      </c>
      <c r="K890" s="422"/>
      <c r="L890" s="448">
        <f t="shared" si="66"/>
        <v>44275</v>
      </c>
    </row>
    <row r="891" spans="1:12" ht="13.5">
      <c r="A891" s="448">
        <v>44300</v>
      </c>
      <c r="B891" s="447">
        <v>44350</v>
      </c>
      <c r="C891" s="1378">
        <f t="shared" si="68"/>
        <v>0</v>
      </c>
      <c r="D891" s="448">
        <f t="shared" si="68"/>
        <v>976</v>
      </c>
      <c r="E891" s="448">
        <f t="shared" si="68"/>
        <v>2735</v>
      </c>
      <c r="F891" s="447">
        <f t="shared" si="68"/>
        <v>3629</v>
      </c>
      <c r="G891" s="1378">
        <f t="shared" si="68"/>
        <v>0</v>
      </c>
      <c r="H891" s="448">
        <f t="shared" si="67"/>
        <v>2114</v>
      </c>
      <c r="I891" s="448">
        <f t="shared" si="67"/>
        <v>4234</v>
      </c>
      <c r="J891" s="447">
        <f t="shared" si="67"/>
        <v>5128</v>
      </c>
      <c r="K891" s="422"/>
      <c r="L891" s="448">
        <f t="shared" si="66"/>
        <v>44325</v>
      </c>
    </row>
    <row r="892" spans="1:12" ht="13.5">
      <c r="A892" s="448">
        <v>44350</v>
      </c>
      <c r="B892" s="447">
        <v>44400</v>
      </c>
      <c r="C892" s="1378">
        <f t="shared" si="68"/>
        <v>0</v>
      </c>
      <c r="D892" s="448">
        <f t="shared" si="68"/>
        <v>968</v>
      </c>
      <c r="E892" s="448">
        <f t="shared" si="68"/>
        <v>2724</v>
      </c>
      <c r="F892" s="447">
        <f t="shared" si="68"/>
        <v>3618</v>
      </c>
      <c r="G892" s="1378">
        <f t="shared" si="68"/>
        <v>0</v>
      </c>
      <c r="H892" s="448">
        <f t="shared" si="67"/>
        <v>2106</v>
      </c>
      <c r="I892" s="448">
        <f t="shared" si="67"/>
        <v>4224</v>
      </c>
      <c r="J892" s="447">
        <f t="shared" si="67"/>
        <v>5118</v>
      </c>
      <c r="K892" s="422"/>
      <c r="L892" s="448">
        <f t="shared" si="66"/>
        <v>44375</v>
      </c>
    </row>
    <row r="893" spans="1:12" ht="13.5">
      <c r="A893" s="448">
        <v>44400</v>
      </c>
      <c r="B893" s="447">
        <v>44450</v>
      </c>
      <c r="C893" s="1378">
        <f t="shared" si="68"/>
        <v>0</v>
      </c>
      <c r="D893" s="448">
        <f t="shared" si="68"/>
        <v>960</v>
      </c>
      <c r="E893" s="448">
        <f t="shared" si="68"/>
        <v>2714</v>
      </c>
      <c r="F893" s="447">
        <f t="shared" si="68"/>
        <v>3608</v>
      </c>
      <c r="G893" s="1378">
        <f t="shared" si="68"/>
        <v>0</v>
      </c>
      <c r="H893" s="448">
        <f t="shared" si="67"/>
        <v>2098</v>
      </c>
      <c r="I893" s="448">
        <f t="shared" si="67"/>
        <v>4213</v>
      </c>
      <c r="J893" s="447">
        <f t="shared" si="67"/>
        <v>5107</v>
      </c>
      <c r="K893" s="422"/>
      <c r="L893" s="448">
        <f t="shared" si="66"/>
        <v>44425</v>
      </c>
    </row>
    <row r="894" spans="1:12" ht="13.5">
      <c r="A894" s="448">
        <v>44450</v>
      </c>
      <c r="B894" s="447">
        <v>44500</v>
      </c>
      <c r="C894" s="1378">
        <f t="shared" si="68"/>
        <v>0</v>
      </c>
      <c r="D894" s="448">
        <f t="shared" si="68"/>
        <v>952</v>
      </c>
      <c r="E894" s="448">
        <f t="shared" si="68"/>
        <v>2703</v>
      </c>
      <c r="F894" s="447">
        <f t="shared" si="68"/>
        <v>3597</v>
      </c>
      <c r="G894" s="1378">
        <f t="shared" si="68"/>
        <v>0</v>
      </c>
      <c r="H894" s="448">
        <f t="shared" si="67"/>
        <v>2090</v>
      </c>
      <c r="I894" s="448">
        <f t="shared" si="67"/>
        <v>4203</v>
      </c>
      <c r="J894" s="447">
        <f t="shared" si="67"/>
        <v>5097</v>
      </c>
      <c r="K894" s="422"/>
      <c r="L894" s="448">
        <f t="shared" si="66"/>
        <v>44475</v>
      </c>
    </row>
    <row r="895" spans="1:12" ht="13.5">
      <c r="A895" s="448">
        <v>44500</v>
      </c>
      <c r="B895" s="447">
        <v>44550</v>
      </c>
      <c r="C895" s="1378">
        <f t="shared" si="68"/>
        <v>0</v>
      </c>
      <c r="D895" s="448">
        <f t="shared" si="68"/>
        <v>944</v>
      </c>
      <c r="E895" s="448">
        <f t="shared" si="68"/>
        <v>2693</v>
      </c>
      <c r="F895" s="447">
        <f t="shared" si="68"/>
        <v>3587</v>
      </c>
      <c r="G895" s="1378">
        <f t="shared" si="68"/>
        <v>0</v>
      </c>
      <c r="H895" s="448">
        <f t="shared" si="67"/>
        <v>2082</v>
      </c>
      <c r="I895" s="448">
        <f t="shared" si="67"/>
        <v>4192</v>
      </c>
      <c r="J895" s="447">
        <f t="shared" si="67"/>
        <v>5086</v>
      </c>
      <c r="K895" s="422"/>
      <c r="L895" s="448">
        <f t="shared" si="66"/>
        <v>44525</v>
      </c>
    </row>
    <row r="896" spans="1:12" ht="13.5">
      <c r="A896" s="448">
        <v>44550</v>
      </c>
      <c r="B896" s="447">
        <v>44600</v>
      </c>
      <c r="C896" s="1378">
        <f t="shared" si="68"/>
        <v>0</v>
      </c>
      <c r="D896" s="448">
        <f t="shared" si="68"/>
        <v>936</v>
      </c>
      <c r="E896" s="448">
        <f t="shared" si="68"/>
        <v>2682</v>
      </c>
      <c r="F896" s="447">
        <f t="shared" si="68"/>
        <v>3576</v>
      </c>
      <c r="G896" s="1378">
        <f t="shared" si="68"/>
        <v>0</v>
      </c>
      <c r="H896" s="448">
        <f t="shared" si="67"/>
        <v>2074</v>
      </c>
      <c r="I896" s="448">
        <f t="shared" si="67"/>
        <v>4181</v>
      </c>
      <c r="J896" s="447">
        <f t="shared" si="67"/>
        <v>5075</v>
      </c>
      <c r="K896" s="422"/>
      <c r="L896" s="448">
        <f t="shared" si="66"/>
        <v>44575</v>
      </c>
    </row>
    <row r="897" spans="1:12" ht="13.5">
      <c r="A897" s="448">
        <v>44600</v>
      </c>
      <c r="B897" s="447">
        <v>44650</v>
      </c>
      <c r="C897" s="1378">
        <f t="shared" si="68"/>
        <v>0</v>
      </c>
      <c r="D897" s="448">
        <f t="shared" si="68"/>
        <v>928</v>
      </c>
      <c r="E897" s="448">
        <f t="shared" si="68"/>
        <v>2671</v>
      </c>
      <c r="F897" s="447">
        <f t="shared" si="68"/>
        <v>3565</v>
      </c>
      <c r="G897" s="1378">
        <f t="shared" si="68"/>
        <v>0</v>
      </c>
      <c r="H897" s="448">
        <f t="shared" si="67"/>
        <v>2066</v>
      </c>
      <c r="I897" s="448">
        <f t="shared" si="67"/>
        <v>4171</v>
      </c>
      <c r="J897" s="447">
        <f t="shared" si="67"/>
        <v>5065</v>
      </c>
      <c r="K897" s="422"/>
      <c r="L897" s="448">
        <f t="shared" si="66"/>
        <v>44625</v>
      </c>
    </row>
    <row r="898" spans="1:12" ht="13.5">
      <c r="A898" s="448">
        <v>44650</v>
      </c>
      <c r="B898" s="447">
        <v>44700</v>
      </c>
      <c r="C898" s="1378">
        <f t="shared" si="68"/>
        <v>0</v>
      </c>
      <c r="D898" s="448">
        <f t="shared" si="68"/>
        <v>920</v>
      </c>
      <c r="E898" s="448">
        <f t="shared" si="68"/>
        <v>2661</v>
      </c>
      <c r="F898" s="447">
        <f t="shared" si="68"/>
        <v>3555</v>
      </c>
      <c r="G898" s="1378">
        <f t="shared" si="68"/>
        <v>0</v>
      </c>
      <c r="H898" s="448">
        <f t="shared" si="67"/>
        <v>2058</v>
      </c>
      <c r="I898" s="448">
        <f t="shared" si="67"/>
        <v>4160</v>
      </c>
      <c r="J898" s="447">
        <f t="shared" si="67"/>
        <v>5054</v>
      </c>
      <c r="K898" s="422"/>
      <c r="L898" s="448">
        <f t="shared" si="66"/>
        <v>44675</v>
      </c>
    </row>
    <row r="899" spans="1:12" ht="13.5">
      <c r="A899" s="448">
        <v>44700</v>
      </c>
      <c r="B899" s="447">
        <v>44750</v>
      </c>
      <c r="C899" s="1378">
        <f t="shared" si="68"/>
        <v>0</v>
      </c>
      <c r="D899" s="448">
        <f t="shared" si="68"/>
        <v>912</v>
      </c>
      <c r="E899" s="448">
        <f t="shared" si="68"/>
        <v>2650</v>
      </c>
      <c r="F899" s="447">
        <f t="shared" si="68"/>
        <v>3544</v>
      </c>
      <c r="G899" s="1378">
        <f t="shared" si="68"/>
        <v>0</v>
      </c>
      <c r="H899" s="448">
        <f t="shared" si="67"/>
        <v>2050</v>
      </c>
      <c r="I899" s="448">
        <f t="shared" si="67"/>
        <v>4150</v>
      </c>
      <c r="J899" s="447">
        <f t="shared" si="67"/>
        <v>5044</v>
      </c>
      <c r="K899" s="422"/>
      <c r="L899" s="448">
        <f t="shared" si="66"/>
        <v>44725</v>
      </c>
    </row>
    <row r="900" spans="1:12" ht="13.5">
      <c r="A900" s="448">
        <v>44750</v>
      </c>
      <c r="B900" s="447">
        <v>44800</v>
      </c>
      <c r="C900" s="1378">
        <f t="shared" si="68"/>
        <v>0</v>
      </c>
      <c r="D900" s="448">
        <f t="shared" si="68"/>
        <v>904</v>
      </c>
      <c r="E900" s="448">
        <f t="shared" si="68"/>
        <v>2640</v>
      </c>
      <c r="F900" s="447">
        <f t="shared" si="68"/>
        <v>3534</v>
      </c>
      <c r="G900" s="1378">
        <f t="shared" si="68"/>
        <v>0</v>
      </c>
      <c r="H900" s="448">
        <f t="shared" si="67"/>
        <v>2042</v>
      </c>
      <c r="I900" s="448">
        <f t="shared" si="67"/>
        <v>4139</v>
      </c>
      <c r="J900" s="447">
        <f t="shared" si="67"/>
        <v>5033</v>
      </c>
      <c r="K900" s="422"/>
      <c r="L900" s="448">
        <f t="shared" si="66"/>
        <v>44775</v>
      </c>
    </row>
    <row r="901" spans="1:12" ht="13.5">
      <c r="A901" s="448">
        <v>44800</v>
      </c>
      <c r="B901" s="447">
        <v>44850</v>
      </c>
      <c r="C901" s="1378">
        <f t="shared" si="68"/>
        <v>0</v>
      </c>
      <c r="D901" s="448">
        <f t="shared" si="68"/>
        <v>896</v>
      </c>
      <c r="E901" s="448">
        <f t="shared" si="68"/>
        <v>2629</v>
      </c>
      <c r="F901" s="447">
        <f t="shared" si="68"/>
        <v>3523</v>
      </c>
      <c r="G901" s="1378">
        <f t="shared" si="68"/>
        <v>0</v>
      </c>
      <c r="H901" s="448">
        <f t="shared" si="67"/>
        <v>2034</v>
      </c>
      <c r="I901" s="448">
        <f t="shared" si="67"/>
        <v>4129</v>
      </c>
      <c r="J901" s="447">
        <f t="shared" si="67"/>
        <v>5023</v>
      </c>
      <c r="K901" s="422"/>
      <c r="L901" s="448">
        <f t="shared" si="66"/>
        <v>44825</v>
      </c>
    </row>
    <row r="902" spans="1:12" ht="13.5">
      <c r="A902" s="448">
        <v>44850</v>
      </c>
      <c r="B902" s="447">
        <v>44900</v>
      </c>
      <c r="C902" s="1378">
        <f t="shared" si="68"/>
        <v>0</v>
      </c>
      <c r="D902" s="448">
        <f t="shared" si="68"/>
        <v>888</v>
      </c>
      <c r="E902" s="448">
        <f t="shared" si="68"/>
        <v>2619</v>
      </c>
      <c r="F902" s="447">
        <f t="shared" si="68"/>
        <v>3513</v>
      </c>
      <c r="G902" s="1378">
        <f t="shared" si="68"/>
        <v>0</v>
      </c>
      <c r="H902" s="448">
        <f t="shared" si="67"/>
        <v>2026</v>
      </c>
      <c r="I902" s="448">
        <f t="shared" si="67"/>
        <v>4118</v>
      </c>
      <c r="J902" s="447">
        <f t="shared" si="67"/>
        <v>5012</v>
      </c>
      <c r="K902" s="422"/>
      <c r="L902" s="448">
        <f t="shared" si="66"/>
        <v>44875</v>
      </c>
    </row>
    <row r="903" spans="1:12" ht="13.5">
      <c r="A903" s="448">
        <v>44900</v>
      </c>
      <c r="B903" s="447">
        <v>44950</v>
      </c>
      <c r="C903" s="1378">
        <f t="shared" si="68"/>
        <v>0</v>
      </c>
      <c r="D903" s="448">
        <f t="shared" si="68"/>
        <v>880</v>
      </c>
      <c r="E903" s="448">
        <f t="shared" si="68"/>
        <v>2608</v>
      </c>
      <c r="F903" s="447">
        <f t="shared" si="68"/>
        <v>3502</v>
      </c>
      <c r="G903" s="1378">
        <f t="shared" si="68"/>
        <v>0</v>
      </c>
      <c r="H903" s="448">
        <f t="shared" si="67"/>
        <v>2018</v>
      </c>
      <c r="I903" s="448">
        <f t="shared" si="67"/>
        <v>4108</v>
      </c>
      <c r="J903" s="447">
        <f t="shared" si="67"/>
        <v>5002</v>
      </c>
      <c r="K903" s="422"/>
      <c r="L903" s="448">
        <f t="shared" ref="L903:L967" si="69">ROUND((A903+B903)/2,2)</f>
        <v>44925</v>
      </c>
    </row>
    <row r="904" spans="1:12" ht="13.5">
      <c r="A904" s="448">
        <v>44950</v>
      </c>
      <c r="B904" s="447">
        <v>45000</v>
      </c>
      <c r="C904" s="1378">
        <f t="shared" si="68"/>
        <v>0</v>
      </c>
      <c r="D904" s="448">
        <f t="shared" si="68"/>
        <v>872</v>
      </c>
      <c r="E904" s="448">
        <f t="shared" si="68"/>
        <v>2598</v>
      </c>
      <c r="F904" s="447">
        <f t="shared" si="68"/>
        <v>3492</v>
      </c>
      <c r="G904" s="1378">
        <f t="shared" si="68"/>
        <v>0</v>
      </c>
      <c r="H904" s="448">
        <f t="shared" si="67"/>
        <v>2010</v>
      </c>
      <c r="I904" s="448">
        <f t="shared" si="67"/>
        <v>4097</v>
      </c>
      <c r="J904" s="447">
        <f t="shared" si="67"/>
        <v>4991</v>
      </c>
      <c r="K904" s="422"/>
      <c r="L904" s="448">
        <f t="shared" si="69"/>
        <v>44975</v>
      </c>
    </row>
    <row r="905" spans="1:12" ht="13.5">
      <c r="A905" s="448">
        <v>45000</v>
      </c>
      <c r="B905" s="447">
        <v>45050</v>
      </c>
      <c r="C905" s="1378">
        <f t="shared" si="68"/>
        <v>0</v>
      </c>
      <c r="D905" s="448">
        <f t="shared" si="68"/>
        <v>864</v>
      </c>
      <c r="E905" s="448">
        <f t="shared" si="68"/>
        <v>2587</v>
      </c>
      <c r="F905" s="447">
        <f t="shared" si="68"/>
        <v>3481</v>
      </c>
      <c r="G905" s="1378">
        <f t="shared" si="68"/>
        <v>0</v>
      </c>
      <c r="H905" s="448">
        <f t="shared" si="67"/>
        <v>2002</v>
      </c>
      <c r="I905" s="448">
        <f t="shared" si="67"/>
        <v>4087</v>
      </c>
      <c r="J905" s="447">
        <f t="shared" si="67"/>
        <v>4981</v>
      </c>
      <c r="K905" s="422"/>
      <c r="L905" s="448">
        <f t="shared" si="69"/>
        <v>45025</v>
      </c>
    </row>
    <row r="906" spans="1:12" ht="13.5">
      <c r="A906" s="448">
        <v>45050</v>
      </c>
      <c r="B906" s="447">
        <v>45100</v>
      </c>
      <c r="C906" s="1378">
        <f t="shared" si="68"/>
        <v>0</v>
      </c>
      <c r="D906" s="448">
        <f t="shared" si="68"/>
        <v>856</v>
      </c>
      <c r="E906" s="448">
        <f t="shared" si="68"/>
        <v>2577</v>
      </c>
      <c r="F906" s="447">
        <f t="shared" si="68"/>
        <v>3471</v>
      </c>
      <c r="G906" s="1378">
        <f t="shared" si="68"/>
        <v>0</v>
      </c>
      <c r="H906" s="448">
        <f t="shared" si="67"/>
        <v>1994</v>
      </c>
      <c r="I906" s="448">
        <f t="shared" si="67"/>
        <v>4076</v>
      </c>
      <c r="J906" s="447">
        <f t="shared" si="67"/>
        <v>4970</v>
      </c>
      <c r="K906" s="422"/>
      <c r="L906" s="448">
        <f t="shared" si="69"/>
        <v>45075</v>
      </c>
    </row>
    <row r="907" spans="1:12" ht="13.5">
      <c r="A907" s="448">
        <v>45100</v>
      </c>
      <c r="B907" s="447">
        <v>45150</v>
      </c>
      <c r="C907" s="1378">
        <f t="shared" si="68"/>
        <v>0</v>
      </c>
      <c r="D907" s="448">
        <f t="shared" si="68"/>
        <v>848</v>
      </c>
      <c r="E907" s="448">
        <f t="shared" si="68"/>
        <v>2566</v>
      </c>
      <c r="F907" s="447">
        <f t="shared" si="68"/>
        <v>3460</v>
      </c>
      <c r="G907" s="1378">
        <f t="shared" si="68"/>
        <v>0</v>
      </c>
      <c r="H907" s="448">
        <f t="shared" si="67"/>
        <v>1986</v>
      </c>
      <c r="I907" s="448">
        <f t="shared" si="67"/>
        <v>4066</v>
      </c>
      <c r="J907" s="447">
        <f t="shared" si="67"/>
        <v>4960</v>
      </c>
      <c r="K907" s="422"/>
      <c r="L907" s="448">
        <f t="shared" si="69"/>
        <v>45125</v>
      </c>
    </row>
    <row r="908" spans="1:12" ht="13.5">
      <c r="A908" s="448">
        <v>45150</v>
      </c>
      <c r="B908" s="447">
        <v>45200</v>
      </c>
      <c r="C908" s="1378">
        <f t="shared" si="68"/>
        <v>0</v>
      </c>
      <c r="D908" s="448">
        <f t="shared" si="68"/>
        <v>840</v>
      </c>
      <c r="E908" s="448">
        <f t="shared" si="68"/>
        <v>2556</v>
      </c>
      <c r="F908" s="447">
        <f t="shared" si="68"/>
        <v>3450</v>
      </c>
      <c r="G908" s="1378">
        <f t="shared" si="68"/>
        <v>0</v>
      </c>
      <c r="H908" s="448">
        <f t="shared" si="67"/>
        <v>1978</v>
      </c>
      <c r="I908" s="448">
        <f t="shared" si="67"/>
        <v>4055</v>
      </c>
      <c r="J908" s="447">
        <f t="shared" si="67"/>
        <v>4949</v>
      </c>
      <c r="K908" s="422"/>
      <c r="L908" s="448">
        <f t="shared" si="69"/>
        <v>45175</v>
      </c>
    </row>
    <row r="909" spans="1:12" ht="13.5">
      <c r="A909" s="448">
        <v>45200</v>
      </c>
      <c r="B909" s="447">
        <v>45250</v>
      </c>
      <c r="C909" s="1378">
        <f t="shared" si="68"/>
        <v>0</v>
      </c>
      <c r="D909" s="448">
        <f t="shared" si="68"/>
        <v>832</v>
      </c>
      <c r="E909" s="448">
        <f t="shared" si="68"/>
        <v>2545</v>
      </c>
      <c r="F909" s="447">
        <f t="shared" si="68"/>
        <v>3439</v>
      </c>
      <c r="G909" s="1378">
        <f t="shared" si="68"/>
        <v>0</v>
      </c>
      <c r="H909" s="448">
        <f t="shared" si="67"/>
        <v>1970</v>
      </c>
      <c r="I909" s="448">
        <f t="shared" si="67"/>
        <v>4045</v>
      </c>
      <c r="J909" s="447">
        <f t="shared" si="67"/>
        <v>4939</v>
      </c>
      <c r="K909" s="422"/>
      <c r="L909" s="448">
        <f t="shared" si="69"/>
        <v>45225</v>
      </c>
    </row>
    <row r="910" spans="1:12" ht="13.5">
      <c r="A910" s="448">
        <v>45250</v>
      </c>
      <c r="B910" s="447">
        <v>45300</v>
      </c>
      <c r="C910" s="1378">
        <f t="shared" si="68"/>
        <v>0</v>
      </c>
      <c r="D910" s="448">
        <f t="shared" si="68"/>
        <v>824</v>
      </c>
      <c r="E910" s="448">
        <f t="shared" si="68"/>
        <v>2535</v>
      </c>
      <c r="F910" s="447">
        <f t="shared" si="68"/>
        <v>3429</v>
      </c>
      <c r="G910" s="1378">
        <f t="shared" si="68"/>
        <v>0</v>
      </c>
      <c r="H910" s="448">
        <f t="shared" si="67"/>
        <v>1962</v>
      </c>
      <c r="I910" s="448">
        <f t="shared" si="67"/>
        <v>4034</v>
      </c>
      <c r="J910" s="447">
        <f t="shared" si="67"/>
        <v>4928</v>
      </c>
      <c r="K910" s="422"/>
      <c r="L910" s="448">
        <f t="shared" si="69"/>
        <v>45275</v>
      </c>
    </row>
    <row r="911" spans="1:12" ht="13.5">
      <c r="A911" s="448">
        <v>45300</v>
      </c>
      <c r="B911" s="447">
        <v>45350</v>
      </c>
      <c r="C911" s="1378">
        <f t="shared" si="68"/>
        <v>0</v>
      </c>
      <c r="D911" s="448">
        <f t="shared" si="68"/>
        <v>816</v>
      </c>
      <c r="E911" s="448">
        <f t="shared" si="68"/>
        <v>2524</v>
      </c>
      <c r="F911" s="447">
        <f t="shared" si="68"/>
        <v>3418</v>
      </c>
      <c r="G911" s="1378">
        <f t="shared" si="68"/>
        <v>0</v>
      </c>
      <c r="H911" s="448">
        <f t="shared" si="67"/>
        <v>1954</v>
      </c>
      <c r="I911" s="448">
        <f t="shared" si="67"/>
        <v>4024</v>
      </c>
      <c r="J911" s="447">
        <f t="shared" si="67"/>
        <v>4918</v>
      </c>
      <c r="K911" s="422"/>
      <c r="L911" s="448">
        <f t="shared" si="69"/>
        <v>45325</v>
      </c>
    </row>
    <row r="912" spans="1:12" ht="13.5">
      <c r="A912" s="448">
        <v>45350</v>
      </c>
      <c r="B912" s="447">
        <v>45400</v>
      </c>
      <c r="C912" s="1378">
        <f t="shared" si="68"/>
        <v>0</v>
      </c>
      <c r="D912" s="448">
        <f t="shared" si="68"/>
        <v>808</v>
      </c>
      <c r="E912" s="448">
        <f t="shared" si="68"/>
        <v>2514</v>
      </c>
      <c r="F912" s="447">
        <f t="shared" si="68"/>
        <v>3408</v>
      </c>
      <c r="G912" s="1378">
        <f t="shared" si="68"/>
        <v>0</v>
      </c>
      <c r="H912" s="448">
        <f t="shared" si="67"/>
        <v>1946</v>
      </c>
      <c r="I912" s="448">
        <f t="shared" si="67"/>
        <v>4013</v>
      </c>
      <c r="J912" s="447">
        <f t="shared" si="67"/>
        <v>4907</v>
      </c>
      <c r="K912" s="422"/>
      <c r="L912" s="448">
        <f t="shared" si="69"/>
        <v>45375</v>
      </c>
    </row>
    <row r="913" spans="1:12" ht="13.5">
      <c r="A913" s="448">
        <v>45400</v>
      </c>
      <c r="B913" s="447">
        <v>45450</v>
      </c>
      <c r="C913" s="1378">
        <f t="shared" ref="C913:J947" si="70">IF($L913&gt;N$5,MAX(0,N$3+ROUND((N$9*($L913-N$5)),0)),IF($L913&gt;N$4,N$3,ROUND($L913*N$7,0)))</f>
        <v>0</v>
      </c>
      <c r="D913" s="448">
        <f t="shared" si="70"/>
        <v>800</v>
      </c>
      <c r="E913" s="448">
        <f t="shared" si="70"/>
        <v>2503</v>
      </c>
      <c r="F913" s="447">
        <f t="shared" si="70"/>
        <v>3397</v>
      </c>
      <c r="G913" s="1378">
        <f t="shared" si="70"/>
        <v>0</v>
      </c>
      <c r="H913" s="448">
        <f t="shared" si="67"/>
        <v>1938</v>
      </c>
      <c r="I913" s="448">
        <f t="shared" si="67"/>
        <v>4002</v>
      </c>
      <c r="J913" s="447">
        <f t="shared" si="67"/>
        <v>4896</v>
      </c>
      <c r="K913" s="422"/>
      <c r="L913" s="448">
        <f t="shared" si="69"/>
        <v>45425</v>
      </c>
    </row>
    <row r="914" spans="1:12" ht="13.5">
      <c r="A914" s="448">
        <v>45450</v>
      </c>
      <c r="B914" s="447">
        <v>45500</v>
      </c>
      <c r="C914" s="1378">
        <f t="shared" si="70"/>
        <v>0</v>
      </c>
      <c r="D914" s="448">
        <f t="shared" si="70"/>
        <v>792</v>
      </c>
      <c r="E914" s="448">
        <f t="shared" si="70"/>
        <v>2492</v>
      </c>
      <c r="F914" s="447">
        <f t="shared" si="70"/>
        <v>3386</v>
      </c>
      <c r="G914" s="1378">
        <f t="shared" si="70"/>
        <v>0</v>
      </c>
      <c r="H914" s="448">
        <f t="shared" si="67"/>
        <v>1930</v>
      </c>
      <c r="I914" s="448">
        <f t="shared" si="67"/>
        <v>3992</v>
      </c>
      <c r="J914" s="447">
        <f t="shared" si="67"/>
        <v>4886</v>
      </c>
      <c r="K914" s="422"/>
      <c r="L914" s="448">
        <f t="shared" si="69"/>
        <v>45475</v>
      </c>
    </row>
    <row r="915" spans="1:12" ht="13.5">
      <c r="A915" s="448">
        <v>45500</v>
      </c>
      <c r="B915" s="447">
        <v>45550</v>
      </c>
      <c r="C915" s="1378">
        <f t="shared" si="70"/>
        <v>0</v>
      </c>
      <c r="D915" s="448">
        <f t="shared" si="70"/>
        <v>784</v>
      </c>
      <c r="E915" s="448">
        <f t="shared" si="70"/>
        <v>2482</v>
      </c>
      <c r="F915" s="447">
        <f t="shared" si="70"/>
        <v>3376</v>
      </c>
      <c r="G915" s="1378">
        <f t="shared" si="70"/>
        <v>0</v>
      </c>
      <c r="H915" s="448">
        <f t="shared" si="67"/>
        <v>1922</v>
      </c>
      <c r="I915" s="448">
        <f t="shared" si="67"/>
        <v>3981</v>
      </c>
      <c r="J915" s="447">
        <f t="shared" si="67"/>
        <v>4875</v>
      </c>
      <c r="K915" s="422"/>
      <c r="L915" s="448">
        <f t="shared" si="69"/>
        <v>45525</v>
      </c>
    </row>
    <row r="916" spans="1:12" ht="13.5">
      <c r="A916" s="448">
        <v>45550</v>
      </c>
      <c r="B916" s="447">
        <v>45600</v>
      </c>
      <c r="C916" s="1378">
        <f t="shared" si="70"/>
        <v>0</v>
      </c>
      <c r="D916" s="448">
        <f t="shared" si="70"/>
        <v>776</v>
      </c>
      <c r="E916" s="448">
        <f t="shared" si="70"/>
        <v>2471</v>
      </c>
      <c r="F916" s="447">
        <f t="shared" si="70"/>
        <v>3365</v>
      </c>
      <c r="G916" s="1378">
        <f t="shared" si="70"/>
        <v>0</v>
      </c>
      <c r="H916" s="448">
        <f t="shared" si="67"/>
        <v>1914</v>
      </c>
      <c r="I916" s="448">
        <f t="shared" si="67"/>
        <v>3971</v>
      </c>
      <c r="J916" s="447">
        <f t="shared" si="67"/>
        <v>4865</v>
      </c>
      <c r="K916" s="422"/>
      <c r="L916" s="448">
        <f t="shared" si="69"/>
        <v>45575</v>
      </c>
    </row>
    <row r="917" spans="1:12" ht="13.5">
      <c r="A917" s="448">
        <v>45600</v>
      </c>
      <c r="B917" s="447">
        <v>45650</v>
      </c>
      <c r="C917" s="1378">
        <f t="shared" si="70"/>
        <v>0</v>
      </c>
      <c r="D917" s="448">
        <f t="shared" si="70"/>
        <v>768</v>
      </c>
      <c r="E917" s="448">
        <f t="shared" si="70"/>
        <v>2461</v>
      </c>
      <c r="F917" s="447">
        <f t="shared" si="70"/>
        <v>3355</v>
      </c>
      <c r="G917" s="1378">
        <f t="shared" si="70"/>
        <v>0</v>
      </c>
      <c r="H917" s="448">
        <f t="shared" si="67"/>
        <v>1906</v>
      </c>
      <c r="I917" s="448">
        <f t="shared" si="67"/>
        <v>3960</v>
      </c>
      <c r="J917" s="447">
        <f t="shared" si="67"/>
        <v>4854</v>
      </c>
      <c r="K917" s="422"/>
      <c r="L917" s="448">
        <f t="shared" si="69"/>
        <v>45625</v>
      </c>
    </row>
    <row r="918" spans="1:12" ht="13.5">
      <c r="A918" s="448">
        <v>45650</v>
      </c>
      <c r="B918" s="447">
        <v>45700</v>
      </c>
      <c r="C918" s="1378">
        <f t="shared" si="70"/>
        <v>0</v>
      </c>
      <c r="D918" s="448">
        <f t="shared" si="70"/>
        <v>760</v>
      </c>
      <c r="E918" s="448">
        <f t="shared" si="70"/>
        <v>2450</v>
      </c>
      <c r="F918" s="447">
        <f t="shared" si="70"/>
        <v>3344</v>
      </c>
      <c r="G918" s="1378">
        <f t="shared" si="70"/>
        <v>0</v>
      </c>
      <c r="H918" s="448">
        <f t="shared" si="67"/>
        <v>1898</v>
      </c>
      <c r="I918" s="448">
        <f t="shared" si="67"/>
        <v>3950</v>
      </c>
      <c r="J918" s="447">
        <f t="shared" si="67"/>
        <v>4844</v>
      </c>
      <c r="K918" s="422"/>
      <c r="L918" s="448">
        <f t="shared" si="69"/>
        <v>45675</v>
      </c>
    </row>
    <row r="919" spans="1:12" ht="13.5">
      <c r="A919" s="448">
        <v>45700</v>
      </c>
      <c r="B919" s="447">
        <v>45750</v>
      </c>
      <c r="C919" s="1378">
        <f t="shared" si="70"/>
        <v>0</v>
      </c>
      <c r="D919" s="448">
        <f t="shared" si="70"/>
        <v>752</v>
      </c>
      <c r="E919" s="448">
        <f t="shared" si="70"/>
        <v>2440</v>
      </c>
      <c r="F919" s="447">
        <f t="shared" si="70"/>
        <v>3334</v>
      </c>
      <c r="G919" s="1378">
        <f t="shared" si="70"/>
        <v>0</v>
      </c>
      <c r="H919" s="448">
        <f t="shared" si="67"/>
        <v>1890</v>
      </c>
      <c r="I919" s="448">
        <f t="shared" si="67"/>
        <v>3939</v>
      </c>
      <c r="J919" s="447">
        <f t="shared" si="67"/>
        <v>4833</v>
      </c>
      <c r="K919" s="422"/>
      <c r="L919" s="448">
        <f t="shared" si="69"/>
        <v>45725</v>
      </c>
    </row>
    <row r="920" spans="1:12" ht="13.5">
      <c r="A920" s="448">
        <v>45750</v>
      </c>
      <c r="B920" s="447">
        <v>45800</v>
      </c>
      <c r="C920" s="1378">
        <f t="shared" si="70"/>
        <v>0</v>
      </c>
      <c r="D920" s="448">
        <f t="shared" si="70"/>
        <v>745</v>
      </c>
      <c r="E920" s="448">
        <f t="shared" si="70"/>
        <v>2429</v>
      </c>
      <c r="F920" s="447">
        <f t="shared" si="70"/>
        <v>3323</v>
      </c>
      <c r="G920" s="1378">
        <f t="shared" si="70"/>
        <v>0</v>
      </c>
      <c r="H920" s="448">
        <f t="shared" si="67"/>
        <v>1882</v>
      </c>
      <c r="I920" s="448">
        <f t="shared" si="67"/>
        <v>3929</v>
      </c>
      <c r="J920" s="447">
        <f t="shared" si="67"/>
        <v>4823</v>
      </c>
      <c r="K920" s="422"/>
      <c r="L920" s="448">
        <f t="shared" si="69"/>
        <v>45775</v>
      </c>
    </row>
    <row r="921" spans="1:12" ht="13.5">
      <c r="A921" s="448">
        <v>45800</v>
      </c>
      <c r="B921" s="447">
        <v>45850</v>
      </c>
      <c r="C921" s="1378">
        <f t="shared" si="70"/>
        <v>0</v>
      </c>
      <c r="D921" s="448">
        <f t="shared" si="70"/>
        <v>737</v>
      </c>
      <c r="E921" s="448">
        <f t="shared" si="70"/>
        <v>2419</v>
      </c>
      <c r="F921" s="447">
        <f t="shared" si="70"/>
        <v>3313</v>
      </c>
      <c r="G921" s="1378">
        <f t="shared" si="70"/>
        <v>0</v>
      </c>
      <c r="H921" s="448">
        <f t="shared" si="70"/>
        <v>1874</v>
      </c>
      <c r="I921" s="448">
        <f t="shared" si="70"/>
        <v>3918</v>
      </c>
      <c r="J921" s="447">
        <f t="shared" si="70"/>
        <v>4812</v>
      </c>
      <c r="K921" s="422"/>
      <c r="L921" s="448">
        <f t="shared" si="69"/>
        <v>45825</v>
      </c>
    </row>
    <row r="922" spans="1:12" ht="13.5">
      <c r="A922" s="448">
        <v>45850</v>
      </c>
      <c r="B922" s="447">
        <v>45900</v>
      </c>
      <c r="C922" s="1378">
        <f t="shared" si="70"/>
        <v>0</v>
      </c>
      <c r="D922" s="448">
        <f t="shared" si="70"/>
        <v>729</v>
      </c>
      <c r="E922" s="448">
        <f t="shared" si="70"/>
        <v>2408</v>
      </c>
      <c r="F922" s="447">
        <f t="shared" si="70"/>
        <v>3302</v>
      </c>
      <c r="G922" s="1378">
        <f t="shared" si="70"/>
        <v>0</v>
      </c>
      <c r="H922" s="448">
        <f t="shared" si="70"/>
        <v>1866</v>
      </c>
      <c r="I922" s="448">
        <f t="shared" si="70"/>
        <v>3908</v>
      </c>
      <c r="J922" s="447">
        <f t="shared" si="70"/>
        <v>4802</v>
      </c>
      <c r="K922" s="422"/>
      <c r="L922" s="448">
        <f t="shared" si="69"/>
        <v>45875</v>
      </c>
    </row>
    <row r="923" spans="1:12" ht="13.5">
      <c r="A923" s="448">
        <v>45900</v>
      </c>
      <c r="B923" s="447">
        <v>45950</v>
      </c>
      <c r="C923" s="1378">
        <f t="shared" si="70"/>
        <v>0</v>
      </c>
      <c r="D923" s="448">
        <f t="shared" si="70"/>
        <v>721</v>
      </c>
      <c r="E923" s="448">
        <f t="shared" si="70"/>
        <v>2398</v>
      </c>
      <c r="F923" s="447">
        <f t="shared" si="70"/>
        <v>3292</v>
      </c>
      <c r="G923" s="1378">
        <f t="shared" si="70"/>
        <v>0</v>
      </c>
      <c r="H923" s="448">
        <f t="shared" si="70"/>
        <v>1858</v>
      </c>
      <c r="I923" s="448">
        <f t="shared" si="70"/>
        <v>3897</v>
      </c>
      <c r="J923" s="447">
        <f t="shared" si="70"/>
        <v>4791</v>
      </c>
      <c r="K923" s="422"/>
      <c r="L923" s="448">
        <f t="shared" si="69"/>
        <v>45925</v>
      </c>
    </row>
    <row r="924" spans="1:12" ht="13.5">
      <c r="A924" s="448">
        <v>45950</v>
      </c>
      <c r="B924" s="447">
        <v>46000</v>
      </c>
      <c r="C924" s="1378">
        <f t="shared" si="70"/>
        <v>0</v>
      </c>
      <c r="D924" s="448">
        <f t="shared" si="70"/>
        <v>713</v>
      </c>
      <c r="E924" s="448">
        <f t="shared" si="70"/>
        <v>2387</v>
      </c>
      <c r="F924" s="447">
        <f t="shared" si="70"/>
        <v>3281</v>
      </c>
      <c r="G924" s="1378">
        <f t="shared" si="70"/>
        <v>0</v>
      </c>
      <c r="H924" s="448">
        <f t="shared" si="70"/>
        <v>1850</v>
      </c>
      <c r="I924" s="448">
        <f t="shared" si="70"/>
        <v>3887</v>
      </c>
      <c r="J924" s="447">
        <f t="shared" si="70"/>
        <v>4781</v>
      </c>
      <c r="K924" s="422"/>
      <c r="L924" s="448">
        <f t="shared" si="69"/>
        <v>45975</v>
      </c>
    </row>
    <row r="925" spans="1:12" ht="13.5">
      <c r="A925" s="448">
        <v>46000</v>
      </c>
      <c r="B925" s="447">
        <v>46050</v>
      </c>
      <c r="C925" s="1378">
        <f t="shared" si="70"/>
        <v>0</v>
      </c>
      <c r="D925" s="448">
        <f t="shared" si="70"/>
        <v>705</v>
      </c>
      <c r="E925" s="448">
        <f t="shared" si="70"/>
        <v>2377</v>
      </c>
      <c r="F925" s="447">
        <f t="shared" si="70"/>
        <v>3271</v>
      </c>
      <c r="G925" s="1378">
        <f t="shared" si="70"/>
        <v>0</v>
      </c>
      <c r="H925" s="448">
        <f t="shared" si="70"/>
        <v>1842</v>
      </c>
      <c r="I925" s="448">
        <f t="shared" si="70"/>
        <v>3876</v>
      </c>
      <c r="J925" s="447">
        <f t="shared" si="70"/>
        <v>4770</v>
      </c>
      <c r="K925" s="422"/>
      <c r="L925" s="448">
        <f t="shared" si="69"/>
        <v>46025</v>
      </c>
    </row>
    <row r="926" spans="1:12" ht="13.5">
      <c r="A926" s="448">
        <v>46050</v>
      </c>
      <c r="B926" s="447">
        <v>46100</v>
      </c>
      <c r="C926" s="1378">
        <f t="shared" si="70"/>
        <v>0</v>
      </c>
      <c r="D926" s="448">
        <f t="shared" si="70"/>
        <v>697</v>
      </c>
      <c r="E926" s="448">
        <f t="shared" si="70"/>
        <v>2366</v>
      </c>
      <c r="F926" s="447">
        <f t="shared" si="70"/>
        <v>3260</v>
      </c>
      <c r="G926" s="1378">
        <f t="shared" si="70"/>
        <v>0</v>
      </c>
      <c r="H926" s="448">
        <f t="shared" si="70"/>
        <v>1834</v>
      </c>
      <c r="I926" s="448">
        <f t="shared" si="70"/>
        <v>3866</v>
      </c>
      <c r="J926" s="447">
        <f t="shared" si="70"/>
        <v>4760</v>
      </c>
      <c r="K926" s="422"/>
      <c r="L926" s="448">
        <f t="shared" si="69"/>
        <v>46075</v>
      </c>
    </row>
    <row r="927" spans="1:12" ht="13.5">
      <c r="A927" s="448">
        <v>46100</v>
      </c>
      <c r="B927" s="447">
        <v>46150</v>
      </c>
      <c r="C927" s="1378">
        <f t="shared" si="70"/>
        <v>0</v>
      </c>
      <c r="D927" s="448">
        <f t="shared" si="70"/>
        <v>689</v>
      </c>
      <c r="E927" s="448">
        <f t="shared" si="70"/>
        <v>2356</v>
      </c>
      <c r="F927" s="447">
        <f t="shared" si="70"/>
        <v>3250</v>
      </c>
      <c r="G927" s="1378">
        <f t="shared" si="70"/>
        <v>0</v>
      </c>
      <c r="H927" s="448">
        <f t="shared" si="70"/>
        <v>1826</v>
      </c>
      <c r="I927" s="448">
        <f t="shared" si="70"/>
        <v>3855</v>
      </c>
      <c r="J927" s="447">
        <f t="shared" si="70"/>
        <v>4749</v>
      </c>
      <c r="K927" s="422"/>
      <c r="L927" s="448">
        <f t="shared" si="69"/>
        <v>46125</v>
      </c>
    </row>
    <row r="928" spans="1:12" ht="13.5">
      <c r="A928" s="448">
        <v>46150</v>
      </c>
      <c r="B928" s="447">
        <v>46200</v>
      </c>
      <c r="C928" s="1378">
        <f t="shared" si="70"/>
        <v>0</v>
      </c>
      <c r="D928" s="448">
        <f t="shared" si="70"/>
        <v>681</v>
      </c>
      <c r="E928" s="448">
        <f t="shared" si="70"/>
        <v>2345</v>
      </c>
      <c r="F928" s="447">
        <f t="shared" si="70"/>
        <v>3239</v>
      </c>
      <c r="G928" s="1378">
        <f t="shared" si="70"/>
        <v>0</v>
      </c>
      <c r="H928" s="448">
        <f t="shared" si="70"/>
        <v>1818</v>
      </c>
      <c r="I928" s="448">
        <f t="shared" si="70"/>
        <v>3845</v>
      </c>
      <c r="J928" s="447">
        <f t="shared" si="70"/>
        <v>4739</v>
      </c>
      <c r="K928" s="422"/>
      <c r="L928" s="448">
        <f t="shared" si="69"/>
        <v>46175</v>
      </c>
    </row>
    <row r="929" spans="1:13" ht="13.5">
      <c r="A929" s="448">
        <v>46200</v>
      </c>
      <c r="B929" s="447">
        <v>46250</v>
      </c>
      <c r="C929" s="1378">
        <f t="shared" si="70"/>
        <v>0</v>
      </c>
      <c r="D929" s="448">
        <f t="shared" si="70"/>
        <v>673</v>
      </c>
      <c r="E929" s="448">
        <f t="shared" si="70"/>
        <v>2335</v>
      </c>
      <c r="F929" s="447">
        <f t="shared" si="70"/>
        <v>3229</v>
      </c>
      <c r="G929" s="1378">
        <f t="shared" si="70"/>
        <v>0</v>
      </c>
      <c r="H929" s="448">
        <f t="shared" si="70"/>
        <v>1810</v>
      </c>
      <c r="I929" s="448">
        <f t="shared" si="70"/>
        <v>3834</v>
      </c>
      <c r="J929" s="447">
        <f t="shared" si="70"/>
        <v>4728</v>
      </c>
      <c r="K929" s="422"/>
      <c r="L929" s="448">
        <f t="shared" si="69"/>
        <v>46225</v>
      </c>
    </row>
    <row r="930" spans="1:13" ht="13.5">
      <c r="A930" s="448">
        <v>46250</v>
      </c>
      <c r="B930" s="447">
        <v>46300</v>
      </c>
      <c r="C930" s="1378">
        <f t="shared" si="70"/>
        <v>0</v>
      </c>
      <c r="D930" s="448">
        <f t="shared" si="70"/>
        <v>665</v>
      </c>
      <c r="E930" s="448">
        <f t="shared" si="70"/>
        <v>2324</v>
      </c>
      <c r="F930" s="447">
        <f t="shared" si="70"/>
        <v>3218</v>
      </c>
      <c r="G930" s="1378">
        <f t="shared" si="70"/>
        <v>0</v>
      </c>
      <c r="H930" s="448">
        <f t="shared" si="70"/>
        <v>1802</v>
      </c>
      <c r="I930" s="448">
        <f t="shared" si="70"/>
        <v>3823</v>
      </c>
      <c r="J930" s="447">
        <f t="shared" si="70"/>
        <v>4717</v>
      </c>
      <c r="K930" s="422"/>
      <c r="L930" s="448">
        <f t="shared" si="69"/>
        <v>46275</v>
      </c>
    </row>
    <row r="931" spans="1:13" ht="13.5">
      <c r="A931" s="448">
        <v>46300</v>
      </c>
      <c r="B931" s="447">
        <v>46350</v>
      </c>
      <c r="C931" s="1378">
        <f t="shared" si="70"/>
        <v>0</v>
      </c>
      <c r="D931" s="448">
        <f t="shared" si="70"/>
        <v>657</v>
      </c>
      <c r="E931" s="448">
        <f t="shared" si="70"/>
        <v>2313</v>
      </c>
      <c r="F931" s="447">
        <f t="shared" si="70"/>
        <v>3207</v>
      </c>
      <c r="G931" s="1378">
        <f t="shared" si="70"/>
        <v>0</v>
      </c>
      <c r="H931" s="448">
        <f t="shared" si="70"/>
        <v>1794</v>
      </c>
      <c r="I931" s="448">
        <f t="shared" si="70"/>
        <v>3813</v>
      </c>
      <c r="J931" s="447">
        <f t="shared" si="70"/>
        <v>4707</v>
      </c>
      <c r="K931" s="422"/>
      <c r="L931" s="448">
        <f t="shared" si="69"/>
        <v>46325</v>
      </c>
    </row>
    <row r="932" spans="1:13" ht="13.5">
      <c r="A932" s="448">
        <v>46350</v>
      </c>
      <c r="B932" s="447">
        <v>46400</v>
      </c>
      <c r="C932" s="1378">
        <f t="shared" si="70"/>
        <v>0</v>
      </c>
      <c r="D932" s="448">
        <f t="shared" si="70"/>
        <v>649</v>
      </c>
      <c r="E932" s="448">
        <f t="shared" si="70"/>
        <v>2303</v>
      </c>
      <c r="F932" s="447">
        <f t="shared" si="70"/>
        <v>3197</v>
      </c>
      <c r="G932" s="1378">
        <f t="shared" si="70"/>
        <v>0</v>
      </c>
      <c r="H932" s="448">
        <f t="shared" si="70"/>
        <v>1786</v>
      </c>
      <c r="I932" s="448">
        <f t="shared" si="70"/>
        <v>3802</v>
      </c>
      <c r="J932" s="447">
        <f t="shared" si="70"/>
        <v>4696</v>
      </c>
      <c r="K932" s="422"/>
      <c r="L932" s="448">
        <f t="shared" si="69"/>
        <v>46375</v>
      </c>
    </row>
    <row r="933" spans="1:13" ht="13.5">
      <c r="A933" s="448">
        <v>46400</v>
      </c>
      <c r="B933" s="447">
        <v>46450</v>
      </c>
      <c r="C933" s="1378">
        <f t="shared" si="70"/>
        <v>0</v>
      </c>
      <c r="D933" s="448">
        <f t="shared" si="70"/>
        <v>641</v>
      </c>
      <c r="E933" s="448">
        <f t="shared" si="70"/>
        <v>2292</v>
      </c>
      <c r="F933" s="447">
        <f t="shared" si="70"/>
        <v>3186</v>
      </c>
      <c r="G933" s="1378">
        <f t="shared" si="70"/>
        <v>0</v>
      </c>
      <c r="H933" s="448">
        <f t="shared" si="70"/>
        <v>1778</v>
      </c>
      <c r="I933" s="448">
        <f t="shared" si="70"/>
        <v>3792</v>
      </c>
      <c r="J933" s="447">
        <f t="shared" si="70"/>
        <v>4686</v>
      </c>
      <c r="K933" s="422"/>
      <c r="L933" s="448">
        <f t="shared" si="69"/>
        <v>46425</v>
      </c>
    </row>
    <row r="934" spans="1:13" ht="13.5">
      <c r="A934" s="448">
        <v>46450</v>
      </c>
      <c r="B934" s="447">
        <v>46500</v>
      </c>
      <c r="C934" s="1378">
        <f t="shared" si="70"/>
        <v>0</v>
      </c>
      <c r="D934" s="448">
        <f t="shared" si="70"/>
        <v>633</v>
      </c>
      <c r="E934" s="448">
        <f t="shared" si="70"/>
        <v>2282</v>
      </c>
      <c r="F934" s="447">
        <f t="shared" si="70"/>
        <v>3176</v>
      </c>
      <c r="G934" s="1378">
        <f t="shared" si="70"/>
        <v>0</v>
      </c>
      <c r="H934" s="448">
        <f t="shared" si="70"/>
        <v>1770</v>
      </c>
      <c r="I934" s="448">
        <f t="shared" si="70"/>
        <v>3781</v>
      </c>
      <c r="J934" s="447">
        <f t="shared" si="70"/>
        <v>4675</v>
      </c>
      <c r="K934" s="422"/>
      <c r="L934" s="448">
        <f t="shared" si="69"/>
        <v>46475</v>
      </c>
    </row>
    <row r="935" spans="1:13" ht="13.5">
      <c r="A935" s="448">
        <v>46500</v>
      </c>
      <c r="B935" s="447">
        <v>46550</v>
      </c>
      <c r="C935" s="1378">
        <f t="shared" si="70"/>
        <v>0</v>
      </c>
      <c r="D935" s="448">
        <f t="shared" si="70"/>
        <v>625</v>
      </c>
      <c r="E935" s="448">
        <f t="shared" si="70"/>
        <v>2271</v>
      </c>
      <c r="F935" s="447">
        <f t="shared" si="70"/>
        <v>3165</v>
      </c>
      <c r="G935" s="1378">
        <f t="shared" si="70"/>
        <v>0</v>
      </c>
      <c r="H935" s="448">
        <f t="shared" si="70"/>
        <v>1762</v>
      </c>
      <c r="I935" s="448">
        <f t="shared" si="70"/>
        <v>3771</v>
      </c>
      <c r="J935" s="447">
        <f t="shared" si="70"/>
        <v>4665</v>
      </c>
      <c r="K935" s="422"/>
      <c r="L935" s="448">
        <f t="shared" si="69"/>
        <v>46525</v>
      </c>
    </row>
    <row r="936" spans="1:13" ht="13.5">
      <c r="A936" s="448">
        <v>46550</v>
      </c>
      <c r="B936" s="447">
        <v>46600</v>
      </c>
      <c r="C936" s="1378">
        <f t="shared" si="70"/>
        <v>0</v>
      </c>
      <c r="D936" s="448">
        <f t="shared" si="70"/>
        <v>617</v>
      </c>
      <c r="E936" s="448">
        <f t="shared" si="70"/>
        <v>2261</v>
      </c>
      <c r="F936" s="447">
        <f t="shared" si="70"/>
        <v>3155</v>
      </c>
      <c r="G936" s="1378">
        <f t="shared" si="70"/>
        <v>0</v>
      </c>
      <c r="H936" s="448">
        <f t="shared" si="70"/>
        <v>1754</v>
      </c>
      <c r="I936" s="448">
        <f t="shared" si="70"/>
        <v>3760</v>
      </c>
      <c r="J936" s="447">
        <f t="shared" si="70"/>
        <v>4654</v>
      </c>
      <c r="K936" s="422"/>
      <c r="L936" s="448">
        <f t="shared" si="69"/>
        <v>46575</v>
      </c>
    </row>
    <row r="937" spans="1:13" s="1525" customFormat="1" ht="13.5">
      <c r="A937" s="448">
        <v>46600</v>
      </c>
      <c r="B937" s="447">
        <v>46650</v>
      </c>
      <c r="C937" s="1378">
        <f t="shared" si="70"/>
        <v>0</v>
      </c>
      <c r="D937" s="448">
        <f t="shared" si="70"/>
        <v>609</v>
      </c>
      <c r="E937" s="448">
        <f t="shared" si="70"/>
        <v>2250</v>
      </c>
      <c r="F937" s="447">
        <f t="shared" si="70"/>
        <v>3144</v>
      </c>
      <c r="G937" s="1378">
        <f t="shared" si="70"/>
        <v>0</v>
      </c>
      <c r="H937" s="448">
        <f t="shared" si="70"/>
        <v>1746</v>
      </c>
      <c r="I937" s="448">
        <f t="shared" si="70"/>
        <v>3750</v>
      </c>
      <c r="J937" s="447">
        <f t="shared" si="70"/>
        <v>4644</v>
      </c>
      <c r="K937" s="422"/>
      <c r="L937" s="448">
        <f t="shared" si="69"/>
        <v>46625</v>
      </c>
      <c r="M937" s="422"/>
    </row>
    <row r="938" spans="1:13" s="1525" customFormat="1" ht="13.5">
      <c r="A938" s="448">
        <v>46650</v>
      </c>
      <c r="B938" s="447">
        <v>46700</v>
      </c>
      <c r="C938" s="1378">
        <f t="shared" si="70"/>
        <v>0</v>
      </c>
      <c r="D938" s="448">
        <f t="shared" si="70"/>
        <v>601</v>
      </c>
      <c r="E938" s="448">
        <f t="shared" si="70"/>
        <v>2240</v>
      </c>
      <c r="F938" s="447">
        <f t="shared" si="70"/>
        <v>3134</v>
      </c>
      <c r="G938" s="1378">
        <f t="shared" si="70"/>
        <v>0</v>
      </c>
      <c r="H938" s="448">
        <f t="shared" si="70"/>
        <v>1738</v>
      </c>
      <c r="I938" s="448">
        <f t="shared" si="70"/>
        <v>3739</v>
      </c>
      <c r="J938" s="447">
        <f t="shared" si="70"/>
        <v>4633</v>
      </c>
      <c r="K938" s="422"/>
      <c r="L938" s="448">
        <f>ROUND((A938+B938)/2,2)</f>
        <v>46675</v>
      </c>
      <c r="M938" s="422"/>
    </row>
    <row r="939" spans="1:13" ht="13.5">
      <c r="A939" s="448">
        <v>46700</v>
      </c>
      <c r="B939" s="447">
        <v>46750</v>
      </c>
      <c r="C939" s="1378">
        <f t="shared" si="70"/>
        <v>0</v>
      </c>
      <c r="D939" s="448">
        <f t="shared" si="70"/>
        <v>593</v>
      </c>
      <c r="E939" s="448">
        <f t="shared" si="70"/>
        <v>2229</v>
      </c>
      <c r="F939" s="447">
        <f t="shared" si="70"/>
        <v>3123</v>
      </c>
      <c r="G939" s="1378">
        <f t="shared" si="70"/>
        <v>0</v>
      </c>
      <c r="H939" s="448">
        <f t="shared" si="70"/>
        <v>1730</v>
      </c>
      <c r="I939" s="448">
        <f t="shared" si="70"/>
        <v>3729</v>
      </c>
      <c r="J939" s="447">
        <f t="shared" si="70"/>
        <v>4623</v>
      </c>
      <c r="K939" s="422"/>
      <c r="L939" s="448">
        <f t="shared" si="69"/>
        <v>46725</v>
      </c>
    </row>
    <row r="940" spans="1:13" ht="13.5">
      <c r="A940" s="448">
        <v>46750</v>
      </c>
      <c r="B940" s="447">
        <v>46800</v>
      </c>
      <c r="C940" s="1378">
        <f t="shared" si="70"/>
        <v>0</v>
      </c>
      <c r="D940" s="448">
        <f t="shared" si="70"/>
        <v>585</v>
      </c>
      <c r="E940" s="448">
        <f t="shared" si="70"/>
        <v>2219</v>
      </c>
      <c r="F940" s="447">
        <f t="shared" si="70"/>
        <v>3113</v>
      </c>
      <c r="G940" s="1378">
        <f t="shared" si="70"/>
        <v>0</v>
      </c>
      <c r="H940" s="448">
        <f t="shared" si="70"/>
        <v>1722</v>
      </c>
      <c r="I940" s="448">
        <f t="shared" si="70"/>
        <v>3718</v>
      </c>
      <c r="J940" s="447">
        <f t="shared" si="70"/>
        <v>4612</v>
      </c>
      <c r="K940" s="422"/>
      <c r="L940" s="448">
        <f t="shared" si="69"/>
        <v>46775</v>
      </c>
    </row>
    <row r="941" spans="1:13" ht="13.5">
      <c r="A941" s="448">
        <v>46800</v>
      </c>
      <c r="B941" s="447">
        <v>46850</v>
      </c>
      <c r="C941" s="1378">
        <f t="shared" si="70"/>
        <v>0</v>
      </c>
      <c r="D941" s="448">
        <f t="shared" si="70"/>
        <v>577</v>
      </c>
      <c r="E941" s="448">
        <f t="shared" si="70"/>
        <v>2208</v>
      </c>
      <c r="F941" s="447">
        <f t="shared" si="70"/>
        <v>3102</v>
      </c>
      <c r="G941" s="1378">
        <f t="shared" si="70"/>
        <v>0</v>
      </c>
      <c r="H941" s="448">
        <f t="shared" si="70"/>
        <v>1714</v>
      </c>
      <c r="I941" s="448">
        <f t="shared" si="70"/>
        <v>3708</v>
      </c>
      <c r="J941" s="447">
        <f t="shared" si="70"/>
        <v>4602</v>
      </c>
      <c r="K941" s="422"/>
      <c r="L941" s="448">
        <f t="shared" si="69"/>
        <v>46825</v>
      </c>
    </row>
    <row r="942" spans="1:13" ht="13.5">
      <c r="A942" s="448">
        <v>46850</v>
      </c>
      <c r="B942" s="447">
        <v>46900</v>
      </c>
      <c r="C942" s="1378">
        <f t="shared" si="70"/>
        <v>0</v>
      </c>
      <c r="D942" s="448">
        <f t="shared" si="70"/>
        <v>569</v>
      </c>
      <c r="E942" s="448">
        <f t="shared" si="70"/>
        <v>2198</v>
      </c>
      <c r="F942" s="447">
        <f t="shared" si="70"/>
        <v>3092</v>
      </c>
      <c r="G942" s="1378">
        <f t="shared" si="70"/>
        <v>0</v>
      </c>
      <c r="H942" s="448">
        <f t="shared" si="70"/>
        <v>1706</v>
      </c>
      <c r="I942" s="448">
        <f t="shared" si="70"/>
        <v>3697</v>
      </c>
      <c r="J942" s="447">
        <f t="shared" si="70"/>
        <v>4591</v>
      </c>
      <c r="K942" s="422"/>
      <c r="L942" s="448">
        <f t="shared" si="69"/>
        <v>46875</v>
      </c>
    </row>
    <row r="943" spans="1:13" ht="13.5">
      <c r="A943" s="448">
        <v>46900</v>
      </c>
      <c r="B943" s="447">
        <v>46950</v>
      </c>
      <c r="C943" s="1378">
        <f t="shared" si="70"/>
        <v>0</v>
      </c>
      <c r="D943" s="448">
        <f t="shared" si="70"/>
        <v>561</v>
      </c>
      <c r="E943" s="448">
        <f t="shared" si="70"/>
        <v>2187</v>
      </c>
      <c r="F943" s="447">
        <f t="shared" si="70"/>
        <v>3081</v>
      </c>
      <c r="G943" s="1378">
        <f t="shared" si="70"/>
        <v>0</v>
      </c>
      <c r="H943" s="448">
        <f t="shared" si="70"/>
        <v>1699</v>
      </c>
      <c r="I943" s="448">
        <f t="shared" si="70"/>
        <v>3687</v>
      </c>
      <c r="J943" s="447">
        <f t="shared" si="70"/>
        <v>4581</v>
      </c>
      <c r="K943" s="422"/>
      <c r="L943" s="448">
        <f t="shared" si="69"/>
        <v>46925</v>
      </c>
    </row>
    <row r="944" spans="1:13" ht="13.5">
      <c r="A944" s="448">
        <v>46950</v>
      </c>
      <c r="B944" s="447">
        <v>47000</v>
      </c>
      <c r="C944" s="1378">
        <f t="shared" si="70"/>
        <v>0</v>
      </c>
      <c r="D944" s="448">
        <f t="shared" si="70"/>
        <v>553</v>
      </c>
      <c r="E944" s="448">
        <f t="shared" si="70"/>
        <v>2177</v>
      </c>
      <c r="F944" s="447">
        <f t="shared" si="70"/>
        <v>3071</v>
      </c>
      <c r="G944" s="1378">
        <f t="shared" si="70"/>
        <v>0</v>
      </c>
      <c r="H944" s="448">
        <f t="shared" si="70"/>
        <v>1691</v>
      </c>
      <c r="I944" s="448">
        <f t="shared" si="70"/>
        <v>3676</v>
      </c>
      <c r="J944" s="447">
        <f t="shared" si="70"/>
        <v>4570</v>
      </c>
      <c r="K944" s="422"/>
      <c r="L944" s="448">
        <f t="shared" si="69"/>
        <v>46975</v>
      </c>
    </row>
    <row r="945" spans="1:12" ht="13.5">
      <c r="A945" s="448">
        <v>47000</v>
      </c>
      <c r="B945" s="447">
        <v>47050</v>
      </c>
      <c r="C945" s="1378">
        <f t="shared" si="70"/>
        <v>0</v>
      </c>
      <c r="D945" s="448">
        <f t="shared" si="70"/>
        <v>545</v>
      </c>
      <c r="E945" s="448">
        <f t="shared" si="70"/>
        <v>2166</v>
      </c>
      <c r="F945" s="447">
        <f t="shared" si="70"/>
        <v>3060</v>
      </c>
      <c r="G945" s="1378">
        <f t="shared" si="70"/>
        <v>0</v>
      </c>
      <c r="H945" s="448">
        <f t="shared" si="70"/>
        <v>1683</v>
      </c>
      <c r="I945" s="448">
        <f t="shared" si="70"/>
        <v>3666</v>
      </c>
      <c r="J945" s="447">
        <f t="shared" si="70"/>
        <v>4560</v>
      </c>
      <c r="K945" s="422"/>
      <c r="L945" s="448">
        <f t="shared" si="69"/>
        <v>47025</v>
      </c>
    </row>
    <row r="946" spans="1:12" ht="13.5">
      <c r="A946" s="448">
        <v>47050</v>
      </c>
      <c r="B946" s="447">
        <v>47100</v>
      </c>
      <c r="C946" s="1378">
        <f t="shared" si="70"/>
        <v>0</v>
      </c>
      <c r="D946" s="448">
        <f t="shared" si="70"/>
        <v>537</v>
      </c>
      <c r="E946" s="448">
        <f t="shared" si="70"/>
        <v>2155</v>
      </c>
      <c r="F946" s="447">
        <f t="shared" si="70"/>
        <v>3049</v>
      </c>
      <c r="G946" s="1378">
        <f t="shared" si="70"/>
        <v>0</v>
      </c>
      <c r="H946" s="448">
        <f t="shared" si="70"/>
        <v>1675</v>
      </c>
      <c r="I946" s="448">
        <f t="shared" si="70"/>
        <v>3655</v>
      </c>
      <c r="J946" s="447">
        <f t="shared" si="70"/>
        <v>4549</v>
      </c>
      <c r="K946" s="422"/>
      <c r="L946" s="448">
        <f t="shared" si="69"/>
        <v>47075</v>
      </c>
    </row>
    <row r="947" spans="1:12" ht="13.5">
      <c r="A947" s="448">
        <v>47100</v>
      </c>
      <c r="B947" s="447">
        <v>47150</v>
      </c>
      <c r="C947" s="1378">
        <f t="shared" si="70"/>
        <v>0</v>
      </c>
      <c r="D947" s="448">
        <f t="shared" si="70"/>
        <v>529</v>
      </c>
      <c r="E947" s="448">
        <f t="shared" si="70"/>
        <v>2145</v>
      </c>
      <c r="F947" s="447">
        <f t="shared" si="70"/>
        <v>3039</v>
      </c>
      <c r="G947" s="1378">
        <f t="shared" si="70"/>
        <v>0</v>
      </c>
      <c r="H947" s="448">
        <f t="shared" si="70"/>
        <v>1667</v>
      </c>
      <c r="I947" s="448">
        <f t="shared" si="70"/>
        <v>3644</v>
      </c>
      <c r="J947" s="447">
        <f t="shared" ref="J947:J1010" si="71">IF($L947&gt;U$5,MAX(0,U$3+ROUND((U$9*($L947-U$5)),0)),IF($L947&gt;U$4,U$3,ROUND($L947*U$7,0)))</f>
        <v>4538</v>
      </c>
      <c r="K947" s="422"/>
      <c r="L947" s="448">
        <f t="shared" si="69"/>
        <v>47125</v>
      </c>
    </row>
    <row r="948" spans="1:12" ht="13.5">
      <c r="A948" s="448">
        <v>47150</v>
      </c>
      <c r="B948" s="447">
        <v>47200</v>
      </c>
      <c r="C948" s="1378">
        <f t="shared" ref="C948:I984" si="72">IF($L948&gt;N$5,MAX(0,N$3+ROUND((N$9*($L948-N$5)),0)),IF($L948&gt;N$4,N$3,ROUND($L948*N$7,0)))</f>
        <v>0</v>
      </c>
      <c r="D948" s="448">
        <f t="shared" si="72"/>
        <v>521</v>
      </c>
      <c r="E948" s="448">
        <f t="shared" si="72"/>
        <v>2134</v>
      </c>
      <c r="F948" s="447">
        <f t="shared" si="72"/>
        <v>3028</v>
      </c>
      <c r="G948" s="1378">
        <f t="shared" si="72"/>
        <v>0</v>
      </c>
      <c r="H948" s="448">
        <f t="shared" si="72"/>
        <v>1659</v>
      </c>
      <c r="I948" s="448">
        <f t="shared" si="72"/>
        <v>3634</v>
      </c>
      <c r="J948" s="447">
        <f t="shared" si="71"/>
        <v>4528</v>
      </c>
      <c r="K948" s="422"/>
      <c r="L948" s="448">
        <f t="shared" si="69"/>
        <v>47175</v>
      </c>
    </row>
    <row r="949" spans="1:12" ht="13.5">
      <c r="A949" s="448">
        <v>47200</v>
      </c>
      <c r="B949" s="447">
        <v>47250</v>
      </c>
      <c r="C949" s="1378">
        <f t="shared" si="72"/>
        <v>0</v>
      </c>
      <c r="D949" s="448">
        <f t="shared" si="72"/>
        <v>513</v>
      </c>
      <c r="E949" s="448">
        <f t="shared" si="72"/>
        <v>2124</v>
      </c>
      <c r="F949" s="447">
        <f t="shared" si="72"/>
        <v>3018</v>
      </c>
      <c r="G949" s="1378">
        <f t="shared" si="72"/>
        <v>0</v>
      </c>
      <c r="H949" s="448">
        <f t="shared" si="72"/>
        <v>1651</v>
      </c>
      <c r="I949" s="448">
        <f t="shared" si="72"/>
        <v>3623</v>
      </c>
      <c r="J949" s="447">
        <f t="shared" si="71"/>
        <v>4517</v>
      </c>
      <c r="K949" s="422"/>
      <c r="L949" s="448">
        <f t="shared" si="69"/>
        <v>47225</v>
      </c>
    </row>
    <row r="950" spans="1:12" ht="13.5">
      <c r="A950" s="448">
        <v>47250</v>
      </c>
      <c r="B950" s="447">
        <v>47300</v>
      </c>
      <c r="C950" s="1378">
        <f t="shared" si="72"/>
        <v>0</v>
      </c>
      <c r="D950" s="448">
        <f t="shared" si="72"/>
        <v>505</v>
      </c>
      <c r="E950" s="448">
        <f t="shared" si="72"/>
        <v>2113</v>
      </c>
      <c r="F950" s="447">
        <f t="shared" si="72"/>
        <v>3007</v>
      </c>
      <c r="G950" s="1378">
        <f t="shared" si="72"/>
        <v>0</v>
      </c>
      <c r="H950" s="448">
        <f t="shared" si="72"/>
        <v>1643</v>
      </c>
      <c r="I950" s="448">
        <f t="shared" si="72"/>
        <v>3613</v>
      </c>
      <c r="J950" s="447">
        <f t="shared" si="71"/>
        <v>4507</v>
      </c>
      <c r="K950" s="422"/>
      <c r="L950" s="448">
        <f t="shared" si="69"/>
        <v>47275</v>
      </c>
    </row>
    <row r="951" spans="1:12" ht="13.5">
      <c r="A951" s="448">
        <v>47300</v>
      </c>
      <c r="B951" s="447">
        <v>47350</v>
      </c>
      <c r="C951" s="1378">
        <f t="shared" si="72"/>
        <v>0</v>
      </c>
      <c r="D951" s="448">
        <f t="shared" si="72"/>
        <v>497</v>
      </c>
      <c r="E951" s="448">
        <f t="shared" si="72"/>
        <v>2103</v>
      </c>
      <c r="F951" s="447">
        <f t="shared" si="72"/>
        <v>2997</v>
      </c>
      <c r="G951" s="1378">
        <f t="shared" si="72"/>
        <v>0</v>
      </c>
      <c r="H951" s="448">
        <f t="shared" si="72"/>
        <v>1635</v>
      </c>
      <c r="I951" s="448">
        <f t="shared" si="72"/>
        <v>3602</v>
      </c>
      <c r="J951" s="447">
        <f t="shared" si="71"/>
        <v>4496</v>
      </c>
      <c r="K951" s="422"/>
      <c r="L951" s="448">
        <f t="shared" si="69"/>
        <v>47325</v>
      </c>
    </row>
    <row r="952" spans="1:12" ht="13.5">
      <c r="A952" s="448">
        <v>47350</v>
      </c>
      <c r="B952" s="447">
        <v>47400</v>
      </c>
      <c r="C952" s="1378">
        <f t="shared" si="72"/>
        <v>0</v>
      </c>
      <c r="D952" s="448">
        <f t="shared" si="72"/>
        <v>489</v>
      </c>
      <c r="E952" s="448">
        <f t="shared" si="72"/>
        <v>2092</v>
      </c>
      <c r="F952" s="447">
        <f t="shared" si="72"/>
        <v>2986</v>
      </c>
      <c r="G952" s="1378">
        <f t="shared" si="72"/>
        <v>0</v>
      </c>
      <c r="H952" s="448">
        <f t="shared" si="72"/>
        <v>1627</v>
      </c>
      <c r="I952" s="448">
        <f t="shared" si="72"/>
        <v>3592</v>
      </c>
      <c r="J952" s="447">
        <f t="shared" si="71"/>
        <v>4486</v>
      </c>
      <c r="K952" s="422"/>
      <c r="L952" s="448">
        <f t="shared" si="69"/>
        <v>47375</v>
      </c>
    </row>
    <row r="953" spans="1:12" ht="13.5">
      <c r="A953" s="448">
        <v>47400</v>
      </c>
      <c r="B953" s="447">
        <v>47450</v>
      </c>
      <c r="C953" s="1378">
        <f t="shared" si="72"/>
        <v>0</v>
      </c>
      <c r="D953" s="448">
        <f t="shared" si="72"/>
        <v>481</v>
      </c>
      <c r="E953" s="448">
        <f t="shared" si="72"/>
        <v>2082</v>
      </c>
      <c r="F953" s="447">
        <f t="shared" si="72"/>
        <v>2976</v>
      </c>
      <c r="G953" s="1378">
        <f t="shared" si="72"/>
        <v>0</v>
      </c>
      <c r="H953" s="448">
        <f t="shared" si="72"/>
        <v>1619</v>
      </c>
      <c r="I953" s="448">
        <f t="shared" si="72"/>
        <v>3581</v>
      </c>
      <c r="J953" s="447">
        <f t="shared" si="71"/>
        <v>4475</v>
      </c>
      <c r="K953" s="422"/>
      <c r="L953" s="448">
        <f t="shared" si="69"/>
        <v>47425</v>
      </c>
    </row>
    <row r="954" spans="1:12" ht="13.5">
      <c r="A954" s="448">
        <v>47450</v>
      </c>
      <c r="B954" s="447">
        <v>47500</v>
      </c>
      <c r="C954" s="1378">
        <f t="shared" si="72"/>
        <v>0</v>
      </c>
      <c r="D954" s="448">
        <f t="shared" si="72"/>
        <v>473</v>
      </c>
      <c r="E954" s="448">
        <f t="shared" si="72"/>
        <v>2071</v>
      </c>
      <c r="F954" s="447">
        <f t="shared" si="72"/>
        <v>2965</v>
      </c>
      <c r="G954" s="1378">
        <f t="shared" si="72"/>
        <v>0</v>
      </c>
      <c r="H954" s="448">
        <f t="shared" si="72"/>
        <v>1611</v>
      </c>
      <c r="I954" s="448">
        <f t="shared" si="72"/>
        <v>3571</v>
      </c>
      <c r="J954" s="447">
        <f t="shared" si="71"/>
        <v>4465</v>
      </c>
      <c r="K954" s="422"/>
      <c r="L954" s="448">
        <f t="shared" si="69"/>
        <v>47475</v>
      </c>
    </row>
    <row r="955" spans="1:12" ht="13.5">
      <c r="A955" s="448">
        <v>47500</v>
      </c>
      <c r="B955" s="447">
        <v>47550</v>
      </c>
      <c r="C955" s="1378">
        <f t="shared" si="72"/>
        <v>0</v>
      </c>
      <c r="D955" s="448">
        <f t="shared" si="72"/>
        <v>465</v>
      </c>
      <c r="E955" s="448">
        <f t="shared" si="72"/>
        <v>2061</v>
      </c>
      <c r="F955" s="447">
        <f t="shared" si="72"/>
        <v>2955</v>
      </c>
      <c r="G955" s="1378">
        <f t="shared" si="72"/>
        <v>0</v>
      </c>
      <c r="H955" s="448">
        <f t="shared" si="72"/>
        <v>1603</v>
      </c>
      <c r="I955" s="448">
        <f t="shared" si="72"/>
        <v>3560</v>
      </c>
      <c r="J955" s="447">
        <f t="shared" si="71"/>
        <v>4454</v>
      </c>
      <c r="K955" s="422"/>
      <c r="L955" s="448">
        <f t="shared" si="69"/>
        <v>47525</v>
      </c>
    </row>
    <row r="956" spans="1:12" ht="13.5">
      <c r="A956" s="448">
        <v>47550</v>
      </c>
      <c r="B956" s="447">
        <v>47600</v>
      </c>
      <c r="C956" s="1378">
        <f t="shared" si="72"/>
        <v>0</v>
      </c>
      <c r="D956" s="448">
        <f t="shared" si="72"/>
        <v>457</v>
      </c>
      <c r="E956" s="448">
        <f t="shared" si="72"/>
        <v>2050</v>
      </c>
      <c r="F956" s="447">
        <f t="shared" si="72"/>
        <v>2944</v>
      </c>
      <c r="G956" s="1378">
        <f t="shared" si="72"/>
        <v>0</v>
      </c>
      <c r="H956" s="448">
        <f t="shared" si="72"/>
        <v>1595</v>
      </c>
      <c r="I956" s="448">
        <f t="shared" si="72"/>
        <v>3550</v>
      </c>
      <c r="J956" s="447">
        <f t="shared" si="71"/>
        <v>4444</v>
      </c>
      <c r="K956" s="422"/>
      <c r="L956" s="448">
        <f t="shared" si="69"/>
        <v>47575</v>
      </c>
    </row>
    <row r="957" spans="1:12" ht="13.5">
      <c r="A957" s="448">
        <v>47600</v>
      </c>
      <c r="B957" s="447">
        <v>47650</v>
      </c>
      <c r="C957" s="1378">
        <f t="shared" si="72"/>
        <v>0</v>
      </c>
      <c r="D957" s="448">
        <f t="shared" si="72"/>
        <v>449</v>
      </c>
      <c r="E957" s="448">
        <f t="shared" si="72"/>
        <v>2040</v>
      </c>
      <c r="F957" s="447">
        <f t="shared" si="72"/>
        <v>2934</v>
      </c>
      <c r="G957" s="1378">
        <f t="shared" si="72"/>
        <v>0</v>
      </c>
      <c r="H957" s="448">
        <f t="shared" si="72"/>
        <v>1587</v>
      </c>
      <c r="I957" s="448">
        <f t="shared" si="72"/>
        <v>3539</v>
      </c>
      <c r="J957" s="447">
        <f t="shared" si="71"/>
        <v>4433</v>
      </c>
      <c r="K957" s="422"/>
      <c r="L957" s="448">
        <f t="shared" si="69"/>
        <v>47625</v>
      </c>
    </row>
    <row r="958" spans="1:12" ht="13.5">
      <c r="A958" s="448">
        <v>47650</v>
      </c>
      <c r="B958" s="447">
        <v>47700</v>
      </c>
      <c r="C958" s="1378">
        <f t="shared" si="72"/>
        <v>0</v>
      </c>
      <c r="D958" s="448">
        <f t="shared" si="72"/>
        <v>441</v>
      </c>
      <c r="E958" s="448">
        <f t="shared" si="72"/>
        <v>2029</v>
      </c>
      <c r="F958" s="447">
        <f t="shared" si="72"/>
        <v>2923</v>
      </c>
      <c r="G958" s="1378">
        <f t="shared" si="72"/>
        <v>0</v>
      </c>
      <c r="H958" s="448">
        <f t="shared" si="72"/>
        <v>1579</v>
      </c>
      <c r="I958" s="448">
        <f t="shared" si="72"/>
        <v>3529</v>
      </c>
      <c r="J958" s="447">
        <f t="shared" si="71"/>
        <v>4423</v>
      </c>
      <c r="K958" s="422"/>
      <c r="L958" s="448">
        <f t="shared" si="69"/>
        <v>47675</v>
      </c>
    </row>
    <row r="959" spans="1:12" ht="13.5">
      <c r="A959" s="448">
        <v>47700</v>
      </c>
      <c r="B959" s="447">
        <v>47750</v>
      </c>
      <c r="C959" s="1378">
        <f t="shared" si="72"/>
        <v>0</v>
      </c>
      <c r="D959" s="448">
        <f t="shared" si="72"/>
        <v>433</v>
      </c>
      <c r="E959" s="448">
        <f t="shared" si="72"/>
        <v>2019</v>
      </c>
      <c r="F959" s="447">
        <f t="shared" si="72"/>
        <v>2913</v>
      </c>
      <c r="G959" s="1378">
        <f t="shared" si="72"/>
        <v>0</v>
      </c>
      <c r="H959" s="448">
        <f t="shared" si="72"/>
        <v>1571</v>
      </c>
      <c r="I959" s="448">
        <f t="shared" si="72"/>
        <v>3518</v>
      </c>
      <c r="J959" s="447">
        <f t="shared" si="71"/>
        <v>4412</v>
      </c>
      <c r="K959" s="422"/>
      <c r="L959" s="448">
        <f t="shared" si="69"/>
        <v>47725</v>
      </c>
    </row>
    <row r="960" spans="1:12" ht="13.5">
      <c r="A960" s="448">
        <v>47750</v>
      </c>
      <c r="B960" s="447">
        <v>47800</v>
      </c>
      <c r="C960" s="1378">
        <f t="shared" si="72"/>
        <v>0</v>
      </c>
      <c r="D960" s="448">
        <f t="shared" si="72"/>
        <v>425</v>
      </c>
      <c r="E960" s="448">
        <f t="shared" si="72"/>
        <v>2008</v>
      </c>
      <c r="F960" s="447">
        <f t="shared" si="72"/>
        <v>2902</v>
      </c>
      <c r="G960" s="1378">
        <f t="shared" si="72"/>
        <v>0</v>
      </c>
      <c r="H960" s="448">
        <f t="shared" si="72"/>
        <v>1563</v>
      </c>
      <c r="I960" s="448">
        <f t="shared" si="72"/>
        <v>3508</v>
      </c>
      <c r="J960" s="447">
        <f t="shared" si="71"/>
        <v>4402</v>
      </c>
      <c r="K960" s="422"/>
      <c r="L960" s="448">
        <f t="shared" si="69"/>
        <v>47775</v>
      </c>
    </row>
    <row r="961" spans="1:12" ht="13.5">
      <c r="A961" s="448">
        <v>47800</v>
      </c>
      <c r="B961" s="447">
        <v>47850</v>
      </c>
      <c r="C961" s="1378">
        <f t="shared" si="72"/>
        <v>0</v>
      </c>
      <c r="D961" s="448">
        <f t="shared" si="72"/>
        <v>417</v>
      </c>
      <c r="E961" s="448">
        <f t="shared" si="72"/>
        <v>1998</v>
      </c>
      <c r="F961" s="447">
        <f t="shared" si="72"/>
        <v>2892</v>
      </c>
      <c r="G961" s="1378">
        <f t="shared" si="72"/>
        <v>0</v>
      </c>
      <c r="H961" s="448">
        <f t="shared" si="72"/>
        <v>1555</v>
      </c>
      <c r="I961" s="448">
        <f t="shared" si="72"/>
        <v>3497</v>
      </c>
      <c r="J961" s="447">
        <f t="shared" si="71"/>
        <v>4391</v>
      </c>
      <c r="K961" s="422"/>
      <c r="L961" s="448">
        <f t="shared" si="69"/>
        <v>47825</v>
      </c>
    </row>
    <row r="962" spans="1:12" ht="13.5">
      <c r="A962" s="448">
        <v>47850</v>
      </c>
      <c r="B962" s="447">
        <v>47900</v>
      </c>
      <c r="C962" s="1378">
        <f t="shared" si="72"/>
        <v>0</v>
      </c>
      <c r="D962" s="448">
        <f t="shared" si="72"/>
        <v>409</v>
      </c>
      <c r="E962" s="448">
        <f t="shared" si="72"/>
        <v>1987</v>
      </c>
      <c r="F962" s="447">
        <f t="shared" si="72"/>
        <v>2881</v>
      </c>
      <c r="G962" s="1378">
        <f t="shared" si="72"/>
        <v>0</v>
      </c>
      <c r="H962" s="448">
        <f t="shared" si="72"/>
        <v>1547</v>
      </c>
      <c r="I962" s="448">
        <f t="shared" si="72"/>
        <v>3486</v>
      </c>
      <c r="J962" s="447">
        <f t="shared" si="71"/>
        <v>4380</v>
      </c>
      <c r="K962" s="422"/>
      <c r="L962" s="448">
        <f t="shared" si="69"/>
        <v>47875</v>
      </c>
    </row>
    <row r="963" spans="1:12" ht="13.5">
      <c r="A963" s="448">
        <v>47900</v>
      </c>
      <c r="B963" s="447">
        <v>47950</v>
      </c>
      <c r="C963" s="1378">
        <f t="shared" si="72"/>
        <v>0</v>
      </c>
      <c r="D963" s="448">
        <f t="shared" si="72"/>
        <v>401</v>
      </c>
      <c r="E963" s="448">
        <f t="shared" si="72"/>
        <v>1976</v>
      </c>
      <c r="F963" s="447">
        <f t="shared" si="72"/>
        <v>2870</v>
      </c>
      <c r="G963" s="1378">
        <f t="shared" si="72"/>
        <v>0</v>
      </c>
      <c r="H963" s="448">
        <f t="shared" si="72"/>
        <v>1539</v>
      </c>
      <c r="I963" s="448">
        <f t="shared" si="72"/>
        <v>3476</v>
      </c>
      <c r="J963" s="447">
        <f t="shared" si="71"/>
        <v>4370</v>
      </c>
      <c r="K963" s="422"/>
      <c r="L963" s="448">
        <f t="shared" si="69"/>
        <v>47925</v>
      </c>
    </row>
    <row r="964" spans="1:12" ht="13.5">
      <c r="A964" s="448">
        <v>47950</v>
      </c>
      <c r="B964" s="447">
        <v>48000</v>
      </c>
      <c r="C964" s="1378">
        <f t="shared" si="72"/>
        <v>0</v>
      </c>
      <c r="D964" s="448">
        <f t="shared" si="72"/>
        <v>393</v>
      </c>
      <c r="E964" s="448">
        <f t="shared" si="72"/>
        <v>1966</v>
      </c>
      <c r="F964" s="447">
        <f t="shared" si="72"/>
        <v>2860</v>
      </c>
      <c r="G964" s="1378">
        <f t="shared" si="72"/>
        <v>0</v>
      </c>
      <c r="H964" s="448">
        <f t="shared" si="72"/>
        <v>1531</v>
      </c>
      <c r="I964" s="448">
        <f t="shared" si="72"/>
        <v>3465</v>
      </c>
      <c r="J964" s="447">
        <f t="shared" si="71"/>
        <v>4359</v>
      </c>
      <c r="K964" s="422"/>
      <c r="L964" s="448">
        <f t="shared" si="69"/>
        <v>47975</v>
      </c>
    </row>
    <row r="965" spans="1:12" ht="13.5">
      <c r="A965" s="448">
        <v>48000</v>
      </c>
      <c r="B965" s="447">
        <v>48050</v>
      </c>
      <c r="C965" s="1378">
        <f t="shared" si="72"/>
        <v>0</v>
      </c>
      <c r="D965" s="448">
        <f t="shared" si="72"/>
        <v>385</v>
      </c>
      <c r="E965" s="448">
        <f t="shared" si="72"/>
        <v>1955</v>
      </c>
      <c r="F965" s="447">
        <f t="shared" si="72"/>
        <v>2849</v>
      </c>
      <c r="G965" s="1378">
        <f t="shared" si="72"/>
        <v>0</v>
      </c>
      <c r="H965" s="448">
        <f t="shared" si="72"/>
        <v>1523</v>
      </c>
      <c r="I965" s="448">
        <f t="shared" si="72"/>
        <v>3455</v>
      </c>
      <c r="J965" s="447">
        <f t="shared" si="71"/>
        <v>4349</v>
      </c>
      <c r="K965" s="422"/>
      <c r="L965" s="448">
        <f t="shared" si="69"/>
        <v>48025</v>
      </c>
    </row>
    <row r="966" spans="1:12" ht="13.5">
      <c r="A966" s="448">
        <v>48050</v>
      </c>
      <c r="B966" s="447">
        <v>48100</v>
      </c>
      <c r="C966" s="1378">
        <f t="shared" si="72"/>
        <v>0</v>
      </c>
      <c r="D966" s="448">
        <f t="shared" si="72"/>
        <v>377</v>
      </c>
      <c r="E966" s="448">
        <f t="shared" si="72"/>
        <v>1945</v>
      </c>
      <c r="F966" s="447">
        <f t="shared" si="72"/>
        <v>2839</v>
      </c>
      <c r="G966" s="1378">
        <f t="shared" si="72"/>
        <v>0</v>
      </c>
      <c r="H966" s="448">
        <f t="shared" si="72"/>
        <v>1515</v>
      </c>
      <c r="I966" s="448">
        <f t="shared" si="72"/>
        <v>3444</v>
      </c>
      <c r="J966" s="447">
        <f t="shared" si="71"/>
        <v>4338</v>
      </c>
      <c r="K966" s="422"/>
      <c r="L966" s="448">
        <f t="shared" si="69"/>
        <v>48075</v>
      </c>
    </row>
    <row r="967" spans="1:12" ht="13.5">
      <c r="A967" s="448">
        <v>48100</v>
      </c>
      <c r="B967" s="447">
        <v>48150</v>
      </c>
      <c r="C967" s="1378">
        <f t="shared" si="72"/>
        <v>0</v>
      </c>
      <c r="D967" s="448">
        <f t="shared" si="72"/>
        <v>369</v>
      </c>
      <c r="E967" s="448">
        <f t="shared" si="72"/>
        <v>1934</v>
      </c>
      <c r="F967" s="447">
        <f t="shared" si="72"/>
        <v>2828</v>
      </c>
      <c r="G967" s="1378">
        <f t="shared" si="72"/>
        <v>0</v>
      </c>
      <c r="H967" s="448">
        <f t="shared" si="72"/>
        <v>1507</v>
      </c>
      <c r="I967" s="448">
        <f t="shared" si="72"/>
        <v>3434</v>
      </c>
      <c r="J967" s="447">
        <f t="shared" si="71"/>
        <v>4328</v>
      </c>
      <c r="K967" s="422"/>
      <c r="L967" s="448">
        <f t="shared" si="69"/>
        <v>48125</v>
      </c>
    </row>
    <row r="968" spans="1:12" ht="13.5">
      <c r="A968" s="448">
        <v>48150</v>
      </c>
      <c r="B968" s="447">
        <v>48200</v>
      </c>
      <c r="C968" s="1378">
        <f t="shared" si="72"/>
        <v>0</v>
      </c>
      <c r="D968" s="448">
        <f t="shared" si="72"/>
        <v>361</v>
      </c>
      <c r="E968" s="448">
        <f t="shared" si="72"/>
        <v>1924</v>
      </c>
      <c r="F968" s="447">
        <f t="shared" si="72"/>
        <v>2818</v>
      </c>
      <c r="G968" s="1378">
        <f t="shared" si="72"/>
        <v>0</v>
      </c>
      <c r="H968" s="448">
        <f t="shared" si="72"/>
        <v>1499</v>
      </c>
      <c r="I968" s="448">
        <f t="shared" si="72"/>
        <v>3423</v>
      </c>
      <c r="J968" s="447">
        <f t="shared" si="71"/>
        <v>4317</v>
      </c>
      <c r="K968" s="422"/>
      <c r="L968" s="448">
        <f t="shared" ref="L968:L1032" si="73">ROUND((A968+B968)/2,2)</f>
        <v>48175</v>
      </c>
    </row>
    <row r="969" spans="1:12" ht="13.5">
      <c r="A969" s="448">
        <v>48200</v>
      </c>
      <c r="B969" s="447">
        <v>48250</v>
      </c>
      <c r="C969" s="1378">
        <f t="shared" si="72"/>
        <v>0</v>
      </c>
      <c r="D969" s="448">
        <f t="shared" si="72"/>
        <v>353</v>
      </c>
      <c r="E969" s="448">
        <f t="shared" si="72"/>
        <v>1913</v>
      </c>
      <c r="F969" s="447">
        <f t="shared" si="72"/>
        <v>2807</v>
      </c>
      <c r="G969" s="1378">
        <f t="shared" si="72"/>
        <v>0</v>
      </c>
      <c r="H969" s="448">
        <f t="shared" si="72"/>
        <v>1491</v>
      </c>
      <c r="I969" s="448">
        <f t="shared" si="72"/>
        <v>3413</v>
      </c>
      <c r="J969" s="447">
        <f t="shared" si="71"/>
        <v>4307</v>
      </c>
      <c r="K969" s="422"/>
      <c r="L969" s="448">
        <f t="shared" si="73"/>
        <v>48225</v>
      </c>
    </row>
    <row r="970" spans="1:12" ht="13.5">
      <c r="A970" s="448">
        <v>48250</v>
      </c>
      <c r="B970" s="447">
        <v>48300</v>
      </c>
      <c r="C970" s="1378">
        <f t="shared" si="72"/>
        <v>0</v>
      </c>
      <c r="D970" s="448">
        <f t="shared" si="72"/>
        <v>345</v>
      </c>
      <c r="E970" s="448">
        <f t="shared" si="72"/>
        <v>1903</v>
      </c>
      <c r="F970" s="447">
        <f t="shared" si="72"/>
        <v>2797</v>
      </c>
      <c r="G970" s="1378">
        <f t="shared" si="72"/>
        <v>0</v>
      </c>
      <c r="H970" s="448">
        <f t="shared" si="72"/>
        <v>1483</v>
      </c>
      <c r="I970" s="448">
        <f t="shared" si="72"/>
        <v>3402</v>
      </c>
      <c r="J970" s="447">
        <f t="shared" si="71"/>
        <v>4296</v>
      </c>
      <c r="K970" s="422"/>
      <c r="L970" s="448">
        <f t="shared" si="73"/>
        <v>48275</v>
      </c>
    </row>
    <row r="971" spans="1:12" ht="13.5">
      <c r="A971" s="448">
        <v>48300</v>
      </c>
      <c r="B971" s="447">
        <v>48350</v>
      </c>
      <c r="C971" s="1378">
        <f t="shared" si="72"/>
        <v>0</v>
      </c>
      <c r="D971" s="448">
        <f t="shared" si="72"/>
        <v>337</v>
      </c>
      <c r="E971" s="448">
        <f t="shared" si="72"/>
        <v>1892</v>
      </c>
      <c r="F971" s="447">
        <f t="shared" si="72"/>
        <v>2786</v>
      </c>
      <c r="G971" s="1378">
        <f t="shared" si="72"/>
        <v>0</v>
      </c>
      <c r="H971" s="448">
        <f t="shared" si="72"/>
        <v>1475</v>
      </c>
      <c r="I971" s="448">
        <f t="shared" si="72"/>
        <v>3392</v>
      </c>
      <c r="J971" s="447">
        <f t="shared" si="71"/>
        <v>4286</v>
      </c>
      <c r="K971" s="422"/>
      <c r="L971" s="448">
        <f t="shared" si="73"/>
        <v>48325</v>
      </c>
    </row>
    <row r="972" spans="1:12" ht="13.5">
      <c r="A972" s="448">
        <v>48350</v>
      </c>
      <c r="B972" s="447">
        <v>48400</v>
      </c>
      <c r="C972" s="1378">
        <f t="shared" si="72"/>
        <v>0</v>
      </c>
      <c r="D972" s="448">
        <f t="shared" si="72"/>
        <v>329</v>
      </c>
      <c r="E972" s="448">
        <f t="shared" si="72"/>
        <v>1882</v>
      </c>
      <c r="F972" s="447">
        <f t="shared" si="72"/>
        <v>2776</v>
      </c>
      <c r="G972" s="1378">
        <f t="shared" si="72"/>
        <v>0</v>
      </c>
      <c r="H972" s="448">
        <f t="shared" si="72"/>
        <v>1467</v>
      </c>
      <c r="I972" s="448">
        <f t="shared" si="72"/>
        <v>3381</v>
      </c>
      <c r="J972" s="447">
        <f t="shared" si="71"/>
        <v>4275</v>
      </c>
      <c r="K972" s="422"/>
      <c r="L972" s="448">
        <f t="shared" si="73"/>
        <v>48375</v>
      </c>
    </row>
    <row r="973" spans="1:12" ht="13.5">
      <c r="A973" s="448">
        <v>48400</v>
      </c>
      <c r="B973" s="447">
        <v>48450</v>
      </c>
      <c r="C973" s="1378">
        <f t="shared" si="72"/>
        <v>0</v>
      </c>
      <c r="D973" s="448">
        <f t="shared" si="72"/>
        <v>321</v>
      </c>
      <c r="E973" s="448">
        <f t="shared" si="72"/>
        <v>1871</v>
      </c>
      <c r="F973" s="447">
        <f t="shared" si="72"/>
        <v>2765</v>
      </c>
      <c r="G973" s="1378">
        <f t="shared" si="72"/>
        <v>0</v>
      </c>
      <c r="H973" s="448">
        <f t="shared" si="72"/>
        <v>1459</v>
      </c>
      <c r="I973" s="448">
        <f t="shared" si="72"/>
        <v>3371</v>
      </c>
      <c r="J973" s="447">
        <f t="shared" si="71"/>
        <v>4265</v>
      </c>
      <c r="K973" s="422"/>
      <c r="L973" s="448">
        <f t="shared" si="73"/>
        <v>48425</v>
      </c>
    </row>
    <row r="974" spans="1:12" ht="13.5">
      <c r="A974" s="448">
        <v>48450</v>
      </c>
      <c r="B974" s="447">
        <v>48500</v>
      </c>
      <c r="C974" s="1378">
        <f t="shared" si="72"/>
        <v>0</v>
      </c>
      <c r="D974" s="448">
        <f t="shared" si="72"/>
        <v>313</v>
      </c>
      <c r="E974" s="448">
        <f t="shared" si="72"/>
        <v>1861</v>
      </c>
      <c r="F974" s="447">
        <f t="shared" si="72"/>
        <v>2755</v>
      </c>
      <c r="G974" s="1378">
        <f t="shared" si="72"/>
        <v>0</v>
      </c>
      <c r="H974" s="448">
        <f t="shared" si="72"/>
        <v>1451</v>
      </c>
      <c r="I974" s="448">
        <f t="shared" si="72"/>
        <v>3360</v>
      </c>
      <c r="J974" s="447">
        <f t="shared" si="71"/>
        <v>4254</v>
      </c>
      <c r="K974" s="422"/>
      <c r="L974" s="448">
        <f t="shared" si="73"/>
        <v>48475</v>
      </c>
    </row>
    <row r="975" spans="1:12" ht="13.5">
      <c r="A975" s="448">
        <v>48500</v>
      </c>
      <c r="B975" s="447">
        <v>48550</v>
      </c>
      <c r="C975" s="1378">
        <f t="shared" si="72"/>
        <v>0</v>
      </c>
      <c r="D975" s="448">
        <f t="shared" si="72"/>
        <v>305</v>
      </c>
      <c r="E975" s="448">
        <f t="shared" si="72"/>
        <v>1850</v>
      </c>
      <c r="F975" s="447">
        <f t="shared" si="72"/>
        <v>2744</v>
      </c>
      <c r="G975" s="1378">
        <f t="shared" si="72"/>
        <v>0</v>
      </c>
      <c r="H975" s="448">
        <f t="shared" si="72"/>
        <v>1443</v>
      </c>
      <c r="I975" s="448">
        <f t="shared" si="72"/>
        <v>3350</v>
      </c>
      <c r="J975" s="447">
        <f t="shared" si="71"/>
        <v>4244</v>
      </c>
      <c r="K975" s="422"/>
      <c r="L975" s="448">
        <f t="shared" si="73"/>
        <v>48525</v>
      </c>
    </row>
    <row r="976" spans="1:12" ht="13.5">
      <c r="A976" s="448">
        <v>48550</v>
      </c>
      <c r="B976" s="447">
        <v>48600</v>
      </c>
      <c r="C976" s="1378">
        <f t="shared" si="72"/>
        <v>0</v>
      </c>
      <c r="D976" s="448">
        <f t="shared" si="72"/>
        <v>297</v>
      </c>
      <c r="E976" s="448">
        <f t="shared" si="72"/>
        <v>1840</v>
      </c>
      <c r="F976" s="447">
        <f t="shared" si="72"/>
        <v>2734</v>
      </c>
      <c r="G976" s="1378">
        <f t="shared" si="72"/>
        <v>0</v>
      </c>
      <c r="H976" s="448">
        <f t="shared" si="72"/>
        <v>1435</v>
      </c>
      <c r="I976" s="448">
        <f t="shared" si="72"/>
        <v>3339</v>
      </c>
      <c r="J976" s="447">
        <f t="shared" si="71"/>
        <v>4233</v>
      </c>
      <c r="K976" s="422"/>
      <c r="L976" s="448">
        <f t="shared" si="73"/>
        <v>48575</v>
      </c>
    </row>
    <row r="977" spans="1:12" ht="13.5">
      <c r="A977" s="448">
        <v>48600</v>
      </c>
      <c r="B977" s="447">
        <v>48650</v>
      </c>
      <c r="C977" s="1378">
        <f t="shared" si="72"/>
        <v>0</v>
      </c>
      <c r="D977" s="448">
        <f t="shared" si="72"/>
        <v>289</v>
      </c>
      <c r="E977" s="448">
        <f t="shared" si="72"/>
        <v>1829</v>
      </c>
      <c r="F977" s="447">
        <f t="shared" si="72"/>
        <v>2723</v>
      </c>
      <c r="G977" s="1378">
        <f t="shared" si="72"/>
        <v>0</v>
      </c>
      <c r="H977" s="448">
        <f t="shared" si="72"/>
        <v>1427</v>
      </c>
      <c r="I977" s="448">
        <f t="shared" si="72"/>
        <v>3329</v>
      </c>
      <c r="J977" s="447">
        <f t="shared" si="71"/>
        <v>4223</v>
      </c>
      <c r="K977" s="422"/>
      <c r="L977" s="448">
        <f t="shared" si="73"/>
        <v>48625</v>
      </c>
    </row>
    <row r="978" spans="1:12" ht="13.5">
      <c r="A978" s="448">
        <v>48650</v>
      </c>
      <c r="B978" s="447">
        <v>48700</v>
      </c>
      <c r="C978" s="1378">
        <f t="shared" si="72"/>
        <v>0</v>
      </c>
      <c r="D978" s="448">
        <f t="shared" si="72"/>
        <v>281</v>
      </c>
      <c r="E978" s="448">
        <f t="shared" si="72"/>
        <v>1819</v>
      </c>
      <c r="F978" s="447">
        <f t="shared" si="72"/>
        <v>2713</v>
      </c>
      <c r="G978" s="1378">
        <f t="shared" si="72"/>
        <v>0</v>
      </c>
      <c r="H978" s="448">
        <f t="shared" si="72"/>
        <v>1419</v>
      </c>
      <c r="I978" s="448">
        <f t="shared" si="72"/>
        <v>3318</v>
      </c>
      <c r="J978" s="447">
        <f t="shared" si="71"/>
        <v>4212</v>
      </c>
      <c r="K978" s="422"/>
      <c r="L978" s="448">
        <f t="shared" si="73"/>
        <v>48675</v>
      </c>
    </row>
    <row r="979" spans="1:12" ht="13.5">
      <c r="A979" s="448">
        <v>48700</v>
      </c>
      <c r="B979" s="447">
        <v>48750</v>
      </c>
      <c r="C979" s="1378">
        <f t="shared" si="72"/>
        <v>0</v>
      </c>
      <c r="D979" s="448">
        <f t="shared" si="72"/>
        <v>273</v>
      </c>
      <c r="E979" s="448">
        <f t="shared" si="72"/>
        <v>1808</v>
      </c>
      <c r="F979" s="447">
        <f t="shared" si="72"/>
        <v>2702</v>
      </c>
      <c r="G979" s="1378">
        <f t="shared" si="72"/>
        <v>0</v>
      </c>
      <c r="H979" s="448">
        <f t="shared" si="72"/>
        <v>1411</v>
      </c>
      <c r="I979" s="448">
        <f t="shared" si="72"/>
        <v>3307</v>
      </c>
      <c r="J979" s="447">
        <f t="shared" si="71"/>
        <v>4201</v>
      </c>
      <c r="K979" s="422"/>
      <c r="L979" s="448">
        <f t="shared" si="73"/>
        <v>48725</v>
      </c>
    </row>
    <row r="980" spans="1:12" ht="13.5">
      <c r="A980" s="448">
        <v>48750</v>
      </c>
      <c r="B980" s="447">
        <v>48800</v>
      </c>
      <c r="C980" s="1378">
        <f t="shared" si="72"/>
        <v>0</v>
      </c>
      <c r="D980" s="448">
        <f t="shared" si="72"/>
        <v>265</v>
      </c>
      <c r="E980" s="448">
        <f t="shared" si="72"/>
        <v>1797</v>
      </c>
      <c r="F980" s="447">
        <f t="shared" si="72"/>
        <v>2691</v>
      </c>
      <c r="G980" s="1378">
        <f t="shared" si="72"/>
        <v>0</v>
      </c>
      <c r="H980" s="448">
        <f t="shared" si="72"/>
        <v>1403</v>
      </c>
      <c r="I980" s="448">
        <f t="shared" si="72"/>
        <v>3297</v>
      </c>
      <c r="J980" s="447">
        <f t="shared" si="71"/>
        <v>4191</v>
      </c>
      <c r="K980" s="422"/>
      <c r="L980" s="448">
        <f t="shared" si="73"/>
        <v>48775</v>
      </c>
    </row>
    <row r="981" spans="1:12" ht="13.5">
      <c r="A981" s="448">
        <v>48800</v>
      </c>
      <c r="B981" s="447">
        <v>48850</v>
      </c>
      <c r="C981" s="1378">
        <f t="shared" si="72"/>
        <v>0</v>
      </c>
      <c r="D981" s="448">
        <f t="shared" si="72"/>
        <v>257</v>
      </c>
      <c r="E981" s="448">
        <f t="shared" si="72"/>
        <v>1787</v>
      </c>
      <c r="F981" s="447">
        <f t="shared" si="72"/>
        <v>2681</v>
      </c>
      <c r="G981" s="1378">
        <f t="shared" si="72"/>
        <v>0</v>
      </c>
      <c r="H981" s="448">
        <f t="shared" si="72"/>
        <v>1395</v>
      </c>
      <c r="I981" s="448">
        <f t="shared" si="72"/>
        <v>3286</v>
      </c>
      <c r="J981" s="447">
        <f t="shared" si="71"/>
        <v>4180</v>
      </c>
      <c r="K981" s="422"/>
      <c r="L981" s="448">
        <f t="shared" si="73"/>
        <v>48825</v>
      </c>
    </row>
    <row r="982" spans="1:12" ht="13.5">
      <c r="A982" s="448">
        <v>48850</v>
      </c>
      <c r="B982" s="447">
        <v>48900</v>
      </c>
      <c r="C982" s="1378">
        <f t="shared" si="72"/>
        <v>0</v>
      </c>
      <c r="D982" s="448">
        <f t="shared" si="72"/>
        <v>249</v>
      </c>
      <c r="E982" s="448">
        <f t="shared" si="72"/>
        <v>1776</v>
      </c>
      <c r="F982" s="447">
        <f t="shared" si="72"/>
        <v>2670</v>
      </c>
      <c r="G982" s="1378">
        <f t="shared" si="72"/>
        <v>0</v>
      </c>
      <c r="H982" s="448">
        <f t="shared" si="72"/>
        <v>1387</v>
      </c>
      <c r="I982" s="448">
        <f t="shared" si="72"/>
        <v>3276</v>
      </c>
      <c r="J982" s="447">
        <f t="shared" si="71"/>
        <v>4170</v>
      </c>
      <c r="K982" s="422"/>
      <c r="L982" s="448">
        <f t="shared" si="73"/>
        <v>48875</v>
      </c>
    </row>
    <row r="983" spans="1:12" ht="13.5">
      <c r="A983" s="448">
        <v>48900</v>
      </c>
      <c r="B983" s="447">
        <v>48950</v>
      </c>
      <c r="C983" s="1378">
        <f t="shared" si="72"/>
        <v>0</v>
      </c>
      <c r="D983" s="448">
        <f t="shared" si="72"/>
        <v>241</v>
      </c>
      <c r="E983" s="448">
        <f t="shared" si="72"/>
        <v>1766</v>
      </c>
      <c r="F983" s="447">
        <f t="shared" si="72"/>
        <v>2660</v>
      </c>
      <c r="G983" s="1378">
        <f t="shared" si="72"/>
        <v>0</v>
      </c>
      <c r="H983" s="448">
        <f t="shared" si="72"/>
        <v>1379</v>
      </c>
      <c r="I983" s="448">
        <f t="shared" si="72"/>
        <v>3265</v>
      </c>
      <c r="J983" s="447">
        <f t="shared" si="71"/>
        <v>4159</v>
      </c>
      <c r="K983" s="422"/>
      <c r="L983" s="448">
        <f t="shared" si="73"/>
        <v>48925</v>
      </c>
    </row>
    <row r="984" spans="1:12" ht="13.5">
      <c r="A984" s="448">
        <v>48950</v>
      </c>
      <c r="B984" s="447">
        <v>49000</v>
      </c>
      <c r="C984" s="1378">
        <f t="shared" si="72"/>
        <v>0</v>
      </c>
      <c r="D984" s="448">
        <f t="shared" si="72"/>
        <v>233</v>
      </c>
      <c r="E984" s="448">
        <f t="shared" si="72"/>
        <v>1755</v>
      </c>
      <c r="F984" s="447">
        <f t="shared" ref="F984:J1041" si="74">IF($L984&gt;Q$5,MAX(0,Q$3+ROUND((Q$9*($L984-Q$5)),0)),IF($L984&gt;Q$4,Q$3,ROUND($L984*Q$7,0)))</f>
        <v>2649</v>
      </c>
      <c r="G984" s="1378">
        <f t="shared" si="74"/>
        <v>0</v>
      </c>
      <c r="H984" s="448">
        <f t="shared" si="74"/>
        <v>1371</v>
      </c>
      <c r="I984" s="448">
        <f t="shared" si="74"/>
        <v>3255</v>
      </c>
      <c r="J984" s="447">
        <f t="shared" si="71"/>
        <v>4149</v>
      </c>
      <c r="K984" s="422"/>
      <c r="L984" s="448">
        <f t="shared" si="73"/>
        <v>48975</v>
      </c>
    </row>
    <row r="985" spans="1:12" ht="13.5">
      <c r="A985" s="448">
        <v>49000</v>
      </c>
      <c r="B985" s="447">
        <v>49050</v>
      </c>
      <c r="C985" s="1378">
        <f t="shared" ref="C985:G1049" si="75">IF($L985&gt;N$5,MAX(0,N$3+ROUND((N$9*($L985-N$5)),0)),IF($L985&gt;N$4,N$3,ROUND($L985*N$7,0)))</f>
        <v>0</v>
      </c>
      <c r="D985" s="448">
        <f t="shared" si="75"/>
        <v>225</v>
      </c>
      <c r="E985" s="448">
        <f t="shared" si="75"/>
        <v>1745</v>
      </c>
      <c r="F985" s="447">
        <f t="shared" si="74"/>
        <v>2639</v>
      </c>
      <c r="G985" s="1378">
        <f t="shared" si="74"/>
        <v>0</v>
      </c>
      <c r="H985" s="448">
        <f t="shared" si="74"/>
        <v>1363</v>
      </c>
      <c r="I985" s="448">
        <f t="shared" si="74"/>
        <v>3244</v>
      </c>
      <c r="J985" s="447">
        <f t="shared" si="71"/>
        <v>4138</v>
      </c>
      <c r="K985" s="422"/>
      <c r="L985" s="448">
        <f t="shared" si="73"/>
        <v>49025</v>
      </c>
    </row>
    <row r="986" spans="1:12" ht="13.5">
      <c r="A986" s="448">
        <v>49050</v>
      </c>
      <c r="B986" s="447">
        <v>49100</v>
      </c>
      <c r="C986" s="1378">
        <f t="shared" si="75"/>
        <v>0</v>
      </c>
      <c r="D986" s="448">
        <f t="shared" si="75"/>
        <v>217</v>
      </c>
      <c r="E986" s="448">
        <f t="shared" si="75"/>
        <v>1734</v>
      </c>
      <c r="F986" s="447">
        <f t="shared" si="74"/>
        <v>2628</v>
      </c>
      <c r="G986" s="1378">
        <f t="shared" si="74"/>
        <v>0</v>
      </c>
      <c r="H986" s="448">
        <f t="shared" si="74"/>
        <v>1355</v>
      </c>
      <c r="I986" s="448">
        <f t="shared" si="74"/>
        <v>3234</v>
      </c>
      <c r="J986" s="447">
        <f t="shared" si="71"/>
        <v>4128</v>
      </c>
      <c r="K986" s="422"/>
      <c r="L986" s="448">
        <f t="shared" si="73"/>
        <v>49075</v>
      </c>
    </row>
    <row r="987" spans="1:12" ht="13.5">
      <c r="A987" s="448">
        <v>49100</v>
      </c>
      <c r="B987" s="447">
        <v>49150</v>
      </c>
      <c r="C987" s="1378">
        <f t="shared" si="75"/>
        <v>0</v>
      </c>
      <c r="D987" s="448">
        <f t="shared" si="75"/>
        <v>209</v>
      </c>
      <c r="E987" s="448">
        <f t="shared" si="75"/>
        <v>1724</v>
      </c>
      <c r="F987" s="447">
        <f t="shared" si="74"/>
        <v>2618</v>
      </c>
      <c r="G987" s="1378">
        <f t="shared" si="74"/>
        <v>0</v>
      </c>
      <c r="H987" s="448">
        <f t="shared" si="74"/>
        <v>1347</v>
      </c>
      <c r="I987" s="448">
        <f t="shared" si="74"/>
        <v>3223</v>
      </c>
      <c r="J987" s="447">
        <f t="shared" si="71"/>
        <v>4117</v>
      </c>
      <c r="K987" s="422"/>
      <c r="L987" s="448">
        <f t="shared" si="73"/>
        <v>49125</v>
      </c>
    </row>
    <row r="988" spans="1:12" ht="13.5">
      <c r="A988" s="448">
        <v>49150</v>
      </c>
      <c r="B988" s="447">
        <v>49200</v>
      </c>
      <c r="C988" s="1378">
        <f t="shared" si="75"/>
        <v>0</v>
      </c>
      <c r="D988" s="448">
        <f t="shared" si="75"/>
        <v>201</v>
      </c>
      <c r="E988" s="448">
        <f t="shared" si="75"/>
        <v>1713</v>
      </c>
      <c r="F988" s="447">
        <f t="shared" si="74"/>
        <v>2607</v>
      </c>
      <c r="G988" s="1378">
        <f t="shared" si="74"/>
        <v>0</v>
      </c>
      <c r="H988" s="448">
        <f t="shared" si="74"/>
        <v>1339</v>
      </c>
      <c r="I988" s="448">
        <f t="shared" si="74"/>
        <v>3213</v>
      </c>
      <c r="J988" s="447">
        <f t="shared" si="71"/>
        <v>4107</v>
      </c>
      <c r="K988" s="422"/>
      <c r="L988" s="448">
        <f t="shared" si="73"/>
        <v>49175</v>
      </c>
    </row>
    <row r="989" spans="1:12" ht="13.5">
      <c r="A989" s="448">
        <v>49200</v>
      </c>
      <c r="B989" s="447">
        <v>49250</v>
      </c>
      <c r="C989" s="1378">
        <f t="shared" si="75"/>
        <v>0</v>
      </c>
      <c r="D989" s="448">
        <f t="shared" si="75"/>
        <v>193</v>
      </c>
      <c r="E989" s="448">
        <f t="shared" si="75"/>
        <v>1703</v>
      </c>
      <c r="F989" s="447">
        <f t="shared" si="74"/>
        <v>2597</v>
      </c>
      <c r="G989" s="1378">
        <f t="shared" si="74"/>
        <v>0</v>
      </c>
      <c r="H989" s="448">
        <f t="shared" si="74"/>
        <v>1331</v>
      </c>
      <c r="I989" s="448">
        <f t="shared" si="74"/>
        <v>3202</v>
      </c>
      <c r="J989" s="447">
        <f t="shared" si="71"/>
        <v>4096</v>
      </c>
      <c r="K989" s="422"/>
      <c r="L989" s="448">
        <f t="shared" si="73"/>
        <v>49225</v>
      </c>
    </row>
    <row r="990" spans="1:12" ht="13.5">
      <c r="A990" s="448">
        <v>49250</v>
      </c>
      <c r="B990" s="447">
        <v>49300</v>
      </c>
      <c r="C990" s="1378">
        <f t="shared" si="75"/>
        <v>0</v>
      </c>
      <c r="D990" s="448">
        <f t="shared" si="75"/>
        <v>185</v>
      </c>
      <c r="E990" s="448">
        <f t="shared" si="75"/>
        <v>1692</v>
      </c>
      <c r="F990" s="447">
        <f t="shared" si="74"/>
        <v>2586</v>
      </c>
      <c r="G990" s="1378">
        <f t="shared" si="74"/>
        <v>0</v>
      </c>
      <c r="H990" s="448">
        <f t="shared" si="74"/>
        <v>1323</v>
      </c>
      <c r="I990" s="448">
        <f t="shared" si="74"/>
        <v>3192</v>
      </c>
      <c r="J990" s="447">
        <f t="shared" si="71"/>
        <v>4086</v>
      </c>
      <c r="K990" s="422"/>
      <c r="L990" s="448">
        <f t="shared" si="73"/>
        <v>49275</v>
      </c>
    </row>
    <row r="991" spans="1:12" ht="13.5">
      <c r="A991" s="448">
        <v>49300</v>
      </c>
      <c r="B991" s="447">
        <v>49350</v>
      </c>
      <c r="C991" s="1378">
        <f t="shared" si="75"/>
        <v>0</v>
      </c>
      <c r="D991" s="448">
        <f t="shared" si="75"/>
        <v>177</v>
      </c>
      <c r="E991" s="448">
        <f t="shared" si="75"/>
        <v>1682</v>
      </c>
      <c r="F991" s="447">
        <f t="shared" si="74"/>
        <v>2576</v>
      </c>
      <c r="G991" s="1378">
        <f t="shared" si="74"/>
        <v>0</v>
      </c>
      <c r="H991" s="448">
        <f t="shared" si="74"/>
        <v>1315</v>
      </c>
      <c r="I991" s="448">
        <f t="shared" si="74"/>
        <v>3181</v>
      </c>
      <c r="J991" s="447">
        <f t="shared" si="71"/>
        <v>4075</v>
      </c>
      <c r="K991" s="422"/>
      <c r="L991" s="448">
        <f t="shared" si="73"/>
        <v>49325</v>
      </c>
    </row>
    <row r="992" spans="1:12" ht="13.5">
      <c r="A992" s="448">
        <v>49350</v>
      </c>
      <c r="B992" s="447">
        <v>49400</v>
      </c>
      <c r="C992" s="1378">
        <f t="shared" si="75"/>
        <v>0</v>
      </c>
      <c r="D992" s="448">
        <f t="shared" si="75"/>
        <v>169</v>
      </c>
      <c r="E992" s="448">
        <f t="shared" si="75"/>
        <v>1671</v>
      </c>
      <c r="F992" s="447">
        <f t="shared" si="74"/>
        <v>2565</v>
      </c>
      <c r="G992" s="1378">
        <f t="shared" si="74"/>
        <v>0</v>
      </c>
      <c r="H992" s="448">
        <f t="shared" si="74"/>
        <v>1307</v>
      </c>
      <c r="I992" s="448">
        <f t="shared" si="74"/>
        <v>3171</v>
      </c>
      <c r="J992" s="447">
        <f t="shared" si="71"/>
        <v>4065</v>
      </c>
      <c r="K992" s="422"/>
      <c r="L992" s="448">
        <f t="shared" si="73"/>
        <v>49375</v>
      </c>
    </row>
    <row r="993" spans="1:12" ht="13.5">
      <c r="A993" s="448">
        <v>49400</v>
      </c>
      <c r="B993" s="447">
        <v>49450</v>
      </c>
      <c r="C993" s="1378">
        <f t="shared" si="75"/>
        <v>0</v>
      </c>
      <c r="D993" s="448">
        <f t="shared" si="75"/>
        <v>161</v>
      </c>
      <c r="E993" s="448">
        <f t="shared" si="75"/>
        <v>1661</v>
      </c>
      <c r="F993" s="447">
        <f t="shared" si="74"/>
        <v>2555</v>
      </c>
      <c r="G993" s="1378">
        <f t="shared" si="74"/>
        <v>0</v>
      </c>
      <c r="H993" s="448">
        <f t="shared" si="74"/>
        <v>1299</v>
      </c>
      <c r="I993" s="448">
        <f t="shared" si="74"/>
        <v>3160</v>
      </c>
      <c r="J993" s="447">
        <f t="shared" si="71"/>
        <v>4054</v>
      </c>
      <c r="K993" s="422"/>
      <c r="L993" s="448">
        <f t="shared" si="73"/>
        <v>49425</v>
      </c>
    </row>
    <row r="994" spans="1:12" ht="13.5">
      <c r="A994" s="448">
        <v>49450</v>
      </c>
      <c r="B994" s="447">
        <v>49500</v>
      </c>
      <c r="C994" s="1378">
        <f t="shared" si="75"/>
        <v>0</v>
      </c>
      <c r="D994" s="448">
        <f t="shared" si="75"/>
        <v>153</v>
      </c>
      <c r="E994" s="448">
        <f t="shared" si="75"/>
        <v>1650</v>
      </c>
      <c r="F994" s="447">
        <f t="shared" si="74"/>
        <v>2544</v>
      </c>
      <c r="G994" s="1378">
        <f t="shared" si="74"/>
        <v>0</v>
      </c>
      <c r="H994" s="448">
        <f t="shared" si="74"/>
        <v>1291</v>
      </c>
      <c r="I994" s="448">
        <f t="shared" si="74"/>
        <v>3150</v>
      </c>
      <c r="J994" s="447">
        <f t="shared" si="71"/>
        <v>4044</v>
      </c>
      <c r="K994" s="422"/>
      <c r="L994" s="448">
        <f t="shared" si="73"/>
        <v>49475</v>
      </c>
    </row>
    <row r="995" spans="1:12" ht="13.5">
      <c r="A995" s="448">
        <v>49500</v>
      </c>
      <c r="B995" s="447">
        <v>49550</v>
      </c>
      <c r="C995" s="1378">
        <f t="shared" si="75"/>
        <v>0</v>
      </c>
      <c r="D995" s="448">
        <f t="shared" si="75"/>
        <v>145</v>
      </c>
      <c r="E995" s="448">
        <f t="shared" si="75"/>
        <v>1640</v>
      </c>
      <c r="F995" s="447">
        <f t="shared" si="74"/>
        <v>2534</v>
      </c>
      <c r="G995" s="1378">
        <f t="shared" si="74"/>
        <v>0</v>
      </c>
      <c r="H995" s="448">
        <f t="shared" si="74"/>
        <v>1283</v>
      </c>
      <c r="I995" s="448">
        <f t="shared" si="74"/>
        <v>3139</v>
      </c>
      <c r="J995" s="447">
        <f t="shared" si="71"/>
        <v>4033</v>
      </c>
      <c r="K995" s="422"/>
      <c r="L995" s="448">
        <f t="shared" si="73"/>
        <v>49525</v>
      </c>
    </row>
    <row r="996" spans="1:12" ht="13.5">
      <c r="A996" s="448">
        <v>49550</v>
      </c>
      <c r="B996" s="447">
        <v>49600</v>
      </c>
      <c r="C996" s="1378">
        <f t="shared" si="75"/>
        <v>0</v>
      </c>
      <c r="D996" s="448">
        <f t="shared" si="75"/>
        <v>137</v>
      </c>
      <c r="E996" s="448">
        <f t="shared" si="75"/>
        <v>1629</v>
      </c>
      <c r="F996" s="447">
        <f t="shared" si="74"/>
        <v>2523</v>
      </c>
      <c r="G996" s="1378">
        <f t="shared" si="74"/>
        <v>0</v>
      </c>
      <c r="H996" s="448">
        <f t="shared" si="74"/>
        <v>1275</v>
      </c>
      <c r="I996" s="448">
        <f t="shared" si="74"/>
        <v>3128</v>
      </c>
      <c r="J996" s="447">
        <f t="shared" si="71"/>
        <v>4022</v>
      </c>
      <c r="K996" s="422"/>
      <c r="L996" s="448">
        <f t="shared" si="73"/>
        <v>49575</v>
      </c>
    </row>
    <row r="997" spans="1:12" ht="13.5">
      <c r="A997" s="448">
        <v>49600</v>
      </c>
      <c r="B997" s="447">
        <v>49650</v>
      </c>
      <c r="C997" s="1378">
        <f t="shared" si="75"/>
        <v>0</v>
      </c>
      <c r="D997" s="448">
        <f t="shared" si="75"/>
        <v>129</v>
      </c>
      <c r="E997" s="448">
        <f t="shared" si="75"/>
        <v>1618</v>
      </c>
      <c r="F997" s="447">
        <f t="shared" si="74"/>
        <v>2512</v>
      </c>
      <c r="G997" s="1378">
        <f t="shared" si="74"/>
        <v>0</v>
      </c>
      <c r="H997" s="448">
        <f t="shared" si="74"/>
        <v>1267</v>
      </c>
      <c r="I997" s="448">
        <f t="shared" si="74"/>
        <v>3118</v>
      </c>
      <c r="J997" s="447">
        <f t="shared" si="71"/>
        <v>4012</v>
      </c>
      <c r="K997" s="422"/>
      <c r="L997" s="448">
        <f t="shared" si="73"/>
        <v>49625</v>
      </c>
    </row>
    <row r="998" spans="1:12" ht="13.5">
      <c r="A998" s="448">
        <v>49650</v>
      </c>
      <c r="B998" s="447">
        <v>49700</v>
      </c>
      <c r="C998" s="1378">
        <f t="shared" si="75"/>
        <v>0</v>
      </c>
      <c r="D998" s="448">
        <f t="shared" si="75"/>
        <v>121</v>
      </c>
      <c r="E998" s="448">
        <f t="shared" si="75"/>
        <v>1608</v>
      </c>
      <c r="F998" s="447">
        <f t="shared" si="74"/>
        <v>2502</v>
      </c>
      <c r="G998" s="1378">
        <f t="shared" si="74"/>
        <v>0</v>
      </c>
      <c r="H998" s="448">
        <f t="shared" si="74"/>
        <v>1259</v>
      </c>
      <c r="I998" s="448">
        <f t="shared" si="74"/>
        <v>3107</v>
      </c>
      <c r="J998" s="447">
        <f t="shared" si="71"/>
        <v>4001</v>
      </c>
      <c r="K998" s="422"/>
      <c r="L998" s="448">
        <f t="shared" si="73"/>
        <v>49675</v>
      </c>
    </row>
    <row r="999" spans="1:12" ht="13.5">
      <c r="A999" s="448">
        <v>49700</v>
      </c>
      <c r="B999" s="447">
        <v>49750</v>
      </c>
      <c r="C999" s="1378">
        <f t="shared" si="75"/>
        <v>0</v>
      </c>
      <c r="D999" s="448">
        <f t="shared" si="75"/>
        <v>113</v>
      </c>
      <c r="E999" s="448">
        <f t="shared" si="75"/>
        <v>1597</v>
      </c>
      <c r="F999" s="447">
        <f t="shared" si="74"/>
        <v>2491</v>
      </c>
      <c r="G999" s="1378">
        <f t="shared" si="74"/>
        <v>0</v>
      </c>
      <c r="H999" s="448">
        <f t="shared" si="74"/>
        <v>1251</v>
      </c>
      <c r="I999" s="448">
        <f t="shared" si="74"/>
        <v>3097</v>
      </c>
      <c r="J999" s="447">
        <f t="shared" si="71"/>
        <v>3991</v>
      </c>
      <c r="K999" s="422"/>
      <c r="L999" s="448">
        <f t="shared" si="73"/>
        <v>49725</v>
      </c>
    </row>
    <row r="1000" spans="1:12" ht="13.5">
      <c r="A1000" s="448">
        <v>49750</v>
      </c>
      <c r="B1000" s="447">
        <v>49800</v>
      </c>
      <c r="C1000" s="1378">
        <f t="shared" si="75"/>
        <v>0</v>
      </c>
      <c r="D1000" s="448">
        <f t="shared" si="75"/>
        <v>105</v>
      </c>
      <c r="E1000" s="448">
        <f t="shared" si="75"/>
        <v>1587</v>
      </c>
      <c r="F1000" s="447">
        <f t="shared" si="74"/>
        <v>2481</v>
      </c>
      <c r="G1000" s="1378">
        <f t="shared" si="74"/>
        <v>0</v>
      </c>
      <c r="H1000" s="448">
        <f t="shared" si="74"/>
        <v>1243</v>
      </c>
      <c r="I1000" s="448">
        <f t="shared" si="74"/>
        <v>3086</v>
      </c>
      <c r="J1000" s="447">
        <f t="shared" si="71"/>
        <v>3980</v>
      </c>
      <c r="K1000" s="422"/>
      <c r="L1000" s="448">
        <f t="shared" si="73"/>
        <v>49775</v>
      </c>
    </row>
    <row r="1001" spans="1:12" ht="13.5">
      <c r="A1001" s="448">
        <v>49800</v>
      </c>
      <c r="B1001" s="447">
        <v>49850</v>
      </c>
      <c r="C1001" s="1378">
        <f t="shared" si="75"/>
        <v>0</v>
      </c>
      <c r="D1001" s="448">
        <f t="shared" si="75"/>
        <v>97</v>
      </c>
      <c r="E1001" s="448">
        <f t="shared" si="75"/>
        <v>1576</v>
      </c>
      <c r="F1001" s="447">
        <f t="shared" si="74"/>
        <v>2470</v>
      </c>
      <c r="G1001" s="1378">
        <f t="shared" si="74"/>
        <v>0</v>
      </c>
      <c r="H1001" s="448">
        <f t="shared" si="74"/>
        <v>1235</v>
      </c>
      <c r="I1001" s="448">
        <f t="shared" si="74"/>
        <v>3076</v>
      </c>
      <c r="J1001" s="447">
        <f t="shared" si="71"/>
        <v>3970</v>
      </c>
      <c r="K1001" s="422"/>
      <c r="L1001" s="448">
        <f t="shared" si="73"/>
        <v>49825</v>
      </c>
    </row>
    <row r="1002" spans="1:12" ht="13.5">
      <c r="A1002" s="448">
        <v>49850</v>
      </c>
      <c r="B1002" s="447">
        <v>49900</v>
      </c>
      <c r="C1002" s="1378">
        <f t="shared" si="75"/>
        <v>0</v>
      </c>
      <c r="D1002" s="448">
        <f t="shared" si="75"/>
        <v>89</v>
      </c>
      <c r="E1002" s="448">
        <f t="shared" si="75"/>
        <v>1566</v>
      </c>
      <c r="F1002" s="447">
        <f t="shared" si="74"/>
        <v>2460</v>
      </c>
      <c r="G1002" s="1378">
        <f t="shared" si="74"/>
        <v>0</v>
      </c>
      <c r="H1002" s="448">
        <f t="shared" si="74"/>
        <v>1227</v>
      </c>
      <c r="I1002" s="448">
        <f t="shared" si="74"/>
        <v>3065</v>
      </c>
      <c r="J1002" s="447">
        <f t="shared" si="71"/>
        <v>3959</v>
      </c>
      <c r="K1002" s="422"/>
      <c r="L1002" s="448">
        <f t="shared" si="73"/>
        <v>49875</v>
      </c>
    </row>
    <row r="1003" spans="1:12" ht="13.5">
      <c r="A1003" s="448">
        <v>49900</v>
      </c>
      <c r="B1003" s="447">
        <v>49950</v>
      </c>
      <c r="C1003" s="1378">
        <f t="shared" si="75"/>
        <v>0</v>
      </c>
      <c r="D1003" s="448">
        <f t="shared" si="75"/>
        <v>81</v>
      </c>
      <c r="E1003" s="448">
        <f t="shared" si="75"/>
        <v>1555</v>
      </c>
      <c r="F1003" s="447">
        <f t="shared" si="74"/>
        <v>2449</v>
      </c>
      <c r="G1003" s="1378">
        <f t="shared" si="74"/>
        <v>0</v>
      </c>
      <c r="H1003" s="448">
        <f t="shared" si="74"/>
        <v>1219</v>
      </c>
      <c r="I1003" s="448">
        <f t="shared" si="74"/>
        <v>3055</v>
      </c>
      <c r="J1003" s="447">
        <f t="shared" si="71"/>
        <v>3949</v>
      </c>
      <c r="K1003" s="422"/>
      <c r="L1003" s="448">
        <f t="shared" si="73"/>
        <v>49925</v>
      </c>
    </row>
    <row r="1004" spans="1:12" ht="13.5">
      <c r="A1004" s="448">
        <v>49950</v>
      </c>
      <c r="B1004" s="447">
        <v>50000</v>
      </c>
      <c r="C1004" s="1378">
        <f t="shared" si="75"/>
        <v>0</v>
      </c>
      <c r="D1004" s="448">
        <f t="shared" si="75"/>
        <v>73</v>
      </c>
      <c r="E1004" s="448">
        <f t="shared" si="75"/>
        <v>1545</v>
      </c>
      <c r="F1004" s="447">
        <f t="shared" si="74"/>
        <v>2439</v>
      </c>
      <c r="G1004" s="1378">
        <f t="shared" si="74"/>
        <v>0</v>
      </c>
      <c r="H1004" s="448">
        <f t="shared" si="74"/>
        <v>1211</v>
      </c>
      <c r="I1004" s="448">
        <f t="shared" si="74"/>
        <v>3044</v>
      </c>
      <c r="J1004" s="447">
        <f t="shared" si="71"/>
        <v>3938</v>
      </c>
      <c r="K1004" s="422"/>
      <c r="L1004" s="448">
        <f t="shared" si="73"/>
        <v>49975</v>
      </c>
    </row>
    <row r="1005" spans="1:12" ht="13.5">
      <c r="A1005" s="448">
        <v>50000</v>
      </c>
      <c r="B1005" s="447">
        <v>50050</v>
      </c>
      <c r="C1005" s="1378">
        <f t="shared" si="75"/>
        <v>0</v>
      </c>
      <c r="D1005" s="448">
        <f t="shared" si="75"/>
        <v>65</v>
      </c>
      <c r="E1005" s="448">
        <f t="shared" si="75"/>
        <v>1534</v>
      </c>
      <c r="F1005" s="447">
        <f t="shared" si="74"/>
        <v>2428</v>
      </c>
      <c r="G1005" s="1378">
        <f t="shared" si="74"/>
        <v>0</v>
      </c>
      <c r="H1005" s="448">
        <f t="shared" si="74"/>
        <v>1203</v>
      </c>
      <c r="I1005" s="448">
        <f t="shared" si="74"/>
        <v>3034</v>
      </c>
      <c r="J1005" s="447">
        <f t="shared" si="71"/>
        <v>3928</v>
      </c>
      <c r="K1005" s="422"/>
      <c r="L1005" s="448">
        <f t="shared" si="73"/>
        <v>50025</v>
      </c>
    </row>
    <row r="1006" spans="1:12" ht="13.5">
      <c r="A1006" s="448">
        <v>50050</v>
      </c>
      <c r="B1006" s="447">
        <v>50100</v>
      </c>
      <c r="C1006" s="1378">
        <f t="shared" si="75"/>
        <v>0</v>
      </c>
      <c r="D1006" s="448">
        <f t="shared" si="75"/>
        <v>57</v>
      </c>
      <c r="E1006" s="448">
        <f t="shared" si="75"/>
        <v>1524</v>
      </c>
      <c r="F1006" s="447">
        <f t="shared" si="74"/>
        <v>2418</v>
      </c>
      <c r="G1006" s="1378">
        <f t="shared" si="74"/>
        <v>0</v>
      </c>
      <c r="H1006" s="448">
        <f t="shared" si="74"/>
        <v>1195</v>
      </c>
      <c r="I1006" s="448">
        <f t="shared" si="74"/>
        <v>3023</v>
      </c>
      <c r="J1006" s="447">
        <f t="shared" si="71"/>
        <v>3917</v>
      </c>
      <c r="K1006" s="422"/>
      <c r="L1006" s="448">
        <f t="shared" si="73"/>
        <v>50075</v>
      </c>
    </row>
    <row r="1007" spans="1:12" ht="13.5">
      <c r="A1007" s="448">
        <v>50100</v>
      </c>
      <c r="B1007" s="447">
        <v>50150</v>
      </c>
      <c r="C1007" s="1378">
        <f t="shared" si="75"/>
        <v>0</v>
      </c>
      <c r="D1007" s="448">
        <f t="shared" si="75"/>
        <v>49</v>
      </c>
      <c r="E1007" s="448">
        <f t="shared" si="75"/>
        <v>1513</v>
      </c>
      <c r="F1007" s="447">
        <f t="shared" si="74"/>
        <v>2407</v>
      </c>
      <c r="G1007" s="1378">
        <f t="shared" si="74"/>
        <v>0</v>
      </c>
      <c r="H1007" s="448">
        <f t="shared" si="74"/>
        <v>1187</v>
      </c>
      <c r="I1007" s="448">
        <f t="shared" si="74"/>
        <v>3013</v>
      </c>
      <c r="J1007" s="447">
        <f t="shared" si="71"/>
        <v>3907</v>
      </c>
      <c r="K1007" s="422"/>
      <c r="L1007" s="448">
        <f t="shared" si="73"/>
        <v>50125</v>
      </c>
    </row>
    <row r="1008" spans="1:12" ht="13.5">
      <c r="A1008" s="448">
        <v>50150</v>
      </c>
      <c r="B1008" s="447">
        <v>50200</v>
      </c>
      <c r="C1008" s="1378">
        <f t="shared" si="75"/>
        <v>0</v>
      </c>
      <c r="D1008" s="448">
        <f t="shared" si="75"/>
        <v>41</v>
      </c>
      <c r="E1008" s="448">
        <f t="shared" si="75"/>
        <v>1503</v>
      </c>
      <c r="F1008" s="447">
        <f t="shared" si="74"/>
        <v>2397</v>
      </c>
      <c r="G1008" s="1378">
        <f t="shared" si="74"/>
        <v>0</v>
      </c>
      <c r="H1008" s="448">
        <f t="shared" si="74"/>
        <v>1179</v>
      </c>
      <c r="I1008" s="448">
        <f t="shared" si="74"/>
        <v>3002</v>
      </c>
      <c r="J1008" s="447">
        <f t="shared" si="71"/>
        <v>3896</v>
      </c>
      <c r="K1008" s="422"/>
      <c r="L1008" s="448">
        <f t="shared" si="73"/>
        <v>50175</v>
      </c>
    </row>
    <row r="1009" spans="1:12" ht="13.5">
      <c r="A1009" s="448">
        <v>50200</v>
      </c>
      <c r="B1009" s="447">
        <v>50250</v>
      </c>
      <c r="C1009" s="1378">
        <f t="shared" si="75"/>
        <v>0</v>
      </c>
      <c r="D1009" s="448">
        <f t="shared" si="75"/>
        <v>33</v>
      </c>
      <c r="E1009" s="448">
        <f t="shared" si="75"/>
        <v>1492</v>
      </c>
      <c r="F1009" s="447">
        <f t="shared" si="74"/>
        <v>2386</v>
      </c>
      <c r="G1009" s="1378">
        <f t="shared" si="74"/>
        <v>0</v>
      </c>
      <c r="H1009" s="448">
        <f t="shared" si="74"/>
        <v>1171</v>
      </c>
      <c r="I1009" s="448">
        <f t="shared" si="74"/>
        <v>2992</v>
      </c>
      <c r="J1009" s="447">
        <f t="shared" si="71"/>
        <v>3886</v>
      </c>
      <c r="K1009" s="422"/>
      <c r="L1009" s="448">
        <f t="shared" si="73"/>
        <v>50225</v>
      </c>
    </row>
    <row r="1010" spans="1:12" ht="13.5">
      <c r="A1010" s="448">
        <v>50250</v>
      </c>
      <c r="B1010" s="447">
        <v>50300</v>
      </c>
      <c r="C1010" s="1378">
        <f t="shared" si="75"/>
        <v>0</v>
      </c>
      <c r="D1010" s="448">
        <f t="shared" si="75"/>
        <v>25</v>
      </c>
      <c r="E1010" s="448">
        <f t="shared" si="75"/>
        <v>1482</v>
      </c>
      <c r="F1010" s="447">
        <f t="shared" si="74"/>
        <v>2376</v>
      </c>
      <c r="G1010" s="1378">
        <f t="shared" si="74"/>
        <v>0</v>
      </c>
      <c r="H1010" s="448">
        <f t="shared" si="74"/>
        <v>1163</v>
      </c>
      <c r="I1010" s="448">
        <f t="shared" si="74"/>
        <v>2981</v>
      </c>
      <c r="J1010" s="447">
        <f t="shared" si="71"/>
        <v>3875</v>
      </c>
      <c r="K1010" s="422"/>
      <c r="L1010" s="448">
        <f t="shared" si="73"/>
        <v>50275</v>
      </c>
    </row>
    <row r="1011" spans="1:12" ht="13.5">
      <c r="A1011" s="448">
        <v>50300</v>
      </c>
      <c r="B1011" s="447">
        <v>50350</v>
      </c>
      <c r="C1011" s="1378">
        <f t="shared" si="75"/>
        <v>0</v>
      </c>
      <c r="D1011" s="448">
        <f t="shared" si="75"/>
        <v>17</v>
      </c>
      <c r="E1011" s="448">
        <f t="shared" si="75"/>
        <v>1471</v>
      </c>
      <c r="F1011" s="447">
        <f t="shared" si="74"/>
        <v>2365</v>
      </c>
      <c r="G1011" s="1378">
        <f t="shared" si="74"/>
        <v>0</v>
      </c>
      <c r="H1011" s="448">
        <f t="shared" si="74"/>
        <v>1155</v>
      </c>
      <c r="I1011" s="448">
        <f t="shared" si="74"/>
        <v>2971</v>
      </c>
      <c r="J1011" s="447">
        <f t="shared" si="74"/>
        <v>3865</v>
      </c>
      <c r="K1011" s="422"/>
      <c r="L1011" s="448">
        <f t="shared" si="73"/>
        <v>50325</v>
      </c>
    </row>
    <row r="1012" spans="1:12" ht="14.25" thickBot="1">
      <c r="A1012" s="448">
        <v>50350</v>
      </c>
      <c r="B1012" s="447">
        <v>50400</v>
      </c>
      <c r="C1012" s="1378">
        <f t="shared" si="75"/>
        <v>0</v>
      </c>
      <c r="D1012" s="448">
        <f t="shared" si="75"/>
        <v>9</v>
      </c>
      <c r="E1012" s="448">
        <f t="shared" si="75"/>
        <v>1461</v>
      </c>
      <c r="F1012" s="447">
        <f t="shared" si="74"/>
        <v>2355</v>
      </c>
      <c r="G1012" s="1378">
        <f t="shared" si="74"/>
        <v>0</v>
      </c>
      <c r="H1012" s="448">
        <f t="shared" si="74"/>
        <v>1147</v>
      </c>
      <c r="I1012" s="448">
        <f t="shared" si="74"/>
        <v>2960</v>
      </c>
      <c r="J1012" s="447">
        <f t="shared" si="74"/>
        <v>3854</v>
      </c>
      <c r="K1012" s="422"/>
      <c r="L1012" s="448">
        <f t="shared" si="73"/>
        <v>50375</v>
      </c>
    </row>
    <row r="1013" spans="1:12" ht="13.5">
      <c r="A1013" s="6558">
        <v>50400</v>
      </c>
      <c r="B1013" s="6559">
        <v>50434</v>
      </c>
      <c r="C1013" s="1378">
        <f t="shared" si="75"/>
        <v>0</v>
      </c>
      <c r="D1013" s="448">
        <f t="shared" si="75"/>
        <v>3</v>
      </c>
      <c r="E1013" s="448">
        <f t="shared" si="75"/>
        <v>1452</v>
      </c>
      <c r="F1013" s="447">
        <f t="shared" si="74"/>
        <v>2346</v>
      </c>
      <c r="G1013" s="1378">
        <f t="shared" si="74"/>
        <v>0</v>
      </c>
      <c r="H1013" s="448">
        <f t="shared" si="74"/>
        <v>1140</v>
      </c>
      <c r="I1013" s="448">
        <f t="shared" si="74"/>
        <v>2951</v>
      </c>
      <c r="J1013" s="447">
        <f t="shared" si="74"/>
        <v>3845</v>
      </c>
      <c r="K1013" s="422"/>
      <c r="L1013" s="448">
        <f t="shared" si="73"/>
        <v>50417</v>
      </c>
    </row>
    <row r="1014" spans="1:12" ht="14.25" thickBot="1">
      <c r="A1014" s="6560">
        <v>50434</v>
      </c>
      <c r="B1014" s="6561">
        <v>50450</v>
      </c>
      <c r="C1014" s="1378">
        <f>IF($L1014&gt;N$5,MAX(0,N$3+ROUND((N$9*($L1014-N$5)),0)),IF($L1014&gt;N$4,N$3,ROUND($L1014*N$7,0)))</f>
        <v>0</v>
      </c>
      <c r="D1014" s="448">
        <f>IF($L1014&gt;O$5,MAX(0,O$3+ROUND((O$9*($L1014-O$5)),0)),IF($L1014&gt;O$4,O$3,ROUND($L1014*O$7,0)))</f>
        <v>0</v>
      </c>
      <c r="E1014" s="448">
        <v>1452</v>
      </c>
      <c r="F1014" s="447">
        <v>2346</v>
      </c>
      <c r="G1014" s="1378">
        <v>0</v>
      </c>
      <c r="H1014" s="448">
        <v>1140</v>
      </c>
      <c r="I1014" s="448">
        <v>2951</v>
      </c>
      <c r="J1014" s="447">
        <v>3845</v>
      </c>
      <c r="K1014" s="422"/>
      <c r="L1014" s="448">
        <f>ROUND((A1014+B1014)/2,2)</f>
        <v>50442</v>
      </c>
    </row>
    <row r="1015" spans="1:12" ht="13.5">
      <c r="A1015" s="448">
        <v>50450</v>
      </c>
      <c r="B1015" s="447">
        <v>50500</v>
      </c>
      <c r="C1015" s="1378">
        <f t="shared" si="75"/>
        <v>0</v>
      </c>
      <c r="D1015" s="448">
        <f t="shared" si="75"/>
        <v>0</v>
      </c>
      <c r="E1015" s="448">
        <f t="shared" si="75"/>
        <v>1439</v>
      </c>
      <c r="F1015" s="447">
        <f t="shared" si="74"/>
        <v>2333</v>
      </c>
      <c r="G1015" s="1378">
        <f t="shared" si="74"/>
        <v>0</v>
      </c>
      <c r="H1015" s="448">
        <f t="shared" si="74"/>
        <v>1131</v>
      </c>
      <c r="I1015" s="448">
        <f t="shared" si="74"/>
        <v>2939</v>
      </c>
      <c r="J1015" s="447">
        <f t="shared" si="74"/>
        <v>3833</v>
      </c>
      <c r="K1015" s="422"/>
      <c r="L1015" s="448">
        <f t="shared" si="73"/>
        <v>50475</v>
      </c>
    </row>
    <row r="1016" spans="1:12" ht="13.5">
      <c r="A1016" s="448">
        <v>50500</v>
      </c>
      <c r="B1016" s="447">
        <v>50550</v>
      </c>
      <c r="C1016" s="1378">
        <f t="shared" si="75"/>
        <v>0</v>
      </c>
      <c r="D1016" s="448">
        <f t="shared" si="75"/>
        <v>0</v>
      </c>
      <c r="E1016" s="448">
        <f t="shared" si="75"/>
        <v>1429</v>
      </c>
      <c r="F1016" s="447">
        <f t="shared" si="74"/>
        <v>2323</v>
      </c>
      <c r="G1016" s="1378">
        <f t="shared" si="74"/>
        <v>0</v>
      </c>
      <c r="H1016" s="448">
        <f t="shared" si="74"/>
        <v>1123</v>
      </c>
      <c r="I1016" s="448">
        <f t="shared" si="74"/>
        <v>2928</v>
      </c>
      <c r="J1016" s="447">
        <f t="shared" si="74"/>
        <v>3822</v>
      </c>
      <c r="K1016" s="422"/>
      <c r="L1016" s="448">
        <f t="shared" si="73"/>
        <v>50525</v>
      </c>
    </row>
    <row r="1017" spans="1:12" ht="13.5">
      <c r="A1017" s="448">
        <v>50550</v>
      </c>
      <c r="B1017" s="447">
        <v>50600</v>
      </c>
      <c r="C1017" s="1378">
        <f t="shared" si="75"/>
        <v>0</v>
      </c>
      <c r="D1017" s="448">
        <f t="shared" si="75"/>
        <v>0</v>
      </c>
      <c r="E1017" s="448">
        <f t="shared" si="75"/>
        <v>1418</v>
      </c>
      <c r="F1017" s="447">
        <f t="shared" si="74"/>
        <v>2312</v>
      </c>
      <c r="G1017" s="1378">
        <f t="shared" si="74"/>
        <v>0</v>
      </c>
      <c r="H1017" s="448">
        <f t="shared" si="74"/>
        <v>1115</v>
      </c>
      <c r="I1017" s="448">
        <f t="shared" si="74"/>
        <v>2918</v>
      </c>
      <c r="J1017" s="447">
        <f t="shared" si="74"/>
        <v>3812</v>
      </c>
      <c r="K1017" s="422"/>
      <c r="L1017" s="448">
        <f t="shared" si="73"/>
        <v>50575</v>
      </c>
    </row>
    <row r="1018" spans="1:12" ht="13.5">
      <c r="A1018" s="448">
        <v>50600</v>
      </c>
      <c r="B1018" s="447">
        <v>50650</v>
      </c>
      <c r="C1018" s="1378">
        <f t="shared" si="75"/>
        <v>0</v>
      </c>
      <c r="D1018" s="448">
        <f t="shared" si="75"/>
        <v>0</v>
      </c>
      <c r="E1018" s="448">
        <f t="shared" si="75"/>
        <v>1408</v>
      </c>
      <c r="F1018" s="447">
        <f t="shared" si="74"/>
        <v>2302</v>
      </c>
      <c r="G1018" s="1378">
        <f t="shared" si="74"/>
        <v>0</v>
      </c>
      <c r="H1018" s="448">
        <f t="shared" si="74"/>
        <v>1107</v>
      </c>
      <c r="I1018" s="448">
        <f t="shared" si="74"/>
        <v>2907</v>
      </c>
      <c r="J1018" s="447">
        <f t="shared" si="74"/>
        <v>3801</v>
      </c>
      <c r="K1018" s="422"/>
      <c r="L1018" s="448">
        <f t="shared" si="73"/>
        <v>50625</v>
      </c>
    </row>
    <row r="1019" spans="1:12" ht="13.5">
      <c r="A1019" s="448">
        <v>50650</v>
      </c>
      <c r="B1019" s="447">
        <v>50700</v>
      </c>
      <c r="C1019" s="1378">
        <f t="shared" si="75"/>
        <v>0</v>
      </c>
      <c r="D1019" s="448">
        <f t="shared" si="75"/>
        <v>0</v>
      </c>
      <c r="E1019" s="448">
        <f t="shared" si="75"/>
        <v>1397</v>
      </c>
      <c r="F1019" s="447">
        <f t="shared" si="74"/>
        <v>2291</v>
      </c>
      <c r="G1019" s="1378">
        <f t="shared" si="74"/>
        <v>0</v>
      </c>
      <c r="H1019" s="448">
        <f t="shared" si="74"/>
        <v>1099</v>
      </c>
      <c r="I1019" s="448">
        <f t="shared" si="74"/>
        <v>2897</v>
      </c>
      <c r="J1019" s="447">
        <f t="shared" si="74"/>
        <v>3791</v>
      </c>
      <c r="K1019" s="422"/>
      <c r="L1019" s="448">
        <f t="shared" si="73"/>
        <v>50675</v>
      </c>
    </row>
    <row r="1020" spans="1:12" ht="13.5">
      <c r="A1020" s="448">
        <v>50700</v>
      </c>
      <c r="B1020" s="447">
        <v>50750</v>
      </c>
      <c r="C1020" s="1378">
        <f t="shared" si="75"/>
        <v>0</v>
      </c>
      <c r="D1020" s="448">
        <f t="shared" si="75"/>
        <v>0</v>
      </c>
      <c r="E1020" s="448">
        <f t="shared" si="75"/>
        <v>1387</v>
      </c>
      <c r="F1020" s="447">
        <f t="shared" si="74"/>
        <v>2281</v>
      </c>
      <c r="G1020" s="1378">
        <f t="shared" si="74"/>
        <v>0</v>
      </c>
      <c r="H1020" s="448">
        <f t="shared" si="74"/>
        <v>1091</v>
      </c>
      <c r="I1020" s="448">
        <f t="shared" si="74"/>
        <v>2886</v>
      </c>
      <c r="J1020" s="447">
        <f t="shared" si="74"/>
        <v>3780</v>
      </c>
      <c r="K1020" s="422"/>
      <c r="L1020" s="448">
        <f t="shared" si="73"/>
        <v>50725</v>
      </c>
    </row>
    <row r="1021" spans="1:12" ht="13.5">
      <c r="A1021" s="448">
        <v>50750</v>
      </c>
      <c r="B1021" s="447">
        <v>50800</v>
      </c>
      <c r="C1021" s="1378">
        <f t="shared" si="75"/>
        <v>0</v>
      </c>
      <c r="D1021" s="448">
        <f t="shared" si="75"/>
        <v>0</v>
      </c>
      <c r="E1021" s="448">
        <f t="shared" si="75"/>
        <v>1376</v>
      </c>
      <c r="F1021" s="447">
        <f t="shared" si="74"/>
        <v>2270</v>
      </c>
      <c r="G1021" s="1378">
        <f t="shared" si="74"/>
        <v>0</v>
      </c>
      <c r="H1021" s="448">
        <f t="shared" si="74"/>
        <v>1083</v>
      </c>
      <c r="I1021" s="448">
        <f t="shared" si="74"/>
        <v>2876</v>
      </c>
      <c r="J1021" s="447">
        <f t="shared" si="74"/>
        <v>3770</v>
      </c>
      <c r="K1021" s="422"/>
      <c r="L1021" s="448">
        <f t="shared" si="73"/>
        <v>50775</v>
      </c>
    </row>
    <row r="1022" spans="1:12" ht="13.5">
      <c r="A1022" s="448">
        <v>50800</v>
      </c>
      <c r="B1022" s="447">
        <v>50850</v>
      </c>
      <c r="C1022" s="1378">
        <f t="shared" si="75"/>
        <v>0</v>
      </c>
      <c r="D1022" s="448">
        <f t="shared" si="75"/>
        <v>0</v>
      </c>
      <c r="E1022" s="448">
        <f t="shared" si="75"/>
        <v>1366</v>
      </c>
      <c r="F1022" s="447">
        <f t="shared" si="74"/>
        <v>2260</v>
      </c>
      <c r="G1022" s="1378">
        <f t="shared" si="74"/>
        <v>0</v>
      </c>
      <c r="H1022" s="448">
        <f t="shared" si="74"/>
        <v>1075</v>
      </c>
      <c r="I1022" s="448">
        <f t="shared" si="74"/>
        <v>2865</v>
      </c>
      <c r="J1022" s="447">
        <f t="shared" si="74"/>
        <v>3759</v>
      </c>
      <c r="K1022" s="422"/>
      <c r="L1022" s="448">
        <f t="shared" si="73"/>
        <v>50825</v>
      </c>
    </row>
    <row r="1023" spans="1:12" ht="13.5">
      <c r="A1023" s="448">
        <v>50850</v>
      </c>
      <c r="B1023" s="447">
        <v>50900</v>
      </c>
      <c r="C1023" s="1378">
        <f t="shared" si="75"/>
        <v>0</v>
      </c>
      <c r="D1023" s="448">
        <f t="shared" si="75"/>
        <v>0</v>
      </c>
      <c r="E1023" s="448">
        <f t="shared" si="75"/>
        <v>1355</v>
      </c>
      <c r="F1023" s="447">
        <f t="shared" si="74"/>
        <v>2249</v>
      </c>
      <c r="G1023" s="1378">
        <f t="shared" si="74"/>
        <v>0</v>
      </c>
      <c r="H1023" s="448">
        <f t="shared" si="74"/>
        <v>1067</v>
      </c>
      <c r="I1023" s="448">
        <f t="shared" si="74"/>
        <v>2855</v>
      </c>
      <c r="J1023" s="447">
        <f t="shared" si="74"/>
        <v>3749</v>
      </c>
      <c r="K1023" s="422"/>
      <c r="L1023" s="448">
        <f t="shared" si="73"/>
        <v>50875</v>
      </c>
    </row>
    <row r="1024" spans="1:12" ht="13.5">
      <c r="A1024" s="448">
        <v>50900</v>
      </c>
      <c r="B1024" s="447">
        <v>50950</v>
      </c>
      <c r="C1024" s="1378">
        <f t="shared" si="75"/>
        <v>0</v>
      </c>
      <c r="D1024" s="448">
        <f t="shared" si="75"/>
        <v>0</v>
      </c>
      <c r="E1024" s="448">
        <f t="shared" si="75"/>
        <v>1345</v>
      </c>
      <c r="F1024" s="447">
        <f t="shared" si="74"/>
        <v>2239</v>
      </c>
      <c r="G1024" s="1378">
        <f t="shared" si="74"/>
        <v>0</v>
      </c>
      <c r="H1024" s="448">
        <f t="shared" si="74"/>
        <v>1059</v>
      </c>
      <c r="I1024" s="448">
        <f t="shared" si="74"/>
        <v>2844</v>
      </c>
      <c r="J1024" s="447">
        <f t="shared" si="74"/>
        <v>3738</v>
      </c>
      <c r="K1024" s="422"/>
      <c r="L1024" s="448">
        <f t="shared" si="73"/>
        <v>50925</v>
      </c>
    </row>
    <row r="1025" spans="1:12" ht="13.5">
      <c r="A1025" s="448">
        <v>50950</v>
      </c>
      <c r="B1025" s="447">
        <v>51000</v>
      </c>
      <c r="C1025" s="1378">
        <f t="shared" si="75"/>
        <v>0</v>
      </c>
      <c r="D1025" s="448">
        <f t="shared" si="75"/>
        <v>0</v>
      </c>
      <c r="E1025" s="448">
        <f t="shared" si="75"/>
        <v>1334</v>
      </c>
      <c r="F1025" s="447">
        <f t="shared" si="74"/>
        <v>2228</v>
      </c>
      <c r="G1025" s="1378">
        <f t="shared" si="74"/>
        <v>0</v>
      </c>
      <c r="H1025" s="448">
        <f t="shared" si="74"/>
        <v>1051</v>
      </c>
      <c r="I1025" s="448">
        <f t="shared" si="74"/>
        <v>2834</v>
      </c>
      <c r="J1025" s="447">
        <f t="shared" si="74"/>
        <v>3728</v>
      </c>
      <c r="K1025" s="422"/>
      <c r="L1025" s="448">
        <f t="shared" si="73"/>
        <v>50975</v>
      </c>
    </row>
    <row r="1026" spans="1:12" ht="13.5">
      <c r="A1026" s="448">
        <v>51000</v>
      </c>
      <c r="B1026" s="447">
        <v>51050</v>
      </c>
      <c r="C1026" s="1378">
        <f t="shared" si="75"/>
        <v>0</v>
      </c>
      <c r="D1026" s="448">
        <f t="shared" si="75"/>
        <v>0</v>
      </c>
      <c r="E1026" s="448">
        <f t="shared" si="75"/>
        <v>1324</v>
      </c>
      <c r="F1026" s="447">
        <f t="shared" si="74"/>
        <v>2218</v>
      </c>
      <c r="G1026" s="1378">
        <f t="shared" si="74"/>
        <v>0</v>
      </c>
      <c r="H1026" s="448">
        <f t="shared" si="74"/>
        <v>1043</v>
      </c>
      <c r="I1026" s="448">
        <f t="shared" si="74"/>
        <v>2823</v>
      </c>
      <c r="J1026" s="447">
        <f t="shared" si="74"/>
        <v>3717</v>
      </c>
      <c r="K1026" s="422"/>
      <c r="L1026" s="448">
        <f t="shared" si="73"/>
        <v>51025</v>
      </c>
    </row>
    <row r="1027" spans="1:12" ht="13.5">
      <c r="A1027" s="448">
        <v>51050</v>
      </c>
      <c r="B1027" s="447">
        <v>51100</v>
      </c>
      <c r="C1027" s="1378">
        <f t="shared" si="75"/>
        <v>0</v>
      </c>
      <c r="D1027" s="448">
        <f t="shared" si="75"/>
        <v>0</v>
      </c>
      <c r="E1027" s="448">
        <f t="shared" si="75"/>
        <v>1313</v>
      </c>
      <c r="F1027" s="447">
        <f t="shared" si="74"/>
        <v>2207</v>
      </c>
      <c r="G1027" s="1378">
        <f t="shared" si="74"/>
        <v>0</v>
      </c>
      <c r="H1027" s="448">
        <f t="shared" si="74"/>
        <v>1035</v>
      </c>
      <c r="I1027" s="448">
        <f t="shared" si="74"/>
        <v>2813</v>
      </c>
      <c r="J1027" s="447">
        <f t="shared" si="74"/>
        <v>3707</v>
      </c>
      <c r="K1027" s="422"/>
      <c r="L1027" s="448">
        <f t="shared" si="73"/>
        <v>51075</v>
      </c>
    </row>
    <row r="1028" spans="1:12" ht="13.5">
      <c r="A1028" s="448">
        <v>51100</v>
      </c>
      <c r="B1028" s="447">
        <v>51150</v>
      </c>
      <c r="C1028" s="1378">
        <f t="shared" si="75"/>
        <v>0</v>
      </c>
      <c r="D1028" s="448">
        <f t="shared" si="75"/>
        <v>0</v>
      </c>
      <c r="E1028" s="448">
        <f t="shared" si="75"/>
        <v>1303</v>
      </c>
      <c r="F1028" s="447">
        <f t="shared" si="74"/>
        <v>2197</v>
      </c>
      <c r="G1028" s="1378">
        <f t="shared" si="74"/>
        <v>0</v>
      </c>
      <c r="H1028" s="448">
        <f t="shared" si="74"/>
        <v>1027</v>
      </c>
      <c r="I1028" s="448">
        <f t="shared" si="74"/>
        <v>2802</v>
      </c>
      <c r="J1028" s="447">
        <f t="shared" si="74"/>
        <v>3696</v>
      </c>
      <c r="K1028" s="422"/>
      <c r="L1028" s="448">
        <f t="shared" si="73"/>
        <v>51125</v>
      </c>
    </row>
    <row r="1029" spans="1:12" ht="13.5">
      <c r="A1029" s="448">
        <v>51150</v>
      </c>
      <c r="B1029" s="447">
        <v>51200</v>
      </c>
      <c r="C1029" s="1378">
        <f t="shared" si="75"/>
        <v>0</v>
      </c>
      <c r="D1029" s="448">
        <f t="shared" si="75"/>
        <v>0</v>
      </c>
      <c r="E1029" s="448">
        <f t="shared" si="75"/>
        <v>1292</v>
      </c>
      <c r="F1029" s="447">
        <f t="shared" si="74"/>
        <v>2186</v>
      </c>
      <c r="G1029" s="1378">
        <f t="shared" si="74"/>
        <v>0</v>
      </c>
      <c r="H1029" s="448">
        <f t="shared" si="74"/>
        <v>1019</v>
      </c>
      <c r="I1029" s="448">
        <f t="shared" si="74"/>
        <v>2792</v>
      </c>
      <c r="J1029" s="447">
        <f t="shared" si="74"/>
        <v>3686</v>
      </c>
      <c r="K1029" s="422"/>
      <c r="L1029" s="448">
        <f t="shared" si="73"/>
        <v>51175</v>
      </c>
    </row>
    <row r="1030" spans="1:12" ht="13.5">
      <c r="A1030" s="448">
        <v>51200</v>
      </c>
      <c r="B1030" s="447">
        <v>51250</v>
      </c>
      <c r="C1030" s="1378">
        <f t="shared" si="75"/>
        <v>0</v>
      </c>
      <c r="D1030" s="448">
        <f t="shared" si="75"/>
        <v>0</v>
      </c>
      <c r="E1030" s="448">
        <f t="shared" si="75"/>
        <v>1281</v>
      </c>
      <c r="F1030" s="447">
        <f t="shared" si="74"/>
        <v>2175</v>
      </c>
      <c r="G1030" s="1378">
        <f t="shared" si="74"/>
        <v>0</v>
      </c>
      <c r="H1030" s="448">
        <f t="shared" si="74"/>
        <v>1011</v>
      </c>
      <c r="I1030" s="448">
        <f t="shared" si="74"/>
        <v>2781</v>
      </c>
      <c r="J1030" s="447">
        <f t="shared" si="74"/>
        <v>3675</v>
      </c>
      <c r="K1030" s="422"/>
      <c r="L1030" s="448">
        <f t="shared" si="73"/>
        <v>51225</v>
      </c>
    </row>
    <row r="1031" spans="1:12" ht="13.5">
      <c r="A1031" s="448">
        <v>51250</v>
      </c>
      <c r="B1031" s="447">
        <v>51300</v>
      </c>
      <c r="C1031" s="1378">
        <f t="shared" si="75"/>
        <v>0</v>
      </c>
      <c r="D1031" s="448">
        <f t="shared" si="75"/>
        <v>0</v>
      </c>
      <c r="E1031" s="448">
        <f t="shared" si="75"/>
        <v>1271</v>
      </c>
      <c r="F1031" s="447">
        <f t="shared" si="74"/>
        <v>2165</v>
      </c>
      <c r="G1031" s="1378">
        <f t="shared" si="74"/>
        <v>0</v>
      </c>
      <c r="H1031" s="448">
        <f t="shared" si="74"/>
        <v>1003</v>
      </c>
      <c r="I1031" s="448">
        <f t="shared" si="74"/>
        <v>2770</v>
      </c>
      <c r="J1031" s="447">
        <f t="shared" si="74"/>
        <v>3664</v>
      </c>
      <c r="K1031" s="422"/>
      <c r="L1031" s="448">
        <f t="shared" si="73"/>
        <v>51275</v>
      </c>
    </row>
    <row r="1032" spans="1:12" ht="13.5">
      <c r="A1032" s="448">
        <v>51300</v>
      </c>
      <c r="B1032" s="447">
        <v>51350</v>
      </c>
      <c r="C1032" s="1378">
        <f t="shared" si="75"/>
        <v>0</v>
      </c>
      <c r="D1032" s="448">
        <f t="shared" si="75"/>
        <v>0</v>
      </c>
      <c r="E1032" s="448">
        <f t="shared" si="75"/>
        <v>1260</v>
      </c>
      <c r="F1032" s="447">
        <f t="shared" si="74"/>
        <v>2154</v>
      </c>
      <c r="G1032" s="1378">
        <f t="shared" si="74"/>
        <v>0</v>
      </c>
      <c r="H1032" s="448">
        <f t="shared" si="74"/>
        <v>995</v>
      </c>
      <c r="I1032" s="448">
        <f t="shared" si="74"/>
        <v>2760</v>
      </c>
      <c r="J1032" s="447">
        <f t="shared" si="74"/>
        <v>3654</v>
      </c>
      <c r="K1032" s="422"/>
      <c r="L1032" s="448">
        <f t="shared" si="73"/>
        <v>51325</v>
      </c>
    </row>
    <row r="1033" spans="1:12" ht="13.5">
      <c r="A1033" s="448">
        <v>51350</v>
      </c>
      <c r="B1033" s="447">
        <v>51400</v>
      </c>
      <c r="C1033" s="1378">
        <f t="shared" si="75"/>
        <v>0</v>
      </c>
      <c r="D1033" s="448">
        <f t="shared" si="75"/>
        <v>0</v>
      </c>
      <c r="E1033" s="448">
        <f t="shared" si="75"/>
        <v>1250</v>
      </c>
      <c r="F1033" s="447">
        <f t="shared" si="74"/>
        <v>2144</v>
      </c>
      <c r="G1033" s="1378">
        <f t="shared" si="74"/>
        <v>0</v>
      </c>
      <c r="H1033" s="448">
        <f t="shared" si="74"/>
        <v>987</v>
      </c>
      <c r="I1033" s="448">
        <f t="shared" si="74"/>
        <v>2749</v>
      </c>
      <c r="J1033" s="447">
        <f t="shared" si="74"/>
        <v>3643</v>
      </c>
      <c r="K1033" s="422"/>
      <c r="L1033" s="448">
        <f t="shared" ref="L1033:L1098" si="76">ROUND((A1033+B1033)/2,2)</f>
        <v>51375</v>
      </c>
    </row>
    <row r="1034" spans="1:12" ht="13.5">
      <c r="A1034" s="448">
        <v>51400</v>
      </c>
      <c r="B1034" s="447">
        <v>51450</v>
      </c>
      <c r="C1034" s="1378">
        <f t="shared" si="75"/>
        <v>0</v>
      </c>
      <c r="D1034" s="448">
        <f t="shared" si="75"/>
        <v>0</v>
      </c>
      <c r="E1034" s="448">
        <f t="shared" si="75"/>
        <v>1239</v>
      </c>
      <c r="F1034" s="447">
        <f t="shared" si="74"/>
        <v>2133</v>
      </c>
      <c r="G1034" s="1378">
        <f t="shared" si="74"/>
        <v>0</v>
      </c>
      <c r="H1034" s="448">
        <f t="shared" si="74"/>
        <v>979</v>
      </c>
      <c r="I1034" s="448">
        <f t="shared" si="74"/>
        <v>2739</v>
      </c>
      <c r="J1034" s="447">
        <f t="shared" si="74"/>
        <v>3633</v>
      </c>
      <c r="K1034" s="422"/>
      <c r="L1034" s="448">
        <f t="shared" si="76"/>
        <v>51425</v>
      </c>
    </row>
    <row r="1035" spans="1:12" ht="13.5">
      <c r="A1035" s="448">
        <v>51450</v>
      </c>
      <c r="B1035" s="447">
        <v>51500</v>
      </c>
      <c r="C1035" s="1378">
        <f t="shared" si="75"/>
        <v>0</v>
      </c>
      <c r="D1035" s="448">
        <f t="shared" si="75"/>
        <v>0</v>
      </c>
      <c r="E1035" s="448">
        <f t="shared" si="75"/>
        <v>1229</v>
      </c>
      <c r="F1035" s="447">
        <f t="shared" si="74"/>
        <v>2123</v>
      </c>
      <c r="G1035" s="1378">
        <f t="shared" si="74"/>
        <v>0</v>
      </c>
      <c r="H1035" s="448">
        <f t="shared" si="74"/>
        <v>971</v>
      </c>
      <c r="I1035" s="448">
        <f t="shared" si="74"/>
        <v>2728</v>
      </c>
      <c r="J1035" s="447">
        <f t="shared" si="74"/>
        <v>3622</v>
      </c>
      <c r="K1035" s="422"/>
      <c r="L1035" s="448">
        <f t="shared" si="76"/>
        <v>51475</v>
      </c>
    </row>
    <row r="1036" spans="1:12" ht="13.5">
      <c r="A1036" s="448">
        <v>51500</v>
      </c>
      <c r="B1036" s="447">
        <v>51550</v>
      </c>
      <c r="C1036" s="1378">
        <f t="shared" si="75"/>
        <v>0</v>
      </c>
      <c r="D1036" s="448">
        <f t="shared" si="75"/>
        <v>0</v>
      </c>
      <c r="E1036" s="448">
        <f t="shared" si="75"/>
        <v>1218</v>
      </c>
      <c r="F1036" s="447">
        <f t="shared" si="74"/>
        <v>2112</v>
      </c>
      <c r="G1036" s="1378">
        <f t="shared" si="74"/>
        <v>0</v>
      </c>
      <c r="H1036" s="448">
        <f t="shared" si="74"/>
        <v>963</v>
      </c>
      <c r="I1036" s="448">
        <f t="shared" si="74"/>
        <v>2718</v>
      </c>
      <c r="J1036" s="447">
        <f t="shared" si="74"/>
        <v>3612</v>
      </c>
      <c r="K1036" s="422"/>
      <c r="L1036" s="448">
        <f t="shared" si="76"/>
        <v>51525</v>
      </c>
    </row>
    <row r="1037" spans="1:12" ht="13.5">
      <c r="A1037" s="448">
        <v>51550</v>
      </c>
      <c r="B1037" s="447">
        <v>51600</v>
      </c>
      <c r="C1037" s="1378">
        <f t="shared" si="75"/>
        <v>0</v>
      </c>
      <c r="D1037" s="448">
        <f t="shared" si="75"/>
        <v>0</v>
      </c>
      <c r="E1037" s="448">
        <f t="shared" si="75"/>
        <v>1208</v>
      </c>
      <c r="F1037" s="447">
        <f t="shared" si="74"/>
        <v>2102</v>
      </c>
      <c r="G1037" s="1378">
        <f t="shared" si="74"/>
        <v>0</v>
      </c>
      <c r="H1037" s="448">
        <f t="shared" si="74"/>
        <v>955</v>
      </c>
      <c r="I1037" s="448">
        <f t="shared" si="74"/>
        <v>2707</v>
      </c>
      <c r="J1037" s="447">
        <f t="shared" si="74"/>
        <v>3601</v>
      </c>
      <c r="K1037" s="422"/>
      <c r="L1037" s="448">
        <f t="shared" si="76"/>
        <v>51575</v>
      </c>
    </row>
    <row r="1038" spans="1:12" ht="13.5">
      <c r="A1038" s="448">
        <v>51600</v>
      </c>
      <c r="B1038" s="447">
        <v>51650</v>
      </c>
      <c r="C1038" s="1378">
        <f t="shared" si="75"/>
        <v>0</v>
      </c>
      <c r="D1038" s="448">
        <f t="shared" si="75"/>
        <v>0</v>
      </c>
      <c r="E1038" s="448">
        <f t="shared" si="75"/>
        <v>1197</v>
      </c>
      <c r="F1038" s="447">
        <f t="shared" si="74"/>
        <v>2091</v>
      </c>
      <c r="G1038" s="1378">
        <f t="shared" si="74"/>
        <v>0</v>
      </c>
      <c r="H1038" s="448">
        <f t="shared" si="74"/>
        <v>947</v>
      </c>
      <c r="I1038" s="448">
        <f t="shared" si="74"/>
        <v>2697</v>
      </c>
      <c r="J1038" s="447">
        <f t="shared" si="74"/>
        <v>3591</v>
      </c>
      <c r="K1038" s="422"/>
      <c r="L1038" s="448">
        <f t="shared" si="76"/>
        <v>51625</v>
      </c>
    </row>
    <row r="1039" spans="1:12" ht="13.5">
      <c r="A1039" s="448">
        <v>51650</v>
      </c>
      <c r="B1039" s="447">
        <v>51700</v>
      </c>
      <c r="C1039" s="1378">
        <f t="shared" si="75"/>
        <v>0</v>
      </c>
      <c r="D1039" s="448">
        <f t="shared" si="75"/>
        <v>0</v>
      </c>
      <c r="E1039" s="448">
        <f t="shared" si="75"/>
        <v>1187</v>
      </c>
      <c r="F1039" s="447">
        <f t="shared" si="74"/>
        <v>2081</v>
      </c>
      <c r="G1039" s="1378">
        <f t="shared" si="74"/>
        <v>0</v>
      </c>
      <c r="H1039" s="448">
        <f t="shared" si="74"/>
        <v>939</v>
      </c>
      <c r="I1039" s="448">
        <f t="shared" si="74"/>
        <v>2686</v>
      </c>
      <c r="J1039" s="447">
        <f t="shared" si="74"/>
        <v>3580</v>
      </c>
      <c r="K1039" s="422"/>
      <c r="L1039" s="448">
        <f t="shared" si="76"/>
        <v>51675</v>
      </c>
    </row>
    <row r="1040" spans="1:12" ht="13.5">
      <c r="A1040" s="448">
        <v>51700</v>
      </c>
      <c r="B1040" s="447">
        <v>51750</v>
      </c>
      <c r="C1040" s="1378">
        <f t="shared" si="75"/>
        <v>0</v>
      </c>
      <c r="D1040" s="448">
        <f t="shared" si="75"/>
        <v>0</v>
      </c>
      <c r="E1040" s="448">
        <f t="shared" si="75"/>
        <v>1176</v>
      </c>
      <c r="F1040" s="447">
        <f t="shared" si="74"/>
        <v>2070</v>
      </c>
      <c r="G1040" s="1378">
        <f t="shared" si="74"/>
        <v>0</v>
      </c>
      <c r="H1040" s="448">
        <f t="shared" si="74"/>
        <v>931</v>
      </c>
      <c r="I1040" s="448">
        <f t="shared" si="74"/>
        <v>2676</v>
      </c>
      <c r="J1040" s="447">
        <f t="shared" si="74"/>
        <v>3570</v>
      </c>
      <c r="K1040" s="422"/>
      <c r="L1040" s="448">
        <f t="shared" si="76"/>
        <v>51725</v>
      </c>
    </row>
    <row r="1041" spans="1:12" ht="13.5">
      <c r="A1041" s="448">
        <v>51750</v>
      </c>
      <c r="B1041" s="447">
        <v>51800</v>
      </c>
      <c r="C1041" s="1378">
        <f t="shared" si="75"/>
        <v>0</v>
      </c>
      <c r="D1041" s="448">
        <f t="shared" si="75"/>
        <v>0</v>
      </c>
      <c r="E1041" s="448">
        <f t="shared" si="75"/>
        <v>1166</v>
      </c>
      <c r="F1041" s="447">
        <f t="shared" si="74"/>
        <v>2060</v>
      </c>
      <c r="G1041" s="1378">
        <f t="shared" si="74"/>
        <v>0</v>
      </c>
      <c r="H1041" s="448">
        <f t="shared" ref="H1041:J1104" si="77">IF($L1041&gt;S$5,MAX(0,S$3+ROUND((S$9*($L1041-S$5)),0)),IF($L1041&gt;S$4,S$3,ROUND($L1041*S$7,0)))</f>
        <v>923</v>
      </c>
      <c r="I1041" s="448">
        <f t="shared" si="77"/>
        <v>2665</v>
      </c>
      <c r="J1041" s="447">
        <f t="shared" si="77"/>
        <v>3559</v>
      </c>
      <c r="K1041" s="422"/>
      <c r="L1041" s="448">
        <f t="shared" si="76"/>
        <v>51775</v>
      </c>
    </row>
    <row r="1042" spans="1:12" ht="13.5">
      <c r="A1042" s="448">
        <v>51800</v>
      </c>
      <c r="B1042" s="447">
        <v>51850</v>
      </c>
      <c r="C1042" s="1378">
        <f t="shared" si="75"/>
        <v>0</v>
      </c>
      <c r="D1042" s="448">
        <f t="shared" si="75"/>
        <v>0</v>
      </c>
      <c r="E1042" s="448">
        <f t="shared" si="75"/>
        <v>1155</v>
      </c>
      <c r="F1042" s="447">
        <f t="shared" si="75"/>
        <v>2049</v>
      </c>
      <c r="G1042" s="1378">
        <f t="shared" si="75"/>
        <v>0</v>
      </c>
      <c r="H1042" s="448">
        <f t="shared" si="77"/>
        <v>915</v>
      </c>
      <c r="I1042" s="448">
        <f t="shared" si="77"/>
        <v>2655</v>
      </c>
      <c r="J1042" s="447">
        <f t="shared" si="77"/>
        <v>3549</v>
      </c>
      <c r="K1042" s="422"/>
      <c r="L1042" s="448">
        <f t="shared" si="76"/>
        <v>51825</v>
      </c>
    </row>
    <row r="1043" spans="1:12" ht="13.5">
      <c r="A1043" s="448">
        <v>51850</v>
      </c>
      <c r="B1043" s="447">
        <v>51900</v>
      </c>
      <c r="C1043" s="1378">
        <f t="shared" si="75"/>
        <v>0</v>
      </c>
      <c r="D1043" s="448">
        <f t="shared" si="75"/>
        <v>0</v>
      </c>
      <c r="E1043" s="448">
        <f t="shared" si="75"/>
        <v>1145</v>
      </c>
      <c r="F1043" s="447">
        <f t="shared" si="75"/>
        <v>2039</v>
      </c>
      <c r="G1043" s="1378">
        <f t="shared" si="75"/>
        <v>0</v>
      </c>
      <c r="H1043" s="448">
        <f t="shared" si="77"/>
        <v>908</v>
      </c>
      <c r="I1043" s="448">
        <f t="shared" si="77"/>
        <v>2644</v>
      </c>
      <c r="J1043" s="447">
        <f t="shared" si="77"/>
        <v>3538</v>
      </c>
      <c r="K1043" s="422"/>
      <c r="L1043" s="448">
        <f t="shared" si="76"/>
        <v>51875</v>
      </c>
    </row>
    <row r="1044" spans="1:12" ht="13.5">
      <c r="A1044" s="448">
        <v>51900</v>
      </c>
      <c r="B1044" s="447">
        <v>51950</v>
      </c>
      <c r="C1044" s="1378">
        <f t="shared" si="75"/>
        <v>0</v>
      </c>
      <c r="D1044" s="448">
        <f t="shared" si="75"/>
        <v>0</v>
      </c>
      <c r="E1044" s="448">
        <f t="shared" si="75"/>
        <v>1134</v>
      </c>
      <c r="F1044" s="447">
        <f t="shared" si="75"/>
        <v>2028</v>
      </c>
      <c r="G1044" s="1378">
        <f t="shared" si="75"/>
        <v>0</v>
      </c>
      <c r="H1044" s="448">
        <f t="shared" si="77"/>
        <v>900</v>
      </c>
      <c r="I1044" s="448">
        <f t="shared" si="77"/>
        <v>2634</v>
      </c>
      <c r="J1044" s="447">
        <f t="shared" si="77"/>
        <v>3528</v>
      </c>
      <c r="K1044" s="422"/>
      <c r="L1044" s="448">
        <f t="shared" si="76"/>
        <v>51925</v>
      </c>
    </row>
    <row r="1045" spans="1:12" ht="13.5">
      <c r="A1045" s="448">
        <v>51950</v>
      </c>
      <c r="B1045" s="447">
        <v>52000</v>
      </c>
      <c r="C1045" s="1378">
        <f t="shared" si="75"/>
        <v>0</v>
      </c>
      <c r="D1045" s="448">
        <f t="shared" si="75"/>
        <v>0</v>
      </c>
      <c r="E1045" s="448">
        <f t="shared" si="75"/>
        <v>1124</v>
      </c>
      <c r="F1045" s="447">
        <f t="shared" si="75"/>
        <v>2018</v>
      </c>
      <c r="G1045" s="1378">
        <f t="shared" si="75"/>
        <v>0</v>
      </c>
      <c r="H1045" s="448">
        <f t="shared" si="77"/>
        <v>892</v>
      </c>
      <c r="I1045" s="448">
        <f t="shared" si="77"/>
        <v>2623</v>
      </c>
      <c r="J1045" s="447">
        <f t="shared" si="77"/>
        <v>3517</v>
      </c>
      <c r="K1045" s="422"/>
      <c r="L1045" s="448">
        <f t="shared" si="76"/>
        <v>51975</v>
      </c>
    </row>
    <row r="1046" spans="1:12" ht="13.5">
      <c r="A1046" s="448">
        <v>52000</v>
      </c>
      <c r="B1046" s="447">
        <v>52050</v>
      </c>
      <c r="C1046" s="1378">
        <f t="shared" si="75"/>
        <v>0</v>
      </c>
      <c r="D1046" s="448">
        <f t="shared" si="75"/>
        <v>0</v>
      </c>
      <c r="E1046" s="448">
        <f t="shared" si="75"/>
        <v>1113</v>
      </c>
      <c r="F1046" s="447">
        <f t="shared" si="75"/>
        <v>2007</v>
      </c>
      <c r="G1046" s="1378">
        <f t="shared" si="75"/>
        <v>0</v>
      </c>
      <c r="H1046" s="448">
        <f t="shared" si="77"/>
        <v>884</v>
      </c>
      <c r="I1046" s="448">
        <f t="shared" si="77"/>
        <v>2612</v>
      </c>
      <c r="J1046" s="447">
        <f t="shared" si="77"/>
        <v>3506</v>
      </c>
      <c r="K1046" s="422"/>
      <c r="L1046" s="448">
        <f t="shared" si="76"/>
        <v>52025</v>
      </c>
    </row>
    <row r="1047" spans="1:12" ht="13.5">
      <c r="A1047" s="448">
        <v>52050</v>
      </c>
      <c r="B1047" s="447">
        <v>52100</v>
      </c>
      <c r="C1047" s="1378">
        <f t="shared" si="75"/>
        <v>0</v>
      </c>
      <c r="D1047" s="448">
        <f t="shared" si="75"/>
        <v>0</v>
      </c>
      <c r="E1047" s="448">
        <f t="shared" si="75"/>
        <v>1102</v>
      </c>
      <c r="F1047" s="447">
        <f t="shared" si="75"/>
        <v>1996</v>
      </c>
      <c r="G1047" s="1378">
        <f t="shared" si="75"/>
        <v>0</v>
      </c>
      <c r="H1047" s="448">
        <f t="shared" si="77"/>
        <v>876</v>
      </c>
      <c r="I1047" s="448">
        <f t="shared" si="77"/>
        <v>2602</v>
      </c>
      <c r="J1047" s="447">
        <f t="shared" si="77"/>
        <v>3496</v>
      </c>
      <c r="K1047" s="422"/>
      <c r="L1047" s="448">
        <f t="shared" si="76"/>
        <v>52075</v>
      </c>
    </row>
    <row r="1048" spans="1:12" ht="13.5">
      <c r="A1048" s="448">
        <v>52100</v>
      </c>
      <c r="B1048" s="447">
        <v>52150</v>
      </c>
      <c r="C1048" s="1378">
        <f t="shared" si="75"/>
        <v>0</v>
      </c>
      <c r="D1048" s="448">
        <f t="shared" si="75"/>
        <v>0</v>
      </c>
      <c r="E1048" s="448">
        <f t="shared" si="75"/>
        <v>1092</v>
      </c>
      <c r="F1048" s="447">
        <f t="shared" si="75"/>
        <v>1986</v>
      </c>
      <c r="G1048" s="1378">
        <f t="shared" si="75"/>
        <v>0</v>
      </c>
      <c r="H1048" s="448">
        <f t="shared" si="77"/>
        <v>868</v>
      </c>
      <c r="I1048" s="448">
        <f t="shared" si="77"/>
        <v>2591</v>
      </c>
      <c r="J1048" s="447">
        <f t="shared" si="77"/>
        <v>3485</v>
      </c>
      <c r="K1048" s="422"/>
      <c r="L1048" s="448">
        <f t="shared" si="76"/>
        <v>52125</v>
      </c>
    </row>
    <row r="1049" spans="1:12" ht="13.5">
      <c r="A1049" s="448">
        <v>52150</v>
      </c>
      <c r="B1049" s="447">
        <v>52200</v>
      </c>
      <c r="C1049" s="1378">
        <f t="shared" si="75"/>
        <v>0</v>
      </c>
      <c r="D1049" s="448">
        <f t="shared" si="75"/>
        <v>0</v>
      </c>
      <c r="E1049" s="448">
        <f t="shared" si="75"/>
        <v>1081</v>
      </c>
      <c r="F1049" s="447">
        <f t="shared" si="75"/>
        <v>1975</v>
      </c>
      <c r="G1049" s="1378">
        <f t="shared" si="75"/>
        <v>0</v>
      </c>
      <c r="H1049" s="448">
        <f t="shared" si="77"/>
        <v>860</v>
      </c>
      <c r="I1049" s="448">
        <f t="shared" si="77"/>
        <v>2581</v>
      </c>
      <c r="J1049" s="447">
        <f t="shared" si="77"/>
        <v>3475</v>
      </c>
      <c r="K1049" s="422"/>
      <c r="L1049" s="448">
        <f t="shared" si="76"/>
        <v>52175</v>
      </c>
    </row>
    <row r="1050" spans="1:12" ht="13.5">
      <c r="A1050" s="448">
        <v>52200</v>
      </c>
      <c r="B1050" s="447">
        <v>52250</v>
      </c>
      <c r="C1050" s="1378">
        <f t="shared" ref="C1050:G1100" si="78">IF($L1050&gt;N$5,MAX(0,N$3+ROUND((N$9*($L1050-N$5)),0)),IF($L1050&gt;N$4,N$3,ROUND($L1050*N$7,0)))</f>
        <v>0</v>
      </c>
      <c r="D1050" s="448">
        <f t="shared" si="78"/>
        <v>0</v>
      </c>
      <c r="E1050" s="448">
        <f t="shared" si="78"/>
        <v>1071</v>
      </c>
      <c r="F1050" s="447">
        <f t="shared" si="78"/>
        <v>1965</v>
      </c>
      <c r="G1050" s="1378">
        <f t="shared" si="78"/>
        <v>0</v>
      </c>
      <c r="H1050" s="448">
        <f t="shared" si="77"/>
        <v>852</v>
      </c>
      <c r="I1050" s="448">
        <f t="shared" si="77"/>
        <v>2570</v>
      </c>
      <c r="J1050" s="447">
        <f t="shared" si="77"/>
        <v>3464</v>
      </c>
      <c r="K1050" s="422"/>
      <c r="L1050" s="448">
        <f t="shared" si="76"/>
        <v>52225</v>
      </c>
    </row>
    <row r="1051" spans="1:12" ht="13.5">
      <c r="A1051" s="448">
        <v>52250</v>
      </c>
      <c r="B1051" s="447">
        <v>52300</v>
      </c>
      <c r="C1051" s="1378">
        <f t="shared" si="78"/>
        <v>0</v>
      </c>
      <c r="D1051" s="448">
        <f t="shared" si="78"/>
        <v>0</v>
      </c>
      <c r="E1051" s="448">
        <f t="shared" si="78"/>
        <v>1060</v>
      </c>
      <c r="F1051" s="447">
        <f t="shared" si="78"/>
        <v>1954</v>
      </c>
      <c r="G1051" s="1378">
        <f t="shared" si="78"/>
        <v>0</v>
      </c>
      <c r="H1051" s="448">
        <f t="shared" si="77"/>
        <v>844</v>
      </c>
      <c r="I1051" s="448">
        <f t="shared" si="77"/>
        <v>2560</v>
      </c>
      <c r="J1051" s="447">
        <f t="shared" si="77"/>
        <v>3454</v>
      </c>
      <c r="K1051" s="422"/>
      <c r="L1051" s="448">
        <f t="shared" si="76"/>
        <v>52275</v>
      </c>
    </row>
    <row r="1052" spans="1:12" ht="13.5">
      <c r="A1052" s="448">
        <v>52300</v>
      </c>
      <c r="B1052" s="447">
        <v>52350</v>
      </c>
      <c r="C1052" s="1378">
        <f t="shared" si="78"/>
        <v>0</v>
      </c>
      <c r="D1052" s="448">
        <f t="shared" si="78"/>
        <v>0</v>
      </c>
      <c r="E1052" s="448">
        <f t="shared" si="78"/>
        <v>1050</v>
      </c>
      <c r="F1052" s="447">
        <f t="shared" si="78"/>
        <v>1944</v>
      </c>
      <c r="G1052" s="1378">
        <f t="shared" si="78"/>
        <v>0</v>
      </c>
      <c r="H1052" s="448">
        <f t="shared" si="77"/>
        <v>836</v>
      </c>
      <c r="I1052" s="448">
        <f t="shared" si="77"/>
        <v>2549</v>
      </c>
      <c r="J1052" s="447">
        <f t="shared" si="77"/>
        <v>3443</v>
      </c>
      <c r="K1052" s="422"/>
      <c r="L1052" s="448">
        <f t="shared" si="76"/>
        <v>52325</v>
      </c>
    </row>
    <row r="1053" spans="1:12" ht="13.5">
      <c r="A1053" s="448">
        <v>52350</v>
      </c>
      <c r="B1053" s="447">
        <v>52400</v>
      </c>
      <c r="C1053" s="1378">
        <f t="shared" si="78"/>
        <v>0</v>
      </c>
      <c r="D1053" s="448">
        <f t="shared" si="78"/>
        <v>0</v>
      </c>
      <c r="E1053" s="448">
        <f t="shared" si="78"/>
        <v>1039</v>
      </c>
      <c r="F1053" s="447">
        <f t="shared" si="78"/>
        <v>1933</v>
      </c>
      <c r="G1053" s="1378">
        <f t="shared" si="78"/>
        <v>0</v>
      </c>
      <c r="H1053" s="448">
        <f t="shared" si="77"/>
        <v>828</v>
      </c>
      <c r="I1053" s="448">
        <f t="shared" si="77"/>
        <v>2539</v>
      </c>
      <c r="J1053" s="447">
        <f t="shared" si="77"/>
        <v>3433</v>
      </c>
      <c r="K1053" s="422"/>
      <c r="L1053" s="448">
        <f t="shared" si="76"/>
        <v>52375</v>
      </c>
    </row>
    <row r="1054" spans="1:12" ht="13.5">
      <c r="A1054" s="448">
        <v>52400</v>
      </c>
      <c r="B1054" s="447">
        <v>52450</v>
      </c>
      <c r="C1054" s="1378">
        <f t="shared" si="78"/>
        <v>0</v>
      </c>
      <c r="D1054" s="448">
        <f t="shared" si="78"/>
        <v>0</v>
      </c>
      <c r="E1054" s="448">
        <f t="shared" si="78"/>
        <v>1029</v>
      </c>
      <c r="F1054" s="447">
        <f t="shared" si="78"/>
        <v>1923</v>
      </c>
      <c r="G1054" s="1378">
        <f t="shared" si="78"/>
        <v>0</v>
      </c>
      <c r="H1054" s="448">
        <f t="shared" si="77"/>
        <v>820</v>
      </c>
      <c r="I1054" s="448">
        <f t="shared" si="77"/>
        <v>2528</v>
      </c>
      <c r="J1054" s="447">
        <f t="shared" si="77"/>
        <v>3422</v>
      </c>
      <c r="K1054" s="422"/>
      <c r="L1054" s="448">
        <f t="shared" si="76"/>
        <v>52425</v>
      </c>
    </row>
    <row r="1055" spans="1:12" ht="13.5">
      <c r="A1055" s="448">
        <v>52450</v>
      </c>
      <c r="B1055" s="447">
        <v>52500</v>
      </c>
      <c r="C1055" s="1378">
        <f t="shared" si="78"/>
        <v>0</v>
      </c>
      <c r="D1055" s="448">
        <f t="shared" si="78"/>
        <v>0</v>
      </c>
      <c r="E1055" s="448">
        <f t="shared" si="78"/>
        <v>1018</v>
      </c>
      <c r="F1055" s="447">
        <f t="shared" si="78"/>
        <v>1912</v>
      </c>
      <c r="G1055" s="1378">
        <f t="shared" si="78"/>
        <v>0</v>
      </c>
      <c r="H1055" s="448">
        <f t="shared" si="77"/>
        <v>812</v>
      </c>
      <c r="I1055" s="448">
        <f t="shared" si="77"/>
        <v>2518</v>
      </c>
      <c r="J1055" s="447">
        <f t="shared" si="77"/>
        <v>3412</v>
      </c>
      <c r="K1055" s="422"/>
      <c r="L1055" s="448">
        <f t="shared" si="76"/>
        <v>52475</v>
      </c>
    </row>
    <row r="1056" spans="1:12" ht="13.5">
      <c r="A1056" s="448">
        <v>52500</v>
      </c>
      <c r="B1056" s="447">
        <v>52550</v>
      </c>
      <c r="C1056" s="1378">
        <f t="shared" si="78"/>
        <v>0</v>
      </c>
      <c r="D1056" s="448">
        <f t="shared" si="78"/>
        <v>0</v>
      </c>
      <c r="E1056" s="448">
        <f t="shared" si="78"/>
        <v>1008</v>
      </c>
      <c r="F1056" s="447">
        <f t="shared" si="78"/>
        <v>1902</v>
      </c>
      <c r="G1056" s="1378">
        <f t="shared" si="78"/>
        <v>0</v>
      </c>
      <c r="H1056" s="448">
        <f t="shared" si="77"/>
        <v>804</v>
      </c>
      <c r="I1056" s="448">
        <f t="shared" si="77"/>
        <v>2507</v>
      </c>
      <c r="J1056" s="447">
        <f t="shared" si="77"/>
        <v>3401</v>
      </c>
      <c r="K1056" s="422"/>
      <c r="L1056" s="448">
        <f t="shared" si="76"/>
        <v>52525</v>
      </c>
    </row>
    <row r="1057" spans="1:12" ht="13.5">
      <c r="A1057" s="448">
        <v>52550</v>
      </c>
      <c r="B1057" s="447">
        <v>52600</v>
      </c>
      <c r="C1057" s="1378">
        <f t="shared" si="78"/>
        <v>0</v>
      </c>
      <c r="D1057" s="448">
        <f t="shared" si="78"/>
        <v>0</v>
      </c>
      <c r="E1057" s="448">
        <f t="shared" si="78"/>
        <v>997</v>
      </c>
      <c r="F1057" s="447">
        <f t="shared" si="78"/>
        <v>1891</v>
      </c>
      <c r="G1057" s="1378">
        <f t="shared" si="78"/>
        <v>0</v>
      </c>
      <c r="H1057" s="448">
        <f t="shared" si="77"/>
        <v>796</v>
      </c>
      <c r="I1057" s="448">
        <f t="shared" si="77"/>
        <v>2497</v>
      </c>
      <c r="J1057" s="447">
        <f t="shared" si="77"/>
        <v>3391</v>
      </c>
      <c r="K1057" s="422"/>
      <c r="L1057" s="448">
        <f t="shared" si="76"/>
        <v>52575</v>
      </c>
    </row>
    <row r="1058" spans="1:12" ht="13.5">
      <c r="A1058" s="448">
        <v>52600</v>
      </c>
      <c r="B1058" s="447">
        <v>52650</v>
      </c>
      <c r="C1058" s="1378">
        <f t="shared" si="78"/>
        <v>0</v>
      </c>
      <c r="D1058" s="448">
        <f t="shared" si="78"/>
        <v>0</v>
      </c>
      <c r="E1058" s="448">
        <f t="shared" si="78"/>
        <v>987</v>
      </c>
      <c r="F1058" s="447">
        <f t="shared" si="78"/>
        <v>1881</v>
      </c>
      <c r="G1058" s="1378">
        <f t="shared" si="78"/>
        <v>0</v>
      </c>
      <c r="H1058" s="448">
        <f t="shared" si="77"/>
        <v>788</v>
      </c>
      <c r="I1058" s="448">
        <f t="shared" si="77"/>
        <v>2486</v>
      </c>
      <c r="J1058" s="447">
        <f t="shared" si="77"/>
        <v>3380</v>
      </c>
      <c r="K1058" s="422"/>
      <c r="L1058" s="448">
        <f t="shared" si="76"/>
        <v>52625</v>
      </c>
    </row>
    <row r="1059" spans="1:12" ht="13.5">
      <c r="A1059" s="448">
        <v>52650</v>
      </c>
      <c r="B1059" s="447">
        <v>52700</v>
      </c>
      <c r="C1059" s="1378">
        <f t="shared" si="78"/>
        <v>0</v>
      </c>
      <c r="D1059" s="448">
        <f t="shared" si="78"/>
        <v>0</v>
      </c>
      <c r="E1059" s="448">
        <f t="shared" si="78"/>
        <v>976</v>
      </c>
      <c r="F1059" s="447">
        <f t="shared" si="78"/>
        <v>1870</v>
      </c>
      <c r="G1059" s="1378">
        <f t="shared" si="78"/>
        <v>0</v>
      </c>
      <c r="H1059" s="448">
        <f t="shared" si="77"/>
        <v>780</v>
      </c>
      <c r="I1059" s="448">
        <f t="shared" si="77"/>
        <v>2476</v>
      </c>
      <c r="J1059" s="447">
        <f t="shared" si="77"/>
        <v>3370</v>
      </c>
      <c r="K1059" s="422"/>
      <c r="L1059" s="448">
        <f t="shared" si="76"/>
        <v>52675</v>
      </c>
    </row>
    <row r="1060" spans="1:12" ht="13.5">
      <c r="A1060" s="448">
        <v>52700</v>
      </c>
      <c r="B1060" s="447">
        <v>52750</v>
      </c>
      <c r="C1060" s="1378">
        <f t="shared" si="78"/>
        <v>0</v>
      </c>
      <c r="D1060" s="448">
        <f t="shared" si="78"/>
        <v>0</v>
      </c>
      <c r="E1060" s="448">
        <f t="shared" si="78"/>
        <v>966</v>
      </c>
      <c r="F1060" s="447">
        <f t="shared" si="78"/>
        <v>1860</v>
      </c>
      <c r="G1060" s="1378">
        <f t="shared" si="78"/>
        <v>0</v>
      </c>
      <c r="H1060" s="448">
        <f t="shared" si="77"/>
        <v>772</v>
      </c>
      <c r="I1060" s="448">
        <f t="shared" si="77"/>
        <v>2465</v>
      </c>
      <c r="J1060" s="447">
        <f t="shared" si="77"/>
        <v>3359</v>
      </c>
      <c r="K1060" s="422"/>
      <c r="L1060" s="448">
        <f t="shared" si="76"/>
        <v>52725</v>
      </c>
    </row>
    <row r="1061" spans="1:12" ht="13.5">
      <c r="A1061" s="448">
        <v>52750</v>
      </c>
      <c r="B1061" s="447">
        <v>52800</v>
      </c>
      <c r="C1061" s="1378">
        <f t="shared" si="78"/>
        <v>0</v>
      </c>
      <c r="D1061" s="448">
        <f t="shared" si="78"/>
        <v>0</v>
      </c>
      <c r="E1061" s="448">
        <f t="shared" si="78"/>
        <v>955</v>
      </c>
      <c r="F1061" s="447">
        <f t="shared" si="78"/>
        <v>1849</v>
      </c>
      <c r="G1061" s="1378">
        <f t="shared" si="78"/>
        <v>0</v>
      </c>
      <c r="H1061" s="448">
        <f t="shared" si="77"/>
        <v>764</v>
      </c>
      <c r="I1061" s="448">
        <f t="shared" si="77"/>
        <v>2455</v>
      </c>
      <c r="J1061" s="447">
        <f t="shared" si="77"/>
        <v>3349</v>
      </c>
      <c r="K1061" s="422"/>
      <c r="L1061" s="448">
        <f t="shared" si="76"/>
        <v>52775</v>
      </c>
    </row>
    <row r="1062" spans="1:12" ht="13.5">
      <c r="A1062" s="448">
        <v>52800</v>
      </c>
      <c r="B1062" s="447">
        <v>52850</v>
      </c>
      <c r="C1062" s="1378">
        <f t="shared" si="78"/>
        <v>0</v>
      </c>
      <c r="D1062" s="448">
        <f t="shared" si="78"/>
        <v>0</v>
      </c>
      <c r="E1062" s="448">
        <f t="shared" si="78"/>
        <v>945</v>
      </c>
      <c r="F1062" s="447">
        <f t="shared" si="78"/>
        <v>1839</v>
      </c>
      <c r="G1062" s="1378">
        <f t="shared" si="78"/>
        <v>0</v>
      </c>
      <c r="H1062" s="448">
        <f t="shared" si="77"/>
        <v>756</v>
      </c>
      <c r="I1062" s="448">
        <f t="shared" si="77"/>
        <v>2444</v>
      </c>
      <c r="J1062" s="447">
        <f t="shared" si="77"/>
        <v>3338</v>
      </c>
      <c r="K1062" s="422"/>
      <c r="L1062" s="448">
        <f t="shared" si="76"/>
        <v>52825</v>
      </c>
    </row>
    <row r="1063" spans="1:12" ht="13.5">
      <c r="A1063" s="448">
        <v>52850</v>
      </c>
      <c r="B1063" s="447">
        <v>52900</v>
      </c>
      <c r="C1063" s="1378">
        <f t="shared" si="78"/>
        <v>0</v>
      </c>
      <c r="D1063" s="448">
        <f t="shared" si="78"/>
        <v>0</v>
      </c>
      <c r="E1063" s="448">
        <f t="shared" si="78"/>
        <v>934</v>
      </c>
      <c r="F1063" s="447">
        <f t="shared" si="78"/>
        <v>1828</v>
      </c>
      <c r="G1063" s="1378">
        <f t="shared" si="78"/>
        <v>0</v>
      </c>
      <c r="H1063" s="448">
        <f t="shared" si="77"/>
        <v>748</v>
      </c>
      <c r="I1063" s="448">
        <f t="shared" si="77"/>
        <v>2433</v>
      </c>
      <c r="J1063" s="447">
        <f t="shared" si="77"/>
        <v>3327</v>
      </c>
      <c r="K1063" s="422"/>
      <c r="L1063" s="448">
        <f t="shared" si="76"/>
        <v>52875</v>
      </c>
    </row>
    <row r="1064" spans="1:12" ht="13.5">
      <c r="A1064" s="448">
        <v>52900</v>
      </c>
      <c r="B1064" s="447">
        <v>52950</v>
      </c>
      <c r="C1064" s="1378">
        <f t="shared" si="78"/>
        <v>0</v>
      </c>
      <c r="D1064" s="448">
        <f t="shared" si="78"/>
        <v>0</v>
      </c>
      <c r="E1064" s="448">
        <f t="shared" si="78"/>
        <v>923</v>
      </c>
      <c r="F1064" s="447">
        <f t="shared" si="78"/>
        <v>1817</v>
      </c>
      <c r="G1064" s="1378">
        <f t="shared" si="78"/>
        <v>0</v>
      </c>
      <c r="H1064" s="448">
        <f t="shared" si="77"/>
        <v>740</v>
      </c>
      <c r="I1064" s="448">
        <f t="shared" si="77"/>
        <v>2423</v>
      </c>
      <c r="J1064" s="447">
        <f t="shared" si="77"/>
        <v>3317</v>
      </c>
      <c r="K1064" s="422"/>
      <c r="L1064" s="448">
        <f t="shared" si="76"/>
        <v>52925</v>
      </c>
    </row>
    <row r="1065" spans="1:12" ht="13.5">
      <c r="A1065" s="448">
        <v>52950</v>
      </c>
      <c r="B1065" s="447">
        <v>53000</v>
      </c>
      <c r="C1065" s="1378">
        <f t="shared" si="78"/>
        <v>0</v>
      </c>
      <c r="D1065" s="448">
        <f t="shared" si="78"/>
        <v>0</v>
      </c>
      <c r="E1065" s="448">
        <f t="shared" si="78"/>
        <v>913</v>
      </c>
      <c r="F1065" s="447">
        <f t="shared" si="78"/>
        <v>1807</v>
      </c>
      <c r="G1065" s="1378">
        <f t="shared" si="78"/>
        <v>0</v>
      </c>
      <c r="H1065" s="448">
        <f t="shared" si="77"/>
        <v>732</v>
      </c>
      <c r="I1065" s="448">
        <f t="shared" si="77"/>
        <v>2412</v>
      </c>
      <c r="J1065" s="447">
        <f t="shared" si="77"/>
        <v>3306</v>
      </c>
      <c r="K1065" s="422"/>
      <c r="L1065" s="448">
        <f t="shared" si="76"/>
        <v>52975</v>
      </c>
    </row>
    <row r="1066" spans="1:12" ht="13.5">
      <c r="A1066" s="448">
        <v>53000</v>
      </c>
      <c r="B1066" s="447">
        <v>53050</v>
      </c>
      <c r="C1066" s="1378">
        <f t="shared" si="78"/>
        <v>0</v>
      </c>
      <c r="D1066" s="448">
        <f t="shared" si="78"/>
        <v>0</v>
      </c>
      <c r="E1066" s="448">
        <f t="shared" si="78"/>
        <v>902</v>
      </c>
      <c r="F1066" s="447">
        <f t="shared" si="78"/>
        <v>1796</v>
      </c>
      <c r="G1066" s="1378">
        <f t="shared" si="78"/>
        <v>0</v>
      </c>
      <c r="H1066" s="448">
        <f t="shared" si="77"/>
        <v>724</v>
      </c>
      <c r="I1066" s="448">
        <f t="shared" si="77"/>
        <v>2402</v>
      </c>
      <c r="J1066" s="447">
        <f t="shared" si="77"/>
        <v>3296</v>
      </c>
      <c r="K1066" s="422"/>
      <c r="L1066" s="448">
        <f t="shared" si="76"/>
        <v>53025</v>
      </c>
    </row>
    <row r="1067" spans="1:12" ht="13.5">
      <c r="A1067" s="448">
        <v>53050</v>
      </c>
      <c r="B1067" s="447">
        <v>53100</v>
      </c>
      <c r="C1067" s="1378">
        <f t="shared" si="78"/>
        <v>0</v>
      </c>
      <c r="D1067" s="448">
        <f t="shared" si="78"/>
        <v>0</v>
      </c>
      <c r="E1067" s="448">
        <f t="shared" si="78"/>
        <v>892</v>
      </c>
      <c r="F1067" s="447">
        <f t="shared" si="78"/>
        <v>1786</v>
      </c>
      <c r="G1067" s="1378">
        <f t="shared" si="78"/>
        <v>0</v>
      </c>
      <c r="H1067" s="448">
        <f t="shared" si="77"/>
        <v>716</v>
      </c>
      <c r="I1067" s="448">
        <f t="shared" si="77"/>
        <v>2391</v>
      </c>
      <c r="J1067" s="447">
        <f t="shared" si="77"/>
        <v>3285</v>
      </c>
      <c r="K1067" s="422"/>
      <c r="L1067" s="448">
        <f t="shared" si="76"/>
        <v>53075</v>
      </c>
    </row>
    <row r="1068" spans="1:12" ht="13.5">
      <c r="A1068" s="448">
        <v>53100</v>
      </c>
      <c r="B1068" s="447">
        <v>53150</v>
      </c>
      <c r="C1068" s="1378">
        <f t="shared" si="78"/>
        <v>0</v>
      </c>
      <c r="D1068" s="448">
        <f t="shared" si="78"/>
        <v>0</v>
      </c>
      <c r="E1068" s="448">
        <f t="shared" si="78"/>
        <v>881</v>
      </c>
      <c r="F1068" s="447">
        <f t="shared" si="78"/>
        <v>1775</v>
      </c>
      <c r="G1068" s="1378">
        <f t="shared" si="78"/>
        <v>0</v>
      </c>
      <c r="H1068" s="448">
        <f t="shared" si="77"/>
        <v>708</v>
      </c>
      <c r="I1068" s="448">
        <f t="shared" si="77"/>
        <v>2381</v>
      </c>
      <c r="J1068" s="447">
        <f t="shared" si="77"/>
        <v>3275</v>
      </c>
      <c r="K1068" s="422"/>
      <c r="L1068" s="448">
        <f t="shared" si="76"/>
        <v>53125</v>
      </c>
    </row>
    <row r="1069" spans="1:12" ht="13.5">
      <c r="A1069" s="448">
        <v>53150</v>
      </c>
      <c r="B1069" s="447">
        <v>53200</v>
      </c>
      <c r="C1069" s="1378">
        <f t="shared" si="78"/>
        <v>0</v>
      </c>
      <c r="D1069" s="448">
        <f t="shared" si="78"/>
        <v>0</v>
      </c>
      <c r="E1069" s="448">
        <f t="shared" si="78"/>
        <v>871</v>
      </c>
      <c r="F1069" s="447">
        <f t="shared" si="78"/>
        <v>1765</v>
      </c>
      <c r="G1069" s="1378">
        <f t="shared" si="78"/>
        <v>0</v>
      </c>
      <c r="H1069" s="448">
        <f t="shared" si="77"/>
        <v>700</v>
      </c>
      <c r="I1069" s="448">
        <f t="shared" si="77"/>
        <v>2370</v>
      </c>
      <c r="J1069" s="447">
        <f t="shared" si="77"/>
        <v>3264</v>
      </c>
      <c r="K1069" s="422"/>
      <c r="L1069" s="448">
        <f t="shared" si="76"/>
        <v>53175</v>
      </c>
    </row>
    <row r="1070" spans="1:12" ht="13.5">
      <c r="A1070" s="448">
        <v>53200</v>
      </c>
      <c r="B1070" s="447">
        <v>53250</v>
      </c>
      <c r="C1070" s="1378">
        <f t="shared" si="78"/>
        <v>0</v>
      </c>
      <c r="D1070" s="448">
        <f t="shared" si="78"/>
        <v>0</v>
      </c>
      <c r="E1070" s="448">
        <f t="shared" si="78"/>
        <v>860</v>
      </c>
      <c r="F1070" s="447">
        <f t="shared" si="78"/>
        <v>1754</v>
      </c>
      <c r="G1070" s="1378">
        <f t="shared" si="78"/>
        <v>0</v>
      </c>
      <c r="H1070" s="448">
        <f t="shared" si="77"/>
        <v>692</v>
      </c>
      <c r="I1070" s="448">
        <f t="shared" si="77"/>
        <v>2360</v>
      </c>
      <c r="J1070" s="447">
        <f t="shared" si="77"/>
        <v>3254</v>
      </c>
      <c r="K1070" s="422"/>
      <c r="L1070" s="448">
        <f>ROUND((A1070+B1070)/2,2)</f>
        <v>53225</v>
      </c>
    </row>
    <row r="1071" spans="1:12" ht="13.5">
      <c r="A1071" s="448">
        <v>53250</v>
      </c>
      <c r="B1071" s="447">
        <v>53300</v>
      </c>
      <c r="C1071" s="1378">
        <f t="shared" si="78"/>
        <v>0</v>
      </c>
      <c r="D1071" s="448">
        <f t="shared" si="78"/>
        <v>0</v>
      </c>
      <c r="E1071" s="448">
        <f t="shared" si="78"/>
        <v>850</v>
      </c>
      <c r="F1071" s="447">
        <f t="shared" si="78"/>
        <v>1744</v>
      </c>
      <c r="G1071" s="1378">
        <f t="shared" si="78"/>
        <v>0</v>
      </c>
      <c r="H1071" s="448">
        <f t="shared" si="77"/>
        <v>684</v>
      </c>
      <c r="I1071" s="448">
        <f t="shared" si="77"/>
        <v>2349</v>
      </c>
      <c r="J1071" s="447">
        <f t="shared" si="77"/>
        <v>3243</v>
      </c>
      <c r="K1071" s="422"/>
      <c r="L1071" s="448">
        <f t="shared" si="76"/>
        <v>53275</v>
      </c>
    </row>
    <row r="1072" spans="1:12" ht="13.5">
      <c r="A1072" s="448">
        <v>53300</v>
      </c>
      <c r="B1072" s="447">
        <v>53350</v>
      </c>
      <c r="C1072" s="1378">
        <f t="shared" si="78"/>
        <v>0</v>
      </c>
      <c r="D1072" s="448">
        <f t="shared" si="78"/>
        <v>0</v>
      </c>
      <c r="E1072" s="448">
        <f t="shared" si="78"/>
        <v>839</v>
      </c>
      <c r="F1072" s="447">
        <f t="shared" si="78"/>
        <v>1733</v>
      </c>
      <c r="G1072" s="1378">
        <f t="shared" si="78"/>
        <v>0</v>
      </c>
      <c r="H1072" s="448">
        <f t="shared" si="77"/>
        <v>676</v>
      </c>
      <c r="I1072" s="448">
        <f t="shared" si="77"/>
        <v>2339</v>
      </c>
      <c r="J1072" s="447">
        <f t="shared" si="77"/>
        <v>3233</v>
      </c>
      <c r="K1072" s="422"/>
      <c r="L1072" s="448">
        <f t="shared" si="76"/>
        <v>53325</v>
      </c>
    </row>
    <row r="1073" spans="1:12" ht="13.5">
      <c r="A1073" s="448">
        <v>53350</v>
      </c>
      <c r="B1073" s="447">
        <v>53400</v>
      </c>
      <c r="C1073" s="1378">
        <f t="shared" si="78"/>
        <v>0</v>
      </c>
      <c r="D1073" s="448">
        <f t="shared" si="78"/>
        <v>0</v>
      </c>
      <c r="E1073" s="448">
        <f t="shared" si="78"/>
        <v>829</v>
      </c>
      <c r="F1073" s="447">
        <f t="shared" si="78"/>
        <v>1723</v>
      </c>
      <c r="G1073" s="1378">
        <f t="shared" si="78"/>
        <v>0</v>
      </c>
      <c r="H1073" s="448">
        <f t="shared" si="77"/>
        <v>668</v>
      </c>
      <c r="I1073" s="448">
        <f t="shared" si="77"/>
        <v>2328</v>
      </c>
      <c r="J1073" s="447">
        <f t="shared" si="77"/>
        <v>3222</v>
      </c>
      <c r="K1073" s="422"/>
      <c r="L1073" s="448">
        <f t="shared" si="76"/>
        <v>53375</v>
      </c>
    </row>
    <row r="1074" spans="1:12" ht="13.5">
      <c r="A1074" s="448">
        <v>53400</v>
      </c>
      <c r="B1074" s="447">
        <v>53450</v>
      </c>
      <c r="C1074" s="1378">
        <f t="shared" si="78"/>
        <v>0</v>
      </c>
      <c r="D1074" s="448">
        <f t="shared" si="78"/>
        <v>0</v>
      </c>
      <c r="E1074" s="448">
        <f t="shared" si="78"/>
        <v>818</v>
      </c>
      <c r="F1074" s="447">
        <f t="shared" si="78"/>
        <v>1712</v>
      </c>
      <c r="G1074" s="1378">
        <f t="shared" si="78"/>
        <v>0</v>
      </c>
      <c r="H1074" s="448">
        <f t="shared" si="77"/>
        <v>660</v>
      </c>
      <c r="I1074" s="448">
        <f t="shared" si="77"/>
        <v>2318</v>
      </c>
      <c r="J1074" s="447">
        <f t="shared" si="77"/>
        <v>3212</v>
      </c>
      <c r="K1074" s="422"/>
      <c r="L1074" s="448">
        <f t="shared" si="76"/>
        <v>53425</v>
      </c>
    </row>
    <row r="1075" spans="1:12" ht="13.5">
      <c r="A1075" s="448">
        <v>53450</v>
      </c>
      <c r="B1075" s="447">
        <v>53500</v>
      </c>
      <c r="C1075" s="1378">
        <f t="shared" si="78"/>
        <v>0</v>
      </c>
      <c r="D1075" s="448">
        <f t="shared" si="78"/>
        <v>0</v>
      </c>
      <c r="E1075" s="448">
        <f t="shared" si="78"/>
        <v>808</v>
      </c>
      <c r="F1075" s="447">
        <f t="shared" si="78"/>
        <v>1702</v>
      </c>
      <c r="G1075" s="1378">
        <f t="shared" si="78"/>
        <v>0</v>
      </c>
      <c r="H1075" s="448">
        <f t="shared" si="77"/>
        <v>652</v>
      </c>
      <c r="I1075" s="448">
        <f t="shared" si="77"/>
        <v>2307</v>
      </c>
      <c r="J1075" s="447">
        <f t="shared" si="77"/>
        <v>3201</v>
      </c>
      <c r="K1075" s="422"/>
      <c r="L1075" s="448">
        <f>ROUND((A1075+B1075)/2,2)</f>
        <v>53475</v>
      </c>
    </row>
    <row r="1076" spans="1:12" ht="13.5">
      <c r="A1076" s="448">
        <v>53500</v>
      </c>
      <c r="B1076" s="447">
        <v>53550</v>
      </c>
      <c r="C1076" s="1378">
        <f t="shared" si="78"/>
        <v>0</v>
      </c>
      <c r="D1076" s="448">
        <f t="shared" si="78"/>
        <v>0</v>
      </c>
      <c r="E1076" s="448">
        <f t="shared" si="78"/>
        <v>797</v>
      </c>
      <c r="F1076" s="447">
        <f t="shared" si="78"/>
        <v>1691</v>
      </c>
      <c r="G1076" s="1378">
        <f t="shared" si="78"/>
        <v>0</v>
      </c>
      <c r="H1076" s="448">
        <f t="shared" si="77"/>
        <v>644</v>
      </c>
      <c r="I1076" s="448">
        <f t="shared" si="77"/>
        <v>2297</v>
      </c>
      <c r="J1076" s="447">
        <f t="shared" si="77"/>
        <v>3191</v>
      </c>
      <c r="K1076" s="422"/>
      <c r="L1076" s="448">
        <f t="shared" si="76"/>
        <v>53525</v>
      </c>
    </row>
    <row r="1077" spans="1:12" ht="13.5">
      <c r="A1077" s="448">
        <v>53550</v>
      </c>
      <c r="B1077" s="447">
        <v>53600</v>
      </c>
      <c r="C1077" s="1378">
        <f t="shared" si="78"/>
        <v>0</v>
      </c>
      <c r="D1077" s="448">
        <f t="shared" si="78"/>
        <v>0</v>
      </c>
      <c r="E1077" s="448">
        <f t="shared" si="78"/>
        <v>787</v>
      </c>
      <c r="F1077" s="447">
        <f t="shared" si="78"/>
        <v>1681</v>
      </c>
      <c r="G1077" s="1378">
        <f t="shared" si="78"/>
        <v>0</v>
      </c>
      <c r="H1077" s="448">
        <f t="shared" si="77"/>
        <v>636</v>
      </c>
      <c r="I1077" s="448">
        <f t="shared" si="77"/>
        <v>2286</v>
      </c>
      <c r="J1077" s="447">
        <f t="shared" si="77"/>
        <v>3180</v>
      </c>
      <c r="K1077" s="422"/>
      <c r="L1077" s="448">
        <f t="shared" si="76"/>
        <v>53575</v>
      </c>
    </row>
    <row r="1078" spans="1:12" ht="13.5">
      <c r="A1078" s="448">
        <v>53600</v>
      </c>
      <c r="B1078" s="447">
        <v>53650</v>
      </c>
      <c r="C1078" s="1378">
        <f t="shared" si="78"/>
        <v>0</v>
      </c>
      <c r="D1078" s="448">
        <f t="shared" si="78"/>
        <v>0</v>
      </c>
      <c r="E1078" s="448">
        <f t="shared" si="78"/>
        <v>776</v>
      </c>
      <c r="F1078" s="447">
        <f t="shared" si="78"/>
        <v>1670</v>
      </c>
      <c r="G1078" s="1378">
        <f t="shared" si="78"/>
        <v>0</v>
      </c>
      <c r="H1078" s="448">
        <f t="shared" si="77"/>
        <v>628</v>
      </c>
      <c r="I1078" s="448">
        <f t="shared" si="77"/>
        <v>2276</v>
      </c>
      <c r="J1078" s="447">
        <f t="shared" si="77"/>
        <v>3170</v>
      </c>
      <c r="K1078" s="422"/>
      <c r="L1078" s="448">
        <f t="shared" si="76"/>
        <v>53625</v>
      </c>
    </row>
    <row r="1079" spans="1:12" ht="13.5">
      <c r="A1079" s="448">
        <v>53650</v>
      </c>
      <c r="B1079" s="447">
        <v>53700</v>
      </c>
      <c r="C1079" s="1378">
        <f t="shared" si="78"/>
        <v>0</v>
      </c>
      <c r="D1079" s="448">
        <f t="shared" si="78"/>
        <v>0</v>
      </c>
      <c r="E1079" s="448">
        <f t="shared" si="78"/>
        <v>766</v>
      </c>
      <c r="F1079" s="447">
        <f t="shared" si="78"/>
        <v>1660</v>
      </c>
      <c r="G1079" s="1378">
        <f t="shared" si="78"/>
        <v>0</v>
      </c>
      <c r="H1079" s="448">
        <f t="shared" si="77"/>
        <v>620</v>
      </c>
      <c r="I1079" s="448">
        <f t="shared" si="77"/>
        <v>2265</v>
      </c>
      <c r="J1079" s="447">
        <f t="shared" si="77"/>
        <v>3159</v>
      </c>
      <c r="K1079" s="422"/>
      <c r="L1079" s="448">
        <f t="shared" si="76"/>
        <v>53675</v>
      </c>
    </row>
    <row r="1080" spans="1:12" ht="13.5">
      <c r="A1080" s="448">
        <v>53700</v>
      </c>
      <c r="B1080" s="447">
        <v>53750</v>
      </c>
      <c r="C1080" s="1378">
        <f t="shared" si="78"/>
        <v>0</v>
      </c>
      <c r="D1080" s="448">
        <f t="shared" si="78"/>
        <v>0</v>
      </c>
      <c r="E1080" s="448">
        <f t="shared" si="78"/>
        <v>755</v>
      </c>
      <c r="F1080" s="447">
        <f t="shared" si="78"/>
        <v>1649</v>
      </c>
      <c r="G1080" s="1378">
        <f t="shared" si="78"/>
        <v>0</v>
      </c>
      <c r="H1080" s="448">
        <f t="shared" si="77"/>
        <v>612</v>
      </c>
      <c r="I1080" s="448">
        <f t="shared" si="77"/>
        <v>2254</v>
      </c>
      <c r="J1080" s="447">
        <f t="shared" si="77"/>
        <v>3148</v>
      </c>
      <c r="K1080" s="422"/>
      <c r="L1080" s="448">
        <f t="shared" si="76"/>
        <v>53725</v>
      </c>
    </row>
    <row r="1081" spans="1:12" ht="13.5">
      <c r="A1081" s="448">
        <v>53750</v>
      </c>
      <c r="B1081" s="447">
        <v>53800</v>
      </c>
      <c r="C1081" s="1378">
        <f t="shared" si="78"/>
        <v>0</v>
      </c>
      <c r="D1081" s="448">
        <f t="shared" si="78"/>
        <v>0</v>
      </c>
      <c r="E1081" s="448">
        <f t="shared" si="78"/>
        <v>744</v>
      </c>
      <c r="F1081" s="447">
        <f t="shared" si="78"/>
        <v>1638</v>
      </c>
      <c r="G1081" s="1378">
        <f t="shared" si="78"/>
        <v>0</v>
      </c>
      <c r="H1081" s="448">
        <f t="shared" si="77"/>
        <v>604</v>
      </c>
      <c r="I1081" s="448">
        <f t="shared" si="77"/>
        <v>2244</v>
      </c>
      <c r="J1081" s="447">
        <f t="shared" si="77"/>
        <v>3138</v>
      </c>
      <c r="K1081" s="422"/>
      <c r="L1081" s="448">
        <f t="shared" si="76"/>
        <v>53775</v>
      </c>
    </row>
    <row r="1082" spans="1:12" ht="13.5">
      <c r="A1082" s="448">
        <v>53800</v>
      </c>
      <c r="B1082" s="447">
        <v>53850</v>
      </c>
      <c r="C1082" s="1378">
        <f t="shared" si="78"/>
        <v>0</v>
      </c>
      <c r="D1082" s="448">
        <f t="shared" si="78"/>
        <v>0</v>
      </c>
      <c r="E1082" s="448">
        <f t="shared" si="78"/>
        <v>734</v>
      </c>
      <c r="F1082" s="447">
        <f t="shared" si="78"/>
        <v>1628</v>
      </c>
      <c r="G1082" s="1378">
        <f t="shared" si="78"/>
        <v>0</v>
      </c>
      <c r="H1082" s="448">
        <f t="shared" si="77"/>
        <v>596</v>
      </c>
      <c r="I1082" s="448">
        <f t="shared" si="77"/>
        <v>2233</v>
      </c>
      <c r="J1082" s="447">
        <f t="shared" si="77"/>
        <v>3127</v>
      </c>
      <c r="K1082" s="422"/>
      <c r="L1082" s="448">
        <f t="shared" si="76"/>
        <v>53825</v>
      </c>
    </row>
    <row r="1083" spans="1:12" ht="13.5">
      <c r="A1083" s="448">
        <v>53850</v>
      </c>
      <c r="B1083" s="447">
        <v>53900</v>
      </c>
      <c r="C1083" s="1378">
        <f t="shared" si="78"/>
        <v>0</v>
      </c>
      <c r="D1083" s="448">
        <f t="shared" si="78"/>
        <v>0</v>
      </c>
      <c r="E1083" s="448">
        <f t="shared" si="78"/>
        <v>723</v>
      </c>
      <c r="F1083" s="447">
        <f t="shared" si="78"/>
        <v>1617</v>
      </c>
      <c r="G1083" s="1378">
        <f t="shared" si="78"/>
        <v>0</v>
      </c>
      <c r="H1083" s="448">
        <f t="shared" si="77"/>
        <v>588</v>
      </c>
      <c r="I1083" s="448">
        <f t="shared" si="77"/>
        <v>2223</v>
      </c>
      <c r="J1083" s="447">
        <f t="shared" si="77"/>
        <v>3117</v>
      </c>
      <c r="K1083" s="422"/>
      <c r="L1083" s="448">
        <f t="shared" si="76"/>
        <v>53875</v>
      </c>
    </row>
    <row r="1084" spans="1:12" ht="13.5">
      <c r="A1084" s="448">
        <v>53900</v>
      </c>
      <c r="B1084" s="447">
        <v>53950</v>
      </c>
      <c r="C1084" s="1378">
        <f t="shared" si="78"/>
        <v>0</v>
      </c>
      <c r="D1084" s="448">
        <f t="shared" si="78"/>
        <v>0</v>
      </c>
      <c r="E1084" s="448">
        <f t="shared" si="78"/>
        <v>713</v>
      </c>
      <c r="F1084" s="447">
        <f t="shared" si="78"/>
        <v>1607</v>
      </c>
      <c r="G1084" s="1378">
        <f t="shared" si="78"/>
        <v>0</v>
      </c>
      <c r="H1084" s="448">
        <f t="shared" si="77"/>
        <v>580</v>
      </c>
      <c r="I1084" s="448">
        <f t="shared" si="77"/>
        <v>2212</v>
      </c>
      <c r="J1084" s="447">
        <f t="shared" si="77"/>
        <v>3106</v>
      </c>
      <c r="K1084" s="422"/>
      <c r="L1084" s="448">
        <f t="shared" si="76"/>
        <v>53925</v>
      </c>
    </row>
    <row r="1085" spans="1:12" ht="13.5">
      <c r="A1085" s="448">
        <v>53950</v>
      </c>
      <c r="B1085" s="447">
        <v>54000</v>
      </c>
      <c r="C1085" s="1378">
        <f t="shared" si="78"/>
        <v>0</v>
      </c>
      <c r="D1085" s="448">
        <f t="shared" si="78"/>
        <v>0</v>
      </c>
      <c r="E1085" s="448">
        <f t="shared" si="78"/>
        <v>702</v>
      </c>
      <c r="F1085" s="447">
        <f t="shared" si="78"/>
        <v>1596</v>
      </c>
      <c r="G1085" s="1378">
        <f t="shared" si="78"/>
        <v>0</v>
      </c>
      <c r="H1085" s="448">
        <f t="shared" si="77"/>
        <v>572</v>
      </c>
      <c r="I1085" s="448">
        <f t="shared" si="77"/>
        <v>2202</v>
      </c>
      <c r="J1085" s="447">
        <f t="shared" si="77"/>
        <v>3096</v>
      </c>
      <c r="K1085" s="422"/>
      <c r="L1085" s="448">
        <f t="shared" si="76"/>
        <v>53975</v>
      </c>
    </row>
    <row r="1086" spans="1:12" ht="13.5">
      <c r="A1086" s="448">
        <v>54000</v>
      </c>
      <c r="B1086" s="447">
        <v>54050</v>
      </c>
      <c r="C1086" s="1378">
        <f t="shared" si="78"/>
        <v>0</v>
      </c>
      <c r="D1086" s="448">
        <f t="shared" si="78"/>
        <v>0</v>
      </c>
      <c r="E1086" s="448">
        <f t="shared" si="78"/>
        <v>692</v>
      </c>
      <c r="F1086" s="447">
        <f t="shared" si="78"/>
        <v>1586</v>
      </c>
      <c r="G1086" s="1378">
        <f t="shared" si="78"/>
        <v>0</v>
      </c>
      <c r="H1086" s="448">
        <f t="shared" si="77"/>
        <v>564</v>
      </c>
      <c r="I1086" s="448">
        <f t="shared" si="77"/>
        <v>2191</v>
      </c>
      <c r="J1086" s="447">
        <f t="shared" si="77"/>
        <v>3085</v>
      </c>
      <c r="K1086" s="422"/>
      <c r="L1086" s="448">
        <f t="shared" si="76"/>
        <v>54025</v>
      </c>
    </row>
    <row r="1087" spans="1:12" ht="13.5">
      <c r="A1087" s="448">
        <v>54050</v>
      </c>
      <c r="B1087" s="447">
        <v>54100</v>
      </c>
      <c r="C1087" s="1378">
        <f t="shared" si="78"/>
        <v>0</v>
      </c>
      <c r="D1087" s="448">
        <f t="shared" si="78"/>
        <v>0</v>
      </c>
      <c r="E1087" s="448">
        <f t="shared" si="78"/>
        <v>681</v>
      </c>
      <c r="F1087" s="447">
        <f t="shared" si="78"/>
        <v>1575</v>
      </c>
      <c r="G1087" s="1378">
        <f t="shared" si="78"/>
        <v>0</v>
      </c>
      <c r="H1087" s="448">
        <f t="shared" si="77"/>
        <v>556</v>
      </c>
      <c r="I1087" s="448">
        <f t="shared" si="77"/>
        <v>2181</v>
      </c>
      <c r="J1087" s="447">
        <f t="shared" si="77"/>
        <v>3075</v>
      </c>
      <c r="K1087" s="422"/>
      <c r="L1087" s="448">
        <f t="shared" si="76"/>
        <v>54075</v>
      </c>
    </row>
    <row r="1088" spans="1:12" ht="13.5">
      <c r="A1088" s="448">
        <v>54100</v>
      </c>
      <c r="B1088" s="447">
        <v>54150</v>
      </c>
      <c r="C1088" s="1378">
        <f t="shared" si="78"/>
        <v>0</v>
      </c>
      <c r="D1088" s="448">
        <f t="shared" si="78"/>
        <v>0</v>
      </c>
      <c r="E1088" s="448">
        <f t="shared" si="78"/>
        <v>671</v>
      </c>
      <c r="F1088" s="447">
        <f t="shared" si="78"/>
        <v>1565</v>
      </c>
      <c r="G1088" s="1378">
        <f t="shared" si="78"/>
        <v>0</v>
      </c>
      <c r="H1088" s="448">
        <f t="shared" si="77"/>
        <v>548</v>
      </c>
      <c r="I1088" s="448">
        <f t="shared" si="77"/>
        <v>2170</v>
      </c>
      <c r="J1088" s="447">
        <f t="shared" si="77"/>
        <v>3064</v>
      </c>
      <c r="K1088" s="422"/>
      <c r="L1088" s="448">
        <f t="shared" si="76"/>
        <v>54125</v>
      </c>
    </row>
    <row r="1089" spans="1:12" ht="13.5">
      <c r="A1089" s="448">
        <v>54150</v>
      </c>
      <c r="B1089" s="447">
        <v>54200</v>
      </c>
      <c r="C1089" s="1378">
        <f t="shared" si="78"/>
        <v>0</v>
      </c>
      <c r="D1089" s="448">
        <f t="shared" si="78"/>
        <v>0</v>
      </c>
      <c r="E1089" s="448">
        <f t="shared" si="78"/>
        <v>660</v>
      </c>
      <c r="F1089" s="447">
        <f t="shared" si="78"/>
        <v>1554</v>
      </c>
      <c r="G1089" s="1378">
        <f t="shared" si="78"/>
        <v>0</v>
      </c>
      <c r="H1089" s="448">
        <f t="shared" si="77"/>
        <v>540</v>
      </c>
      <c r="I1089" s="448">
        <f t="shared" si="77"/>
        <v>2160</v>
      </c>
      <c r="J1089" s="447">
        <f t="shared" si="77"/>
        <v>3054</v>
      </c>
      <c r="K1089" s="422"/>
      <c r="L1089" s="448">
        <f t="shared" si="76"/>
        <v>54175</v>
      </c>
    </row>
    <row r="1090" spans="1:12" ht="13.5">
      <c r="A1090" s="448">
        <v>54200</v>
      </c>
      <c r="B1090" s="447">
        <v>54250</v>
      </c>
      <c r="C1090" s="1378">
        <f t="shared" si="78"/>
        <v>0</v>
      </c>
      <c r="D1090" s="448">
        <f t="shared" si="78"/>
        <v>0</v>
      </c>
      <c r="E1090" s="448">
        <f t="shared" si="78"/>
        <v>650</v>
      </c>
      <c r="F1090" s="447">
        <f t="shared" si="78"/>
        <v>1544</v>
      </c>
      <c r="G1090" s="1378">
        <f t="shared" si="78"/>
        <v>0</v>
      </c>
      <c r="H1090" s="448">
        <f t="shared" si="77"/>
        <v>532</v>
      </c>
      <c r="I1090" s="448">
        <f t="shared" si="77"/>
        <v>2149</v>
      </c>
      <c r="J1090" s="447">
        <f t="shared" si="77"/>
        <v>3043</v>
      </c>
      <c r="K1090" s="422"/>
      <c r="L1090" s="448">
        <f t="shared" si="76"/>
        <v>54225</v>
      </c>
    </row>
    <row r="1091" spans="1:12" ht="13.5">
      <c r="A1091" s="448">
        <v>54250</v>
      </c>
      <c r="B1091" s="447">
        <v>54300</v>
      </c>
      <c r="C1091" s="1378">
        <f t="shared" si="78"/>
        <v>0</v>
      </c>
      <c r="D1091" s="448">
        <f t="shared" si="78"/>
        <v>0</v>
      </c>
      <c r="E1091" s="448">
        <f t="shared" si="78"/>
        <v>639</v>
      </c>
      <c r="F1091" s="447">
        <f t="shared" si="78"/>
        <v>1533</v>
      </c>
      <c r="G1091" s="1378">
        <f t="shared" si="78"/>
        <v>0</v>
      </c>
      <c r="H1091" s="448">
        <f t="shared" si="77"/>
        <v>524</v>
      </c>
      <c r="I1091" s="448">
        <f t="shared" si="77"/>
        <v>2139</v>
      </c>
      <c r="J1091" s="447">
        <f t="shared" si="77"/>
        <v>3033</v>
      </c>
      <c r="K1091" s="422"/>
      <c r="L1091" s="448">
        <f t="shared" si="76"/>
        <v>54275</v>
      </c>
    </row>
    <row r="1092" spans="1:12" ht="13.5">
      <c r="A1092" s="448">
        <v>54300</v>
      </c>
      <c r="B1092" s="447">
        <v>54350</v>
      </c>
      <c r="C1092" s="1378">
        <f t="shared" si="78"/>
        <v>0</v>
      </c>
      <c r="D1092" s="448">
        <f t="shared" si="78"/>
        <v>0</v>
      </c>
      <c r="E1092" s="448">
        <f t="shared" si="78"/>
        <v>629</v>
      </c>
      <c r="F1092" s="447">
        <f t="shared" si="78"/>
        <v>1523</v>
      </c>
      <c r="G1092" s="1378">
        <f t="shared" si="78"/>
        <v>0</v>
      </c>
      <c r="H1092" s="448">
        <f t="shared" si="77"/>
        <v>516</v>
      </c>
      <c r="I1092" s="448">
        <f t="shared" si="77"/>
        <v>2128</v>
      </c>
      <c r="J1092" s="447">
        <f t="shared" si="77"/>
        <v>3022</v>
      </c>
      <c r="K1092" s="422"/>
      <c r="L1092" s="448">
        <f t="shared" si="76"/>
        <v>54325</v>
      </c>
    </row>
    <row r="1093" spans="1:12" ht="13.5">
      <c r="A1093" s="448">
        <v>54350</v>
      </c>
      <c r="B1093" s="447">
        <v>54400</v>
      </c>
      <c r="C1093" s="1378">
        <f t="shared" si="78"/>
        <v>0</v>
      </c>
      <c r="D1093" s="448">
        <f t="shared" si="78"/>
        <v>0</v>
      </c>
      <c r="E1093" s="448">
        <f t="shared" si="78"/>
        <v>618</v>
      </c>
      <c r="F1093" s="447">
        <f t="shared" si="78"/>
        <v>1512</v>
      </c>
      <c r="G1093" s="1378">
        <f t="shared" si="78"/>
        <v>0</v>
      </c>
      <c r="H1093" s="448">
        <f t="shared" si="77"/>
        <v>508</v>
      </c>
      <c r="I1093" s="448">
        <f t="shared" si="77"/>
        <v>2118</v>
      </c>
      <c r="J1093" s="447">
        <f t="shared" si="77"/>
        <v>3012</v>
      </c>
      <c r="K1093" s="422"/>
      <c r="L1093" s="448">
        <f t="shared" si="76"/>
        <v>54375</v>
      </c>
    </row>
    <row r="1094" spans="1:12" ht="13.5">
      <c r="A1094" s="448">
        <v>54400</v>
      </c>
      <c r="B1094" s="447">
        <v>54450</v>
      </c>
      <c r="C1094" s="1378">
        <f t="shared" si="78"/>
        <v>0</v>
      </c>
      <c r="D1094" s="448">
        <f t="shared" si="78"/>
        <v>0</v>
      </c>
      <c r="E1094" s="448">
        <f t="shared" si="78"/>
        <v>608</v>
      </c>
      <c r="F1094" s="447">
        <f t="shared" si="78"/>
        <v>1502</v>
      </c>
      <c r="G1094" s="1378">
        <f t="shared" si="78"/>
        <v>0</v>
      </c>
      <c r="H1094" s="448">
        <f t="shared" si="77"/>
        <v>500</v>
      </c>
      <c r="I1094" s="448">
        <f t="shared" si="77"/>
        <v>2107</v>
      </c>
      <c r="J1094" s="447">
        <f t="shared" si="77"/>
        <v>3001</v>
      </c>
      <c r="K1094" s="422"/>
      <c r="L1094" s="448">
        <f t="shared" si="76"/>
        <v>54425</v>
      </c>
    </row>
    <row r="1095" spans="1:12" ht="13.5">
      <c r="A1095" s="448">
        <v>54450</v>
      </c>
      <c r="B1095" s="447">
        <v>54500</v>
      </c>
      <c r="C1095" s="1378">
        <f t="shared" si="78"/>
        <v>0</v>
      </c>
      <c r="D1095" s="448">
        <f t="shared" si="78"/>
        <v>0</v>
      </c>
      <c r="E1095" s="448">
        <f t="shared" si="78"/>
        <v>597</v>
      </c>
      <c r="F1095" s="447">
        <f t="shared" si="78"/>
        <v>1491</v>
      </c>
      <c r="G1095" s="1378">
        <f t="shared" si="78"/>
        <v>0</v>
      </c>
      <c r="H1095" s="448">
        <f t="shared" si="77"/>
        <v>492</v>
      </c>
      <c r="I1095" s="448">
        <f t="shared" si="77"/>
        <v>2097</v>
      </c>
      <c r="J1095" s="447">
        <f t="shared" si="77"/>
        <v>2991</v>
      </c>
      <c r="K1095" s="422"/>
      <c r="L1095" s="448">
        <f t="shared" si="76"/>
        <v>54475</v>
      </c>
    </row>
    <row r="1096" spans="1:12" ht="13.5">
      <c r="A1096" s="448">
        <v>54500</v>
      </c>
      <c r="B1096" s="447">
        <v>54550</v>
      </c>
      <c r="C1096" s="1378">
        <f t="shared" si="78"/>
        <v>0</v>
      </c>
      <c r="D1096" s="448">
        <f t="shared" si="78"/>
        <v>0</v>
      </c>
      <c r="E1096" s="448">
        <f t="shared" si="78"/>
        <v>587</v>
      </c>
      <c r="F1096" s="447">
        <f t="shared" si="78"/>
        <v>1481</v>
      </c>
      <c r="G1096" s="1378">
        <f t="shared" si="78"/>
        <v>0</v>
      </c>
      <c r="H1096" s="448">
        <f t="shared" si="77"/>
        <v>484</v>
      </c>
      <c r="I1096" s="448">
        <f t="shared" si="77"/>
        <v>2086</v>
      </c>
      <c r="J1096" s="447">
        <f t="shared" si="77"/>
        <v>2980</v>
      </c>
      <c r="K1096" s="422"/>
      <c r="L1096" s="448">
        <f t="shared" si="76"/>
        <v>54525</v>
      </c>
    </row>
    <row r="1097" spans="1:12" ht="13.5">
      <c r="A1097" s="448">
        <v>54550</v>
      </c>
      <c r="B1097" s="447">
        <v>54600</v>
      </c>
      <c r="C1097" s="1378">
        <f t="shared" si="78"/>
        <v>0</v>
      </c>
      <c r="D1097" s="448">
        <f t="shared" si="78"/>
        <v>0</v>
      </c>
      <c r="E1097" s="448">
        <f t="shared" si="78"/>
        <v>576</v>
      </c>
      <c r="F1097" s="447">
        <f t="shared" si="78"/>
        <v>1470</v>
      </c>
      <c r="G1097" s="1378">
        <f t="shared" si="78"/>
        <v>0</v>
      </c>
      <c r="H1097" s="448">
        <f t="shared" si="77"/>
        <v>476</v>
      </c>
      <c r="I1097" s="448">
        <f t="shared" si="77"/>
        <v>2075</v>
      </c>
      <c r="J1097" s="447">
        <f t="shared" si="77"/>
        <v>2969</v>
      </c>
      <c r="K1097" s="422"/>
      <c r="L1097" s="448">
        <f t="shared" si="76"/>
        <v>54575</v>
      </c>
    </row>
    <row r="1098" spans="1:12" ht="13.5">
      <c r="A1098" s="448">
        <v>54600</v>
      </c>
      <c r="B1098" s="447">
        <v>54650</v>
      </c>
      <c r="C1098" s="1378">
        <f t="shared" si="78"/>
        <v>0</v>
      </c>
      <c r="D1098" s="448">
        <f t="shared" si="78"/>
        <v>0</v>
      </c>
      <c r="E1098" s="448">
        <f t="shared" si="78"/>
        <v>565</v>
      </c>
      <c r="F1098" s="447">
        <f t="shared" si="78"/>
        <v>1459</v>
      </c>
      <c r="G1098" s="1378">
        <f t="shared" si="78"/>
        <v>0</v>
      </c>
      <c r="H1098" s="448">
        <f t="shared" si="77"/>
        <v>468</v>
      </c>
      <c r="I1098" s="448">
        <f t="shared" si="77"/>
        <v>2065</v>
      </c>
      <c r="J1098" s="447">
        <f t="shared" si="77"/>
        <v>2959</v>
      </c>
      <c r="K1098" s="422"/>
      <c r="L1098" s="448">
        <f t="shared" si="76"/>
        <v>54625</v>
      </c>
    </row>
    <row r="1099" spans="1:12" ht="13.5">
      <c r="A1099" s="448">
        <v>54650</v>
      </c>
      <c r="B1099" s="447">
        <v>54700</v>
      </c>
      <c r="C1099" s="1378">
        <f t="shared" si="78"/>
        <v>0</v>
      </c>
      <c r="D1099" s="448">
        <f t="shared" si="78"/>
        <v>0</v>
      </c>
      <c r="E1099" s="448">
        <f t="shared" si="78"/>
        <v>555</v>
      </c>
      <c r="F1099" s="447">
        <f t="shared" si="78"/>
        <v>1449</v>
      </c>
      <c r="G1099" s="1378">
        <f t="shared" si="78"/>
        <v>0</v>
      </c>
      <c r="H1099" s="448">
        <f t="shared" si="77"/>
        <v>460</v>
      </c>
      <c r="I1099" s="448">
        <f t="shared" si="77"/>
        <v>2054</v>
      </c>
      <c r="J1099" s="447">
        <f t="shared" si="77"/>
        <v>2948</v>
      </c>
      <c r="K1099" s="422"/>
      <c r="L1099" s="448">
        <f t="shared" ref="L1099:L1169" si="79">ROUND((A1099+B1099)/2,2)</f>
        <v>54675</v>
      </c>
    </row>
    <row r="1100" spans="1:12" ht="13.5">
      <c r="A1100" s="448">
        <v>54700</v>
      </c>
      <c r="B1100" s="447">
        <v>54750</v>
      </c>
      <c r="C1100" s="1378">
        <f t="shared" si="78"/>
        <v>0</v>
      </c>
      <c r="D1100" s="448">
        <f t="shared" si="78"/>
        <v>0</v>
      </c>
      <c r="E1100" s="448">
        <f t="shared" si="78"/>
        <v>544</v>
      </c>
      <c r="F1100" s="447">
        <f t="shared" si="78"/>
        <v>1438</v>
      </c>
      <c r="G1100" s="1378">
        <f t="shared" si="78"/>
        <v>0</v>
      </c>
      <c r="H1100" s="448">
        <f t="shared" si="77"/>
        <v>452</v>
      </c>
      <c r="I1100" s="448">
        <f t="shared" si="77"/>
        <v>2044</v>
      </c>
      <c r="J1100" s="447">
        <f t="shared" si="77"/>
        <v>2938</v>
      </c>
      <c r="K1100" s="422"/>
      <c r="L1100" s="448">
        <f t="shared" si="79"/>
        <v>54725</v>
      </c>
    </row>
    <row r="1101" spans="1:12" ht="13.5">
      <c r="A1101" s="448">
        <v>54750</v>
      </c>
      <c r="B1101" s="447">
        <v>54800</v>
      </c>
      <c r="C1101" s="1378">
        <f t="shared" ref="C1101:J1134" si="80">IF($L1101&gt;N$5,MAX(0,N$3+ROUND((N$9*($L1101-N$5)),0)),IF($L1101&gt;N$4,N$3,ROUND($L1101*N$7,0)))</f>
        <v>0</v>
      </c>
      <c r="D1101" s="448">
        <f t="shared" si="80"/>
        <v>0</v>
      </c>
      <c r="E1101" s="448">
        <f t="shared" si="80"/>
        <v>534</v>
      </c>
      <c r="F1101" s="447">
        <f t="shared" si="80"/>
        <v>1428</v>
      </c>
      <c r="G1101" s="1378">
        <f t="shared" si="80"/>
        <v>0</v>
      </c>
      <c r="H1101" s="448">
        <f t="shared" si="77"/>
        <v>444</v>
      </c>
      <c r="I1101" s="448">
        <f t="shared" si="77"/>
        <v>2033</v>
      </c>
      <c r="J1101" s="447">
        <f t="shared" si="77"/>
        <v>2927</v>
      </c>
      <c r="K1101" s="422"/>
      <c r="L1101" s="448">
        <f t="shared" si="79"/>
        <v>54775</v>
      </c>
    </row>
    <row r="1102" spans="1:12" ht="13.5">
      <c r="A1102" s="448">
        <v>54800</v>
      </c>
      <c r="B1102" s="447">
        <v>54850</v>
      </c>
      <c r="C1102" s="1378">
        <f t="shared" si="80"/>
        <v>0</v>
      </c>
      <c r="D1102" s="448">
        <f t="shared" si="80"/>
        <v>0</v>
      </c>
      <c r="E1102" s="448">
        <f t="shared" si="80"/>
        <v>523</v>
      </c>
      <c r="F1102" s="447">
        <f t="shared" si="80"/>
        <v>1417</v>
      </c>
      <c r="G1102" s="1378">
        <f t="shared" si="80"/>
        <v>0</v>
      </c>
      <c r="H1102" s="448">
        <f t="shared" si="77"/>
        <v>436</v>
      </c>
      <c r="I1102" s="448">
        <f t="shared" si="77"/>
        <v>2023</v>
      </c>
      <c r="J1102" s="447">
        <f t="shared" si="77"/>
        <v>2917</v>
      </c>
      <c r="K1102" s="422"/>
      <c r="L1102" s="448">
        <f t="shared" si="79"/>
        <v>54825</v>
      </c>
    </row>
    <row r="1103" spans="1:12" ht="13.5">
      <c r="A1103" s="448">
        <v>54850</v>
      </c>
      <c r="B1103" s="447">
        <v>54900</v>
      </c>
      <c r="C1103" s="1378">
        <f t="shared" si="80"/>
        <v>0</v>
      </c>
      <c r="D1103" s="448">
        <f t="shared" si="80"/>
        <v>0</v>
      </c>
      <c r="E1103" s="448">
        <f t="shared" si="80"/>
        <v>513</v>
      </c>
      <c r="F1103" s="447">
        <f t="shared" si="80"/>
        <v>1407</v>
      </c>
      <c r="G1103" s="1378">
        <f t="shared" si="80"/>
        <v>0</v>
      </c>
      <c r="H1103" s="448">
        <f t="shared" si="77"/>
        <v>428</v>
      </c>
      <c r="I1103" s="448">
        <f t="shared" si="77"/>
        <v>2012</v>
      </c>
      <c r="J1103" s="447">
        <f t="shared" si="77"/>
        <v>2906</v>
      </c>
      <c r="K1103" s="422"/>
      <c r="L1103" s="448">
        <f t="shared" si="79"/>
        <v>54875</v>
      </c>
    </row>
    <row r="1104" spans="1:12" ht="13.5">
      <c r="A1104" s="448">
        <v>54900</v>
      </c>
      <c r="B1104" s="447">
        <v>54950</v>
      </c>
      <c r="C1104" s="1378">
        <f t="shared" si="80"/>
        <v>0</v>
      </c>
      <c r="D1104" s="448">
        <f t="shared" si="80"/>
        <v>0</v>
      </c>
      <c r="E1104" s="448">
        <f t="shared" si="80"/>
        <v>502</v>
      </c>
      <c r="F1104" s="447">
        <f t="shared" si="80"/>
        <v>1396</v>
      </c>
      <c r="G1104" s="1378">
        <f t="shared" si="80"/>
        <v>0</v>
      </c>
      <c r="H1104" s="448">
        <f t="shared" si="77"/>
        <v>420</v>
      </c>
      <c r="I1104" s="448">
        <f t="shared" si="77"/>
        <v>2002</v>
      </c>
      <c r="J1104" s="447">
        <f t="shared" si="77"/>
        <v>2896</v>
      </c>
      <c r="K1104" s="422"/>
      <c r="L1104" s="448">
        <f t="shared" si="79"/>
        <v>54925</v>
      </c>
    </row>
    <row r="1105" spans="1:12" ht="13.5">
      <c r="A1105" s="448">
        <v>54950</v>
      </c>
      <c r="B1105" s="447">
        <v>55000</v>
      </c>
      <c r="C1105" s="1378">
        <f t="shared" si="80"/>
        <v>0</v>
      </c>
      <c r="D1105" s="448">
        <f t="shared" si="80"/>
        <v>0</v>
      </c>
      <c r="E1105" s="448">
        <f t="shared" si="80"/>
        <v>492</v>
      </c>
      <c r="F1105" s="447">
        <f t="shared" si="80"/>
        <v>1386</v>
      </c>
      <c r="G1105" s="1378">
        <f t="shared" si="80"/>
        <v>0</v>
      </c>
      <c r="H1105" s="448">
        <f t="shared" si="80"/>
        <v>412</v>
      </c>
      <c r="I1105" s="448">
        <f t="shared" si="80"/>
        <v>1991</v>
      </c>
      <c r="J1105" s="447">
        <f t="shared" si="80"/>
        <v>2885</v>
      </c>
      <c r="K1105" s="422"/>
      <c r="L1105" s="448">
        <f t="shared" si="79"/>
        <v>54975</v>
      </c>
    </row>
    <row r="1106" spans="1:12" ht="13.5">
      <c r="A1106" s="448">
        <v>55000</v>
      </c>
      <c r="B1106" s="447">
        <v>55050</v>
      </c>
      <c r="C1106" s="1378">
        <f t="shared" si="80"/>
        <v>0</v>
      </c>
      <c r="D1106" s="448">
        <f t="shared" si="80"/>
        <v>0</v>
      </c>
      <c r="E1106" s="448">
        <f t="shared" si="80"/>
        <v>481</v>
      </c>
      <c r="F1106" s="447">
        <f t="shared" si="80"/>
        <v>1375</v>
      </c>
      <c r="G1106" s="1378">
        <f t="shared" si="80"/>
        <v>0</v>
      </c>
      <c r="H1106" s="448">
        <f t="shared" si="80"/>
        <v>404</v>
      </c>
      <c r="I1106" s="448">
        <f t="shared" si="80"/>
        <v>1981</v>
      </c>
      <c r="J1106" s="447">
        <f t="shared" si="80"/>
        <v>2875</v>
      </c>
      <c r="K1106" s="422"/>
      <c r="L1106" s="448">
        <f t="shared" si="79"/>
        <v>55025</v>
      </c>
    </row>
    <row r="1107" spans="1:12" ht="13.5">
      <c r="A1107" s="448">
        <v>55050</v>
      </c>
      <c r="B1107" s="447">
        <v>55100</v>
      </c>
      <c r="C1107" s="1378">
        <f t="shared" si="80"/>
        <v>0</v>
      </c>
      <c r="D1107" s="448">
        <f t="shared" si="80"/>
        <v>0</v>
      </c>
      <c r="E1107" s="448">
        <f t="shared" si="80"/>
        <v>471</v>
      </c>
      <c r="F1107" s="447">
        <f t="shared" si="80"/>
        <v>1365</v>
      </c>
      <c r="G1107" s="1378">
        <f t="shared" si="80"/>
        <v>0</v>
      </c>
      <c r="H1107" s="448">
        <f t="shared" si="80"/>
        <v>396</v>
      </c>
      <c r="I1107" s="448">
        <f t="shared" si="80"/>
        <v>1970</v>
      </c>
      <c r="J1107" s="447">
        <f t="shared" si="80"/>
        <v>2864</v>
      </c>
      <c r="K1107" s="422"/>
      <c r="L1107" s="448">
        <f t="shared" si="79"/>
        <v>55075</v>
      </c>
    </row>
    <row r="1108" spans="1:12" ht="13.5">
      <c r="A1108" s="448">
        <v>55100</v>
      </c>
      <c r="B1108" s="447">
        <v>55150</v>
      </c>
      <c r="C1108" s="1378">
        <f t="shared" si="80"/>
        <v>0</v>
      </c>
      <c r="D1108" s="448">
        <f t="shared" si="80"/>
        <v>0</v>
      </c>
      <c r="E1108" s="448">
        <f t="shared" si="80"/>
        <v>460</v>
      </c>
      <c r="F1108" s="447">
        <f t="shared" si="80"/>
        <v>1354</v>
      </c>
      <c r="G1108" s="1378">
        <f t="shared" si="80"/>
        <v>0</v>
      </c>
      <c r="H1108" s="448">
        <f t="shared" si="80"/>
        <v>388</v>
      </c>
      <c r="I1108" s="448">
        <f t="shared" si="80"/>
        <v>1960</v>
      </c>
      <c r="J1108" s="447">
        <f t="shared" si="80"/>
        <v>2854</v>
      </c>
      <c r="K1108" s="422"/>
      <c r="L1108" s="448">
        <f t="shared" si="79"/>
        <v>55125</v>
      </c>
    </row>
    <row r="1109" spans="1:12" ht="13.5">
      <c r="A1109" s="448">
        <v>55150</v>
      </c>
      <c r="B1109" s="447">
        <v>55200</v>
      </c>
      <c r="C1109" s="1378">
        <f t="shared" si="80"/>
        <v>0</v>
      </c>
      <c r="D1109" s="448">
        <f t="shared" si="80"/>
        <v>0</v>
      </c>
      <c r="E1109" s="448">
        <f t="shared" si="80"/>
        <v>450</v>
      </c>
      <c r="F1109" s="447">
        <f t="shared" si="80"/>
        <v>1344</v>
      </c>
      <c r="G1109" s="1378">
        <f t="shared" si="80"/>
        <v>0</v>
      </c>
      <c r="H1109" s="448">
        <f t="shared" si="80"/>
        <v>380</v>
      </c>
      <c r="I1109" s="448">
        <f t="shared" si="80"/>
        <v>1949</v>
      </c>
      <c r="J1109" s="447">
        <f t="shared" si="80"/>
        <v>2843</v>
      </c>
      <c r="K1109" s="422"/>
      <c r="L1109" s="448">
        <f t="shared" si="79"/>
        <v>55175</v>
      </c>
    </row>
    <row r="1110" spans="1:12" ht="13.5">
      <c r="A1110" s="448">
        <v>55200</v>
      </c>
      <c r="B1110" s="447">
        <v>55250</v>
      </c>
      <c r="C1110" s="1378">
        <f t="shared" si="80"/>
        <v>0</v>
      </c>
      <c r="D1110" s="448">
        <f t="shared" si="80"/>
        <v>0</v>
      </c>
      <c r="E1110" s="448">
        <f t="shared" si="80"/>
        <v>439</v>
      </c>
      <c r="F1110" s="447">
        <f t="shared" si="80"/>
        <v>1333</v>
      </c>
      <c r="G1110" s="1378">
        <f t="shared" si="80"/>
        <v>0</v>
      </c>
      <c r="H1110" s="448">
        <f t="shared" si="80"/>
        <v>372</v>
      </c>
      <c r="I1110" s="448">
        <f t="shared" si="80"/>
        <v>1939</v>
      </c>
      <c r="J1110" s="447">
        <f t="shared" si="80"/>
        <v>2833</v>
      </c>
      <c r="K1110" s="422"/>
      <c r="L1110" s="448">
        <f t="shared" si="79"/>
        <v>55225</v>
      </c>
    </row>
    <row r="1111" spans="1:12" ht="13.5">
      <c r="A1111" s="448">
        <v>55250</v>
      </c>
      <c r="B1111" s="447">
        <v>55300</v>
      </c>
      <c r="C1111" s="1378">
        <f t="shared" si="80"/>
        <v>0</v>
      </c>
      <c r="D1111" s="448">
        <f t="shared" si="80"/>
        <v>0</v>
      </c>
      <c r="E1111" s="448">
        <f t="shared" si="80"/>
        <v>429</v>
      </c>
      <c r="F1111" s="447">
        <f t="shared" si="80"/>
        <v>1323</v>
      </c>
      <c r="G1111" s="1378">
        <f t="shared" si="80"/>
        <v>0</v>
      </c>
      <c r="H1111" s="448">
        <f t="shared" si="80"/>
        <v>364</v>
      </c>
      <c r="I1111" s="448">
        <f t="shared" si="80"/>
        <v>1928</v>
      </c>
      <c r="J1111" s="447">
        <f t="shared" si="80"/>
        <v>2822</v>
      </c>
      <c r="K1111" s="422"/>
      <c r="L1111" s="448">
        <f t="shared" si="79"/>
        <v>55275</v>
      </c>
    </row>
    <row r="1112" spans="1:12" ht="13.5">
      <c r="A1112" s="448">
        <v>55300</v>
      </c>
      <c r="B1112" s="447">
        <v>55350</v>
      </c>
      <c r="C1112" s="1378">
        <f t="shared" si="80"/>
        <v>0</v>
      </c>
      <c r="D1112" s="448">
        <f t="shared" si="80"/>
        <v>0</v>
      </c>
      <c r="E1112" s="448">
        <f t="shared" si="80"/>
        <v>418</v>
      </c>
      <c r="F1112" s="447">
        <f t="shared" si="80"/>
        <v>1312</v>
      </c>
      <c r="G1112" s="1378">
        <f t="shared" si="80"/>
        <v>0</v>
      </c>
      <c r="H1112" s="448">
        <f t="shared" si="80"/>
        <v>356</v>
      </c>
      <c r="I1112" s="448">
        <f t="shared" si="80"/>
        <v>1918</v>
      </c>
      <c r="J1112" s="447">
        <f t="shared" si="80"/>
        <v>2812</v>
      </c>
      <c r="K1112" s="422"/>
      <c r="L1112" s="448">
        <f t="shared" si="79"/>
        <v>55325</v>
      </c>
    </row>
    <row r="1113" spans="1:12" ht="13.5">
      <c r="A1113" s="448">
        <v>55350</v>
      </c>
      <c r="B1113" s="447">
        <v>55400</v>
      </c>
      <c r="C1113" s="1378">
        <f t="shared" si="80"/>
        <v>0</v>
      </c>
      <c r="D1113" s="448">
        <f t="shared" si="80"/>
        <v>0</v>
      </c>
      <c r="E1113" s="448">
        <f t="shared" si="80"/>
        <v>408</v>
      </c>
      <c r="F1113" s="447">
        <f t="shared" si="80"/>
        <v>1302</v>
      </c>
      <c r="G1113" s="1378">
        <f t="shared" si="80"/>
        <v>0</v>
      </c>
      <c r="H1113" s="448">
        <f t="shared" si="80"/>
        <v>348</v>
      </c>
      <c r="I1113" s="448">
        <f t="shared" si="80"/>
        <v>1907</v>
      </c>
      <c r="J1113" s="447">
        <f t="shared" si="80"/>
        <v>2801</v>
      </c>
      <c r="K1113" s="422"/>
      <c r="L1113" s="448">
        <f t="shared" si="79"/>
        <v>55375</v>
      </c>
    </row>
    <row r="1114" spans="1:12" ht="13.5">
      <c r="A1114" s="448">
        <v>55400</v>
      </c>
      <c r="B1114" s="447">
        <v>55450</v>
      </c>
      <c r="C1114" s="1378">
        <f t="shared" si="80"/>
        <v>0</v>
      </c>
      <c r="D1114" s="448">
        <f t="shared" si="80"/>
        <v>0</v>
      </c>
      <c r="E1114" s="448">
        <f t="shared" si="80"/>
        <v>397</v>
      </c>
      <c r="F1114" s="447">
        <f t="shared" si="80"/>
        <v>1291</v>
      </c>
      <c r="G1114" s="1378">
        <f t="shared" si="80"/>
        <v>0</v>
      </c>
      <c r="H1114" s="448">
        <f t="shared" si="80"/>
        <v>340</v>
      </c>
      <c r="I1114" s="448">
        <f t="shared" si="80"/>
        <v>1896</v>
      </c>
      <c r="J1114" s="447">
        <f t="shared" si="80"/>
        <v>2790</v>
      </c>
      <c r="K1114" s="422"/>
      <c r="L1114" s="448">
        <f t="shared" si="79"/>
        <v>55425</v>
      </c>
    </row>
    <row r="1115" spans="1:12" ht="13.5">
      <c r="A1115" s="448">
        <v>55450</v>
      </c>
      <c r="B1115" s="447">
        <v>55500</v>
      </c>
      <c r="C1115" s="1378">
        <f t="shared" si="80"/>
        <v>0</v>
      </c>
      <c r="D1115" s="448">
        <f t="shared" si="80"/>
        <v>0</v>
      </c>
      <c r="E1115" s="448">
        <f t="shared" si="80"/>
        <v>386</v>
      </c>
      <c r="F1115" s="447">
        <f t="shared" si="80"/>
        <v>1280</v>
      </c>
      <c r="G1115" s="1378">
        <f t="shared" si="80"/>
        <v>0</v>
      </c>
      <c r="H1115" s="448">
        <f t="shared" si="80"/>
        <v>332</v>
      </c>
      <c r="I1115" s="448">
        <f t="shared" si="80"/>
        <v>1886</v>
      </c>
      <c r="J1115" s="447">
        <f t="shared" si="80"/>
        <v>2780</v>
      </c>
      <c r="K1115" s="422"/>
      <c r="L1115" s="448">
        <f t="shared" si="79"/>
        <v>55475</v>
      </c>
    </row>
    <row r="1116" spans="1:12" ht="13.5">
      <c r="A1116" s="448">
        <v>55500</v>
      </c>
      <c r="B1116" s="447">
        <v>55550</v>
      </c>
      <c r="C1116" s="1378">
        <f t="shared" si="80"/>
        <v>0</v>
      </c>
      <c r="D1116" s="448">
        <f t="shared" si="80"/>
        <v>0</v>
      </c>
      <c r="E1116" s="448">
        <f t="shared" si="80"/>
        <v>376</v>
      </c>
      <c r="F1116" s="447">
        <f t="shared" si="80"/>
        <v>1270</v>
      </c>
      <c r="G1116" s="1378">
        <f t="shared" si="80"/>
        <v>0</v>
      </c>
      <c r="H1116" s="448">
        <f t="shared" si="80"/>
        <v>324</v>
      </c>
      <c r="I1116" s="448">
        <f t="shared" si="80"/>
        <v>1875</v>
      </c>
      <c r="J1116" s="447">
        <f t="shared" si="80"/>
        <v>2769</v>
      </c>
      <c r="K1116" s="422"/>
      <c r="L1116" s="448">
        <f t="shared" si="79"/>
        <v>55525</v>
      </c>
    </row>
    <row r="1117" spans="1:12" ht="13.5">
      <c r="A1117" s="448">
        <v>55550</v>
      </c>
      <c r="B1117" s="447">
        <v>55600</v>
      </c>
      <c r="C1117" s="1378">
        <f t="shared" si="80"/>
        <v>0</v>
      </c>
      <c r="D1117" s="448">
        <f t="shared" si="80"/>
        <v>0</v>
      </c>
      <c r="E1117" s="448">
        <f t="shared" si="80"/>
        <v>365</v>
      </c>
      <c r="F1117" s="447">
        <f t="shared" si="80"/>
        <v>1259</v>
      </c>
      <c r="G1117" s="1378">
        <f t="shared" si="80"/>
        <v>0</v>
      </c>
      <c r="H1117" s="448">
        <f t="shared" si="80"/>
        <v>316</v>
      </c>
      <c r="I1117" s="448">
        <f t="shared" si="80"/>
        <v>1865</v>
      </c>
      <c r="J1117" s="447">
        <f t="shared" si="80"/>
        <v>2759</v>
      </c>
      <c r="K1117" s="422"/>
      <c r="L1117" s="448">
        <f t="shared" si="79"/>
        <v>55575</v>
      </c>
    </row>
    <row r="1118" spans="1:12" ht="13.5">
      <c r="A1118" s="448">
        <v>55600</v>
      </c>
      <c r="B1118" s="447">
        <v>55650</v>
      </c>
      <c r="C1118" s="1378">
        <f t="shared" si="80"/>
        <v>0</v>
      </c>
      <c r="D1118" s="448">
        <f t="shared" si="80"/>
        <v>0</v>
      </c>
      <c r="E1118" s="448">
        <f t="shared" si="80"/>
        <v>355</v>
      </c>
      <c r="F1118" s="447">
        <f t="shared" si="80"/>
        <v>1249</v>
      </c>
      <c r="G1118" s="1378">
        <f t="shared" si="80"/>
        <v>0</v>
      </c>
      <c r="H1118" s="448">
        <f t="shared" si="80"/>
        <v>308</v>
      </c>
      <c r="I1118" s="448">
        <f t="shared" si="80"/>
        <v>1854</v>
      </c>
      <c r="J1118" s="447">
        <f t="shared" si="80"/>
        <v>2748</v>
      </c>
      <c r="K1118" s="422"/>
      <c r="L1118" s="448">
        <f t="shared" si="79"/>
        <v>55625</v>
      </c>
    </row>
    <row r="1119" spans="1:12" ht="13.5">
      <c r="A1119" s="448">
        <v>55650</v>
      </c>
      <c r="B1119" s="447">
        <v>55700</v>
      </c>
      <c r="C1119" s="1378">
        <f t="shared" si="80"/>
        <v>0</v>
      </c>
      <c r="D1119" s="448">
        <f t="shared" si="80"/>
        <v>0</v>
      </c>
      <c r="E1119" s="448">
        <f t="shared" si="80"/>
        <v>344</v>
      </c>
      <c r="F1119" s="447">
        <f t="shared" si="80"/>
        <v>1238</v>
      </c>
      <c r="G1119" s="1378">
        <f t="shared" si="80"/>
        <v>0</v>
      </c>
      <c r="H1119" s="448">
        <f t="shared" si="80"/>
        <v>300</v>
      </c>
      <c r="I1119" s="448">
        <f t="shared" si="80"/>
        <v>1844</v>
      </c>
      <c r="J1119" s="447">
        <f t="shared" si="80"/>
        <v>2738</v>
      </c>
      <c r="K1119" s="422"/>
      <c r="L1119" s="448">
        <f t="shared" si="79"/>
        <v>55675</v>
      </c>
    </row>
    <row r="1120" spans="1:12" ht="13.5">
      <c r="A1120" s="448">
        <v>55700</v>
      </c>
      <c r="B1120" s="447">
        <v>55750</v>
      </c>
      <c r="C1120" s="1378">
        <f t="shared" si="80"/>
        <v>0</v>
      </c>
      <c r="D1120" s="448">
        <f t="shared" si="80"/>
        <v>0</v>
      </c>
      <c r="E1120" s="448">
        <f t="shared" si="80"/>
        <v>334</v>
      </c>
      <c r="F1120" s="447">
        <f t="shared" si="80"/>
        <v>1228</v>
      </c>
      <c r="G1120" s="1378">
        <f t="shared" si="80"/>
        <v>0</v>
      </c>
      <c r="H1120" s="448">
        <f t="shared" si="80"/>
        <v>292</v>
      </c>
      <c r="I1120" s="448">
        <f t="shared" si="80"/>
        <v>1833</v>
      </c>
      <c r="J1120" s="447">
        <f t="shared" si="80"/>
        <v>2727</v>
      </c>
      <c r="K1120" s="422"/>
      <c r="L1120" s="448">
        <f t="shared" si="79"/>
        <v>55725</v>
      </c>
    </row>
    <row r="1121" spans="1:12" ht="13.5">
      <c r="A1121" s="448">
        <v>55750</v>
      </c>
      <c r="B1121" s="447">
        <v>55800</v>
      </c>
      <c r="C1121" s="1378">
        <f t="shared" si="80"/>
        <v>0</v>
      </c>
      <c r="D1121" s="448">
        <f t="shared" si="80"/>
        <v>0</v>
      </c>
      <c r="E1121" s="448">
        <f t="shared" si="80"/>
        <v>323</v>
      </c>
      <c r="F1121" s="447">
        <f t="shared" si="80"/>
        <v>1217</v>
      </c>
      <c r="G1121" s="1378">
        <f t="shared" si="80"/>
        <v>0</v>
      </c>
      <c r="H1121" s="448">
        <f t="shared" si="80"/>
        <v>284</v>
      </c>
      <c r="I1121" s="448">
        <f t="shared" si="80"/>
        <v>1823</v>
      </c>
      <c r="J1121" s="447">
        <f t="shared" si="80"/>
        <v>2717</v>
      </c>
      <c r="K1121" s="422"/>
      <c r="L1121" s="448">
        <f t="shared" si="79"/>
        <v>55775</v>
      </c>
    </row>
    <row r="1122" spans="1:12" ht="13.5">
      <c r="A1122" s="448">
        <v>55800</v>
      </c>
      <c r="B1122" s="447">
        <v>55850</v>
      </c>
      <c r="C1122" s="1378">
        <f t="shared" si="80"/>
        <v>0</v>
      </c>
      <c r="D1122" s="448">
        <f t="shared" si="80"/>
        <v>0</v>
      </c>
      <c r="E1122" s="448">
        <f t="shared" si="80"/>
        <v>313</v>
      </c>
      <c r="F1122" s="447">
        <f t="shared" si="80"/>
        <v>1207</v>
      </c>
      <c r="G1122" s="1378">
        <f t="shared" si="80"/>
        <v>0</v>
      </c>
      <c r="H1122" s="448">
        <f t="shared" si="80"/>
        <v>276</v>
      </c>
      <c r="I1122" s="448">
        <f t="shared" si="80"/>
        <v>1812</v>
      </c>
      <c r="J1122" s="447">
        <f t="shared" si="80"/>
        <v>2706</v>
      </c>
      <c r="K1122" s="422"/>
      <c r="L1122" s="448">
        <f t="shared" si="79"/>
        <v>55825</v>
      </c>
    </row>
    <row r="1123" spans="1:12" ht="13.5">
      <c r="A1123" s="448">
        <v>55850</v>
      </c>
      <c r="B1123" s="447">
        <v>55900</v>
      </c>
      <c r="C1123" s="1378">
        <f t="shared" si="80"/>
        <v>0</v>
      </c>
      <c r="D1123" s="448">
        <f t="shared" si="80"/>
        <v>0</v>
      </c>
      <c r="E1123" s="448">
        <f t="shared" si="80"/>
        <v>302</v>
      </c>
      <c r="F1123" s="447">
        <f t="shared" si="80"/>
        <v>1196</v>
      </c>
      <c r="G1123" s="1378">
        <f t="shared" si="80"/>
        <v>0</v>
      </c>
      <c r="H1123" s="448">
        <f t="shared" si="80"/>
        <v>268</v>
      </c>
      <c r="I1123" s="448">
        <f t="shared" si="80"/>
        <v>1802</v>
      </c>
      <c r="J1123" s="447">
        <f t="shared" si="80"/>
        <v>2696</v>
      </c>
      <c r="K1123" s="422"/>
      <c r="L1123" s="448">
        <f t="shared" si="79"/>
        <v>55875</v>
      </c>
    </row>
    <row r="1124" spans="1:12" ht="13.5">
      <c r="A1124" s="448">
        <v>55900</v>
      </c>
      <c r="B1124" s="447">
        <v>55950</v>
      </c>
      <c r="C1124" s="1378">
        <f t="shared" si="80"/>
        <v>0</v>
      </c>
      <c r="D1124" s="448">
        <f t="shared" si="80"/>
        <v>0</v>
      </c>
      <c r="E1124" s="448">
        <f t="shared" si="80"/>
        <v>292</v>
      </c>
      <c r="F1124" s="447">
        <f t="shared" si="80"/>
        <v>1186</v>
      </c>
      <c r="G1124" s="1378">
        <f t="shared" si="80"/>
        <v>0</v>
      </c>
      <c r="H1124" s="448">
        <f t="shared" si="80"/>
        <v>260</v>
      </c>
      <c r="I1124" s="448">
        <f t="shared" si="80"/>
        <v>1791</v>
      </c>
      <c r="J1124" s="447">
        <f t="shared" si="80"/>
        <v>2685</v>
      </c>
      <c r="K1124" s="422"/>
      <c r="L1124" s="448">
        <f t="shared" si="79"/>
        <v>55925</v>
      </c>
    </row>
    <row r="1125" spans="1:12" ht="13.5">
      <c r="A1125" s="448">
        <v>55950</v>
      </c>
      <c r="B1125" s="447">
        <v>56000</v>
      </c>
      <c r="C1125" s="1378">
        <f t="shared" si="80"/>
        <v>0</v>
      </c>
      <c r="D1125" s="448">
        <f t="shared" si="80"/>
        <v>0</v>
      </c>
      <c r="E1125" s="448">
        <f t="shared" si="80"/>
        <v>281</v>
      </c>
      <c r="F1125" s="447">
        <f t="shared" si="80"/>
        <v>1175</v>
      </c>
      <c r="G1125" s="1378">
        <f t="shared" si="80"/>
        <v>0</v>
      </c>
      <c r="H1125" s="448">
        <f t="shared" si="80"/>
        <v>252</v>
      </c>
      <c r="I1125" s="448">
        <f t="shared" si="80"/>
        <v>1781</v>
      </c>
      <c r="J1125" s="447">
        <f t="shared" si="80"/>
        <v>2675</v>
      </c>
      <c r="K1125" s="422"/>
      <c r="L1125" s="448">
        <f t="shared" si="79"/>
        <v>55975</v>
      </c>
    </row>
    <row r="1126" spans="1:12" ht="13.5">
      <c r="A1126" s="448">
        <v>56000</v>
      </c>
      <c r="B1126" s="447">
        <v>56050</v>
      </c>
      <c r="C1126" s="1378">
        <f t="shared" si="80"/>
        <v>0</v>
      </c>
      <c r="D1126" s="448">
        <f t="shared" si="80"/>
        <v>0</v>
      </c>
      <c r="E1126" s="448">
        <f t="shared" si="80"/>
        <v>271</v>
      </c>
      <c r="F1126" s="447">
        <f t="shared" si="80"/>
        <v>1165</v>
      </c>
      <c r="G1126" s="1378">
        <f t="shared" si="80"/>
        <v>0</v>
      </c>
      <c r="H1126" s="448">
        <f t="shared" si="80"/>
        <v>244</v>
      </c>
      <c r="I1126" s="448">
        <f t="shared" si="80"/>
        <v>1770</v>
      </c>
      <c r="J1126" s="447">
        <f t="shared" si="80"/>
        <v>2664</v>
      </c>
      <c r="K1126" s="422"/>
      <c r="L1126" s="448">
        <f t="shared" si="79"/>
        <v>56025</v>
      </c>
    </row>
    <row r="1127" spans="1:12" ht="13.5">
      <c r="A1127" s="448">
        <v>56050</v>
      </c>
      <c r="B1127" s="447">
        <v>56100</v>
      </c>
      <c r="C1127" s="1378">
        <f t="shared" si="80"/>
        <v>0</v>
      </c>
      <c r="D1127" s="448">
        <f t="shared" si="80"/>
        <v>0</v>
      </c>
      <c r="E1127" s="448">
        <f t="shared" si="80"/>
        <v>260</v>
      </c>
      <c r="F1127" s="447">
        <f t="shared" si="80"/>
        <v>1154</v>
      </c>
      <c r="G1127" s="1378">
        <f t="shared" si="80"/>
        <v>0</v>
      </c>
      <c r="H1127" s="448">
        <f t="shared" si="80"/>
        <v>236</v>
      </c>
      <c r="I1127" s="448">
        <f t="shared" si="80"/>
        <v>1760</v>
      </c>
      <c r="J1127" s="447">
        <f t="shared" si="80"/>
        <v>2654</v>
      </c>
      <c r="K1127" s="422"/>
      <c r="L1127" s="448">
        <f t="shared" si="79"/>
        <v>56075</v>
      </c>
    </row>
    <row r="1128" spans="1:12" ht="13.5">
      <c r="A1128" s="448">
        <v>56100</v>
      </c>
      <c r="B1128" s="447">
        <v>56150</v>
      </c>
      <c r="C1128" s="1378">
        <f t="shared" si="80"/>
        <v>0</v>
      </c>
      <c r="D1128" s="448">
        <f t="shared" si="80"/>
        <v>0</v>
      </c>
      <c r="E1128" s="448">
        <f t="shared" si="80"/>
        <v>250</v>
      </c>
      <c r="F1128" s="447">
        <f t="shared" si="80"/>
        <v>1144</v>
      </c>
      <c r="G1128" s="1378">
        <f t="shared" si="80"/>
        <v>0</v>
      </c>
      <c r="H1128" s="448">
        <f t="shared" si="80"/>
        <v>228</v>
      </c>
      <c r="I1128" s="448">
        <f t="shared" si="80"/>
        <v>1749</v>
      </c>
      <c r="J1128" s="447">
        <f t="shared" si="80"/>
        <v>2643</v>
      </c>
      <c r="K1128" s="422"/>
      <c r="L1128" s="448">
        <f t="shared" si="79"/>
        <v>56125</v>
      </c>
    </row>
    <row r="1129" spans="1:12" ht="13.5">
      <c r="A1129" s="448">
        <v>56150</v>
      </c>
      <c r="B1129" s="447">
        <v>56200</v>
      </c>
      <c r="C1129" s="1378">
        <f t="shared" si="80"/>
        <v>0</v>
      </c>
      <c r="D1129" s="448">
        <f t="shared" si="80"/>
        <v>0</v>
      </c>
      <c r="E1129" s="448">
        <f t="shared" si="80"/>
        <v>239</v>
      </c>
      <c r="F1129" s="447">
        <f t="shared" si="80"/>
        <v>1133</v>
      </c>
      <c r="G1129" s="1378">
        <f t="shared" si="80"/>
        <v>0</v>
      </c>
      <c r="H1129" s="448">
        <f t="shared" si="80"/>
        <v>220</v>
      </c>
      <c r="I1129" s="448">
        <f t="shared" si="80"/>
        <v>1739</v>
      </c>
      <c r="J1129" s="447">
        <f t="shared" si="80"/>
        <v>2633</v>
      </c>
      <c r="K1129" s="422"/>
      <c r="L1129" s="448">
        <f t="shared" si="79"/>
        <v>56175</v>
      </c>
    </row>
    <row r="1130" spans="1:12" ht="13.5">
      <c r="A1130" s="448">
        <v>56200</v>
      </c>
      <c r="B1130" s="447">
        <v>56250</v>
      </c>
      <c r="C1130" s="1378">
        <f t="shared" si="80"/>
        <v>0</v>
      </c>
      <c r="D1130" s="448">
        <f t="shared" si="80"/>
        <v>0</v>
      </c>
      <c r="E1130" s="448">
        <f t="shared" si="80"/>
        <v>228</v>
      </c>
      <c r="F1130" s="447">
        <f t="shared" si="80"/>
        <v>1122</v>
      </c>
      <c r="G1130" s="1378">
        <f t="shared" si="80"/>
        <v>0</v>
      </c>
      <c r="H1130" s="448">
        <f t="shared" si="80"/>
        <v>212</v>
      </c>
      <c r="I1130" s="448">
        <f t="shared" si="80"/>
        <v>1728</v>
      </c>
      <c r="J1130" s="447">
        <f t="shared" si="80"/>
        <v>2622</v>
      </c>
      <c r="K1130" s="422"/>
      <c r="L1130" s="448">
        <f t="shared" si="79"/>
        <v>56225</v>
      </c>
    </row>
    <row r="1131" spans="1:12" ht="13.5">
      <c r="A1131" s="448">
        <v>56250</v>
      </c>
      <c r="B1131" s="447">
        <v>56300</v>
      </c>
      <c r="C1131" s="1378">
        <f t="shared" si="80"/>
        <v>0</v>
      </c>
      <c r="D1131" s="448">
        <f t="shared" si="80"/>
        <v>0</v>
      </c>
      <c r="E1131" s="448">
        <f t="shared" si="80"/>
        <v>218</v>
      </c>
      <c r="F1131" s="447">
        <f t="shared" si="80"/>
        <v>1112</v>
      </c>
      <c r="G1131" s="1378">
        <f t="shared" si="80"/>
        <v>0</v>
      </c>
      <c r="H1131" s="448">
        <f t="shared" si="80"/>
        <v>204</v>
      </c>
      <c r="I1131" s="448">
        <f t="shared" si="80"/>
        <v>1717</v>
      </c>
      <c r="J1131" s="447">
        <f t="shared" si="80"/>
        <v>2611</v>
      </c>
      <c r="K1131" s="422"/>
      <c r="L1131" s="448">
        <f t="shared" si="79"/>
        <v>56275</v>
      </c>
    </row>
    <row r="1132" spans="1:12" ht="13.5">
      <c r="A1132" s="448">
        <v>56300</v>
      </c>
      <c r="B1132" s="447">
        <v>56350</v>
      </c>
      <c r="C1132" s="1378">
        <f t="shared" si="80"/>
        <v>0</v>
      </c>
      <c r="D1132" s="448">
        <f t="shared" si="80"/>
        <v>0</v>
      </c>
      <c r="E1132" s="448">
        <f t="shared" si="80"/>
        <v>207</v>
      </c>
      <c r="F1132" s="447">
        <f t="shared" si="80"/>
        <v>1101</v>
      </c>
      <c r="G1132" s="1378">
        <f t="shared" si="80"/>
        <v>0</v>
      </c>
      <c r="H1132" s="448">
        <f t="shared" si="80"/>
        <v>196</v>
      </c>
      <c r="I1132" s="448">
        <f t="shared" si="80"/>
        <v>1707</v>
      </c>
      <c r="J1132" s="447">
        <f t="shared" si="80"/>
        <v>2601</v>
      </c>
      <c r="K1132" s="422"/>
      <c r="L1132" s="448">
        <f t="shared" si="79"/>
        <v>56325</v>
      </c>
    </row>
    <row r="1133" spans="1:12" ht="13.5">
      <c r="A1133" s="448">
        <v>56350</v>
      </c>
      <c r="B1133" s="447">
        <v>56400</v>
      </c>
      <c r="C1133" s="1378">
        <f t="shared" si="80"/>
        <v>0</v>
      </c>
      <c r="D1133" s="448">
        <f t="shared" si="80"/>
        <v>0</v>
      </c>
      <c r="E1133" s="448">
        <f t="shared" si="80"/>
        <v>197</v>
      </c>
      <c r="F1133" s="447">
        <f t="shared" si="80"/>
        <v>1091</v>
      </c>
      <c r="G1133" s="1378">
        <f t="shared" si="80"/>
        <v>0</v>
      </c>
      <c r="H1133" s="448">
        <f t="shared" si="80"/>
        <v>188</v>
      </c>
      <c r="I1133" s="448">
        <f t="shared" si="80"/>
        <v>1696</v>
      </c>
      <c r="J1133" s="447">
        <f t="shared" si="80"/>
        <v>2590</v>
      </c>
      <c r="K1133" s="422"/>
      <c r="L1133" s="448">
        <f t="shared" si="79"/>
        <v>56375</v>
      </c>
    </row>
    <row r="1134" spans="1:12" ht="13.5">
      <c r="A1134" s="448">
        <v>56400</v>
      </c>
      <c r="B1134" s="447">
        <v>56450</v>
      </c>
      <c r="C1134" s="1378">
        <f t="shared" si="80"/>
        <v>0</v>
      </c>
      <c r="D1134" s="448">
        <f t="shared" si="80"/>
        <v>0</v>
      </c>
      <c r="E1134" s="448">
        <f t="shared" si="80"/>
        <v>186</v>
      </c>
      <c r="F1134" s="447">
        <f t="shared" ref="F1134:J1186" si="81">IF($L1134&gt;Q$5,MAX(0,Q$3+ROUND((Q$9*($L1134-Q$5)),0)),IF($L1134&gt;Q$4,Q$3,ROUND($L1134*Q$7,0)))</f>
        <v>1080</v>
      </c>
      <c r="G1134" s="1378">
        <f t="shared" si="81"/>
        <v>0</v>
      </c>
      <c r="H1134" s="448">
        <f t="shared" si="81"/>
        <v>180</v>
      </c>
      <c r="I1134" s="448">
        <f t="shared" si="81"/>
        <v>1686</v>
      </c>
      <c r="J1134" s="447">
        <f t="shared" si="81"/>
        <v>2580</v>
      </c>
      <c r="K1134" s="422"/>
      <c r="L1134" s="448">
        <f t="shared" si="79"/>
        <v>56425</v>
      </c>
    </row>
    <row r="1135" spans="1:12" ht="13.5">
      <c r="A1135" s="448">
        <v>56450</v>
      </c>
      <c r="B1135" s="447">
        <v>56500</v>
      </c>
      <c r="C1135" s="1378">
        <f t="shared" ref="C1135:C1157" si="82">IF($L1135&gt;N$5,MAX(0,N$3+ROUND((N$9*($L1135-N$5)),0)),IF($L1135&gt;N$4,N$3,ROUND($L1135*N$7,0)))</f>
        <v>0</v>
      </c>
      <c r="D1135" s="448">
        <f t="shared" ref="D1135:D1157" si="83">IF($L1135&gt;O$5,MAX(0,O$3+ROUND((O$9*($L1135-O$5)),0)),IF($L1135&gt;O$4,O$3,ROUND($L1135*O$7,0)))</f>
        <v>0</v>
      </c>
      <c r="E1135" s="448">
        <f t="shared" ref="E1135:E1157" si="84">IF($L1135&gt;P$5,MAX(0,P$3+ROUND((P$9*($L1135-P$5)),0)),IF($L1135&gt;P$4,P$3,ROUND($L1135*P$7,0)))</f>
        <v>176</v>
      </c>
      <c r="F1135" s="447">
        <f t="shared" si="81"/>
        <v>1070</v>
      </c>
      <c r="G1135" s="1378">
        <f t="shared" si="81"/>
        <v>0</v>
      </c>
      <c r="H1135" s="448">
        <f t="shared" si="81"/>
        <v>172</v>
      </c>
      <c r="I1135" s="448">
        <f t="shared" si="81"/>
        <v>1675</v>
      </c>
      <c r="J1135" s="447">
        <f t="shared" si="81"/>
        <v>2569</v>
      </c>
      <c r="K1135" s="422"/>
      <c r="L1135" s="448">
        <f t="shared" si="79"/>
        <v>56475</v>
      </c>
    </row>
    <row r="1136" spans="1:12" ht="13.5">
      <c r="A1136" s="448">
        <v>56500</v>
      </c>
      <c r="B1136" s="447">
        <v>56550</v>
      </c>
      <c r="C1136" s="1378">
        <f t="shared" si="82"/>
        <v>0</v>
      </c>
      <c r="D1136" s="448">
        <f t="shared" si="83"/>
        <v>0</v>
      </c>
      <c r="E1136" s="448">
        <f t="shared" si="84"/>
        <v>165</v>
      </c>
      <c r="F1136" s="447">
        <f t="shared" si="81"/>
        <v>1059</v>
      </c>
      <c r="G1136" s="1378">
        <f t="shared" si="81"/>
        <v>0</v>
      </c>
      <c r="H1136" s="448">
        <f t="shared" si="81"/>
        <v>164</v>
      </c>
      <c r="I1136" s="448">
        <f t="shared" si="81"/>
        <v>1665</v>
      </c>
      <c r="J1136" s="447">
        <f t="shared" si="81"/>
        <v>2559</v>
      </c>
      <c r="K1136" s="422"/>
      <c r="L1136" s="448">
        <f t="shared" si="79"/>
        <v>56525</v>
      </c>
    </row>
    <row r="1137" spans="1:13" ht="13.5">
      <c r="A1137" s="448">
        <v>56550</v>
      </c>
      <c r="B1137" s="447">
        <v>56600</v>
      </c>
      <c r="C1137" s="1378">
        <f t="shared" si="82"/>
        <v>0</v>
      </c>
      <c r="D1137" s="448">
        <f t="shared" si="83"/>
        <v>0</v>
      </c>
      <c r="E1137" s="448">
        <f t="shared" si="84"/>
        <v>155</v>
      </c>
      <c r="F1137" s="447">
        <f t="shared" si="81"/>
        <v>1049</v>
      </c>
      <c r="G1137" s="1378">
        <f t="shared" si="81"/>
        <v>0</v>
      </c>
      <c r="H1137" s="448">
        <f t="shared" si="81"/>
        <v>156</v>
      </c>
      <c r="I1137" s="448">
        <f t="shared" si="81"/>
        <v>1654</v>
      </c>
      <c r="J1137" s="447">
        <f t="shared" si="81"/>
        <v>2548</v>
      </c>
      <c r="K1137" s="422"/>
      <c r="L1137" s="448">
        <f t="shared" si="79"/>
        <v>56575</v>
      </c>
    </row>
    <row r="1138" spans="1:13" ht="13.5">
      <c r="A1138" s="448">
        <v>56600</v>
      </c>
      <c r="B1138" s="447">
        <v>56650</v>
      </c>
      <c r="C1138" s="1378">
        <f t="shared" si="82"/>
        <v>0</v>
      </c>
      <c r="D1138" s="448">
        <f t="shared" si="83"/>
        <v>0</v>
      </c>
      <c r="E1138" s="448">
        <f t="shared" si="84"/>
        <v>144</v>
      </c>
      <c r="F1138" s="447">
        <f t="shared" si="81"/>
        <v>1038</v>
      </c>
      <c r="G1138" s="1378">
        <f t="shared" si="81"/>
        <v>0</v>
      </c>
      <c r="H1138" s="448">
        <f t="shared" si="81"/>
        <v>148</v>
      </c>
      <c r="I1138" s="448">
        <f t="shared" si="81"/>
        <v>1644</v>
      </c>
      <c r="J1138" s="447">
        <f t="shared" si="81"/>
        <v>2538</v>
      </c>
      <c r="K1138" s="422"/>
      <c r="L1138" s="448">
        <f t="shared" si="79"/>
        <v>56625</v>
      </c>
    </row>
    <row r="1139" spans="1:13" ht="13.5">
      <c r="A1139" s="448">
        <v>56650</v>
      </c>
      <c r="B1139" s="447">
        <v>56700</v>
      </c>
      <c r="C1139" s="1378">
        <f t="shared" si="82"/>
        <v>0</v>
      </c>
      <c r="D1139" s="448">
        <f t="shared" si="83"/>
        <v>0</v>
      </c>
      <c r="E1139" s="448">
        <f t="shared" si="84"/>
        <v>134</v>
      </c>
      <c r="F1139" s="447">
        <f t="shared" si="81"/>
        <v>1028</v>
      </c>
      <c r="G1139" s="1378">
        <f t="shared" si="81"/>
        <v>0</v>
      </c>
      <c r="H1139" s="448">
        <f t="shared" si="81"/>
        <v>140</v>
      </c>
      <c r="I1139" s="448">
        <f t="shared" si="81"/>
        <v>1633</v>
      </c>
      <c r="J1139" s="447">
        <f t="shared" si="81"/>
        <v>2527</v>
      </c>
      <c r="K1139" s="422"/>
      <c r="L1139" s="448">
        <f t="shared" si="79"/>
        <v>56675</v>
      </c>
    </row>
    <row r="1140" spans="1:13" ht="13.5">
      <c r="A1140" s="448">
        <v>56700</v>
      </c>
      <c r="B1140" s="447">
        <v>56750</v>
      </c>
      <c r="C1140" s="1378">
        <f t="shared" si="82"/>
        <v>0</v>
      </c>
      <c r="D1140" s="448">
        <f t="shared" si="83"/>
        <v>0</v>
      </c>
      <c r="E1140" s="448">
        <f t="shared" si="84"/>
        <v>123</v>
      </c>
      <c r="F1140" s="447">
        <f t="shared" si="81"/>
        <v>1017</v>
      </c>
      <c r="G1140" s="1378">
        <f t="shared" si="81"/>
        <v>0</v>
      </c>
      <c r="H1140" s="448">
        <f t="shared" si="81"/>
        <v>132</v>
      </c>
      <c r="I1140" s="448">
        <f t="shared" si="81"/>
        <v>1623</v>
      </c>
      <c r="J1140" s="447">
        <f t="shared" si="81"/>
        <v>2517</v>
      </c>
      <c r="K1140" s="422"/>
      <c r="L1140" s="448">
        <f t="shared" si="79"/>
        <v>56725</v>
      </c>
    </row>
    <row r="1141" spans="1:13" ht="13.5">
      <c r="A1141" s="448">
        <v>56750</v>
      </c>
      <c r="B1141" s="447">
        <v>56800</v>
      </c>
      <c r="C1141" s="1378">
        <f t="shared" si="82"/>
        <v>0</v>
      </c>
      <c r="D1141" s="448">
        <f t="shared" si="83"/>
        <v>0</v>
      </c>
      <c r="E1141" s="448">
        <f t="shared" si="84"/>
        <v>113</v>
      </c>
      <c r="F1141" s="447">
        <f t="shared" si="81"/>
        <v>1007</v>
      </c>
      <c r="G1141" s="1378">
        <f t="shared" si="81"/>
        <v>0</v>
      </c>
      <c r="H1141" s="448">
        <f t="shared" si="81"/>
        <v>124</v>
      </c>
      <c r="I1141" s="448">
        <f t="shared" si="81"/>
        <v>1612</v>
      </c>
      <c r="J1141" s="447">
        <f t="shared" si="81"/>
        <v>2506</v>
      </c>
      <c r="K1141" s="422"/>
      <c r="L1141" s="448">
        <f t="shared" si="79"/>
        <v>56775</v>
      </c>
    </row>
    <row r="1142" spans="1:13" ht="13.5">
      <c r="A1142" s="448">
        <v>56800</v>
      </c>
      <c r="B1142" s="447">
        <v>56850</v>
      </c>
      <c r="C1142" s="1378">
        <f t="shared" si="82"/>
        <v>0</v>
      </c>
      <c r="D1142" s="448">
        <f t="shared" si="83"/>
        <v>0</v>
      </c>
      <c r="E1142" s="448">
        <f t="shared" si="84"/>
        <v>102</v>
      </c>
      <c r="F1142" s="447">
        <f t="shared" si="81"/>
        <v>996</v>
      </c>
      <c r="G1142" s="1378">
        <f t="shared" si="81"/>
        <v>0</v>
      </c>
      <c r="H1142" s="448">
        <f t="shared" si="81"/>
        <v>116</v>
      </c>
      <c r="I1142" s="448">
        <f t="shared" si="81"/>
        <v>1602</v>
      </c>
      <c r="J1142" s="447">
        <f t="shared" si="81"/>
        <v>2496</v>
      </c>
      <c r="K1142" s="422"/>
      <c r="L1142" s="448">
        <f t="shared" si="79"/>
        <v>56825</v>
      </c>
      <c r="M1142" s="2865"/>
    </row>
    <row r="1143" spans="1:13" ht="13.5">
      <c r="A1143" s="448">
        <v>56850</v>
      </c>
      <c r="B1143" s="447">
        <v>56900</v>
      </c>
      <c r="C1143" s="1378">
        <f t="shared" si="82"/>
        <v>0</v>
      </c>
      <c r="D1143" s="448">
        <f t="shared" si="83"/>
        <v>0</v>
      </c>
      <c r="E1143" s="448">
        <f t="shared" si="84"/>
        <v>92</v>
      </c>
      <c r="F1143" s="447">
        <f t="shared" si="81"/>
        <v>986</v>
      </c>
      <c r="G1143" s="1378">
        <f t="shared" si="81"/>
        <v>0</v>
      </c>
      <c r="H1143" s="448">
        <f t="shared" si="81"/>
        <v>109</v>
      </c>
      <c r="I1143" s="448">
        <f t="shared" si="81"/>
        <v>1591</v>
      </c>
      <c r="J1143" s="447">
        <f t="shared" si="81"/>
        <v>2485</v>
      </c>
      <c r="K1143" s="422"/>
      <c r="L1143" s="448">
        <f t="shared" si="79"/>
        <v>56875</v>
      </c>
    </row>
    <row r="1144" spans="1:13" ht="13.5">
      <c r="A1144" s="448">
        <v>56900</v>
      </c>
      <c r="B1144" s="447">
        <v>56950</v>
      </c>
      <c r="C1144" s="1378">
        <f t="shared" si="82"/>
        <v>0</v>
      </c>
      <c r="D1144" s="448">
        <f t="shared" si="83"/>
        <v>0</v>
      </c>
      <c r="E1144" s="448">
        <f t="shared" si="84"/>
        <v>81</v>
      </c>
      <c r="F1144" s="447">
        <f t="shared" si="81"/>
        <v>975</v>
      </c>
      <c r="G1144" s="1378">
        <f t="shared" si="81"/>
        <v>0</v>
      </c>
      <c r="H1144" s="448">
        <f t="shared" si="81"/>
        <v>101</v>
      </c>
      <c r="I1144" s="448">
        <f t="shared" si="81"/>
        <v>1581</v>
      </c>
      <c r="J1144" s="447">
        <f t="shared" si="81"/>
        <v>2475</v>
      </c>
      <c r="K1144" s="422"/>
      <c r="L1144" s="448">
        <f t="shared" si="79"/>
        <v>56925</v>
      </c>
    </row>
    <row r="1145" spans="1:13" ht="13.5">
      <c r="A1145" s="448">
        <v>56950</v>
      </c>
      <c r="B1145" s="447">
        <v>57000</v>
      </c>
      <c r="C1145" s="1378">
        <f t="shared" si="82"/>
        <v>0</v>
      </c>
      <c r="D1145" s="448">
        <f t="shared" si="83"/>
        <v>0</v>
      </c>
      <c r="E1145" s="448">
        <f t="shared" si="84"/>
        <v>71</v>
      </c>
      <c r="F1145" s="447">
        <f t="shared" si="81"/>
        <v>965</v>
      </c>
      <c r="G1145" s="1378">
        <f t="shared" si="81"/>
        <v>0</v>
      </c>
      <c r="H1145" s="448">
        <f t="shared" si="81"/>
        <v>93</v>
      </c>
      <c r="I1145" s="448">
        <f t="shared" si="81"/>
        <v>1570</v>
      </c>
      <c r="J1145" s="447">
        <f t="shared" si="81"/>
        <v>2464</v>
      </c>
      <c r="K1145" s="422"/>
      <c r="L1145" s="448">
        <f t="shared" si="79"/>
        <v>56975</v>
      </c>
    </row>
    <row r="1146" spans="1:13" ht="13.5">
      <c r="A1146" s="448">
        <v>57000</v>
      </c>
      <c r="B1146" s="447">
        <v>57050</v>
      </c>
      <c r="C1146" s="1378">
        <f t="shared" si="82"/>
        <v>0</v>
      </c>
      <c r="D1146" s="448">
        <f t="shared" si="83"/>
        <v>0</v>
      </c>
      <c r="E1146" s="448">
        <f t="shared" si="84"/>
        <v>60</v>
      </c>
      <c r="F1146" s="447">
        <f t="shared" si="81"/>
        <v>954</v>
      </c>
      <c r="G1146" s="1378">
        <f t="shared" si="81"/>
        <v>0</v>
      </c>
      <c r="H1146" s="448">
        <f t="shared" si="81"/>
        <v>85</v>
      </c>
      <c r="I1146" s="448">
        <f t="shared" si="81"/>
        <v>1559</v>
      </c>
      <c r="J1146" s="447">
        <f t="shared" si="81"/>
        <v>2453</v>
      </c>
      <c r="K1146" s="422"/>
      <c r="L1146" s="448">
        <f t="shared" si="79"/>
        <v>57025</v>
      </c>
    </row>
    <row r="1147" spans="1:13" ht="13.5">
      <c r="A1147" s="448">
        <v>57050</v>
      </c>
      <c r="B1147" s="447">
        <v>57100</v>
      </c>
      <c r="C1147" s="1378">
        <f t="shared" si="82"/>
        <v>0</v>
      </c>
      <c r="D1147" s="448">
        <f t="shared" si="83"/>
        <v>0</v>
      </c>
      <c r="E1147" s="448">
        <f t="shared" si="84"/>
        <v>49</v>
      </c>
      <c r="F1147" s="447">
        <f t="shared" si="81"/>
        <v>943</v>
      </c>
      <c r="G1147" s="1378">
        <f t="shared" si="81"/>
        <v>0</v>
      </c>
      <c r="H1147" s="448">
        <f t="shared" si="81"/>
        <v>77</v>
      </c>
      <c r="I1147" s="448">
        <f t="shared" si="81"/>
        <v>1549</v>
      </c>
      <c r="J1147" s="447">
        <f t="shared" si="81"/>
        <v>2443</v>
      </c>
      <c r="K1147" s="422"/>
      <c r="L1147" s="448">
        <f t="shared" si="79"/>
        <v>57075</v>
      </c>
    </row>
    <row r="1148" spans="1:13" ht="13.5">
      <c r="A1148" s="448">
        <v>57100</v>
      </c>
      <c r="B1148" s="447">
        <v>57150</v>
      </c>
      <c r="C1148" s="1378">
        <f t="shared" si="82"/>
        <v>0</v>
      </c>
      <c r="D1148" s="448">
        <f t="shared" si="83"/>
        <v>0</v>
      </c>
      <c r="E1148" s="448">
        <f t="shared" si="84"/>
        <v>39</v>
      </c>
      <c r="F1148" s="447">
        <f t="shared" si="81"/>
        <v>933</v>
      </c>
      <c r="G1148" s="1378">
        <f t="shared" si="81"/>
        <v>0</v>
      </c>
      <c r="H1148" s="448">
        <f t="shared" si="81"/>
        <v>69</v>
      </c>
      <c r="I1148" s="448">
        <f t="shared" si="81"/>
        <v>1538</v>
      </c>
      <c r="J1148" s="447">
        <f t="shared" si="81"/>
        <v>2432</v>
      </c>
      <c r="K1148" s="422"/>
      <c r="L1148" s="448">
        <f t="shared" si="79"/>
        <v>57125</v>
      </c>
    </row>
    <row r="1149" spans="1:13" ht="13.5">
      <c r="A1149" s="448">
        <v>57150</v>
      </c>
      <c r="B1149" s="447">
        <v>57200</v>
      </c>
      <c r="C1149" s="1378">
        <f t="shared" si="82"/>
        <v>0</v>
      </c>
      <c r="D1149" s="448">
        <f t="shared" si="83"/>
        <v>0</v>
      </c>
      <c r="E1149" s="448">
        <f t="shared" si="84"/>
        <v>28</v>
      </c>
      <c r="F1149" s="447">
        <f t="shared" si="81"/>
        <v>922</v>
      </c>
      <c r="G1149" s="1378">
        <f t="shared" si="81"/>
        <v>0</v>
      </c>
      <c r="H1149" s="448">
        <f t="shared" si="81"/>
        <v>61</v>
      </c>
      <c r="I1149" s="448">
        <f t="shared" si="81"/>
        <v>1528</v>
      </c>
      <c r="J1149" s="447">
        <f t="shared" si="81"/>
        <v>2422</v>
      </c>
      <c r="K1149" s="422"/>
      <c r="L1149" s="448">
        <f t="shared" si="79"/>
        <v>57175</v>
      </c>
    </row>
    <row r="1150" spans="1:13" ht="13.5">
      <c r="A1150" s="448">
        <v>57200</v>
      </c>
      <c r="B1150" s="447">
        <v>57250</v>
      </c>
      <c r="C1150" s="1378">
        <f t="shared" si="82"/>
        <v>0</v>
      </c>
      <c r="D1150" s="448">
        <f t="shared" si="83"/>
        <v>0</v>
      </c>
      <c r="E1150" s="448">
        <f t="shared" si="84"/>
        <v>18</v>
      </c>
      <c r="F1150" s="447">
        <f t="shared" si="81"/>
        <v>912</v>
      </c>
      <c r="G1150" s="1378">
        <f t="shared" si="81"/>
        <v>0</v>
      </c>
      <c r="H1150" s="448">
        <f t="shared" si="81"/>
        <v>53</v>
      </c>
      <c r="I1150" s="448">
        <f t="shared" si="81"/>
        <v>1517</v>
      </c>
      <c r="J1150" s="447">
        <f t="shared" si="81"/>
        <v>2411</v>
      </c>
      <c r="K1150" s="422"/>
      <c r="L1150" s="448">
        <f t="shared" si="79"/>
        <v>57225</v>
      </c>
    </row>
    <row r="1151" spans="1:13" ht="14.25" thickBot="1">
      <c r="A1151" s="448">
        <v>57250</v>
      </c>
      <c r="B1151" s="447">
        <v>57300</v>
      </c>
      <c r="C1151" s="1378">
        <f t="shared" si="82"/>
        <v>0</v>
      </c>
      <c r="D1151" s="448">
        <f t="shared" si="83"/>
        <v>0</v>
      </c>
      <c r="E1151" s="448">
        <f t="shared" si="84"/>
        <v>7</v>
      </c>
      <c r="F1151" s="447">
        <f t="shared" si="81"/>
        <v>901</v>
      </c>
      <c r="G1151" s="1378">
        <f t="shared" si="81"/>
        <v>0</v>
      </c>
      <c r="H1151" s="448">
        <f t="shared" si="81"/>
        <v>45</v>
      </c>
      <c r="I1151" s="448">
        <f t="shared" si="81"/>
        <v>1507</v>
      </c>
      <c r="J1151" s="447">
        <f t="shared" si="81"/>
        <v>2401</v>
      </c>
      <c r="K1151" s="422"/>
      <c r="L1151" s="448">
        <f>ROUND((A1151+B1151)/2,2)</f>
        <v>57275</v>
      </c>
    </row>
    <row r="1152" spans="1:13" ht="13.5">
      <c r="A1152" s="6558">
        <v>57300</v>
      </c>
      <c r="B1152" s="6559">
        <v>57310</v>
      </c>
      <c r="C1152" s="1378">
        <f t="shared" si="82"/>
        <v>0</v>
      </c>
      <c r="D1152" s="448">
        <f t="shared" si="83"/>
        <v>0</v>
      </c>
      <c r="E1152" s="448">
        <f t="shared" si="84"/>
        <v>1</v>
      </c>
      <c r="F1152" s="447">
        <f t="shared" si="81"/>
        <v>895</v>
      </c>
      <c r="G1152" s="1378">
        <f t="shared" si="81"/>
        <v>0</v>
      </c>
      <c r="H1152" s="448">
        <f t="shared" si="81"/>
        <v>40</v>
      </c>
      <c r="I1152" s="448">
        <f t="shared" si="81"/>
        <v>1501</v>
      </c>
      <c r="J1152" s="447">
        <f t="shared" si="81"/>
        <v>2395</v>
      </c>
      <c r="K1152" s="422"/>
      <c r="L1152" s="448">
        <f>ROUND((A1152+B1152)/2,2)</f>
        <v>57305</v>
      </c>
    </row>
    <row r="1153" spans="1:12" ht="14.25" thickBot="1">
      <c r="A1153" s="6560">
        <v>57310</v>
      </c>
      <c r="B1153" s="6561">
        <v>57350</v>
      </c>
      <c r="C1153" s="1378">
        <f t="shared" si="82"/>
        <v>0</v>
      </c>
      <c r="D1153" s="448">
        <f t="shared" si="83"/>
        <v>0</v>
      </c>
      <c r="E1153" s="448">
        <f t="shared" si="84"/>
        <v>0</v>
      </c>
      <c r="F1153" s="6563">
        <v>895</v>
      </c>
      <c r="G1153" s="6564">
        <f>IF($L1153&gt;R$5,MAX(0,R$3+ROUND((R$9*($L1153-R$5)),0)),IF($L1153&gt;R$4,R$3,ROUND($L1153*R$7,0)))</f>
        <v>0</v>
      </c>
      <c r="H1153" s="6562">
        <v>40</v>
      </c>
      <c r="I1153" s="6562">
        <v>1501</v>
      </c>
      <c r="J1153" s="6563">
        <v>2395</v>
      </c>
      <c r="K1153" s="422"/>
      <c r="L1153" s="448">
        <f>ROUND((A1153+B1153)/2,2)</f>
        <v>57330</v>
      </c>
    </row>
    <row r="1154" spans="1:12" ht="13.5">
      <c r="A1154" s="448">
        <v>57350</v>
      </c>
      <c r="B1154" s="447">
        <v>57400</v>
      </c>
      <c r="C1154" s="1378">
        <f t="shared" si="82"/>
        <v>0</v>
      </c>
      <c r="D1154" s="448">
        <f t="shared" si="83"/>
        <v>0</v>
      </c>
      <c r="E1154" s="448">
        <f t="shared" si="84"/>
        <v>0</v>
      </c>
      <c r="F1154" s="447">
        <f t="shared" si="81"/>
        <v>880</v>
      </c>
      <c r="G1154" s="1378">
        <f t="shared" si="81"/>
        <v>0</v>
      </c>
      <c r="H1154" s="448">
        <f t="shared" si="81"/>
        <v>29</v>
      </c>
      <c r="I1154" s="448">
        <f t="shared" si="81"/>
        <v>1486</v>
      </c>
      <c r="J1154" s="447">
        <f t="shared" si="81"/>
        <v>2380</v>
      </c>
      <c r="K1154" s="422"/>
      <c r="L1154" s="448">
        <f t="shared" si="79"/>
        <v>57375</v>
      </c>
    </row>
    <row r="1155" spans="1:12" ht="13.5">
      <c r="A1155" s="448">
        <v>57400</v>
      </c>
      <c r="B1155" s="447">
        <v>57450</v>
      </c>
      <c r="C1155" s="1378">
        <f t="shared" si="82"/>
        <v>0</v>
      </c>
      <c r="D1155" s="448">
        <f t="shared" si="83"/>
        <v>0</v>
      </c>
      <c r="E1155" s="448">
        <f t="shared" si="84"/>
        <v>0</v>
      </c>
      <c r="F1155" s="447">
        <f t="shared" si="81"/>
        <v>870</v>
      </c>
      <c r="G1155" s="1378">
        <f t="shared" si="81"/>
        <v>0</v>
      </c>
      <c r="H1155" s="448">
        <f t="shared" si="81"/>
        <v>21</v>
      </c>
      <c r="I1155" s="448">
        <f t="shared" si="81"/>
        <v>1475</v>
      </c>
      <c r="J1155" s="447">
        <f t="shared" si="81"/>
        <v>2369</v>
      </c>
      <c r="K1155" s="422"/>
      <c r="L1155" s="448">
        <f t="shared" si="79"/>
        <v>57425</v>
      </c>
    </row>
    <row r="1156" spans="1:12" ht="13.5">
      <c r="A1156" s="448">
        <v>57450</v>
      </c>
      <c r="B1156" s="447">
        <v>57500</v>
      </c>
      <c r="C1156" s="1378">
        <f t="shared" si="82"/>
        <v>0</v>
      </c>
      <c r="D1156" s="448">
        <f t="shared" si="83"/>
        <v>0</v>
      </c>
      <c r="E1156" s="448">
        <f t="shared" si="84"/>
        <v>0</v>
      </c>
      <c r="F1156" s="447">
        <f t="shared" si="81"/>
        <v>859</v>
      </c>
      <c r="G1156" s="1378">
        <f t="shared" si="81"/>
        <v>0</v>
      </c>
      <c r="H1156" s="448">
        <f t="shared" si="81"/>
        <v>13</v>
      </c>
      <c r="I1156" s="448">
        <f t="shared" si="81"/>
        <v>1465</v>
      </c>
      <c r="J1156" s="447">
        <f t="shared" si="81"/>
        <v>2359</v>
      </c>
      <c r="K1156" s="422"/>
      <c r="L1156" s="448">
        <f t="shared" si="79"/>
        <v>57475</v>
      </c>
    </row>
    <row r="1157" spans="1:12" ht="14.25" thickBot="1">
      <c r="A1157" s="448">
        <v>57500</v>
      </c>
      <c r="B1157" s="447">
        <v>57550</v>
      </c>
      <c r="C1157" s="1378">
        <f t="shared" si="82"/>
        <v>0</v>
      </c>
      <c r="D1157" s="448">
        <f t="shared" si="83"/>
        <v>0</v>
      </c>
      <c r="E1157" s="448">
        <f t="shared" si="84"/>
        <v>0</v>
      </c>
      <c r="F1157" s="447">
        <f t="shared" si="81"/>
        <v>849</v>
      </c>
      <c r="G1157" s="1378">
        <f t="shared" si="81"/>
        <v>0</v>
      </c>
      <c r="H1157" s="448">
        <f t="shared" si="81"/>
        <v>5</v>
      </c>
      <c r="I1157" s="448">
        <f t="shared" si="81"/>
        <v>1454</v>
      </c>
      <c r="J1157" s="447">
        <f t="shared" si="81"/>
        <v>2348</v>
      </c>
      <c r="K1157" s="422"/>
      <c r="L1157" s="448">
        <f t="shared" si="79"/>
        <v>57525</v>
      </c>
    </row>
    <row r="1158" spans="1:12" ht="13.5">
      <c r="A1158" s="6558">
        <v>57550</v>
      </c>
      <c r="B1158" s="6559">
        <v>57554</v>
      </c>
      <c r="C1158" s="1378">
        <f t="shared" ref="C1158:C1199" si="85">IF($L1158&gt;N$5,MAX(0,N$3+ROUND((N$9*($L1158-N$5)),0)),IF($L1158&gt;N$4,N$3,ROUND($L1158*N$7,0)))</f>
        <v>0</v>
      </c>
      <c r="D1158" s="448">
        <f t="shared" ref="D1158:D1199" si="86">IF($L1158&gt;O$5,MAX(0,O$3+ROUND((O$9*($L1158-O$5)),0)),IF($L1158&gt;O$4,O$3,ROUND($L1158*O$7,0)))</f>
        <v>0</v>
      </c>
      <c r="E1158" s="448">
        <f t="shared" ref="E1158:J1158" si="87">IF($L1158&gt;P$5,MAX(0,P$3+ROUND((P$9*($L1158-P$5)),0)),IF($L1158&gt;P$4,P$3,ROUND($L1158*P$7,0)))</f>
        <v>0</v>
      </c>
      <c r="F1158" s="447">
        <f t="shared" si="87"/>
        <v>843</v>
      </c>
      <c r="G1158" s="1378">
        <f t="shared" si="87"/>
        <v>0</v>
      </c>
      <c r="H1158" s="448">
        <f t="shared" si="87"/>
        <v>0</v>
      </c>
      <c r="I1158" s="448">
        <f t="shared" si="87"/>
        <v>1449</v>
      </c>
      <c r="J1158" s="447">
        <f t="shared" si="87"/>
        <v>2343</v>
      </c>
      <c r="K1158" s="422"/>
      <c r="L1158" s="448">
        <f>ROUND((A1158+B1158)/2,2)</f>
        <v>57552</v>
      </c>
    </row>
    <row r="1159" spans="1:12" ht="14.25" thickBot="1">
      <c r="A1159" s="6560">
        <v>57554</v>
      </c>
      <c r="B1159" s="6561">
        <v>57600</v>
      </c>
      <c r="C1159" s="1378">
        <f t="shared" si="85"/>
        <v>0</v>
      </c>
      <c r="D1159" s="448">
        <f t="shared" si="86"/>
        <v>0</v>
      </c>
      <c r="E1159" s="448">
        <f t="shared" ref="E1159:E1199" si="88">IF($L1159&gt;P$5,MAX(0,P$3+ROUND((P$9*($L1159-P$5)),0)),IF($L1159&gt;P$4,P$3,ROUND($L1159*P$7,0)))</f>
        <v>0</v>
      </c>
      <c r="F1159" s="6563">
        <v>843</v>
      </c>
      <c r="G1159" s="1378">
        <f>IF($L1159&gt;R$5,MAX(0,R$3+ROUND((R$9*($L1159-R$5)),0)),IF($L1159&gt;R$4,R$3,ROUND($L1159*R$7,0)))</f>
        <v>0</v>
      </c>
      <c r="H1159" s="448">
        <f>IF($L1159&gt;S$5,MAX(0,S$3+ROUND((S$9*($L1159-S$5)),0)),IF($L1159&gt;S$4,S$3,ROUND($L1159*S$7,0)))</f>
        <v>0</v>
      </c>
      <c r="I1159" s="6562">
        <v>1449</v>
      </c>
      <c r="J1159" s="6563">
        <v>2343</v>
      </c>
      <c r="K1159" s="422"/>
      <c r="L1159" s="448">
        <f>ROUND((A1159+B1159)/2,2)</f>
        <v>57577</v>
      </c>
    </row>
    <row r="1160" spans="1:12" ht="13.5">
      <c r="A1160" s="448">
        <v>57600</v>
      </c>
      <c r="B1160" s="447">
        <v>57650</v>
      </c>
      <c r="C1160" s="1378">
        <f t="shared" si="85"/>
        <v>0</v>
      </c>
      <c r="D1160" s="448">
        <f t="shared" si="86"/>
        <v>0</v>
      </c>
      <c r="E1160" s="448">
        <f t="shared" si="88"/>
        <v>0</v>
      </c>
      <c r="F1160" s="447">
        <f t="shared" si="81"/>
        <v>828</v>
      </c>
      <c r="G1160" s="1378">
        <f t="shared" si="81"/>
        <v>0</v>
      </c>
      <c r="H1160" s="448">
        <f t="shared" si="81"/>
        <v>0</v>
      </c>
      <c r="I1160" s="448">
        <f t="shared" si="81"/>
        <v>1433</v>
      </c>
      <c r="J1160" s="447">
        <f t="shared" si="81"/>
        <v>2327</v>
      </c>
      <c r="K1160" s="422"/>
      <c r="L1160" s="448">
        <f t="shared" si="79"/>
        <v>57625</v>
      </c>
    </row>
    <row r="1161" spans="1:12" ht="13.5">
      <c r="A1161" s="448">
        <v>57650</v>
      </c>
      <c r="B1161" s="447">
        <v>57700</v>
      </c>
      <c r="C1161" s="1378">
        <f t="shared" si="85"/>
        <v>0</v>
      </c>
      <c r="D1161" s="448">
        <f t="shared" si="86"/>
        <v>0</v>
      </c>
      <c r="E1161" s="448">
        <f t="shared" si="88"/>
        <v>0</v>
      </c>
      <c r="F1161" s="447">
        <f t="shared" si="81"/>
        <v>817</v>
      </c>
      <c r="G1161" s="1378">
        <f t="shared" si="81"/>
        <v>0</v>
      </c>
      <c r="H1161" s="448">
        <f t="shared" si="81"/>
        <v>0</v>
      </c>
      <c r="I1161" s="448">
        <f t="shared" si="81"/>
        <v>1423</v>
      </c>
      <c r="J1161" s="447">
        <f t="shared" si="81"/>
        <v>2317</v>
      </c>
      <c r="K1161" s="422"/>
      <c r="L1161" s="448">
        <f t="shared" si="79"/>
        <v>57675</v>
      </c>
    </row>
    <row r="1162" spans="1:12" ht="13.5">
      <c r="A1162" s="448">
        <v>57700</v>
      </c>
      <c r="B1162" s="447">
        <v>57750</v>
      </c>
      <c r="C1162" s="1378">
        <f t="shared" si="85"/>
        <v>0</v>
      </c>
      <c r="D1162" s="448">
        <f t="shared" si="86"/>
        <v>0</v>
      </c>
      <c r="E1162" s="448">
        <f t="shared" si="88"/>
        <v>0</v>
      </c>
      <c r="F1162" s="447">
        <f t="shared" si="81"/>
        <v>807</v>
      </c>
      <c r="G1162" s="1378">
        <f t="shared" si="81"/>
        <v>0</v>
      </c>
      <c r="H1162" s="448">
        <f t="shared" si="81"/>
        <v>0</v>
      </c>
      <c r="I1162" s="448">
        <f t="shared" si="81"/>
        <v>1412</v>
      </c>
      <c r="J1162" s="447">
        <f t="shared" si="81"/>
        <v>2306</v>
      </c>
      <c r="K1162" s="422"/>
      <c r="L1162" s="448">
        <f t="shared" si="79"/>
        <v>57725</v>
      </c>
    </row>
    <row r="1163" spans="1:12" ht="13.5">
      <c r="A1163" s="448">
        <v>57750</v>
      </c>
      <c r="B1163" s="447">
        <v>57800</v>
      </c>
      <c r="C1163" s="1378">
        <f t="shared" si="85"/>
        <v>0</v>
      </c>
      <c r="D1163" s="448">
        <f t="shared" si="86"/>
        <v>0</v>
      </c>
      <c r="E1163" s="448">
        <f t="shared" si="88"/>
        <v>0</v>
      </c>
      <c r="F1163" s="447">
        <f t="shared" si="81"/>
        <v>796</v>
      </c>
      <c r="G1163" s="1378">
        <f t="shared" si="81"/>
        <v>0</v>
      </c>
      <c r="H1163" s="448">
        <f t="shared" si="81"/>
        <v>0</v>
      </c>
      <c r="I1163" s="448">
        <f t="shared" si="81"/>
        <v>1402</v>
      </c>
      <c r="J1163" s="447">
        <f t="shared" si="81"/>
        <v>2296</v>
      </c>
      <c r="K1163" s="422"/>
      <c r="L1163" s="448">
        <f t="shared" si="79"/>
        <v>57775</v>
      </c>
    </row>
    <row r="1164" spans="1:12" ht="13.5">
      <c r="A1164" s="448">
        <v>57800</v>
      </c>
      <c r="B1164" s="447">
        <v>57850</v>
      </c>
      <c r="C1164" s="1378">
        <f t="shared" si="85"/>
        <v>0</v>
      </c>
      <c r="D1164" s="448">
        <f t="shared" si="86"/>
        <v>0</v>
      </c>
      <c r="E1164" s="448">
        <f t="shared" si="88"/>
        <v>0</v>
      </c>
      <c r="F1164" s="447">
        <f t="shared" si="81"/>
        <v>786</v>
      </c>
      <c r="G1164" s="1378">
        <f t="shared" si="81"/>
        <v>0</v>
      </c>
      <c r="H1164" s="448">
        <f t="shared" si="81"/>
        <v>0</v>
      </c>
      <c r="I1164" s="448">
        <f t="shared" si="81"/>
        <v>1391</v>
      </c>
      <c r="J1164" s="447">
        <f t="shared" si="81"/>
        <v>2285</v>
      </c>
      <c r="K1164" s="422"/>
      <c r="L1164" s="448">
        <f t="shared" si="79"/>
        <v>57825</v>
      </c>
    </row>
    <row r="1165" spans="1:12" ht="13.5">
      <c r="A1165" s="448">
        <v>57850</v>
      </c>
      <c r="B1165" s="447">
        <v>57900</v>
      </c>
      <c r="C1165" s="1378">
        <f t="shared" si="85"/>
        <v>0</v>
      </c>
      <c r="D1165" s="448">
        <f t="shared" si="86"/>
        <v>0</v>
      </c>
      <c r="E1165" s="448">
        <f t="shared" si="88"/>
        <v>0</v>
      </c>
      <c r="F1165" s="447">
        <f t="shared" si="81"/>
        <v>775</v>
      </c>
      <c r="G1165" s="1378">
        <f t="shared" si="81"/>
        <v>0</v>
      </c>
      <c r="H1165" s="448">
        <f t="shared" si="81"/>
        <v>0</v>
      </c>
      <c r="I1165" s="448">
        <f t="shared" si="81"/>
        <v>1380</v>
      </c>
      <c r="J1165" s="447">
        <f t="shared" si="81"/>
        <v>2274</v>
      </c>
      <c r="K1165" s="422"/>
      <c r="L1165" s="448">
        <f t="shared" si="79"/>
        <v>57875</v>
      </c>
    </row>
    <row r="1166" spans="1:12" ht="13.5">
      <c r="A1166" s="448">
        <v>57900</v>
      </c>
      <c r="B1166" s="447">
        <v>57950</v>
      </c>
      <c r="C1166" s="1378">
        <f t="shared" si="85"/>
        <v>0</v>
      </c>
      <c r="D1166" s="448">
        <f t="shared" si="86"/>
        <v>0</v>
      </c>
      <c r="E1166" s="448">
        <f t="shared" si="88"/>
        <v>0</v>
      </c>
      <c r="F1166" s="447">
        <f t="shared" si="81"/>
        <v>764</v>
      </c>
      <c r="G1166" s="1378">
        <f t="shared" si="81"/>
        <v>0</v>
      </c>
      <c r="H1166" s="448">
        <f t="shared" si="81"/>
        <v>0</v>
      </c>
      <c r="I1166" s="448">
        <f t="shared" si="81"/>
        <v>1370</v>
      </c>
      <c r="J1166" s="447">
        <f t="shared" si="81"/>
        <v>2264</v>
      </c>
      <c r="L1166" s="448">
        <f t="shared" si="79"/>
        <v>57925</v>
      </c>
    </row>
    <row r="1167" spans="1:12" ht="13.5">
      <c r="A1167" s="448">
        <v>57950</v>
      </c>
      <c r="B1167" s="447">
        <v>58000</v>
      </c>
      <c r="C1167" s="1378">
        <f t="shared" si="85"/>
        <v>0</v>
      </c>
      <c r="D1167" s="448">
        <f t="shared" si="86"/>
        <v>0</v>
      </c>
      <c r="E1167" s="448">
        <f t="shared" si="88"/>
        <v>0</v>
      </c>
      <c r="F1167" s="447">
        <f t="shared" si="81"/>
        <v>754</v>
      </c>
      <c r="G1167" s="1378">
        <f t="shared" si="81"/>
        <v>0</v>
      </c>
      <c r="H1167" s="448">
        <f t="shared" si="81"/>
        <v>0</v>
      </c>
      <c r="I1167" s="448">
        <f t="shared" si="81"/>
        <v>1359</v>
      </c>
      <c r="J1167" s="447">
        <f t="shared" si="81"/>
        <v>2253</v>
      </c>
      <c r="L1167" s="448">
        <f t="shared" si="79"/>
        <v>57975</v>
      </c>
    </row>
    <row r="1168" spans="1:12" ht="13.5">
      <c r="A1168" s="448">
        <v>58000</v>
      </c>
      <c r="B1168" s="447">
        <v>58050</v>
      </c>
      <c r="C1168" s="1378">
        <f t="shared" si="85"/>
        <v>0</v>
      </c>
      <c r="D1168" s="448">
        <f t="shared" si="86"/>
        <v>0</v>
      </c>
      <c r="E1168" s="448">
        <f t="shared" si="88"/>
        <v>0</v>
      </c>
      <c r="F1168" s="447">
        <f t="shared" si="81"/>
        <v>743</v>
      </c>
      <c r="G1168" s="1378">
        <f t="shared" si="81"/>
        <v>0</v>
      </c>
      <c r="H1168" s="448">
        <f t="shared" si="81"/>
        <v>0</v>
      </c>
      <c r="I1168" s="448">
        <f t="shared" si="81"/>
        <v>1349</v>
      </c>
      <c r="J1168" s="447">
        <f t="shared" si="81"/>
        <v>2243</v>
      </c>
      <c r="L1168" s="448">
        <f t="shared" si="79"/>
        <v>58025</v>
      </c>
    </row>
    <row r="1169" spans="1:12" ht="13.5">
      <c r="A1169" s="448">
        <v>58050</v>
      </c>
      <c r="B1169" s="447">
        <v>58100</v>
      </c>
      <c r="C1169" s="1378">
        <f t="shared" si="85"/>
        <v>0</v>
      </c>
      <c r="D1169" s="448">
        <f t="shared" si="86"/>
        <v>0</v>
      </c>
      <c r="E1169" s="448">
        <f t="shared" si="88"/>
        <v>0</v>
      </c>
      <c r="F1169" s="447">
        <f t="shared" si="81"/>
        <v>733</v>
      </c>
      <c r="G1169" s="1378">
        <f t="shared" si="81"/>
        <v>0</v>
      </c>
      <c r="H1169" s="448">
        <f t="shared" si="81"/>
        <v>0</v>
      </c>
      <c r="I1169" s="448">
        <f t="shared" si="81"/>
        <v>1338</v>
      </c>
      <c r="J1169" s="447">
        <f t="shared" si="81"/>
        <v>2232</v>
      </c>
      <c r="L1169" s="448">
        <f t="shared" si="79"/>
        <v>58075</v>
      </c>
    </row>
    <row r="1170" spans="1:12" ht="13.5">
      <c r="A1170" s="448">
        <v>58100</v>
      </c>
      <c r="B1170" s="447">
        <v>58150</v>
      </c>
      <c r="C1170" s="1378">
        <f t="shared" si="85"/>
        <v>0</v>
      </c>
      <c r="D1170" s="448">
        <f t="shared" si="86"/>
        <v>0</v>
      </c>
      <c r="E1170" s="448">
        <f t="shared" si="88"/>
        <v>0</v>
      </c>
      <c r="F1170" s="447">
        <f t="shared" si="81"/>
        <v>722</v>
      </c>
      <c r="G1170" s="1378">
        <f t="shared" si="81"/>
        <v>0</v>
      </c>
      <c r="H1170" s="448">
        <f t="shared" si="81"/>
        <v>0</v>
      </c>
      <c r="I1170" s="448">
        <f t="shared" si="81"/>
        <v>1328</v>
      </c>
      <c r="J1170" s="447">
        <f t="shared" si="81"/>
        <v>2222</v>
      </c>
      <c r="L1170" s="448">
        <f t="shared" ref="L1170:L1233" si="89">ROUND((A1170+B1170)/2,2)</f>
        <v>58125</v>
      </c>
    </row>
    <row r="1171" spans="1:12" ht="13.5">
      <c r="A1171" s="448">
        <v>58150</v>
      </c>
      <c r="B1171" s="447">
        <v>58200</v>
      </c>
      <c r="C1171" s="1378">
        <f t="shared" si="85"/>
        <v>0</v>
      </c>
      <c r="D1171" s="448">
        <f t="shared" si="86"/>
        <v>0</v>
      </c>
      <c r="E1171" s="448">
        <f t="shared" si="88"/>
        <v>0</v>
      </c>
      <c r="F1171" s="447">
        <f t="shared" si="81"/>
        <v>712</v>
      </c>
      <c r="G1171" s="1378">
        <f t="shared" si="81"/>
        <v>0</v>
      </c>
      <c r="H1171" s="448">
        <f t="shared" si="81"/>
        <v>0</v>
      </c>
      <c r="I1171" s="448">
        <f t="shared" si="81"/>
        <v>1317</v>
      </c>
      <c r="J1171" s="447">
        <f t="shared" si="81"/>
        <v>2211</v>
      </c>
      <c r="L1171" s="448">
        <f t="shared" si="89"/>
        <v>58175</v>
      </c>
    </row>
    <row r="1172" spans="1:12" ht="13.5">
      <c r="A1172" s="448">
        <v>58200</v>
      </c>
      <c r="B1172" s="447">
        <v>58250</v>
      </c>
      <c r="C1172" s="1378">
        <f t="shared" si="85"/>
        <v>0</v>
      </c>
      <c r="D1172" s="448">
        <f t="shared" si="86"/>
        <v>0</v>
      </c>
      <c r="E1172" s="448">
        <f t="shared" si="88"/>
        <v>0</v>
      </c>
      <c r="F1172" s="447">
        <f t="shared" si="81"/>
        <v>701</v>
      </c>
      <c r="G1172" s="1378">
        <f t="shared" si="81"/>
        <v>0</v>
      </c>
      <c r="H1172" s="448">
        <f t="shared" si="81"/>
        <v>0</v>
      </c>
      <c r="I1172" s="448">
        <f t="shared" si="81"/>
        <v>1307</v>
      </c>
      <c r="J1172" s="447">
        <f t="shared" si="81"/>
        <v>2201</v>
      </c>
      <c r="L1172" s="448">
        <f t="shared" si="89"/>
        <v>58225</v>
      </c>
    </row>
    <row r="1173" spans="1:12" ht="13.5">
      <c r="A1173" s="448">
        <v>58250</v>
      </c>
      <c r="B1173" s="447">
        <v>58300</v>
      </c>
      <c r="C1173" s="1378">
        <f t="shared" si="85"/>
        <v>0</v>
      </c>
      <c r="D1173" s="448">
        <f t="shared" si="86"/>
        <v>0</v>
      </c>
      <c r="E1173" s="448">
        <f t="shared" si="88"/>
        <v>0</v>
      </c>
      <c r="F1173" s="447">
        <f t="shared" si="81"/>
        <v>691</v>
      </c>
      <c r="G1173" s="1378">
        <f t="shared" si="81"/>
        <v>0</v>
      </c>
      <c r="H1173" s="448">
        <f t="shared" si="81"/>
        <v>0</v>
      </c>
      <c r="I1173" s="448">
        <f t="shared" si="81"/>
        <v>1296</v>
      </c>
      <c r="J1173" s="447">
        <f t="shared" si="81"/>
        <v>2190</v>
      </c>
      <c r="L1173" s="448">
        <f t="shared" si="89"/>
        <v>58275</v>
      </c>
    </row>
    <row r="1174" spans="1:12" ht="13.5">
      <c r="A1174" s="448">
        <v>58300</v>
      </c>
      <c r="B1174" s="447">
        <v>58350</v>
      </c>
      <c r="C1174" s="1378">
        <f t="shared" si="85"/>
        <v>0</v>
      </c>
      <c r="D1174" s="448">
        <f t="shared" si="86"/>
        <v>0</v>
      </c>
      <c r="E1174" s="448">
        <f t="shared" si="88"/>
        <v>0</v>
      </c>
      <c r="F1174" s="447">
        <f t="shared" si="81"/>
        <v>680</v>
      </c>
      <c r="G1174" s="1378">
        <f t="shared" si="81"/>
        <v>0</v>
      </c>
      <c r="H1174" s="448">
        <f t="shared" si="81"/>
        <v>0</v>
      </c>
      <c r="I1174" s="448">
        <f t="shared" si="81"/>
        <v>1286</v>
      </c>
      <c r="J1174" s="447">
        <f t="shared" si="81"/>
        <v>2180</v>
      </c>
      <c r="L1174" s="448">
        <f t="shared" si="89"/>
        <v>58325</v>
      </c>
    </row>
    <row r="1175" spans="1:12" ht="13.5">
      <c r="A1175" s="448">
        <v>58350</v>
      </c>
      <c r="B1175" s="447">
        <v>58400</v>
      </c>
      <c r="C1175" s="1378">
        <f t="shared" si="85"/>
        <v>0</v>
      </c>
      <c r="D1175" s="448">
        <f t="shared" si="86"/>
        <v>0</v>
      </c>
      <c r="E1175" s="448">
        <f t="shared" si="88"/>
        <v>0</v>
      </c>
      <c r="F1175" s="447">
        <f t="shared" si="81"/>
        <v>670</v>
      </c>
      <c r="G1175" s="1378">
        <f t="shared" si="81"/>
        <v>0</v>
      </c>
      <c r="H1175" s="448">
        <f t="shared" si="81"/>
        <v>0</v>
      </c>
      <c r="I1175" s="448">
        <f t="shared" si="81"/>
        <v>1275</v>
      </c>
      <c r="J1175" s="447">
        <f t="shared" si="81"/>
        <v>2169</v>
      </c>
      <c r="L1175" s="448">
        <f t="shared" si="89"/>
        <v>58375</v>
      </c>
    </row>
    <row r="1176" spans="1:12" ht="13.5">
      <c r="A1176" s="448">
        <v>58400</v>
      </c>
      <c r="B1176" s="447">
        <v>58450</v>
      </c>
      <c r="C1176" s="1378">
        <f t="shared" si="85"/>
        <v>0</v>
      </c>
      <c r="D1176" s="448">
        <f t="shared" si="86"/>
        <v>0</v>
      </c>
      <c r="E1176" s="448">
        <f t="shared" si="88"/>
        <v>0</v>
      </c>
      <c r="F1176" s="447">
        <f t="shared" si="81"/>
        <v>659</v>
      </c>
      <c r="G1176" s="1378">
        <f t="shared" si="81"/>
        <v>0</v>
      </c>
      <c r="H1176" s="448">
        <f t="shared" si="81"/>
        <v>0</v>
      </c>
      <c r="I1176" s="448">
        <f t="shared" si="81"/>
        <v>1265</v>
      </c>
      <c r="J1176" s="447">
        <f t="shared" si="81"/>
        <v>2159</v>
      </c>
      <c r="L1176" s="448">
        <f t="shared" si="89"/>
        <v>58425</v>
      </c>
    </row>
    <row r="1177" spans="1:12" ht="13.5">
      <c r="A1177" s="448">
        <v>58450</v>
      </c>
      <c r="B1177" s="447">
        <v>58500</v>
      </c>
      <c r="C1177" s="1378">
        <f t="shared" si="85"/>
        <v>0</v>
      </c>
      <c r="D1177" s="448">
        <f t="shared" si="86"/>
        <v>0</v>
      </c>
      <c r="E1177" s="448">
        <f t="shared" si="88"/>
        <v>0</v>
      </c>
      <c r="F1177" s="447">
        <f t="shared" si="81"/>
        <v>649</v>
      </c>
      <c r="G1177" s="1378">
        <f t="shared" si="81"/>
        <v>0</v>
      </c>
      <c r="H1177" s="448">
        <f t="shared" si="81"/>
        <v>0</v>
      </c>
      <c r="I1177" s="448">
        <f t="shared" si="81"/>
        <v>1254</v>
      </c>
      <c r="J1177" s="447">
        <f t="shared" si="81"/>
        <v>2148</v>
      </c>
      <c r="L1177" s="448">
        <f t="shared" si="89"/>
        <v>58475</v>
      </c>
    </row>
    <row r="1178" spans="1:12" ht="13.5">
      <c r="A1178" s="448">
        <v>58500</v>
      </c>
      <c r="B1178" s="447">
        <v>58550</v>
      </c>
      <c r="C1178" s="1378">
        <f t="shared" si="85"/>
        <v>0</v>
      </c>
      <c r="D1178" s="448">
        <f t="shared" si="86"/>
        <v>0</v>
      </c>
      <c r="E1178" s="448">
        <f t="shared" si="88"/>
        <v>0</v>
      </c>
      <c r="F1178" s="447">
        <f t="shared" si="81"/>
        <v>638</v>
      </c>
      <c r="G1178" s="1378">
        <f t="shared" si="81"/>
        <v>0</v>
      </c>
      <c r="H1178" s="448">
        <f t="shared" si="81"/>
        <v>0</v>
      </c>
      <c r="I1178" s="448">
        <f t="shared" si="81"/>
        <v>1244</v>
      </c>
      <c r="J1178" s="447">
        <f t="shared" si="81"/>
        <v>2138</v>
      </c>
      <c r="L1178" s="448">
        <f t="shared" si="89"/>
        <v>58525</v>
      </c>
    </row>
    <row r="1179" spans="1:12" ht="13.5">
      <c r="A1179" s="448">
        <v>58550</v>
      </c>
      <c r="B1179" s="447">
        <v>58600</v>
      </c>
      <c r="C1179" s="1378">
        <f t="shared" si="85"/>
        <v>0</v>
      </c>
      <c r="D1179" s="448">
        <f t="shared" si="86"/>
        <v>0</v>
      </c>
      <c r="E1179" s="448">
        <f t="shared" si="88"/>
        <v>0</v>
      </c>
      <c r="F1179" s="447">
        <f t="shared" si="81"/>
        <v>628</v>
      </c>
      <c r="G1179" s="1378">
        <f t="shared" si="81"/>
        <v>0</v>
      </c>
      <c r="H1179" s="448">
        <f t="shared" si="81"/>
        <v>0</v>
      </c>
      <c r="I1179" s="448">
        <f t="shared" si="81"/>
        <v>1233</v>
      </c>
      <c r="J1179" s="447">
        <f t="shared" si="81"/>
        <v>2127</v>
      </c>
      <c r="L1179" s="448">
        <f t="shared" si="89"/>
        <v>58575</v>
      </c>
    </row>
    <row r="1180" spans="1:12" ht="13.5">
      <c r="A1180" s="448">
        <v>58600</v>
      </c>
      <c r="B1180" s="447">
        <v>58650</v>
      </c>
      <c r="C1180" s="1378">
        <f t="shared" si="85"/>
        <v>0</v>
      </c>
      <c r="D1180" s="448">
        <f t="shared" si="86"/>
        <v>0</v>
      </c>
      <c r="E1180" s="448">
        <f t="shared" si="88"/>
        <v>0</v>
      </c>
      <c r="F1180" s="447">
        <f t="shared" si="81"/>
        <v>617</v>
      </c>
      <c r="G1180" s="1378">
        <f t="shared" si="81"/>
        <v>0</v>
      </c>
      <c r="H1180" s="448">
        <f t="shared" si="81"/>
        <v>0</v>
      </c>
      <c r="I1180" s="448">
        <f t="shared" si="81"/>
        <v>1223</v>
      </c>
      <c r="J1180" s="447">
        <f t="shared" si="81"/>
        <v>2117</v>
      </c>
      <c r="L1180" s="448">
        <f t="shared" si="89"/>
        <v>58625</v>
      </c>
    </row>
    <row r="1181" spans="1:12" ht="13.5">
      <c r="A1181" s="448">
        <v>58650</v>
      </c>
      <c r="B1181" s="447">
        <v>58700</v>
      </c>
      <c r="C1181" s="1378">
        <f t="shared" si="85"/>
        <v>0</v>
      </c>
      <c r="D1181" s="448">
        <f t="shared" si="86"/>
        <v>0</v>
      </c>
      <c r="E1181" s="448">
        <f t="shared" si="88"/>
        <v>0</v>
      </c>
      <c r="F1181" s="447">
        <f t="shared" si="81"/>
        <v>607</v>
      </c>
      <c r="G1181" s="1378">
        <f t="shared" si="81"/>
        <v>0</v>
      </c>
      <c r="H1181" s="448">
        <f t="shared" si="81"/>
        <v>0</v>
      </c>
      <c r="I1181" s="448">
        <f t="shared" si="81"/>
        <v>1212</v>
      </c>
      <c r="J1181" s="447">
        <f t="shared" si="81"/>
        <v>2106</v>
      </c>
      <c r="L1181" s="448">
        <f t="shared" si="89"/>
        <v>58675</v>
      </c>
    </row>
    <row r="1182" spans="1:12" ht="13.5">
      <c r="A1182" s="448">
        <v>58700</v>
      </c>
      <c r="B1182" s="447">
        <v>58750</v>
      </c>
      <c r="C1182" s="1378">
        <f t="shared" si="85"/>
        <v>0</v>
      </c>
      <c r="D1182" s="448">
        <f t="shared" si="86"/>
        <v>0</v>
      </c>
      <c r="E1182" s="448">
        <f t="shared" si="88"/>
        <v>0</v>
      </c>
      <c r="F1182" s="447">
        <f t="shared" si="81"/>
        <v>596</v>
      </c>
      <c r="G1182" s="1378">
        <f t="shared" si="81"/>
        <v>0</v>
      </c>
      <c r="H1182" s="448">
        <f t="shared" si="81"/>
        <v>0</v>
      </c>
      <c r="I1182" s="448">
        <f t="shared" si="81"/>
        <v>1201</v>
      </c>
      <c r="J1182" s="447">
        <f t="shared" si="81"/>
        <v>2095</v>
      </c>
      <c r="L1182" s="448">
        <f t="shared" si="89"/>
        <v>58725</v>
      </c>
    </row>
    <row r="1183" spans="1:12" ht="13.5">
      <c r="A1183" s="448">
        <v>58750</v>
      </c>
      <c r="B1183" s="447">
        <v>58800</v>
      </c>
      <c r="C1183" s="1378">
        <f t="shared" si="85"/>
        <v>0</v>
      </c>
      <c r="D1183" s="448">
        <f t="shared" si="86"/>
        <v>0</v>
      </c>
      <c r="E1183" s="448">
        <f t="shared" si="88"/>
        <v>0</v>
      </c>
      <c r="F1183" s="447">
        <f t="shared" si="81"/>
        <v>585</v>
      </c>
      <c r="G1183" s="1378">
        <f t="shared" si="81"/>
        <v>0</v>
      </c>
      <c r="H1183" s="448">
        <f t="shared" si="81"/>
        <v>0</v>
      </c>
      <c r="I1183" s="448">
        <f t="shared" si="81"/>
        <v>1191</v>
      </c>
      <c r="J1183" s="447">
        <f t="shared" si="81"/>
        <v>2085</v>
      </c>
      <c r="L1183" s="448">
        <f t="shared" si="89"/>
        <v>58775</v>
      </c>
    </row>
    <row r="1184" spans="1:12" ht="13.5">
      <c r="A1184" s="448">
        <v>58800</v>
      </c>
      <c r="B1184" s="447">
        <v>58850</v>
      </c>
      <c r="C1184" s="1378">
        <f t="shared" si="85"/>
        <v>0</v>
      </c>
      <c r="D1184" s="448">
        <f t="shared" si="86"/>
        <v>0</v>
      </c>
      <c r="E1184" s="448">
        <f t="shared" si="88"/>
        <v>0</v>
      </c>
      <c r="F1184" s="447">
        <f t="shared" si="81"/>
        <v>575</v>
      </c>
      <c r="G1184" s="1378">
        <f t="shared" si="81"/>
        <v>0</v>
      </c>
      <c r="H1184" s="448">
        <f t="shared" si="81"/>
        <v>0</v>
      </c>
      <c r="I1184" s="448">
        <f t="shared" si="81"/>
        <v>1180</v>
      </c>
      <c r="J1184" s="447">
        <f t="shared" si="81"/>
        <v>2074</v>
      </c>
      <c r="L1184" s="448">
        <f t="shared" si="89"/>
        <v>58825</v>
      </c>
    </row>
    <row r="1185" spans="1:12" ht="13.5">
      <c r="A1185" s="448">
        <v>58850</v>
      </c>
      <c r="B1185" s="447">
        <v>58900</v>
      </c>
      <c r="C1185" s="1378">
        <f t="shared" si="85"/>
        <v>0</v>
      </c>
      <c r="D1185" s="448">
        <f t="shared" si="86"/>
        <v>0</v>
      </c>
      <c r="E1185" s="448">
        <f t="shared" si="88"/>
        <v>0</v>
      </c>
      <c r="F1185" s="447">
        <f t="shared" si="81"/>
        <v>564</v>
      </c>
      <c r="G1185" s="1378">
        <f t="shared" si="81"/>
        <v>0</v>
      </c>
      <c r="H1185" s="448">
        <f t="shared" si="81"/>
        <v>0</v>
      </c>
      <c r="I1185" s="448">
        <f t="shared" si="81"/>
        <v>1170</v>
      </c>
      <c r="J1185" s="447">
        <f t="shared" si="81"/>
        <v>2064</v>
      </c>
      <c r="L1185" s="448">
        <f t="shared" si="89"/>
        <v>58875</v>
      </c>
    </row>
    <row r="1186" spans="1:12" ht="13.5">
      <c r="A1186" s="448">
        <v>58900</v>
      </c>
      <c r="B1186" s="447">
        <v>58950</v>
      </c>
      <c r="C1186" s="1378">
        <f t="shared" si="85"/>
        <v>0</v>
      </c>
      <c r="D1186" s="448">
        <f t="shared" si="86"/>
        <v>0</v>
      </c>
      <c r="E1186" s="448">
        <f t="shared" si="88"/>
        <v>0</v>
      </c>
      <c r="F1186" s="447">
        <f t="shared" si="81"/>
        <v>554</v>
      </c>
      <c r="G1186" s="1378">
        <f t="shared" si="81"/>
        <v>0</v>
      </c>
      <c r="H1186" s="448">
        <f t="shared" si="81"/>
        <v>0</v>
      </c>
      <c r="I1186" s="448">
        <f t="shared" si="81"/>
        <v>1159</v>
      </c>
      <c r="J1186" s="447">
        <f t="shared" si="81"/>
        <v>2053</v>
      </c>
      <c r="L1186" s="448">
        <f t="shared" si="89"/>
        <v>58925</v>
      </c>
    </row>
    <row r="1187" spans="1:12" ht="13.5">
      <c r="A1187" s="448">
        <v>58950</v>
      </c>
      <c r="B1187" s="447">
        <v>59000</v>
      </c>
      <c r="C1187" s="1378">
        <f t="shared" si="85"/>
        <v>0</v>
      </c>
      <c r="D1187" s="448">
        <f t="shared" si="86"/>
        <v>0</v>
      </c>
      <c r="E1187" s="448">
        <f t="shared" si="88"/>
        <v>0</v>
      </c>
      <c r="F1187" s="447">
        <f t="shared" ref="F1187:F1199" si="90">IF($L1187&gt;Q$5,MAX(0,Q$3+ROUND((Q$9*($L1187-Q$5)),0)),IF($L1187&gt;Q$4,Q$3,ROUND($L1187*Q$7,0)))</f>
        <v>543</v>
      </c>
      <c r="G1187" s="1378">
        <f t="shared" ref="G1187:G1199" si="91">IF($L1187&gt;R$5,MAX(0,R$3+ROUND((R$9*($L1187-R$5)),0)),IF($L1187&gt;R$4,R$3,ROUND($L1187*R$7,0)))</f>
        <v>0</v>
      </c>
      <c r="H1187" s="448">
        <f t="shared" ref="H1187:H1199" si="92">IF($L1187&gt;S$5,MAX(0,S$3+ROUND((S$9*($L1187-S$5)),0)),IF($L1187&gt;S$4,S$3,ROUND($L1187*S$7,0)))</f>
        <v>0</v>
      </c>
      <c r="I1187" s="448">
        <f t="shared" ref="I1187:I1199" si="93">IF($L1187&gt;T$5,MAX(0,T$3+ROUND((T$9*($L1187-T$5)),0)),IF($L1187&gt;T$4,T$3,ROUND($L1187*T$7,0)))</f>
        <v>1149</v>
      </c>
      <c r="J1187" s="447">
        <f t="shared" ref="J1187:J1199" si="94">IF($L1187&gt;U$5,MAX(0,U$3+ROUND((U$9*($L1187-U$5)),0)),IF($L1187&gt;U$4,U$3,ROUND($L1187*U$7,0)))</f>
        <v>2043</v>
      </c>
      <c r="L1187" s="448">
        <f t="shared" si="89"/>
        <v>58975</v>
      </c>
    </row>
    <row r="1188" spans="1:12" ht="13.5">
      <c r="A1188" s="448">
        <v>59000</v>
      </c>
      <c r="B1188" s="447">
        <v>59050</v>
      </c>
      <c r="C1188" s="1378">
        <f t="shared" si="85"/>
        <v>0</v>
      </c>
      <c r="D1188" s="448">
        <f t="shared" si="86"/>
        <v>0</v>
      </c>
      <c r="E1188" s="448">
        <f t="shared" si="88"/>
        <v>0</v>
      </c>
      <c r="F1188" s="447">
        <f t="shared" si="90"/>
        <v>533</v>
      </c>
      <c r="G1188" s="1378">
        <f t="shared" si="91"/>
        <v>0</v>
      </c>
      <c r="H1188" s="448">
        <f t="shared" si="92"/>
        <v>0</v>
      </c>
      <c r="I1188" s="448">
        <f t="shared" si="93"/>
        <v>1138</v>
      </c>
      <c r="J1188" s="447">
        <f t="shared" si="94"/>
        <v>2032</v>
      </c>
      <c r="L1188" s="448">
        <f t="shared" si="89"/>
        <v>59025</v>
      </c>
    </row>
    <row r="1189" spans="1:12" ht="13.5">
      <c r="A1189" s="448">
        <v>59050</v>
      </c>
      <c r="B1189" s="447">
        <v>59100</v>
      </c>
      <c r="C1189" s="1378">
        <f t="shared" si="85"/>
        <v>0</v>
      </c>
      <c r="D1189" s="448">
        <f t="shared" si="86"/>
        <v>0</v>
      </c>
      <c r="E1189" s="448">
        <f t="shared" si="88"/>
        <v>0</v>
      </c>
      <c r="F1189" s="447">
        <f t="shared" si="90"/>
        <v>522</v>
      </c>
      <c r="G1189" s="1378">
        <f t="shared" si="91"/>
        <v>0</v>
      </c>
      <c r="H1189" s="448">
        <f t="shared" si="92"/>
        <v>0</v>
      </c>
      <c r="I1189" s="448">
        <f t="shared" si="93"/>
        <v>1128</v>
      </c>
      <c r="J1189" s="447">
        <f t="shared" si="94"/>
        <v>2022</v>
      </c>
      <c r="L1189" s="448">
        <f t="shared" si="89"/>
        <v>59075</v>
      </c>
    </row>
    <row r="1190" spans="1:12" ht="13.5">
      <c r="A1190" s="448">
        <v>59100</v>
      </c>
      <c r="B1190" s="447">
        <v>59150</v>
      </c>
      <c r="C1190" s="1378">
        <f t="shared" si="85"/>
        <v>0</v>
      </c>
      <c r="D1190" s="448">
        <f t="shared" si="86"/>
        <v>0</v>
      </c>
      <c r="E1190" s="448">
        <f t="shared" si="88"/>
        <v>0</v>
      </c>
      <c r="F1190" s="447">
        <f t="shared" si="90"/>
        <v>512</v>
      </c>
      <c r="G1190" s="1378">
        <f t="shared" si="91"/>
        <v>0</v>
      </c>
      <c r="H1190" s="448">
        <f t="shared" si="92"/>
        <v>0</v>
      </c>
      <c r="I1190" s="448">
        <f t="shared" si="93"/>
        <v>1117</v>
      </c>
      <c r="J1190" s="447">
        <f t="shared" si="94"/>
        <v>2011</v>
      </c>
      <c r="L1190" s="448">
        <f t="shared" si="89"/>
        <v>59125</v>
      </c>
    </row>
    <row r="1191" spans="1:12" ht="13.5">
      <c r="A1191" s="448">
        <v>59150</v>
      </c>
      <c r="B1191" s="447">
        <v>59200</v>
      </c>
      <c r="C1191" s="1378">
        <f t="shared" si="85"/>
        <v>0</v>
      </c>
      <c r="D1191" s="448">
        <f t="shared" si="86"/>
        <v>0</v>
      </c>
      <c r="E1191" s="448">
        <f t="shared" si="88"/>
        <v>0</v>
      </c>
      <c r="F1191" s="447">
        <f t="shared" si="90"/>
        <v>501</v>
      </c>
      <c r="G1191" s="1378">
        <f t="shared" si="91"/>
        <v>0</v>
      </c>
      <c r="H1191" s="448">
        <f t="shared" si="92"/>
        <v>0</v>
      </c>
      <c r="I1191" s="448">
        <f t="shared" si="93"/>
        <v>1107</v>
      </c>
      <c r="J1191" s="447">
        <f t="shared" si="94"/>
        <v>2001</v>
      </c>
      <c r="L1191" s="448">
        <f t="shared" si="89"/>
        <v>59175</v>
      </c>
    </row>
    <row r="1192" spans="1:12" ht="13.5">
      <c r="A1192" s="448">
        <v>59200</v>
      </c>
      <c r="B1192" s="447">
        <v>59250</v>
      </c>
      <c r="C1192" s="1378">
        <f t="shared" si="85"/>
        <v>0</v>
      </c>
      <c r="D1192" s="448">
        <f t="shared" si="86"/>
        <v>0</v>
      </c>
      <c r="E1192" s="448">
        <f t="shared" si="88"/>
        <v>0</v>
      </c>
      <c r="F1192" s="447">
        <f t="shared" si="90"/>
        <v>491</v>
      </c>
      <c r="G1192" s="1378">
        <f t="shared" si="91"/>
        <v>0</v>
      </c>
      <c r="H1192" s="448">
        <f t="shared" si="92"/>
        <v>0</v>
      </c>
      <c r="I1192" s="448">
        <f t="shared" si="93"/>
        <v>1096</v>
      </c>
      <c r="J1192" s="447">
        <f t="shared" si="94"/>
        <v>1990</v>
      </c>
      <c r="L1192" s="448">
        <f t="shared" si="89"/>
        <v>59225</v>
      </c>
    </row>
    <row r="1193" spans="1:12" ht="13.5">
      <c r="A1193" s="448">
        <v>59250</v>
      </c>
      <c r="B1193" s="447">
        <v>59300</v>
      </c>
      <c r="C1193" s="1378">
        <f t="shared" si="85"/>
        <v>0</v>
      </c>
      <c r="D1193" s="448">
        <f t="shared" si="86"/>
        <v>0</v>
      </c>
      <c r="E1193" s="448">
        <f t="shared" si="88"/>
        <v>0</v>
      </c>
      <c r="F1193" s="447">
        <f t="shared" si="90"/>
        <v>480</v>
      </c>
      <c r="G1193" s="1378">
        <f t="shared" si="91"/>
        <v>0</v>
      </c>
      <c r="H1193" s="448">
        <f t="shared" si="92"/>
        <v>0</v>
      </c>
      <c r="I1193" s="448">
        <f t="shared" si="93"/>
        <v>1086</v>
      </c>
      <c r="J1193" s="447">
        <f t="shared" si="94"/>
        <v>1980</v>
      </c>
      <c r="L1193" s="448">
        <f t="shared" si="89"/>
        <v>59275</v>
      </c>
    </row>
    <row r="1194" spans="1:12" ht="13.5">
      <c r="A1194" s="448">
        <v>59300</v>
      </c>
      <c r="B1194" s="447">
        <v>59350</v>
      </c>
      <c r="C1194" s="1378">
        <f t="shared" si="85"/>
        <v>0</v>
      </c>
      <c r="D1194" s="448">
        <f t="shared" si="86"/>
        <v>0</v>
      </c>
      <c r="E1194" s="448">
        <f t="shared" si="88"/>
        <v>0</v>
      </c>
      <c r="F1194" s="447">
        <f t="shared" si="90"/>
        <v>470</v>
      </c>
      <c r="G1194" s="1378">
        <f t="shared" si="91"/>
        <v>0</v>
      </c>
      <c r="H1194" s="448">
        <f t="shared" si="92"/>
        <v>0</v>
      </c>
      <c r="I1194" s="448">
        <f t="shared" si="93"/>
        <v>1075</v>
      </c>
      <c r="J1194" s="447">
        <f t="shared" si="94"/>
        <v>1969</v>
      </c>
      <c r="L1194" s="448">
        <f t="shared" si="89"/>
        <v>59325</v>
      </c>
    </row>
    <row r="1195" spans="1:12" ht="13.5">
      <c r="A1195" s="448">
        <v>59350</v>
      </c>
      <c r="B1195" s="447">
        <v>59400</v>
      </c>
      <c r="C1195" s="1378">
        <f t="shared" si="85"/>
        <v>0</v>
      </c>
      <c r="D1195" s="448">
        <f t="shared" si="86"/>
        <v>0</v>
      </c>
      <c r="E1195" s="448">
        <f t="shared" si="88"/>
        <v>0</v>
      </c>
      <c r="F1195" s="447">
        <f t="shared" si="90"/>
        <v>459</v>
      </c>
      <c r="G1195" s="1378">
        <f t="shared" si="91"/>
        <v>0</v>
      </c>
      <c r="H1195" s="448">
        <f t="shared" si="92"/>
        <v>0</v>
      </c>
      <c r="I1195" s="448">
        <f t="shared" si="93"/>
        <v>1065</v>
      </c>
      <c r="J1195" s="447">
        <f t="shared" si="94"/>
        <v>1959</v>
      </c>
      <c r="L1195" s="448">
        <f t="shared" si="89"/>
        <v>59375</v>
      </c>
    </row>
    <row r="1196" spans="1:12" ht="13.5">
      <c r="A1196" s="448">
        <v>59400</v>
      </c>
      <c r="B1196" s="447">
        <v>59450</v>
      </c>
      <c r="C1196" s="1378">
        <f t="shared" si="85"/>
        <v>0</v>
      </c>
      <c r="D1196" s="448">
        <f t="shared" si="86"/>
        <v>0</v>
      </c>
      <c r="E1196" s="448">
        <f t="shared" si="88"/>
        <v>0</v>
      </c>
      <c r="F1196" s="447">
        <f t="shared" si="90"/>
        <v>449</v>
      </c>
      <c r="G1196" s="1378">
        <f t="shared" si="91"/>
        <v>0</v>
      </c>
      <c r="H1196" s="448">
        <f t="shared" si="92"/>
        <v>0</v>
      </c>
      <c r="I1196" s="448">
        <f t="shared" si="93"/>
        <v>1054</v>
      </c>
      <c r="J1196" s="447">
        <f t="shared" si="94"/>
        <v>1948</v>
      </c>
      <c r="L1196" s="448">
        <f t="shared" si="89"/>
        <v>59425</v>
      </c>
    </row>
    <row r="1197" spans="1:12" ht="13.5">
      <c r="A1197" s="448">
        <v>59450</v>
      </c>
      <c r="B1197" s="447">
        <v>59500</v>
      </c>
      <c r="C1197" s="1378">
        <f t="shared" si="85"/>
        <v>0</v>
      </c>
      <c r="D1197" s="448">
        <f t="shared" si="86"/>
        <v>0</v>
      </c>
      <c r="E1197" s="448">
        <f t="shared" si="88"/>
        <v>0</v>
      </c>
      <c r="F1197" s="447">
        <f t="shared" si="90"/>
        <v>438</v>
      </c>
      <c r="G1197" s="1378">
        <f t="shared" si="91"/>
        <v>0</v>
      </c>
      <c r="H1197" s="448">
        <f t="shared" si="92"/>
        <v>0</v>
      </c>
      <c r="I1197" s="448">
        <f t="shared" si="93"/>
        <v>1044</v>
      </c>
      <c r="J1197" s="447">
        <f t="shared" si="94"/>
        <v>1938</v>
      </c>
      <c r="L1197" s="448">
        <f t="shared" si="89"/>
        <v>59475</v>
      </c>
    </row>
    <row r="1198" spans="1:12" ht="13.5">
      <c r="A1198" s="448">
        <v>59500</v>
      </c>
      <c r="B1198" s="447">
        <v>59550</v>
      </c>
      <c r="C1198" s="1378">
        <f t="shared" si="85"/>
        <v>0</v>
      </c>
      <c r="D1198" s="448">
        <f t="shared" si="86"/>
        <v>0</v>
      </c>
      <c r="E1198" s="448">
        <f t="shared" si="88"/>
        <v>0</v>
      </c>
      <c r="F1198" s="447">
        <f t="shared" si="90"/>
        <v>428</v>
      </c>
      <c r="G1198" s="1378">
        <f t="shared" si="91"/>
        <v>0</v>
      </c>
      <c r="H1198" s="448">
        <f t="shared" si="92"/>
        <v>0</v>
      </c>
      <c r="I1198" s="448">
        <f t="shared" si="93"/>
        <v>1033</v>
      </c>
      <c r="J1198" s="447">
        <f t="shared" si="94"/>
        <v>1927</v>
      </c>
      <c r="L1198" s="448">
        <f t="shared" si="89"/>
        <v>59525</v>
      </c>
    </row>
    <row r="1199" spans="1:12" ht="13.5">
      <c r="A1199" s="448">
        <v>59550</v>
      </c>
      <c r="B1199" s="447">
        <v>59600</v>
      </c>
      <c r="C1199" s="1378">
        <f t="shared" si="85"/>
        <v>0</v>
      </c>
      <c r="D1199" s="448">
        <f t="shared" si="86"/>
        <v>0</v>
      </c>
      <c r="E1199" s="448">
        <f t="shared" si="88"/>
        <v>0</v>
      </c>
      <c r="F1199" s="447">
        <f t="shared" si="90"/>
        <v>417</v>
      </c>
      <c r="G1199" s="1378">
        <f t="shared" si="91"/>
        <v>0</v>
      </c>
      <c r="H1199" s="448">
        <f t="shared" si="92"/>
        <v>0</v>
      </c>
      <c r="I1199" s="448">
        <f t="shared" si="93"/>
        <v>1022</v>
      </c>
      <c r="J1199" s="447">
        <f t="shared" si="94"/>
        <v>1916</v>
      </c>
      <c r="L1199" s="448">
        <f t="shared" si="89"/>
        <v>59575</v>
      </c>
    </row>
    <row r="1200" spans="1:12" ht="13.5">
      <c r="A1200" s="448">
        <v>59600</v>
      </c>
      <c r="B1200" s="447">
        <v>59650</v>
      </c>
      <c r="C1200" s="1378">
        <f t="shared" ref="C1200:J1231" si="95">IF($L1200&gt;N$5,MAX(0,N$3+ROUND((N$9*($L1200-N$5)),0)),IF($L1200&gt;N$4,N$3,ROUND($L1200*N$7,0)))</f>
        <v>0</v>
      </c>
      <c r="D1200" s="448">
        <f t="shared" si="95"/>
        <v>0</v>
      </c>
      <c r="E1200" s="448">
        <f t="shared" si="95"/>
        <v>0</v>
      </c>
      <c r="F1200" s="447">
        <f t="shared" si="95"/>
        <v>406</v>
      </c>
      <c r="G1200" s="1378">
        <f t="shared" si="95"/>
        <v>0</v>
      </c>
      <c r="H1200" s="448">
        <f t="shared" si="95"/>
        <v>0</v>
      </c>
      <c r="I1200" s="448">
        <f t="shared" si="95"/>
        <v>1012</v>
      </c>
      <c r="J1200" s="447">
        <f t="shared" si="95"/>
        <v>1906</v>
      </c>
      <c r="L1200" s="448">
        <f t="shared" si="89"/>
        <v>59625</v>
      </c>
    </row>
    <row r="1201" spans="1:12" ht="13.5">
      <c r="A1201" s="448">
        <v>59650</v>
      </c>
      <c r="B1201" s="447">
        <v>59700</v>
      </c>
      <c r="C1201" s="1378">
        <f t="shared" si="95"/>
        <v>0</v>
      </c>
      <c r="D1201" s="448">
        <f t="shared" si="95"/>
        <v>0</v>
      </c>
      <c r="E1201" s="448">
        <f t="shared" si="95"/>
        <v>0</v>
      </c>
      <c r="F1201" s="447">
        <f t="shared" si="95"/>
        <v>396</v>
      </c>
      <c r="G1201" s="1378">
        <f t="shared" si="95"/>
        <v>0</v>
      </c>
      <c r="H1201" s="448">
        <f t="shared" si="95"/>
        <v>0</v>
      </c>
      <c r="I1201" s="448">
        <f t="shared" si="95"/>
        <v>1001</v>
      </c>
      <c r="J1201" s="447">
        <f t="shared" si="95"/>
        <v>1895</v>
      </c>
      <c r="L1201" s="448">
        <f t="shared" si="89"/>
        <v>59675</v>
      </c>
    </row>
    <row r="1202" spans="1:12" ht="13.5">
      <c r="A1202" s="448">
        <v>59700</v>
      </c>
      <c r="B1202" s="447">
        <v>59750</v>
      </c>
      <c r="C1202" s="1378">
        <f t="shared" si="95"/>
        <v>0</v>
      </c>
      <c r="D1202" s="448">
        <f t="shared" si="95"/>
        <v>0</v>
      </c>
      <c r="E1202" s="448">
        <f t="shared" si="95"/>
        <v>0</v>
      </c>
      <c r="F1202" s="447">
        <f t="shared" si="95"/>
        <v>385</v>
      </c>
      <c r="G1202" s="1378">
        <f t="shared" si="95"/>
        <v>0</v>
      </c>
      <c r="H1202" s="448">
        <f t="shared" si="95"/>
        <v>0</v>
      </c>
      <c r="I1202" s="448">
        <f t="shared" si="95"/>
        <v>991</v>
      </c>
      <c r="J1202" s="447">
        <f t="shared" si="95"/>
        <v>1885</v>
      </c>
      <c r="L1202" s="448">
        <f t="shared" si="89"/>
        <v>59725</v>
      </c>
    </row>
    <row r="1203" spans="1:12" ht="13.5">
      <c r="A1203" s="448">
        <v>59750</v>
      </c>
      <c r="B1203" s="447">
        <v>59800</v>
      </c>
      <c r="C1203" s="1378">
        <f t="shared" si="95"/>
        <v>0</v>
      </c>
      <c r="D1203" s="448">
        <f t="shared" si="95"/>
        <v>0</v>
      </c>
      <c r="E1203" s="448">
        <f t="shared" si="95"/>
        <v>0</v>
      </c>
      <c r="F1203" s="447">
        <f t="shared" si="95"/>
        <v>375</v>
      </c>
      <c r="G1203" s="1378">
        <f t="shared" si="95"/>
        <v>0</v>
      </c>
      <c r="H1203" s="448">
        <f t="shared" si="95"/>
        <v>0</v>
      </c>
      <c r="I1203" s="448">
        <f t="shared" si="95"/>
        <v>980</v>
      </c>
      <c r="J1203" s="447">
        <f t="shared" si="95"/>
        <v>1874</v>
      </c>
      <c r="L1203" s="448">
        <f t="shared" si="89"/>
        <v>59775</v>
      </c>
    </row>
    <row r="1204" spans="1:12" ht="13.5">
      <c r="A1204" s="448">
        <v>59800</v>
      </c>
      <c r="B1204" s="447">
        <v>59850</v>
      </c>
      <c r="C1204" s="1378">
        <f t="shared" si="95"/>
        <v>0</v>
      </c>
      <c r="D1204" s="448">
        <f t="shared" si="95"/>
        <v>0</v>
      </c>
      <c r="E1204" s="448">
        <f t="shared" si="95"/>
        <v>0</v>
      </c>
      <c r="F1204" s="447">
        <f t="shared" si="95"/>
        <v>364</v>
      </c>
      <c r="G1204" s="1378">
        <f t="shared" si="95"/>
        <v>0</v>
      </c>
      <c r="H1204" s="448">
        <f t="shared" si="95"/>
        <v>0</v>
      </c>
      <c r="I1204" s="448">
        <f t="shared" si="95"/>
        <v>970</v>
      </c>
      <c r="J1204" s="447">
        <f t="shared" si="95"/>
        <v>1864</v>
      </c>
      <c r="L1204" s="448">
        <f t="shared" si="89"/>
        <v>59825</v>
      </c>
    </row>
    <row r="1205" spans="1:12" ht="13.5">
      <c r="A1205" s="448">
        <v>59850</v>
      </c>
      <c r="B1205" s="447">
        <v>59900</v>
      </c>
      <c r="C1205" s="1378">
        <f t="shared" si="95"/>
        <v>0</v>
      </c>
      <c r="D1205" s="448">
        <f t="shared" si="95"/>
        <v>0</v>
      </c>
      <c r="E1205" s="448">
        <f t="shared" si="95"/>
        <v>0</v>
      </c>
      <c r="F1205" s="447">
        <f t="shared" si="95"/>
        <v>354</v>
      </c>
      <c r="G1205" s="1378">
        <f t="shared" si="95"/>
        <v>0</v>
      </c>
      <c r="H1205" s="448">
        <f t="shared" si="95"/>
        <v>0</v>
      </c>
      <c r="I1205" s="448">
        <f t="shared" si="95"/>
        <v>959</v>
      </c>
      <c r="J1205" s="447">
        <f t="shared" si="95"/>
        <v>1853</v>
      </c>
      <c r="L1205" s="448">
        <f t="shared" si="89"/>
        <v>59875</v>
      </c>
    </row>
    <row r="1206" spans="1:12" ht="13.5">
      <c r="A1206" s="448">
        <v>59900</v>
      </c>
      <c r="B1206" s="447">
        <v>59950</v>
      </c>
      <c r="C1206" s="1378">
        <f t="shared" si="95"/>
        <v>0</v>
      </c>
      <c r="D1206" s="448">
        <f t="shared" si="95"/>
        <v>0</v>
      </c>
      <c r="E1206" s="448">
        <f t="shared" si="95"/>
        <v>0</v>
      </c>
      <c r="F1206" s="447">
        <f t="shared" si="95"/>
        <v>343</v>
      </c>
      <c r="G1206" s="1378">
        <f t="shared" si="95"/>
        <v>0</v>
      </c>
      <c r="H1206" s="448">
        <f t="shared" si="95"/>
        <v>0</v>
      </c>
      <c r="I1206" s="448">
        <f t="shared" si="95"/>
        <v>949</v>
      </c>
      <c r="J1206" s="447">
        <f t="shared" si="95"/>
        <v>1843</v>
      </c>
      <c r="L1206" s="448">
        <f t="shared" si="89"/>
        <v>59925</v>
      </c>
    </row>
    <row r="1207" spans="1:12" ht="13.5">
      <c r="A1207" s="448">
        <v>59950</v>
      </c>
      <c r="B1207" s="447">
        <v>60000</v>
      </c>
      <c r="C1207" s="1378">
        <f t="shared" si="95"/>
        <v>0</v>
      </c>
      <c r="D1207" s="448">
        <f t="shared" si="95"/>
        <v>0</v>
      </c>
      <c r="E1207" s="448">
        <f t="shared" si="95"/>
        <v>0</v>
      </c>
      <c r="F1207" s="447">
        <f t="shared" si="95"/>
        <v>333</v>
      </c>
      <c r="G1207" s="1378">
        <f t="shared" si="95"/>
        <v>0</v>
      </c>
      <c r="H1207" s="448">
        <f t="shared" si="95"/>
        <v>0</v>
      </c>
      <c r="I1207" s="448">
        <f t="shared" si="95"/>
        <v>938</v>
      </c>
      <c r="J1207" s="447">
        <f t="shared" si="95"/>
        <v>1832</v>
      </c>
      <c r="L1207" s="448">
        <f>ROUND((A1207+B1207)/2,2)</f>
        <v>59975</v>
      </c>
    </row>
    <row r="1208" spans="1:12" ht="13.5">
      <c r="A1208" s="448">
        <v>60000</v>
      </c>
      <c r="B1208" s="447">
        <v>60050</v>
      </c>
      <c r="C1208" s="1378">
        <f t="shared" si="95"/>
        <v>0</v>
      </c>
      <c r="D1208" s="448">
        <f t="shared" si="95"/>
        <v>0</v>
      </c>
      <c r="E1208" s="448">
        <f t="shared" si="95"/>
        <v>0</v>
      </c>
      <c r="F1208" s="447">
        <f t="shared" si="95"/>
        <v>322</v>
      </c>
      <c r="G1208" s="1378">
        <f t="shared" si="95"/>
        <v>0</v>
      </c>
      <c r="H1208" s="448">
        <f t="shared" si="95"/>
        <v>0</v>
      </c>
      <c r="I1208" s="448">
        <f t="shared" si="95"/>
        <v>928</v>
      </c>
      <c r="J1208" s="447">
        <f t="shared" si="95"/>
        <v>1822</v>
      </c>
      <c r="L1208" s="448">
        <f t="shared" si="89"/>
        <v>60025</v>
      </c>
    </row>
    <row r="1209" spans="1:12" ht="13.5">
      <c r="A1209" s="448">
        <v>60050</v>
      </c>
      <c r="B1209" s="447">
        <v>60100</v>
      </c>
      <c r="C1209" s="1378">
        <f t="shared" si="95"/>
        <v>0</v>
      </c>
      <c r="D1209" s="448">
        <f t="shared" si="95"/>
        <v>0</v>
      </c>
      <c r="E1209" s="448">
        <f t="shared" si="95"/>
        <v>0</v>
      </c>
      <c r="F1209" s="447">
        <f t="shared" si="95"/>
        <v>312</v>
      </c>
      <c r="G1209" s="1378">
        <f t="shared" si="95"/>
        <v>0</v>
      </c>
      <c r="H1209" s="448">
        <f t="shared" si="95"/>
        <v>0</v>
      </c>
      <c r="I1209" s="448">
        <f t="shared" si="95"/>
        <v>917</v>
      </c>
      <c r="J1209" s="447">
        <f t="shared" si="95"/>
        <v>1811</v>
      </c>
      <c r="L1209" s="448">
        <f t="shared" si="89"/>
        <v>60075</v>
      </c>
    </row>
    <row r="1210" spans="1:12" ht="13.5">
      <c r="A1210" s="448">
        <v>60100</v>
      </c>
      <c r="B1210" s="447">
        <v>60150</v>
      </c>
      <c r="C1210" s="1378">
        <f t="shared" si="95"/>
        <v>0</v>
      </c>
      <c r="D1210" s="448">
        <f t="shared" si="95"/>
        <v>0</v>
      </c>
      <c r="E1210" s="448">
        <f t="shared" si="95"/>
        <v>0</v>
      </c>
      <c r="F1210" s="447">
        <f t="shared" si="95"/>
        <v>301</v>
      </c>
      <c r="G1210" s="1378">
        <f t="shared" si="95"/>
        <v>0</v>
      </c>
      <c r="H1210" s="448">
        <f t="shared" si="95"/>
        <v>0</v>
      </c>
      <c r="I1210" s="448">
        <f t="shared" si="95"/>
        <v>907</v>
      </c>
      <c r="J1210" s="447">
        <f t="shared" si="95"/>
        <v>1801</v>
      </c>
      <c r="L1210" s="448">
        <f t="shared" si="89"/>
        <v>60125</v>
      </c>
    </row>
    <row r="1211" spans="1:12" ht="13.5">
      <c r="A1211" s="448">
        <v>60150</v>
      </c>
      <c r="B1211" s="447">
        <v>60200</v>
      </c>
      <c r="C1211" s="1378">
        <f t="shared" si="95"/>
        <v>0</v>
      </c>
      <c r="D1211" s="448">
        <f t="shared" si="95"/>
        <v>0</v>
      </c>
      <c r="E1211" s="448">
        <f t="shared" si="95"/>
        <v>0</v>
      </c>
      <c r="F1211" s="447">
        <f t="shared" si="95"/>
        <v>291</v>
      </c>
      <c r="G1211" s="1378">
        <f t="shared" si="95"/>
        <v>0</v>
      </c>
      <c r="H1211" s="448">
        <f t="shared" si="95"/>
        <v>0</v>
      </c>
      <c r="I1211" s="448">
        <f t="shared" si="95"/>
        <v>896</v>
      </c>
      <c r="J1211" s="447">
        <f t="shared" si="95"/>
        <v>1790</v>
      </c>
      <c r="L1211" s="448">
        <f t="shared" si="89"/>
        <v>60175</v>
      </c>
    </row>
    <row r="1212" spans="1:12" ht="13.5">
      <c r="A1212" s="448">
        <v>60200</v>
      </c>
      <c r="B1212" s="447">
        <v>60250</v>
      </c>
      <c r="C1212" s="1378">
        <f t="shared" si="95"/>
        <v>0</v>
      </c>
      <c r="D1212" s="448">
        <f t="shared" si="95"/>
        <v>0</v>
      </c>
      <c r="E1212" s="448">
        <f t="shared" si="95"/>
        <v>0</v>
      </c>
      <c r="F1212" s="447">
        <f t="shared" si="95"/>
        <v>280</v>
      </c>
      <c r="G1212" s="1378">
        <f t="shared" si="95"/>
        <v>0</v>
      </c>
      <c r="H1212" s="448">
        <f t="shared" si="95"/>
        <v>0</v>
      </c>
      <c r="I1212" s="448">
        <f t="shared" si="95"/>
        <v>886</v>
      </c>
      <c r="J1212" s="447">
        <f t="shared" si="95"/>
        <v>1780</v>
      </c>
      <c r="L1212" s="448">
        <f t="shared" si="89"/>
        <v>60225</v>
      </c>
    </row>
    <row r="1213" spans="1:12" ht="13.5">
      <c r="A1213" s="448">
        <v>60250</v>
      </c>
      <c r="B1213" s="447">
        <v>60300</v>
      </c>
      <c r="C1213" s="1378">
        <f t="shared" si="95"/>
        <v>0</v>
      </c>
      <c r="D1213" s="448">
        <f t="shared" si="95"/>
        <v>0</v>
      </c>
      <c r="E1213" s="448">
        <f t="shared" si="95"/>
        <v>0</v>
      </c>
      <c r="F1213" s="447">
        <f t="shared" si="95"/>
        <v>270</v>
      </c>
      <c r="G1213" s="1378">
        <f t="shared" si="95"/>
        <v>0</v>
      </c>
      <c r="H1213" s="448">
        <f t="shared" si="95"/>
        <v>0</v>
      </c>
      <c r="I1213" s="448">
        <f t="shared" si="95"/>
        <v>875</v>
      </c>
      <c r="J1213" s="447">
        <f t="shared" si="95"/>
        <v>1769</v>
      </c>
      <c r="L1213" s="448">
        <f t="shared" si="89"/>
        <v>60275</v>
      </c>
    </row>
    <row r="1214" spans="1:12" ht="13.5">
      <c r="A1214" s="448">
        <v>60300</v>
      </c>
      <c r="B1214" s="447">
        <v>60350</v>
      </c>
      <c r="C1214" s="1378">
        <f t="shared" si="95"/>
        <v>0</v>
      </c>
      <c r="D1214" s="448">
        <f t="shared" si="95"/>
        <v>0</v>
      </c>
      <c r="E1214" s="448">
        <f t="shared" si="95"/>
        <v>0</v>
      </c>
      <c r="F1214" s="447">
        <f t="shared" si="95"/>
        <v>259</v>
      </c>
      <c r="G1214" s="1378">
        <f t="shared" si="95"/>
        <v>0</v>
      </c>
      <c r="H1214" s="448">
        <f t="shared" si="95"/>
        <v>0</v>
      </c>
      <c r="I1214" s="448">
        <f t="shared" si="95"/>
        <v>865</v>
      </c>
      <c r="J1214" s="447">
        <f t="shared" si="95"/>
        <v>1759</v>
      </c>
      <c r="L1214" s="448">
        <f t="shared" si="89"/>
        <v>60325</v>
      </c>
    </row>
    <row r="1215" spans="1:12" ht="13.5">
      <c r="A1215" s="448">
        <v>60350</v>
      </c>
      <c r="B1215" s="447">
        <v>60400</v>
      </c>
      <c r="C1215" s="1378">
        <f t="shared" si="95"/>
        <v>0</v>
      </c>
      <c r="D1215" s="448">
        <f t="shared" si="95"/>
        <v>0</v>
      </c>
      <c r="E1215" s="448">
        <f t="shared" si="95"/>
        <v>0</v>
      </c>
      <c r="F1215" s="447">
        <f t="shared" si="95"/>
        <v>248</v>
      </c>
      <c r="G1215" s="1378">
        <f t="shared" si="95"/>
        <v>0</v>
      </c>
      <c r="H1215" s="448">
        <f t="shared" si="95"/>
        <v>0</v>
      </c>
      <c r="I1215" s="448">
        <f t="shared" si="95"/>
        <v>854</v>
      </c>
      <c r="J1215" s="447">
        <f t="shared" si="95"/>
        <v>1748</v>
      </c>
      <c r="L1215" s="448">
        <f t="shared" si="89"/>
        <v>60375</v>
      </c>
    </row>
    <row r="1216" spans="1:12" ht="13.5">
      <c r="A1216" s="448">
        <v>60400</v>
      </c>
      <c r="B1216" s="447">
        <v>60450</v>
      </c>
      <c r="C1216" s="1378">
        <f t="shared" si="95"/>
        <v>0</v>
      </c>
      <c r="D1216" s="448">
        <f t="shared" si="95"/>
        <v>0</v>
      </c>
      <c r="E1216" s="448">
        <f t="shared" si="95"/>
        <v>0</v>
      </c>
      <c r="F1216" s="447">
        <f t="shared" si="95"/>
        <v>238</v>
      </c>
      <c r="G1216" s="1378">
        <f t="shared" si="95"/>
        <v>0</v>
      </c>
      <c r="H1216" s="448">
        <f t="shared" si="95"/>
        <v>0</v>
      </c>
      <c r="I1216" s="448">
        <f t="shared" si="95"/>
        <v>843</v>
      </c>
      <c r="J1216" s="447">
        <f t="shared" si="95"/>
        <v>1737</v>
      </c>
      <c r="L1216" s="448">
        <f t="shared" si="89"/>
        <v>60425</v>
      </c>
    </row>
    <row r="1217" spans="1:12" ht="13.5">
      <c r="A1217" s="448">
        <v>60450</v>
      </c>
      <c r="B1217" s="447">
        <v>60500</v>
      </c>
      <c r="C1217" s="1378">
        <f t="shared" si="95"/>
        <v>0</v>
      </c>
      <c r="D1217" s="448">
        <f t="shared" si="95"/>
        <v>0</v>
      </c>
      <c r="E1217" s="448">
        <f t="shared" si="95"/>
        <v>0</v>
      </c>
      <c r="F1217" s="447">
        <f t="shared" si="95"/>
        <v>227</v>
      </c>
      <c r="G1217" s="1378">
        <f t="shared" si="95"/>
        <v>0</v>
      </c>
      <c r="H1217" s="448">
        <f t="shared" si="95"/>
        <v>0</v>
      </c>
      <c r="I1217" s="448">
        <f t="shared" si="95"/>
        <v>833</v>
      </c>
      <c r="J1217" s="447">
        <f t="shared" si="95"/>
        <v>1727</v>
      </c>
      <c r="L1217" s="448">
        <f t="shared" si="89"/>
        <v>60475</v>
      </c>
    </row>
    <row r="1218" spans="1:12" ht="13.5">
      <c r="A1218" s="448">
        <v>60500</v>
      </c>
      <c r="B1218" s="447">
        <v>60550</v>
      </c>
      <c r="C1218" s="1378">
        <f t="shared" si="95"/>
        <v>0</v>
      </c>
      <c r="D1218" s="448">
        <f t="shared" si="95"/>
        <v>0</v>
      </c>
      <c r="E1218" s="448">
        <f t="shared" si="95"/>
        <v>0</v>
      </c>
      <c r="F1218" s="447">
        <f t="shared" si="95"/>
        <v>217</v>
      </c>
      <c r="G1218" s="1378">
        <f t="shared" si="95"/>
        <v>0</v>
      </c>
      <c r="H1218" s="448">
        <f t="shared" si="95"/>
        <v>0</v>
      </c>
      <c r="I1218" s="448">
        <f t="shared" si="95"/>
        <v>822</v>
      </c>
      <c r="J1218" s="447">
        <f t="shared" si="95"/>
        <v>1716</v>
      </c>
      <c r="L1218" s="448">
        <f t="shared" si="89"/>
        <v>60525</v>
      </c>
    </row>
    <row r="1219" spans="1:12" ht="13.5">
      <c r="A1219" s="448">
        <v>60550</v>
      </c>
      <c r="B1219" s="447">
        <v>60600</v>
      </c>
      <c r="C1219" s="1378">
        <f t="shared" si="95"/>
        <v>0</v>
      </c>
      <c r="D1219" s="448">
        <f t="shared" si="95"/>
        <v>0</v>
      </c>
      <c r="E1219" s="448">
        <f t="shared" si="95"/>
        <v>0</v>
      </c>
      <c r="F1219" s="447">
        <f t="shared" si="95"/>
        <v>206</v>
      </c>
      <c r="G1219" s="1378">
        <f t="shared" si="95"/>
        <v>0</v>
      </c>
      <c r="H1219" s="448">
        <f t="shared" si="95"/>
        <v>0</v>
      </c>
      <c r="I1219" s="448">
        <f t="shared" si="95"/>
        <v>812</v>
      </c>
      <c r="J1219" s="447">
        <f t="shared" si="95"/>
        <v>1706</v>
      </c>
      <c r="L1219" s="448">
        <f t="shared" si="89"/>
        <v>60575</v>
      </c>
    </row>
    <row r="1220" spans="1:12" ht="13.5">
      <c r="A1220" s="448">
        <v>60600</v>
      </c>
      <c r="B1220" s="447">
        <v>60650</v>
      </c>
      <c r="C1220" s="1378">
        <f t="shared" si="95"/>
        <v>0</v>
      </c>
      <c r="D1220" s="448">
        <f t="shared" si="95"/>
        <v>0</v>
      </c>
      <c r="E1220" s="448">
        <f t="shared" si="95"/>
        <v>0</v>
      </c>
      <c r="F1220" s="447">
        <f t="shared" si="95"/>
        <v>196</v>
      </c>
      <c r="G1220" s="1378">
        <f t="shared" si="95"/>
        <v>0</v>
      </c>
      <c r="H1220" s="448">
        <f t="shared" si="95"/>
        <v>0</v>
      </c>
      <c r="I1220" s="448">
        <f t="shared" si="95"/>
        <v>801</v>
      </c>
      <c r="J1220" s="447">
        <f t="shared" si="95"/>
        <v>1695</v>
      </c>
      <c r="L1220" s="448">
        <f t="shared" si="89"/>
        <v>60625</v>
      </c>
    </row>
    <row r="1221" spans="1:12" ht="13.5">
      <c r="A1221" s="448">
        <v>60650</v>
      </c>
      <c r="B1221" s="447">
        <v>60700</v>
      </c>
      <c r="C1221" s="1378">
        <f t="shared" si="95"/>
        <v>0</v>
      </c>
      <c r="D1221" s="448">
        <f t="shared" si="95"/>
        <v>0</v>
      </c>
      <c r="E1221" s="448">
        <f t="shared" si="95"/>
        <v>0</v>
      </c>
      <c r="F1221" s="447">
        <f t="shared" si="95"/>
        <v>185</v>
      </c>
      <c r="G1221" s="1378">
        <f t="shared" si="95"/>
        <v>0</v>
      </c>
      <c r="H1221" s="448">
        <f t="shared" si="95"/>
        <v>0</v>
      </c>
      <c r="I1221" s="448">
        <f t="shared" si="95"/>
        <v>791</v>
      </c>
      <c r="J1221" s="447">
        <f t="shared" si="95"/>
        <v>1685</v>
      </c>
      <c r="L1221" s="448">
        <f t="shared" si="89"/>
        <v>60675</v>
      </c>
    </row>
    <row r="1222" spans="1:12" ht="13.5">
      <c r="A1222" s="448">
        <v>60700</v>
      </c>
      <c r="B1222" s="447">
        <v>60750</v>
      </c>
      <c r="C1222" s="1378">
        <f t="shared" si="95"/>
        <v>0</v>
      </c>
      <c r="D1222" s="448">
        <f t="shared" si="95"/>
        <v>0</v>
      </c>
      <c r="E1222" s="448">
        <f t="shared" si="95"/>
        <v>0</v>
      </c>
      <c r="F1222" s="447">
        <f t="shared" si="95"/>
        <v>175</v>
      </c>
      <c r="G1222" s="1378">
        <f t="shared" si="95"/>
        <v>0</v>
      </c>
      <c r="H1222" s="448">
        <f t="shared" si="95"/>
        <v>0</v>
      </c>
      <c r="I1222" s="448">
        <f t="shared" si="95"/>
        <v>780</v>
      </c>
      <c r="J1222" s="447">
        <f t="shared" si="95"/>
        <v>1674</v>
      </c>
      <c r="L1222" s="448">
        <f t="shared" si="89"/>
        <v>60725</v>
      </c>
    </row>
    <row r="1223" spans="1:12" ht="13.5">
      <c r="A1223" s="448">
        <v>60750</v>
      </c>
      <c r="B1223" s="447">
        <v>60800</v>
      </c>
      <c r="C1223" s="1378">
        <f t="shared" si="95"/>
        <v>0</v>
      </c>
      <c r="D1223" s="448">
        <f t="shared" si="95"/>
        <v>0</v>
      </c>
      <c r="E1223" s="448">
        <f t="shared" si="95"/>
        <v>0</v>
      </c>
      <c r="F1223" s="447">
        <f t="shared" si="95"/>
        <v>164</v>
      </c>
      <c r="G1223" s="1378">
        <f t="shared" si="95"/>
        <v>0</v>
      </c>
      <c r="H1223" s="448">
        <f t="shared" si="95"/>
        <v>0</v>
      </c>
      <c r="I1223" s="448">
        <f t="shared" si="95"/>
        <v>770</v>
      </c>
      <c r="J1223" s="447">
        <f t="shared" si="95"/>
        <v>1664</v>
      </c>
      <c r="L1223" s="448">
        <f t="shared" si="89"/>
        <v>60775</v>
      </c>
    </row>
    <row r="1224" spans="1:12" ht="13.5">
      <c r="A1224" s="448">
        <v>60800</v>
      </c>
      <c r="B1224" s="447">
        <v>60850</v>
      </c>
      <c r="C1224" s="1378">
        <f t="shared" si="95"/>
        <v>0</v>
      </c>
      <c r="D1224" s="448">
        <f t="shared" si="95"/>
        <v>0</v>
      </c>
      <c r="E1224" s="448">
        <f t="shared" si="95"/>
        <v>0</v>
      </c>
      <c r="F1224" s="447">
        <f t="shared" si="95"/>
        <v>154</v>
      </c>
      <c r="G1224" s="1378">
        <f t="shared" si="95"/>
        <v>0</v>
      </c>
      <c r="H1224" s="448">
        <f t="shared" si="95"/>
        <v>0</v>
      </c>
      <c r="I1224" s="448">
        <f t="shared" si="95"/>
        <v>759</v>
      </c>
      <c r="J1224" s="447">
        <f t="shared" si="95"/>
        <v>1653</v>
      </c>
      <c r="L1224" s="448">
        <f t="shared" si="89"/>
        <v>60825</v>
      </c>
    </row>
    <row r="1225" spans="1:12" ht="13.5">
      <c r="A1225" s="448">
        <v>60850</v>
      </c>
      <c r="B1225" s="447">
        <v>60900</v>
      </c>
      <c r="C1225" s="1378">
        <f t="shared" si="95"/>
        <v>0</v>
      </c>
      <c r="D1225" s="448">
        <f t="shared" si="95"/>
        <v>0</v>
      </c>
      <c r="E1225" s="448">
        <f t="shared" si="95"/>
        <v>0</v>
      </c>
      <c r="F1225" s="447">
        <f t="shared" si="95"/>
        <v>143</v>
      </c>
      <c r="G1225" s="1378">
        <f t="shared" si="95"/>
        <v>0</v>
      </c>
      <c r="H1225" s="448">
        <f t="shared" si="95"/>
        <v>0</v>
      </c>
      <c r="I1225" s="448">
        <f t="shared" si="95"/>
        <v>749</v>
      </c>
      <c r="J1225" s="447">
        <f t="shared" si="95"/>
        <v>1643</v>
      </c>
      <c r="L1225" s="448">
        <f t="shared" si="89"/>
        <v>60875</v>
      </c>
    </row>
    <row r="1226" spans="1:12" ht="13.5">
      <c r="A1226" s="448">
        <v>60900</v>
      </c>
      <c r="B1226" s="447">
        <v>60950</v>
      </c>
      <c r="C1226" s="1378">
        <f t="shared" si="95"/>
        <v>0</v>
      </c>
      <c r="D1226" s="448">
        <f t="shared" si="95"/>
        <v>0</v>
      </c>
      <c r="E1226" s="448">
        <f t="shared" si="95"/>
        <v>0</v>
      </c>
      <c r="F1226" s="447">
        <f t="shared" si="95"/>
        <v>133</v>
      </c>
      <c r="G1226" s="1378">
        <f t="shared" si="95"/>
        <v>0</v>
      </c>
      <c r="H1226" s="448">
        <f t="shared" si="95"/>
        <v>0</v>
      </c>
      <c r="I1226" s="448">
        <f t="shared" si="95"/>
        <v>738</v>
      </c>
      <c r="J1226" s="447">
        <f t="shared" si="95"/>
        <v>1632</v>
      </c>
      <c r="L1226" s="448">
        <f t="shared" si="89"/>
        <v>60925</v>
      </c>
    </row>
    <row r="1227" spans="1:12" ht="13.5">
      <c r="A1227" s="448">
        <v>60950</v>
      </c>
      <c r="B1227" s="447">
        <v>61000</v>
      </c>
      <c r="C1227" s="1378">
        <f t="shared" si="95"/>
        <v>0</v>
      </c>
      <c r="D1227" s="448">
        <f t="shared" si="95"/>
        <v>0</v>
      </c>
      <c r="E1227" s="448">
        <f t="shared" si="95"/>
        <v>0</v>
      </c>
      <c r="F1227" s="447">
        <f t="shared" si="95"/>
        <v>122</v>
      </c>
      <c r="G1227" s="1378">
        <f t="shared" si="95"/>
        <v>0</v>
      </c>
      <c r="H1227" s="448">
        <f t="shared" si="95"/>
        <v>0</v>
      </c>
      <c r="I1227" s="448">
        <f t="shared" si="95"/>
        <v>728</v>
      </c>
      <c r="J1227" s="447">
        <f t="shared" si="95"/>
        <v>1622</v>
      </c>
      <c r="L1227" s="448">
        <f t="shared" si="89"/>
        <v>60975</v>
      </c>
    </row>
    <row r="1228" spans="1:12" ht="13.5">
      <c r="A1228" s="448">
        <v>61000</v>
      </c>
      <c r="B1228" s="447">
        <v>61050</v>
      </c>
      <c r="C1228" s="1378">
        <f t="shared" si="95"/>
        <v>0</v>
      </c>
      <c r="D1228" s="448">
        <f t="shared" si="95"/>
        <v>0</v>
      </c>
      <c r="E1228" s="448">
        <f t="shared" si="95"/>
        <v>0</v>
      </c>
      <c r="F1228" s="447">
        <f t="shared" si="95"/>
        <v>112</v>
      </c>
      <c r="G1228" s="1378">
        <f t="shared" si="95"/>
        <v>0</v>
      </c>
      <c r="H1228" s="448">
        <f t="shared" si="95"/>
        <v>0</v>
      </c>
      <c r="I1228" s="448">
        <f t="shared" si="95"/>
        <v>717</v>
      </c>
      <c r="J1228" s="447">
        <f t="shared" si="95"/>
        <v>1611</v>
      </c>
      <c r="L1228" s="448">
        <f t="shared" si="89"/>
        <v>61025</v>
      </c>
    </row>
    <row r="1229" spans="1:12" ht="13.5">
      <c r="A1229" s="448">
        <v>61050</v>
      </c>
      <c r="B1229" s="447">
        <v>61100</v>
      </c>
      <c r="C1229" s="1378">
        <f t="shared" si="95"/>
        <v>0</v>
      </c>
      <c r="D1229" s="448">
        <f t="shared" si="95"/>
        <v>0</v>
      </c>
      <c r="E1229" s="448">
        <f t="shared" si="95"/>
        <v>0</v>
      </c>
      <c r="F1229" s="447">
        <f t="shared" si="95"/>
        <v>101</v>
      </c>
      <c r="G1229" s="1378">
        <f t="shared" si="95"/>
        <v>0</v>
      </c>
      <c r="H1229" s="448">
        <f t="shared" si="95"/>
        <v>0</v>
      </c>
      <c r="I1229" s="448">
        <f t="shared" si="95"/>
        <v>707</v>
      </c>
      <c r="J1229" s="447">
        <f t="shared" si="95"/>
        <v>1601</v>
      </c>
      <c r="L1229" s="448">
        <f t="shared" si="89"/>
        <v>61075</v>
      </c>
    </row>
    <row r="1230" spans="1:12" ht="13.5">
      <c r="A1230" s="448">
        <v>61100</v>
      </c>
      <c r="B1230" s="447">
        <v>61150</v>
      </c>
      <c r="C1230" s="1378">
        <f t="shared" si="95"/>
        <v>0</v>
      </c>
      <c r="D1230" s="448">
        <f t="shared" si="95"/>
        <v>0</v>
      </c>
      <c r="E1230" s="448">
        <f t="shared" si="95"/>
        <v>0</v>
      </c>
      <c r="F1230" s="447">
        <f t="shared" si="95"/>
        <v>91</v>
      </c>
      <c r="G1230" s="1378">
        <f t="shared" si="95"/>
        <v>0</v>
      </c>
      <c r="H1230" s="448">
        <f t="shared" si="95"/>
        <v>0</v>
      </c>
      <c r="I1230" s="448">
        <f t="shared" si="95"/>
        <v>696</v>
      </c>
      <c r="J1230" s="447">
        <f t="shared" si="95"/>
        <v>1590</v>
      </c>
      <c r="L1230" s="448">
        <f t="shared" si="89"/>
        <v>61125</v>
      </c>
    </row>
    <row r="1231" spans="1:12" ht="13.5">
      <c r="A1231" s="448">
        <v>61150</v>
      </c>
      <c r="B1231" s="447">
        <v>61200</v>
      </c>
      <c r="C1231" s="1378">
        <f t="shared" si="95"/>
        <v>0</v>
      </c>
      <c r="D1231" s="448">
        <f t="shared" si="95"/>
        <v>0</v>
      </c>
      <c r="E1231" s="448">
        <f t="shared" si="95"/>
        <v>0</v>
      </c>
      <c r="F1231" s="447">
        <f t="shared" si="95"/>
        <v>80</v>
      </c>
      <c r="G1231" s="1378">
        <f t="shared" si="95"/>
        <v>0</v>
      </c>
      <c r="H1231" s="448">
        <f t="shared" si="95"/>
        <v>0</v>
      </c>
      <c r="I1231" s="448">
        <f t="shared" si="95"/>
        <v>685</v>
      </c>
      <c r="J1231" s="447">
        <f t="shared" ref="J1231:J1295" si="96">IF($L1231&gt;U$5,MAX(0,U$3+ROUND((U$9*($L1231-U$5)),0)),IF($L1231&gt;U$4,U$3,ROUND($L1231*U$7,0)))</f>
        <v>1579</v>
      </c>
      <c r="L1231" s="448">
        <f t="shared" si="89"/>
        <v>61175</v>
      </c>
    </row>
    <row r="1232" spans="1:12" ht="13.5">
      <c r="A1232" s="448">
        <v>61200</v>
      </c>
      <c r="B1232" s="447">
        <v>61250</v>
      </c>
      <c r="C1232" s="1378">
        <f t="shared" ref="C1232:I1269" si="97">IF($L1232&gt;N$5,MAX(0,N$3+ROUND((N$9*($L1232-N$5)),0)),IF($L1232&gt;N$4,N$3,ROUND($L1232*N$7,0)))</f>
        <v>0</v>
      </c>
      <c r="D1232" s="448">
        <f t="shared" si="97"/>
        <v>0</v>
      </c>
      <c r="E1232" s="448">
        <f t="shared" si="97"/>
        <v>0</v>
      </c>
      <c r="F1232" s="447">
        <f t="shared" si="97"/>
        <v>69</v>
      </c>
      <c r="G1232" s="1378">
        <f t="shared" si="97"/>
        <v>0</v>
      </c>
      <c r="H1232" s="448">
        <f t="shared" si="97"/>
        <v>0</v>
      </c>
      <c r="I1232" s="448">
        <f t="shared" si="97"/>
        <v>675</v>
      </c>
      <c r="J1232" s="447">
        <f t="shared" si="96"/>
        <v>1569</v>
      </c>
      <c r="L1232" s="448">
        <f t="shared" si="89"/>
        <v>61225</v>
      </c>
    </row>
    <row r="1233" spans="1:12" ht="13.5">
      <c r="A1233" s="448">
        <v>61250</v>
      </c>
      <c r="B1233" s="447">
        <v>61300</v>
      </c>
      <c r="C1233" s="1378">
        <f t="shared" si="97"/>
        <v>0</v>
      </c>
      <c r="D1233" s="448">
        <f t="shared" si="97"/>
        <v>0</v>
      </c>
      <c r="E1233" s="448">
        <f t="shared" si="97"/>
        <v>0</v>
      </c>
      <c r="F1233" s="447">
        <f t="shared" si="97"/>
        <v>59</v>
      </c>
      <c r="G1233" s="1378">
        <f t="shared" si="97"/>
        <v>0</v>
      </c>
      <c r="H1233" s="448">
        <f t="shared" si="97"/>
        <v>0</v>
      </c>
      <c r="I1233" s="448">
        <f t="shared" si="97"/>
        <v>664</v>
      </c>
      <c r="J1233" s="447">
        <f t="shared" si="96"/>
        <v>1558</v>
      </c>
      <c r="L1233" s="448">
        <f t="shared" si="89"/>
        <v>61275</v>
      </c>
    </row>
    <row r="1234" spans="1:12" ht="13.5">
      <c r="A1234" s="448">
        <v>61300</v>
      </c>
      <c r="B1234" s="447">
        <v>61350</v>
      </c>
      <c r="C1234" s="1378">
        <f t="shared" si="97"/>
        <v>0</v>
      </c>
      <c r="D1234" s="448">
        <f t="shared" si="97"/>
        <v>0</v>
      </c>
      <c r="E1234" s="448">
        <f t="shared" si="97"/>
        <v>0</v>
      </c>
      <c r="F1234" s="447">
        <f t="shared" si="97"/>
        <v>48</v>
      </c>
      <c r="G1234" s="1378">
        <f t="shared" si="97"/>
        <v>0</v>
      </c>
      <c r="H1234" s="448">
        <f t="shared" si="97"/>
        <v>0</v>
      </c>
      <c r="I1234" s="448">
        <f t="shared" si="97"/>
        <v>654</v>
      </c>
      <c r="J1234" s="447">
        <f t="shared" si="96"/>
        <v>1548</v>
      </c>
      <c r="L1234" s="448">
        <f t="shared" ref="L1234:L1299" si="98">ROUND((A1234+B1234)/2,2)</f>
        <v>61325</v>
      </c>
    </row>
    <row r="1235" spans="1:12" ht="13.5">
      <c r="A1235" s="448">
        <v>61350</v>
      </c>
      <c r="B1235" s="447">
        <v>61400</v>
      </c>
      <c r="C1235" s="1378">
        <f t="shared" si="97"/>
        <v>0</v>
      </c>
      <c r="D1235" s="448">
        <f t="shared" si="97"/>
        <v>0</v>
      </c>
      <c r="E1235" s="448">
        <f t="shared" si="97"/>
        <v>0</v>
      </c>
      <c r="F1235" s="447">
        <f t="shared" si="97"/>
        <v>38</v>
      </c>
      <c r="G1235" s="1378">
        <f t="shared" si="97"/>
        <v>0</v>
      </c>
      <c r="H1235" s="448">
        <f t="shared" si="97"/>
        <v>0</v>
      </c>
      <c r="I1235" s="448">
        <f t="shared" si="97"/>
        <v>643</v>
      </c>
      <c r="J1235" s="447">
        <f t="shared" si="96"/>
        <v>1537</v>
      </c>
      <c r="L1235" s="448">
        <f t="shared" si="98"/>
        <v>61375</v>
      </c>
    </row>
    <row r="1236" spans="1:12" ht="13.5">
      <c r="A1236" s="448">
        <v>61400</v>
      </c>
      <c r="B1236" s="447">
        <v>61450</v>
      </c>
      <c r="C1236" s="1378">
        <f t="shared" si="97"/>
        <v>0</v>
      </c>
      <c r="D1236" s="448">
        <f t="shared" si="97"/>
        <v>0</v>
      </c>
      <c r="E1236" s="448">
        <f t="shared" si="97"/>
        <v>0</v>
      </c>
      <c r="F1236" s="447">
        <f t="shared" si="97"/>
        <v>27</v>
      </c>
      <c r="G1236" s="1378">
        <f t="shared" si="97"/>
        <v>0</v>
      </c>
      <c r="H1236" s="448">
        <f t="shared" si="97"/>
        <v>0</v>
      </c>
      <c r="I1236" s="448">
        <f t="shared" si="97"/>
        <v>633</v>
      </c>
      <c r="J1236" s="447">
        <f t="shared" si="96"/>
        <v>1527</v>
      </c>
      <c r="L1236" s="448">
        <f t="shared" si="98"/>
        <v>61425</v>
      </c>
    </row>
    <row r="1237" spans="1:12" ht="13.5">
      <c r="A1237" s="448">
        <v>61450</v>
      </c>
      <c r="B1237" s="447">
        <v>61500</v>
      </c>
      <c r="C1237" s="1378">
        <f t="shared" si="97"/>
        <v>0</v>
      </c>
      <c r="D1237" s="448">
        <f t="shared" si="97"/>
        <v>0</v>
      </c>
      <c r="E1237" s="448">
        <f t="shared" si="97"/>
        <v>0</v>
      </c>
      <c r="F1237" s="447">
        <f t="shared" si="97"/>
        <v>17</v>
      </c>
      <c r="G1237" s="1378">
        <f t="shared" si="97"/>
        <v>0</v>
      </c>
      <c r="H1237" s="448">
        <f t="shared" si="97"/>
        <v>0</v>
      </c>
      <c r="I1237" s="448">
        <f t="shared" si="97"/>
        <v>622</v>
      </c>
      <c r="J1237" s="447">
        <f t="shared" si="96"/>
        <v>1516</v>
      </c>
      <c r="L1237" s="448">
        <f t="shared" si="98"/>
        <v>61475</v>
      </c>
    </row>
    <row r="1238" spans="1:12" ht="14.25" thickBot="1">
      <c r="A1238" s="448">
        <v>61500</v>
      </c>
      <c r="B1238" s="447">
        <v>61550</v>
      </c>
      <c r="C1238" s="1378">
        <f t="shared" si="97"/>
        <v>0</v>
      </c>
      <c r="D1238" s="448">
        <f t="shared" si="97"/>
        <v>0</v>
      </c>
      <c r="E1238" s="448">
        <f t="shared" si="97"/>
        <v>0</v>
      </c>
      <c r="F1238" s="447">
        <f t="shared" si="97"/>
        <v>6</v>
      </c>
      <c r="G1238" s="1378">
        <f t="shared" si="97"/>
        <v>0</v>
      </c>
      <c r="H1238" s="448">
        <f t="shared" si="97"/>
        <v>0</v>
      </c>
      <c r="I1238" s="448">
        <f t="shared" si="97"/>
        <v>612</v>
      </c>
      <c r="J1238" s="447">
        <f t="shared" si="96"/>
        <v>1506</v>
      </c>
      <c r="L1238" s="448">
        <f t="shared" si="98"/>
        <v>61525</v>
      </c>
    </row>
    <row r="1239" spans="1:12" ht="13.5">
      <c r="A1239" s="6558">
        <v>61550</v>
      </c>
      <c r="B1239" s="6559">
        <v>61555</v>
      </c>
      <c r="C1239" s="1378">
        <f t="shared" si="97"/>
        <v>0</v>
      </c>
      <c r="D1239" s="448">
        <f t="shared" si="97"/>
        <v>0</v>
      </c>
      <c r="E1239" s="448">
        <f t="shared" si="97"/>
        <v>0</v>
      </c>
      <c r="F1239" s="447">
        <f t="shared" si="97"/>
        <v>1</v>
      </c>
      <c r="G1239" s="1378">
        <f t="shared" si="97"/>
        <v>0</v>
      </c>
      <c r="H1239" s="448">
        <f t="shared" si="97"/>
        <v>0</v>
      </c>
      <c r="I1239" s="448">
        <f t="shared" si="97"/>
        <v>606</v>
      </c>
      <c r="J1239" s="447">
        <f t="shared" si="96"/>
        <v>1500</v>
      </c>
      <c r="L1239" s="448">
        <f t="shared" si="98"/>
        <v>61552.5</v>
      </c>
    </row>
    <row r="1240" spans="1:12" ht="14.25" thickBot="1">
      <c r="A1240" s="6560">
        <v>61555</v>
      </c>
      <c r="B1240" s="6561">
        <v>61600</v>
      </c>
      <c r="C1240" s="6564">
        <f t="shared" ref="C1240:H1240" si="99">IF($L1240&gt;N$5,MAX(0,N$3+ROUND((N$9*($L1240-N$5)),0)),IF($L1240&gt;N$4,N$3,ROUND($L1240*N$7,0)))</f>
        <v>0</v>
      </c>
      <c r="D1240" s="6562">
        <f t="shared" si="99"/>
        <v>0</v>
      </c>
      <c r="E1240" s="6562">
        <f t="shared" si="99"/>
        <v>0</v>
      </c>
      <c r="F1240" s="6563">
        <v>0</v>
      </c>
      <c r="G1240" s="6564">
        <f t="shared" si="99"/>
        <v>0</v>
      </c>
      <c r="H1240" s="6562">
        <f t="shared" si="99"/>
        <v>0</v>
      </c>
      <c r="I1240" s="6562">
        <v>606</v>
      </c>
      <c r="J1240" s="6563">
        <v>1500</v>
      </c>
      <c r="K1240" s="6565"/>
      <c r="L1240" s="6562">
        <v>61552.5</v>
      </c>
    </row>
    <row r="1241" spans="1:12" ht="13.5">
      <c r="A1241" s="448">
        <v>61600</v>
      </c>
      <c r="B1241" s="447">
        <v>61650</v>
      </c>
      <c r="C1241" s="1378">
        <f t="shared" si="97"/>
        <v>0</v>
      </c>
      <c r="D1241" s="448">
        <f t="shared" si="97"/>
        <v>0</v>
      </c>
      <c r="E1241" s="448">
        <f t="shared" si="97"/>
        <v>0</v>
      </c>
      <c r="F1241" s="447">
        <f t="shared" si="97"/>
        <v>0</v>
      </c>
      <c r="G1241" s="1378">
        <f t="shared" si="97"/>
        <v>0</v>
      </c>
      <c r="H1241" s="448">
        <f t="shared" si="97"/>
        <v>0</v>
      </c>
      <c r="I1241" s="448">
        <f t="shared" si="97"/>
        <v>591</v>
      </c>
      <c r="J1241" s="447">
        <f t="shared" si="96"/>
        <v>1485</v>
      </c>
      <c r="L1241" s="448">
        <f t="shared" si="98"/>
        <v>61625</v>
      </c>
    </row>
    <row r="1242" spans="1:12" ht="13.5">
      <c r="A1242" s="448">
        <v>61650</v>
      </c>
      <c r="B1242" s="447">
        <v>61700</v>
      </c>
      <c r="C1242" s="1378">
        <f t="shared" si="97"/>
        <v>0</v>
      </c>
      <c r="D1242" s="448">
        <f t="shared" si="97"/>
        <v>0</v>
      </c>
      <c r="E1242" s="448">
        <f t="shared" si="97"/>
        <v>0</v>
      </c>
      <c r="F1242" s="447">
        <f t="shared" si="97"/>
        <v>0</v>
      </c>
      <c r="G1242" s="1378">
        <f t="shared" si="97"/>
        <v>0</v>
      </c>
      <c r="H1242" s="448">
        <f t="shared" si="97"/>
        <v>0</v>
      </c>
      <c r="I1242" s="448">
        <f t="shared" si="97"/>
        <v>580</v>
      </c>
      <c r="J1242" s="447">
        <f t="shared" si="96"/>
        <v>1474</v>
      </c>
      <c r="L1242" s="448">
        <f t="shared" si="98"/>
        <v>61675</v>
      </c>
    </row>
    <row r="1243" spans="1:12" ht="13.5">
      <c r="A1243" s="448">
        <v>61700</v>
      </c>
      <c r="B1243" s="447">
        <v>61750</v>
      </c>
      <c r="C1243" s="1378">
        <f t="shared" si="97"/>
        <v>0</v>
      </c>
      <c r="D1243" s="448">
        <f t="shared" si="97"/>
        <v>0</v>
      </c>
      <c r="E1243" s="448">
        <f t="shared" si="97"/>
        <v>0</v>
      </c>
      <c r="F1243" s="447">
        <f t="shared" si="97"/>
        <v>0</v>
      </c>
      <c r="G1243" s="1378">
        <f t="shared" si="97"/>
        <v>0</v>
      </c>
      <c r="H1243" s="448">
        <f t="shared" si="97"/>
        <v>0</v>
      </c>
      <c r="I1243" s="448">
        <f t="shared" si="97"/>
        <v>570</v>
      </c>
      <c r="J1243" s="447">
        <f t="shared" si="96"/>
        <v>1464</v>
      </c>
      <c r="L1243" s="448">
        <f t="shared" si="98"/>
        <v>61725</v>
      </c>
    </row>
    <row r="1244" spans="1:12" ht="13.5">
      <c r="A1244" s="448">
        <v>61750</v>
      </c>
      <c r="B1244" s="447">
        <v>61800</v>
      </c>
      <c r="C1244" s="1378">
        <f t="shared" si="97"/>
        <v>0</v>
      </c>
      <c r="D1244" s="448">
        <f t="shared" si="97"/>
        <v>0</v>
      </c>
      <c r="E1244" s="448">
        <f t="shared" si="97"/>
        <v>0</v>
      </c>
      <c r="F1244" s="447">
        <f t="shared" si="97"/>
        <v>0</v>
      </c>
      <c r="G1244" s="1378">
        <f t="shared" si="97"/>
        <v>0</v>
      </c>
      <c r="H1244" s="448">
        <f t="shared" si="97"/>
        <v>0</v>
      </c>
      <c r="I1244" s="448">
        <f t="shared" si="97"/>
        <v>559</v>
      </c>
      <c r="J1244" s="447">
        <f t="shared" si="96"/>
        <v>1453</v>
      </c>
      <c r="L1244" s="448">
        <f t="shared" si="98"/>
        <v>61775</v>
      </c>
    </row>
    <row r="1245" spans="1:12" ht="13.5">
      <c r="A1245" s="448">
        <v>61800</v>
      </c>
      <c r="B1245" s="447">
        <v>61850</v>
      </c>
      <c r="C1245" s="1378">
        <f t="shared" si="97"/>
        <v>0</v>
      </c>
      <c r="D1245" s="448">
        <f t="shared" si="97"/>
        <v>0</v>
      </c>
      <c r="E1245" s="448">
        <f t="shared" si="97"/>
        <v>0</v>
      </c>
      <c r="F1245" s="447">
        <f t="shared" si="97"/>
        <v>0</v>
      </c>
      <c r="G1245" s="1378">
        <f t="shared" si="97"/>
        <v>0</v>
      </c>
      <c r="H1245" s="448">
        <f t="shared" si="97"/>
        <v>0</v>
      </c>
      <c r="I1245" s="448">
        <f t="shared" si="97"/>
        <v>549</v>
      </c>
      <c r="J1245" s="447">
        <f t="shared" si="96"/>
        <v>1443</v>
      </c>
      <c r="L1245" s="448">
        <f t="shared" si="98"/>
        <v>61825</v>
      </c>
    </row>
    <row r="1246" spans="1:12" ht="13.5">
      <c r="A1246" s="448">
        <v>61850</v>
      </c>
      <c r="B1246" s="447">
        <v>61900</v>
      </c>
      <c r="C1246" s="1378">
        <f t="shared" si="97"/>
        <v>0</v>
      </c>
      <c r="D1246" s="448">
        <f t="shared" si="97"/>
        <v>0</v>
      </c>
      <c r="E1246" s="448">
        <f t="shared" si="97"/>
        <v>0</v>
      </c>
      <c r="F1246" s="447">
        <f t="shared" si="97"/>
        <v>0</v>
      </c>
      <c r="G1246" s="1378">
        <f t="shared" si="97"/>
        <v>0</v>
      </c>
      <c r="H1246" s="448">
        <f t="shared" si="97"/>
        <v>0</v>
      </c>
      <c r="I1246" s="448">
        <f t="shared" si="97"/>
        <v>538</v>
      </c>
      <c r="J1246" s="447">
        <f t="shared" si="96"/>
        <v>1432</v>
      </c>
      <c r="L1246" s="448">
        <f t="shared" si="98"/>
        <v>61875</v>
      </c>
    </row>
    <row r="1247" spans="1:12" ht="13.5">
      <c r="A1247" s="448">
        <v>61900</v>
      </c>
      <c r="B1247" s="447">
        <v>61950</v>
      </c>
      <c r="C1247" s="1378">
        <f t="shared" si="97"/>
        <v>0</v>
      </c>
      <c r="D1247" s="448">
        <f t="shared" si="97"/>
        <v>0</v>
      </c>
      <c r="E1247" s="448">
        <f t="shared" si="97"/>
        <v>0</v>
      </c>
      <c r="F1247" s="447">
        <f t="shared" si="97"/>
        <v>0</v>
      </c>
      <c r="G1247" s="1378">
        <f t="shared" si="97"/>
        <v>0</v>
      </c>
      <c r="H1247" s="448">
        <f t="shared" si="97"/>
        <v>0</v>
      </c>
      <c r="I1247" s="448">
        <f t="shared" si="97"/>
        <v>528</v>
      </c>
      <c r="J1247" s="447">
        <f t="shared" si="96"/>
        <v>1422</v>
      </c>
      <c r="L1247" s="448">
        <f t="shared" si="98"/>
        <v>61925</v>
      </c>
    </row>
    <row r="1248" spans="1:12" ht="13.5">
      <c r="A1248" s="448">
        <v>61950</v>
      </c>
      <c r="B1248" s="447">
        <v>62000</v>
      </c>
      <c r="C1248" s="1378">
        <f t="shared" si="97"/>
        <v>0</v>
      </c>
      <c r="D1248" s="448">
        <f t="shared" si="97"/>
        <v>0</v>
      </c>
      <c r="E1248" s="448">
        <f t="shared" si="97"/>
        <v>0</v>
      </c>
      <c r="F1248" s="447">
        <f t="shared" si="97"/>
        <v>0</v>
      </c>
      <c r="G1248" s="1378">
        <f t="shared" si="97"/>
        <v>0</v>
      </c>
      <c r="H1248" s="448">
        <f t="shared" si="97"/>
        <v>0</v>
      </c>
      <c r="I1248" s="448">
        <f t="shared" si="97"/>
        <v>517</v>
      </c>
      <c r="J1248" s="447">
        <f t="shared" si="96"/>
        <v>1411</v>
      </c>
      <c r="L1248" s="448">
        <f t="shared" si="98"/>
        <v>61975</v>
      </c>
    </row>
    <row r="1249" spans="1:12" ht="13.5">
      <c r="A1249" s="448">
        <v>62000</v>
      </c>
      <c r="B1249" s="447">
        <v>62050</v>
      </c>
      <c r="C1249" s="1378">
        <f t="shared" si="97"/>
        <v>0</v>
      </c>
      <c r="D1249" s="448">
        <f t="shared" si="97"/>
        <v>0</v>
      </c>
      <c r="E1249" s="448">
        <f t="shared" si="97"/>
        <v>0</v>
      </c>
      <c r="F1249" s="447">
        <f t="shared" si="97"/>
        <v>0</v>
      </c>
      <c r="G1249" s="1378">
        <f t="shared" si="97"/>
        <v>0</v>
      </c>
      <c r="H1249" s="448">
        <f t="shared" si="97"/>
        <v>0</v>
      </c>
      <c r="I1249" s="448">
        <f t="shared" si="97"/>
        <v>506</v>
      </c>
      <c r="J1249" s="447">
        <f t="shared" si="96"/>
        <v>1400</v>
      </c>
      <c r="L1249" s="448">
        <f t="shared" si="98"/>
        <v>62025</v>
      </c>
    </row>
    <row r="1250" spans="1:12" ht="13.5">
      <c r="A1250" s="448">
        <v>62050</v>
      </c>
      <c r="B1250" s="447">
        <v>62100</v>
      </c>
      <c r="C1250" s="1378">
        <f t="shared" si="97"/>
        <v>0</v>
      </c>
      <c r="D1250" s="448">
        <f t="shared" si="97"/>
        <v>0</v>
      </c>
      <c r="E1250" s="448">
        <f t="shared" si="97"/>
        <v>0</v>
      </c>
      <c r="F1250" s="447">
        <f t="shared" si="97"/>
        <v>0</v>
      </c>
      <c r="G1250" s="1378">
        <f t="shared" si="97"/>
        <v>0</v>
      </c>
      <c r="H1250" s="448">
        <f t="shared" si="97"/>
        <v>0</v>
      </c>
      <c r="I1250" s="448">
        <f t="shared" si="97"/>
        <v>496</v>
      </c>
      <c r="J1250" s="447">
        <f t="shared" si="96"/>
        <v>1390</v>
      </c>
      <c r="L1250" s="448">
        <f t="shared" si="98"/>
        <v>62075</v>
      </c>
    </row>
    <row r="1251" spans="1:12" ht="13.5">
      <c r="A1251" s="448">
        <v>62100</v>
      </c>
      <c r="B1251" s="447">
        <v>62150</v>
      </c>
      <c r="C1251" s="1378">
        <f t="shared" si="97"/>
        <v>0</v>
      </c>
      <c r="D1251" s="448">
        <f t="shared" si="97"/>
        <v>0</v>
      </c>
      <c r="E1251" s="448">
        <f t="shared" si="97"/>
        <v>0</v>
      </c>
      <c r="F1251" s="447">
        <f t="shared" si="97"/>
        <v>0</v>
      </c>
      <c r="G1251" s="1378">
        <f t="shared" si="97"/>
        <v>0</v>
      </c>
      <c r="H1251" s="448">
        <f t="shared" si="97"/>
        <v>0</v>
      </c>
      <c r="I1251" s="448">
        <f t="shared" si="97"/>
        <v>485</v>
      </c>
      <c r="J1251" s="447">
        <f t="shared" si="96"/>
        <v>1379</v>
      </c>
      <c r="L1251" s="448">
        <f t="shared" si="98"/>
        <v>62125</v>
      </c>
    </row>
    <row r="1252" spans="1:12" ht="13.5">
      <c r="A1252" s="448">
        <v>62150</v>
      </c>
      <c r="B1252" s="447">
        <v>62200</v>
      </c>
      <c r="C1252" s="1378">
        <f t="shared" si="97"/>
        <v>0</v>
      </c>
      <c r="D1252" s="448">
        <f t="shared" si="97"/>
        <v>0</v>
      </c>
      <c r="E1252" s="448">
        <f t="shared" si="97"/>
        <v>0</v>
      </c>
      <c r="F1252" s="447">
        <f t="shared" si="97"/>
        <v>0</v>
      </c>
      <c r="G1252" s="1378">
        <f t="shared" si="97"/>
        <v>0</v>
      </c>
      <c r="H1252" s="448">
        <f t="shared" si="97"/>
        <v>0</v>
      </c>
      <c r="I1252" s="448">
        <f t="shared" si="97"/>
        <v>475</v>
      </c>
      <c r="J1252" s="447">
        <f t="shared" si="96"/>
        <v>1369</v>
      </c>
      <c r="L1252" s="448">
        <f t="shared" si="98"/>
        <v>62175</v>
      </c>
    </row>
    <row r="1253" spans="1:12" ht="13.5">
      <c r="A1253" s="448">
        <v>62200</v>
      </c>
      <c r="B1253" s="447">
        <v>62250</v>
      </c>
      <c r="C1253" s="1378">
        <f t="shared" si="97"/>
        <v>0</v>
      </c>
      <c r="D1253" s="448">
        <f t="shared" si="97"/>
        <v>0</v>
      </c>
      <c r="E1253" s="448">
        <f t="shared" si="97"/>
        <v>0</v>
      </c>
      <c r="F1253" s="447">
        <f t="shared" si="97"/>
        <v>0</v>
      </c>
      <c r="G1253" s="1378">
        <f t="shared" si="97"/>
        <v>0</v>
      </c>
      <c r="H1253" s="448">
        <f t="shared" si="97"/>
        <v>0</v>
      </c>
      <c r="I1253" s="448">
        <f t="shared" si="97"/>
        <v>464</v>
      </c>
      <c r="J1253" s="447">
        <f t="shared" si="96"/>
        <v>1358</v>
      </c>
      <c r="L1253" s="448">
        <f t="shared" si="98"/>
        <v>62225</v>
      </c>
    </row>
    <row r="1254" spans="1:12" ht="13.5">
      <c r="A1254" s="448">
        <v>62250</v>
      </c>
      <c r="B1254" s="447">
        <v>62300</v>
      </c>
      <c r="C1254" s="1378">
        <f t="shared" si="97"/>
        <v>0</v>
      </c>
      <c r="D1254" s="448">
        <f t="shared" si="97"/>
        <v>0</v>
      </c>
      <c r="E1254" s="448">
        <f t="shared" si="97"/>
        <v>0</v>
      </c>
      <c r="F1254" s="447">
        <f t="shared" si="97"/>
        <v>0</v>
      </c>
      <c r="G1254" s="1378">
        <f t="shared" si="97"/>
        <v>0</v>
      </c>
      <c r="H1254" s="448">
        <f t="shared" si="97"/>
        <v>0</v>
      </c>
      <c r="I1254" s="448">
        <f t="shared" si="97"/>
        <v>454</v>
      </c>
      <c r="J1254" s="447">
        <f t="shared" si="96"/>
        <v>1348</v>
      </c>
      <c r="L1254" s="448">
        <f t="shared" si="98"/>
        <v>62275</v>
      </c>
    </row>
    <row r="1255" spans="1:12" ht="13.5">
      <c r="A1255" s="448">
        <v>62300</v>
      </c>
      <c r="B1255" s="447">
        <v>62350</v>
      </c>
      <c r="C1255" s="1378">
        <f t="shared" si="97"/>
        <v>0</v>
      </c>
      <c r="D1255" s="448">
        <f t="shared" si="97"/>
        <v>0</v>
      </c>
      <c r="E1255" s="448">
        <f t="shared" si="97"/>
        <v>0</v>
      </c>
      <c r="F1255" s="447">
        <f t="shared" si="97"/>
        <v>0</v>
      </c>
      <c r="G1255" s="1378">
        <f t="shared" si="97"/>
        <v>0</v>
      </c>
      <c r="H1255" s="448">
        <f t="shared" si="97"/>
        <v>0</v>
      </c>
      <c r="I1255" s="448">
        <f t="shared" si="97"/>
        <v>443</v>
      </c>
      <c r="J1255" s="447">
        <f t="shared" si="96"/>
        <v>1337</v>
      </c>
      <c r="L1255" s="448">
        <f t="shared" si="98"/>
        <v>62325</v>
      </c>
    </row>
    <row r="1256" spans="1:12" ht="13.5">
      <c r="A1256" s="448">
        <v>62350</v>
      </c>
      <c r="B1256" s="447">
        <v>62400</v>
      </c>
      <c r="C1256" s="1378">
        <f t="shared" si="97"/>
        <v>0</v>
      </c>
      <c r="D1256" s="448">
        <f t="shared" si="97"/>
        <v>0</v>
      </c>
      <c r="E1256" s="448">
        <f t="shared" si="97"/>
        <v>0</v>
      </c>
      <c r="F1256" s="447">
        <f t="shared" si="97"/>
        <v>0</v>
      </c>
      <c r="G1256" s="1378">
        <f t="shared" si="97"/>
        <v>0</v>
      </c>
      <c r="H1256" s="448">
        <f t="shared" si="97"/>
        <v>0</v>
      </c>
      <c r="I1256" s="448">
        <f t="shared" si="97"/>
        <v>433</v>
      </c>
      <c r="J1256" s="447">
        <f t="shared" si="96"/>
        <v>1327</v>
      </c>
      <c r="L1256" s="448">
        <f t="shared" si="98"/>
        <v>62375</v>
      </c>
    </row>
    <row r="1257" spans="1:12" ht="13.5">
      <c r="A1257" s="448">
        <v>62400</v>
      </c>
      <c r="B1257" s="447">
        <v>62450</v>
      </c>
      <c r="C1257" s="1378">
        <f t="shared" si="97"/>
        <v>0</v>
      </c>
      <c r="D1257" s="448">
        <f t="shared" si="97"/>
        <v>0</v>
      </c>
      <c r="E1257" s="448">
        <f t="shared" si="97"/>
        <v>0</v>
      </c>
      <c r="F1257" s="447">
        <f t="shared" si="97"/>
        <v>0</v>
      </c>
      <c r="G1257" s="1378">
        <f t="shared" si="97"/>
        <v>0</v>
      </c>
      <c r="H1257" s="448">
        <f t="shared" si="97"/>
        <v>0</v>
      </c>
      <c r="I1257" s="448">
        <f t="shared" si="97"/>
        <v>422</v>
      </c>
      <c r="J1257" s="447">
        <f t="shared" si="96"/>
        <v>1316</v>
      </c>
      <c r="L1257" s="448">
        <f t="shared" si="98"/>
        <v>62425</v>
      </c>
    </row>
    <row r="1258" spans="1:12" ht="13.5">
      <c r="A1258" s="448">
        <v>62450</v>
      </c>
      <c r="B1258" s="447">
        <v>62500</v>
      </c>
      <c r="C1258" s="1378">
        <f t="shared" si="97"/>
        <v>0</v>
      </c>
      <c r="D1258" s="448">
        <f t="shared" si="97"/>
        <v>0</v>
      </c>
      <c r="E1258" s="448">
        <f t="shared" si="97"/>
        <v>0</v>
      </c>
      <c r="F1258" s="447">
        <f t="shared" si="97"/>
        <v>0</v>
      </c>
      <c r="G1258" s="1378">
        <f t="shared" si="97"/>
        <v>0</v>
      </c>
      <c r="H1258" s="448">
        <f t="shared" si="97"/>
        <v>0</v>
      </c>
      <c r="I1258" s="448">
        <f t="shared" si="97"/>
        <v>412</v>
      </c>
      <c r="J1258" s="447">
        <f t="shared" si="96"/>
        <v>1306</v>
      </c>
      <c r="L1258" s="448">
        <f t="shared" si="98"/>
        <v>62475</v>
      </c>
    </row>
    <row r="1259" spans="1:12" ht="13.5">
      <c r="A1259" s="448">
        <v>62500</v>
      </c>
      <c r="B1259" s="447">
        <v>62550</v>
      </c>
      <c r="C1259" s="1378">
        <f t="shared" si="97"/>
        <v>0</v>
      </c>
      <c r="D1259" s="448">
        <f t="shared" si="97"/>
        <v>0</v>
      </c>
      <c r="E1259" s="448">
        <f t="shared" si="97"/>
        <v>0</v>
      </c>
      <c r="F1259" s="447">
        <f t="shared" si="97"/>
        <v>0</v>
      </c>
      <c r="G1259" s="1378">
        <f t="shared" si="97"/>
        <v>0</v>
      </c>
      <c r="H1259" s="448">
        <f t="shared" si="97"/>
        <v>0</v>
      </c>
      <c r="I1259" s="448">
        <f t="shared" si="97"/>
        <v>401</v>
      </c>
      <c r="J1259" s="447">
        <f t="shared" si="96"/>
        <v>1295</v>
      </c>
      <c r="L1259" s="448">
        <f t="shared" si="98"/>
        <v>62525</v>
      </c>
    </row>
    <row r="1260" spans="1:12" ht="13.5">
      <c r="A1260" s="448">
        <v>62550</v>
      </c>
      <c r="B1260" s="447">
        <v>62600</v>
      </c>
      <c r="C1260" s="1378">
        <f t="shared" si="97"/>
        <v>0</v>
      </c>
      <c r="D1260" s="448">
        <f t="shared" si="97"/>
        <v>0</v>
      </c>
      <c r="E1260" s="448">
        <f t="shared" si="97"/>
        <v>0</v>
      </c>
      <c r="F1260" s="447">
        <f t="shared" si="97"/>
        <v>0</v>
      </c>
      <c r="G1260" s="1378">
        <f t="shared" si="97"/>
        <v>0</v>
      </c>
      <c r="H1260" s="448">
        <f t="shared" si="97"/>
        <v>0</v>
      </c>
      <c r="I1260" s="448">
        <f t="shared" si="97"/>
        <v>391</v>
      </c>
      <c r="J1260" s="447">
        <f t="shared" si="96"/>
        <v>1285</v>
      </c>
      <c r="L1260" s="448">
        <f t="shared" si="98"/>
        <v>62575</v>
      </c>
    </row>
    <row r="1261" spans="1:12" ht="13.5">
      <c r="A1261" s="448">
        <v>62600</v>
      </c>
      <c r="B1261" s="447">
        <v>62650</v>
      </c>
      <c r="C1261" s="1378">
        <f t="shared" si="97"/>
        <v>0</v>
      </c>
      <c r="D1261" s="448">
        <f t="shared" si="97"/>
        <v>0</v>
      </c>
      <c r="E1261" s="448">
        <f t="shared" si="97"/>
        <v>0</v>
      </c>
      <c r="F1261" s="447">
        <f t="shared" si="97"/>
        <v>0</v>
      </c>
      <c r="G1261" s="1378">
        <f t="shared" si="97"/>
        <v>0</v>
      </c>
      <c r="H1261" s="448">
        <f t="shared" si="97"/>
        <v>0</v>
      </c>
      <c r="I1261" s="448">
        <f t="shared" si="97"/>
        <v>380</v>
      </c>
      <c r="J1261" s="447">
        <f t="shared" si="96"/>
        <v>1274</v>
      </c>
      <c r="L1261" s="448">
        <f t="shared" si="98"/>
        <v>62625</v>
      </c>
    </row>
    <row r="1262" spans="1:12" ht="13.5">
      <c r="A1262" s="448">
        <v>62650</v>
      </c>
      <c r="B1262" s="447">
        <v>62700</v>
      </c>
      <c r="C1262" s="1378">
        <f t="shared" si="97"/>
        <v>0</v>
      </c>
      <c r="D1262" s="448">
        <f t="shared" si="97"/>
        <v>0</v>
      </c>
      <c r="E1262" s="448">
        <f t="shared" si="97"/>
        <v>0</v>
      </c>
      <c r="F1262" s="447">
        <f t="shared" si="97"/>
        <v>0</v>
      </c>
      <c r="G1262" s="1378">
        <f t="shared" si="97"/>
        <v>0</v>
      </c>
      <c r="H1262" s="448">
        <f t="shared" si="97"/>
        <v>0</v>
      </c>
      <c r="I1262" s="448">
        <f t="shared" si="97"/>
        <v>370</v>
      </c>
      <c r="J1262" s="447">
        <f t="shared" si="96"/>
        <v>1264</v>
      </c>
      <c r="L1262" s="448">
        <f t="shared" si="98"/>
        <v>62675</v>
      </c>
    </row>
    <row r="1263" spans="1:12" ht="13.5">
      <c r="A1263" s="448">
        <v>62700</v>
      </c>
      <c r="B1263" s="447">
        <v>62750</v>
      </c>
      <c r="C1263" s="1378">
        <f t="shared" si="97"/>
        <v>0</v>
      </c>
      <c r="D1263" s="448">
        <f t="shared" si="97"/>
        <v>0</v>
      </c>
      <c r="E1263" s="448">
        <f t="shared" si="97"/>
        <v>0</v>
      </c>
      <c r="F1263" s="447">
        <f t="shared" si="97"/>
        <v>0</v>
      </c>
      <c r="G1263" s="1378">
        <f t="shared" si="97"/>
        <v>0</v>
      </c>
      <c r="H1263" s="448">
        <f t="shared" si="97"/>
        <v>0</v>
      </c>
      <c r="I1263" s="448">
        <f t="shared" si="97"/>
        <v>359</v>
      </c>
      <c r="J1263" s="447">
        <f t="shared" si="96"/>
        <v>1253</v>
      </c>
      <c r="L1263" s="448">
        <f t="shared" si="98"/>
        <v>62725</v>
      </c>
    </row>
    <row r="1264" spans="1:12" ht="13.5">
      <c r="A1264" s="448">
        <v>62750</v>
      </c>
      <c r="B1264" s="447">
        <v>62800</v>
      </c>
      <c r="C1264" s="1378">
        <f t="shared" si="97"/>
        <v>0</v>
      </c>
      <c r="D1264" s="448">
        <f t="shared" si="97"/>
        <v>0</v>
      </c>
      <c r="E1264" s="448">
        <f t="shared" si="97"/>
        <v>0</v>
      </c>
      <c r="F1264" s="447">
        <f t="shared" si="97"/>
        <v>0</v>
      </c>
      <c r="G1264" s="1378">
        <f t="shared" si="97"/>
        <v>0</v>
      </c>
      <c r="H1264" s="448">
        <f t="shared" si="97"/>
        <v>0</v>
      </c>
      <c r="I1264" s="448">
        <f t="shared" si="97"/>
        <v>349</v>
      </c>
      <c r="J1264" s="447">
        <f t="shared" si="96"/>
        <v>1243</v>
      </c>
      <c r="L1264" s="448">
        <f t="shared" si="98"/>
        <v>62775</v>
      </c>
    </row>
    <row r="1265" spans="1:12" ht="13.5">
      <c r="A1265" s="448">
        <v>62800</v>
      </c>
      <c r="B1265" s="447">
        <v>62850</v>
      </c>
      <c r="C1265" s="1378">
        <f t="shared" si="97"/>
        <v>0</v>
      </c>
      <c r="D1265" s="448">
        <f t="shared" si="97"/>
        <v>0</v>
      </c>
      <c r="E1265" s="448">
        <f t="shared" si="97"/>
        <v>0</v>
      </c>
      <c r="F1265" s="447">
        <f t="shared" si="97"/>
        <v>0</v>
      </c>
      <c r="G1265" s="1378">
        <f t="shared" si="97"/>
        <v>0</v>
      </c>
      <c r="H1265" s="448">
        <f t="shared" si="97"/>
        <v>0</v>
      </c>
      <c r="I1265" s="448">
        <f t="shared" si="97"/>
        <v>338</v>
      </c>
      <c r="J1265" s="447">
        <f t="shared" si="96"/>
        <v>1232</v>
      </c>
      <c r="L1265" s="448">
        <f t="shared" si="98"/>
        <v>62825</v>
      </c>
    </row>
    <row r="1266" spans="1:12" ht="13.5">
      <c r="A1266" s="448">
        <v>62850</v>
      </c>
      <c r="B1266" s="447">
        <v>62900</v>
      </c>
      <c r="C1266" s="1378">
        <f t="shared" si="97"/>
        <v>0</v>
      </c>
      <c r="D1266" s="448">
        <f t="shared" si="97"/>
        <v>0</v>
      </c>
      <c r="E1266" s="448">
        <f t="shared" si="97"/>
        <v>0</v>
      </c>
      <c r="F1266" s="447">
        <f t="shared" si="97"/>
        <v>0</v>
      </c>
      <c r="G1266" s="1378">
        <f t="shared" si="97"/>
        <v>0</v>
      </c>
      <c r="H1266" s="448">
        <f t="shared" si="97"/>
        <v>0</v>
      </c>
      <c r="I1266" s="448">
        <f t="shared" si="97"/>
        <v>327</v>
      </c>
      <c r="J1266" s="447">
        <f t="shared" si="96"/>
        <v>1221</v>
      </c>
      <c r="L1266" s="448">
        <f t="shared" si="98"/>
        <v>62875</v>
      </c>
    </row>
    <row r="1267" spans="1:12" ht="13.5">
      <c r="A1267" s="448">
        <v>62900</v>
      </c>
      <c r="B1267" s="447">
        <v>62950</v>
      </c>
      <c r="C1267" s="1378">
        <f t="shared" si="97"/>
        <v>0</v>
      </c>
      <c r="D1267" s="448">
        <f t="shared" si="97"/>
        <v>0</v>
      </c>
      <c r="E1267" s="448">
        <f t="shared" si="97"/>
        <v>0</v>
      </c>
      <c r="F1267" s="447">
        <f t="shared" si="97"/>
        <v>0</v>
      </c>
      <c r="G1267" s="1378">
        <f t="shared" si="97"/>
        <v>0</v>
      </c>
      <c r="H1267" s="448">
        <f t="shared" si="97"/>
        <v>0</v>
      </c>
      <c r="I1267" s="448">
        <f t="shared" si="97"/>
        <v>317</v>
      </c>
      <c r="J1267" s="447">
        <f t="shared" si="96"/>
        <v>1211</v>
      </c>
      <c r="L1267" s="448">
        <f t="shared" si="98"/>
        <v>62925</v>
      </c>
    </row>
    <row r="1268" spans="1:12" ht="13.5">
      <c r="A1268" s="448">
        <v>62950</v>
      </c>
      <c r="B1268" s="447">
        <v>63000</v>
      </c>
      <c r="C1268" s="1378">
        <f t="shared" si="97"/>
        <v>0</v>
      </c>
      <c r="D1268" s="448">
        <f t="shared" si="97"/>
        <v>0</v>
      </c>
      <c r="E1268" s="448">
        <f t="shared" si="97"/>
        <v>0</v>
      </c>
      <c r="F1268" s="447">
        <f t="shared" si="97"/>
        <v>0</v>
      </c>
      <c r="G1268" s="1378">
        <f t="shared" si="97"/>
        <v>0</v>
      </c>
      <c r="H1268" s="448">
        <f t="shared" si="97"/>
        <v>0</v>
      </c>
      <c r="I1268" s="448">
        <f t="shared" si="97"/>
        <v>306</v>
      </c>
      <c r="J1268" s="447">
        <f t="shared" si="96"/>
        <v>1200</v>
      </c>
      <c r="L1268" s="448">
        <f t="shared" si="98"/>
        <v>62975</v>
      </c>
    </row>
    <row r="1269" spans="1:12" ht="13.5">
      <c r="A1269" s="448">
        <v>63000</v>
      </c>
      <c r="B1269" s="447">
        <v>63050</v>
      </c>
      <c r="C1269" s="1378">
        <f t="shared" si="97"/>
        <v>0</v>
      </c>
      <c r="D1269" s="448">
        <f t="shared" si="97"/>
        <v>0</v>
      </c>
      <c r="E1269" s="448">
        <f t="shared" si="97"/>
        <v>0</v>
      </c>
      <c r="F1269" s="447">
        <f t="shared" ref="F1269:J1307" si="100">IF($L1269&gt;Q$5,MAX(0,Q$3+ROUND((Q$9*($L1269-Q$5)),0)),IF($L1269&gt;Q$4,Q$3,ROUND($L1269*Q$7,0)))</f>
        <v>0</v>
      </c>
      <c r="G1269" s="1378">
        <f t="shared" si="100"/>
        <v>0</v>
      </c>
      <c r="H1269" s="448">
        <f t="shared" si="100"/>
        <v>0</v>
      </c>
      <c r="I1269" s="448">
        <f t="shared" si="100"/>
        <v>296</v>
      </c>
      <c r="J1269" s="447">
        <f t="shared" si="96"/>
        <v>1190</v>
      </c>
      <c r="L1269" s="448">
        <f t="shared" si="98"/>
        <v>63025</v>
      </c>
    </row>
    <row r="1270" spans="1:12" ht="13.5">
      <c r="A1270" s="448">
        <v>63050</v>
      </c>
      <c r="B1270" s="447">
        <v>63100</v>
      </c>
      <c r="C1270" s="1378">
        <f t="shared" ref="C1270:C1308" si="101">IF($L1270&gt;N$5,MAX(0,N$3+ROUND((N$9*($L1270-N$5)),0)),IF($L1270&gt;N$4,N$3,ROUND($L1270*N$7,0)))</f>
        <v>0</v>
      </c>
      <c r="D1270" s="448">
        <f t="shared" ref="D1270:D1308" si="102">IF($L1270&gt;O$5,MAX(0,O$3+ROUND((O$9*($L1270-O$5)),0)),IF($L1270&gt;O$4,O$3,ROUND($L1270*O$7,0)))</f>
        <v>0</v>
      </c>
      <c r="E1270" s="448">
        <f t="shared" ref="E1270:E1308" si="103">IF($L1270&gt;P$5,MAX(0,P$3+ROUND((P$9*($L1270-P$5)),0)),IF($L1270&gt;P$4,P$3,ROUND($L1270*P$7,0)))</f>
        <v>0</v>
      </c>
      <c r="F1270" s="447">
        <f t="shared" si="100"/>
        <v>0</v>
      </c>
      <c r="G1270" s="1378">
        <f t="shared" si="100"/>
        <v>0</v>
      </c>
      <c r="H1270" s="448">
        <f t="shared" si="100"/>
        <v>0</v>
      </c>
      <c r="I1270" s="448">
        <f t="shared" si="100"/>
        <v>285</v>
      </c>
      <c r="J1270" s="447">
        <f t="shared" si="96"/>
        <v>1179</v>
      </c>
      <c r="L1270" s="448">
        <f t="shared" si="98"/>
        <v>63075</v>
      </c>
    </row>
    <row r="1271" spans="1:12" ht="13.5">
      <c r="A1271" s="448">
        <v>63100</v>
      </c>
      <c r="B1271" s="447">
        <v>63150</v>
      </c>
      <c r="C1271" s="1378">
        <f t="shared" si="101"/>
        <v>0</v>
      </c>
      <c r="D1271" s="448">
        <f t="shared" si="102"/>
        <v>0</v>
      </c>
      <c r="E1271" s="448">
        <f t="shared" si="103"/>
        <v>0</v>
      </c>
      <c r="F1271" s="447">
        <f t="shared" si="100"/>
        <v>0</v>
      </c>
      <c r="G1271" s="1378">
        <f t="shared" si="100"/>
        <v>0</v>
      </c>
      <c r="H1271" s="448">
        <f t="shared" si="100"/>
        <v>0</v>
      </c>
      <c r="I1271" s="448">
        <f t="shared" si="100"/>
        <v>275</v>
      </c>
      <c r="J1271" s="447">
        <f t="shared" si="96"/>
        <v>1169</v>
      </c>
      <c r="L1271" s="448">
        <f t="shared" si="98"/>
        <v>63125</v>
      </c>
    </row>
    <row r="1272" spans="1:12" ht="13.5">
      <c r="A1272" s="448">
        <v>63150</v>
      </c>
      <c r="B1272" s="447">
        <v>63200</v>
      </c>
      <c r="C1272" s="1378">
        <f t="shared" si="101"/>
        <v>0</v>
      </c>
      <c r="D1272" s="448">
        <f t="shared" si="102"/>
        <v>0</v>
      </c>
      <c r="E1272" s="448">
        <f t="shared" si="103"/>
        <v>0</v>
      </c>
      <c r="F1272" s="447">
        <f t="shared" si="100"/>
        <v>0</v>
      </c>
      <c r="G1272" s="1378">
        <f t="shared" si="100"/>
        <v>0</v>
      </c>
      <c r="H1272" s="448">
        <f t="shared" si="100"/>
        <v>0</v>
      </c>
      <c r="I1272" s="448">
        <f t="shared" si="100"/>
        <v>264</v>
      </c>
      <c r="J1272" s="447">
        <f t="shared" si="96"/>
        <v>1158</v>
      </c>
      <c r="L1272" s="448">
        <f t="shared" si="98"/>
        <v>63175</v>
      </c>
    </row>
    <row r="1273" spans="1:12" ht="13.5">
      <c r="A1273" s="448">
        <v>63200</v>
      </c>
      <c r="B1273" s="447">
        <v>63250</v>
      </c>
      <c r="C1273" s="1378">
        <f t="shared" si="101"/>
        <v>0</v>
      </c>
      <c r="D1273" s="448">
        <f t="shared" si="102"/>
        <v>0</v>
      </c>
      <c r="E1273" s="448">
        <f t="shared" si="103"/>
        <v>0</v>
      </c>
      <c r="F1273" s="447">
        <f t="shared" si="100"/>
        <v>0</v>
      </c>
      <c r="G1273" s="1378">
        <f t="shared" si="100"/>
        <v>0</v>
      </c>
      <c r="H1273" s="448">
        <f t="shared" si="100"/>
        <v>0</v>
      </c>
      <c r="I1273" s="448">
        <f t="shared" si="100"/>
        <v>254</v>
      </c>
      <c r="J1273" s="447">
        <f t="shared" si="96"/>
        <v>1148</v>
      </c>
      <c r="L1273" s="448">
        <f t="shared" si="98"/>
        <v>63225</v>
      </c>
    </row>
    <row r="1274" spans="1:12" ht="13.5">
      <c r="A1274" s="448">
        <v>63250</v>
      </c>
      <c r="B1274" s="447">
        <v>63300</v>
      </c>
      <c r="C1274" s="1378">
        <f t="shared" si="101"/>
        <v>0</v>
      </c>
      <c r="D1274" s="448">
        <f t="shared" si="102"/>
        <v>0</v>
      </c>
      <c r="E1274" s="448">
        <f t="shared" si="103"/>
        <v>0</v>
      </c>
      <c r="F1274" s="447">
        <f t="shared" si="100"/>
        <v>0</v>
      </c>
      <c r="G1274" s="1378">
        <f t="shared" si="100"/>
        <v>0</v>
      </c>
      <c r="H1274" s="448">
        <f t="shared" si="100"/>
        <v>0</v>
      </c>
      <c r="I1274" s="448">
        <f t="shared" si="100"/>
        <v>243</v>
      </c>
      <c r="J1274" s="447">
        <f t="shared" si="96"/>
        <v>1137</v>
      </c>
      <c r="L1274" s="448">
        <f t="shared" si="98"/>
        <v>63275</v>
      </c>
    </row>
    <row r="1275" spans="1:12" ht="13.5">
      <c r="A1275" s="448">
        <v>63300</v>
      </c>
      <c r="B1275" s="447">
        <v>63350</v>
      </c>
      <c r="C1275" s="1378">
        <f t="shared" si="101"/>
        <v>0</v>
      </c>
      <c r="D1275" s="448">
        <f t="shared" si="102"/>
        <v>0</v>
      </c>
      <c r="E1275" s="448">
        <f t="shared" si="103"/>
        <v>0</v>
      </c>
      <c r="F1275" s="447">
        <f t="shared" si="100"/>
        <v>0</v>
      </c>
      <c r="G1275" s="1378">
        <f t="shared" si="100"/>
        <v>0</v>
      </c>
      <c r="H1275" s="448">
        <f t="shared" si="100"/>
        <v>0</v>
      </c>
      <c r="I1275" s="448">
        <f t="shared" si="100"/>
        <v>233</v>
      </c>
      <c r="J1275" s="447">
        <f t="shared" si="96"/>
        <v>1127</v>
      </c>
      <c r="L1275" s="448">
        <f t="shared" si="98"/>
        <v>63325</v>
      </c>
    </row>
    <row r="1276" spans="1:12" ht="13.5">
      <c r="A1276" s="448">
        <v>63350</v>
      </c>
      <c r="B1276" s="447">
        <v>63400</v>
      </c>
      <c r="C1276" s="1378">
        <f t="shared" si="101"/>
        <v>0</v>
      </c>
      <c r="D1276" s="448">
        <f t="shared" si="102"/>
        <v>0</v>
      </c>
      <c r="E1276" s="448">
        <f t="shared" si="103"/>
        <v>0</v>
      </c>
      <c r="F1276" s="447">
        <f t="shared" si="100"/>
        <v>0</v>
      </c>
      <c r="G1276" s="1378">
        <f t="shared" si="100"/>
        <v>0</v>
      </c>
      <c r="H1276" s="448">
        <f t="shared" si="100"/>
        <v>0</v>
      </c>
      <c r="I1276" s="448">
        <f t="shared" si="100"/>
        <v>222</v>
      </c>
      <c r="J1276" s="447">
        <f t="shared" si="96"/>
        <v>1116</v>
      </c>
      <c r="L1276" s="448">
        <f t="shared" si="98"/>
        <v>63375</v>
      </c>
    </row>
    <row r="1277" spans="1:12" ht="13.5">
      <c r="A1277" s="448">
        <v>63400</v>
      </c>
      <c r="B1277" s="447">
        <v>63450</v>
      </c>
      <c r="C1277" s="1378">
        <f t="shared" si="101"/>
        <v>0</v>
      </c>
      <c r="D1277" s="448">
        <f t="shared" si="102"/>
        <v>0</v>
      </c>
      <c r="E1277" s="448">
        <f t="shared" si="103"/>
        <v>0</v>
      </c>
      <c r="F1277" s="447">
        <f t="shared" si="100"/>
        <v>0</v>
      </c>
      <c r="G1277" s="1378">
        <f t="shared" si="100"/>
        <v>0</v>
      </c>
      <c r="H1277" s="448">
        <f t="shared" si="100"/>
        <v>0</v>
      </c>
      <c r="I1277" s="448">
        <f t="shared" si="100"/>
        <v>212</v>
      </c>
      <c r="J1277" s="447">
        <f t="shared" si="96"/>
        <v>1106</v>
      </c>
      <c r="L1277" s="448">
        <f t="shared" si="98"/>
        <v>63425</v>
      </c>
    </row>
    <row r="1278" spans="1:12" ht="13.5">
      <c r="A1278" s="448">
        <v>63450</v>
      </c>
      <c r="B1278" s="447">
        <v>63500</v>
      </c>
      <c r="C1278" s="1378">
        <f t="shared" si="101"/>
        <v>0</v>
      </c>
      <c r="D1278" s="448">
        <f t="shared" si="102"/>
        <v>0</v>
      </c>
      <c r="E1278" s="448">
        <f t="shared" si="103"/>
        <v>0</v>
      </c>
      <c r="F1278" s="447">
        <f t="shared" si="100"/>
        <v>0</v>
      </c>
      <c r="G1278" s="1378">
        <f t="shared" si="100"/>
        <v>0</v>
      </c>
      <c r="H1278" s="448">
        <f t="shared" si="100"/>
        <v>0</v>
      </c>
      <c r="I1278" s="448">
        <f t="shared" si="100"/>
        <v>201</v>
      </c>
      <c r="J1278" s="447">
        <f t="shared" si="96"/>
        <v>1095</v>
      </c>
      <c r="L1278" s="448">
        <f t="shared" si="98"/>
        <v>63475</v>
      </c>
    </row>
    <row r="1279" spans="1:12" ht="13.5">
      <c r="A1279" s="448">
        <v>63500</v>
      </c>
      <c r="B1279" s="447">
        <v>63550</v>
      </c>
      <c r="C1279" s="1378">
        <f t="shared" si="101"/>
        <v>0</v>
      </c>
      <c r="D1279" s="448">
        <f t="shared" si="102"/>
        <v>0</v>
      </c>
      <c r="E1279" s="448">
        <f t="shared" si="103"/>
        <v>0</v>
      </c>
      <c r="F1279" s="447">
        <f t="shared" si="100"/>
        <v>0</v>
      </c>
      <c r="G1279" s="1378">
        <f t="shared" si="100"/>
        <v>0</v>
      </c>
      <c r="H1279" s="448">
        <f t="shared" si="100"/>
        <v>0</v>
      </c>
      <c r="I1279" s="448">
        <f t="shared" si="100"/>
        <v>191</v>
      </c>
      <c r="J1279" s="447">
        <f t="shared" si="96"/>
        <v>1085</v>
      </c>
      <c r="L1279" s="448">
        <f t="shared" si="98"/>
        <v>63525</v>
      </c>
    </row>
    <row r="1280" spans="1:12" ht="13.5">
      <c r="A1280" s="448">
        <v>63550</v>
      </c>
      <c r="B1280" s="447">
        <v>63600</v>
      </c>
      <c r="C1280" s="1378">
        <f t="shared" si="101"/>
        <v>0</v>
      </c>
      <c r="D1280" s="448">
        <f t="shared" si="102"/>
        <v>0</v>
      </c>
      <c r="E1280" s="448">
        <f t="shared" si="103"/>
        <v>0</v>
      </c>
      <c r="F1280" s="447">
        <f t="shared" si="100"/>
        <v>0</v>
      </c>
      <c r="G1280" s="1378">
        <f t="shared" si="100"/>
        <v>0</v>
      </c>
      <c r="H1280" s="448">
        <f t="shared" si="100"/>
        <v>0</v>
      </c>
      <c r="I1280" s="448">
        <f t="shared" si="100"/>
        <v>180</v>
      </c>
      <c r="J1280" s="447">
        <f t="shared" si="96"/>
        <v>1074</v>
      </c>
      <c r="L1280" s="448">
        <f t="shared" si="98"/>
        <v>63575</v>
      </c>
    </row>
    <row r="1281" spans="1:12" ht="13.5">
      <c r="A1281" s="448">
        <v>63600</v>
      </c>
      <c r="B1281" s="447">
        <v>63650</v>
      </c>
      <c r="C1281" s="1378">
        <f t="shared" si="101"/>
        <v>0</v>
      </c>
      <c r="D1281" s="448">
        <f t="shared" si="102"/>
        <v>0</v>
      </c>
      <c r="E1281" s="448">
        <f t="shared" si="103"/>
        <v>0</v>
      </c>
      <c r="F1281" s="447">
        <f t="shared" si="100"/>
        <v>0</v>
      </c>
      <c r="G1281" s="1378">
        <f t="shared" si="100"/>
        <v>0</v>
      </c>
      <c r="H1281" s="448">
        <f t="shared" si="100"/>
        <v>0</v>
      </c>
      <c r="I1281" s="448">
        <f t="shared" si="100"/>
        <v>170</v>
      </c>
      <c r="J1281" s="447">
        <f t="shared" si="96"/>
        <v>1064</v>
      </c>
      <c r="L1281" s="448">
        <f t="shared" si="98"/>
        <v>63625</v>
      </c>
    </row>
    <row r="1282" spans="1:12" ht="13.5">
      <c r="A1282" s="448">
        <v>63650</v>
      </c>
      <c r="B1282" s="447">
        <v>63700</v>
      </c>
      <c r="C1282" s="1378">
        <f t="shared" si="101"/>
        <v>0</v>
      </c>
      <c r="D1282" s="448">
        <f t="shared" si="102"/>
        <v>0</v>
      </c>
      <c r="E1282" s="448">
        <f t="shared" si="103"/>
        <v>0</v>
      </c>
      <c r="F1282" s="447">
        <f t="shared" si="100"/>
        <v>0</v>
      </c>
      <c r="G1282" s="1378">
        <f t="shared" si="100"/>
        <v>0</v>
      </c>
      <c r="H1282" s="448">
        <f t="shared" si="100"/>
        <v>0</v>
      </c>
      <c r="I1282" s="448">
        <f t="shared" si="100"/>
        <v>159</v>
      </c>
      <c r="J1282" s="447">
        <f t="shared" si="96"/>
        <v>1053</v>
      </c>
      <c r="L1282" s="448">
        <f t="shared" si="98"/>
        <v>63675</v>
      </c>
    </row>
    <row r="1283" spans="1:12" ht="13.5">
      <c r="A1283" s="448">
        <v>63700</v>
      </c>
      <c r="B1283" s="447">
        <v>63750</v>
      </c>
      <c r="C1283" s="1378">
        <f t="shared" si="101"/>
        <v>0</v>
      </c>
      <c r="D1283" s="448">
        <f t="shared" si="102"/>
        <v>0</v>
      </c>
      <c r="E1283" s="448">
        <f t="shared" si="103"/>
        <v>0</v>
      </c>
      <c r="F1283" s="447">
        <f t="shared" si="100"/>
        <v>0</v>
      </c>
      <c r="G1283" s="1378">
        <f t="shared" si="100"/>
        <v>0</v>
      </c>
      <c r="H1283" s="448">
        <f t="shared" si="100"/>
        <v>0</v>
      </c>
      <c r="I1283" s="448">
        <f t="shared" si="100"/>
        <v>148</v>
      </c>
      <c r="J1283" s="447">
        <f t="shared" si="96"/>
        <v>1042</v>
      </c>
      <c r="L1283" s="448">
        <f t="shared" si="98"/>
        <v>63725</v>
      </c>
    </row>
    <row r="1284" spans="1:12" ht="13.5">
      <c r="A1284" s="448">
        <v>63750</v>
      </c>
      <c r="B1284" s="447">
        <v>63800</v>
      </c>
      <c r="C1284" s="1378">
        <f t="shared" si="101"/>
        <v>0</v>
      </c>
      <c r="D1284" s="448">
        <f t="shared" si="102"/>
        <v>0</v>
      </c>
      <c r="E1284" s="448">
        <f t="shared" si="103"/>
        <v>0</v>
      </c>
      <c r="F1284" s="447">
        <f t="shared" si="100"/>
        <v>0</v>
      </c>
      <c r="G1284" s="1378">
        <f t="shared" si="100"/>
        <v>0</v>
      </c>
      <c r="H1284" s="448">
        <f t="shared" si="100"/>
        <v>0</v>
      </c>
      <c r="I1284" s="448">
        <f t="shared" si="100"/>
        <v>138</v>
      </c>
      <c r="J1284" s="447">
        <f t="shared" si="96"/>
        <v>1032</v>
      </c>
      <c r="L1284" s="448">
        <f t="shared" si="98"/>
        <v>63775</v>
      </c>
    </row>
    <row r="1285" spans="1:12" ht="13.5">
      <c r="A1285" s="448">
        <v>63800</v>
      </c>
      <c r="B1285" s="447">
        <v>63850</v>
      </c>
      <c r="C1285" s="1378">
        <f t="shared" si="101"/>
        <v>0</v>
      </c>
      <c r="D1285" s="448">
        <f t="shared" si="102"/>
        <v>0</v>
      </c>
      <c r="E1285" s="448">
        <f t="shared" si="103"/>
        <v>0</v>
      </c>
      <c r="F1285" s="447">
        <f t="shared" si="100"/>
        <v>0</v>
      </c>
      <c r="G1285" s="1378">
        <f t="shared" si="100"/>
        <v>0</v>
      </c>
      <c r="H1285" s="448">
        <f t="shared" si="100"/>
        <v>0</v>
      </c>
      <c r="I1285" s="448">
        <f t="shared" si="100"/>
        <v>127</v>
      </c>
      <c r="J1285" s="447">
        <f t="shared" si="96"/>
        <v>1021</v>
      </c>
      <c r="L1285" s="448">
        <f t="shared" si="98"/>
        <v>63825</v>
      </c>
    </row>
    <row r="1286" spans="1:12" ht="13.5">
      <c r="A1286" s="448">
        <v>63850</v>
      </c>
      <c r="B1286" s="447">
        <v>63900</v>
      </c>
      <c r="C1286" s="1378">
        <f t="shared" si="101"/>
        <v>0</v>
      </c>
      <c r="D1286" s="448">
        <f t="shared" si="102"/>
        <v>0</v>
      </c>
      <c r="E1286" s="448">
        <f t="shared" si="103"/>
        <v>0</v>
      </c>
      <c r="F1286" s="447">
        <f t="shared" si="100"/>
        <v>0</v>
      </c>
      <c r="G1286" s="1378">
        <f t="shared" si="100"/>
        <v>0</v>
      </c>
      <c r="H1286" s="448">
        <f t="shared" si="100"/>
        <v>0</v>
      </c>
      <c r="I1286" s="448">
        <f t="shared" si="100"/>
        <v>117</v>
      </c>
      <c r="J1286" s="447">
        <f t="shared" si="96"/>
        <v>1011</v>
      </c>
      <c r="L1286" s="448">
        <f t="shared" si="98"/>
        <v>63875</v>
      </c>
    </row>
    <row r="1287" spans="1:12" ht="13.5">
      <c r="A1287" s="448">
        <v>63900</v>
      </c>
      <c r="B1287" s="447">
        <v>63950</v>
      </c>
      <c r="C1287" s="1378">
        <f t="shared" si="101"/>
        <v>0</v>
      </c>
      <c r="D1287" s="448">
        <f t="shared" si="102"/>
        <v>0</v>
      </c>
      <c r="E1287" s="448">
        <f t="shared" si="103"/>
        <v>0</v>
      </c>
      <c r="F1287" s="447">
        <f t="shared" si="100"/>
        <v>0</v>
      </c>
      <c r="G1287" s="1378">
        <f t="shared" si="100"/>
        <v>0</v>
      </c>
      <c r="H1287" s="448">
        <f t="shared" si="100"/>
        <v>0</v>
      </c>
      <c r="I1287" s="448">
        <f t="shared" si="100"/>
        <v>106</v>
      </c>
      <c r="J1287" s="447">
        <f t="shared" si="96"/>
        <v>1000</v>
      </c>
      <c r="L1287" s="448">
        <f t="shared" si="98"/>
        <v>63925</v>
      </c>
    </row>
    <row r="1288" spans="1:12" ht="13.5">
      <c r="A1288" s="448">
        <v>63950</v>
      </c>
      <c r="B1288" s="447">
        <v>64000</v>
      </c>
      <c r="C1288" s="1378">
        <f t="shared" si="101"/>
        <v>0</v>
      </c>
      <c r="D1288" s="448">
        <f t="shared" si="102"/>
        <v>0</v>
      </c>
      <c r="E1288" s="448">
        <f t="shared" si="103"/>
        <v>0</v>
      </c>
      <c r="F1288" s="447">
        <f t="shared" si="100"/>
        <v>0</v>
      </c>
      <c r="G1288" s="1378">
        <f t="shared" si="100"/>
        <v>0</v>
      </c>
      <c r="H1288" s="448">
        <f t="shared" si="100"/>
        <v>0</v>
      </c>
      <c r="I1288" s="448">
        <f t="shared" si="100"/>
        <v>96</v>
      </c>
      <c r="J1288" s="447">
        <f t="shared" si="96"/>
        <v>990</v>
      </c>
      <c r="L1288" s="448">
        <f t="shared" si="98"/>
        <v>63975</v>
      </c>
    </row>
    <row r="1289" spans="1:12" ht="13.5">
      <c r="A1289" s="448">
        <v>64000</v>
      </c>
      <c r="B1289" s="447">
        <v>64050</v>
      </c>
      <c r="C1289" s="1378">
        <f t="shared" si="101"/>
        <v>0</v>
      </c>
      <c r="D1289" s="448">
        <f t="shared" si="102"/>
        <v>0</v>
      </c>
      <c r="E1289" s="448">
        <f t="shared" si="103"/>
        <v>0</v>
      </c>
      <c r="F1289" s="447">
        <f t="shared" si="100"/>
        <v>0</v>
      </c>
      <c r="G1289" s="1378">
        <f t="shared" si="100"/>
        <v>0</v>
      </c>
      <c r="H1289" s="448">
        <f t="shared" si="100"/>
        <v>0</v>
      </c>
      <c r="I1289" s="448">
        <f t="shared" si="100"/>
        <v>85</v>
      </c>
      <c r="J1289" s="447">
        <f t="shared" si="96"/>
        <v>979</v>
      </c>
      <c r="L1289" s="448">
        <f t="shared" si="98"/>
        <v>64025</v>
      </c>
    </row>
    <row r="1290" spans="1:12" ht="13.5">
      <c r="A1290" s="448">
        <v>64050</v>
      </c>
      <c r="B1290" s="447">
        <v>64100</v>
      </c>
      <c r="C1290" s="1378">
        <f t="shared" si="101"/>
        <v>0</v>
      </c>
      <c r="D1290" s="448">
        <f t="shared" si="102"/>
        <v>0</v>
      </c>
      <c r="E1290" s="448">
        <f t="shared" si="103"/>
        <v>0</v>
      </c>
      <c r="F1290" s="447">
        <f t="shared" si="100"/>
        <v>0</v>
      </c>
      <c r="G1290" s="1378">
        <f t="shared" si="100"/>
        <v>0</v>
      </c>
      <c r="H1290" s="448">
        <f t="shared" si="100"/>
        <v>0</v>
      </c>
      <c r="I1290" s="448">
        <f t="shared" si="100"/>
        <v>75</v>
      </c>
      <c r="J1290" s="447">
        <f t="shared" si="96"/>
        <v>969</v>
      </c>
      <c r="L1290" s="448">
        <f t="shared" si="98"/>
        <v>64075</v>
      </c>
    </row>
    <row r="1291" spans="1:12" ht="13.5">
      <c r="A1291" s="448">
        <v>64100</v>
      </c>
      <c r="B1291" s="447">
        <v>64150</v>
      </c>
      <c r="C1291" s="1378">
        <f t="shared" si="101"/>
        <v>0</v>
      </c>
      <c r="D1291" s="448">
        <f t="shared" si="102"/>
        <v>0</v>
      </c>
      <c r="E1291" s="448">
        <f t="shared" si="103"/>
        <v>0</v>
      </c>
      <c r="F1291" s="447">
        <f t="shared" si="100"/>
        <v>0</v>
      </c>
      <c r="G1291" s="1378">
        <f t="shared" si="100"/>
        <v>0</v>
      </c>
      <c r="H1291" s="448">
        <f t="shared" si="100"/>
        <v>0</v>
      </c>
      <c r="I1291" s="448">
        <f t="shared" si="100"/>
        <v>64</v>
      </c>
      <c r="J1291" s="447">
        <f t="shared" si="96"/>
        <v>958</v>
      </c>
      <c r="L1291" s="448">
        <f t="shared" si="98"/>
        <v>64125</v>
      </c>
    </row>
    <row r="1292" spans="1:12" ht="13.5">
      <c r="A1292" s="448">
        <v>64150</v>
      </c>
      <c r="B1292" s="447">
        <v>64200</v>
      </c>
      <c r="C1292" s="1378">
        <f t="shared" si="101"/>
        <v>0</v>
      </c>
      <c r="D1292" s="448">
        <f t="shared" si="102"/>
        <v>0</v>
      </c>
      <c r="E1292" s="448">
        <f t="shared" si="103"/>
        <v>0</v>
      </c>
      <c r="F1292" s="447">
        <f t="shared" si="100"/>
        <v>0</v>
      </c>
      <c r="G1292" s="1378">
        <f t="shared" si="100"/>
        <v>0</v>
      </c>
      <c r="H1292" s="448">
        <f t="shared" si="100"/>
        <v>0</v>
      </c>
      <c r="I1292" s="448">
        <f t="shared" si="100"/>
        <v>54</v>
      </c>
      <c r="J1292" s="447">
        <f t="shared" si="96"/>
        <v>948</v>
      </c>
      <c r="L1292" s="448">
        <f t="shared" si="98"/>
        <v>64175</v>
      </c>
    </row>
    <row r="1293" spans="1:12" ht="13.5">
      <c r="A1293" s="448">
        <v>64200</v>
      </c>
      <c r="B1293" s="447">
        <v>64250</v>
      </c>
      <c r="C1293" s="1378">
        <f t="shared" si="101"/>
        <v>0</v>
      </c>
      <c r="D1293" s="448">
        <f t="shared" si="102"/>
        <v>0</v>
      </c>
      <c r="E1293" s="448">
        <f t="shared" si="103"/>
        <v>0</v>
      </c>
      <c r="F1293" s="447">
        <f t="shared" si="100"/>
        <v>0</v>
      </c>
      <c r="G1293" s="1378">
        <f t="shared" si="100"/>
        <v>0</v>
      </c>
      <c r="H1293" s="448">
        <f t="shared" si="100"/>
        <v>0</v>
      </c>
      <c r="I1293" s="448">
        <f t="shared" si="100"/>
        <v>43</v>
      </c>
      <c r="J1293" s="447">
        <f t="shared" si="96"/>
        <v>937</v>
      </c>
      <c r="L1293" s="448">
        <f t="shared" si="98"/>
        <v>64225</v>
      </c>
    </row>
    <row r="1294" spans="1:12" ht="13.5">
      <c r="A1294" s="448">
        <v>64250</v>
      </c>
      <c r="B1294" s="447">
        <v>64300</v>
      </c>
      <c r="C1294" s="1378">
        <f t="shared" si="101"/>
        <v>0</v>
      </c>
      <c r="D1294" s="448">
        <f t="shared" si="102"/>
        <v>0</v>
      </c>
      <c r="E1294" s="448">
        <f t="shared" si="103"/>
        <v>0</v>
      </c>
      <c r="F1294" s="447">
        <f t="shared" si="100"/>
        <v>0</v>
      </c>
      <c r="G1294" s="1378">
        <f t="shared" si="100"/>
        <v>0</v>
      </c>
      <c r="H1294" s="448">
        <f t="shared" si="100"/>
        <v>0</v>
      </c>
      <c r="I1294" s="448">
        <f t="shared" si="100"/>
        <v>33</v>
      </c>
      <c r="J1294" s="447">
        <f t="shared" si="96"/>
        <v>927</v>
      </c>
      <c r="L1294" s="448">
        <f t="shared" si="98"/>
        <v>64275</v>
      </c>
    </row>
    <row r="1295" spans="1:12" ht="13.5">
      <c r="A1295" s="448">
        <v>64300</v>
      </c>
      <c r="B1295" s="447">
        <v>64350</v>
      </c>
      <c r="C1295" s="1378">
        <f t="shared" si="101"/>
        <v>0</v>
      </c>
      <c r="D1295" s="448">
        <f t="shared" si="102"/>
        <v>0</v>
      </c>
      <c r="E1295" s="448">
        <f t="shared" si="103"/>
        <v>0</v>
      </c>
      <c r="F1295" s="447">
        <f t="shared" si="100"/>
        <v>0</v>
      </c>
      <c r="G1295" s="1378">
        <f t="shared" si="100"/>
        <v>0</v>
      </c>
      <c r="H1295" s="448">
        <f t="shared" si="100"/>
        <v>0</v>
      </c>
      <c r="I1295" s="448">
        <f t="shared" si="100"/>
        <v>22</v>
      </c>
      <c r="J1295" s="447">
        <f t="shared" si="96"/>
        <v>916</v>
      </c>
      <c r="L1295" s="448">
        <f t="shared" si="98"/>
        <v>64325</v>
      </c>
    </row>
    <row r="1296" spans="1:12" ht="14.25" thickBot="1">
      <c r="A1296" s="448">
        <v>64350</v>
      </c>
      <c r="B1296" s="447">
        <v>64400</v>
      </c>
      <c r="C1296" s="1378">
        <f t="shared" si="101"/>
        <v>0</v>
      </c>
      <c r="D1296" s="448">
        <f t="shared" si="102"/>
        <v>0</v>
      </c>
      <c r="E1296" s="448">
        <f t="shared" si="103"/>
        <v>0</v>
      </c>
      <c r="F1296" s="447">
        <f t="shared" si="100"/>
        <v>0</v>
      </c>
      <c r="G1296" s="1378">
        <f t="shared" si="100"/>
        <v>0</v>
      </c>
      <c r="H1296" s="448">
        <f t="shared" si="100"/>
        <v>0</v>
      </c>
      <c r="I1296" s="448">
        <f t="shared" si="100"/>
        <v>12</v>
      </c>
      <c r="J1296" s="447">
        <f t="shared" si="100"/>
        <v>906</v>
      </c>
      <c r="L1296" s="448">
        <f t="shared" si="98"/>
        <v>64375</v>
      </c>
    </row>
    <row r="1297" spans="1:12" ht="13.5">
      <c r="A1297" s="6558">
        <v>64400</v>
      </c>
      <c r="B1297" s="6559">
        <v>64430</v>
      </c>
      <c r="C1297" s="1378">
        <f t="shared" si="101"/>
        <v>0</v>
      </c>
      <c r="D1297" s="448">
        <f t="shared" si="102"/>
        <v>0</v>
      </c>
      <c r="E1297" s="448">
        <f t="shared" si="103"/>
        <v>0</v>
      </c>
      <c r="F1297" s="447">
        <f t="shared" si="100"/>
        <v>0</v>
      </c>
      <c r="G1297" s="1378">
        <f t="shared" si="100"/>
        <v>0</v>
      </c>
      <c r="H1297" s="448">
        <f t="shared" si="100"/>
        <v>0</v>
      </c>
      <c r="I1297" s="448">
        <f t="shared" si="100"/>
        <v>3</v>
      </c>
      <c r="J1297" s="447">
        <f t="shared" si="100"/>
        <v>897</v>
      </c>
      <c r="L1297" s="448">
        <f t="shared" si="98"/>
        <v>64415</v>
      </c>
    </row>
    <row r="1298" spans="1:12" ht="14.25" thickBot="1">
      <c r="A1298" s="6560">
        <v>64430</v>
      </c>
      <c r="B1298" s="6561">
        <v>64450</v>
      </c>
      <c r="C1298" s="1378">
        <f t="shared" ref="C1298:I1298" si="104">IF($L1298&gt;N$5,MAX(0,N$3+ROUND((N$9*($L1298-N$5)),0)),IF($L1298&gt;N$4,N$3,ROUND($L1298*N$7,0)))</f>
        <v>0</v>
      </c>
      <c r="D1298" s="448">
        <f t="shared" si="104"/>
        <v>0</v>
      </c>
      <c r="E1298" s="448">
        <f t="shared" si="104"/>
        <v>0</v>
      </c>
      <c r="F1298" s="447">
        <f t="shared" si="104"/>
        <v>0</v>
      </c>
      <c r="G1298" s="1378">
        <f t="shared" si="104"/>
        <v>0</v>
      </c>
      <c r="H1298" s="448">
        <f t="shared" si="104"/>
        <v>0</v>
      </c>
      <c r="I1298" s="448">
        <f t="shared" si="104"/>
        <v>0</v>
      </c>
      <c r="J1298" s="6563">
        <v>897</v>
      </c>
      <c r="L1298" s="448">
        <f>ROUND((A1298+B1298)/2,2)</f>
        <v>64440</v>
      </c>
    </row>
    <row r="1299" spans="1:12" ht="13.5">
      <c r="A1299" s="448">
        <v>64450</v>
      </c>
      <c r="B1299" s="447">
        <v>64500</v>
      </c>
      <c r="C1299" s="1378">
        <f t="shared" si="101"/>
        <v>0</v>
      </c>
      <c r="D1299" s="448">
        <f t="shared" si="102"/>
        <v>0</v>
      </c>
      <c r="E1299" s="448">
        <f t="shared" si="103"/>
        <v>0</v>
      </c>
      <c r="F1299" s="447">
        <f t="shared" si="100"/>
        <v>0</v>
      </c>
      <c r="G1299" s="1378">
        <f t="shared" si="100"/>
        <v>0</v>
      </c>
      <c r="H1299" s="448">
        <f t="shared" si="100"/>
        <v>0</v>
      </c>
      <c r="I1299" s="448">
        <f t="shared" si="100"/>
        <v>0</v>
      </c>
      <c r="J1299" s="447">
        <f t="shared" si="100"/>
        <v>885</v>
      </c>
      <c r="L1299" s="448">
        <f t="shared" si="98"/>
        <v>64475</v>
      </c>
    </row>
    <row r="1300" spans="1:12" ht="13.5">
      <c r="A1300" s="448">
        <v>64500</v>
      </c>
      <c r="B1300" s="447">
        <v>64550</v>
      </c>
      <c r="C1300" s="1378">
        <f t="shared" si="101"/>
        <v>0</v>
      </c>
      <c r="D1300" s="448">
        <f t="shared" si="102"/>
        <v>0</v>
      </c>
      <c r="E1300" s="448">
        <f t="shared" si="103"/>
        <v>0</v>
      </c>
      <c r="F1300" s="447">
        <f t="shared" si="100"/>
        <v>0</v>
      </c>
      <c r="G1300" s="1378">
        <f t="shared" si="100"/>
        <v>0</v>
      </c>
      <c r="H1300" s="448">
        <f t="shared" si="100"/>
        <v>0</v>
      </c>
      <c r="I1300" s="448">
        <f t="shared" si="100"/>
        <v>0</v>
      </c>
      <c r="J1300" s="447">
        <f t="shared" si="100"/>
        <v>874</v>
      </c>
      <c r="L1300" s="448">
        <f t="shared" ref="L1300:L1343" si="105">ROUND((A1300+B1300)/2,2)</f>
        <v>64525</v>
      </c>
    </row>
    <row r="1301" spans="1:12" ht="13.5">
      <c r="A1301" s="448">
        <v>64550</v>
      </c>
      <c r="B1301" s="447">
        <v>64600</v>
      </c>
      <c r="C1301" s="1378">
        <f t="shared" si="101"/>
        <v>0</v>
      </c>
      <c r="D1301" s="448">
        <f t="shared" si="102"/>
        <v>0</v>
      </c>
      <c r="E1301" s="448">
        <f t="shared" si="103"/>
        <v>0</v>
      </c>
      <c r="F1301" s="447">
        <f t="shared" si="100"/>
        <v>0</v>
      </c>
      <c r="G1301" s="1378">
        <f t="shared" si="100"/>
        <v>0</v>
      </c>
      <c r="H1301" s="448">
        <f t="shared" si="100"/>
        <v>0</v>
      </c>
      <c r="I1301" s="448">
        <f t="shared" si="100"/>
        <v>0</v>
      </c>
      <c r="J1301" s="447">
        <f t="shared" si="100"/>
        <v>863</v>
      </c>
      <c r="L1301" s="448">
        <f t="shared" si="105"/>
        <v>64575</v>
      </c>
    </row>
    <row r="1302" spans="1:12" ht="13.5">
      <c r="A1302" s="448">
        <v>64600</v>
      </c>
      <c r="B1302" s="447">
        <v>64650</v>
      </c>
      <c r="C1302" s="1378">
        <f t="shared" si="101"/>
        <v>0</v>
      </c>
      <c r="D1302" s="448">
        <f t="shared" si="102"/>
        <v>0</v>
      </c>
      <c r="E1302" s="448">
        <f t="shared" si="103"/>
        <v>0</v>
      </c>
      <c r="F1302" s="447">
        <f t="shared" si="100"/>
        <v>0</v>
      </c>
      <c r="G1302" s="1378">
        <f t="shared" si="100"/>
        <v>0</v>
      </c>
      <c r="H1302" s="448">
        <f t="shared" si="100"/>
        <v>0</v>
      </c>
      <c r="I1302" s="448">
        <f t="shared" si="100"/>
        <v>0</v>
      </c>
      <c r="J1302" s="447">
        <f t="shared" si="100"/>
        <v>853</v>
      </c>
      <c r="L1302" s="448">
        <f t="shared" si="105"/>
        <v>64625</v>
      </c>
    </row>
    <row r="1303" spans="1:12" ht="13.5">
      <c r="A1303" s="448">
        <v>64650</v>
      </c>
      <c r="B1303" s="447">
        <v>64700</v>
      </c>
      <c r="C1303" s="1378">
        <f t="shared" si="101"/>
        <v>0</v>
      </c>
      <c r="D1303" s="448">
        <f t="shared" si="102"/>
        <v>0</v>
      </c>
      <c r="E1303" s="448">
        <f t="shared" si="103"/>
        <v>0</v>
      </c>
      <c r="F1303" s="447">
        <f t="shared" si="100"/>
        <v>0</v>
      </c>
      <c r="G1303" s="1378">
        <f t="shared" si="100"/>
        <v>0</v>
      </c>
      <c r="H1303" s="448">
        <f t="shared" si="100"/>
        <v>0</v>
      </c>
      <c r="I1303" s="448">
        <f t="shared" si="100"/>
        <v>0</v>
      </c>
      <c r="J1303" s="447">
        <f t="shared" si="100"/>
        <v>842</v>
      </c>
      <c r="L1303" s="448">
        <f t="shared" si="105"/>
        <v>64675</v>
      </c>
    </row>
    <row r="1304" spans="1:12" ht="13.5">
      <c r="A1304" s="448">
        <v>64700</v>
      </c>
      <c r="B1304" s="447">
        <v>64750</v>
      </c>
      <c r="C1304" s="1378">
        <f t="shared" si="101"/>
        <v>0</v>
      </c>
      <c r="D1304" s="448">
        <f t="shared" si="102"/>
        <v>0</v>
      </c>
      <c r="E1304" s="448">
        <f t="shared" si="103"/>
        <v>0</v>
      </c>
      <c r="F1304" s="447">
        <f t="shared" si="100"/>
        <v>0</v>
      </c>
      <c r="G1304" s="1378">
        <f t="shared" si="100"/>
        <v>0</v>
      </c>
      <c r="H1304" s="448">
        <f t="shared" si="100"/>
        <v>0</v>
      </c>
      <c r="I1304" s="448">
        <f t="shared" si="100"/>
        <v>0</v>
      </c>
      <c r="J1304" s="447">
        <f t="shared" si="100"/>
        <v>832</v>
      </c>
      <c r="L1304" s="448">
        <f t="shared" si="105"/>
        <v>64725</v>
      </c>
    </row>
    <row r="1305" spans="1:12" ht="13.5">
      <c r="A1305" s="448">
        <v>64750</v>
      </c>
      <c r="B1305" s="447">
        <v>64800</v>
      </c>
      <c r="C1305" s="1378">
        <f t="shared" si="101"/>
        <v>0</v>
      </c>
      <c r="D1305" s="448">
        <f t="shared" si="102"/>
        <v>0</v>
      </c>
      <c r="E1305" s="448">
        <f t="shared" si="103"/>
        <v>0</v>
      </c>
      <c r="F1305" s="447">
        <f t="shared" si="100"/>
        <v>0</v>
      </c>
      <c r="G1305" s="1378">
        <f t="shared" si="100"/>
        <v>0</v>
      </c>
      <c r="H1305" s="448">
        <f t="shared" si="100"/>
        <v>0</v>
      </c>
      <c r="I1305" s="448">
        <f t="shared" si="100"/>
        <v>0</v>
      </c>
      <c r="J1305" s="447">
        <f t="shared" si="100"/>
        <v>821</v>
      </c>
      <c r="L1305" s="448">
        <f t="shared" si="105"/>
        <v>64775</v>
      </c>
    </row>
    <row r="1306" spans="1:12" ht="13.5">
      <c r="A1306" s="448">
        <v>64800</v>
      </c>
      <c r="B1306" s="447">
        <v>64850</v>
      </c>
      <c r="C1306" s="1378">
        <f t="shared" si="101"/>
        <v>0</v>
      </c>
      <c r="D1306" s="448">
        <f t="shared" si="102"/>
        <v>0</v>
      </c>
      <c r="E1306" s="448">
        <f t="shared" si="103"/>
        <v>0</v>
      </c>
      <c r="F1306" s="447">
        <f t="shared" si="100"/>
        <v>0</v>
      </c>
      <c r="G1306" s="1378">
        <f t="shared" si="100"/>
        <v>0</v>
      </c>
      <c r="H1306" s="448">
        <f t="shared" si="100"/>
        <v>0</v>
      </c>
      <c r="I1306" s="448">
        <f t="shared" si="100"/>
        <v>0</v>
      </c>
      <c r="J1306" s="447">
        <f t="shared" si="100"/>
        <v>811</v>
      </c>
      <c r="L1306" s="448">
        <f t="shared" si="105"/>
        <v>64825</v>
      </c>
    </row>
    <row r="1307" spans="1:12" ht="13.5">
      <c r="A1307" s="448">
        <v>64850</v>
      </c>
      <c r="B1307" s="447">
        <v>64900</v>
      </c>
      <c r="C1307" s="1378">
        <f t="shared" si="101"/>
        <v>0</v>
      </c>
      <c r="D1307" s="448">
        <f t="shared" si="102"/>
        <v>0</v>
      </c>
      <c r="E1307" s="448">
        <f t="shared" si="103"/>
        <v>0</v>
      </c>
      <c r="F1307" s="447">
        <f t="shared" si="100"/>
        <v>0</v>
      </c>
      <c r="G1307" s="1378">
        <f t="shared" si="100"/>
        <v>0</v>
      </c>
      <c r="H1307" s="448">
        <f t="shared" si="100"/>
        <v>0</v>
      </c>
      <c r="I1307" s="448">
        <f t="shared" si="100"/>
        <v>0</v>
      </c>
      <c r="J1307" s="447">
        <f t="shared" si="100"/>
        <v>800</v>
      </c>
      <c r="L1307" s="448">
        <f t="shared" si="105"/>
        <v>64875</v>
      </c>
    </row>
    <row r="1308" spans="1:12" ht="13.5">
      <c r="A1308" s="448">
        <v>64900</v>
      </c>
      <c r="B1308" s="447">
        <v>64950</v>
      </c>
      <c r="C1308" s="1378">
        <f t="shared" si="101"/>
        <v>0</v>
      </c>
      <c r="D1308" s="448">
        <f t="shared" si="102"/>
        <v>0</v>
      </c>
      <c r="E1308" s="448">
        <f t="shared" si="103"/>
        <v>0</v>
      </c>
      <c r="F1308" s="447">
        <f>IF($L1308&gt;Q$5,MAX(0,Q$3+ROUND((Q$9*($L1308-Q$5)),0)),IF($L1308&gt;Q$4,Q$3,ROUND($L1308*Q$7,0)))</f>
        <v>0</v>
      </c>
      <c r="G1308" s="1378">
        <f>IF($L1308&gt;R$5,MAX(0,R$3+ROUND((R$9*($L1308-R$5)),0)),IF($L1308&gt;R$4,R$3,ROUND($L1308*R$7,0)))</f>
        <v>0</v>
      </c>
      <c r="H1308" s="448">
        <f>IF($L1308&gt;S$5,MAX(0,S$3+ROUND((S$9*($L1308-S$5)),0)),IF($L1308&gt;S$4,S$3,ROUND($L1308*S$7,0)))</f>
        <v>0</v>
      </c>
      <c r="I1308" s="448">
        <f>IF($L1308&gt;T$5,MAX(0,T$3+ROUND((T$9*($L1308-T$5)),0)),IF($L1308&gt;T$4,T$3,ROUND($L1308*T$7,0)))</f>
        <v>0</v>
      </c>
      <c r="J1308" s="447">
        <f>IF($L1308&gt;U$5,MAX(0,U$3+ROUND((U$9*($L1308-U$5)),0)),IF($L1308&gt;U$4,U$3,ROUND($L1308*U$7,0)))</f>
        <v>790</v>
      </c>
      <c r="L1308" s="448">
        <f t="shared" si="105"/>
        <v>64925</v>
      </c>
    </row>
    <row r="1309" spans="1:12" ht="13.5">
      <c r="A1309" s="448">
        <v>64950</v>
      </c>
      <c r="B1309" s="447">
        <v>65000</v>
      </c>
      <c r="C1309" s="1378">
        <f t="shared" ref="C1309:J1340" si="106">IF($L1309&gt;N$5,MAX(0,N$3+ROUND((N$9*($L1309-N$5)),0)),IF($L1309&gt;N$4,N$3,ROUND($L1309*N$7,0)))</f>
        <v>0</v>
      </c>
      <c r="D1309" s="448">
        <f t="shared" si="106"/>
        <v>0</v>
      </c>
      <c r="E1309" s="448">
        <f t="shared" si="106"/>
        <v>0</v>
      </c>
      <c r="F1309" s="447">
        <f t="shared" si="106"/>
        <v>0</v>
      </c>
      <c r="G1309" s="1378">
        <f t="shared" si="106"/>
        <v>0</v>
      </c>
      <c r="H1309" s="448">
        <f t="shared" si="106"/>
        <v>0</v>
      </c>
      <c r="I1309" s="448">
        <f t="shared" si="106"/>
        <v>0</v>
      </c>
      <c r="J1309" s="447">
        <f t="shared" si="106"/>
        <v>779</v>
      </c>
      <c r="L1309" s="448">
        <f t="shared" si="105"/>
        <v>64975</v>
      </c>
    </row>
    <row r="1310" spans="1:12" ht="13.5">
      <c r="A1310" s="448">
        <v>65000</v>
      </c>
      <c r="B1310" s="447">
        <v>65050</v>
      </c>
      <c r="C1310" s="1378">
        <f t="shared" si="106"/>
        <v>0</v>
      </c>
      <c r="D1310" s="448">
        <f t="shared" si="106"/>
        <v>0</v>
      </c>
      <c r="E1310" s="448">
        <f t="shared" si="106"/>
        <v>0</v>
      </c>
      <c r="F1310" s="447">
        <f t="shared" si="106"/>
        <v>0</v>
      </c>
      <c r="G1310" s="1378">
        <f t="shared" si="106"/>
        <v>0</v>
      </c>
      <c r="H1310" s="448">
        <f t="shared" si="106"/>
        <v>0</v>
      </c>
      <c r="I1310" s="448">
        <f t="shared" si="106"/>
        <v>0</v>
      </c>
      <c r="J1310" s="447">
        <f t="shared" si="106"/>
        <v>769</v>
      </c>
      <c r="L1310" s="448">
        <f t="shared" si="105"/>
        <v>65025</v>
      </c>
    </row>
    <row r="1311" spans="1:12" ht="13.5">
      <c r="A1311" s="448">
        <v>65050</v>
      </c>
      <c r="B1311" s="447">
        <v>65100</v>
      </c>
      <c r="C1311" s="1378">
        <f t="shared" si="106"/>
        <v>0</v>
      </c>
      <c r="D1311" s="448">
        <f t="shared" si="106"/>
        <v>0</v>
      </c>
      <c r="E1311" s="448">
        <f t="shared" si="106"/>
        <v>0</v>
      </c>
      <c r="F1311" s="447">
        <f t="shared" si="106"/>
        <v>0</v>
      </c>
      <c r="G1311" s="1378">
        <f t="shared" si="106"/>
        <v>0</v>
      </c>
      <c r="H1311" s="448">
        <f t="shared" si="106"/>
        <v>0</v>
      </c>
      <c r="I1311" s="448">
        <f t="shared" si="106"/>
        <v>0</v>
      </c>
      <c r="J1311" s="447">
        <f t="shared" si="106"/>
        <v>758</v>
      </c>
      <c r="L1311" s="448">
        <f t="shared" si="105"/>
        <v>65075</v>
      </c>
    </row>
    <row r="1312" spans="1:12" ht="13.5">
      <c r="A1312" s="448">
        <v>65100</v>
      </c>
      <c r="B1312" s="447">
        <v>65150</v>
      </c>
      <c r="C1312" s="1378">
        <f t="shared" si="106"/>
        <v>0</v>
      </c>
      <c r="D1312" s="448">
        <f t="shared" si="106"/>
        <v>0</v>
      </c>
      <c r="E1312" s="448">
        <f t="shared" si="106"/>
        <v>0</v>
      </c>
      <c r="F1312" s="447">
        <f t="shared" si="106"/>
        <v>0</v>
      </c>
      <c r="G1312" s="1378">
        <f t="shared" si="106"/>
        <v>0</v>
      </c>
      <c r="H1312" s="448">
        <f t="shared" si="106"/>
        <v>0</v>
      </c>
      <c r="I1312" s="448">
        <f t="shared" si="106"/>
        <v>0</v>
      </c>
      <c r="J1312" s="447">
        <f t="shared" si="106"/>
        <v>748</v>
      </c>
      <c r="L1312" s="448">
        <f t="shared" si="105"/>
        <v>65125</v>
      </c>
    </row>
    <row r="1313" spans="1:12" ht="13.5">
      <c r="A1313" s="448">
        <v>65150</v>
      </c>
      <c r="B1313" s="447">
        <v>65200</v>
      </c>
      <c r="C1313" s="1378">
        <f t="shared" si="106"/>
        <v>0</v>
      </c>
      <c r="D1313" s="448">
        <f t="shared" si="106"/>
        <v>0</v>
      </c>
      <c r="E1313" s="448">
        <f t="shared" si="106"/>
        <v>0</v>
      </c>
      <c r="F1313" s="447">
        <f t="shared" si="106"/>
        <v>0</v>
      </c>
      <c r="G1313" s="1378">
        <f t="shared" si="106"/>
        <v>0</v>
      </c>
      <c r="H1313" s="448">
        <f t="shared" si="106"/>
        <v>0</v>
      </c>
      <c r="I1313" s="448">
        <f t="shared" si="106"/>
        <v>0</v>
      </c>
      <c r="J1313" s="447">
        <f t="shared" si="106"/>
        <v>737</v>
      </c>
      <c r="L1313" s="448">
        <f t="shared" si="105"/>
        <v>65175</v>
      </c>
    </row>
    <row r="1314" spans="1:12" ht="13.5">
      <c r="A1314" s="448">
        <v>65200</v>
      </c>
      <c r="B1314" s="447">
        <v>65250</v>
      </c>
      <c r="C1314" s="1378">
        <f t="shared" si="106"/>
        <v>0</v>
      </c>
      <c r="D1314" s="448">
        <f t="shared" si="106"/>
        <v>0</v>
      </c>
      <c r="E1314" s="448">
        <f t="shared" si="106"/>
        <v>0</v>
      </c>
      <c r="F1314" s="447">
        <f t="shared" si="106"/>
        <v>0</v>
      </c>
      <c r="G1314" s="1378">
        <f t="shared" si="106"/>
        <v>0</v>
      </c>
      <c r="H1314" s="448">
        <f t="shared" si="106"/>
        <v>0</v>
      </c>
      <c r="I1314" s="448">
        <f t="shared" si="106"/>
        <v>0</v>
      </c>
      <c r="J1314" s="447">
        <f t="shared" si="106"/>
        <v>727</v>
      </c>
      <c r="L1314" s="448">
        <f t="shared" si="105"/>
        <v>65225</v>
      </c>
    </row>
    <row r="1315" spans="1:12" ht="13.5">
      <c r="A1315" s="448">
        <v>65250</v>
      </c>
      <c r="B1315" s="447">
        <v>65300</v>
      </c>
      <c r="C1315" s="1378">
        <f t="shared" si="106"/>
        <v>0</v>
      </c>
      <c r="D1315" s="448">
        <f t="shared" si="106"/>
        <v>0</v>
      </c>
      <c r="E1315" s="448">
        <f t="shared" si="106"/>
        <v>0</v>
      </c>
      <c r="F1315" s="447">
        <f t="shared" si="106"/>
        <v>0</v>
      </c>
      <c r="G1315" s="1378">
        <f t="shared" si="106"/>
        <v>0</v>
      </c>
      <c r="H1315" s="448">
        <f t="shared" si="106"/>
        <v>0</v>
      </c>
      <c r="I1315" s="448">
        <f t="shared" si="106"/>
        <v>0</v>
      </c>
      <c r="J1315" s="447">
        <f t="shared" si="106"/>
        <v>716</v>
      </c>
      <c r="L1315" s="448">
        <f t="shared" si="105"/>
        <v>65275</v>
      </c>
    </row>
    <row r="1316" spans="1:12" ht="13.5">
      <c r="A1316" s="448">
        <v>65300</v>
      </c>
      <c r="B1316" s="447">
        <v>65350</v>
      </c>
      <c r="C1316" s="1378">
        <f t="shared" si="106"/>
        <v>0</v>
      </c>
      <c r="D1316" s="448">
        <f t="shared" si="106"/>
        <v>0</v>
      </c>
      <c r="E1316" s="448">
        <f t="shared" si="106"/>
        <v>0</v>
      </c>
      <c r="F1316" s="447">
        <f t="shared" si="106"/>
        <v>0</v>
      </c>
      <c r="G1316" s="1378">
        <f t="shared" si="106"/>
        <v>0</v>
      </c>
      <c r="H1316" s="448">
        <f t="shared" si="106"/>
        <v>0</v>
      </c>
      <c r="I1316" s="448">
        <f t="shared" si="106"/>
        <v>0</v>
      </c>
      <c r="J1316" s="447">
        <f t="shared" si="106"/>
        <v>706</v>
      </c>
      <c r="L1316" s="448">
        <f t="shared" si="105"/>
        <v>65325</v>
      </c>
    </row>
    <row r="1317" spans="1:12" ht="13.5">
      <c r="A1317" s="448">
        <v>65350</v>
      </c>
      <c r="B1317" s="447">
        <v>65400</v>
      </c>
      <c r="C1317" s="1378">
        <f t="shared" si="106"/>
        <v>0</v>
      </c>
      <c r="D1317" s="448">
        <f t="shared" si="106"/>
        <v>0</v>
      </c>
      <c r="E1317" s="448">
        <f t="shared" si="106"/>
        <v>0</v>
      </c>
      <c r="F1317" s="447">
        <f t="shared" si="106"/>
        <v>0</v>
      </c>
      <c r="G1317" s="1378">
        <f t="shared" si="106"/>
        <v>0</v>
      </c>
      <c r="H1317" s="448">
        <f t="shared" si="106"/>
        <v>0</v>
      </c>
      <c r="I1317" s="448">
        <f t="shared" si="106"/>
        <v>0</v>
      </c>
      <c r="J1317" s="447">
        <f t="shared" si="106"/>
        <v>695</v>
      </c>
      <c r="L1317" s="448">
        <f t="shared" si="105"/>
        <v>65375</v>
      </c>
    </row>
    <row r="1318" spans="1:12" ht="13.5">
      <c r="A1318" s="448">
        <v>65400</v>
      </c>
      <c r="B1318" s="447">
        <v>65450</v>
      </c>
      <c r="C1318" s="1378">
        <f t="shared" si="106"/>
        <v>0</v>
      </c>
      <c r="D1318" s="448">
        <f t="shared" si="106"/>
        <v>0</v>
      </c>
      <c r="E1318" s="448">
        <f t="shared" si="106"/>
        <v>0</v>
      </c>
      <c r="F1318" s="447">
        <f t="shared" si="106"/>
        <v>0</v>
      </c>
      <c r="G1318" s="1378">
        <f t="shared" si="106"/>
        <v>0</v>
      </c>
      <c r="H1318" s="448">
        <f t="shared" si="106"/>
        <v>0</v>
      </c>
      <c r="I1318" s="448">
        <f t="shared" si="106"/>
        <v>0</v>
      </c>
      <c r="J1318" s="447">
        <f t="shared" si="106"/>
        <v>684</v>
      </c>
      <c r="L1318" s="448">
        <f t="shared" si="105"/>
        <v>65425</v>
      </c>
    </row>
    <row r="1319" spans="1:12" ht="13.5">
      <c r="A1319" s="448">
        <v>65450</v>
      </c>
      <c r="B1319" s="447">
        <v>65500</v>
      </c>
      <c r="C1319" s="1378">
        <f t="shared" si="106"/>
        <v>0</v>
      </c>
      <c r="D1319" s="448">
        <f t="shared" si="106"/>
        <v>0</v>
      </c>
      <c r="E1319" s="448">
        <f t="shared" si="106"/>
        <v>0</v>
      </c>
      <c r="F1319" s="447">
        <f t="shared" si="106"/>
        <v>0</v>
      </c>
      <c r="G1319" s="1378">
        <f t="shared" si="106"/>
        <v>0</v>
      </c>
      <c r="H1319" s="448">
        <f t="shared" si="106"/>
        <v>0</v>
      </c>
      <c r="I1319" s="448">
        <f t="shared" si="106"/>
        <v>0</v>
      </c>
      <c r="J1319" s="447">
        <f t="shared" si="106"/>
        <v>674</v>
      </c>
      <c r="L1319" s="448">
        <f t="shared" si="105"/>
        <v>65475</v>
      </c>
    </row>
    <row r="1320" spans="1:12" ht="13.5">
      <c r="A1320" s="448">
        <v>65500</v>
      </c>
      <c r="B1320" s="447">
        <v>65550</v>
      </c>
      <c r="C1320" s="1378">
        <f t="shared" si="106"/>
        <v>0</v>
      </c>
      <c r="D1320" s="448">
        <f t="shared" si="106"/>
        <v>0</v>
      </c>
      <c r="E1320" s="448">
        <f t="shared" si="106"/>
        <v>0</v>
      </c>
      <c r="F1320" s="447">
        <f t="shared" si="106"/>
        <v>0</v>
      </c>
      <c r="G1320" s="1378">
        <f t="shared" si="106"/>
        <v>0</v>
      </c>
      <c r="H1320" s="448">
        <f t="shared" si="106"/>
        <v>0</v>
      </c>
      <c r="I1320" s="448">
        <f t="shared" si="106"/>
        <v>0</v>
      </c>
      <c r="J1320" s="447">
        <f t="shared" si="106"/>
        <v>663</v>
      </c>
      <c r="L1320" s="448">
        <f t="shared" si="105"/>
        <v>65525</v>
      </c>
    </row>
    <row r="1321" spans="1:12" ht="13.5">
      <c r="A1321" s="448">
        <v>65550</v>
      </c>
      <c r="B1321" s="447">
        <v>65600</v>
      </c>
      <c r="C1321" s="1378">
        <f t="shared" si="106"/>
        <v>0</v>
      </c>
      <c r="D1321" s="448">
        <f t="shared" si="106"/>
        <v>0</v>
      </c>
      <c r="E1321" s="448">
        <f t="shared" si="106"/>
        <v>0</v>
      </c>
      <c r="F1321" s="447">
        <f t="shared" si="106"/>
        <v>0</v>
      </c>
      <c r="G1321" s="1378">
        <f t="shared" si="106"/>
        <v>0</v>
      </c>
      <c r="H1321" s="448">
        <f t="shared" si="106"/>
        <v>0</v>
      </c>
      <c r="I1321" s="448">
        <f t="shared" si="106"/>
        <v>0</v>
      </c>
      <c r="J1321" s="447">
        <f t="shared" si="106"/>
        <v>653</v>
      </c>
      <c r="L1321" s="448">
        <f t="shared" si="105"/>
        <v>65575</v>
      </c>
    </row>
    <row r="1322" spans="1:12" ht="13.5">
      <c r="A1322" s="448">
        <v>65600</v>
      </c>
      <c r="B1322" s="447">
        <v>65650</v>
      </c>
      <c r="C1322" s="1378">
        <f t="shared" si="106"/>
        <v>0</v>
      </c>
      <c r="D1322" s="448">
        <f t="shared" si="106"/>
        <v>0</v>
      </c>
      <c r="E1322" s="448">
        <f t="shared" si="106"/>
        <v>0</v>
      </c>
      <c r="F1322" s="447">
        <f t="shared" si="106"/>
        <v>0</v>
      </c>
      <c r="G1322" s="1378">
        <f t="shared" si="106"/>
        <v>0</v>
      </c>
      <c r="H1322" s="448">
        <f t="shared" si="106"/>
        <v>0</v>
      </c>
      <c r="I1322" s="448">
        <f t="shared" si="106"/>
        <v>0</v>
      </c>
      <c r="J1322" s="447">
        <f t="shared" si="106"/>
        <v>642</v>
      </c>
      <c r="L1322" s="448">
        <f t="shared" si="105"/>
        <v>65625</v>
      </c>
    </row>
    <row r="1323" spans="1:12" ht="13.5">
      <c r="A1323" s="448">
        <v>65650</v>
      </c>
      <c r="B1323" s="447">
        <v>65700</v>
      </c>
      <c r="C1323" s="1378">
        <f t="shared" si="106"/>
        <v>0</v>
      </c>
      <c r="D1323" s="448">
        <f t="shared" si="106"/>
        <v>0</v>
      </c>
      <c r="E1323" s="448">
        <f t="shared" si="106"/>
        <v>0</v>
      </c>
      <c r="F1323" s="447">
        <f t="shared" si="106"/>
        <v>0</v>
      </c>
      <c r="G1323" s="1378">
        <f t="shared" si="106"/>
        <v>0</v>
      </c>
      <c r="H1323" s="448">
        <f t="shared" si="106"/>
        <v>0</v>
      </c>
      <c r="I1323" s="448">
        <f t="shared" si="106"/>
        <v>0</v>
      </c>
      <c r="J1323" s="447">
        <f t="shared" si="106"/>
        <v>632</v>
      </c>
      <c r="L1323" s="448">
        <f t="shared" si="105"/>
        <v>65675</v>
      </c>
    </row>
    <row r="1324" spans="1:12" ht="13.5">
      <c r="A1324" s="448">
        <v>65700</v>
      </c>
      <c r="B1324" s="447">
        <v>65750</v>
      </c>
      <c r="C1324" s="1378">
        <f t="shared" si="106"/>
        <v>0</v>
      </c>
      <c r="D1324" s="448">
        <f t="shared" si="106"/>
        <v>0</v>
      </c>
      <c r="E1324" s="448">
        <f t="shared" si="106"/>
        <v>0</v>
      </c>
      <c r="F1324" s="447">
        <f t="shared" si="106"/>
        <v>0</v>
      </c>
      <c r="G1324" s="1378">
        <f t="shared" si="106"/>
        <v>0</v>
      </c>
      <c r="H1324" s="448">
        <f t="shared" si="106"/>
        <v>0</v>
      </c>
      <c r="I1324" s="448">
        <f t="shared" si="106"/>
        <v>0</v>
      </c>
      <c r="J1324" s="447">
        <f t="shared" si="106"/>
        <v>621</v>
      </c>
      <c r="L1324" s="448">
        <f t="shared" si="105"/>
        <v>65725</v>
      </c>
    </row>
    <row r="1325" spans="1:12" ht="13.5">
      <c r="A1325" s="448">
        <v>65750</v>
      </c>
      <c r="B1325" s="447">
        <v>65800</v>
      </c>
      <c r="C1325" s="1378">
        <f t="shared" si="106"/>
        <v>0</v>
      </c>
      <c r="D1325" s="448">
        <f t="shared" si="106"/>
        <v>0</v>
      </c>
      <c r="E1325" s="448">
        <f t="shared" si="106"/>
        <v>0</v>
      </c>
      <c r="F1325" s="447">
        <f t="shared" si="106"/>
        <v>0</v>
      </c>
      <c r="G1325" s="1378">
        <f t="shared" si="106"/>
        <v>0</v>
      </c>
      <c r="H1325" s="448">
        <f t="shared" si="106"/>
        <v>0</v>
      </c>
      <c r="I1325" s="448">
        <f t="shared" si="106"/>
        <v>0</v>
      </c>
      <c r="J1325" s="447">
        <f t="shared" si="106"/>
        <v>611</v>
      </c>
      <c r="L1325" s="448">
        <f t="shared" si="105"/>
        <v>65775</v>
      </c>
    </row>
    <row r="1326" spans="1:12" ht="13.5">
      <c r="A1326" s="448">
        <v>65800</v>
      </c>
      <c r="B1326" s="447">
        <v>65850</v>
      </c>
      <c r="C1326" s="1378">
        <f t="shared" si="106"/>
        <v>0</v>
      </c>
      <c r="D1326" s="448">
        <f t="shared" si="106"/>
        <v>0</v>
      </c>
      <c r="E1326" s="448">
        <f t="shared" si="106"/>
        <v>0</v>
      </c>
      <c r="F1326" s="447">
        <f t="shared" si="106"/>
        <v>0</v>
      </c>
      <c r="G1326" s="1378">
        <f t="shared" si="106"/>
        <v>0</v>
      </c>
      <c r="H1326" s="448">
        <f t="shared" si="106"/>
        <v>0</v>
      </c>
      <c r="I1326" s="448">
        <f t="shared" si="106"/>
        <v>0</v>
      </c>
      <c r="J1326" s="447">
        <f t="shared" si="106"/>
        <v>600</v>
      </c>
      <c r="L1326" s="448">
        <f t="shared" si="105"/>
        <v>65825</v>
      </c>
    </row>
    <row r="1327" spans="1:12" ht="13.5">
      <c r="A1327" s="448">
        <v>65850</v>
      </c>
      <c r="B1327" s="447">
        <v>65900</v>
      </c>
      <c r="C1327" s="1378">
        <f t="shared" si="106"/>
        <v>0</v>
      </c>
      <c r="D1327" s="448">
        <f t="shared" si="106"/>
        <v>0</v>
      </c>
      <c r="E1327" s="448">
        <f t="shared" si="106"/>
        <v>0</v>
      </c>
      <c r="F1327" s="447">
        <f t="shared" si="106"/>
        <v>0</v>
      </c>
      <c r="G1327" s="1378">
        <f t="shared" si="106"/>
        <v>0</v>
      </c>
      <c r="H1327" s="448">
        <f t="shared" si="106"/>
        <v>0</v>
      </c>
      <c r="I1327" s="448">
        <f t="shared" si="106"/>
        <v>0</v>
      </c>
      <c r="J1327" s="447">
        <f t="shared" si="106"/>
        <v>590</v>
      </c>
      <c r="L1327" s="448">
        <f t="shared" si="105"/>
        <v>65875</v>
      </c>
    </row>
    <row r="1328" spans="1:12" ht="13.5">
      <c r="A1328" s="448">
        <v>65900</v>
      </c>
      <c r="B1328" s="447">
        <v>65950</v>
      </c>
      <c r="C1328" s="1378">
        <f t="shared" si="106"/>
        <v>0</v>
      </c>
      <c r="D1328" s="448">
        <f t="shared" si="106"/>
        <v>0</v>
      </c>
      <c r="E1328" s="448">
        <f t="shared" si="106"/>
        <v>0</v>
      </c>
      <c r="F1328" s="447">
        <f t="shared" si="106"/>
        <v>0</v>
      </c>
      <c r="G1328" s="1378">
        <f t="shared" si="106"/>
        <v>0</v>
      </c>
      <c r="H1328" s="448">
        <f t="shared" si="106"/>
        <v>0</v>
      </c>
      <c r="I1328" s="448">
        <f t="shared" si="106"/>
        <v>0</v>
      </c>
      <c r="J1328" s="447">
        <f t="shared" si="106"/>
        <v>579</v>
      </c>
      <c r="L1328" s="448">
        <f t="shared" si="105"/>
        <v>65925</v>
      </c>
    </row>
    <row r="1329" spans="1:12" ht="13.5">
      <c r="A1329" s="448">
        <v>65950</v>
      </c>
      <c r="B1329" s="447">
        <v>66000</v>
      </c>
      <c r="C1329" s="1378">
        <f t="shared" si="106"/>
        <v>0</v>
      </c>
      <c r="D1329" s="448">
        <f t="shared" si="106"/>
        <v>0</v>
      </c>
      <c r="E1329" s="448">
        <f t="shared" si="106"/>
        <v>0</v>
      </c>
      <c r="F1329" s="447">
        <f t="shared" si="106"/>
        <v>0</v>
      </c>
      <c r="G1329" s="1378">
        <f t="shared" si="106"/>
        <v>0</v>
      </c>
      <c r="H1329" s="448">
        <f t="shared" si="106"/>
        <v>0</v>
      </c>
      <c r="I1329" s="448">
        <f t="shared" si="106"/>
        <v>0</v>
      </c>
      <c r="J1329" s="447">
        <f t="shared" si="106"/>
        <v>569</v>
      </c>
      <c r="L1329" s="448">
        <f t="shared" si="105"/>
        <v>65975</v>
      </c>
    </row>
    <row r="1330" spans="1:12" ht="13.5">
      <c r="A1330" s="448">
        <v>66000</v>
      </c>
      <c r="B1330" s="447">
        <v>66050</v>
      </c>
      <c r="C1330" s="1378">
        <f t="shared" si="106"/>
        <v>0</v>
      </c>
      <c r="D1330" s="448">
        <f t="shared" si="106"/>
        <v>0</v>
      </c>
      <c r="E1330" s="448">
        <f t="shared" si="106"/>
        <v>0</v>
      </c>
      <c r="F1330" s="447">
        <f t="shared" si="106"/>
        <v>0</v>
      </c>
      <c r="G1330" s="1378">
        <f t="shared" si="106"/>
        <v>0</v>
      </c>
      <c r="H1330" s="448">
        <f t="shared" si="106"/>
        <v>0</v>
      </c>
      <c r="I1330" s="448">
        <f t="shared" si="106"/>
        <v>0</v>
      </c>
      <c r="J1330" s="447">
        <f t="shared" si="106"/>
        <v>558</v>
      </c>
      <c r="L1330" s="448">
        <f t="shared" si="105"/>
        <v>66025</v>
      </c>
    </row>
    <row r="1331" spans="1:12" ht="13.5">
      <c r="A1331" s="448">
        <v>66050</v>
      </c>
      <c r="B1331" s="447">
        <v>66100</v>
      </c>
      <c r="C1331" s="1378">
        <f t="shared" si="106"/>
        <v>0</v>
      </c>
      <c r="D1331" s="448">
        <f t="shared" si="106"/>
        <v>0</v>
      </c>
      <c r="E1331" s="448">
        <f t="shared" si="106"/>
        <v>0</v>
      </c>
      <c r="F1331" s="447">
        <f t="shared" si="106"/>
        <v>0</v>
      </c>
      <c r="G1331" s="1378">
        <f t="shared" si="106"/>
        <v>0</v>
      </c>
      <c r="H1331" s="448">
        <f t="shared" si="106"/>
        <v>0</v>
      </c>
      <c r="I1331" s="448">
        <f t="shared" si="106"/>
        <v>0</v>
      </c>
      <c r="J1331" s="447">
        <f t="shared" si="106"/>
        <v>548</v>
      </c>
      <c r="L1331" s="448">
        <f t="shared" si="105"/>
        <v>66075</v>
      </c>
    </row>
    <row r="1332" spans="1:12" ht="13.5">
      <c r="A1332" s="448">
        <v>66100</v>
      </c>
      <c r="B1332" s="447">
        <v>66150</v>
      </c>
      <c r="C1332" s="1378">
        <f t="shared" si="106"/>
        <v>0</v>
      </c>
      <c r="D1332" s="448">
        <f t="shared" si="106"/>
        <v>0</v>
      </c>
      <c r="E1332" s="448">
        <f t="shared" si="106"/>
        <v>0</v>
      </c>
      <c r="F1332" s="447">
        <f t="shared" si="106"/>
        <v>0</v>
      </c>
      <c r="G1332" s="1378">
        <f t="shared" si="106"/>
        <v>0</v>
      </c>
      <c r="H1332" s="448">
        <f t="shared" si="106"/>
        <v>0</v>
      </c>
      <c r="I1332" s="448">
        <f t="shared" si="106"/>
        <v>0</v>
      </c>
      <c r="J1332" s="447">
        <f t="shared" si="106"/>
        <v>537</v>
      </c>
      <c r="L1332" s="448">
        <f t="shared" si="105"/>
        <v>66125</v>
      </c>
    </row>
    <row r="1333" spans="1:12" ht="13.5">
      <c r="A1333" s="448">
        <v>66150</v>
      </c>
      <c r="B1333" s="447">
        <v>66200</v>
      </c>
      <c r="C1333" s="1378">
        <f t="shared" si="106"/>
        <v>0</v>
      </c>
      <c r="D1333" s="448">
        <f t="shared" si="106"/>
        <v>0</v>
      </c>
      <c r="E1333" s="448">
        <f t="shared" si="106"/>
        <v>0</v>
      </c>
      <c r="F1333" s="447">
        <f t="shared" si="106"/>
        <v>0</v>
      </c>
      <c r="G1333" s="1378">
        <f t="shared" si="106"/>
        <v>0</v>
      </c>
      <c r="H1333" s="448">
        <f t="shared" si="106"/>
        <v>0</v>
      </c>
      <c r="I1333" s="448">
        <f t="shared" si="106"/>
        <v>0</v>
      </c>
      <c r="J1333" s="447">
        <f t="shared" si="106"/>
        <v>526</v>
      </c>
      <c r="L1333" s="448">
        <f t="shared" si="105"/>
        <v>66175</v>
      </c>
    </row>
    <row r="1334" spans="1:12" ht="13.5">
      <c r="A1334" s="448">
        <v>66200</v>
      </c>
      <c r="B1334" s="447">
        <v>66250</v>
      </c>
      <c r="C1334" s="1378">
        <f t="shared" si="106"/>
        <v>0</v>
      </c>
      <c r="D1334" s="448">
        <f t="shared" si="106"/>
        <v>0</v>
      </c>
      <c r="E1334" s="448">
        <f t="shared" si="106"/>
        <v>0</v>
      </c>
      <c r="F1334" s="447">
        <f t="shared" si="106"/>
        <v>0</v>
      </c>
      <c r="G1334" s="1378">
        <f t="shared" si="106"/>
        <v>0</v>
      </c>
      <c r="H1334" s="448">
        <f t="shared" si="106"/>
        <v>0</v>
      </c>
      <c r="I1334" s="448">
        <f t="shared" si="106"/>
        <v>0</v>
      </c>
      <c r="J1334" s="447">
        <f t="shared" si="106"/>
        <v>516</v>
      </c>
      <c r="L1334" s="448">
        <f t="shared" si="105"/>
        <v>66225</v>
      </c>
    </row>
    <row r="1335" spans="1:12" ht="13.5">
      <c r="A1335" s="448">
        <v>66250</v>
      </c>
      <c r="B1335" s="447">
        <v>66300</v>
      </c>
      <c r="C1335" s="1378">
        <f t="shared" si="106"/>
        <v>0</v>
      </c>
      <c r="D1335" s="448">
        <f t="shared" si="106"/>
        <v>0</v>
      </c>
      <c r="E1335" s="448">
        <f t="shared" si="106"/>
        <v>0</v>
      </c>
      <c r="F1335" s="447">
        <f t="shared" si="106"/>
        <v>0</v>
      </c>
      <c r="G1335" s="1378">
        <f t="shared" si="106"/>
        <v>0</v>
      </c>
      <c r="H1335" s="448">
        <f t="shared" si="106"/>
        <v>0</v>
      </c>
      <c r="I1335" s="448">
        <f t="shared" si="106"/>
        <v>0</v>
      </c>
      <c r="J1335" s="447">
        <f t="shared" si="106"/>
        <v>505</v>
      </c>
      <c r="L1335" s="448">
        <f t="shared" si="105"/>
        <v>66275</v>
      </c>
    </row>
    <row r="1336" spans="1:12" ht="13.5">
      <c r="A1336" s="448">
        <v>66300</v>
      </c>
      <c r="B1336" s="447">
        <v>66350</v>
      </c>
      <c r="C1336" s="1378">
        <f t="shared" si="106"/>
        <v>0</v>
      </c>
      <c r="D1336" s="448">
        <f t="shared" si="106"/>
        <v>0</v>
      </c>
      <c r="E1336" s="448">
        <f t="shared" si="106"/>
        <v>0</v>
      </c>
      <c r="F1336" s="447">
        <f t="shared" si="106"/>
        <v>0</v>
      </c>
      <c r="G1336" s="1378">
        <f t="shared" si="106"/>
        <v>0</v>
      </c>
      <c r="H1336" s="448">
        <f t="shared" si="106"/>
        <v>0</v>
      </c>
      <c r="I1336" s="448">
        <f t="shared" si="106"/>
        <v>0</v>
      </c>
      <c r="J1336" s="447">
        <f t="shared" si="106"/>
        <v>495</v>
      </c>
      <c r="L1336" s="448">
        <f t="shared" si="105"/>
        <v>66325</v>
      </c>
    </row>
    <row r="1337" spans="1:12" ht="13.5">
      <c r="A1337" s="448">
        <v>66350</v>
      </c>
      <c r="B1337" s="447">
        <v>66400</v>
      </c>
      <c r="C1337" s="1378">
        <f t="shared" si="106"/>
        <v>0</v>
      </c>
      <c r="D1337" s="448">
        <f t="shared" si="106"/>
        <v>0</v>
      </c>
      <c r="E1337" s="448">
        <f t="shared" si="106"/>
        <v>0</v>
      </c>
      <c r="F1337" s="447">
        <f t="shared" si="106"/>
        <v>0</v>
      </c>
      <c r="G1337" s="1378">
        <f t="shared" si="106"/>
        <v>0</v>
      </c>
      <c r="H1337" s="448">
        <f t="shared" si="106"/>
        <v>0</v>
      </c>
      <c r="I1337" s="448">
        <f t="shared" si="106"/>
        <v>0</v>
      </c>
      <c r="J1337" s="447">
        <f t="shared" si="106"/>
        <v>484</v>
      </c>
      <c r="L1337" s="448">
        <f t="shared" si="105"/>
        <v>66375</v>
      </c>
    </row>
    <row r="1338" spans="1:12" ht="13.5">
      <c r="A1338" s="448">
        <v>66400</v>
      </c>
      <c r="B1338" s="447">
        <v>66450</v>
      </c>
      <c r="C1338" s="1378">
        <f t="shared" si="106"/>
        <v>0</v>
      </c>
      <c r="D1338" s="448">
        <f t="shared" si="106"/>
        <v>0</v>
      </c>
      <c r="E1338" s="448">
        <f t="shared" si="106"/>
        <v>0</v>
      </c>
      <c r="F1338" s="447">
        <f t="shared" si="106"/>
        <v>0</v>
      </c>
      <c r="G1338" s="1378">
        <f t="shared" si="106"/>
        <v>0</v>
      </c>
      <c r="H1338" s="448">
        <f t="shared" si="106"/>
        <v>0</v>
      </c>
      <c r="I1338" s="448">
        <f t="shared" si="106"/>
        <v>0</v>
      </c>
      <c r="J1338" s="447">
        <f t="shared" si="106"/>
        <v>474</v>
      </c>
      <c r="L1338" s="448">
        <f t="shared" si="105"/>
        <v>66425</v>
      </c>
    </row>
    <row r="1339" spans="1:12" ht="13.5">
      <c r="A1339" s="448">
        <v>66450</v>
      </c>
      <c r="B1339" s="447">
        <v>66500</v>
      </c>
      <c r="C1339" s="1378">
        <f t="shared" si="106"/>
        <v>0</v>
      </c>
      <c r="D1339" s="448">
        <f t="shared" si="106"/>
        <v>0</v>
      </c>
      <c r="E1339" s="448">
        <f t="shared" si="106"/>
        <v>0</v>
      </c>
      <c r="F1339" s="447">
        <f t="shared" si="106"/>
        <v>0</v>
      </c>
      <c r="G1339" s="1378">
        <f t="shared" si="106"/>
        <v>0</v>
      </c>
      <c r="H1339" s="448">
        <f t="shared" si="106"/>
        <v>0</v>
      </c>
      <c r="I1339" s="448">
        <f t="shared" si="106"/>
        <v>0</v>
      </c>
      <c r="J1339" s="447">
        <f t="shared" si="106"/>
        <v>463</v>
      </c>
      <c r="L1339" s="448">
        <f t="shared" si="105"/>
        <v>66475</v>
      </c>
    </row>
    <row r="1340" spans="1:12" ht="13.5">
      <c r="A1340" s="448">
        <v>66500</v>
      </c>
      <c r="B1340" s="447">
        <v>66550</v>
      </c>
      <c r="C1340" s="1378">
        <f t="shared" si="106"/>
        <v>0</v>
      </c>
      <c r="D1340" s="448">
        <f t="shared" si="106"/>
        <v>0</v>
      </c>
      <c r="E1340" s="448">
        <f t="shared" si="106"/>
        <v>0</v>
      </c>
      <c r="F1340" s="447">
        <f t="shared" si="106"/>
        <v>0</v>
      </c>
      <c r="G1340" s="1378">
        <f t="shared" si="106"/>
        <v>0</v>
      </c>
      <c r="H1340" s="448">
        <f t="shared" si="106"/>
        <v>0</v>
      </c>
      <c r="I1340" s="448">
        <f t="shared" si="106"/>
        <v>0</v>
      </c>
      <c r="J1340" s="447">
        <f>IF($L1340&gt;U$5,MAX(0,U$3+ROUND((U$9*($L1340-U$5)),0)),IF($L1340&gt;U$4,U$3,ROUND($L1340*U$7,0)))</f>
        <v>453</v>
      </c>
      <c r="L1340" s="448">
        <f t="shared" si="105"/>
        <v>66525</v>
      </c>
    </row>
    <row r="1341" spans="1:12" ht="13.5">
      <c r="A1341" s="448">
        <v>66550</v>
      </c>
      <c r="B1341" s="447">
        <v>66600</v>
      </c>
      <c r="C1341" s="1378">
        <f t="shared" ref="C1341:I1343" si="107">IF($L1341&gt;N$5,MAX(0,N$3+ROUND((N$9*($L1341-N$5)),0)),IF($L1341&gt;N$4,N$3,ROUND($L1341*N$7,0)))</f>
        <v>0</v>
      </c>
      <c r="D1341" s="448">
        <f t="shared" si="107"/>
        <v>0</v>
      </c>
      <c r="E1341" s="448">
        <f t="shared" si="107"/>
        <v>0</v>
      </c>
      <c r="F1341" s="447">
        <f t="shared" si="107"/>
        <v>0</v>
      </c>
      <c r="G1341" s="1378">
        <f t="shared" si="107"/>
        <v>0</v>
      </c>
      <c r="H1341" s="448">
        <f t="shared" si="107"/>
        <v>0</v>
      </c>
      <c r="I1341" s="448">
        <f t="shared" si="107"/>
        <v>0</v>
      </c>
      <c r="J1341" s="447">
        <f>IF($L1341&gt;U$5,MAX(0,U$3+ROUND((U$9*($L1341-U$5)),0)),IF($L1341&gt;U$4,U$3,ROUND($L1341*U$7,0)))</f>
        <v>442</v>
      </c>
      <c r="L1341" s="448">
        <f t="shared" si="105"/>
        <v>66575</v>
      </c>
    </row>
    <row r="1342" spans="1:12" ht="13.5">
      <c r="A1342" s="448">
        <v>66600</v>
      </c>
      <c r="B1342" s="447">
        <v>66650</v>
      </c>
      <c r="C1342" s="1378">
        <f t="shared" si="107"/>
        <v>0</v>
      </c>
      <c r="D1342" s="448">
        <f t="shared" si="107"/>
        <v>0</v>
      </c>
      <c r="E1342" s="448">
        <f t="shared" si="107"/>
        <v>0</v>
      </c>
      <c r="F1342" s="447">
        <f t="shared" si="107"/>
        <v>0</v>
      </c>
      <c r="G1342" s="1378">
        <f t="shared" si="107"/>
        <v>0</v>
      </c>
      <c r="H1342" s="448">
        <f t="shared" si="107"/>
        <v>0</v>
      </c>
      <c r="I1342" s="448">
        <f t="shared" si="107"/>
        <v>0</v>
      </c>
      <c r="J1342" s="447">
        <f>IF($L1342&gt;U$5,MAX(0,U$3+ROUND((U$9*($L1342-U$5)),0)),IF($L1342&gt;U$4,U$3,ROUND($L1342*U$7,0)))</f>
        <v>432</v>
      </c>
      <c r="L1342" s="448">
        <f t="shared" si="105"/>
        <v>66625</v>
      </c>
    </row>
    <row r="1343" spans="1:12" ht="13.5">
      <c r="A1343" s="448">
        <v>66650</v>
      </c>
      <c r="B1343" s="447">
        <v>66700</v>
      </c>
      <c r="C1343" s="1378">
        <f t="shared" si="107"/>
        <v>0</v>
      </c>
      <c r="D1343" s="448">
        <f t="shared" si="107"/>
        <v>0</v>
      </c>
      <c r="E1343" s="448">
        <f t="shared" si="107"/>
        <v>0</v>
      </c>
      <c r="F1343" s="447">
        <f t="shared" si="107"/>
        <v>0</v>
      </c>
      <c r="G1343" s="1378">
        <f t="shared" si="107"/>
        <v>0</v>
      </c>
      <c r="H1343" s="448">
        <f t="shared" si="107"/>
        <v>0</v>
      </c>
      <c r="I1343" s="448">
        <f t="shared" si="107"/>
        <v>0</v>
      </c>
      <c r="J1343" s="447">
        <f>IF($L1343&gt;U$5,MAX(0,U$3+ROUND((U$9*($L1343-U$5)),0)),IF($L1343&gt;U$4,U$3,ROUND($L1343*U$7,0)))</f>
        <v>421</v>
      </c>
      <c r="L1343" s="448">
        <f t="shared" si="105"/>
        <v>66675</v>
      </c>
    </row>
    <row r="1344" spans="1:12" ht="13.5">
      <c r="A1344" s="448">
        <v>66700</v>
      </c>
      <c r="B1344" s="447">
        <v>66750</v>
      </c>
      <c r="C1344" s="1378">
        <f t="shared" ref="C1344:C1383" si="108">IF($L1344&gt;N$5,MAX(0,N$3+ROUND((N$9*($L1344-N$5)),0)),IF($L1344&gt;N$4,N$3,ROUND($L1344*N$7,0)))</f>
        <v>0</v>
      </c>
      <c r="D1344" s="448">
        <f t="shared" ref="D1344:D1383" si="109">IF($L1344&gt;O$5,MAX(0,O$3+ROUND((O$9*($L1344-O$5)),0)),IF($L1344&gt;O$4,O$3,ROUND($L1344*O$7,0)))</f>
        <v>0</v>
      </c>
      <c r="E1344" s="448">
        <f t="shared" ref="E1344:E1383" si="110">IF($L1344&gt;P$5,MAX(0,P$3+ROUND((P$9*($L1344-P$5)),0)),IF($L1344&gt;P$4,P$3,ROUND($L1344*P$7,0)))</f>
        <v>0</v>
      </c>
      <c r="F1344" s="447">
        <f t="shared" ref="F1344:F1383" si="111">IF($L1344&gt;Q$5,MAX(0,Q$3+ROUND((Q$9*($L1344-Q$5)),0)),IF($L1344&gt;Q$4,Q$3,ROUND($L1344*Q$7,0)))</f>
        <v>0</v>
      </c>
      <c r="G1344" s="1378">
        <f t="shared" ref="G1344:G1383" si="112">IF($L1344&gt;R$5,MAX(0,R$3+ROUND((R$9*($L1344-R$5)),0)),IF($L1344&gt;R$4,R$3,ROUND($L1344*R$7,0)))</f>
        <v>0</v>
      </c>
      <c r="H1344" s="448">
        <f t="shared" ref="H1344:H1383" si="113">IF($L1344&gt;S$5,MAX(0,S$3+ROUND((S$9*($L1344-S$5)),0)),IF($L1344&gt;S$4,S$3,ROUND($L1344*S$7,0)))</f>
        <v>0</v>
      </c>
      <c r="I1344" s="448">
        <f t="shared" ref="I1344:I1383" si="114">IF($L1344&gt;T$5,MAX(0,T$3+ROUND((T$9*($L1344-T$5)),0)),IF($L1344&gt;T$4,T$3,ROUND($L1344*T$7,0)))</f>
        <v>0</v>
      </c>
      <c r="J1344" s="447">
        <f t="shared" ref="J1344:J1383" si="115">IF($L1344&gt;U$5,MAX(0,U$3+ROUND((U$9*($L1344-U$5)),0)),IF($L1344&gt;U$4,U$3,ROUND($L1344*U$7,0)))</f>
        <v>411</v>
      </c>
      <c r="L1344" s="448">
        <f t="shared" ref="L1344:L1383" si="116">ROUND((A1344+B1344)/2,2)</f>
        <v>66725</v>
      </c>
    </row>
    <row r="1345" spans="1:12" ht="13.5">
      <c r="A1345" s="448">
        <v>66750</v>
      </c>
      <c r="B1345" s="447">
        <v>66800</v>
      </c>
      <c r="C1345" s="1378">
        <f t="shared" si="108"/>
        <v>0</v>
      </c>
      <c r="D1345" s="448">
        <f t="shared" si="109"/>
        <v>0</v>
      </c>
      <c r="E1345" s="448">
        <f t="shared" si="110"/>
        <v>0</v>
      </c>
      <c r="F1345" s="447">
        <f t="shared" si="111"/>
        <v>0</v>
      </c>
      <c r="G1345" s="1378">
        <f t="shared" si="112"/>
        <v>0</v>
      </c>
      <c r="H1345" s="448">
        <f t="shared" si="113"/>
        <v>0</v>
      </c>
      <c r="I1345" s="448">
        <f t="shared" si="114"/>
        <v>0</v>
      </c>
      <c r="J1345" s="447">
        <f t="shared" si="115"/>
        <v>400</v>
      </c>
      <c r="L1345" s="448">
        <f t="shared" si="116"/>
        <v>66775</v>
      </c>
    </row>
    <row r="1346" spans="1:12" ht="13.5">
      <c r="A1346" s="448">
        <v>66800</v>
      </c>
      <c r="B1346" s="447">
        <v>66850</v>
      </c>
      <c r="C1346" s="1378">
        <f t="shared" si="108"/>
        <v>0</v>
      </c>
      <c r="D1346" s="448">
        <f t="shared" si="109"/>
        <v>0</v>
      </c>
      <c r="E1346" s="448">
        <f t="shared" si="110"/>
        <v>0</v>
      </c>
      <c r="F1346" s="447">
        <f t="shared" si="111"/>
        <v>0</v>
      </c>
      <c r="G1346" s="1378">
        <f t="shared" si="112"/>
        <v>0</v>
      </c>
      <c r="H1346" s="448">
        <f t="shared" si="113"/>
        <v>0</v>
      </c>
      <c r="I1346" s="448">
        <f t="shared" si="114"/>
        <v>0</v>
      </c>
      <c r="J1346" s="447">
        <f t="shared" si="115"/>
        <v>390</v>
      </c>
      <c r="L1346" s="448">
        <f t="shared" si="116"/>
        <v>66825</v>
      </c>
    </row>
    <row r="1347" spans="1:12" ht="13.5">
      <c r="A1347" s="448">
        <v>66850</v>
      </c>
      <c r="B1347" s="447">
        <v>66900</v>
      </c>
      <c r="C1347" s="1378">
        <f t="shared" si="108"/>
        <v>0</v>
      </c>
      <c r="D1347" s="448">
        <f t="shared" si="109"/>
        <v>0</v>
      </c>
      <c r="E1347" s="448">
        <f t="shared" si="110"/>
        <v>0</v>
      </c>
      <c r="F1347" s="447">
        <f t="shared" si="111"/>
        <v>0</v>
      </c>
      <c r="G1347" s="1378">
        <f t="shared" si="112"/>
        <v>0</v>
      </c>
      <c r="H1347" s="448">
        <f t="shared" si="113"/>
        <v>0</v>
      </c>
      <c r="I1347" s="448">
        <f t="shared" si="114"/>
        <v>0</v>
      </c>
      <c r="J1347" s="447">
        <f t="shared" si="115"/>
        <v>379</v>
      </c>
      <c r="L1347" s="448">
        <f t="shared" si="116"/>
        <v>66875</v>
      </c>
    </row>
    <row r="1348" spans="1:12" ht="13.5">
      <c r="A1348" s="448">
        <v>66900</v>
      </c>
      <c r="B1348" s="447">
        <v>66950</v>
      </c>
      <c r="C1348" s="1378">
        <f t="shared" si="108"/>
        <v>0</v>
      </c>
      <c r="D1348" s="448">
        <f t="shared" si="109"/>
        <v>0</v>
      </c>
      <c r="E1348" s="448">
        <f t="shared" si="110"/>
        <v>0</v>
      </c>
      <c r="F1348" s="447">
        <f t="shared" si="111"/>
        <v>0</v>
      </c>
      <c r="G1348" s="1378">
        <f t="shared" si="112"/>
        <v>0</v>
      </c>
      <c r="H1348" s="448">
        <f t="shared" si="113"/>
        <v>0</v>
      </c>
      <c r="I1348" s="448">
        <f t="shared" si="114"/>
        <v>0</v>
      </c>
      <c r="J1348" s="447">
        <f t="shared" si="115"/>
        <v>369</v>
      </c>
      <c r="L1348" s="448">
        <f t="shared" si="116"/>
        <v>66925</v>
      </c>
    </row>
    <row r="1349" spans="1:12" ht="13.5">
      <c r="A1349" s="448">
        <v>66950</v>
      </c>
      <c r="B1349" s="447">
        <v>67000</v>
      </c>
      <c r="C1349" s="1378">
        <f t="shared" si="108"/>
        <v>0</v>
      </c>
      <c r="D1349" s="448">
        <f t="shared" si="109"/>
        <v>0</v>
      </c>
      <c r="E1349" s="448">
        <f t="shared" si="110"/>
        <v>0</v>
      </c>
      <c r="F1349" s="447">
        <f t="shared" si="111"/>
        <v>0</v>
      </c>
      <c r="G1349" s="1378">
        <f t="shared" si="112"/>
        <v>0</v>
      </c>
      <c r="H1349" s="448">
        <f t="shared" si="113"/>
        <v>0</v>
      </c>
      <c r="I1349" s="448">
        <f t="shared" si="114"/>
        <v>0</v>
      </c>
      <c r="J1349" s="447">
        <f t="shared" si="115"/>
        <v>358</v>
      </c>
      <c r="L1349" s="448">
        <f t="shared" si="116"/>
        <v>66975</v>
      </c>
    </row>
    <row r="1350" spans="1:12" ht="13.5">
      <c r="A1350" s="448">
        <v>67000</v>
      </c>
      <c r="B1350" s="447">
        <v>67050</v>
      </c>
      <c r="C1350" s="1378">
        <f t="shared" si="108"/>
        <v>0</v>
      </c>
      <c r="D1350" s="448">
        <f t="shared" si="109"/>
        <v>0</v>
      </c>
      <c r="E1350" s="448">
        <f t="shared" si="110"/>
        <v>0</v>
      </c>
      <c r="F1350" s="447">
        <f t="shared" si="111"/>
        <v>0</v>
      </c>
      <c r="G1350" s="1378">
        <f t="shared" si="112"/>
        <v>0</v>
      </c>
      <c r="H1350" s="448">
        <f t="shared" si="113"/>
        <v>0</v>
      </c>
      <c r="I1350" s="448">
        <f t="shared" si="114"/>
        <v>0</v>
      </c>
      <c r="J1350" s="447">
        <f t="shared" si="115"/>
        <v>347</v>
      </c>
      <c r="L1350" s="448">
        <f t="shared" si="116"/>
        <v>67025</v>
      </c>
    </row>
    <row r="1351" spans="1:12" ht="13.5">
      <c r="A1351" s="448">
        <v>67050</v>
      </c>
      <c r="B1351" s="447">
        <v>67100</v>
      </c>
      <c r="C1351" s="1378">
        <f t="shared" si="108"/>
        <v>0</v>
      </c>
      <c r="D1351" s="448">
        <f t="shared" si="109"/>
        <v>0</v>
      </c>
      <c r="E1351" s="448">
        <f t="shared" si="110"/>
        <v>0</v>
      </c>
      <c r="F1351" s="447">
        <f t="shared" si="111"/>
        <v>0</v>
      </c>
      <c r="G1351" s="1378">
        <f t="shared" si="112"/>
        <v>0</v>
      </c>
      <c r="H1351" s="448">
        <f t="shared" si="113"/>
        <v>0</v>
      </c>
      <c r="I1351" s="448">
        <f t="shared" si="114"/>
        <v>0</v>
      </c>
      <c r="J1351" s="447">
        <f t="shared" si="115"/>
        <v>337</v>
      </c>
      <c r="L1351" s="448">
        <f t="shared" si="116"/>
        <v>67075</v>
      </c>
    </row>
    <row r="1352" spans="1:12" ht="13.5">
      <c r="A1352" s="448">
        <v>67100</v>
      </c>
      <c r="B1352" s="447">
        <v>67150</v>
      </c>
      <c r="C1352" s="1378">
        <f t="shared" si="108"/>
        <v>0</v>
      </c>
      <c r="D1352" s="448">
        <f t="shared" si="109"/>
        <v>0</v>
      </c>
      <c r="E1352" s="448">
        <f t="shared" si="110"/>
        <v>0</v>
      </c>
      <c r="F1352" s="447">
        <f t="shared" si="111"/>
        <v>0</v>
      </c>
      <c r="G1352" s="1378">
        <f t="shared" si="112"/>
        <v>0</v>
      </c>
      <c r="H1352" s="448">
        <f t="shared" si="113"/>
        <v>0</v>
      </c>
      <c r="I1352" s="448">
        <f t="shared" si="114"/>
        <v>0</v>
      </c>
      <c r="J1352" s="447">
        <f t="shared" si="115"/>
        <v>326</v>
      </c>
      <c r="L1352" s="448">
        <f t="shared" si="116"/>
        <v>67125</v>
      </c>
    </row>
    <row r="1353" spans="1:12" ht="13.5">
      <c r="A1353" s="448">
        <v>67150</v>
      </c>
      <c r="B1353" s="447">
        <v>67200</v>
      </c>
      <c r="C1353" s="1378">
        <f t="shared" si="108"/>
        <v>0</v>
      </c>
      <c r="D1353" s="448">
        <f t="shared" si="109"/>
        <v>0</v>
      </c>
      <c r="E1353" s="448">
        <f t="shared" si="110"/>
        <v>0</v>
      </c>
      <c r="F1353" s="447">
        <f t="shared" si="111"/>
        <v>0</v>
      </c>
      <c r="G1353" s="1378">
        <f t="shared" si="112"/>
        <v>0</v>
      </c>
      <c r="H1353" s="448">
        <f t="shared" si="113"/>
        <v>0</v>
      </c>
      <c r="I1353" s="448">
        <f t="shared" si="114"/>
        <v>0</v>
      </c>
      <c r="J1353" s="447">
        <f t="shared" si="115"/>
        <v>316</v>
      </c>
      <c r="L1353" s="448">
        <f t="shared" si="116"/>
        <v>67175</v>
      </c>
    </row>
    <row r="1354" spans="1:12" ht="13.5">
      <c r="A1354" s="448">
        <v>67200</v>
      </c>
      <c r="B1354" s="447">
        <v>67250</v>
      </c>
      <c r="C1354" s="1378">
        <f t="shared" si="108"/>
        <v>0</v>
      </c>
      <c r="D1354" s="448">
        <f t="shared" si="109"/>
        <v>0</v>
      </c>
      <c r="E1354" s="448">
        <f t="shared" si="110"/>
        <v>0</v>
      </c>
      <c r="F1354" s="447">
        <f t="shared" si="111"/>
        <v>0</v>
      </c>
      <c r="G1354" s="1378">
        <f t="shared" si="112"/>
        <v>0</v>
      </c>
      <c r="H1354" s="448">
        <f t="shared" si="113"/>
        <v>0</v>
      </c>
      <c r="I1354" s="448">
        <f t="shared" si="114"/>
        <v>0</v>
      </c>
      <c r="J1354" s="447">
        <f t="shared" si="115"/>
        <v>305</v>
      </c>
      <c r="L1354" s="448">
        <f t="shared" si="116"/>
        <v>67225</v>
      </c>
    </row>
    <row r="1355" spans="1:12" ht="13.5">
      <c r="A1355" s="448">
        <v>67250</v>
      </c>
      <c r="B1355" s="447">
        <v>67300</v>
      </c>
      <c r="C1355" s="1378">
        <f t="shared" si="108"/>
        <v>0</v>
      </c>
      <c r="D1355" s="448">
        <f t="shared" si="109"/>
        <v>0</v>
      </c>
      <c r="E1355" s="448">
        <f t="shared" si="110"/>
        <v>0</v>
      </c>
      <c r="F1355" s="447">
        <f t="shared" si="111"/>
        <v>0</v>
      </c>
      <c r="G1355" s="1378">
        <f t="shared" si="112"/>
        <v>0</v>
      </c>
      <c r="H1355" s="448">
        <f t="shared" si="113"/>
        <v>0</v>
      </c>
      <c r="I1355" s="448">
        <f t="shared" si="114"/>
        <v>0</v>
      </c>
      <c r="J1355" s="447">
        <f t="shared" si="115"/>
        <v>295</v>
      </c>
      <c r="L1355" s="448">
        <f t="shared" si="116"/>
        <v>67275</v>
      </c>
    </row>
    <row r="1356" spans="1:12" ht="13.5">
      <c r="A1356" s="448">
        <v>67300</v>
      </c>
      <c r="B1356" s="447">
        <v>67350</v>
      </c>
      <c r="C1356" s="1378">
        <f t="shared" si="108"/>
        <v>0</v>
      </c>
      <c r="D1356" s="448">
        <f t="shared" si="109"/>
        <v>0</v>
      </c>
      <c r="E1356" s="448">
        <f t="shared" si="110"/>
        <v>0</v>
      </c>
      <c r="F1356" s="447">
        <f t="shared" si="111"/>
        <v>0</v>
      </c>
      <c r="G1356" s="1378">
        <f t="shared" si="112"/>
        <v>0</v>
      </c>
      <c r="H1356" s="448">
        <f t="shared" si="113"/>
        <v>0</v>
      </c>
      <c r="I1356" s="448">
        <f t="shared" si="114"/>
        <v>0</v>
      </c>
      <c r="J1356" s="447">
        <f t="shared" si="115"/>
        <v>284</v>
      </c>
      <c r="L1356" s="448">
        <f t="shared" si="116"/>
        <v>67325</v>
      </c>
    </row>
    <row r="1357" spans="1:12" ht="13.5">
      <c r="A1357" s="448">
        <v>67350</v>
      </c>
      <c r="B1357" s="447">
        <v>67400</v>
      </c>
      <c r="C1357" s="1378">
        <f t="shared" si="108"/>
        <v>0</v>
      </c>
      <c r="D1357" s="448">
        <f t="shared" si="109"/>
        <v>0</v>
      </c>
      <c r="E1357" s="448">
        <f t="shared" si="110"/>
        <v>0</v>
      </c>
      <c r="F1357" s="447">
        <f t="shared" si="111"/>
        <v>0</v>
      </c>
      <c r="G1357" s="1378">
        <f t="shared" si="112"/>
        <v>0</v>
      </c>
      <c r="H1357" s="448">
        <f t="shared" si="113"/>
        <v>0</v>
      </c>
      <c r="I1357" s="448">
        <f t="shared" si="114"/>
        <v>0</v>
      </c>
      <c r="J1357" s="447">
        <f t="shared" si="115"/>
        <v>274</v>
      </c>
      <c r="L1357" s="448">
        <f t="shared" si="116"/>
        <v>67375</v>
      </c>
    </row>
    <row r="1358" spans="1:12" ht="13.5">
      <c r="A1358" s="448">
        <v>67400</v>
      </c>
      <c r="B1358" s="447">
        <v>67450</v>
      </c>
      <c r="C1358" s="1378">
        <f t="shared" si="108"/>
        <v>0</v>
      </c>
      <c r="D1358" s="448">
        <f t="shared" si="109"/>
        <v>0</v>
      </c>
      <c r="E1358" s="448">
        <f t="shared" si="110"/>
        <v>0</v>
      </c>
      <c r="F1358" s="447">
        <f t="shared" si="111"/>
        <v>0</v>
      </c>
      <c r="G1358" s="1378">
        <f t="shared" si="112"/>
        <v>0</v>
      </c>
      <c r="H1358" s="448">
        <f t="shared" si="113"/>
        <v>0</v>
      </c>
      <c r="I1358" s="448">
        <f t="shared" si="114"/>
        <v>0</v>
      </c>
      <c r="J1358" s="447">
        <f t="shared" si="115"/>
        <v>263</v>
      </c>
      <c r="L1358" s="448">
        <f t="shared" si="116"/>
        <v>67425</v>
      </c>
    </row>
    <row r="1359" spans="1:12" ht="13.5">
      <c r="A1359" s="448">
        <v>67450</v>
      </c>
      <c r="B1359" s="447">
        <v>67500</v>
      </c>
      <c r="C1359" s="1378">
        <f t="shared" si="108"/>
        <v>0</v>
      </c>
      <c r="D1359" s="448">
        <f t="shared" si="109"/>
        <v>0</v>
      </c>
      <c r="E1359" s="448">
        <f t="shared" si="110"/>
        <v>0</v>
      </c>
      <c r="F1359" s="447">
        <f t="shared" si="111"/>
        <v>0</v>
      </c>
      <c r="G1359" s="1378">
        <f t="shared" si="112"/>
        <v>0</v>
      </c>
      <c r="H1359" s="448">
        <f t="shared" si="113"/>
        <v>0</v>
      </c>
      <c r="I1359" s="448">
        <f t="shared" si="114"/>
        <v>0</v>
      </c>
      <c r="J1359" s="447">
        <f t="shared" si="115"/>
        <v>253</v>
      </c>
      <c r="L1359" s="448">
        <f t="shared" si="116"/>
        <v>67475</v>
      </c>
    </row>
    <row r="1360" spans="1:12" ht="13.5">
      <c r="A1360" s="448">
        <v>67500</v>
      </c>
      <c r="B1360" s="447">
        <v>67550</v>
      </c>
      <c r="C1360" s="1378">
        <f t="shared" si="108"/>
        <v>0</v>
      </c>
      <c r="D1360" s="448">
        <f t="shared" si="109"/>
        <v>0</v>
      </c>
      <c r="E1360" s="448">
        <f t="shared" si="110"/>
        <v>0</v>
      </c>
      <c r="F1360" s="447">
        <f t="shared" si="111"/>
        <v>0</v>
      </c>
      <c r="G1360" s="1378">
        <f t="shared" si="112"/>
        <v>0</v>
      </c>
      <c r="H1360" s="448">
        <f t="shared" si="113"/>
        <v>0</v>
      </c>
      <c r="I1360" s="448">
        <f t="shared" si="114"/>
        <v>0</v>
      </c>
      <c r="J1360" s="447">
        <f t="shared" si="115"/>
        <v>242</v>
      </c>
      <c r="L1360" s="448">
        <f t="shared" si="116"/>
        <v>67525</v>
      </c>
    </row>
    <row r="1361" spans="1:12" ht="13.5">
      <c r="A1361" s="448">
        <v>67550</v>
      </c>
      <c r="B1361" s="447">
        <v>67600</v>
      </c>
      <c r="C1361" s="1378">
        <f t="shared" si="108"/>
        <v>0</v>
      </c>
      <c r="D1361" s="448">
        <f t="shared" si="109"/>
        <v>0</v>
      </c>
      <c r="E1361" s="448">
        <f t="shared" si="110"/>
        <v>0</v>
      </c>
      <c r="F1361" s="447">
        <f t="shared" si="111"/>
        <v>0</v>
      </c>
      <c r="G1361" s="1378">
        <f t="shared" si="112"/>
        <v>0</v>
      </c>
      <c r="H1361" s="448">
        <f t="shared" si="113"/>
        <v>0</v>
      </c>
      <c r="I1361" s="448">
        <f t="shared" si="114"/>
        <v>0</v>
      </c>
      <c r="J1361" s="447">
        <f t="shared" si="115"/>
        <v>232</v>
      </c>
      <c r="L1361" s="448">
        <f t="shared" si="116"/>
        <v>67575</v>
      </c>
    </row>
    <row r="1362" spans="1:12" ht="13.5">
      <c r="A1362" s="448">
        <v>67600</v>
      </c>
      <c r="B1362" s="447">
        <v>67650</v>
      </c>
      <c r="C1362" s="1378">
        <f t="shared" si="108"/>
        <v>0</v>
      </c>
      <c r="D1362" s="448">
        <f t="shared" si="109"/>
        <v>0</v>
      </c>
      <c r="E1362" s="448">
        <f t="shared" si="110"/>
        <v>0</v>
      </c>
      <c r="F1362" s="447">
        <f t="shared" si="111"/>
        <v>0</v>
      </c>
      <c r="G1362" s="1378">
        <f t="shared" si="112"/>
        <v>0</v>
      </c>
      <c r="H1362" s="448">
        <f t="shared" si="113"/>
        <v>0</v>
      </c>
      <c r="I1362" s="448">
        <f t="shared" si="114"/>
        <v>0</v>
      </c>
      <c r="J1362" s="447">
        <f t="shared" si="115"/>
        <v>221</v>
      </c>
      <c r="L1362" s="448">
        <f t="shared" si="116"/>
        <v>67625</v>
      </c>
    </row>
    <row r="1363" spans="1:12" ht="13.5">
      <c r="A1363" s="448">
        <v>67650</v>
      </c>
      <c r="B1363" s="447">
        <v>67700</v>
      </c>
      <c r="C1363" s="1378">
        <f t="shared" si="108"/>
        <v>0</v>
      </c>
      <c r="D1363" s="448">
        <f t="shared" si="109"/>
        <v>0</v>
      </c>
      <c r="E1363" s="448">
        <f t="shared" si="110"/>
        <v>0</v>
      </c>
      <c r="F1363" s="447">
        <f t="shared" si="111"/>
        <v>0</v>
      </c>
      <c r="G1363" s="1378">
        <f t="shared" si="112"/>
        <v>0</v>
      </c>
      <c r="H1363" s="448">
        <f t="shared" si="113"/>
        <v>0</v>
      </c>
      <c r="I1363" s="448">
        <f t="shared" si="114"/>
        <v>0</v>
      </c>
      <c r="J1363" s="447">
        <f t="shared" si="115"/>
        <v>211</v>
      </c>
      <c r="L1363" s="448">
        <f t="shared" si="116"/>
        <v>67675</v>
      </c>
    </row>
    <row r="1364" spans="1:12" ht="13.5">
      <c r="A1364" s="448">
        <v>67700</v>
      </c>
      <c r="B1364" s="447">
        <v>67750</v>
      </c>
      <c r="C1364" s="1378">
        <f t="shared" si="108"/>
        <v>0</v>
      </c>
      <c r="D1364" s="448">
        <f t="shared" si="109"/>
        <v>0</v>
      </c>
      <c r="E1364" s="448">
        <f t="shared" si="110"/>
        <v>0</v>
      </c>
      <c r="F1364" s="447">
        <f t="shared" si="111"/>
        <v>0</v>
      </c>
      <c r="G1364" s="1378">
        <f t="shared" si="112"/>
        <v>0</v>
      </c>
      <c r="H1364" s="448">
        <f t="shared" si="113"/>
        <v>0</v>
      </c>
      <c r="I1364" s="448">
        <f t="shared" si="114"/>
        <v>0</v>
      </c>
      <c r="J1364" s="447">
        <f t="shared" si="115"/>
        <v>200</v>
      </c>
      <c r="L1364" s="448">
        <f t="shared" si="116"/>
        <v>67725</v>
      </c>
    </row>
    <row r="1365" spans="1:12" ht="13.5">
      <c r="A1365" s="448">
        <v>67750</v>
      </c>
      <c r="B1365" s="447">
        <v>67800</v>
      </c>
      <c r="C1365" s="1378">
        <f t="shared" si="108"/>
        <v>0</v>
      </c>
      <c r="D1365" s="448">
        <f t="shared" si="109"/>
        <v>0</v>
      </c>
      <c r="E1365" s="448">
        <f t="shared" si="110"/>
        <v>0</v>
      </c>
      <c r="F1365" s="447">
        <f t="shared" si="111"/>
        <v>0</v>
      </c>
      <c r="G1365" s="1378">
        <f t="shared" si="112"/>
        <v>0</v>
      </c>
      <c r="H1365" s="448">
        <f t="shared" si="113"/>
        <v>0</v>
      </c>
      <c r="I1365" s="448">
        <f t="shared" si="114"/>
        <v>0</v>
      </c>
      <c r="J1365" s="447">
        <f t="shared" si="115"/>
        <v>190</v>
      </c>
      <c r="L1365" s="448">
        <f t="shared" si="116"/>
        <v>67775</v>
      </c>
    </row>
    <row r="1366" spans="1:12" ht="13.5">
      <c r="A1366" s="448">
        <v>67800</v>
      </c>
      <c r="B1366" s="447">
        <v>67850</v>
      </c>
      <c r="C1366" s="1378">
        <f t="shared" si="108"/>
        <v>0</v>
      </c>
      <c r="D1366" s="448">
        <f t="shared" si="109"/>
        <v>0</v>
      </c>
      <c r="E1366" s="448">
        <f t="shared" si="110"/>
        <v>0</v>
      </c>
      <c r="F1366" s="447">
        <f t="shared" si="111"/>
        <v>0</v>
      </c>
      <c r="G1366" s="1378">
        <f t="shared" si="112"/>
        <v>0</v>
      </c>
      <c r="H1366" s="448">
        <f t="shared" si="113"/>
        <v>0</v>
      </c>
      <c r="I1366" s="448">
        <f t="shared" si="114"/>
        <v>0</v>
      </c>
      <c r="J1366" s="447">
        <f t="shared" si="115"/>
        <v>179</v>
      </c>
      <c r="L1366" s="448">
        <f t="shared" si="116"/>
        <v>67825</v>
      </c>
    </row>
    <row r="1367" spans="1:12" ht="13.5">
      <c r="A1367" s="448">
        <v>67850</v>
      </c>
      <c r="B1367" s="447">
        <v>67900</v>
      </c>
      <c r="C1367" s="1378">
        <f t="shared" si="108"/>
        <v>0</v>
      </c>
      <c r="D1367" s="448">
        <f t="shared" si="109"/>
        <v>0</v>
      </c>
      <c r="E1367" s="448">
        <f t="shared" si="110"/>
        <v>0</v>
      </c>
      <c r="F1367" s="447">
        <f t="shared" si="111"/>
        <v>0</v>
      </c>
      <c r="G1367" s="1378">
        <f t="shared" si="112"/>
        <v>0</v>
      </c>
      <c r="H1367" s="448">
        <f t="shared" si="113"/>
        <v>0</v>
      </c>
      <c r="I1367" s="448">
        <f t="shared" si="114"/>
        <v>0</v>
      </c>
      <c r="J1367" s="447">
        <f t="shared" si="115"/>
        <v>168</v>
      </c>
      <c r="L1367" s="448">
        <f t="shared" si="116"/>
        <v>67875</v>
      </c>
    </row>
    <row r="1368" spans="1:12" ht="13.5">
      <c r="A1368" s="448">
        <v>67900</v>
      </c>
      <c r="B1368" s="447">
        <v>67950</v>
      </c>
      <c r="C1368" s="1378">
        <f t="shared" si="108"/>
        <v>0</v>
      </c>
      <c r="D1368" s="448">
        <f t="shared" si="109"/>
        <v>0</v>
      </c>
      <c r="E1368" s="448">
        <f t="shared" si="110"/>
        <v>0</v>
      </c>
      <c r="F1368" s="447">
        <f t="shared" si="111"/>
        <v>0</v>
      </c>
      <c r="G1368" s="1378">
        <f t="shared" si="112"/>
        <v>0</v>
      </c>
      <c r="H1368" s="448">
        <f t="shared" si="113"/>
        <v>0</v>
      </c>
      <c r="I1368" s="448">
        <f t="shared" si="114"/>
        <v>0</v>
      </c>
      <c r="J1368" s="447">
        <f t="shared" si="115"/>
        <v>158</v>
      </c>
      <c r="L1368" s="448">
        <f t="shared" si="116"/>
        <v>67925</v>
      </c>
    </row>
    <row r="1369" spans="1:12" ht="13.5">
      <c r="A1369" s="448">
        <v>67950</v>
      </c>
      <c r="B1369" s="447">
        <v>68000</v>
      </c>
      <c r="C1369" s="1378">
        <f t="shared" si="108"/>
        <v>0</v>
      </c>
      <c r="D1369" s="448">
        <f t="shared" si="109"/>
        <v>0</v>
      </c>
      <c r="E1369" s="448">
        <f t="shared" si="110"/>
        <v>0</v>
      </c>
      <c r="F1369" s="447">
        <f t="shared" si="111"/>
        <v>0</v>
      </c>
      <c r="G1369" s="1378">
        <f t="shared" si="112"/>
        <v>0</v>
      </c>
      <c r="H1369" s="448">
        <f t="shared" si="113"/>
        <v>0</v>
      </c>
      <c r="I1369" s="448">
        <f t="shared" si="114"/>
        <v>0</v>
      </c>
      <c r="J1369" s="447">
        <f t="shared" si="115"/>
        <v>147</v>
      </c>
      <c r="L1369" s="448">
        <f t="shared" si="116"/>
        <v>67975</v>
      </c>
    </row>
    <row r="1370" spans="1:12" ht="13.5">
      <c r="A1370" s="448">
        <v>68000</v>
      </c>
      <c r="B1370" s="447">
        <v>68050</v>
      </c>
      <c r="C1370" s="1378">
        <f t="shared" si="108"/>
        <v>0</v>
      </c>
      <c r="D1370" s="448">
        <f t="shared" si="109"/>
        <v>0</v>
      </c>
      <c r="E1370" s="448">
        <f t="shared" si="110"/>
        <v>0</v>
      </c>
      <c r="F1370" s="447">
        <f t="shared" si="111"/>
        <v>0</v>
      </c>
      <c r="G1370" s="1378">
        <f t="shared" si="112"/>
        <v>0</v>
      </c>
      <c r="H1370" s="448">
        <f t="shared" si="113"/>
        <v>0</v>
      </c>
      <c r="I1370" s="448">
        <f t="shared" si="114"/>
        <v>0</v>
      </c>
      <c r="J1370" s="447">
        <f t="shared" si="115"/>
        <v>137</v>
      </c>
      <c r="L1370" s="448">
        <f t="shared" si="116"/>
        <v>68025</v>
      </c>
    </row>
    <row r="1371" spans="1:12" ht="13.5">
      <c r="A1371" s="448">
        <v>68050</v>
      </c>
      <c r="B1371" s="447">
        <v>68100</v>
      </c>
      <c r="C1371" s="1378">
        <f t="shared" si="108"/>
        <v>0</v>
      </c>
      <c r="D1371" s="448">
        <f t="shared" si="109"/>
        <v>0</v>
      </c>
      <c r="E1371" s="448">
        <f t="shared" si="110"/>
        <v>0</v>
      </c>
      <c r="F1371" s="447">
        <f t="shared" si="111"/>
        <v>0</v>
      </c>
      <c r="G1371" s="1378">
        <f t="shared" si="112"/>
        <v>0</v>
      </c>
      <c r="H1371" s="448">
        <f t="shared" si="113"/>
        <v>0</v>
      </c>
      <c r="I1371" s="448">
        <f t="shared" si="114"/>
        <v>0</v>
      </c>
      <c r="J1371" s="447">
        <f t="shared" si="115"/>
        <v>126</v>
      </c>
      <c r="L1371" s="448">
        <f t="shared" si="116"/>
        <v>68075</v>
      </c>
    </row>
    <row r="1372" spans="1:12" ht="13.5">
      <c r="A1372" s="448">
        <v>68100</v>
      </c>
      <c r="B1372" s="447">
        <v>68150</v>
      </c>
      <c r="C1372" s="1378">
        <f t="shared" si="108"/>
        <v>0</v>
      </c>
      <c r="D1372" s="448">
        <f t="shared" si="109"/>
        <v>0</v>
      </c>
      <c r="E1372" s="448">
        <f t="shared" si="110"/>
        <v>0</v>
      </c>
      <c r="F1372" s="447">
        <f t="shared" si="111"/>
        <v>0</v>
      </c>
      <c r="G1372" s="1378">
        <f t="shared" si="112"/>
        <v>0</v>
      </c>
      <c r="H1372" s="448">
        <f t="shared" si="113"/>
        <v>0</v>
      </c>
      <c r="I1372" s="448">
        <f t="shared" si="114"/>
        <v>0</v>
      </c>
      <c r="J1372" s="447">
        <f t="shared" si="115"/>
        <v>116</v>
      </c>
      <c r="L1372" s="448">
        <f t="shared" si="116"/>
        <v>68125</v>
      </c>
    </row>
    <row r="1373" spans="1:12" ht="13.5">
      <c r="A1373" s="448">
        <v>68150</v>
      </c>
      <c r="B1373" s="447">
        <v>68200</v>
      </c>
      <c r="C1373" s="1378">
        <f t="shared" si="108"/>
        <v>0</v>
      </c>
      <c r="D1373" s="448">
        <f t="shared" si="109"/>
        <v>0</v>
      </c>
      <c r="E1373" s="448">
        <f t="shared" si="110"/>
        <v>0</v>
      </c>
      <c r="F1373" s="447">
        <f t="shared" si="111"/>
        <v>0</v>
      </c>
      <c r="G1373" s="1378">
        <f t="shared" si="112"/>
        <v>0</v>
      </c>
      <c r="H1373" s="448">
        <f t="shared" si="113"/>
        <v>0</v>
      </c>
      <c r="I1373" s="448">
        <f t="shared" si="114"/>
        <v>0</v>
      </c>
      <c r="J1373" s="447">
        <f t="shared" si="115"/>
        <v>105</v>
      </c>
      <c r="L1373" s="448">
        <f t="shared" si="116"/>
        <v>68175</v>
      </c>
    </row>
    <row r="1374" spans="1:12" ht="13.5">
      <c r="A1374" s="448">
        <v>68200</v>
      </c>
      <c r="B1374" s="447">
        <v>68250</v>
      </c>
      <c r="C1374" s="1378">
        <f t="shared" si="108"/>
        <v>0</v>
      </c>
      <c r="D1374" s="448">
        <f t="shared" si="109"/>
        <v>0</v>
      </c>
      <c r="E1374" s="448">
        <f t="shared" si="110"/>
        <v>0</v>
      </c>
      <c r="F1374" s="447">
        <f t="shared" si="111"/>
        <v>0</v>
      </c>
      <c r="G1374" s="1378">
        <f t="shared" si="112"/>
        <v>0</v>
      </c>
      <c r="H1374" s="448">
        <f t="shared" si="113"/>
        <v>0</v>
      </c>
      <c r="I1374" s="448">
        <f t="shared" si="114"/>
        <v>0</v>
      </c>
      <c r="J1374" s="447">
        <f t="shared" si="115"/>
        <v>95</v>
      </c>
      <c r="L1374" s="448">
        <f t="shared" si="116"/>
        <v>68225</v>
      </c>
    </row>
    <row r="1375" spans="1:12" ht="13.5">
      <c r="A1375" s="448">
        <v>68250</v>
      </c>
      <c r="B1375" s="447">
        <v>68300</v>
      </c>
      <c r="C1375" s="1378">
        <f t="shared" si="108"/>
        <v>0</v>
      </c>
      <c r="D1375" s="448">
        <f t="shared" si="109"/>
        <v>0</v>
      </c>
      <c r="E1375" s="448">
        <f t="shared" si="110"/>
        <v>0</v>
      </c>
      <c r="F1375" s="447">
        <f t="shared" si="111"/>
        <v>0</v>
      </c>
      <c r="G1375" s="1378">
        <f t="shared" si="112"/>
        <v>0</v>
      </c>
      <c r="H1375" s="448">
        <f t="shared" si="113"/>
        <v>0</v>
      </c>
      <c r="I1375" s="448">
        <f t="shared" si="114"/>
        <v>0</v>
      </c>
      <c r="J1375" s="447">
        <f t="shared" si="115"/>
        <v>84</v>
      </c>
      <c r="L1375" s="448">
        <f t="shared" si="116"/>
        <v>68275</v>
      </c>
    </row>
    <row r="1376" spans="1:12" ht="13.5">
      <c r="A1376" s="448">
        <v>68300</v>
      </c>
      <c r="B1376" s="447">
        <v>68350</v>
      </c>
      <c r="C1376" s="1378">
        <f t="shared" si="108"/>
        <v>0</v>
      </c>
      <c r="D1376" s="448">
        <f t="shared" si="109"/>
        <v>0</v>
      </c>
      <c r="E1376" s="448">
        <f t="shared" si="110"/>
        <v>0</v>
      </c>
      <c r="F1376" s="447">
        <f t="shared" si="111"/>
        <v>0</v>
      </c>
      <c r="G1376" s="1378">
        <f t="shared" si="112"/>
        <v>0</v>
      </c>
      <c r="H1376" s="448">
        <f t="shared" si="113"/>
        <v>0</v>
      </c>
      <c r="I1376" s="448">
        <f t="shared" si="114"/>
        <v>0</v>
      </c>
      <c r="J1376" s="447">
        <f t="shared" si="115"/>
        <v>74</v>
      </c>
      <c r="L1376" s="448">
        <f t="shared" si="116"/>
        <v>68325</v>
      </c>
    </row>
    <row r="1377" spans="1:12" ht="13.5">
      <c r="A1377" s="448">
        <v>68350</v>
      </c>
      <c r="B1377" s="447">
        <v>68400</v>
      </c>
      <c r="C1377" s="1378">
        <f t="shared" si="108"/>
        <v>0</v>
      </c>
      <c r="D1377" s="448">
        <f t="shared" si="109"/>
        <v>0</v>
      </c>
      <c r="E1377" s="448">
        <f t="shared" si="110"/>
        <v>0</v>
      </c>
      <c r="F1377" s="447">
        <f t="shared" si="111"/>
        <v>0</v>
      </c>
      <c r="G1377" s="1378">
        <f t="shared" si="112"/>
        <v>0</v>
      </c>
      <c r="H1377" s="448">
        <f t="shared" si="113"/>
        <v>0</v>
      </c>
      <c r="I1377" s="448">
        <f t="shared" si="114"/>
        <v>0</v>
      </c>
      <c r="J1377" s="447">
        <f t="shared" si="115"/>
        <v>63</v>
      </c>
      <c r="L1377" s="448">
        <f t="shared" si="116"/>
        <v>68375</v>
      </c>
    </row>
    <row r="1378" spans="1:12" ht="13.5">
      <c r="A1378" s="448">
        <v>68400</v>
      </c>
      <c r="B1378" s="447">
        <v>68450</v>
      </c>
      <c r="C1378" s="1378">
        <f t="shared" si="108"/>
        <v>0</v>
      </c>
      <c r="D1378" s="448">
        <f t="shared" si="109"/>
        <v>0</v>
      </c>
      <c r="E1378" s="448">
        <f t="shared" si="110"/>
        <v>0</v>
      </c>
      <c r="F1378" s="447">
        <f t="shared" si="111"/>
        <v>0</v>
      </c>
      <c r="G1378" s="1378">
        <f t="shared" si="112"/>
        <v>0</v>
      </c>
      <c r="H1378" s="448">
        <f t="shared" si="113"/>
        <v>0</v>
      </c>
      <c r="I1378" s="448">
        <f t="shared" si="114"/>
        <v>0</v>
      </c>
      <c r="J1378" s="447">
        <f t="shared" si="115"/>
        <v>53</v>
      </c>
      <c r="L1378" s="448">
        <f t="shared" si="116"/>
        <v>68425</v>
      </c>
    </row>
    <row r="1379" spans="1:12" ht="13.5">
      <c r="A1379" s="448">
        <v>68450</v>
      </c>
      <c r="B1379" s="447">
        <v>68500</v>
      </c>
      <c r="C1379" s="1378">
        <f t="shared" si="108"/>
        <v>0</v>
      </c>
      <c r="D1379" s="448">
        <f t="shared" si="109"/>
        <v>0</v>
      </c>
      <c r="E1379" s="448">
        <f t="shared" si="110"/>
        <v>0</v>
      </c>
      <c r="F1379" s="447">
        <f t="shared" si="111"/>
        <v>0</v>
      </c>
      <c r="G1379" s="1378">
        <f t="shared" si="112"/>
        <v>0</v>
      </c>
      <c r="H1379" s="448">
        <f t="shared" si="113"/>
        <v>0</v>
      </c>
      <c r="I1379" s="448">
        <f t="shared" si="114"/>
        <v>0</v>
      </c>
      <c r="J1379" s="447">
        <f t="shared" si="115"/>
        <v>42</v>
      </c>
      <c r="L1379" s="448">
        <f t="shared" si="116"/>
        <v>68475</v>
      </c>
    </row>
    <row r="1380" spans="1:12" ht="13.5">
      <c r="A1380" s="448">
        <v>68500</v>
      </c>
      <c r="B1380" s="447">
        <v>68550</v>
      </c>
      <c r="C1380" s="1378">
        <f t="shared" si="108"/>
        <v>0</v>
      </c>
      <c r="D1380" s="448">
        <f t="shared" si="109"/>
        <v>0</v>
      </c>
      <c r="E1380" s="448">
        <f t="shared" si="110"/>
        <v>0</v>
      </c>
      <c r="F1380" s="447">
        <f t="shared" si="111"/>
        <v>0</v>
      </c>
      <c r="G1380" s="1378">
        <f t="shared" si="112"/>
        <v>0</v>
      </c>
      <c r="H1380" s="448">
        <f t="shared" si="113"/>
        <v>0</v>
      </c>
      <c r="I1380" s="448">
        <f t="shared" si="114"/>
        <v>0</v>
      </c>
      <c r="J1380" s="447">
        <f t="shared" si="115"/>
        <v>32</v>
      </c>
      <c r="L1380" s="448">
        <f t="shared" si="116"/>
        <v>68525</v>
      </c>
    </row>
    <row r="1381" spans="1:12" ht="13.5">
      <c r="A1381" s="448">
        <v>68550</v>
      </c>
      <c r="B1381" s="447">
        <v>68600</v>
      </c>
      <c r="C1381" s="1378">
        <f t="shared" si="108"/>
        <v>0</v>
      </c>
      <c r="D1381" s="448">
        <f t="shared" si="109"/>
        <v>0</v>
      </c>
      <c r="E1381" s="448">
        <f t="shared" si="110"/>
        <v>0</v>
      </c>
      <c r="F1381" s="447">
        <f t="shared" si="111"/>
        <v>0</v>
      </c>
      <c r="G1381" s="1378">
        <f t="shared" si="112"/>
        <v>0</v>
      </c>
      <c r="H1381" s="448">
        <f t="shared" si="113"/>
        <v>0</v>
      </c>
      <c r="I1381" s="448">
        <f t="shared" si="114"/>
        <v>0</v>
      </c>
      <c r="J1381" s="447">
        <f t="shared" si="115"/>
        <v>21</v>
      </c>
      <c r="L1381" s="448">
        <f t="shared" si="116"/>
        <v>68575</v>
      </c>
    </row>
    <row r="1382" spans="1:12" ht="14.25" thickBot="1">
      <c r="A1382" s="448">
        <v>68600</v>
      </c>
      <c r="B1382" s="447">
        <v>68650</v>
      </c>
      <c r="C1382" s="1378">
        <f t="shared" si="108"/>
        <v>0</v>
      </c>
      <c r="D1382" s="448">
        <f t="shared" si="109"/>
        <v>0</v>
      </c>
      <c r="E1382" s="448">
        <f t="shared" si="110"/>
        <v>0</v>
      </c>
      <c r="F1382" s="447">
        <f t="shared" si="111"/>
        <v>0</v>
      </c>
      <c r="G1382" s="1378">
        <f t="shared" si="112"/>
        <v>0</v>
      </c>
      <c r="H1382" s="448">
        <f t="shared" si="113"/>
        <v>0</v>
      </c>
      <c r="I1382" s="448">
        <f t="shared" si="114"/>
        <v>0</v>
      </c>
      <c r="J1382" s="447">
        <f t="shared" si="115"/>
        <v>11</v>
      </c>
      <c r="L1382" s="448">
        <f t="shared" si="116"/>
        <v>68625</v>
      </c>
    </row>
    <row r="1383" spans="1:12" ht="13.5">
      <c r="A1383" s="6558">
        <v>68650</v>
      </c>
      <c r="B1383" s="6559">
        <v>68675</v>
      </c>
      <c r="C1383" s="1378">
        <f t="shared" si="108"/>
        <v>0</v>
      </c>
      <c r="D1383" s="448">
        <f t="shared" si="109"/>
        <v>0</v>
      </c>
      <c r="E1383" s="448">
        <f t="shared" si="110"/>
        <v>0</v>
      </c>
      <c r="F1383" s="447">
        <f t="shared" si="111"/>
        <v>0</v>
      </c>
      <c r="G1383" s="1378">
        <f t="shared" si="112"/>
        <v>0</v>
      </c>
      <c r="H1383" s="448">
        <f t="shared" si="113"/>
        <v>0</v>
      </c>
      <c r="I1383" s="448">
        <f t="shared" si="114"/>
        <v>0</v>
      </c>
      <c r="J1383" s="447">
        <f t="shared" si="115"/>
        <v>3</v>
      </c>
      <c r="L1383" s="448">
        <f t="shared" si="116"/>
        <v>68662.5</v>
      </c>
    </row>
    <row r="1384" spans="1:12" ht="14.25" thickBot="1">
      <c r="A1384" s="6560">
        <v>68675</v>
      </c>
      <c r="B1384" s="6561">
        <v>68700</v>
      </c>
      <c r="C1384" s="1378">
        <f t="shared" ref="C1384:J1384" si="117">IF($L1384&gt;N$5,MAX(0,N$3+ROUND((N$9*($L1384-N$5)),0)),IF($L1384&gt;N$4,N$3,ROUND($L1384*N$7,0)))</f>
        <v>0</v>
      </c>
      <c r="D1384" s="448">
        <f t="shared" si="117"/>
        <v>0</v>
      </c>
      <c r="E1384" s="448">
        <f t="shared" si="117"/>
        <v>0</v>
      </c>
      <c r="F1384" s="447">
        <f t="shared" si="117"/>
        <v>0</v>
      </c>
      <c r="G1384" s="1378">
        <f t="shared" si="117"/>
        <v>0</v>
      </c>
      <c r="H1384" s="448">
        <f t="shared" si="117"/>
        <v>0</v>
      </c>
      <c r="I1384" s="448">
        <f t="shared" si="117"/>
        <v>0</v>
      </c>
      <c r="J1384" s="447">
        <f t="shared" si="117"/>
        <v>0</v>
      </c>
      <c r="L1384" s="448">
        <f>ROUND((A1384+B1384)/2,2)</f>
        <v>68687.5</v>
      </c>
    </row>
  </sheetData>
  <sheetProtection algorithmName="SHA-512" hashValue="yUViLiNMLrR/6GxayRCs4eM84MCs8x/yxU9a7QSWMZbBgu4CjnXjsHCCLNNkvgMOwQtTwzCWps19RtcF31uR7g==" saltValue="uFfadOO5Xgpd3zyfh3bKTw==" spinCount="100000" sheet="1" objects="1" scenarios="1"/>
  <mergeCells count="5">
    <mergeCell ref="A1:B1"/>
    <mergeCell ref="C1:F1"/>
    <mergeCell ref="G1:J1"/>
    <mergeCell ref="N1:Q1"/>
    <mergeCell ref="R1:U1"/>
  </mergeCells>
  <conditionalFormatting sqref="B4:B1384">
    <cfRule type="expression" dxfId="0" priority="1">
      <formula>B4&lt;&gt;A4+50</formula>
    </cfRule>
  </conditionalFormatting>
  <pageMargins left="0.75" right="0.25" top="0.36" bottom="0.28999999999999998" header="0.36" footer="0.21"/>
  <pageSetup scale="33" fitToHeight="0" orientation="portrait" r:id="rId1"/>
  <drawing r:id="rId2"/>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Sheet23">
    <pageSetUpPr fitToPage="1"/>
  </sheetPr>
  <dimension ref="A1:AE2064"/>
  <sheetViews>
    <sheetView topLeftCell="B1" zoomScaleNormal="100" workbookViewId="0">
      <pane ySplit="1" topLeftCell="A2" activePane="bottomLeft" state="frozen"/>
      <selection activeCell="E24" sqref="E24"/>
      <selection pane="bottomLeft" activeCell="B1" sqref="B1"/>
    </sheetView>
  </sheetViews>
  <sheetFormatPr defaultColWidth="11.7109375" defaultRowHeight="16.5"/>
  <cols>
    <col min="1" max="1" width="15.42578125" style="625" hidden="1" customWidth="1"/>
    <col min="2" max="2" width="15.42578125" style="446" customWidth="1"/>
    <col min="3" max="3" width="12.28515625" style="446" customWidth="1"/>
    <col min="4" max="4" width="12.85546875" style="445" bestFit="1" customWidth="1"/>
    <col min="5" max="7" width="12.28515625" style="445" customWidth="1"/>
    <col min="8" max="8" width="6.7109375" style="575" customWidth="1"/>
    <col min="9" max="9" width="6.7109375" style="224" customWidth="1"/>
    <col min="10" max="10" width="13.7109375" style="224" customWidth="1"/>
    <col min="11" max="12" width="11.7109375" style="224" customWidth="1"/>
    <col min="13" max="13" width="7.85546875" style="224" customWidth="1"/>
    <col min="14" max="16" width="15.5703125" style="624" hidden="1" customWidth="1"/>
    <col min="17" max="17" width="4.28515625" style="624" customWidth="1"/>
    <col min="18" max="18" width="4.28515625" style="703" customWidth="1"/>
    <col min="19" max="19" width="11.7109375" style="700"/>
    <col min="20" max="20" width="23.85546875" style="701" customWidth="1"/>
    <col min="21" max="21" width="20.5703125" style="702" customWidth="1"/>
    <col min="22" max="22" width="60.42578125" style="701" customWidth="1"/>
    <col min="23" max="23" width="5.140625" style="224" customWidth="1"/>
    <col min="24" max="24" width="11.28515625" style="1820" customWidth="1"/>
    <col min="25" max="25" width="5.7109375" style="224" customWidth="1"/>
    <col min="26" max="30" width="11.7109375" style="224" customWidth="1"/>
    <col min="31" max="31" width="6.7109375" style="224" customWidth="1"/>
    <col min="32" max="16384" width="11.7109375" style="224"/>
  </cols>
  <sheetData>
    <row r="1" spans="1:31" s="244" customFormat="1" ht="65.25" customHeight="1" thickBot="1">
      <c r="A1" s="243"/>
      <c r="B1" s="243" t="s">
        <v>4784</v>
      </c>
      <c r="C1" s="243" t="s">
        <v>4785</v>
      </c>
      <c r="D1" s="243" t="s">
        <v>13</v>
      </c>
      <c r="E1" s="243" t="s">
        <v>4499</v>
      </c>
      <c r="F1" s="243" t="s">
        <v>4786</v>
      </c>
      <c r="G1" s="243" t="s">
        <v>4787</v>
      </c>
      <c r="H1" s="574"/>
      <c r="N1" s="623"/>
      <c r="O1" s="623"/>
      <c r="P1" s="623"/>
      <c r="Q1" s="623"/>
      <c r="R1" s="708"/>
      <c r="S1" s="1105"/>
      <c r="T1" s="1106"/>
      <c r="U1" s="1085"/>
      <c r="V1" s="1084"/>
      <c r="X1" s="1819"/>
    </row>
    <row r="2" spans="1:31" ht="17.25" thickTop="1" thickBot="1">
      <c r="A2" s="625">
        <f>AVERAGE(B2,C2)</f>
        <v>2.5</v>
      </c>
      <c r="B2" s="554">
        <v>0</v>
      </c>
      <c r="C2" s="554">
        <v>5</v>
      </c>
      <c r="D2" s="556">
        <f t="shared" ref="D2:D65" si="0">IF($A2&gt;BOTT_A4,ROUND(BASE_A4+RATE_A4*($A2-BOTT_A4),0),IF($A2&gt;BOTT_A3,ROUND(BASE_A3+RATE_A3*($A2-BOTT_A3),0),IF($A2&gt;BOTT_A2,ROUND(BASE_A2+RATE_A2*($A2-BOTT_A2),0),ROUND(RATE_A1*$A2,0))))</f>
        <v>0</v>
      </c>
      <c r="E2" s="556">
        <f t="shared" ref="E2:E65" si="1">IF($A2&gt;BOTT_B4,ROUND(BASE_B4+RATE_B4*($A2-BOTT_B4),0),IF($A2&gt;BOTT_B3,ROUND(BASE_B3+RATE_B3*($A2-BOTT_B3),0),IF($A2&gt;BOTT_B2,ROUND(BASE_B2+RATE_B2*($A2-BOTT_B2),0),ROUND(RATE_B1*$A2,0))))</f>
        <v>0</v>
      </c>
      <c r="F2" s="556">
        <f t="shared" ref="F2:F65" si="2">IF($A2&gt;BOTT_C4,ROUND(BASE_C4+RATE_C4*($A2-BOTT_C4),0),IF($A2&gt;BOTT_C3,ROUND(BASE_C3+RATE_C3*($A2-BOTT_C3),0),IF($A2&gt;BOTT_C2,ROUND(BASE_C2+RATE_C2*($A2-BOTT_C2),0),ROUND(RATE_C1*$A2,0))))</f>
        <v>0</v>
      </c>
      <c r="G2" s="556">
        <f t="shared" ref="G2:G65" si="3">IF($A2&gt;BOTT_D4,ROUND(BASE_D4+RATE_D4*($A2-BOTT_D4),0),IF($A2&gt;BOTT_D3,ROUND(BASE_D3+RATE_D3*($A2-BOTT_D3),0),IF($A2&gt;BOTT_D2,ROUND(BASE_D2+RATE_D2*($A2-BOTT_D2),0),ROUND(RATE_D1*$A2,0))))</f>
        <v>0</v>
      </c>
      <c r="I2" s="1080" t="str">
        <f>TaxYear&amp;" Tax Computation Worksheet"</f>
        <v>2025 Tax Computation Worksheet</v>
      </c>
      <c r="J2" s="552"/>
      <c r="K2" s="552"/>
      <c r="L2" s="552"/>
      <c r="M2" s="553"/>
      <c r="R2" s="1086"/>
      <c r="S2" s="1087"/>
      <c r="T2" s="1088"/>
      <c r="U2" s="1089"/>
      <c r="V2" s="1088"/>
      <c r="W2" s="1090"/>
    </row>
    <row r="3" spans="1:31" thickTop="1">
      <c r="A3" s="625">
        <f t="shared" ref="A3:A66" si="4">AVERAGE(B3,C3)</f>
        <v>10</v>
      </c>
      <c r="B3" s="554">
        <v>5</v>
      </c>
      <c r="C3" s="554">
        <v>15</v>
      </c>
      <c r="D3" s="556">
        <f t="shared" si="0"/>
        <v>1</v>
      </c>
      <c r="E3" s="556">
        <f t="shared" si="1"/>
        <v>1</v>
      </c>
      <c r="F3" s="556">
        <f t="shared" si="2"/>
        <v>1</v>
      </c>
      <c r="G3" s="556">
        <f t="shared" si="3"/>
        <v>1</v>
      </c>
      <c r="H3" s="576"/>
      <c r="I3" s="542"/>
      <c r="J3" s="561" t="s">
        <v>588</v>
      </c>
      <c r="K3" s="561" t="s">
        <v>592</v>
      </c>
      <c r="L3" s="561" t="s">
        <v>599</v>
      </c>
      <c r="M3" s="543"/>
      <c r="R3" s="1091"/>
      <c r="S3" s="508" t="s">
        <v>4788</v>
      </c>
      <c r="T3" s="1093"/>
      <c r="U3" s="1094"/>
      <c r="V3" s="1093"/>
      <c r="W3" s="1095"/>
    </row>
    <row r="4" spans="1:31">
      <c r="A4" s="625">
        <f t="shared" si="4"/>
        <v>20</v>
      </c>
      <c r="B4" s="554">
        <v>15</v>
      </c>
      <c r="C4" s="554">
        <v>25</v>
      </c>
      <c r="D4" s="556">
        <f t="shared" si="0"/>
        <v>2</v>
      </c>
      <c r="E4" s="556">
        <f t="shared" si="1"/>
        <v>2</v>
      </c>
      <c r="F4" s="556">
        <f t="shared" si="2"/>
        <v>2</v>
      </c>
      <c r="G4" s="556">
        <f t="shared" si="3"/>
        <v>2</v>
      </c>
      <c r="H4" s="576"/>
      <c r="I4" s="544"/>
      <c r="J4" s="1220" t="s">
        <v>3517</v>
      </c>
      <c r="K4" s="545"/>
      <c r="L4" s="545"/>
      <c r="M4" s="546"/>
      <c r="R4" s="1091"/>
      <c r="S4" s="1096" t="s">
        <v>4789</v>
      </c>
      <c r="T4" s="1097" t="s">
        <v>4790</v>
      </c>
      <c r="U4" s="1097" t="s">
        <v>4791</v>
      </c>
      <c r="V4" s="1093"/>
      <c r="W4" s="1095"/>
    </row>
    <row r="5" spans="1:31" ht="15.75">
      <c r="A5" s="625">
        <f t="shared" si="4"/>
        <v>37.5</v>
      </c>
      <c r="B5" s="554">
        <v>25</v>
      </c>
      <c r="C5" s="554">
        <v>50</v>
      </c>
      <c r="D5" s="556">
        <f t="shared" si="0"/>
        <v>4</v>
      </c>
      <c r="E5" s="556">
        <f t="shared" si="1"/>
        <v>4</v>
      </c>
      <c r="F5" s="556">
        <f t="shared" si="2"/>
        <v>4</v>
      </c>
      <c r="G5" s="556">
        <f t="shared" si="3"/>
        <v>4</v>
      </c>
      <c r="H5" s="576"/>
      <c r="I5" s="544"/>
      <c r="J5" s="1093" t="s">
        <v>4792</v>
      </c>
      <c r="K5" s="528"/>
      <c r="L5" s="528"/>
      <c r="M5" s="546"/>
      <c r="R5" s="1091" t="s">
        <v>510</v>
      </c>
      <c r="S5" s="509" t="s">
        <v>4793</v>
      </c>
      <c r="T5" s="1093"/>
      <c r="U5" s="1094"/>
      <c r="V5" s="1093"/>
      <c r="W5" s="1095"/>
    </row>
    <row r="6" spans="1:31" thickBot="1">
      <c r="A6" s="625">
        <f t="shared" si="4"/>
        <v>62.5</v>
      </c>
      <c r="B6" s="554">
        <v>50</v>
      </c>
      <c r="C6" s="554">
        <v>75</v>
      </c>
      <c r="D6" s="556">
        <f t="shared" si="0"/>
        <v>6</v>
      </c>
      <c r="E6" s="556">
        <f t="shared" si="1"/>
        <v>6</v>
      </c>
      <c r="F6" s="556">
        <f t="shared" si="2"/>
        <v>6</v>
      </c>
      <c r="G6" s="556">
        <f t="shared" si="3"/>
        <v>6</v>
      </c>
      <c r="H6" s="576"/>
      <c r="I6" s="558">
        <v>1</v>
      </c>
      <c r="J6" s="529" t="s">
        <v>4794</v>
      </c>
      <c r="K6" s="537"/>
      <c r="L6" s="530"/>
      <c r="M6" s="546"/>
      <c r="R6" s="1091"/>
      <c r="S6" s="1083" t="s">
        <v>4795</v>
      </c>
      <c r="T6" s="1083" t="s">
        <v>4796</v>
      </c>
      <c r="U6" s="1098" t="s">
        <v>4797</v>
      </c>
      <c r="V6" s="704" t="s">
        <v>4798</v>
      </c>
      <c r="W6" s="1095"/>
    </row>
    <row r="7" spans="1:31" thickBot="1">
      <c r="A7" s="625">
        <f t="shared" si="4"/>
        <v>87.5</v>
      </c>
      <c r="B7" s="554">
        <v>75</v>
      </c>
      <c r="C7" s="554">
        <v>100</v>
      </c>
      <c r="D7" s="556">
        <f t="shared" si="0"/>
        <v>9</v>
      </c>
      <c r="E7" s="556">
        <f t="shared" si="1"/>
        <v>9</v>
      </c>
      <c r="F7" s="556">
        <f t="shared" si="2"/>
        <v>9</v>
      </c>
      <c r="G7" s="556">
        <f t="shared" si="3"/>
        <v>9</v>
      </c>
      <c r="H7" s="576"/>
      <c r="I7" s="558">
        <v>2</v>
      </c>
      <c r="J7" s="531" t="s">
        <v>3139</v>
      </c>
      <c r="K7" s="538"/>
      <c r="L7" s="532"/>
      <c r="M7" s="546"/>
      <c r="R7" s="1091">
        <v>1</v>
      </c>
      <c r="S7" s="763">
        <v>0.1</v>
      </c>
      <c r="T7" s="760">
        <v>0</v>
      </c>
      <c r="U7" s="760">
        <v>0</v>
      </c>
      <c r="V7" s="705" t="s">
        <v>4799</v>
      </c>
      <c r="W7" s="1095"/>
    </row>
    <row r="8" spans="1:31" thickBot="1">
      <c r="A8" s="625">
        <f t="shared" si="4"/>
        <v>112.5</v>
      </c>
      <c r="B8" s="554">
        <v>100</v>
      </c>
      <c r="C8" s="554">
        <v>125</v>
      </c>
      <c r="D8" s="556">
        <f t="shared" si="0"/>
        <v>11</v>
      </c>
      <c r="E8" s="556">
        <f t="shared" si="1"/>
        <v>11</v>
      </c>
      <c r="F8" s="556">
        <f t="shared" si="2"/>
        <v>11</v>
      </c>
      <c r="G8" s="556">
        <f t="shared" si="3"/>
        <v>11</v>
      </c>
      <c r="H8" s="576"/>
      <c r="I8" s="558">
        <v>3</v>
      </c>
      <c r="J8" s="533">
        <v>100000</v>
      </c>
      <c r="K8" s="538"/>
      <c r="L8" s="532"/>
      <c r="M8" s="546"/>
      <c r="R8" s="1091">
        <v>2</v>
      </c>
      <c r="S8" s="764">
        <v>0.12</v>
      </c>
      <c r="T8" s="761">
        <v>11925</v>
      </c>
      <c r="U8" s="761">
        <f>ROUND(RATE_A1*BOTT_A2,2)</f>
        <v>1192.5</v>
      </c>
      <c r="V8" s="706" t="str">
        <f t="shared" ref="V8:V13" si="5">"plus "&amp;TEXT(S8,"0%")&amp;" of the excess over "&amp;TEXT(T8,"$0,000")</f>
        <v>plus 12% of the excess over $11,925</v>
      </c>
      <c r="W8" s="1095"/>
    </row>
    <row r="9" spans="1:31" thickBot="1">
      <c r="A9" s="625">
        <f t="shared" si="4"/>
        <v>137.5</v>
      </c>
      <c r="B9" s="554">
        <v>125</v>
      </c>
      <c r="C9" s="554">
        <v>150</v>
      </c>
      <c r="D9" s="556">
        <f t="shared" si="0"/>
        <v>14</v>
      </c>
      <c r="E9" s="556">
        <f t="shared" si="1"/>
        <v>14</v>
      </c>
      <c r="F9" s="556">
        <f t="shared" si="2"/>
        <v>14</v>
      </c>
      <c r="G9" s="556">
        <f t="shared" si="3"/>
        <v>14</v>
      </c>
      <c r="H9" s="576"/>
      <c r="I9" s="558"/>
      <c r="J9" s="533">
        <f>BOTT_A4</f>
        <v>103350</v>
      </c>
      <c r="K9" s="538">
        <f>RATE_A3*100</f>
        <v>22</v>
      </c>
      <c r="L9" s="532">
        <f>P9</f>
        <v>5086</v>
      </c>
      <c r="M9" s="546"/>
      <c r="N9" s="637">
        <f>BOTT_A3*RATE_A3</f>
        <v>10664.5</v>
      </c>
      <c r="O9" s="637">
        <f>BASE_A3</f>
        <v>5578.5</v>
      </c>
      <c r="P9" s="637">
        <f>SUM(N9,-O9)</f>
        <v>5086</v>
      </c>
      <c r="R9" s="1091">
        <v>3</v>
      </c>
      <c r="S9" s="763">
        <v>0.22</v>
      </c>
      <c r="T9" s="760">
        <v>48475</v>
      </c>
      <c r="U9" s="760">
        <f>ROUND(BASE_A2+RATE_A2*(BOTT_A3-BOTT_A2),2)</f>
        <v>5578.5</v>
      </c>
      <c r="V9" s="705" t="str">
        <f t="shared" si="5"/>
        <v>plus 22% of the excess over $48,475</v>
      </c>
      <c r="W9" s="1095"/>
    </row>
    <row r="10" spans="1:31" thickBot="1">
      <c r="A10" s="625">
        <f t="shared" si="4"/>
        <v>162.5</v>
      </c>
      <c r="B10" s="554">
        <v>150</v>
      </c>
      <c r="C10" s="554">
        <v>175</v>
      </c>
      <c r="D10" s="556">
        <f t="shared" si="0"/>
        <v>16</v>
      </c>
      <c r="E10" s="556">
        <f t="shared" si="1"/>
        <v>16</v>
      </c>
      <c r="F10" s="556">
        <f t="shared" si="2"/>
        <v>16</v>
      </c>
      <c r="G10" s="556">
        <f t="shared" si="3"/>
        <v>16</v>
      </c>
      <c r="H10" s="576"/>
      <c r="I10" s="558">
        <v>4</v>
      </c>
      <c r="J10" s="533">
        <f>BOTT_A5</f>
        <v>197300</v>
      </c>
      <c r="K10" s="538">
        <f>RATE_A4*100</f>
        <v>24</v>
      </c>
      <c r="L10" s="532">
        <f>P10</f>
        <v>7153</v>
      </c>
      <c r="M10" s="546"/>
      <c r="N10" s="637">
        <f>BOTT_A4*RATE_A4</f>
        <v>24804</v>
      </c>
      <c r="O10" s="637">
        <f>BASE_A4</f>
        <v>17651</v>
      </c>
      <c r="P10" s="637">
        <f>SUM(N10,-O10)</f>
        <v>7153</v>
      </c>
      <c r="R10" s="1091">
        <v>4</v>
      </c>
      <c r="S10" s="764">
        <v>0.24</v>
      </c>
      <c r="T10" s="761">
        <v>103350</v>
      </c>
      <c r="U10" s="761">
        <f>ROUND(BASE_A3+RATE_A3*(BOTT_A4-BOTT_A3),2)</f>
        <v>17651</v>
      </c>
      <c r="V10" s="706" t="str">
        <f t="shared" si="5"/>
        <v>plus 24% of the excess over $103,350</v>
      </c>
      <c r="W10" s="1095"/>
    </row>
    <row r="11" spans="1:31" thickBot="1">
      <c r="A11" s="625">
        <f t="shared" si="4"/>
        <v>187.5</v>
      </c>
      <c r="B11" s="554">
        <v>175</v>
      </c>
      <c r="C11" s="554">
        <v>200</v>
      </c>
      <c r="D11" s="556">
        <f t="shared" si="0"/>
        <v>19</v>
      </c>
      <c r="E11" s="556">
        <f t="shared" si="1"/>
        <v>19</v>
      </c>
      <c r="F11" s="556">
        <f t="shared" si="2"/>
        <v>19</v>
      </c>
      <c r="G11" s="556">
        <f t="shared" si="3"/>
        <v>19</v>
      </c>
      <c r="H11" s="576"/>
      <c r="I11" s="558">
        <v>5</v>
      </c>
      <c r="J11" s="533">
        <f>BOTT_A6</f>
        <v>250525</v>
      </c>
      <c r="K11" s="538">
        <f>RATE_A5*100</f>
        <v>32</v>
      </c>
      <c r="L11" s="534">
        <f>P11</f>
        <v>22937</v>
      </c>
      <c r="M11" s="546"/>
      <c r="N11" s="637">
        <f>BOTT_A5*RATE_A5</f>
        <v>63136</v>
      </c>
      <c r="O11" s="637">
        <f>BASE_A5</f>
        <v>40199</v>
      </c>
      <c r="P11" s="637">
        <f>SUM(N11,-O11)</f>
        <v>22937</v>
      </c>
      <c r="R11" s="1091">
        <v>5</v>
      </c>
      <c r="S11" s="763">
        <v>0.32</v>
      </c>
      <c r="T11" s="760">
        <v>197300</v>
      </c>
      <c r="U11" s="760">
        <f>ROUND(BASE_A4+RATE_A4*(BOTT_A5-BOTT_A4),2)</f>
        <v>40199</v>
      </c>
      <c r="V11" s="705" t="str">
        <f t="shared" si="5"/>
        <v>plus 32% of the excess over $197,300</v>
      </c>
      <c r="W11" s="1095"/>
    </row>
    <row r="12" spans="1:31" thickBot="1">
      <c r="A12" s="625">
        <f t="shared" si="4"/>
        <v>212.5</v>
      </c>
      <c r="B12" s="554">
        <v>200</v>
      </c>
      <c r="C12" s="554">
        <v>225</v>
      </c>
      <c r="D12" s="556">
        <f t="shared" si="0"/>
        <v>21</v>
      </c>
      <c r="E12" s="556">
        <f t="shared" si="1"/>
        <v>21</v>
      </c>
      <c r="F12" s="556">
        <f t="shared" si="2"/>
        <v>21</v>
      </c>
      <c r="G12" s="556">
        <f t="shared" si="3"/>
        <v>21</v>
      </c>
      <c r="H12" s="576"/>
      <c r="I12" s="558">
        <v>6</v>
      </c>
      <c r="J12" s="533">
        <f>BOTT_A7</f>
        <v>626350</v>
      </c>
      <c r="K12" s="538">
        <f>RATE_A6*100</f>
        <v>35</v>
      </c>
      <c r="L12" s="532">
        <f>P12</f>
        <v>30452.75</v>
      </c>
      <c r="M12" s="546"/>
      <c r="N12" s="637">
        <f>BOTT_A6*RATE_A6</f>
        <v>87683.75</v>
      </c>
      <c r="O12" s="637">
        <f>BASE_A6</f>
        <v>57231</v>
      </c>
      <c r="P12" s="637">
        <f>SUM(N12,-O12)</f>
        <v>30452.75</v>
      </c>
      <c r="R12" s="1091">
        <v>6</v>
      </c>
      <c r="S12" s="764">
        <v>0.35</v>
      </c>
      <c r="T12" s="761">
        <v>250525</v>
      </c>
      <c r="U12" s="761">
        <f>BASE_A5+RATE_A5*(BOTT_A6-BOTT_A5)</f>
        <v>57231</v>
      </c>
      <c r="V12" s="706" t="str">
        <f t="shared" si="5"/>
        <v>plus 35% of the excess over $250,525</v>
      </c>
      <c r="W12" s="1095"/>
    </row>
    <row r="13" spans="1:31" thickBot="1">
      <c r="A13" s="625">
        <f t="shared" si="4"/>
        <v>237.5</v>
      </c>
      <c r="B13" s="554">
        <v>225</v>
      </c>
      <c r="C13" s="554">
        <v>250</v>
      </c>
      <c r="D13" s="556">
        <f t="shared" si="0"/>
        <v>24</v>
      </c>
      <c r="E13" s="556">
        <f t="shared" si="1"/>
        <v>24</v>
      </c>
      <c r="F13" s="556">
        <f t="shared" si="2"/>
        <v>24</v>
      </c>
      <c r="G13" s="556">
        <f t="shared" si="3"/>
        <v>24</v>
      </c>
      <c r="H13" s="576"/>
      <c r="I13" s="558">
        <v>7</v>
      </c>
      <c r="J13" s="535"/>
      <c r="K13" s="539">
        <f>RATE_A7*100</f>
        <v>37</v>
      </c>
      <c r="L13" s="536">
        <f>P13</f>
        <v>42979.75</v>
      </c>
      <c r="M13" s="546"/>
      <c r="N13" s="637">
        <f>BOTT_A7*RATE_A7</f>
        <v>231749.5</v>
      </c>
      <c r="O13" s="637">
        <f>BASE_A7</f>
        <v>188769.75</v>
      </c>
      <c r="P13" s="637">
        <f>SUM(N13,-O13)</f>
        <v>42979.75</v>
      </c>
      <c r="R13" s="1091">
        <v>7</v>
      </c>
      <c r="S13" s="763">
        <v>0.37</v>
      </c>
      <c r="T13" s="760">
        <v>626350</v>
      </c>
      <c r="U13" s="760">
        <f>ROUND(BASE_A6+RATE_A6*(BOTT_A7-BOTT_A6),2)</f>
        <v>188769.75</v>
      </c>
      <c r="V13" s="705" t="str">
        <f t="shared" si="5"/>
        <v>plus 37% of the excess over $626,350</v>
      </c>
      <c r="W13" s="1095"/>
    </row>
    <row r="14" spans="1:31" ht="15.75">
      <c r="A14" s="625">
        <f t="shared" si="4"/>
        <v>262.5</v>
      </c>
      <c r="B14" s="554">
        <v>250</v>
      </c>
      <c r="C14" s="554">
        <v>275</v>
      </c>
      <c r="D14" s="556">
        <f t="shared" si="0"/>
        <v>26</v>
      </c>
      <c r="E14" s="556">
        <f t="shared" si="1"/>
        <v>26</v>
      </c>
      <c r="F14" s="556">
        <f t="shared" si="2"/>
        <v>26</v>
      </c>
      <c r="G14" s="556">
        <f t="shared" si="3"/>
        <v>26</v>
      </c>
      <c r="H14" s="576"/>
      <c r="I14" s="559"/>
      <c r="J14" s="528"/>
      <c r="K14" s="528"/>
      <c r="L14" s="528"/>
      <c r="M14" s="546"/>
      <c r="R14" s="1091"/>
      <c r="S14" s="1096" t="s">
        <v>4789</v>
      </c>
      <c r="T14" s="1097" t="s">
        <v>4790</v>
      </c>
      <c r="U14" s="1097" t="s">
        <v>4791</v>
      </c>
      <c r="V14" s="1093"/>
      <c r="W14" s="1095"/>
      <c r="Y14" s="11682" t="str">
        <f>TaxYear&amp;" Manual Income Tax Calculator"</f>
        <v>2025 Manual Income Tax Calculator</v>
      </c>
      <c r="Z14" s="11683"/>
      <c r="AA14" s="11683"/>
      <c r="AB14" s="11683"/>
      <c r="AC14" s="11683"/>
      <c r="AD14" s="11683"/>
      <c r="AE14" s="11684"/>
    </row>
    <row r="15" spans="1:31" ht="15.75">
      <c r="A15" s="625">
        <f t="shared" si="4"/>
        <v>287.5</v>
      </c>
      <c r="B15" s="554">
        <v>275</v>
      </c>
      <c r="C15" s="554">
        <v>300</v>
      </c>
      <c r="D15" s="556">
        <f t="shared" si="0"/>
        <v>29</v>
      </c>
      <c r="E15" s="556">
        <f t="shared" si="1"/>
        <v>29</v>
      </c>
      <c r="F15" s="556">
        <f t="shared" si="2"/>
        <v>29</v>
      </c>
      <c r="G15" s="556">
        <f t="shared" si="3"/>
        <v>29</v>
      </c>
      <c r="H15" s="576"/>
      <c r="I15" s="559"/>
      <c r="J15" s="562" t="s">
        <v>588</v>
      </c>
      <c r="K15" s="562" t="s">
        <v>592</v>
      </c>
      <c r="L15" s="562" t="s">
        <v>599</v>
      </c>
      <c r="M15" s="546"/>
      <c r="R15" s="1091" t="s">
        <v>516</v>
      </c>
      <c r="S15" s="509" t="s">
        <v>4800</v>
      </c>
      <c r="T15" s="1093"/>
      <c r="U15" s="1094"/>
      <c r="V15" s="1093"/>
      <c r="W15" s="1095"/>
      <c r="Y15" s="11685"/>
      <c r="Z15" s="11686"/>
      <c r="AA15" s="11686"/>
      <c r="AB15" s="11686"/>
      <c r="AC15" s="11686"/>
      <c r="AD15" s="11686"/>
      <c r="AE15" s="11687"/>
    </row>
    <row r="16" spans="1:31" ht="17.25" thickBot="1">
      <c r="A16" s="625">
        <f t="shared" si="4"/>
        <v>312.5</v>
      </c>
      <c r="B16" s="554">
        <v>300</v>
      </c>
      <c r="C16" s="554">
        <v>325</v>
      </c>
      <c r="D16" s="556">
        <f t="shared" si="0"/>
        <v>31</v>
      </c>
      <c r="E16" s="556">
        <f t="shared" si="1"/>
        <v>31</v>
      </c>
      <c r="F16" s="556">
        <f t="shared" si="2"/>
        <v>31</v>
      </c>
      <c r="G16" s="556">
        <f t="shared" si="3"/>
        <v>31</v>
      </c>
      <c r="H16" s="576"/>
      <c r="I16" s="559"/>
      <c r="J16" s="1221" t="s">
        <v>3062</v>
      </c>
      <c r="K16" s="528"/>
      <c r="L16" s="528"/>
      <c r="M16" s="546"/>
      <c r="R16" s="1091"/>
      <c r="S16" s="1082" t="s">
        <v>4795</v>
      </c>
      <c r="T16" s="1082" t="s">
        <v>4796</v>
      </c>
      <c r="U16" s="1098" t="s">
        <v>4797</v>
      </c>
      <c r="V16" s="704" t="s">
        <v>4798</v>
      </c>
      <c r="W16" s="1095"/>
      <c r="Y16" s="1456"/>
      <c r="Z16" s="1455" t="s">
        <v>4802</v>
      </c>
      <c r="AA16" s="1457"/>
      <c r="AB16" s="1457"/>
      <c r="AC16" s="1457"/>
      <c r="AD16" s="1457"/>
      <c r="AE16" s="1458"/>
    </row>
    <row r="17" spans="1:31" thickBot="1">
      <c r="A17" s="625">
        <f t="shared" si="4"/>
        <v>337.5</v>
      </c>
      <c r="B17" s="554">
        <v>325</v>
      </c>
      <c r="C17" s="554">
        <v>350</v>
      </c>
      <c r="D17" s="556">
        <f t="shared" si="0"/>
        <v>34</v>
      </c>
      <c r="E17" s="556">
        <f t="shared" si="1"/>
        <v>34</v>
      </c>
      <c r="F17" s="556">
        <f t="shared" si="2"/>
        <v>34</v>
      </c>
      <c r="G17" s="556">
        <f t="shared" si="3"/>
        <v>34</v>
      </c>
      <c r="H17" s="576"/>
      <c r="I17" s="559"/>
      <c r="J17" s="1093" t="s">
        <v>4801</v>
      </c>
      <c r="K17" s="528"/>
      <c r="L17" s="528"/>
      <c r="M17" s="546"/>
      <c r="R17" s="1091">
        <v>1</v>
      </c>
      <c r="S17" s="763">
        <v>0.1</v>
      </c>
      <c r="T17" s="760">
        <v>0</v>
      </c>
      <c r="U17" s="760">
        <v>0</v>
      </c>
      <c r="V17" s="705" t="s">
        <v>4804</v>
      </c>
      <c r="W17" s="1095"/>
      <c r="Y17" s="1459"/>
      <c r="Z17" s="471" t="s">
        <v>662</v>
      </c>
      <c r="AA17" s="730" t="s">
        <v>13</v>
      </c>
      <c r="AB17" s="730" t="s">
        <v>663</v>
      </c>
      <c r="AC17" s="730" t="s">
        <v>21</v>
      </c>
      <c r="AD17" s="730" t="s">
        <v>24</v>
      </c>
      <c r="AE17" s="1460"/>
    </row>
    <row r="18" spans="1:31" ht="17.25" thickTop="1" thickBot="1">
      <c r="A18" s="625">
        <f t="shared" si="4"/>
        <v>362.5</v>
      </c>
      <c r="B18" s="554">
        <v>350</v>
      </c>
      <c r="C18" s="554">
        <v>375</v>
      </c>
      <c r="D18" s="556">
        <f t="shared" si="0"/>
        <v>36</v>
      </c>
      <c r="E18" s="556">
        <f t="shared" si="1"/>
        <v>36</v>
      </c>
      <c r="F18" s="556">
        <f t="shared" si="2"/>
        <v>36</v>
      </c>
      <c r="G18" s="556">
        <f t="shared" si="3"/>
        <v>36</v>
      </c>
      <c r="H18" s="576"/>
      <c r="I18" s="558">
        <v>1</v>
      </c>
      <c r="J18" s="529" t="s">
        <v>4803</v>
      </c>
      <c r="K18" s="537"/>
      <c r="L18" s="530"/>
      <c r="M18" s="546"/>
      <c r="R18" s="1091">
        <v>2</v>
      </c>
      <c r="S18" s="764">
        <v>0.12</v>
      </c>
      <c r="T18" s="761">
        <v>23850</v>
      </c>
      <c r="U18" s="761">
        <f>ROUND(RATE_B1*BOTT_B2,2)</f>
        <v>2385</v>
      </c>
      <c r="V18" s="706" t="str">
        <f t="shared" ref="V18:V23" si="6">"plus "&amp;TEXT(S18,"0%")&amp;" of the excess over "&amp;TEXT(T18,"$0,000")</f>
        <v>plus 12% of the excess over $23,850</v>
      </c>
      <c r="W18" s="1095"/>
      <c r="Y18" s="1459"/>
      <c r="Z18" s="4641"/>
      <c r="AA18" s="2572">
        <f>LOOKUP(Z18,'Tax Table'!$B$2:$B$2063,'Tax Table'!$D$2:$D$2063)</f>
        <v>0</v>
      </c>
      <c r="AB18" s="2572">
        <f>LOOKUP(Z18,'Tax Table'!$B$2:$B$2063,'Tax Table'!$E$2:$E$2063)</f>
        <v>0</v>
      </c>
      <c r="AC18" s="2572">
        <f>LOOKUP(Z18,'Tax Table'!$B$2:$B$2063,'Tax Table'!$F$2:$F$2063)</f>
        <v>0</v>
      </c>
      <c r="AD18" s="2573">
        <f>LOOKUP(Z18,'Tax Table'!$B$2:$B$2063,'Tax Table'!$G$2:$G$2063)</f>
        <v>0</v>
      </c>
      <c r="AE18" s="1460"/>
    </row>
    <row r="19" spans="1:31" thickBot="1">
      <c r="A19" s="625">
        <f t="shared" si="4"/>
        <v>387.5</v>
      </c>
      <c r="B19" s="554">
        <v>375</v>
      </c>
      <c r="C19" s="554">
        <v>400</v>
      </c>
      <c r="D19" s="556">
        <f t="shared" si="0"/>
        <v>39</v>
      </c>
      <c r="E19" s="556">
        <f t="shared" si="1"/>
        <v>39</v>
      </c>
      <c r="F19" s="556">
        <f t="shared" si="2"/>
        <v>39</v>
      </c>
      <c r="G19" s="556">
        <f t="shared" si="3"/>
        <v>39</v>
      </c>
      <c r="H19" s="576"/>
      <c r="I19" s="558">
        <v>2</v>
      </c>
      <c r="J19" s="533">
        <v>100000</v>
      </c>
      <c r="K19" s="538"/>
      <c r="L19" s="532"/>
      <c r="M19" s="546"/>
      <c r="R19" s="1091">
        <v>3</v>
      </c>
      <c r="S19" s="763">
        <v>0.22</v>
      </c>
      <c r="T19" s="760">
        <v>96950</v>
      </c>
      <c r="U19" s="760">
        <f>ROUND(BASE_B2+RATE_B2*(BOTT_B3-BOTT_B2),2)</f>
        <v>11157</v>
      </c>
      <c r="V19" s="705" t="str">
        <f t="shared" si="6"/>
        <v>plus 22% of the excess over $96,950</v>
      </c>
      <c r="W19" s="1095"/>
      <c r="Y19" s="1459"/>
      <c r="Z19" s="4640"/>
      <c r="AA19" s="2574" t="str">
        <f>IF(Z18&lt;SectA_a2,"---",IF(Z18&lt;=SectA_a3,ROUND(Z18*(SectA_b3/100),0)-SectA_d3,IF(Z18&lt;=SectA_a4,ROUND(Z18*(SectA_b4/100),0)-SectA_d4,IF(Z18&lt;=SectA_a5,ROUND(Z18*(SectA_b5/100),0)-SectA_d5,IF(Z18&lt;=SectA_a6,ROUND(Z18*(SectA_b6/100),0)-SectA_d6,ROUND(Z18*(SectA_b7/100),0)-SectA_d7)))))</f>
        <v>---</v>
      </c>
      <c r="AB19" s="2574" t="str">
        <f>IF(Z18&lt;SectB_a2,"---",IF(Z18&lt;=SectB_a3,ROUND(Z18*(SectB_b3/100),0)-SectB_d3,IF(Z18&lt;=SectB_a4,ROUND(Z18*(SectB_b4/100),0)-SectB_d4,IF(Z18&lt;=SectB_a5,ROUND(Z18*(SectB_b5/100),0)-SectB_d5,IF(Z18&lt;=SectB_a6,ROUND(Z18*(SectB_b6/100),0)-SectB_d6,ROUND(Z18*(SectB_b7/100),0)-SectB_d7)))))</f>
        <v>---</v>
      </c>
      <c r="AC19" s="2574" t="str">
        <f>IF(Z18&lt;SectC_a1,"---",IF(Z18&lt;=SectC_a2,ROUND(Z18*(SectC_b2/100),0)-SectC_d2,IF(Z18&lt;=SectC_a3,ROUND(Z18*(SectC_b3/100),0)-SectC_d3,IF(Z18&lt;=SectC_a4,ROUND(Z18*(SectC_b4/100),0)-SectC_d4,IF(Z18&lt;=SectC_a5,ROUND(Z18*(SectC_b5/100),0)-SectC_d5,ROUND(Z18*(SectC_b6/100),0)-SectC_d6)))))</f>
        <v>---</v>
      </c>
      <c r="AD19" s="2575" t="str">
        <f>IF(Z18&lt;SectD_a2,"---",IF(Z18&lt;=SectD_a3,ROUND(Z18*(SectD_b3/100),0)-SectD_d3,IF(Z18&lt;=SectD_a4,ROUND(Z18*(SectD_b4/100),0)-SectD_d4,IF(Z18&lt;=SectD_a5,ROUND(Z18*(SectD_b5/100),0)-SectD_d5,IF(Z18&lt;=SectD_a6,ROUND(Z18*(SectD_b6/100),0)-SectD_d6,ROUND(Z18*(SectD_b7/100),0)-SectD_d7)))))</f>
        <v>---</v>
      </c>
      <c r="AE19" s="1460"/>
    </row>
    <row r="20" spans="1:31" thickBot="1">
      <c r="A20" s="625">
        <f t="shared" si="4"/>
        <v>412.5</v>
      </c>
      <c r="B20" s="554">
        <v>400</v>
      </c>
      <c r="C20" s="554">
        <v>425</v>
      </c>
      <c r="D20" s="556">
        <f t="shared" si="0"/>
        <v>41</v>
      </c>
      <c r="E20" s="556">
        <f t="shared" si="1"/>
        <v>41</v>
      </c>
      <c r="F20" s="556">
        <f t="shared" si="2"/>
        <v>41</v>
      </c>
      <c r="G20" s="556">
        <f t="shared" si="3"/>
        <v>41</v>
      </c>
      <c r="H20" s="576"/>
      <c r="I20" s="558">
        <v>3</v>
      </c>
      <c r="J20" s="533">
        <f>BOTT_B4</f>
        <v>206700</v>
      </c>
      <c r="K20" s="538">
        <f>RATE_B3*100</f>
        <v>22</v>
      </c>
      <c r="L20" s="532">
        <f>P20</f>
        <v>10172</v>
      </c>
      <c r="M20" s="546"/>
      <c r="N20" s="637">
        <f>BOTT_B3*RATE_B3</f>
        <v>21329</v>
      </c>
      <c r="O20" s="637">
        <f>BASE_B3</f>
        <v>11157</v>
      </c>
      <c r="P20" s="637">
        <f>SUM(N20,-O20)</f>
        <v>10172</v>
      </c>
      <c r="R20" s="1091">
        <v>4</v>
      </c>
      <c r="S20" s="764">
        <v>0.24</v>
      </c>
      <c r="T20" s="761">
        <v>206700</v>
      </c>
      <c r="U20" s="761">
        <f>ROUND(BASE_B3+RATE_B3*(BOTT_B4-BOTT_B3),2)</f>
        <v>35302</v>
      </c>
      <c r="V20" s="706" t="str">
        <f t="shared" si="6"/>
        <v>plus 24% of the excess over $206,700</v>
      </c>
      <c r="W20" s="1095"/>
      <c r="Y20" s="1459"/>
      <c r="Z20" s="2576" t="str">
        <f>IF(File_Single&lt;&gt;"",AA18,IF(File_Marr_Joint&lt;&gt;"",AB18,IF(File_Marr_Sep&lt;&gt;"", AC18,IF(File_Head&lt;&gt;"",AD18,IF(File_Qual_Widow&lt;&gt;"",AB18,"Filing status?")))))</f>
        <v>Filing status?</v>
      </c>
      <c r="AA20" s="1061" t="str">
        <f>"&lt;100k"</f>
        <v>&lt;100k</v>
      </c>
      <c r="AB20" s="1061"/>
      <c r="AC20" s="1061"/>
      <c r="AD20" s="2577"/>
      <c r="AE20" s="1460"/>
    </row>
    <row r="21" spans="1:31" thickBot="1">
      <c r="A21" s="625">
        <f t="shared" si="4"/>
        <v>437.5</v>
      </c>
      <c r="B21" s="554">
        <v>425</v>
      </c>
      <c r="C21" s="554">
        <v>450</v>
      </c>
      <c r="D21" s="556">
        <f t="shared" si="0"/>
        <v>44</v>
      </c>
      <c r="E21" s="556">
        <f t="shared" si="1"/>
        <v>44</v>
      </c>
      <c r="F21" s="556">
        <f t="shared" si="2"/>
        <v>44</v>
      </c>
      <c r="G21" s="556">
        <f t="shared" si="3"/>
        <v>44</v>
      </c>
      <c r="H21" s="576"/>
      <c r="I21" s="558">
        <v>4</v>
      </c>
      <c r="J21" s="533">
        <f>BOTT_B5</f>
        <v>394600</v>
      </c>
      <c r="K21" s="538">
        <f>RATE_B4*100</f>
        <v>24</v>
      </c>
      <c r="L21" s="532">
        <f>P21</f>
        <v>14306</v>
      </c>
      <c r="M21" s="546"/>
      <c r="N21" s="637">
        <f>BOTT_B4*RATE_B4</f>
        <v>49608</v>
      </c>
      <c r="O21" s="637">
        <f>BASE_B4</f>
        <v>35302</v>
      </c>
      <c r="P21" s="637">
        <f>SUM(N21,-O21)</f>
        <v>14306</v>
      </c>
      <c r="R21" s="1091">
        <v>5</v>
      </c>
      <c r="S21" s="763">
        <v>0.32</v>
      </c>
      <c r="T21" s="760">
        <v>394600</v>
      </c>
      <c r="U21" s="760">
        <f>ROUND(BASE_B4+RATE_B4*(BOTT_B5-BOTT_B4),2)</f>
        <v>80398</v>
      </c>
      <c r="V21" s="705" t="str">
        <f t="shared" si="6"/>
        <v>plus 32% of the excess over $394,600</v>
      </c>
      <c r="W21" s="1095"/>
      <c r="Y21" s="1459"/>
      <c r="Z21" s="2579" t="str">
        <f>IF(File_Single&lt;&gt;"",AA19,IF(OR(File_Marr_Joint&lt;&gt;"",File_Qual_Widow&lt;&gt;""),AB19,IF(File_Marr_Sep&lt;&gt;"", AC19,IF(File_Head&lt;&gt;"",AD19,"Filing status?"))))</f>
        <v>Filing status?</v>
      </c>
      <c r="AA21" s="2580" t="str">
        <f>"&gt;=100k"</f>
        <v>&gt;=100k</v>
      </c>
      <c r="AB21" s="2580"/>
      <c r="AC21" s="2580" t="s">
        <v>672</v>
      </c>
      <c r="AD21" s="2581" t="str">
        <f>IF(NumFileStatusBoxes=0,"FilingStatus?",IF(Z18&gt;100000,ROUND(Z21,0),ROUND(Z20,0)))</f>
        <v>FilingStatus?</v>
      </c>
      <c r="AE21" s="1460"/>
    </row>
    <row r="22" spans="1:31" thickBot="1">
      <c r="A22" s="625">
        <f t="shared" si="4"/>
        <v>462.5</v>
      </c>
      <c r="B22" s="554">
        <v>450</v>
      </c>
      <c r="C22" s="554">
        <v>475</v>
      </c>
      <c r="D22" s="556">
        <f t="shared" si="0"/>
        <v>46</v>
      </c>
      <c r="E22" s="556">
        <f t="shared" si="1"/>
        <v>46</v>
      </c>
      <c r="F22" s="556">
        <f t="shared" si="2"/>
        <v>46</v>
      </c>
      <c r="G22" s="556">
        <f t="shared" si="3"/>
        <v>46</v>
      </c>
      <c r="H22" s="576"/>
      <c r="I22" s="558">
        <v>5</v>
      </c>
      <c r="J22" s="533">
        <f>BOTT_B6</f>
        <v>501050</v>
      </c>
      <c r="K22" s="538">
        <f>RATE_B5*100</f>
        <v>32</v>
      </c>
      <c r="L22" s="534">
        <f>P22</f>
        <v>45874</v>
      </c>
      <c r="M22" s="546"/>
      <c r="N22" s="637">
        <f>BOTT_B5*RATE_B5</f>
        <v>126272</v>
      </c>
      <c r="O22" s="637">
        <f>BASE_B5</f>
        <v>80398</v>
      </c>
      <c r="P22" s="637">
        <f>SUM(N22,-O22)</f>
        <v>45874</v>
      </c>
      <c r="R22" s="1091">
        <v>6</v>
      </c>
      <c r="S22" s="764">
        <v>0.35</v>
      </c>
      <c r="T22" s="761">
        <v>501050</v>
      </c>
      <c r="U22" s="761">
        <f>ROUND(BASE_B5+RATE_B5*(BOTT_B6-BOTT_B5),2)</f>
        <v>114462</v>
      </c>
      <c r="V22" s="706" t="str">
        <f t="shared" si="6"/>
        <v>plus 35% of the excess over $501,050</v>
      </c>
      <c r="W22" s="1095"/>
      <c r="Y22" s="1461"/>
      <c r="Z22" s="1462"/>
      <c r="AA22" s="1462"/>
      <c r="AB22" s="1462"/>
      <c r="AC22" s="1462"/>
      <c r="AD22" s="1462"/>
      <c r="AE22" s="1463"/>
    </row>
    <row r="23" spans="1:31" thickBot="1">
      <c r="A23" s="625">
        <f t="shared" si="4"/>
        <v>487.5</v>
      </c>
      <c r="B23" s="554">
        <v>475</v>
      </c>
      <c r="C23" s="554">
        <v>500</v>
      </c>
      <c r="D23" s="556">
        <f t="shared" si="0"/>
        <v>49</v>
      </c>
      <c r="E23" s="556">
        <f t="shared" si="1"/>
        <v>49</v>
      </c>
      <c r="F23" s="556">
        <f t="shared" si="2"/>
        <v>49</v>
      </c>
      <c r="G23" s="556">
        <f t="shared" si="3"/>
        <v>49</v>
      </c>
      <c r="H23" s="576"/>
      <c r="I23" s="558">
        <v>6</v>
      </c>
      <c r="J23" s="533">
        <f>BOTT_B7</f>
        <v>751600</v>
      </c>
      <c r="K23" s="538">
        <f>RATE_B6*100</f>
        <v>35</v>
      </c>
      <c r="L23" s="532">
        <f>P23</f>
        <v>60905.5</v>
      </c>
      <c r="M23" s="546"/>
      <c r="N23" s="637">
        <f>BOTT_B6*RATE_B6</f>
        <v>175367.5</v>
      </c>
      <c r="O23" s="637">
        <f>BASE_B6</f>
        <v>114462</v>
      </c>
      <c r="P23" s="637">
        <f>SUM(N23,-O23)</f>
        <v>60905.5</v>
      </c>
      <c r="R23" s="1091">
        <v>7</v>
      </c>
      <c r="S23" s="763">
        <v>0.37</v>
      </c>
      <c r="T23" s="760">
        <v>751600</v>
      </c>
      <c r="U23" s="760">
        <f>ROUND(BASE_B6+RATE_B6*(BOTT_B7-BOTT_B6),2)</f>
        <v>202154.5</v>
      </c>
      <c r="V23" s="705" t="str">
        <f t="shared" si="6"/>
        <v>plus 37% of the excess over $751,600</v>
      </c>
      <c r="W23" s="1095"/>
    </row>
    <row r="24" spans="1:31" ht="15.75">
      <c r="A24" s="625">
        <f t="shared" si="4"/>
        <v>512.5</v>
      </c>
      <c r="B24" s="554">
        <v>500</v>
      </c>
      <c r="C24" s="554">
        <v>525</v>
      </c>
      <c r="D24" s="556">
        <f t="shared" si="0"/>
        <v>51</v>
      </c>
      <c r="E24" s="556">
        <f t="shared" si="1"/>
        <v>51</v>
      </c>
      <c r="F24" s="556">
        <f t="shared" si="2"/>
        <v>51</v>
      </c>
      <c r="G24" s="556">
        <f t="shared" si="3"/>
        <v>51</v>
      </c>
      <c r="H24" s="576"/>
      <c r="I24" s="558">
        <v>7</v>
      </c>
      <c r="J24" s="535"/>
      <c r="K24" s="539">
        <f>RATE_B7*100</f>
        <v>37</v>
      </c>
      <c r="L24" s="536">
        <f>P24</f>
        <v>75937.5</v>
      </c>
      <c r="M24" s="546"/>
      <c r="N24" s="637">
        <f>BOTT_B7*RATE_B7</f>
        <v>278092</v>
      </c>
      <c r="O24" s="637">
        <f>BASE_B7</f>
        <v>202154.5</v>
      </c>
      <c r="P24" s="637">
        <f>SUM(N24,-O24)</f>
        <v>75937.5</v>
      </c>
      <c r="R24" s="1091"/>
      <c r="S24" s="1096" t="s">
        <v>4789</v>
      </c>
      <c r="T24" s="1097" t="s">
        <v>4790</v>
      </c>
      <c r="U24" s="1097" t="s">
        <v>4791</v>
      </c>
      <c r="V24" s="1093"/>
      <c r="W24" s="1095"/>
    </row>
    <row r="25" spans="1:31" ht="15.75">
      <c r="A25" s="625">
        <f t="shared" si="4"/>
        <v>537.5</v>
      </c>
      <c r="B25" s="554">
        <v>525</v>
      </c>
      <c r="C25" s="554">
        <v>550</v>
      </c>
      <c r="D25" s="556">
        <f t="shared" si="0"/>
        <v>54</v>
      </c>
      <c r="E25" s="556">
        <f t="shared" si="1"/>
        <v>54</v>
      </c>
      <c r="F25" s="556">
        <f t="shared" si="2"/>
        <v>54</v>
      </c>
      <c r="G25" s="556">
        <f t="shared" si="3"/>
        <v>54</v>
      </c>
      <c r="H25" s="576"/>
      <c r="I25" s="559"/>
      <c r="J25" s="528"/>
      <c r="K25" s="528"/>
      <c r="L25" s="538"/>
      <c r="M25" s="546"/>
      <c r="R25" s="1091" t="s">
        <v>518</v>
      </c>
      <c r="S25" s="509" t="s">
        <v>4805</v>
      </c>
      <c r="T25" s="1093"/>
      <c r="U25" s="1094"/>
      <c r="V25" s="1093"/>
      <c r="W25" s="1095"/>
    </row>
    <row r="26" spans="1:31" thickBot="1">
      <c r="A26" s="625">
        <f t="shared" si="4"/>
        <v>562.5</v>
      </c>
      <c r="B26" s="554">
        <v>550</v>
      </c>
      <c r="C26" s="554">
        <v>575</v>
      </c>
      <c r="D26" s="556">
        <f t="shared" si="0"/>
        <v>56</v>
      </c>
      <c r="E26" s="556">
        <f t="shared" si="1"/>
        <v>56</v>
      </c>
      <c r="F26" s="556">
        <f t="shared" si="2"/>
        <v>56</v>
      </c>
      <c r="G26" s="556">
        <f t="shared" si="3"/>
        <v>56</v>
      </c>
      <c r="H26" s="576"/>
      <c r="I26" s="559"/>
      <c r="J26" s="562" t="s">
        <v>588</v>
      </c>
      <c r="K26" s="562" t="s">
        <v>592</v>
      </c>
      <c r="L26" s="562" t="s">
        <v>599</v>
      </c>
      <c r="M26" s="546"/>
      <c r="R26" s="1091"/>
      <c r="S26" s="1082" t="s">
        <v>4795</v>
      </c>
      <c r="T26" s="1082" t="s">
        <v>4796</v>
      </c>
      <c r="U26" s="1098" t="s">
        <v>4797</v>
      </c>
      <c r="V26" s="704" t="s">
        <v>4798</v>
      </c>
      <c r="W26" s="1095"/>
    </row>
    <row r="27" spans="1:31" ht="17.25" thickBot="1">
      <c r="A27" s="625">
        <f t="shared" si="4"/>
        <v>587.5</v>
      </c>
      <c r="B27" s="554">
        <v>575</v>
      </c>
      <c r="C27" s="554">
        <v>600</v>
      </c>
      <c r="D27" s="556">
        <f t="shared" si="0"/>
        <v>59</v>
      </c>
      <c r="E27" s="556">
        <f t="shared" si="1"/>
        <v>59</v>
      </c>
      <c r="F27" s="556">
        <f t="shared" si="2"/>
        <v>59</v>
      </c>
      <c r="G27" s="556">
        <f t="shared" si="3"/>
        <v>59</v>
      </c>
      <c r="H27" s="576"/>
      <c r="I27" s="559"/>
      <c r="J27" s="1221" t="s">
        <v>4806</v>
      </c>
      <c r="K27" s="528"/>
      <c r="L27" s="538"/>
      <c r="M27" s="546"/>
      <c r="R27" s="1091">
        <v>1</v>
      </c>
      <c r="S27" s="763">
        <v>0.1</v>
      </c>
      <c r="T27" s="760">
        <v>0</v>
      </c>
      <c r="U27" s="760">
        <v>0</v>
      </c>
      <c r="V27" s="707" t="s">
        <v>4804</v>
      </c>
      <c r="W27" s="1095"/>
    </row>
    <row r="28" spans="1:31" thickBot="1">
      <c r="A28" s="625">
        <f t="shared" si="4"/>
        <v>612.5</v>
      </c>
      <c r="B28" s="554">
        <v>600</v>
      </c>
      <c r="C28" s="554">
        <v>625</v>
      </c>
      <c r="D28" s="556">
        <f t="shared" si="0"/>
        <v>61</v>
      </c>
      <c r="E28" s="556">
        <f t="shared" si="1"/>
        <v>61</v>
      </c>
      <c r="F28" s="556">
        <f t="shared" si="2"/>
        <v>61</v>
      </c>
      <c r="G28" s="556">
        <f t="shared" si="3"/>
        <v>61</v>
      </c>
      <c r="H28" s="576"/>
      <c r="I28" s="559"/>
      <c r="J28" s="1093" t="s">
        <v>4807</v>
      </c>
      <c r="K28" s="528"/>
      <c r="L28" s="547"/>
      <c r="M28" s="546"/>
      <c r="R28" s="1091">
        <v>2</v>
      </c>
      <c r="S28" s="764">
        <v>0.12</v>
      </c>
      <c r="T28" s="761">
        <f>BOTT_A2</f>
        <v>11925</v>
      </c>
      <c r="U28" s="761">
        <f>ROUND(RATE_C1*BOTT_C2,2)</f>
        <v>1192.5</v>
      </c>
      <c r="V28" s="706" t="str">
        <f t="shared" ref="V28:V33" si="7">"plus "&amp;TEXT(S28,"0%")&amp;" of the excess over "&amp;TEXT(T28,"$0,000")</f>
        <v>plus 12% of the excess over $11,925</v>
      </c>
      <c r="W28" s="1095"/>
    </row>
    <row r="29" spans="1:31" thickBot="1">
      <c r="A29" s="625">
        <f t="shared" si="4"/>
        <v>637.5</v>
      </c>
      <c r="B29" s="554">
        <v>625</v>
      </c>
      <c r="C29" s="554">
        <v>650</v>
      </c>
      <c r="D29" s="556">
        <f t="shared" si="0"/>
        <v>64</v>
      </c>
      <c r="E29" s="556">
        <f t="shared" si="1"/>
        <v>64</v>
      </c>
      <c r="F29" s="556">
        <f t="shared" si="2"/>
        <v>64</v>
      </c>
      <c r="G29" s="556">
        <f t="shared" si="3"/>
        <v>64</v>
      </c>
      <c r="H29" s="576"/>
      <c r="I29" s="558">
        <v>1</v>
      </c>
      <c r="J29" s="529" t="s">
        <v>4803</v>
      </c>
      <c r="K29" s="537"/>
      <c r="L29" s="530"/>
      <c r="M29" s="546"/>
      <c r="R29" s="1091">
        <v>3</v>
      </c>
      <c r="S29" s="763">
        <v>0.22</v>
      </c>
      <c r="T29" s="760">
        <f>BOTT_A3</f>
        <v>48475</v>
      </c>
      <c r="U29" s="760">
        <f>ROUND(BASE_C2+RATE_C2*(BOTT_C3-BOTT_C2),2)</f>
        <v>5578.5</v>
      </c>
      <c r="V29" s="705" t="str">
        <f t="shared" si="7"/>
        <v>plus 22% of the excess over $48,475</v>
      </c>
      <c r="W29" s="1095"/>
    </row>
    <row r="30" spans="1:31" thickBot="1">
      <c r="A30" s="625">
        <f t="shared" si="4"/>
        <v>662.5</v>
      </c>
      <c r="B30" s="554">
        <v>650</v>
      </c>
      <c r="C30" s="554">
        <v>675</v>
      </c>
      <c r="D30" s="556">
        <f t="shared" si="0"/>
        <v>66</v>
      </c>
      <c r="E30" s="556">
        <f t="shared" si="1"/>
        <v>66</v>
      </c>
      <c r="F30" s="556">
        <f t="shared" si="2"/>
        <v>66</v>
      </c>
      <c r="G30" s="556">
        <f t="shared" si="3"/>
        <v>66</v>
      </c>
      <c r="H30" s="576"/>
      <c r="I30" s="558">
        <v>2</v>
      </c>
      <c r="J30" s="533">
        <v>100000</v>
      </c>
      <c r="K30" s="538"/>
      <c r="L30" s="532"/>
      <c r="M30" s="546"/>
      <c r="R30" s="1091">
        <v>4</v>
      </c>
      <c r="S30" s="764">
        <v>0.24</v>
      </c>
      <c r="T30" s="761">
        <f>BOTT_A4</f>
        <v>103350</v>
      </c>
      <c r="U30" s="761">
        <f>ROUND(BASE_C3+RATE_C3*(BOTT_C4-BOTT_C3),2)</f>
        <v>17651</v>
      </c>
      <c r="V30" s="706" t="str">
        <f t="shared" si="7"/>
        <v>plus 24% of the excess over $103,350</v>
      </c>
      <c r="W30" s="1095"/>
    </row>
    <row r="31" spans="1:31" thickBot="1">
      <c r="A31" s="625">
        <f t="shared" si="4"/>
        <v>687.5</v>
      </c>
      <c r="B31" s="554">
        <v>675</v>
      </c>
      <c r="C31" s="554">
        <v>700</v>
      </c>
      <c r="D31" s="556">
        <f t="shared" si="0"/>
        <v>69</v>
      </c>
      <c r="E31" s="556">
        <f t="shared" si="1"/>
        <v>69</v>
      </c>
      <c r="F31" s="556">
        <f t="shared" si="2"/>
        <v>69</v>
      </c>
      <c r="G31" s="556">
        <f t="shared" si="3"/>
        <v>69</v>
      </c>
      <c r="H31" s="576"/>
      <c r="I31" s="558"/>
      <c r="J31" s="533">
        <f>BOTT_C4</f>
        <v>103350</v>
      </c>
      <c r="K31" s="538">
        <f>RATE_C3*100</f>
        <v>22</v>
      </c>
      <c r="L31" s="532">
        <f>P31</f>
        <v>5086</v>
      </c>
      <c r="M31" s="546"/>
      <c r="N31" s="637">
        <f>BOTT_C3*RATE_C3</f>
        <v>10664.5</v>
      </c>
      <c r="O31" s="637">
        <f>BASE_C3</f>
        <v>5578.5</v>
      </c>
      <c r="P31" s="637">
        <f>SUM(N31,-O31)</f>
        <v>5086</v>
      </c>
      <c r="R31" s="1091">
        <v>5</v>
      </c>
      <c r="S31" s="763">
        <v>0.32</v>
      </c>
      <c r="T31" s="760">
        <f>BOTT_A5</f>
        <v>197300</v>
      </c>
      <c r="U31" s="760">
        <f>ROUND(BASE_C4+RATE_C4*(BOTT_C5-BOTT_C4),2)</f>
        <v>40199</v>
      </c>
      <c r="V31" s="705" t="str">
        <f t="shared" si="7"/>
        <v>plus 32% of the excess over $197,300</v>
      </c>
      <c r="W31" s="1095"/>
    </row>
    <row r="32" spans="1:31" thickBot="1">
      <c r="A32" s="625">
        <f t="shared" si="4"/>
        <v>712.5</v>
      </c>
      <c r="B32" s="554">
        <v>700</v>
      </c>
      <c r="C32" s="554">
        <v>725</v>
      </c>
      <c r="D32" s="556">
        <f t="shared" si="0"/>
        <v>71</v>
      </c>
      <c r="E32" s="556">
        <f t="shared" si="1"/>
        <v>71</v>
      </c>
      <c r="F32" s="556">
        <f t="shared" si="2"/>
        <v>71</v>
      </c>
      <c r="G32" s="556">
        <f t="shared" si="3"/>
        <v>71</v>
      </c>
      <c r="H32" s="576"/>
      <c r="I32" s="558">
        <v>3</v>
      </c>
      <c r="J32" s="533">
        <f>BOTT_C5</f>
        <v>197300</v>
      </c>
      <c r="K32" s="538">
        <f>RATE_C4*100</f>
        <v>24</v>
      </c>
      <c r="L32" s="532">
        <f>P32</f>
        <v>7153</v>
      </c>
      <c r="M32" s="546"/>
      <c r="N32" s="637">
        <f>BOTT_C4*RATE_C4</f>
        <v>24804</v>
      </c>
      <c r="O32" s="637">
        <f>BASE_C4</f>
        <v>17651</v>
      </c>
      <c r="P32" s="637">
        <f>SUM(N32,-O32)</f>
        <v>7153</v>
      </c>
      <c r="R32" s="1091">
        <v>6</v>
      </c>
      <c r="S32" s="764">
        <v>0.35</v>
      </c>
      <c r="T32" s="761">
        <f>BOTT_A6</f>
        <v>250525</v>
      </c>
      <c r="U32" s="761">
        <f>ROUND(BASE_C5+RATE_C5*(BOTT_C6-BOTT_C5),2)</f>
        <v>57231</v>
      </c>
      <c r="V32" s="706" t="str">
        <f t="shared" si="7"/>
        <v>plus 35% of the excess over $250,525</v>
      </c>
      <c r="W32" s="1095"/>
    </row>
    <row r="33" spans="1:23" thickBot="1">
      <c r="A33" s="625">
        <f t="shared" si="4"/>
        <v>737.5</v>
      </c>
      <c r="B33" s="554">
        <v>725</v>
      </c>
      <c r="C33" s="554">
        <v>750</v>
      </c>
      <c r="D33" s="556">
        <f t="shared" si="0"/>
        <v>74</v>
      </c>
      <c r="E33" s="556">
        <f t="shared" si="1"/>
        <v>74</v>
      </c>
      <c r="F33" s="556">
        <f t="shared" si="2"/>
        <v>74</v>
      </c>
      <c r="G33" s="556">
        <f t="shared" si="3"/>
        <v>74</v>
      </c>
      <c r="H33" s="576"/>
      <c r="I33" s="558">
        <v>4</v>
      </c>
      <c r="J33" s="533">
        <f>BOTT_C6</f>
        <v>250525</v>
      </c>
      <c r="K33" s="538">
        <f>RATE_C5*100</f>
        <v>32</v>
      </c>
      <c r="L33" s="534">
        <f>P33</f>
        <v>22937</v>
      </c>
      <c r="M33" s="546"/>
      <c r="N33" s="637">
        <f>BOTT_C5*RATE_C5</f>
        <v>63136</v>
      </c>
      <c r="O33" s="637">
        <f>BASE_C5</f>
        <v>40199</v>
      </c>
      <c r="P33" s="637">
        <f>SUM(N33,-O33)</f>
        <v>22937</v>
      </c>
      <c r="R33" s="1091">
        <v>7</v>
      </c>
      <c r="S33" s="763">
        <v>0.37</v>
      </c>
      <c r="T33" s="760">
        <f>ROUND(0.599985*BOTT_A7,0)</f>
        <v>375801</v>
      </c>
      <c r="U33" s="760">
        <f>ROUND(BASE_C6+RATE_C6*(BOTT_C7-BOTT_C6),2)</f>
        <v>101077.6</v>
      </c>
      <c r="V33" s="705" t="str">
        <f t="shared" si="7"/>
        <v>plus 37% of the excess over $375,801</v>
      </c>
      <c r="W33" s="1095"/>
    </row>
    <row r="34" spans="1:23" ht="15.75">
      <c r="A34" s="625">
        <f t="shared" si="4"/>
        <v>762.5</v>
      </c>
      <c r="B34" s="554">
        <v>750</v>
      </c>
      <c r="C34" s="554">
        <v>775</v>
      </c>
      <c r="D34" s="556">
        <f t="shared" si="0"/>
        <v>76</v>
      </c>
      <c r="E34" s="556">
        <f t="shared" si="1"/>
        <v>76</v>
      </c>
      <c r="F34" s="556">
        <f t="shared" si="2"/>
        <v>76</v>
      </c>
      <c r="G34" s="556">
        <f t="shared" si="3"/>
        <v>76</v>
      </c>
      <c r="H34" s="576"/>
      <c r="I34" s="558">
        <v>5</v>
      </c>
      <c r="J34" s="533">
        <f>BOTT_C7</f>
        <v>375801</v>
      </c>
      <c r="K34" s="538">
        <f>RATE_C6*100</f>
        <v>35</v>
      </c>
      <c r="L34" s="534">
        <f>P34</f>
        <v>30452.75</v>
      </c>
      <c r="M34" s="546"/>
      <c r="N34" s="637">
        <f>BOTT_C6*RATE_C6</f>
        <v>87683.75</v>
      </c>
      <c r="O34" s="637">
        <f>BASE_C6</f>
        <v>57231</v>
      </c>
      <c r="P34" s="637">
        <f>SUM(N34,-O34)</f>
        <v>30452.75</v>
      </c>
      <c r="R34" s="1091"/>
      <c r="S34" s="1092"/>
      <c r="T34" s="1093"/>
      <c r="U34" s="1094"/>
      <c r="V34" s="1093"/>
      <c r="W34" s="1095"/>
    </row>
    <row r="35" spans="1:23" ht="15.75">
      <c r="A35" s="625">
        <f t="shared" si="4"/>
        <v>787.5</v>
      </c>
      <c r="B35" s="554">
        <v>775</v>
      </c>
      <c r="C35" s="554">
        <v>800</v>
      </c>
      <c r="D35" s="556">
        <f t="shared" si="0"/>
        <v>79</v>
      </c>
      <c r="E35" s="556">
        <f t="shared" si="1"/>
        <v>79</v>
      </c>
      <c r="F35" s="556">
        <f t="shared" si="2"/>
        <v>79</v>
      </c>
      <c r="G35" s="556">
        <f t="shared" si="3"/>
        <v>79</v>
      </c>
      <c r="H35" s="576"/>
      <c r="I35" s="558">
        <v>6</v>
      </c>
      <c r="J35" s="535"/>
      <c r="K35" s="539">
        <f>RATE_C7*100</f>
        <v>37</v>
      </c>
      <c r="L35" s="536">
        <f>P35</f>
        <v>37968.76999999999</v>
      </c>
      <c r="M35" s="546"/>
      <c r="N35" s="637">
        <f>BOTT_C7*RATE_C7</f>
        <v>139046.37</v>
      </c>
      <c r="O35" s="637">
        <f>BASE_C7</f>
        <v>101077.6</v>
      </c>
      <c r="P35" s="637">
        <f>SUM(N35,-O35)</f>
        <v>37968.76999999999</v>
      </c>
      <c r="R35" s="1091"/>
      <c r="S35" s="1096" t="s">
        <v>4789</v>
      </c>
      <c r="T35" s="1097" t="s">
        <v>4790</v>
      </c>
      <c r="U35" s="1097" t="s">
        <v>4791</v>
      </c>
      <c r="V35" s="1093"/>
      <c r="W35" s="1095"/>
    </row>
    <row r="36" spans="1:23" ht="15.75">
      <c r="A36" s="625">
        <f t="shared" si="4"/>
        <v>812.5</v>
      </c>
      <c r="B36" s="554">
        <v>800</v>
      </c>
      <c r="C36" s="554">
        <v>825</v>
      </c>
      <c r="D36" s="556">
        <f t="shared" si="0"/>
        <v>81</v>
      </c>
      <c r="E36" s="556">
        <f t="shared" si="1"/>
        <v>81</v>
      </c>
      <c r="F36" s="556">
        <f t="shared" si="2"/>
        <v>81</v>
      </c>
      <c r="G36" s="556">
        <f t="shared" si="3"/>
        <v>81</v>
      </c>
      <c r="H36" s="576"/>
      <c r="I36" s="559"/>
      <c r="J36" s="540"/>
      <c r="K36" s="540"/>
      <c r="L36" s="541"/>
      <c r="M36" s="546"/>
      <c r="R36" s="1091" t="s">
        <v>521</v>
      </c>
      <c r="S36" s="509" t="s">
        <v>4809</v>
      </c>
      <c r="T36" s="1093"/>
      <c r="U36" s="1094"/>
      <c r="V36" s="1093"/>
      <c r="W36" s="1095"/>
    </row>
    <row r="37" spans="1:23" thickBot="1">
      <c r="A37" s="625">
        <f t="shared" si="4"/>
        <v>837.5</v>
      </c>
      <c r="B37" s="554">
        <v>825</v>
      </c>
      <c r="C37" s="554">
        <v>850</v>
      </c>
      <c r="D37" s="556">
        <f t="shared" si="0"/>
        <v>84</v>
      </c>
      <c r="E37" s="556">
        <f t="shared" si="1"/>
        <v>84</v>
      </c>
      <c r="F37" s="556">
        <f t="shared" si="2"/>
        <v>84</v>
      </c>
      <c r="G37" s="556">
        <f t="shared" si="3"/>
        <v>84</v>
      </c>
      <c r="H37" s="576"/>
      <c r="I37" s="559"/>
      <c r="J37" s="562" t="s">
        <v>588</v>
      </c>
      <c r="K37" s="562" t="s">
        <v>592</v>
      </c>
      <c r="L37" s="562" t="s">
        <v>599</v>
      </c>
      <c r="M37" s="546"/>
      <c r="R37" s="1091"/>
      <c r="S37" s="1082" t="s">
        <v>4795</v>
      </c>
      <c r="T37" s="1082" t="s">
        <v>4796</v>
      </c>
      <c r="U37" s="1099" t="s">
        <v>4797</v>
      </c>
      <c r="V37" s="1081" t="s">
        <v>4798</v>
      </c>
      <c r="W37" s="1095"/>
    </row>
    <row r="38" spans="1:23" ht="17.25" thickBot="1">
      <c r="A38" s="625">
        <f t="shared" si="4"/>
        <v>862.5</v>
      </c>
      <c r="B38" s="554">
        <v>850</v>
      </c>
      <c r="C38" s="554">
        <v>875</v>
      </c>
      <c r="D38" s="556">
        <f t="shared" si="0"/>
        <v>86</v>
      </c>
      <c r="E38" s="556">
        <f t="shared" si="1"/>
        <v>86</v>
      </c>
      <c r="F38" s="556">
        <f t="shared" si="2"/>
        <v>86</v>
      </c>
      <c r="G38" s="556">
        <f t="shared" si="3"/>
        <v>86</v>
      </c>
      <c r="H38" s="576"/>
      <c r="I38" s="559"/>
      <c r="J38" s="1221" t="s">
        <v>4808</v>
      </c>
      <c r="K38" s="548"/>
      <c r="L38" s="549"/>
      <c r="M38" s="546"/>
      <c r="R38" s="1091">
        <v>1</v>
      </c>
      <c r="S38" s="763">
        <v>0.1</v>
      </c>
      <c r="T38" s="760">
        <v>0</v>
      </c>
      <c r="U38" s="760">
        <v>0</v>
      </c>
      <c r="V38" s="705" t="s">
        <v>4804</v>
      </c>
      <c r="W38" s="1095"/>
    </row>
    <row r="39" spans="1:23" thickBot="1">
      <c r="A39" s="625">
        <f t="shared" si="4"/>
        <v>887.5</v>
      </c>
      <c r="B39" s="554">
        <v>875</v>
      </c>
      <c r="C39" s="554">
        <v>900</v>
      </c>
      <c r="D39" s="556">
        <f t="shared" si="0"/>
        <v>89</v>
      </c>
      <c r="E39" s="556">
        <f t="shared" si="1"/>
        <v>89</v>
      </c>
      <c r="F39" s="556">
        <f t="shared" si="2"/>
        <v>89</v>
      </c>
      <c r="G39" s="556">
        <f t="shared" si="3"/>
        <v>89</v>
      </c>
      <c r="H39" s="576"/>
      <c r="I39" s="559"/>
      <c r="J39" s="1093" t="s">
        <v>4810</v>
      </c>
      <c r="K39" s="548"/>
      <c r="L39" s="549"/>
      <c r="M39" s="546"/>
      <c r="R39" s="1091">
        <v>2</v>
      </c>
      <c r="S39" s="764">
        <v>0.12</v>
      </c>
      <c r="T39" s="761">
        <v>17000</v>
      </c>
      <c r="U39" s="761">
        <f>ROUND(RATE_D1*BOTT_D2,2)</f>
        <v>1700</v>
      </c>
      <c r="V39" s="706" t="str">
        <f t="shared" ref="V39:V44" si="8">"plus "&amp;TEXT(S39,"0%")&amp;" of the excess over "&amp;TEXT(T39,"$0,000")</f>
        <v>plus 12% of the excess over $17,000</v>
      </c>
      <c r="W39" s="1095"/>
    </row>
    <row r="40" spans="1:23" thickBot="1">
      <c r="A40" s="625">
        <f t="shared" si="4"/>
        <v>912.5</v>
      </c>
      <c r="B40" s="554">
        <v>900</v>
      </c>
      <c r="C40" s="554">
        <v>925</v>
      </c>
      <c r="D40" s="556">
        <f t="shared" si="0"/>
        <v>91</v>
      </c>
      <c r="E40" s="556">
        <f t="shared" si="1"/>
        <v>91</v>
      </c>
      <c r="F40" s="556">
        <f t="shared" si="2"/>
        <v>91</v>
      </c>
      <c r="G40" s="556">
        <f t="shared" si="3"/>
        <v>91</v>
      </c>
      <c r="H40" s="576"/>
      <c r="I40" s="558">
        <v>1</v>
      </c>
      <c r="J40" s="529" t="s">
        <v>4803</v>
      </c>
      <c r="K40" s="537"/>
      <c r="L40" s="530"/>
      <c r="M40" s="546"/>
      <c r="R40" s="1091">
        <v>3</v>
      </c>
      <c r="S40" s="763">
        <v>0.22</v>
      </c>
      <c r="T40" s="760">
        <v>64850</v>
      </c>
      <c r="U40" s="760">
        <f>ROUND(BASE_D2+RATE_D2*(BOTT_D3-BOTT_D2),2)</f>
        <v>7442</v>
      </c>
      <c r="V40" s="705" t="str">
        <f t="shared" si="8"/>
        <v>plus 22% of the excess over $64,850</v>
      </c>
      <c r="W40" s="1095"/>
    </row>
    <row r="41" spans="1:23" thickBot="1">
      <c r="A41" s="625">
        <f t="shared" si="4"/>
        <v>937.5</v>
      </c>
      <c r="B41" s="554">
        <v>925</v>
      </c>
      <c r="C41" s="554">
        <v>950</v>
      </c>
      <c r="D41" s="556">
        <f t="shared" si="0"/>
        <v>94</v>
      </c>
      <c r="E41" s="556">
        <f t="shared" si="1"/>
        <v>94</v>
      </c>
      <c r="F41" s="556">
        <f t="shared" si="2"/>
        <v>94</v>
      </c>
      <c r="G41" s="556">
        <f t="shared" si="3"/>
        <v>94</v>
      </c>
      <c r="H41" s="576"/>
      <c r="I41" s="558">
        <v>2</v>
      </c>
      <c r="J41" s="533">
        <v>100000</v>
      </c>
      <c r="K41" s="538"/>
      <c r="L41" s="532"/>
      <c r="M41" s="546"/>
      <c r="R41" s="1091">
        <v>4</v>
      </c>
      <c r="S41" s="764">
        <v>0.24</v>
      </c>
      <c r="T41" s="761">
        <v>103350</v>
      </c>
      <c r="U41" s="761">
        <f>ROUND(BASE_D3+RATE_D3*(BOTT_D4-BOTT_D3),2)</f>
        <v>15912</v>
      </c>
      <c r="V41" s="706" t="str">
        <f t="shared" si="8"/>
        <v>plus 24% of the excess over $103,350</v>
      </c>
      <c r="W41" s="1095"/>
    </row>
    <row r="42" spans="1:23" thickBot="1">
      <c r="A42" s="625">
        <f t="shared" si="4"/>
        <v>962.5</v>
      </c>
      <c r="B42" s="554">
        <v>950</v>
      </c>
      <c r="C42" s="554">
        <v>975</v>
      </c>
      <c r="D42" s="556">
        <f t="shared" si="0"/>
        <v>96</v>
      </c>
      <c r="E42" s="556">
        <f t="shared" si="1"/>
        <v>96</v>
      </c>
      <c r="F42" s="556">
        <f t="shared" si="2"/>
        <v>96</v>
      </c>
      <c r="G42" s="556">
        <f t="shared" si="3"/>
        <v>96</v>
      </c>
      <c r="H42" s="576"/>
      <c r="I42" s="558">
        <v>3</v>
      </c>
      <c r="J42" s="533">
        <f>BOTT_D4</f>
        <v>103350</v>
      </c>
      <c r="K42" s="538">
        <f>RATE_D3*100</f>
        <v>22</v>
      </c>
      <c r="L42" s="532">
        <f>P42</f>
        <v>6825</v>
      </c>
      <c r="M42" s="546"/>
      <c r="N42" s="637">
        <f>BOTT_D3*RATE_D3</f>
        <v>14267</v>
      </c>
      <c r="O42" s="637">
        <f>BASE_D3</f>
        <v>7442</v>
      </c>
      <c r="P42" s="637">
        <f>SUM(N42,-O42)</f>
        <v>6825</v>
      </c>
      <c r="R42" s="1091">
        <v>5</v>
      </c>
      <c r="S42" s="763">
        <v>0.32</v>
      </c>
      <c r="T42" s="760">
        <v>197300</v>
      </c>
      <c r="U42" s="760">
        <f>ROUND(BASE_D4+RATE_D4*(BOTT_D5-BOTT_D4),2)</f>
        <v>38460</v>
      </c>
      <c r="V42" s="705" t="str">
        <f t="shared" si="8"/>
        <v>plus 32% of the excess over $197,300</v>
      </c>
      <c r="W42" s="1095"/>
    </row>
    <row r="43" spans="1:23" thickBot="1">
      <c r="A43" s="625">
        <f t="shared" si="4"/>
        <v>987.5</v>
      </c>
      <c r="B43" s="554">
        <v>975</v>
      </c>
      <c r="C43" s="555">
        <v>1000</v>
      </c>
      <c r="D43" s="556">
        <f t="shared" si="0"/>
        <v>99</v>
      </c>
      <c r="E43" s="556">
        <f t="shared" si="1"/>
        <v>99</v>
      </c>
      <c r="F43" s="556">
        <f t="shared" si="2"/>
        <v>99</v>
      </c>
      <c r="G43" s="556">
        <f t="shared" si="3"/>
        <v>99</v>
      </c>
      <c r="H43" s="576"/>
      <c r="I43" s="558">
        <v>4</v>
      </c>
      <c r="J43" s="533">
        <f>BOTT_D5</f>
        <v>197300</v>
      </c>
      <c r="K43" s="538">
        <f>RATE_D4*100</f>
        <v>24</v>
      </c>
      <c r="L43" s="532">
        <f>P43</f>
        <v>8892</v>
      </c>
      <c r="M43" s="546"/>
      <c r="N43" s="637">
        <f>BOTT_D4*RATE_D4</f>
        <v>24804</v>
      </c>
      <c r="O43" s="637">
        <f>BASE_D4</f>
        <v>15912</v>
      </c>
      <c r="P43" s="637">
        <f>SUM(N43,-O43)</f>
        <v>8892</v>
      </c>
      <c r="R43" s="1091">
        <v>6</v>
      </c>
      <c r="S43" s="764">
        <v>0.35</v>
      </c>
      <c r="T43" s="761">
        <v>250500</v>
      </c>
      <c r="U43" s="761">
        <f>ROUND(BASE_D5+RATE_D5*(BOTT_D6-BOTT_D5),2)</f>
        <v>55484</v>
      </c>
      <c r="V43" s="706" t="str">
        <f t="shared" si="8"/>
        <v>plus 35% of the excess over $250,500</v>
      </c>
      <c r="W43" s="1095"/>
    </row>
    <row r="44" spans="1:23" thickBot="1">
      <c r="A44" s="625">
        <f t="shared" si="4"/>
        <v>1012.5</v>
      </c>
      <c r="B44" s="555">
        <v>1000</v>
      </c>
      <c r="C44" s="555">
        <v>1025</v>
      </c>
      <c r="D44" s="556">
        <f t="shared" si="0"/>
        <v>101</v>
      </c>
      <c r="E44" s="556">
        <f t="shared" si="1"/>
        <v>101</v>
      </c>
      <c r="F44" s="556">
        <f t="shared" si="2"/>
        <v>101</v>
      </c>
      <c r="G44" s="556">
        <f t="shared" si="3"/>
        <v>101</v>
      </c>
      <c r="H44" s="576"/>
      <c r="I44" s="558">
        <v>5</v>
      </c>
      <c r="J44" s="533">
        <f>BOTT_D6</f>
        <v>250500</v>
      </c>
      <c r="K44" s="538">
        <f>RATE_D5*100</f>
        <v>32</v>
      </c>
      <c r="L44" s="532">
        <f>P44</f>
        <v>24676</v>
      </c>
      <c r="M44" s="546"/>
      <c r="N44" s="637">
        <f>BOTT_D5*RATE_D5</f>
        <v>63136</v>
      </c>
      <c r="O44" s="637">
        <f>BASE_D5</f>
        <v>38460</v>
      </c>
      <c r="P44" s="637">
        <f>SUM(N44,-O44)</f>
        <v>24676</v>
      </c>
      <c r="R44" s="1091">
        <v>7</v>
      </c>
      <c r="S44" s="763">
        <v>0.37</v>
      </c>
      <c r="T44" s="760">
        <v>626350</v>
      </c>
      <c r="U44" s="760">
        <f>ROUND(BASE_D6+RATE_D6*(BOTT_D7-BOTT_D6),2)</f>
        <v>187031.5</v>
      </c>
      <c r="V44" s="705" t="str">
        <f t="shared" si="8"/>
        <v>plus 37% of the excess over $626,350</v>
      </c>
      <c r="W44" s="1095"/>
    </row>
    <row r="45" spans="1:23" thickBot="1">
      <c r="A45" s="625">
        <f t="shared" si="4"/>
        <v>1037.5</v>
      </c>
      <c r="B45" s="555">
        <v>1025</v>
      </c>
      <c r="C45" s="555">
        <v>1050</v>
      </c>
      <c r="D45" s="556">
        <f t="shared" si="0"/>
        <v>104</v>
      </c>
      <c r="E45" s="556">
        <f t="shared" si="1"/>
        <v>104</v>
      </c>
      <c r="F45" s="556">
        <f t="shared" si="2"/>
        <v>104</v>
      </c>
      <c r="G45" s="556">
        <f t="shared" si="3"/>
        <v>104</v>
      </c>
      <c r="H45" s="576"/>
      <c r="I45" s="558">
        <v>6</v>
      </c>
      <c r="J45" s="533">
        <f>BOTT_D7</f>
        <v>626350</v>
      </c>
      <c r="K45" s="538">
        <f>RATE_D6*100</f>
        <v>35</v>
      </c>
      <c r="L45" s="532">
        <f>P45</f>
        <v>32191</v>
      </c>
      <c r="M45" s="546"/>
      <c r="N45" s="637">
        <f>BOTT_D6*RATE_D6</f>
        <v>87675</v>
      </c>
      <c r="O45" s="637">
        <f>BASE_D6</f>
        <v>55484</v>
      </c>
      <c r="P45" s="637">
        <f>SUM(N45,-O45)</f>
        <v>32191</v>
      </c>
      <c r="R45" s="1100"/>
      <c r="S45" s="1101"/>
      <c r="T45" s="1102"/>
      <c r="U45" s="1103"/>
      <c r="V45" s="1102"/>
      <c r="W45" s="1104"/>
    </row>
    <row r="46" spans="1:23" ht="15.75">
      <c r="A46" s="625">
        <f t="shared" si="4"/>
        <v>1062.5</v>
      </c>
      <c r="B46" s="555">
        <v>1050</v>
      </c>
      <c r="C46" s="555">
        <v>1075</v>
      </c>
      <c r="D46" s="556">
        <f t="shared" si="0"/>
        <v>106</v>
      </c>
      <c r="E46" s="556">
        <f t="shared" si="1"/>
        <v>106</v>
      </c>
      <c r="F46" s="556">
        <f t="shared" si="2"/>
        <v>106</v>
      </c>
      <c r="G46" s="556">
        <f t="shared" si="3"/>
        <v>106</v>
      </c>
      <c r="H46" s="576"/>
      <c r="I46" s="558">
        <v>7</v>
      </c>
      <c r="J46" s="535"/>
      <c r="K46" s="539">
        <f>RATE_D7*100</f>
        <v>37</v>
      </c>
      <c r="L46" s="536">
        <f>P46</f>
        <v>44718</v>
      </c>
      <c r="M46" s="546"/>
      <c r="N46" s="637">
        <f>BOTT_D7*RATE_D7</f>
        <v>231749.5</v>
      </c>
      <c r="O46" s="637">
        <f>BASE_D7</f>
        <v>187031.5</v>
      </c>
      <c r="P46" s="637">
        <f>SUM(N46,-O46)</f>
        <v>44718</v>
      </c>
    </row>
    <row r="47" spans="1:23" thickBot="1">
      <c r="A47" s="625">
        <f t="shared" si="4"/>
        <v>1087.5</v>
      </c>
      <c r="B47" s="555">
        <v>1075</v>
      </c>
      <c r="C47" s="555">
        <v>1100</v>
      </c>
      <c r="D47" s="556">
        <f t="shared" si="0"/>
        <v>109</v>
      </c>
      <c r="E47" s="556">
        <f t="shared" si="1"/>
        <v>109</v>
      </c>
      <c r="F47" s="556">
        <f t="shared" si="2"/>
        <v>109</v>
      </c>
      <c r="G47" s="556">
        <f t="shared" si="3"/>
        <v>109</v>
      </c>
      <c r="I47" s="560"/>
      <c r="J47" s="550"/>
      <c r="K47" s="550"/>
      <c r="L47" s="550"/>
      <c r="M47" s="551"/>
    </row>
    <row r="48" spans="1:23" thickTop="1">
      <c r="A48" s="625">
        <f t="shared" si="4"/>
        <v>1112.5</v>
      </c>
      <c r="B48" s="555">
        <v>1100</v>
      </c>
      <c r="C48" s="555">
        <v>1125</v>
      </c>
      <c r="D48" s="556">
        <f t="shared" si="0"/>
        <v>111</v>
      </c>
      <c r="E48" s="556">
        <f t="shared" si="1"/>
        <v>111</v>
      </c>
      <c r="F48" s="556">
        <f t="shared" si="2"/>
        <v>111</v>
      </c>
      <c r="G48" s="556">
        <f t="shared" si="3"/>
        <v>111</v>
      </c>
    </row>
    <row r="49" spans="1:7" ht="15.75">
      <c r="A49" s="625">
        <f t="shared" si="4"/>
        <v>1137.5</v>
      </c>
      <c r="B49" s="555">
        <v>1125</v>
      </c>
      <c r="C49" s="555">
        <v>1150</v>
      </c>
      <c r="D49" s="556">
        <f t="shared" si="0"/>
        <v>114</v>
      </c>
      <c r="E49" s="556">
        <f t="shared" si="1"/>
        <v>114</v>
      </c>
      <c r="F49" s="556">
        <f t="shared" si="2"/>
        <v>114</v>
      </c>
      <c r="G49" s="556">
        <f t="shared" si="3"/>
        <v>114</v>
      </c>
    </row>
    <row r="50" spans="1:7" ht="15.75">
      <c r="A50" s="625">
        <f t="shared" si="4"/>
        <v>1162.5</v>
      </c>
      <c r="B50" s="555">
        <v>1150</v>
      </c>
      <c r="C50" s="555">
        <v>1175</v>
      </c>
      <c r="D50" s="556">
        <f t="shared" si="0"/>
        <v>116</v>
      </c>
      <c r="E50" s="556">
        <f t="shared" si="1"/>
        <v>116</v>
      </c>
      <c r="F50" s="556">
        <f t="shared" si="2"/>
        <v>116</v>
      </c>
      <c r="G50" s="556">
        <f t="shared" si="3"/>
        <v>116</v>
      </c>
    </row>
    <row r="51" spans="1:7" ht="15.75">
      <c r="A51" s="625">
        <f t="shared" si="4"/>
        <v>1187.5</v>
      </c>
      <c r="B51" s="555">
        <v>1175</v>
      </c>
      <c r="C51" s="555">
        <v>1200</v>
      </c>
      <c r="D51" s="556">
        <f t="shared" si="0"/>
        <v>119</v>
      </c>
      <c r="E51" s="556">
        <f t="shared" si="1"/>
        <v>119</v>
      </c>
      <c r="F51" s="556">
        <f t="shared" si="2"/>
        <v>119</v>
      </c>
      <c r="G51" s="556">
        <f t="shared" si="3"/>
        <v>119</v>
      </c>
    </row>
    <row r="52" spans="1:7" ht="15.75">
      <c r="A52" s="625">
        <f t="shared" si="4"/>
        <v>1212.5</v>
      </c>
      <c r="B52" s="555">
        <v>1200</v>
      </c>
      <c r="C52" s="555">
        <v>1225</v>
      </c>
      <c r="D52" s="556">
        <f t="shared" si="0"/>
        <v>121</v>
      </c>
      <c r="E52" s="556">
        <f t="shared" si="1"/>
        <v>121</v>
      </c>
      <c r="F52" s="556">
        <f t="shared" si="2"/>
        <v>121</v>
      </c>
      <c r="G52" s="556">
        <f t="shared" si="3"/>
        <v>121</v>
      </c>
    </row>
    <row r="53" spans="1:7" ht="15.75">
      <c r="A53" s="625">
        <f t="shared" si="4"/>
        <v>1237.5</v>
      </c>
      <c r="B53" s="555">
        <v>1225</v>
      </c>
      <c r="C53" s="555">
        <v>1250</v>
      </c>
      <c r="D53" s="556">
        <f t="shared" si="0"/>
        <v>124</v>
      </c>
      <c r="E53" s="556">
        <f t="shared" si="1"/>
        <v>124</v>
      </c>
      <c r="F53" s="556">
        <f t="shared" si="2"/>
        <v>124</v>
      </c>
      <c r="G53" s="556">
        <f t="shared" si="3"/>
        <v>124</v>
      </c>
    </row>
    <row r="54" spans="1:7" ht="15.75">
      <c r="A54" s="625">
        <f t="shared" si="4"/>
        <v>1262.5</v>
      </c>
      <c r="B54" s="555">
        <v>1250</v>
      </c>
      <c r="C54" s="555">
        <v>1275</v>
      </c>
      <c r="D54" s="556">
        <f t="shared" si="0"/>
        <v>126</v>
      </c>
      <c r="E54" s="556">
        <f t="shared" si="1"/>
        <v>126</v>
      </c>
      <c r="F54" s="556">
        <f t="shared" si="2"/>
        <v>126</v>
      </c>
      <c r="G54" s="556">
        <f t="shared" si="3"/>
        <v>126</v>
      </c>
    </row>
    <row r="55" spans="1:7" ht="15.75">
      <c r="A55" s="625">
        <f t="shared" si="4"/>
        <v>1287.5</v>
      </c>
      <c r="B55" s="555">
        <v>1275</v>
      </c>
      <c r="C55" s="555">
        <v>1300</v>
      </c>
      <c r="D55" s="556">
        <f t="shared" si="0"/>
        <v>129</v>
      </c>
      <c r="E55" s="556">
        <f t="shared" si="1"/>
        <v>129</v>
      </c>
      <c r="F55" s="556">
        <f t="shared" si="2"/>
        <v>129</v>
      </c>
      <c r="G55" s="556">
        <f t="shared" si="3"/>
        <v>129</v>
      </c>
    </row>
    <row r="56" spans="1:7" ht="15.75">
      <c r="A56" s="625">
        <f t="shared" si="4"/>
        <v>1312.5</v>
      </c>
      <c r="B56" s="555">
        <v>1300</v>
      </c>
      <c r="C56" s="555">
        <v>1325</v>
      </c>
      <c r="D56" s="556">
        <f t="shared" si="0"/>
        <v>131</v>
      </c>
      <c r="E56" s="556">
        <f t="shared" si="1"/>
        <v>131</v>
      </c>
      <c r="F56" s="556">
        <f t="shared" si="2"/>
        <v>131</v>
      </c>
      <c r="G56" s="556">
        <f t="shared" si="3"/>
        <v>131</v>
      </c>
    </row>
    <row r="57" spans="1:7" ht="15.75">
      <c r="A57" s="625">
        <f t="shared" si="4"/>
        <v>1337.5</v>
      </c>
      <c r="B57" s="555">
        <v>1325</v>
      </c>
      <c r="C57" s="555">
        <v>1350</v>
      </c>
      <c r="D57" s="556">
        <f t="shared" si="0"/>
        <v>134</v>
      </c>
      <c r="E57" s="556">
        <f t="shared" si="1"/>
        <v>134</v>
      </c>
      <c r="F57" s="556">
        <f t="shared" si="2"/>
        <v>134</v>
      </c>
      <c r="G57" s="556">
        <f t="shared" si="3"/>
        <v>134</v>
      </c>
    </row>
    <row r="58" spans="1:7" ht="15.75">
      <c r="A58" s="625">
        <f t="shared" si="4"/>
        <v>1362.5</v>
      </c>
      <c r="B58" s="555">
        <v>1350</v>
      </c>
      <c r="C58" s="555">
        <v>1375</v>
      </c>
      <c r="D58" s="556">
        <f t="shared" si="0"/>
        <v>136</v>
      </c>
      <c r="E58" s="556">
        <f t="shared" si="1"/>
        <v>136</v>
      </c>
      <c r="F58" s="556">
        <f t="shared" si="2"/>
        <v>136</v>
      </c>
      <c r="G58" s="556">
        <f t="shared" si="3"/>
        <v>136</v>
      </c>
    </row>
    <row r="59" spans="1:7" ht="15.75">
      <c r="A59" s="625">
        <f t="shared" si="4"/>
        <v>1387.5</v>
      </c>
      <c r="B59" s="555">
        <v>1375</v>
      </c>
      <c r="C59" s="555">
        <v>1400</v>
      </c>
      <c r="D59" s="556">
        <f t="shared" si="0"/>
        <v>139</v>
      </c>
      <c r="E59" s="556">
        <f t="shared" si="1"/>
        <v>139</v>
      </c>
      <c r="F59" s="556">
        <f t="shared" si="2"/>
        <v>139</v>
      </c>
      <c r="G59" s="556">
        <f t="shared" si="3"/>
        <v>139</v>
      </c>
    </row>
    <row r="60" spans="1:7" ht="15.75">
      <c r="A60" s="625">
        <f t="shared" si="4"/>
        <v>1412.5</v>
      </c>
      <c r="B60" s="555">
        <v>1400</v>
      </c>
      <c r="C60" s="555">
        <v>1425</v>
      </c>
      <c r="D60" s="556">
        <f t="shared" si="0"/>
        <v>141</v>
      </c>
      <c r="E60" s="556">
        <f t="shared" si="1"/>
        <v>141</v>
      </c>
      <c r="F60" s="556">
        <f t="shared" si="2"/>
        <v>141</v>
      </c>
      <c r="G60" s="556">
        <f t="shared" si="3"/>
        <v>141</v>
      </c>
    </row>
    <row r="61" spans="1:7" ht="15.75">
      <c r="A61" s="625">
        <f t="shared" si="4"/>
        <v>1437.5</v>
      </c>
      <c r="B61" s="555">
        <v>1425</v>
      </c>
      <c r="C61" s="555">
        <v>1450</v>
      </c>
      <c r="D61" s="556">
        <f t="shared" si="0"/>
        <v>144</v>
      </c>
      <c r="E61" s="556">
        <f t="shared" si="1"/>
        <v>144</v>
      </c>
      <c r="F61" s="556">
        <f t="shared" si="2"/>
        <v>144</v>
      </c>
      <c r="G61" s="556">
        <f t="shared" si="3"/>
        <v>144</v>
      </c>
    </row>
    <row r="62" spans="1:7" ht="15.75">
      <c r="A62" s="625">
        <f t="shared" si="4"/>
        <v>1462.5</v>
      </c>
      <c r="B62" s="555">
        <v>1450</v>
      </c>
      <c r="C62" s="555">
        <v>1475</v>
      </c>
      <c r="D62" s="556">
        <f t="shared" si="0"/>
        <v>146</v>
      </c>
      <c r="E62" s="556">
        <f t="shared" si="1"/>
        <v>146</v>
      </c>
      <c r="F62" s="556">
        <f t="shared" si="2"/>
        <v>146</v>
      </c>
      <c r="G62" s="556">
        <f t="shared" si="3"/>
        <v>146</v>
      </c>
    </row>
    <row r="63" spans="1:7" ht="15.75">
      <c r="A63" s="625">
        <f t="shared" si="4"/>
        <v>1487.5</v>
      </c>
      <c r="B63" s="555">
        <v>1475</v>
      </c>
      <c r="C63" s="555">
        <v>1500</v>
      </c>
      <c r="D63" s="556">
        <f t="shared" si="0"/>
        <v>149</v>
      </c>
      <c r="E63" s="556">
        <f t="shared" si="1"/>
        <v>149</v>
      </c>
      <c r="F63" s="556">
        <f t="shared" si="2"/>
        <v>149</v>
      </c>
      <c r="G63" s="556">
        <f t="shared" si="3"/>
        <v>149</v>
      </c>
    </row>
    <row r="64" spans="1:7" ht="15.75">
      <c r="A64" s="625">
        <f t="shared" si="4"/>
        <v>1512.5</v>
      </c>
      <c r="B64" s="555">
        <v>1500</v>
      </c>
      <c r="C64" s="555">
        <v>1525</v>
      </c>
      <c r="D64" s="556">
        <f t="shared" si="0"/>
        <v>151</v>
      </c>
      <c r="E64" s="556">
        <f t="shared" si="1"/>
        <v>151</v>
      </c>
      <c r="F64" s="556">
        <f t="shared" si="2"/>
        <v>151</v>
      </c>
      <c r="G64" s="556">
        <f t="shared" si="3"/>
        <v>151</v>
      </c>
    </row>
    <row r="65" spans="1:7" ht="15.75">
      <c r="A65" s="625">
        <f t="shared" si="4"/>
        <v>1537.5</v>
      </c>
      <c r="B65" s="555">
        <v>1525</v>
      </c>
      <c r="C65" s="555">
        <v>1550</v>
      </c>
      <c r="D65" s="556">
        <f t="shared" si="0"/>
        <v>154</v>
      </c>
      <c r="E65" s="556">
        <f t="shared" si="1"/>
        <v>154</v>
      </c>
      <c r="F65" s="556">
        <f t="shared" si="2"/>
        <v>154</v>
      </c>
      <c r="G65" s="556">
        <f t="shared" si="3"/>
        <v>154</v>
      </c>
    </row>
    <row r="66" spans="1:7" ht="15.75">
      <c r="A66" s="625">
        <f t="shared" si="4"/>
        <v>1562.5</v>
      </c>
      <c r="B66" s="555">
        <v>1550</v>
      </c>
      <c r="C66" s="555">
        <v>1575</v>
      </c>
      <c r="D66" s="556">
        <f t="shared" ref="D66:D129" si="9">IF($A66&gt;BOTT_A4,ROUND(BASE_A4+RATE_A4*($A66-BOTT_A4),0),IF($A66&gt;BOTT_A3,ROUND(BASE_A3+RATE_A3*($A66-BOTT_A3),0),IF($A66&gt;BOTT_A2,ROUND(BASE_A2+RATE_A2*($A66-BOTT_A2),0),ROUND(RATE_A1*$A66,0))))</f>
        <v>156</v>
      </c>
      <c r="E66" s="556">
        <f t="shared" ref="E66:E129" si="10">IF($A66&gt;BOTT_B4,ROUND(BASE_B4+RATE_B4*($A66-BOTT_B4),0),IF($A66&gt;BOTT_B3,ROUND(BASE_B3+RATE_B3*($A66-BOTT_B3),0),IF($A66&gt;BOTT_B2,ROUND(BASE_B2+RATE_B2*($A66-BOTT_B2),0),ROUND(RATE_B1*$A66,0))))</f>
        <v>156</v>
      </c>
      <c r="F66" s="556">
        <f t="shared" ref="F66:F129" si="11">IF($A66&gt;BOTT_C4,ROUND(BASE_C4+RATE_C4*($A66-BOTT_C4),0),IF($A66&gt;BOTT_C3,ROUND(BASE_C3+RATE_C3*($A66-BOTT_C3),0),IF($A66&gt;BOTT_C2,ROUND(BASE_C2+RATE_C2*($A66-BOTT_C2),0),ROUND(RATE_C1*$A66,0))))</f>
        <v>156</v>
      </c>
      <c r="G66" s="556">
        <f t="shared" ref="G66:G129" si="12">IF($A66&gt;BOTT_D4,ROUND(BASE_D4+RATE_D4*($A66-BOTT_D4),0),IF($A66&gt;BOTT_D3,ROUND(BASE_D3+RATE_D3*($A66-BOTT_D3),0),IF($A66&gt;BOTT_D2,ROUND(BASE_D2+RATE_D2*($A66-BOTT_D2),0),ROUND(RATE_D1*$A66,0))))</f>
        <v>156</v>
      </c>
    </row>
    <row r="67" spans="1:7" ht="15.75">
      <c r="A67" s="625">
        <f t="shared" ref="A67:A130" si="13">AVERAGE(B67,C67)</f>
        <v>1587.5</v>
      </c>
      <c r="B67" s="555">
        <v>1575</v>
      </c>
      <c r="C67" s="555">
        <v>1600</v>
      </c>
      <c r="D67" s="556">
        <f t="shared" si="9"/>
        <v>159</v>
      </c>
      <c r="E67" s="556">
        <f t="shared" si="10"/>
        <v>159</v>
      </c>
      <c r="F67" s="556">
        <f t="shared" si="11"/>
        <v>159</v>
      </c>
      <c r="G67" s="556">
        <f t="shared" si="12"/>
        <v>159</v>
      </c>
    </row>
    <row r="68" spans="1:7" ht="15.75">
      <c r="A68" s="625">
        <f t="shared" si="13"/>
        <v>1612.5</v>
      </c>
      <c r="B68" s="555">
        <v>1600</v>
      </c>
      <c r="C68" s="555">
        <v>1625</v>
      </c>
      <c r="D68" s="556">
        <f t="shared" si="9"/>
        <v>161</v>
      </c>
      <c r="E68" s="556">
        <f t="shared" si="10"/>
        <v>161</v>
      </c>
      <c r="F68" s="556">
        <f t="shared" si="11"/>
        <v>161</v>
      </c>
      <c r="G68" s="556">
        <f t="shared" si="12"/>
        <v>161</v>
      </c>
    </row>
    <row r="69" spans="1:7" ht="15.75">
      <c r="A69" s="625">
        <f t="shared" si="13"/>
        <v>1637.5</v>
      </c>
      <c r="B69" s="555">
        <v>1625</v>
      </c>
      <c r="C69" s="555">
        <v>1650</v>
      </c>
      <c r="D69" s="556">
        <f t="shared" si="9"/>
        <v>164</v>
      </c>
      <c r="E69" s="556">
        <f t="shared" si="10"/>
        <v>164</v>
      </c>
      <c r="F69" s="556">
        <f t="shared" si="11"/>
        <v>164</v>
      </c>
      <c r="G69" s="556">
        <f t="shared" si="12"/>
        <v>164</v>
      </c>
    </row>
    <row r="70" spans="1:7" ht="15.75">
      <c r="A70" s="625">
        <f t="shared" si="13"/>
        <v>1662.5</v>
      </c>
      <c r="B70" s="555">
        <v>1650</v>
      </c>
      <c r="C70" s="555">
        <v>1675</v>
      </c>
      <c r="D70" s="556">
        <f t="shared" si="9"/>
        <v>166</v>
      </c>
      <c r="E70" s="556">
        <f t="shared" si="10"/>
        <v>166</v>
      </c>
      <c r="F70" s="556">
        <f t="shared" si="11"/>
        <v>166</v>
      </c>
      <c r="G70" s="556">
        <f t="shared" si="12"/>
        <v>166</v>
      </c>
    </row>
    <row r="71" spans="1:7" ht="15.75">
      <c r="A71" s="625">
        <f t="shared" si="13"/>
        <v>1687.5</v>
      </c>
      <c r="B71" s="555">
        <v>1675</v>
      </c>
      <c r="C71" s="555">
        <v>1700</v>
      </c>
      <c r="D71" s="556">
        <f t="shared" si="9"/>
        <v>169</v>
      </c>
      <c r="E71" s="556">
        <f t="shared" si="10"/>
        <v>169</v>
      </c>
      <c r="F71" s="556">
        <f t="shared" si="11"/>
        <v>169</v>
      </c>
      <c r="G71" s="556">
        <f t="shared" si="12"/>
        <v>169</v>
      </c>
    </row>
    <row r="72" spans="1:7" ht="15.75">
      <c r="A72" s="625">
        <f t="shared" si="13"/>
        <v>1712.5</v>
      </c>
      <c r="B72" s="555">
        <v>1700</v>
      </c>
      <c r="C72" s="555">
        <v>1725</v>
      </c>
      <c r="D72" s="556">
        <f t="shared" si="9"/>
        <v>171</v>
      </c>
      <c r="E72" s="556">
        <f t="shared" si="10"/>
        <v>171</v>
      </c>
      <c r="F72" s="556">
        <f t="shared" si="11"/>
        <v>171</v>
      </c>
      <c r="G72" s="556">
        <f t="shared" si="12"/>
        <v>171</v>
      </c>
    </row>
    <row r="73" spans="1:7" ht="15.75">
      <c r="A73" s="625">
        <f t="shared" si="13"/>
        <v>1737.5</v>
      </c>
      <c r="B73" s="555">
        <v>1725</v>
      </c>
      <c r="C73" s="555">
        <v>1750</v>
      </c>
      <c r="D73" s="556">
        <f t="shared" si="9"/>
        <v>174</v>
      </c>
      <c r="E73" s="556">
        <f t="shared" si="10"/>
        <v>174</v>
      </c>
      <c r="F73" s="556">
        <f t="shared" si="11"/>
        <v>174</v>
      </c>
      <c r="G73" s="556">
        <f t="shared" si="12"/>
        <v>174</v>
      </c>
    </row>
    <row r="74" spans="1:7" ht="15.75">
      <c r="A74" s="625">
        <f t="shared" si="13"/>
        <v>1762.5</v>
      </c>
      <c r="B74" s="555">
        <v>1750</v>
      </c>
      <c r="C74" s="555">
        <v>1775</v>
      </c>
      <c r="D74" s="556">
        <f t="shared" si="9"/>
        <v>176</v>
      </c>
      <c r="E74" s="556">
        <f t="shared" si="10"/>
        <v>176</v>
      </c>
      <c r="F74" s="556">
        <f t="shared" si="11"/>
        <v>176</v>
      </c>
      <c r="G74" s="556">
        <f t="shared" si="12"/>
        <v>176</v>
      </c>
    </row>
    <row r="75" spans="1:7" ht="15.75">
      <c r="A75" s="625">
        <f t="shared" si="13"/>
        <v>1787.5</v>
      </c>
      <c r="B75" s="555">
        <v>1775</v>
      </c>
      <c r="C75" s="555">
        <v>1800</v>
      </c>
      <c r="D75" s="556">
        <f t="shared" si="9"/>
        <v>179</v>
      </c>
      <c r="E75" s="556">
        <f t="shared" si="10"/>
        <v>179</v>
      </c>
      <c r="F75" s="556">
        <f t="shared" si="11"/>
        <v>179</v>
      </c>
      <c r="G75" s="556">
        <f t="shared" si="12"/>
        <v>179</v>
      </c>
    </row>
    <row r="76" spans="1:7" ht="15.75">
      <c r="A76" s="625">
        <f t="shared" si="13"/>
        <v>1812.5</v>
      </c>
      <c r="B76" s="555">
        <v>1800</v>
      </c>
      <c r="C76" s="555">
        <v>1825</v>
      </c>
      <c r="D76" s="556">
        <f t="shared" si="9"/>
        <v>181</v>
      </c>
      <c r="E76" s="556">
        <f t="shared" si="10"/>
        <v>181</v>
      </c>
      <c r="F76" s="556">
        <f t="shared" si="11"/>
        <v>181</v>
      </c>
      <c r="G76" s="556">
        <f t="shared" si="12"/>
        <v>181</v>
      </c>
    </row>
    <row r="77" spans="1:7" ht="15.75">
      <c r="A77" s="625">
        <f t="shared" si="13"/>
        <v>1837.5</v>
      </c>
      <c r="B77" s="555">
        <v>1825</v>
      </c>
      <c r="C77" s="555">
        <v>1850</v>
      </c>
      <c r="D77" s="556">
        <f t="shared" si="9"/>
        <v>184</v>
      </c>
      <c r="E77" s="556">
        <f t="shared" si="10"/>
        <v>184</v>
      </c>
      <c r="F77" s="556">
        <f t="shared" si="11"/>
        <v>184</v>
      </c>
      <c r="G77" s="556">
        <f t="shared" si="12"/>
        <v>184</v>
      </c>
    </row>
    <row r="78" spans="1:7" ht="15.75">
      <c r="A78" s="625">
        <f t="shared" si="13"/>
        <v>1862.5</v>
      </c>
      <c r="B78" s="555">
        <v>1850</v>
      </c>
      <c r="C78" s="555">
        <v>1875</v>
      </c>
      <c r="D78" s="556">
        <f t="shared" si="9"/>
        <v>186</v>
      </c>
      <c r="E78" s="556">
        <f t="shared" si="10"/>
        <v>186</v>
      </c>
      <c r="F78" s="556">
        <f t="shared" si="11"/>
        <v>186</v>
      </c>
      <c r="G78" s="556">
        <f t="shared" si="12"/>
        <v>186</v>
      </c>
    </row>
    <row r="79" spans="1:7" ht="15.75">
      <c r="A79" s="625">
        <f t="shared" si="13"/>
        <v>1887.5</v>
      </c>
      <c r="B79" s="555">
        <v>1875</v>
      </c>
      <c r="C79" s="555">
        <v>1900</v>
      </c>
      <c r="D79" s="556">
        <f t="shared" si="9"/>
        <v>189</v>
      </c>
      <c r="E79" s="556">
        <f t="shared" si="10"/>
        <v>189</v>
      </c>
      <c r="F79" s="556">
        <f t="shared" si="11"/>
        <v>189</v>
      </c>
      <c r="G79" s="556">
        <f t="shared" si="12"/>
        <v>189</v>
      </c>
    </row>
    <row r="80" spans="1:7" ht="15.75">
      <c r="A80" s="625">
        <f t="shared" si="13"/>
        <v>1912.5</v>
      </c>
      <c r="B80" s="555">
        <v>1900</v>
      </c>
      <c r="C80" s="555">
        <v>1925</v>
      </c>
      <c r="D80" s="556">
        <f t="shared" si="9"/>
        <v>191</v>
      </c>
      <c r="E80" s="556">
        <f t="shared" si="10"/>
        <v>191</v>
      </c>
      <c r="F80" s="556">
        <f t="shared" si="11"/>
        <v>191</v>
      </c>
      <c r="G80" s="556">
        <f t="shared" si="12"/>
        <v>191</v>
      </c>
    </row>
    <row r="81" spans="1:7" ht="15.75">
      <c r="A81" s="625">
        <f t="shared" si="13"/>
        <v>1937.5</v>
      </c>
      <c r="B81" s="555">
        <v>1925</v>
      </c>
      <c r="C81" s="555">
        <v>1950</v>
      </c>
      <c r="D81" s="556">
        <f t="shared" si="9"/>
        <v>194</v>
      </c>
      <c r="E81" s="556">
        <f t="shared" si="10"/>
        <v>194</v>
      </c>
      <c r="F81" s="556">
        <f t="shared" si="11"/>
        <v>194</v>
      </c>
      <c r="G81" s="556">
        <f t="shared" si="12"/>
        <v>194</v>
      </c>
    </row>
    <row r="82" spans="1:7" ht="15.75">
      <c r="A82" s="625">
        <f t="shared" si="13"/>
        <v>1962.5</v>
      </c>
      <c r="B82" s="555">
        <v>1950</v>
      </c>
      <c r="C82" s="555">
        <v>1975</v>
      </c>
      <c r="D82" s="556">
        <f t="shared" si="9"/>
        <v>196</v>
      </c>
      <c r="E82" s="556">
        <f t="shared" si="10"/>
        <v>196</v>
      </c>
      <c r="F82" s="556">
        <f t="shared" si="11"/>
        <v>196</v>
      </c>
      <c r="G82" s="556">
        <f t="shared" si="12"/>
        <v>196</v>
      </c>
    </row>
    <row r="83" spans="1:7" ht="15.75">
      <c r="A83" s="625">
        <f t="shared" si="13"/>
        <v>1987.5</v>
      </c>
      <c r="B83" s="555">
        <v>1975</v>
      </c>
      <c r="C83" s="555">
        <v>2000</v>
      </c>
      <c r="D83" s="556">
        <f t="shared" si="9"/>
        <v>199</v>
      </c>
      <c r="E83" s="556">
        <f t="shared" si="10"/>
        <v>199</v>
      </c>
      <c r="F83" s="556">
        <f t="shared" si="11"/>
        <v>199</v>
      </c>
      <c r="G83" s="556">
        <f t="shared" si="12"/>
        <v>199</v>
      </c>
    </row>
    <row r="84" spans="1:7" ht="15.75">
      <c r="A84" s="625">
        <f t="shared" si="13"/>
        <v>2012.5</v>
      </c>
      <c r="B84" s="555">
        <v>2000</v>
      </c>
      <c r="C84" s="555">
        <v>2025</v>
      </c>
      <c r="D84" s="556">
        <f t="shared" si="9"/>
        <v>201</v>
      </c>
      <c r="E84" s="556">
        <f t="shared" si="10"/>
        <v>201</v>
      </c>
      <c r="F84" s="556">
        <f t="shared" si="11"/>
        <v>201</v>
      </c>
      <c r="G84" s="556">
        <f t="shared" si="12"/>
        <v>201</v>
      </c>
    </row>
    <row r="85" spans="1:7" ht="15.75">
      <c r="A85" s="625">
        <f t="shared" si="13"/>
        <v>2037.5</v>
      </c>
      <c r="B85" s="555">
        <v>2025</v>
      </c>
      <c r="C85" s="555">
        <v>2050</v>
      </c>
      <c r="D85" s="556">
        <f t="shared" si="9"/>
        <v>204</v>
      </c>
      <c r="E85" s="556">
        <f t="shared" si="10"/>
        <v>204</v>
      </c>
      <c r="F85" s="556">
        <f t="shared" si="11"/>
        <v>204</v>
      </c>
      <c r="G85" s="556">
        <f t="shared" si="12"/>
        <v>204</v>
      </c>
    </row>
    <row r="86" spans="1:7" ht="15.75">
      <c r="A86" s="625">
        <f t="shared" si="13"/>
        <v>2062.5</v>
      </c>
      <c r="B86" s="555">
        <v>2050</v>
      </c>
      <c r="C86" s="555">
        <v>2075</v>
      </c>
      <c r="D86" s="556">
        <f t="shared" si="9"/>
        <v>206</v>
      </c>
      <c r="E86" s="556">
        <f t="shared" si="10"/>
        <v>206</v>
      </c>
      <c r="F86" s="556">
        <f t="shared" si="11"/>
        <v>206</v>
      </c>
      <c r="G86" s="556">
        <f t="shared" si="12"/>
        <v>206</v>
      </c>
    </row>
    <row r="87" spans="1:7" ht="15.75">
      <c r="A87" s="625">
        <f t="shared" si="13"/>
        <v>2087.5</v>
      </c>
      <c r="B87" s="555">
        <v>2075</v>
      </c>
      <c r="C87" s="555">
        <v>2100</v>
      </c>
      <c r="D87" s="556">
        <f t="shared" si="9"/>
        <v>209</v>
      </c>
      <c r="E87" s="556">
        <f t="shared" si="10"/>
        <v>209</v>
      </c>
      <c r="F87" s="556">
        <f t="shared" si="11"/>
        <v>209</v>
      </c>
      <c r="G87" s="556">
        <f t="shared" si="12"/>
        <v>209</v>
      </c>
    </row>
    <row r="88" spans="1:7" ht="15.75">
      <c r="A88" s="625">
        <f t="shared" si="13"/>
        <v>2112.5</v>
      </c>
      <c r="B88" s="555">
        <v>2100</v>
      </c>
      <c r="C88" s="555">
        <v>2125</v>
      </c>
      <c r="D88" s="556">
        <f t="shared" si="9"/>
        <v>211</v>
      </c>
      <c r="E88" s="556">
        <f t="shared" si="10"/>
        <v>211</v>
      </c>
      <c r="F88" s="556">
        <f t="shared" si="11"/>
        <v>211</v>
      </c>
      <c r="G88" s="556">
        <f t="shared" si="12"/>
        <v>211</v>
      </c>
    </row>
    <row r="89" spans="1:7" ht="15.75">
      <c r="A89" s="625">
        <f t="shared" si="13"/>
        <v>2137.5</v>
      </c>
      <c r="B89" s="555">
        <v>2125</v>
      </c>
      <c r="C89" s="555">
        <v>2150</v>
      </c>
      <c r="D89" s="556">
        <f t="shared" si="9"/>
        <v>214</v>
      </c>
      <c r="E89" s="556">
        <f t="shared" si="10"/>
        <v>214</v>
      </c>
      <c r="F89" s="556">
        <f t="shared" si="11"/>
        <v>214</v>
      </c>
      <c r="G89" s="556">
        <f t="shared" si="12"/>
        <v>214</v>
      </c>
    </row>
    <row r="90" spans="1:7" ht="15.75">
      <c r="A90" s="625">
        <f t="shared" si="13"/>
        <v>2162.5</v>
      </c>
      <c r="B90" s="555">
        <v>2150</v>
      </c>
      <c r="C90" s="555">
        <v>2175</v>
      </c>
      <c r="D90" s="556">
        <f t="shared" si="9"/>
        <v>216</v>
      </c>
      <c r="E90" s="556">
        <f t="shared" si="10"/>
        <v>216</v>
      </c>
      <c r="F90" s="556">
        <f t="shared" si="11"/>
        <v>216</v>
      </c>
      <c r="G90" s="556">
        <f t="shared" si="12"/>
        <v>216</v>
      </c>
    </row>
    <row r="91" spans="1:7" ht="15.75">
      <c r="A91" s="625">
        <f t="shared" si="13"/>
        <v>2187.5</v>
      </c>
      <c r="B91" s="555">
        <v>2175</v>
      </c>
      <c r="C91" s="555">
        <v>2200</v>
      </c>
      <c r="D91" s="556">
        <f t="shared" si="9"/>
        <v>219</v>
      </c>
      <c r="E91" s="556">
        <f t="shared" si="10"/>
        <v>219</v>
      </c>
      <c r="F91" s="556">
        <f t="shared" si="11"/>
        <v>219</v>
      </c>
      <c r="G91" s="556">
        <f t="shared" si="12"/>
        <v>219</v>
      </c>
    </row>
    <row r="92" spans="1:7" ht="15.75">
      <c r="A92" s="625">
        <f t="shared" si="13"/>
        <v>2212.5</v>
      </c>
      <c r="B92" s="555">
        <v>2200</v>
      </c>
      <c r="C92" s="555">
        <v>2225</v>
      </c>
      <c r="D92" s="556">
        <f t="shared" si="9"/>
        <v>221</v>
      </c>
      <c r="E92" s="556">
        <f t="shared" si="10"/>
        <v>221</v>
      </c>
      <c r="F92" s="556">
        <f t="shared" si="11"/>
        <v>221</v>
      </c>
      <c r="G92" s="556">
        <f t="shared" si="12"/>
        <v>221</v>
      </c>
    </row>
    <row r="93" spans="1:7" ht="15.75">
      <c r="A93" s="625">
        <f t="shared" si="13"/>
        <v>2237.5</v>
      </c>
      <c r="B93" s="555">
        <v>2225</v>
      </c>
      <c r="C93" s="555">
        <v>2250</v>
      </c>
      <c r="D93" s="556">
        <f t="shared" si="9"/>
        <v>224</v>
      </c>
      <c r="E93" s="556">
        <f t="shared" si="10"/>
        <v>224</v>
      </c>
      <c r="F93" s="556">
        <f t="shared" si="11"/>
        <v>224</v>
      </c>
      <c r="G93" s="556">
        <f t="shared" si="12"/>
        <v>224</v>
      </c>
    </row>
    <row r="94" spans="1:7" ht="15.75">
      <c r="A94" s="625">
        <f t="shared" si="13"/>
        <v>2262.5</v>
      </c>
      <c r="B94" s="555">
        <v>2250</v>
      </c>
      <c r="C94" s="555">
        <v>2275</v>
      </c>
      <c r="D94" s="556">
        <f t="shared" si="9"/>
        <v>226</v>
      </c>
      <c r="E94" s="556">
        <f t="shared" si="10"/>
        <v>226</v>
      </c>
      <c r="F94" s="556">
        <f t="shared" si="11"/>
        <v>226</v>
      </c>
      <c r="G94" s="556">
        <f t="shared" si="12"/>
        <v>226</v>
      </c>
    </row>
    <row r="95" spans="1:7" ht="15.75">
      <c r="A95" s="625">
        <f t="shared" si="13"/>
        <v>2287.5</v>
      </c>
      <c r="B95" s="555">
        <v>2275</v>
      </c>
      <c r="C95" s="555">
        <v>2300</v>
      </c>
      <c r="D95" s="556">
        <f t="shared" si="9"/>
        <v>229</v>
      </c>
      <c r="E95" s="556">
        <f t="shared" si="10"/>
        <v>229</v>
      </c>
      <c r="F95" s="556">
        <f t="shared" si="11"/>
        <v>229</v>
      </c>
      <c r="G95" s="556">
        <f t="shared" si="12"/>
        <v>229</v>
      </c>
    </row>
    <row r="96" spans="1:7" ht="15.75">
      <c r="A96" s="625">
        <f t="shared" si="13"/>
        <v>2312.5</v>
      </c>
      <c r="B96" s="555">
        <v>2300</v>
      </c>
      <c r="C96" s="555">
        <v>2325</v>
      </c>
      <c r="D96" s="556">
        <f t="shared" si="9"/>
        <v>231</v>
      </c>
      <c r="E96" s="556">
        <f t="shared" si="10"/>
        <v>231</v>
      </c>
      <c r="F96" s="556">
        <f t="shared" si="11"/>
        <v>231</v>
      </c>
      <c r="G96" s="556">
        <f t="shared" si="12"/>
        <v>231</v>
      </c>
    </row>
    <row r="97" spans="1:7" ht="15.75">
      <c r="A97" s="625">
        <f t="shared" si="13"/>
        <v>2337.5</v>
      </c>
      <c r="B97" s="555">
        <v>2325</v>
      </c>
      <c r="C97" s="555">
        <v>2350</v>
      </c>
      <c r="D97" s="556">
        <f t="shared" si="9"/>
        <v>234</v>
      </c>
      <c r="E97" s="556">
        <f t="shared" si="10"/>
        <v>234</v>
      </c>
      <c r="F97" s="556">
        <f t="shared" si="11"/>
        <v>234</v>
      </c>
      <c r="G97" s="556">
        <f t="shared" si="12"/>
        <v>234</v>
      </c>
    </row>
    <row r="98" spans="1:7" ht="15.75">
      <c r="A98" s="625">
        <f t="shared" si="13"/>
        <v>2362.5</v>
      </c>
      <c r="B98" s="555">
        <v>2350</v>
      </c>
      <c r="C98" s="555">
        <v>2375</v>
      </c>
      <c r="D98" s="556">
        <f t="shared" si="9"/>
        <v>236</v>
      </c>
      <c r="E98" s="556">
        <f t="shared" si="10"/>
        <v>236</v>
      </c>
      <c r="F98" s="556">
        <f t="shared" si="11"/>
        <v>236</v>
      </c>
      <c r="G98" s="556">
        <f t="shared" si="12"/>
        <v>236</v>
      </c>
    </row>
    <row r="99" spans="1:7" ht="15.75">
      <c r="A99" s="625">
        <f t="shared" si="13"/>
        <v>2387.5</v>
      </c>
      <c r="B99" s="555">
        <v>2375</v>
      </c>
      <c r="C99" s="555">
        <v>2400</v>
      </c>
      <c r="D99" s="556">
        <f t="shared" si="9"/>
        <v>239</v>
      </c>
      <c r="E99" s="556">
        <f t="shared" si="10"/>
        <v>239</v>
      </c>
      <c r="F99" s="556">
        <f t="shared" si="11"/>
        <v>239</v>
      </c>
      <c r="G99" s="556">
        <f t="shared" si="12"/>
        <v>239</v>
      </c>
    </row>
    <row r="100" spans="1:7" ht="15.75">
      <c r="A100" s="625">
        <f t="shared" si="13"/>
        <v>2412.5</v>
      </c>
      <c r="B100" s="555">
        <v>2400</v>
      </c>
      <c r="C100" s="555">
        <v>2425</v>
      </c>
      <c r="D100" s="556">
        <f t="shared" si="9"/>
        <v>241</v>
      </c>
      <c r="E100" s="556">
        <f t="shared" si="10"/>
        <v>241</v>
      </c>
      <c r="F100" s="556">
        <f t="shared" si="11"/>
        <v>241</v>
      </c>
      <c r="G100" s="556">
        <f t="shared" si="12"/>
        <v>241</v>
      </c>
    </row>
    <row r="101" spans="1:7" ht="15.75">
      <c r="A101" s="625">
        <f t="shared" si="13"/>
        <v>2437.5</v>
      </c>
      <c r="B101" s="555">
        <v>2425</v>
      </c>
      <c r="C101" s="555">
        <v>2450</v>
      </c>
      <c r="D101" s="556">
        <f t="shared" si="9"/>
        <v>244</v>
      </c>
      <c r="E101" s="556">
        <f t="shared" si="10"/>
        <v>244</v>
      </c>
      <c r="F101" s="556">
        <f t="shared" si="11"/>
        <v>244</v>
      </c>
      <c r="G101" s="556">
        <f t="shared" si="12"/>
        <v>244</v>
      </c>
    </row>
    <row r="102" spans="1:7" ht="15.75">
      <c r="A102" s="625">
        <f t="shared" si="13"/>
        <v>2462.5</v>
      </c>
      <c r="B102" s="555">
        <v>2450</v>
      </c>
      <c r="C102" s="555">
        <v>2475</v>
      </c>
      <c r="D102" s="556">
        <f t="shared" si="9"/>
        <v>246</v>
      </c>
      <c r="E102" s="556">
        <f t="shared" si="10"/>
        <v>246</v>
      </c>
      <c r="F102" s="556">
        <f t="shared" si="11"/>
        <v>246</v>
      </c>
      <c r="G102" s="556">
        <f t="shared" si="12"/>
        <v>246</v>
      </c>
    </row>
    <row r="103" spans="1:7" ht="15.75">
      <c r="A103" s="625">
        <f t="shared" si="13"/>
        <v>2487.5</v>
      </c>
      <c r="B103" s="555">
        <v>2475</v>
      </c>
      <c r="C103" s="555">
        <v>2500</v>
      </c>
      <c r="D103" s="556">
        <f t="shared" si="9"/>
        <v>249</v>
      </c>
      <c r="E103" s="556">
        <f t="shared" si="10"/>
        <v>249</v>
      </c>
      <c r="F103" s="556">
        <f t="shared" si="11"/>
        <v>249</v>
      </c>
      <c r="G103" s="556">
        <f t="shared" si="12"/>
        <v>249</v>
      </c>
    </row>
    <row r="104" spans="1:7" ht="15.75">
      <c r="A104" s="625">
        <f t="shared" si="13"/>
        <v>2512.5</v>
      </c>
      <c r="B104" s="555">
        <v>2500</v>
      </c>
      <c r="C104" s="555">
        <v>2525</v>
      </c>
      <c r="D104" s="556">
        <f t="shared" si="9"/>
        <v>251</v>
      </c>
      <c r="E104" s="556">
        <f t="shared" si="10"/>
        <v>251</v>
      </c>
      <c r="F104" s="556">
        <f t="shared" si="11"/>
        <v>251</v>
      </c>
      <c r="G104" s="556">
        <f t="shared" si="12"/>
        <v>251</v>
      </c>
    </row>
    <row r="105" spans="1:7" ht="15.75">
      <c r="A105" s="625">
        <f t="shared" si="13"/>
        <v>2537.5</v>
      </c>
      <c r="B105" s="555">
        <v>2525</v>
      </c>
      <c r="C105" s="555">
        <v>2550</v>
      </c>
      <c r="D105" s="556">
        <f t="shared" si="9"/>
        <v>254</v>
      </c>
      <c r="E105" s="556">
        <f t="shared" si="10"/>
        <v>254</v>
      </c>
      <c r="F105" s="556">
        <f t="shared" si="11"/>
        <v>254</v>
      </c>
      <c r="G105" s="556">
        <f t="shared" si="12"/>
        <v>254</v>
      </c>
    </row>
    <row r="106" spans="1:7" ht="15.75">
      <c r="A106" s="625">
        <f t="shared" si="13"/>
        <v>2562.5</v>
      </c>
      <c r="B106" s="555">
        <v>2550</v>
      </c>
      <c r="C106" s="555">
        <v>2575</v>
      </c>
      <c r="D106" s="556">
        <f t="shared" si="9"/>
        <v>256</v>
      </c>
      <c r="E106" s="556">
        <f t="shared" si="10"/>
        <v>256</v>
      </c>
      <c r="F106" s="556">
        <f t="shared" si="11"/>
        <v>256</v>
      </c>
      <c r="G106" s="556">
        <f t="shared" si="12"/>
        <v>256</v>
      </c>
    </row>
    <row r="107" spans="1:7" ht="15.75">
      <c r="A107" s="625">
        <f t="shared" si="13"/>
        <v>2587.5</v>
      </c>
      <c r="B107" s="555">
        <v>2575</v>
      </c>
      <c r="C107" s="555">
        <v>2600</v>
      </c>
      <c r="D107" s="556">
        <f t="shared" si="9"/>
        <v>259</v>
      </c>
      <c r="E107" s="556">
        <f t="shared" si="10"/>
        <v>259</v>
      </c>
      <c r="F107" s="556">
        <f t="shared" si="11"/>
        <v>259</v>
      </c>
      <c r="G107" s="556">
        <f t="shared" si="12"/>
        <v>259</v>
      </c>
    </row>
    <row r="108" spans="1:7" ht="15.75">
      <c r="A108" s="625">
        <f t="shared" si="13"/>
        <v>2612.5</v>
      </c>
      <c r="B108" s="555">
        <v>2600</v>
      </c>
      <c r="C108" s="555">
        <v>2625</v>
      </c>
      <c r="D108" s="556">
        <f t="shared" si="9"/>
        <v>261</v>
      </c>
      <c r="E108" s="556">
        <f t="shared" si="10"/>
        <v>261</v>
      </c>
      <c r="F108" s="556">
        <f t="shared" si="11"/>
        <v>261</v>
      </c>
      <c r="G108" s="556">
        <f t="shared" si="12"/>
        <v>261</v>
      </c>
    </row>
    <row r="109" spans="1:7" ht="15.75">
      <c r="A109" s="625">
        <f t="shared" si="13"/>
        <v>2637.5</v>
      </c>
      <c r="B109" s="555">
        <v>2625</v>
      </c>
      <c r="C109" s="555">
        <v>2650</v>
      </c>
      <c r="D109" s="556">
        <f t="shared" si="9"/>
        <v>264</v>
      </c>
      <c r="E109" s="556">
        <f t="shared" si="10"/>
        <v>264</v>
      </c>
      <c r="F109" s="556">
        <f t="shared" si="11"/>
        <v>264</v>
      </c>
      <c r="G109" s="556">
        <f t="shared" si="12"/>
        <v>264</v>
      </c>
    </row>
    <row r="110" spans="1:7" ht="15.75">
      <c r="A110" s="625">
        <f t="shared" si="13"/>
        <v>2662.5</v>
      </c>
      <c r="B110" s="555">
        <v>2650</v>
      </c>
      <c r="C110" s="555">
        <v>2675</v>
      </c>
      <c r="D110" s="556">
        <f t="shared" si="9"/>
        <v>266</v>
      </c>
      <c r="E110" s="556">
        <f t="shared" si="10"/>
        <v>266</v>
      </c>
      <c r="F110" s="556">
        <f t="shared" si="11"/>
        <v>266</v>
      </c>
      <c r="G110" s="556">
        <f t="shared" si="12"/>
        <v>266</v>
      </c>
    </row>
    <row r="111" spans="1:7" ht="15.75">
      <c r="A111" s="625">
        <f t="shared" si="13"/>
        <v>2687.5</v>
      </c>
      <c r="B111" s="555">
        <v>2675</v>
      </c>
      <c r="C111" s="555">
        <v>2700</v>
      </c>
      <c r="D111" s="556">
        <f t="shared" si="9"/>
        <v>269</v>
      </c>
      <c r="E111" s="556">
        <f t="shared" si="10"/>
        <v>269</v>
      </c>
      <c r="F111" s="556">
        <f t="shared" si="11"/>
        <v>269</v>
      </c>
      <c r="G111" s="556">
        <f t="shared" si="12"/>
        <v>269</v>
      </c>
    </row>
    <row r="112" spans="1:7" ht="15.75">
      <c r="A112" s="625">
        <f t="shared" si="13"/>
        <v>2712.5</v>
      </c>
      <c r="B112" s="555">
        <v>2700</v>
      </c>
      <c r="C112" s="555">
        <v>2725</v>
      </c>
      <c r="D112" s="556">
        <f t="shared" si="9"/>
        <v>271</v>
      </c>
      <c r="E112" s="556">
        <f t="shared" si="10"/>
        <v>271</v>
      </c>
      <c r="F112" s="556">
        <f t="shared" si="11"/>
        <v>271</v>
      </c>
      <c r="G112" s="556">
        <f t="shared" si="12"/>
        <v>271</v>
      </c>
    </row>
    <row r="113" spans="1:7" ht="15.75">
      <c r="A113" s="625">
        <f t="shared" si="13"/>
        <v>2737.5</v>
      </c>
      <c r="B113" s="555">
        <v>2725</v>
      </c>
      <c r="C113" s="555">
        <v>2750</v>
      </c>
      <c r="D113" s="556">
        <f t="shared" si="9"/>
        <v>274</v>
      </c>
      <c r="E113" s="556">
        <f t="shared" si="10"/>
        <v>274</v>
      </c>
      <c r="F113" s="556">
        <f t="shared" si="11"/>
        <v>274</v>
      </c>
      <c r="G113" s="556">
        <f t="shared" si="12"/>
        <v>274</v>
      </c>
    </row>
    <row r="114" spans="1:7" ht="15.75">
      <c r="A114" s="625">
        <f t="shared" si="13"/>
        <v>2762.5</v>
      </c>
      <c r="B114" s="555">
        <v>2750</v>
      </c>
      <c r="C114" s="555">
        <v>2775</v>
      </c>
      <c r="D114" s="556">
        <f t="shared" si="9"/>
        <v>276</v>
      </c>
      <c r="E114" s="556">
        <f t="shared" si="10"/>
        <v>276</v>
      </c>
      <c r="F114" s="556">
        <f t="shared" si="11"/>
        <v>276</v>
      </c>
      <c r="G114" s="556">
        <f t="shared" si="12"/>
        <v>276</v>
      </c>
    </row>
    <row r="115" spans="1:7" ht="15.75">
      <c r="A115" s="625">
        <f t="shared" si="13"/>
        <v>2787.5</v>
      </c>
      <c r="B115" s="555">
        <v>2775</v>
      </c>
      <c r="C115" s="555">
        <v>2800</v>
      </c>
      <c r="D115" s="556">
        <f t="shared" si="9"/>
        <v>279</v>
      </c>
      <c r="E115" s="556">
        <f t="shared" si="10"/>
        <v>279</v>
      </c>
      <c r="F115" s="556">
        <f t="shared" si="11"/>
        <v>279</v>
      </c>
      <c r="G115" s="556">
        <f t="shared" si="12"/>
        <v>279</v>
      </c>
    </row>
    <row r="116" spans="1:7" ht="15.75">
      <c r="A116" s="625">
        <f t="shared" si="13"/>
        <v>2812.5</v>
      </c>
      <c r="B116" s="555">
        <v>2800</v>
      </c>
      <c r="C116" s="555">
        <v>2825</v>
      </c>
      <c r="D116" s="556">
        <f t="shared" si="9"/>
        <v>281</v>
      </c>
      <c r="E116" s="556">
        <f t="shared" si="10"/>
        <v>281</v>
      </c>
      <c r="F116" s="556">
        <f t="shared" si="11"/>
        <v>281</v>
      </c>
      <c r="G116" s="556">
        <f t="shared" si="12"/>
        <v>281</v>
      </c>
    </row>
    <row r="117" spans="1:7" ht="15.75">
      <c r="A117" s="625">
        <f t="shared" si="13"/>
        <v>2837.5</v>
      </c>
      <c r="B117" s="555">
        <v>2825</v>
      </c>
      <c r="C117" s="555">
        <v>2850</v>
      </c>
      <c r="D117" s="556">
        <f t="shared" si="9"/>
        <v>284</v>
      </c>
      <c r="E117" s="556">
        <f t="shared" si="10"/>
        <v>284</v>
      </c>
      <c r="F117" s="556">
        <f t="shared" si="11"/>
        <v>284</v>
      </c>
      <c r="G117" s="556">
        <f t="shared" si="12"/>
        <v>284</v>
      </c>
    </row>
    <row r="118" spans="1:7" ht="15.75">
      <c r="A118" s="625">
        <f t="shared" si="13"/>
        <v>2862.5</v>
      </c>
      <c r="B118" s="555">
        <v>2850</v>
      </c>
      <c r="C118" s="555">
        <v>2875</v>
      </c>
      <c r="D118" s="556">
        <f t="shared" si="9"/>
        <v>286</v>
      </c>
      <c r="E118" s="556">
        <f t="shared" si="10"/>
        <v>286</v>
      </c>
      <c r="F118" s="556">
        <f t="shared" si="11"/>
        <v>286</v>
      </c>
      <c r="G118" s="556">
        <f t="shared" si="12"/>
        <v>286</v>
      </c>
    </row>
    <row r="119" spans="1:7" ht="15.75">
      <c r="A119" s="625">
        <f t="shared" si="13"/>
        <v>2887.5</v>
      </c>
      <c r="B119" s="555">
        <v>2875</v>
      </c>
      <c r="C119" s="555">
        <v>2900</v>
      </c>
      <c r="D119" s="556">
        <f t="shared" si="9"/>
        <v>289</v>
      </c>
      <c r="E119" s="556">
        <f t="shared" si="10"/>
        <v>289</v>
      </c>
      <c r="F119" s="556">
        <f t="shared" si="11"/>
        <v>289</v>
      </c>
      <c r="G119" s="556">
        <f t="shared" si="12"/>
        <v>289</v>
      </c>
    </row>
    <row r="120" spans="1:7" ht="15.75">
      <c r="A120" s="625">
        <f t="shared" si="13"/>
        <v>2912.5</v>
      </c>
      <c r="B120" s="555">
        <v>2900</v>
      </c>
      <c r="C120" s="555">
        <v>2925</v>
      </c>
      <c r="D120" s="556">
        <f t="shared" si="9"/>
        <v>291</v>
      </c>
      <c r="E120" s="556">
        <f t="shared" si="10"/>
        <v>291</v>
      </c>
      <c r="F120" s="556">
        <f t="shared" si="11"/>
        <v>291</v>
      </c>
      <c r="G120" s="556">
        <f t="shared" si="12"/>
        <v>291</v>
      </c>
    </row>
    <row r="121" spans="1:7" ht="15.75">
      <c r="A121" s="625">
        <f t="shared" si="13"/>
        <v>2937.5</v>
      </c>
      <c r="B121" s="555">
        <v>2925</v>
      </c>
      <c r="C121" s="555">
        <v>2950</v>
      </c>
      <c r="D121" s="556">
        <f t="shared" si="9"/>
        <v>294</v>
      </c>
      <c r="E121" s="556">
        <f t="shared" si="10"/>
        <v>294</v>
      </c>
      <c r="F121" s="556">
        <f t="shared" si="11"/>
        <v>294</v>
      </c>
      <c r="G121" s="556">
        <f t="shared" si="12"/>
        <v>294</v>
      </c>
    </row>
    <row r="122" spans="1:7" ht="15.75">
      <c r="A122" s="625">
        <f t="shared" si="13"/>
        <v>2962.5</v>
      </c>
      <c r="B122" s="555">
        <v>2950</v>
      </c>
      <c r="C122" s="555">
        <v>2975</v>
      </c>
      <c r="D122" s="556">
        <f t="shared" si="9"/>
        <v>296</v>
      </c>
      <c r="E122" s="556">
        <f t="shared" si="10"/>
        <v>296</v>
      </c>
      <c r="F122" s="556">
        <f t="shared" si="11"/>
        <v>296</v>
      </c>
      <c r="G122" s="556">
        <f t="shared" si="12"/>
        <v>296</v>
      </c>
    </row>
    <row r="123" spans="1:7" ht="15.75">
      <c r="A123" s="625">
        <f t="shared" si="13"/>
        <v>2987.5</v>
      </c>
      <c r="B123" s="555">
        <v>2975</v>
      </c>
      <c r="C123" s="555">
        <v>3000</v>
      </c>
      <c r="D123" s="556">
        <f t="shared" si="9"/>
        <v>299</v>
      </c>
      <c r="E123" s="556">
        <f t="shared" si="10"/>
        <v>299</v>
      </c>
      <c r="F123" s="556">
        <f t="shared" si="11"/>
        <v>299</v>
      </c>
      <c r="G123" s="556">
        <f t="shared" si="12"/>
        <v>299</v>
      </c>
    </row>
    <row r="124" spans="1:7" ht="15.75">
      <c r="A124" s="625">
        <f t="shared" si="13"/>
        <v>3025</v>
      </c>
      <c r="B124" s="555">
        <v>3000</v>
      </c>
      <c r="C124" s="555">
        <v>3050</v>
      </c>
      <c r="D124" s="556">
        <f t="shared" si="9"/>
        <v>303</v>
      </c>
      <c r="E124" s="556">
        <f t="shared" si="10"/>
        <v>303</v>
      </c>
      <c r="F124" s="556">
        <f t="shared" si="11"/>
        <v>303</v>
      </c>
      <c r="G124" s="556">
        <f t="shared" si="12"/>
        <v>303</v>
      </c>
    </row>
    <row r="125" spans="1:7" ht="15.75">
      <c r="A125" s="625">
        <f t="shared" si="13"/>
        <v>3075</v>
      </c>
      <c r="B125" s="555">
        <v>3050</v>
      </c>
      <c r="C125" s="555">
        <v>3100</v>
      </c>
      <c r="D125" s="556">
        <f t="shared" si="9"/>
        <v>308</v>
      </c>
      <c r="E125" s="556">
        <f t="shared" si="10"/>
        <v>308</v>
      </c>
      <c r="F125" s="556">
        <f t="shared" si="11"/>
        <v>308</v>
      </c>
      <c r="G125" s="556">
        <f t="shared" si="12"/>
        <v>308</v>
      </c>
    </row>
    <row r="126" spans="1:7" ht="15.75">
      <c r="A126" s="625">
        <f t="shared" si="13"/>
        <v>3125</v>
      </c>
      <c r="B126" s="555">
        <v>3100</v>
      </c>
      <c r="C126" s="555">
        <v>3150</v>
      </c>
      <c r="D126" s="556">
        <f t="shared" si="9"/>
        <v>313</v>
      </c>
      <c r="E126" s="556">
        <f t="shared" si="10"/>
        <v>313</v>
      </c>
      <c r="F126" s="556">
        <f t="shared" si="11"/>
        <v>313</v>
      </c>
      <c r="G126" s="556">
        <f t="shared" si="12"/>
        <v>313</v>
      </c>
    </row>
    <row r="127" spans="1:7" ht="15.75">
      <c r="A127" s="625">
        <f t="shared" si="13"/>
        <v>3175</v>
      </c>
      <c r="B127" s="555">
        <v>3150</v>
      </c>
      <c r="C127" s="555">
        <v>3200</v>
      </c>
      <c r="D127" s="556">
        <f t="shared" si="9"/>
        <v>318</v>
      </c>
      <c r="E127" s="556">
        <f t="shared" si="10"/>
        <v>318</v>
      </c>
      <c r="F127" s="556">
        <f t="shared" si="11"/>
        <v>318</v>
      </c>
      <c r="G127" s="556">
        <f t="shared" si="12"/>
        <v>318</v>
      </c>
    </row>
    <row r="128" spans="1:7" ht="15.75">
      <c r="A128" s="625">
        <f t="shared" si="13"/>
        <v>3225</v>
      </c>
      <c r="B128" s="555">
        <v>3200</v>
      </c>
      <c r="C128" s="555">
        <v>3250</v>
      </c>
      <c r="D128" s="556">
        <f t="shared" si="9"/>
        <v>323</v>
      </c>
      <c r="E128" s="556">
        <f t="shared" si="10"/>
        <v>323</v>
      </c>
      <c r="F128" s="556">
        <f t="shared" si="11"/>
        <v>323</v>
      </c>
      <c r="G128" s="556">
        <f t="shared" si="12"/>
        <v>323</v>
      </c>
    </row>
    <row r="129" spans="1:7" ht="15.75">
      <c r="A129" s="625">
        <f t="shared" si="13"/>
        <v>3275</v>
      </c>
      <c r="B129" s="555">
        <v>3250</v>
      </c>
      <c r="C129" s="555">
        <v>3300</v>
      </c>
      <c r="D129" s="556">
        <f t="shared" si="9"/>
        <v>328</v>
      </c>
      <c r="E129" s="556">
        <f t="shared" si="10"/>
        <v>328</v>
      </c>
      <c r="F129" s="556">
        <f t="shared" si="11"/>
        <v>328</v>
      </c>
      <c r="G129" s="556">
        <f t="shared" si="12"/>
        <v>328</v>
      </c>
    </row>
    <row r="130" spans="1:7" ht="15.75">
      <c r="A130" s="625">
        <f t="shared" si="13"/>
        <v>3325</v>
      </c>
      <c r="B130" s="555">
        <v>3300</v>
      </c>
      <c r="C130" s="555">
        <v>3350</v>
      </c>
      <c r="D130" s="556">
        <f t="shared" ref="D130:D193" si="14">IF($A130&gt;BOTT_A4,ROUND(BASE_A4+RATE_A4*($A130-BOTT_A4),0),IF($A130&gt;BOTT_A3,ROUND(BASE_A3+RATE_A3*($A130-BOTT_A3),0),IF($A130&gt;BOTT_A2,ROUND(BASE_A2+RATE_A2*($A130-BOTT_A2),0),ROUND(RATE_A1*$A130,0))))</f>
        <v>333</v>
      </c>
      <c r="E130" s="556">
        <f t="shared" ref="E130:E193" si="15">IF($A130&gt;BOTT_B4,ROUND(BASE_B4+RATE_B4*($A130-BOTT_B4),0),IF($A130&gt;BOTT_B3,ROUND(BASE_B3+RATE_B3*($A130-BOTT_B3),0),IF($A130&gt;BOTT_B2,ROUND(BASE_B2+RATE_B2*($A130-BOTT_B2),0),ROUND(RATE_B1*$A130,0))))</f>
        <v>333</v>
      </c>
      <c r="F130" s="556">
        <f t="shared" ref="F130:F193" si="16">IF($A130&gt;BOTT_C4,ROUND(BASE_C4+RATE_C4*($A130-BOTT_C4),0),IF($A130&gt;BOTT_C3,ROUND(BASE_C3+RATE_C3*($A130-BOTT_C3),0),IF($A130&gt;BOTT_C2,ROUND(BASE_C2+RATE_C2*($A130-BOTT_C2),0),ROUND(RATE_C1*$A130,0))))</f>
        <v>333</v>
      </c>
      <c r="G130" s="556">
        <f t="shared" ref="G130:G193" si="17">IF($A130&gt;BOTT_D4,ROUND(BASE_D4+RATE_D4*($A130-BOTT_D4),0),IF($A130&gt;BOTT_D3,ROUND(BASE_D3+RATE_D3*($A130-BOTT_D3),0),IF($A130&gt;BOTT_D2,ROUND(BASE_D2+RATE_D2*($A130-BOTT_D2),0),ROUND(RATE_D1*$A130,0))))</f>
        <v>333</v>
      </c>
    </row>
    <row r="131" spans="1:7" ht="15.75">
      <c r="A131" s="625">
        <f t="shared" ref="A131:A194" si="18">AVERAGE(B131,C131)</f>
        <v>3375</v>
      </c>
      <c r="B131" s="555">
        <v>3350</v>
      </c>
      <c r="C131" s="555">
        <v>3400</v>
      </c>
      <c r="D131" s="556">
        <f t="shared" si="14"/>
        <v>338</v>
      </c>
      <c r="E131" s="556">
        <f t="shared" si="15"/>
        <v>338</v>
      </c>
      <c r="F131" s="556">
        <f t="shared" si="16"/>
        <v>338</v>
      </c>
      <c r="G131" s="556">
        <f t="shared" si="17"/>
        <v>338</v>
      </c>
    </row>
    <row r="132" spans="1:7" ht="15.75">
      <c r="A132" s="625">
        <f t="shared" si="18"/>
        <v>3425</v>
      </c>
      <c r="B132" s="555">
        <v>3400</v>
      </c>
      <c r="C132" s="555">
        <v>3450</v>
      </c>
      <c r="D132" s="556">
        <f t="shared" si="14"/>
        <v>343</v>
      </c>
      <c r="E132" s="556">
        <f t="shared" si="15"/>
        <v>343</v>
      </c>
      <c r="F132" s="556">
        <f t="shared" si="16"/>
        <v>343</v>
      </c>
      <c r="G132" s="556">
        <f t="shared" si="17"/>
        <v>343</v>
      </c>
    </row>
    <row r="133" spans="1:7" ht="15.75">
      <c r="A133" s="625">
        <f t="shared" si="18"/>
        <v>3475</v>
      </c>
      <c r="B133" s="555">
        <v>3450</v>
      </c>
      <c r="C133" s="555">
        <v>3500</v>
      </c>
      <c r="D133" s="556">
        <f t="shared" si="14"/>
        <v>348</v>
      </c>
      <c r="E133" s="556">
        <f t="shared" si="15"/>
        <v>348</v>
      </c>
      <c r="F133" s="556">
        <f t="shared" si="16"/>
        <v>348</v>
      </c>
      <c r="G133" s="556">
        <f t="shared" si="17"/>
        <v>348</v>
      </c>
    </row>
    <row r="134" spans="1:7" ht="15.75">
      <c r="A134" s="625">
        <f t="shared" si="18"/>
        <v>3525</v>
      </c>
      <c r="B134" s="555">
        <v>3500</v>
      </c>
      <c r="C134" s="555">
        <v>3550</v>
      </c>
      <c r="D134" s="556">
        <f t="shared" si="14"/>
        <v>353</v>
      </c>
      <c r="E134" s="556">
        <f t="shared" si="15"/>
        <v>353</v>
      </c>
      <c r="F134" s="556">
        <f t="shared" si="16"/>
        <v>353</v>
      </c>
      <c r="G134" s="556">
        <f t="shared" si="17"/>
        <v>353</v>
      </c>
    </row>
    <row r="135" spans="1:7" ht="15.75">
      <c r="A135" s="625">
        <f t="shared" si="18"/>
        <v>3575</v>
      </c>
      <c r="B135" s="555">
        <v>3550</v>
      </c>
      <c r="C135" s="555">
        <v>3600</v>
      </c>
      <c r="D135" s="556">
        <f t="shared" si="14"/>
        <v>358</v>
      </c>
      <c r="E135" s="556">
        <f t="shared" si="15"/>
        <v>358</v>
      </c>
      <c r="F135" s="556">
        <f t="shared" si="16"/>
        <v>358</v>
      </c>
      <c r="G135" s="556">
        <f t="shared" si="17"/>
        <v>358</v>
      </c>
    </row>
    <row r="136" spans="1:7" ht="15.75">
      <c r="A136" s="625">
        <f t="shared" si="18"/>
        <v>3625</v>
      </c>
      <c r="B136" s="555">
        <v>3600</v>
      </c>
      <c r="C136" s="555">
        <v>3650</v>
      </c>
      <c r="D136" s="556">
        <f t="shared" si="14"/>
        <v>363</v>
      </c>
      <c r="E136" s="556">
        <f t="shared" si="15"/>
        <v>363</v>
      </c>
      <c r="F136" s="556">
        <f t="shared" si="16"/>
        <v>363</v>
      </c>
      <c r="G136" s="556">
        <f t="shared" si="17"/>
        <v>363</v>
      </c>
    </row>
    <row r="137" spans="1:7" ht="15.75">
      <c r="A137" s="625">
        <f t="shared" si="18"/>
        <v>3675</v>
      </c>
      <c r="B137" s="555">
        <v>3650</v>
      </c>
      <c r="C137" s="555">
        <v>3700</v>
      </c>
      <c r="D137" s="556">
        <f t="shared" si="14"/>
        <v>368</v>
      </c>
      <c r="E137" s="556">
        <f t="shared" si="15"/>
        <v>368</v>
      </c>
      <c r="F137" s="556">
        <f t="shared" si="16"/>
        <v>368</v>
      </c>
      <c r="G137" s="556">
        <f t="shared" si="17"/>
        <v>368</v>
      </c>
    </row>
    <row r="138" spans="1:7" ht="15.75">
      <c r="A138" s="625">
        <f t="shared" si="18"/>
        <v>3725</v>
      </c>
      <c r="B138" s="555">
        <v>3700</v>
      </c>
      <c r="C138" s="555">
        <v>3750</v>
      </c>
      <c r="D138" s="556">
        <f t="shared" si="14"/>
        <v>373</v>
      </c>
      <c r="E138" s="556">
        <f t="shared" si="15"/>
        <v>373</v>
      </c>
      <c r="F138" s="556">
        <f t="shared" si="16"/>
        <v>373</v>
      </c>
      <c r="G138" s="556">
        <f t="shared" si="17"/>
        <v>373</v>
      </c>
    </row>
    <row r="139" spans="1:7" ht="15.75">
      <c r="A139" s="625">
        <f t="shared" si="18"/>
        <v>3775</v>
      </c>
      <c r="B139" s="555">
        <v>3750</v>
      </c>
      <c r="C139" s="555">
        <v>3800</v>
      </c>
      <c r="D139" s="556">
        <f t="shared" si="14"/>
        <v>378</v>
      </c>
      <c r="E139" s="556">
        <f t="shared" si="15"/>
        <v>378</v>
      </c>
      <c r="F139" s="556">
        <f t="shared" si="16"/>
        <v>378</v>
      </c>
      <c r="G139" s="556">
        <f t="shared" si="17"/>
        <v>378</v>
      </c>
    </row>
    <row r="140" spans="1:7" ht="15.75">
      <c r="A140" s="625">
        <f t="shared" si="18"/>
        <v>3825</v>
      </c>
      <c r="B140" s="555">
        <v>3800</v>
      </c>
      <c r="C140" s="555">
        <v>3850</v>
      </c>
      <c r="D140" s="556">
        <f t="shared" si="14"/>
        <v>383</v>
      </c>
      <c r="E140" s="556">
        <f t="shared" si="15"/>
        <v>383</v>
      </c>
      <c r="F140" s="556">
        <f t="shared" si="16"/>
        <v>383</v>
      </c>
      <c r="G140" s="556">
        <f t="shared" si="17"/>
        <v>383</v>
      </c>
    </row>
    <row r="141" spans="1:7" ht="15.75">
      <c r="A141" s="625">
        <f t="shared" si="18"/>
        <v>3875</v>
      </c>
      <c r="B141" s="555">
        <v>3850</v>
      </c>
      <c r="C141" s="555">
        <v>3900</v>
      </c>
      <c r="D141" s="556">
        <f t="shared" si="14"/>
        <v>388</v>
      </c>
      <c r="E141" s="556">
        <f t="shared" si="15"/>
        <v>388</v>
      </c>
      <c r="F141" s="556">
        <f t="shared" si="16"/>
        <v>388</v>
      </c>
      <c r="G141" s="556">
        <f t="shared" si="17"/>
        <v>388</v>
      </c>
    </row>
    <row r="142" spans="1:7" ht="15.75">
      <c r="A142" s="625">
        <f t="shared" si="18"/>
        <v>3925</v>
      </c>
      <c r="B142" s="555">
        <v>3900</v>
      </c>
      <c r="C142" s="555">
        <v>3950</v>
      </c>
      <c r="D142" s="556">
        <f t="shared" si="14"/>
        <v>393</v>
      </c>
      <c r="E142" s="556">
        <f t="shared" si="15"/>
        <v>393</v>
      </c>
      <c r="F142" s="556">
        <f t="shared" si="16"/>
        <v>393</v>
      </c>
      <c r="G142" s="556">
        <f t="shared" si="17"/>
        <v>393</v>
      </c>
    </row>
    <row r="143" spans="1:7" ht="15.75">
      <c r="A143" s="625">
        <f t="shared" si="18"/>
        <v>3975</v>
      </c>
      <c r="B143" s="555">
        <v>3950</v>
      </c>
      <c r="C143" s="555">
        <v>4000</v>
      </c>
      <c r="D143" s="556">
        <f t="shared" si="14"/>
        <v>398</v>
      </c>
      <c r="E143" s="556">
        <f t="shared" si="15"/>
        <v>398</v>
      </c>
      <c r="F143" s="556">
        <f t="shared" si="16"/>
        <v>398</v>
      </c>
      <c r="G143" s="556">
        <f t="shared" si="17"/>
        <v>398</v>
      </c>
    </row>
    <row r="144" spans="1:7" ht="15.75">
      <c r="A144" s="625">
        <f t="shared" si="18"/>
        <v>4025</v>
      </c>
      <c r="B144" s="555">
        <v>4000</v>
      </c>
      <c r="C144" s="555">
        <v>4050</v>
      </c>
      <c r="D144" s="556">
        <f t="shared" si="14"/>
        <v>403</v>
      </c>
      <c r="E144" s="556">
        <f t="shared" si="15"/>
        <v>403</v>
      </c>
      <c r="F144" s="556">
        <f t="shared" si="16"/>
        <v>403</v>
      </c>
      <c r="G144" s="556">
        <f t="shared" si="17"/>
        <v>403</v>
      </c>
    </row>
    <row r="145" spans="1:7" ht="15.75">
      <c r="A145" s="625">
        <f t="shared" si="18"/>
        <v>4075</v>
      </c>
      <c r="B145" s="555">
        <v>4050</v>
      </c>
      <c r="C145" s="555">
        <v>4100</v>
      </c>
      <c r="D145" s="556">
        <f t="shared" si="14"/>
        <v>408</v>
      </c>
      <c r="E145" s="556">
        <f t="shared" si="15"/>
        <v>408</v>
      </c>
      <c r="F145" s="556">
        <f t="shared" si="16"/>
        <v>408</v>
      </c>
      <c r="G145" s="556">
        <f t="shared" si="17"/>
        <v>408</v>
      </c>
    </row>
    <row r="146" spans="1:7" ht="15.75">
      <c r="A146" s="625">
        <f t="shared" si="18"/>
        <v>4125</v>
      </c>
      <c r="B146" s="555">
        <v>4100</v>
      </c>
      <c r="C146" s="555">
        <v>4150</v>
      </c>
      <c r="D146" s="556">
        <f t="shared" si="14"/>
        <v>413</v>
      </c>
      <c r="E146" s="556">
        <f t="shared" si="15"/>
        <v>413</v>
      </c>
      <c r="F146" s="556">
        <f t="shared" si="16"/>
        <v>413</v>
      </c>
      <c r="G146" s="556">
        <f t="shared" si="17"/>
        <v>413</v>
      </c>
    </row>
    <row r="147" spans="1:7" ht="15.75">
      <c r="A147" s="625">
        <f t="shared" si="18"/>
        <v>4175</v>
      </c>
      <c r="B147" s="555">
        <v>4150</v>
      </c>
      <c r="C147" s="555">
        <v>4200</v>
      </c>
      <c r="D147" s="556">
        <f t="shared" si="14"/>
        <v>418</v>
      </c>
      <c r="E147" s="556">
        <f t="shared" si="15"/>
        <v>418</v>
      </c>
      <c r="F147" s="556">
        <f t="shared" si="16"/>
        <v>418</v>
      </c>
      <c r="G147" s="556">
        <f t="shared" si="17"/>
        <v>418</v>
      </c>
    </row>
    <row r="148" spans="1:7" ht="15.75">
      <c r="A148" s="625">
        <f t="shared" si="18"/>
        <v>4225</v>
      </c>
      <c r="B148" s="555">
        <v>4200</v>
      </c>
      <c r="C148" s="555">
        <v>4250</v>
      </c>
      <c r="D148" s="556">
        <f t="shared" si="14"/>
        <v>423</v>
      </c>
      <c r="E148" s="556">
        <f t="shared" si="15"/>
        <v>423</v>
      </c>
      <c r="F148" s="556">
        <f t="shared" si="16"/>
        <v>423</v>
      </c>
      <c r="G148" s="556">
        <f t="shared" si="17"/>
        <v>423</v>
      </c>
    </row>
    <row r="149" spans="1:7" ht="15.75">
      <c r="A149" s="625">
        <f t="shared" si="18"/>
        <v>4275</v>
      </c>
      <c r="B149" s="555">
        <v>4250</v>
      </c>
      <c r="C149" s="555">
        <v>4300</v>
      </c>
      <c r="D149" s="556">
        <f t="shared" si="14"/>
        <v>428</v>
      </c>
      <c r="E149" s="556">
        <f t="shared" si="15"/>
        <v>428</v>
      </c>
      <c r="F149" s="556">
        <f t="shared" si="16"/>
        <v>428</v>
      </c>
      <c r="G149" s="556">
        <f t="shared" si="17"/>
        <v>428</v>
      </c>
    </row>
    <row r="150" spans="1:7" ht="15.75">
      <c r="A150" s="625">
        <f t="shared" si="18"/>
        <v>4325</v>
      </c>
      <c r="B150" s="555">
        <v>4300</v>
      </c>
      <c r="C150" s="555">
        <v>4350</v>
      </c>
      <c r="D150" s="556">
        <f t="shared" si="14"/>
        <v>433</v>
      </c>
      <c r="E150" s="556">
        <f t="shared" si="15"/>
        <v>433</v>
      </c>
      <c r="F150" s="556">
        <f t="shared" si="16"/>
        <v>433</v>
      </c>
      <c r="G150" s="556">
        <f t="shared" si="17"/>
        <v>433</v>
      </c>
    </row>
    <row r="151" spans="1:7" ht="15.75">
      <c r="A151" s="625">
        <f t="shared" si="18"/>
        <v>4375</v>
      </c>
      <c r="B151" s="555">
        <v>4350</v>
      </c>
      <c r="C151" s="555">
        <v>4400</v>
      </c>
      <c r="D151" s="556">
        <f t="shared" si="14"/>
        <v>438</v>
      </c>
      <c r="E151" s="556">
        <f t="shared" si="15"/>
        <v>438</v>
      </c>
      <c r="F151" s="556">
        <f t="shared" si="16"/>
        <v>438</v>
      </c>
      <c r="G151" s="556">
        <f t="shared" si="17"/>
        <v>438</v>
      </c>
    </row>
    <row r="152" spans="1:7" ht="15.75">
      <c r="A152" s="625">
        <f t="shared" si="18"/>
        <v>4425</v>
      </c>
      <c r="B152" s="555">
        <v>4400</v>
      </c>
      <c r="C152" s="555">
        <v>4450</v>
      </c>
      <c r="D152" s="556">
        <f t="shared" si="14"/>
        <v>443</v>
      </c>
      <c r="E152" s="556">
        <f t="shared" si="15"/>
        <v>443</v>
      </c>
      <c r="F152" s="556">
        <f t="shared" si="16"/>
        <v>443</v>
      </c>
      <c r="G152" s="556">
        <f t="shared" si="17"/>
        <v>443</v>
      </c>
    </row>
    <row r="153" spans="1:7" ht="15.75">
      <c r="A153" s="625">
        <f t="shared" si="18"/>
        <v>4475</v>
      </c>
      <c r="B153" s="555">
        <v>4450</v>
      </c>
      <c r="C153" s="555">
        <v>4500</v>
      </c>
      <c r="D153" s="556">
        <f t="shared" si="14"/>
        <v>448</v>
      </c>
      <c r="E153" s="556">
        <f t="shared" si="15"/>
        <v>448</v>
      </c>
      <c r="F153" s="556">
        <f t="shared" si="16"/>
        <v>448</v>
      </c>
      <c r="G153" s="556">
        <f t="shared" si="17"/>
        <v>448</v>
      </c>
    </row>
    <row r="154" spans="1:7" ht="15.75">
      <c r="A154" s="625">
        <f t="shared" si="18"/>
        <v>4525</v>
      </c>
      <c r="B154" s="555">
        <v>4500</v>
      </c>
      <c r="C154" s="555">
        <v>4550</v>
      </c>
      <c r="D154" s="556">
        <f t="shared" si="14"/>
        <v>453</v>
      </c>
      <c r="E154" s="556">
        <f t="shared" si="15"/>
        <v>453</v>
      </c>
      <c r="F154" s="556">
        <f t="shared" si="16"/>
        <v>453</v>
      </c>
      <c r="G154" s="556">
        <f t="shared" si="17"/>
        <v>453</v>
      </c>
    </row>
    <row r="155" spans="1:7" ht="15.75">
      <c r="A155" s="625">
        <f t="shared" si="18"/>
        <v>4575</v>
      </c>
      <c r="B155" s="555">
        <v>4550</v>
      </c>
      <c r="C155" s="555">
        <v>4600</v>
      </c>
      <c r="D155" s="556">
        <f t="shared" si="14"/>
        <v>458</v>
      </c>
      <c r="E155" s="556">
        <f t="shared" si="15"/>
        <v>458</v>
      </c>
      <c r="F155" s="556">
        <f t="shared" si="16"/>
        <v>458</v>
      </c>
      <c r="G155" s="556">
        <f t="shared" si="17"/>
        <v>458</v>
      </c>
    </row>
    <row r="156" spans="1:7" ht="15.75">
      <c r="A156" s="625">
        <f t="shared" si="18"/>
        <v>4625</v>
      </c>
      <c r="B156" s="555">
        <v>4600</v>
      </c>
      <c r="C156" s="555">
        <v>4650</v>
      </c>
      <c r="D156" s="556">
        <f t="shared" si="14"/>
        <v>463</v>
      </c>
      <c r="E156" s="556">
        <f t="shared" si="15"/>
        <v>463</v>
      </c>
      <c r="F156" s="556">
        <f t="shared" si="16"/>
        <v>463</v>
      </c>
      <c r="G156" s="556">
        <f t="shared" si="17"/>
        <v>463</v>
      </c>
    </row>
    <row r="157" spans="1:7" ht="15.75">
      <c r="A157" s="625">
        <f t="shared" si="18"/>
        <v>4675</v>
      </c>
      <c r="B157" s="555">
        <v>4650</v>
      </c>
      <c r="C157" s="555">
        <v>4700</v>
      </c>
      <c r="D157" s="556">
        <f t="shared" si="14"/>
        <v>468</v>
      </c>
      <c r="E157" s="556">
        <f t="shared" si="15"/>
        <v>468</v>
      </c>
      <c r="F157" s="556">
        <f t="shared" si="16"/>
        <v>468</v>
      </c>
      <c r="G157" s="556">
        <f t="shared" si="17"/>
        <v>468</v>
      </c>
    </row>
    <row r="158" spans="1:7" ht="15.75">
      <c r="A158" s="625">
        <f t="shared" si="18"/>
        <v>4725</v>
      </c>
      <c r="B158" s="555">
        <v>4700</v>
      </c>
      <c r="C158" s="555">
        <v>4750</v>
      </c>
      <c r="D158" s="556">
        <f t="shared" si="14"/>
        <v>473</v>
      </c>
      <c r="E158" s="556">
        <f t="shared" si="15"/>
        <v>473</v>
      </c>
      <c r="F158" s="556">
        <f t="shared" si="16"/>
        <v>473</v>
      </c>
      <c r="G158" s="556">
        <f t="shared" si="17"/>
        <v>473</v>
      </c>
    </row>
    <row r="159" spans="1:7" ht="15.75">
      <c r="A159" s="625">
        <f t="shared" si="18"/>
        <v>4775</v>
      </c>
      <c r="B159" s="555">
        <v>4750</v>
      </c>
      <c r="C159" s="555">
        <v>4800</v>
      </c>
      <c r="D159" s="556">
        <f t="shared" si="14"/>
        <v>478</v>
      </c>
      <c r="E159" s="556">
        <f t="shared" si="15"/>
        <v>478</v>
      </c>
      <c r="F159" s="556">
        <f t="shared" si="16"/>
        <v>478</v>
      </c>
      <c r="G159" s="556">
        <f t="shared" si="17"/>
        <v>478</v>
      </c>
    </row>
    <row r="160" spans="1:7" ht="15.75">
      <c r="A160" s="625">
        <f t="shared" si="18"/>
        <v>4825</v>
      </c>
      <c r="B160" s="555">
        <v>4800</v>
      </c>
      <c r="C160" s="555">
        <v>4850</v>
      </c>
      <c r="D160" s="556">
        <f t="shared" si="14"/>
        <v>483</v>
      </c>
      <c r="E160" s="556">
        <f t="shared" si="15"/>
        <v>483</v>
      </c>
      <c r="F160" s="556">
        <f t="shared" si="16"/>
        <v>483</v>
      </c>
      <c r="G160" s="556">
        <f t="shared" si="17"/>
        <v>483</v>
      </c>
    </row>
    <row r="161" spans="1:7" ht="15.75">
      <c r="A161" s="625">
        <f t="shared" si="18"/>
        <v>4875</v>
      </c>
      <c r="B161" s="555">
        <v>4850</v>
      </c>
      <c r="C161" s="555">
        <v>4900</v>
      </c>
      <c r="D161" s="556">
        <f t="shared" si="14"/>
        <v>488</v>
      </c>
      <c r="E161" s="556">
        <f t="shared" si="15"/>
        <v>488</v>
      </c>
      <c r="F161" s="556">
        <f t="shared" si="16"/>
        <v>488</v>
      </c>
      <c r="G161" s="556">
        <f t="shared" si="17"/>
        <v>488</v>
      </c>
    </row>
    <row r="162" spans="1:7" ht="15.75">
      <c r="A162" s="625">
        <f t="shared" si="18"/>
        <v>4925</v>
      </c>
      <c r="B162" s="555">
        <v>4900</v>
      </c>
      <c r="C162" s="555">
        <v>4950</v>
      </c>
      <c r="D162" s="556">
        <f t="shared" si="14"/>
        <v>493</v>
      </c>
      <c r="E162" s="556">
        <f t="shared" si="15"/>
        <v>493</v>
      </c>
      <c r="F162" s="556">
        <f t="shared" si="16"/>
        <v>493</v>
      </c>
      <c r="G162" s="556">
        <f t="shared" si="17"/>
        <v>493</v>
      </c>
    </row>
    <row r="163" spans="1:7" ht="15.75">
      <c r="A163" s="625">
        <f t="shared" si="18"/>
        <v>4975</v>
      </c>
      <c r="B163" s="555">
        <v>4950</v>
      </c>
      <c r="C163" s="555">
        <v>5000</v>
      </c>
      <c r="D163" s="556">
        <f t="shared" si="14"/>
        <v>498</v>
      </c>
      <c r="E163" s="556">
        <f t="shared" si="15"/>
        <v>498</v>
      </c>
      <c r="F163" s="556">
        <f t="shared" si="16"/>
        <v>498</v>
      </c>
      <c r="G163" s="556">
        <f t="shared" si="17"/>
        <v>498</v>
      </c>
    </row>
    <row r="164" spans="1:7" ht="15.75">
      <c r="A164" s="625">
        <f t="shared" si="18"/>
        <v>5025</v>
      </c>
      <c r="B164" s="555">
        <v>5000</v>
      </c>
      <c r="C164" s="555">
        <v>5050</v>
      </c>
      <c r="D164" s="556">
        <f t="shared" si="14"/>
        <v>503</v>
      </c>
      <c r="E164" s="556">
        <f t="shared" si="15"/>
        <v>503</v>
      </c>
      <c r="F164" s="556">
        <f t="shared" si="16"/>
        <v>503</v>
      </c>
      <c r="G164" s="556">
        <f t="shared" si="17"/>
        <v>503</v>
      </c>
    </row>
    <row r="165" spans="1:7" ht="15.75">
      <c r="A165" s="625">
        <f t="shared" si="18"/>
        <v>5075</v>
      </c>
      <c r="B165" s="555">
        <v>5050</v>
      </c>
      <c r="C165" s="555">
        <v>5100</v>
      </c>
      <c r="D165" s="556">
        <f t="shared" si="14"/>
        <v>508</v>
      </c>
      <c r="E165" s="556">
        <f t="shared" si="15"/>
        <v>508</v>
      </c>
      <c r="F165" s="556">
        <f t="shared" si="16"/>
        <v>508</v>
      </c>
      <c r="G165" s="556">
        <f t="shared" si="17"/>
        <v>508</v>
      </c>
    </row>
    <row r="166" spans="1:7" ht="15.75">
      <c r="A166" s="625">
        <f t="shared" si="18"/>
        <v>5125</v>
      </c>
      <c r="B166" s="555">
        <v>5100</v>
      </c>
      <c r="C166" s="555">
        <v>5150</v>
      </c>
      <c r="D166" s="556">
        <f t="shared" si="14"/>
        <v>513</v>
      </c>
      <c r="E166" s="556">
        <f t="shared" si="15"/>
        <v>513</v>
      </c>
      <c r="F166" s="556">
        <f t="shared" si="16"/>
        <v>513</v>
      </c>
      <c r="G166" s="556">
        <f t="shared" si="17"/>
        <v>513</v>
      </c>
    </row>
    <row r="167" spans="1:7" ht="15.75">
      <c r="A167" s="625">
        <f t="shared" si="18"/>
        <v>5175</v>
      </c>
      <c r="B167" s="555">
        <v>5150</v>
      </c>
      <c r="C167" s="555">
        <v>5200</v>
      </c>
      <c r="D167" s="556">
        <f t="shared" si="14"/>
        <v>518</v>
      </c>
      <c r="E167" s="556">
        <f t="shared" si="15"/>
        <v>518</v>
      </c>
      <c r="F167" s="556">
        <f t="shared" si="16"/>
        <v>518</v>
      </c>
      <c r="G167" s="556">
        <f t="shared" si="17"/>
        <v>518</v>
      </c>
    </row>
    <row r="168" spans="1:7" ht="15.75">
      <c r="A168" s="625">
        <f t="shared" si="18"/>
        <v>5225</v>
      </c>
      <c r="B168" s="555">
        <v>5200</v>
      </c>
      <c r="C168" s="555">
        <v>5250</v>
      </c>
      <c r="D168" s="556">
        <f t="shared" si="14"/>
        <v>523</v>
      </c>
      <c r="E168" s="556">
        <f t="shared" si="15"/>
        <v>523</v>
      </c>
      <c r="F168" s="556">
        <f t="shared" si="16"/>
        <v>523</v>
      </c>
      <c r="G168" s="556">
        <f t="shared" si="17"/>
        <v>523</v>
      </c>
    </row>
    <row r="169" spans="1:7" ht="15.75">
      <c r="A169" s="625">
        <f t="shared" si="18"/>
        <v>5275</v>
      </c>
      <c r="B169" s="555">
        <v>5250</v>
      </c>
      <c r="C169" s="555">
        <v>5300</v>
      </c>
      <c r="D169" s="556">
        <f t="shared" si="14"/>
        <v>528</v>
      </c>
      <c r="E169" s="556">
        <f t="shared" si="15"/>
        <v>528</v>
      </c>
      <c r="F169" s="556">
        <f t="shared" si="16"/>
        <v>528</v>
      </c>
      <c r="G169" s="556">
        <f t="shared" si="17"/>
        <v>528</v>
      </c>
    </row>
    <row r="170" spans="1:7" ht="15.75">
      <c r="A170" s="625">
        <f t="shared" si="18"/>
        <v>5325</v>
      </c>
      <c r="B170" s="555">
        <v>5300</v>
      </c>
      <c r="C170" s="555">
        <v>5350</v>
      </c>
      <c r="D170" s="556">
        <f t="shared" si="14"/>
        <v>533</v>
      </c>
      <c r="E170" s="556">
        <f t="shared" si="15"/>
        <v>533</v>
      </c>
      <c r="F170" s="556">
        <f t="shared" si="16"/>
        <v>533</v>
      </c>
      <c r="G170" s="556">
        <f t="shared" si="17"/>
        <v>533</v>
      </c>
    </row>
    <row r="171" spans="1:7" ht="15.75">
      <c r="A171" s="625">
        <f t="shared" si="18"/>
        <v>5375</v>
      </c>
      <c r="B171" s="555">
        <v>5350</v>
      </c>
      <c r="C171" s="555">
        <v>5400</v>
      </c>
      <c r="D171" s="556">
        <f t="shared" si="14"/>
        <v>538</v>
      </c>
      <c r="E171" s="556">
        <f t="shared" si="15"/>
        <v>538</v>
      </c>
      <c r="F171" s="556">
        <f t="shared" si="16"/>
        <v>538</v>
      </c>
      <c r="G171" s="556">
        <f t="shared" si="17"/>
        <v>538</v>
      </c>
    </row>
    <row r="172" spans="1:7" ht="15.75">
      <c r="A172" s="625">
        <f t="shared" si="18"/>
        <v>5425</v>
      </c>
      <c r="B172" s="555">
        <v>5400</v>
      </c>
      <c r="C172" s="555">
        <v>5450</v>
      </c>
      <c r="D172" s="556">
        <f t="shared" si="14"/>
        <v>543</v>
      </c>
      <c r="E172" s="556">
        <f t="shared" si="15"/>
        <v>543</v>
      </c>
      <c r="F172" s="556">
        <f t="shared" si="16"/>
        <v>543</v>
      </c>
      <c r="G172" s="556">
        <f t="shared" si="17"/>
        <v>543</v>
      </c>
    </row>
    <row r="173" spans="1:7" ht="15.75">
      <c r="A173" s="625">
        <f t="shared" si="18"/>
        <v>5475</v>
      </c>
      <c r="B173" s="555">
        <v>5450</v>
      </c>
      <c r="C173" s="555">
        <v>5500</v>
      </c>
      <c r="D173" s="556">
        <f t="shared" si="14"/>
        <v>548</v>
      </c>
      <c r="E173" s="556">
        <f t="shared" si="15"/>
        <v>548</v>
      </c>
      <c r="F173" s="556">
        <f t="shared" si="16"/>
        <v>548</v>
      </c>
      <c r="G173" s="556">
        <f t="shared" si="17"/>
        <v>548</v>
      </c>
    </row>
    <row r="174" spans="1:7" ht="15.75">
      <c r="A174" s="625">
        <f t="shared" si="18"/>
        <v>5525</v>
      </c>
      <c r="B174" s="555">
        <v>5500</v>
      </c>
      <c r="C174" s="555">
        <v>5550</v>
      </c>
      <c r="D174" s="556">
        <f t="shared" si="14"/>
        <v>553</v>
      </c>
      <c r="E174" s="556">
        <f t="shared" si="15"/>
        <v>553</v>
      </c>
      <c r="F174" s="556">
        <f t="shared" si="16"/>
        <v>553</v>
      </c>
      <c r="G174" s="556">
        <f t="shared" si="17"/>
        <v>553</v>
      </c>
    </row>
    <row r="175" spans="1:7" ht="15.75">
      <c r="A175" s="625">
        <f t="shared" si="18"/>
        <v>5575</v>
      </c>
      <c r="B175" s="555">
        <v>5550</v>
      </c>
      <c r="C175" s="555">
        <v>5600</v>
      </c>
      <c r="D175" s="556">
        <f t="shared" si="14"/>
        <v>558</v>
      </c>
      <c r="E175" s="556">
        <f t="shared" si="15"/>
        <v>558</v>
      </c>
      <c r="F175" s="556">
        <f t="shared" si="16"/>
        <v>558</v>
      </c>
      <c r="G175" s="556">
        <f t="shared" si="17"/>
        <v>558</v>
      </c>
    </row>
    <row r="176" spans="1:7" ht="15.75">
      <c r="A176" s="625">
        <f t="shared" si="18"/>
        <v>5625</v>
      </c>
      <c r="B176" s="555">
        <v>5600</v>
      </c>
      <c r="C176" s="555">
        <v>5650</v>
      </c>
      <c r="D176" s="556">
        <f t="shared" si="14"/>
        <v>563</v>
      </c>
      <c r="E176" s="556">
        <f t="shared" si="15"/>
        <v>563</v>
      </c>
      <c r="F176" s="556">
        <f t="shared" si="16"/>
        <v>563</v>
      </c>
      <c r="G176" s="556">
        <f t="shared" si="17"/>
        <v>563</v>
      </c>
    </row>
    <row r="177" spans="1:7" ht="15.75">
      <c r="A177" s="625">
        <f t="shared" si="18"/>
        <v>5675</v>
      </c>
      <c r="B177" s="555">
        <v>5650</v>
      </c>
      <c r="C177" s="555">
        <v>5700</v>
      </c>
      <c r="D177" s="556">
        <f t="shared" si="14"/>
        <v>568</v>
      </c>
      <c r="E177" s="556">
        <f t="shared" si="15"/>
        <v>568</v>
      </c>
      <c r="F177" s="556">
        <f t="shared" si="16"/>
        <v>568</v>
      </c>
      <c r="G177" s="556">
        <f t="shared" si="17"/>
        <v>568</v>
      </c>
    </row>
    <row r="178" spans="1:7" ht="15.75">
      <c r="A178" s="625">
        <f t="shared" si="18"/>
        <v>5725</v>
      </c>
      <c r="B178" s="555">
        <v>5700</v>
      </c>
      <c r="C178" s="555">
        <v>5750</v>
      </c>
      <c r="D178" s="556">
        <f t="shared" si="14"/>
        <v>573</v>
      </c>
      <c r="E178" s="556">
        <f t="shared" si="15"/>
        <v>573</v>
      </c>
      <c r="F178" s="556">
        <f t="shared" si="16"/>
        <v>573</v>
      </c>
      <c r="G178" s="556">
        <f t="shared" si="17"/>
        <v>573</v>
      </c>
    </row>
    <row r="179" spans="1:7" ht="15.75">
      <c r="A179" s="625">
        <f t="shared" si="18"/>
        <v>5775</v>
      </c>
      <c r="B179" s="555">
        <v>5750</v>
      </c>
      <c r="C179" s="555">
        <v>5800</v>
      </c>
      <c r="D179" s="556">
        <f t="shared" si="14"/>
        <v>578</v>
      </c>
      <c r="E179" s="556">
        <f t="shared" si="15"/>
        <v>578</v>
      </c>
      <c r="F179" s="556">
        <f t="shared" si="16"/>
        <v>578</v>
      </c>
      <c r="G179" s="556">
        <f t="shared" si="17"/>
        <v>578</v>
      </c>
    </row>
    <row r="180" spans="1:7" ht="15.75">
      <c r="A180" s="625">
        <f t="shared" si="18"/>
        <v>5825</v>
      </c>
      <c r="B180" s="555">
        <v>5800</v>
      </c>
      <c r="C180" s="555">
        <v>5850</v>
      </c>
      <c r="D180" s="556">
        <f t="shared" si="14"/>
        <v>583</v>
      </c>
      <c r="E180" s="556">
        <f t="shared" si="15"/>
        <v>583</v>
      </c>
      <c r="F180" s="556">
        <f t="shared" si="16"/>
        <v>583</v>
      </c>
      <c r="G180" s="556">
        <f t="shared" si="17"/>
        <v>583</v>
      </c>
    </row>
    <row r="181" spans="1:7" ht="15.75">
      <c r="A181" s="625">
        <f t="shared" si="18"/>
        <v>5875</v>
      </c>
      <c r="B181" s="555">
        <v>5850</v>
      </c>
      <c r="C181" s="555">
        <v>5900</v>
      </c>
      <c r="D181" s="556">
        <f t="shared" si="14"/>
        <v>588</v>
      </c>
      <c r="E181" s="556">
        <f t="shared" si="15"/>
        <v>588</v>
      </c>
      <c r="F181" s="556">
        <f t="shared" si="16"/>
        <v>588</v>
      </c>
      <c r="G181" s="556">
        <f t="shared" si="17"/>
        <v>588</v>
      </c>
    </row>
    <row r="182" spans="1:7" ht="15.75">
      <c r="A182" s="625">
        <f t="shared" si="18"/>
        <v>5925</v>
      </c>
      <c r="B182" s="555">
        <v>5900</v>
      </c>
      <c r="C182" s="555">
        <v>5950</v>
      </c>
      <c r="D182" s="556">
        <f t="shared" si="14"/>
        <v>593</v>
      </c>
      <c r="E182" s="556">
        <f t="shared" si="15"/>
        <v>593</v>
      </c>
      <c r="F182" s="556">
        <f t="shared" si="16"/>
        <v>593</v>
      </c>
      <c r="G182" s="556">
        <f t="shared" si="17"/>
        <v>593</v>
      </c>
    </row>
    <row r="183" spans="1:7" ht="15.75">
      <c r="A183" s="625">
        <f t="shared" si="18"/>
        <v>5975</v>
      </c>
      <c r="B183" s="555">
        <v>5950</v>
      </c>
      <c r="C183" s="555">
        <v>6000</v>
      </c>
      <c r="D183" s="556">
        <f t="shared" si="14"/>
        <v>598</v>
      </c>
      <c r="E183" s="556">
        <f t="shared" si="15"/>
        <v>598</v>
      </c>
      <c r="F183" s="556">
        <f t="shared" si="16"/>
        <v>598</v>
      </c>
      <c r="G183" s="556">
        <f t="shared" si="17"/>
        <v>598</v>
      </c>
    </row>
    <row r="184" spans="1:7" ht="15.75">
      <c r="A184" s="625">
        <f t="shared" si="18"/>
        <v>6025</v>
      </c>
      <c r="B184" s="555">
        <v>6000</v>
      </c>
      <c r="C184" s="555">
        <v>6050</v>
      </c>
      <c r="D184" s="556">
        <f t="shared" si="14"/>
        <v>603</v>
      </c>
      <c r="E184" s="556">
        <f t="shared" si="15"/>
        <v>603</v>
      </c>
      <c r="F184" s="556">
        <f t="shared" si="16"/>
        <v>603</v>
      </c>
      <c r="G184" s="556">
        <f t="shared" si="17"/>
        <v>603</v>
      </c>
    </row>
    <row r="185" spans="1:7" ht="15.75">
      <c r="A185" s="625">
        <f t="shared" si="18"/>
        <v>6075</v>
      </c>
      <c r="B185" s="555">
        <v>6050</v>
      </c>
      <c r="C185" s="555">
        <v>6100</v>
      </c>
      <c r="D185" s="556">
        <f t="shared" si="14"/>
        <v>608</v>
      </c>
      <c r="E185" s="556">
        <f t="shared" si="15"/>
        <v>608</v>
      </c>
      <c r="F185" s="556">
        <f t="shared" si="16"/>
        <v>608</v>
      </c>
      <c r="G185" s="556">
        <f t="shared" si="17"/>
        <v>608</v>
      </c>
    </row>
    <row r="186" spans="1:7" ht="15.75">
      <c r="A186" s="625">
        <f t="shared" si="18"/>
        <v>6125</v>
      </c>
      <c r="B186" s="555">
        <v>6100</v>
      </c>
      <c r="C186" s="555">
        <v>6150</v>
      </c>
      <c r="D186" s="556">
        <f t="shared" si="14"/>
        <v>613</v>
      </c>
      <c r="E186" s="556">
        <f t="shared" si="15"/>
        <v>613</v>
      </c>
      <c r="F186" s="556">
        <f t="shared" si="16"/>
        <v>613</v>
      </c>
      <c r="G186" s="556">
        <f t="shared" si="17"/>
        <v>613</v>
      </c>
    </row>
    <row r="187" spans="1:7" ht="15.75">
      <c r="A187" s="625">
        <f t="shared" si="18"/>
        <v>6175</v>
      </c>
      <c r="B187" s="555">
        <v>6150</v>
      </c>
      <c r="C187" s="555">
        <v>6200</v>
      </c>
      <c r="D187" s="556">
        <f t="shared" si="14"/>
        <v>618</v>
      </c>
      <c r="E187" s="556">
        <f t="shared" si="15"/>
        <v>618</v>
      </c>
      <c r="F187" s="556">
        <f t="shared" si="16"/>
        <v>618</v>
      </c>
      <c r="G187" s="556">
        <f t="shared" si="17"/>
        <v>618</v>
      </c>
    </row>
    <row r="188" spans="1:7" ht="15.75">
      <c r="A188" s="625">
        <f t="shared" si="18"/>
        <v>6225</v>
      </c>
      <c r="B188" s="555">
        <v>6200</v>
      </c>
      <c r="C188" s="555">
        <v>6250</v>
      </c>
      <c r="D188" s="556">
        <f t="shared" si="14"/>
        <v>623</v>
      </c>
      <c r="E188" s="556">
        <f t="shared" si="15"/>
        <v>623</v>
      </c>
      <c r="F188" s="556">
        <f t="shared" si="16"/>
        <v>623</v>
      </c>
      <c r="G188" s="556">
        <f t="shared" si="17"/>
        <v>623</v>
      </c>
    </row>
    <row r="189" spans="1:7" ht="15.75">
      <c r="A189" s="625">
        <f t="shared" si="18"/>
        <v>6275</v>
      </c>
      <c r="B189" s="555">
        <v>6250</v>
      </c>
      <c r="C189" s="555">
        <v>6300</v>
      </c>
      <c r="D189" s="556">
        <f t="shared" si="14"/>
        <v>628</v>
      </c>
      <c r="E189" s="556">
        <f t="shared" si="15"/>
        <v>628</v>
      </c>
      <c r="F189" s="556">
        <f t="shared" si="16"/>
        <v>628</v>
      </c>
      <c r="G189" s="556">
        <f t="shared" si="17"/>
        <v>628</v>
      </c>
    </row>
    <row r="190" spans="1:7" ht="15.75">
      <c r="A190" s="625">
        <f t="shared" si="18"/>
        <v>6325</v>
      </c>
      <c r="B190" s="555">
        <v>6300</v>
      </c>
      <c r="C190" s="555">
        <v>6350</v>
      </c>
      <c r="D190" s="556">
        <f t="shared" si="14"/>
        <v>633</v>
      </c>
      <c r="E190" s="556">
        <f t="shared" si="15"/>
        <v>633</v>
      </c>
      <c r="F190" s="556">
        <f t="shared" si="16"/>
        <v>633</v>
      </c>
      <c r="G190" s="556">
        <f t="shared" si="17"/>
        <v>633</v>
      </c>
    </row>
    <row r="191" spans="1:7" ht="15.75">
      <c r="A191" s="625">
        <f t="shared" si="18"/>
        <v>6375</v>
      </c>
      <c r="B191" s="555">
        <v>6350</v>
      </c>
      <c r="C191" s="555">
        <v>6400</v>
      </c>
      <c r="D191" s="556">
        <f t="shared" si="14"/>
        <v>638</v>
      </c>
      <c r="E191" s="556">
        <f t="shared" si="15"/>
        <v>638</v>
      </c>
      <c r="F191" s="556">
        <f t="shared" si="16"/>
        <v>638</v>
      </c>
      <c r="G191" s="556">
        <f t="shared" si="17"/>
        <v>638</v>
      </c>
    </row>
    <row r="192" spans="1:7" ht="15.75">
      <c r="A192" s="625">
        <f t="shared" si="18"/>
        <v>6425</v>
      </c>
      <c r="B192" s="555">
        <v>6400</v>
      </c>
      <c r="C192" s="555">
        <v>6450</v>
      </c>
      <c r="D192" s="556">
        <f t="shared" si="14"/>
        <v>643</v>
      </c>
      <c r="E192" s="556">
        <f t="shared" si="15"/>
        <v>643</v>
      </c>
      <c r="F192" s="556">
        <f t="shared" si="16"/>
        <v>643</v>
      </c>
      <c r="G192" s="556">
        <f t="shared" si="17"/>
        <v>643</v>
      </c>
    </row>
    <row r="193" spans="1:7" ht="15.75">
      <c r="A193" s="625">
        <f t="shared" si="18"/>
        <v>6475</v>
      </c>
      <c r="B193" s="555">
        <v>6450</v>
      </c>
      <c r="C193" s="555">
        <v>6500</v>
      </c>
      <c r="D193" s="556">
        <f t="shared" si="14"/>
        <v>648</v>
      </c>
      <c r="E193" s="556">
        <f t="shared" si="15"/>
        <v>648</v>
      </c>
      <c r="F193" s="556">
        <f t="shared" si="16"/>
        <v>648</v>
      </c>
      <c r="G193" s="556">
        <f t="shared" si="17"/>
        <v>648</v>
      </c>
    </row>
    <row r="194" spans="1:7" ht="15.75">
      <c r="A194" s="625">
        <f t="shared" si="18"/>
        <v>6525</v>
      </c>
      <c r="B194" s="555">
        <v>6500</v>
      </c>
      <c r="C194" s="555">
        <v>6550</v>
      </c>
      <c r="D194" s="556">
        <f t="shared" ref="D194:D257" si="19">IF($A194&gt;BOTT_A4,ROUND(BASE_A4+RATE_A4*($A194-BOTT_A4),0),IF($A194&gt;BOTT_A3,ROUND(BASE_A3+RATE_A3*($A194-BOTT_A3),0),IF($A194&gt;BOTT_A2,ROUND(BASE_A2+RATE_A2*($A194-BOTT_A2),0),ROUND(RATE_A1*$A194,0))))</f>
        <v>653</v>
      </c>
      <c r="E194" s="556">
        <f t="shared" ref="E194:E257" si="20">IF($A194&gt;BOTT_B4,ROUND(BASE_B4+RATE_B4*($A194-BOTT_B4),0),IF($A194&gt;BOTT_B3,ROUND(BASE_B3+RATE_B3*($A194-BOTT_B3),0),IF($A194&gt;BOTT_B2,ROUND(BASE_B2+RATE_B2*($A194-BOTT_B2),0),ROUND(RATE_B1*$A194,0))))</f>
        <v>653</v>
      </c>
      <c r="F194" s="556">
        <f t="shared" ref="F194:F257" si="21">IF($A194&gt;BOTT_C4,ROUND(BASE_C4+RATE_C4*($A194-BOTT_C4),0),IF($A194&gt;BOTT_C3,ROUND(BASE_C3+RATE_C3*($A194-BOTT_C3),0),IF($A194&gt;BOTT_C2,ROUND(BASE_C2+RATE_C2*($A194-BOTT_C2),0),ROUND(RATE_C1*$A194,0))))</f>
        <v>653</v>
      </c>
      <c r="G194" s="556">
        <f t="shared" ref="G194:G257" si="22">IF($A194&gt;BOTT_D4,ROUND(BASE_D4+RATE_D4*($A194-BOTT_D4),0),IF($A194&gt;BOTT_D3,ROUND(BASE_D3+RATE_D3*($A194-BOTT_D3),0),IF($A194&gt;BOTT_D2,ROUND(BASE_D2+RATE_D2*($A194-BOTT_D2),0),ROUND(RATE_D1*$A194,0))))</f>
        <v>653</v>
      </c>
    </row>
    <row r="195" spans="1:7" ht="15.75">
      <c r="A195" s="625">
        <f t="shared" ref="A195:A258" si="23">AVERAGE(B195,C195)</f>
        <v>6575</v>
      </c>
      <c r="B195" s="555">
        <v>6550</v>
      </c>
      <c r="C195" s="555">
        <v>6600</v>
      </c>
      <c r="D195" s="556">
        <f t="shared" si="19"/>
        <v>658</v>
      </c>
      <c r="E195" s="556">
        <f t="shared" si="20"/>
        <v>658</v>
      </c>
      <c r="F195" s="556">
        <f t="shared" si="21"/>
        <v>658</v>
      </c>
      <c r="G195" s="556">
        <f t="shared" si="22"/>
        <v>658</v>
      </c>
    </row>
    <row r="196" spans="1:7" ht="15.75">
      <c r="A196" s="625">
        <f t="shared" si="23"/>
        <v>6625</v>
      </c>
      <c r="B196" s="555">
        <v>6600</v>
      </c>
      <c r="C196" s="555">
        <v>6650</v>
      </c>
      <c r="D196" s="556">
        <f t="shared" si="19"/>
        <v>663</v>
      </c>
      <c r="E196" s="556">
        <f t="shared" si="20"/>
        <v>663</v>
      </c>
      <c r="F196" s="556">
        <f t="shared" si="21"/>
        <v>663</v>
      </c>
      <c r="G196" s="556">
        <f t="shared" si="22"/>
        <v>663</v>
      </c>
    </row>
    <row r="197" spans="1:7" ht="15.75">
      <c r="A197" s="625">
        <f t="shared" si="23"/>
        <v>6675</v>
      </c>
      <c r="B197" s="555">
        <v>6650</v>
      </c>
      <c r="C197" s="555">
        <v>6700</v>
      </c>
      <c r="D197" s="556">
        <f t="shared" si="19"/>
        <v>668</v>
      </c>
      <c r="E197" s="556">
        <f t="shared" si="20"/>
        <v>668</v>
      </c>
      <c r="F197" s="556">
        <f t="shared" si="21"/>
        <v>668</v>
      </c>
      <c r="G197" s="556">
        <f t="shared" si="22"/>
        <v>668</v>
      </c>
    </row>
    <row r="198" spans="1:7" ht="15.75">
      <c r="A198" s="625">
        <f t="shared" si="23"/>
        <v>6725</v>
      </c>
      <c r="B198" s="555">
        <v>6700</v>
      </c>
      <c r="C198" s="555">
        <v>6750</v>
      </c>
      <c r="D198" s="556">
        <f t="shared" si="19"/>
        <v>673</v>
      </c>
      <c r="E198" s="556">
        <f t="shared" si="20"/>
        <v>673</v>
      </c>
      <c r="F198" s="556">
        <f t="shared" si="21"/>
        <v>673</v>
      </c>
      <c r="G198" s="556">
        <f t="shared" si="22"/>
        <v>673</v>
      </c>
    </row>
    <row r="199" spans="1:7" ht="15.75">
      <c r="A199" s="625">
        <f t="shared" si="23"/>
        <v>6775</v>
      </c>
      <c r="B199" s="555">
        <v>6750</v>
      </c>
      <c r="C199" s="555">
        <v>6800</v>
      </c>
      <c r="D199" s="556">
        <f t="shared" si="19"/>
        <v>678</v>
      </c>
      <c r="E199" s="556">
        <f t="shared" si="20"/>
        <v>678</v>
      </c>
      <c r="F199" s="556">
        <f t="shared" si="21"/>
        <v>678</v>
      </c>
      <c r="G199" s="556">
        <f t="shared" si="22"/>
        <v>678</v>
      </c>
    </row>
    <row r="200" spans="1:7" ht="15.75">
      <c r="A200" s="625">
        <f t="shared" si="23"/>
        <v>6825</v>
      </c>
      <c r="B200" s="555">
        <v>6800</v>
      </c>
      <c r="C200" s="555">
        <v>6850</v>
      </c>
      <c r="D200" s="556">
        <f t="shared" si="19"/>
        <v>683</v>
      </c>
      <c r="E200" s="556">
        <f t="shared" si="20"/>
        <v>683</v>
      </c>
      <c r="F200" s="556">
        <f t="shared" si="21"/>
        <v>683</v>
      </c>
      <c r="G200" s="556">
        <f t="shared" si="22"/>
        <v>683</v>
      </c>
    </row>
    <row r="201" spans="1:7" ht="15.75">
      <c r="A201" s="625">
        <f t="shared" si="23"/>
        <v>6875</v>
      </c>
      <c r="B201" s="555">
        <v>6850</v>
      </c>
      <c r="C201" s="555">
        <v>6900</v>
      </c>
      <c r="D201" s="556">
        <f t="shared" si="19"/>
        <v>688</v>
      </c>
      <c r="E201" s="556">
        <f t="shared" si="20"/>
        <v>688</v>
      </c>
      <c r="F201" s="556">
        <f t="shared" si="21"/>
        <v>688</v>
      </c>
      <c r="G201" s="556">
        <f t="shared" si="22"/>
        <v>688</v>
      </c>
    </row>
    <row r="202" spans="1:7" ht="15.75">
      <c r="A202" s="625">
        <f t="shared" si="23"/>
        <v>6925</v>
      </c>
      <c r="B202" s="555">
        <v>6900</v>
      </c>
      <c r="C202" s="555">
        <v>6950</v>
      </c>
      <c r="D202" s="556">
        <f t="shared" si="19"/>
        <v>693</v>
      </c>
      <c r="E202" s="556">
        <f t="shared" si="20"/>
        <v>693</v>
      </c>
      <c r="F202" s="556">
        <f t="shared" si="21"/>
        <v>693</v>
      </c>
      <c r="G202" s="556">
        <f t="shared" si="22"/>
        <v>693</v>
      </c>
    </row>
    <row r="203" spans="1:7" ht="15.75">
      <c r="A203" s="625">
        <f t="shared" si="23"/>
        <v>6975</v>
      </c>
      <c r="B203" s="555">
        <v>6950</v>
      </c>
      <c r="C203" s="555">
        <v>7000</v>
      </c>
      <c r="D203" s="556">
        <f t="shared" si="19"/>
        <v>698</v>
      </c>
      <c r="E203" s="556">
        <f t="shared" si="20"/>
        <v>698</v>
      </c>
      <c r="F203" s="556">
        <f t="shared" si="21"/>
        <v>698</v>
      </c>
      <c r="G203" s="556">
        <f t="shared" si="22"/>
        <v>698</v>
      </c>
    </row>
    <row r="204" spans="1:7" ht="15.75">
      <c r="A204" s="625">
        <f t="shared" si="23"/>
        <v>7025</v>
      </c>
      <c r="B204" s="555">
        <v>7000</v>
      </c>
      <c r="C204" s="555">
        <v>7050</v>
      </c>
      <c r="D204" s="556">
        <f t="shared" si="19"/>
        <v>703</v>
      </c>
      <c r="E204" s="556">
        <f t="shared" si="20"/>
        <v>703</v>
      </c>
      <c r="F204" s="556">
        <f t="shared" si="21"/>
        <v>703</v>
      </c>
      <c r="G204" s="556">
        <f t="shared" si="22"/>
        <v>703</v>
      </c>
    </row>
    <row r="205" spans="1:7" ht="15.75">
      <c r="A205" s="625">
        <f t="shared" si="23"/>
        <v>7075</v>
      </c>
      <c r="B205" s="555">
        <v>7050</v>
      </c>
      <c r="C205" s="555">
        <v>7100</v>
      </c>
      <c r="D205" s="556">
        <f t="shared" si="19"/>
        <v>708</v>
      </c>
      <c r="E205" s="556">
        <f t="shared" si="20"/>
        <v>708</v>
      </c>
      <c r="F205" s="556">
        <f t="shared" si="21"/>
        <v>708</v>
      </c>
      <c r="G205" s="556">
        <f t="shared" si="22"/>
        <v>708</v>
      </c>
    </row>
    <row r="206" spans="1:7" ht="15.75">
      <c r="A206" s="625">
        <f t="shared" si="23"/>
        <v>7125</v>
      </c>
      <c r="B206" s="555">
        <v>7100</v>
      </c>
      <c r="C206" s="555">
        <v>7150</v>
      </c>
      <c r="D206" s="556">
        <f t="shared" si="19"/>
        <v>713</v>
      </c>
      <c r="E206" s="556">
        <f t="shared" si="20"/>
        <v>713</v>
      </c>
      <c r="F206" s="556">
        <f t="shared" si="21"/>
        <v>713</v>
      </c>
      <c r="G206" s="556">
        <f t="shared" si="22"/>
        <v>713</v>
      </c>
    </row>
    <row r="207" spans="1:7" ht="15.75">
      <c r="A207" s="625">
        <f t="shared" si="23"/>
        <v>7175</v>
      </c>
      <c r="B207" s="555">
        <v>7150</v>
      </c>
      <c r="C207" s="555">
        <v>7200</v>
      </c>
      <c r="D207" s="556">
        <f t="shared" si="19"/>
        <v>718</v>
      </c>
      <c r="E207" s="556">
        <f t="shared" si="20"/>
        <v>718</v>
      </c>
      <c r="F207" s="556">
        <f t="shared" si="21"/>
        <v>718</v>
      </c>
      <c r="G207" s="556">
        <f t="shared" si="22"/>
        <v>718</v>
      </c>
    </row>
    <row r="208" spans="1:7" ht="15.75">
      <c r="A208" s="625">
        <f t="shared" si="23"/>
        <v>7225</v>
      </c>
      <c r="B208" s="555">
        <v>7200</v>
      </c>
      <c r="C208" s="555">
        <v>7250</v>
      </c>
      <c r="D208" s="556">
        <f t="shared" si="19"/>
        <v>723</v>
      </c>
      <c r="E208" s="556">
        <f t="shared" si="20"/>
        <v>723</v>
      </c>
      <c r="F208" s="556">
        <f t="shared" si="21"/>
        <v>723</v>
      </c>
      <c r="G208" s="556">
        <f t="shared" si="22"/>
        <v>723</v>
      </c>
    </row>
    <row r="209" spans="1:7" ht="15.75">
      <c r="A209" s="625">
        <f t="shared" si="23"/>
        <v>7275</v>
      </c>
      <c r="B209" s="555">
        <v>7250</v>
      </c>
      <c r="C209" s="555">
        <v>7300</v>
      </c>
      <c r="D209" s="556">
        <f t="shared" si="19"/>
        <v>728</v>
      </c>
      <c r="E209" s="556">
        <f t="shared" si="20"/>
        <v>728</v>
      </c>
      <c r="F209" s="556">
        <f t="shared" si="21"/>
        <v>728</v>
      </c>
      <c r="G209" s="556">
        <f t="shared" si="22"/>
        <v>728</v>
      </c>
    </row>
    <row r="210" spans="1:7" ht="15.75">
      <c r="A210" s="625">
        <f t="shared" si="23"/>
        <v>7325</v>
      </c>
      <c r="B210" s="555">
        <v>7300</v>
      </c>
      <c r="C210" s="555">
        <v>7350</v>
      </c>
      <c r="D210" s="556">
        <f t="shared" si="19"/>
        <v>733</v>
      </c>
      <c r="E210" s="556">
        <f t="shared" si="20"/>
        <v>733</v>
      </c>
      <c r="F210" s="556">
        <f t="shared" si="21"/>
        <v>733</v>
      </c>
      <c r="G210" s="556">
        <f t="shared" si="22"/>
        <v>733</v>
      </c>
    </row>
    <row r="211" spans="1:7" ht="15.75">
      <c r="A211" s="625">
        <f t="shared" si="23"/>
        <v>7375</v>
      </c>
      <c r="B211" s="555">
        <v>7350</v>
      </c>
      <c r="C211" s="555">
        <v>7400</v>
      </c>
      <c r="D211" s="556">
        <f t="shared" si="19"/>
        <v>738</v>
      </c>
      <c r="E211" s="556">
        <f t="shared" si="20"/>
        <v>738</v>
      </c>
      <c r="F211" s="556">
        <f t="shared" si="21"/>
        <v>738</v>
      </c>
      <c r="G211" s="556">
        <f t="shared" si="22"/>
        <v>738</v>
      </c>
    </row>
    <row r="212" spans="1:7" ht="15.75">
      <c r="A212" s="625">
        <f t="shared" si="23"/>
        <v>7425</v>
      </c>
      <c r="B212" s="555">
        <v>7400</v>
      </c>
      <c r="C212" s="555">
        <v>7450</v>
      </c>
      <c r="D212" s="556">
        <f t="shared" si="19"/>
        <v>743</v>
      </c>
      <c r="E212" s="556">
        <f t="shared" si="20"/>
        <v>743</v>
      </c>
      <c r="F212" s="556">
        <f t="shared" si="21"/>
        <v>743</v>
      </c>
      <c r="G212" s="556">
        <f t="shared" si="22"/>
        <v>743</v>
      </c>
    </row>
    <row r="213" spans="1:7" ht="15.75">
      <c r="A213" s="625">
        <f t="shared" si="23"/>
        <v>7475</v>
      </c>
      <c r="B213" s="555">
        <v>7450</v>
      </c>
      <c r="C213" s="555">
        <v>7500</v>
      </c>
      <c r="D213" s="556">
        <f t="shared" si="19"/>
        <v>748</v>
      </c>
      <c r="E213" s="556">
        <f t="shared" si="20"/>
        <v>748</v>
      </c>
      <c r="F213" s="556">
        <f t="shared" si="21"/>
        <v>748</v>
      </c>
      <c r="G213" s="556">
        <f t="shared" si="22"/>
        <v>748</v>
      </c>
    </row>
    <row r="214" spans="1:7" ht="15.75">
      <c r="A214" s="625">
        <f t="shared" si="23"/>
        <v>7525</v>
      </c>
      <c r="B214" s="555">
        <v>7500</v>
      </c>
      <c r="C214" s="555">
        <v>7550</v>
      </c>
      <c r="D214" s="556">
        <f t="shared" si="19"/>
        <v>753</v>
      </c>
      <c r="E214" s="556">
        <f t="shared" si="20"/>
        <v>753</v>
      </c>
      <c r="F214" s="556">
        <f t="shared" si="21"/>
        <v>753</v>
      </c>
      <c r="G214" s="556">
        <f t="shared" si="22"/>
        <v>753</v>
      </c>
    </row>
    <row r="215" spans="1:7" ht="15.75">
      <c r="A215" s="625">
        <f t="shared" si="23"/>
        <v>7575</v>
      </c>
      <c r="B215" s="555">
        <v>7550</v>
      </c>
      <c r="C215" s="555">
        <v>7600</v>
      </c>
      <c r="D215" s="556">
        <f t="shared" si="19"/>
        <v>758</v>
      </c>
      <c r="E215" s="556">
        <f t="shared" si="20"/>
        <v>758</v>
      </c>
      <c r="F215" s="556">
        <f t="shared" si="21"/>
        <v>758</v>
      </c>
      <c r="G215" s="556">
        <f t="shared" si="22"/>
        <v>758</v>
      </c>
    </row>
    <row r="216" spans="1:7" ht="15.75">
      <c r="A216" s="625">
        <f t="shared" si="23"/>
        <v>7625</v>
      </c>
      <c r="B216" s="555">
        <v>7600</v>
      </c>
      <c r="C216" s="555">
        <v>7650</v>
      </c>
      <c r="D216" s="556">
        <f t="shared" si="19"/>
        <v>763</v>
      </c>
      <c r="E216" s="556">
        <f t="shared" si="20"/>
        <v>763</v>
      </c>
      <c r="F216" s="556">
        <f t="shared" si="21"/>
        <v>763</v>
      </c>
      <c r="G216" s="556">
        <f t="shared" si="22"/>
        <v>763</v>
      </c>
    </row>
    <row r="217" spans="1:7" ht="15.75">
      <c r="A217" s="625">
        <f t="shared" si="23"/>
        <v>7675</v>
      </c>
      <c r="B217" s="555">
        <v>7650</v>
      </c>
      <c r="C217" s="555">
        <v>7700</v>
      </c>
      <c r="D217" s="556">
        <f t="shared" si="19"/>
        <v>768</v>
      </c>
      <c r="E217" s="556">
        <f t="shared" si="20"/>
        <v>768</v>
      </c>
      <c r="F217" s="556">
        <f t="shared" si="21"/>
        <v>768</v>
      </c>
      <c r="G217" s="556">
        <f t="shared" si="22"/>
        <v>768</v>
      </c>
    </row>
    <row r="218" spans="1:7" ht="15.75">
      <c r="A218" s="625">
        <f t="shared" si="23"/>
        <v>7725</v>
      </c>
      <c r="B218" s="555">
        <v>7700</v>
      </c>
      <c r="C218" s="555">
        <v>7750</v>
      </c>
      <c r="D218" s="556">
        <f t="shared" si="19"/>
        <v>773</v>
      </c>
      <c r="E218" s="556">
        <f t="shared" si="20"/>
        <v>773</v>
      </c>
      <c r="F218" s="556">
        <f t="shared" si="21"/>
        <v>773</v>
      </c>
      <c r="G218" s="556">
        <f t="shared" si="22"/>
        <v>773</v>
      </c>
    </row>
    <row r="219" spans="1:7" ht="15.75">
      <c r="A219" s="625">
        <f t="shared" si="23"/>
        <v>7775</v>
      </c>
      <c r="B219" s="555">
        <v>7750</v>
      </c>
      <c r="C219" s="555">
        <v>7800</v>
      </c>
      <c r="D219" s="556">
        <f t="shared" si="19"/>
        <v>778</v>
      </c>
      <c r="E219" s="556">
        <f t="shared" si="20"/>
        <v>778</v>
      </c>
      <c r="F219" s="556">
        <f t="shared" si="21"/>
        <v>778</v>
      </c>
      <c r="G219" s="556">
        <f t="shared" si="22"/>
        <v>778</v>
      </c>
    </row>
    <row r="220" spans="1:7" ht="15.75">
      <c r="A220" s="625">
        <f t="shared" si="23"/>
        <v>7825</v>
      </c>
      <c r="B220" s="555">
        <v>7800</v>
      </c>
      <c r="C220" s="555">
        <v>7850</v>
      </c>
      <c r="D220" s="556">
        <f t="shared" si="19"/>
        <v>783</v>
      </c>
      <c r="E220" s="556">
        <f t="shared" si="20"/>
        <v>783</v>
      </c>
      <c r="F220" s="556">
        <f t="shared" si="21"/>
        <v>783</v>
      </c>
      <c r="G220" s="556">
        <f t="shared" si="22"/>
        <v>783</v>
      </c>
    </row>
    <row r="221" spans="1:7" ht="15.75">
      <c r="A221" s="625">
        <f t="shared" si="23"/>
        <v>7875</v>
      </c>
      <c r="B221" s="555">
        <v>7850</v>
      </c>
      <c r="C221" s="555">
        <v>7900</v>
      </c>
      <c r="D221" s="556">
        <f t="shared" si="19"/>
        <v>788</v>
      </c>
      <c r="E221" s="556">
        <f t="shared" si="20"/>
        <v>788</v>
      </c>
      <c r="F221" s="556">
        <f t="shared" si="21"/>
        <v>788</v>
      </c>
      <c r="G221" s="556">
        <f t="shared" si="22"/>
        <v>788</v>
      </c>
    </row>
    <row r="222" spans="1:7" ht="15.75">
      <c r="A222" s="625">
        <f t="shared" si="23"/>
        <v>7925</v>
      </c>
      <c r="B222" s="555">
        <v>7900</v>
      </c>
      <c r="C222" s="555">
        <v>7950</v>
      </c>
      <c r="D222" s="556">
        <f t="shared" si="19"/>
        <v>793</v>
      </c>
      <c r="E222" s="556">
        <f t="shared" si="20"/>
        <v>793</v>
      </c>
      <c r="F222" s="556">
        <f t="shared" si="21"/>
        <v>793</v>
      </c>
      <c r="G222" s="556">
        <f t="shared" si="22"/>
        <v>793</v>
      </c>
    </row>
    <row r="223" spans="1:7" ht="15.75">
      <c r="A223" s="625">
        <f t="shared" si="23"/>
        <v>7975</v>
      </c>
      <c r="B223" s="555">
        <v>7950</v>
      </c>
      <c r="C223" s="555">
        <v>8000</v>
      </c>
      <c r="D223" s="556">
        <f t="shared" si="19"/>
        <v>798</v>
      </c>
      <c r="E223" s="556">
        <f t="shared" si="20"/>
        <v>798</v>
      </c>
      <c r="F223" s="556">
        <f t="shared" si="21"/>
        <v>798</v>
      </c>
      <c r="G223" s="556">
        <f t="shared" si="22"/>
        <v>798</v>
      </c>
    </row>
    <row r="224" spans="1:7" ht="15.75">
      <c r="A224" s="625">
        <f t="shared" si="23"/>
        <v>8025</v>
      </c>
      <c r="B224" s="555">
        <v>8000</v>
      </c>
      <c r="C224" s="555">
        <v>8050</v>
      </c>
      <c r="D224" s="556">
        <f t="shared" si="19"/>
        <v>803</v>
      </c>
      <c r="E224" s="556">
        <f t="shared" si="20"/>
        <v>803</v>
      </c>
      <c r="F224" s="556">
        <f t="shared" si="21"/>
        <v>803</v>
      </c>
      <c r="G224" s="556">
        <f t="shared" si="22"/>
        <v>803</v>
      </c>
    </row>
    <row r="225" spans="1:7" ht="15.75">
      <c r="A225" s="625">
        <f t="shared" si="23"/>
        <v>8075</v>
      </c>
      <c r="B225" s="555">
        <v>8050</v>
      </c>
      <c r="C225" s="555">
        <v>8100</v>
      </c>
      <c r="D225" s="556">
        <f t="shared" si="19"/>
        <v>808</v>
      </c>
      <c r="E225" s="556">
        <f t="shared" si="20"/>
        <v>808</v>
      </c>
      <c r="F225" s="556">
        <f t="shared" si="21"/>
        <v>808</v>
      </c>
      <c r="G225" s="556">
        <f t="shared" si="22"/>
        <v>808</v>
      </c>
    </row>
    <row r="226" spans="1:7" ht="15.75">
      <c r="A226" s="625">
        <f t="shared" si="23"/>
        <v>8125</v>
      </c>
      <c r="B226" s="555">
        <v>8100</v>
      </c>
      <c r="C226" s="555">
        <v>8150</v>
      </c>
      <c r="D226" s="556">
        <f t="shared" si="19"/>
        <v>813</v>
      </c>
      <c r="E226" s="556">
        <f t="shared" si="20"/>
        <v>813</v>
      </c>
      <c r="F226" s="556">
        <f t="shared" si="21"/>
        <v>813</v>
      </c>
      <c r="G226" s="556">
        <f t="shared" si="22"/>
        <v>813</v>
      </c>
    </row>
    <row r="227" spans="1:7" ht="15.75">
      <c r="A227" s="625">
        <f t="shared" si="23"/>
        <v>8175</v>
      </c>
      <c r="B227" s="555">
        <v>8150</v>
      </c>
      <c r="C227" s="555">
        <v>8200</v>
      </c>
      <c r="D227" s="556">
        <f t="shared" si="19"/>
        <v>818</v>
      </c>
      <c r="E227" s="556">
        <f t="shared" si="20"/>
        <v>818</v>
      </c>
      <c r="F227" s="556">
        <f t="shared" si="21"/>
        <v>818</v>
      </c>
      <c r="G227" s="556">
        <f t="shared" si="22"/>
        <v>818</v>
      </c>
    </row>
    <row r="228" spans="1:7" ht="15.75">
      <c r="A228" s="625">
        <f t="shared" si="23"/>
        <v>8225</v>
      </c>
      <c r="B228" s="555">
        <v>8200</v>
      </c>
      <c r="C228" s="555">
        <v>8250</v>
      </c>
      <c r="D228" s="556">
        <f t="shared" si="19"/>
        <v>823</v>
      </c>
      <c r="E228" s="556">
        <f t="shared" si="20"/>
        <v>823</v>
      </c>
      <c r="F228" s="556">
        <f t="shared" si="21"/>
        <v>823</v>
      </c>
      <c r="G228" s="556">
        <f t="shared" si="22"/>
        <v>823</v>
      </c>
    </row>
    <row r="229" spans="1:7" ht="15.75">
      <c r="A229" s="625">
        <f t="shared" si="23"/>
        <v>8275</v>
      </c>
      <c r="B229" s="555">
        <v>8250</v>
      </c>
      <c r="C229" s="555">
        <v>8300</v>
      </c>
      <c r="D229" s="556">
        <f t="shared" si="19"/>
        <v>828</v>
      </c>
      <c r="E229" s="556">
        <f t="shared" si="20"/>
        <v>828</v>
      </c>
      <c r="F229" s="556">
        <f t="shared" si="21"/>
        <v>828</v>
      </c>
      <c r="G229" s="556">
        <f t="shared" si="22"/>
        <v>828</v>
      </c>
    </row>
    <row r="230" spans="1:7" ht="15.75">
      <c r="A230" s="625">
        <f t="shared" si="23"/>
        <v>8325</v>
      </c>
      <c r="B230" s="555">
        <v>8300</v>
      </c>
      <c r="C230" s="555">
        <v>8350</v>
      </c>
      <c r="D230" s="556">
        <f t="shared" si="19"/>
        <v>833</v>
      </c>
      <c r="E230" s="556">
        <f t="shared" si="20"/>
        <v>833</v>
      </c>
      <c r="F230" s="556">
        <f t="shared" si="21"/>
        <v>833</v>
      </c>
      <c r="G230" s="556">
        <f t="shared" si="22"/>
        <v>833</v>
      </c>
    </row>
    <row r="231" spans="1:7" ht="15.75">
      <c r="A231" s="625">
        <f t="shared" si="23"/>
        <v>8375</v>
      </c>
      <c r="B231" s="555">
        <v>8350</v>
      </c>
      <c r="C231" s="555">
        <v>8400</v>
      </c>
      <c r="D231" s="556">
        <f t="shared" si="19"/>
        <v>838</v>
      </c>
      <c r="E231" s="556">
        <f t="shared" si="20"/>
        <v>838</v>
      </c>
      <c r="F231" s="556">
        <f t="shared" si="21"/>
        <v>838</v>
      </c>
      <c r="G231" s="556">
        <f t="shared" si="22"/>
        <v>838</v>
      </c>
    </row>
    <row r="232" spans="1:7" ht="15.75">
      <c r="A232" s="625">
        <f t="shared" si="23"/>
        <v>8425</v>
      </c>
      <c r="B232" s="555">
        <v>8400</v>
      </c>
      <c r="C232" s="555">
        <v>8450</v>
      </c>
      <c r="D232" s="556">
        <f t="shared" si="19"/>
        <v>843</v>
      </c>
      <c r="E232" s="556">
        <f t="shared" si="20"/>
        <v>843</v>
      </c>
      <c r="F232" s="556">
        <f t="shared" si="21"/>
        <v>843</v>
      </c>
      <c r="G232" s="556">
        <f t="shared" si="22"/>
        <v>843</v>
      </c>
    </row>
    <row r="233" spans="1:7" ht="15.75">
      <c r="A233" s="625">
        <f t="shared" si="23"/>
        <v>8475</v>
      </c>
      <c r="B233" s="555">
        <v>8450</v>
      </c>
      <c r="C233" s="555">
        <v>8500</v>
      </c>
      <c r="D233" s="556">
        <f t="shared" si="19"/>
        <v>848</v>
      </c>
      <c r="E233" s="556">
        <f t="shared" si="20"/>
        <v>848</v>
      </c>
      <c r="F233" s="556">
        <f t="shared" si="21"/>
        <v>848</v>
      </c>
      <c r="G233" s="556">
        <f t="shared" si="22"/>
        <v>848</v>
      </c>
    </row>
    <row r="234" spans="1:7" ht="15.75">
      <c r="A234" s="625">
        <f t="shared" si="23"/>
        <v>8525</v>
      </c>
      <c r="B234" s="555">
        <v>8500</v>
      </c>
      <c r="C234" s="555">
        <v>8550</v>
      </c>
      <c r="D234" s="556">
        <f t="shared" si="19"/>
        <v>853</v>
      </c>
      <c r="E234" s="556">
        <f t="shared" si="20"/>
        <v>853</v>
      </c>
      <c r="F234" s="556">
        <f t="shared" si="21"/>
        <v>853</v>
      </c>
      <c r="G234" s="556">
        <f t="shared" si="22"/>
        <v>853</v>
      </c>
    </row>
    <row r="235" spans="1:7" ht="15.75">
      <c r="A235" s="625">
        <f t="shared" si="23"/>
        <v>8575</v>
      </c>
      <c r="B235" s="555">
        <v>8550</v>
      </c>
      <c r="C235" s="555">
        <v>8600</v>
      </c>
      <c r="D235" s="556">
        <f t="shared" si="19"/>
        <v>858</v>
      </c>
      <c r="E235" s="556">
        <f t="shared" si="20"/>
        <v>858</v>
      </c>
      <c r="F235" s="556">
        <f t="shared" si="21"/>
        <v>858</v>
      </c>
      <c r="G235" s="556">
        <f t="shared" si="22"/>
        <v>858</v>
      </c>
    </row>
    <row r="236" spans="1:7" ht="15.75">
      <c r="A236" s="625">
        <f t="shared" si="23"/>
        <v>8625</v>
      </c>
      <c r="B236" s="555">
        <v>8600</v>
      </c>
      <c r="C236" s="555">
        <v>8650</v>
      </c>
      <c r="D236" s="556">
        <f t="shared" si="19"/>
        <v>863</v>
      </c>
      <c r="E236" s="556">
        <f t="shared" si="20"/>
        <v>863</v>
      </c>
      <c r="F236" s="556">
        <f t="shared" si="21"/>
        <v>863</v>
      </c>
      <c r="G236" s="556">
        <f t="shared" si="22"/>
        <v>863</v>
      </c>
    </row>
    <row r="237" spans="1:7" ht="15.75">
      <c r="A237" s="625">
        <f t="shared" si="23"/>
        <v>8675</v>
      </c>
      <c r="B237" s="555">
        <v>8650</v>
      </c>
      <c r="C237" s="555">
        <v>8700</v>
      </c>
      <c r="D237" s="556">
        <f t="shared" si="19"/>
        <v>868</v>
      </c>
      <c r="E237" s="556">
        <f t="shared" si="20"/>
        <v>868</v>
      </c>
      <c r="F237" s="556">
        <f t="shared" si="21"/>
        <v>868</v>
      </c>
      <c r="G237" s="556">
        <f t="shared" si="22"/>
        <v>868</v>
      </c>
    </row>
    <row r="238" spans="1:7" ht="15.75">
      <c r="A238" s="625">
        <f t="shared" si="23"/>
        <v>8725</v>
      </c>
      <c r="B238" s="555">
        <v>8700</v>
      </c>
      <c r="C238" s="555">
        <v>8750</v>
      </c>
      <c r="D238" s="556">
        <f t="shared" si="19"/>
        <v>873</v>
      </c>
      <c r="E238" s="556">
        <f t="shared" si="20"/>
        <v>873</v>
      </c>
      <c r="F238" s="556">
        <f t="shared" si="21"/>
        <v>873</v>
      </c>
      <c r="G238" s="556">
        <f t="shared" si="22"/>
        <v>873</v>
      </c>
    </row>
    <row r="239" spans="1:7" ht="15.75">
      <c r="A239" s="625">
        <f t="shared" si="23"/>
        <v>8775</v>
      </c>
      <c r="B239" s="555">
        <v>8750</v>
      </c>
      <c r="C239" s="555">
        <v>8800</v>
      </c>
      <c r="D239" s="556">
        <f t="shared" si="19"/>
        <v>878</v>
      </c>
      <c r="E239" s="556">
        <f t="shared" si="20"/>
        <v>878</v>
      </c>
      <c r="F239" s="556">
        <f t="shared" si="21"/>
        <v>878</v>
      </c>
      <c r="G239" s="556">
        <f t="shared" si="22"/>
        <v>878</v>
      </c>
    </row>
    <row r="240" spans="1:7" ht="15.75">
      <c r="A240" s="625">
        <f t="shared" si="23"/>
        <v>8825</v>
      </c>
      <c r="B240" s="555">
        <v>8800</v>
      </c>
      <c r="C240" s="555">
        <v>8850</v>
      </c>
      <c r="D240" s="556">
        <f t="shared" si="19"/>
        <v>883</v>
      </c>
      <c r="E240" s="556">
        <f t="shared" si="20"/>
        <v>883</v>
      </c>
      <c r="F240" s="556">
        <f t="shared" si="21"/>
        <v>883</v>
      </c>
      <c r="G240" s="556">
        <f t="shared" si="22"/>
        <v>883</v>
      </c>
    </row>
    <row r="241" spans="1:7" ht="15.75">
      <c r="A241" s="625">
        <f t="shared" si="23"/>
        <v>8875</v>
      </c>
      <c r="B241" s="555">
        <v>8850</v>
      </c>
      <c r="C241" s="555">
        <v>8900</v>
      </c>
      <c r="D241" s="556">
        <f t="shared" si="19"/>
        <v>888</v>
      </c>
      <c r="E241" s="556">
        <f t="shared" si="20"/>
        <v>888</v>
      </c>
      <c r="F241" s="556">
        <f t="shared" si="21"/>
        <v>888</v>
      </c>
      <c r="G241" s="556">
        <f t="shared" si="22"/>
        <v>888</v>
      </c>
    </row>
    <row r="242" spans="1:7" ht="15.75">
      <c r="A242" s="625">
        <f t="shared" si="23"/>
        <v>8925</v>
      </c>
      <c r="B242" s="555">
        <v>8900</v>
      </c>
      <c r="C242" s="555">
        <v>8950</v>
      </c>
      <c r="D242" s="556">
        <f t="shared" si="19"/>
        <v>893</v>
      </c>
      <c r="E242" s="556">
        <f t="shared" si="20"/>
        <v>893</v>
      </c>
      <c r="F242" s="556">
        <f t="shared" si="21"/>
        <v>893</v>
      </c>
      <c r="G242" s="556">
        <f t="shared" si="22"/>
        <v>893</v>
      </c>
    </row>
    <row r="243" spans="1:7" ht="15.75">
      <c r="A243" s="625">
        <f t="shared" si="23"/>
        <v>8975</v>
      </c>
      <c r="B243" s="555">
        <v>8950</v>
      </c>
      <c r="C243" s="555">
        <v>9000</v>
      </c>
      <c r="D243" s="556">
        <f t="shared" si="19"/>
        <v>898</v>
      </c>
      <c r="E243" s="556">
        <f t="shared" si="20"/>
        <v>898</v>
      </c>
      <c r="F243" s="556">
        <f t="shared" si="21"/>
        <v>898</v>
      </c>
      <c r="G243" s="556">
        <f t="shared" si="22"/>
        <v>898</v>
      </c>
    </row>
    <row r="244" spans="1:7" ht="15.75">
      <c r="A244" s="625">
        <f t="shared" si="23"/>
        <v>9025</v>
      </c>
      <c r="B244" s="555">
        <v>9000</v>
      </c>
      <c r="C244" s="555">
        <v>9050</v>
      </c>
      <c r="D244" s="556">
        <f t="shared" si="19"/>
        <v>903</v>
      </c>
      <c r="E244" s="556">
        <f t="shared" si="20"/>
        <v>903</v>
      </c>
      <c r="F244" s="556">
        <f t="shared" si="21"/>
        <v>903</v>
      </c>
      <c r="G244" s="556">
        <f t="shared" si="22"/>
        <v>903</v>
      </c>
    </row>
    <row r="245" spans="1:7" ht="15.75">
      <c r="A245" s="625">
        <f t="shared" si="23"/>
        <v>9075</v>
      </c>
      <c r="B245" s="555">
        <v>9050</v>
      </c>
      <c r="C245" s="555">
        <v>9100</v>
      </c>
      <c r="D245" s="556">
        <f t="shared" si="19"/>
        <v>908</v>
      </c>
      <c r="E245" s="556">
        <f t="shared" si="20"/>
        <v>908</v>
      </c>
      <c r="F245" s="556">
        <f t="shared" si="21"/>
        <v>908</v>
      </c>
      <c r="G245" s="556">
        <f t="shared" si="22"/>
        <v>908</v>
      </c>
    </row>
    <row r="246" spans="1:7" ht="15.75">
      <c r="A246" s="625">
        <f t="shared" si="23"/>
        <v>9125</v>
      </c>
      <c r="B246" s="555">
        <v>9100</v>
      </c>
      <c r="C246" s="555">
        <v>9150</v>
      </c>
      <c r="D246" s="556">
        <f t="shared" si="19"/>
        <v>913</v>
      </c>
      <c r="E246" s="556">
        <f t="shared" si="20"/>
        <v>913</v>
      </c>
      <c r="F246" s="556">
        <f t="shared" si="21"/>
        <v>913</v>
      </c>
      <c r="G246" s="556">
        <f t="shared" si="22"/>
        <v>913</v>
      </c>
    </row>
    <row r="247" spans="1:7" ht="15.75">
      <c r="A247" s="625">
        <f t="shared" si="23"/>
        <v>9175</v>
      </c>
      <c r="B247" s="555">
        <v>9150</v>
      </c>
      <c r="C247" s="555">
        <v>9200</v>
      </c>
      <c r="D247" s="556">
        <f t="shared" si="19"/>
        <v>918</v>
      </c>
      <c r="E247" s="556">
        <f t="shared" si="20"/>
        <v>918</v>
      </c>
      <c r="F247" s="556">
        <f t="shared" si="21"/>
        <v>918</v>
      </c>
      <c r="G247" s="556">
        <f t="shared" si="22"/>
        <v>918</v>
      </c>
    </row>
    <row r="248" spans="1:7" ht="15.75">
      <c r="A248" s="625">
        <f t="shared" si="23"/>
        <v>9225</v>
      </c>
      <c r="B248" s="555">
        <v>9200</v>
      </c>
      <c r="C248" s="555">
        <v>9250</v>
      </c>
      <c r="D248" s="556">
        <f t="shared" si="19"/>
        <v>923</v>
      </c>
      <c r="E248" s="556">
        <f t="shared" si="20"/>
        <v>923</v>
      </c>
      <c r="F248" s="556">
        <f t="shared" si="21"/>
        <v>923</v>
      </c>
      <c r="G248" s="556">
        <f t="shared" si="22"/>
        <v>923</v>
      </c>
    </row>
    <row r="249" spans="1:7" ht="15.75">
      <c r="A249" s="625">
        <f t="shared" si="23"/>
        <v>9275</v>
      </c>
      <c r="B249" s="555">
        <v>9250</v>
      </c>
      <c r="C249" s="555">
        <v>9300</v>
      </c>
      <c r="D249" s="556">
        <f t="shared" si="19"/>
        <v>928</v>
      </c>
      <c r="E249" s="556">
        <f t="shared" si="20"/>
        <v>928</v>
      </c>
      <c r="F249" s="556">
        <f t="shared" si="21"/>
        <v>928</v>
      </c>
      <c r="G249" s="556">
        <f t="shared" si="22"/>
        <v>928</v>
      </c>
    </row>
    <row r="250" spans="1:7" ht="15.75">
      <c r="A250" s="625">
        <f t="shared" si="23"/>
        <v>9325</v>
      </c>
      <c r="B250" s="555">
        <v>9300</v>
      </c>
      <c r="C250" s="555">
        <v>9350</v>
      </c>
      <c r="D250" s="556">
        <f t="shared" si="19"/>
        <v>933</v>
      </c>
      <c r="E250" s="556">
        <f t="shared" si="20"/>
        <v>933</v>
      </c>
      <c r="F250" s="556">
        <f t="shared" si="21"/>
        <v>933</v>
      </c>
      <c r="G250" s="556">
        <f t="shared" si="22"/>
        <v>933</v>
      </c>
    </row>
    <row r="251" spans="1:7" ht="15.75">
      <c r="A251" s="625">
        <f t="shared" si="23"/>
        <v>9375</v>
      </c>
      <c r="B251" s="555">
        <v>9350</v>
      </c>
      <c r="C251" s="555">
        <v>9400</v>
      </c>
      <c r="D251" s="556">
        <f t="shared" si="19"/>
        <v>938</v>
      </c>
      <c r="E251" s="556">
        <f t="shared" si="20"/>
        <v>938</v>
      </c>
      <c r="F251" s="556">
        <f t="shared" si="21"/>
        <v>938</v>
      </c>
      <c r="G251" s="556">
        <f t="shared" si="22"/>
        <v>938</v>
      </c>
    </row>
    <row r="252" spans="1:7" ht="15.75">
      <c r="A252" s="625">
        <f t="shared" si="23"/>
        <v>9425</v>
      </c>
      <c r="B252" s="555">
        <v>9400</v>
      </c>
      <c r="C252" s="555">
        <v>9450</v>
      </c>
      <c r="D252" s="556">
        <f t="shared" si="19"/>
        <v>943</v>
      </c>
      <c r="E252" s="556">
        <f t="shared" si="20"/>
        <v>943</v>
      </c>
      <c r="F252" s="556">
        <f t="shared" si="21"/>
        <v>943</v>
      </c>
      <c r="G252" s="556">
        <f t="shared" si="22"/>
        <v>943</v>
      </c>
    </row>
    <row r="253" spans="1:7" ht="15.75">
      <c r="A253" s="625">
        <f t="shared" si="23"/>
        <v>9475</v>
      </c>
      <c r="B253" s="555">
        <v>9450</v>
      </c>
      <c r="C253" s="555">
        <v>9500</v>
      </c>
      <c r="D253" s="556">
        <f t="shared" si="19"/>
        <v>948</v>
      </c>
      <c r="E253" s="556">
        <f t="shared" si="20"/>
        <v>948</v>
      </c>
      <c r="F253" s="556">
        <f t="shared" si="21"/>
        <v>948</v>
      </c>
      <c r="G253" s="556">
        <f t="shared" si="22"/>
        <v>948</v>
      </c>
    </row>
    <row r="254" spans="1:7" ht="15.75">
      <c r="A254" s="625">
        <f t="shared" si="23"/>
        <v>9525</v>
      </c>
      <c r="B254" s="555">
        <v>9500</v>
      </c>
      <c r="C254" s="555">
        <v>9550</v>
      </c>
      <c r="D254" s="556">
        <f t="shared" si="19"/>
        <v>953</v>
      </c>
      <c r="E254" s="556">
        <f t="shared" si="20"/>
        <v>953</v>
      </c>
      <c r="F254" s="556">
        <f t="shared" si="21"/>
        <v>953</v>
      </c>
      <c r="G254" s="556">
        <f t="shared" si="22"/>
        <v>953</v>
      </c>
    </row>
    <row r="255" spans="1:7" ht="15.75">
      <c r="A255" s="625">
        <f t="shared" si="23"/>
        <v>9575</v>
      </c>
      <c r="B255" s="555">
        <v>9550</v>
      </c>
      <c r="C255" s="555">
        <v>9600</v>
      </c>
      <c r="D255" s="556">
        <f t="shared" si="19"/>
        <v>958</v>
      </c>
      <c r="E255" s="556">
        <f t="shared" si="20"/>
        <v>958</v>
      </c>
      <c r="F255" s="556">
        <f t="shared" si="21"/>
        <v>958</v>
      </c>
      <c r="G255" s="556">
        <f t="shared" si="22"/>
        <v>958</v>
      </c>
    </row>
    <row r="256" spans="1:7" ht="15.75">
      <c r="A256" s="625">
        <f t="shared" si="23"/>
        <v>9625</v>
      </c>
      <c r="B256" s="555">
        <v>9600</v>
      </c>
      <c r="C256" s="555">
        <v>9650</v>
      </c>
      <c r="D256" s="556">
        <f t="shared" si="19"/>
        <v>963</v>
      </c>
      <c r="E256" s="556">
        <f t="shared" si="20"/>
        <v>963</v>
      </c>
      <c r="F256" s="556">
        <f t="shared" si="21"/>
        <v>963</v>
      </c>
      <c r="G256" s="556">
        <f t="shared" si="22"/>
        <v>963</v>
      </c>
    </row>
    <row r="257" spans="1:7" ht="15.75">
      <c r="A257" s="625">
        <f t="shared" si="23"/>
        <v>9675</v>
      </c>
      <c r="B257" s="555">
        <v>9650</v>
      </c>
      <c r="C257" s="555">
        <v>9700</v>
      </c>
      <c r="D257" s="556">
        <f t="shared" si="19"/>
        <v>968</v>
      </c>
      <c r="E257" s="556">
        <f t="shared" si="20"/>
        <v>968</v>
      </c>
      <c r="F257" s="556">
        <f t="shared" si="21"/>
        <v>968</v>
      </c>
      <c r="G257" s="556">
        <f t="shared" si="22"/>
        <v>968</v>
      </c>
    </row>
    <row r="258" spans="1:7" ht="15.75">
      <c r="A258" s="625">
        <f t="shared" si="23"/>
        <v>9725</v>
      </c>
      <c r="B258" s="555">
        <v>9700</v>
      </c>
      <c r="C258" s="555">
        <v>9750</v>
      </c>
      <c r="D258" s="556">
        <f t="shared" ref="D258:D321" si="24">IF($A258&gt;BOTT_A4,ROUND(BASE_A4+RATE_A4*($A258-BOTT_A4),0),IF($A258&gt;BOTT_A3,ROUND(BASE_A3+RATE_A3*($A258-BOTT_A3),0),IF($A258&gt;BOTT_A2,ROUND(BASE_A2+RATE_A2*($A258-BOTT_A2),0),ROUND(RATE_A1*$A258,0))))</f>
        <v>973</v>
      </c>
      <c r="E258" s="556">
        <f t="shared" ref="E258:E321" si="25">IF($A258&gt;BOTT_B4,ROUND(BASE_B4+RATE_B4*($A258-BOTT_B4),0),IF($A258&gt;BOTT_B3,ROUND(BASE_B3+RATE_B3*($A258-BOTT_B3),0),IF($A258&gt;BOTT_B2,ROUND(BASE_B2+RATE_B2*($A258-BOTT_B2),0),ROUND(RATE_B1*$A258,0))))</f>
        <v>973</v>
      </c>
      <c r="F258" s="556">
        <f t="shared" ref="F258:F321" si="26">IF($A258&gt;BOTT_C4,ROUND(BASE_C4+RATE_C4*($A258-BOTT_C4),0),IF($A258&gt;BOTT_C3,ROUND(BASE_C3+RATE_C3*($A258-BOTT_C3),0),IF($A258&gt;BOTT_C2,ROUND(BASE_C2+RATE_C2*($A258-BOTT_C2),0),ROUND(RATE_C1*$A258,0))))</f>
        <v>973</v>
      </c>
      <c r="G258" s="556">
        <f t="shared" ref="G258:G321" si="27">IF($A258&gt;BOTT_D4,ROUND(BASE_D4+RATE_D4*($A258-BOTT_D4),0),IF($A258&gt;BOTT_D3,ROUND(BASE_D3+RATE_D3*($A258-BOTT_D3),0),IF($A258&gt;BOTT_D2,ROUND(BASE_D2+RATE_D2*($A258-BOTT_D2),0),ROUND(RATE_D1*$A258,0))))</f>
        <v>973</v>
      </c>
    </row>
    <row r="259" spans="1:7" ht="15.75">
      <c r="A259" s="625">
        <f t="shared" ref="A259:A322" si="28">AVERAGE(B259,C259)</f>
        <v>9775</v>
      </c>
      <c r="B259" s="555">
        <v>9750</v>
      </c>
      <c r="C259" s="555">
        <v>9800</v>
      </c>
      <c r="D259" s="556">
        <f t="shared" si="24"/>
        <v>978</v>
      </c>
      <c r="E259" s="556">
        <f t="shared" si="25"/>
        <v>978</v>
      </c>
      <c r="F259" s="556">
        <f t="shared" si="26"/>
        <v>978</v>
      </c>
      <c r="G259" s="556">
        <f t="shared" si="27"/>
        <v>978</v>
      </c>
    </row>
    <row r="260" spans="1:7" ht="15.75">
      <c r="A260" s="625">
        <f t="shared" si="28"/>
        <v>9825</v>
      </c>
      <c r="B260" s="555">
        <v>9800</v>
      </c>
      <c r="C260" s="555">
        <v>9850</v>
      </c>
      <c r="D260" s="556">
        <f t="shared" si="24"/>
        <v>983</v>
      </c>
      <c r="E260" s="556">
        <f t="shared" si="25"/>
        <v>983</v>
      </c>
      <c r="F260" s="556">
        <f t="shared" si="26"/>
        <v>983</v>
      </c>
      <c r="G260" s="556">
        <f t="shared" si="27"/>
        <v>983</v>
      </c>
    </row>
    <row r="261" spans="1:7" ht="15.75">
      <c r="A261" s="625">
        <f t="shared" si="28"/>
        <v>9875</v>
      </c>
      <c r="B261" s="555">
        <v>9850</v>
      </c>
      <c r="C261" s="555">
        <v>9900</v>
      </c>
      <c r="D261" s="556">
        <f t="shared" si="24"/>
        <v>988</v>
      </c>
      <c r="E261" s="556">
        <f t="shared" si="25"/>
        <v>988</v>
      </c>
      <c r="F261" s="556">
        <f t="shared" si="26"/>
        <v>988</v>
      </c>
      <c r="G261" s="556">
        <f t="shared" si="27"/>
        <v>988</v>
      </c>
    </row>
    <row r="262" spans="1:7" ht="15.75">
      <c r="A262" s="625">
        <f t="shared" si="28"/>
        <v>9925</v>
      </c>
      <c r="B262" s="555">
        <v>9900</v>
      </c>
      <c r="C262" s="555">
        <v>9950</v>
      </c>
      <c r="D262" s="556">
        <f t="shared" si="24"/>
        <v>993</v>
      </c>
      <c r="E262" s="556">
        <f t="shared" si="25"/>
        <v>993</v>
      </c>
      <c r="F262" s="556">
        <f t="shared" si="26"/>
        <v>993</v>
      </c>
      <c r="G262" s="556">
        <f t="shared" si="27"/>
        <v>993</v>
      </c>
    </row>
    <row r="263" spans="1:7" ht="15.75">
      <c r="A263" s="625">
        <f t="shared" si="28"/>
        <v>9975</v>
      </c>
      <c r="B263" s="555">
        <v>9950</v>
      </c>
      <c r="C263" s="555">
        <v>10000</v>
      </c>
      <c r="D263" s="556">
        <f t="shared" si="24"/>
        <v>998</v>
      </c>
      <c r="E263" s="556">
        <f t="shared" si="25"/>
        <v>998</v>
      </c>
      <c r="F263" s="556">
        <f t="shared" si="26"/>
        <v>998</v>
      </c>
      <c r="G263" s="556">
        <f t="shared" si="27"/>
        <v>998</v>
      </c>
    </row>
    <row r="264" spans="1:7" ht="15.75">
      <c r="A264" s="625">
        <f t="shared" si="28"/>
        <v>10025</v>
      </c>
      <c r="B264" s="555">
        <v>10000</v>
      </c>
      <c r="C264" s="555">
        <v>10050</v>
      </c>
      <c r="D264" s="556">
        <f t="shared" si="24"/>
        <v>1003</v>
      </c>
      <c r="E264" s="556">
        <f t="shared" si="25"/>
        <v>1003</v>
      </c>
      <c r="F264" s="556">
        <f t="shared" si="26"/>
        <v>1003</v>
      </c>
      <c r="G264" s="556">
        <f t="shared" si="27"/>
        <v>1003</v>
      </c>
    </row>
    <row r="265" spans="1:7" ht="15.75">
      <c r="A265" s="625">
        <f t="shared" si="28"/>
        <v>10075</v>
      </c>
      <c r="B265" s="555">
        <v>10050</v>
      </c>
      <c r="C265" s="555">
        <v>10100</v>
      </c>
      <c r="D265" s="556">
        <f t="shared" si="24"/>
        <v>1008</v>
      </c>
      <c r="E265" s="556">
        <f t="shared" si="25"/>
        <v>1008</v>
      </c>
      <c r="F265" s="556">
        <f t="shared" si="26"/>
        <v>1008</v>
      </c>
      <c r="G265" s="556">
        <f t="shared" si="27"/>
        <v>1008</v>
      </c>
    </row>
    <row r="266" spans="1:7" ht="15.75">
      <c r="A266" s="625">
        <f t="shared" si="28"/>
        <v>10125</v>
      </c>
      <c r="B266" s="555">
        <v>10100</v>
      </c>
      <c r="C266" s="555">
        <v>10150</v>
      </c>
      <c r="D266" s="556">
        <f t="shared" si="24"/>
        <v>1013</v>
      </c>
      <c r="E266" s="556">
        <f t="shared" si="25"/>
        <v>1013</v>
      </c>
      <c r="F266" s="556">
        <f t="shared" si="26"/>
        <v>1013</v>
      </c>
      <c r="G266" s="556">
        <f t="shared" si="27"/>
        <v>1013</v>
      </c>
    </row>
    <row r="267" spans="1:7" ht="15.75">
      <c r="A267" s="625">
        <f t="shared" si="28"/>
        <v>10175</v>
      </c>
      <c r="B267" s="555">
        <v>10150</v>
      </c>
      <c r="C267" s="555">
        <v>10200</v>
      </c>
      <c r="D267" s="556">
        <f t="shared" si="24"/>
        <v>1018</v>
      </c>
      <c r="E267" s="556">
        <f t="shared" si="25"/>
        <v>1018</v>
      </c>
      <c r="F267" s="556">
        <f t="shared" si="26"/>
        <v>1018</v>
      </c>
      <c r="G267" s="556">
        <f t="shared" si="27"/>
        <v>1018</v>
      </c>
    </row>
    <row r="268" spans="1:7" ht="15.75">
      <c r="A268" s="625">
        <f t="shared" si="28"/>
        <v>10225</v>
      </c>
      <c r="B268" s="555">
        <v>10200</v>
      </c>
      <c r="C268" s="555">
        <v>10250</v>
      </c>
      <c r="D268" s="556">
        <f t="shared" si="24"/>
        <v>1023</v>
      </c>
      <c r="E268" s="556">
        <f t="shared" si="25"/>
        <v>1023</v>
      </c>
      <c r="F268" s="556">
        <f t="shared" si="26"/>
        <v>1023</v>
      </c>
      <c r="G268" s="556">
        <f t="shared" si="27"/>
        <v>1023</v>
      </c>
    </row>
    <row r="269" spans="1:7" ht="15.75">
      <c r="A269" s="625">
        <f t="shared" si="28"/>
        <v>10275</v>
      </c>
      <c r="B269" s="555">
        <v>10250</v>
      </c>
      <c r="C269" s="555">
        <v>10300</v>
      </c>
      <c r="D269" s="556">
        <f t="shared" si="24"/>
        <v>1028</v>
      </c>
      <c r="E269" s="556">
        <f t="shared" si="25"/>
        <v>1028</v>
      </c>
      <c r="F269" s="556">
        <f t="shared" si="26"/>
        <v>1028</v>
      </c>
      <c r="G269" s="556">
        <f t="shared" si="27"/>
        <v>1028</v>
      </c>
    </row>
    <row r="270" spans="1:7" ht="15.75">
      <c r="A270" s="625">
        <f t="shared" si="28"/>
        <v>10325</v>
      </c>
      <c r="B270" s="555">
        <v>10300</v>
      </c>
      <c r="C270" s="555">
        <v>10350</v>
      </c>
      <c r="D270" s="556">
        <f t="shared" si="24"/>
        <v>1033</v>
      </c>
      <c r="E270" s="556">
        <f t="shared" si="25"/>
        <v>1033</v>
      </c>
      <c r="F270" s="556">
        <f t="shared" si="26"/>
        <v>1033</v>
      </c>
      <c r="G270" s="556">
        <f t="shared" si="27"/>
        <v>1033</v>
      </c>
    </row>
    <row r="271" spans="1:7" ht="15.75">
      <c r="A271" s="625">
        <f t="shared" si="28"/>
        <v>10375</v>
      </c>
      <c r="B271" s="555">
        <v>10350</v>
      </c>
      <c r="C271" s="555">
        <v>10400</v>
      </c>
      <c r="D271" s="556">
        <f t="shared" si="24"/>
        <v>1038</v>
      </c>
      <c r="E271" s="556">
        <f t="shared" si="25"/>
        <v>1038</v>
      </c>
      <c r="F271" s="556">
        <f t="shared" si="26"/>
        <v>1038</v>
      </c>
      <c r="G271" s="556">
        <f t="shared" si="27"/>
        <v>1038</v>
      </c>
    </row>
    <row r="272" spans="1:7" ht="15.75">
      <c r="A272" s="625">
        <f t="shared" si="28"/>
        <v>10425</v>
      </c>
      <c r="B272" s="555">
        <v>10400</v>
      </c>
      <c r="C272" s="555">
        <v>10450</v>
      </c>
      <c r="D272" s="556">
        <f t="shared" si="24"/>
        <v>1043</v>
      </c>
      <c r="E272" s="556">
        <f t="shared" si="25"/>
        <v>1043</v>
      </c>
      <c r="F272" s="556">
        <f t="shared" si="26"/>
        <v>1043</v>
      </c>
      <c r="G272" s="556">
        <f t="shared" si="27"/>
        <v>1043</v>
      </c>
    </row>
    <row r="273" spans="1:7" ht="15.75">
      <c r="A273" s="625">
        <f t="shared" si="28"/>
        <v>10475</v>
      </c>
      <c r="B273" s="555">
        <v>10450</v>
      </c>
      <c r="C273" s="555">
        <v>10500</v>
      </c>
      <c r="D273" s="556">
        <f t="shared" si="24"/>
        <v>1048</v>
      </c>
      <c r="E273" s="556">
        <f t="shared" si="25"/>
        <v>1048</v>
      </c>
      <c r="F273" s="556">
        <f t="shared" si="26"/>
        <v>1048</v>
      </c>
      <c r="G273" s="556">
        <f t="shared" si="27"/>
        <v>1048</v>
      </c>
    </row>
    <row r="274" spans="1:7" ht="15.75">
      <c r="A274" s="625">
        <f t="shared" si="28"/>
        <v>10525</v>
      </c>
      <c r="B274" s="555">
        <v>10500</v>
      </c>
      <c r="C274" s="555">
        <v>10550</v>
      </c>
      <c r="D274" s="556">
        <f t="shared" si="24"/>
        <v>1053</v>
      </c>
      <c r="E274" s="556">
        <f t="shared" si="25"/>
        <v>1053</v>
      </c>
      <c r="F274" s="556">
        <f t="shared" si="26"/>
        <v>1053</v>
      </c>
      <c r="G274" s="556">
        <f t="shared" si="27"/>
        <v>1053</v>
      </c>
    </row>
    <row r="275" spans="1:7" ht="15.75">
      <c r="A275" s="625">
        <f t="shared" si="28"/>
        <v>10575</v>
      </c>
      <c r="B275" s="555">
        <v>10550</v>
      </c>
      <c r="C275" s="555">
        <v>10600</v>
      </c>
      <c r="D275" s="556">
        <f t="shared" si="24"/>
        <v>1058</v>
      </c>
      <c r="E275" s="556">
        <f t="shared" si="25"/>
        <v>1058</v>
      </c>
      <c r="F275" s="556">
        <f t="shared" si="26"/>
        <v>1058</v>
      </c>
      <c r="G275" s="556">
        <f t="shared" si="27"/>
        <v>1058</v>
      </c>
    </row>
    <row r="276" spans="1:7" ht="15.75">
      <c r="A276" s="625">
        <f t="shared" si="28"/>
        <v>10625</v>
      </c>
      <c r="B276" s="555">
        <v>10600</v>
      </c>
      <c r="C276" s="555">
        <v>10650</v>
      </c>
      <c r="D276" s="556">
        <f t="shared" si="24"/>
        <v>1063</v>
      </c>
      <c r="E276" s="556">
        <f t="shared" si="25"/>
        <v>1063</v>
      </c>
      <c r="F276" s="556">
        <f t="shared" si="26"/>
        <v>1063</v>
      </c>
      <c r="G276" s="556">
        <f t="shared" si="27"/>
        <v>1063</v>
      </c>
    </row>
    <row r="277" spans="1:7" ht="15.75">
      <c r="A277" s="625">
        <f t="shared" si="28"/>
        <v>10675</v>
      </c>
      <c r="B277" s="555">
        <v>10650</v>
      </c>
      <c r="C277" s="555">
        <v>10700</v>
      </c>
      <c r="D277" s="556">
        <f t="shared" si="24"/>
        <v>1068</v>
      </c>
      <c r="E277" s="556">
        <f t="shared" si="25"/>
        <v>1068</v>
      </c>
      <c r="F277" s="556">
        <f t="shared" si="26"/>
        <v>1068</v>
      </c>
      <c r="G277" s="556">
        <f t="shared" si="27"/>
        <v>1068</v>
      </c>
    </row>
    <row r="278" spans="1:7" ht="15.75">
      <c r="A278" s="625">
        <f t="shared" si="28"/>
        <v>10725</v>
      </c>
      <c r="B278" s="555">
        <v>10700</v>
      </c>
      <c r="C278" s="555">
        <v>10750</v>
      </c>
      <c r="D278" s="556">
        <f t="shared" si="24"/>
        <v>1073</v>
      </c>
      <c r="E278" s="556">
        <f t="shared" si="25"/>
        <v>1073</v>
      </c>
      <c r="F278" s="556">
        <f t="shared" si="26"/>
        <v>1073</v>
      </c>
      <c r="G278" s="556">
        <f t="shared" si="27"/>
        <v>1073</v>
      </c>
    </row>
    <row r="279" spans="1:7" ht="15.75">
      <c r="A279" s="625">
        <f t="shared" si="28"/>
        <v>10775</v>
      </c>
      <c r="B279" s="555">
        <v>10750</v>
      </c>
      <c r="C279" s="555">
        <v>10800</v>
      </c>
      <c r="D279" s="556">
        <f t="shared" si="24"/>
        <v>1078</v>
      </c>
      <c r="E279" s="556">
        <f t="shared" si="25"/>
        <v>1078</v>
      </c>
      <c r="F279" s="556">
        <f t="shared" si="26"/>
        <v>1078</v>
      </c>
      <c r="G279" s="556">
        <f t="shared" si="27"/>
        <v>1078</v>
      </c>
    </row>
    <row r="280" spans="1:7" ht="15.75">
      <c r="A280" s="625">
        <f t="shared" si="28"/>
        <v>10825</v>
      </c>
      <c r="B280" s="555">
        <v>10800</v>
      </c>
      <c r="C280" s="555">
        <v>10850</v>
      </c>
      <c r="D280" s="556">
        <f t="shared" si="24"/>
        <v>1083</v>
      </c>
      <c r="E280" s="556">
        <f t="shared" si="25"/>
        <v>1083</v>
      </c>
      <c r="F280" s="556">
        <f t="shared" si="26"/>
        <v>1083</v>
      </c>
      <c r="G280" s="556">
        <f t="shared" si="27"/>
        <v>1083</v>
      </c>
    </row>
    <row r="281" spans="1:7" ht="15.75">
      <c r="A281" s="625">
        <f t="shared" si="28"/>
        <v>10875</v>
      </c>
      <c r="B281" s="555">
        <v>10850</v>
      </c>
      <c r="C281" s="555">
        <v>10900</v>
      </c>
      <c r="D281" s="556">
        <f t="shared" si="24"/>
        <v>1088</v>
      </c>
      <c r="E281" s="556">
        <f t="shared" si="25"/>
        <v>1088</v>
      </c>
      <c r="F281" s="556">
        <f t="shared" si="26"/>
        <v>1088</v>
      </c>
      <c r="G281" s="556">
        <f t="shared" si="27"/>
        <v>1088</v>
      </c>
    </row>
    <row r="282" spans="1:7" ht="15.75">
      <c r="A282" s="625">
        <f t="shared" si="28"/>
        <v>10925</v>
      </c>
      <c r="B282" s="555">
        <v>10900</v>
      </c>
      <c r="C282" s="555">
        <v>10950</v>
      </c>
      <c r="D282" s="556">
        <f t="shared" si="24"/>
        <v>1093</v>
      </c>
      <c r="E282" s="556">
        <f t="shared" si="25"/>
        <v>1093</v>
      </c>
      <c r="F282" s="556">
        <f t="shared" si="26"/>
        <v>1093</v>
      </c>
      <c r="G282" s="556">
        <f t="shared" si="27"/>
        <v>1093</v>
      </c>
    </row>
    <row r="283" spans="1:7" ht="15.75">
      <c r="A283" s="625">
        <f t="shared" si="28"/>
        <v>10975</v>
      </c>
      <c r="B283" s="555">
        <v>10950</v>
      </c>
      <c r="C283" s="555">
        <v>11000</v>
      </c>
      <c r="D283" s="556">
        <f t="shared" si="24"/>
        <v>1098</v>
      </c>
      <c r="E283" s="556">
        <f t="shared" si="25"/>
        <v>1098</v>
      </c>
      <c r="F283" s="556">
        <f t="shared" si="26"/>
        <v>1098</v>
      </c>
      <c r="G283" s="556">
        <f t="shared" si="27"/>
        <v>1098</v>
      </c>
    </row>
    <row r="284" spans="1:7" ht="15.75">
      <c r="A284" s="625">
        <f t="shared" si="28"/>
        <v>11025</v>
      </c>
      <c r="B284" s="555">
        <v>11000</v>
      </c>
      <c r="C284" s="555">
        <v>11050</v>
      </c>
      <c r="D284" s="556">
        <f t="shared" si="24"/>
        <v>1103</v>
      </c>
      <c r="E284" s="556">
        <f t="shared" si="25"/>
        <v>1103</v>
      </c>
      <c r="F284" s="556">
        <f t="shared" si="26"/>
        <v>1103</v>
      </c>
      <c r="G284" s="556">
        <f t="shared" si="27"/>
        <v>1103</v>
      </c>
    </row>
    <row r="285" spans="1:7" ht="15.75">
      <c r="A285" s="625">
        <f t="shared" si="28"/>
        <v>11075</v>
      </c>
      <c r="B285" s="555">
        <v>11050</v>
      </c>
      <c r="C285" s="555">
        <v>11100</v>
      </c>
      <c r="D285" s="556">
        <f t="shared" si="24"/>
        <v>1108</v>
      </c>
      <c r="E285" s="556">
        <f t="shared" si="25"/>
        <v>1108</v>
      </c>
      <c r="F285" s="556">
        <f t="shared" si="26"/>
        <v>1108</v>
      </c>
      <c r="G285" s="556">
        <f t="shared" si="27"/>
        <v>1108</v>
      </c>
    </row>
    <row r="286" spans="1:7" ht="15.75">
      <c r="A286" s="625">
        <f t="shared" si="28"/>
        <v>11125</v>
      </c>
      <c r="B286" s="555">
        <v>11100</v>
      </c>
      <c r="C286" s="555">
        <v>11150</v>
      </c>
      <c r="D286" s="556">
        <f t="shared" si="24"/>
        <v>1113</v>
      </c>
      <c r="E286" s="556">
        <f t="shared" si="25"/>
        <v>1113</v>
      </c>
      <c r="F286" s="556">
        <f t="shared" si="26"/>
        <v>1113</v>
      </c>
      <c r="G286" s="556">
        <f t="shared" si="27"/>
        <v>1113</v>
      </c>
    </row>
    <row r="287" spans="1:7" ht="15.75">
      <c r="A287" s="625">
        <f t="shared" si="28"/>
        <v>11175</v>
      </c>
      <c r="B287" s="555">
        <v>11150</v>
      </c>
      <c r="C287" s="555">
        <v>11200</v>
      </c>
      <c r="D287" s="556">
        <f t="shared" si="24"/>
        <v>1118</v>
      </c>
      <c r="E287" s="556">
        <f t="shared" si="25"/>
        <v>1118</v>
      </c>
      <c r="F287" s="556">
        <f t="shared" si="26"/>
        <v>1118</v>
      </c>
      <c r="G287" s="556">
        <f t="shared" si="27"/>
        <v>1118</v>
      </c>
    </row>
    <row r="288" spans="1:7" ht="15.75">
      <c r="A288" s="625">
        <f t="shared" si="28"/>
        <v>11225</v>
      </c>
      <c r="B288" s="555">
        <v>11200</v>
      </c>
      <c r="C288" s="555">
        <v>11250</v>
      </c>
      <c r="D288" s="556">
        <f t="shared" si="24"/>
        <v>1123</v>
      </c>
      <c r="E288" s="556">
        <f t="shared" si="25"/>
        <v>1123</v>
      </c>
      <c r="F288" s="556">
        <f t="shared" si="26"/>
        <v>1123</v>
      </c>
      <c r="G288" s="556">
        <f t="shared" si="27"/>
        <v>1123</v>
      </c>
    </row>
    <row r="289" spans="1:7" ht="15.75">
      <c r="A289" s="625">
        <f t="shared" si="28"/>
        <v>11275</v>
      </c>
      <c r="B289" s="555">
        <v>11250</v>
      </c>
      <c r="C289" s="555">
        <v>11300</v>
      </c>
      <c r="D289" s="556">
        <f t="shared" si="24"/>
        <v>1128</v>
      </c>
      <c r="E289" s="556">
        <f t="shared" si="25"/>
        <v>1128</v>
      </c>
      <c r="F289" s="556">
        <f t="shared" si="26"/>
        <v>1128</v>
      </c>
      <c r="G289" s="556">
        <f t="shared" si="27"/>
        <v>1128</v>
      </c>
    </row>
    <row r="290" spans="1:7" ht="15.75">
      <c r="A290" s="625">
        <f t="shared" si="28"/>
        <v>11325</v>
      </c>
      <c r="B290" s="555">
        <v>11300</v>
      </c>
      <c r="C290" s="555">
        <v>11350</v>
      </c>
      <c r="D290" s="556">
        <f t="shared" si="24"/>
        <v>1133</v>
      </c>
      <c r="E290" s="556">
        <f t="shared" si="25"/>
        <v>1133</v>
      </c>
      <c r="F290" s="556">
        <f t="shared" si="26"/>
        <v>1133</v>
      </c>
      <c r="G290" s="556">
        <f t="shared" si="27"/>
        <v>1133</v>
      </c>
    </row>
    <row r="291" spans="1:7" ht="15.75">
      <c r="A291" s="625">
        <f t="shared" si="28"/>
        <v>11375</v>
      </c>
      <c r="B291" s="555">
        <v>11350</v>
      </c>
      <c r="C291" s="555">
        <v>11400</v>
      </c>
      <c r="D291" s="556">
        <f t="shared" si="24"/>
        <v>1138</v>
      </c>
      <c r="E291" s="556">
        <f t="shared" si="25"/>
        <v>1138</v>
      </c>
      <c r="F291" s="556">
        <f t="shared" si="26"/>
        <v>1138</v>
      </c>
      <c r="G291" s="556">
        <f t="shared" si="27"/>
        <v>1138</v>
      </c>
    </row>
    <row r="292" spans="1:7" ht="15.75">
      <c r="A292" s="625">
        <f t="shared" si="28"/>
        <v>11425</v>
      </c>
      <c r="B292" s="555">
        <v>11400</v>
      </c>
      <c r="C292" s="555">
        <v>11450</v>
      </c>
      <c r="D292" s="556">
        <f t="shared" si="24"/>
        <v>1143</v>
      </c>
      <c r="E292" s="556">
        <f t="shared" si="25"/>
        <v>1143</v>
      </c>
      <c r="F292" s="556">
        <f t="shared" si="26"/>
        <v>1143</v>
      </c>
      <c r="G292" s="556">
        <f t="shared" si="27"/>
        <v>1143</v>
      </c>
    </row>
    <row r="293" spans="1:7" ht="15.75">
      <c r="A293" s="625">
        <f t="shared" si="28"/>
        <v>11475</v>
      </c>
      <c r="B293" s="555">
        <v>11450</v>
      </c>
      <c r="C293" s="555">
        <v>11500</v>
      </c>
      <c r="D293" s="556">
        <f t="shared" si="24"/>
        <v>1148</v>
      </c>
      <c r="E293" s="556">
        <f t="shared" si="25"/>
        <v>1148</v>
      </c>
      <c r="F293" s="556">
        <f t="shared" si="26"/>
        <v>1148</v>
      </c>
      <c r="G293" s="556">
        <f t="shared" si="27"/>
        <v>1148</v>
      </c>
    </row>
    <row r="294" spans="1:7" ht="15.75">
      <c r="A294" s="625">
        <f t="shared" si="28"/>
        <v>11525</v>
      </c>
      <c r="B294" s="555">
        <v>11500</v>
      </c>
      <c r="C294" s="555">
        <v>11550</v>
      </c>
      <c r="D294" s="556">
        <f t="shared" si="24"/>
        <v>1153</v>
      </c>
      <c r="E294" s="556">
        <f t="shared" si="25"/>
        <v>1153</v>
      </c>
      <c r="F294" s="556">
        <f t="shared" si="26"/>
        <v>1153</v>
      </c>
      <c r="G294" s="556">
        <f t="shared" si="27"/>
        <v>1153</v>
      </c>
    </row>
    <row r="295" spans="1:7" ht="15.75">
      <c r="A295" s="625">
        <f t="shared" si="28"/>
        <v>11575</v>
      </c>
      <c r="B295" s="555">
        <v>11550</v>
      </c>
      <c r="C295" s="555">
        <v>11600</v>
      </c>
      <c r="D295" s="556">
        <f t="shared" si="24"/>
        <v>1158</v>
      </c>
      <c r="E295" s="556">
        <f t="shared" si="25"/>
        <v>1158</v>
      </c>
      <c r="F295" s="556">
        <f t="shared" si="26"/>
        <v>1158</v>
      </c>
      <c r="G295" s="556">
        <f t="shared" si="27"/>
        <v>1158</v>
      </c>
    </row>
    <row r="296" spans="1:7" ht="15.75">
      <c r="A296" s="625">
        <f t="shared" si="28"/>
        <v>11625</v>
      </c>
      <c r="B296" s="555">
        <v>11600</v>
      </c>
      <c r="C296" s="555">
        <v>11650</v>
      </c>
      <c r="D296" s="556">
        <f t="shared" si="24"/>
        <v>1163</v>
      </c>
      <c r="E296" s="556">
        <f t="shared" si="25"/>
        <v>1163</v>
      </c>
      <c r="F296" s="556">
        <f t="shared" si="26"/>
        <v>1163</v>
      </c>
      <c r="G296" s="556">
        <f t="shared" si="27"/>
        <v>1163</v>
      </c>
    </row>
    <row r="297" spans="1:7" ht="15.75">
      <c r="A297" s="625">
        <f t="shared" si="28"/>
        <v>11675</v>
      </c>
      <c r="B297" s="555">
        <v>11650</v>
      </c>
      <c r="C297" s="555">
        <v>11700</v>
      </c>
      <c r="D297" s="556">
        <f t="shared" si="24"/>
        <v>1168</v>
      </c>
      <c r="E297" s="556">
        <f t="shared" si="25"/>
        <v>1168</v>
      </c>
      <c r="F297" s="556">
        <f t="shared" si="26"/>
        <v>1168</v>
      </c>
      <c r="G297" s="556">
        <f t="shared" si="27"/>
        <v>1168</v>
      </c>
    </row>
    <row r="298" spans="1:7" ht="15.75">
      <c r="A298" s="625">
        <f t="shared" si="28"/>
        <v>11725</v>
      </c>
      <c r="B298" s="555">
        <v>11700</v>
      </c>
      <c r="C298" s="555">
        <v>11750</v>
      </c>
      <c r="D298" s="556">
        <f t="shared" si="24"/>
        <v>1173</v>
      </c>
      <c r="E298" s="556">
        <f t="shared" si="25"/>
        <v>1173</v>
      </c>
      <c r="F298" s="556">
        <f t="shared" si="26"/>
        <v>1173</v>
      </c>
      <c r="G298" s="556">
        <f t="shared" si="27"/>
        <v>1173</v>
      </c>
    </row>
    <row r="299" spans="1:7" ht="15.75">
      <c r="A299" s="625">
        <f t="shared" si="28"/>
        <v>11775</v>
      </c>
      <c r="B299" s="555">
        <v>11750</v>
      </c>
      <c r="C299" s="555">
        <v>11800</v>
      </c>
      <c r="D299" s="556">
        <f t="shared" si="24"/>
        <v>1178</v>
      </c>
      <c r="E299" s="556">
        <f t="shared" si="25"/>
        <v>1178</v>
      </c>
      <c r="F299" s="556">
        <f t="shared" si="26"/>
        <v>1178</v>
      </c>
      <c r="G299" s="556">
        <f t="shared" si="27"/>
        <v>1178</v>
      </c>
    </row>
    <row r="300" spans="1:7" ht="15.75">
      <c r="A300" s="625">
        <f t="shared" si="28"/>
        <v>11825</v>
      </c>
      <c r="B300" s="555">
        <v>11800</v>
      </c>
      <c r="C300" s="555">
        <v>11850</v>
      </c>
      <c r="D300" s="556">
        <f t="shared" si="24"/>
        <v>1183</v>
      </c>
      <c r="E300" s="556">
        <f t="shared" si="25"/>
        <v>1183</v>
      </c>
      <c r="F300" s="556">
        <f t="shared" si="26"/>
        <v>1183</v>
      </c>
      <c r="G300" s="556">
        <f t="shared" si="27"/>
        <v>1183</v>
      </c>
    </row>
    <row r="301" spans="1:7" ht="15.75">
      <c r="A301" s="625">
        <f t="shared" si="28"/>
        <v>11875</v>
      </c>
      <c r="B301" s="555">
        <v>11850</v>
      </c>
      <c r="C301" s="555">
        <v>11900</v>
      </c>
      <c r="D301" s="556">
        <f t="shared" si="24"/>
        <v>1188</v>
      </c>
      <c r="E301" s="556">
        <f t="shared" si="25"/>
        <v>1188</v>
      </c>
      <c r="F301" s="556">
        <f t="shared" si="26"/>
        <v>1188</v>
      </c>
      <c r="G301" s="556">
        <f t="shared" si="27"/>
        <v>1188</v>
      </c>
    </row>
    <row r="302" spans="1:7" ht="15.75">
      <c r="A302" s="625">
        <f t="shared" si="28"/>
        <v>11925</v>
      </c>
      <c r="B302" s="555">
        <v>11900</v>
      </c>
      <c r="C302" s="555">
        <v>11950</v>
      </c>
      <c r="D302" s="556">
        <f t="shared" si="24"/>
        <v>1193</v>
      </c>
      <c r="E302" s="556">
        <f t="shared" si="25"/>
        <v>1193</v>
      </c>
      <c r="F302" s="556">
        <f t="shared" si="26"/>
        <v>1193</v>
      </c>
      <c r="G302" s="556">
        <f t="shared" si="27"/>
        <v>1193</v>
      </c>
    </row>
    <row r="303" spans="1:7" ht="15.75">
      <c r="A303" s="625">
        <f t="shared" si="28"/>
        <v>11975</v>
      </c>
      <c r="B303" s="555">
        <v>11950</v>
      </c>
      <c r="C303" s="555">
        <v>12000</v>
      </c>
      <c r="D303" s="556">
        <f t="shared" si="24"/>
        <v>1199</v>
      </c>
      <c r="E303" s="556">
        <f t="shared" si="25"/>
        <v>1198</v>
      </c>
      <c r="F303" s="556">
        <f t="shared" si="26"/>
        <v>1199</v>
      </c>
      <c r="G303" s="556">
        <f t="shared" si="27"/>
        <v>1198</v>
      </c>
    </row>
    <row r="304" spans="1:7" ht="15.75">
      <c r="A304" s="625">
        <f t="shared" si="28"/>
        <v>12025</v>
      </c>
      <c r="B304" s="555">
        <v>12000</v>
      </c>
      <c r="C304" s="555">
        <v>12050</v>
      </c>
      <c r="D304" s="556">
        <f t="shared" si="24"/>
        <v>1205</v>
      </c>
      <c r="E304" s="556">
        <f t="shared" si="25"/>
        <v>1203</v>
      </c>
      <c r="F304" s="556">
        <f t="shared" si="26"/>
        <v>1205</v>
      </c>
      <c r="G304" s="556">
        <f t="shared" si="27"/>
        <v>1203</v>
      </c>
    </row>
    <row r="305" spans="1:7" ht="15.75">
      <c r="A305" s="625">
        <f t="shared" si="28"/>
        <v>12075</v>
      </c>
      <c r="B305" s="555">
        <v>12050</v>
      </c>
      <c r="C305" s="555">
        <v>12100</v>
      </c>
      <c r="D305" s="556">
        <f t="shared" si="24"/>
        <v>1211</v>
      </c>
      <c r="E305" s="556">
        <f t="shared" si="25"/>
        <v>1208</v>
      </c>
      <c r="F305" s="556">
        <f t="shared" si="26"/>
        <v>1211</v>
      </c>
      <c r="G305" s="556">
        <f t="shared" si="27"/>
        <v>1208</v>
      </c>
    </row>
    <row r="306" spans="1:7" ht="15.75">
      <c r="A306" s="625">
        <f t="shared" si="28"/>
        <v>12125</v>
      </c>
      <c r="B306" s="555">
        <v>12100</v>
      </c>
      <c r="C306" s="555">
        <v>12150</v>
      </c>
      <c r="D306" s="556">
        <f t="shared" si="24"/>
        <v>1217</v>
      </c>
      <c r="E306" s="556">
        <f t="shared" si="25"/>
        <v>1213</v>
      </c>
      <c r="F306" s="556">
        <f t="shared" si="26"/>
        <v>1217</v>
      </c>
      <c r="G306" s="556">
        <f t="shared" si="27"/>
        <v>1213</v>
      </c>
    </row>
    <row r="307" spans="1:7" ht="15.75">
      <c r="A307" s="625">
        <f t="shared" si="28"/>
        <v>12175</v>
      </c>
      <c r="B307" s="555">
        <v>12150</v>
      </c>
      <c r="C307" s="555">
        <v>12200</v>
      </c>
      <c r="D307" s="556">
        <f t="shared" si="24"/>
        <v>1223</v>
      </c>
      <c r="E307" s="556">
        <f t="shared" si="25"/>
        <v>1218</v>
      </c>
      <c r="F307" s="556">
        <f t="shared" si="26"/>
        <v>1223</v>
      </c>
      <c r="G307" s="556">
        <f t="shared" si="27"/>
        <v>1218</v>
      </c>
    </row>
    <row r="308" spans="1:7" ht="15.75">
      <c r="A308" s="625">
        <f t="shared" si="28"/>
        <v>12225</v>
      </c>
      <c r="B308" s="555">
        <v>12200</v>
      </c>
      <c r="C308" s="555">
        <v>12250</v>
      </c>
      <c r="D308" s="556">
        <f t="shared" si="24"/>
        <v>1229</v>
      </c>
      <c r="E308" s="556">
        <f t="shared" si="25"/>
        <v>1223</v>
      </c>
      <c r="F308" s="556">
        <f t="shared" si="26"/>
        <v>1229</v>
      </c>
      <c r="G308" s="556">
        <f t="shared" si="27"/>
        <v>1223</v>
      </c>
    </row>
    <row r="309" spans="1:7" ht="15.75">
      <c r="A309" s="625">
        <f t="shared" si="28"/>
        <v>12275</v>
      </c>
      <c r="B309" s="555">
        <v>12250</v>
      </c>
      <c r="C309" s="555">
        <v>12300</v>
      </c>
      <c r="D309" s="556">
        <f t="shared" si="24"/>
        <v>1235</v>
      </c>
      <c r="E309" s="556">
        <f t="shared" si="25"/>
        <v>1228</v>
      </c>
      <c r="F309" s="556">
        <f t="shared" si="26"/>
        <v>1235</v>
      </c>
      <c r="G309" s="556">
        <f t="shared" si="27"/>
        <v>1228</v>
      </c>
    </row>
    <row r="310" spans="1:7" ht="15.75">
      <c r="A310" s="625">
        <f t="shared" si="28"/>
        <v>12325</v>
      </c>
      <c r="B310" s="555">
        <v>12300</v>
      </c>
      <c r="C310" s="555">
        <v>12350</v>
      </c>
      <c r="D310" s="556">
        <f t="shared" si="24"/>
        <v>1241</v>
      </c>
      <c r="E310" s="556">
        <f t="shared" si="25"/>
        <v>1233</v>
      </c>
      <c r="F310" s="556">
        <f t="shared" si="26"/>
        <v>1241</v>
      </c>
      <c r="G310" s="556">
        <f t="shared" si="27"/>
        <v>1233</v>
      </c>
    </row>
    <row r="311" spans="1:7" ht="15.75">
      <c r="A311" s="625">
        <f t="shared" si="28"/>
        <v>12375</v>
      </c>
      <c r="B311" s="555">
        <v>12350</v>
      </c>
      <c r="C311" s="555">
        <v>12400</v>
      </c>
      <c r="D311" s="556">
        <f t="shared" si="24"/>
        <v>1247</v>
      </c>
      <c r="E311" s="556">
        <f t="shared" si="25"/>
        <v>1238</v>
      </c>
      <c r="F311" s="556">
        <f t="shared" si="26"/>
        <v>1247</v>
      </c>
      <c r="G311" s="556">
        <f t="shared" si="27"/>
        <v>1238</v>
      </c>
    </row>
    <row r="312" spans="1:7" ht="15.75">
      <c r="A312" s="625">
        <f t="shared" si="28"/>
        <v>12425</v>
      </c>
      <c r="B312" s="555">
        <v>12400</v>
      </c>
      <c r="C312" s="555">
        <v>12450</v>
      </c>
      <c r="D312" s="556">
        <f t="shared" si="24"/>
        <v>1253</v>
      </c>
      <c r="E312" s="556">
        <f t="shared" si="25"/>
        <v>1243</v>
      </c>
      <c r="F312" s="556">
        <f t="shared" si="26"/>
        <v>1253</v>
      </c>
      <c r="G312" s="556">
        <f t="shared" si="27"/>
        <v>1243</v>
      </c>
    </row>
    <row r="313" spans="1:7" ht="15.75">
      <c r="A313" s="625">
        <f t="shared" si="28"/>
        <v>12475</v>
      </c>
      <c r="B313" s="555">
        <v>12450</v>
      </c>
      <c r="C313" s="555">
        <v>12500</v>
      </c>
      <c r="D313" s="556">
        <f t="shared" si="24"/>
        <v>1259</v>
      </c>
      <c r="E313" s="556">
        <f t="shared" si="25"/>
        <v>1248</v>
      </c>
      <c r="F313" s="556">
        <f t="shared" si="26"/>
        <v>1259</v>
      </c>
      <c r="G313" s="556">
        <f t="shared" si="27"/>
        <v>1248</v>
      </c>
    </row>
    <row r="314" spans="1:7" ht="15.75">
      <c r="A314" s="625">
        <f t="shared" si="28"/>
        <v>12525</v>
      </c>
      <c r="B314" s="555">
        <v>12500</v>
      </c>
      <c r="C314" s="555">
        <v>12550</v>
      </c>
      <c r="D314" s="556">
        <f t="shared" si="24"/>
        <v>1265</v>
      </c>
      <c r="E314" s="556">
        <f t="shared" si="25"/>
        <v>1253</v>
      </c>
      <c r="F314" s="556">
        <f t="shared" si="26"/>
        <v>1265</v>
      </c>
      <c r="G314" s="556">
        <f t="shared" si="27"/>
        <v>1253</v>
      </c>
    </row>
    <row r="315" spans="1:7" ht="15.75">
      <c r="A315" s="625">
        <f t="shared" si="28"/>
        <v>12575</v>
      </c>
      <c r="B315" s="555">
        <v>12550</v>
      </c>
      <c r="C315" s="555">
        <v>12600</v>
      </c>
      <c r="D315" s="556">
        <f t="shared" si="24"/>
        <v>1271</v>
      </c>
      <c r="E315" s="556">
        <f t="shared" si="25"/>
        <v>1258</v>
      </c>
      <c r="F315" s="556">
        <f t="shared" si="26"/>
        <v>1271</v>
      </c>
      <c r="G315" s="556">
        <f t="shared" si="27"/>
        <v>1258</v>
      </c>
    </row>
    <row r="316" spans="1:7" ht="15.75">
      <c r="A316" s="625">
        <f t="shared" si="28"/>
        <v>12625</v>
      </c>
      <c r="B316" s="555">
        <v>12600</v>
      </c>
      <c r="C316" s="555">
        <v>12650</v>
      </c>
      <c r="D316" s="556">
        <f t="shared" si="24"/>
        <v>1277</v>
      </c>
      <c r="E316" s="556">
        <f t="shared" si="25"/>
        <v>1263</v>
      </c>
      <c r="F316" s="556">
        <f t="shared" si="26"/>
        <v>1277</v>
      </c>
      <c r="G316" s="556">
        <f t="shared" si="27"/>
        <v>1263</v>
      </c>
    </row>
    <row r="317" spans="1:7" ht="15.75">
      <c r="A317" s="625">
        <f t="shared" si="28"/>
        <v>12675</v>
      </c>
      <c r="B317" s="555">
        <v>12650</v>
      </c>
      <c r="C317" s="555">
        <v>12700</v>
      </c>
      <c r="D317" s="556">
        <f t="shared" si="24"/>
        <v>1283</v>
      </c>
      <c r="E317" s="556">
        <f t="shared" si="25"/>
        <v>1268</v>
      </c>
      <c r="F317" s="556">
        <f t="shared" si="26"/>
        <v>1283</v>
      </c>
      <c r="G317" s="556">
        <f t="shared" si="27"/>
        <v>1268</v>
      </c>
    </row>
    <row r="318" spans="1:7" ht="15.75">
      <c r="A318" s="625">
        <f t="shared" si="28"/>
        <v>12725</v>
      </c>
      <c r="B318" s="555">
        <v>12700</v>
      </c>
      <c r="C318" s="555">
        <v>12750</v>
      </c>
      <c r="D318" s="556">
        <f t="shared" si="24"/>
        <v>1289</v>
      </c>
      <c r="E318" s="556">
        <f t="shared" si="25"/>
        <v>1273</v>
      </c>
      <c r="F318" s="556">
        <f t="shared" si="26"/>
        <v>1289</v>
      </c>
      <c r="G318" s="556">
        <f t="shared" si="27"/>
        <v>1273</v>
      </c>
    </row>
    <row r="319" spans="1:7" ht="15.75">
      <c r="A319" s="625">
        <f t="shared" si="28"/>
        <v>12775</v>
      </c>
      <c r="B319" s="555">
        <v>12750</v>
      </c>
      <c r="C319" s="555">
        <v>12800</v>
      </c>
      <c r="D319" s="556">
        <f t="shared" si="24"/>
        <v>1295</v>
      </c>
      <c r="E319" s="556">
        <f t="shared" si="25"/>
        <v>1278</v>
      </c>
      <c r="F319" s="556">
        <f t="shared" si="26"/>
        <v>1295</v>
      </c>
      <c r="G319" s="556">
        <f t="shared" si="27"/>
        <v>1278</v>
      </c>
    </row>
    <row r="320" spans="1:7" ht="15.75">
      <c r="A320" s="625">
        <f t="shared" si="28"/>
        <v>12825</v>
      </c>
      <c r="B320" s="555">
        <v>12800</v>
      </c>
      <c r="C320" s="555">
        <v>12850</v>
      </c>
      <c r="D320" s="556">
        <f t="shared" si="24"/>
        <v>1301</v>
      </c>
      <c r="E320" s="556">
        <f t="shared" si="25"/>
        <v>1283</v>
      </c>
      <c r="F320" s="556">
        <f t="shared" si="26"/>
        <v>1301</v>
      </c>
      <c r="G320" s="556">
        <f t="shared" si="27"/>
        <v>1283</v>
      </c>
    </row>
    <row r="321" spans="1:7" ht="15.75">
      <c r="A321" s="625">
        <f t="shared" si="28"/>
        <v>12875</v>
      </c>
      <c r="B321" s="555">
        <v>12850</v>
      </c>
      <c r="C321" s="555">
        <v>12900</v>
      </c>
      <c r="D321" s="556">
        <f t="shared" si="24"/>
        <v>1307</v>
      </c>
      <c r="E321" s="556">
        <f t="shared" si="25"/>
        <v>1288</v>
      </c>
      <c r="F321" s="556">
        <f t="shared" si="26"/>
        <v>1307</v>
      </c>
      <c r="G321" s="556">
        <f t="shared" si="27"/>
        <v>1288</v>
      </c>
    </row>
    <row r="322" spans="1:7" ht="15.75">
      <c r="A322" s="625">
        <f t="shared" si="28"/>
        <v>12925</v>
      </c>
      <c r="B322" s="555">
        <v>12900</v>
      </c>
      <c r="C322" s="555">
        <v>12950</v>
      </c>
      <c r="D322" s="556">
        <f t="shared" ref="D322:D385" si="29">IF($A322&gt;BOTT_A4,ROUND(BASE_A4+RATE_A4*($A322-BOTT_A4),0),IF($A322&gt;BOTT_A3,ROUND(BASE_A3+RATE_A3*($A322-BOTT_A3),0),IF($A322&gt;BOTT_A2,ROUND(BASE_A2+RATE_A2*($A322-BOTT_A2),0),ROUND(RATE_A1*$A322,0))))</f>
        <v>1313</v>
      </c>
      <c r="E322" s="556">
        <f t="shared" ref="E322:E385" si="30">IF($A322&gt;BOTT_B4,ROUND(BASE_B4+RATE_B4*($A322-BOTT_B4),0),IF($A322&gt;BOTT_B3,ROUND(BASE_B3+RATE_B3*($A322-BOTT_B3),0),IF($A322&gt;BOTT_B2,ROUND(BASE_B2+RATE_B2*($A322-BOTT_B2),0),ROUND(RATE_B1*$A322,0))))</f>
        <v>1293</v>
      </c>
      <c r="F322" s="556">
        <f t="shared" ref="F322:F385" si="31">IF($A322&gt;BOTT_C4,ROUND(BASE_C4+RATE_C4*($A322-BOTT_C4),0),IF($A322&gt;BOTT_C3,ROUND(BASE_C3+RATE_C3*($A322-BOTT_C3),0),IF($A322&gt;BOTT_C2,ROUND(BASE_C2+RATE_C2*($A322-BOTT_C2),0),ROUND(RATE_C1*$A322,0))))</f>
        <v>1313</v>
      </c>
      <c r="G322" s="556">
        <f t="shared" ref="G322:G385" si="32">IF($A322&gt;BOTT_D4,ROUND(BASE_D4+RATE_D4*($A322-BOTT_D4),0),IF($A322&gt;BOTT_D3,ROUND(BASE_D3+RATE_D3*($A322-BOTT_D3),0),IF($A322&gt;BOTT_D2,ROUND(BASE_D2+RATE_D2*($A322-BOTT_D2),0),ROUND(RATE_D1*$A322,0))))</f>
        <v>1293</v>
      </c>
    </row>
    <row r="323" spans="1:7" ht="15.75">
      <c r="A323" s="625">
        <f t="shared" ref="A323:A386" si="33">AVERAGE(B323,C323)</f>
        <v>12975</v>
      </c>
      <c r="B323" s="555">
        <v>12950</v>
      </c>
      <c r="C323" s="555">
        <v>13000</v>
      </c>
      <c r="D323" s="556">
        <f t="shared" si="29"/>
        <v>1319</v>
      </c>
      <c r="E323" s="556">
        <f t="shared" si="30"/>
        <v>1298</v>
      </c>
      <c r="F323" s="556">
        <f t="shared" si="31"/>
        <v>1319</v>
      </c>
      <c r="G323" s="556">
        <f t="shared" si="32"/>
        <v>1298</v>
      </c>
    </row>
    <row r="324" spans="1:7" ht="15.75">
      <c r="A324" s="625">
        <f t="shared" si="33"/>
        <v>13025</v>
      </c>
      <c r="B324" s="555">
        <v>13000</v>
      </c>
      <c r="C324" s="555">
        <v>13050</v>
      </c>
      <c r="D324" s="556">
        <f t="shared" si="29"/>
        <v>1325</v>
      </c>
      <c r="E324" s="556">
        <f t="shared" si="30"/>
        <v>1303</v>
      </c>
      <c r="F324" s="556">
        <f t="shared" si="31"/>
        <v>1325</v>
      </c>
      <c r="G324" s="556">
        <f t="shared" si="32"/>
        <v>1303</v>
      </c>
    </row>
    <row r="325" spans="1:7" ht="15.75">
      <c r="A325" s="625">
        <f t="shared" si="33"/>
        <v>13075</v>
      </c>
      <c r="B325" s="555">
        <v>13050</v>
      </c>
      <c r="C325" s="555">
        <v>13100</v>
      </c>
      <c r="D325" s="556">
        <f t="shared" si="29"/>
        <v>1331</v>
      </c>
      <c r="E325" s="556">
        <f t="shared" si="30"/>
        <v>1308</v>
      </c>
      <c r="F325" s="556">
        <f t="shared" si="31"/>
        <v>1331</v>
      </c>
      <c r="G325" s="556">
        <f t="shared" si="32"/>
        <v>1308</v>
      </c>
    </row>
    <row r="326" spans="1:7" ht="15.75">
      <c r="A326" s="625">
        <f t="shared" si="33"/>
        <v>13125</v>
      </c>
      <c r="B326" s="555">
        <v>13100</v>
      </c>
      <c r="C326" s="555">
        <v>13150</v>
      </c>
      <c r="D326" s="556">
        <f t="shared" si="29"/>
        <v>1337</v>
      </c>
      <c r="E326" s="556">
        <f t="shared" si="30"/>
        <v>1313</v>
      </c>
      <c r="F326" s="556">
        <f t="shared" si="31"/>
        <v>1337</v>
      </c>
      <c r="G326" s="556">
        <f t="shared" si="32"/>
        <v>1313</v>
      </c>
    </row>
    <row r="327" spans="1:7" ht="15.75">
      <c r="A327" s="625">
        <f t="shared" si="33"/>
        <v>13175</v>
      </c>
      <c r="B327" s="555">
        <v>13150</v>
      </c>
      <c r="C327" s="555">
        <v>13200</v>
      </c>
      <c r="D327" s="556">
        <f t="shared" si="29"/>
        <v>1343</v>
      </c>
      <c r="E327" s="556">
        <f t="shared" si="30"/>
        <v>1318</v>
      </c>
      <c r="F327" s="556">
        <f t="shared" si="31"/>
        <v>1343</v>
      </c>
      <c r="G327" s="556">
        <f t="shared" si="32"/>
        <v>1318</v>
      </c>
    </row>
    <row r="328" spans="1:7" ht="15.75">
      <c r="A328" s="625">
        <f t="shared" si="33"/>
        <v>13225</v>
      </c>
      <c r="B328" s="555">
        <v>13200</v>
      </c>
      <c r="C328" s="555">
        <v>13250</v>
      </c>
      <c r="D328" s="556">
        <f t="shared" si="29"/>
        <v>1349</v>
      </c>
      <c r="E328" s="556">
        <f t="shared" si="30"/>
        <v>1323</v>
      </c>
      <c r="F328" s="556">
        <f t="shared" si="31"/>
        <v>1349</v>
      </c>
      <c r="G328" s="556">
        <f t="shared" si="32"/>
        <v>1323</v>
      </c>
    </row>
    <row r="329" spans="1:7" ht="15.75">
      <c r="A329" s="625">
        <f t="shared" si="33"/>
        <v>13275</v>
      </c>
      <c r="B329" s="555">
        <v>13250</v>
      </c>
      <c r="C329" s="555">
        <v>13300</v>
      </c>
      <c r="D329" s="556">
        <f t="shared" si="29"/>
        <v>1355</v>
      </c>
      <c r="E329" s="556">
        <f t="shared" si="30"/>
        <v>1328</v>
      </c>
      <c r="F329" s="556">
        <f t="shared" si="31"/>
        <v>1355</v>
      </c>
      <c r="G329" s="556">
        <f t="shared" si="32"/>
        <v>1328</v>
      </c>
    </row>
    <row r="330" spans="1:7" ht="15.75">
      <c r="A330" s="625">
        <f t="shared" si="33"/>
        <v>13325</v>
      </c>
      <c r="B330" s="555">
        <v>13300</v>
      </c>
      <c r="C330" s="555">
        <v>13350</v>
      </c>
      <c r="D330" s="556">
        <f t="shared" si="29"/>
        <v>1361</v>
      </c>
      <c r="E330" s="556">
        <f t="shared" si="30"/>
        <v>1333</v>
      </c>
      <c r="F330" s="556">
        <f t="shared" si="31"/>
        <v>1361</v>
      </c>
      <c r="G330" s="556">
        <f t="shared" si="32"/>
        <v>1333</v>
      </c>
    </row>
    <row r="331" spans="1:7" ht="15.75">
      <c r="A331" s="625">
        <f t="shared" si="33"/>
        <v>13375</v>
      </c>
      <c r="B331" s="555">
        <v>13350</v>
      </c>
      <c r="C331" s="555">
        <v>13400</v>
      </c>
      <c r="D331" s="556">
        <f t="shared" si="29"/>
        <v>1367</v>
      </c>
      <c r="E331" s="556">
        <f t="shared" si="30"/>
        <v>1338</v>
      </c>
      <c r="F331" s="556">
        <f t="shared" si="31"/>
        <v>1367</v>
      </c>
      <c r="G331" s="556">
        <f t="shared" si="32"/>
        <v>1338</v>
      </c>
    </row>
    <row r="332" spans="1:7" ht="15.75">
      <c r="A332" s="625">
        <f t="shared" si="33"/>
        <v>13425</v>
      </c>
      <c r="B332" s="555">
        <v>13400</v>
      </c>
      <c r="C332" s="555">
        <v>13450</v>
      </c>
      <c r="D332" s="556">
        <f t="shared" si="29"/>
        <v>1373</v>
      </c>
      <c r="E332" s="556">
        <f t="shared" si="30"/>
        <v>1343</v>
      </c>
      <c r="F332" s="556">
        <f t="shared" si="31"/>
        <v>1373</v>
      </c>
      <c r="G332" s="556">
        <f t="shared" si="32"/>
        <v>1343</v>
      </c>
    </row>
    <row r="333" spans="1:7" ht="15.75">
      <c r="A333" s="625">
        <f t="shared" si="33"/>
        <v>13475</v>
      </c>
      <c r="B333" s="555">
        <v>13450</v>
      </c>
      <c r="C333" s="555">
        <v>13500</v>
      </c>
      <c r="D333" s="556">
        <f t="shared" si="29"/>
        <v>1379</v>
      </c>
      <c r="E333" s="556">
        <f t="shared" si="30"/>
        <v>1348</v>
      </c>
      <c r="F333" s="556">
        <f t="shared" si="31"/>
        <v>1379</v>
      </c>
      <c r="G333" s="556">
        <f t="shared" si="32"/>
        <v>1348</v>
      </c>
    </row>
    <row r="334" spans="1:7" ht="15.75">
      <c r="A334" s="625">
        <f t="shared" si="33"/>
        <v>13525</v>
      </c>
      <c r="B334" s="555">
        <v>13500</v>
      </c>
      <c r="C334" s="555">
        <v>13550</v>
      </c>
      <c r="D334" s="556">
        <f t="shared" si="29"/>
        <v>1385</v>
      </c>
      <c r="E334" s="556">
        <f t="shared" si="30"/>
        <v>1353</v>
      </c>
      <c r="F334" s="556">
        <f t="shared" si="31"/>
        <v>1385</v>
      </c>
      <c r="G334" s="556">
        <f t="shared" si="32"/>
        <v>1353</v>
      </c>
    </row>
    <row r="335" spans="1:7" ht="15.75">
      <c r="A335" s="625">
        <f t="shared" si="33"/>
        <v>13575</v>
      </c>
      <c r="B335" s="555">
        <v>13550</v>
      </c>
      <c r="C335" s="555">
        <v>13600</v>
      </c>
      <c r="D335" s="556">
        <f t="shared" si="29"/>
        <v>1391</v>
      </c>
      <c r="E335" s="556">
        <f t="shared" si="30"/>
        <v>1358</v>
      </c>
      <c r="F335" s="556">
        <f t="shared" si="31"/>
        <v>1391</v>
      </c>
      <c r="G335" s="556">
        <f t="shared" si="32"/>
        <v>1358</v>
      </c>
    </row>
    <row r="336" spans="1:7" ht="15.75">
      <c r="A336" s="625">
        <f t="shared" si="33"/>
        <v>13625</v>
      </c>
      <c r="B336" s="555">
        <v>13600</v>
      </c>
      <c r="C336" s="555">
        <v>13650</v>
      </c>
      <c r="D336" s="556">
        <f t="shared" si="29"/>
        <v>1397</v>
      </c>
      <c r="E336" s="556">
        <f t="shared" si="30"/>
        <v>1363</v>
      </c>
      <c r="F336" s="556">
        <f t="shared" si="31"/>
        <v>1397</v>
      </c>
      <c r="G336" s="556">
        <f t="shared" si="32"/>
        <v>1363</v>
      </c>
    </row>
    <row r="337" spans="1:7" ht="15.75">
      <c r="A337" s="625">
        <f t="shared" si="33"/>
        <v>13675</v>
      </c>
      <c r="B337" s="555">
        <v>13650</v>
      </c>
      <c r="C337" s="555">
        <v>13700</v>
      </c>
      <c r="D337" s="556">
        <f t="shared" si="29"/>
        <v>1403</v>
      </c>
      <c r="E337" s="556">
        <f t="shared" si="30"/>
        <v>1368</v>
      </c>
      <c r="F337" s="556">
        <f t="shared" si="31"/>
        <v>1403</v>
      </c>
      <c r="G337" s="556">
        <f t="shared" si="32"/>
        <v>1368</v>
      </c>
    </row>
    <row r="338" spans="1:7" ht="15.75">
      <c r="A338" s="625">
        <f t="shared" si="33"/>
        <v>13725</v>
      </c>
      <c r="B338" s="555">
        <v>13700</v>
      </c>
      <c r="C338" s="555">
        <v>13750</v>
      </c>
      <c r="D338" s="556">
        <f t="shared" si="29"/>
        <v>1409</v>
      </c>
      <c r="E338" s="556">
        <f t="shared" si="30"/>
        <v>1373</v>
      </c>
      <c r="F338" s="556">
        <f t="shared" si="31"/>
        <v>1409</v>
      </c>
      <c r="G338" s="556">
        <f t="shared" si="32"/>
        <v>1373</v>
      </c>
    </row>
    <row r="339" spans="1:7" ht="15.75">
      <c r="A339" s="625">
        <f t="shared" si="33"/>
        <v>13775</v>
      </c>
      <c r="B339" s="555">
        <v>13750</v>
      </c>
      <c r="C339" s="555">
        <v>13800</v>
      </c>
      <c r="D339" s="556">
        <f t="shared" si="29"/>
        <v>1415</v>
      </c>
      <c r="E339" s="556">
        <f t="shared" si="30"/>
        <v>1378</v>
      </c>
      <c r="F339" s="556">
        <f t="shared" si="31"/>
        <v>1415</v>
      </c>
      <c r="G339" s="556">
        <f t="shared" si="32"/>
        <v>1378</v>
      </c>
    </row>
    <row r="340" spans="1:7" ht="15.75">
      <c r="A340" s="625">
        <f t="shared" si="33"/>
        <v>13825</v>
      </c>
      <c r="B340" s="555">
        <v>13800</v>
      </c>
      <c r="C340" s="555">
        <v>13850</v>
      </c>
      <c r="D340" s="556">
        <f t="shared" si="29"/>
        <v>1421</v>
      </c>
      <c r="E340" s="556">
        <f t="shared" si="30"/>
        <v>1383</v>
      </c>
      <c r="F340" s="556">
        <f t="shared" si="31"/>
        <v>1421</v>
      </c>
      <c r="G340" s="556">
        <f t="shared" si="32"/>
        <v>1383</v>
      </c>
    </row>
    <row r="341" spans="1:7" ht="15.75">
      <c r="A341" s="625">
        <f t="shared" si="33"/>
        <v>13875</v>
      </c>
      <c r="B341" s="555">
        <v>13850</v>
      </c>
      <c r="C341" s="555">
        <v>13900</v>
      </c>
      <c r="D341" s="556">
        <f t="shared" si="29"/>
        <v>1427</v>
      </c>
      <c r="E341" s="556">
        <f t="shared" si="30"/>
        <v>1388</v>
      </c>
      <c r="F341" s="556">
        <f t="shared" si="31"/>
        <v>1427</v>
      </c>
      <c r="G341" s="556">
        <f t="shared" si="32"/>
        <v>1388</v>
      </c>
    </row>
    <row r="342" spans="1:7" ht="15.75">
      <c r="A342" s="625">
        <f t="shared" si="33"/>
        <v>13925</v>
      </c>
      <c r="B342" s="555">
        <v>13900</v>
      </c>
      <c r="C342" s="555">
        <v>13950</v>
      </c>
      <c r="D342" s="556">
        <f t="shared" si="29"/>
        <v>1433</v>
      </c>
      <c r="E342" s="556">
        <f t="shared" si="30"/>
        <v>1393</v>
      </c>
      <c r="F342" s="556">
        <f t="shared" si="31"/>
        <v>1433</v>
      </c>
      <c r="G342" s="556">
        <f t="shared" si="32"/>
        <v>1393</v>
      </c>
    </row>
    <row r="343" spans="1:7" ht="15.75">
      <c r="A343" s="625">
        <f t="shared" si="33"/>
        <v>13975</v>
      </c>
      <c r="B343" s="555">
        <v>13950</v>
      </c>
      <c r="C343" s="555">
        <v>14000</v>
      </c>
      <c r="D343" s="556">
        <f t="shared" si="29"/>
        <v>1439</v>
      </c>
      <c r="E343" s="556">
        <f t="shared" si="30"/>
        <v>1398</v>
      </c>
      <c r="F343" s="556">
        <f t="shared" si="31"/>
        <v>1439</v>
      </c>
      <c r="G343" s="556">
        <f t="shared" si="32"/>
        <v>1398</v>
      </c>
    </row>
    <row r="344" spans="1:7" ht="15.75">
      <c r="A344" s="625">
        <f t="shared" si="33"/>
        <v>14025</v>
      </c>
      <c r="B344" s="555">
        <v>14000</v>
      </c>
      <c r="C344" s="555">
        <v>14050</v>
      </c>
      <c r="D344" s="556">
        <f t="shared" si="29"/>
        <v>1445</v>
      </c>
      <c r="E344" s="556">
        <f t="shared" si="30"/>
        <v>1403</v>
      </c>
      <c r="F344" s="556">
        <f t="shared" si="31"/>
        <v>1445</v>
      </c>
      <c r="G344" s="556">
        <f t="shared" si="32"/>
        <v>1403</v>
      </c>
    </row>
    <row r="345" spans="1:7" ht="15.75">
      <c r="A345" s="625">
        <f t="shared" si="33"/>
        <v>14075</v>
      </c>
      <c r="B345" s="555">
        <v>14050</v>
      </c>
      <c r="C345" s="555">
        <v>14100</v>
      </c>
      <c r="D345" s="556">
        <f t="shared" si="29"/>
        <v>1451</v>
      </c>
      <c r="E345" s="556">
        <f t="shared" si="30"/>
        <v>1408</v>
      </c>
      <c r="F345" s="556">
        <f t="shared" si="31"/>
        <v>1451</v>
      </c>
      <c r="G345" s="556">
        <f t="shared" si="32"/>
        <v>1408</v>
      </c>
    </row>
    <row r="346" spans="1:7" ht="15.75">
      <c r="A346" s="625">
        <f t="shared" si="33"/>
        <v>14125</v>
      </c>
      <c r="B346" s="555">
        <v>14100</v>
      </c>
      <c r="C346" s="555">
        <v>14150</v>
      </c>
      <c r="D346" s="556">
        <f t="shared" si="29"/>
        <v>1457</v>
      </c>
      <c r="E346" s="556">
        <f t="shared" si="30"/>
        <v>1413</v>
      </c>
      <c r="F346" s="556">
        <f t="shared" si="31"/>
        <v>1457</v>
      </c>
      <c r="G346" s="556">
        <f t="shared" si="32"/>
        <v>1413</v>
      </c>
    </row>
    <row r="347" spans="1:7" ht="15.75">
      <c r="A347" s="625">
        <f t="shared" si="33"/>
        <v>14175</v>
      </c>
      <c r="B347" s="555">
        <v>14150</v>
      </c>
      <c r="C347" s="555">
        <v>14200</v>
      </c>
      <c r="D347" s="556">
        <f t="shared" si="29"/>
        <v>1463</v>
      </c>
      <c r="E347" s="556">
        <f t="shared" si="30"/>
        <v>1418</v>
      </c>
      <c r="F347" s="556">
        <f t="shared" si="31"/>
        <v>1463</v>
      </c>
      <c r="G347" s="556">
        <f t="shared" si="32"/>
        <v>1418</v>
      </c>
    </row>
    <row r="348" spans="1:7" ht="15.75">
      <c r="A348" s="625">
        <f t="shared" si="33"/>
        <v>14225</v>
      </c>
      <c r="B348" s="555">
        <v>14200</v>
      </c>
      <c r="C348" s="555">
        <v>14250</v>
      </c>
      <c r="D348" s="556">
        <f t="shared" si="29"/>
        <v>1469</v>
      </c>
      <c r="E348" s="556">
        <f t="shared" si="30"/>
        <v>1423</v>
      </c>
      <c r="F348" s="556">
        <f t="shared" si="31"/>
        <v>1469</v>
      </c>
      <c r="G348" s="556">
        <f t="shared" si="32"/>
        <v>1423</v>
      </c>
    </row>
    <row r="349" spans="1:7" ht="15.75">
      <c r="A349" s="625">
        <f t="shared" si="33"/>
        <v>14275</v>
      </c>
      <c r="B349" s="555">
        <v>14250</v>
      </c>
      <c r="C349" s="555">
        <v>14300</v>
      </c>
      <c r="D349" s="556">
        <f t="shared" si="29"/>
        <v>1475</v>
      </c>
      <c r="E349" s="556">
        <f t="shared" si="30"/>
        <v>1428</v>
      </c>
      <c r="F349" s="556">
        <f t="shared" si="31"/>
        <v>1475</v>
      </c>
      <c r="G349" s="556">
        <f t="shared" si="32"/>
        <v>1428</v>
      </c>
    </row>
    <row r="350" spans="1:7" ht="15.75">
      <c r="A350" s="625">
        <f t="shared" si="33"/>
        <v>14325</v>
      </c>
      <c r="B350" s="555">
        <v>14300</v>
      </c>
      <c r="C350" s="555">
        <v>14350</v>
      </c>
      <c r="D350" s="556">
        <f t="shared" si="29"/>
        <v>1481</v>
      </c>
      <c r="E350" s="556">
        <f t="shared" si="30"/>
        <v>1433</v>
      </c>
      <c r="F350" s="556">
        <f t="shared" si="31"/>
        <v>1481</v>
      </c>
      <c r="G350" s="556">
        <f t="shared" si="32"/>
        <v>1433</v>
      </c>
    </row>
    <row r="351" spans="1:7" ht="15.75">
      <c r="A351" s="625">
        <f t="shared" si="33"/>
        <v>14375</v>
      </c>
      <c r="B351" s="555">
        <v>14350</v>
      </c>
      <c r="C351" s="555">
        <v>14400</v>
      </c>
      <c r="D351" s="556">
        <f t="shared" si="29"/>
        <v>1487</v>
      </c>
      <c r="E351" s="556">
        <f t="shared" si="30"/>
        <v>1438</v>
      </c>
      <c r="F351" s="556">
        <f t="shared" si="31"/>
        <v>1487</v>
      </c>
      <c r="G351" s="556">
        <f t="shared" si="32"/>
        <v>1438</v>
      </c>
    </row>
    <row r="352" spans="1:7" ht="15.75">
      <c r="A352" s="625">
        <f t="shared" si="33"/>
        <v>14425</v>
      </c>
      <c r="B352" s="555">
        <v>14400</v>
      </c>
      <c r="C352" s="555">
        <v>14450</v>
      </c>
      <c r="D352" s="556">
        <f t="shared" si="29"/>
        <v>1493</v>
      </c>
      <c r="E352" s="556">
        <f t="shared" si="30"/>
        <v>1443</v>
      </c>
      <c r="F352" s="556">
        <f t="shared" si="31"/>
        <v>1493</v>
      </c>
      <c r="G352" s="556">
        <f t="shared" si="32"/>
        <v>1443</v>
      </c>
    </row>
    <row r="353" spans="1:7" ht="15.75">
      <c r="A353" s="625">
        <f t="shared" si="33"/>
        <v>14475</v>
      </c>
      <c r="B353" s="555">
        <v>14450</v>
      </c>
      <c r="C353" s="555">
        <v>14500</v>
      </c>
      <c r="D353" s="556">
        <f t="shared" si="29"/>
        <v>1499</v>
      </c>
      <c r="E353" s="556">
        <f t="shared" si="30"/>
        <v>1448</v>
      </c>
      <c r="F353" s="556">
        <f t="shared" si="31"/>
        <v>1499</v>
      </c>
      <c r="G353" s="556">
        <f t="shared" si="32"/>
        <v>1448</v>
      </c>
    </row>
    <row r="354" spans="1:7" ht="15.75">
      <c r="A354" s="625">
        <f t="shared" si="33"/>
        <v>14525</v>
      </c>
      <c r="B354" s="555">
        <v>14500</v>
      </c>
      <c r="C354" s="555">
        <v>14550</v>
      </c>
      <c r="D354" s="556">
        <f t="shared" si="29"/>
        <v>1505</v>
      </c>
      <c r="E354" s="556">
        <f t="shared" si="30"/>
        <v>1453</v>
      </c>
      <c r="F354" s="556">
        <f t="shared" si="31"/>
        <v>1505</v>
      </c>
      <c r="G354" s="556">
        <f t="shared" si="32"/>
        <v>1453</v>
      </c>
    </row>
    <row r="355" spans="1:7" ht="15.75">
      <c r="A355" s="625">
        <f t="shared" si="33"/>
        <v>14575</v>
      </c>
      <c r="B355" s="555">
        <v>14550</v>
      </c>
      <c r="C355" s="555">
        <v>14600</v>
      </c>
      <c r="D355" s="556">
        <f t="shared" si="29"/>
        <v>1511</v>
      </c>
      <c r="E355" s="556">
        <f t="shared" si="30"/>
        <v>1458</v>
      </c>
      <c r="F355" s="556">
        <f t="shared" si="31"/>
        <v>1511</v>
      </c>
      <c r="G355" s="556">
        <f t="shared" si="32"/>
        <v>1458</v>
      </c>
    </row>
    <row r="356" spans="1:7" ht="15.75">
      <c r="A356" s="625">
        <f t="shared" si="33"/>
        <v>14625</v>
      </c>
      <c r="B356" s="555">
        <v>14600</v>
      </c>
      <c r="C356" s="555">
        <v>14650</v>
      </c>
      <c r="D356" s="556">
        <f t="shared" si="29"/>
        <v>1517</v>
      </c>
      <c r="E356" s="556">
        <f t="shared" si="30"/>
        <v>1463</v>
      </c>
      <c r="F356" s="556">
        <f t="shared" si="31"/>
        <v>1517</v>
      </c>
      <c r="G356" s="556">
        <f t="shared" si="32"/>
        <v>1463</v>
      </c>
    </row>
    <row r="357" spans="1:7" ht="15.75">
      <c r="A357" s="625">
        <f t="shared" si="33"/>
        <v>14675</v>
      </c>
      <c r="B357" s="555">
        <v>14650</v>
      </c>
      <c r="C357" s="555">
        <v>14700</v>
      </c>
      <c r="D357" s="556">
        <f t="shared" si="29"/>
        <v>1523</v>
      </c>
      <c r="E357" s="556">
        <f t="shared" si="30"/>
        <v>1468</v>
      </c>
      <c r="F357" s="556">
        <f t="shared" si="31"/>
        <v>1523</v>
      </c>
      <c r="G357" s="556">
        <f t="shared" si="32"/>
        <v>1468</v>
      </c>
    </row>
    <row r="358" spans="1:7" ht="15.75">
      <c r="A358" s="625">
        <f t="shared" si="33"/>
        <v>14725</v>
      </c>
      <c r="B358" s="555">
        <v>14700</v>
      </c>
      <c r="C358" s="555">
        <v>14750</v>
      </c>
      <c r="D358" s="556">
        <f t="shared" si="29"/>
        <v>1529</v>
      </c>
      <c r="E358" s="556">
        <f t="shared" si="30"/>
        <v>1473</v>
      </c>
      <c r="F358" s="556">
        <f t="shared" si="31"/>
        <v>1529</v>
      </c>
      <c r="G358" s="556">
        <f t="shared" si="32"/>
        <v>1473</v>
      </c>
    </row>
    <row r="359" spans="1:7" ht="15.75">
      <c r="A359" s="625">
        <f t="shared" si="33"/>
        <v>14775</v>
      </c>
      <c r="B359" s="555">
        <v>14750</v>
      </c>
      <c r="C359" s="555">
        <v>14800</v>
      </c>
      <c r="D359" s="556">
        <f t="shared" si="29"/>
        <v>1535</v>
      </c>
      <c r="E359" s="556">
        <f t="shared" si="30"/>
        <v>1478</v>
      </c>
      <c r="F359" s="556">
        <f t="shared" si="31"/>
        <v>1535</v>
      </c>
      <c r="G359" s="556">
        <f t="shared" si="32"/>
        <v>1478</v>
      </c>
    </row>
    <row r="360" spans="1:7" ht="15.75">
      <c r="A360" s="625">
        <f t="shared" si="33"/>
        <v>14825</v>
      </c>
      <c r="B360" s="555">
        <v>14800</v>
      </c>
      <c r="C360" s="555">
        <v>14850</v>
      </c>
      <c r="D360" s="556">
        <f t="shared" si="29"/>
        <v>1541</v>
      </c>
      <c r="E360" s="556">
        <f t="shared" si="30"/>
        <v>1483</v>
      </c>
      <c r="F360" s="556">
        <f t="shared" si="31"/>
        <v>1541</v>
      </c>
      <c r="G360" s="556">
        <f t="shared" si="32"/>
        <v>1483</v>
      </c>
    </row>
    <row r="361" spans="1:7" ht="15.75">
      <c r="A361" s="625">
        <f t="shared" si="33"/>
        <v>14875</v>
      </c>
      <c r="B361" s="555">
        <v>14850</v>
      </c>
      <c r="C361" s="555">
        <v>14900</v>
      </c>
      <c r="D361" s="556">
        <f t="shared" si="29"/>
        <v>1547</v>
      </c>
      <c r="E361" s="556">
        <f t="shared" si="30"/>
        <v>1488</v>
      </c>
      <c r="F361" s="556">
        <f t="shared" si="31"/>
        <v>1547</v>
      </c>
      <c r="G361" s="556">
        <f t="shared" si="32"/>
        <v>1488</v>
      </c>
    </row>
    <row r="362" spans="1:7" ht="15.75">
      <c r="A362" s="625">
        <f t="shared" si="33"/>
        <v>14925</v>
      </c>
      <c r="B362" s="555">
        <v>14900</v>
      </c>
      <c r="C362" s="555">
        <v>14950</v>
      </c>
      <c r="D362" s="556">
        <f t="shared" si="29"/>
        <v>1553</v>
      </c>
      <c r="E362" s="556">
        <f t="shared" si="30"/>
        <v>1493</v>
      </c>
      <c r="F362" s="556">
        <f t="shared" si="31"/>
        <v>1553</v>
      </c>
      <c r="G362" s="556">
        <f t="shared" si="32"/>
        <v>1493</v>
      </c>
    </row>
    <row r="363" spans="1:7" ht="15.75">
      <c r="A363" s="625">
        <f t="shared" si="33"/>
        <v>14975</v>
      </c>
      <c r="B363" s="555">
        <v>14950</v>
      </c>
      <c r="C363" s="555">
        <v>15000</v>
      </c>
      <c r="D363" s="556">
        <f t="shared" si="29"/>
        <v>1559</v>
      </c>
      <c r="E363" s="556">
        <f t="shared" si="30"/>
        <v>1498</v>
      </c>
      <c r="F363" s="556">
        <f t="shared" si="31"/>
        <v>1559</v>
      </c>
      <c r="G363" s="556">
        <f t="shared" si="32"/>
        <v>1498</v>
      </c>
    </row>
    <row r="364" spans="1:7" ht="15.75">
      <c r="A364" s="625">
        <f t="shared" si="33"/>
        <v>15025</v>
      </c>
      <c r="B364" s="555">
        <v>15000</v>
      </c>
      <c r="C364" s="555">
        <v>15050</v>
      </c>
      <c r="D364" s="556">
        <f t="shared" si="29"/>
        <v>1565</v>
      </c>
      <c r="E364" s="556">
        <f t="shared" si="30"/>
        <v>1503</v>
      </c>
      <c r="F364" s="556">
        <f t="shared" si="31"/>
        <v>1565</v>
      </c>
      <c r="G364" s="556">
        <f t="shared" si="32"/>
        <v>1503</v>
      </c>
    </row>
    <row r="365" spans="1:7" ht="15.75">
      <c r="A365" s="625">
        <f t="shared" si="33"/>
        <v>15075</v>
      </c>
      <c r="B365" s="555">
        <v>15050</v>
      </c>
      <c r="C365" s="555">
        <v>15100</v>
      </c>
      <c r="D365" s="556">
        <f t="shared" si="29"/>
        <v>1571</v>
      </c>
      <c r="E365" s="556">
        <f t="shared" si="30"/>
        <v>1508</v>
      </c>
      <c r="F365" s="556">
        <f t="shared" si="31"/>
        <v>1571</v>
      </c>
      <c r="G365" s="556">
        <f t="shared" si="32"/>
        <v>1508</v>
      </c>
    </row>
    <row r="366" spans="1:7" ht="15.75">
      <c r="A366" s="625">
        <f t="shared" si="33"/>
        <v>15125</v>
      </c>
      <c r="B366" s="555">
        <v>15100</v>
      </c>
      <c r="C366" s="555">
        <v>15150</v>
      </c>
      <c r="D366" s="556">
        <f t="shared" si="29"/>
        <v>1577</v>
      </c>
      <c r="E366" s="556">
        <f t="shared" si="30"/>
        <v>1513</v>
      </c>
      <c r="F366" s="556">
        <f t="shared" si="31"/>
        <v>1577</v>
      </c>
      <c r="G366" s="556">
        <f t="shared" si="32"/>
        <v>1513</v>
      </c>
    </row>
    <row r="367" spans="1:7" ht="15.75">
      <c r="A367" s="625">
        <f t="shared" si="33"/>
        <v>15175</v>
      </c>
      <c r="B367" s="555">
        <v>15150</v>
      </c>
      <c r="C367" s="555">
        <v>15200</v>
      </c>
      <c r="D367" s="556">
        <f t="shared" si="29"/>
        <v>1583</v>
      </c>
      <c r="E367" s="556">
        <f t="shared" si="30"/>
        <v>1518</v>
      </c>
      <c r="F367" s="556">
        <f t="shared" si="31"/>
        <v>1583</v>
      </c>
      <c r="G367" s="556">
        <f t="shared" si="32"/>
        <v>1518</v>
      </c>
    </row>
    <row r="368" spans="1:7" ht="15.75">
      <c r="A368" s="625">
        <f t="shared" si="33"/>
        <v>15225</v>
      </c>
      <c r="B368" s="555">
        <v>15200</v>
      </c>
      <c r="C368" s="555">
        <v>15250</v>
      </c>
      <c r="D368" s="556">
        <f t="shared" si="29"/>
        <v>1589</v>
      </c>
      <c r="E368" s="556">
        <f t="shared" si="30"/>
        <v>1523</v>
      </c>
      <c r="F368" s="556">
        <f t="shared" si="31"/>
        <v>1589</v>
      </c>
      <c r="G368" s="556">
        <f t="shared" si="32"/>
        <v>1523</v>
      </c>
    </row>
    <row r="369" spans="1:7" ht="15.75">
      <c r="A369" s="625">
        <f t="shared" si="33"/>
        <v>15275</v>
      </c>
      <c r="B369" s="555">
        <v>15250</v>
      </c>
      <c r="C369" s="555">
        <v>15300</v>
      </c>
      <c r="D369" s="556">
        <f t="shared" si="29"/>
        <v>1595</v>
      </c>
      <c r="E369" s="556">
        <f t="shared" si="30"/>
        <v>1528</v>
      </c>
      <c r="F369" s="556">
        <f t="shared" si="31"/>
        <v>1595</v>
      </c>
      <c r="G369" s="556">
        <f t="shared" si="32"/>
        <v>1528</v>
      </c>
    </row>
    <row r="370" spans="1:7" ht="15.75">
      <c r="A370" s="625">
        <f t="shared" si="33"/>
        <v>15325</v>
      </c>
      <c r="B370" s="555">
        <v>15300</v>
      </c>
      <c r="C370" s="555">
        <v>15350</v>
      </c>
      <c r="D370" s="556">
        <f t="shared" si="29"/>
        <v>1601</v>
      </c>
      <c r="E370" s="556">
        <f t="shared" si="30"/>
        <v>1533</v>
      </c>
      <c r="F370" s="556">
        <f t="shared" si="31"/>
        <v>1601</v>
      </c>
      <c r="G370" s="556">
        <f t="shared" si="32"/>
        <v>1533</v>
      </c>
    </row>
    <row r="371" spans="1:7" ht="15.75">
      <c r="A371" s="625">
        <f t="shared" si="33"/>
        <v>15375</v>
      </c>
      <c r="B371" s="555">
        <v>15350</v>
      </c>
      <c r="C371" s="555">
        <v>15400</v>
      </c>
      <c r="D371" s="556">
        <f t="shared" si="29"/>
        <v>1607</v>
      </c>
      <c r="E371" s="556">
        <f t="shared" si="30"/>
        <v>1538</v>
      </c>
      <c r="F371" s="556">
        <f t="shared" si="31"/>
        <v>1607</v>
      </c>
      <c r="G371" s="556">
        <f t="shared" si="32"/>
        <v>1538</v>
      </c>
    </row>
    <row r="372" spans="1:7" ht="15.75">
      <c r="A372" s="625">
        <f t="shared" si="33"/>
        <v>15425</v>
      </c>
      <c r="B372" s="555">
        <v>15400</v>
      </c>
      <c r="C372" s="555">
        <v>15450</v>
      </c>
      <c r="D372" s="556">
        <f t="shared" si="29"/>
        <v>1613</v>
      </c>
      <c r="E372" s="556">
        <f t="shared" si="30"/>
        <v>1543</v>
      </c>
      <c r="F372" s="556">
        <f t="shared" si="31"/>
        <v>1613</v>
      </c>
      <c r="G372" s="556">
        <f t="shared" si="32"/>
        <v>1543</v>
      </c>
    </row>
    <row r="373" spans="1:7" ht="15.75">
      <c r="A373" s="625">
        <f t="shared" si="33"/>
        <v>15475</v>
      </c>
      <c r="B373" s="555">
        <v>15450</v>
      </c>
      <c r="C373" s="555">
        <v>15500</v>
      </c>
      <c r="D373" s="556">
        <f t="shared" si="29"/>
        <v>1619</v>
      </c>
      <c r="E373" s="556">
        <f t="shared" si="30"/>
        <v>1548</v>
      </c>
      <c r="F373" s="556">
        <f t="shared" si="31"/>
        <v>1619</v>
      </c>
      <c r="G373" s="556">
        <f t="shared" si="32"/>
        <v>1548</v>
      </c>
    </row>
    <row r="374" spans="1:7" ht="15.75">
      <c r="A374" s="625">
        <f t="shared" si="33"/>
        <v>15525</v>
      </c>
      <c r="B374" s="555">
        <v>15500</v>
      </c>
      <c r="C374" s="555">
        <v>15550</v>
      </c>
      <c r="D374" s="556">
        <f t="shared" si="29"/>
        <v>1625</v>
      </c>
      <c r="E374" s="556">
        <f t="shared" si="30"/>
        <v>1553</v>
      </c>
      <c r="F374" s="556">
        <f t="shared" si="31"/>
        <v>1625</v>
      </c>
      <c r="G374" s="556">
        <f t="shared" si="32"/>
        <v>1553</v>
      </c>
    </row>
    <row r="375" spans="1:7" ht="15.75">
      <c r="A375" s="625">
        <f t="shared" si="33"/>
        <v>15575</v>
      </c>
      <c r="B375" s="555">
        <v>15550</v>
      </c>
      <c r="C375" s="555">
        <v>15600</v>
      </c>
      <c r="D375" s="556">
        <f t="shared" si="29"/>
        <v>1631</v>
      </c>
      <c r="E375" s="556">
        <f t="shared" si="30"/>
        <v>1558</v>
      </c>
      <c r="F375" s="556">
        <f t="shared" si="31"/>
        <v>1631</v>
      </c>
      <c r="G375" s="556">
        <f t="shared" si="32"/>
        <v>1558</v>
      </c>
    </row>
    <row r="376" spans="1:7" ht="15.75">
      <c r="A376" s="625">
        <f t="shared" si="33"/>
        <v>15625</v>
      </c>
      <c r="B376" s="555">
        <v>15600</v>
      </c>
      <c r="C376" s="555">
        <v>15650</v>
      </c>
      <c r="D376" s="556">
        <f t="shared" si="29"/>
        <v>1637</v>
      </c>
      <c r="E376" s="556">
        <f t="shared" si="30"/>
        <v>1563</v>
      </c>
      <c r="F376" s="556">
        <f t="shared" si="31"/>
        <v>1637</v>
      </c>
      <c r="G376" s="556">
        <f t="shared" si="32"/>
        <v>1563</v>
      </c>
    </row>
    <row r="377" spans="1:7" ht="15.75">
      <c r="A377" s="625">
        <f t="shared" si="33"/>
        <v>15675</v>
      </c>
      <c r="B377" s="555">
        <v>15650</v>
      </c>
      <c r="C377" s="555">
        <v>15700</v>
      </c>
      <c r="D377" s="556">
        <f t="shared" si="29"/>
        <v>1643</v>
      </c>
      <c r="E377" s="556">
        <f t="shared" si="30"/>
        <v>1568</v>
      </c>
      <c r="F377" s="556">
        <f t="shared" si="31"/>
        <v>1643</v>
      </c>
      <c r="G377" s="556">
        <f t="shared" si="32"/>
        <v>1568</v>
      </c>
    </row>
    <row r="378" spans="1:7" ht="15.75">
      <c r="A378" s="625">
        <f t="shared" si="33"/>
        <v>15725</v>
      </c>
      <c r="B378" s="555">
        <v>15700</v>
      </c>
      <c r="C378" s="555">
        <v>15750</v>
      </c>
      <c r="D378" s="556">
        <f t="shared" si="29"/>
        <v>1649</v>
      </c>
      <c r="E378" s="556">
        <f t="shared" si="30"/>
        <v>1573</v>
      </c>
      <c r="F378" s="556">
        <f t="shared" si="31"/>
        <v>1649</v>
      </c>
      <c r="G378" s="556">
        <f t="shared" si="32"/>
        <v>1573</v>
      </c>
    </row>
    <row r="379" spans="1:7" ht="15.75">
      <c r="A379" s="625">
        <f t="shared" si="33"/>
        <v>15775</v>
      </c>
      <c r="B379" s="555">
        <v>15750</v>
      </c>
      <c r="C379" s="555">
        <v>15800</v>
      </c>
      <c r="D379" s="556">
        <f t="shared" si="29"/>
        <v>1655</v>
      </c>
      <c r="E379" s="556">
        <f t="shared" si="30"/>
        <v>1578</v>
      </c>
      <c r="F379" s="556">
        <f t="shared" si="31"/>
        <v>1655</v>
      </c>
      <c r="G379" s="556">
        <f t="shared" si="32"/>
        <v>1578</v>
      </c>
    </row>
    <row r="380" spans="1:7" ht="15.75">
      <c r="A380" s="625">
        <f t="shared" si="33"/>
        <v>15825</v>
      </c>
      <c r="B380" s="555">
        <v>15800</v>
      </c>
      <c r="C380" s="555">
        <v>15850</v>
      </c>
      <c r="D380" s="556">
        <f t="shared" si="29"/>
        <v>1661</v>
      </c>
      <c r="E380" s="556">
        <f t="shared" si="30"/>
        <v>1583</v>
      </c>
      <c r="F380" s="556">
        <f t="shared" si="31"/>
        <v>1661</v>
      </c>
      <c r="G380" s="556">
        <f t="shared" si="32"/>
        <v>1583</v>
      </c>
    </row>
    <row r="381" spans="1:7" ht="15.75">
      <c r="A381" s="625">
        <f t="shared" si="33"/>
        <v>15875</v>
      </c>
      <c r="B381" s="555">
        <v>15850</v>
      </c>
      <c r="C381" s="555">
        <v>15900</v>
      </c>
      <c r="D381" s="556">
        <f t="shared" si="29"/>
        <v>1667</v>
      </c>
      <c r="E381" s="556">
        <f t="shared" si="30"/>
        <v>1588</v>
      </c>
      <c r="F381" s="556">
        <f t="shared" si="31"/>
        <v>1667</v>
      </c>
      <c r="G381" s="556">
        <f t="shared" si="32"/>
        <v>1588</v>
      </c>
    </row>
    <row r="382" spans="1:7" ht="15.75">
      <c r="A382" s="625">
        <f t="shared" si="33"/>
        <v>15925</v>
      </c>
      <c r="B382" s="555">
        <v>15900</v>
      </c>
      <c r="C382" s="555">
        <v>15950</v>
      </c>
      <c r="D382" s="556">
        <f t="shared" si="29"/>
        <v>1673</v>
      </c>
      <c r="E382" s="556">
        <f t="shared" si="30"/>
        <v>1593</v>
      </c>
      <c r="F382" s="556">
        <f t="shared" si="31"/>
        <v>1673</v>
      </c>
      <c r="G382" s="556">
        <f t="shared" si="32"/>
        <v>1593</v>
      </c>
    </row>
    <row r="383" spans="1:7" ht="15.75">
      <c r="A383" s="625">
        <f t="shared" si="33"/>
        <v>15975</v>
      </c>
      <c r="B383" s="555">
        <v>15950</v>
      </c>
      <c r="C383" s="555">
        <v>16000</v>
      </c>
      <c r="D383" s="556">
        <f t="shared" si="29"/>
        <v>1679</v>
      </c>
      <c r="E383" s="556">
        <f t="shared" si="30"/>
        <v>1598</v>
      </c>
      <c r="F383" s="556">
        <f t="shared" si="31"/>
        <v>1679</v>
      </c>
      <c r="G383" s="556">
        <f t="shared" si="32"/>
        <v>1598</v>
      </c>
    </row>
    <row r="384" spans="1:7" ht="15.75">
      <c r="A384" s="625">
        <f t="shared" si="33"/>
        <v>16025</v>
      </c>
      <c r="B384" s="555">
        <v>16000</v>
      </c>
      <c r="C384" s="555">
        <v>16050</v>
      </c>
      <c r="D384" s="556">
        <f t="shared" si="29"/>
        <v>1685</v>
      </c>
      <c r="E384" s="556">
        <f t="shared" si="30"/>
        <v>1603</v>
      </c>
      <c r="F384" s="556">
        <f t="shared" si="31"/>
        <v>1685</v>
      </c>
      <c r="G384" s="556">
        <f t="shared" si="32"/>
        <v>1603</v>
      </c>
    </row>
    <row r="385" spans="1:7" ht="15.75">
      <c r="A385" s="625">
        <f t="shared" si="33"/>
        <v>16075</v>
      </c>
      <c r="B385" s="555">
        <v>16050</v>
      </c>
      <c r="C385" s="555">
        <v>16100</v>
      </c>
      <c r="D385" s="556">
        <f t="shared" si="29"/>
        <v>1691</v>
      </c>
      <c r="E385" s="556">
        <f t="shared" si="30"/>
        <v>1608</v>
      </c>
      <c r="F385" s="556">
        <f t="shared" si="31"/>
        <v>1691</v>
      </c>
      <c r="G385" s="556">
        <f t="shared" si="32"/>
        <v>1608</v>
      </c>
    </row>
    <row r="386" spans="1:7" ht="15.75">
      <c r="A386" s="625">
        <f t="shared" si="33"/>
        <v>16125</v>
      </c>
      <c r="B386" s="555">
        <v>16100</v>
      </c>
      <c r="C386" s="555">
        <v>16150</v>
      </c>
      <c r="D386" s="556">
        <f t="shared" ref="D386:D449" si="34">IF($A386&gt;BOTT_A4,ROUND(BASE_A4+RATE_A4*($A386-BOTT_A4),0),IF($A386&gt;BOTT_A3,ROUND(BASE_A3+RATE_A3*($A386-BOTT_A3),0),IF($A386&gt;BOTT_A2,ROUND(BASE_A2+RATE_A2*($A386-BOTT_A2),0),ROUND(RATE_A1*$A386,0))))</f>
        <v>1697</v>
      </c>
      <c r="E386" s="556">
        <f t="shared" ref="E386:E449" si="35">IF($A386&gt;BOTT_B4,ROUND(BASE_B4+RATE_B4*($A386-BOTT_B4),0),IF($A386&gt;BOTT_B3,ROUND(BASE_B3+RATE_B3*($A386-BOTT_B3),0),IF($A386&gt;BOTT_B2,ROUND(BASE_B2+RATE_B2*($A386-BOTT_B2),0),ROUND(RATE_B1*$A386,0))))</f>
        <v>1613</v>
      </c>
      <c r="F386" s="556">
        <f t="shared" ref="F386:F449" si="36">IF($A386&gt;BOTT_C4,ROUND(BASE_C4+RATE_C4*($A386-BOTT_C4),0),IF($A386&gt;BOTT_C3,ROUND(BASE_C3+RATE_C3*($A386-BOTT_C3),0),IF($A386&gt;BOTT_C2,ROUND(BASE_C2+RATE_C2*($A386-BOTT_C2),0),ROUND(RATE_C1*$A386,0))))</f>
        <v>1697</v>
      </c>
      <c r="G386" s="556">
        <f t="shared" ref="G386:G449" si="37">IF($A386&gt;BOTT_D4,ROUND(BASE_D4+RATE_D4*($A386-BOTT_D4),0),IF($A386&gt;BOTT_D3,ROUND(BASE_D3+RATE_D3*($A386-BOTT_D3),0),IF($A386&gt;BOTT_D2,ROUND(BASE_D2+RATE_D2*($A386-BOTT_D2),0),ROUND(RATE_D1*$A386,0))))</f>
        <v>1613</v>
      </c>
    </row>
    <row r="387" spans="1:7" ht="15.75">
      <c r="A387" s="625">
        <f t="shared" ref="A387:A450" si="38">AVERAGE(B387,C387)</f>
        <v>16175</v>
      </c>
      <c r="B387" s="555">
        <v>16150</v>
      </c>
      <c r="C387" s="555">
        <v>16200</v>
      </c>
      <c r="D387" s="556">
        <f t="shared" si="34"/>
        <v>1703</v>
      </c>
      <c r="E387" s="556">
        <f t="shared" si="35"/>
        <v>1618</v>
      </c>
      <c r="F387" s="556">
        <f t="shared" si="36"/>
        <v>1703</v>
      </c>
      <c r="G387" s="556">
        <f t="shared" si="37"/>
        <v>1618</v>
      </c>
    </row>
    <row r="388" spans="1:7" ht="15.75">
      <c r="A388" s="625">
        <f t="shared" si="38"/>
        <v>16225</v>
      </c>
      <c r="B388" s="555">
        <v>16200</v>
      </c>
      <c r="C388" s="555">
        <v>16250</v>
      </c>
      <c r="D388" s="556">
        <f t="shared" si="34"/>
        <v>1709</v>
      </c>
      <c r="E388" s="556">
        <f t="shared" si="35"/>
        <v>1623</v>
      </c>
      <c r="F388" s="556">
        <f t="shared" si="36"/>
        <v>1709</v>
      </c>
      <c r="G388" s="556">
        <f t="shared" si="37"/>
        <v>1623</v>
      </c>
    </row>
    <row r="389" spans="1:7" ht="15.75">
      <c r="A389" s="625">
        <f t="shared" si="38"/>
        <v>16275</v>
      </c>
      <c r="B389" s="555">
        <v>16250</v>
      </c>
      <c r="C389" s="555">
        <v>16300</v>
      </c>
      <c r="D389" s="556">
        <f t="shared" si="34"/>
        <v>1715</v>
      </c>
      <c r="E389" s="556">
        <f t="shared" si="35"/>
        <v>1628</v>
      </c>
      <c r="F389" s="556">
        <f t="shared" si="36"/>
        <v>1715</v>
      </c>
      <c r="G389" s="556">
        <f t="shared" si="37"/>
        <v>1628</v>
      </c>
    </row>
    <row r="390" spans="1:7" ht="15.75">
      <c r="A390" s="625">
        <f t="shared" si="38"/>
        <v>16325</v>
      </c>
      <c r="B390" s="555">
        <v>16300</v>
      </c>
      <c r="C390" s="555">
        <v>16350</v>
      </c>
      <c r="D390" s="556">
        <f t="shared" si="34"/>
        <v>1721</v>
      </c>
      <c r="E390" s="556">
        <f t="shared" si="35"/>
        <v>1633</v>
      </c>
      <c r="F390" s="556">
        <f t="shared" si="36"/>
        <v>1721</v>
      </c>
      <c r="G390" s="556">
        <f t="shared" si="37"/>
        <v>1633</v>
      </c>
    </row>
    <row r="391" spans="1:7" ht="15.75">
      <c r="A391" s="625">
        <f t="shared" si="38"/>
        <v>16375</v>
      </c>
      <c r="B391" s="555">
        <v>16350</v>
      </c>
      <c r="C391" s="555">
        <v>16400</v>
      </c>
      <c r="D391" s="556">
        <f t="shared" si="34"/>
        <v>1727</v>
      </c>
      <c r="E391" s="556">
        <f t="shared" si="35"/>
        <v>1638</v>
      </c>
      <c r="F391" s="556">
        <f t="shared" si="36"/>
        <v>1727</v>
      </c>
      <c r="G391" s="556">
        <f t="shared" si="37"/>
        <v>1638</v>
      </c>
    </row>
    <row r="392" spans="1:7" ht="15.75">
      <c r="A392" s="625">
        <f t="shared" si="38"/>
        <v>16425</v>
      </c>
      <c r="B392" s="555">
        <v>16400</v>
      </c>
      <c r="C392" s="555">
        <v>16450</v>
      </c>
      <c r="D392" s="556">
        <f t="shared" si="34"/>
        <v>1733</v>
      </c>
      <c r="E392" s="556">
        <f t="shared" si="35"/>
        <v>1643</v>
      </c>
      <c r="F392" s="556">
        <f t="shared" si="36"/>
        <v>1733</v>
      </c>
      <c r="G392" s="556">
        <f t="shared" si="37"/>
        <v>1643</v>
      </c>
    </row>
    <row r="393" spans="1:7" ht="15.75">
      <c r="A393" s="625">
        <f t="shared" si="38"/>
        <v>16475</v>
      </c>
      <c r="B393" s="555">
        <v>16450</v>
      </c>
      <c r="C393" s="555">
        <v>16500</v>
      </c>
      <c r="D393" s="556">
        <f t="shared" si="34"/>
        <v>1739</v>
      </c>
      <c r="E393" s="556">
        <f t="shared" si="35"/>
        <v>1648</v>
      </c>
      <c r="F393" s="556">
        <f t="shared" si="36"/>
        <v>1739</v>
      </c>
      <c r="G393" s="556">
        <f t="shared" si="37"/>
        <v>1648</v>
      </c>
    </row>
    <row r="394" spans="1:7" ht="15.75">
      <c r="A394" s="625">
        <f t="shared" si="38"/>
        <v>16525</v>
      </c>
      <c r="B394" s="555">
        <v>16500</v>
      </c>
      <c r="C394" s="555">
        <v>16550</v>
      </c>
      <c r="D394" s="556">
        <f t="shared" si="34"/>
        <v>1745</v>
      </c>
      <c r="E394" s="556">
        <f t="shared" si="35"/>
        <v>1653</v>
      </c>
      <c r="F394" s="556">
        <f t="shared" si="36"/>
        <v>1745</v>
      </c>
      <c r="G394" s="556">
        <f t="shared" si="37"/>
        <v>1653</v>
      </c>
    </row>
    <row r="395" spans="1:7" ht="15.75">
      <c r="A395" s="625">
        <f t="shared" si="38"/>
        <v>16575</v>
      </c>
      <c r="B395" s="555">
        <v>16550</v>
      </c>
      <c r="C395" s="555">
        <v>16600</v>
      </c>
      <c r="D395" s="556">
        <f t="shared" si="34"/>
        <v>1751</v>
      </c>
      <c r="E395" s="556">
        <f t="shared" si="35"/>
        <v>1658</v>
      </c>
      <c r="F395" s="556">
        <f t="shared" si="36"/>
        <v>1751</v>
      </c>
      <c r="G395" s="556">
        <f t="shared" si="37"/>
        <v>1658</v>
      </c>
    </row>
    <row r="396" spans="1:7" ht="15.75">
      <c r="A396" s="625">
        <f t="shared" si="38"/>
        <v>16625</v>
      </c>
      <c r="B396" s="555">
        <v>16600</v>
      </c>
      <c r="C396" s="555">
        <v>16650</v>
      </c>
      <c r="D396" s="556">
        <f t="shared" si="34"/>
        <v>1757</v>
      </c>
      <c r="E396" s="556">
        <f t="shared" si="35"/>
        <v>1663</v>
      </c>
      <c r="F396" s="556">
        <f t="shared" si="36"/>
        <v>1757</v>
      </c>
      <c r="G396" s="556">
        <f t="shared" si="37"/>
        <v>1663</v>
      </c>
    </row>
    <row r="397" spans="1:7" ht="15.75">
      <c r="A397" s="625">
        <f t="shared" si="38"/>
        <v>16675</v>
      </c>
      <c r="B397" s="555">
        <v>16650</v>
      </c>
      <c r="C397" s="555">
        <v>16700</v>
      </c>
      <c r="D397" s="556">
        <f t="shared" si="34"/>
        <v>1763</v>
      </c>
      <c r="E397" s="556">
        <f t="shared" si="35"/>
        <v>1668</v>
      </c>
      <c r="F397" s="556">
        <f t="shared" si="36"/>
        <v>1763</v>
      </c>
      <c r="G397" s="556">
        <f t="shared" si="37"/>
        <v>1668</v>
      </c>
    </row>
    <row r="398" spans="1:7" ht="15.75">
      <c r="A398" s="625">
        <f t="shared" si="38"/>
        <v>16725</v>
      </c>
      <c r="B398" s="555">
        <v>16700</v>
      </c>
      <c r="C398" s="555">
        <v>16750</v>
      </c>
      <c r="D398" s="556">
        <f t="shared" si="34"/>
        <v>1769</v>
      </c>
      <c r="E398" s="556">
        <f t="shared" si="35"/>
        <v>1673</v>
      </c>
      <c r="F398" s="556">
        <f t="shared" si="36"/>
        <v>1769</v>
      </c>
      <c r="G398" s="556">
        <f t="shared" si="37"/>
        <v>1673</v>
      </c>
    </row>
    <row r="399" spans="1:7" ht="15.75">
      <c r="A399" s="625">
        <f t="shared" si="38"/>
        <v>16775</v>
      </c>
      <c r="B399" s="555">
        <v>16750</v>
      </c>
      <c r="C399" s="555">
        <v>16800</v>
      </c>
      <c r="D399" s="556">
        <f t="shared" si="34"/>
        <v>1775</v>
      </c>
      <c r="E399" s="556">
        <f t="shared" si="35"/>
        <v>1678</v>
      </c>
      <c r="F399" s="556">
        <f t="shared" si="36"/>
        <v>1775</v>
      </c>
      <c r="G399" s="556">
        <f t="shared" si="37"/>
        <v>1678</v>
      </c>
    </row>
    <row r="400" spans="1:7" ht="15.75">
      <c r="A400" s="625">
        <f t="shared" si="38"/>
        <v>16825</v>
      </c>
      <c r="B400" s="555">
        <v>16800</v>
      </c>
      <c r="C400" s="555">
        <v>16850</v>
      </c>
      <c r="D400" s="556">
        <f t="shared" si="34"/>
        <v>1781</v>
      </c>
      <c r="E400" s="556">
        <f t="shared" si="35"/>
        <v>1683</v>
      </c>
      <c r="F400" s="556">
        <f t="shared" si="36"/>
        <v>1781</v>
      </c>
      <c r="G400" s="556">
        <f t="shared" si="37"/>
        <v>1683</v>
      </c>
    </row>
    <row r="401" spans="1:7" ht="15.75">
      <c r="A401" s="625">
        <f t="shared" si="38"/>
        <v>16875</v>
      </c>
      <c r="B401" s="555">
        <v>16850</v>
      </c>
      <c r="C401" s="555">
        <v>16900</v>
      </c>
      <c r="D401" s="556">
        <f t="shared" si="34"/>
        <v>1787</v>
      </c>
      <c r="E401" s="556">
        <f t="shared" si="35"/>
        <v>1688</v>
      </c>
      <c r="F401" s="556">
        <f t="shared" si="36"/>
        <v>1787</v>
      </c>
      <c r="G401" s="556">
        <f t="shared" si="37"/>
        <v>1688</v>
      </c>
    </row>
    <row r="402" spans="1:7" ht="15.75">
      <c r="A402" s="625">
        <f t="shared" si="38"/>
        <v>16925</v>
      </c>
      <c r="B402" s="555">
        <v>16900</v>
      </c>
      <c r="C402" s="555">
        <v>16950</v>
      </c>
      <c r="D402" s="556">
        <f t="shared" si="34"/>
        <v>1793</v>
      </c>
      <c r="E402" s="556">
        <f t="shared" si="35"/>
        <v>1693</v>
      </c>
      <c r="F402" s="556">
        <f t="shared" si="36"/>
        <v>1793</v>
      </c>
      <c r="G402" s="556">
        <f t="shared" si="37"/>
        <v>1693</v>
      </c>
    </row>
    <row r="403" spans="1:7" ht="15.75">
      <c r="A403" s="625">
        <f t="shared" si="38"/>
        <v>16975</v>
      </c>
      <c r="B403" s="555">
        <v>16950</v>
      </c>
      <c r="C403" s="555">
        <v>17000</v>
      </c>
      <c r="D403" s="556">
        <f t="shared" si="34"/>
        <v>1799</v>
      </c>
      <c r="E403" s="556">
        <f t="shared" si="35"/>
        <v>1698</v>
      </c>
      <c r="F403" s="556">
        <f t="shared" si="36"/>
        <v>1799</v>
      </c>
      <c r="G403" s="556">
        <f t="shared" si="37"/>
        <v>1698</v>
      </c>
    </row>
    <row r="404" spans="1:7" ht="15.75">
      <c r="A404" s="625">
        <f t="shared" si="38"/>
        <v>17025</v>
      </c>
      <c r="B404" s="555">
        <v>17000</v>
      </c>
      <c r="C404" s="555">
        <v>17050</v>
      </c>
      <c r="D404" s="556">
        <f t="shared" si="34"/>
        <v>1805</v>
      </c>
      <c r="E404" s="556">
        <f t="shared" si="35"/>
        <v>1703</v>
      </c>
      <c r="F404" s="556">
        <f t="shared" si="36"/>
        <v>1805</v>
      </c>
      <c r="G404" s="556">
        <f t="shared" si="37"/>
        <v>1703</v>
      </c>
    </row>
    <row r="405" spans="1:7" ht="15.75">
      <c r="A405" s="625">
        <f t="shared" si="38"/>
        <v>17075</v>
      </c>
      <c r="B405" s="555">
        <v>17050</v>
      </c>
      <c r="C405" s="555">
        <v>17100</v>
      </c>
      <c r="D405" s="556">
        <f t="shared" si="34"/>
        <v>1811</v>
      </c>
      <c r="E405" s="556">
        <f t="shared" si="35"/>
        <v>1708</v>
      </c>
      <c r="F405" s="556">
        <f t="shared" si="36"/>
        <v>1811</v>
      </c>
      <c r="G405" s="556">
        <f t="shared" si="37"/>
        <v>1709</v>
      </c>
    </row>
    <row r="406" spans="1:7" ht="15.75">
      <c r="A406" s="625">
        <f t="shared" si="38"/>
        <v>17125</v>
      </c>
      <c r="B406" s="555">
        <v>17100</v>
      </c>
      <c r="C406" s="555">
        <v>17150</v>
      </c>
      <c r="D406" s="556">
        <f t="shared" si="34"/>
        <v>1817</v>
      </c>
      <c r="E406" s="556">
        <f t="shared" si="35"/>
        <v>1713</v>
      </c>
      <c r="F406" s="556">
        <f t="shared" si="36"/>
        <v>1817</v>
      </c>
      <c r="G406" s="556">
        <f t="shared" si="37"/>
        <v>1715</v>
      </c>
    </row>
    <row r="407" spans="1:7" ht="15.75">
      <c r="A407" s="625">
        <f t="shared" si="38"/>
        <v>17175</v>
      </c>
      <c r="B407" s="555">
        <v>17150</v>
      </c>
      <c r="C407" s="555">
        <v>17200</v>
      </c>
      <c r="D407" s="556">
        <f t="shared" si="34"/>
        <v>1823</v>
      </c>
      <c r="E407" s="556">
        <f t="shared" si="35"/>
        <v>1718</v>
      </c>
      <c r="F407" s="556">
        <f t="shared" si="36"/>
        <v>1823</v>
      </c>
      <c r="G407" s="556">
        <f t="shared" si="37"/>
        <v>1721</v>
      </c>
    </row>
    <row r="408" spans="1:7" ht="15.75">
      <c r="A408" s="625">
        <f t="shared" si="38"/>
        <v>17225</v>
      </c>
      <c r="B408" s="555">
        <v>17200</v>
      </c>
      <c r="C408" s="555">
        <v>17250</v>
      </c>
      <c r="D408" s="556">
        <f t="shared" si="34"/>
        <v>1829</v>
      </c>
      <c r="E408" s="556">
        <f t="shared" si="35"/>
        <v>1723</v>
      </c>
      <c r="F408" s="556">
        <f t="shared" si="36"/>
        <v>1829</v>
      </c>
      <c r="G408" s="556">
        <f t="shared" si="37"/>
        <v>1727</v>
      </c>
    </row>
    <row r="409" spans="1:7" ht="15.75">
      <c r="A409" s="625">
        <f t="shared" si="38"/>
        <v>17275</v>
      </c>
      <c r="B409" s="555">
        <v>17250</v>
      </c>
      <c r="C409" s="555">
        <v>17300</v>
      </c>
      <c r="D409" s="556">
        <f t="shared" si="34"/>
        <v>1835</v>
      </c>
      <c r="E409" s="556">
        <f t="shared" si="35"/>
        <v>1728</v>
      </c>
      <c r="F409" s="556">
        <f t="shared" si="36"/>
        <v>1835</v>
      </c>
      <c r="G409" s="556">
        <f t="shared" si="37"/>
        <v>1733</v>
      </c>
    </row>
    <row r="410" spans="1:7" ht="15.75">
      <c r="A410" s="625">
        <f t="shared" si="38"/>
        <v>17325</v>
      </c>
      <c r="B410" s="555">
        <v>17300</v>
      </c>
      <c r="C410" s="555">
        <v>17350</v>
      </c>
      <c r="D410" s="556">
        <f t="shared" si="34"/>
        <v>1841</v>
      </c>
      <c r="E410" s="556">
        <f t="shared" si="35"/>
        <v>1733</v>
      </c>
      <c r="F410" s="556">
        <f t="shared" si="36"/>
        <v>1841</v>
      </c>
      <c r="G410" s="556">
        <f t="shared" si="37"/>
        <v>1739</v>
      </c>
    </row>
    <row r="411" spans="1:7" ht="15.75">
      <c r="A411" s="625">
        <f t="shared" si="38"/>
        <v>17375</v>
      </c>
      <c r="B411" s="555">
        <v>17350</v>
      </c>
      <c r="C411" s="555">
        <v>17400</v>
      </c>
      <c r="D411" s="556">
        <f t="shared" si="34"/>
        <v>1847</v>
      </c>
      <c r="E411" s="556">
        <f t="shared" si="35"/>
        <v>1738</v>
      </c>
      <c r="F411" s="556">
        <f t="shared" si="36"/>
        <v>1847</v>
      </c>
      <c r="G411" s="556">
        <f t="shared" si="37"/>
        <v>1745</v>
      </c>
    </row>
    <row r="412" spans="1:7" ht="15.75">
      <c r="A412" s="625">
        <f t="shared" si="38"/>
        <v>17425</v>
      </c>
      <c r="B412" s="555">
        <v>17400</v>
      </c>
      <c r="C412" s="555">
        <v>17450</v>
      </c>
      <c r="D412" s="556">
        <f t="shared" si="34"/>
        <v>1853</v>
      </c>
      <c r="E412" s="556">
        <f t="shared" si="35"/>
        <v>1743</v>
      </c>
      <c r="F412" s="556">
        <f t="shared" si="36"/>
        <v>1853</v>
      </c>
      <c r="G412" s="556">
        <f t="shared" si="37"/>
        <v>1751</v>
      </c>
    </row>
    <row r="413" spans="1:7" ht="15.75">
      <c r="A413" s="625">
        <f t="shared" si="38"/>
        <v>17475</v>
      </c>
      <c r="B413" s="555">
        <v>17450</v>
      </c>
      <c r="C413" s="555">
        <v>17500</v>
      </c>
      <c r="D413" s="556">
        <f t="shared" si="34"/>
        <v>1859</v>
      </c>
      <c r="E413" s="556">
        <f t="shared" si="35"/>
        <v>1748</v>
      </c>
      <c r="F413" s="556">
        <f t="shared" si="36"/>
        <v>1859</v>
      </c>
      <c r="G413" s="556">
        <f t="shared" si="37"/>
        <v>1757</v>
      </c>
    </row>
    <row r="414" spans="1:7" ht="15.75">
      <c r="A414" s="625">
        <f t="shared" si="38"/>
        <v>17525</v>
      </c>
      <c r="B414" s="555">
        <v>17500</v>
      </c>
      <c r="C414" s="555">
        <v>17550</v>
      </c>
      <c r="D414" s="556">
        <f t="shared" si="34"/>
        <v>1865</v>
      </c>
      <c r="E414" s="556">
        <f t="shared" si="35"/>
        <v>1753</v>
      </c>
      <c r="F414" s="556">
        <f t="shared" si="36"/>
        <v>1865</v>
      </c>
      <c r="G414" s="556">
        <f t="shared" si="37"/>
        <v>1763</v>
      </c>
    </row>
    <row r="415" spans="1:7" ht="15.75">
      <c r="A415" s="625">
        <f t="shared" si="38"/>
        <v>17575</v>
      </c>
      <c r="B415" s="555">
        <v>17550</v>
      </c>
      <c r="C415" s="555">
        <v>17600</v>
      </c>
      <c r="D415" s="556">
        <f t="shared" si="34"/>
        <v>1871</v>
      </c>
      <c r="E415" s="556">
        <f t="shared" si="35"/>
        <v>1758</v>
      </c>
      <c r="F415" s="556">
        <f t="shared" si="36"/>
        <v>1871</v>
      </c>
      <c r="G415" s="556">
        <f t="shared" si="37"/>
        <v>1769</v>
      </c>
    </row>
    <row r="416" spans="1:7" ht="15.75">
      <c r="A416" s="625">
        <f t="shared" si="38"/>
        <v>17625</v>
      </c>
      <c r="B416" s="555">
        <v>17600</v>
      </c>
      <c r="C416" s="555">
        <v>17650</v>
      </c>
      <c r="D416" s="556">
        <f t="shared" si="34"/>
        <v>1877</v>
      </c>
      <c r="E416" s="556">
        <f t="shared" si="35"/>
        <v>1763</v>
      </c>
      <c r="F416" s="556">
        <f t="shared" si="36"/>
        <v>1877</v>
      </c>
      <c r="G416" s="556">
        <f t="shared" si="37"/>
        <v>1775</v>
      </c>
    </row>
    <row r="417" spans="1:7" ht="15.75">
      <c r="A417" s="625">
        <f t="shared" si="38"/>
        <v>17675</v>
      </c>
      <c r="B417" s="555">
        <v>17650</v>
      </c>
      <c r="C417" s="555">
        <v>17700</v>
      </c>
      <c r="D417" s="556">
        <f t="shared" si="34"/>
        <v>1883</v>
      </c>
      <c r="E417" s="556">
        <f t="shared" si="35"/>
        <v>1768</v>
      </c>
      <c r="F417" s="556">
        <f t="shared" si="36"/>
        <v>1883</v>
      </c>
      <c r="G417" s="556">
        <f t="shared" si="37"/>
        <v>1781</v>
      </c>
    </row>
    <row r="418" spans="1:7" ht="15.75">
      <c r="A418" s="625">
        <f t="shared" si="38"/>
        <v>17725</v>
      </c>
      <c r="B418" s="555">
        <v>17700</v>
      </c>
      <c r="C418" s="555">
        <v>17750</v>
      </c>
      <c r="D418" s="556">
        <f t="shared" si="34"/>
        <v>1889</v>
      </c>
      <c r="E418" s="556">
        <f t="shared" si="35"/>
        <v>1773</v>
      </c>
      <c r="F418" s="556">
        <f t="shared" si="36"/>
        <v>1889</v>
      </c>
      <c r="G418" s="556">
        <f t="shared" si="37"/>
        <v>1787</v>
      </c>
    </row>
    <row r="419" spans="1:7" ht="15.75">
      <c r="A419" s="625">
        <f t="shared" si="38"/>
        <v>17775</v>
      </c>
      <c r="B419" s="555">
        <v>17750</v>
      </c>
      <c r="C419" s="555">
        <v>17800</v>
      </c>
      <c r="D419" s="556">
        <f t="shared" si="34"/>
        <v>1895</v>
      </c>
      <c r="E419" s="556">
        <f t="shared" si="35"/>
        <v>1778</v>
      </c>
      <c r="F419" s="556">
        <f t="shared" si="36"/>
        <v>1895</v>
      </c>
      <c r="G419" s="556">
        <f t="shared" si="37"/>
        <v>1793</v>
      </c>
    </row>
    <row r="420" spans="1:7" ht="15.75">
      <c r="A420" s="625">
        <f t="shared" si="38"/>
        <v>17825</v>
      </c>
      <c r="B420" s="555">
        <v>17800</v>
      </c>
      <c r="C420" s="555">
        <v>17850</v>
      </c>
      <c r="D420" s="556">
        <f t="shared" si="34"/>
        <v>1901</v>
      </c>
      <c r="E420" s="556">
        <f t="shared" si="35"/>
        <v>1783</v>
      </c>
      <c r="F420" s="556">
        <f t="shared" si="36"/>
        <v>1901</v>
      </c>
      <c r="G420" s="556">
        <f t="shared" si="37"/>
        <v>1799</v>
      </c>
    </row>
    <row r="421" spans="1:7" ht="15.75">
      <c r="A421" s="625">
        <f t="shared" si="38"/>
        <v>17875</v>
      </c>
      <c r="B421" s="555">
        <v>17850</v>
      </c>
      <c r="C421" s="555">
        <v>17900</v>
      </c>
      <c r="D421" s="556">
        <f t="shared" si="34"/>
        <v>1907</v>
      </c>
      <c r="E421" s="556">
        <f t="shared" si="35"/>
        <v>1788</v>
      </c>
      <c r="F421" s="556">
        <f t="shared" si="36"/>
        <v>1907</v>
      </c>
      <c r="G421" s="556">
        <f t="shared" si="37"/>
        <v>1805</v>
      </c>
    </row>
    <row r="422" spans="1:7" ht="15.75">
      <c r="A422" s="625">
        <f t="shared" si="38"/>
        <v>17925</v>
      </c>
      <c r="B422" s="555">
        <v>17900</v>
      </c>
      <c r="C422" s="555">
        <v>17950</v>
      </c>
      <c r="D422" s="556">
        <f t="shared" si="34"/>
        <v>1913</v>
      </c>
      <c r="E422" s="556">
        <f t="shared" si="35"/>
        <v>1793</v>
      </c>
      <c r="F422" s="556">
        <f t="shared" si="36"/>
        <v>1913</v>
      </c>
      <c r="G422" s="556">
        <f t="shared" si="37"/>
        <v>1811</v>
      </c>
    </row>
    <row r="423" spans="1:7" ht="15.75">
      <c r="A423" s="625">
        <f t="shared" si="38"/>
        <v>17975</v>
      </c>
      <c r="B423" s="555">
        <v>17950</v>
      </c>
      <c r="C423" s="555">
        <v>18000</v>
      </c>
      <c r="D423" s="556">
        <f t="shared" si="34"/>
        <v>1919</v>
      </c>
      <c r="E423" s="556">
        <f t="shared" si="35"/>
        <v>1798</v>
      </c>
      <c r="F423" s="556">
        <f t="shared" si="36"/>
        <v>1919</v>
      </c>
      <c r="G423" s="556">
        <f t="shared" si="37"/>
        <v>1817</v>
      </c>
    </row>
    <row r="424" spans="1:7" ht="15.75">
      <c r="A424" s="625">
        <f t="shared" si="38"/>
        <v>18025</v>
      </c>
      <c r="B424" s="555">
        <v>18000</v>
      </c>
      <c r="C424" s="555">
        <v>18050</v>
      </c>
      <c r="D424" s="556">
        <f t="shared" si="34"/>
        <v>1925</v>
      </c>
      <c r="E424" s="556">
        <f t="shared" si="35"/>
        <v>1803</v>
      </c>
      <c r="F424" s="556">
        <f t="shared" si="36"/>
        <v>1925</v>
      </c>
      <c r="G424" s="556">
        <f t="shared" si="37"/>
        <v>1823</v>
      </c>
    </row>
    <row r="425" spans="1:7" ht="15.75">
      <c r="A425" s="625">
        <f t="shared" si="38"/>
        <v>18075</v>
      </c>
      <c r="B425" s="555">
        <v>18050</v>
      </c>
      <c r="C425" s="555">
        <v>18100</v>
      </c>
      <c r="D425" s="556">
        <f t="shared" si="34"/>
        <v>1931</v>
      </c>
      <c r="E425" s="556">
        <f t="shared" si="35"/>
        <v>1808</v>
      </c>
      <c r="F425" s="556">
        <f t="shared" si="36"/>
        <v>1931</v>
      </c>
      <c r="G425" s="556">
        <f t="shared" si="37"/>
        <v>1829</v>
      </c>
    </row>
    <row r="426" spans="1:7" ht="15.75">
      <c r="A426" s="625">
        <f t="shared" si="38"/>
        <v>18125</v>
      </c>
      <c r="B426" s="555">
        <v>18100</v>
      </c>
      <c r="C426" s="555">
        <v>18150</v>
      </c>
      <c r="D426" s="556">
        <f t="shared" si="34"/>
        <v>1937</v>
      </c>
      <c r="E426" s="556">
        <f t="shared" si="35"/>
        <v>1813</v>
      </c>
      <c r="F426" s="556">
        <f t="shared" si="36"/>
        <v>1937</v>
      </c>
      <c r="G426" s="556">
        <f t="shared" si="37"/>
        <v>1835</v>
      </c>
    </row>
    <row r="427" spans="1:7" ht="15.75">
      <c r="A427" s="625">
        <f t="shared" si="38"/>
        <v>18175</v>
      </c>
      <c r="B427" s="555">
        <v>18150</v>
      </c>
      <c r="C427" s="555">
        <v>18200</v>
      </c>
      <c r="D427" s="556">
        <f t="shared" si="34"/>
        <v>1943</v>
      </c>
      <c r="E427" s="556">
        <f t="shared" si="35"/>
        <v>1818</v>
      </c>
      <c r="F427" s="556">
        <f t="shared" si="36"/>
        <v>1943</v>
      </c>
      <c r="G427" s="556">
        <f t="shared" si="37"/>
        <v>1841</v>
      </c>
    </row>
    <row r="428" spans="1:7" ht="15.75">
      <c r="A428" s="625">
        <f t="shared" si="38"/>
        <v>18225</v>
      </c>
      <c r="B428" s="555">
        <v>18200</v>
      </c>
      <c r="C428" s="555">
        <v>18250</v>
      </c>
      <c r="D428" s="556">
        <f t="shared" si="34"/>
        <v>1949</v>
      </c>
      <c r="E428" s="556">
        <f t="shared" si="35"/>
        <v>1823</v>
      </c>
      <c r="F428" s="556">
        <f t="shared" si="36"/>
        <v>1949</v>
      </c>
      <c r="G428" s="556">
        <f t="shared" si="37"/>
        <v>1847</v>
      </c>
    </row>
    <row r="429" spans="1:7" ht="15.75">
      <c r="A429" s="625">
        <f t="shared" si="38"/>
        <v>18275</v>
      </c>
      <c r="B429" s="555">
        <v>18250</v>
      </c>
      <c r="C429" s="555">
        <v>18300</v>
      </c>
      <c r="D429" s="556">
        <f t="shared" si="34"/>
        <v>1955</v>
      </c>
      <c r="E429" s="556">
        <f t="shared" si="35"/>
        <v>1828</v>
      </c>
      <c r="F429" s="556">
        <f t="shared" si="36"/>
        <v>1955</v>
      </c>
      <c r="G429" s="556">
        <f t="shared" si="37"/>
        <v>1853</v>
      </c>
    </row>
    <row r="430" spans="1:7" ht="15.75">
      <c r="A430" s="625">
        <f t="shared" si="38"/>
        <v>18325</v>
      </c>
      <c r="B430" s="555">
        <v>18300</v>
      </c>
      <c r="C430" s="555">
        <v>18350</v>
      </c>
      <c r="D430" s="556">
        <f t="shared" si="34"/>
        <v>1961</v>
      </c>
      <c r="E430" s="556">
        <f t="shared" si="35"/>
        <v>1833</v>
      </c>
      <c r="F430" s="556">
        <f t="shared" si="36"/>
        <v>1961</v>
      </c>
      <c r="G430" s="556">
        <f t="shared" si="37"/>
        <v>1859</v>
      </c>
    </row>
    <row r="431" spans="1:7" ht="15.75">
      <c r="A431" s="625">
        <f t="shared" si="38"/>
        <v>18375</v>
      </c>
      <c r="B431" s="555">
        <v>18350</v>
      </c>
      <c r="C431" s="555">
        <v>18400</v>
      </c>
      <c r="D431" s="556">
        <f t="shared" si="34"/>
        <v>1967</v>
      </c>
      <c r="E431" s="556">
        <f t="shared" si="35"/>
        <v>1838</v>
      </c>
      <c r="F431" s="556">
        <f t="shared" si="36"/>
        <v>1967</v>
      </c>
      <c r="G431" s="556">
        <f t="shared" si="37"/>
        <v>1865</v>
      </c>
    </row>
    <row r="432" spans="1:7" ht="15.75">
      <c r="A432" s="625">
        <f t="shared" si="38"/>
        <v>18425</v>
      </c>
      <c r="B432" s="555">
        <v>18400</v>
      </c>
      <c r="C432" s="555">
        <v>18450</v>
      </c>
      <c r="D432" s="556">
        <f t="shared" si="34"/>
        <v>1973</v>
      </c>
      <c r="E432" s="556">
        <f t="shared" si="35"/>
        <v>1843</v>
      </c>
      <c r="F432" s="556">
        <f t="shared" si="36"/>
        <v>1973</v>
      </c>
      <c r="G432" s="556">
        <f t="shared" si="37"/>
        <v>1871</v>
      </c>
    </row>
    <row r="433" spans="1:7" ht="15.75">
      <c r="A433" s="625">
        <f t="shared" si="38"/>
        <v>18475</v>
      </c>
      <c r="B433" s="555">
        <v>18450</v>
      </c>
      <c r="C433" s="555">
        <v>18500</v>
      </c>
      <c r="D433" s="556">
        <f t="shared" si="34"/>
        <v>1979</v>
      </c>
      <c r="E433" s="556">
        <f t="shared" si="35"/>
        <v>1848</v>
      </c>
      <c r="F433" s="556">
        <f t="shared" si="36"/>
        <v>1979</v>
      </c>
      <c r="G433" s="556">
        <f t="shared" si="37"/>
        <v>1877</v>
      </c>
    </row>
    <row r="434" spans="1:7" ht="15.75">
      <c r="A434" s="625">
        <f t="shared" si="38"/>
        <v>18525</v>
      </c>
      <c r="B434" s="555">
        <v>18500</v>
      </c>
      <c r="C434" s="555">
        <v>18550</v>
      </c>
      <c r="D434" s="556">
        <f t="shared" si="34"/>
        <v>1985</v>
      </c>
      <c r="E434" s="556">
        <f t="shared" si="35"/>
        <v>1853</v>
      </c>
      <c r="F434" s="556">
        <f t="shared" si="36"/>
        <v>1985</v>
      </c>
      <c r="G434" s="556">
        <f t="shared" si="37"/>
        <v>1883</v>
      </c>
    </row>
    <row r="435" spans="1:7" ht="15.75">
      <c r="A435" s="625">
        <f t="shared" si="38"/>
        <v>18575</v>
      </c>
      <c r="B435" s="555">
        <v>18550</v>
      </c>
      <c r="C435" s="555">
        <v>18600</v>
      </c>
      <c r="D435" s="556">
        <f t="shared" si="34"/>
        <v>1991</v>
      </c>
      <c r="E435" s="556">
        <f t="shared" si="35"/>
        <v>1858</v>
      </c>
      <c r="F435" s="556">
        <f t="shared" si="36"/>
        <v>1991</v>
      </c>
      <c r="G435" s="556">
        <f t="shared" si="37"/>
        <v>1889</v>
      </c>
    </row>
    <row r="436" spans="1:7" ht="15.75">
      <c r="A436" s="625">
        <f t="shared" si="38"/>
        <v>18625</v>
      </c>
      <c r="B436" s="555">
        <v>18600</v>
      </c>
      <c r="C436" s="555">
        <v>18650</v>
      </c>
      <c r="D436" s="556">
        <f t="shared" si="34"/>
        <v>1997</v>
      </c>
      <c r="E436" s="556">
        <f t="shared" si="35"/>
        <v>1863</v>
      </c>
      <c r="F436" s="556">
        <f t="shared" si="36"/>
        <v>1997</v>
      </c>
      <c r="G436" s="556">
        <f t="shared" si="37"/>
        <v>1895</v>
      </c>
    </row>
    <row r="437" spans="1:7" ht="15.75">
      <c r="A437" s="625">
        <f t="shared" si="38"/>
        <v>18675</v>
      </c>
      <c r="B437" s="555">
        <v>18650</v>
      </c>
      <c r="C437" s="555">
        <v>18700</v>
      </c>
      <c r="D437" s="556">
        <f t="shared" si="34"/>
        <v>2003</v>
      </c>
      <c r="E437" s="556">
        <f t="shared" si="35"/>
        <v>1868</v>
      </c>
      <c r="F437" s="556">
        <f t="shared" si="36"/>
        <v>2003</v>
      </c>
      <c r="G437" s="556">
        <f t="shared" si="37"/>
        <v>1901</v>
      </c>
    </row>
    <row r="438" spans="1:7" ht="15.75">
      <c r="A438" s="625">
        <f t="shared" si="38"/>
        <v>18725</v>
      </c>
      <c r="B438" s="555">
        <v>18700</v>
      </c>
      <c r="C438" s="555">
        <v>18750</v>
      </c>
      <c r="D438" s="556">
        <f t="shared" si="34"/>
        <v>2009</v>
      </c>
      <c r="E438" s="556">
        <f t="shared" si="35"/>
        <v>1873</v>
      </c>
      <c r="F438" s="556">
        <f t="shared" si="36"/>
        <v>2009</v>
      </c>
      <c r="G438" s="556">
        <f t="shared" si="37"/>
        <v>1907</v>
      </c>
    </row>
    <row r="439" spans="1:7" ht="15.75">
      <c r="A439" s="625">
        <f t="shared" si="38"/>
        <v>18775</v>
      </c>
      <c r="B439" s="555">
        <v>18750</v>
      </c>
      <c r="C439" s="555">
        <v>18800</v>
      </c>
      <c r="D439" s="556">
        <f t="shared" si="34"/>
        <v>2015</v>
      </c>
      <c r="E439" s="556">
        <f t="shared" si="35"/>
        <v>1878</v>
      </c>
      <c r="F439" s="556">
        <f t="shared" si="36"/>
        <v>2015</v>
      </c>
      <c r="G439" s="556">
        <f t="shared" si="37"/>
        <v>1913</v>
      </c>
    </row>
    <row r="440" spans="1:7" ht="15.75">
      <c r="A440" s="625">
        <f t="shared" si="38"/>
        <v>18825</v>
      </c>
      <c r="B440" s="555">
        <v>18800</v>
      </c>
      <c r="C440" s="555">
        <v>18850</v>
      </c>
      <c r="D440" s="556">
        <f t="shared" si="34"/>
        <v>2021</v>
      </c>
      <c r="E440" s="556">
        <f t="shared" si="35"/>
        <v>1883</v>
      </c>
      <c r="F440" s="556">
        <f t="shared" si="36"/>
        <v>2021</v>
      </c>
      <c r="G440" s="556">
        <f t="shared" si="37"/>
        <v>1919</v>
      </c>
    </row>
    <row r="441" spans="1:7" ht="15.75">
      <c r="A441" s="625">
        <f t="shared" si="38"/>
        <v>18875</v>
      </c>
      <c r="B441" s="555">
        <v>18850</v>
      </c>
      <c r="C441" s="555">
        <v>18900</v>
      </c>
      <c r="D441" s="556">
        <f t="shared" si="34"/>
        <v>2027</v>
      </c>
      <c r="E441" s="556">
        <f t="shared" si="35"/>
        <v>1888</v>
      </c>
      <c r="F441" s="556">
        <f t="shared" si="36"/>
        <v>2027</v>
      </c>
      <c r="G441" s="556">
        <f t="shared" si="37"/>
        <v>1925</v>
      </c>
    </row>
    <row r="442" spans="1:7" ht="15.75">
      <c r="A442" s="625">
        <f t="shared" si="38"/>
        <v>18925</v>
      </c>
      <c r="B442" s="555">
        <v>18900</v>
      </c>
      <c r="C442" s="555">
        <v>18950</v>
      </c>
      <c r="D442" s="556">
        <f t="shared" si="34"/>
        <v>2033</v>
      </c>
      <c r="E442" s="556">
        <f t="shared" si="35"/>
        <v>1893</v>
      </c>
      <c r="F442" s="556">
        <f t="shared" si="36"/>
        <v>2033</v>
      </c>
      <c r="G442" s="556">
        <f t="shared" si="37"/>
        <v>1931</v>
      </c>
    </row>
    <row r="443" spans="1:7" ht="15.75">
      <c r="A443" s="625">
        <f t="shared" si="38"/>
        <v>18975</v>
      </c>
      <c r="B443" s="555">
        <v>18950</v>
      </c>
      <c r="C443" s="555">
        <v>19000</v>
      </c>
      <c r="D443" s="556">
        <f t="shared" si="34"/>
        <v>2039</v>
      </c>
      <c r="E443" s="556">
        <f t="shared" si="35"/>
        <v>1898</v>
      </c>
      <c r="F443" s="556">
        <f t="shared" si="36"/>
        <v>2039</v>
      </c>
      <c r="G443" s="556">
        <f t="shared" si="37"/>
        <v>1937</v>
      </c>
    </row>
    <row r="444" spans="1:7" ht="15.75">
      <c r="A444" s="625">
        <f t="shared" si="38"/>
        <v>19025</v>
      </c>
      <c r="B444" s="555">
        <v>19000</v>
      </c>
      <c r="C444" s="555">
        <v>19050</v>
      </c>
      <c r="D444" s="556">
        <f t="shared" si="34"/>
        <v>2045</v>
      </c>
      <c r="E444" s="556">
        <f t="shared" si="35"/>
        <v>1903</v>
      </c>
      <c r="F444" s="556">
        <f t="shared" si="36"/>
        <v>2045</v>
      </c>
      <c r="G444" s="556">
        <f t="shared" si="37"/>
        <v>1943</v>
      </c>
    </row>
    <row r="445" spans="1:7" ht="15.75">
      <c r="A445" s="625">
        <f t="shared" si="38"/>
        <v>19075</v>
      </c>
      <c r="B445" s="555">
        <v>19050</v>
      </c>
      <c r="C445" s="555">
        <v>19100</v>
      </c>
      <c r="D445" s="556">
        <f t="shared" si="34"/>
        <v>2051</v>
      </c>
      <c r="E445" s="556">
        <f t="shared" si="35"/>
        <v>1908</v>
      </c>
      <c r="F445" s="556">
        <f t="shared" si="36"/>
        <v>2051</v>
      </c>
      <c r="G445" s="556">
        <f t="shared" si="37"/>
        <v>1949</v>
      </c>
    </row>
    <row r="446" spans="1:7" ht="15.75">
      <c r="A446" s="625">
        <f t="shared" si="38"/>
        <v>19125</v>
      </c>
      <c r="B446" s="555">
        <v>19100</v>
      </c>
      <c r="C446" s="555">
        <v>19150</v>
      </c>
      <c r="D446" s="556">
        <f t="shared" si="34"/>
        <v>2057</v>
      </c>
      <c r="E446" s="556">
        <f t="shared" si="35"/>
        <v>1913</v>
      </c>
      <c r="F446" s="556">
        <f t="shared" si="36"/>
        <v>2057</v>
      </c>
      <c r="G446" s="556">
        <f t="shared" si="37"/>
        <v>1955</v>
      </c>
    </row>
    <row r="447" spans="1:7" ht="15.75">
      <c r="A447" s="625">
        <f t="shared" si="38"/>
        <v>19175</v>
      </c>
      <c r="B447" s="555">
        <v>19150</v>
      </c>
      <c r="C447" s="555">
        <v>19200</v>
      </c>
      <c r="D447" s="556">
        <f t="shared" si="34"/>
        <v>2063</v>
      </c>
      <c r="E447" s="556">
        <f t="shared" si="35"/>
        <v>1918</v>
      </c>
      <c r="F447" s="556">
        <f t="shared" si="36"/>
        <v>2063</v>
      </c>
      <c r="G447" s="556">
        <f t="shared" si="37"/>
        <v>1961</v>
      </c>
    </row>
    <row r="448" spans="1:7" ht="15.75">
      <c r="A448" s="625">
        <f t="shared" si="38"/>
        <v>19225</v>
      </c>
      <c r="B448" s="555">
        <v>19200</v>
      </c>
      <c r="C448" s="555">
        <v>19250</v>
      </c>
      <c r="D448" s="556">
        <f t="shared" si="34"/>
        <v>2069</v>
      </c>
      <c r="E448" s="556">
        <f t="shared" si="35"/>
        <v>1923</v>
      </c>
      <c r="F448" s="556">
        <f t="shared" si="36"/>
        <v>2069</v>
      </c>
      <c r="G448" s="556">
        <f t="shared" si="37"/>
        <v>1967</v>
      </c>
    </row>
    <row r="449" spans="1:7" ht="15.75">
      <c r="A449" s="625">
        <f t="shared" si="38"/>
        <v>19275</v>
      </c>
      <c r="B449" s="555">
        <v>19250</v>
      </c>
      <c r="C449" s="555">
        <v>19300</v>
      </c>
      <c r="D449" s="556">
        <f t="shared" si="34"/>
        <v>2075</v>
      </c>
      <c r="E449" s="556">
        <f t="shared" si="35"/>
        <v>1928</v>
      </c>
      <c r="F449" s="556">
        <f t="shared" si="36"/>
        <v>2075</v>
      </c>
      <c r="G449" s="556">
        <f t="shared" si="37"/>
        <v>1973</v>
      </c>
    </row>
    <row r="450" spans="1:7" ht="15.75">
      <c r="A450" s="625">
        <f t="shared" si="38"/>
        <v>19325</v>
      </c>
      <c r="B450" s="555">
        <v>19300</v>
      </c>
      <c r="C450" s="555">
        <v>19350</v>
      </c>
      <c r="D450" s="556">
        <f t="shared" ref="D450:D513" si="39">IF($A450&gt;BOTT_A4,ROUND(BASE_A4+RATE_A4*($A450-BOTT_A4),0),IF($A450&gt;BOTT_A3,ROUND(BASE_A3+RATE_A3*($A450-BOTT_A3),0),IF($A450&gt;BOTT_A2,ROUND(BASE_A2+RATE_A2*($A450-BOTT_A2),0),ROUND(RATE_A1*$A450,0))))</f>
        <v>2081</v>
      </c>
      <c r="E450" s="556">
        <f t="shared" ref="E450:E513" si="40">IF($A450&gt;BOTT_B4,ROUND(BASE_B4+RATE_B4*($A450-BOTT_B4),0),IF($A450&gt;BOTT_B3,ROUND(BASE_B3+RATE_B3*($A450-BOTT_B3),0),IF($A450&gt;BOTT_B2,ROUND(BASE_B2+RATE_B2*($A450-BOTT_B2),0),ROUND(RATE_B1*$A450,0))))</f>
        <v>1933</v>
      </c>
      <c r="F450" s="556">
        <f t="shared" ref="F450:F513" si="41">IF($A450&gt;BOTT_C4,ROUND(BASE_C4+RATE_C4*($A450-BOTT_C4),0),IF($A450&gt;BOTT_C3,ROUND(BASE_C3+RATE_C3*($A450-BOTT_C3),0),IF($A450&gt;BOTT_C2,ROUND(BASE_C2+RATE_C2*($A450-BOTT_C2),0),ROUND(RATE_C1*$A450,0))))</f>
        <v>2081</v>
      </c>
      <c r="G450" s="556">
        <f t="shared" ref="G450:G513" si="42">IF($A450&gt;BOTT_D4,ROUND(BASE_D4+RATE_D4*($A450-BOTT_D4),0),IF($A450&gt;BOTT_D3,ROUND(BASE_D3+RATE_D3*($A450-BOTT_D3),0),IF($A450&gt;BOTT_D2,ROUND(BASE_D2+RATE_D2*($A450-BOTT_D2),0),ROUND(RATE_D1*$A450,0))))</f>
        <v>1979</v>
      </c>
    </row>
    <row r="451" spans="1:7" ht="15.75">
      <c r="A451" s="625">
        <f t="shared" ref="A451:A514" si="43">AVERAGE(B451,C451)</f>
        <v>19375</v>
      </c>
      <c r="B451" s="555">
        <v>19350</v>
      </c>
      <c r="C451" s="555">
        <v>19400</v>
      </c>
      <c r="D451" s="556">
        <f t="shared" si="39"/>
        <v>2087</v>
      </c>
      <c r="E451" s="556">
        <f t="shared" si="40"/>
        <v>1938</v>
      </c>
      <c r="F451" s="556">
        <f t="shared" si="41"/>
        <v>2087</v>
      </c>
      <c r="G451" s="556">
        <f t="shared" si="42"/>
        <v>1985</v>
      </c>
    </row>
    <row r="452" spans="1:7" ht="15.75">
      <c r="A452" s="625">
        <f t="shared" si="43"/>
        <v>19425</v>
      </c>
      <c r="B452" s="555">
        <v>19400</v>
      </c>
      <c r="C452" s="555">
        <v>19450</v>
      </c>
      <c r="D452" s="556">
        <f t="shared" si="39"/>
        <v>2093</v>
      </c>
      <c r="E452" s="556">
        <f t="shared" si="40"/>
        <v>1943</v>
      </c>
      <c r="F452" s="556">
        <f t="shared" si="41"/>
        <v>2093</v>
      </c>
      <c r="G452" s="556">
        <f t="shared" si="42"/>
        <v>1991</v>
      </c>
    </row>
    <row r="453" spans="1:7" ht="15.75">
      <c r="A453" s="625">
        <f t="shared" si="43"/>
        <v>19475</v>
      </c>
      <c r="B453" s="555">
        <v>19450</v>
      </c>
      <c r="C453" s="555">
        <v>19500</v>
      </c>
      <c r="D453" s="556">
        <f t="shared" si="39"/>
        <v>2099</v>
      </c>
      <c r="E453" s="556">
        <f t="shared" si="40"/>
        <v>1948</v>
      </c>
      <c r="F453" s="556">
        <f t="shared" si="41"/>
        <v>2099</v>
      </c>
      <c r="G453" s="556">
        <f t="shared" si="42"/>
        <v>1997</v>
      </c>
    </row>
    <row r="454" spans="1:7" ht="15.75">
      <c r="A454" s="625">
        <f t="shared" si="43"/>
        <v>19525</v>
      </c>
      <c r="B454" s="555">
        <v>19500</v>
      </c>
      <c r="C454" s="555">
        <v>19550</v>
      </c>
      <c r="D454" s="556">
        <f t="shared" si="39"/>
        <v>2105</v>
      </c>
      <c r="E454" s="556">
        <f t="shared" si="40"/>
        <v>1953</v>
      </c>
      <c r="F454" s="556">
        <f t="shared" si="41"/>
        <v>2105</v>
      </c>
      <c r="G454" s="556">
        <f t="shared" si="42"/>
        <v>2003</v>
      </c>
    </row>
    <row r="455" spans="1:7" ht="15.75">
      <c r="A455" s="625">
        <f t="shared" si="43"/>
        <v>19575</v>
      </c>
      <c r="B455" s="555">
        <v>19550</v>
      </c>
      <c r="C455" s="555">
        <v>19600</v>
      </c>
      <c r="D455" s="556">
        <f t="shared" si="39"/>
        <v>2111</v>
      </c>
      <c r="E455" s="556">
        <f t="shared" si="40"/>
        <v>1958</v>
      </c>
      <c r="F455" s="556">
        <f t="shared" si="41"/>
        <v>2111</v>
      </c>
      <c r="G455" s="556">
        <f t="shared" si="42"/>
        <v>2009</v>
      </c>
    </row>
    <row r="456" spans="1:7" ht="15.75">
      <c r="A456" s="625">
        <f t="shared" si="43"/>
        <v>19625</v>
      </c>
      <c r="B456" s="555">
        <v>19600</v>
      </c>
      <c r="C456" s="555">
        <v>19650</v>
      </c>
      <c r="D456" s="556">
        <f t="shared" si="39"/>
        <v>2117</v>
      </c>
      <c r="E456" s="556">
        <f t="shared" si="40"/>
        <v>1963</v>
      </c>
      <c r="F456" s="556">
        <f t="shared" si="41"/>
        <v>2117</v>
      </c>
      <c r="G456" s="556">
        <f t="shared" si="42"/>
        <v>2015</v>
      </c>
    </row>
    <row r="457" spans="1:7" ht="15.75">
      <c r="A457" s="625">
        <f t="shared" si="43"/>
        <v>19675</v>
      </c>
      <c r="B457" s="555">
        <v>19650</v>
      </c>
      <c r="C457" s="555">
        <v>19700</v>
      </c>
      <c r="D457" s="556">
        <f t="shared" si="39"/>
        <v>2123</v>
      </c>
      <c r="E457" s="556">
        <f t="shared" si="40"/>
        <v>1968</v>
      </c>
      <c r="F457" s="556">
        <f t="shared" si="41"/>
        <v>2123</v>
      </c>
      <c r="G457" s="556">
        <f t="shared" si="42"/>
        <v>2021</v>
      </c>
    </row>
    <row r="458" spans="1:7" ht="15.75">
      <c r="A458" s="625">
        <f t="shared" si="43"/>
        <v>19725</v>
      </c>
      <c r="B458" s="555">
        <v>19700</v>
      </c>
      <c r="C458" s="555">
        <v>19750</v>
      </c>
      <c r="D458" s="556">
        <f t="shared" si="39"/>
        <v>2129</v>
      </c>
      <c r="E458" s="556">
        <f t="shared" si="40"/>
        <v>1973</v>
      </c>
      <c r="F458" s="556">
        <f t="shared" si="41"/>
        <v>2129</v>
      </c>
      <c r="G458" s="556">
        <f t="shared" si="42"/>
        <v>2027</v>
      </c>
    </row>
    <row r="459" spans="1:7" ht="15.75">
      <c r="A459" s="625">
        <f t="shared" si="43"/>
        <v>19775</v>
      </c>
      <c r="B459" s="555">
        <v>19750</v>
      </c>
      <c r="C459" s="555">
        <v>19800</v>
      </c>
      <c r="D459" s="556">
        <f t="shared" si="39"/>
        <v>2135</v>
      </c>
      <c r="E459" s="556">
        <f t="shared" si="40"/>
        <v>1978</v>
      </c>
      <c r="F459" s="556">
        <f t="shared" si="41"/>
        <v>2135</v>
      </c>
      <c r="G459" s="556">
        <f t="shared" si="42"/>
        <v>2033</v>
      </c>
    </row>
    <row r="460" spans="1:7" ht="15.75">
      <c r="A460" s="625">
        <f t="shared" si="43"/>
        <v>19825</v>
      </c>
      <c r="B460" s="555">
        <v>19800</v>
      </c>
      <c r="C460" s="555">
        <v>19850</v>
      </c>
      <c r="D460" s="556">
        <f t="shared" si="39"/>
        <v>2141</v>
      </c>
      <c r="E460" s="556">
        <f t="shared" si="40"/>
        <v>1983</v>
      </c>
      <c r="F460" s="556">
        <f t="shared" si="41"/>
        <v>2141</v>
      </c>
      <c r="G460" s="556">
        <f t="shared" si="42"/>
        <v>2039</v>
      </c>
    </row>
    <row r="461" spans="1:7" ht="15.75">
      <c r="A461" s="625">
        <f t="shared" si="43"/>
        <v>19875</v>
      </c>
      <c r="B461" s="555">
        <v>19850</v>
      </c>
      <c r="C461" s="555">
        <v>19900</v>
      </c>
      <c r="D461" s="556">
        <f t="shared" si="39"/>
        <v>2147</v>
      </c>
      <c r="E461" s="556">
        <f t="shared" si="40"/>
        <v>1988</v>
      </c>
      <c r="F461" s="556">
        <f t="shared" si="41"/>
        <v>2147</v>
      </c>
      <c r="G461" s="556">
        <f t="shared" si="42"/>
        <v>2045</v>
      </c>
    </row>
    <row r="462" spans="1:7" ht="15.75">
      <c r="A462" s="625">
        <f t="shared" si="43"/>
        <v>19925</v>
      </c>
      <c r="B462" s="555">
        <v>19900</v>
      </c>
      <c r="C462" s="555">
        <v>19950</v>
      </c>
      <c r="D462" s="556">
        <f t="shared" si="39"/>
        <v>2153</v>
      </c>
      <c r="E462" s="556">
        <f t="shared" si="40"/>
        <v>1993</v>
      </c>
      <c r="F462" s="556">
        <f t="shared" si="41"/>
        <v>2153</v>
      </c>
      <c r="G462" s="556">
        <f t="shared" si="42"/>
        <v>2051</v>
      </c>
    </row>
    <row r="463" spans="1:7" ht="15.75">
      <c r="A463" s="625">
        <f t="shared" si="43"/>
        <v>19975</v>
      </c>
      <c r="B463" s="555">
        <v>19950</v>
      </c>
      <c r="C463" s="555">
        <v>20000</v>
      </c>
      <c r="D463" s="556">
        <f t="shared" si="39"/>
        <v>2159</v>
      </c>
      <c r="E463" s="556">
        <f t="shared" si="40"/>
        <v>1998</v>
      </c>
      <c r="F463" s="556">
        <f t="shared" si="41"/>
        <v>2159</v>
      </c>
      <c r="G463" s="556">
        <f t="shared" si="42"/>
        <v>2057</v>
      </c>
    </row>
    <row r="464" spans="1:7" ht="15.75">
      <c r="A464" s="625">
        <f t="shared" si="43"/>
        <v>20025</v>
      </c>
      <c r="B464" s="555">
        <v>20000</v>
      </c>
      <c r="C464" s="555">
        <v>20050</v>
      </c>
      <c r="D464" s="556">
        <f t="shared" si="39"/>
        <v>2165</v>
      </c>
      <c r="E464" s="556">
        <f t="shared" si="40"/>
        <v>2003</v>
      </c>
      <c r="F464" s="556">
        <f t="shared" si="41"/>
        <v>2165</v>
      </c>
      <c r="G464" s="556">
        <f t="shared" si="42"/>
        <v>2063</v>
      </c>
    </row>
    <row r="465" spans="1:7" ht="15.75">
      <c r="A465" s="625">
        <f t="shared" si="43"/>
        <v>20075</v>
      </c>
      <c r="B465" s="555">
        <v>20050</v>
      </c>
      <c r="C465" s="555">
        <v>20100</v>
      </c>
      <c r="D465" s="556">
        <f t="shared" si="39"/>
        <v>2171</v>
      </c>
      <c r="E465" s="556">
        <f t="shared" si="40"/>
        <v>2008</v>
      </c>
      <c r="F465" s="556">
        <f t="shared" si="41"/>
        <v>2171</v>
      </c>
      <c r="G465" s="556">
        <f t="shared" si="42"/>
        <v>2069</v>
      </c>
    </row>
    <row r="466" spans="1:7" ht="15.75">
      <c r="A466" s="625">
        <f t="shared" si="43"/>
        <v>20125</v>
      </c>
      <c r="B466" s="555">
        <v>20100</v>
      </c>
      <c r="C466" s="555">
        <v>20150</v>
      </c>
      <c r="D466" s="556">
        <f t="shared" si="39"/>
        <v>2177</v>
      </c>
      <c r="E466" s="556">
        <f t="shared" si="40"/>
        <v>2013</v>
      </c>
      <c r="F466" s="556">
        <f t="shared" si="41"/>
        <v>2177</v>
      </c>
      <c r="G466" s="556">
        <f t="shared" si="42"/>
        <v>2075</v>
      </c>
    </row>
    <row r="467" spans="1:7" ht="15.75">
      <c r="A467" s="625">
        <f t="shared" si="43"/>
        <v>20175</v>
      </c>
      <c r="B467" s="555">
        <v>20150</v>
      </c>
      <c r="C467" s="555">
        <v>20200</v>
      </c>
      <c r="D467" s="556">
        <f t="shared" si="39"/>
        <v>2183</v>
      </c>
      <c r="E467" s="556">
        <f t="shared" si="40"/>
        <v>2018</v>
      </c>
      <c r="F467" s="556">
        <f t="shared" si="41"/>
        <v>2183</v>
      </c>
      <c r="G467" s="556">
        <f t="shared" si="42"/>
        <v>2081</v>
      </c>
    </row>
    <row r="468" spans="1:7" ht="15.75">
      <c r="A468" s="625">
        <f t="shared" si="43"/>
        <v>20225</v>
      </c>
      <c r="B468" s="555">
        <v>20200</v>
      </c>
      <c r="C468" s="555">
        <v>20250</v>
      </c>
      <c r="D468" s="556">
        <f t="shared" si="39"/>
        <v>2189</v>
      </c>
      <c r="E468" s="556">
        <f t="shared" si="40"/>
        <v>2023</v>
      </c>
      <c r="F468" s="556">
        <f t="shared" si="41"/>
        <v>2189</v>
      </c>
      <c r="G468" s="556">
        <f t="shared" si="42"/>
        <v>2087</v>
      </c>
    </row>
    <row r="469" spans="1:7" ht="15.75">
      <c r="A469" s="625">
        <f t="shared" si="43"/>
        <v>20275</v>
      </c>
      <c r="B469" s="555">
        <v>20250</v>
      </c>
      <c r="C469" s="555">
        <v>20300</v>
      </c>
      <c r="D469" s="556">
        <f t="shared" si="39"/>
        <v>2195</v>
      </c>
      <c r="E469" s="556">
        <f t="shared" si="40"/>
        <v>2028</v>
      </c>
      <c r="F469" s="556">
        <f t="shared" si="41"/>
        <v>2195</v>
      </c>
      <c r="G469" s="556">
        <f t="shared" si="42"/>
        <v>2093</v>
      </c>
    </row>
    <row r="470" spans="1:7" ht="15.75">
      <c r="A470" s="625">
        <f t="shared" si="43"/>
        <v>20325</v>
      </c>
      <c r="B470" s="555">
        <v>20300</v>
      </c>
      <c r="C470" s="555">
        <v>20350</v>
      </c>
      <c r="D470" s="556">
        <f t="shared" si="39"/>
        <v>2201</v>
      </c>
      <c r="E470" s="556">
        <f t="shared" si="40"/>
        <v>2033</v>
      </c>
      <c r="F470" s="556">
        <f t="shared" si="41"/>
        <v>2201</v>
      </c>
      <c r="G470" s="556">
        <f t="shared" si="42"/>
        <v>2099</v>
      </c>
    </row>
    <row r="471" spans="1:7" ht="15.75">
      <c r="A471" s="625">
        <f t="shared" si="43"/>
        <v>20375</v>
      </c>
      <c r="B471" s="555">
        <v>20350</v>
      </c>
      <c r="C471" s="555">
        <v>20400</v>
      </c>
      <c r="D471" s="556">
        <f t="shared" si="39"/>
        <v>2207</v>
      </c>
      <c r="E471" s="556">
        <f t="shared" si="40"/>
        <v>2038</v>
      </c>
      <c r="F471" s="556">
        <f t="shared" si="41"/>
        <v>2207</v>
      </c>
      <c r="G471" s="556">
        <f t="shared" si="42"/>
        <v>2105</v>
      </c>
    </row>
    <row r="472" spans="1:7" ht="15.75">
      <c r="A472" s="625">
        <f t="shared" si="43"/>
        <v>20425</v>
      </c>
      <c r="B472" s="555">
        <v>20400</v>
      </c>
      <c r="C472" s="555">
        <v>20450</v>
      </c>
      <c r="D472" s="556">
        <f t="shared" si="39"/>
        <v>2213</v>
      </c>
      <c r="E472" s="556">
        <f t="shared" si="40"/>
        <v>2043</v>
      </c>
      <c r="F472" s="556">
        <f t="shared" si="41"/>
        <v>2213</v>
      </c>
      <c r="G472" s="556">
        <f t="shared" si="42"/>
        <v>2111</v>
      </c>
    </row>
    <row r="473" spans="1:7" ht="15.75">
      <c r="A473" s="625">
        <f t="shared" si="43"/>
        <v>20475</v>
      </c>
      <c r="B473" s="555">
        <v>20450</v>
      </c>
      <c r="C473" s="555">
        <v>20500</v>
      </c>
      <c r="D473" s="556">
        <f t="shared" si="39"/>
        <v>2219</v>
      </c>
      <c r="E473" s="556">
        <f t="shared" si="40"/>
        <v>2048</v>
      </c>
      <c r="F473" s="556">
        <f t="shared" si="41"/>
        <v>2219</v>
      </c>
      <c r="G473" s="556">
        <f t="shared" si="42"/>
        <v>2117</v>
      </c>
    </row>
    <row r="474" spans="1:7" ht="15.75">
      <c r="A474" s="625">
        <f t="shared" si="43"/>
        <v>20525</v>
      </c>
      <c r="B474" s="555">
        <v>20500</v>
      </c>
      <c r="C474" s="555">
        <v>20550</v>
      </c>
      <c r="D474" s="556">
        <f t="shared" si="39"/>
        <v>2225</v>
      </c>
      <c r="E474" s="556">
        <f t="shared" si="40"/>
        <v>2053</v>
      </c>
      <c r="F474" s="556">
        <f t="shared" si="41"/>
        <v>2225</v>
      </c>
      <c r="G474" s="556">
        <f t="shared" si="42"/>
        <v>2123</v>
      </c>
    </row>
    <row r="475" spans="1:7" ht="15.75">
      <c r="A475" s="625">
        <f t="shared" si="43"/>
        <v>20575</v>
      </c>
      <c r="B475" s="555">
        <v>20550</v>
      </c>
      <c r="C475" s="555">
        <v>20600</v>
      </c>
      <c r="D475" s="556">
        <f t="shared" si="39"/>
        <v>2231</v>
      </c>
      <c r="E475" s="556">
        <f t="shared" si="40"/>
        <v>2058</v>
      </c>
      <c r="F475" s="556">
        <f t="shared" si="41"/>
        <v>2231</v>
      </c>
      <c r="G475" s="556">
        <f t="shared" si="42"/>
        <v>2129</v>
      </c>
    </row>
    <row r="476" spans="1:7" ht="15.75">
      <c r="A476" s="625">
        <f t="shared" si="43"/>
        <v>20625</v>
      </c>
      <c r="B476" s="555">
        <v>20600</v>
      </c>
      <c r="C476" s="555">
        <v>20650</v>
      </c>
      <c r="D476" s="556">
        <f t="shared" si="39"/>
        <v>2237</v>
      </c>
      <c r="E476" s="556">
        <f t="shared" si="40"/>
        <v>2063</v>
      </c>
      <c r="F476" s="556">
        <f t="shared" si="41"/>
        <v>2237</v>
      </c>
      <c r="G476" s="556">
        <f t="shared" si="42"/>
        <v>2135</v>
      </c>
    </row>
    <row r="477" spans="1:7" ht="15.75">
      <c r="A477" s="625">
        <f t="shared" si="43"/>
        <v>20675</v>
      </c>
      <c r="B477" s="555">
        <v>20650</v>
      </c>
      <c r="C477" s="555">
        <v>20700</v>
      </c>
      <c r="D477" s="556">
        <f t="shared" si="39"/>
        <v>2243</v>
      </c>
      <c r="E477" s="556">
        <f t="shared" si="40"/>
        <v>2068</v>
      </c>
      <c r="F477" s="556">
        <f t="shared" si="41"/>
        <v>2243</v>
      </c>
      <c r="G477" s="556">
        <f t="shared" si="42"/>
        <v>2141</v>
      </c>
    </row>
    <row r="478" spans="1:7" ht="15.75">
      <c r="A478" s="625">
        <f t="shared" si="43"/>
        <v>20725</v>
      </c>
      <c r="B478" s="555">
        <v>20700</v>
      </c>
      <c r="C478" s="555">
        <v>20750</v>
      </c>
      <c r="D478" s="556">
        <f t="shared" si="39"/>
        <v>2249</v>
      </c>
      <c r="E478" s="556">
        <f t="shared" si="40"/>
        <v>2073</v>
      </c>
      <c r="F478" s="556">
        <f t="shared" si="41"/>
        <v>2249</v>
      </c>
      <c r="G478" s="556">
        <f t="shared" si="42"/>
        <v>2147</v>
      </c>
    </row>
    <row r="479" spans="1:7" ht="15.75">
      <c r="A479" s="625">
        <f t="shared" si="43"/>
        <v>20775</v>
      </c>
      <c r="B479" s="555">
        <v>20750</v>
      </c>
      <c r="C479" s="555">
        <v>20800</v>
      </c>
      <c r="D479" s="556">
        <f t="shared" si="39"/>
        <v>2255</v>
      </c>
      <c r="E479" s="556">
        <f t="shared" si="40"/>
        <v>2078</v>
      </c>
      <c r="F479" s="556">
        <f t="shared" si="41"/>
        <v>2255</v>
      </c>
      <c r="G479" s="556">
        <f t="shared" si="42"/>
        <v>2153</v>
      </c>
    </row>
    <row r="480" spans="1:7" ht="15.75">
      <c r="A480" s="625">
        <f t="shared" si="43"/>
        <v>20825</v>
      </c>
      <c r="B480" s="555">
        <v>20800</v>
      </c>
      <c r="C480" s="555">
        <v>20850</v>
      </c>
      <c r="D480" s="556">
        <f t="shared" si="39"/>
        <v>2261</v>
      </c>
      <c r="E480" s="556">
        <f t="shared" si="40"/>
        <v>2083</v>
      </c>
      <c r="F480" s="556">
        <f t="shared" si="41"/>
        <v>2261</v>
      </c>
      <c r="G480" s="556">
        <f t="shared" si="42"/>
        <v>2159</v>
      </c>
    </row>
    <row r="481" spans="1:7" ht="15.75">
      <c r="A481" s="625">
        <f t="shared" si="43"/>
        <v>20875</v>
      </c>
      <c r="B481" s="555">
        <v>20850</v>
      </c>
      <c r="C481" s="555">
        <v>20900</v>
      </c>
      <c r="D481" s="556">
        <f t="shared" si="39"/>
        <v>2267</v>
      </c>
      <c r="E481" s="556">
        <f t="shared" si="40"/>
        <v>2088</v>
      </c>
      <c r="F481" s="556">
        <f t="shared" si="41"/>
        <v>2267</v>
      </c>
      <c r="G481" s="556">
        <f t="shared" si="42"/>
        <v>2165</v>
      </c>
    </row>
    <row r="482" spans="1:7" ht="15.75">
      <c r="A482" s="625">
        <f t="shared" si="43"/>
        <v>20925</v>
      </c>
      <c r="B482" s="555">
        <v>20900</v>
      </c>
      <c r="C482" s="555">
        <v>20950</v>
      </c>
      <c r="D482" s="556">
        <f t="shared" si="39"/>
        <v>2273</v>
      </c>
      <c r="E482" s="556">
        <f t="shared" si="40"/>
        <v>2093</v>
      </c>
      <c r="F482" s="556">
        <f t="shared" si="41"/>
        <v>2273</v>
      </c>
      <c r="G482" s="556">
        <f t="shared" si="42"/>
        <v>2171</v>
      </c>
    </row>
    <row r="483" spans="1:7" ht="15.75">
      <c r="A483" s="625">
        <f t="shared" si="43"/>
        <v>20975</v>
      </c>
      <c r="B483" s="555">
        <v>20950</v>
      </c>
      <c r="C483" s="555">
        <v>21000</v>
      </c>
      <c r="D483" s="556">
        <f t="shared" si="39"/>
        <v>2279</v>
      </c>
      <c r="E483" s="556">
        <f t="shared" si="40"/>
        <v>2098</v>
      </c>
      <c r="F483" s="556">
        <f t="shared" si="41"/>
        <v>2279</v>
      </c>
      <c r="G483" s="556">
        <f t="shared" si="42"/>
        <v>2177</v>
      </c>
    </row>
    <row r="484" spans="1:7" ht="15.75">
      <c r="A484" s="625">
        <f t="shared" si="43"/>
        <v>21025</v>
      </c>
      <c r="B484" s="555">
        <v>21000</v>
      </c>
      <c r="C484" s="555">
        <v>21050</v>
      </c>
      <c r="D484" s="556">
        <f t="shared" si="39"/>
        <v>2285</v>
      </c>
      <c r="E484" s="556">
        <f t="shared" si="40"/>
        <v>2103</v>
      </c>
      <c r="F484" s="556">
        <f t="shared" si="41"/>
        <v>2285</v>
      </c>
      <c r="G484" s="556">
        <f t="shared" si="42"/>
        <v>2183</v>
      </c>
    </row>
    <row r="485" spans="1:7" ht="15.75">
      <c r="A485" s="625">
        <f t="shared" si="43"/>
        <v>21075</v>
      </c>
      <c r="B485" s="555">
        <v>21050</v>
      </c>
      <c r="C485" s="555">
        <v>21100</v>
      </c>
      <c r="D485" s="556">
        <f t="shared" si="39"/>
        <v>2291</v>
      </c>
      <c r="E485" s="556">
        <f t="shared" si="40"/>
        <v>2108</v>
      </c>
      <c r="F485" s="556">
        <f t="shared" si="41"/>
        <v>2291</v>
      </c>
      <c r="G485" s="556">
        <f t="shared" si="42"/>
        <v>2189</v>
      </c>
    </row>
    <row r="486" spans="1:7" ht="15.75">
      <c r="A486" s="625">
        <f t="shared" si="43"/>
        <v>21125</v>
      </c>
      <c r="B486" s="555">
        <v>21100</v>
      </c>
      <c r="C486" s="555">
        <v>21150</v>
      </c>
      <c r="D486" s="556">
        <f t="shared" si="39"/>
        <v>2297</v>
      </c>
      <c r="E486" s="556">
        <f t="shared" si="40"/>
        <v>2113</v>
      </c>
      <c r="F486" s="556">
        <f t="shared" si="41"/>
        <v>2297</v>
      </c>
      <c r="G486" s="556">
        <f t="shared" si="42"/>
        <v>2195</v>
      </c>
    </row>
    <row r="487" spans="1:7" ht="15.75">
      <c r="A487" s="625">
        <f t="shared" si="43"/>
        <v>21175</v>
      </c>
      <c r="B487" s="555">
        <v>21150</v>
      </c>
      <c r="C487" s="555">
        <v>21200</v>
      </c>
      <c r="D487" s="556">
        <f t="shared" si="39"/>
        <v>2303</v>
      </c>
      <c r="E487" s="556">
        <f t="shared" si="40"/>
        <v>2118</v>
      </c>
      <c r="F487" s="556">
        <f t="shared" si="41"/>
        <v>2303</v>
      </c>
      <c r="G487" s="556">
        <f t="shared" si="42"/>
        <v>2201</v>
      </c>
    </row>
    <row r="488" spans="1:7" ht="15.75">
      <c r="A488" s="625">
        <f t="shared" si="43"/>
        <v>21225</v>
      </c>
      <c r="B488" s="555">
        <v>21200</v>
      </c>
      <c r="C488" s="555">
        <v>21250</v>
      </c>
      <c r="D488" s="556">
        <f t="shared" si="39"/>
        <v>2309</v>
      </c>
      <c r="E488" s="556">
        <f t="shared" si="40"/>
        <v>2123</v>
      </c>
      <c r="F488" s="556">
        <f t="shared" si="41"/>
        <v>2309</v>
      </c>
      <c r="G488" s="556">
        <f t="shared" si="42"/>
        <v>2207</v>
      </c>
    </row>
    <row r="489" spans="1:7" ht="15.75">
      <c r="A489" s="625">
        <f t="shared" si="43"/>
        <v>21275</v>
      </c>
      <c r="B489" s="555">
        <v>21250</v>
      </c>
      <c r="C489" s="555">
        <v>21300</v>
      </c>
      <c r="D489" s="556">
        <f t="shared" si="39"/>
        <v>2315</v>
      </c>
      <c r="E489" s="556">
        <f t="shared" si="40"/>
        <v>2128</v>
      </c>
      <c r="F489" s="556">
        <f t="shared" si="41"/>
        <v>2315</v>
      </c>
      <c r="G489" s="556">
        <f t="shared" si="42"/>
        <v>2213</v>
      </c>
    </row>
    <row r="490" spans="1:7" ht="15.75">
      <c r="A490" s="625">
        <f t="shared" si="43"/>
        <v>21325</v>
      </c>
      <c r="B490" s="555">
        <v>21300</v>
      </c>
      <c r="C490" s="555">
        <v>21350</v>
      </c>
      <c r="D490" s="556">
        <f t="shared" si="39"/>
        <v>2321</v>
      </c>
      <c r="E490" s="556">
        <f t="shared" si="40"/>
        <v>2133</v>
      </c>
      <c r="F490" s="556">
        <f t="shared" si="41"/>
        <v>2321</v>
      </c>
      <c r="G490" s="556">
        <f t="shared" si="42"/>
        <v>2219</v>
      </c>
    </row>
    <row r="491" spans="1:7" ht="15.75">
      <c r="A491" s="625">
        <f t="shared" si="43"/>
        <v>21375</v>
      </c>
      <c r="B491" s="555">
        <v>21350</v>
      </c>
      <c r="C491" s="555">
        <v>21400</v>
      </c>
      <c r="D491" s="556">
        <f t="shared" si="39"/>
        <v>2327</v>
      </c>
      <c r="E491" s="556">
        <f t="shared" si="40"/>
        <v>2138</v>
      </c>
      <c r="F491" s="556">
        <f t="shared" si="41"/>
        <v>2327</v>
      </c>
      <c r="G491" s="556">
        <f t="shared" si="42"/>
        <v>2225</v>
      </c>
    </row>
    <row r="492" spans="1:7" ht="15.75">
      <c r="A492" s="625">
        <f t="shared" si="43"/>
        <v>21425</v>
      </c>
      <c r="B492" s="555">
        <v>21400</v>
      </c>
      <c r="C492" s="555">
        <v>21450</v>
      </c>
      <c r="D492" s="556">
        <f t="shared" si="39"/>
        <v>2333</v>
      </c>
      <c r="E492" s="556">
        <f t="shared" si="40"/>
        <v>2143</v>
      </c>
      <c r="F492" s="556">
        <f t="shared" si="41"/>
        <v>2333</v>
      </c>
      <c r="G492" s="556">
        <f t="shared" si="42"/>
        <v>2231</v>
      </c>
    </row>
    <row r="493" spans="1:7" ht="15.75">
      <c r="A493" s="625">
        <f t="shared" si="43"/>
        <v>21475</v>
      </c>
      <c r="B493" s="555">
        <v>21450</v>
      </c>
      <c r="C493" s="555">
        <v>21500</v>
      </c>
      <c r="D493" s="556">
        <f t="shared" si="39"/>
        <v>2339</v>
      </c>
      <c r="E493" s="556">
        <f t="shared" si="40"/>
        <v>2148</v>
      </c>
      <c r="F493" s="556">
        <f t="shared" si="41"/>
        <v>2339</v>
      </c>
      <c r="G493" s="556">
        <f t="shared" si="42"/>
        <v>2237</v>
      </c>
    </row>
    <row r="494" spans="1:7" ht="15.75">
      <c r="A494" s="625">
        <f t="shared" si="43"/>
        <v>21525</v>
      </c>
      <c r="B494" s="555">
        <v>21500</v>
      </c>
      <c r="C494" s="555">
        <v>21550</v>
      </c>
      <c r="D494" s="556">
        <f t="shared" si="39"/>
        <v>2345</v>
      </c>
      <c r="E494" s="556">
        <f t="shared" si="40"/>
        <v>2153</v>
      </c>
      <c r="F494" s="556">
        <f t="shared" si="41"/>
        <v>2345</v>
      </c>
      <c r="G494" s="556">
        <f t="shared" si="42"/>
        <v>2243</v>
      </c>
    </row>
    <row r="495" spans="1:7" ht="15.75">
      <c r="A495" s="625">
        <f t="shared" si="43"/>
        <v>21575</v>
      </c>
      <c r="B495" s="555">
        <v>21550</v>
      </c>
      <c r="C495" s="555">
        <v>21600</v>
      </c>
      <c r="D495" s="556">
        <f t="shared" si="39"/>
        <v>2351</v>
      </c>
      <c r="E495" s="556">
        <f t="shared" si="40"/>
        <v>2158</v>
      </c>
      <c r="F495" s="556">
        <f t="shared" si="41"/>
        <v>2351</v>
      </c>
      <c r="G495" s="556">
        <f t="shared" si="42"/>
        <v>2249</v>
      </c>
    </row>
    <row r="496" spans="1:7" ht="15.75">
      <c r="A496" s="625">
        <f t="shared" si="43"/>
        <v>21625</v>
      </c>
      <c r="B496" s="555">
        <v>21600</v>
      </c>
      <c r="C496" s="555">
        <v>21650</v>
      </c>
      <c r="D496" s="556">
        <f t="shared" si="39"/>
        <v>2357</v>
      </c>
      <c r="E496" s="556">
        <f t="shared" si="40"/>
        <v>2163</v>
      </c>
      <c r="F496" s="556">
        <f t="shared" si="41"/>
        <v>2357</v>
      </c>
      <c r="G496" s="556">
        <f t="shared" si="42"/>
        <v>2255</v>
      </c>
    </row>
    <row r="497" spans="1:7" ht="15.75">
      <c r="A497" s="625">
        <f t="shared" si="43"/>
        <v>21675</v>
      </c>
      <c r="B497" s="555">
        <v>21650</v>
      </c>
      <c r="C497" s="555">
        <v>21700</v>
      </c>
      <c r="D497" s="556">
        <f t="shared" si="39"/>
        <v>2363</v>
      </c>
      <c r="E497" s="556">
        <f t="shared" si="40"/>
        <v>2168</v>
      </c>
      <c r="F497" s="556">
        <f t="shared" si="41"/>
        <v>2363</v>
      </c>
      <c r="G497" s="556">
        <f t="shared" si="42"/>
        <v>2261</v>
      </c>
    </row>
    <row r="498" spans="1:7" ht="15.75">
      <c r="A498" s="625">
        <f t="shared" si="43"/>
        <v>21725</v>
      </c>
      <c r="B498" s="555">
        <v>21700</v>
      </c>
      <c r="C498" s="555">
        <v>21750</v>
      </c>
      <c r="D498" s="556">
        <f t="shared" si="39"/>
        <v>2369</v>
      </c>
      <c r="E498" s="556">
        <f t="shared" si="40"/>
        <v>2173</v>
      </c>
      <c r="F498" s="556">
        <f t="shared" si="41"/>
        <v>2369</v>
      </c>
      <c r="G498" s="556">
        <f t="shared" si="42"/>
        <v>2267</v>
      </c>
    </row>
    <row r="499" spans="1:7" ht="15.75">
      <c r="A499" s="625">
        <f t="shared" si="43"/>
        <v>21775</v>
      </c>
      <c r="B499" s="555">
        <v>21750</v>
      </c>
      <c r="C499" s="555">
        <v>21800</v>
      </c>
      <c r="D499" s="556">
        <f t="shared" si="39"/>
        <v>2375</v>
      </c>
      <c r="E499" s="556">
        <f t="shared" si="40"/>
        <v>2178</v>
      </c>
      <c r="F499" s="556">
        <f t="shared" si="41"/>
        <v>2375</v>
      </c>
      <c r="G499" s="556">
        <f t="shared" si="42"/>
        <v>2273</v>
      </c>
    </row>
    <row r="500" spans="1:7" ht="15.75">
      <c r="A500" s="625">
        <f t="shared" si="43"/>
        <v>21825</v>
      </c>
      <c r="B500" s="555">
        <v>21800</v>
      </c>
      <c r="C500" s="555">
        <v>21850</v>
      </c>
      <c r="D500" s="556">
        <f t="shared" si="39"/>
        <v>2381</v>
      </c>
      <c r="E500" s="556">
        <f t="shared" si="40"/>
        <v>2183</v>
      </c>
      <c r="F500" s="556">
        <f t="shared" si="41"/>
        <v>2381</v>
      </c>
      <c r="G500" s="556">
        <f t="shared" si="42"/>
        <v>2279</v>
      </c>
    </row>
    <row r="501" spans="1:7" ht="15.75">
      <c r="A501" s="625">
        <f t="shared" si="43"/>
        <v>21875</v>
      </c>
      <c r="B501" s="555">
        <v>21850</v>
      </c>
      <c r="C501" s="555">
        <v>21900</v>
      </c>
      <c r="D501" s="556">
        <f t="shared" si="39"/>
        <v>2387</v>
      </c>
      <c r="E501" s="556">
        <f t="shared" si="40"/>
        <v>2188</v>
      </c>
      <c r="F501" s="556">
        <f t="shared" si="41"/>
        <v>2387</v>
      </c>
      <c r="G501" s="556">
        <f t="shared" si="42"/>
        <v>2285</v>
      </c>
    </row>
    <row r="502" spans="1:7" ht="15.75">
      <c r="A502" s="625">
        <f t="shared" si="43"/>
        <v>21925</v>
      </c>
      <c r="B502" s="555">
        <v>21900</v>
      </c>
      <c r="C502" s="555">
        <v>21950</v>
      </c>
      <c r="D502" s="556">
        <f t="shared" si="39"/>
        <v>2393</v>
      </c>
      <c r="E502" s="556">
        <f t="shared" si="40"/>
        <v>2193</v>
      </c>
      <c r="F502" s="556">
        <f t="shared" si="41"/>
        <v>2393</v>
      </c>
      <c r="G502" s="556">
        <f t="shared" si="42"/>
        <v>2291</v>
      </c>
    </row>
    <row r="503" spans="1:7" ht="15.75">
      <c r="A503" s="625">
        <f t="shared" si="43"/>
        <v>21975</v>
      </c>
      <c r="B503" s="555">
        <v>21950</v>
      </c>
      <c r="C503" s="555">
        <v>22000</v>
      </c>
      <c r="D503" s="556">
        <f t="shared" si="39"/>
        <v>2399</v>
      </c>
      <c r="E503" s="556">
        <f t="shared" si="40"/>
        <v>2198</v>
      </c>
      <c r="F503" s="556">
        <f t="shared" si="41"/>
        <v>2399</v>
      </c>
      <c r="G503" s="556">
        <f t="shared" si="42"/>
        <v>2297</v>
      </c>
    </row>
    <row r="504" spans="1:7" ht="15.75">
      <c r="A504" s="625">
        <f t="shared" si="43"/>
        <v>22025</v>
      </c>
      <c r="B504" s="555">
        <v>22000</v>
      </c>
      <c r="C504" s="555">
        <v>22050</v>
      </c>
      <c r="D504" s="556">
        <f t="shared" si="39"/>
        <v>2405</v>
      </c>
      <c r="E504" s="556">
        <f t="shared" si="40"/>
        <v>2203</v>
      </c>
      <c r="F504" s="556">
        <f t="shared" si="41"/>
        <v>2405</v>
      </c>
      <c r="G504" s="556">
        <f t="shared" si="42"/>
        <v>2303</v>
      </c>
    </row>
    <row r="505" spans="1:7" ht="15.75">
      <c r="A505" s="625">
        <f t="shared" si="43"/>
        <v>22075</v>
      </c>
      <c r="B505" s="555">
        <v>22050</v>
      </c>
      <c r="C505" s="555">
        <v>22100</v>
      </c>
      <c r="D505" s="556">
        <f t="shared" si="39"/>
        <v>2411</v>
      </c>
      <c r="E505" s="556">
        <f t="shared" si="40"/>
        <v>2208</v>
      </c>
      <c r="F505" s="556">
        <f t="shared" si="41"/>
        <v>2411</v>
      </c>
      <c r="G505" s="556">
        <f t="shared" si="42"/>
        <v>2309</v>
      </c>
    </row>
    <row r="506" spans="1:7" ht="15.75">
      <c r="A506" s="625">
        <f t="shared" si="43"/>
        <v>22125</v>
      </c>
      <c r="B506" s="555">
        <v>22100</v>
      </c>
      <c r="C506" s="555">
        <v>22150</v>
      </c>
      <c r="D506" s="556">
        <f t="shared" si="39"/>
        <v>2417</v>
      </c>
      <c r="E506" s="556">
        <f t="shared" si="40"/>
        <v>2213</v>
      </c>
      <c r="F506" s="556">
        <f t="shared" si="41"/>
        <v>2417</v>
      </c>
      <c r="G506" s="556">
        <f t="shared" si="42"/>
        <v>2315</v>
      </c>
    </row>
    <row r="507" spans="1:7" ht="15.75">
      <c r="A507" s="625">
        <f t="shared" si="43"/>
        <v>22175</v>
      </c>
      <c r="B507" s="555">
        <v>22150</v>
      </c>
      <c r="C507" s="555">
        <v>22200</v>
      </c>
      <c r="D507" s="556">
        <f t="shared" si="39"/>
        <v>2423</v>
      </c>
      <c r="E507" s="556">
        <f t="shared" si="40"/>
        <v>2218</v>
      </c>
      <c r="F507" s="556">
        <f t="shared" si="41"/>
        <v>2423</v>
      </c>
      <c r="G507" s="556">
        <f t="shared" si="42"/>
        <v>2321</v>
      </c>
    </row>
    <row r="508" spans="1:7" ht="15.75">
      <c r="A508" s="625">
        <f t="shared" si="43"/>
        <v>22225</v>
      </c>
      <c r="B508" s="555">
        <v>22200</v>
      </c>
      <c r="C508" s="555">
        <v>22250</v>
      </c>
      <c r="D508" s="556">
        <f t="shared" si="39"/>
        <v>2429</v>
      </c>
      <c r="E508" s="556">
        <f t="shared" si="40"/>
        <v>2223</v>
      </c>
      <c r="F508" s="556">
        <f t="shared" si="41"/>
        <v>2429</v>
      </c>
      <c r="G508" s="556">
        <f t="shared" si="42"/>
        <v>2327</v>
      </c>
    </row>
    <row r="509" spans="1:7" ht="15.75">
      <c r="A509" s="625">
        <f t="shared" si="43"/>
        <v>22275</v>
      </c>
      <c r="B509" s="555">
        <v>22250</v>
      </c>
      <c r="C509" s="555">
        <v>22300</v>
      </c>
      <c r="D509" s="556">
        <f t="shared" si="39"/>
        <v>2435</v>
      </c>
      <c r="E509" s="556">
        <f t="shared" si="40"/>
        <v>2228</v>
      </c>
      <c r="F509" s="556">
        <f t="shared" si="41"/>
        <v>2435</v>
      </c>
      <c r="G509" s="556">
        <f t="shared" si="42"/>
        <v>2333</v>
      </c>
    </row>
    <row r="510" spans="1:7" ht="15.75">
      <c r="A510" s="625">
        <f t="shared" si="43"/>
        <v>22325</v>
      </c>
      <c r="B510" s="555">
        <v>22300</v>
      </c>
      <c r="C510" s="555">
        <v>22350</v>
      </c>
      <c r="D510" s="556">
        <f t="shared" si="39"/>
        <v>2441</v>
      </c>
      <c r="E510" s="556">
        <f t="shared" si="40"/>
        <v>2233</v>
      </c>
      <c r="F510" s="556">
        <f t="shared" si="41"/>
        <v>2441</v>
      </c>
      <c r="G510" s="556">
        <f t="shared" si="42"/>
        <v>2339</v>
      </c>
    </row>
    <row r="511" spans="1:7" ht="15.75">
      <c r="A511" s="625">
        <f t="shared" si="43"/>
        <v>22375</v>
      </c>
      <c r="B511" s="555">
        <v>22350</v>
      </c>
      <c r="C511" s="555">
        <v>22400</v>
      </c>
      <c r="D511" s="556">
        <f t="shared" si="39"/>
        <v>2447</v>
      </c>
      <c r="E511" s="556">
        <f t="shared" si="40"/>
        <v>2238</v>
      </c>
      <c r="F511" s="556">
        <f t="shared" si="41"/>
        <v>2447</v>
      </c>
      <c r="G511" s="556">
        <f t="shared" si="42"/>
        <v>2345</v>
      </c>
    </row>
    <row r="512" spans="1:7" ht="15.75">
      <c r="A512" s="625">
        <f t="shared" si="43"/>
        <v>22425</v>
      </c>
      <c r="B512" s="555">
        <v>22400</v>
      </c>
      <c r="C512" s="555">
        <v>22450</v>
      </c>
      <c r="D512" s="556">
        <f t="shared" si="39"/>
        <v>2453</v>
      </c>
      <c r="E512" s="556">
        <f t="shared" si="40"/>
        <v>2243</v>
      </c>
      <c r="F512" s="556">
        <f t="shared" si="41"/>
        <v>2453</v>
      </c>
      <c r="G512" s="556">
        <f t="shared" si="42"/>
        <v>2351</v>
      </c>
    </row>
    <row r="513" spans="1:7" ht="15.75">
      <c r="A513" s="625">
        <f t="shared" si="43"/>
        <v>22475</v>
      </c>
      <c r="B513" s="555">
        <v>22450</v>
      </c>
      <c r="C513" s="555">
        <v>22500</v>
      </c>
      <c r="D513" s="556">
        <f t="shared" si="39"/>
        <v>2459</v>
      </c>
      <c r="E513" s="556">
        <f t="shared" si="40"/>
        <v>2248</v>
      </c>
      <c r="F513" s="556">
        <f t="shared" si="41"/>
        <v>2459</v>
      </c>
      <c r="G513" s="556">
        <f t="shared" si="42"/>
        <v>2357</v>
      </c>
    </row>
    <row r="514" spans="1:7" ht="15.75">
      <c r="A514" s="625">
        <f t="shared" si="43"/>
        <v>22525</v>
      </c>
      <c r="B514" s="555">
        <v>22500</v>
      </c>
      <c r="C514" s="555">
        <v>22550</v>
      </c>
      <c r="D514" s="556">
        <f t="shared" ref="D514:D577" si="44">IF($A514&gt;BOTT_A4,ROUND(BASE_A4+RATE_A4*($A514-BOTT_A4),0),IF($A514&gt;BOTT_A3,ROUND(BASE_A3+RATE_A3*($A514-BOTT_A3),0),IF($A514&gt;BOTT_A2,ROUND(BASE_A2+RATE_A2*($A514-BOTT_A2),0),ROUND(RATE_A1*$A514,0))))</f>
        <v>2465</v>
      </c>
      <c r="E514" s="556">
        <f t="shared" ref="E514:E577" si="45">IF($A514&gt;BOTT_B4,ROUND(BASE_B4+RATE_B4*($A514-BOTT_B4),0),IF($A514&gt;BOTT_B3,ROUND(BASE_B3+RATE_B3*($A514-BOTT_B3),0),IF($A514&gt;BOTT_B2,ROUND(BASE_B2+RATE_B2*($A514-BOTT_B2),0),ROUND(RATE_B1*$A514,0))))</f>
        <v>2253</v>
      </c>
      <c r="F514" s="556">
        <f t="shared" ref="F514:F577" si="46">IF($A514&gt;BOTT_C4,ROUND(BASE_C4+RATE_C4*($A514-BOTT_C4),0),IF($A514&gt;BOTT_C3,ROUND(BASE_C3+RATE_C3*($A514-BOTT_C3),0),IF($A514&gt;BOTT_C2,ROUND(BASE_C2+RATE_C2*($A514-BOTT_C2),0),ROUND(RATE_C1*$A514,0))))</f>
        <v>2465</v>
      </c>
      <c r="G514" s="556">
        <f t="shared" ref="G514:G577" si="47">IF($A514&gt;BOTT_D4,ROUND(BASE_D4+RATE_D4*($A514-BOTT_D4),0),IF($A514&gt;BOTT_D3,ROUND(BASE_D3+RATE_D3*($A514-BOTT_D3),0),IF($A514&gt;BOTT_D2,ROUND(BASE_D2+RATE_D2*($A514-BOTT_D2),0),ROUND(RATE_D1*$A514,0))))</f>
        <v>2363</v>
      </c>
    </row>
    <row r="515" spans="1:7" ht="15.75">
      <c r="A515" s="625">
        <f t="shared" ref="A515:A578" si="48">AVERAGE(B515,C515)</f>
        <v>22575</v>
      </c>
      <c r="B515" s="555">
        <v>22550</v>
      </c>
      <c r="C515" s="555">
        <v>22600</v>
      </c>
      <c r="D515" s="556">
        <f t="shared" si="44"/>
        <v>2471</v>
      </c>
      <c r="E515" s="556">
        <f t="shared" si="45"/>
        <v>2258</v>
      </c>
      <c r="F515" s="556">
        <f t="shared" si="46"/>
        <v>2471</v>
      </c>
      <c r="G515" s="556">
        <f t="shared" si="47"/>
        <v>2369</v>
      </c>
    </row>
    <row r="516" spans="1:7" ht="15.75">
      <c r="A516" s="625">
        <f t="shared" si="48"/>
        <v>22625</v>
      </c>
      <c r="B516" s="555">
        <v>22600</v>
      </c>
      <c r="C516" s="555">
        <v>22650</v>
      </c>
      <c r="D516" s="556">
        <f t="shared" si="44"/>
        <v>2477</v>
      </c>
      <c r="E516" s="556">
        <f t="shared" si="45"/>
        <v>2263</v>
      </c>
      <c r="F516" s="556">
        <f t="shared" si="46"/>
        <v>2477</v>
      </c>
      <c r="G516" s="556">
        <f t="shared" si="47"/>
        <v>2375</v>
      </c>
    </row>
    <row r="517" spans="1:7" ht="15.75">
      <c r="A517" s="625">
        <f t="shared" si="48"/>
        <v>22675</v>
      </c>
      <c r="B517" s="555">
        <v>22650</v>
      </c>
      <c r="C517" s="555">
        <v>22700</v>
      </c>
      <c r="D517" s="556">
        <f t="shared" si="44"/>
        <v>2483</v>
      </c>
      <c r="E517" s="556">
        <f t="shared" si="45"/>
        <v>2268</v>
      </c>
      <c r="F517" s="556">
        <f t="shared" si="46"/>
        <v>2483</v>
      </c>
      <c r="G517" s="556">
        <f t="shared" si="47"/>
        <v>2381</v>
      </c>
    </row>
    <row r="518" spans="1:7" ht="15.75">
      <c r="A518" s="625">
        <f t="shared" si="48"/>
        <v>22725</v>
      </c>
      <c r="B518" s="555">
        <v>22700</v>
      </c>
      <c r="C518" s="555">
        <v>22750</v>
      </c>
      <c r="D518" s="556">
        <f t="shared" si="44"/>
        <v>2489</v>
      </c>
      <c r="E518" s="556">
        <f t="shared" si="45"/>
        <v>2273</v>
      </c>
      <c r="F518" s="556">
        <f t="shared" si="46"/>
        <v>2489</v>
      </c>
      <c r="G518" s="556">
        <f t="shared" si="47"/>
        <v>2387</v>
      </c>
    </row>
    <row r="519" spans="1:7" ht="15.75">
      <c r="A519" s="625">
        <f t="shared" si="48"/>
        <v>22775</v>
      </c>
      <c r="B519" s="555">
        <v>22750</v>
      </c>
      <c r="C519" s="555">
        <v>22800</v>
      </c>
      <c r="D519" s="556">
        <f t="shared" si="44"/>
        <v>2495</v>
      </c>
      <c r="E519" s="556">
        <f t="shared" si="45"/>
        <v>2278</v>
      </c>
      <c r="F519" s="556">
        <f t="shared" si="46"/>
        <v>2495</v>
      </c>
      <c r="G519" s="556">
        <f t="shared" si="47"/>
        <v>2393</v>
      </c>
    </row>
    <row r="520" spans="1:7" ht="15.75">
      <c r="A520" s="625">
        <f t="shared" si="48"/>
        <v>22825</v>
      </c>
      <c r="B520" s="555">
        <v>22800</v>
      </c>
      <c r="C520" s="555">
        <v>22850</v>
      </c>
      <c r="D520" s="556">
        <f t="shared" si="44"/>
        <v>2501</v>
      </c>
      <c r="E520" s="556">
        <f t="shared" si="45"/>
        <v>2283</v>
      </c>
      <c r="F520" s="556">
        <f t="shared" si="46"/>
        <v>2501</v>
      </c>
      <c r="G520" s="556">
        <f t="shared" si="47"/>
        <v>2399</v>
      </c>
    </row>
    <row r="521" spans="1:7" ht="15.75">
      <c r="A521" s="625">
        <f t="shared" si="48"/>
        <v>22875</v>
      </c>
      <c r="B521" s="555">
        <v>22850</v>
      </c>
      <c r="C521" s="555">
        <v>22900</v>
      </c>
      <c r="D521" s="556">
        <f t="shared" si="44"/>
        <v>2507</v>
      </c>
      <c r="E521" s="556">
        <f t="shared" si="45"/>
        <v>2288</v>
      </c>
      <c r="F521" s="556">
        <f t="shared" si="46"/>
        <v>2507</v>
      </c>
      <c r="G521" s="556">
        <f t="shared" si="47"/>
        <v>2405</v>
      </c>
    </row>
    <row r="522" spans="1:7" ht="15.75">
      <c r="A522" s="625">
        <f t="shared" si="48"/>
        <v>22925</v>
      </c>
      <c r="B522" s="555">
        <v>22900</v>
      </c>
      <c r="C522" s="555">
        <v>22950</v>
      </c>
      <c r="D522" s="556">
        <f t="shared" si="44"/>
        <v>2513</v>
      </c>
      <c r="E522" s="556">
        <f t="shared" si="45"/>
        <v>2293</v>
      </c>
      <c r="F522" s="556">
        <f t="shared" si="46"/>
        <v>2513</v>
      </c>
      <c r="G522" s="556">
        <f t="shared" si="47"/>
        <v>2411</v>
      </c>
    </row>
    <row r="523" spans="1:7" ht="15.75">
      <c r="A523" s="625">
        <f t="shared" si="48"/>
        <v>22975</v>
      </c>
      <c r="B523" s="555">
        <v>22950</v>
      </c>
      <c r="C523" s="555">
        <v>23000</v>
      </c>
      <c r="D523" s="556">
        <f t="shared" si="44"/>
        <v>2519</v>
      </c>
      <c r="E523" s="556">
        <f t="shared" si="45"/>
        <v>2298</v>
      </c>
      <c r="F523" s="556">
        <f t="shared" si="46"/>
        <v>2519</v>
      </c>
      <c r="G523" s="556">
        <f t="shared" si="47"/>
        <v>2417</v>
      </c>
    </row>
    <row r="524" spans="1:7" ht="15.75">
      <c r="A524" s="625">
        <f t="shared" si="48"/>
        <v>23025</v>
      </c>
      <c r="B524" s="555">
        <v>23000</v>
      </c>
      <c r="C524" s="555">
        <v>23050</v>
      </c>
      <c r="D524" s="556">
        <f t="shared" si="44"/>
        <v>2525</v>
      </c>
      <c r="E524" s="556">
        <f t="shared" si="45"/>
        <v>2303</v>
      </c>
      <c r="F524" s="556">
        <f t="shared" si="46"/>
        <v>2525</v>
      </c>
      <c r="G524" s="556">
        <f t="shared" si="47"/>
        <v>2423</v>
      </c>
    </row>
    <row r="525" spans="1:7" ht="15.75">
      <c r="A525" s="625">
        <f t="shared" si="48"/>
        <v>23075</v>
      </c>
      <c r="B525" s="555">
        <v>23050</v>
      </c>
      <c r="C525" s="555">
        <v>23100</v>
      </c>
      <c r="D525" s="556">
        <f t="shared" si="44"/>
        <v>2531</v>
      </c>
      <c r="E525" s="556">
        <f t="shared" si="45"/>
        <v>2308</v>
      </c>
      <c r="F525" s="556">
        <f t="shared" si="46"/>
        <v>2531</v>
      </c>
      <c r="G525" s="556">
        <f t="shared" si="47"/>
        <v>2429</v>
      </c>
    </row>
    <row r="526" spans="1:7" ht="15.75">
      <c r="A526" s="625">
        <f t="shared" si="48"/>
        <v>23125</v>
      </c>
      <c r="B526" s="555">
        <v>23100</v>
      </c>
      <c r="C526" s="555">
        <v>23150</v>
      </c>
      <c r="D526" s="556">
        <f t="shared" si="44"/>
        <v>2537</v>
      </c>
      <c r="E526" s="556">
        <f t="shared" si="45"/>
        <v>2313</v>
      </c>
      <c r="F526" s="556">
        <f t="shared" si="46"/>
        <v>2537</v>
      </c>
      <c r="G526" s="556">
        <f t="shared" si="47"/>
        <v>2435</v>
      </c>
    </row>
    <row r="527" spans="1:7" ht="15.75">
      <c r="A527" s="625">
        <f t="shared" si="48"/>
        <v>23175</v>
      </c>
      <c r="B527" s="555">
        <v>23150</v>
      </c>
      <c r="C527" s="555">
        <v>23200</v>
      </c>
      <c r="D527" s="556">
        <f t="shared" si="44"/>
        <v>2543</v>
      </c>
      <c r="E527" s="556">
        <f t="shared" si="45"/>
        <v>2318</v>
      </c>
      <c r="F527" s="556">
        <f t="shared" si="46"/>
        <v>2543</v>
      </c>
      <c r="G527" s="556">
        <f t="shared" si="47"/>
        <v>2441</v>
      </c>
    </row>
    <row r="528" spans="1:7" ht="15.75">
      <c r="A528" s="625">
        <f t="shared" si="48"/>
        <v>23225</v>
      </c>
      <c r="B528" s="555">
        <v>23200</v>
      </c>
      <c r="C528" s="555">
        <v>23250</v>
      </c>
      <c r="D528" s="556">
        <f t="shared" si="44"/>
        <v>2549</v>
      </c>
      <c r="E528" s="556">
        <f t="shared" si="45"/>
        <v>2323</v>
      </c>
      <c r="F528" s="556">
        <f t="shared" si="46"/>
        <v>2549</v>
      </c>
      <c r="G528" s="556">
        <f t="shared" si="47"/>
        <v>2447</v>
      </c>
    </row>
    <row r="529" spans="1:7" ht="15.75">
      <c r="A529" s="625">
        <f t="shared" si="48"/>
        <v>23275</v>
      </c>
      <c r="B529" s="555">
        <v>23250</v>
      </c>
      <c r="C529" s="555">
        <v>23300</v>
      </c>
      <c r="D529" s="556">
        <f t="shared" si="44"/>
        <v>2555</v>
      </c>
      <c r="E529" s="556">
        <f t="shared" si="45"/>
        <v>2328</v>
      </c>
      <c r="F529" s="556">
        <f t="shared" si="46"/>
        <v>2555</v>
      </c>
      <c r="G529" s="556">
        <f t="shared" si="47"/>
        <v>2453</v>
      </c>
    </row>
    <row r="530" spans="1:7" ht="15.75">
      <c r="A530" s="625">
        <f t="shared" si="48"/>
        <v>23325</v>
      </c>
      <c r="B530" s="555">
        <v>23300</v>
      </c>
      <c r="C530" s="555">
        <v>23350</v>
      </c>
      <c r="D530" s="556">
        <f t="shared" si="44"/>
        <v>2561</v>
      </c>
      <c r="E530" s="556">
        <f t="shared" si="45"/>
        <v>2333</v>
      </c>
      <c r="F530" s="556">
        <f t="shared" si="46"/>
        <v>2561</v>
      </c>
      <c r="G530" s="556">
        <f t="shared" si="47"/>
        <v>2459</v>
      </c>
    </row>
    <row r="531" spans="1:7" ht="15.75">
      <c r="A531" s="625">
        <f t="shared" si="48"/>
        <v>23375</v>
      </c>
      <c r="B531" s="555">
        <v>23350</v>
      </c>
      <c r="C531" s="555">
        <v>23400</v>
      </c>
      <c r="D531" s="556">
        <f t="shared" si="44"/>
        <v>2567</v>
      </c>
      <c r="E531" s="556">
        <f t="shared" si="45"/>
        <v>2338</v>
      </c>
      <c r="F531" s="556">
        <f t="shared" si="46"/>
        <v>2567</v>
      </c>
      <c r="G531" s="556">
        <f t="shared" si="47"/>
        <v>2465</v>
      </c>
    </row>
    <row r="532" spans="1:7" ht="15.75">
      <c r="A532" s="625">
        <f t="shared" si="48"/>
        <v>23425</v>
      </c>
      <c r="B532" s="555">
        <v>23400</v>
      </c>
      <c r="C532" s="555">
        <v>23450</v>
      </c>
      <c r="D532" s="556">
        <f t="shared" si="44"/>
        <v>2573</v>
      </c>
      <c r="E532" s="556">
        <f t="shared" si="45"/>
        <v>2343</v>
      </c>
      <c r="F532" s="556">
        <f t="shared" si="46"/>
        <v>2573</v>
      </c>
      <c r="G532" s="556">
        <f t="shared" si="47"/>
        <v>2471</v>
      </c>
    </row>
    <row r="533" spans="1:7" ht="15.75">
      <c r="A533" s="625">
        <f t="shared" si="48"/>
        <v>23475</v>
      </c>
      <c r="B533" s="555">
        <v>23450</v>
      </c>
      <c r="C533" s="555">
        <v>23500</v>
      </c>
      <c r="D533" s="556">
        <f t="shared" si="44"/>
        <v>2579</v>
      </c>
      <c r="E533" s="556">
        <f t="shared" si="45"/>
        <v>2348</v>
      </c>
      <c r="F533" s="556">
        <f t="shared" si="46"/>
        <v>2579</v>
      </c>
      <c r="G533" s="556">
        <f t="shared" si="47"/>
        <v>2477</v>
      </c>
    </row>
    <row r="534" spans="1:7" ht="15.75">
      <c r="A534" s="625">
        <f t="shared" si="48"/>
        <v>23525</v>
      </c>
      <c r="B534" s="555">
        <v>23500</v>
      </c>
      <c r="C534" s="555">
        <v>23550</v>
      </c>
      <c r="D534" s="556">
        <f t="shared" si="44"/>
        <v>2585</v>
      </c>
      <c r="E534" s="556">
        <f t="shared" si="45"/>
        <v>2353</v>
      </c>
      <c r="F534" s="556">
        <f t="shared" si="46"/>
        <v>2585</v>
      </c>
      <c r="G534" s="556">
        <f t="shared" si="47"/>
        <v>2483</v>
      </c>
    </row>
    <row r="535" spans="1:7" ht="15.75">
      <c r="A535" s="625">
        <f t="shared" si="48"/>
        <v>23575</v>
      </c>
      <c r="B535" s="555">
        <v>23550</v>
      </c>
      <c r="C535" s="555">
        <v>23600</v>
      </c>
      <c r="D535" s="556">
        <f t="shared" si="44"/>
        <v>2591</v>
      </c>
      <c r="E535" s="556">
        <f t="shared" si="45"/>
        <v>2358</v>
      </c>
      <c r="F535" s="556">
        <f t="shared" si="46"/>
        <v>2591</v>
      </c>
      <c r="G535" s="556">
        <f t="shared" si="47"/>
        <v>2489</v>
      </c>
    </row>
    <row r="536" spans="1:7" ht="15.75">
      <c r="A536" s="625">
        <f t="shared" si="48"/>
        <v>23625</v>
      </c>
      <c r="B536" s="555">
        <v>23600</v>
      </c>
      <c r="C536" s="555">
        <v>23650</v>
      </c>
      <c r="D536" s="556">
        <f t="shared" si="44"/>
        <v>2597</v>
      </c>
      <c r="E536" s="556">
        <f t="shared" si="45"/>
        <v>2363</v>
      </c>
      <c r="F536" s="556">
        <f t="shared" si="46"/>
        <v>2597</v>
      </c>
      <c r="G536" s="556">
        <f t="shared" si="47"/>
        <v>2495</v>
      </c>
    </row>
    <row r="537" spans="1:7" ht="15.75">
      <c r="A537" s="625">
        <f t="shared" si="48"/>
        <v>23675</v>
      </c>
      <c r="B537" s="555">
        <v>23650</v>
      </c>
      <c r="C537" s="555">
        <v>23700</v>
      </c>
      <c r="D537" s="556">
        <f t="shared" si="44"/>
        <v>2603</v>
      </c>
      <c r="E537" s="556">
        <f t="shared" si="45"/>
        <v>2368</v>
      </c>
      <c r="F537" s="556">
        <f t="shared" si="46"/>
        <v>2603</v>
      </c>
      <c r="G537" s="556">
        <f t="shared" si="47"/>
        <v>2501</v>
      </c>
    </row>
    <row r="538" spans="1:7" ht="15.75">
      <c r="A538" s="625">
        <f t="shared" si="48"/>
        <v>23725</v>
      </c>
      <c r="B538" s="555">
        <v>23700</v>
      </c>
      <c r="C538" s="555">
        <v>23750</v>
      </c>
      <c r="D538" s="556">
        <f t="shared" si="44"/>
        <v>2609</v>
      </c>
      <c r="E538" s="556">
        <f t="shared" si="45"/>
        <v>2373</v>
      </c>
      <c r="F538" s="556">
        <f t="shared" si="46"/>
        <v>2609</v>
      </c>
      <c r="G538" s="556">
        <f t="shared" si="47"/>
        <v>2507</v>
      </c>
    </row>
    <row r="539" spans="1:7" ht="15.75">
      <c r="A539" s="625">
        <f t="shared" si="48"/>
        <v>23775</v>
      </c>
      <c r="B539" s="555">
        <v>23750</v>
      </c>
      <c r="C539" s="555">
        <v>23800</v>
      </c>
      <c r="D539" s="556">
        <f t="shared" si="44"/>
        <v>2615</v>
      </c>
      <c r="E539" s="556">
        <f t="shared" si="45"/>
        <v>2378</v>
      </c>
      <c r="F539" s="556">
        <f t="shared" si="46"/>
        <v>2615</v>
      </c>
      <c r="G539" s="556">
        <f t="shared" si="47"/>
        <v>2513</v>
      </c>
    </row>
    <row r="540" spans="1:7" ht="15.75">
      <c r="A540" s="625">
        <f t="shared" si="48"/>
        <v>23825</v>
      </c>
      <c r="B540" s="555">
        <v>23800</v>
      </c>
      <c r="C540" s="555">
        <v>23850</v>
      </c>
      <c r="D540" s="556">
        <f t="shared" si="44"/>
        <v>2621</v>
      </c>
      <c r="E540" s="556">
        <f t="shared" si="45"/>
        <v>2383</v>
      </c>
      <c r="F540" s="556">
        <f t="shared" si="46"/>
        <v>2621</v>
      </c>
      <c r="G540" s="556">
        <f t="shared" si="47"/>
        <v>2519</v>
      </c>
    </row>
    <row r="541" spans="1:7" ht="15.75">
      <c r="A541" s="625">
        <f t="shared" si="48"/>
        <v>23875</v>
      </c>
      <c r="B541" s="555">
        <v>23850</v>
      </c>
      <c r="C541" s="555">
        <v>23900</v>
      </c>
      <c r="D541" s="556">
        <f t="shared" si="44"/>
        <v>2627</v>
      </c>
      <c r="E541" s="556">
        <f t="shared" si="45"/>
        <v>2388</v>
      </c>
      <c r="F541" s="556">
        <f t="shared" si="46"/>
        <v>2627</v>
      </c>
      <c r="G541" s="556">
        <f t="shared" si="47"/>
        <v>2525</v>
      </c>
    </row>
    <row r="542" spans="1:7" ht="15.75">
      <c r="A542" s="625">
        <f t="shared" si="48"/>
        <v>23925</v>
      </c>
      <c r="B542" s="555">
        <v>23900</v>
      </c>
      <c r="C542" s="555">
        <v>23950</v>
      </c>
      <c r="D542" s="556">
        <f t="shared" si="44"/>
        <v>2633</v>
      </c>
      <c r="E542" s="556">
        <f t="shared" si="45"/>
        <v>2394</v>
      </c>
      <c r="F542" s="556">
        <f t="shared" si="46"/>
        <v>2633</v>
      </c>
      <c r="G542" s="556">
        <f t="shared" si="47"/>
        <v>2531</v>
      </c>
    </row>
    <row r="543" spans="1:7" ht="15.75">
      <c r="A543" s="625">
        <f t="shared" si="48"/>
        <v>23975</v>
      </c>
      <c r="B543" s="555">
        <v>23950</v>
      </c>
      <c r="C543" s="555">
        <v>24000</v>
      </c>
      <c r="D543" s="556">
        <f t="shared" si="44"/>
        <v>2639</v>
      </c>
      <c r="E543" s="556">
        <f t="shared" si="45"/>
        <v>2400</v>
      </c>
      <c r="F543" s="556">
        <f t="shared" si="46"/>
        <v>2639</v>
      </c>
      <c r="G543" s="556">
        <f t="shared" si="47"/>
        <v>2537</v>
      </c>
    </row>
    <row r="544" spans="1:7" ht="15.75">
      <c r="A544" s="625">
        <f t="shared" si="48"/>
        <v>24025</v>
      </c>
      <c r="B544" s="555">
        <v>24000</v>
      </c>
      <c r="C544" s="555">
        <v>24050</v>
      </c>
      <c r="D544" s="556">
        <f t="shared" si="44"/>
        <v>2645</v>
      </c>
      <c r="E544" s="556">
        <f t="shared" si="45"/>
        <v>2406</v>
      </c>
      <c r="F544" s="556">
        <f t="shared" si="46"/>
        <v>2645</v>
      </c>
      <c r="G544" s="556">
        <f t="shared" si="47"/>
        <v>2543</v>
      </c>
    </row>
    <row r="545" spans="1:7" ht="15.75">
      <c r="A545" s="625">
        <f t="shared" si="48"/>
        <v>24075</v>
      </c>
      <c r="B545" s="555">
        <v>24050</v>
      </c>
      <c r="C545" s="555">
        <v>24100</v>
      </c>
      <c r="D545" s="556">
        <f t="shared" si="44"/>
        <v>2651</v>
      </c>
      <c r="E545" s="556">
        <f t="shared" si="45"/>
        <v>2412</v>
      </c>
      <c r="F545" s="556">
        <f t="shared" si="46"/>
        <v>2651</v>
      </c>
      <c r="G545" s="556">
        <f t="shared" si="47"/>
        <v>2549</v>
      </c>
    </row>
    <row r="546" spans="1:7" ht="15.75">
      <c r="A546" s="625">
        <f t="shared" si="48"/>
        <v>24125</v>
      </c>
      <c r="B546" s="555">
        <v>24100</v>
      </c>
      <c r="C546" s="555">
        <v>24150</v>
      </c>
      <c r="D546" s="556">
        <f t="shared" si="44"/>
        <v>2657</v>
      </c>
      <c r="E546" s="556">
        <f t="shared" si="45"/>
        <v>2418</v>
      </c>
      <c r="F546" s="556">
        <f t="shared" si="46"/>
        <v>2657</v>
      </c>
      <c r="G546" s="556">
        <f t="shared" si="47"/>
        <v>2555</v>
      </c>
    </row>
    <row r="547" spans="1:7" ht="15.75">
      <c r="A547" s="625">
        <f t="shared" si="48"/>
        <v>24175</v>
      </c>
      <c r="B547" s="555">
        <v>24150</v>
      </c>
      <c r="C547" s="555">
        <v>24200</v>
      </c>
      <c r="D547" s="556">
        <f t="shared" si="44"/>
        <v>2663</v>
      </c>
      <c r="E547" s="556">
        <f t="shared" si="45"/>
        <v>2424</v>
      </c>
      <c r="F547" s="556">
        <f t="shared" si="46"/>
        <v>2663</v>
      </c>
      <c r="G547" s="556">
        <f t="shared" si="47"/>
        <v>2561</v>
      </c>
    </row>
    <row r="548" spans="1:7" ht="15.75">
      <c r="A548" s="625">
        <f t="shared" si="48"/>
        <v>24225</v>
      </c>
      <c r="B548" s="555">
        <v>24200</v>
      </c>
      <c r="C548" s="555">
        <v>24250</v>
      </c>
      <c r="D548" s="556">
        <f t="shared" si="44"/>
        <v>2669</v>
      </c>
      <c r="E548" s="556">
        <f t="shared" si="45"/>
        <v>2430</v>
      </c>
      <c r="F548" s="556">
        <f t="shared" si="46"/>
        <v>2669</v>
      </c>
      <c r="G548" s="556">
        <f t="shared" si="47"/>
        <v>2567</v>
      </c>
    </row>
    <row r="549" spans="1:7" ht="15.75">
      <c r="A549" s="625">
        <f t="shared" si="48"/>
        <v>24275</v>
      </c>
      <c r="B549" s="555">
        <v>24250</v>
      </c>
      <c r="C549" s="555">
        <v>24300</v>
      </c>
      <c r="D549" s="556">
        <f t="shared" si="44"/>
        <v>2675</v>
      </c>
      <c r="E549" s="556">
        <f t="shared" si="45"/>
        <v>2436</v>
      </c>
      <c r="F549" s="556">
        <f t="shared" si="46"/>
        <v>2675</v>
      </c>
      <c r="G549" s="556">
        <f t="shared" si="47"/>
        <v>2573</v>
      </c>
    </row>
    <row r="550" spans="1:7" ht="15.75">
      <c r="A550" s="625">
        <f t="shared" si="48"/>
        <v>24325</v>
      </c>
      <c r="B550" s="555">
        <v>24300</v>
      </c>
      <c r="C550" s="555">
        <v>24350</v>
      </c>
      <c r="D550" s="556">
        <f t="shared" si="44"/>
        <v>2681</v>
      </c>
      <c r="E550" s="556">
        <f t="shared" si="45"/>
        <v>2442</v>
      </c>
      <c r="F550" s="556">
        <f t="shared" si="46"/>
        <v>2681</v>
      </c>
      <c r="G550" s="556">
        <f t="shared" si="47"/>
        <v>2579</v>
      </c>
    </row>
    <row r="551" spans="1:7" ht="15.75">
      <c r="A551" s="625">
        <f t="shared" si="48"/>
        <v>24375</v>
      </c>
      <c r="B551" s="555">
        <v>24350</v>
      </c>
      <c r="C551" s="555">
        <v>24400</v>
      </c>
      <c r="D551" s="556">
        <f t="shared" si="44"/>
        <v>2687</v>
      </c>
      <c r="E551" s="556">
        <f t="shared" si="45"/>
        <v>2448</v>
      </c>
      <c r="F551" s="556">
        <f t="shared" si="46"/>
        <v>2687</v>
      </c>
      <c r="G551" s="556">
        <f t="shared" si="47"/>
        <v>2585</v>
      </c>
    </row>
    <row r="552" spans="1:7" ht="15.75">
      <c r="A552" s="625">
        <f t="shared" si="48"/>
        <v>24425</v>
      </c>
      <c r="B552" s="555">
        <v>24400</v>
      </c>
      <c r="C552" s="555">
        <v>24450</v>
      </c>
      <c r="D552" s="556">
        <f t="shared" si="44"/>
        <v>2693</v>
      </c>
      <c r="E552" s="556">
        <f t="shared" si="45"/>
        <v>2454</v>
      </c>
      <c r="F552" s="556">
        <f t="shared" si="46"/>
        <v>2693</v>
      </c>
      <c r="G552" s="556">
        <f t="shared" si="47"/>
        <v>2591</v>
      </c>
    </row>
    <row r="553" spans="1:7" ht="15.75">
      <c r="A553" s="625">
        <f t="shared" si="48"/>
        <v>24475</v>
      </c>
      <c r="B553" s="555">
        <v>24450</v>
      </c>
      <c r="C553" s="555">
        <v>24500</v>
      </c>
      <c r="D553" s="556">
        <f t="shared" si="44"/>
        <v>2699</v>
      </c>
      <c r="E553" s="556">
        <f t="shared" si="45"/>
        <v>2460</v>
      </c>
      <c r="F553" s="556">
        <f t="shared" si="46"/>
        <v>2699</v>
      </c>
      <c r="G553" s="556">
        <f t="shared" si="47"/>
        <v>2597</v>
      </c>
    </row>
    <row r="554" spans="1:7" ht="15.75">
      <c r="A554" s="625">
        <f t="shared" si="48"/>
        <v>24525</v>
      </c>
      <c r="B554" s="555">
        <v>24500</v>
      </c>
      <c r="C554" s="555">
        <v>24550</v>
      </c>
      <c r="D554" s="556">
        <f t="shared" si="44"/>
        <v>2705</v>
      </c>
      <c r="E554" s="556">
        <f t="shared" si="45"/>
        <v>2466</v>
      </c>
      <c r="F554" s="556">
        <f t="shared" si="46"/>
        <v>2705</v>
      </c>
      <c r="G554" s="556">
        <f t="shared" si="47"/>
        <v>2603</v>
      </c>
    </row>
    <row r="555" spans="1:7" ht="15.75">
      <c r="A555" s="625">
        <f t="shared" si="48"/>
        <v>24575</v>
      </c>
      <c r="B555" s="555">
        <v>24550</v>
      </c>
      <c r="C555" s="555">
        <v>24600</v>
      </c>
      <c r="D555" s="556">
        <f t="shared" si="44"/>
        <v>2711</v>
      </c>
      <c r="E555" s="556">
        <f t="shared" si="45"/>
        <v>2472</v>
      </c>
      <c r="F555" s="556">
        <f t="shared" si="46"/>
        <v>2711</v>
      </c>
      <c r="G555" s="556">
        <f t="shared" si="47"/>
        <v>2609</v>
      </c>
    </row>
    <row r="556" spans="1:7" ht="15.75">
      <c r="A556" s="625">
        <f t="shared" si="48"/>
        <v>24625</v>
      </c>
      <c r="B556" s="555">
        <v>24600</v>
      </c>
      <c r="C556" s="555">
        <v>24650</v>
      </c>
      <c r="D556" s="556">
        <f t="shared" si="44"/>
        <v>2717</v>
      </c>
      <c r="E556" s="556">
        <f t="shared" si="45"/>
        <v>2478</v>
      </c>
      <c r="F556" s="556">
        <f t="shared" si="46"/>
        <v>2717</v>
      </c>
      <c r="G556" s="556">
        <f t="shared" si="47"/>
        <v>2615</v>
      </c>
    </row>
    <row r="557" spans="1:7" ht="15.75">
      <c r="A557" s="625">
        <f t="shared" si="48"/>
        <v>24675</v>
      </c>
      <c r="B557" s="555">
        <v>24650</v>
      </c>
      <c r="C557" s="555">
        <v>24700</v>
      </c>
      <c r="D557" s="556">
        <f t="shared" si="44"/>
        <v>2723</v>
      </c>
      <c r="E557" s="556">
        <f t="shared" si="45"/>
        <v>2484</v>
      </c>
      <c r="F557" s="556">
        <f t="shared" si="46"/>
        <v>2723</v>
      </c>
      <c r="G557" s="556">
        <f t="shared" si="47"/>
        <v>2621</v>
      </c>
    </row>
    <row r="558" spans="1:7" ht="15.75">
      <c r="A558" s="625">
        <f t="shared" si="48"/>
        <v>24725</v>
      </c>
      <c r="B558" s="555">
        <v>24700</v>
      </c>
      <c r="C558" s="555">
        <v>24750</v>
      </c>
      <c r="D558" s="556">
        <f t="shared" si="44"/>
        <v>2729</v>
      </c>
      <c r="E558" s="556">
        <f t="shared" si="45"/>
        <v>2490</v>
      </c>
      <c r="F558" s="556">
        <f t="shared" si="46"/>
        <v>2729</v>
      </c>
      <c r="G558" s="556">
        <f t="shared" si="47"/>
        <v>2627</v>
      </c>
    </row>
    <row r="559" spans="1:7" ht="15.75">
      <c r="A559" s="625">
        <f t="shared" si="48"/>
        <v>24775</v>
      </c>
      <c r="B559" s="555">
        <v>24750</v>
      </c>
      <c r="C559" s="555">
        <v>24800</v>
      </c>
      <c r="D559" s="556">
        <f t="shared" si="44"/>
        <v>2735</v>
      </c>
      <c r="E559" s="556">
        <f t="shared" si="45"/>
        <v>2496</v>
      </c>
      <c r="F559" s="556">
        <f t="shared" si="46"/>
        <v>2735</v>
      </c>
      <c r="G559" s="556">
        <f t="shared" si="47"/>
        <v>2633</v>
      </c>
    </row>
    <row r="560" spans="1:7" ht="15.75">
      <c r="A560" s="625">
        <f t="shared" si="48"/>
        <v>24825</v>
      </c>
      <c r="B560" s="555">
        <v>24800</v>
      </c>
      <c r="C560" s="555">
        <v>24850</v>
      </c>
      <c r="D560" s="556">
        <f t="shared" si="44"/>
        <v>2741</v>
      </c>
      <c r="E560" s="556">
        <f t="shared" si="45"/>
        <v>2502</v>
      </c>
      <c r="F560" s="556">
        <f t="shared" si="46"/>
        <v>2741</v>
      </c>
      <c r="G560" s="556">
        <f t="shared" si="47"/>
        <v>2639</v>
      </c>
    </row>
    <row r="561" spans="1:7" ht="15.75">
      <c r="A561" s="625">
        <f t="shared" si="48"/>
        <v>24875</v>
      </c>
      <c r="B561" s="555">
        <v>24850</v>
      </c>
      <c r="C561" s="555">
        <v>24900</v>
      </c>
      <c r="D561" s="556">
        <f t="shared" si="44"/>
        <v>2747</v>
      </c>
      <c r="E561" s="556">
        <f t="shared" si="45"/>
        <v>2508</v>
      </c>
      <c r="F561" s="556">
        <f t="shared" si="46"/>
        <v>2747</v>
      </c>
      <c r="G561" s="556">
        <f t="shared" si="47"/>
        <v>2645</v>
      </c>
    </row>
    <row r="562" spans="1:7" ht="15.75">
      <c r="A562" s="625">
        <f t="shared" si="48"/>
        <v>24925</v>
      </c>
      <c r="B562" s="555">
        <v>24900</v>
      </c>
      <c r="C562" s="555">
        <v>24950</v>
      </c>
      <c r="D562" s="556">
        <f t="shared" si="44"/>
        <v>2753</v>
      </c>
      <c r="E562" s="556">
        <f t="shared" si="45"/>
        <v>2514</v>
      </c>
      <c r="F562" s="556">
        <f t="shared" si="46"/>
        <v>2753</v>
      </c>
      <c r="G562" s="556">
        <f t="shared" si="47"/>
        <v>2651</v>
      </c>
    </row>
    <row r="563" spans="1:7" ht="15.75">
      <c r="A563" s="625">
        <f t="shared" si="48"/>
        <v>24975</v>
      </c>
      <c r="B563" s="555">
        <v>24950</v>
      </c>
      <c r="C563" s="555">
        <v>25000</v>
      </c>
      <c r="D563" s="556">
        <f t="shared" si="44"/>
        <v>2759</v>
      </c>
      <c r="E563" s="556">
        <f t="shared" si="45"/>
        <v>2520</v>
      </c>
      <c r="F563" s="556">
        <f t="shared" si="46"/>
        <v>2759</v>
      </c>
      <c r="G563" s="556">
        <f t="shared" si="47"/>
        <v>2657</v>
      </c>
    </row>
    <row r="564" spans="1:7" ht="15.75">
      <c r="A564" s="625">
        <f t="shared" si="48"/>
        <v>25025</v>
      </c>
      <c r="B564" s="555">
        <v>25000</v>
      </c>
      <c r="C564" s="555">
        <v>25050</v>
      </c>
      <c r="D564" s="556">
        <f t="shared" si="44"/>
        <v>2765</v>
      </c>
      <c r="E564" s="556">
        <f t="shared" si="45"/>
        <v>2526</v>
      </c>
      <c r="F564" s="556">
        <f t="shared" si="46"/>
        <v>2765</v>
      </c>
      <c r="G564" s="556">
        <f t="shared" si="47"/>
        <v>2663</v>
      </c>
    </row>
    <row r="565" spans="1:7" ht="15.75">
      <c r="A565" s="625">
        <f t="shared" si="48"/>
        <v>25075</v>
      </c>
      <c r="B565" s="555">
        <v>25050</v>
      </c>
      <c r="C565" s="555">
        <v>25100</v>
      </c>
      <c r="D565" s="556">
        <f t="shared" si="44"/>
        <v>2771</v>
      </c>
      <c r="E565" s="556">
        <f t="shared" si="45"/>
        <v>2532</v>
      </c>
      <c r="F565" s="556">
        <f t="shared" si="46"/>
        <v>2771</v>
      </c>
      <c r="G565" s="556">
        <f t="shared" si="47"/>
        <v>2669</v>
      </c>
    </row>
    <row r="566" spans="1:7" ht="15.75">
      <c r="A566" s="625">
        <f t="shared" si="48"/>
        <v>25125</v>
      </c>
      <c r="B566" s="555">
        <v>25100</v>
      </c>
      <c r="C566" s="555">
        <v>25150</v>
      </c>
      <c r="D566" s="556">
        <f t="shared" si="44"/>
        <v>2777</v>
      </c>
      <c r="E566" s="556">
        <f t="shared" si="45"/>
        <v>2538</v>
      </c>
      <c r="F566" s="556">
        <f t="shared" si="46"/>
        <v>2777</v>
      </c>
      <c r="G566" s="556">
        <f t="shared" si="47"/>
        <v>2675</v>
      </c>
    </row>
    <row r="567" spans="1:7" ht="15.75">
      <c r="A567" s="625">
        <f t="shared" si="48"/>
        <v>25175</v>
      </c>
      <c r="B567" s="555">
        <v>25150</v>
      </c>
      <c r="C567" s="555">
        <v>25200</v>
      </c>
      <c r="D567" s="556">
        <f t="shared" si="44"/>
        <v>2783</v>
      </c>
      <c r="E567" s="556">
        <f t="shared" si="45"/>
        <v>2544</v>
      </c>
      <c r="F567" s="556">
        <f t="shared" si="46"/>
        <v>2783</v>
      </c>
      <c r="G567" s="556">
        <f t="shared" si="47"/>
        <v>2681</v>
      </c>
    </row>
    <row r="568" spans="1:7" ht="15.75">
      <c r="A568" s="625">
        <f t="shared" si="48"/>
        <v>25225</v>
      </c>
      <c r="B568" s="555">
        <v>25200</v>
      </c>
      <c r="C568" s="555">
        <v>25250</v>
      </c>
      <c r="D568" s="556">
        <f t="shared" si="44"/>
        <v>2789</v>
      </c>
      <c r="E568" s="556">
        <f t="shared" si="45"/>
        <v>2550</v>
      </c>
      <c r="F568" s="556">
        <f t="shared" si="46"/>
        <v>2789</v>
      </c>
      <c r="G568" s="556">
        <f t="shared" si="47"/>
        <v>2687</v>
      </c>
    </row>
    <row r="569" spans="1:7" ht="15.75">
      <c r="A569" s="625">
        <f t="shared" si="48"/>
        <v>25275</v>
      </c>
      <c r="B569" s="555">
        <v>25250</v>
      </c>
      <c r="C569" s="555">
        <v>25300</v>
      </c>
      <c r="D569" s="556">
        <f t="shared" si="44"/>
        <v>2795</v>
      </c>
      <c r="E569" s="556">
        <f t="shared" si="45"/>
        <v>2556</v>
      </c>
      <c r="F569" s="556">
        <f t="shared" si="46"/>
        <v>2795</v>
      </c>
      <c r="G569" s="556">
        <f t="shared" si="47"/>
        <v>2693</v>
      </c>
    </row>
    <row r="570" spans="1:7" ht="15.75">
      <c r="A570" s="625">
        <f t="shared" si="48"/>
        <v>25325</v>
      </c>
      <c r="B570" s="555">
        <v>25300</v>
      </c>
      <c r="C570" s="555">
        <v>25350</v>
      </c>
      <c r="D570" s="556">
        <f t="shared" si="44"/>
        <v>2801</v>
      </c>
      <c r="E570" s="556">
        <f t="shared" si="45"/>
        <v>2562</v>
      </c>
      <c r="F570" s="556">
        <f t="shared" si="46"/>
        <v>2801</v>
      </c>
      <c r="G570" s="556">
        <f t="shared" si="47"/>
        <v>2699</v>
      </c>
    </row>
    <row r="571" spans="1:7" ht="15.75">
      <c r="A571" s="625">
        <f t="shared" si="48"/>
        <v>25375</v>
      </c>
      <c r="B571" s="555">
        <v>25350</v>
      </c>
      <c r="C571" s="555">
        <v>25400</v>
      </c>
      <c r="D571" s="556">
        <f t="shared" si="44"/>
        <v>2807</v>
      </c>
      <c r="E571" s="556">
        <f t="shared" si="45"/>
        <v>2568</v>
      </c>
      <c r="F571" s="556">
        <f t="shared" si="46"/>
        <v>2807</v>
      </c>
      <c r="G571" s="556">
        <f t="shared" si="47"/>
        <v>2705</v>
      </c>
    </row>
    <row r="572" spans="1:7" ht="15.75">
      <c r="A572" s="625">
        <f t="shared" si="48"/>
        <v>25425</v>
      </c>
      <c r="B572" s="555">
        <v>25400</v>
      </c>
      <c r="C572" s="555">
        <v>25450</v>
      </c>
      <c r="D572" s="556">
        <f t="shared" si="44"/>
        <v>2813</v>
      </c>
      <c r="E572" s="556">
        <f t="shared" si="45"/>
        <v>2574</v>
      </c>
      <c r="F572" s="556">
        <f t="shared" si="46"/>
        <v>2813</v>
      </c>
      <c r="G572" s="556">
        <f t="shared" si="47"/>
        <v>2711</v>
      </c>
    </row>
    <row r="573" spans="1:7" ht="15.75">
      <c r="A573" s="625">
        <f t="shared" si="48"/>
        <v>25475</v>
      </c>
      <c r="B573" s="555">
        <v>25450</v>
      </c>
      <c r="C573" s="555">
        <v>25500</v>
      </c>
      <c r="D573" s="556">
        <f t="shared" si="44"/>
        <v>2819</v>
      </c>
      <c r="E573" s="556">
        <f t="shared" si="45"/>
        <v>2580</v>
      </c>
      <c r="F573" s="556">
        <f t="shared" si="46"/>
        <v>2819</v>
      </c>
      <c r="G573" s="556">
        <f t="shared" si="47"/>
        <v>2717</v>
      </c>
    </row>
    <row r="574" spans="1:7" ht="15.75">
      <c r="A574" s="625">
        <f t="shared" si="48"/>
        <v>25525</v>
      </c>
      <c r="B574" s="555">
        <v>25500</v>
      </c>
      <c r="C574" s="555">
        <v>25550</v>
      </c>
      <c r="D574" s="556">
        <f t="shared" si="44"/>
        <v>2825</v>
      </c>
      <c r="E574" s="556">
        <f t="shared" si="45"/>
        <v>2586</v>
      </c>
      <c r="F574" s="556">
        <f t="shared" si="46"/>
        <v>2825</v>
      </c>
      <c r="G574" s="556">
        <f t="shared" si="47"/>
        <v>2723</v>
      </c>
    </row>
    <row r="575" spans="1:7" ht="15.75">
      <c r="A575" s="625">
        <f t="shared" si="48"/>
        <v>25575</v>
      </c>
      <c r="B575" s="555">
        <v>25550</v>
      </c>
      <c r="C575" s="555">
        <v>25600</v>
      </c>
      <c r="D575" s="556">
        <f t="shared" si="44"/>
        <v>2831</v>
      </c>
      <c r="E575" s="556">
        <f t="shared" si="45"/>
        <v>2592</v>
      </c>
      <c r="F575" s="556">
        <f t="shared" si="46"/>
        <v>2831</v>
      </c>
      <c r="G575" s="556">
        <f t="shared" si="47"/>
        <v>2729</v>
      </c>
    </row>
    <row r="576" spans="1:7" ht="15.75">
      <c r="A576" s="625">
        <f t="shared" si="48"/>
        <v>25625</v>
      </c>
      <c r="B576" s="555">
        <v>25600</v>
      </c>
      <c r="C576" s="555">
        <v>25650</v>
      </c>
      <c r="D576" s="556">
        <f t="shared" si="44"/>
        <v>2837</v>
      </c>
      <c r="E576" s="556">
        <f t="shared" si="45"/>
        <v>2598</v>
      </c>
      <c r="F576" s="556">
        <f t="shared" si="46"/>
        <v>2837</v>
      </c>
      <c r="G576" s="556">
        <f t="shared" si="47"/>
        <v>2735</v>
      </c>
    </row>
    <row r="577" spans="1:7" ht="15.75">
      <c r="A577" s="625">
        <f t="shared" si="48"/>
        <v>25675</v>
      </c>
      <c r="B577" s="555">
        <v>25650</v>
      </c>
      <c r="C577" s="555">
        <v>25700</v>
      </c>
      <c r="D577" s="556">
        <f t="shared" si="44"/>
        <v>2843</v>
      </c>
      <c r="E577" s="556">
        <f t="shared" si="45"/>
        <v>2604</v>
      </c>
      <c r="F577" s="556">
        <f t="shared" si="46"/>
        <v>2843</v>
      </c>
      <c r="G577" s="556">
        <f t="shared" si="47"/>
        <v>2741</v>
      </c>
    </row>
    <row r="578" spans="1:7" ht="15.75">
      <c r="A578" s="625">
        <f t="shared" si="48"/>
        <v>25725</v>
      </c>
      <c r="B578" s="555">
        <v>25700</v>
      </c>
      <c r="C578" s="555">
        <v>25750</v>
      </c>
      <c r="D578" s="556">
        <f t="shared" ref="D578:D641" si="49">IF($A578&gt;BOTT_A4,ROUND(BASE_A4+RATE_A4*($A578-BOTT_A4),0),IF($A578&gt;BOTT_A3,ROUND(BASE_A3+RATE_A3*($A578-BOTT_A3),0),IF($A578&gt;BOTT_A2,ROUND(BASE_A2+RATE_A2*($A578-BOTT_A2),0),ROUND(RATE_A1*$A578,0))))</f>
        <v>2849</v>
      </c>
      <c r="E578" s="556">
        <f t="shared" ref="E578:E641" si="50">IF($A578&gt;BOTT_B4,ROUND(BASE_B4+RATE_B4*($A578-BOTT_B4),0),IF($A578&gt;BOTT_B3,ROUND(BASE_B3+RATE_B3*($A578-BOTT_B3),0),IF($A578&gt;BOTT_B2,ROUND(BASE_B2+RATE_B2*($A578-BOTT_B2),0),ROUND(RATE_B1*$A578,0))))</f>
        <v>2610</v>
      </c>
      <c r="F578" s="556">
        <f t="shared" ref="F578:F641" si="51">IF($A578&gt;BOTT_C4,ROUND(BASE_C4+RATE_C4*($A578-BOTT_C4),0),IF($A578&gt;BOTT_C3,ROUND(BASE_C3+RATE_C3*($A578-BOTT_C3),0),IF($A578&gt;BOTT_C2,ROUND(BASE_C2+RATE_C2*($A578-BOTT_C2),0),ROUND(RATE_C1*$A578,0))))</f>
        <v>2849</v>
      </c>
      <c r="G578" s="556">
        <f t="shared" ref="G578:G641" si="52">IF($A578&gt;BOTT_D4,ROUND(BASE_D4+RATE_D4*($A578-BOTT_D4),0),IF($A578&gt;BOTT_D3,ROUND(BASE_D3+RATE_D3*($A578-BOTT_D3),0),IF($A578&gt;BOTT_D2,ROUND(BASE_D2+RATE_D2*($A578-BOTT_D2),0),ROUND(RATE_D1*$A578,0))))</f>
        <v>2747</v>
      </c>
    </row>
    <row r="579" spans="1:7" ht="15.75">
      <c r="A579" s="625">
        <f t="shared" ref="A579:A642" si="53">AVERAGE(B579,C579)</f>
        <v>25775</v>
      </c>
      <c r="B579" s="555">
        <v>25750</v>
      </c>
      <c r="C579" s="555">
        <v>25800</v>
      </c>
      <c r="D579" s="556">
        <f t="shared" si="49"/>
        <v>2855</v>
      </c>
      <c r="E579" s="556">
        <f t="shared" si="50"/>
        <v>2616</v>
      </c>
      <c r="F579" s="556">
        <f t="shared" si="51"/>
        <v>2855</v>
      </c>
      <c r="G579" s="556">
        <f t="shared" si="52"/>
        <v>2753</v>
      </c>
    </row>
    <row r="580" spans="1:7" ht="15.75">
      <c r="A580" s="625">
        <f t="shared" si="53"/>
        <v>25825</v>
      </c>
      <c r="B580" s="555">
        <v>25800</v>
      </c>
      <c r="C580" s="555">
        <v>25850</v>
      </c>
      <c r="D580" s="556">
        <f t="shared" si="49"/>
        <v>2861</v>
      </c>
      <c r="E580" s="556">
        <f t="shared" si="50"/>
        <v>2622</v>
      </c>
      <c r="F580" s="556">
        <f t="shared" si="51"/>
        <v>2861</v>
      </c>
      <c r="G580" s="556">
        <f t="shared" si="52"/>
        <v>2759</v>
      </c>
    </row>
    <row r="581" spans="1:7" ht="15.75">
      <c r="A581" s="625">
        <f t="shared" si="53"/>
        <v>25875</v>
      </c>
      <c r="B581" s="555">
        <v>25850</v>
      </c>
      <c r="C581" s="555">
        <v>25900</v>
      </c>
      <c r="D581" s="556">
        <f t="shared" si="49"/>
        <v>2867</v>
      </c>
      <c r="E581" s="556">
        <f t="shared" si="50"/>
        <v>2628</v>
      </c>
      <c r="F581" s="556">
        <f t="shared" si="51"/>
        <v>2867</v>
      </c>
      <c r="G581" s="556">
        <f t="shared" si="52"/>
        <v>2765</v>
      </c>
    </row>
    <row r="582" spans="1:7" ht="15.75">
      <c r="A582" s="625">
        <f t="shared" si="53"/>
        <v>25925</v>
      </c>
      <c r="B582" s="555">
        <v>25900</v>
      </c>
      <c r="C582" s="555">
        <v>25950</v>
      </c>
      <c r="D582" s="556">
        <f t="shared" si="49"/>
        <v>2873</v>
      </c>
      <c r="E582" s="556">
        <f t="shared" si="50"/>
        <v>2634</v>
      </c>
      <c r="F582" s="556">
        <f t="shared" si="51"/>
        <v>2873</v>
      </c>
      <c r="G582" s="556">
        <f t="shared" si="52"/>
        <v>2771</v>
      </c>
    </row>
    <row r="583" spans="1:7" ht="15.75">
      <c r="A583" s="625">
        <f t="shared" si="53"/>
        <v>25975</v>
      </c>
      <c r="B583" s="555">
        <v>25950</v>
      </c>
      <c r="C583" s="555">
        <v>26000</v>
      </c>
      <c r="D583" s="556">
        <f t="shared" si="49"/>
        <v>2879</v>
      </c>
      <c r="E583" s="556">
        <f t="shared" si="50"/>
        <v>2640</v>
      </c>
      <c r="F583" s="556">
        <f t="shared" si="51"/>
        <v>2879</v>
      </c>
      <c r="G583" s="556">
        <f t="shared" si="52"/>
        <v>2777</v>
      </c>
    </row>
    <row r="584" spans="1:7" ht="15.75">
      <c r="A584" s="625">
        <f t="shared" si="53"/>
        <v>26025</v>
      </c>
      <c r="B584" s="555">
        <v>26000</v>
      </c>
      <c r="C584" s="555">
        <v>26050</v>
      </c>
      <c r="D584" s="556">
        <f t="shared" si="49"/>
        <v>2885</v>
      </c>
      <c r="E584" s="556">
        <f t="shared" si="50"/>
        <v>2646</v>
      </c>
      <c r="F584" s="556">
        <f t="shared" si="51"/>
        <v>2885</v>
      </c>
      <c r="G584" s="556">
        <f t="shared" si="52"/>
        <v>2783</v>
      </c>
    </row>
    <row r="585" spans="1:7" ht="15.75">
      <c r="A585" s="625">
        <f t="shared" si="53"/>
        <v>26075</v>
      </c>
      <c r="B585" s="555">
        <v>26050</v>
      </c>
      <c r="C585" s="555">
        <v>26100</v>
      </c>
      <c r="D585" s="556">
        <f t="shared" si="49"/>
        <v>2891</v>
      </c>
      <c r="E585" s="556">
        <f t="shared" si="50"/>
        <v>2652</v>
      </c>
      <c r="F585" s="556">
        <f t="shared" si="51"/>
        <v>2891</v>
      </c>
      <c r="G585" s="556">
        <f t="shared" si="52"/>
        <v>2789</v>
      </c>
    </row>
    <row r="586" spans="1:7" ht="15.75">
      <c r="A586" s="625">
        <f t="shared" si="53"/>
        <v>26125</v>
      </c>
      <c r="B586" s="555">
        <v>26100</v>
      </c>
      <c r="C586" s="555">
        <v>26150</v>
      </c>
      <c r="D586" s="556">
        <f t="shared" si="49"/>
        <v>2897</v>
      </c>
      <c r="E586" s="556">
        <f t="shared" si="50"/>
        <v>2658</v>
      </c>
      <c r="F586" s="556">
        <f t="shared" si="51"/>
        <v>2897</v>
      </c>
      <c r="G586" s="556">
        <f t="shared" si="52"/>
        <v>2795</v>
      </c>
    </row>
    <row r="587" spans="1:7" ht="15.75">
      <c r="A587" s="625">
        <f t="shared" si="53"/>
        <v>26175</v>
      </c>
      <c r="B587" s="555">
        <v>26150</v>
      </c>
      <c r="C587" s="555">
        <v>26200</v>
      </c>
      <c r="D587" s="556">
        <f t="shared" si="49"/>
        <v>2903</v>
      </c>
      <c r="E587" s="556">
        <f t="shared" si="50"/>
        <v>2664</v>
      </c>
      <c r="F587" s="556">
        <f t="shared" si="51"/>
        <v>2903</v>
      </c>
      <c r="G587" s="556">
        <f t="shared" si="52"/>
        <v>2801</v>
      </c>
    </row>
    <row r="588" spans="1:7" ht="15.75">
      <c r="A588" s="625">
        <f t="shared" si="53"/>
        <v>26225</v>
      </c>
      <c r="B588" s="555">
        <v>26200</v>
      </c>
      <c r="C588" s="555">
        <v>26250</v>
      </c>
      <c r="D588" s="556">
        <f t="shared" si="49"/>
        <v>2909</v>
      </c>
      <c r="E588" s="556">
        <f t="shared" si="50"/>
        <v>2670</v>
      </c>
      <c r="F588" s="556">
        <f t="shared" si="51"/>
        <v>2909</v>
      </c>
      <c r="G588" s="556">
        <f t="shared" si="52"/>
        <v>2807</v>
      </c>
    </row>
    <row r="589" spans="1:7" ht="15.75">
      <c r="A589" s="625">
        <f t="shared" si="53"/>
        <v>26275</v>
      </c>
      <c r="B589" s="555">
        <v>26250</v>
      </c>
      <c r="C589" s="555">
        <v>26300</v>
      </c>
      <c r="D589" s="556">
        <f t="shared" si="49"/>
        <v>2915</v>
      </c>
      <c r="E589" s="556">
        <f t="shared" si="50"/>
        <v>2676</v>
      </c>
      <c r="F589" s="556">
        <f t="shared" si="51"/>
        <v>2915</v>
      </c>
      <c r="G589" s="556">
        <f t="shared" si="52"/>
        <v>2813</v>
      </c>
    </row>
    <row r="590" spans="1:7" ht="15.75">
      <c r="A590" s="625">
        <f t="shared" si="53"/>
        <v>26325</v>
      </c>
      <c r="B590" s="555">
        <v>26300</v>
      </c>
      <c r="C590" s="555">
        <v>26350</v>
      </c>
      <c r="D590" s="556">
        <f t="shared" si="49"/>
        <v>2921</v>
      </c>
      <c r="E590" s="556">
        <f t="shared" si="50"/>
        <v>2682</v>
      </c>
      <c r="F590" s="556">
        <f t="shared" si="51"/>
        <v>2921</v>
      </c>
      <c r="G590" s="556">
        <f t="shared" si="52"/>
        <v>2819</v>
      </c>
    </row>
    <row r="591" spans="1:7" ht="15.75">
      <c r="A591" s="625">
        <f t="shared" si="53"/>
        <v>26375</v>
      </c>
      <c r="B591" s="555">
        <v>26350</v>
      </c>
      <c r="C591" s="555">
        <v>26400</v>
      </c>
      <c r="D591" s="556">
        <f t="shared" si="49"/>
        <v>2927</v>
      </c>
      <c r="E591" s="556">
        <f t="shared" si="50"/>
        <v>2688</v>
      </c>
      <c r="F591" s="556">
        <f t="shared" si="51"/>
        <v>2927</v>
      </c>
      <c r="G591" s="556">
        <f t="shared" si="52"/>
        <v>2825</v>
      </c>
    </row>
    <row r="592" spans="1:7" ht="15.75">
      <c r="A592" s="625">
        <f t="shared" si="53"/>
        <v>26425</v>
      </c>
      <c r="B592" s="555">
        <v>26400</v>
      </c>
      <c r="C592" s="555">
        <v>26450</v>
      </c>
      <c r="D592" s="556">
        <f t="shared" si="49"/>
        <v>2933</v>
      </c>
      <c r="E592" s="556">
        <f t="shared" si="50"/>
        <v>2694</v>
      </c>
      <c r="F592" s="556">
        <f t="shared" si="51"/>
        <v>2933</v>
      </c>
      <c r="G592" s="556">
        <f t="shared" si="52"/>
        <v>2831</v>
      </c>
    </row>
    <row r="593" spans="1:7" ht="15.75">
      <c r="A593" s="625">
        <f t="shared" si="53"/>
        <v>26475</v>
      </c>
      <c r="B593" s="555">
        <v>26450</v>
      </c>
      <c r="C593" s="555">
        <v>26500</v>
      </c>
      <c r="D593" s="556">
        <f t="shared" si="49"/>
        <v>2939</v>
      </c>
      <c r="E593" s="556">
        <f t="shared" si="50"/>
        <v>2700</v>
      </c>
      <c r="F593" s="556">
        <f t="shared" si="51"/>
        <v>2939</v>
      </c>
      <c r="G593" s="556">
        <f t="shared" si="52"/>
        <v>2837</v>
      </c>
    </row>
    <row r="594" spans="1:7" ht="15.75">
      <c r="A594" s="625">
        <f t="shared" si="53"/>
        <v>26525</v>
      </c>
      <c r="B594" s="555">
        <v>26500</v>
      </c>
      <c r="C594" s="555">
        <v>26550</v>
      </c>
      <c r="D594" s="556">
        <f t="shared" si="49"/>
        <v>2945</v>
      </c>
      <c r="E594" s="556">
        <f t="shared" si="50"/>
        <v>2706</v>
      </c>
      <c r="F594" s="556">
        <f t="shared" si="51"/>
        <v>2945</v>
      </c>
      <c r="G594" s="556">
        <f t="shared" si="52"/>
        <v>2843</v>
      </c>
    </row>
    <row r="595" spans="1:7" ht="15.75">
      <c r="A595" s="625">
        <f t="shared" si="53"/>
        <v>26575</v>
      </c>
      <c r="B595" s="555">
        <v>26550</v>
      </c>
      <c r="C595" s="555">
        <v>26600</v>
      </c>
      <c r="D595" s="556">
        <f t="shared" si="49"/>
        <v>2951</v>
      </c>
      <c r="E595" s="556">
        <f t="shared" si="50"/>
        <v>2712</v>
      </c>
      <c r="F595" s="556">
        <f t="shared" si="51"/>
        <v>2951</v>
      </c>
      <c r="G595" s="556">
        <f t="shared" si="52"/>
        <v>2849</v>
      </c>
    </row>
    <row r="596" spans="1:7" ht="15.75">
      <c r="A596" s="625">
        <f t="shared" si="53"/>
        <v>26625</v>
      </c>
      <c r="B596" s="555">
        <v>26600</v>
      </c>
      <c r="C596" s="555">
        <v>26650</v>
      </c>
      <c r="D596" s="556">
        <f t="shared" si="49"/>
        <v>2957</v>
      </c>
      <c r="E596" s="556">
        <f t="shared" si="50"/>
        <v>2718</v>
      </c>
      <c r="F596" s="556">
        <f t="shared" si="51"/>
        <v>2957</v>
      </c>
      <c r="G596" s="556">
        <f t="shared" si="52"/>
        <v>2855</v>
      </c>
    </row>
    <row r="597" spans="1:7" ht="15.75">
      <c r="A597" s="625">
        <f t="shared" si="53"/>
        <v>26675</v>
      </c>
      <c r="B597" s="555">
        <v>26650</v>
      </c>
      <c r="C597" s="555">
        <v>26700</v>
      </c>
      <c r="D597" s="556">
        <f t="shared" si="49"/>
        <v>2963</v>
      </c>
      <c r="E597" s="556">
        <f t="shared" si="50"/>
        <v>2724</v>
      </c>
      <c r="F597" s="556">
        <f t="shared" si="51"/>
        <v>2963</v>
      </c>
      <c r="G597" s="556">
        <f t="shared" si="52"/>
        <v>2861</v>
      </c>
    </row>
    <row r="598" spans="1:7" ht="15.75">
      <c r="A598" s="625">
        <f t="shared" si="53"/>
        <v>26725</v>
      </c>
      <c r="B598" s="555">
        <v>26700</v>
      </c>
      <c r="C598" s="555">
        <v>26750</v>
      </c>
      <c r="D598" s="556">
        <f t="shared" si="49"/>
        <v>2969</v>
      </c>
      <c r="E598" s="556">
        <f t="shared" si="50"/>
        <v>2730</v>
      </c>
      <c r="F598" s="556">
        <f t="shared" si="51"/>
        <v>2969</v>
      </c>
      <c r="G598" s="556">
        <f t="shared" si="52"/>
        <v>2867</v>
      </c>
    </row>
    <row r="599" spans="1:7" ht="15.75">
      <c r="A599" s="625">
        <f t="shared" si="53"/>
        <v>26775</v>
      </c>
      <c r="B599" s="555">
        <v>26750</v>
      </c>
      <c r="C599" s="555">
        <v>26800</v>
      </c>
      <c r="D599" s="556">
        <f t="shared" si="49"/>
        <v>2975</v>
      </c>
      <c r="E599" s="556">
        <f t="shared" si="50"/>
        <v>2736</v>
      </c>
      <c r="F599" s="556">
        <f t="shared" si="51"/>
        <v>2975</v>
      </c>
      <c r="G599" s="556">
        <f t="shared" si="52"/>
        <v>2873</v>
      </c>
    </row>
    <row r="600" spans="1:7" ht="15.75">
      <c r="A600" s="625">
        <f t="shared" si="53"/>
        <v>26825</v>
      </c>
      <c r="B600" s="555">
        <v>26800</v>
      </c>
      <c r="C600" s="555">
        <v>26850</v>
      </c>
      <c r="D600" s="556">
        <f t="shared" si="49"/>
        <v>2981</v>
      </c>
      <c r="E600" s="556">
        <f t="shared" si="50"/>
        <v>2742</v>
      </c>
      <c r="F600" s="556">
        <f t="shared" si="51"/>
        <v>2981</v>
      </c>
      <c r="G600" s="556">
        <f t="shared" si="52"/>
        <v>2879</v>
      </c>
    </row>
    <row r="601" spans="1:7" ht="15.75">
      <c r="A601" s="625">
        <f t="shared" si="53"/>
        <v>26875</v>
      </c>
      <c r="B601" s="555">
        <v>26850</v>
      </c>
      <c r="C601" s="555">
        <v>26900</v>
      </c>
      <c r="D601" s="556">
        <f t="shared" si="49"/>
        <v>2987</v>
      </c>
      <c r="E601" s="556">
        <f t="shared" si="50"/>
        <v>2748</v>
      </c>
      <c r="F601" s="556">
        <f t="shared" si="51"/>
        <v>2987</v>
      </c>
      <c r="G601" s="556">
        <f t="shared" si="52"/>
        <v>2885</v>
      </c>
    </row>
    <row r="602" spans="1:7" ht="15.75">
      <c r="A602" s="625">
        <f t="shared" si="53"/>
        <v>26925</v>
      </c>
      <c r="B602" s="555">
        <v>26900</v>
      </c>
      <c r="C602" s="555">
        <v>26950</v>
      </c>
      <c r="D602" s="556">
        <f t="shared" si="49"/>
        <v>2993</v>
      </c>
      <c r="E602" s="556">
        <f t="shared" si="50"/>
        <v>2754</v>
      </c>
      <c r="F602" s="556">
        <f t="shared" si="51"/>
        <v>2993</v>
      </c>
      <c r="G602" s="556">
        <f t="shared" si="52"/>
        <v>2891</v>
      </c>
    </row>
    <row r="603" spans="1:7" ht="15.75">
      <c r="A603" s="625">
        <f t="shared" si="53"/>
        <v>26975</v>
      </c>
      <c r="B603" s="555">
        <v>26950</v>
      </c>
      <c r="C603" s="555">
        <v>27000</v>
      </c>
      <c r="D603" s="556">
        <f t="shared" si="49"/>
        <v>2999</v>
      </c>
      <c r="E603" s="556">
        <f t="shared" si="50"/>
        <v>2760</v>
      </c>
      <c r="F603" s="556">
        <f t="shared" si="51"/>
        <v>2999</v>
      </c>
      <c r="G603" s="556">
        <f t="shared" si="52"/>
        <v>2897</v>
      </c>
    </row>
    <row r="604" spans="1:7" ht="15.75">
      <c r="A604" s="625">
        <f t="shared" si="53"/>
        <v>27025</v>
      </c>
      <c r="B604" s="555">
        <v>27000</v>
      </c>
      <c r="C604" s="555">
        <v>27050</v>
      </c>
      <c r="D604" s="556">
        <f t="shared" si="49"/>
        <v>3005</v>
      </c>
      <c r="E604" s="556">
        <f t="shared" si="50"/>
        <v>2766</v>
      </c>
      <c r="F604" s="556">
        <f t="shared" si="51"/>
        <v>3005</v>
      </c>
      <c r="G604" s="556">
        <f t="shared" si="52"/>
        <v>2903</v>
      </c>
    </row>
    <row r="605" spans="1:7" ht="15.75">
      <c r="A605" s="625">
        <f t="shared" si="53"/>
        <v>27075</v>
      </c>
      <c r="B605" s="555">
        <v>27050</v>
      </c>
      <c r="C605" s="555">
        <v>27100</v>
      </c>
      <c r="D605" s="556">
        <f t="shared" si="49"/>
        <v>3011</v>
      </c>
      <c r="E605" s="556">
        <f t="shared" si="50"/>
        <v>2772</v>
      </c>
      <c r="F605" s="556">
        <f t="shared" si="51"/>
        <v>3011</v>
      </c>
      <c r="G605" s="556">
        <f t="shared" si="52"/>
        <v>2909</v>
      </c>
    </row>
    <row r="606" spans="1:7" ht="15.75">
      <c r="A606" s="625">
        <f t="shared" si="53"/>
        <v>27125</v>
      </c>
      <c r="B606" s="555">
        <v>27100</v>
      </c>
      <c r="C606" s="555">
        <v>27150</v>
      </c>
      <c r="D606" s="556">
        <f t="shared" si="49"/>
        <v>3017</v>
      </c>
      <c r="E606" s="556">
        <f t="shared" si="50"/>
        <v>2778</v>
      </c>
      <c r="F606" s="556">
        <f t="shared" si="51"/>
        <v>3017</v>
      </c>
      <c r="G606" s="556">
        <f t="shared" si="52"/>
        <v>2915</v>
      </c>
    </row>
    <row r="607" spans="1:7" ht="15.75">
      <c r="A607" s="625">
        <f t="shared" si="53"/>
        <v>27175</v>
      </c>
      <c r="B607" s="555">
        <v>27150</v>
      </c>
      <c r="C607" s="555">
        <v>27200</v>
      </c>
      <c r="D607" s="556">
        <f t="shared" si="49"/>
        <v>3023</v>
      </c>
      <c r="E607" s="556">
        <f t="shared" si="50"/>
        <v>2784</v>
      </c>
      <c r="F607" s="556">
        <f t="shared" si="51"/>
        <v>3023</v>
      </c>
      <c r="G607" s="556">
        <f t="shared" si="52"/>
        <v>2921</v>
      </c>
    </row>
    <row r="608" spans="1:7" ht="15.75">
      <c r="A608" s="625">
        <f t="shared" si="53"/>
        <v>27225</v>
      </c>
      <c r="B608" s="555">
        <v>27200</v>
      </c>
      <c r="C608" s="555">
        <v>27250</v>
      </c>
      <c r="D608" s="556">
        <f t="shared" si="49"/>
        <v>3029</v>
      </c>
      <c r="E608" s="556">
        <f t="shared" si="50"/>
        <v>2790</v>
      </c>
      <c r="F608" s="556">
        <f t="shared" si="51"/>
        <v>3029</v>
      </c>
      <c r="G608" s="556">
        <f t="shared" si="52"/>
        <v>2927</v>
      </c>
    </row>
    <row r="609" spans="1:7" ht="15.75">
      <c r="A609" s="625">
        <f t="shared" si="53"/>
        <v>27275</v>
      </c>
      <c r="B609" s="555">
        <v>27250</v>
      </c>
      <c r="C609" s="555">
        <v>27300</v>
      </c>
      <c r="D609" s="556">
        <f t="shared" si="49"/>
        <v>3035</v>
      </c>
      <c r="E609" s="556">
        <f t="shared" si="50"/>
        <v>2796</v>
      </c>
      <c r="F609" s="556">
        <f t="shared" si="51"/>
        <v>3035</v>
      </c>
      <c r="G609" s="556">
        <f t="shared" si="52"/>
        <v>2933</v>
      </c>
    </row>
    <row r="610" spans="1:7" ht="15.75">
      <c r="A610" s="625">
        <f t="shared" si="53"/>
        <v>27325</v>
      </c>
      <c r="B610" s="555">
        <v>27300</v>
      </c>
      <c r="C610" s="555">
        <v>27350</v>
      </c>
      <c r="D610" s="556">
        <f t="shared" si="49"/>
        <v>3041</v>
      </c>
      <c r="E610" s="556">
        <f t="shared" si="50"/>
        <v>2802</v>
      </c>
      <c r="F610" s="556">
        <f t="shared" si="51"/>
        <v>3041</v>
      </c>
      <c r="G610" s="556">
        <f t="shared" si="52"/>
        <v>2939</v>
      </c>
    </row>
    <row r="611" spans="1:7" ht="15.75">
      <c r="A611" s="625">
        <f t="shared" si="53"/>
        <v>27375</v>
      </c>
      <c r="B611" s="555">
        <v>27350</v>
      </c>
      <c r="C611" s="555">
        <v>27400</v>
      </c>
      <c r="D611" s="556">
        <f t="shared" si="49"/>
        <v>3047</v>
      </c>
      <c r="E611" s="556">
        <f t="shared" si="50"/>
        <v>2808</v>
      </c>
      <c r="F611" s="556">
        <f t="shared" si="51"/>
        <v>3047</v>
      </c>
      <c r="G611" s="556">
        <f t="shared" si="52"/>
        <v>2945</v>
      </c>
    </row>
    <row r="612" spans="1:7" ht="15.75">
      <c r="A612" s="625">
        <f t="shared" si="53"/>
        <v>27425</v>
      </c>
      <c r="B612" s="555">
        <v>27400</v>
      </c>
      <c r="C612" s="555">
        <v>27450</v>
      </c>
      <c r="D612" s="556">
        <f t="shared" si="49"/>
        <v>3053</v>
      </c>
      <c r="E612" s="556">
        <f t="shared" si="50"/>
        <v>2814</v>
      </c>
      <c r="F612" s="556">
        <f t="shared" si="51"/>
        <v>3053</v>
      </c>
      <c r="G612" s="556">
        <f t="shared" si="52"/>
        <v>2951</v>
      </c>
    </row>
    <row r="613" spans="1:7" ht="15.75">
      <c r="A613" s="625">
        <f t="shared" si="53"/>
        <v>27475</v>
      </c>
      <c r="B613" s="555">
        <v>27450</v>
      </c>
      <c r="C613" s="555">
        <v>27500</v>
      </c>
      <c r="D613" s="556">
        <f t="shared" si="49"/>
        <v>3059</v>
      </c>
      <c r="E613" s="556">
        <f t="shared" si="50"/>
        <v>2820</v>
      </c>
      <c r="F613" s="556">
        <f t="shared" si="51"/>
        <v>3059</v>
      </c>
      <c r="G613" s="556">
        <f t="shared" si="52"/>
        <v>2957</v>
      </c>
    </row>
    <row r="614" spans="1:7" ht="15.75">
      <c r="A614" s="625">
        <f t="shared" si="53"/>
        <v>27525</v>
      </c>
      <c r="B614" s="555">
        <v>27500</v>
      </c>
      <c r="C614" s="555">
        <v>27550</v>
      </c>
      <c r="D614" s="556">
        <f t="shared" si="49"/>
        <v>3065</v>
      </c>
      <c r="E614" s="556">
        <f t="shared" si="50"/>
        <v>2826</v>
      </c>
      <c r="F614" s="556">
        <f t="shared" si="51"/>
        <v>3065</v>
      </c>
      <c r="G614" s="556">
        <f t="shared" si="52"/>
        <v>2963</v>
      </c>
    </row>
    <row r="615" spans="1:7" ht="15.75">
      <c r="A615" s="625">
        <f t="shared" si="53"/>
        <v>27575</v>
      </c>
      <c r="B615" s="555">
        <v>27550</v>
      </c>
      <c r="C615" s="555">
        <v>27600</v>
      </c>
      <c r="D615" s="556">
        <f t="shared" si="49"/>
        <v>3071</v>
      </c>
      <c r="E615" s="556">
        <f t="shared" si="50"/>
        <v>2832</v>
      </c>
      <c r="F615" s="556">
        <f t="shared" si="51"/>
        <v>3071</v>
      </c>
      <c r="G615" s="556">
        <f t="shared" si="52"/>
        <v>2969</v>
      </c>
    </row>
    <row r="616" spans="1:7" ht="15.75">
      <c r="A616" s="625">
        <f t="shared" si="53"/>
        <v>27625</v>
      </c>
      <c r="B616" s="555">
        <v>27600</v>
      </c>
      <c r="C616" s="555">
        <v>27650</v>
      </c>
      <c r="D616" s="556">
        <f t="shared" si="49"/>
        <v>3077</v>
      </c>
      <c r="E616" s="556">
        <f t="shared" si="50"/>
        <v>2838</v>
      </c>
      <c r="F616" s="556">
        <f t="shared" si="51"/>
        <v>3077</v>
      </c>
      <c r="G616" s="556">
        <f t="shared" si="52"/>
        <v>2975</v>
      </c>
    </row>
    <row r="617" spans="1:7" ht="15.75">
      <c r="A617" s="625">
        <f t="shared" si="53"/>
        <v>27675</v>
      </c>
      <c r="B617" s="555">
        <v>27650</v>
      </c>
      <c r="C617" s="555">
        <v>27700</v>
      </c>
      <c r="D617" s="556">
        <f t="shared" si="49"/>
        <v>3083</v>
      </c>
      <c r="E617" s="556">
        <f t="shared" si="50"/>
        <v>2844</v>
      </c>
      <c r="F617" s="556">
        <f t="shared" si="51"/>
        <v>3083</v>
      </c>
      <c r="G617" s="556">
        <f t="shared" si="52"/>
        <v>2981</v>
      </c>
    </row>
    <row r="618" spans="1:7" ht="15.75">
      <c r="A618" s="625">
        <f t="shared" si="53"/>
        <v>27725</v>
      </c>
      <c r="B618" s="555">
        <v>27700</v>
      </c>
      <c r="C618" s="555">
        <v>27750</v>
      </c>
      <c r="D618" s="556">
        <f t="shared" si="49"/>
        <v>3089</v>
      </c>
      <c r="E618" s="556">
        <f t="shared" si="50"/>
        <v>2850</v>
      </c>
      <c r="F618" s="556">
        <f t="shared" si="51"/>
        <v>3089</v>
      </c>
      <c r="G618" s="556">
        <f t="shared" si="52"/>
        <v>2987</v>
      </c>
    </row>
    <row r="619" spans="1:7" ht="15.75">
      <c r="A619" s="625">
        <f t="shared" si="53"/>
        <v>27775</v>
      </c>
      <c r="B619" s="555">
        <v>27750</v>
      </c>
      <c r="C619" s="555">
        <v>27800</v>
      </c>
      <c r="D619" s="556">
        <f t="shared" si="49"/>
        <v>3095</v>
      </c>
      <c r="E619" s="556">
        <f t="shared" si="50"/>
        <v>2856</v>
      </c>
      <c r="F619" s="556">
        <f t="shared" si="51"/>
        <v>3095</v>
      </c>
      <c r="G619" s="556">
        <f t="shared" si="52"/>
        <v>2993</v>
      </c>
    </row>
    <row r="620" spans="1:7" ht="15.75">
      <c r="A620" s="625">
        <f t="shared" si="53"/>
        <v>27825</v>
      </c>
      <c r="B620" s="555">
        <v>27800</v>
      </c>
      <c r="C620" s="555">
        <v>27850</v>
      </c>
      <c r="D620" s="556">
        <f t="shared" si="49"/>
        <v>3101</v>
      </c>
      <c r="E620" s="556">
        <f t="shared" si="50"/>
        <v>2862</v>
      </c>
      <c r="F620" s="556">
        <f t="shared" si="51"/>
        <v>3101</v>
      </c>
      <c r="G620" s="556">
        <f t="shared" si="52"/>
        <v>2999</v>
      </c>
    </row>
    <row r="621" spans="1:7" ht="15.75">
      <c r="A621" s="625">
        <f t="shared" si="53"/>
        <v>27875</v>
      </c>
      <c r="B621" s="555">
        <v>27850</v>
      </c>
      <c r="C621" s="555">
        <v>27900</v>
      </c>
      <c r="D621" s="556">
        <f t="shared" si="49"/>
        <v>3107</v>
      </c>
      <c r="E621" s="556">
        <f t="shared" si="50"/>
        <v>2868</v>
      </c>
      <c r="F621" s="556">
        <f t="shared" si="51"/>
        <v>3107</v>
      </c>
      <c r="G621" s="556">
        <f t="shared" si="52"/>
        <v>3005</v>
      </c>
    </row>
    <row r="622" spans="1:7" ht="15.75">
      <c r="A622" s="625">
        <f t="shared" si="53"/>
        <v>27925</v>
      </c>
      <c r="B622" s="555">
        <v>27900</v>
      </c>
      <c r="C622" s="555">
        <v>27950</v>
      </c>
      <c r="D622" s="556">
        <f t="shared" si="49"/>
        <v>3113</v>
      </c>
      <c r="E622" s="556">
        <f t="shared" si="50"/>
        <v>2874</v>
      </c>
      <c r="F622" s="556">
        <f t="shared" si="51"/>
        <v>3113</v>
      </c>
      <c r="G622" s="556">
        <f t="shared" si="52"/>
        <v>3011</v>
      </c>
    </row>
    <row r="623" spans="1:7" ht="15.75">
      <c r="A623" s="625">
        <f t="shared" si="53"/>
        <v>27975</v>
      </c>
      <c r="B623" s="555">
        <v>27950</v>
      </c>
      <c r="C623" s="555">
        <v>28000</v>
      </c>
      <c r="D623" s="556">
        <f t="shared" si="49"/>
        <v>3119</v>
      </c>
      <c r="E623" s="556">
        <f t="shared" si="50"/>
        <v>2880</v>
      </c>
      <c r="F623" s="556">
        <f t="shared" si="51"/>
        <v>3119</v>
      </c>
      <c r="G623" s="556">
        <f t="shared" si="52"/>
        <v>3017</v>
      </c>
    </row>
    <row r="624" spans="1:7" ht="15.75">
      <c r="A624" s="625">
        <f t="shared" si="53"/>
        <v>28025</v>
      </c>
      <c r="B624" s="555">
        <v>28000</v>
      </c>
      <c r="C624" s="555">
        <v>28050</v>
      </c>
      <c r="D624" s="556">
        <f t="shared" si="49"/>
        <v>3125</v>
      </c>
      <c r="E624" s="556">
        <f t="shared" si="50"/>
        <v>2886</v>
      </c>
      <c r="F624" s="556">
        <f t="shared" si="51"/>
        <v>3125</v>
      </c>
      <c r="G624" s="556">
        <f t="shared" si="52"/>
        <v>3023</v>
      </c>
    </row>
    <row r="625" spans="1:7" ht="15.75">
      <c r="A625" s="625">
        <f t="shared" si="53"/>
        <v>28075</v>
      </c>
      <c r="B625" s="555">
        <v>28050</v>
      </c>
      <c r="C625" s="555">
        <v>28100</v>
      </c>
      <c r="D625" s="556">
        <f t="shared" si="49"/>
        <v>3131</v>
      </c>
      <c r="E625" s="556">
        <f t="shared" si="50"/>
        <v>2892</v>
      </c>
      <c r="F625" s="556">
        <f t="shared" si="51"/>
        <v>3131</v>
      </c>
      <c r="G625" s="556">
        <f t="shared" si="52"/>
        <v>3029</v>
      </c>
    </row>
    <row r="626" spans="1:7" ht="15.75">
      <c r="A626" s="625">
        <f t="shared" si="53"/>
        <v>28125</v>
      </c>
      <c r="B626" s="555">
        <v>28100</v>
      </c>
      <c r="C626" s="555">
        <v>28150</v>
      </c>
      <c r="D626" s="556">
        <f t="shared" si="49"/>
        <v>3137</v>
      </c>
      <c r="E626" s="556">
        <f t="shared" si="50"/>
        <v>2898</v>
      </c>
      <c r="F626" s="556">
        <f t="shared" si="51"/>
        <v>3137</v>
      </c>
      <c r="G626" s="556">
        <f t="shared" si="52"/>
        <v>3035</v>
      </c>
    </row>
    <row r="627" spans="1:7" ht="15.75">
      <c r="A627" s="625">
        <f t="shared" si="53"/>
        <v>28175</v>
      </c>
      <c r="B627" s="555">
        <v>28150</v>
      </c>
      <c r="C627" s="555">
        <v>28200</v>
      </c>
      <c r="D627" s="556">
        <f t="shared" si="49"/>
        <v>3143</v>
      </c>
      <c r="E627" s="556">
        <f t="shared" si="50"/>
        <v>2904</v>
      </c>
      <c r="F627" s="556">
        <f t="shared" si="51"/>
        <v>3143</v>
      </c>
      <c r="G627" s="556">
        <f t="shared" si="52"/>
        <v>3041</v>
      </c>
    </row>
    <row r="628" spans="1:7" ht="15.75">
      <c r="A628" s="625">
        <f t="shared" si="53"/>
        <v>28225</v>
      </c>
      <c r="B628" s="555">
        <v>28200</v>
      </c>
      <c r="C628" s="555">
        <v>28250</v>
      </c>
      <c r="D628" s="556">
        <f t="shared" si="49"/>
        <v>3149</v>
      </c>
      <c r="E628" s="556">
        <f t="shared" si="50"/>
        <v>2910</v>
      </c>
      <c r="F628" s="556">
        <f t="shared" si="51"/>
        <v>3149</v>
      </c>
      <c r="G628" s="556">
        <f t="shared" si="52"/>
        <v>3047</v>
      </c>
    </row>
    <row r="629" spans="1:7" ht="15.75">
      <c r="A629" s="625">
        <f t="shared" si="53"/>
        <v>28275</v>
      </c>
      <c r="B629" s="555">
        <v>28250</v>
      </c>
      <c r="C629" s="555">
        <v>28300</v>
      </c>
      <c r="D629" s="556">
        <f t="shared" si="49"/>
        <v>3155</v>
      </c>
      <c r="E629" s="556">
        <f t="shared" si="50"/>
        <v>2916</v>
      </c>
      <c r="F629" s="556">
        <f t="shared" si="51"/>
        <v>3155</v>
      </c>
      <c r="G629" s="556">
        <f t="shared" si="52"/>
        <v>3053</v>
      </c>
    </row>
    <row r="630" spans="1:7" ht="15.75">
      <c r="A630" s="625">
        <f t="shared" si="53"/>
        <v>28325</v>
      </c>
      <c r="B630" s="555">
        <v>28300</v>
      </c>
      <c r="C630" s="555">
        <v>28350</v>
      </c>
      <c r="D630" s="556">
        <f t="shared" si="49"/>
        <v>3161</v>
      </c>
      <c r="E630" s="556">
        <f t="shared" si="50"/>
        <v>2922</v>
      </c>
      <c r="F630" s="556">
        <f t="shared" si="51"/>
        <v>3161</v>
      </c>
      <c r="G630" s="556">
        <f t="shared" si="52"/>
        <v>3059</v>
      </c>
    </row>
    <row r="631" spans="1:7" ht="15.75">
      <c r="A631" s="625">
        <f t="shared" si="53"/>
        <v>28375</v>
      </c>
      <c r="B631" s="555">
        <v>28350</v>
      </c>
      <c r="C631" s="555">
        <v>28400</v>
      </c>
      <c r="D631" s="556">
        <f t="shared" si="49"/>
        <v>3167</v>
      </c>
      <c r="E631" s="556">
        <f t="shared" si="50"/>
        <v>2928</v>
      </c>
      <c r="F631" s="556">
        <f t="shared" si="51"/>
        <v>3167</v>
      </c>
      <c r="G631" s="556">
        <f t="shared" si="52"/>
        <v>3065</v>
      </c>
    </row>
    <row r="632" spans="1:7" ht="15.75">
      <c r="A632" s="625">
        <f t="shared" si="53"/>
        <v>28425</v>
      </c>
      <c r="B632" s="555">
        <v>28400</v>
      </c>
      <c r="C632" s="555">
        <v>28450</v>
      </c>
      <c r="D632" s="556">
        <f t="shared" si="49"/>
        <v>3173</v>
      </c>
      <c r="E632" s="556">
        <f t="shared" si="50"/>
        <v>2934</v>
      </c>
      <c r="F632" s="556">
        <f t="shared" si="51"/>
        <v>3173</v>
      </c>
      <c r="G632" s="556">
        <f t="shared" si="52"/>
        <v>3071</v>
      </c>
    </row>
    <row r="633" spans="1:7" ht="15.75">
      <c r="A633" s="625">
        <f t="shared" si="53"/>
        <v>28475</v>
      </c>
      <c r="B633" s="555">
        <v>28450</v>
      </c>
      <c r="C633" s="555">
        <v>28500</v>
      </c>
      <c r="D633" s="556">
        <f t="shared" si="49"/>
        <v>3179</v>
      </c>
      <c r="E633" s="556">
        <f t="shared" si="50"/>
        <v>2940</v>
      </c>
      <c r="F633" s="556">
        <f t="shared" si="51"/>
        <v>3179</v>
      </c>
      <c r="G633" s="556">
        <f t="shared" si="52"/>
        <v>3077</v>
      </c>
    </row>
    <row r="634" spans="1:7" ht="15.75">
      <c r="A634" s="625">
        <f t="shared" si="53"/>
        <v>28525</v>
      </c>
      <c r="B634" s="555">
        <v>28500</v>
      </c>
      <c r="C634" s="555">
        <v>28550</v>
      </c>
      <c r="D634" s="556">
        <f t="shared" si="49"/>
        <v>3185</v>
      </c>
      <c r="E634" s="556">
        <f t="shared" si="50"/>
        <v>2946</v>
      </c>
      <c r="F634" s="556">
        <f t="shared" si="51"/>
        <v>3185</v>
      </c>
      <c r="G634" s="556">
        <f t="shared" si="52"/>
        <v>3083</v>
      </c>
    </row>
    <row r="635" spans="1:7" ht="15.75">
      <c r="A635" s="625">
        <f t="shared" si="53"/>
        <v>28575</v>
      </c>
      <c r="B635" s="555">
        <v>28550</v>
      </c>
      <c r="C635" s="555">
        <v>28600</v>
      </c>
      <c r="D635" s="556">
        <f t="shared" si="49"/>
        <v>3191</v>
      </c>
      <c r="E635" s="556">
        <f t="shared" si="50"/>
        <v>2952</v>
      </c>
      <c r="F635" s="556">
        <f t="shared" si="51"/>
        <v>3191</v>
      </c>
      <c r="G635" s="556">
        <f t="shared" si="52"/>
        <v>3089</v>
      </c>
    </row>
    <row r="636" spans="1:7" ht="15.75">
      <c r="A636" s="625">
        <f t="shared" si="53"/>
        <v>28625</v>
      </c>
      <c r="B636" s="555">
        <v>28600</v>
      </c>
      <c r="C636" s="555">
        <v>28650</v>
      </c>
      <c r="D636" s="556">
        <f t="shared" si="49"/>
        <v>3197</v>
      </c>
      <c r="E636" s="556">
        <f t="shared" si="50"/>
        <v>2958</v>
      </c>
      <c r="F636" s="556">
        <f t="shared" si="51"/>
        <v>3197</v>
      </c>
      <c r="G636" s="556">
        <f t="shared" si="52"/>
        <v>3095</v>
      </c>
    </row>
    <row r="637" spans="1:7" ht="15.75">
      <c r="A637" s="625">
        <f t="shared" si="53"/>
        <v>28675</v>
      </c>
      <c r="B637" s="555">
        <v>28650</v>
      </c>
      <c r="C637" s="555">
        <v>28700</v>
      </c>
      <c r="D637" s="556">
        <f t="shared" si="49"/>
        <v>3203</v>
      </c>
      <c r="E637" s="556">
        <f t="shared" si="50"/>
        <v>2964</v>
      </c>
      <c r="F637" s="556">
        <f t="shared" si="51"/>
        <v>3203</v>
      </c>
      <c r="G637" s="556">
        <f t="shared" si="52"/>
        <v>3101</v>
      </c>
    </row>
    <row r="638" spans="1:7" ht="15.75">
      <c r="A638" s="625">
        <f t="shared" si="53"/>
        <v>28725</v>
      </c>
      <c r="B638" s="555">
        <v>28700</v>
      </c>
      <c r="C638" s="555">
        <v>28750</v>
      </c>
      <c r="D638" s="556">
        <f t="shared" si="49"/>
        <v>3209</v>
      </c>
      <c r="E638" s="556">
        <f t="shared" si="50"/>
        <v>2970</v>
      </c>
      <c r="F638" s="556">
        <f t="shared" si="51"/>
        <v>3209</v>
      </c>
      <c r="G638" s="556">
        <f t="shared" si="52"/>
        <v>3107</v>
      </c>
    </row>
    <row r="639" spans="1:7" ht="15.75">
      <c r="A639" s="625">
        <f t="shared" si="53"/>
        <v>28775</v>
      </c>
      <c r="B639" s="555">
        <v>28750</v>
      </c>
      <c r="C639" s="555">
        <v>28800</v>
      </c>
      <c r="D639" s="556">
        <f t="shared" si="49"/>
        <v>3215</v>
      </c>
      <c r="E639" s="556">
        <f t="shared" si="50"/>
        <v>2976</v>
      </c>
      <c r="F639" s="556">
        <f t="shared" si="51"/>
        <v>3215</v>
      </c>
      <c r="G639" s="556">
        <f t="shared" si="52"/>
        <v>3113</v>
      </c>
    </row>
    <row r="640" spans="1:7" ht="15.75">
      <c r="A640" s="625">
        <f t="shared" si="53"/>
        <v>28825</v>
      </c>
      <c r="B640" s="555">
        <v>28800</v>
      </c>
      <c r="C640" s="555">
        <v>28850</v>
      </c>
      <c r="D640" s="556">
        <f t="shared" si="49"/>
        <v>3221</v>
      </c>
      <c r="E640" s="556">
        <f t="shared" si="50"/>
        <v>2982</v>
      </c>
      <c r="F640" s="556">
        <f t="shared" si="51"/>
        <v>3221</v>
      </c>
      <c r="G640" s="556">
        <f t="shared" si="52"/>
        <v>3119</v>
      </c>
    </row>
    <row r="641" spans="1:7" ht="15.75">
      <c r="A641" s="625">
        <f t="shared" si="53"/>
        <v>28875</v>
      </c>
      <c r="B641" s="555">
        <v>28850</v>
      </c>
      <c r="C641" s="555">
        <v>28900</v>
      </c>
      <c r="D641" s="556">
        <f t="shared" si="49"/>
        <v>3227</v>
      </c>
      <c r="E641" s="556">
        <f t="shared" si="50"/>
        <v>2988</v>
      </c>
      <c r="F641" s="556">
        <f t="shared" si="51"/>
        <v>3227</v>
      </c>
      <c r="G641" s="556">
        <f t="shared" si="52"/>
        <v>3125</v>
      </c>
    </row>
    <row r="642" spans="1:7" ht="15.75">
      <c r="A642" s="625">
        <f t="shared" si="53"/>
        <v>28925</v>
      </c>
      <c r="B642" s="555">
        <v>28900</v>
      </c>
      <c r="C642" s="555">
        <v>28950</v>
      </c>
      <c r="D642" s="556">
        <f t="shared" ref="D642:D705" si="54">IF($A642&gt;BOTT_A4,ROUND(BASE_A4+RATE_A4*($A642-BOTT_A4),0),IF($A642&gt;BOTT_A3,ROUND(BASE_A3+RATE_A3*($A642-BOTT_A3),0),IF($A642&gt;BOTT_A2,ROUND(BASE_A2+RATE_A2*($A642-BOTT_A2),0),ROUND(RATE_A1*$A642,0))))</f>
        <v>3233</v>
      </c>
      <c r="E642" s="556">
        <f t="shared" ref="E642:E705" si="55">IF($A642&gt;BOTT_B4,ROUND(BASE_B4+RATE_B4*($A642-BOTT_B4),0),IF($A642&gt;BOTT_B3,ROUND(BASE_B3+RATE_B3*($A642-BOTT_B3),0),IF($A642&gt;BOTT_B2,ROUND(BASE_B2+RATE_B2*($A642-BOTT_B2),0),ROUND(RATE_B1*$A642,0))))</f>
        <v>2994</v>
      </c>
      <c r="F642" s="556">
        <f t="shared" ref="F642:F705" si="56">IF($A642&gt;BOTT_C4,ROUND(BASE_C4+RATE_C4*($A642-BOTT_C4),0),IF($A642&gt;BOTT_C3,ROUND(BASE_C3+RATE_C3*($A642-BOTT_C3),0),IF($A642&gt;BOTT_C2,ROUND(BASE_C2+RATE_C2*($A642-BOTT_C2),0),ROUND(RATE_C1*$A642,0))))</f>
        <v>3233</v>
      </c>
      <c r="G642" s="556">
        <f t="shared" ref="G642:G705" si="57">IF($A642&gt;BOTT_D4,ROUND(BASE_D4+RATE_D4*($A642-BOTT_D4),0),IF($A642&gt;BOTT_D3,ROUND(BASE_D3+RATE_D3*($A642-BOTT_D3),0),IF($A642&gt;BOTT_D2,ROUND(BASE_D2+RATE_D2*($A642-BOTT_D2),0),ROUND(RATE_D1*$A642,0))))</f>
        <v>3131</v>
      </c>
    </row>
    <row r="643" spans="1:7" ht="15.75">
      <c r="A643" s="625">
        <f t="shared" ref="A643:A706" si="58">AVERAGE(B643,C643)</f>
        <v>28975</v>
      </c>
      <c r="B643" s="555">
        <v>28950</v>
      </c>
      <c r="C643" s="555">
        <v>29000</v>
      </c>
      <c r="D643" s="556">
        <f t="shared" si="54"/>
        <v>3239</v>
      </c>
      <c r="E643" s="556">
        <f t="shared" si="55"/>
        <v>3000</v>
      </c>
      <c r="F643" s="556">
        <f t="shared" si="56"/>
        <v>3239</v>
      </c>
      <c r="G643" s="556">
        <f t="shared" si="57"/>
        <v>3137</v>
      </c>
    </row>
    <row r="644" spans="1:7" ht="15.75">
      <c r="A644" s="625">
        <f t="shared" si="58"/>
        <v>29025</v>
      </c>
      <c r="B644" s="555">
        <v>29000</v>
      </c>
      <c r="C644" s="555">
        <v>29050</v>
      </c>
      <c r="D644" s="556">
        <f t="shared" si="54"/>
        <v>3245</v>
      </c>
      <c r="E644" s="556">
        <f t="shared" si="55"/>
        <v>3006</v>
      </c>
      <c r="F644" s="556">
        <f t="shared" si="56"/>
        <v>3245</v>
      </c>
      <c r="G644" s="556">
        <f t="shared" si="57"/>
        <v>3143</v>
      </c>
    </row>
    <row r="645" spans="1:7" ht="15.75">
      <c r="A645" s="625">
        <f t="shared" si="58"/>
        <v>29075</v>
      </c>
      <c r="B645" s="555">
        <v>29050</v>
      </c>
      <c r="C645" s="555">
        <v>29100</v>
      </c>
      <c r="D645" s="556">
        <f t="shared" si="54"/>
        <v>3251</v>
      </c>
      <c r="E645" s="556">
        <f t="shared" si="55"/>
        <v>3012</v>
      </c>
      <c r="F645" s="556">
        <f t="shared" si="56"/>
        <v>3251</v>
      </c>
      <c r="G645" s="556">
        <f t="shared" si="57"/>
        <v>3149</v>
      </c>
    </row>
    <row r="646" spans="1:7" ht="15.75">
      <c r="A646" s="625">
        <f t="shared" si="58"/>
        <v>29125</v>
      </c>
      <c r="B646" s="555">
        <v>29100</v>
      </c>
      <c r="C646" s="555">
        <v>29150</v>
      </c>
      <c r="D646" s="556">
        <f t="shared" si="54"/>
        <v>3257</v>
      </c>
      <c r="E646" s="556">
        <f t="shared" si="55"/>
        <v>3018</v>
      </c>
      <c r="F646" s="556">
        <f t="shared" si="56"/>
        <v>3257</v>
      </c>
      <c r="G646" s="556">
        <f t="shared" si="57"/>
        <v>3155</v>
      </c>
    </row>
    <row r="647" spans="1:7" ht="15.75">
      <c r="A647" s="625">
        <f t="shared" si="58"/>
        <v>29175</v>
      </c>
      <c r="B647" s="555">
        <v>29150</v>
      </c>
      <c r="C647" s="555">
        <v>29200</v>
      </c>
      <c r="D647" s="556">
        <f t="shared" si="54"/>
        <v>3263</v>
      </c>
      <c r="E647" s="556">
        <f t="shared" si="55"/>
        <v>3024</v>
      </c>
      <c r="F647" s="556">
        <f t="shared" si="56"/>
        <v>3263</v>
      </c>
      <c r="G647" s="556">
        <f t="shared" si="57"/>
        <v>3161</v>
      </c>
    </row>
    <row r="648" spans="1:7" ht="15.75">
      <c r="A648" s="625">
        <f t="shared" si="58"/>
        <v>29225</v>
      </c>
      <c r="B648" s="555">
        <v>29200</v>
      </c>
      <c r="C648" s="555">
        <v>29250</v>
      </c>
      <c r="D648" s="556">
        <f t="shared" si="54"/>
        <v>3269</v>
      </c>
      <c r="E648" s="556">
        <f t="shared" si="55"/>
        <v>3030</v>
      </c>
      <c r="F648" s="556">
        <f t="shared" si="56"/>
        <v>3269</v>
      </c>
      <c r="G648" s="556">
        <f t="shared" si="57"/>
        <v>3167</v>
      </c>
    </row>
    <row r="649" spans="1:7" ht="15.75">
      <c r="A649" s="625">
        <f t="shared" si="58"/>
        <v>29275</v>
      </c>
      <c r="B649" s="555">
        <v>29250</v>
      </c>
      <c r="C649" s="555">
        <v>29300</v>
      </c>
      <c r="D649" s="556">
        <f t="shared" si="54"/>
        <v>3275</v>
      </c>
      <c r="E649" s="556">
        <f t="shared" si="55"/>
        <v>3036</v>
      </c>
      <c r="F649" s="556">
        <f t="shared" si="56"/>
        <v>3275</v>
      </c>
      <c r="G649" s="556">
        <f t="shared" si="57"/>
        <v>3173</v>
      </c>
    </row>
    <row r="650" spans="1:7" ht="15.75">
      <c r="A650" s="625">
        <f t="shared" si="58"/>
        <v>29325</v>
      </c>
      <c r="B650" s="555">
        <v>29300</v>
      </c>
      <c r="C650" s="555">
        <v>29350</v>
      </c>
      <c r="D650" s="556">
        <f t="shared" si="54"/>
        <v>3281</v>
      </c>
      <c r="E650" s="556">
        <f t="shared" si="55"/>
        <v>3042</v>
      </c>
      <c r="F650" s="556">
        <f t="shared" si="56"/>
        <v>3281</v>
      </c>
      <c r="G650" s="556">
        <f t="shared" si="57"/>
        <v>3179</v>
      </c>
    </row>
    <row r="651" spans="1:7" ht="15.75">
      <c r="A651" s="625">
        <f t="shared" si="58"/>
        <v>29375</v>
      </c>
      <c r="B651" s="555">
        <v>29350</v>
      </c>
      <c r="C651" s="555">
        <v>29400</v>
      </c>
      <c r="D651" s="556">
        <f t="shared" si="54"/>
        <v>3287</v>
      </c>
      <c r="E651" s="556">
        <f t="shared" si="55"/>
        <v>3048</v>
      </c>
      <c r="F651" s="556">
        <f t="shared" si="56"/>
        <v>3287</v>
      </c>
      <c r="G651" s="556">
        <f t="shared" si="57"/>
        <v>3185</v>
      </c>
    </row>
    <row r="652" spans="1:7" ht="15.75">
      <c r="A652" s="625">
        <f t="shared" si="58"/>
        <v>29425</v>
      </c>
      <c r="B652" s="555">
        <v>29400</v>
      </c>
      <c r="C652" s="555">
        <v>29450</v>
      </c>
      <c r="D652" s="556">
        <f t="shared" si="54"/>
        <v>3293</v>
      </c>
      <c r="E652" s="556">
        <f t="shared" si="55"/>
        <v>3054</v>
      </c>
      <c r="F652" s="556">
        <f t="shared" si="56"/>
        <v>3293</v>
      </c>
      <c r="G652" s="556">
        <f t="shared" si="57"/>
        <v>3191</v>
      </c>
    </row>
    <row r="653" spans="1:7" ht="15.75">
      <c r="A653" s="625">
        <f t="shared" si="58"/>
        <v>29475</v>
      </c>
      <c r="B653" s="555">
        <v>29450</v>
      </c>
      <c r="C653" s="555">
        <v>29500</v>
      </c>
      <c r="D653" s="556">
        <f t="shared" si="54"/>
        <v>3299</v>
      </c>
      <c r="E653" s="556">
        <f t="shared" si="55"/>
        <v>3060</v>
      </c>
      <c r="F653" s="556">
        <f t="shared" si="56"/>
        <v>3299</v>
      </c>
      <c r="G653" s="556">
        <f t="shared" si="57"/>
        <v>3197</v>
      </c>
    </row>
    <row r="654" spans="1:7" ht="15.75">
      <c r="A654" s="625">
        <f t="shared" si="58"/>
        <v>29525</v>
      </c>
      <c r="B654" s="555">
        <v>29500</v>
      </c>
      <c r="C654" s="555">
        <v>29550</v>
      </c>
      <c r="D654" s="556">
        <f t="shared" si="54"/>
        <v>3305</v>
      </c>
      <c r="E654" s="556">
        <f t="shared" si="55"/>
        <v>3066</v>
      </c>
      <c r="F654" s="556">
        <f t="shared" si="56"/>
        <v>3305</v>
      </c>
      <c r="G654" s="556">
        <f t="shared" si="57"/>
        <v>3203</v>
      </c>
    </row>
    <row r="655" spans="1:7" ht="15.75">
      <c r="A655" s="625">
        <f t="shared" si="58"/>
        <v>29575</v>
      </c>
      <c r="B655" s="555">
        <v>29550</v>
      </c>
      <c r="C655" s="555">
        <v>29600</v>
      </c>
      <c r="D655" s="556">
        <f t="shared" si="54"/>
        <v>3311</v>
      </c>
      <c r="E655" s="556">
        <f t="shared" si="55"/>
        <v>3072</v>
      </c>
      <c r="F655" s="556">
        <f t="shared" si="56"/>
        <v>3311</v>
      </c>
      <c r="G655" s="556">
        <f t="shared" si="57"/>
        <v>3209</v>
      </c>
    </row>
    <row r="656" spans="1:7" ht="15.75">
      <c r="A656" s="625">
        <f t="shared" si="58"/>
        <v>29625</v>
      </c>
      <c r="B656" s="555">
        <v>29600</v>
      </c>
      <c r="C656" s="555">
        <v>29650</v>
      </c>
      <c r="D656" s="556">
        <f t="shared" si="54"/>
        <v>3317</v>
      </c>
      <c r="E656" s="556">
        <f t="shared" si="55"/>
        <v>3078</v>
      </c>
      <c r="F656" s="556">
        <f t="shared" si="56"/>
        <v>3317</v>
      </c>
      <c r="G656" s="556">
        <f t="shared" si="57"/>
        <v>3215</v>
      </c>
    </row>
    <row r="657" spans="1:7" ht="15.75">
      <c r="A657" s="625">
        <f t="shared" si="58"/>
        <v>29675</v>
      </c>
      <c r="B657" s="555">
        <v>29650</v>
      </c>
      <c r="C657" s="555">
        <v>29700</v>
      </c>
      <c r="D657" s="556">
        <f t="shared" si="54"/>
        <v>3323</v>
      </c>
      <c r="E657" s="556">
        <f t="shared" si="55"/>
        <v>3084</v>
      </c>
      <c r="F657" s="556">
        <f t="shared" si="56"/>
        <v>3323</v>
      </c>
      <c r="G657" s="556">
        <f t="shared" si="57"/>
        <v>3221</v>
      </c>
    </row>
    <row r="658" spans="1:7" ht="15.75">
      <c r="A658" s="625">
        <f t="shared" si="58"/>
        <v>29725</v>
      </c>
      <c r="B658" s="555">
        <v>29700</v>
      </c>
      <c r="C658" s="555">
        <v>29750</v>
      </c>
      <c r="D658" s="556">
        <f t="shared" si="54"/>
        <v>3329</v>
      </c>
      <c r="E658" s="556">
        <f t="shared" si="55"/>
        <v>3090</v>
      </c>
      <c r="F658" s="556">
        <f t="shared" si="56"/>
        <v>3329</v>
      </c>
      <c r="G658" s="556">
        <f t="shared" si="57"/>
        <v>3227</v>
      </c>
    </row>
    <row r="659" spans="1:7" ht="15.75">
      <c r="A659" s="625">
        <f t="shared" si="58"/>
        <v>29775</v>
      </c>
      <c r="B659" s="555">
        <v>29750</v>
      </c>
      <c r="C659" s="555">
        <v>29800</v>
      </c>
      <c r="D659" s="556">
        <f t="shared" si="54"/>
        <v>3335</v>
      </c>
      <c r="E659" s="556">
        <f t="shared" si="55"/>
        <v>3096</v>
      </c>
      <c r="F659" s="556">
        <f t="shared" si="56"/>
        <v>3335</v>
      </c>
      <c r="G659" s="556">
        <f t="shared" si="57"/>
        <v>3233</v>
      </c>
    </row>
    <row r="660" spans="1:7" ht="15.75">
      <c r="A660" s="625">
        <f t="shared" si="58"/>
        <v>29825</v>
      </c>
      <c r="B660" s="555">
        <v>29800</v>
      </c>
      <c r="C660" s="555">
        <v>29850</v>
      </c>
      <c r="D660" s="556">
        <f t="shared" si="54"/>
        <v>3341</v>
      </c>
      <c r="E660" s="556">
        <f t="shared" si="55"/>
        <v>3102</v>
      </c>
      <c r="F660" s="556">
        <f t="shared" si="56"/>
        <v>3341</v>
      </c>
      <c r="G660" s="556">
        <f t="shared" si="57"/>
        <v>3239</v>
      </c>
    </row>
    <row r="661" spans="1:7" ht="15.75">
      <c r="A661" s="625">
        <f t="shared" si="58"/>
        <v>29875</v>
      </c>
      <c r="B661" s="555">
        <v>29850</v>
      </c>
      <c r="C661" s="555">
        <v>29900</v>
      </c>
      <c r="D661" s="556">
        <f t="shared" si="54"/>
        <v>3347</v>
      </c>
      <c r="E661" s="556">
        <f t="shared" si="55"/>
        <v>3108</v>
      </c>
      <c r="F661" s="556">
        <f t="shared" si="56"/>
        <v>3347</v>
      </c>
      <c r="G661" s="556">
        <f t="shared" si="57"/>
        <v>3245</v>
      </c>
    </row>
    <row r="662" spans="1:7" ht="15.75">
      <c r="A662" s="625">
        <f t="shared" si="58"/>
        <v>29925</v>
      </c>
      <c r="B662" s="555">
        <v>29900</v>
      </c>
      <c r="C662" s="555">
        <v>29950</v>
      </c>
      <c r="D662" s="556">
        <f t="shared" si="54"/>
        <v>3353</v>
      </c>
      <c r="E662" s="556">
        <f t="shared" si="55"/>
        <v>3114</v>
      </c>
      <c r="F662" s="556">
        <f t="shared" si="56"/>
        <v>3353</v>
      </c>
      <c r="G662" s="556">
        <f t="shared" si="57"/>
        <v>3251</v>
      </c>
    </row>
    <row r="663" spans="1:7" ht="15.75">
      <c r="A663" s="625">
        <f t="shared" si="58"/>
        <v>29975</v>
      </c>
      <c r="B663" s="555">
        <v>29950</v>
      </c>
      <c r="C663" s="555">
        <v>30000</v>
      </c>
      <c r="D663" s="556">
        <f t="shared" si="54"/>
        <v>3359</v>
      </c>
      <c r="E663" s="556">
        <f t="shared" si="55"/>
        <v>3120</v>
      </c>
      <c r="F663" s="556">
        <f t="shared" si="56"/>
        <v>3359</v>
      </c>
      <c r="G663" s="556">
        <f t="shared" si="57"/>
        <v>3257</v>
      </c>
    </row>
    <row r="664" spans="1:7" ht="15.75">
      <c r="A664" s="625">
        <f t="shared" si="58"/>
        <v>30025</v>
      </c>
      <c r="B664" s="555">
        <v>30000</v>
      </c>
      <c r="C664" s="555">
        <v>30050</v>
      </c>
      <c r="D664" s="556">
        <f t="shared" si="54"/>
        <v>3365</v>
      </c>
      <c r="E664" s="556">
        <f t="shared" si="55"/>
        <v>3126</v>
      </c>
      <c r="F664" s="556">
        <f t="shared" si="56"/>
        <v>3365</v>
      </c>
      <c r="G664" s="556">
        <f t="shared" si="57"/>
        <v>3263</v>
      </c>
    </row>
    <row r="665" spans="1:7" ht="15.75">
      <c r="A665" s="625">
        <f t="shared" si="58"/>
        <v>30075</v>
      </c>
      <c r="B665" s="555">
        <v>30050</v>
      </c>
      <c r="C665" s="555">
        <v>30100</v>
      </c>
      <c r="D665" s="556">
        <f t="shared" si="54"/>
        <v>3371</v>
      </c>
      <c r="E665" s="556">
        <f t="shared" si="55"/>
        <v>3132</v>
      </c>
      <c r="F665" s="556">
        <f t="shared" si="56"/>
        <v>3371</v>
      </c>
      <c r="G665" s="556">
        <f t="shared" si="57"/>
        <v>3269</v>
      </c>
    </row>
    <row r="666" spans="1:7" ht="15.75">
      <c r="A666" s="625">
        <f t="shared" si="58"/>
        <v>30125</v>
      </c>
      <c r="B666" s="555">
        <v>30100</v>
      </c>
      <c r="C666" s="555">
        <v>30150</v>
      </c>
      <c r="D666" s="556">
        <f t="shared" si="54"/>
        <v>3377</v>
      </c>
      <c r="E666" s="556">
        <f t="shared" si="55"/>
        <v>3138</v>
      </c>
      <c r="F666" s="556">
        <f t="shared" si="56"/>
        <v>3377</v>
      </c>
      <c r="G666" s="556">
        <f t="shared" si="57"/>
        <v>3275</v>
      </c>
    </row>
    <row r="667" spans="1:7" ht="15.75">
      <c r="A667" s="625">
        <f t="shared" si="58"/>
        <v>30175</v>
      </c>
      <c r="B667" s="555">
        <v>30150</v>
      </c>
      <c r="C667" s="555">
        <v>30200</v>
      </c>
      <c r="D667" s="556">
        <f t="shared" si="54"/>
        <v>3383</v>
      </c>
      <c r="E667" s="556">
        <f t="shared" si="55"/>
        <v>3144</v>
      </c>
      <c r="F667" s="556">
        <f t="shared" si="56"/>
        <v>3383</v>
      </c>
      <c r="G667" s="556">
        <f t="shared" si="57"/>
        <v>3281</v>
      </c>
    </row>
    <row r="668" spans="1:7" ht="15.75">
      <c r="A668" s="625">
        <f t="shared" si="58"/>
        <v>30225</v>
      </c>
      <c r="B668" s="555">
        <v>30200</v>
      </c>
      <c r="C668" s="555">
        <v>30250</v>
      </c>
      <c r="D668" s="556">
        <f t="shared" si="54"/>
        <v>3389</v>
      </c>
      <c r="E668" s="556">
        <f t="shared" si="55"/>
        <v>3150</v>
      </c>
      <c r="F668" s="556">
        <f t="shared" si="56"/>
        <v>3389</v>
      </c>
      <c r="G668" s="556">
        <f t="shared" si="57"/>
        <v>3287</v>
      </c>
    </row>
    <row r="669" spans="1:7" ht="15.75">
      <c r="A669" s="625">
        <f t="shared" si="58"/>
        <v>30275</v>
      </c>
      <c r="B669" s="555">
        <v>30250</v>
      </c>
      <c r="C669" s="555">
        <v>30300</v>
      </c>
      <c r="D669" s="556">
        <f t="shared" si="54"/>
        <v>3395</v>
      </c>
      <c r="E669" s="556">
        <f t="shared" si="55"/>
        <v>3156</v>
      </c>
      <c r="F669" s="556">
        <f t="shared" si="56"/>
        <v>3395</v>
      </c>
      <c r="G669" s="556">
        <f t="shared" si="57"/>
        <v>3293</v>
      </c>
    </row>
    <row r="670" spans="1:7" ht="15.75">
      <c r="A670" s="625">
        <f t="shared" si="58"/>
        <v>30325</v>
      </c>
      <c r="B670" s="555">
        <v>30300</v>
      </c>
      <c r="C670" s="555">
        <v>30350</v>
      </c>
      <c r="D670" s="556">
        <f t="shared" si="54"/>
        <v>3401</v>
      </c>
      <c r="E670" s="556">
        <f t="shared" si="55"/>
        <v>3162</v>
      </c>
      <c r="F670" s="556">
        <f t="shared" si="56"/>
        <v>3401</v>
      </c>
      <c r="G670" s="556">
        <f t="shared" si="57"/>
        <v>3299</v>
      </c>
    </row>
    <row r="671" spans="1:7" ht="15.75">
      <c r="A671" s="625">
        <f t="shared" si="58"/>
        <v>30375</v>
      </c>
      <c r="B671" s="555">
        <v>30350</v>
      </c>
      <c r="C671" s="555">
        <v>30400</v>
      </c>
      <c r="D671" s="556">
        <f t="shared" si="54"/>
        <v>3407</v>
      </c>
      <c r="E671" s="556">
        <f t="shared" si="55"/>
        <v>3168</v>
      </c>
      <c r="F671" s="556">
        <f t="shared" si="56"/>
        <v>3407</v>
      </c>
      <c r="G671" s="556">
        <f t="shared" si="57"/>
        <v>3305</v>
      </c>
    </row>
    <row r="672" spans="1:7" ht="15.75">
      <c r="A672" s="625">
        <f t="shared" si="58"/>
        <v>30425</v>
      </c>
      <c r="B672" s="555">
        <v>30400</v>
      </c>
      <c r="C672" s="555">
        <v>30450</v>
      </c>
      <c r="D672" s="556">
        <f t="shared" si="54"/>
        <v>3413</v>
      </c>
      <c r="E672" s="556">
        <f t="shared" si="55"/>
        <v>3174</v>
      </c>
      <c r="F672" s="556">
        <f t="shared" si="56"/>
        <v>3413</v>
      </c>
      <c r="G672" s="556">
        <f t="shared" si="57"/>
        <v>3311</v>
      </c>
    </row>
    <row r="673" spans="1:7" ht="15.75">
      <c r="A673" s="625">
        <f t="shared" si="58"/>
        <v>30475</v>
      </c>
      <c r="B673" s="555">
        <v>30450</v>
      </c>
      <c r="C673" s="555">
        <v>30500</v>
      </c>
      <c r="D673" s="556">
        <f t="shared" si="54"/>
        <v>3419</v>
      </c>
      <c r="E673" s="556">
        <f t="shared" si="55"/>
        <v>3180</v>
      </c>
      <c r="F673" s="556">
        <f t="shared" si="56"/>
        <v>3419</v>
      </c>
      <c r="G673" s="556">
        <f t="shared" si="57"/>
        <v>3317</v>
      </c>
    </row>
    <row r="674" spans="1:7" ht="15.75">
      <c r="A674" s="625">
        <f t="shared" si="58"/>
        <v>30525</v>
      </c>
      <c r="B674" s="555">
        <v>30500</v>
      </c>
      <c r="C674" s="555">
        <v>30550</v>
      </c>
      <c r="D674" s="556">
        <f t="shared" si="54"/>
        <v>3425</v>
      </c>
      <c r="E674" s="556">
        <f t="shared" si="55"/>
        <v>3186</v>
      </c>
      <c r="F674" s="556">
        <f t="shared" si="56"/>
        <v>3425</v>
      </c>
      <c r="G674" s="556">
        <f t="shared" si="57"/>
        <v>3323</v>
      </c>
    </row>
    <row r="675" spans="1:7" ht="15.75">
      <c r="A675" s="625">
        <f t="shared" si="58"/>
        <v>30575</v>
      </c>
      <c r="B675" s="555">
        <v>30550</v>
      </c>
      <c r="C675" s="555">
        <v>30600</v>
      </c>
      <c r="D675" s="556">
        <f t="shared" si="54"/>
        <v>3431</v>
      </c>
      <c r="E675" s="556">
        <f t="shared" si="55"/>
        <v>3192</v>
      </c>
      <c r="F675" s="556">
        <f t="shared" si="56"/>
        <v>3431</v>
      </c>
      <c r="G675" s="556">
        <f t="shared" si="57"/>
        <v>3329</v>
      </c>
    </row>
    <row r="676" spans="1:7" ht="15.75">
      <c r="A676" s="625">
        <f t="shared" si="58"/>
        <v>30625</v>
      </c>
      <c r="B676" s="555">
        <v>30600</v>
      </c>
      <c r="C676" s="555">
        <v>30650</v>
      </c>
      <c r="D676" s="556">
        <f t="shared" si="54"/>
        <v>3437</v>
      </c>
      <c r="E676" s="556">
        <f t="shared" si="55"/>
        <v>3198</v>
      </c>
      <c r="F676" s="556">
        <f t="shared" si="56"/>
        <v>3437</v>
      </c>
      <c r="G676" s="556">
        <f t="shared" si="57"/>
        <v>3335</v>
      </c>
    </row>
    <row r="677" spans="1:7" ht="15.75">
      <c r="A677" s="625">
        <f t="shared" si="58"/>
        <v>30675</v>
      </c>
      <c r="B677" s="555">
        <v>30650</v>
      </c>
      <c r="C677" s="555">
        <v>30700</v>
      </c>
      <c r="D677" s="556">
        <f t="shared" si="54"/>
        <v>3443</v>
      </c>
      <c r="E677" s="556">
        <f t="shared" si="55"/>
        <v>3204</v>
      </c>
      <c r="F677" s="556">
        <f t="shared" si="56"/>
        <v>3443</v>
      </c>
      <c r="G677" s="556">
        <f t="shared" si="57"/>
        <v>3341</v>
      </c>
    </row>
    <row r="678" spans="1:7" ht="15.75">
      <c r="A678" s="625">
        <f t="shared" si="58"/>
        <v>30725</v>
      </c>
      <c r="B678" s="555">
        <v>30700</v>
      </c>
      <c r="C678" s="555">
        <v>30750</v>
      </c>
      <c r="D678" s="556">
        <f t="shared" si="54"/>
        <v>3449</v>
      </c>
      <c r="E678" s="556">
        <f t="shared" si="55"/>
        <v>3210</v>
      </c>
      <c r="F678" s="556">
        <f t="shared" si="56"/>
        <v>3449</v>
      </c>
      <c r="G678" s="556">
        <f t="shared" si="57"/>
        <v>3347</v>
      </c>
    </row>
    <row r="679" spans="1:7" ht="15.75">
      <c r="A679" s="625">
        <f t="shared" si="58"/>
        <v>30775</v>
      </c>
      <c r="B679" s="555">
        <v>30750</v>
      </c>
      <c r="C679" s="555">
        <v>30800</v>
      </c>
      <c r="D679" s="556">
        <f t="shared" si="54"/>
        <v>3455</v>
      </c>
      <c r="E679" s="556">
        <f t="shared" si="55"/>
        <v>3216</v>
      </c>
      <c r="F679" s="556">
        <f t="shared" si="56"/>
        <v>3455</v>
      </c>
      <c r="G679" s="556">
        <f t="shared" si="57"/>
        <v>3353</v>
      </c>
    </row>
    <row r="680" spans="1:7" ht="15.75">
      <c r="A680" s="625">
        <f t="shared" si="58"/>
        <v>30825</v>
      </c>
      <c r="B680" s="555">
        <v>30800</v>
      </c>
      <c r="C680" s="555">
        <v>30850</v>
      </c>
      <c r="D680" s="556">
        <f t="shared" si="54"/>
        <v>3461</v>
      </c>
      <c r="E680" s="556">
        <f t="shared" si="55"/>
        <v>3222</v>
      </c>
      <c r="F680" s="556">
        <f t="shared" si="56"/>
        <v>3461</v>
      </c>
      <c r="G680" s="556">
        <f t="shared" si="57"/>
        <v>3359</v>
      </c>
    </row>
    <row r="681" spans="1:7" ht="15.75">
      <c r="A681" s="625">
        <f t="shared" si="58"/>
        <v>30875</v>
      </c>
      <c r="B681" s="555">
        <v>30850</v>
      </c>
      <c r="C681" s="555">
        <v>30900</v>
      </c>
      <c r="D681" s="556">
        <f t="shared" si="54"/>
        <v>3467</v>
      </c>
      <c r="E681" s="556">
        <f t="shared" si="55"/>
        <v>3228</v>
      </c>
      <c r="F681" s="556">
        <f t="shared" si="56"/>
        <v>3467</v>
      </c>
      <c r="G681" s="556">
        <f t="shared" si="57"/>
        <v>3365</v>
      </c>
    </row>
    <row r="682" spans="1:7" ht="15.75">
      <c r="A682" s="625">
        <f t="shared" si="58"/>
        <v>30925</v>
      </c>
      <c r="B682" s="555">
        <v>30900</v>
      </c>
      <c r="C682" s="555">
        <v>30950</v>
      </c>
      <c r="D682" s="556">
        <f t="shared" si="54"/>
        <v>3473</v>
      </c>
      <c r="E682" s="556">
        <f t="shared" si="55"/>
        <v>3234</v>
      </c>
      <c r="F682" s="556">
        <f t="shared" si="56"/>
        <v>3473</v>
      </c>
      <c r="G682" s="556">
        <f t="shared" si="57"/>
        <v>3371</v>
      </c>
    </row>
    <row r="683" spans="1:7" ht="15.75">
      <c r="A683" s="625">
        <f t="shared" si="58"/>
        <v>30975</v>
      </c>
      <c r="B683" s="555">
        <v>30950</v>
      </c>
      <c r="C683" s="555">
        <v>31000</v>
      </c>
      <c r="D683" s="556">
        <f t="shared" si="54"/>
        <v>3479</v>
      </c>
      <c r="E683" s="556">
        <f t="shared" si="55"/>
        <v>3240</v>
      </c>
      <c r="F683" s="556">
        <f t="shared" si="56"/>
        <v>3479</v>
      </c>
      <c r="G683" s="556">
        <f t="shared" si="57"/>
        <v>3377</v>
      </c>
    </row>
    <row r="684" spans="1:7" ht="15.75">
      <c r="A684" s="625">
        <f t="shared" si="58"/>
        <v>31025</v>
      </c>
      <c r="B684" s="555">
        <v>31000</v>
      </c>
      <c r="C684" s="555">
        <v>31050</v>
      </c>
      <c r="D684" s="556">
        <f t="shared" si="54"/>
        <v>3485</v>
      </c>
      <c r="E684" s="556">
        <f t="shared" si="55"/>
        <v>3246</v>
      </c>
      <c r="F684" s="556">
        <f t="shared" si="56"/>
        <v>3485</v>
      </c>
      <c r="G684" s="556">
        <f t="shared" si="57"/>
        <v>3383</v>
      </c>
    </row>
    <row r="685" spans="1:7" ht="15.75">
      <c r="A685" s="625">
        <f t="shared" si="58"/>
        <v>31075</v>
      </c>
      <c r="B685" s="555">
        <v>31050</v>
      </c>
      <c r="C685" s="555">
        <v>31100</v>
      </c>
      <c r="D685" s="556">
        <f t="shared" si="54"/>
        <v>3491</v>
      </c>
      <c r="E685" s="556">
        <f t="shared" si="55"/>
        <v>3252</v>
      </c>
      <c r="F685" s="556">
        <f t="shared" si="56"/>
        <v>3491</v>
      </c>
      <c r="G685" s="556">
        <f t="shared" si="57"/>
        <v>3389</v>
      </c>
    </row>
    <row r="686" spans="1:7" ht="15.75">
      <c r="A686" s="625">
        <f t="shared" si="58"/>
        <v>31125</v>
      </c>
      <c r="B686" s="555">
        <v>31100</v>
      </c>
      <c r="C686" s="555">
        <v>31150</v>
      </c>
      <c r="D686" s="556">
        <f t="shared" si="54"/>
        <v>3497</v>
      </c>
      <c r="E686" s="556">
        <f t="shared" si="55"/>
        <v>3258</v>
      </c>
      <c r="F686" s="556">
        <f t="shared" si="56"/>
        <v>3497</v>
      </c>
      <c r="G686" s="556">
        <f t="shared" si="57"/>
        <v>3395</v>
      </c>
    </row>
    <row r="687" spans="1:7" ht="15.75">
      <c r="A687" s="625">
        <f t="shared" si="58"/>
        <v>31175</v>
      </c>
      <c r="B687" s="555">
        <v>31150</v>
      </c>
      <c r="C687" s="555">
        <v>31200</v>
      </c>
      <c r="D687" s="556">
        <f t="shared" si="54"/>
        <v>3503</v>
      </c>
      <c r="E687" s="556">
        <f t="shared" si="55"/>
        <v>3264</v>
      </c>
      <c r="F687" s="556">
        <f t="shared" si="56"/>
        <v>3503</v>
      </c>
      <c r="G687" s="556">
        <f t="shared" si="57"/>
        <v>3401</v>
      </c>
    </row>
    <row r="688" spans="1:7" ht="15.75">
      <c r="A688" s="625">
        <f t="shared" si="58"/>
        <v>31225</v>
      </c>
      <c r="B688" s="555">
        <v>31200</v>
      </c>
      <c r="C688" s="555">
        <v>31250</v>
      </c>
      <c r="D688" s="556">
        <f t="shared" si="54"/>
        <v>3509</v>
      </c>
      <c r="E688" s="556">
        <f t="shared" si="55"/>
        <v>3270</v>
      </c>
      <c r="F688" s="556">
        <f t="shared" si="56"/>
        <v>3509</v>
      </c>
      <c r="G688" s="556">
        <f t="shared" si="57"/>
        <v>3407</v>
      </c>
    </row>
    <row r="689" spans="1:7" ht="15.75">
      <c r="A689" s="625">
        <f t="shared" si="58"/>
        <v>31275</v>
      </c>
      <c r="B689" s="555">
        <v>31250</v>
      </c>
      <c r="C689" s="555">
        <v>31300</v>
      </c>
      <c r="D689" s="556">
        <f t="shared" si="54"/>
        <v>3515</v>
      </c>
      <c r="E689" s="556">
        <f t="shared" si="55"/>
        <v>3276</v>
      </c>
      <c r="F689" s="556">
        <f t="shared" si="56"/>
        <v>3515</v>
      </c>
      <c r="G689" s="556">
        <f t="shared" si="57"/>
        <v>3413</v>
      </c>
    </row>
    <row r="690" spans="1:7" ht="15.75">
      <c r="A690" s="625">
        <f t="shared" si="58"/>
        <v>31325</v>
      </c>
      <c r="B690" s="555">
        <v>31300</v>
      </c>
      <c r="C690" s="555">
        <v>31350</v>
      </c>
      <c r="D690" s="556">
        <f t="shared" si="54"/>
        <v>3521</v>
      </c>
      <c r="E690" s="556">
        <f t="shared" si="55"/>
        <v>3282</v>
      </c>
      <c r="F690" s="556">
        <f t="shared" si="56"/>
        <v>3521</v>
      </c>
      <c r="G690" s="556">
        <f t="shared" si="57"/>
        <v>3419</v>
      </c>
    </row>
    <row r="691" spans="1:7" ht="15.75">
      <c r="A691" s="625">
        <f t="shared" si="58"/>
        <v>31375</v>
      </c>
      <c r="B691" s="555">
        <v>31350</v>
      </c>
      <c r="C691" s="555">
        <v>31400</v>
      </c>
      <c r="D691" s="556">
        <f t="shared" si="54"/>
        <v>3527</v>
      </c>
      <c r="E691" s="556">
        <f t="shared" si="55"/>
        <v>3288</v>
      </c>
      <c r="F691" s="556">
        <f t="shared" si="56"/>
        <v>3527</v>
      </c>
      <c r="G691" s="556">
        <f t="shared" si="57"/>
        <v>3425</v>
      </c>
    </row>
    <row r="692" spans="1:7" ht="15.75">
      <c r="A692" s="625">
        <f t="shared" si="58"/>
        <v>31425</v>
      </c>
      <c r="B692" s="555">
        <v>31400</v>
      </c>
      <c r="C692" s="555">
        <v>31450</v>
      </c>
      <c r="D692" s="556">
        <f t="shared" si="54"/>
        <v>3533</v>
      </c>
      <c r="E692" s="556">
        <f t="shared" si="55"/>
        <v>3294</v>
      </c>
      <c r="F692" s="556">
        <f t="shared" si="56"/>
        <v>3533</v>
      </c>
      <c r="G692" s="556">
        <f t="shared" si="57"/>
        <v>3431</v>
      </c>
    </row>
    <row r="693" spans="1:7" ht="15.75">
      <c r="A693" s="625">
        <f t="shared" si="58"/>
        <v>31475</v>
      </c>
      <c r="B693" s="555">
        <v>31450</v>
      </c>
      <c r="C693" s="555">
        <v>31500</v>
      </c>
      <c r="D693" s="556">
        <f t="shared" si="54"/>
        <v>3539</v>
      </c>
      <c r="E693" s="556">
        <f t="shared" si="55"/>
        <v>3300</v>
      </c>
      <c r="F693" s="556">
        <f t="shared" si="56"/>
        <v>3539</v>
      </c>
      <c r="G693" s="556">
        <f t="shared" si="57"/>
        <v>3437</v>
      </c>
    </row>
    <row r="694" spans="1:7" ht="15.75">
      <c r="A694" s="625">
        <f t="shared" si="58"/>
        <v>31525</v>
      </c>
      <c r="B694" s="555">
        <v>31500</v>
      </c>
      <c r="C694" s="555">
        <v>31550</v>
      </c>
      <c r="D694" s="556">
        <f t="shared" si="54"/>
        <v>3545</v>
      </c>
      <c r="E694" s="556">
        <f t="shared" si="55"/>
        <v>3306</v>
      </c>
      <c r="F694" s="556">
        <f t="shared" si="56"/>
        <v>3545</v>
      </c>
      <c r="G694" s="556">
        <f t="shared" si="57"/>
        <v>3443</v>
      </c>
    </row>
    <row r="695" spans="1:7" ht="15.75">
      <c r="A695" s="625">
        <f t="shared" si="58"/>
        <v>31575</v>
      </c>
      <c r="B695" s="555">
        <v>31550</v>
      </c>
      <c r="C695" s="555">
        <v>31600</v>
      </c>
      <c r="D695" s="556">
        <f t="shared" si="54"/>
        <v>3551</v>
      </c>
      <c r="E695" s="556">
        <f t="shared" si="55"/>
        <v>3312</v>
      </c>
      <c r="F695" s="556">
        <f t="shared" si="56"/>
        <v>3551</v>
      </c>
      <c r="G695" s="556">
        <f t="shared" si="57"/>
        <v>3449</v>
      </c>
    </row>
    <row r="696" spans="1:7" ht="15.75">
      <c r="A696" s="625">
        <f t="shared" si="58"/>
        <v>31625</v>
      </c>
      <c r="B696" s="555">
        <v>31600</v>
      </c>
      <c r="C696" s="555">
        <v>31650</v>
      </c>
      <c r="D696" s="556">
        <f t="shared" si="54"/>
        <v>3557</v>
      </c>
      <c r="E696" s="556">
        <f t="shared" si="55"/>
        <v>3318</v>
      </c>
      <c r="F696" s="556">
        <f t="shared" si="56"/>
        <v>3557</v>
      </c>
      <c r="G696" s="556">
        <f t="shared" si="57"/>
        <v>3455</v>
      </c>
    </row>
    <row r="697" spans="1:7" ht="15.75">
      <c r="A697" s="625">
        <f t="shared" si="58"/>
        <v>31675</v>
      </c>
      <c r="B697" s="555">
        <v>31650</v>
      </c>
      <c r="C697" s="555">
        <v>31700</v>
      </c>
      <c r="D697" s="556">
        <f t="shared" si="54"/>
        <v>3563</v>
      </c>
      <c r="E697" s="556">
        <f t="shared" si="55"/>
        <v>3324</v>
      </c>
      <c r="F697" s="556">
        <f t="shared" si="56"/>
        <v>3563</v>
      </c>
      <c r="G697" s="556">
        <f t="shared" si="57"/>
        <v>3461</v>
      </c>
    </row>
    <row r="698" spans="1:7" ht="15.75">
      <c r="A698" s="625">
        <f t="shared" si="58"/>
        <v>31725</v>
      </c>
      <c r="B698" s="555">
        <v>31700</v>
      </c>
      <c r="C698" s="555">
        <v>31750</v>
      </c>
      <c r="D698" s="556">
        <f t="shared" si="54"/>
        <v>3569</v>
      </c>
      <c r="E698" s="556">
        <f t="shared" si="55"/>
        <v>3330</v>
      </c>
      <c r="F698" s="556">
        <f t="shared" si="56"/>
        <v>3569</v>
      </c>
      <c r="G698" s="556">
        <f t="shared" si="57"/>
        <v>3467</v>
      </c>
    </row>
    <row r="699" spans="1:7" ht="15.75">
      <c r="A699" s="625">
        <f t="shared" si="58"/>
        <v>31775</v>
      </c>
      <c r="B699" s="555">
        <v>31750</v>
      </c>
      <c r="C699" s="555">
        <v>31800</v>
      </c>
      <c r="D699" s="556">
        <f t="shared" si="54"/>
        <v>3575</v>
      </c>
      <c r="E699" s="556">
        <f t="shared" si="55"/>
        <v>3336</v>
      </c>
      <c r="F699" s="556">
        <f t="shared" si="56"/>
        <v>3575</v>
      </c>
      <c r="G699" s="556">
        <f t="shared" si="57"/>
        <v>3473</v>
      </c>
    </row>
    <row r="700" spans="1:7" ht="15.75">
      <c r="A700" s="625">
        <f t="shared" si="58"/>
        <v>31825</v>
      </c>
      <c r="B700" s="555">
        <v>31800</v>
      </c>
      <c r="C700" s="555">
        <v>31850</v>
      </c>
      <c r="D700" s="556">
        <f t="shared" si="54"/>
        <v>3581</v>
      </c>
      <c r="E700" s="556">
        <f t="shared" si="55"/>
        <v>3342</v>
      </c>
      <c r="F700" s="556">
        <f t="shared" si="56"/>
        <v>3581</v>
      </c>
      <c r="G700" s="556">
        <f t="shared" si="57"/>
        <v>3479</v>
      </c>
    </row>
    <row r="701" spans="1:7" ht="15.75">
      <c r="A701" s="625">
        <f t="shared" si="58"/>
        <v>31875</v>
      </c>
      <c r="B701" s="555">
        <v>31850</v>
      </c>
      <c r="C701" s="555">
        <v>31900</v>
      </c>
      <c r="D701" s="556">
        <f t="shared" si="54"/>
        <v>3587</v>
      </c>
      <c r="E701" s="556">
        <f t="shared" si="55"/>
        <v>3348</v>
      </c>
      <c r="F701" s="556">
        <f t="shared" si="56"/>
        <v>3587</v>
      </c>
      <c r="G701" s="556">
        <f t="shared" si="57"/>
        <v>3485</v>
      </c>
    </row>
    <row r="702" spans="1:7" ht="15.75">
      <c r="A702" s="625">
        <f t="shared" si="58"/>
        <v>31925</v>
      </c>
      <c r="B702" s="555">
        <v>31900</v>
      </c>
      <c r="C702" s="555">
        <v>31950</v>
      </c>
      <c r="D702" s="556">
        <f t="shared" si="54"/>
        <v>3593</v>
      </c>
      <c r="E702" s="556">
        <f t="shared" si="55"/>
        <v>3354</v>
      </c>
      <c r="F702" s="556">
        <f t="shared" si="56"/>
        <v>3593</v>
      </c>
      <c r="G702" s="556">
        <f t="shared" si="57"/>
        <v>3491</v>
      </c>
    </row>
    <row r="703" spans="1:7" ht="15.75">
      <c r="A703" s="625">
        <f t="shared" si="58"/>
        <v>31975</v>
      </c>
      <c r="B703" s="555">
        <v>31950</v>
      </c>
      <c r="C703" s="555">
        <v>32000</v>
      </c>
      <c r="D703" s="556">
        <f t="shared" si="54"/>
        <v>3599</v>
      </c>
      <c r="E703" s="556">
        <f t="shared" si="55"/>
        <v>3360</v>
      </c>
      <c r="F703" s="556">
        <f t="shared" si="56"/>
        <v>3599</v>
      </c>
      <c r="G703" s="556">
        <f t="shared" si="57"/>
        <v>3497</v>
      </c>
    </row>
    <row r="704" spans="1:7" ht="15.75">
      <c r="A704" s="625">
        <f t="shared" si="58"/>
        <v>32025</v>
      </c>
      <c r="B704" s="555">
        <v>32000</v>
      </c>
      <c r="C704" s="555">
        <v>32050</v>
      </c>
      <c r="D704" s="556">
        <f t="shared" si="54"/>
        <v>3605</v>
      </c>
      <c r="E704" s="556">
        <f t="shared" si="55"/>
        <v>3366</v>
      </c>
      <c r="F704" s="556">
        <f t="shared" si="56"/>
        <v>3605</v>
      </c>
      <c r="G704" s="556">
        <f t="shared" si="57"/>
        <v>3503</v>
      </c>
    </row>
    <row r="705" spans="1:7" ht="15.75">
      <c r="A705" s="625">
        <f t="shared" si="58"/>
        <v>32075</v>
      </c>
      <c r="B705" s="555">
        <v>32050</v>
      </c>
      <c r="C705" s="555">
        <v>32100</v>
      </c>
      <c r="D705" s="556">
        <f t="shared" si="54"/>
        <v>3611</v>
      </c>
      <c r="E705" s="556">
        <f t="shared" si="55"/>
        <v>3372</v>
      </c>
      <c r="F705" s="556">
        <f t="shared" si="56"/>
        <v>3611</v>
      </c>
      <c r="G705" s="556">
        <f t="shared" si="57"/>
        <v>3509</v>
      </c>
    </row>
    <row r="706" spans="1:7" ht="15.75">
      <c r="A706" s="625">
        <f t="shared" si="58"/>
        <v>32125</v>
      </c>
      <c r="B706" s="555">
        <v>32100</v>
      </c>
      <c r="C706" s="555">
        <v>32150</v>
      </c>
      <c r="D706" s="556">
        <f t="shared" ref="D706:D769" si="59">IF($A706&gt;BOTT_A4,ROUND(BASE_A4+RATE_A4*($A706-BOTT_A4),0),IF($A706&gt;BOTT_A3,ROUND(BASE_A3+RATE_A3*($A706-BOTT_A3),0),IF($A706&gt;BOTT_A2,ROUND(BASE_A2+RATE_A2*($A706-BOTT_A2),0),ROUND(RATE_A1*$A706,0))))</f>
        <v>3617</v>
      </c>
      <c r="E706" s="556">
        <f t="shared" ref="E706:E769" si="60">IF($A706&gt;BOTT_B4,ROUND(BASE_B4+RATE_B4*($A706-BOTT_B4),0),IF($A706&gt;BOTT_B3,ROUND(BASE_B3+RATE_B3*($A706-BOTT_B3),0),IF($A706&gt;BOTT_B2,ROUND(BASE_B2+RATE_B2*($A706-BOTT_B2),0),ROUND(RATE_B1*$A706,0))))</f>
        <v>3378</v>
      </c>
      <c r="F706" s="556">
        <f t="shared" ref="F706:F769" si="61">IF($A706&gt;BOTT_C4,ROUND(BASE_C4+RATE_C4*($A706-BOTT_C4),0),IF($A706&gt;BOTT_C3,ROUND(BASE_C3+RATE_C3*($A706-BOTT_C3),0),IF($A706&gt;BOTT_C2,ROUND(BASE_C2+RATE_C2*($A706-BOTT_C2),0),ROUND(RATE_C1*$A706,0))))</f>
        <v>3617</v>
      </c>
      <c r="G706" s="556">
        <f t="shared" ref="G706:G769" si="62">IF($A706&gt;BOTT_D4,ROUND(BASE_D4+RATE_D4*($A706-BOTT_D4),0),IF($A706&gt;BOTT_D3,ROUND(BASE_D3+RATE_D3*($A706-BOTT_D3),0),IF($A706&gt;BOTT_D2,ROUND(BASE_D2+RATE_D2*($A706-BOTT_D2),0),ROUND(RATE_D1*$A706,0))))</f>
        <v>3515</v>
      </c>
    </row>
    <row r="707" spans="1:7" ht="15.75">
      <c r="A707" s="625">
        <f t="shared" ref="A707:A770" si="63">AVERAGE(B707,C707)</f>
        <v>32175</v>
      </c>
      <c r="B707" s="555">
        <v>32150</v>
      </c>
      <c r="C707" s="555">
        <v>32200</v>
      </c>
      <c r="D707" s="556">
        <f t="shared" si="59"/>
        <v>3623</v>
      </c>
      <c r="E707" s="556">
        <f t="shared" si="60"/>
        <v>3384</v>
      </c>
      <c r="F707" s="556">
        <f t="shared" si="61"/>
        <v>3623</v>
      </c>
      <c r="G707" s="556">
        <f t="shared" si="62"/>
        <v>3521</v>
      </c>
    </row>
    <row r="708" spans="1:7" ht="15.75">
      <c r="A708" s="625">
        <f t="shared" si="63"/>
        <v>32225</v>
      </c>
      <c r="B708" s="555">
        <v>32200</v>
      </c>
      <c r="C708" s="555">
        <v>32250</v>
      </c>
      <c r="D708" s="556">
        <f t="shared" si="59"/>
        <v>3629</v>
      </c>
      <c r="E708" s="556">
        <f t="shared" si="60"/>
        <v>3390</v>
      </c>
      <c r="F708" s="556">
        <f t="shared" si="61"/>
        <v>3629</v>
      </c>
      <c r="G708" s="556">
        <f t="shared" si="62"/>
        <v>3527</v>
      </c>
    </row>
    <row r="709" spans="1:7" ht="15.75">
      <c r="A709" s="625">
        <f t="shared" si="63"/>
        <v>32275</v>
      </c>
      <c r="B709" s="555">
        <v>32250</v>
      </c>
      <c r="C709" s="555">
        <v>32300</v>
      </c>
      <c r="D709" s="556">
        <f t="shared" si="59"/>
        <v>3635</v>
      </c>
      <c r="E709" s="556">
        <f t="shared" si="60"/>
        <v>3396</v>
      </c>
      <c r="F709" s="556">
        <f t="shared" si="61"/>
        <v>3635</v>
      </c>
      <c r="G709" s="556">
        <f t="shared" si="62"/>
        <v>3533</v>
      </c>
    </row>
    <row r="710" spans="1:7" ht="15.75">
      <c r="A710" s="625">
        <f t="shared" si="63"/>
        <v>32325</v>
      </c>
      <c r="B710" s="555">
        <v>32300</v>
      </c>
      <c r="C710" s="555">
        <v>32350</v>
      </c>
      <c r="D710" s="556">
        <f t="shared" si="59"/>
        <v>3641</v>
      </c>
      <c r="E710" s="556">
        <f t="shared" si="60"/>
        <v>3402</v>
      </c>
      <c r="F710" s="556">
        <f t="shared" si="61"/>
        <v>3641</v>
      </c>
      <c r="G710" s="556">
        <f t="shared" si="62"/>
        <v>3539</v>
      </c>
    </row>
    <row r="711" spans="1:7" ht="15.75">
      <c r="A711" s="625">
        <f t="shared" si="63"/>
        <v>32375</v>
      </c>
      <c r="B711" s="555">
        <v>32350</v>
      </c>
      <c r="C711" s="555">
        <v>32400</v>
      </c>
      <c r="D711" s="556">
        <f t="shared" si="59"/>
        <v>3647</v>
      </c>
      <c r="E711" s="556">
        <f t="shared" si="60"/>
        <v>3408</v>
      </c>
      <c r="F711" s="556">
        <f t="shared" si="61"/>
        <v>3647</v>
      </c>
      <c r="G711" s="556">
        <f t="shared" si="62"/>
        <v>3545</v>
      </c>
    </row>
    <row r="712" spans="1:7" ht="15.75">
      <c r="A712" s="625">
        <f t="shared" si="63"/>
        <v>32425</v>
      </c>
      <c r="B712" s="555">
        <v>32400</v>
      </c>
      <c r="C712" s="555">
        <v>32450</v>
      </c>
      <c r="D712" s="556">
        <f t="shared" si="59"/>
        <v>3653</v>
      </c>
      <c r="E712" s="556">
        <f t="shared" si="60"/>
        <v>3414</v>
      </c>
      <c r="F712" s="556">
        <f t="shared" si="61"/>
        <v>3653</v>
      </c>
      <c r="G712" s="556">
        <f t="shared" si="62"/>
        <v>3551</v>
      </c>
    </row>
    <row r="713" spans="1:7" ht="15.75">
      <c r="A713" s="625">
        <f t="shared" si="63"/>
        <v>32475</v>
      </c>
      <c r="B713" s="555">
        <v>32450</v>
      </c>
      <c r="C713" s="555">
        <v>32500</v>
      </c>
      <c r="D713" s="556">
        <f t="shared" si="59"/>
        <v>3659</v>
      </c>
      <c r="E713" s="556">
        <f t="shared" si="60"/>
        <v>3420</v>
      </c>
      <c r="F713" s="556">
        <f t="shared" si="61"/>
        <v>3659</v>
      </c>
      <c r="G713" s="556">
        <f t="shared" si="62"/>
        <v>3557</v>
      </c>
    </row>
    <row r="714" spans="1:7" ht="15.75">
      <c r="A714" s="625">
        <f t="shared" si="63"/>
        <v>32525</v>
      </c>
      <c r="B714" s="555">
        <v>32500</v>
      </c>
      <c r="C714" s="555">
        <v>32550</v>
      </c>
      <c r="D714" s="556">
        <f t="shared" si="59"/>
        <v>3665</v>
      </c>
      <c r="E714" s="556">
        <f t="shared" si="60"/>
        <v>3426</v>
      </c>
      <c r="F714" s="556">
        <f t="shared" si="61"/>
        <v>3665</v>
      </c>
      <c r="G714" s="556">
        <f t="shared" si="62"/>
        <v>3563</v>
      </c>
    </row>
    <row r="715" spans="1:7" ht="15.75">
      <c r="A715" s="625">
        <f t="shared" si="63"/>
        <v>32575</v>
      </c>
      <c r="B715" s="555">
        <v>32550</v>
      </c>
      <c r="C715" s="555">
        <v>32600</v>
      </c>
      <c r="D715" s="556">
        <f t="shared" si="59"/>
        <v>3671</v>
      </c>
      <c r="E715" s="556">
        <f t="shared" si="60"/>
        <v>3432</v>
      </c>
      <c r="F715" s="556">
        <f t="shared" si="61"/>
        <v>3671</v>
      </c>
      <c r="G715" s="556">
        <f t="shared" si="62"/>
        <v>3569</v>
      </c>
    </row>
    <row r="716" spans="1:7" ht="15.75">
      <c r="A716" s="625">
        <f t="shared" si="63"/>
        <v>32625</v>
      </c>
      <c r="B716" s="555">
        <v>32600</v>
      </c>
      <c r="C716" s="555">
        <v>32650</v>
      </c>
      <c r="D716" s="556">
        <f t="shared" si="59"/>
        <v>3677</v>
      </c>
      <c r="E716" s="556">
        <f t="shared" si="60"/>
        <v>3438</v>
      </c>
      <c r="F716" s="556">
        <f t="shared" si="61"/>
        <v>3677</v>
      </c>
      <c r="G716" s="556">
        <f t="shared" si="62"/>
        <v>3575</v>
      </c>
    </row>
    <row r="717" spans="1:7" ht="15.75">
      <c r="A717" s="625">
        <f t="shared" si="63"/>
        <v>32675</v>
      </c>
      <c r="B717" s="555">
        <v>32650</v>
      </c>
      <c r="C717" s="555">
        <v>32700</v>
      </c>
      <c r="D717" s="556">
        <f t="shared" si="59"/>
        <v>3683</v>
      </c>
      <c r="E717" s="556">
        <f t="shared" si="60"/>
        <v>3444</v>
      </c>
      <c r="F717" s="556">
        <f t="shared" si="61"/>
        <v>3683</v>
      </c>
      <c r="G717" s="556">
        <f t="shared" si="62"/>
        <v>3581</v>
      </c>
    </row>
    <row r="718" spans="1:7" ht="15.75">
      <c r="A718" s="625">
        <f t="shared" si="63"/>
        <v>32725</v>
      </c>
      <c r="B718" s="555">
        <v>32700</v>
      </c>
      <c r="C718" s="555">
        <v>32750</v>
      </c>
      <c r="D718" s="556">
        <f t="shared" si="59"/>
        <v>3689</v>
      </c>
      <c r="E718" s="556">
        <f t="shared" si="60"/>
        <v>3450</v>
      </c>
      <c r="F718" s="556">
        <f t="shared" si="61"/>
        <v>3689</v>
      </c>
      <c r="G718" s="556">
        <f t="shared" si="62"/>
        <v>3587</v>
      </c>
    </row>
    <row r="719" spans="1:7" ht="15.75">
      <c r="A719" s="625">
        <f t="shared" si="63"/>
        <v>32775</v>
      </c>
      <c r="B719" s="555">
        <v>32750</v>
      </c>
      <c r="C719" s="555">
        <v>32800</v>
      </c>
      <c r="D719" s="556">
        <f t="shared" si="59"/>
        <v>3695</v>
      </c>
      <c r="E719" s="556">
        <f t="shared" si="60"/>
        <v>3456</v>
      </c>
      <c r="F719" s="556">
        <f t="shared" si="61"/>
        <v>3695</v>
      </c>
      <c r="G719" s="556">
        <f t="shared" si="62"/>
        <v>3593</v>
      </c>
    </row>
    <row r="720" spans="1:7" ht="15.75">
      <c r="A720" s="625">
        <f t="shared" si="63"/>
        <v>32825</v>
      </c>
      <c r="B720" s="555">
        <v>32800</v>
      </c>
      <c r="C720" s="555">
        <v>32850</v>
      </c>
      <c r="D720" s="556">
        <f t="shared" si="59"/>
        <v>3701</v>
      </c>
      <c r="E720" s="556">
        <f t="shared" si="60"/>
        <v>3462</v>
      </c>
      <c r="F720" s="556">
        <f t="shared" si="61"/>
        <v>3701</v>
      </c>
      <c r="G720" s="556">
        <f t="shared" si="62"/>
        <v>3599</v>
      </c>
    </row>
    <row r="721" spans="1:7" ht="15.75">
      <c r="A721" s="625">
        <f t="shared" si="63"/>
        <v>32875</v>
      </c>
      <c r="B721" s="555">
        <v>32850</v>
      </c>
      <c r="C721" s="555">
        <v>32900</v>
      </c>
      <c r="D721" s="556">
        <f t="shared" si="59"/>
        <v>3707</v>
      </c>
      <c r="E721" s="556">
        <f t="shared" si="60"/>
        <v>3468</v>
      </c>
      <c r="F721" s="556">
        <f t="shared" si="61"/>
        <v>3707</v>
      </c>
      <c r="G721" s="556">
        <f t="shared" si="62"/>
        <v>3605</v>
      </c>
    </row>
    <row r="722" spans="1:7" ht="15.75">
      <c r="A722" s="625">
        <f t="shared" si="63"/>
        <v>32925</v>
      </c>
      <c r="B722" s="555">
        <v>32900</v>
      </c>
      <c r="C722" s="555">
        <v>32950</v>
      </c>
      <c r="D722" s="556">
        <f t="shared" si="59"/>
        <v>3713</v>
      </c>
      <c r="E722" s="556">
        <f t="shared" si="60"/>
        <v>3474</v>
      </c>
      <c r="F722" s="556">
        <f t="shared" si="61"/>
        <v>3713</v>
      </c>
      <c r="G722" s="556">
        <f t="shared" si="62"/>
        <v>3611</v>
      </c>
    </row>
    <row r="723" spans="1:7" ht="15.75">
      <c r="A723" s="625">
        <f t="shared" si="63"/>
        <v>32975</v>
      </c>
      <c r="B723" s="555">
        <v>32950</v>
      </c>
      <c r="C723" s="555">
        <v>33000</v>
      </c>
      <c r="D723" s="556">
        <f t="shared" si="59"/>
        <v>3719</v>
      </c>
      <c r="E723" s="556">
        <f t="shared" si="60"/>
        <v>3480</v>
      </c>
      <c r="F723" s="556">
        <f t="shared" si="61"/>
        <v>3719</v>
      </c>
      <c r="G723" s="556">
        <f t="shared" si="62"/>
        <v>3617</v>
      </c>
    </row>
    <row r="724" spans="1:7" ht="15.75">
      <c r="A724" s="625">
        <f t="shared" si="63"/>
        <v>33025</v>
      </c>
      <c r="B724" s="555">
        <v>33000</v>
      </c>
      <c r="C724" s="555">
        <v>33050</v>
      </c>
      <c r="D724" s="556">
        <f t="shared" si="59"/>
        <v>3725</v>
      </c>
      <c r="E724" s="556">
        <f t="shared" si="60"/>
        <v>3486</v>
      </c>
      <c r="F724" s="556">
        <f t="shared" si="61"/>
        <v>3725</v>
      </c>
      <c r="G724" s="556">
        <f t="shared" si="62"/>
        <v>3623</v>
      </c>
    </row>
    <row r="725" spans="1:7" ht="15.75">
      <c r="A725" s="625">
        <f t="shared" si="63"/>
        <v>33075</v>
      </c>
      <c r="B725" s="555">
        <v>33050</v>
      </c>
      <c r="C725" s="555">
        <v>33100</v>
      </c>
      <c r="D725" s="556">
        <f t="shared" si="59"/>
        <v>3731</v>
      </c>
      <c r="E725" s="556">
        <f t="shared" si="60"/>
        <v>3492</v>
      </c>
      <c r="F725" s="556">
        <f t="shared" si="61"/>
        <v>3731</v>
      </c>
      <c r="G725" s="556">
        <f t="shared" si="62"/>
        <v>3629</v>
      </c>
    </row>
    <row r="726" spans="1:7" ht="15.75">
      <c r="A726" s="625">
        <f t="shared" si="63"/>
        <v>33125</v>
      </c>
      <c r="B726" s="555">
        <v>33100</v>
      </c>
      <c r="C726" s="555">
        <v>33150</v>
      </c>
      <c r="D726" s="556">
        <f t="shared" si="59"/>
        <v>3737</v>
      </c>
      <c r="E726" s="556">
        <f t="shared" si="60"/>
        <v>3498</v>
      </c>
      <c r="F726" s="556">
        <f t="shared" si="61"/>
        <v>3737</v>
      </c>
      <c r="G726" s="556">
        <f t="shared" si="62"/>
        <v>3635</v>
      </c>
    </row>
    <row r="727" spans="1:7" ht="15.75">
      <c r="A727" s="625">
        <f t="shared" si="63"/>
        <v>33175</v>
      </c>
      <c r="B727" s="555">
        <v>33150</v>
      </c>
      <c r="C727" s="555">
        <v>33200</v>
      </c>
      <c r="D727" s="556">
        <f t="shared" si="59"/>
        <v>3743</v>
      </c>
      <c r="E727" s="556">
        <f t="shared" si="60"/>
        <v>3504</v>
      </c>
      <c r="F727" s="556">
        <f t="shared" si="61"/>
        <v>3743</v>
      </c>
      <c r="G727" s="556">
        <f t="shared" si="62"/>
        <v>3641</v>
      </c>
    </row>
    <row r="728" spans="1:7" ht="15.75">
      <c r="A728" s="625">
        <f t="shared" si="63"/>
        <v>33225</v>
      </c>
      <c r="B728" s="555">
        <v>33200</v>
      </c>
      <c r="C728" s="555">
        <v>33250</v>
      </c>
      <c r="D728" s="556">
        <f t="shared" si="59"/>
        <v>3749</v>
      </c>
      <c r="E728" s="556">
        <f t="shared" si="60"/>
        <v>3510</v>
      </c>
      <c r="F728" s="556">
        <f t="shared" si="61"/>
        <v>3749</v>
      </c>
      <c r="G728" s="556">
        <f t="shared" si="62"/>
        <v>3647</v>
      </c>
    </row>
    <row r="729" spans="1:7" ht="15.75">
      <c r="A729" s="625">
        <f t="shared" si="63"/>
        <v>33275</v>
      </c>
      <c r="B729" s="555">
        <v>33250</v>
      </c>
      <c r="C729" s="555">
        <v>33300</v>
      </c>
      <c r="D729" s="556">
        <f t="shared" si="59"/>
        <v>3755</v>
      </c>
      <c r="E729" s="556">
        <f t="shared" si="60"/>
        <v>3516</v>
      </c>
      <c r="F729" s="556">
        <f t="shared" si="61"/>
        <v>3755</v>
      </c>
      <c r="G729" s="556">
        <f t="shared" si="62"/>
        <v>3653</v>
      </c>
    </row>
    <row r="730" spans="1:7" ht="15.75">
      <c r="A730" s="625">
        <f t="shared" si="63"/>
        <v>33325</v>
      </c>
      <c r="B730" s="555">
        <v>33300</v>
      </c>
      <c r="C730" s="555">
        <v>33350</v>
      </c>
      <c r="D730" s="556">
        <f t="shared" si="59"/>
        <v>3761</v>
      </c>
      <c r="E730" s="556">
        <f t="shared" si="60"/>
        <v>3522</v>
      </c>
      <c r="F730" s="556">
        <f t="shared" si="61"/>
        <v>3761</v>
      </c>
      <c r="G730" s="556">
        <f t="shared" si="62"/>
        <v>3659</v>
      </c>
    </row>
    <row r="731" spans="1:7" ht="15.75">
      <c r="A731" s="625">
        <f t="shared" si="63"/>
        <v>33375</v>
      </c>
      <c r="B731" s="555">
        <v>33350</v>
      </c>
      <c r="C731" s="555">
        <v>33400</v>
      </c>
      <c r="D731" s="556">
        <f t="shared" si="59"/>
        <v>3767</v>
      </c>
      <c r="E731" s="556">
        <f t="shared" si="60"/>
        <v>3528</v>
      </c>
      <c r="F731" s="556">
        <f t="shared" si="61"/>
        <v>3767</v>
      </c>
      <c r="G731" s="556">
        <f t="shared" si="62"/>
        <v>3665</v>
      </c>
    </row>
    <row r="732" spans="1:7" ht="15.75">
      <c r="A732" s="625">
        <f t="shared" si="63"/>
        <v>33425</v>
      </c>
      <c r="B732" s="555">
        <v>33400</v>
      </c>
      <c r="C732" s="555">
        <v>33450</v>
      </c>
      <c r="D732" s="556">
        <f t="shared" si="59"/>
        <v>3773</v>
      </c>
      <c r="E732" s="556">
        <f t="shared" si="60"/>
        <v>3534</v>
      </c>
      <c r="F732" s="556">
        <f t="shared" si="61"/>
        <v>3773</v>
      </c>
      <c r="G732" s="556">
        <f t="shared" si="62"/>
        <v>3671</v>
      </c>
    </row>
    <row r="733" spans="1:7" ht="15.75">
      <c r="A733" s="625">
        <f t="shared" si="63"/>
        <v>33475</v>
      </c>
      <c r="B733" s="555">
        <v>33450</v>
      </c>
      <c r="C733" s="555">
        <v>33500</v>
      </c>
      <c r="D733" s="556">
        <f t="shared" si="59"/>
        <v>3779</v>
      </c>
      <c r="E733" s="556">
        <f t="shared" si="60"/>
        <v>3540</v>
      </c>
      <c r="F733" s="556">
        <f t="shared" si="61"/>
        <v>3779</v>
      </c>
      <c r="G733" s="556">
        <f t="shared" si="62"/>
        <v>3677</v>
      </c>
    </row>
    <row r="734" spans="1:7" ht="15.75">
      <c r="A734" s="625">
        <f t="shared" si="63"/>
        <v>33525</v>
      </c>
      <c r="B734" s="555">
        <v>33500</v>
      </c>
      <c r="C734" s="555">
        <v>33550</v>
      </c>
      <c r="D734" s="556">
        <f t="shared" si="59"/>
        <v>3785</v>
      </c>
      <c r="E734" s="556">
        <f t="shared" si="60"/>
        <v>3546</v>
      </c>
      <c r="F734" s="556">
        <f t="shared" si="61"/>
        <v>3785</v>
      </c>
      <c r="G734" s="556">
        <f t="shared" si="62"/>
        <v>3683</v>
      </c>
    </row>
    <row r="735" spans="1:7" ht="15.75">
      <c r="A735" s="625">
        <f t="shared" si="63"/>
        <v>33575</v>
      </c>
      <c r="B735" s="555">
        <v>33550</v>
      </c>
      <c r="C735" s="555">
        <v>33600</v>
      </c>
      <c r="D735" s="556">
        <f t="shared" si="59"/>
        <v>3791</v>
      </c>
      <c r="E735" s="556">
        <f t="shared" si="60"/>
        <v>3552</v>
      </c>
      <c r="F735" s="556">
        <f t="shared" si="61"/>
        <v>3791</v>
      </c>
      <c r="G735" s="556">
        <f t="shared" si="62"/>
        <v>3689</v>
      </c>
    </row>
    <row r="736" spans="1:7" ht="15.75">
      <c r="A736" s="625">
        <f t="shared" si="63"/>
        <v>33625</v>
      </c>
      <c r="B736" s="555">
        <v>33600</v>
      </c>
      <c r="C736" s="555">
        <v>33650</v>
      </c>
      <c r="D736" s="556">
        <f t="shared" si="59"/>
        <v>3797</v>
      </c>
      <c r="E736" s="556">
        <f t="shared" si="60"/>
        <v>3558</v>
      </c>
      <c r="F736" s="556">
        <f t="shared" si="61"/>
        <v>3797</v>
      </c>
      <c r="G736" s="556">
        <f t="shared" si="62"/>
        <v>3695</v>
      </c>
    </row>
    <row r="737" spans="1:7" ht="15.75">
      <c r="A737" s="625">
        <f t="shared" si="63"/>
        <v>33675</v>
      </c>
      <c r="B737" s="555">
        <v>33650</v>
      </c>
      <c r="C737" s="555">
        <v>33700</v>
      </c>
      <c r="D737" s="556">
        <f t="shared" si="59"/>
        <v>3803</v>
      </c>
      <c r="E737" s="556">
        <f t="shared" si="60"/>
        <v>3564</v>
      </c>
      <c r="F737" s="556">
        <f t="shared" si="61"/>
        <v>3803</v>
      </c>
      <c r="G737" s="556">
        <f t="shared" si="62"/>
        <v>3701</v>
      </c>
    </row>
    <row r="738" spans="1:7" ht="15.75">
      <c r="A738" s="625">
        <f t="shared" si="63"/>
        <v>33725</v>
      </c>
      <c r="B738" s="555">
        <v>33700</v>
      </c>
      <c r="C738" s="555">
        <v>33750</v>
      </c>
      <c r="D738" s="556">
        <f t="shared" si="59"/>
        <v>3809</v>
      </c>
      <c r="E738" s="556">
        <f t="shared" si="60"/>
        <v>3570</v>
      </c>
      <c r="F738" s="556">
        <f t="shared" si="61"/>
        <v>3809</v>
      </c>
      <c r="G738" s="556">
        <f t="shared" si="62"/>
        <v>3707</v>
      </c>
    </row>
    <row r="739" spans="1:7" ht="15.75">
      <c r="A739" s="625">
        <f t="shared" si="63"/>
        <v>33775</v>
      </c>
      <c r="B739" s="555">
        <v>33750</v>
      </c>
      <c r="C739" s="555">
        <v>33800</v>
      </c>
      <c r="D739" s="556">
        <f t="shared" si="59"/>
        <v>3815</v>
      </c>
      <c r="E739" s="556">
        <f t="shared" si="60"/>
        <v>3576</v>
      </c>
      <c r="F739" s="556">
        <f t="shared" si="61"/>
        <v>3815</v>
      </c>
      <c r="G739" s="556">
        <f t="shared" si="62"/>
        <v>3713</v>
      </c>
    </row>
    <row r="740" spans="1:7" ht="15.75">
      <c r="A740" s="625">
        <f t="shared" si="63"/>
        <v>33825</v>
      </c>
      <c r="B740" s="555">
        <v>33800</v>
      </c>
      <c r="C740" s="555">
        <v>33850</v>
      </c>
      <c r="D740" s="556">
        <f t="shared" si="59"/>
        <v>3821</v>
      </c>
      <c r="E740" s="556">
        <f t="shared" si="60"/>
        <v>3582</v>
      </c>
      <c r="F740" s="556">
        <f t="shared" si="61"/>
        <v>3821</v>
      </c>
      <c r="G740" s="556">
        <f t="shared" si="62"/>
        <v>3719</v>
      </c>
    </row>
    <row r="741" spans="1:7" ht="15.75">
      <c r="A741" s="625">
        <f t="shared" si="63"/>
        <v>33875</v>
      </c>
      <c r="B741" s="555">
        <v>33850</v>
      </c>
      <c r="C741" s="555">
        <v>33900</v>
      </c>
      <c r="D741" s="556">
        <f t="shared" si="59"/>
        <v>3827</v>
      </c>
      <c r="E741" s="556">
        <f t="shared" si="60"/>
        <v>3588</v>
      </c>
      <c r="F741" s="556">
        <f t="shared" si="61"/>
        <v>3827</v>
      </c>
      <c r="G741" s="556">
        <f t="shared" si="62"/>
        <v>3725</v>
      </c>
    </row>
    <row r="742" spans="1:7" ht="15.75">
      <c r="A742" s="625">
        <f t="shared" si="63"/>
        <v>33925</v>
      </c>
      <c r="B742" s="555">
        <v>33900</v>
      </c>
      <c r="C742" s="555">
        <v>33950</v>
      </c>
      <c r="D742" s="556">
        <f t="shared" si="59"/>
        <v>3833</v>
      </c>
      <c r="E742" s="556">
        <f t="shared" si="60"/>
        <v>3594</v>
      </c>
      <c r="F742" s="556">
        <f t="shared" si="61"/>
        <v>3833</v>
      </c>
      <c r="G742" s="556">
        <f t="shared" si="62"/>
        <v>3731</v>
      </c>
    </row>
    <row r="743" spans="1:7" ht="15.75">
      <c r="A743" s="625">
        <f t="shared" si="63"/>
        <v>33975</v>
      </c>
      <c r="B743" s="555">
        <v>33950</v>
      </c>
      <c r="C743" s="555">
        <v>34000</v>
      </c>
      <c r="D743" s="556">
        <f t="shared" si="59"/>
        <v>3839</v>
      </c>
      <c r="E743" s="556">
        <f t="shared" si="60"/>
        <v>3600</v>
      </c>
      <c r="F743" s="556">
        <f t="shared" si="61"/>
        <v>3839</v>
      </c>
      <c r="G743" s="556">
        <f t="shared" si="62"/>
        <v>3737</v>
      </c>
    </row>
    <row r="744" spans="1:7" ht="15.75">
      <c r="A744" s="625">
        <f t="shared" si="63"/>
        <v>34025</v>
      </c>
      <c r="B744" s="555">
        <v>34000</v>
      </c>
      <c r="C744" s="555">
        <v>34050</v>
      </c>
      <c r="D744" s="556">
        <f t="shared" si="59"/>
        <v>3845</v>
      </c>
      <c r="E744" s="556">
        <f t="shared" si="60"/>
        <v>3606</v>
      </c>
      <c r="F744" s="556">
        <f t="shared" si="61"/>
        <v>3845</v>
      </c>
      <c r="G744" s="556">
        <f t="shared" si="62"/>
        <v>3743</v>
      </c>
    </row>
    <row r="745" spans="1:7" ht="15.75">
      <c r="A745" s="625">
        <f t="shared" si="63"/>
        <v>34075</v>
      </c>
      <c r="B745" s="555">
        <v>34050</v>
      </c>
      <c r="C745" s="555">
        <v>34100</v>
      </c>
      <c r="D745" s="556">
        <f t="shared" si="59"/>
        <v>3851</v>
      </c>
      <c r="E745" s="556">
        <f t="shared" si="60"/>
        <v>3612</v>
      </c>
      <c r="F745" s="556">
        <f t="shared" si="61"/>
        <v>3851</v>
      </c>
      <c r="G745" s="556">
        <f t="shared" si="62"/>
        <v>3749</v>
      </c>
    </row>
    <row r="746" spans="1:7" ht="15.75">
      <c r="A746" s="625">
        <f t="shared" si="63"/>
        <v>34125</v>
      </c>
      <c r="B746" s="555">
        <v>34100</v>
      </c>
      <c r="C746" s="555">
        <v>34150</v>
      </c>
      <c r="D746" s="556">
        <f t="shared" si="59"/>
        <v>3857</v>
      </c>
      <c r="E746" s="556">
        <f t="shared" si="60"/>
        <v>3618</v>
      </c>
      <c r="F746" s="556">
        <f t="shared" si="61"/>
        <v>3857</v>
      </c>
      <c r="G746" s="556">
        <f t="shared" si="62"/>
        <v>3755</v>
      </c>
    </row>
    <row r="747" spans="1:7" ht="15.75">
      <c r="A747" s="625">
        <f t="shared" si="63"/>
        <v>34175</v>
      </c>
      <c r="B747" s="555">
        <v>34150</v>
      </c>
      <c r="C747" s="555">
        <v>34200</v>
      </c>
      <c r="D747" s="556">
        <f t="shared" si="59"/>
        <v>3863</v>
      </c>
      <c r="E747" s="556">
        <f t="shared" si="60"/>
        <v>3624</v>
      </c>
      <c r="F747" s="556">
        <f t="shared" si="61"/>
        <v>3863</v>
      </c>
      <c r="G747" s="556">
        <f t="shared" si="62"/>
        <v>3761</v>
      </c>
    </row>
    <row r="748" spans="1:7" ht="15.75">
      <c r="A748" s="625">
        <f t="shared" si="63"/>
        <v>34225</v>
      </c>
      <c r="B748" s="555">
        <v>34200</v>
      </c>
      <c r="C748" s="555">
        <v>34250</v>
      </c>
      <c r="D748" s="556">
        <f t="shared" si="59"/>
        <v>3869</v>
      </c>
      <c r="E748" s="556">
        <f t="shared" si="60"/>
        <v>3630</v>
      </c>
      <c r="F748" s="556">
        <f t="shared" si="61"/>
        <v>3869</v>
      </c>
      <c r="G748" s="556">
        <f t="shared" si="62"/>
        <v>3767</v>
      </c>
    </row>
    <row r="749" spans="1:7" ht="15.75">
      <c r="A749" s="625">
        <f t="shared" si="63"/>
        <v>34275</v>
      </c>
      <c r="B749" s="555">
        <v>34250</v>
      </c>
      <c r="C749" s="555">
        <v>34300</v>
      </c>
      <c r="D749" s="556">
        <f t="shared" si="59"/>
        <v>3875</v>
      </c>
      <c r="E749" s="556">
        <f t="shared" si="60"/>
        <v>3636</v>
      </c>
      <c r="F749" s="556">
        <f t="shared" si="61"/>
        <v>3875</v>
      </c>
      <c r="G749" s="556">
        <f t="shared" si="62"/>
        <v>3773</v>
      </c>
    </row>
    <row r="750" spans="1:7" ht="15.75">
      <c r="A750" s="625">
        <f t="shared" si="63"/>
        <v>34325</v>
      </c>
      <c r="B750" s="555">
        <v>34300</v>
      </c>
      <c r="C750" s="555">
        <v>34350</v>
      </c>
      <c r="D750" s="556">
        <f t="shared" si="59"/>
        <v>3881</v>
      </c>
      <c r="E750" s="556">
        <f t="shared" si="60"/>
        <v>3642</v>
      </c>
      <c r="F750" s="556">
        <f t="shared" si="61"/>
        <v>3881</v>
      </c>
      <c r="G750" s="556">
        <f t="shared" si="62"/>
        <v>3779</v>
      </c>
    </row>
    <row r="751" spans="1:7" ht="15.75">
      <c r="A751" s="625">
        <f t="shared" si="63"/>
        <v>34375</v>
      </c>
      <c r="B751" s="555">
        <v>34350</v>
      </c>
      <c r="C751" s="555">
        <v>34400</v>
      </c>
      <c r="D751" s="556">
        <f t="shared" si="59"/>
        <v>3887</v>
      </c>
      <c r="E751" s="556">
        <f t="shared" si="60"/>
        <v>3648</v>
      </c>
      <c r="F751" s="556">
        <f t="shared" si="61"/>
        <v>3887</v>
      </c>
      <c r="G751" s="556">
        <f t="shared" si="62"/>
        <v>3785</v>
      </c>
    </row>
    <row r="752" spans="1:7" ht="15.75">
      <c r="A752" s="625">
        <f t="shared" si="63"/>
        <v>34425</v>
      </c>
      <c r="B752" s="555">
        <v>34400</v>
      </c>
      <c r="C752" s="555">
        <v>34450</v>
      </c>
      <c r="D752" s="556">
        <f t="shared" si="59"/>
        <v>3893</v>
      </c>
      <c r="E752" s="556">
        <f t="shared" si="60"/>
        <v>3654</v>
      </c>
      <c r="F752" s="556">
        <f t="shared" si="61"/>
        <v>3893</v>
      </c>
      <c r="G752" s="556">
        <f t="shared" si="62"/>
        <v>3791</v>
      </c>
    </row>
    <row r="753" spans="1:7" ht="15.75">
      <c r="A753" s="625">
        <f t="shared" si="63"/>
        <v>34475</v>
      </c>
      <c r="B753" s="555">
        <v>34450</v>
      </c>
      <c r="C753" s="555">
        <v>34500</v>
      </c>
      <c r="D753" s="556">
        <f t="shared" si="59"/>
        <v>3899</v>
      </c>
      <c r="E753" s="556">
        <f t="shared" si="60"/>
        <v>3660</v>
      </c>
      <c r="F753" s="556">
        <f t="shared" si="61"/>
        <v>3899</v>
      </c>
      <c r="G753" s="556">
        <f t="shared" si="62"/>
        <v>3797</v>
      </c>
    </row>
    <row r="754" spans="1:7" ht="15.75">
      <c r="A754" s="625">
        <f t="shared" si="63"/>
        <v>34525</v>
      </c>
      <c r="B754" s="555">
        <v>34500</v>
      </c>
      <c r="C754" s="555">
        <v>34550</v>
      </c>
      <c r="D754" s="556">
        <f t="shared" si="59"/>
        <v>3905</v>
      </c>
      <c r="E754" s="556">
        <f t="shared" si="60"/>
        <v>3666</v>
      </c>
      <c r="F754" s="556">
        <f t="shared" si="61"/>
        <v>3905</v>
      </c>
      <c r="G754" s="556">
        <f t="shared" si="62"/>
        <v>3803</v>
      </c>
    </row>
    <row r="755" spans="1:7" ht="15.75">
      <c r="A755" s="625">
        <f t="shared" si="63"/>
        <v>34575</v>
      </c>
      <c r="B755" s="555">
        <v>34550</v>
      </c>
      <c r="C755" s="555">
        <v>34600</v>
      </c>
      <c r="D755" s="556">
        <f t="shared" si="59"/>
        <v>3911</v>
      </c>
      <c r="E755" s="556">
        <f t="shared" si="60"/>
        <v>3672</v>
      </c>
      <c r="F755" s="556">
        <f t="shared" si="61"/>
        <v>3911</v>
      </c>
      <c r="G755" s="556">
        <f t="shared" si="62"/>
        <v>3809</v>
      </c>
    </row>
    <row r="756" spans="1:7" ht="15.75">
      <c r="A756" s="625">
        <f t="shared" si="63"/>
        <v>34625</v>
      </c>
      <c r="B756" s="555">
        <v>34600</v>
      </c>
      <c r="C756" s="555">
        <v>34650</v>
      </c>
      <c r="D756" s="556">
        <f t="shared" si="59"/>
        <v>3917</v>
      </c>
      <c r="E756" s="556">
        <f t="shared" si="60"/>
        <v>3678</v>
      </c>
      <c r="F756" s="556">
        <f t="shared" si="61"/>
        <v>3917</v>
      </c>
      <c r="G756" s="556">
        <f t="shared" si="62"/>
        <v>3815</v>
      </c>
    </row>
    <row r="757" spans="1:7" ht="15.75">
      <c r="A757" s="625">
        <f t="shared" si="63"/>
        <v>34675</v>
      </c>
      <c r="B757" s="555">
        <v>34650</v>
      </c>
      <c r="C757" s="555">
        <v>34700</v>
      </c>
      <c r="D757" s="556">
        <f t="shared" si="59"/>
        <v>3923</v>
      </c>
      <c r="E757" s="556">
        <f t="shared" si="60"/>
        <v>3684</v>
      </c>
      <c r="F757" s="556">
        <f t="shared" si="61"/>
        <v>3923</v>
      </c>
      <c r="G757" s="556">
        <f t="shared" si="62"/>
        <v>3821</v>
      </c>
    </row>
    <row r="758" spans="1:7" ht="15.75">
      <c r="A758" s="625">
        <f t="shared" si="63"/>
        <v>34725</v>
      </c>
      <c r="B758" s="555">
        <v>34700</v>
      </c>
      <c r="C758" s="555">
        <v>34750</v>
      </c>
      <c r="D758" s="556">
        <f t="shared" si="59"/>
        <v>3929</v>
      </c>
      <c r="E758" s="556">
        <f t="shared" si="60"/>
        <v>3690</v>
      </c>
      <c r="F758" s="556">
        <f t="shared" si="61"/>
        <v>3929</v>
      </c>
      <c r="G758" s="556">
        <f t="shared" si="62"/>
        <v>3827</v>
      </c>
    </row>
    <row r="759" spans="1:7" ht="15.75">
      <c r="A759" s="625">
        <f t="shared" si="63"/>
        <v>34775</v>
      </c>
      <c r="B759" s="555">
        <v>34750</v>
      </c>
      <c r="C759" s="555">
        <v>34800</v>
      </c>
      <c r="D759" s="556">
        <f t="shared" si="59"/>
        <v>3935</v>
      </c>
      <c r="E759" s="556">
        <f t="shared" si="60"/>
        <v>3696</v>
      </c>
      <c r="F759" s="556">
        <f t="shared" si="61"/>
        <v>3935</v>
      </c>
      <c r="G759" s="556">
        <f t="shared" si="62"/>
        <v>3833</v>
      </c>
    </row>
    <row r="760" spans="1:7" ht="15.75">
      <c r="A760" s="625">
        <f t="shared" si="63"/>
        <v>34825</v>
      </c>
      <c r="B760" s="555">
        <v>34800</v>
      </c>
      <c r="C760" s="555">
        <v>34850</v>
      </c>
      <c r="D760" s="556">
        <f t="shared" si="59"/>
        <v>3941</v>
      </c>
      <c r="E760" s="556">
        <f t="shared" si="60"/>
        <v>3702</v>
      </c>
      <c r="F760" s="556">
        <f t="shared" si="61"/>
        <v>3941</v>
      </c>
      <c r="G760" s="556">
        <f t="shared" si="62"/>
        <v>3839</v>
      </c>
    </row>
    <row r="761" spans="1:7" ht="15.75">
      <c r="A761" s="625">
        <f t="shared" si="63"/>
        <v>34875</v>
      </c>
      <c r="B761" s="555">
        <v>34850</v>
      </c>
      <c r="C761" s="555">
        <v>34900</v>
      </c>
      <c r="D761" s="556">
        <f t="shared" si="59"/>
        <v>3947</v>
      </c>
      <c r="E761" s="556">
        <f t="shared" si="60"/>
        <v>3708</v>
      </c>
      <c r="F761" s="556">
        <f t="shared" si="61"/>
        <v>3947</v>
      </c>
      <c r="G761" s="556">
        <f t="shared" si="62"/>
        <v>3845</v>
      </c>
    </row>
    <row r="762" spans="1:7" ht="15.75">
      <c r="A762" s="625">
        <f t="shared" si="63"/>
        <v>34925</v>
      </c>
      <c r="B762" s="555">
        <v>34900</v>
      </c>
      <c r="C762" s="555">
        <v>34950</v>
      </c>
      <c r="D762" s="556">
        <f t="shared" si="59"/>
        <v>3953</v>
      </c>
      <c r="E762" s="556">
        <f t="shared" si="60"/>
        <v>3714</v>
      </c>
      <c r="F762" s="556">
        <f t="shared" si="61"/>
        <v>3953</v>
      </c>
      <c r="G762" s="556">
        <f t="shared" si="62"/>
        <v>3851</v>
      </c>
    </row>
    <row r="763" spans="1:7" ht="15.75">
      <c r="A763" s="625">
        <f t="shared" si="63"/>
        <v>34975</v>
      </c>
      <c r="B763" s="555">
        <v>34950</v>
      </c>
      <c r="C763" s="555">
        <v>35000</v>
      </c>
      <c r="D763" s="556">
        <f t="shared" si="59"/>
        <v>3959</v>
      </c>
      <c r="E763" s="556">
        <f t="shared" si="60"/>
        <v>3720</v>
      </c>
      <c r="F763" s="556">
        <f t="shared" si="61"/>
        <v>3959</v>
      </c>
      <c r="G763" s="556">
        <f t="shared" si="62"/>
        <v>3857</v>
      </c>
    </row>
    <row r="764" spans="1:7" ht="15.75">
      <c r="A764" s="625">
        <f t="shared" si="63"/>
        <v>35025</v>
      </c>
      <c r="B764" s="555">
        <v>35000</v>
      </c>
      <c r="C764" s="555">
        <v>35050</v>
      </c>
      <c r="D764" s="556">
        <f t="shared" si="59"/>
        <v>3965</v>
      </c>
      <c r="E764" s="556">
        <f t="shared" si="60"/>
        <v>3726</v>
      </c>
      <c r="F764" s="556">
        <f t="shared" si="61"/>
        <v>3965</v>
      </c>
      <c r="G764" s="556">
        <f t="shared" si="62"/>
        <v>3863</v>
      </c>
    </row>
    <row r="765" spans="1:7" ht="15.75">
      <c r="A765" s="625">
        <f t="shared" si="63"/>
        <v>35075</v>
      </c>
      <c r="B765" s="555">
        <v>35050</v>
      </c>
      <c r="C765" s="555">
        <v>35100</v>
      </c>
      <c r="D765" s="556">
        <f t="shared" si="59"/>
        <v>3971</v>
      </c>
      <c r="E765" s="556">
        <f t="shared" si="60"/>
        <v>3732</v>
      </c>
      <c r="F765" s="556">
        <f t="shared" si="61"/>
        <v>3971</v>
      </c>
      <c r="G765" s="556">
        <f t="shared" si="62"/>
        <v>3869</v>
      </c>
    </row>
    <row r="766" spans="1:7" ht="15.75">
      <c r="A766" s="625">
        <f t="shared" si="63"/>
        <v>35125</v>
      </c>
      <c r="B766" s="555">
        <v>35100</v>
      </c>
      <c r="C766" s="555">
        <v>35150</v>
      </c>
      <c r="D766" s="556">
        <f t="shared" si="59"/>
        <v>3977</v>
      </c>
      <c r="E766" s="556">
        <f t="shared" si="60"/>
        <v>3738</v>
      </c>
      <c r="F766" s="556">
        <f t="shared" si="61"/>
        <v>3977</v>
      </c>
      <c r="G766" s="556">
        <f t="shared" si="62"/>
        <v>3875</v>
      </c>
    </row>
    <row r="767" spans="1:7" ht="15.75">
      <c r="A767" s="625">
        <f t="shared" si="63"/>
        <v>35175</v>
      </c>
      <c r="B767" s="555">
        <v>35150</v>
      </c>
      <c r="C767" s="555">
        <v>35200</v>
      </c>
      <c r="D767" s="556">
        <f t="shared" si="59"/>
        <v>3983</v>
      </c>
      <c r="E767" s="556">
        <f t="shared" si="60"/>
        <v>3744</v>
      </c>
      <c r="F767" s="556">
        <f t="shared" si="61"/>
        <v>3983</v>
      </c>
      <c r="G767" s="556">
        <f t="shared" si="62"/>
        <v>3881</v>
      </c>
    </row>
    <row r="768" spans="1:7" ht="15.75">
      <c r="A768" s="625">
        <f t="shared" si="63"/>
        <v>35225</v>
      </c>
      <c r="B768" s="555">
        <v>35200</v>
      </c>
      <c r="C768" s="555">
        <v>35250</v>
      </c>
      <c r="D768" s="556">
        <f t="shared" si="59"/>
        <v>3989</v>
      </c>
      <c r="E768" s="556">
        <f t="shared" si="60"/>
        <v>3750</v>
      </c>
      <c r="F768" s="556">
        <f t="shared" si="61"/>
        <v>3989</v>
      </c>
      <c r="G768" s="556">
        <f t="shared" si="62"/>
        <v>3887</v>
      </c>
    </row>
    <row r="769" spans="1:7" ht="15.75">
      <c r="A769" s="625">
        <f t="shared" si="63"/>
        <v>35275</v>
      </c>
      <c r="B769" s="555">
        <v>35250</v>
      </c>
      <c r="C769" s="555">
        <v>35300</v>
      </c>
      <c r="D769" s="556">
        <f t="shared" si="59"/>
        <v>3995</v>
      </c>
      <c r="E769" s="556">
        <f t="shared" si="60"/>
        <v>3756</v>
      </c>
      <c r="F769" s="556">
        <f t="shared" si="61"/>
        <v>3995</v>
      </c>
      <c r="G769" s="556">
        <f t="shared" si="62"/>
        <v>3893</v>
      </c>
    </row>
    <row r="770" spans="1:7" ht="15.75">
      <c r="A770" s="625">
        <f t="shared" si="63"/>
        <v>35325</v>
      </c>
      <c r="B770" s="555">
        <v>35300</v>
      </c>
      <c r="C770" s="555">
        <v>35350</v>
      </c>
      <c r="D770" s="556">
        <f t="shared" ref="D770:D833" si="64">IF($A770&gt;BOTT_A4,ROUND(BASE_A4+RATE_A4*($A770-BOTT_A4),0),IF($A770&gt;BOTT_A3,ROUND(BASE_A3+RATE_A3*($A770-BOTT_A3),0),IF($A770&gt;BOTT_A2,ROUND(BASE_A2+RATE_A2*($A770-BOTT_A2),0),ROUND(RATE_A1*$A770,0))))</f>
        <v>4001</v>
      </c>
      <c r="E770" s="556">
        <f t="shared" ref="E770:E833" si="65">IF($A770&gt;BOTT_B4,ROUND(BASE_B4+RATE_B4*($A770-BOTT_B4),0),IF($A770&gt;BOTT_B3,ROUND(BASE_B3+RATE_B3*($A770-BOTT_B3),0),IF($A770&gt;BOTT_B2,ROUND(BASE_B2+RATE_B2*($A770-BOTT_B2),0),ROUND(RATE_B1*$A770,0))))</f>
        <v>3762</v>
      </c>
      <c r="F770" s="556">
        <f t="shared" ref="F770:F833" si="66">IF($A770&gt;BOTT_C4,ROUND(BASE_C4+RATE_C4*($A770-BOTT_C4),0),IF($A770&gt;BOTT_C3,ROUND(BASE_C3+RATE_C3*($A770-BOTT_C3),0),IF($A770&gt;BOTT_C2,ROUND(BASE_C2+RATE_C2*($A770-BOTT_C2),0),ROUND(RATE_C1*$A770,0))))</f>
        <v>4001</v>
      </c>
      <c r="G770" s="556">
        <f t="shared" ref="G770:G833" si="67">IF($A770&gt;BOTT_D4,ROUND(BASE_D4+RATE_D4*($A770-BOTT_D4),0),IF($A770&gt;BOTT_D3,ROUND(BASE_D3+RATE_D3*($A770-BOTT_D3),0),IF($A770&gt;BOTT_D2,ROUND(BASE_D2+RATE_D2*($A770-BOTT_D2),0),ROUND(RATE_D1*$A770,0))))</f>
        <v>3899</v>
      </c>
    </row>
    <row r="771" spans="1:7" ht="15.75">
      <c r="A771" s="625">
        <f t="shared" ref="A771:A834" si="68">AVERAGE(B771,C771)</f>
        <v>35375</v>
      </c>
      <c r="B771" s="555">
        <v>35350</v>
      </c>
      <c r="C771" s="555">
        <v>35400</v>
      </c>
      <c r="D771" s="556">
        <f t="shared" si="64"/>
        <v>4007</v>
      </c>
      <c r="E771" s="556">
        <f t="shared" si="65"/>
        <v>3768</v>
      </c>
      <c r="F771" s="556">
        <f t="shared" si="66"/>
        <v>4007</v>
      </c>
      <c r="G771" s="556">
        <f t="shared" si="67"/>
        <v>3905</v>
      </c>
    </row>
    <row r="772" spans="1:7" ht="15.75">
      <c r="A772" s="625">
        <f t="shared" si="68"/>
        <v>35425</v>
      </c>
      <c r="B772" s="555">
        <v>35400</v>
      </c>
      <c r="C772" s="555">
        <v>35450</v>
      </c>
      <c r="D772" s="556">
        <f t="shared" si="64"/>
        <v>4013</v>
      </c>
      <c r="E772" s="556">
        <f t="shared" si="65"/>
        <v>3774</v>
      </c>
      <c r="F772" s="556">
        <f t="shared" si="66"/>
        <v>4013</v>
      </c>
      <c r="G772" s="556">
        <f t="shared" si="67"/>
        <v>3911</v>
      </c>
    </row>
    <row r="773" spans="1:7" ht="15.75">
      <c r="A773" s="625">
        <f t="shared" si="68"/>
        <v>35475</v>
      </c>
      <c r="B773" s="555">
        <v>35450</v>
      </c>
      <c r="C773" s="555">
        <v>35500</v>
      </c>
      <c r="D773" s="556">
        <f t="shared" si="64"/>
        <v>4019</v>
      </c>
      <c r="E773" s="556">
        <f t="shared" si="65"/>
        <v>3780</v>
      </c>
      <c r="F773" s="556">
        <f t="shared" si="66"/>
        <v>4019</v>
      </c>
      <c r="G773" s="556">
        <f t="shared" si="67"/>
        <v>3917</v>
      </c>
    </row>
    <row r="774" spans="1:7" ht="15.75">
      <c r="A774" s="625">
        <f t="shared" si="68"/>
        <v>35525</v>
      </c>
      <c r="B774" s="555">
        <v>35500</v>
      </c>
      <c r="C774" s="555">
        <v>35550</v>
      </c>
      <c r="D774" s="556">
        <f t="shared" si="64"/>
        <v>4025</v>
      </c>
      <c r="E774" s="556">
        <f t="shared" si="65"/>
        <v>3786</v>
      </c>
      <c r="F774" s="556">
        <f t="shared" si="66"/>
        <v>4025</v>
      </c>
      <c r="G774" s="556">
        <f t="shared" si="67"/>
        <v>3923</v>
      </c>
    </row>
    <row r="775" spans="1:7" ht="15.75">
      <c r="A775" s="625">
        <f t="shared" si="68"/>
        <v>35575</v>
      </c>
      <c r="B775" s="555">
        <v>35550</v>
      </c>
      <c r="C775" s="555">
        <v>35600</v>
      </c>
      <c r="D775" s="556">
        <f t="shared" si="64"/>
        <v>4031</v>
      </c>
      <c r="E775" s="556">
        <f t="shared" si="65"/>
        <v>3792</v>
      </c>
      <c r="F775" s="556">
        <f t="shared" si="66"/>
        <v>4031</v>
      </c>
      <c r="G775" s="556">
        <f t="shared" si="67"/>
        <v>3929</v>
      </c>
    </row>
    <row r="776" spans="1:7" ht="15.75">
      <c r="A776" s="625">
        <f t="shared" si="68"/>
        <v>35625</v>
      </c>
      <c r="B776" s="555">
        <v>35600</v>
      </c>
      <c r="C776" s="555">
        <v>35650</v>
      </c>
      <c r="D776" s="556">
        <f t="shared" si="64"/>
        <v>4037</v>
      </c>
      <c r="E776" s="556">
        <f t="shared" si="65"/>
        <v>3798</v>
      </c>
      <c r="F776" s="556">
        <f t="shared" si="66"/>
        <v>4037</v>
      </c>
      <c r="G776" s="556">
        <f t="shared" si="67"/>
        <v>3935</v>
      </c>
    </row>
    <row r="777" spans="1:7" ht="15.75">
      <c r="A777" s="625">
        <f t="shared" si="68"/>
        <v>35675</v>
      </c>
      <c r="B777" s="555">
        <v>35650</v>
      </c>
      <c r="C777" s="555">
        <v>35700</v>
      </c>
      <c r="D777" s="556">
        <f t="shared" si="64"/>
        <v>4043</v>
      </c>
      <c r="E777" s="556">
        <f t="shared" si="65"/>
        <v>3804</v>
      </c>
      <c r="F777" s="556">
        <f t="shared" si="66"/>
        <v>4043</v>
      </c>
      <c r="G777" s="556">
        <f t="shared" si="67"/>
        <v>3941</v>
      </c>
    </row>
    <row r="778" spans="1:7" ht="15.75">
      <c r="A778" s="625">
        <f t="shared" si="68"/>
        <v>35725</v>
      </c>
      <c r="B778" s="555">
        <v>35700</v>
      </c>
      <c r="C778" s="555">
        <v>35750</v>
      </c>
      <c r="D778" s="556">
        <f t="shared" si="64"/>
        <v>4049</v>
      </c>
      <c r="E778" s="556">
        <f t="shared" si="65"/>
        <v>3810</v>
      </c>
      <c r="F778" s="556">
        <f t="shared" si="66"/>
        <v>4049</v>
      </c>
      <c r="G778" s="556">
        <f t="shared" si="67"/>
        <v>3947</v>
      </c>
    </row>
    <row r="779" spans="1:7" ht="15.75">
      <c r="A779" s="625">
        <f t="shared" si="68"/>
        <v>35775</v>
      </c>
      <c r="B779" s="555">
        <v>35750</v>
      </c>
      <c r="C779" s="555">
        <v>35800</v>
      </c>
      <c r="D779" s="556">
        <f t="shared" si="64"/>
        <v>4055</v>
      </c>
      <c r="E779" s="556">
        <f t="shared" si="65"/>
        <v>3816</v>
      </c>
      <c r="F779" s="556">
        <f t="shared" si="66"/>
        <v>4055</v>
      </c>
      <c r="G779" s="556">
        <f t="shared" si="67"/>
        <v>3953</v>
      </c>
    </row>
    <row r="780" spans="1:7" ht="15.75">
      <c r="A780" s="625">
        <f t="shared" si="68"/>
        <v>35825</v>
      </c>
      <c r="B780" s="555">
        <v>35800</v>
      </c>
      <c r="C780" s="555">
        <v>35850</v>
      </c>
      <c r="D780" s="556">
        <f t="shared" si="64"/>
        <v>4061</v>
      </c>
      <c r="E780" s="556">
        <f t="shared" si="65"/>
        <v>3822</v>
      </c>
      <c r="F780" s="556">
        <f t="shared" si="66"/>
        <v>4061</v>
      </c>
      <c r="G780" s="556">
        <f t="shared" si="67"/>
        <v>3959</v>
      </c>
    </row>
    <row r="781" spans="1:7" ht="15.75">
      <c r="A781" s="625">
        <f t="shared" si="68"/>
        <v>35875</v>
      </c>
      <c r="B781" s="555">
        <v>35850</v>
      </c>
      <c r="C781" s="555">
        <v>35900</v>
      </c>
      <c r="D781" s="556">
        <f t="shared" si="64"/>
        <v>4067</v>
      </c>
      <c r="E781" s="556">
        <f t="shared" si="65"/>
        <v>3828</v>
      </c>
      <c r="F781" s="556">
        <f t="shared" si="66"/>
        <v>4067</v>
      </c>
      <c r="G781" s="556">
        <f t="shared" si="67"/>
        <v>3965</v>
      </c>
    </row>
    <row r="782" spans="1:7" ht="15.75">
      <c r="A782" s="625">
        <f t="shared" si="68"/>
        <v>35925</v>
      </c>
      <c r="B782" s="555">
        <v>35900</v>
      </c>
      <c r="C782" s="555">
        <v>35950</v>
      </c>
      <c r="D782" s="556">
        <f t="shared" si="64"/>
        <v>4073</v>
      </c>
      <c r="E782" s="556">
        <f t="shared" si="65"/>
        <v>3834</v>
      </c>
      <c r="F782" s="556">
        <f t="shared" si="66"/>
        <v>4073</v>
      </c>
      <c r="G782" s="556">
        <f t="shared" si="67"/>
        <v>3971</v>
      </c>
    </row>
    <row r="783" spans="1:7" ht="15.75">
      <c r="A783" s="625">
        <f t="shared" si="68"/>
        <v>35975</v>
      </c>
      <c r="B783" s="555">
        <v>35950</v>
      </c>
      <c r="C783" s="555">
        <v>36000</v>
      </c>
      <c r="D783" s="556">
        <f t="shared" si="64"/>
        <v>4079</v>
      </c>
      <c r="E783" s="556">
        <f t="shared" si="65"/>
        <v>3840</v>
      </c>
      <c r="F783" s="556">
        <f t="shared" si="66"/>
        <v>4079</v>
      </c>
      <c r="G783" s="556">
        <f t="shared" si="67"/>
        <v>3977</v>
      </c>
    </row>
    <row r="784" spans="1:7" ht="15.75">
      <c r="A784" s="625">
        <f t="shared" si="68"/>
        <v>36025</v>
      </c>
      <c r="B784" s="555">
        <v>36000</v>
      </c>
      <c r="C784" s="555">
        <v>36050</v>
      </c>
      <c r="D784" s="556">
        <f t="shared" si="64"/>
        <v>4085</v>
      </c>
      <c r="E784" s="556">
        <f t="shared" si="65"/>
        <v>3846</v>
      </c>
      <c r="F784" s="556">
        <f t="shared" si="66"/>
        <v>4085</v>
      </c>
      <c r="G784" s="556">
        <f t="shared" si="67"/>
        <v>3983</v>
      </c>
    </row>
    <row r="785" spans="1:7" ht="15.75">
      <c r="A785" s="625">
        <f t="shared" si="68"/>
        <v>36075</v>
      </c>
      <c r="B785" s="555">
        <v>36050</v>
      </c>
      <c r="C785" s="555">
        <v>36100</v>
      </c>
      <c r="D785" s="556">
        <f t="shared" si="64"/>
        <v>4091</v>
      </c>
      <c r="E785" s="556">
        <f t="shared" si="65"/>
        <v>3852</v>
      </c>
      <c r="F785" s="556">
        <f t="shared" si="66"/>
        <v>4091</v>
      </c>
      <c r="G785" s="556">
        <f t="shared" si="67"/>
        <v>3989</v>
      </c>
    </row>
    <row r="786" spans="1:7" ht="15.75">
      <c r="A786" s="625">
        <f t="shared" si="68"/>
        <v>36125</v>
      </c>
      <c r="B786" s="555">
        <v>36100</v>
      </c>
      <c r="C786" s="555">
        <v>36150</v>
      </c>
      <c r="D786" s="556">
        <f t="shared" si="64"/>
        <v>4097</v>
      </c>
      <c r="E786" s="556">
        <f t="shared" si="65"/>
        <v>3858</v>
      </c>
      <c r="F786" s="556">
        <f t="shared" si="66"/>
        <v>4097</v>
      </c>
      <c r="G786" s="556">
        <f t="shared" si="67"/>
        <v>3995</v>
      </c>
    </row>
    <row r="787" spans="1:7" ht="15.75">
      <c r="A787" s="625">
        <f t="shared" si="68"/>
        <v>36175</v>
      </c>
      <c r="B787" s="555">
        <v>36150</v>
      </c>
      <c r="C787" s="555">
        <v>36200</v>
      </c>
      <c r="D787" s="556">
        <f t="shared" si="64"/>
        <v>4103</v>
      </c>
      <c r="E787" s="556">
        <f t="shared" si="65"/>
        <v>3864</v>
      </c>
      <c r="F787" s="556">
        <f t="shared" si="66"/>
        <v>4103</v>
      </c>
      <c r="G787" s="556">
        <f t="shared" si="67"/>
        <v>4001</v>
      </c>
    </row>
    <row r="788" spans="1:7" ht="15.75">
      <c r="A788" s="625">
        <f t="shared" si="68"/>
        <v>36225</v>
      </c>
      <c r="B788" s="555">
        <v>36200</v>
      </c>
      <c r="C788" s="555">
        <v>36250</v>
      </c>
      <c r="D788" s="556">
        <f t="shared" si="64"/>
        <v>4109</v>
      </c>
      <c r="E788" s="556">
        <f t="shared" si="65"/>
        <v>3870</v>
      </c>
      <c r="F788" s="556">
        <f t="shared" si="66"/>
        <v>4109</v>
      </c>
      <c r="G788" s="556">
        <f t="shared" si="67"/>
        <v>4007</v>
      </c>
    </row>
    <row r="789" spans="1:7" ht="15.75">
      <c r="A789" s="625">
        <f t="shared" si="68"/>
        <v>36275</v>
      </c>
      <c r="B789" s="555">
        <v>36250</v>
      </c>
      <c r="C789" s="555">
        <v>36300</v>
      </c>
      <c r="D789" s="556">
        <f t="shared" si="64"/>
        <v>4115</v>
      </c>
      <c r="E789" s="556">
        <f t="shared" si="65"/>
        <v>3876</v>
      </c>
      <c r="F789" s="556">
        <f t="shared" si="66"/>
        <v>4115</v>
      </c>
      <c r="G789" s="556">
        <f t="shared" si="67"/>
        <v>4013</v>
      </c>
    </row>
    <row r="790" spans="1:7" ht="15.75">
      <c r="A790" s="625">
        <f t="shared" si="68"/>
        <v>36325</v>
      </c>
      <c r="B790" s="555">
        <v>36300</v>
      </c>
      <c r="C790" s="555">
        <v>36350</v>
      </c>
      <c r="D790" s="556">
        <f t="shared" si="64"/>
        <v>4121</v>
      </c>
      <c r="E790" s="556">
        <f t="shared" si="65"/>
        <v>3882</v>
      </c>
      <c r="F790" s="556">
        <f t="shared" si="66"/>
        <v>4121</v>
      </c>
      <c r="G790" s="556">
        <f t="shared" si="67"/>
        <v>4019</v>
      </c>
    </row>
    <row r="791" spans="1:7" ht="15.75">
      <c r="A791" s="625">
        <f t="shared" si="68"/>
        <v>36375</v>
      </c>
      <c r="B791" s="555">
        <v>36350</v>
      </c>
      <c r="C791" s="555">
        <v>36400</v>
      </c>
      <c r="D791" s="556">
        <f t="shared" si="64"/>
        <v>4127</v>
      </c>
      <c r="E791" s="556">
        <f t="shared" si="65"/>
        <v>3888</v>
      </c>
      <c r="F791" s="556">
        <f t="shared" si="66"/>
        <v>4127</v>
      </c>
      <c r="G791" s="556">
        <f t="shared" si="67"/>
        <v>4025</v>
      </c>
    </row>
    <row r="792" spans="1:7" ht="15.75">
      <c r="A792" s="625">
        <f t="shared" si="68"/>
        <v>36425</v>
      </c>
      <c r="B792" s="555">
        <v>36400</v>
      </c>
      <c r="C792" s="555">
        <v>36450</v>
      </c>
      <c r="D792" s="556">
        <f t="shared" si="64"/>
        <v>4133</v>
      </c>
      <c r="E792" s="556">
        <f t="shared" si="65"/>
        <v>3894</v>
      </c>
      <c r="F792" s="556">
        <f t="shared" si="66"/>
        <v>4133</v>
      </c>
      <c r="G792" s="556">
        <f t="shared" si="67"/>
        <v>4031</v>
      </c>
    </row>
    <row r="793" spans="1:7" ht="15.75">
      <c r="A793" s="625">
        <f t="shared" si="68"/>
        <v>36475</v>
      </c>
      <c r="B793" s="555">
        <v>36450</v>
      </c>
      <c r="C793" s="555">
        <v>36500</v>
      </c>
      <c r="D793" s="556">
        <f t="shared" si="64"/>
        <v>4139</v>
      </c>
      <c r="E793" s="556">
        <f t="shared" si="65"/>
        <v>3900</v>
      </c>
      <c r="F793" s="556">
        <f t="shared" si="66"/>
        <v>4139</v>
      </c>
      <c r="G793" s="556">
        <f t="shared" si="67"/>
        <v>4037</v>
      </c>
    </row>
    <row r="794" spans="1:7" ht="15.75">
      <c r="A794" s="625">
        <f t="shared" si="68"/>
        <v>36525</v>
      </c>
      <c r="B794" s="555">
        <v>36500</v>
      </c>
      <c r="C794" s="555">
        <v>36550</v>
      </c>
      <c r="D794" s="556">
        <f t="shared" si="64"/>
        <v>4145</v>
      </c>
      <c r="E794" s="556">
        <f t="shared" si="65"/>
        <v>3906</v>
      </c>
      <c r="F794" s="556">
        <f t="shared" si="66"/>
        <v>4145</v>
      </c>
      <c r="G794" s="556">
        <f t="shared" si="67"/>
        <v>4043</v>
      </c>
    </row>
    <row r="795" spans="1:7" ht="15.75">
      <c r="A795" s="625">
        <f t="shared" si="68"/>
        <v>36575</v>
      </c>
      <c r="B795" s="555">
        <v>36550</v>
      </c>
      <c r="C795" s="555">
        <v>36600</v>
      </c>
      <c r="D795" s="556">
        <f t="shared" si="64"/>
        <v>4151</v>
      </c>
      <c r="E795" s="556">
        <f t="shared" si="65"/>
        <v>3912</v>
      </c>
      <c r="F795" s="556">
        <f t="shared" si="66"/>
        <v>4151</v>
      </c>
      <c r="G795" s="556">
        <f t="shared" si="67"/>
        <v>4049</v>
      </c>
    </row>
    <row r="796" spans="1:7" ht="15.75">
      <c r="A796" s="625">
        <f t="shared" si="68"/>
        <v>36625</v>
      </c>
      <c r="B796" s="555">
        <v>36600</v>
      </c>
      <c r="C796" s="555">
        <v>36650</v>
      </c>
      <c r="D796" s="556">
        <f t="shared" si="64"/>
        <v>4157</v>
      </c>
      <c r="E796" s="556">
        <f t="shared" si="65"/>
        <v>3918</v>
      </c>
      <c r="F796" s="556">
        <f t="shared" si="66"/>
        <v>4157</v>
      </c>
      <c r="G796" s="556">
        <f t="shared" si="67"/>
        <v>4055</v>
      </c>
    </row>
    <row r="797" spans="1:7" ht="15.75">
      <c r="A797" s="625">
        <f t="shared" si="68"/>
        <v>36675</v>
      </c>
      <c r="B797" s="555">
        <v>36650</v>
      </c>
      <c r="C797" s="555">
        <v>36700</v>
      </c>
      <c r="D797" s="556">
        <f t="shared" si="64"/>
        <v>4163</v>
      </c>
      <c r="E797" s="556">
        <f t="shared" si="65"/>
        <v>3924</v>
      </c>
      <c r="F797" s="556">
        <f t="shared" si="66"/>
        <v>4163</v>
      </c>
      <c r="G797" s="556">
        <f t="shared" si="67"/>
        <v>4061</v>
      </c>
    </row>
    <row r="798" spans="1:7" ht="15.75">
      <c r="A798" s="625">
        <f t="shared" si="68"/>
        <v>36725</v>
      </c>
      <c r="B798" s="555">
        <v>36700</v>
      </c>
      <c r="C798" s="555">
        <v>36750</v>
      </c>
      <c r="D798" s="556">
        <f t="shared" si="64"/>
        <v>4169</v>
      </c>
      <c r="E798" s="556">
        <f t="shared" si="65"/>
        <v>3930</v>
      </c>
      <c r="F798" s="556">
        <f t="shared" si="66"/>
        <v>4169</v>
      </c>
      <c r="G798" s="556">
        <f t="shared" si="67"/>
        <v>4067</v>
      </c>
    </row>
    <row r="799" spans="1:7" ht="15.75">
      <c r="A799" s="625">
        <f t="shared" si="68"/>
        <v>36775</v>
      </c>
      <c r="B799" s="555">
        <v>36750</v>
      </c>
      <c r="C799" s="555">
        <v>36800</v>
      </c>
      <c r="D799" s="556">
        <f t="shared" si="64"/>
        <v>4175</v>
      </c>
      <c r="E799" s="556">
        <f t="shared" si="65"/>
        <v>3936</v>
      </c>
      <c r="F799" s="556">
        <f t="shared" si="66"/>
        <v>4175</v>
      </c>
      <c r="G799" s="556">
        <f t="shared" si="67"/>
        <v>4073</v>
      </c>
    </row>
    <row r="800" spans="1:7" ht="15.75">
      <c r="A800" s="625">
        <f t="shared" si="68"/>
        <v>36825</v>
      </c>
      <c r="B800" s="555">
        <v>36800</v>
      </c>
      <c r="C800" s="555">
        <v>36850</v>
      </c>
      <c r="D800" s="556">
        <f t="shared" si="64"/>
        <v>4181</v>
      </c>
      <c r="E800" s="556">
        <f t="shared" si="65"/>
        <v>3942</v>
      </c>
      <c r="F800" s="556">
        <f t="shared" si="66"/>
        <v>4181</v>
      </c>
      <c r="G800" s="556">
        <f t="shared" si="67"/>
        <v>4079</v>
      </c>
    </row>
    <row r="801" spans="1:7" ht="15.75">
      <c r="A801" s="625">
        <f t="shared" si="68"/>
        <v>36875</v>
      </c>
      <c r="B801" s="555">
        <v>36850</v>
      </c>
      <c r="C801" s="555">
        <v>36900</v>
      </c>
      <c r="D801" s="556">
        <f t="shared" si="64"/>
        <v>4187</v>
      </c>
      <c r="E801" s="556">
        <f t="shared" si="65"/>
        <v>3948</v>
      </c>
      <c r="F801" s="556">
        <f t="shared" si="66"/>
        <v>4187</v>
      </c>
      <c r="G801" s="556">
        <f t="shared" si="67"/>
        <v>4085</v>
      </c>
    </row>
    <row r="802" spans="1:7" ht="15.75">
      <c r="A802" s="625">
        <f t="shared" si="68"/>
        <v>36925</v>
      </c>
      <c r="B802" s="555">
        <v>36900</v>
      </c>
      <c r="C802" s="555">
        <v>36950</v>
      </c>
      <c r="D802" s="556">
        <f t="shared" si="64"/>
        <v>4193</v>
      </c>
      <c r="E802" s="556">
        <f t="shared" si="65"/>
        <v>3954</v>
      </c>
      <c r="F802" s="556">
        <f t="shared" si="66"/>
        <v>4193</v>
      </c>
      <c r="G802" s="556">
        <f t="shared" si="67"/>
        <v>4091</v>
      </c>
    </row>
    <row r="803" spans="1:7" ht="15.75">
      <c r="A803" s="625">
        <f t="shared" si="68"/>
        <v>36975</v>
      </c>
      <c r="B803" s="555">
        <v>36950</v>
      </c>
      <c r="C803" s="555">
        <v>37000</v>
      </c>
      <c r="D803" s="556">
        <f t="shared" si="64"/>
        <v>4199</v>
      </c>
      <c r="E803" s="556">
        <f t="shared" si="65"/>
        <v>3960</v>
      </c>
      <c r="F803" s="556">
        <f t="shared" si="66"/>
        <v>4199</v>
      </c>
      <c r="G803" s="556">
        <f t="shared" si="67"/>
        <v>4097</v>
      </c>
    </row>
    <row r="804" spans="1:7" ht="15.75">
      <c r="A804" s="625">
        <f t="shared" si="68"/>
        <v>37025</v>
      </c>
      <c r="B804" s="555">
        <v>37000</v>
      </c>
      <c r="C804" s="555">
        <v>37050</v>
      </c>
      <c r="D804" s="556">
        <f t="shared" si="64"/>
        <v>4205</v>
      </c>
      <c r="E804" s="556">
        <f t="shared" si="65"/>
        <v>3966</v>
      </c>
      <c r="F804" s="556">
        <f t="shared" si="66"/>
        <v>4205</v>
      </c>
      <c r="G804" s="556">
        <f t="shared" si="67"/>
        <v>4103</v>
      </c>
    </row>
    <row r="805" spans="1:7" ht="15.75">
      <c r="A805" s="625">
        <f t="shared" si="68"/>
        <v>37075</v>
      </c>
      <c r="B805" s="555">
        <v>37050</v>
      </c>
      <c r="C805" s="555">
        <v>37100</v>
      </c>
      <c r="D805" s="556">
        <f t="shared" si="64"/>
        <v>4211</v>
      </c>
      <c r="E805" s="556">
        <f t="shared" si="65"/>
        <v>3972</v>
      </c>
      <c r="F805" s="556">
        <f t="shared" si="66"/>
        <v>4211</v>
      </c>
      <c r="G805" s="556">
        <f t="shared" si="67"/>
        <v>4109</v>
      </c>
    </row>
    <row r="806" spans="1:7" ht="15.75">
      <c r="A806" s="625">
        <f t="shared" si="68"/>
        <v>37125</v>
      </c>
      <c r="B806" s="555">
        <v>37100</v>
      </c>
      <c r="C806" s="555">
        <v>37150</v>
      </c>
      <c r="D806" s="556">
        <f t="shared" si="64"/>
        <v>4217</v>
      </c>
      <c r="E806" s="556">
        <f t="shared" si="65"/>
        <v>3978</v>
      </c>
      <c r="F806" s="556">
        <f t="shared" si="66"/>
        <v>4217</v>
      </c>
      <c r="G806" s="556">
        <f t="shared" si="67"/>
        <v>4115</v>
      </c>
    </row>
    <row r="807" spans="1:7" ht="15.75">
      <c r="A807" s="625">
        <f t="shared" si="68"/>
        <v>37175</v>
      </c>
      <c r="B807" s="555">
        <v>37150</v>
      </c>
      <c r="C807" s="555">
        <v>37200</v>
      </c>
      <c r="D807" s="556">
        <f t="shared" si="64"/>
        <v>4223</v>
      </c>
      <c r="E807" s="556">
        <f t="shared" si="65"/>
        <v>3984</v>
      </c>
      <c r="F807" s="556">
        <f t="shared" si="66"/>
        <v>4223</v>
      </c>
      <c r="G807" s="556">
        <f t="shared" si="67"/>
        <v>4121</v>
      </c>
    </row>
    <row r="808" spans="1:7" ht="15.75">
      <c r="A808" s="625">
        <f t="shared" si="68"/>
        <v>37225</v>
      </c>
      <c r="B808" s="555">
        <v>37200</v>
      </c>
      <c r="C808" s="555">
        <v>37250</v>
      </c>
      <c r="D808" s="556">
        <f t="shared" si="64"/>
        <v>4229</v>
      </c>
      <c r="E808" s="556">
        <f t="shared" si="65"/>
        <v>3990</v>
      </c>
      <c r="F808" s="556">
        <f t="shared" si="66"/>
        <v>4229</v>
      </c>
      <c r="G808" s="556">
        <f t="shared" si="67"/>
        <v>4127</v>
      </c>
    </row>
    <row r="809" spans="1:7" ht="15.75">
      <c r="A809" s="625">
        <f t="shared" si="68"/>
        <v>37275</v>
      </c>
      <c r="B809" s="555">
        <v>37250</v>
      </c>
      <c r="C809" s="555">
        <v>37300</v>
      </c>
      <c r="D809" s="556">
        <f t="shared" si="64"/>
        <v>4235</v>
      </c>
      <c r="E809" s="556">
        <f t="shared" si="65"/>
        <v>3996</v>
      </c>
      <c r="F809" s="556">
        <f t="shared" si="66"/>
        <v>4235</v>
      </c>
      <c r="G809" s="556">
        <f t="shared" si="67"/>
        <v>4133</v>
      </c>
    </row>
    <row r="810" spans="1:7" ht="15.75">
      <c r="A810" s="625">
        <f t="shared" si="68"/>
        <v>37325</v>
      </c>
      <c r="B810" s="555">
        <v>37300</v>
      </c>
      <c r="C810" s="555">
        <v>37350</v>
      </c>
      <c r="D810" s="556">
        <f t="shared" si="64"/>
        <v>4241</v>
      </c>
      <c r="E810" s="556">
        <f t="shared" si="65"/>
        <v>4002</v>
      </c>
      <c r="F810" s="556">
        <f t="shared" si="66"/>
        <v>4241</v>
      </c>
      <c r="G810" s="556">
        <f t="shared" si="67"/>
        <v>4139</v>
      </c>
    </row>
    <row r="811" spans="1:7" ht="15.75">
      <c r="A811" s="625">
        <f t="shared" si="68"/>
        <v>37375</v>
      </c>
      <c r="B811" s="555">
        <v>37350</v>
      </c>
      <c r="C811" s="555">
        <v>37400</v>
      </c>
      <c r="D811" s="556">
        <f t="shared" si="64"/>
        <v>4247</v>
      </c>
      <c r="E811" s="556">
        <f t="shared" si="65"/>
        <v>4008</v>
      </c>
      <c r="F811" s="556">
        <f t="shared" si="66"/>
        <v>4247</v>
      </c>
      <c r="G811" s="556">
        <f t="shared" si="67"/>
        <v>4145</v>
      </c>
    </row>
    <row r="812" spans="1:7" ht="15.75">
      <c r="A812" s="625">
        <f t="shared" si="68"/>
        <v>37425</v>
      </c>
      <c r="B812" s="555">
        <v>37400</v>
      </c>
      <c r="C812" s="555">
        <v>37450</v>
      </c>
      <c r="D812" s="556">
        <f t="shared" si="64"/>
        <v>4253</v>
      </c>
      <c r="E812" s="556">
        <f t="shared" si="65"/>
        <v>4014</v>
      </c>
      <c r="F812" s="556">
        <f t="shared" si="66"/>
        <v>4253</v>
      </c>
      <c r="G812" s="556">
        <f t="shared" si="67"/>
        <v>4151</v>
      </c>
    </row>
    <row r="813" spans="1:7" ht="15.75">
      <c r="A813" s="625">
        <f t="shared" si="68"/>
        <v>37475</v>
      </c>
      <c r="B813" s="555">
        <v>37450</v>
      </c>
      <c r="C813" s="555">
        <v>37500</v>
      </c>
      <c r="D813" s="556">
        <f t="shared" si="64"/>
        <v>4259</v>
      </c>
      <c r="E813" s="556">
        <f t="shared" si="65"/>
        <v>4020</v>
      </c>
      <c r="F813" s="556">
        <f t="shared" si="66"/>
        <v>4259</v>
      </c>
      <c r="G813" s="556">
        <f t="shared" si="67"/>
        <v>4157</v>
      </c>
    </row>
    <row r="814" spans="1:7" ht="15.75">
      <c r="A814" s="625">
        <f t="shared" si="68"/>
        <v>37525</v>
      </c>
      <c r="B814" s="555">
        <v>37500</v>
      </c>
      <c r="C814" s="555">
        <v>37550</v>
      </c>
      <c r="D814" s="556">
        <f t="shared" si="64"/>
        <v>4265</v>
      </c>
      <c r="E814" s="556">
        <f t="shared" si="65"/>
        <v>4026</v>
      </c>
      <c r="F814" s="556">
        <f t="shared" si="66"/>
        <v>4265</v>
      </c>
      <c r="G814" s="556">
        <f t="shared" si="67"/>
        <v>4163</v>
      </c>
    </row>
    <row r="815" spans="1:7" ht="15.75">
      <c r="A815" s="625">
        <f t="shared" si="68"/>
        <v>37575</v>
      </c>
      <c r="B815" s="555">
        <v>37550</v>
      </c>
      <c r="C815" s="555">
        <v>37600</v>
      </c>
      <c r="D815" s="556">
        <f t="shared" si="64"/>
        <v>4271</v>
      </c>
      <c r="E815" s="556">
        <f t="shared" si="65"/>
        <v>4032</v>
      </c>
      <c r="F815" s="556">
        <f t="shared" si="66"/>
        <v>4271</v>
      </c>
      <c r="G815" s="556">
        <f t="shared" si="67"/>
        <v>4169</v>
      </c>
    </row>
    <row r="816" spans="1:7" ht="15.75">
      <c r="A816" s="625">
        <f t="shared" si="68"/>
        <v>37625</v>
      </c>
      <c r="B816" s="555">
        <v>37600</v>
      </c>
      <c r="C816" s="555">
        <v>37650</v>
      </c>
      <c r="D816" s="556">
        <f t="shared" si="64"/>
        <v>4277</v>
      </c>
      <c r="E816" s="556">
        <f t="shared" si="65"/>
        <v>4038</v>
      </c>
      <c r="F816" s="556">
        <f t="shared" si="66"/>
        <v>4277</v>
      </c>
      <c r="G816" s="556">
        <f t="shared" si="67"/>
        <v>4175</v>
      </c>
    </row>
    <row r="817" spans="1:7" ht="15.75">
      <c r="A817" s="625">
        <f t="shared" si="68"/>
        <v>37675</v>
      </c>
      <c r="B817" s="555">
        <v>37650</v>
      </c>
      <c r="C817" s="555">
        <v>37700</v>
      </c>
      <c r="D817" s="556">
        <f t="shared" si="64"/>
        <v>4283</v>
      </c>
      <c r="E817" s="556">
        <f t="shared" si="65"/>
        <v>4044</v>
      </c>
      <c r="F817" s="556">
        <f t="shared" si="66"/>
        <v>4283</v>
      </c>
      <c r="G817" s="556">
        <f t="shared" si="67"/>
        <v>4181</v>
      </c>
    </row>
    <row r="818" spans="1:7" ht="15.75">
      <c r="A818" s="625">
        <f t="shared" si="68"/>
        <v>37725</v>
      </c>
      <c r="B818" s="555">
        <v>37700</v>
      </c>
      <c r="C818" s="555">
        <v>37750</v>
      </c>
      <c r="D818" s="556">
        <f t="shared" si="64"/>
        <v>4289</v>
      </c>
      <c r="E818" s="556">
        <f t="shared" si="65"/>
        <v>4050</v>
      </c>
      <c r="F818" s="556">
        <f t="shared" si="66"/>
        <v>4289</v>
      </c>
      <c r="G818" s="556">
        <f t="shared" si="67"/>
        <v>4187</v>
      </c>
    </row>
    <row r="819" spans="1:7" ht="15.75">
      <c r="A819" s="625">
        <f t="shared" si="68"/>
        <v>37775</v>
      </c>
      <c r="B819" s="555">
        <v>37750</v>
      </c>
      <c r="C819" s="555">
        <v>37800</v>
      </c>
      <c r="D819" s="556">
        <f t="shared" si="64"/>
        <v>4295</v>
      </c>
      <c r="E819" s="556">
        <f t="shared" si="65"/>
        <v>4056</v>
      </c>
      <c r="F819" s="556">
        <f t="shared" si="66"/>
        <v>4295</v>
      </c>
      <c r="G819" s="556">
        <f t="shared" si="67"/>
        <v>4193</v>
      </c>
    </row>
    <row r="820" spans="1:7" ht="15.75">
      <c r="A820" s="625">
        <f t="shared" si="68"/>
        <v>37825</v>
      </c>
      <c r="B820" s="555">
        <v>37800</v>
      </c>
      <c r="C820" s="555">
        <v>37850</v>
      </c>
      <c r="D820" s="556">
        <f t="shared" si="64"/>
        <v>4301</v>
      </c>
      <c r="E820" s="556">
        <f t="shared" si="65"/>
        <v>4062</v>
      </c>
      <c r="F820" s="556">
        <f t="shared" si="66"/>
        <v>4301</v>
      </c>
      <c r="G820" s="556">
        <f t="shared" si="67"/>
        <v>4199</v>
      </c>
    </row>
    <row r="821" spans="1:7" ht="15.75">
      <c r="A821" s="625">
        <f t="shared" si="68"/>
        <v>37875</v>
      </c>
      <c r="B821" s="555">
        <v>37850</v>
      </c>
      <c r="C821" s="555">
        <v>37900</v>
      </c>
      <c r="D821" s="556">
        <f t="shared" si="64"/>
        <v>4307</v>
      </c>
      <c r="E821" s="556">
        <f t="shared" si="65"/>
        <v>4068</v>
      </c>
      <c r="F821" s="556">
        <f t="shared" si="66"/>
        <v>4307</v>
      </c>
      <c r="G821" s="556">
        <f t="shared" si="67"/>
        <v>4205</v>
      </c>
    </row>
    <row r="822" spans="1:7" ht="15.75">
      <c r="A822" s="625">
        <f t="shared" si="68"/>
        <v>37925</v>
      </c>
      <c r="B822" s="555">
        <v>37900</v>
      </c>
      <c r="C822" s="555">
        <v>37950</v>
      </c>
      <c r="D822" s="556">
        <f t="shared" si="64"/>
        <v>4313</v>
      </c>
      <c r="E822" s="556">
        <f t="shared" si="65"/>
        <v>4074</v>
      </c>
      <c r="F822" s="556">
        <f t="shared" si="66"/>
        <v>4313</v>
      </c>
      <c r="G822" s="556">
        <f t="shared" si="67"/>
        <v>4211</v>
      </c>
    </row>
    <row r="823" spans="1:7" ht="15.75">
      <c r="A823" s="625">
        <f t="shared" si="68"/>
        <v>37975</v>
      </c>
      <c r="B823" s="555">
        <v>37950</v>
      </c>
      <c r="C823" s="555">
        <v>38000</v>
      </c>
      <c r="D823" s="556">
        <f t="shared" si="64"/>
        <v>4319</v>
      </c>
      <c r="E823" s="556">
        <f t="shared" si="65"/>
        <v>4080</v>
      </c>
      <c r="F823" s="556">
        <f t="shared" si="66"/>
        <v>4319</v>
      </c>
      <c r="G823" s="556">
        <f t="shared" si="67"/>
        <v>4217</v>
      </c>
    </row>
    <row r="824" spans="1:7" ht="15.75">
      <c r="A824" s="625">
        <f t="shared" si="68"/>
        <v>38025</v>
      </c>
      <c r="B824" s="555">
        <v>38000</v>
      </c>
      <c r="C824" s="555">
        <v>38050</v>
      </c>
      <c r="D824" s="556">
        <f t="shared" si="64"/>
        <v>4325</v>
      </c>
      <c r="E824" s="556">
        <f t="shared" si="65"/>
        <v>4086</v>
      </c>
      <c r="F824" s="556">
        <f t="shared" si="66"/>
        <v>4325</v>
      </c>
      <c r="G824" s="556">
        <f t="shared" si="67"/>
        <v>4223</v>
      </c>
    </row>
    <row r="825" spans="1:7" ht="15.75">
      <c r="A825" s="625">
        <f t="shared" si="68"/>
        <v>38075</v>
      </c>
      <c r="B825" s="555">
        <v>38050</v>
      </c>
      <c r="C825" s="555">
        <v>38100</v>
      </c>
      <c r="D825" s="556">
        <f t="shared" si="64"/>
        <v>4331</v>
      </c>
      <c r="E825" s="556">
        <f t="shared" si="65"/>
        <v>4092</v>
      </c>
      <c r="F825" s="556">
        <f t="shared" si="66"/>
        <v>4331</v>
      </c>
      <c r="G825" s="556">
        <f t="shared" si="67"/>
        <v>4229</v>
      </c>
    </row>
    <row r="826" spans="1:7" ht="15.75">
      <c r="A826" s="625">
        <f t="shared" si="68"/>
        <v>38125</v>
      </c>
      <c r="B826" s="555">
        <v>38100</v>
      </c>
      <c r="C826" s="555">
        <v>38150</v>
      </c>
      <c r="D826" s="556">
        <f t="shared" si="64"/>
        <v>4337</v>
      </c>
      <c r="E826" s="556">
        <f t="shared" si="65"/>
        <v>4098</v>
      </c>
      <c r="F826" s="556">
        <f t="shared" si="66"/>
        <v>4337</v>
      </c>
      <c r="G826" s="556">
        <f t="shared" si="67"/>
        <v>4235</v>
      </c>
    </row>
    <row r="827" spans="1:7" ht="15.75">
      <c r="A827" s="625">
        <f t="shared" si="68"/>
        <v>38175</v>
      </c>
      <c r="B827" s="555">
        <v>38150</v>
      </c>
      <c r="C827" s="555">
        <v>38200</v>
      </c>
      <c r="D827" s="556">
        <f t="shared" si="64"/>
        <v>4343</v>
      </c>
      <c r="E827" s="556">
        <f t="shared" si="65"/>
        <v>4104</v>
      </c>
      <c r="F827" s="556">
        <f t="shared" si="66"/>
        <v>4343</v>
      </c>
      <c r="G827" s="556">
        <f t="shared" si="67"/>
        <v>4241</v>
      </c>
    </row>
    <row r="828" spans="1:7" ht="15.75">
      <c r="A828" s="625">
        <f t="shared" si="68"/>
        <v>38225</v>
      </c>
      <c r="B828" s="555">
        <v>38200</v>
      </c>
      <c r="C828" s="555">
        <v>38250</v>
      </c>
      <c r="D828" s="556">
        <f t="shared" si="64"/>
        <v>4349</v>
      </c>
      <c r="E828" s="556">
        <f t="shared" si="65"/>
        <v>4110</v>
      </c>
      <c r="F828" s="556">
        <f t="shared" si="66"/>
        <v>4349</v>
      </c>
      <c r="G828" s="556">
        <f t="shared" si="67"/>
        <v>4247</v>
      </c>
    </row>
    <row r="829" spans="1:7" ht="15.75">
      <c r="A829" s="625">
        <f t="shared" si="68"/>
        <v>38275</v>
      </c>
      <c r="B829" s="555">
        <v>38250</v>
      </c>
      <c r="C829" s="555">
        <v>38300</v>
      </c>
      <c r="D829" s="556">
        <f t="shared" si="64"/>
        <v>4355</v>
      </c>
      <c r="E829" s="556">
        <f t="shared" si="65"/>
        <v>4116</v>
      </c>
      <c r="F829" s="556">
        <f t="shared" si="66"/>
        <v>4355</v>
      </c>
      <c r="G829" s="556">
        <f t="shared" si="67"/>
        <v>4253</v>
      </c>
    </row>
    <row r="830" spans="1:7" ht="15.75">
      <c r="A830" s="625">
        <f t="shared" si="68"/>
        <v>38325</v>
      </c>
      <c r="B830" s="555">
        <v>38300</v>
      </c>
      <c r="C830" s="555">
        <v>38350</v>
      </c>
      <c r="D830" s="556">
        <f t="shared" si="64"/>
        <v>4361</v>
      </c>
      <c r="E830" s="556">
        <f t="shared" si="65"/>
        <v>4122</v>
      </c>
      <c r="F830" s="556">
        <f t="shared" si="66"/>
        <v>4361</v>
      </c>
      <c r="G830" s="556">
        <f t="shared" si="67"/>
        <v>4259</v>
      </c>
    </row>
    <row r="831" spans="1:7" ht="15.75">
      <c r="A831" s="625">
        <f t="shared" si="68"/>
        <v>38375</v>
      </c>
      <c r="B831" s="555">
        <v>38350</v>
      </c>
      <c r="C831" s="555">
        <v>38400</v>
      </c>
      <c r="D831" s="556">
        <f t="shared" si="64"/>
        <v>4367</v>
      </c>
      <c r="E831" s="556">
        <f t="shared" si="65"/>
        <v>4128</v>
      </c>
      <c r="F831" s="556">
        <f t="shared" si="66"/>
        <v>4367</v>
      </c>
      <c r="G831" s="556">
        <f t="shared" si="67"/>
        <v>4265</v>
      </c>
    </row>
    <row r="832" spans="1:7" ht="15.75">
      <c r="A832" s="625">
        <f t="shared" si="68"/>
        <v>38425</v>
      </c>
      <c r="B832" s="555">
        <v>38400</v>
      </c>
      <c r="C832" s="555">
        <v>38450</v>
      </c>
      <c r="D832" s="556">
        <f t="shared" si="64"/>
        <v>4373</v>
      </c>
      <c r="E832" s="556">
        <f t="shared" si="65"/>
        <v>4134</v>
      </c>
      <c r="F832" s="556">
        <f t="shared" si="66"/>
        <v>4373</v>
      </c>
      <c r="G832" s="556">
        <f t="shared" si="67"/>
        <v>4271</v>
      </c>
    </row>
    <row r="833" spans="1:7" ht="15.75">
      <c r="A833" s="625">
        <f t="shared" si="68"/>
        <v>38475</v>
      </c>
      <c r="B833" s="555">
        <v>38450</v>
      </c>
      <c r="C833" s="555">
        <v>38500</v>
      </c>
      <c r="D833" s="556">
        <f t="shared" si="64"/>
        <v>4379</v>
      </c>
      <c r="E833" s="556">
        <f t="shared" si="65"/>
        <v>4140</v>
      </c>
      <c r="F833" s="556">
        <f t="shared" si="66"/>
        <v>4379</v>
      </c>
      <c r="G833" s="556">
        <f t="shared" si="67"/>
        <v>4277</v>
      </c>
    </row>
    <row r="834" spans="1:7" ht="15.75">
      <c r="A834" s="625">
        <f t="shared" si="68"/>
        <v>38525</v>
      </c>
      <c r="B834" s="555">
        <v>38500</v>
      </c>
      <c r="C834" s="555">
        <v>38550</v>
      </c>
      <c r="D834" s="556">
        <f t="shared" ref="D834:D897" si="69">IF($A834&gt;BOTT_A4,ROUND(BASE_A4+RATE_A4*($A834-BOTT_A4),0),IF($A834&gt;BOTT_A3,ROUND(BASE_A3+RATE_A3*($A834-BOTT_A3),0),IF($A834&gt;BOTT_A2,ROUND(BASE_A2+RATE_A2*($A834-BOTT_A2),0),ROUND(RATE_A1*$A834,0))))</f>
        <v>4385</v>
      </c>
      <c r="E834" s="556">
        <f t="shared" ref="E834:E897" si="70">IF($A834&gt;BOTT_B4,ROUND(BASE_B4+RATE_B4*($A834-BOTT_B4),0),IF($A834&gt;BOTT_B3,ROUND(BASE_B3+RATE_B3*($A834-BOTT_B3),0),IF($A834&gt;BOTT_B2,ROUND(BASE_B2+RATE_B2*($A834-BOTT_B2),0),ROUND(RATE_B1*$A834,0))))</f>
        <v>4146</v>
      </c>
      <c r="F834" s="556">
        <f t="shared" ref="F834:F897" si="71">IF($A834&gt;BOTT_C4,ROUND(BASE_C4+RATE_C4*($A834-BOTT_C4),0),IF($A834&gt;BOTT_C3,ROUND(BASE_C3+RATE_C3*($A834-BOTT_C3),0),IF($A834&gt;BOTT_C2,ROUND(BASE_C2+RATE_C2*($A834-BOTT_C2),0),ROUND(RATE_C1*$A834,0))))</f>
        <v>4385</v>
      </c>
      <c r="G834" s="556">
        <f t="shared" ref="G834:G897" si="72">IF($A834&gt;BOTT_D4,ROUND(BASE_D4+RATE_D4*($A834-BOTT_D4),0),IF($A834&gt;BOTT_D3,ROUND(BASE_D3+RATE_D3*($A834-BOTT_D3),0),IF($A834&gt;BOTT_D2,ROUND(BASE_D2+RATE_D2*($A834-BOTT_D2),0),ROUND(RATE_D1*$A834,0))))</f>
        <v>4283</v>
      </c>
    </row>
    <row r="835" spans="1:7" ht="15.75">
      <c r="A835" s="625">
        <f t="shared" ref="A835:A898" si="73">AVERAGE(B835,C835)</f>
        <v>38575</v>
      </c>
      <c r="B835" s="555">
        <v>38550</v>
      </c>
      <c r="C835" s="555">
        <v>38600</v>
      </c>
      <c r="D835" s="556">
        <f t="shared" si="69"/>
        <v>4391</v>
      </c>
      <c r="E835" s="556">
        <f t="shared" si="70"/>
        <v>4152</v>
      </c>
      <c r="F835" s="556">
        <f t="shared" si="71"/>
        <v>4391</v>
      </c>
      <c r="G835" s="556">
        <f t="shared" si="72"/>
        <v>4289</v>
      </c>
    </row>
    <row r="836" spans="1:7" ht="15.75">
      <c r="A836" s="625">
        <f t="shared" si="73"/>
        <v>38625</v>
      </c>
      <c r="B836" s="555">
        <v>38600</v>
      </c>
      <c r="C836" s="555">
        <v>38650</v>
      </c>
      <c r="D836" s="556">
        <f t="shared" si="69"/>
        <v>4397</v>
      </c>
      <c r="E836" s="556">
        <f t="shared" si="70"/>
        <v>4158</v>
      </c>
      <c r="F836" s="556">
        <f t="shared" si="71"/>
        <v>4397</v>
      </c>
      <c r="G836" s="556">
        <f t="shared" si="72"/>
        <v>4295</v>
      </c>
    </row>
    <row r="837" spans="1:7" ht="15.75">
      <c r="A837" s="625">
        <f t="shared" si="73"/>
        <v>38675</v>
      </c>
      <c r="B837" s="555">
        <v>38650</v>
      </c>
      <c r="C837" s="555">
        <v>38700</v>
      </c>
      <c r="D837" s="556">
        <f t="shared" si="69"/>
        <v>4403</v>
      </c>
      <c r="E837" s="556">
        <f t="shared" si="70"/>
        <v>4164</v>
      </c>
      <c r="F837" s="556">
        <f t="shared" si="71"/>
        <v>4403</v>
      </c>
      <c r="G837" s="556">
        <f t="shared" si="72"/>
        <v>4301</v>
      </c>
    </row>
    <row r="838" spans="1:7" ht="15.75">
      <c r="A838" s="625">
        <f t="shared" si="73"/>
        <v>38725</v>
      </c>
      <c r="B838" s="555">
        <v>38700</v>
      </c>
      <c r="C838" s="555">
        <v>38750</v>
      </c>
      <c r="D838" s="556">
        <f t="shared" si="69"/>
        <v>4409</v>
      </c>
      <c r="E838" s="556">
        <f t="shared" si="70"/>
        <v>4170</v>
      </c>
      <c r="F838" s="556">
        <f t="shared" si="71"/>
        <v>4409</v>
      </c>
      <c r="G838" s="556">
        <f t="shared" si="72"/>
        <v>4307</v>
      </c>
    </row>
    <row r="839" spans="1:7" ht="15.75">
      <c r="A839" s="625">
        <f t="shared" si="73"/>
        <v>38775</v>
      </c>
      <c r="B839" s="555">
        <v>38750</v>
      </c>
      <c r="C839" s="555">
        <v>38800</v>
      </c>
      <c r="D839" s="556">
        <f t="shared" si="69"/>
        <v>4415</v>
      </c>
      <c r="E839" s="556">
        <f t="shared" si="70"/>
        <v>4176</v>
      </c>
      <c r="F839" s="556">
        <f t="shared" si="71"/>
        <v>4415</v>
      </c>
      <c r="G839" s="556">
        <f t="shared" si="72"/>
        <v>4313</v>
      </c>
    </row>
    <row r="840" spans="1:7" ht="15.75">
      <c r="A840" s="625">
        <f t="shared" si="73"/>
        <v>38825</v>
      </c>
      <c r="B840" s="555">
        <v>38800</v>
      </c>
      <c r="C840" s="555">
        <v>38850</v>
      </c>
      <c r="D840" s="556">
        <f t="shared" si="69"/>
        <v>4421</v>
      </c>
      <c r="E840" s="556">
        <f t="shared" si="70"/>
        <v>4182</v>
      </c>
      <c r="F840" s="556">
        <f t="shared" si="71"/>
        <v>4421</v>
      </c>
      <c r="G840" s="556">
        <f t="shared" si="72"/>
        <v>4319</v>
      </c>
    </row>
    <row r="841" spans="1:7" ht="15.75">
      <c r="A841" s="625">
        <f t="shared" si="73"/>
        <v>38875</v>
      </c>
      <c r="B841" s="555">
        <v>38850</v>
      </c>
      <c r="C841" s="555">
        <v>38900</v>
      </c>
      <c r="D841" s="556">
        <f t="shared" si="69"/>
        <v>4427</v>
      </c>
      <c r="E841" s="556">
        <f t="shared" si="70"/>
        <v>4188</v>
      </c>
      <c r="F841" s="556">
        <f t="shared" si="71"/>
        <v>4427</v>
      </c>
      <c r="G841" s="556">
        <f t="shared" si="72"/>
        <v>4325</v>
      </c>
    </row>
    <row r="842" spans="1:7" ht="15.75">
      <c r="A842" s="625">
        <f t="shared" si="73"/>
        <v>38925</v>
      </c>
      <c r="B842" s="555">
        <v>38900</v>
      </c>
      <c r="C842" s="555">
        <v>38950</v>
      </c>
      <c r="D842" s="556">
        <f t="shared" si="69"/>
        <v>4433</v>
      </c>
      <c r="E842" s="556">
        <f t="shared" si="70"/>
        <v>4194</v>
      </c>
      <c r="F842" s="556">
        <f t="shared" si="71"/>
        <v>4433</v>
      </c>
      <c r="G842" s="556">
        <f t="shared" si="72"/>
        <v>4331</v>
      </c>
    </row>
    <row r="843" spans="1:7" ht="15.75">
      <c r="A843" s="625">
        <f t="shared" si="73"/>
        <v>38975</v>
      </c>
      <c r="B843" s="555">
        <v>38950</v>
      </c>
      <c r="C843" s="555">
        <v>39000</v>
      </c>
      <c r="D843" s="556">
        <f t="shared" si="69"/>
        <v>4439</v>
      </c>
      <c r="E843" s="556">
        <f t="shared" si="70"/>
        <v>4200</v>
      </c>
      <c r="F843" s="556">
        <f t="shared" si="71"/>
        <v>4439</v>
      </c>
      <c r="G843" s="556">
        <f t="shared" si="72"/>
        <v>4337</v>
      </c>
    </row>
    <row r="844" spans="1:7" ht="15.75">
      <c r="A844" s="625">
        <f t="shared" si="73"/>
        <v>39025</v>
      </c>
      <c r="B844" s="555">
        <v>39000</v>
      </c>
      <c r="C844" s="555">
        <v>39050</v>
      </c>
      <c r="D844" s="556">
        <f t="shared" si="69"/>
        <v>4445</v>
      </c>
      <c r="E844" s="556">
        <f t="shared" si="70"/>
        <v>4206</v>
      </c>
      <c r="F844" s="556">
        <f t="shared" si="71"/>
        <v>4445</v>
      </c>
      <c r="G844" s="556">
        <f t="shared" si="72"/>
        <v>4343</v>
      </c>
    </row>
    <row r="845" spans="1:7" ht="15.75">
      <c r="A845" s="625">
        <f t="shared" si="73"/>
        <v>39075</v>
      </c>
      <c r="B845" s="555">
        <v>39050</v>
      </c>
      <c r="C845" s="555">
        <v>39100</v>
      </c>
      <c r="D845" s="556">
        <f t="shared" si="69"/>
        <v>4451</v>
      </c>
      <c r="E845" s="556">
        <f t="shared" si="70"/>
        <v>4212</v>
      </c>
      <c r="F845" s="556">
        <f t="shared" si="71"/>
        <v>4451</v>
      </c>
      <c r="G845" s="556">
        <f t="shared" si="72"/>
        <v>4349</v>
      </c>
    </row>
    <row r="846" spans="1:7" ht="15.75">
      <c r="A846" s="625">
        <f t="shared" si="73"/>
        <v>39125</v>
      </c>
      <c r="B846" s="555">
        <v>39100</v>
      </c>
      <c r="C846" s="555">
        <v>39150</v>
      </c>
      <c r="D846" s="556">
        <f t="shared" si="69"/>
        <v>4457</v>
      </c>
      <c r="E846" s="556">
        <f t="shared" si="70"/>
        <v>4218</v>
      </c>
      <c r="F846" s="556">
        <f t="shared" si="71"/>
        <v>4457</v>
      </c>
      <c r="G846" s="556">
        <f t="shared" si="72"/>
        <v>4355</v>
      </c>
    </row>
    <row r="847" spans="1:7" ht="15.75">
      <c r="A847" s="625">
        <f t="shared" si="73"/>
        <v>39175</v>
      </c>
      <c r="B847" s="555">
        <v>39150</v>
      </c>
      <c r="C847" s="555">
        <v>39200</v>
      </c>
      <c r="D847" s="556">
        <f t="shared" si="69"/>
        <v>4463</v>
      </c>
      <c r="E847" s="556">
        <f t="shared" si="70"/>
        <v>4224</v>
      </c>
      <c r="F847" s="556">
        <f t="shared" si="71"/>
        <v>4463</v>
      </c>
      <c r="G847" s="556">
        <f t="shared" si="72"/>
        <v>4361</v>
      </c>
    </row>
    <row r="848" spans="1:7" ht="15.75">
      <c r="A848" s="625">
        <f t="shared" si="73"/>
        <v>39225</v>
      </c>
      <c r="B848" s="555">
        <v>39200</v>
      </c>
      <c r="C848" s="555">
        <v>39250</v>
      </c>
      <c r="D848" s="556">
        <f t="shared" si="69"/>
        <v>4469</v>
      </c>
      <c r="E848" s="556">
        <f t="shared" si="70"/>
        <v>4230</v>
      </c>
      <c r="F848" s="556">
        <f t="shared" si="71"/>
        <v>4469</v>
      </c>
      <c r="G848" s="556">
        <f t="shared" si="72"/>
        <v>4367</v>
      </c>
    </row>
    <row r="849" spans="1:7" ht="15.75">
      <c r="A849" s="625">
        <f t="shared" si="73"/>
        <v>39275</v>
      </c>
      <c r="B849" s="555">
        <v>39250</v>
      </c>
      <c r="C849" s="555">
        <v>39300</v>
      </c>
      <c r="D849" s="556">
        <f t="shared" si="69"/>
        <v>4475</v>
      </c>
      <c r="E849" s="556">
        <f t="shared" si="70"/>
        <v>4236</v>
      </c>
      <c r="F849" s="556">
        <f t="shared" si="71"/>
        <v>4475</v>
      </c>
      <c r="G849" s="556">
        <f t="shared" si="72"/>
        <v>4373</v>
      </c>
    </row>
    <row r="850" spans="1:7" ht="15.75">
      <c r="A850" s="625">
        <f t="shared" si="73"/>
        <v>39325</v>
      </c>
      <c r="B850" s="555">
        <v>39300</v>
      </c>
      <c r="C850" s="555">
        <v>39350</v>
      </c>
      <c r="D850" s="556">
        <f t="shared" si="69"/>
        <v>4481</v>
      </c>
      <c r="E850" s="556">
        <f t="shared" si="70"/>
        <v>4242</v>
      </c>
      <c r="F850" s="556">
        <f t="shared" si="71"/>
        <v>4481</v>
      </c>
      <c r="G850" s="556">
        <f t="shared" si="72"/>
        <v>4379</v>
      </c>
    </row>
    <row r="851" spans="1:7" ht="15.75">
      <c r="A851" s="625">
        <f t="shared" si="73"/>
        <v>39375</v>
      </c>
      <c r="B851" s="555">
        <v>39350</v>
      </c>
      <c r="C851" s="555">
        <v>39400</v>
      </c>
      <c r="D851" s="556">
        <f t="shared" si="69"/>
        <v>4487</v>
      </c>
      <c r="E851" s="556">
        <f t="shared" si="70"/>
        <v>4248</v>
      </c>
      <c r="F851" s="556">
        <f t="shared" si="71"/>
        <v>4487</v>
      </c>
      <c r="G851" s="556">
        <f t="shared" si="72"/>
        <v>4385</v>
      </c>
    </row>
    <row r="852" spans="1:7" ht="15.75">
      <c r="A852" s="625">
        <f t="shared" si="73"/>
        <v>39425</v>
      </c>
      <c r="B852" s="555">
        <v>39400</v>
      </c>
      <c r="C852" s="555">
        <v>39450</v>
      </c>
      <c r="D852" s="556">
        <f t="shared" si="69"/>
        <v>4493</v>
      </c>
      <c r="E852" s="556">
        <f t="shared" si="70"/>
        <v>4254</v>
      </c>
      <c r="F852" s="556">
        <f t="shared" si="71"/>
        <v>4493</v>
      </c>
      <c r="G852" s="556">
        <f t="shared" si="72"/>
        <v>4391</v>
      </c>
    </row>
    <row r="853" spans="1:7" ht="15.75">
      <c r="A853" s="625">
        <f t="shared" si="73"/>
        <v>39475</v>
      </c>
      <c r="B853" s="555">
        <v>39450</v>
      </c>
      <c r="C853" s="555">
        <v>39500</v>
      </c>
      <c r="D853" s="556">
        <f t="shared" si="69"/>
        <v>4499</v>
      </c>
      <c r="E853" s="556">
        <f t="shared" si="70"/>
        <v>4260</v>
      </c>
      <c r="F853" s="556">
        <f t="shared" si="71"/>
        <v>4499</v>
      </c>
      <c r="G853" s="556">
        <f t="shared" si="72"/>
        <v>4397</v>
      </c>
    </row>
    <row r="854" spans="1:7" ht="15.75">
      <c r="A854" s="625">
        <f t="shared" si="73"/>
        <v>39525</v>
      </c>
      <c r="B854" s="555">
        <v>39500</v>
      </c>
      <c r="C854" s="555">
        <v>39550</v>
      </c>
      <c r="D854" s="556">
        <f t="shared" si="69"/>
        <v>4505</v>
      </c>
      <c r="E854" s="556">
        <f t="shared" si="70"/>
        <v>4266</v>
      </c>
      <c r="F854" s="556">
        <f t="shared" si="71"/>
        <v>4505</v>
      </c>
      <c r="G854" s="556">
        <f t="shared" si="72"/>
        <v>4403</v>
      </c>
    </row>
    <row r="855" spans="1:7" ht="15.75">
      <c r="A855" s="625">
        <f t="shared" si="73"/>
        <v>39575</v>
      </c>
      <c r="B855" s="555">
        <v>39550</v>
      </c>
      <c r="C855" s="555">
        <v>39600</v>
      </c>
      <c r="D855" s="556">
        <f t="shared" si="69"/>
        <v>4511</v>
      </c>
      <c r="E855" s="556">
        <f t="shared" si="70"/>
        <v>4272</v>
      </c>
      <c r="F855" s="556">
        <f t="shared" si="71"/>
        <v>4511</v>
      </c>
      <c r="G855" s="556">
        <f t="shared" si="72"/>
        <v>4409</v>
      </c>
    </row>
    <row r="856" spans="1:7" ht="15.75">
      <c r="A856" s="625">
        <f t="shared" si="73"/>
        <v>39625</v>
      </c>
      <c r="B856" s="555">
        <v>39600</v>
      </c>
      <c r="C856" s="555">
        <v>39650</v>
      </c>
      <c r="D856" s="556">
        <f t="shared" si="69"/>
        <v>4517</v>
      </c>
      <c r="E856" s="556">
        <f t="shared" si="70"/>
        <v>4278</v>
      </c>
      <c r="F856" s="556">
        <f t="shared" si="71"/>
        <v>4517</v>
      </c>
      <c r="G856" s="556">
        <f t="shared" si="72"/>
        <v>4415</v>
      </c>
    </row>
    <row r="857" spans="1:7" ht="15.75">
      <c r="A857" s="625">
        <f t="shared" si="73"/>
        <v>39675</v>
      </c>
      <c r="B857" s="555">
        <v>39650</v>
      </c>
      <c r="C857" s="555">
        <v>39700</v>
      </c>
      <c r="D857" s="556">
        <f t="shared" si="69"/>
        <v>4523</v>
      </c>
      <c r="E857" s="556">
        <f t="shared" si="70"/>
        <v>4284</v>
      </c>
      <c r="F857" s="556">
        <f t="shared" si="71"/>
        <v>4523</v>
      </c>
      <c r="G857" s="556">
        <f t="shared" si="72"/>
        <v>4421</v>
      </c>
    </row>
    <row r="858" spans="1:7" ht="15.75">
      <c r="A858" s="625">
        <f t="shared" si="73"/>
        <v>39725</v>
      </c>
      <c r="B858" s="555">
        <v>39700</v>
      </c>
      <c r="C858" s="555">
        <v>39750</v>
      </c>
      <c r="D858" s="556">
        <f t="shared" si="69"/>
        <v>4529</v>
      </c>
      <c r="E858" s="556">
        <f t="shared" si="70"/>
        <v>4290</v>
      </c>
      <c r="F858" s="556">
        <f t="shared" si="71"/>
        <v>4529</v>
      </c>
      <c r="G858" s="556">
        <f t="shared" si="72"/>
        <v>4427</v>
      </c>
    </row>
    <row r="859" spans="1:7" ht="15.75">
      <c r="A859" s="625">
        <f t="shared" si="73"/>
        <v>39775</v>
      </c>
      <c r="B859" s="555">
        <v>39750</v>
      </c>
      <c r="C859" s="555">
        <v>39800</v>
      </c>
      <c r="D859" s="556">
        <f t="shared" si="69"/>
        <v>4535</v>
      </c>
      <c r="E859" s="556">
        <f t="shared" si="70"/>
        <v>4296</v>
      </c>
      <c r="F859" s="556">
        <f t="shared" si="71"/>
        <v>4535</v>
      </c>
      <c r="G859" s="556">
        <f t="shared" si="72"/>
        <v>4433</v>
      </c>
    </row>
    <row r="860" spans="1:7" ht="15.75">
      <c r="A860" s="625">
        <f t="shared" si="73"/>
        <v>39825</v>
      </c>
      <c r="B860" s="555">
        <v>39800</v>
      </c>
      <c r="C860" s="555">
        <v>39850</v>
      </c>
      <c r="D860" s="556">
        <f t="shared" si="69"/>
        <v>4541</v>
      </c>
      <c r="E860" s="556">
        <f t="shared" si="70"/>
        <v>4302</v>
      </c>
      <c r="F860" s="556">
        <f t="shared" si="71"/>
        <v>4541</v>
      </c>
      <c r="G860" s="556">
        <f t="shared" si="72"/>
        <v>4439</v>
      </c>
    </row>
    <row r="861" spans="1:7" ht="15.75">
      <c r="A861" s="625">
        <f t="shared" si="73"/>
        <v>39875</v>
      </c>
      <c r="B861" s="555">
        <v>39850</v>
      </c>
      <c r="C861" s="555">
        <v>39900</v>
      </c>
      <c r="D861" s="556">
        <f t="shared" si="69"/>
        <v>4547</v>
      </c>
      <c r="E861" s="556">
        <f t="shared" si="70"/>
        <v>4308</v>
      </c>
      <c r="F861" s="556">
        <f t="shared" si="71"/>
        <v>4547</v>
      </c>
      <c r="G861" s="556">
        <f t="shared" si="72"/>
        <v>4445</v>
      </c>
    </row>
    <row r="862" spans="1:7" ht="15.75">
      <c r="A862" s="625">
        <f t="shared" si="73"/>
        <v>39925</v>
      </c>
      <c r="B862" s="555">
        <v>39900</v>
      </c>
      <c r="C862" s="555">
        <v>39950</v>
      </c>
      <c r="D862" s="556">
        <f t="shared" si="69"/>
        <v>4553</v>
      </c>
      <c r="E862" s="556">
        <f t="shared" si="70"/>
        <v>4314</v>
      </c>
      <c r="F862" s="556">
        <f t="shared" si="71"/>
        <v>4553</v>
      </c>
      <c r="G862" s="556">
        <f t="shared" si="72"/>
        <v>4451</v>
      </c>
    </row>
    <row r="863" spans="1:7" ht="15.75">
      <c r="A863" s="625">
        <f t="shared" si="73"/>
        <v>39975</v>
      </c>
      <c r="B863" s="555">
        <v>39950</v>
      </c>
      <c r="C863" s="555">
        <v>40000</v>
      </c>
      <c r="D863" s="556">
        <f t="shared" si="69"/>
        <v>4559</v>
      </c>
      <c r="E863" s="556">
        <f t="shared" si="70"/>
        <v>4320</v>
      </c>
      <c r="F863" s="556">
        <f t="shared" si="71"/>
        <v>4559</v>
      </c>
      <c r="G863" s="556">
        <f t="shared" si="72"/>
        <v>4457</v>
      </c>
    </row>
    <row r="864" spans="1:7" ht="15.75">
      <c r="A864" s="625">
        <f t="shared" si="73"/>
        <v>40025</v>
      </c>
      <c r="B864" s="555">
        <v>40000</v>
      </c>
      <c r="C864" s="555">
        <v>40050</v>
      </c>
      <c r="D864" s="556">
        <f t="shared" si="69"/>
        <v>4565</v>
      </c>
      <c r="E864" s="556">
        <f t="shared" si="70"/>
        <v>4326</v>
      </c>
      <c r="F864" s="556">
        <f t="shared" si="71"/>
        <v>4565</v>
      </c>
      <c r="G864" s="556">
        <f t="shared" si="72"/>
        <v>4463</v>
      </c>
    </row>
    <row r="865" spans="1:7" ht="15.75">
      <c r="A865" s="625">
        <f t="shared" si="73"/>
        <v>40075</v>
      </c>
      <c r="B865" s="555">
        <v>40050</v>
      </c>
      <c r="C865" s="555">
        <v>40100</v>
      </c>
      <c r="D865" s="556">
        <f t="shared" si="69"/>
        <v>4571</v>
      </c>
      <c r="E865" s="556">
        <f t="shared" si="70"/>
        <v>4332</v>
      </c>
      <c r="F865" s="556">
        <f t="shared" si="71"/>
        <v>4571</v>
      </c>
      <c r="G865" s="556">
        <f t="shared" si="72"/>
        <v>4469</v>
      </c>
    </row>
    <row r="866" spans="1:7" ht="15.75">
      <c r="A866" s="625">
        <f t="shared" si="73"/>
        <v>40125</v>
      </c>
      <c r="B866" s="555">
        <v>40100</v>
      </c>
      <c r="C866" s="555">
        <v>40150</v>
      </c>
      <c r="D866" s="556">
        <f t="shared" si="69"/>
        <v>4577</v>
      </c>
      <c r="E866" s="556">
        <f t="shared" si="70"/>
        <v>4338</v>
      </c>
      <c r="F866" s="556">
        <f t="shared" si="71"/>
        <v>4577</v>
      </c>
      <c r="G866" s="556">
        <f t="shared" si="72"/>
        <v>4475</v>
      </c>
    </row>
    <row r="867" spans="1:7" ht="15.75">
      <c r="A867" s="625">
        <f t="shared" si="73"/>
        <v>40175</v>
      </c>
      <c r="B867" s="555">
        <v>40150</v>
      </c>
      <c r="C867" s="555">
        <v>40200</v>
      </c>
      <c r="D867" s="556">
        <f t="shared" si="69"/>
        <v>4583</v>
      </c>
      <c r="E867" s="556">
        <f t="shared" si="70"/>
        <v>4344</v>
      </c>
      <c r="F867" s="556">
        <f t="shared" si="71"/>
        <v>4583</v>
      </c>
      <c r="G867" s="556">
        <f t="shared" si="72"/>
        <v>4481</v>
      </c>
    </row>
    <row r="868" spans="1:7" ht="15.75">
      <c r="A868" s="625">
        <f t="shared" si="73"/>
        <v>40225</v>
      </c>
      <c r="B868" s="555">
        <v>40200</v>
      </c>
      <c r="C868" s="555">
        <v>40250</v>
      </c>
      <c r="D868" s="556">
        <f t="shared" si="69"/>
        <v>4589</v>
      </c>
      <c r="E868" s="556">
        <f t="shared" si="70"/>
        <v>4350</v>
      </c>
      <c r="F868" s="556">
        <f t="shared" si="71"/>
        <v>4589</v>
      </c>
      <c r="G868" s="556">
        <f t="shared" si="72"/>
        <v>4487</v>
      </c>
    </row>
    <row r="869" spans="1:7" ht="15.75">
      <c r="A869" s="625">
        <f t="shared" si="73"/>
        <v>40275</v>
      </c>
      <c r="B869" s="555">
        <v>40250</v>
      </c>
      <c r="C869" s="555">
        <v>40300</v>
      </c>
      <c r="D869" s="556">
        <f t="shared" si="69"/>
        <v>4595</v>
      </c>
      <c r="E869" s="556">
        <f t="shared" si="70"/>
        <v>4356</v>
      </c>
      <c r="F869" s="556">
        <f t="shared" si="71"/>
        <v>4595</v>
      </c>
      <c r="G869" s="556">
        <f t="shared" si="72"/>
        <v>4493</v>
      </c>
    </row>
    <row r="870" spans="1:7" ht="15.75">
      <c r="A870" s="625">
        <f t="shared" si="73"/>
        <v>40325</v>
      </c>
      <c r="B870" s="555">
        <v>40300</v>
      </c>
      <c r="C870" s="555">
        <v>40350</v>
      </c>
      <c r="D870" s="556">
        <f t="shared" si="69"/>
        <v>4601</v>
      </c>
      <c r="E870" s="556">
        <f t="shared" si="70"/>
        <v>4362</v>
      </c>
      <c r="F870" s="556">
        <f t="shared" si="71"/>
        <v>4601</v>
      </c>
      <c r="G870" s="556">
        <f t="shared" si="72"/>
        <v>4499</v>
      </c>
    </row>
    <row r="871" spans="1:7" ht="15.75">
      <c r="A871" s="625">
        <f t="shared" si="73"/>
        <v>40375</v>
      </c>
      <c r="B871" s="555">
        <v>40350</v>
      </c>
      <c r="C871" s="555">
        <v>40400</v>
      </c>
      <c r="D871" s="556">
        <f t="shared" si="69"/>
        <v>4607</v>
      </c>
      <c r="E871" s="556">
        <f t="shared" si="70"/>
        <v>4368</v>
      </c>
      <c r="F871" s="556">
        <f t="shared" si="71"/>
        <v>4607</v>
      </c>
      <c r="G871" s="556">
        <f t="shared" si="72"/>
        <v>4505</v>
      </c>
    </row>
    <row r="872" spans="1:7" ht="15.75">
      <c r="A872" s="625">
        <f t="shared" si="73"/>
        <v>40425</v>
      </c>
      <c r="B872" s="555">
        <v>40400</v>
      </c>
      <c r="C872" s="555">
        <v>40450</v>
      </c>
      <c r="D872" s="556">
        <f t="shared" si="69"/>
        <v>4613</v>
      </c>
      <c r="E872" s="556">
        <f t="shared" si="70"/>
        <v>4374</v>
      </c>
      <c r="F872" s="556">
        <f t="shared" si="71"/>
        <v>4613</v>
      </c>
      <c r="G872" s="556">
        <f t="shared" si="72"/>
        <v>4511</v>
      </c>
    </row>
    <row r="873" spans="1:7" ht="15.75">
      <c r="A873" s="625">
        <f t="shared" si="73"/>
        <v>40475</v>
      </c>
      <c r="B873" s="555">
        <v>40450</v>
      </c>
      <c r="C873" s="555">
        <v>40500</v>
      </c>
      <c r="D873" s="556">
        <f t="shared" si="69"/>
        <v>4619</v>
      </c>
      <c r="E873" s="556">
        <f t="shared" si="70"/>
        <v>4380</v>
      </c>
      <c r="F873" s="556">
        <f t="shared" si="71"/>
        <v>4619</v>
      </c>
      <c r="G873" s="556">
        <f t="shared" si="72"/>
        <v>4517</v>
      </c>
    </row>
    <row r="874" spans="1:7" ht="15.75">
      <c r="A874" s="625">
        <f t="shared" si="73"/>
        <v>40525</v>
      </c>
      <c r="B874" s="555">
        <v>40500</v>
      </c>
      <c r="C874" s="555">
        <v>40550</v>
      </c>
      <c r="D874" s="556">
        <f t="shared" si="69"/>
        <v>4625</v>
      </c>
      <c r="E874" s="556">
        <f t="shared" si="70"/>
        <v>4386</v>
      </c>
      <c r="F874" s="556">
        <f t="shared" si="71"/>
        <v>4625</v>
      </c>
      <c r="G874" s="556">
        <f t="shared" si="72"/>
        <v>4523</v>
      </c>
    </row>
    <row r="875" spans="1:7" ht="15.75">
      <c r="A875" s="625">
        <f t="shared" si="73"/>
        <v>40575</v>
      </c>
      <c r="B875" s="555">
        <v>40550</v>
      </c>
      <c r="C875" s="555">
        <v>40600</v>
      </c>
      <c r="D875" s="556">
        <f t="shared" si="69"/>
        <v>4631</v>
      </c>
      <c r="E875" s="556">
        <f t="shared" si="70"/>
        <v>4392</v>
      </c>
      <c r="F875" s="556">
        <f t="shared" si="71"/>
        <v>4631</v>
      </c>
      <c r="G875" s="556">
        <f t="shared" si="72"/>
        <v>4529</v>
      </c>
    </row>
    <row r="876" spans="1:7" ht="15.75">
      <c r="A876" s="625">
        <f t="shared" si="73"/>
        <v>40625</v>
      </c>
      <c r="B876" s="555">
        <v>40600</v>
      </c>
      <c r="C876" s="555">
        <v>40650</v>
      </c>
      <c r="D876" s="556">
        <f t="shared" si="69"/>
        <v>4637</v>
      </c>
      <c r="E876" s="556">
        <f t="shared" si="70"/>
        <v>4398</v>
      </c>
      <c r="F876" s="556">
        <f t="shared" si="71"/>
        <v>4637</v>
      </c>
      <c r="G876" s="556">
        <f t="shared" si="72"/>
        <v>4535</v>
      </c>
    </row>
    <row r="877" spans="1:7" ht="15.75">
      <c r="A877" s="625">
        <f t="shared" si="73"/>
        <v>40675</v>
      </c>
      <c r="B877" s="555">
        <v>40650</v>
      </c>
      <c r="C877" s="555">
        <v>40700</v>
      </c>
      <c r="D877" s="556">
        <f t="shared" si="69"/>
        <v>4643</v>
      </c>
      <c r="E877" s="556">
        <f t="shared" si="70"/>
        <v>4404</v>
      </c>
      <c r="F877" s="556">
        <f t="shared" si="71"/>
        <v>4643</v>
      </c>
      <c r="G877" s="556">
        <f t="shared" si="72"/>
        <v>4541</v>
      </c>
    </row>
    <row r="878" spans="1:7" ht="15.75">
      <c r="A878" s="625">
        <f t="shared" si="73"/>
        <v>40725</v>
      </c>
      <c r="B878" s="555">
        <v>40700</v>
      </c>
      <c r="C878" s="555">
        <v>40750</v>
      </c>
      <c r="D878" s="556">
        <f t="shared" si="69"/>
        <v>4649</v>
      </c>
      <c r="E878" s="556">
        <f t="shared" si="70"/>
        <v>4410</v>
      </c>
      <c r="F878" s="556">
        <f t="shared" si="71"/>
        <v>4649</v>
      </c>
      <c r="G878" s="556">
        <f t="shared" si="72"/>
        <v>4547</v>
      </c>
    </row>
    <row r="879" spans="1:7" ht="15.75">
      <c r="A879" s="625">
        <f t="shared" si="73"/>
        <v>40775</v>
      </c>
      <c r="B879" s="555">
        <v>40750</v>
      </c>
      <c r="C879" s="555">
        <v>40800</v>
      </c>
      <c r="D879" s="556">
        <f t="shared" si="69"/>
        <v>4655</v>
      </c>
      <c r="E879" s="556">
        <f t="shared" si="70"/>
        <v>4416</v>
      </c>
      <c r="F879" s="556">
        <f t="shared" si="71"/>
        <v>4655</v>
      </c>
      <c r="G879" s="556">
        <f t="shared" si="72"/>
        <v>4553</v>
      </c>
    </row>
    <row r="880" spans="1:7" ht="15.75">
      <c r="A880" s="625">
        <f t="shared" si="73"/>
        <v>40825</v>
      </c>
      <c r="B880" s="555">
        <v>40800</v>
      </c>
      <c r="C880" s="555">
        <v>40850</v>
      </c>
      <c r="D880" s="556">
        <f t="shared" si="69"/>
        <v>4661</v>
      </c>
      <c r="E880" s="556">
        <f t="shared" si="70"/>
        <v>4422</v>
      </c>
      <c r="F880" s="556">
        <f t="shared" si="71"/>
        <v>4661</v>
      </c>
      <c r="G880" s="556">
        <f t="shared" si="72"/>
        <v>4559</v>
      </c>
    </row>
    <row r="881" spans="1:7" ht="15.75">
      <c r="A881" s="625">
        <f t="shared" si="73"/>
        <v>40875</v>
      </c>
      <c r="B881" s="555">
        <v>40850</v>
      </c>
      <c r="C881" s="555">
        <v>40900</v>
      </c>
      <c r="D881" s="556">
        <f t="shared" si="69"/>
        <v>4667</v>
      </c>
      <c r="E881" s="556">
        <f t="shared" si="70"/>
        <v>4428</v>
      </c>
      <c r="F881" s="556">
        <f t="shared" si="71"/>
        <v>4667</v>
      </c>
      <c r="G881" s="556">
        <f t="shared" si="72"/>
        <v>4565</v>
      </c>
    </row>
    <row r="882" spans="1:7" ht="15.75">
      <c r="A882" s="625">
        <f t="shared" si="73"/>
        <v>40925</v>
      </c>
      <c r="B882" s="555">
        <v>40900</v>
      </c>
      <c r="C882" s="555">
        <v>40950</v>
      </c>
      <c r="D882" s="556">
        <f t="shared" si="69"/>
        <v>4673</v>
      </c>
      <c r="E882" s="556">
        <f t="shared" si="70"/>
        <v>4434</v>
      </c>
      <c r="F882" s="556">
        <f t="shared" si="71"/>
        <v>4673</v>
      </c>
      <c r="G882" s="556">
        <f t="shared" si="72"/>
        <v>4571</v>
      </c>
    </row>
    <row r="883" spans="1:7" ht="15.75">
      <c r="A883" s="625">
        <f t="shared" si="73"/>
        <v>40975</v>
      </c>
      <c r="B883" s="555">
        <v>40950</v>
      </c>
      <c r="C883" s="555">
        <v>41000</v>
      </c>
      <c r="D883" s="556">
        <f t="shared" si="69"/>
        <v>4679</v>
      </c>
      <c r="E883" s="556">
        <f t="shared" si="70"/>
        <v>4440</v>
      </c>
      <c r="F883" s="556">
        <f t="shared" si="71"/>
        <v>4679</v>
      </c>
      <c r="G883" s="556">
        <f t="shared" si="72"/>
        <v>4577</v>
      </c>
    </row>
    <row r="884" spans="1:7" ht="15.75">
      <c r="A884" s="625">
        <f t="shared" si="73"/>
        <v>41025</v>
      </c>
      <c r="B884" s="555">
        <v>41000</v>
      </c>
      <c r="C884" s="555">
        <v>41050</v>
      </c>
      <c r="D884" s="556">
        <f t="shared" si="69"/>
        <v>4685</v>
      </c>
      <c r="E884" s="556">
        <f t="shared" si="70"/>
        <v>4446</v>
      </c>
      <c r="F884" s="556">
        <f t="shared" si="71"/>
        <v>4685</v>
      </c>
      <c r="G884" s="556">
        <f t="shared" si="72"/>
        <v>4583</v>
      </c>
    </row>
    <row r="885" spans="1:7" ht="15.75">
      <c r="A885" s="625">
        <f t="shared" si="73"/>
        <v>41075</v>
      </c>
      <c r="B885" s="555">
        <v>41050</v>
      </c>
      <c r="C885" s="555">
        <v>41100</v>
      </c>
      <c r="D885" s="556">
        <f t="shared" si="69"/>
        <v>4691</v>
      </c>
      <c r="E885" s="556">
        <f t="shared" si="70"/>
        <v>4452</v>
      </c>
      <c r="F885" s="556">
        <f t="shared" si="71"/>
        <v>4691</v>
      </c>
      <c r="G885" s="556">
        <f t="shared" si="72"/>
        <v>4589</v>
      </c>
    </row>
    <row r="886" spans="1:7" ht="15.75">
      <c r="A886" s="625">
        <f t="shared" si="73"/>
        <v>41125</v>
      </c>
      <c r="B886" s="555">
        <v>41100</v>
      </c>
      <c r="C886" s="555">
        <v>41150</v>
      </c>
      <c r="D886" s="556">
        <f t="shared" si="69"/>
        <v>4697</v>
      </c>
      <c r="E886" s="556">
        <f t="shared" si="70"/>
        <v>4458</v>
      </c>
      <c r="F886" s="556">
        <f t="shared" si="71"/>
        <v>4697</v>
      </c>
      <c r="G886" s="556">
        <f t="shared" si="72"/>
        <v>4595</v>
      </c>
    </row>
    <row r="887" spans="1:7" ht="15.75">
      <c r="A887" s="625">
        <f t="shared" si="73"/>
        <v>41175</v>
      </c>
      <c r="B887" s="555">
        <v>41150</v>
      </c>
      <c r="C887" s="555">
        <v>41200</v>
      </c>
      <c r="D887" s="556">
        <f t="shared" si="69"/>
        <v>4703</v>
      </c>
      <c r="E887" s="556">
        <f t="shared" si="70"/>
        <v>4464</v>
      </c>
      <c r="F887" s="556">
        <f t="shared" si="71"/>
        <v>4703</v>
      </c>
      <c r="G887" s="556">
        <f t="shared" si="72"/>
        <v>4601</v>
      </c>
    </row>
    <row r="888" spans="1:7" ht="15.75">
      <c r="A888" s="625">
        <f t="shared" si="73"/>
        <v>41225</v>
      </c>
      <c r="B888" s="555">
        <v>41200</v>
      </c>
      <c r="C888" s="555">
        <v>41250</v>
      </c>
      <c r="D888" s="556">
        <f t="shared" si="69"/>
        <v>4709</v>
      </c>
      <c r="E888" s="556">
        <f t="shared" si="70"/>
        <v>4470</v>
      </c>
      <c r="F888" s="556">
        <f t="shared" si="71"/>
        <v>4709</v>
      </c>
      <c r="G888" s="556">
        <f t="shared" si="72"/>
        <v>4607</v>
      </c>
    </row>
    <row r="889" spans="1:7" ht="15.75">
      <c r="A889" s="625">
        <f t="shared" si="73"/>
        <v>41275</v>
      </c>
      <c r="B889" s="555">
        <v>41250</v>
      </c>
      <c r="C889" s="555">
        <v>41300</v>
      </c>
      <c r="D889" s="556">
        <f t="shared" si="69"/>
        <v>4715</v>
      </c>
      <c r="E889" s="556">
        <f t="shared" si="70"/>
        <v>4476</v>
      </c>
      <c r="F889" s="556">
        <f t="shared" si="71"/>
        <v>4715</v>
      </c>
      <c r="G889" s="556">
        <f t="shared" si="72"/>
        <v>4613</v>
      </c>
    </row>
    <row r="890" spans="1:7" ht="15.75">
      <c r="A890" s="625">
        <f t="shared" si="73"/>
        <v>41325</v>
      </c>
      <c r="B890" s="555">
        <v>41300</v>
      </c>
      <c r="C890" s="555">
        <v>41350</v>
      </c>
      <c r="D890" s="556">
        <f t="shared" si="69"/>
        <v>4721</v>
      </c>
      <c r="E890" s="556">
        <f t="shared" si="70"/>
        <v>4482</v>
      </c>
      <c r="F890" s="556">
        <f t="shared" si="71"/>
        <v>4721</v>
      </c>
      <c r="G890" s="556">
        <f t="shared" si="72"/>
        <v>4619</v>
      </c>
    </row>
    <row r="891" spans="1:7" ht="15.75">
      <c r="A891" s="625">
        <f t="shared" si="73"/>
        <v>41375</v>
      </c>
      <c r="B891" s="555">
        <v>41350</v>
      </c>
      <c r="C891" s="555">
        <v>41400</v>
      </c>
      <c r="D891" s="556">
        <f t="shared" si="69"/>
        <v>4727</v>
      </c>
      <c r="E891" s="556">
        <f t="shared" si="70"/>
        <v>4488</v>
      </c>
      <c r="F891" s="556">
        <f t="shared" si="71"/>
        <v>4727</v>
      </c>
      <c r="G891" s="556">
        <f t="shared" si="72"/>
        <v>4625</v>
      </c>
    </row>
    <row r="892" spans="1:7" ht="15.75">
      <c r="A892" s="625">
        <f t="shared" si="73"/>
        <v>41425</v>
      </c>
      <c r="B892" s="555">
        <v>41400</v>
      </c>
      <c r="C892" s="555">
        <v>41450</v>
      </c>
      <c r="D892" s="556">
        <f t="shared" si="69"/>
        <v>4733</v>
      </c>
      <c r="E892" s="556">
        <f t="shared" si="70"/>
        <v>4494</v>
      </c>
      <c r="F892" s="556">
        <f t="shared" si="71"/>
        <v>4733</v>
      </c>
      <c r="G892" s="556">
        <f t="shared" si="72"/>
        <v>4631</v>
      </c>
    </row>
    <row r="893" spans="1:7" ht="15.75">
      <c r="A893" s="625">
        <f t="shared" si="73"/>
        <v>41475</v>
      </c>
      <c r="B893" s="555">
        <v>41450</v>
      </c>
      <c r="C893" s="555">
        <v>41500</v>
      </c>
      <c r="D893" s="556">
        <f t="shared" si="69"/>
        <v>4739</v>
      </c>
      <c r="E893" s="556">
        <f t="shared" si="70"/>
        <v>4500</v>
      </c>
      <c r="F893" s="556">
        <f t="shared" si="71"/>
        <v>4739</v>
      </c>
      <c r="G893" s="556">
        <f t="shared" si="72"/>
        <v>4637</v>
      </c>
    </row>
    <row r="894" spans="1:7" ht="15.75">
      <c r="A894" s="625">
        <f t="shared" si="73"/>
        <v>41525</v>
      </c>
      <c r="B894" s="555">
        <v>41500</v>
      </c>
      <c r="C894" s="555">
        <v>41550</v>
      </c>
      <c r="D894" s="556">
        <f t="shared" si="69"/>
        <v>4745</v>
      </c>
      <c r="E894" s="556">
        <f t="shared" si="70"/>
        <v>4506</v>
      </c>
      <c r="F894" s="556">
        <f t="shared" si="71"/>
        <v>4745</v>
      </c>
      <c r="G894" s="556">
        <f t="shared" si="72"/>
        <v>4643</v>
      </c>
    </row>
    <row r="895" spans="1:7" ht="15.75">
      <c r="A895" s="625">
        <f t="shared" si="73"/>
        <v>41575</v>
      </c>
      <c r="B895" s="555">
        <v>41550</v>
      </c>
      <c r="C895" s="555">
        <v>41600</v>
      </c>
      <c r="D895" s="556">
        <f t="shared" si="69"/>
        <v>4751</v>
      </c>
      <c r="E895" s="556">
        <f t="shared" si="70"/>
        <v>4512</v>
      </c>
      <c r="F895" s="556">
        <f t="shared" si="71"/>
        <v>4751</v>
      </c>
      <c r="G895" s="556">
        <f t="shared" si="72"/>
        <v>4649</v>
      </c>
    </row>
    <row r="896" spans="1:7" ht="15.75">
      <c r="A896" s="625">
        <f t="shared" si="73"/>
        <v>41625</v>
      </c>
      <c r="B896" s="555">
        <v>41600</v>
      </c>
      <c r="C896" s="555">
        <v>41650</v>
      </c>
      <c r="D896" s="556">
        <f t="shared" si="69"/>
        <v>4757</v>
      </c>
      <c r="E896" s="556">
        <f t="shared" si="70"/>
        <v>4518</v>
      </c>
      <c r="F896" s="556">
        <f t="shared" si="71"/>
        <v>4757</v>
      </c>
      <c r="G896" s="556">
        <f t="shared" si="72"/>
        <v>4655</v>
      </c>
    </row>
    <row r="897" spans="1:7" ht="15.75">
      <c r="A897" s="625">
        <f t="shared" si="73"/>
        <v>41675</v>
      </c>
      <c r="B897" s="555">
        <v>41650</v>
      </c>
      <c r="C897" s="555">
        <v>41700</v>
      </c>
      <c r="D897" s="556">
        <f t="shared" si="69"/>
        <v>4763</v>
      </c>
      <c r="E897" s="556">
        <f t="shared" si="70"/>
        <v>4524</v>
      </c>
      <c r="F897" s="556">
        <f t="shared" si="71"/>
        <v>4763</v>
      </c>
      <c r="G897" s="556">
        <f t="shared" si="72"/>
        <v>4661</v>
      </c>
    </row>
    <row r="898" spans="1:7" ht="15.75">
      <c r="A898" s="625">
        <f t="shared" si="73"/>
        <v>41725</v>
      </c>
      <c r="B898" s="555">
        <v>41700</v>
      </c>
      <c r="C898" s="555">
        <v>41750</v>
      </c>
      <c r="D898" s="556">
        <f t="shared" ref="D898:D961" si="74">IF($A898&gt;BOTT_A4,ROUND(BASE_A4+RATE_A4*($A898-BOTT_A4),0),IF($A898&gt;BOTT_A3,ROUND(BASE_A3+RATE_A3*($A898-BOTT_A3),0),IF($A898&gt;BOTT_A2,ROUND(BASE_A2+RATE_A2*($A898-BOTT_A2),0),ROUND(RATE_A1*$A898,0))))</f>
        <v>4769</v>
      </c>
      <c r="E898" s="556">
        <f t="shared" ref="E898:E961" si="75">IF($A898&gt;BOTT_B4,ROUND(BASE_B4+RATE_B4*($A898-BOTT_B4),0),IF($A898&gt;BOTT_B3,ROUND(BASE_B3+RATE_B3*($A898-BOTT_B3),0),IF($A898&gt;BOTT_B2,ROUND(BASE_B2+RATE_B2*($A898-BOTT_B2),0),ROUND(RATE_B1*$A898,0))))</f>
        <v>4530</v>
      </c>
      <c r="F898" s="556">
        <f t="shared" ref="F898:F961" si="76">IF($A898&gt;BOTT_C4,ROUND(BASE_C4+RATE_C4*($A898-BOTT_C4),0),IF($A898&gt;BOTT_C3,ROUND(BASE_C3+RATE_C3*($A898-BOTT_C3),0),IF($A898&gt;BOTT_C2,ROUND(BASE_C2+RATE_C2*($A898-BOTT_C2),0),ROUND(RATE_C1*$A898,0))))</f>
        <v>4769</v>
      </c>
      <c r="G898" s="556">
        <f t="shared" ref="G898:G961" si="77">IF($A898&gt;BOTT_D4,ROUND(BASE_D4+RATE_D4*($A898-BOTT_D4),0),IF($A898&gt;BOTT_D3,ROUND(BASE_D3+RATE_D3*($A898-BOTT_D3),0),IF($A898&gt;BOTT_D2,ROUND(BASE_D2+RATE_D2*($A898-BOTT_D2),0),ROUND(RATE_D1*$A898,0))))</f>
        <v>4667</v>
      </c>
    </row>
    <row r="899" spans="1:7" ht="15.75">
      <c r="A899" s="625">
        <f t="shared" ref="A899:A962" si="78">AVERAGE(B899,C899)</f>
        <v>41775</v>
      </c>
      <c r="B899" s="555">
        <v>41750</v>
      </c>
      <c r="C899" s="555">
        <v>41800</v>
      </c>
      <c r="D899" s="556">
        <f t="shared" si="74"/>
        <v>4775</v>
      </c>
      <c r="E899" s="556">
        <f t="shared" si="75"/>
        <v>4536</v>
      </c>
      <c r="F899" s="556">
        <f t="shared" si="76"/>
        <v>4775</v>
      </c>
      <c r="G899" s="556">
        <f t="shared" si="77"/>
        <v>4673</v>
      </c>
    </row>
    <row r="900" spans="1:7" ht="15.75">
      <c r="A900" s="625">
        <f t="shared" si="78"/>
        <v>41825</v>
      </c>
      <c r="B900" s="555">
        <v>41800</v>
      </c>
      <c r="C900" s="555">
        <v>41850</v>
      </c>
      <c r="D900" s="556">
        <f t="shared" si="74"/>
        <v>4781</v>
      </c>
      <c r="E900" s="556">
        <f t="shared" si="75"/>
        <v>4542</v>
      </c>
      <c r="F900" s="556">
        <f t="shared" si="76"/>
        <v>4781</v>
      </c>
      <c r="G900" s="556">
        <f t="shared" si="77"/>
        <v>4679</v>
      </c>
    </row>
    <row r="901" spans="1:7" ht="15.75">
      <c r="A901" s="625">
        <f t="shared" si="78"/>
        <v>41875</v>
      </c>
      <c r="B901" s="555">
        <v>41850</v>
      </c>
      <c r="C901" s="555">
        <v>41900</v>
      </c>
      <c r="D901" s="556">
        <f t="shared" si="74"/>
        <v>4787</v>
      </c>
      <c r="E901" s="556">
        <f t="shared" si="75"/>
        <v>4548</v>
      </c>
      <c r="F901" s="556">
        <f t="shared" si="76"/>
        <v>4787</v>
      </c>
      <c r="G901" s="556">
        <f t="shared" si="77"/>
        <v>4685</v>
      </c>
    </row>
    <row r="902" spans="1:7" ht="15.75">
      <c r="A902" s="625">
        <f t="shared" si="78"/>
        <v>41925</v>
      </c>
      <c r="B902" s="555">
        <v>41900</v>
      </c>
      <c r="C902" s="555">
        <v>41950</v>
      </c>
      <c r="D902" s="556">
        <f t="shared" si="74"/>
        <v>4793</v>
      </c>
      <c r="E902" s="556">
        <f t="shared" si="75"/>
        <v>4554</v>
      </c>
      <c r="F902" s="556">
        <f t="shared" si="76"/>
        <v>4793</v>
      </c>
      <c r="G902" s="556">
        <f t="shared" si="77"/>
        <v>4691</v>
      </c>
    </row>
    <row r="903" spans="1:7" ht="15.75">
      <c r="A903" s="625">
        <f t="shared" si="78"/>
        <v>41975</v>
      </c>
      <c r="B903" s="555">
        <v>41950</v>
      </c>
      <c r="C903" s="555">
        <v>42000</v>
      </c>
      <c r="D903" s="556">
        <f t="shared" si="74"/>
        <v>4799</v>
      </c>
      <c r="E903" s="556">
        <f t="shared" si="75"/>
        <v>4560</v>
      </c>
      <c r="F903" s="556">
        <f t="shared" si="76"/>
        <v>4799</v>
      </c>
      <c r="G903" s="556">
        <f t="shared" si="77"/>
        <v>4697</v>
      </c>
    </row>
    <row r="904" spans="1:7" ht="15.75">
      <c r="A904" s="625">
        <f t="shared" si="78"/>
        <v>42025</v>
      </c>
      <c r="B904" s="555">
        <v>42000</v>
      </c>
      <c r="C904" s="555">
        <v>42050</v>
      </c>
      <c r="D904" s="556">
        <f t="shared" si="74"/>
        <v>4805</v>
      </c>
      <c r="E904" s="556">
        <f t="shared" si="75"/>
        <v>4566</v>
      </c>
      <c r="F904" s="556">
        <f t="shared" si="76"/>
        <v>4805</v>
      </c>
      <c r="G904" s="556">
        <f t="shared" si="77"/>
        <v>4703</v>
      </c>
    </row>
    <row r="905" spans="1:7" ht="15.75">
      <c r="A905" s="625">
        <f t="shared" si="78"/>
        <v>42075</v>
      </c>
      <c r="B905" s="555">
        <v>42050</v>
      </c>
      <c r="C905" s="555">
        <v>42100</v>
      </c>
      <c r="D905" s="556">
        <f t="shared" si="74"/>
        <v>4811</v>
      </c>
      <c r="E905" s="556">
        <f t="shared" si="75"/>
        <v>4572</v>
      </c>
      <c r="F905" s="556">
        <f t="shared" si="76"/>
        <v>4811</v>
      </c>
      <c r="G905" s="556">
        <f t="shared" si="77"/>
        <v>4709</v>
      </c>
    </row>
    <row r="906" spans="1:7" ht="15.75">
      <c r="A906" s="625">
        <f t="shared" si="78"/>
        <v>42125</v>
      </c>
      <c r="B906" s="555">
        <v>42100</v>
      </c>
      <c r="C906" s="555">
        <v>42150</v>
      </c>
      <c r="D906" s="556">
        <f t="shared" si="74"/>
        <v>4817</v>
      </c>
      <c r="E906" s="556">
        <f t="shared" si="75"/>
        <v>4578</v>
      </c>
      <c r="F906" s="556">
        <f t="shared" si="76"/>
        <v>4817</v>
      </c>
      <c r="G906" s="556">
        <f t="shared" si="77"/>
        <v>4715</v>
      </c>
    </row>
    <row r="907" spans="1:7" ht="15.75">
      <c r="A907" s="625">
        <f t="shared" si="78"/>
        <v>42175</v>
      </c>
      <c r="B907" s="555">
        <v>42150</v>
      </c>
      <c r="C907" s="555">
        <v>42200</v>
      </c>
      <c r="D907" s="556">
        <f t="shared" si="74"/>
        <v>4823</v>
      </c>
      <c r="E907" s="556">
        <f t="shared" si="75"/>
        <v>4584</v>
      </c>
      <c r="F907" s="556">
        <f t="shared" si="76"/>
        <v>4823</v>
      </c>
      <c r="G907" s="556">
        <f t="shared" si="77"/>
        <v>4721</v>
      </c>
    </row>
    <row r="908" spans="1:7" ht="15.75">
      <c r="A908" s="625">
        <f t="shared" si="78"/>
        <v>42225</v>
      </c>
      <c r="B908" s="555">
        <v>42200</v>
      </c>
      <c r="C908" s="555">
        <v>42250</v>
      </c>
      <c r="D908" s="556">
        <f t="shared" si="74"/>
        <v>4829</v>
      </c>
      <c r="E908" s="556">
        <f t="shared" si="75"/>
        <v>4590</v>
      </c>
      <c r="F908" s="556">
        <f t="shared" si="76"/>
        <v>4829</v>
      </c>
      <c r="G908" s="556">
        <f t="shared" si="77"/>
        <v>4727</v>
      </c>
    </row>
    <row r="909" spans="1:7" ht="15.75">
      <c r="A909" s="625">
        <f t="shared" si="78"/>
        <v>42275</v>
      </c>
      <c r="B909" s="555">
        <v>42250</v>
      </c>
      <c r="C909" s="555">
        <v>42300</v>
      </c>
      <c r="D909" s="556">
        <f t="shared" si="74"/>
        <v>4835</v>
      </c>
      <c r="E909" s="556">
        <f t="shared" si="75"/>
        <v>4596</v>
      </c>
      <c r="F909" s="556">
        <f t="shared" si="76"/>
        <v>4835</v>
      </c>
      <c r="G909" s="556">
        <f t="shared" si="77"/>
        <v>4733</v>
      </c>
    </row>
    <row r="910" spans="1:7" ht="15.75">
      <c r="A910" s="625">
        <f t="shared" si="78"/>
        <v>42325</v>
      </c>
      <c r="B910" s="555">
        <v>42300</v>
      </c>
      <c r="C910" s="555">
        <v>42350</v>
      </c>
      <c r="D910" s="556">
        <f t="shared" si="74"/>
        <v>4841</v>
      </c>
      <c r="E910" s="556">
        <f t="shared" si="75"/>
        <v>4602</v>
      </c>
      <c r="F910" s="556">
        <f t="shared" si="76"/>
        <v>4841</v>
      </c>
      <c r="G910" s="556">
        <f t="shared" si="77"/>
        <v>4739</v>
      </c>
    </row>
    <row r="911" spans="1:7" ht="15.75">
      <c r="A911" s="625">
        <f t="shared" si="78"/>
        <v>42375</v>
      </c>
      <c r="B911" s="555">
        <v>42350</v>
      </c>
      <c r="C911" s="555">
        <v>42400</v>
      </c>
      <c r="D911" s="556">
        <f t="shared" si="74"/>
        <v>4847</v>
      </c>
      <c r="E911" s="556">
        <f t="shared" si="75"/>
        <v>4608</v>
      </c>
      <c r="F911" s="556">
        <f t="shared" si="76"/>
        <v>4847</v>
      </c>
      <c r="G911" s="556">
        <f t="shared" si="77"/>
        <v>4745</v>
      </c>
    </row>
    <row r="912" spans="1:7" ht="15.75">
      <c r="A912" s="625">
        <f t="shared" si="78"/>
        <v>42425</v>
      </c>
      <c r="B912" s="555">
        <v>42400</v>
      </c>
      <c r="C912" s="555">
        <v>42450</v>
      </c>
      <c r="D912" s="556">
        <f t="shared" si="74"/>
        <v>4853</v>
      </c>
      <c r="E912" s="556">
        <f t="shared" si="75"/>
        <v>4614</v>
      </c>
      <c r="F912" s="556">
        <f t="shared" si="76"/>
        <v>4853</v>
      </c>
      <c r="G912" s="556">
        <f t="shared" si="77"/>
        <v>4751</v>
      </c>
    </row>
    <row r="913" spans="1:7" ht="15.75">
      <c r="A913" s="625">
        <f t="shared" si="78"/>
        <v>42475</v>
      </c>
      <c r="B913" s="555">
        <v>42450</v>
      </c>
      <c r="C913" s="555">
        <v>42500</v>
      </c>
      <c r="D913" s="556">
        <f t="shared" si="74"/>
        <v>4859</v>
      </c>
      <c r="E913" s="556">
        <f t="shared" si="75"/>
        <v>4620</v>
      </c>
      <c r="F913" s="556">
        <f t="shared" si="76"/>
        <v>4859</v>
      </c>
      <c r="G913" s="556">
        <f t="shared" si="77"/>
        <v>4757</v>
      </c>
    </row>
    <row r="914" spans="1:7" ht="15.75">
      <c r="A914" s="625">
        <f t="shared" si="78"/>
        <v>42525</v>
      </c>
      <c r="B914" s="555">
        <v>42500</v>
      </c>
      <c r="C914" s="555">
        <v>42550</v>
      </c>
      <c r="D914" s="556">
        <f t="shared" si="74"/>
        <v>4865</v>
      </c>
      <c r="E914" s="556">
        <f t="shared" si="75"/>
        <v>4626</v>
      </c>
      <c r="F914" s="556">
        <f t="shared" si="76"/>
        <v>4865</v>
      </c>
      <c r="G914" s="556">
        <f t="shared" si="77"/>
        <v>4763</v>
      </c>
    </row>
    <row r="915" spans="1:7" ht="15.75">
      <c r="A915" s="625">
        <f t="shared" si="78"/>
        <v>42575</v>
      </c>
      <c r="B915" s="555">
        <v>42550</v>
      </c>
      <c r="C915" s="555">
        <v>42600</v>
      </c>
      <c r="D915" s="556">
        <f t="shared" si="74"/>
        <v>4871</v>
      </c>
      <c r="E915" s="556">
        <f t="shared" si="75"/>
        <v>4632</v>
      </c>
      <c r="F915" s="556">
        <f t="shared" si="76"/>
        <v>4871</v>
      </c>
      <c r="G915" s="556">
        <f t="shared" si="77"/>
        <v>4769</v>
      </c>
    </row>
    <row r="916" spans="1:7" ht="15.75">
      <c r="A916" s="625">
        <f t="shared" si="78"/>
        <v>42625</v>
      </c>
      <c r="B916" s="555">
        <v>42600</v>
      </c>
      <c r="C916" s="555">
        <v>42650</v>
      </c>
      <c r="D916" s="556">
        <f t="shared" si="74"/>
        <v>4877</v>
      </c>
      <c r="E916" s="556">
        <f t="shared" si="75"/>
        <v>4638</v>
      </c>
      <c r="F916" s="556">
        <f t="shared" si="76"/>
        <v>4877</v>
      </c>
      <c r="G916" s="556">
        <f t="shared" si="77"/>
        <v>4775</v>
      </c>
    </row>
    <row r="917" spans="1:7" ht="15.75">
      <c r="A917" s="625">
        <f t="shared" si="78"/>
        <v>42675</v>
      </c>
      <c r="B917" s="555">
        <v>42650</v>
      </c>
      <c r="C917" s="555">
        <v>42700</v>
      </c>
      <c r="D917" s="556">
        <f t="shared" si="74"/>
        <v>4883</v>
      </c>
      <c r="E917" s="556">
        <f t="shared" si="75"/>
        <v>4644</v>
      </c>
      <c r="F917" s="556">
        <f t="shared" si="76"/>
        <v>4883</v>
      </c>
      <c r="G917" s="556">
        <f t="shared" si="77"/>
        <v>4781</v>
      </c>
    </row>
    <row r="918" spans="1:7" ht="15.75">
      <c r="A918" s="625">
        <f t="shared" si="78"/>
        <v>42725</v>
      </c>
      <c r="B918" s="555">
        <v>42700</v>
      </c>
      <c r="C918" s="555">
        <v>42750</v>
      </c>
      <c r="D918" s="556">
        <f t="shared" si="74"/>
        <v>4889</v>
      </c>
      <c r="E918" s="556">
        <f t="shared" si="75"/>
        <v>4650</v>
      </c>
      <c r="F918" s="556">
        <f t="shared" si="76"/>
        <v>4889</v>
      </c>
      <c r="G918" s="556">
        <f t="shared" si="77"/>
        <v>4787</v>
      </c>
    </row>
    <row r="919" spans="1:7" ht="15.75">
      <c r="A919" s="625">
        <f t="shared" si="78"/>
        <v>42775</v>
      </c>
      <c r="B919" s="555">
        <v>42750</v>
      </c>
      <c r="C919" s="555">
        <v>42800</v>
      </c>
      <c r="D919" s="556">
        <f t="shared" si="74"/>
        <v>4895</v>
      </c>
      <c r="E919" s="556">
        <f t="shared" si="75"/>
        <v>4656</v>
      </c>
      <c r="F919" s="556">
        <f t="shared" si="76"/>
        <v>4895</v>
      </c>
      <c r="G919" s="556">
        <f t="shared" si="77"/>
        <v>4793</v>
      </c>
    </row>
    <row r="920" spans="1:7" ht="15.75">
      <c r="A920" s="625">
        <f t="shared" si="78"/>
        <v>42825</v>
      </c>
      <c r="B920" s="555">
        <v>42800</v>
      </c>
      <c r="C920" s="555">
        <v>42850</v>
      </c>
      <c r="D920" s="556">
        <f t="shared" si="74"/>
        <v>4901</v>
      </c>
      <c r="E920" s="556">
        <f t="shared" si="75"/>
        <v>4662</v>
      </c>
      <c r="F920" s="556">
        <f t="shared" si="76"/>
        <v>4901</v>
      </c>
      <c r="G920" s="556">
        <f t="shared" si="77"/>
        <v>4799</v>
      </c>
    </row>
    <row r="921" spans="1:7" ht="15.75">
      <c r="A921" s="625">
        <f t="shared" si="78"/>
        <v>42875</v>
      </c>
      <c r="B921" s="555">
        <v>42850</v>
      </c>
      <c r="C921" s="555">
        <v>42900</v>
      </c>
      <c r="D921" s="556">
        <f t="shared" si="74"/>
        <v>4907</v>
      </c>
      <c r="E921" s="556">
        <f t="shared" si="75"/>
        <v>4668</v>
      </c>
      <c r="F921" s="556">
        <f t="shared" si="76"/>
        <v>4907</v>
      </c>
      <c r="G921" s="556">
        <f t="shared" si="77"/>
        <v>4805</v>
      </c>
    </row>
    <row r="922" spans="1:7" ht="15.75">
      <c r="A922" s="625">
        <f t="shared" si="78"/>
        <v>42925</v>
      </c>
      <c r="B922" s="555">
        <v>42900</v>
      </c>
      <c r="C922" s="555">
        <v>42950</v>
      </c>
      <c r="D922" s="556">
        <f t="shared" si="74"/>
        <v>4913</v>
      </c>
      <c r="E922" s="556">
        <f t="shared" si="75"/>
        <v>4674</v>
      </c>
      <c r="F922" s="556">
        <f t="shared" si="76"/>
        <v>4913</v>
      </c>
      <c r="G922" s="556">
        <f t="shared" si="77"/>
        <v>4811</v>
      </c>
    </row>
    <row r="923" spans="1:7" ht="15.75">
      <c r="A923" s="625">
        <f t="shared" si="78"/>
        <v>42975</v>
      </c>
      <c r="B923" s="555">
        <v>42950</v>
      </c>
      <c r="C923" s="555">
        <v>43000</v>
      </c>
      <c r="D923" s="556">
        <f t="shared" si="74"/>
        <v>4919</v>
      </c>
      <c r="E923" s="556">
        <f t="shared" si="75"/>
        <v>4680</v>
      </c>
      <c r="F923" s="556">
        <f t="shared" si="76"/>
        <v>4919</v>
      </c>
      <c r="G923" s="556">
        <f t="shared" si="77"/>
        <v>4817</v>
      </c>
    </row>
    <row r="924" spans="1:7" ht="15.75">
      <c r="A924" s="625">
        <f t="shared" si="78"/>
        <v>43025</v>
      </c>
      <c r="B924" s="555">
        <v>43000</v>
      </c>
      <c r="C924" s="555">
        <v>43050</v>
      </c>
      <c r="D924" s="556">
        <f t="shared" si="74"/>
        <v>4925</v>
      </c>
      <c r="E924" s="556">
        <f t="shared" si="75"/>
        <v>4686</v>
      </c>
      <c r="F924" s="556">
        <f t="shared" si="76"/>
        <v>4925</v>
      </c>
      <c r="G924" s="556">
        <f t="shared" si="77"/>
        <v>4823</v>
      </c>
    </row>
    <row r="925" spans="1:7" ht="15.75">
      <c r="A925" s="625">
        <f t="shared" si="78"/>
        <v>43075</v>
      </c>
      <c r="B925" s="555">
        <v>43050</v>
      </c>
      <c r="C925" s="555">
        <v>43100</v>
      </c>
      <c r="D925" s="556">
        <f t="shared" si="74"/>
        <v>4931</v>
      </c>
      <c r="E925" s="556">
        <f t="shared" si="75"/>
        <v>4692</v>
      </c>
      <c r="F925" s="556">
        <f t="shared" si="76"/>
        <v>4931</v>
      </c>
      <c r="G925" s="556">
        <f t="shared" si="77"/>
        <v>4829</v>
      </c>
    </row>
    <row r="926" spans="1:7" ht="15.75">
      <c r="A926" s="625">
        <f t="shared" si="78"/>
        <v>43125</v>
      </c>
      <c r="B926" s="555">
        <v>43100</v>
      </c>
      <c r="C926" s="555">
        <v>43150</v>
      </c>
      <c r="D926" s="556">
        <f t="shared" si="74"/>
        <v>4937</v>
      </c>
      <c r="E926" s="556">
        <f t="shared" si="75"/>
        <v>4698</v>
      </c>
      <c r="F926" s="556">
        <f t="shared" si="76"/>
        <v>4937</v>
      </c>
      <c r="G926" s="556">
        <f t="shared" si="77"/>
        <v>4835</v>
      </c>
    </row>
    <row r="927" spans="1:7" ht="15.75">
      <c r="A927" s="625">
        <f t="shared" si="78"/>
        <v>43175</v>
      </c>
      <c r="B927" s="555">
        <v>43150</v>
      </c>
      <c r="C927" s="555">
        <v>43200</v>
      </c>
      <c r="D927" s="556">
        <f t="shared" si="74"/>
        <v>4943</v>
      </c>
      <c r="E927" s="556">
        <f t="shared" si="75"/>
        <v>4704</v>
      </c>
      <c r="F927" s="556">
        <f t="shared" si="76"/>
        <v>4943</v>
      </c>
      <c r="G927" s="556">
        <f t="shared" si="77"/>
        <v>4841</v>
      </c>
    </row>
    <row r="928" spans="1:7" ht="15.75">
      <c r="A928" s="625">
        <f t="shared" si="78"/>
        <v>43225</v>
      </c>
      <c r="B928" s="555">
        <v>43200</v>
      </c>
      <c r="C928" s="555">
        <v>43250</v>
      </c>
      <c r="D928" s="556">
        <f t="shared" si="74"/>
        <v>4949</v>
      </c>
      <c r="E928" s="556">
        <f t="shared" si="75"/>
        <v>4710</v>
      </c>
      <c r="F928" s="556">
        <f t="shared" si="76"/>
        <v>4949</v>
      </c>
      <c r="G928" s="556">
        <f t="shared" si="77"/>
        <v>4847</v>
      </c>
    </row>
    <row r="929" spans="1:7" ht="15.75">
      <c r="A929" s="625">
        <f t="shared" si="78"/>
        <v>43275</v>
      </c>
      <c r="B929" s="555">
        <v>43250</v>
      </c>
      <c r="C929" s="555">
        <v>43300</v>
      </c>
      <c r="D929" s="556">
        <f t="shared" si="74"/>
        <v>4955</v>
      </c>
      <c r="E929" s="556">
        <f t="shared" si="75"/>
        <v>4716</v>
      </c>
      <c r="F929" s="556">
        <f t="shared" si="76"/>
        <v>4955</v>
      </c>
      <c r="G929" s="556">
        <f t="shared" si="77"/>
        <v>4853</v>
      </c>
    </row>
    <row r="930" spans="1:7" ht="15.75">
      <c r="A930" s="625">
        <f t="shared" si="78"/>
        <v>43325</v>
      </c>
      <c r="B930" s="555">
        <v>43300</v>
      </c>
      <c r="C930" s="555">
        <v>43350</v>
      </c>
      <c r="D930" s="556">
        <f t="shared" si="74"/>
        <v>4961</v>
      </c>
      <c r="E930" s="556">
        <f t="shared" si="75"/>
        <v>4722</v>
      </c>
      <c r="F930" s="556">
        <f t="shared" si="76"/>
        <v>4961</v>
      </c>
      <c r="G930" s="556">
        <f t="shared" si="77"/>
        <v>4859</v>
      </c>
    </row>
    <row r="931" spans="1:7" ht="15.75">
      <c r="A931" s="625">
        <f t="shared" si="78"/>
        <v>43375</v>
      </c>
      <c r="B931" s="555">
        <v>43350</v>
      </c>
      <c r="C931" s="555">
        <v>43400</v>
      </c>
      <c r="D931" s="556">
        <f t="shared" si="74"/>
        <v>4967</v>
      </c>
      <c r="E931" s="556">
        <f t="shared" si="75"/>
        <v>4728</v>
      </c>
      <c r="F931" s="556">
        <f t="shared" si="76"/>
        <v>4967</v>
      </c>
      <c r="G931" s="556">
        <f t="shared" si="77"/>
        <v>4865</v>
      </c>
    </row>
    <row r="932" spans="1:7" ht="15.75">
      <c r="A932" s="625">
        <f t="shared" si="78"/>
        <v>43425</v>
      </c>
      <c r="B932" s="555">
        <v>43400</v>
      </c>
      <c r="C932" s="555">
        <v>43450</v>
      </c>
      <c r="D932" s="556">
        <f t="shared" si="74"/>
        <v>4973</v>
      </c>
      <c r="E932" s="556">
        <f t="shared" si="75"/>
        <v>4734</v>
      </c>
      <c r="F932" s="556">
        <f t="shared" si="76"/>
        <v>4973</v>
      </c>
      <c r="G932" s="556">
        <f t="shared" si="77"/>
        <v>4871</v>
      </c>
    </row>
    <row r="933" spans="1:7" ht="15.75">
      <c r="A933" s="625">
        <f t="shared" si="78"/>
        <v>43475</v>
      </c>
      <c r="B933" s="555">
        <v>43450</v>
      </c>
      <c r="C933" s="555">
        <v>43500</v>
      </c>
      <c r="D933" s="556">
        <f t="shared" si="74"/>
        <v>4979</v>
      </c>
      <c r="E933" s="556">
        <f t="shared" si="75"/>
        <v>4740</v>
      </c>
      <c r="F933" s="556">
        <f t="shared" si="76"/>
        <v>4979</v>
      </c>
      <c r="G933" s="556">
        <f t="shared" si="77"/>
        <v>4877</v>
      </c>
    </row>
    <row r="934" spans="1:7" ht="15.75">
      <c r="A934" s="625">
        <f t="shared" si="78"/>
        <v>43525</v>
      </c>
      <c r="B934" s="555">
        <v>43500</v>
      </c>
      <c r="C934" s="555">
        <v>43550</v>
      </c>
      <c r="D934" s="556">
        <f t="shared" si="74"/>
        <v>4985</v>
      </c>
      <c r="E934" s="556">
        <f t="shared" si="75"/>
        <v>4746</v>
      </c>
      <c r="F934" s="556">
        <f t="shared" si="76"/>
        <v>4985</v>
      </c>
      <c r="G934" s="556">
        <f t="shared" si="77"/>
        <v>4883</v>
      </c>
    </row>
    <row r="935" spans="1:7" ht="15.75">
      <c r="A935" s="625">
        <f t="shared" si="78"/>
        <v>43575</v>
      </c>
      <c r="B935" s="555">
        <v>43550</v>
      </c>
      <c r="C935" s="555">
        <v>43600</v>
      </c>
      <c r="D935" s="556">
        <f t="shared" si="74"/>
        <v>4991</v>
      </c>
      <c r="E935" s="556">
        <f t="shared" si="75"/>
        <v>4752</v>
      </c>
      <c r="F935" s="556">
        <f t="shared" si="76"/>
        <v>4991</v>
      </c>
      <c r="G935" s="556">
        <f t="shared" si="77"/>
        <v>4889</v>
      </c>
    </row>
    <row r="936" spans="1:7" ht="15.75">
      <c r="A936" s="625">
        <f t="shared" si="78"/>
        <v>43625</v>
      </c>
      <c r="B936" s="555">
        <v>43600</v>
      </c>
      <c r="C936" s="555">
        <v>43650</v>
      </c>
      <c r="D936" s="556">
        <f t="shared" si="74"/>
        <v>4997</v>
      </c>
      <c r="E936" s="556">
        <f t="shared" si="75"/>
        <v>4758</v>
      </c>
      <c r="F936" s="556">
        <f t="shared" si="76"/>
        <v>4997</v>
      </c>
      <c r="G936" s="556">
        <f t="shared" si="77"/>
        <v>4895</v>
      </c>
    </row>
    <row r="937" spans="1:7" ht="15.75">
      <c r="A937" s="625">
        <f t="shared" si="78"/>
        <v>43675</v>
      </c>
      <c r="B937" s="555">
        <v>43650</v>
      </c>
      <c r="C937" s="555">
        <v>43700</v>
      </c>
      <c r="D937" s="556">
        <f t="shared" si="74"/>
        <v>5003</v>
      </c>
      <c r="E937" s="556">
        <f t="shared" si="75"/>
        <v>4764</v>
      </c>
      <c r="F937" s="556">
        <f t="shared" si="76"/>
        <v>5003</v>
      </c>
      <c r="G937" s="556">
        <f t="shared" si="77"/>
        <v>4901</v>
      </c>
    </row>
    <row r="938" spans="1:7" ht="15.75">
      <c r="A938" s="625">
        <f t="shared" si="78"/>
        <v>43725</v>
      </c>
      <c r="B938" s="555">
        <v>43700</v>
      </c>
      <c r="C938" s="555">
        <v>43750</v>
      </c>
      <c r="D938" s="556">
        <f t="shared" si="74"/>
        <v>5009</v>
      </c>
      <c r="E938" s="556">
        <f t="shared" si="75"/>
        <v>4770</v>
      </c>
      <c r="F938" s="556">
        <f t="shared" si="76"/>
        <v>5009</v>
      </c>
      <c r="G938" s="556">
        <f t="shared" si="77"/>
        <v>4907</v>
      </c>
    </row>
    <row r="939" spans="1:7" ht="15.75">
      <c r="A939" s="625">
        <f t="shared" si="78"/>
        <v>43775</v>
      </c>
      <c r="B939" s="555">
        <v>43750</v>
      </c>
      <c r="C939" s="555">
        <v>43800</v>
      </c>
      <c r="D939" s="556">
        <f t="shared" si="74"/>
        <v>5015</v>
      </c>
      <c r="E939" s="556">
        <f t="shared" si="75"/>
        <v>4776</v>
      </c>
      <c r="F939" s="556">
        <f t="shared" si="76"/>
        <v>5015</v>
      </c>
      <c r="G939" s="556">
        <f t="shared" si="77"/>
        <v>4913</v>
      </c>
    </row>
    <row r="940" spans="1:7" ht="15.75">
      <c r="A940" s="625">
        <f t="shared" si="78"/>
        <v>43825</v>
      </c>
      <c r="B940" s="555">
        <v>43800</v>
      </c>
      <c r="C940" s="555">
        <v>43850</v>
      </c>
      <c r="D940" s="556">
        <f t="shared" si="74"/>
        <v>5021</v>
      </c>
      <c r="E940" s="556">
        <f t="shared" si="75"/>
        <v>4782</v>
      </c>
      <c r="F940" s="556">
        <f t="shared" si="76"/>
        <v>5021</v>
      </c>
      <c r="G940" s="556">
        <f t="shared" si="77"/>
        <v>4919</v>
      </c>
    </row>
    <row r="941" spans="1:7" ht="15.75">
      <c r="A941" s="625">
        <f t="shared" si="78"/>
        <v>43875</v>
      </c>
      <c r="B941" s="555">
        <v>43850</v>
      </c>
      <c r="C941" s="555">
        <v>43900</v>
      </c>
      <c r="D941" s="556">
        <f t="shared" si="74"/>
        <v>5027</v>
      </c>
      <c r="E941" s="556">
        <f t="shared" si="75"/>
        <v>4788</v>
      </c>
      <c r="F941" s="556">
        <f t="shared" si="76"/>
        <v>5027</v>
      </c>
      <c r="G941" s="556">
        <f t="shared" si="77"/>
        <v>4925</v>
      </c>
    </row>
    <row r="942" spans="1:7" ht="15.75">
      <c r="A942" s="625">
        <f t="shared" si="78"/>
        <v>43925</v>
      </c>
      <c r="B942" s="555">
        <v>43900</v>
      </c>
      <c r="C942" s="555">
        <v>43950</v>
      </c>
      <c r="D942" s="556">
        <f t="shared" si="74"/>
        <v>5033</v>
      </c>
      <c r="E942" s="556">
        <f t="shared" si="75"/>
        <v>4794</v>
      </c>
      <c r="F942" s="556">
        <f t="shared" si="76"/>
        <v>5033</v>
      </c>
      <c r="G942" s="556">
        <f t="shared" si="77"/>
        <v>4931</v>
      </c>
    </row>
    <row r="943" spans="1:7" ht="15.75">
      <c r="A943" s="625">
        <f t="shared" si="78"/>
        <v>43975</v>
      </c>
      <c r="B943" s="555">
        <v>43950</v>
      </c>
      <c r="C943" s="555">
        <v>44000</v>
      </c>
      <c r="D943" s="556">
        <f t="shared" si="74"/>
        <v>5039</v>
      </c>
      <c r="E943" s="556">
        <f t="shared" si="75"/>
        <v>4800</v>
      </c>
      <c r="F943" s="556">
        <f t="shared" si="76"/>
        <v>5039</v>
      </c>
      <c r="G943" s="556">
        <f t="shared" si="77"/>
        <v>4937</v>
      </c>
    </row>
    <row r="944" spans="1:7" ht="15.75">
      <c r="A944" s="625">
        <f t="shared" si="78"/>
        <v>44025</v>
      </c>
      <c r="B944" s="555">
        <v>44000</v>
      </c>
      <c r="C944" s="555">
        <v>44050</v>
      </c>
      <c r="D944" s="556">
        <f t="shared" si="74"/>
        <v>5045</v>
      </c>
      <c r="E944" s="556">
        <f t="shared" si="75"/>
        <v>4806</v>
      </c>
      <c r="F944" s="556">
        <f t="shared" si="76"/>
        <v>5045</v>
      </c>
      <c r="G944" s="556">
        <f t="shared" si="77"/>
        <v>4943</v>
      </c>
    </row>
    <row r="945" spans="1:7" ht="15.75">
      <c r="A945" s="625">
        <f t="shared" si="78"/>
        <v>44075</v>
      </c>
      <c r="B945" s="555">
        <v>44050</v>
      </c>
      <c r="C945" s="555">
        <v>44100</v>
      </c>
      <c r="D945" s="556">
        <f t="shared" si="74"/>
        <v>5051</v>
      </c>
      <c r="E945" s="556">
        <f t="shared" si="75"/>
        <v>4812</v>
      </c>
      <c r="F945" s="556">
        <f t="shared" si="76"/>
        <v>5051</v>
      </c>
      <c r="G945" s="556">
        <f t="shared" si="77"/>
        <v>4949</v>
      </c>
    </row>
    <row r="946" spans="1:7" ht="15.75">
      <c r="A946" s="625">
        <f t="shared" si="78"/>
        <v>44125</v>
      </c>
      <c r="B946" s="555">
        <v>44100</v>
      </c>
      <c r="C946" s="555">
        <v>44150</v>
      </c>
      <c r="D946" s="556">
        <f t="shared" si="74"/>
        <v>5057</v>
      </c>
      <c r="E946" s="556">
        <f t="shared" si="75"/>
        <v>4818</v>
      </c>
      <c r="F946" s="556">
        <f t="shared" si="76"/>
        <v>5057</v>
      </c>
      <c r="G946" s="556">
        <f t="shared" si="77"/>
        <v>4955</v>
      </c>
    </row>
    <row r="947" spans="1:7" ht="15.75">
      <c r="A947" s="625">
        <f t="shared" si="78"/>
        <v>44175</v>
      </c>
      <c r="B947" s="555">
        <v>44150</v>
      </c>
      <c r="C947" s="555">
        <v>44200</v>
      </c>
      <c r="D947" s="556">
        <f t="shared" si="74"/>
        <v>5063</v>
      </c>
      <c r="E947" s="556">
        <f t="shared" si="75"/>
        <v>4824</v>
      </c>
      <c r="F947" s="556">
        <f t="shared" si="76"/>
        <v>5063</v>
      </c>
      <c r="G947" s="556">
        <f t="shared" si="77"/>
        <v>4961</v>
      </c>
    </row>
    <row r="948" spans="1:7" ht="15.75">
      <c r="A948" s="625">
        <f t="shared" si="78"/>
        <v>44225</v>
      </c>
      <c r="B948" s="555">
        <v>44200</v>
      </c>
      <c r="C948" s="555">
        <v>44250</v>
      </c>
      <c r="D948" s="556">
        <f t="shared" si="74"/>
        <v>5069</v>
      </c>
      <c r="E948" s="556">
        <f t="shared" si="75"/>
        <v>4830</v>
      </c>
      <c r="F948" s="556">
        <f t="shared" si="76"/>
        <v>5069</v>
      </c>
      <c r="G948" s="556">
        <f t="shared" si="77"/>
        <v>4967</v>
      </c>
    </row>
    <row r="949" spans="1:7" ht="15.75">
      <c r="A949" s="625">
        <f t="shared" si="78"/>
        <v>44275</v>
      </c>
      <c r="B949" s="555">
        <v>44250</v>
      </c>
      <c r="C949" s="555">
        <v>44300</v>
      </c>
      <c r="D949" s="556">
        <f t="shared" si="74"/>
        <v>5075</v>
      </c>
      <c r="E949" s="556">
        <f t="shared" si="75"/>
        <v>4836</v>
      </c>
      <c r="F949" s="556">
        <f t="shared" si="76"/>
        <v>5075</v>
      </c>
      <c r="G949" s="556">
        <f t="shared" si="77"/>
        <v>4973</v>
      </c>
    </row>
    <row r="950" spans="1:7" ht="15.75">
      <c r="A950" s="625">
        <f t="shared" si="78"/>
        <v>44325</v>
      </c>
      <c r="B950" s="555">
        <v>44300</v>
      </c>
      <c r="C950" s="555">
        <v>44350</v>
      </c>
      <c r="D950" s="556">
        <f t="shared" si="74"/>
        <v>5081</v>
      </c>
      <c r="E950" s="556">
        <f t="shared" si="75"/>
        <v>4842</v>
      </c>
      <c r="F950" s="556">
        <f t="shared" si="76"/>
        <v>5081</v>
      </c>
      <c r="G950" s="556">
        <f t="shared" si="77"/>
        <v>4979</v>
      </c>
    </row>
    <row r="951" spans="1:7" ht="15.75">
      <c r="A951" s="625">
        <f t="shared" si="78"/>
        <v>44375</v>
      </c>
      <c r="B951" s="555">
        <v>44350</v>
      </c>
      <c r="C951" s="555">
        <v>44400</v>
      </c>
      <c r="D951" s="556">
        <f t="shared" si="74"/>
        <v>5087</v>
      </c>
      <c r="E951" s="556">
        <f t="shared" si="75"/>
        <v>4848</v>
      </c>
      <c r="F951" s="556">
        <f t="shared" si="76"/>
        <v>5087</v>
      </c>
      <c r="G951" s="556">
        <f t="shared" si="77"/>
        <v>4985</v>
      </c>
    </row>
    <row r="952" spans="1:7" ht="15.75">
      <c r="A952" s="625">
        <f t="shared" si="78"/>
        <v>44425</v>
      </c>
      <c r="B952" s="555">
        <v>44400</v>
      </c>
      <c r="C952" s="555">
        <v>44450</v>
      </c>
      <c r="D952" s="556">
        <f t="shared" si="74"/>
        <v>5093</v>
      </c>
      <c r="E952" s="556">
        <f t="shared" si="75"/>
        <v>4854</v>
      </c>
      <c r="F952" s="556">
        <f t="shared" si="76"/>
        <v>5093</v>
      </c>
      <c r="G952" s="556">
        <f t="shared" si="77"/>
        <v>4991</v>
      </c>
    </row>
    <row r="953" spans="1:7" ht="15.75">
      <c r="A953" s="625">
        <f t="shared" si="78"/>
        <v>44475</v>
      </c>
      <c r="B953" s="555">
        <v>44450</v>
      </c>
      <c r="C953" s="555">
        <v>44500</v>
      </c>
      <c r="D953" s="556">
        <f t="shared" si="74"/>
        <v>5099</v>
      </c>
      <c r="E953" s="556">
        <f t="shared" si="75"/>
        <v>4860</v>
      </c>
      <c r="F953" s="556">
        <f t="shared" si="76"/>
        <v>5099</v>
      </c>
      <c r="G953" s="556">
        <f t="shared" si="77"/>
        <v>4997</v>
      </c>
    </row>
    <row r="954" spans="1:7" ht="15.75">
      <c r="A954" s="625">
        <f t="shared" si="78"/>
        <v>44525</v>
      </c>
      <c r="B954" s="555">
        <v>44500</v>
      </c>
      <c r="C954" s="555">
        <v>44550</v>
      </c>
      <c r="D954" s="556">
        <f t="shared" si="74"/>
        <v>5105</v>
      </c>
      <c r="E954" s="556">
        <f t="shared" si="75"/>
        <v>4866</v>
      </c>
      <c r="F954" s="556">
        <f t="shared" si="76"/>
        <v>5105</v>
      </c>
      <c r="G954" s="556">
        <f t="shared" si="77"/>
        <v>5003</v>
      </c>
    </row>
    <row r="955" spans="1:7" ht="15.75">
      <c r="A955" s="625">
        <f t="shared" si="78"/>
        <v>44575</v>
      </c>
      <c r="B955" s="555">
        <v>44550</v>
      </c>
      <c r="C955" s="555">
        <v>44600</v>
      </c>
      <c r="D955" s="556">
        <f t="shared" si="74"/>
        <v>5111</v>
      </c>
      <c r="E955" s="556">
        <f t="shared" si="75"/>
        <v>4872</v>
      </c>
      <c r="F955" s="556">
        <f t="shared" si="76"/>
        <v>5111</v>
      </c>
      <c r="G955" s="556">
        <f t="shared" si="77"/>
        <v>5009</v>
      </c>
    </row>
    <row r="956" spans="1:7" ht="15.75">
      <c r="A956" s="625">
        <f t="shared" si="78"/>
        <v>44625</v>
      </c>
      <c r="B956" s="555">
        <v>44600</v>
      </c>
      <c r="C956" s="555">
        <v>44650</v>
      </c>
      <c r="D956" s="556">
        <f t="shared" si="74"/>
        <v>5117</v>
      </c>
      <c r="E956" s="556">
        <f t="shared" si="75"/>
        <v>4878</v>
      </c>
      <c r="F956" s="556">
        <f t="shared" si="76"/>
        <v>5117</v>
      </c>
      <c r="G956" s="556">
        <f t="shared" si="77"/>
        <v>5015</v>
      </c>
    </row>
    <row r="957" spans="1:7" ht="15.75">
      <c r="A957" s="625">
        <f t="shared" si="78"/>
        <v>44675</v>
      </c>
      <c r="B957" s="555">
        <v>44650</v>
      </c>
      <c r="C957" s="555">
        <v>44700</v>
      </c>
      <c r="D957" s="556">
        <f t="shared" si="74"/>
        <v>5123</v>
      </c>
      <c r="E957" s="556">
        <f t="shared" si="75"/>
        <v>4884</v>
      </c>
      <c r="F957" s="556">
        <f t="shared" si="76"/>
        <v>5123</v>
      </c>
      <c r="G957" s="556">
        <f t="shared" si="77"/>
        <v>5021</v>
      </c>
    </row>
    <row r="958" spans="1:7" ht="15.75">
      <c r="A958" s="625">
        <f t="shared" si="78"/>
        <v>44725</v>
      </c>
      <c r="B958" s="555">
        <v>44700</v>
      </c>
      <c r="C958" s="555">
        <v>44750</v>
      </c>
      <c r="D958" s="556">
        <f t="shared" si="74"/>
        <v>5129</v>
      </c>
      <c r="E958" s="556">
        <f t="shared" si="75"/>
        <v>4890</v>
      </c>
      <c r="F958" s="556">
        <f t="shared" si="76"/>
        <v>5129</v>
      </c>
      <c r="G958" s="556">
        <f t="shared" si="77"/>
        <v>5027</v>
      </c>
    </row>
    <row r="959" spans="1:7" ht="15.75">
      <c r="A959" s="625">
        <f t="shared" si="78"/>
        <v>44775</v>
      </c>
      <c r="B959" s="555">
        <v>44750</v>
      </c>
      <c r="C959" s="555">
        <v>44800</v>
      </c>
      <c r="D959" s="556">
        <f t="shared" si="74"/>
        <v>5135</v>
      </c>
      <c r="E959" s="556">
        <f t="shared" si="75"/>
        <v>4896</v>
      </c>
      <c r="F959" s="556">
        <f t="shared" si="76"/>
        <v>5135</v>
      </c>
      <c r="G959" s="556">
        <f t="shared" si="77"/>
        <v>5033</v>
      </c>
    </row>
    <row r="960" spans="1:7" ht="15.75">
      <c r="A960" s="625">
        <f t="shared" si="78"/>
        <v>44825</v>
      </c>
      <c r="B960" s="555">
        <v>44800</v>
      </c>
      <c r="C960" s="555">
        <v>44850</v>
      </c>
      <c r="D960" s="556">
        <f t="shared" si="74"/>
        <v>5141</v>
      </c>
      <c r="E960" s="556">
        <f t="shared" si="75"/>
        <v>4902</v>
      </c>
      <c r="F960" s="556">
        <f t="shared" si="76"/>
        <v>5141</v>
      </c>
      <c r="G960" s="556">
        <f t="shared" si="77"/>
        <v>5039</v>
      </c>
    </row>
    <row r="961" spans="1:7" ht="15.75">
      <c r="A961" s="625">
        <f t="shared" si="78"/>
        <v>44875</v>
      </c>
      <c r="B961" s="555">
        <v>44850</v>
      </c>
      <c r="C961" s="555">
        <v>44900</v>
      </c>
      <c r="D961" s="556">
        <f t="shared" si="74"/>
        <v>5147</v>
      </c>
      <c r="E961" s="556">
        <f t="shared" si="75"/>
        <v>4908</v>
      </c>
      <c r="F961" s="556">
        <f t="shared" si="76"/>
        <v>5147</v>
      </c>
      <c r="G961" s="556">
        <f t="shared" si="77"/>
        <v>5045</v>
      </c>
    </row>
    <row r="962" spans="1:7" ht="15.75">
      <c r="A962" s="625">
        <f t="shared" si="78"/>
        <v>44925</v>
      </c>
      <c r="B962" s="555">
        <v>44900</v>
      </c>
      <c r="C962" s="555">
        <v>44950</v>
      </c>
      <c r="D962" s="556">
        <f t="shared" ref="D962:D1025" si="79">IF($A962&gt;BOTT_A4,ROUND(BASE_A4+RATE_A4*($A962-BOTT_A4),0),IF($A962&gt;BOTT_A3,ROUND(BASE_A3+RATE_A3*($A962-BOTT_A3),0),IF($A962&gt;BOTT_A2,ROUND(BASE_A2+RATE_A2*($A962-BOTT_A2),0),ROUND(RATE_A1*$A962,0))))</f>
        <v>5153</v>
      </c>
      <c r="E962" s="556">
        <f t="shared" ref="E962:E1025" si="80">IF($A962&gt;BOTT_B4,ROUND(BASE_B4+RATE_B4*($A962-BOTT_B4),0),IF($A962&gt;BOTT_B3,ROUND(BASE_B3+RATE_B3*($A962-BOTT_B3),0),IF($A962&gt;BOTT_B2,ROUND(BASE_B2+RATE_B2*($A962-BOTT_B2),0),ROUND(RATE_B1*$A962,0))))</f>
        <v>4914</v>
      </c>
      <c r="F962" s="556">
        <f t="shared" ref="F962:F1025" si="81">IF($A962&gt;BOTT_C4,ROUND(BASE_C4+RATE_C4*($A962-BOTT_C4),0),IF($A962&gt;BOTT_C3,ROUND(BASE_C3+RATE_C3*($A962-BOTT_C3),0),IF($A962&gt;BOTT_C2,ROUND(BASE_C2+RATE_C2*($A962-BOTT_C2),0),ROUND(RATE_C1*$A962,0))))</f>
        <v>5153</v>
      </c>
      <c r="G962" s="556">
        <f t="shared" ref="G962:G1025" si="82">IF($A962&gt;BOTT_D4,ROUND(BASE_D4+RATE_D4*($A962-BOTT_D4),0),IF($A962&gt;BOTT_D3,ROUND(BASE_D3+RATE_D3*($A962-BOTT_D3),0),IF($A962&gt;BOTT_D2,ROUND(BASE_D2+RATE_D2*($A962-BOTT_D2),0),ROUND(RATE_D1*$A962,0))))</f>
        <v>5051</v>
      </c>
    </row>
    <row r="963" spans="1:7" ht="15.75">
      <c r="A963" s="625">
        <f t="shared" ref="A963:A1026" si="83">AVERAGE(B963,C963)</f>
        <v>44975</v>
      </c>
      <c r="B963" s="555">
        <v>44950</v>
      </c>
      <c r="C963" s="555">
        <v>45000</v>
      </c>
      <c r="D963" s="556">
        <f t="shared" si="79"/>
        <v>5159</v>
      </c>
      <c r="E963" s="556">
        <f t="shared" si="80"/>
        <v>4920</v>
      </c>
      <c r="F963" s="556">
        <f t="shared" si="81"/>
        <v>5159</v>
      </c>
      <c r="G963" s="556">
        <f t="shared" si="82"/>
        <v>5057</v>
      </c>
    </row>
    <row r="964" spans="1:7" ht="15.75">
      <c r="A964" s="625">
        <f t="shared" si="83"/>
        <v>45025</v>
      </c>
      <c r="B964" s="555">
        <v>45000</v>
      </c>
      <c r="C964" s="555">
        <v>45050</v>
      </c>
      <c r="D964" s="556">
        <f t="shared" si="79"/>
        <v>5165</v>
      </c>
      <c r="E964" s="556">
        <f t="shared" si="80"/>
        <v>4926</v>
      </c>
      <c r="F964" s="556">
        <f t="shared" si="81"/>
        <v>5165</v>
      </c>
      <c r="G964" s="556">
        <f t="shared" si="82"/>
        <v>5063</v>
      </c>
    </row>
    <row r="965" spans="1:7" ht="15.75">
      <c r="A965" s="625">
        <f t="shared" si="83"/>
        <v>45075</v>
      </c>
      <c r="B965" s="555">
        <v>45050</v>
      </c>
      <c r="C965" s="555">
        <v>45100</v>
      </c>
      <c r="D965" s="556">
        <f t="shared" si="79"/>
        <v>5171</v>
      </c>
      <c r="E965" s="556">
        <f t="shared" si="80"/>
        <v>4932</v>
      </c>
      <c r="F965" s="556">
        <f t="shared" si="81"/>
        <v>5171</v>
      </c>
      <c r="G965" s="556">
        <f t="shared" si="82"/>
        <v>5069</v>
      </c>
    </row>
    <row r="966" spans="1:7" ht="15.75">
      <c r="A966" s="625">
        <f t="shared" si="83"/>
        <v>45125</v>
      </c>
      <c r="B966" s="555">
        <v>45100</v>
      </c>
      <c r="C966" s="555">
        <v>45150</v>
      </c>
      <c r="D966" s="556">
        <f t="shared" si="79"/>
        <v>5177</v>
      </c>
      <c r="E966" s="556">
        <f t="shared" si="80"/>
        <v>4938</v>
      </c>
      <c r="F966" s="556">
        <f t="shared" si="81"/>
        <v>5177</v>
      </c>
      <c r="G966" s="556">
        <f t="shared" si="82"/>
        <v>5075</v>
      </c>
    </row>
    <row r="967" spans="1:7" ht="15.75">
      <c r="A967" s="625">
        <f t="shared" si="83"/>
        <v>45175</v>
      </c>
      <c r="B967" s="555">
        <v>45150</v>
      </c>
      <c r="C967" s="555">
        <v>45200</v>
      </c>
      <c r="D967" s="556">
        <f t="shared" si="79"/>
        <v>5183</v>
      </c>
      <c r="E967" s="556">
        <f t="shared" si="80"/>
        <v>4944</v>
      </c>
      <c r="F967" s="556">
        <f t="shared" si="81"/>
        <v>5183</v>
      </c>
      <c r="G967" s="556">
        <f t="shared" si="82"/>
        <v>5081</v>
      </c>
    </row>
    <row r="968" spans="1:7" ht="15.75">
      <c r="A968" s="625">
        <f t="shared" si="83"/>
        <v>45225</v>
      </c>
      <c r="B968" s="555">
        <v>45200</v>
      </c>
      <c r="C968" s="555">
        <v>45250</v>
      </c>
      <c r="D968" s="556">
        <f t="shared" si="79"/>
        <v>5189</v>
      </c>
      <c r="E968" s="556">
        <f t="shared" si="80"/>
        <v>4950</v>
      </c>
      <c r="F968" s="556">
        <f t="shared" si="81"/>
        <v>5189</v>
      </c>
      <c r="G968" s="556">
        <f t="shared" si="82"/>
        <v>5087</v>
      </c>
    </row>
    <row r="969" spans="1:7" ht="15.75">
      <c r="A969" s="625">
        <f t="shared" si="83"/>
        <v>45275</v>
      </c>
      <c r="B969" s="555">
        <v>45250</v>
      </c>
      <c r="C969" s="555">
        <v>45300</v>
      </c>
      <c r="D969" s="556">
        <f t="shared" si="79"/>
        <v>5195</v>
      </c>
      <c r="E969" s="556">
        <f t="shared" si="80"/>
        <v>4956</v>
      </c>
      <c r="F969" s="556">
        <f t="shared" si="81"/>
        <v>5195</v>
      </c>
      <c r="G969" s="556">
        <f t="shared" si="82"/>
        <v>5093</v>
      </c>
    </row>
    <row r="970" spans="1:7" ht="15.75">
      <c r="A970" s="625">
        <f t="shared" si="83"/>
        <v>45325</v>
      </c>
      <c r="B970" s="555">
        <v>45300</v>
      </c>
      <c r="C970" s="555">
        <v>45350</v>
      </c>
      <c r="D970" s="556">
        <f t="shared" si="79"/>
        <v>5201</v>
      </c>
      <c r="E970" s="556">
        <f t="shared" si="80"/>
        <v>4962</v>
      </c>
      <c r="F970" s="556">
        <f t="shared" si="81"/>
        <v>5201</v>
      </c>
      <c r="G970" s="556">
        <f t="shared" si="82"/>
        <v>5099</v>
      </c>
    </row>
    <row r="971" spans="1:7" ht="15.75">
      <c r="A971" s="625">
        <f t="shared" si="83"/>
        <v>45375</v>
      </c>
      <c r="B971" s="555">
        <v>45350</v>
      </c>
      <c r="C971" s="555">
        <v>45400</v>
      </c>
      <c r="D971" s="556">
        <f t="shared" si="79"/>
        <v>5207</v>
      </c>
      <c r="E971" s="556">
        <f t="shared" si="80"/>
        <v>4968</v>
      </c>
      <c r="F971" s="556">
        <f t="shared" si="81"/>
        <v>5207</v>
      </c>
      <c r="G971" s="556">
        <f t="shared" si="82"/>
        <v>5105</v>
      </c>
    </row>
    <row r="972" spans="1:7" ht="15.75">
      <c r="A972" s="625">
        <f t="shared" si="83"/>
        <v>45425</v>
      </c>
      <c r="B972" s="555">
        <v>45400</v>
      </c>
      <c r="C972" s="555">
        <v>45450</v>
      </c>
      <c r="D972" s="556">
        <f t="shared" si="79"/>
        <v>5213</v>
      </c>
      <c r="E972" s="556">
        <f t="shared" si="80"/>
        <v>4974</v>
      </c>
      <c r="F972" s="556">
        <f t="shared" si="81"/>
        <v>5213</v>
      </c>
      <c r="G972" s="556">
        <f t="shared" si="82"/>
        <v>5111</v>
      </c>
    </row>
    <row r="973" spans="1:7" ht="15.75">
      <c r="A973" s="625">
        <f t="shared" si="83"/>
        <v>45475</v>
      </c>
      <c r="B973" s="555">
        <v>45450</v>
      </c>
      <c r="C973" s="555">
        <v>45500</v>
      </c>
      <c r="D973" s="556">
        <f t="shared" si="79"/>
        <v>5219</v>
      </c>
      <c r="E973" s="556">
        <f t="shared" si="80"/>
        <v>4980</v>
      </c>
      <c r="F973" s="556">
        <f t="shared" si="81"/>
        <v>5219</v>
      </c>
      <c r="G973" s="556">
        <f t="shared" si="82"/>
        <v>5117</v>
      </c>
    </row>
    <row r="974" spans="1:7" ht="15.75">
      <c r="A974" s="625">
        <f t="shared" si="83"/>
        <v>45525</v>
      </c>
      <c r="B974" s="555">
        <v>45500</v>
      </c>
      <c r="C974" s="555">
        <v>45550</v>
      </c>
      <c r="D974" s="556">
        <f t="shared" si="79"/>
        <v>5225</v>
      </c>
      <c r="E974" s="556">
        <f t="shared" si="80"/>
        <v>4986</v>
      </c>
      <c r="F974" s="556">
        <f t="shared" si="81"/>
        <v>5225</v>
      </c>
      <c r="G974" s="556">
        <f t="shared" si="82"/>
        <v>5123</v>
      </c>
    </row>
    <row r="975" spans="1:7" ht="15.75">
      <c r="A975" s="625">
        <f t="shared" si="83"/>
        <v>45575</v>
      </c>
      <c r="B975" s="555">
        <v>45550</v>
      </c>
      <c r="C975" s="555">
        <v>45600</v>
      </c>
      <c r="D975" s="556">
        <f t="shared" si="79"/>
        <v>5231</v>
      </c>
      <c r="E975" s="556">
        <f t="shared" si="80"/>
        <v>4992</v>
      </c>
      <c r="F975" s="556">
        <f t="shared" si="81"/>
        <v>5231</v>
      </c>
      <c r="G975" s="556">
        <f t="shared" si="82"/>
        <v>5129</v>
      </c>
    </row>
    <row r="976" spans="1:7" ht="15.75">
      <c r="A976" s="625">
        <f t="shared" si="83"/>
        <v>45625</v>
      </c>
      <c r="B976" s="555">
        <v>45600</v>
      </c>
      <c r="C976" s="555">
        <v>45650</v>
      </c>
      <c r="D976" s="556">
        <f t="shared" si="79"/>
        <v>5237</v>
      </c>
      <c r="E976" s="556">
        <f t="shared" si="80"/>
        <v>4998</v>
      </c>
      <c r="F976" s="556">
        <f t="shared" si="81"/>
        <v>5237</v>
      </c>
      <c r="G976" s="556">
        <f t="shared" si="82"/>
        <v>5135</v>
      </c>
    </row>
    <row r="977" spans="1:7" ht="15.75">
      <c r="A977" s="625">
        <f t="shared" si="83"/>
        <v>45675</v>
      </c>
      <c r="B977" s="555">
        <v>45650</v>
      </c>
      <c r="C977" s="555">
        <v>45700</v>
      </c>
      <c r="D977" s="556">
        <f t="shared" si="79"/>
        <v>5243</v>
      </c>
      <c r="E977" s="556">
        <f t="shared" si="80"/>
        <v>5004</v>
      </c>
      <c r="F977" s="556">
        <f t="shared" si="81"/>
        <v>5243</v>
      </c>
      <c r="G977" s="556">
        <f t="shared" si="82"/>
        <v>5141</v>
      </c>
    </row>
    <row r="978" spans="1:7" ht="15.75">
      <c r="A978" s="625">
        <f t="shared" si="83"/>
        <v>45725</v>
      </c>
      <c r="B978" s="555">
        <v>45700</v>
      </c>
      <c r="C978" s="555">
        <v>45750</v>
      </c>
      <c r="D978" s="556">
        <f t="shared" si="79"/>
        <v>5249</v>
      </c>
      <c r="E978" s="556">
        <f t="shared" si="80"/>
        <v>5010</v>
      </c>
      <c r="F978" s="556">
        <f t="shared" si="81"/>
        <v>5249</v>
      </c>
      <c r="G978" s="556">
        <f t="shared" si="82"/>
        <v>5147</v>
      </c>
    </row>
    <row r="979" spans="1:7" ht="15.75">
      <c r="A979" s="625">
        <f t="shared" si="83"/>
        <v>45775</v>
      </c>
      <c r="B979" s="555">
        <v>45750</v>
      </c>
      <c r="C979" s="555">
        <v>45800</v>
      </c>
      <c r="D979" s="556">
        <f t="shared" si="79"/>
        <v>5255</v>
      </c>
      <c r="E979" s="556">
        <f t="shared" si="80"/>
        <v>5016</v>
      </c>
      <c r="F979" s="556">
        <f t="shared" si="81"/>
        <v>5255</v>
      </c>
      <c r="G979" s="556">
        <f t="shared" si="82"/>
        <v>5153</v>
      </c>
    </row>
    <row r="980" spans="1:7" ht="15.75">
      <c r="A980" s="625">
        <f t="shared" si="83"/>
        <v>45825</v>
      </c>
      <c r="B980" s="555">
        <v>45800</v>
      </c>
      <c r="C980" s="555">
        <v>45850</v>
      </c>
      <c r="D980" s="556">
        <f t="shared" si="79"/>
        <v>5261</v>
      </c>
      <c r="E980" s="556">
        <f t="shared" si="80"/>
        <v>5022</v>
      </c>
      <c r="F980" s="556">
        <f t="shared" si="81"/>
        <v>5261</v>
      </c>
      <c r="G980" s="556">
        <f t="shared" si="82"/>
        <v>5159</v>
      </c>
    </row>
    <row r="981" spans="1:7" ht="15.75">
      <c r="A981" s="625">
        <f t="shared" si="83"/>
        <v>45875</v>
      </c>
      <c r="B981" s="555">
        <v>45850</v>
      </c>
      <c r="C981" s="555">
        <v>45900</v>
      </c>
      <c r="D981" s="556">
        <f t="shared" si="79"/>
        <v>5267</v>
      </c>
      <c r="E981" s="556">
        <f t="shared" si="80"/>
        <v>5028</v>
      </c>
      <c r="F981" s="556">
        <f t="shared" si="81"/>
        <v>5267</v>
      </c>
      <c r="G981" s="556">
        <f t="shared" si="82"/>
        <v>5165</v>
      </c>
    </row>
    <row r="982" spans="1:7" ht="15.75">
      <c r="A982" s="625">
        <f t="shared" si="83"/>
        <v>45925</v>
      </c>
      <c r="B982" s="555">
        <v>45900</v>
      </c>
      <c r="C982" s="555">
        <v>45950</v>
      </c>
      <c r="D982" s="556">
        <f t="shared" si="79"/>
        <v>5273</v>
      </c>
      <c r="E982" s="556">
        <f t="shared" si="80"/>
        <v>5034</v>
      </c>
      <c r="F982" s="556">
        <f t="shared" si="81"/>
        <v>5273</v>
      </c>
      <c r="G982" s="556">
        <f t="shared" si="82"/>
        <v>5171</v>
      </c>
    </row>
    <row r="983" spans="1:7" ht="15.75">
      <c r="A983" s="625">
        <f t="shared" si="83"/>
        <v>45975</v>
      </c>
      <c r="B983" s="555">
        <v>45950</v>
      </c>
      <c r="C983" s="555">
        <v>46000</v>
      </c>
      <c r="D983" s="556">
        <f t="shared" si="79"/>
        <v>5279</v>
      </c>
      <c r="E983" s="556">
        <f t="shared" si="80"/>
        <v>5040</v>
      </c>
      <c r="F983" s="556">
        <f t="shared" si="81"/>
        <v>5279</v>
      </c>
      <c r="G983" s="556">
        <f t="shared" si="82"/>
        <v>5177</v>
      </c>
    </row>
    <row r="984" spans="1:7" ht="15.75">
      <c r="A984" s="625">
        <f t="shared" si="83"/>
        <v>46025</v>
      </c>
      <c r="B984" s="555">
        <v>46000</v>
      </c>
      <c r="C984" s="555">
        <v>46050</v>
      </c>
      <c r="D984" s="556">
        <f t="shared" si="79"/>
        <v>5285</v>
      </c>
      <c r="E984" s="556">
        <f t="shared" si="80"/>
        <v>5046</v>
      </c>
      <c r="F984" s="556">
        <f t="shared" si="81"/>
        <v>5285</v>
      </c>
      <c r="G984" s="556">
        <f t="shared" si="82"/>
        <v>5183</v>
      </c>
    </row>
    <row r="985" spans="1:7" ht="15.75">
      <c r="A985" s="625">
        <f t="shared" si="83"/>
        <v>46075</v>
      </c>
      <c r="B985" s="555">
        <v>46050</v>
      </c>
      <c r="C985" s="555">
        <v>46100</v>
      </c>
      <c r="D985" s="556">
        <f t="shared" si="79"/>
        <v>5291</v>
      </c>
      <c r="E985" s="556">
        <f t="shared" si="80"/>
        <v>5052</v>
      </c>
      <c r="F985" s="556">
        <f t="shared" si="81"/>
        <v>5291</v>
      </c>
      <c r="G985" s="556">
        <f t="shared" si="82"/>
        <v>5189</v>
      </c>
    </row>
    <row r="986" spans="1:7" ht="15.75">
      <c r="A986" s="625">
        <f t="shared" si="83"/>
        <v>46125</v>
      </c>
      <c r="B986" s="555">
        <v>46100</v>
      </c>
      <c r="C986" s="555">
        <v>46150</v>
      </c>
      <c r="D986" s="556">
        <f t="shared" si="79"/>
        <v>5297</v>
      </c>
      <c r="E986" s="556">
        <f t="shared" si="80"/>
        <v>5058</v>
      </c>
      <c r="F986" s="556">
        <f t="shared" si="81"/>
        <v>5297</v>
      </c>
      <c r="G986" s="556">
        <f t="shared" si="82"/>
        <v>5195</v>
      </c>
    </row>
    <row r="987" spans="1:7" ht="15.75">
      <c r="A987" s="625">
        <f t="shared" si="83"/>
        <v>46175</v>
      </c>
      <c r="B987" s="555">
        <v>46150</v>
      </c>
      <c r="C987" s="555">
        <v>46200</v>
      </c>
      <c r="D987" s="556">
        <f t="shared" si="79"/>
        <v>5303</v>
      </c>
      <c r="E987" s="556">
        <f t="shared" si="80"/>
        <v>5064</v>
      </c>
      <c r="F987" s="556">
        <f t="shared" si="81"/>
        <v>5303</v>
      </c>
      <c r="G987" s="556">
        <f t="shared" si="82"/>
        <v>5201</v>
      </c>
    </row>
    <row r="988" spans="1:7" ht="15.75">
      <c r="A988" s="625">
        <f t="shared" si="83"/>
        <v>46225</v>
      </c>
      <c r="B988" s="555">
        <v>46200</v>
      </c>
      <c r="C988" s="555">
        <v>46250</v>
      </c>
      <c r="D988" s="556">
        <f t="shared" si="79"/>
        <v>5309</v>
      </c>
      <c r="E988" s="556">
        <f t="shared" si="80"/>
        <v>5070</v>
      </c>
      <c r="F988" s="556">
        <f t="shared" si="81"/>
        <v>5309</v>
      </c>
      <c r="G988" s="556">
        <f t="shared" si="82"/>
        <v>5207</v>
      </c>
    </row>
    <row r="989" spans="1:7" ht="15.75">
      <c r="A989" s="625">
        <f t="shared" si="83"/>
        <v>46275</v>
      </c>
      <c r="B989" s="555">
        <v>46250</v>
      </c>
      <c r="C989" s="555">
        <v>46300</v>
      </c>
      <c r="D989" s="556">
        <f t="shared" si="79"/>
        <v>5315</v>
      </c>
      <c r="E989" s="556">
        <f t="shared" si="80"/>
        <v>5076</v>
      </c>
      <c r="F989" s="556">
        <f t="shared" si="81"/>
        <v>5315</v>
      </c>
      <c r="G989" s="556">
        <f t="shared" si="82"/>
        <v>5213</v>
      </c>
    </row>
    <row r="990" spans="1:7" ht="15.75">
      <c r="A990" s="625">
        <f t="shared" si="83"/>
        <v>46325</v>
      </c>
      <c r="B990" s="555">
        <v>46300</v>
      </c>
      <c r="C990" s="555">
        <v>46350</v>
      </c>
      <c r="D990" s="556">
        <f t="shared" si="79"/>
        <v>5321</v>
      </c>
      <c r="E990" s="556">
        <f t="shared" si="80"/>
        <v>5082</v>
      </c>
      <c r="F990" s="556">
        <f t="shared" si="81"/>
        <v>5321</v>
      </c>
      <c r="G990" s="556">
        <f t="shared" si="82"/>
        <v>5219</v>
      </c>
    </row>
    <row r="991" spans="1:7" ht="15.75">
      <c r="A991" s="625">
        <f t="shared" si="83"/>
        <v>46375</v>
      </c>
      <c r="B991" s="555">
        <v>46350</v>
      </c>
      <c r="C991" s="555">
        <v>46400</v>
      </c>
      <c r="D991" s="556">
        <f t="shared" si="79"/>
        <v>5327</v>
      </c>
      <c r="E991" s="556">
        <f t="shared" si="80"/>
        <v>5088</v>
      </c>
      <c r="F991" s="556">
        <f t="shared" si="81"/>
        <v>5327</v>
      </c>
      <c r="G991" s="556">
        <f t="shared" si="82"/>
        <v>5225</v>
      </c>
    </row>
    <row r="992" spans="1:7" ht="15.75">
      <c r="A992" s="625">
        <f t="shared" si="83"/>
        <v>46425</v>
      </c>
      <c r="B992" s="555">
        <v>46400</v>
      </c>
      <c r="C992" s="555">
        <v>46450</v>
      </c>
      <c r="D992" s="556">
        <f t="shared" si="79"/>
        <v>5333</v>
      </c>
      <c r="E992" s="556">
        <f t="shared" si="80"/>
        <v>5094</v>
      </c>
      <c r="F992" s="556">
        <f t="shared" si="81"/>
        <v>5333</v>
      </c>
      <c r="G992" s="556">
        <f t="shared" si="82"/>
        <v>5231</v>
      </c>
    </row>
    <row r="993" spans="1:7" ht="15.75">
      <c r="A993" s="625">
        <f t="shared" si="83"/>
        <v>46475</v>
      </c>
      <c r="B993" s="555">
        <v>46450</v>
      </c>
      <c r="C993" s="555">
        <v>46500</v>
      </c>
      <c r="D993" s="556">
        <f t="shared" si="79"/>
        <v>5339</v>
      </c>
      <c r="E993" s="556">
        <f t="shared" si="80"/>
        <v>5100</v>
      </c>
      <c r="F993" s="556">
        <f t="shared" si="81"/>
        <v>5339</v>
      </c>
      <c r="G993" s="556">
        <f t="shared" si="82"/>
        <v>5237</v>
      </c>
    </row>
    <row r="994" spans="1:7" ht="15.75">
      <c r="A994" s="625">
        <f t="shared" si="83"/>
        <v>46525</v>
      </c>
      <c r="B994" s="555">
        <v>46500</v>
      </c>
      <c r="C994" s="555">
        <v>46550</v>
      </c>
      <c r="D994" s="556">
        <f t="shared" si="79"/>
        <v>5345</v>
      </c>
      <c r="E994" s="556">
        <f t="shared" si="80"/>
        <v>5106</v>
      </c>
      <c r="F994" s="556">
        <f t="shared" si="81"/>
        <v>5345</v>
      </c>
      <c r="G994" s="556">
        <f t="shared" si="82"/>
        <v>5243</v>
      </c>
    </row>
    <row r="995" spans="1:7" ht="15.75">
      <c r="A995" s="625">
        <f t="shared" si="83"/>
        <v>46575</v>
      </c>
      <c r="B995" s="555">
        <v>46550</v>
      </c>
      <c r="C995" s="555">
        <v>46600</v>
      </c>
      <c r="D995" s="556">
        <f t="shared" si="79"/>
        <v>5351</v>
      </c>
      <c r="E995" s="556">
        <f t="shared" si="80"/>
        <v>5112</v>
      </c>
      <c r="F995" s="556">
        <f t="shared" si="81"/>
        <v>5351</v>
      </c>
      <c r="G995" s="556">
        <f t="shared" si="82"/>
        <v>5249</v>
      </c>
    </row>
    <row r="996" spans="1:7" ht="15.75">
      <c r="A996" s="625">
        <f t="shared" si="83"/>
        <v>46625</v>
      </c>
      <c r="B996" s="555">
        <v>46600</v>
      </c>
      <c r="C996" s="555">
        <v>46650</v>
      </c>
      <c r="D996" s="556">
        <f t="shared" si="79"/>
        <v>5357</v>
      </c>
      <c r="E996" s="556">
        <f t="shared" si="80"/>
        <v>5118</v>
      </c>
      <c r="F996" s="556">
        <f t="shared" si="81"/>
        <v>5357</v>
      </c>
      <c r="G996" s="556">
        <f t="shared" si="82"/>
        <v>5255</v>
      </c>
    </row>
    <row r="997" spans="1:7" ht="15.75">
      <c r="A997" s="625">
        <f t="shared" si="83"/>
        <v>46675</v>
      </c>
      <c r="B997" s="555">
        <v>46650</v>
      </c>
      <c r="C997" s="555">
        <v>46700</v>
      </c>
      <c r="D997" s="556">
        <f t="shared" si="79"/>
        <v>5363</v>
      </c>
      <c r="E997" s="556">
        <f t="shared" si="80"/>
        <v>5124</v>
      </c>
      <c r="F997" s="556">
        <f t="shared" si="81"/>
        <v>5363</v>
      </c>
      <c r="G997" s="556">
        <f t="shared" si="82"/>
        <v>5261</v>
      </c>
    </row>
    <row r="998" spans="1:7" ht="15.75">
      <c r="A998" s="625">
        <f t="shared" si="83"/>
        <v>46725</v>
      </c>
      <c r="B998" s="555">
        <v>46700</v>
      </c>
      <c r="C998" s="555">
        <v>46750</v>
      </c>
      <c r="D998" s="556">
        <f t="shared" si="79"/>
        <v>5369</v>
      </c>
      <c r="E998" s="556">
        <f t="shared" si="80"/>
        <v>5130</v>
      </c>
      <c r="F998" s="556">
        <f t="shared" si="81"/>
        <v>5369</v>
      </c>
      <c r="G998" s="556">
        <f t="shared" si="82"/>
        <v>5267</v>
      </c>
    </row>
    <row r="999" spans="1:7" ht="15.75">
      <c r="A999" s="625">
        <f t="shared" si="83"/>
        <v>46775</v>
      </c>
      <c r="B999" s="555">
        <v>46750</v>
      </c>
      <c r="C999" s="555">
        <v>46800</v>
      </c>
      <c r="D999" s="556">
        <f t="shared" si="79"/>
        <v>5375</v>
      </c>
      <c r="E999" s="556">
        <f t="shared" si="80"/>
        <v>5136</v>
      </c>
      <c r="F999" s="556">
        <f t="shared" si="81"/>
        <v>5375</v>
      </c>
      <c r="G999" s="556">
        <f t="shared" si="82"/>
        <v>5273</v>
      </c>
    </row>
    <row r="1000" spans="1:7" ht="15.75">
      <c r="A1000" s="625">
        <f t="shared" si="83"/>
        <v>46825</v>
      </c>
      <c r="B1000" s="555">
        <v>46800</v>
      </c>
      <c r="C1000" s="555">
        <v>46850</v>
      </c>
      <c r="D1000" s="556">
        <f t="shared" si="79"/>
        <v>5381</v>
      </c>
      <c r="E1000" s="556">
        <f t="shared" si="80"/>
        <v>5142</v>
      </c>
      <c r="F1000" s="556">
        <f t="shared" si="81"/>
        <v>5381</v>
      </c>
      <c r="G1000" s="556">
        <f t="shared" si="82"/>
        <v>5279</v>
      </c>
    </row>
    <row r="1001" spans="1:7" ht="15.75">
      <c r="A1001" s="625">
        <f t="shared" si="83"/>
        <v>46875</v>
      </c>
      <c r="B1001" s="555">
        <v>46850</v>
      </c>
      <c r="C1001" s="555">
        <v>46900</v>
      </c>
      <c r="D1001" s="556">
        <f t="shared" si="79"/>
        <v>5387</v>
      </c>
      <c r="E1001" s="556">
        <f t="shared" si="80"/>
        <v>5148</v>
      </c>
      <c r="F1001" s="556">
        <f t="shared" si="81"/>
        <v>5387</v>
      </c>
      <c r="G1001" s="556">
        <f t="shared" si="82"/>
        <v>5285</v>
      </c>
    </row>
    <row r="1002" spans="1:7" ht="15.75">
      <c r="A1002" s="625">
        <f t="shared" si="83"/>
        <v>46925</v>
      </c>
      <c r="B1002" s="555">
        <v>46900</v>
      </c>
      <c r="C1002" s="555">
        <v>46950</v>
      </c>
      <c r="D1002" s="556">
        <f t="shared" si="79"/>
        <v>5393</v>
      </c>
      <c r="E1002" s="556">
        <f t="shared" si="80"/>
        <v>5154</v>
      </c>
      <c r="F1002" s="556">
        <f t="shared" si="81"/>
        <v>5393</v>
      </c>
      <c r="G1002" s="556">
        <f t="shared" si="82"/>
        <v>5291</v>
      </c>
    </row>
    <row r="1003" spans="1:7" ht="15.75">
      <c r="A1003" s="625">
        <f t="shared" si="83"/>
        <v>46975</v>
      </c>
      <c r="B1003" s="555">
        <v>46950</v>
      </c>
      <c r="C1003" s="555">
        <v>47000</v>
      </c>
      <c r="D1003" s="556">
        <f t="shared" si="79"/>
        <v>5399</v>
      </c>
      <c r="E1003" s="556">
        <f t="shared" si="80"/>
        <v>5160</v>
      </c>
      <c r="F1003" s="556">
        <f t="shared" si="81"/>
        <v>5399</v>
      </c>
      <c r="G1003" s="556">
        <f t="shared" si="82"/>
        <v>5297</v>
      </c>
    </row>
    <row r="1004" spans="1:7" ht="15.75">
      <c r="A1004" s="625">
        <f t="shared" si="83"/>
        <v>47025</v>
      </c>
      <c r="B1004" s="555">
        <v>47000</v>
      </c>
      <c r="C1004" s="555">
        <v>47050</v>
      </c>
      <c r="D1004" s="556">
        <f t="shared" si="79"/>
        <v>5405</v>
      </c>
      <c r="E1004" s="556">
        <f t="shared" si="80"/>
        <v>5166</v>
      </c>
      <c r="F1004" s="556">
        <f t="shared" si="81"/>
        <v>5405</v>
      </c>
      <c r="G1004" s="556">
        <f t="shared" si="82"/>
        <v>5303</v>
      </c>
    </row>
    <row r="1005" spans="1:7" ht="15.75">
      <c r="A1005" s="625">
        <f t="shared" si="83"/>
        <v>47075</v>
      </c>
      <c r="B1005" s="555">
        <v>47050</v>
      </c>
      <c r="C1005" s="555">
        <v>47100</v>
      </c>
      <c r="D1005" s="556">
        <f t="shared" si="79"/>
        <v>5411</v>
      </c>
      <c r="E1005" s="556">
        <f t="shared" si="80"/>
        <v>5172</v>
      </c>
      <c r="F1005" s="556">
        <f t="shared" si="81"/>
        <v>5411</v>
      </c>
      <c r="G1005" s="556">
        <f t="shared" si="82"/>
        <v>5309</v>
      </c>
    </row>
    <row r="1006" spans="1:7" ht="15.75">
      <c r="A1006" s="625">
        <f t="shared" si="83"/>
        <v>47125</v>
      </c>
      <c r="B1006" s="555">
        <v>47100</v>
      </c>
      <c r="C1006" s="555">
        <v>47150</v>
      </c>
      <c r="D1006" s="556">
        <f t="shared" si="79"/>
        <v>5417</v>
      </c>
      <c r="E1006" s="556">
        <f t="shared" si="80"/>
        <v>5178</v>
      </c>
      <c r="F1006" s="556">
        <f t="shared" si="81"/>
        <v>5417</v>
      </c>
      <c r="G1006" s="556">
        <f t="shared" si="82"/>
        <v>5315</v>
      </c>
    </row>
    <row r="1007" spans="1:7" ht="15.75">
      <c r="A1007" s="625">
        <f t="shared" si="83"/>
        <v>47175</v>
      </c>
      <c r="B1007" s="555">
        <v>47150</v>
      </c>
      <c r="C1007" s="555">
        <v>47200</v>
      </c>
      <c r="D1007" s="556">
        <f t="shared" si="79"/>
        <v>5423</v>
      </c>
      <c r="E1007" s="556">
        <f t="shared" si="80"/>
        <v>5184</v>
      </c>
      <c r="F1007" s="556">
        <f t="shared" si="81"/>
        <v>5423</v>
      </c>
      <c r="G1007" s="556">
        <f t="shared" si="82"/>
        <v>5321</v>
      </c>
    </row>
    <row r="1008" spans="1:7" ht="15.75">
      <c r="A1008" s="625">
        <f t="shared" si="83"/>
        <v>47225</v>
      </c>
      <c r="B1008" s="555">
        <v>47200</v>
      </c>
      <c r="C1008" s="555">
        <v>47250</v>
      </c>
      <c r="D1008" s="556">
        <f t="shared" si="79"/>
        <v>5429</v>
      </c>
      <c r="E1008" s="556">
        <f t="shared" si="80"/>
        <v>5190</v>
      </c>
      <c r="F1008" s="556">
        <f t="shared" si="81"/>
        <v>5429</v>
      </c>
      <c r="G1008" s="556">
        <f t="shared" si="82"/>
        <v>5327</v>
      </c>
    </row>
    <row r="1009" spans="1:7" ht="15.75">
      <c r="A1009" s="625">
        <f t="shared" si="83"/>
        <v>47275</v>
      </c>
      <c r="B1009" s="555">
        <v>47250</v>
      </c>
      <c r="C1009" s="555">
        <v>47300</v>
      </c>
      <c r="D1009" s="556">
        <f t="shared" si="79"/>
        <v>5435</v>
      </c>
      <c r="E1009" s="556">
        <f t="shared" si="80"/>
        <v>5196</v>
      </c>
      <c r="F1009" s="556">
        <f t="shared" si="81"/>
        <v>5435</v>
      </c>
      <c r="G1009" s="556">
        <f t="shared" si="82"/>
        <v>5333</v>
      </c>
    </row>
    <row r="1010" spans="1:7" ht="15.75">
      <c r="A1010" s="625">
        <f t="shared" si="83"/>
        <v>47325</v>
      </c>
      <c r="B1010" s="555">
        <v>47300</v>
      </c>
      <c r="C1010" s="555">
        <v>47350</v>
      </c>
      <c r="D1010" s="556">
        <f t="shared" si="79"/>
        <v>5441</v>
      </c>
      <c r="E1010" s="556">
        <f t="shared" si="80"/>
        <v>5202</v>
      </c>
      <c r="F1010" s="556">
        <f t="shared" si="81"/>
        <v>5441</v>
      </c>
      <c r="G1010" s="556">
        <f t="shared" si="82"/>
        <v>5339</v>
      </c>
    </row>
    <row r="1011" spans="1:7" ht="15.75">
      <c r="A1011" s="625">
        <f t="shared" si="83"/>
        <v>47375</v>
      </c>
      <c r="B1011" s="555">
        <v>47350</v>
      </c>
      <c r="C1011" s="555">
        <v>47400</v>
      </c>
      <c r="D1011" s="556">
        <f t="shared" si="79"/>
        <v>5447</v>
      </c>
      <c r="E1011" s="556">
        <f t="shared" si="80"/>
        <v>5208</v>
      </c>
      <c r="F1011" s="556">
        <f t="shared" si="81"/>
        <v>5447</v>
      </c>
      <c r="G1011" s="556">
        <f t="shared" si="82"/>
        <v>5345</v>
      </c>
    </row>
    <row r="1012" spans="1:7" ht="15.75">
      <c r="A1012" s="625">
        <f t="shared" si="83"/>
        <v>47425</v>
      </c>
      <c r="B1012" s="555">
        <v>47400</v>
      </c>
      <c r="C1012" s="555">
        <v>47450</v>
      </c>
      <c r="D1012" s="556">
        <f t="shared" si="79"/>
        <v>5453</v>
      </c>
      <c r="E1012" s="556">
        <f t="shared" si="80"/>
        <v>5214</v>
      </c>
      <c r="F1012" s="556">
        <f t="shared" si="81"/>
        <v>5453</v>
      </c>
      <c r="G1012" s="556">
        <f t="shared" si="82"/>
        <v>5351</v>
      </c>
    </row>
    <row r="1013" spans="1:7" ht="15.75">
      <c r="A1013" s="625">
        <f t="shared" si="83"/>
        <v>47475</v>
      </c>
      <c r="B1013" s="555">
        <v>47450</v>
      </c>
      <c r="C1013" s="555">
        <v>47500</v>
      </c>
      <c r="D1013" s="556">
        <f t="shared" si="79"/>
        <v>5459</v>
      </c>
      <c r="E1013" s="556">
        <f t="shared" si="80"/>
        <v>5220</v>
      </c>
      <c r="F1013" s="556">
        <f t="shared" si="81"/>
        <v>5459</v>
      </c>
      <c r="G1013" s="556">
        <f t="shared" si="82"/>
        <v>5357</v>
      </c>
    </row>
    <row r="1014" spans="1:7" ht="15.75">
      <c r="A1014" s="625">
        <f t="shared" si="83"/>
        <v>47525</v>
      </c>
      <c r="B1014" s="555">
        <v>47500</v>
      </c>
      <c r="C1014" s="555">
        <v>47550</v>
      </c>
      <c r="D1014" s="556">
        <f t="shared" si="79"/>
        <v>5465</v>
      </c>
      <c r="E1014" s="556">
        <f t="shared" si="80"/>
        <v>5226</v>
      </c>
      <c r="F1014" s="556">
        <f t="shared" si="81"/>
        <v>5465</v>
      </c>
      <c r="G1014" s="556">
        <f t="shared" si="82"/>
        <v>5363</v>
      </c>
    </row>
    <row r="1015" spans="1:7" ht="15.75">
      <c r="A1015" s="625">
        <f t="shared" si="83"/>
        <v>47575</v>
      </c>
      <c r="B1015" s="555">
        <v>47550</v>
      </c>
      <c r="C1015" s="555">
        <v>47600</v>
      </c>
      <c r="D1015" s="556">
        <f t="shared" si="79"/>
        <v>5471</v>
      </c>
      <c r="E1015" s="556">
        <f t="shared" si="80"/>
        <v>5232</v>
      </c>
      <c r="F1015" s="556">
        <f t="shared" si="81"/>
        <v>5471</v>
      </c>
      <c r="G1015" s="556">
        <f t="shared" si="82"/>
        <v>5369</v>
      </c>
    </row>
    <row r="1016" spans="1:7" ht="15.75">
      <c r="A1016" s="625">
        <f t="shared" si="83"/>
        <v>47625</v>
      </c>
      <c r="B1016" s="555">
        <v>47600</v>
      </c>
      <c r="C1016" s="555">
        <v>47650</v>
      </c>
      <c r="D1016" s="556">
        <f t="shared" si="79"/>
        <v>5477</v>
      </c>
      <c r="E1016" s="556">
        <f t="shared" si="80"/>
        <v>5238</v>
      </c>
      <c r="F1016" s="556">
        <f t="shared" si="81"/>
        <v>5477</v>
      </c>
      <c r="G1016" s="556">
        <f t="shared" si="82"/>
        <v>5375</v>
      </c>
    </row>
    <row r="1017" spans="1:7" ht="15.75">
      <c r="A1017" s="625">
        <f t="shared" si="83"/>
        <v>47675</v>
      </c>
      <c r="B1017" s="555">
        <v>47650</v>
      </c>
      <c r="C1017" s="555">
        <v>47700</v>
      </c>
      <c r="D1017" s="556">
        <f t="shared" si="79"/>
        <v>5483</v>
      </c>
      <c r="E1017" s="556">
        <f t="shared" si="80"/>
        <v>5244</v>
      </c>
      <c r="F1017" s="556">
        <f t="shared" si="81"/>
        <v>5483</v>
      </c>
      <c r="G1017" s="556">
        <f t="shared" si="82"/>
        <v>5381</v>
      </c>
    </row>
    <row r="1018" spans="1:7" ht="15.75">
      <c r="A1018" s="625">
        <f t="shared" si="83"/>
        <v>47725</v>
      </c>
      <c r="B1018" s="555">
        <v>47700</v>
      </c>
      <c r="C1018" s="555">
        <v>47750</v>
      </c>
      <c r="D1018" s="556">
        <f t="shared" si="79"/>
        <v>5489</v>
      </c>
      <c r="E1018" s="556">
        <f t="shared" si="80"/>
        <v>5250</v>
      </c>
      <c r="F1018" s="556">
        <f t="shared" si="81"/>
        <v>5489</v>
      </c>
      <c r="G1018" s="556">
        <f t="shared" si="82"/>
        <v>5387</v>
      </c>
    </row>
    <row r="1019" spans="1:7" ht="15.75">
      <c r="A1019" s="625">
        <f t="shared" si="83"/>
        <v>47775</v>
      </c>
      <c r="B1019" s="555">
        <v>47750</v>
      </c>
      <c r="C1019" s="555">
        <v>47800</v>
      </c>
      <c r="D1019" s="556">
        <f t="shared" si="79"/>
        <v>5495</v>
      </c>
      <c r="E1019" s="556">
        <f t="shared" si="80"/>
        <v>5256</v>
      </c>
      <c r="F1019" s="556">
        <f t="shared" si="81"/>
        <v>5495</v>
      </c>
      <c r="G1019" s="556">
        <f t="shared" si="82"/>
        <v>5393</v>
      </c>
    </row>
    <row r="1020" spans="1:7" ht="15.75">
      <c r="A1020" s="625">
        <f t="shared" si="83"/>
        <v>47825</v>
      </c>
      <c r="B1020" s="555">
        <v>47800</v>
      </c>
      <c r="C1020" s="555">
        <v>47850</v>
      </c>
      <c r="D1020" s="556">
        <f t="shared" si="79"/>
        <v>5501</v>
      </c>
      <c r="E1020" s="556">
        <f t="shared" si="80"/>
        <v>5262</v>
      </c>
      <c r="F1020" s="556">
        <f t="shared" si="81"/>
        <v>5501</v>
      </c>
      <c r="G1020" s="556">
        <f t="shared" si="82"/>
        <v>5399</v>
      </c>
    </row>
    <row r="1021" spans="1:7" ht="15.75">
      <c r="A1021" s="625">
        <f t="shared" si="83"/>
        <v>47875</v>
      </c>
      <c r="B1021" s="555">
        <v>47850</v>
      </c>
      <c r="C1021" s="555">
        <v>47900</v>
      </c>
      <c r="D1021" s="556">
        <f t="shared" si="79"/>
        <v>5507</v>
      </c>
      <c r="E1021" s="556">
        <f t="shared" si="80"/>
        <v>5268</v>
      </c>
      <c r="F1021" s="556">
        <f t="shared" si="81"/>
        <v>5507</v>
      </c>
      <c r="G1021" s="556">
        <f t="shared" si="82"/>
        <v>5405</v>
      </c>
    </row>
    <row r="1022" spans="1:7" ht="15.75">
      <c r="A1022" s="625">
        <f t="shared" si="83"/>
        <v>47925</v>
      </c>
      <c r="B1022" s="555">
        <v>47900</v>
      </c>
      <c r="C1022" s="555">
        <v>47950</v>
      </c>
      <c r="D1022" s="556">
        <f t="shared" si="79"/>
        <v>5513</v>
      </c>
      <c r="E1022" s="556">
        <f t="shared" si="80"/>
        <v>5274</v>
      </c>
      <c r="F1022" s="556">
        <f t="shared" si="81"/>
        <v>5513</v>
      </c>
      <c r="G1022" s="556">
        <f t="shared" si="82"/>
        <v>5411</v>
      </c>
    </row>
    <row r="1023" spans="1:7" ht="15.75">
      <c r="A1023" s="625">
        <f t="shared" si="83"/>
        <v>47975</v>
      </c>
      <c r="B1023" s="555">
        <v>47950</v>
      </c>
      <c r="C1023" s="555">
        <v>48000</v>
      </c>
      <c r="D1023" s="556">
        <f t="shared" si="79"/>
        <v>5519</v>
      </c>
      <c r="E1023" s="556">
        <f t="shared" si="80"/>
        <v>5280</v>
      </c>
      <c r="F1023" s="556">
        <f t="shared" si="81"/>
        <v>5519</v>
      </c>
      <c r="G1023" s="556">
        <f t="shared" si="82"/>
        <v>5417</v>
      </c>
    </row>
    <row r="1024" spans="1:7" ht="15.75">
      <c r="A1024" s="625">
        <f t="shared" si="83"/>
        <v>48025</v>
      </c>
      <c r="B1024" s="555">
        <v>48000</v>
      </c>
      <c r="C1024" s="555">
        <v>48050</v>
      </c>
      <c r="D1024" s="556">
        <f t="shared" si="79"/>
        <v>5525</v>
      </c>
      <c r="E1024" s="556">
        <f t="shared" si="80"/>
        <v>5286</v>
      </c>
      <c r="F1024" s="556">
        <f t="shared" si="81"/>
        <v>5525</v>
      </c>
      <c r="G1024" s="556">
        <f t="shared" si="82"/>
        <v>5423</v>
      </c>
    </row>
    <row r="1025" spans="1:7" ht="15.75">
      <c r="A1025" s="625">
        <f t="shared" si="83"/>
        <v>48075</v>
      </c>
      <c r="B1025" s="555">
        <v>48050</v>
      </c>
      <c r="C1025" s="555">
        <v>48100</v>
      </c>
      <c r="D1025" s="556">
        <f t="shared" si="79"/>
        <v>5531</v>
      </c>
      <c r="E1025" s="556">
        <f t="shared" si="80"/>
        <v>5292</v>
      </c>
      <c r="F1025" s="556">
        <f t="shared" si="81"/>
        <v>5531</v>
      </c>
      <c r="G1025" s="556">
        <f t="shared" si="82"/>
        <v>5429</v>
      </c>
    </row>
    <row r="1026" spans="1:7" ht="15.75">
      <c r="A1026" s="625">
        <f t="shared" si="83"/>
        <v>48125</v>
      </c>
      <c r="B1026" s="555">
        <v>48100</v>
      </c>
      <c r="C1026" s="555">
        <v>48150</v>
      </c>
      <c r="D1026" s="556">
        <f t="shared" ref="D1026:D1089" si="84">IF($A1026&gt;BOTT_A4,ROUND(BASE_A4+RATE_A4*($A1026-BOTT_A4),0),IF($A1026&gt;BOTT_A3,ROUND(BASE_A3+RATE_A3*($A1026-BOTT_A3),0),IF($A1026&gt;BOTT_A2,ROUND(BASE_A2+RATE_A2*($A1026-BOTT_A2),0),ROUND(RATE_A1*$A1026,0))))</f>
        <v>5537</v>
      </c>
      <c r="E1026" s="556">
        <f t="shared" ref="E1026:E1089" si="85">IF($A1026&gt;BOTT_B4,ROUND(BASE_B4+RATE_B4*($A1026-BOTT_B4),0),IF($A1026&gt;BOTT_B3,ROUND(BASE_B3+RATE_B3*($A1026-BOTT_B3),0),IF($A1026&gt;BOTT_B2,ROUND(BASE_B2+RATE_B2*($A1026-BOTT_B2),0),ROUND(RATE_B1*$A1026,0))))</f>
        <v>5298</v>
      </c>
      <c r="F1026" s="556">
        <f t="shared" ref="F1026:F1089" si="86">IF($A1026&gt;BOTT_C4,ROUND(BASE_C4+RATE_C4*($A1026-BOTT_C4),0),IF($A1026&gt;BOTT_C3,ROUND(BASE_C3+RATE_C3*($A1026-BOTT_C3),0),IF($A1026&gt;BOTT_C2,ROUND(BASE_C2+RATE_C2*($A1026-BOTT_C2),0),ROUND(RATE_C1*$A1026,0))))</f>
        <v>5537</v>
      </c>
      <c r="G1026" s="556">
        <f t="shared" ref="G1026:G1089" si="87">IF($A1026&gt;BOTT_D4,ROUND(BASE_D4+RATE_D4*($A1026-BOTT_D4),0),IF($A1026&gt;BOTT_D3,ROUND(BASE_D3+RATE_D3*($A1026-BOTT_D3),0),IF($A1026&gt;BOTT_D2,ROUND(BASE_D2+RATE_D2*($A1026-BOTT_D2),0),ROUND(RATE_D1*$A1026,0))))</f>
        <v>5435</v>
      </c>
    </row>
    <row r="1027" spans="1:7" ht="15.75">
      <c r="A1027" s="625">
        <f t="shared" ref="A1027:A1090" si="88">AVERAGE(B1027,C1027)</f>
        <v>48175</v>
      </c>
      <c r="B1027" s="555">
        <v>48150</v>
      </c>
      <c r="C1027" s="555">
        <v>48200</v>
      </c>
      <c r="D1027" s="556">
        <f t="shared" si="84"/>
        <v>5543</v>
      </c>
      <c r="E1027" s="556">
        <f t="shared" si="85"/>
        <v>5304</v>
      </c>
      <c r="F1027" s="556">
        <f t="shared" si="86"/>
        <v>5543</v>
      </c>
      <c r="G1027" s="556">
        <f t="shared" si="87"/>
        <v>5441</v>
      </c>
    </row>
    <row r="1028" spans="1:7" ht="15.75">
      <c r="A1028" s="625">
        <f t="shared" si="88"/>
        <v>48225</v>
      </c>
      <c r="B1028" s="555">
        <v>48200</v>
      </c>
      <c r="C1028" s="555">
        <v>48250</v>
      </c>
      <c r="D1028" s="556">
        <f t="shared" si="84"/>
        <v>5549</v>
      </c>
      <c r="E1028" s="556">
        <f t="shared" si="85"/>
        <v>5310</v>
      </c>
      <c r="F1028" s="556">
        <f t="shared" si="86"/>
        <v>5549</v>
      </c>
      <c r="G1028" s="556">
        <f t="shared" si="87"/>
        <v>5447</v>
      </c>
    </row>
    <row r="1029" spans="1:7" ht="15.75">
      <c r="A1029" s="625">
        <f t="shared" si="88"/>
        <v>48275</v>
      </c>
      <c r="B1029" s="555">
        <v>48250</v>
      </c>
      <c r="C1029" s="555">
        <v>48300</v>
      </c>
      <c r="D1029" s="556">
        <f t="shared" si="84"/>
        <v>5555</v>
      </c>
      <c r="E1029" s="556">
        <f t="shared" si="85"/>
        <v>5316</v>
      </c>
      <c r="F1029" s="556">
        <f t="shared" si="86"/>
        <v>5555</v>
      </c>
      <c r="G1029" s="556">
        <f t="shared" si="87"/>
        <v>5453</v>
      </c>
    </row>
    <row r="1030" spans="1:7" ht="15.75">
      <c r="A1030" s="625">
        <f t="shared" si="88"/>
        <v>48325</v>
      </c>
      <c r="B1030" s="555">
        <v>48300</v>
      </c>
      <c r="C1030" s="555">
        <v>48350</v>
      </c>
      <c r="D1030" s="556">
        <f t="shared" si="84"/>
        <v>5561</v>
      </c>
      <c r="E1030" s="556">
        <f t="shared" si="85"/>
        <v>5322</v>
      </c>
      <c r="F1030" s="556">
        <f t="shared" si="86"/>
        <v>5561</v>
      </c>
      <c r="G1030" s="556">
        <f t="shared" si="87"/>
        <v>5459</v>
      </c>
    </row>
    <row r="1031" spans="1:7" ht="15.75">
      <c r="A1031" s="625">
        <f t="shared" si="88"/>
        <v>48375</v>
      </c>
      <c r="B1031" s="555">
        <v>48350</v>
      </c>
      <c r="C1031" s="555">
        <v>48400</v>
      </c>
      <c r="D1031" s="556">
        <f t="shared" si="84"/>
        <v>5567</v>
      </c>
      <c r="E1031" s="556">
        <f t="shared" si="85"/>
        <v>5328</v>
      </c>
      <c r="F1031" s="556">
        <f t="shared" si="86"/>
        <v>5567</v>
      </c>
      <c r="G1031" s="556">
        <f t="shared" si="87"/>
        <v>5465</v>
      </c>
    </row>
    <row r="1032" spans="1:7" ht="15.75">
      <c r="A1032" s="625">
        <f t="shared" si="88"/>
        <v>48425</v>
      </c>
      <c r="B1032" s="555">
        <v>48400</v>
      </c>
      <c r="C1032" s="555">
        <v>48450</v>
      </c>
      <c r="D1032" s="556">
        <f t="shared" si="84"/>
        <v>5573</v>
      </c>
      <c r="E1032" s="556">
        <f t="shared" si="85"/>
        <v>5334</v>
      </c>
      <c r="F1032" s="556">
        <f t="shared" si="86"/>
        <v>5573</v>
      </c>
      <c r="G1032" s="556">
        <f t="shared" si="87"/>
        <v>5471</v>
      </c>
    </row>
    <row r="1033" spans="1:7" ht="15.75">
      <c r="A1033" s="625">
        <f t="shared" si="88"/>
        <v>48475</v>
      </c>
      <c r="B1033" s="555">
        <v>48450</v>
      </c>
      <c r="C1033" s="555">
        <v>48500</v>
      </c>
      <c r="D1033" s="556">
        <f t="shared" si="84"/>
        <v>5579</v>
      </c>
      <c r="E1033" s="556">
        <f t="shared" si="85"/>
        <v>5340</v>
      </c>
      <c r="F1033" s="556">
        <f t="shared" si="86"/>
        <v>5579</v>
      </c>
      <c r="G1033" s="556">
        <f t="shared" si="87"/>
        <v>5477</v>
      </c>
    </row>
    <row r="1034" spans="1:7" ht="15.75">
      <c r="A1034" s="625">
        <f t="shared" si="88"/>
        <v>48525</v>
      </c>
      <c r="B1034" s="555">
        <v>48500</v>
      </c>
      <c r="C1034" s="555">
        <v>48550</v>
      </c>
      <c r="D1034" s="556">
        <f t="shared" si="84"/>
        <v>5590</v>
      </c>
      <c r="E1034" s="556">
        <f t="shared" si="85"/>
        <v>5346</v>
      </c>
      <c r="F1034" s="556">
        <f t="shared" si="86"/>
        <v>5590</v>
      </c>
      <c r="G1034" s="556">
        <f t="shared" si="87"/>
        <v>5483</v>
      </c>
    </row>
    <row r="1035" spans="1:7" ht="15.75">
      <c r="A1035" s="625">
        <f t="shared" si="88"/>
        <v>48575</v>
      </c>
      <c r="B1035" s="555">
        <v>48550</v>
      </c>
      <c r="C1035" s="555">
        <v>48600</v>
      </c>
      <c r="D1035" s="556">
        <f t="shared" si="84"/>
        <v>5601</v>
      </c>
      <c r="E1035" s="556">
        <f t="shared" si="85"/>
        <v>5352</v>
      </c>
      <c r="F1035" s="556">
        <f t="shared" si="86"/>
        <v>5601</v>
      </c>
      <c r="G1035" s="556">
        <f t="shared" si="87"/>
        <v>5489</v>
      </c>
    </row>
    <row r="1036" spans="1:7" ht="15.75">
      <c r="A1036" s="625">
        <f t="shared" si="88"/>
        <v>48625</v>
      </c>
      <c r="B1036" s="555">
        <v>48600</v>
      </c>
      <c r="C1036" s="555">
        <v>48650</v>
      </c>
      <c r="D1036" s="556">
        <f t="shared" si="84"/>
        <v>5612</v>
      </c>
      <c r="E1036" s="556">
        <f t="shared" si="85"/>
        <v>5358</v>
      </c>
      <c r="F1036" s="556">
        <f t="shared" si="86"/>
        <v>5612</v>
      </c>
      <c r="G1036" s="556">
        <f t="shared" si="87"/>
        <v>5495</v>
      </c>
    </row>
    <row r="1037" spans="1:7" ht="15.75">
      <c r="A1037" s="625">
        <f t="shared" si="88"/>
        <v>48675</v>
      </c>
      <c r="B1037" s="555">
        <v>48650</v>
      </c>
      <c r="C1037" s="555">
        <v>48700</v>
      </c>
      <c r="D1037" s="556">
        <f t="shared" si="84"/>
        <v>5623</v>
      </c>
      <c r="E1037" s="556">
        <f t="shared" si="85"/>
        <v>5364</v>
      </c>
      <c r="F1037" s="556">
        <f t="shared" si="86"/>
        <v>5623</v>
      </c>
      <c r="G1037" s="556">
        <f t="shared" si="87"/>
        <v>5501</v>
      </c>
    </row>
    <row r="1038" spans="1:7" ht="15.75">
      <c r="A1038" s="625">
        <f t="shared" si="88"/>
        <v>48725</v>
      </c>
      <c r="B1038" s="555">
        <v>48700</v>
      </c>
      <c r="C1038" s="555">
        <v>48750</v>
      </c>
      <c r="D1038" s="556">
        <f t="shared" si="84"/>
        <v>5634</v>
      </c>
      <c r="E1038" s="556">
        <f t="shared" si="85"/>
        <v>5370</v>
      </c>
      <c r="F1038" s="556">
        <f t="shared" si="86"/>
        <v>5634</v>
      </c>
      <c r="G1038" s="556">
        <f t="shared" si="87"/>
        <v>5507</v>
      </c>
    </row>
    <row r="1039" spans="1:7" ht="15.75">
      <c r="A1039" s="625">
        <f t="shared" si="88"/>
        <v>48775</v>
      </c>
      <c r="B1039" s="555">
        <v>48750</v>
      </c>
      <c r="C1039" s="555">
        <v>48800</v>
      </c>
      <c r="D1039" s="556">
        <f t="shared" si="84"/>
        <v>5645</v>
      </c>
      <c r="E1039" s="556">
        <f t="shared" si="85"/>
        <v>5376</v>
      </c>
      <c r="F1039" s="556">
        <f t="shared" si="86"/>
        <v>5645</v>
      </c>
      <c r="G1039" s="556">
        <f t="shared" si="87"/>
        <v>5513</v>
      </c>
    </row>
    <row r="1040" spans="1:7" ht="15.75">
      <c r="A1040" s="625">
        <f t="shared" si="88"/>
        <v>48825</v>
      </c>
      <c r="B1040" s="555">
        <v>48800</v>
      </c>
      <c r="C1040" s="555">
        <v>48850</v>
      </c>
      <c r="D1040" s="556">
        <f t="shared" si="84"/>
        <v>5656</v>
      </c>
      <c r="E1040" s="556">
        <f t="shared" si="85"/>
        <v>5382</v>
      </c>
      <c r="F1040" s="556">
        <f t="shared" si="86"/>
        <v>5656</v>
      </c>
      <c r="G1040" s="556">
        <f t="shared" si="87"/>
        <v>5519</v>
      </c>
    </row>
    <row r="1041" spans="1:7" ht="15.75">
      <c r="A1041" s="625">
        <f t="shared" si="88"/>
        <v>48875</v>
      </c>
      <c r="B1041" s="555">
        <v>48850</v>
      </c>
      <c r="C1041" s="555">
        <v>48900</v>
      </c>
      <c r="D1041" s="556">
        <f t="shared" si="84"/>
        <v>5667</v>
      </c>
      <c r="E1041" s="556">
        <f t="shared" si="85"/>
        <v>5388</v>
      </c>
      <c r="F1041" s="556">
        <f t="shared" si="86"/>
        <v>5667</v>
      </c>
      <c r="G1041" s="556">
        <f t="shared" si="87"/>
        <v>5525</v>
      </c>
    </row>
    <row r="1042" spans="1:7" ht="15.75">
      <c r="A1042" s="625">
        <f t="shared" si="88"/>
        <v>48925</v>
      </c>
      <c r="B1042" s="555">
        <v>48900</v>
      </c>
      <c r="C1042" s="555">
        <v>48950</v>
      </c>
      <c r="D1042" s="556">
        <f t="shared" si="84"/>
        <v>5678</v>
      </c>
      <c r="E1042" s="556">
        <f t="shared" si="85"/>
        <v>5394</v>
      </c>
      <c r="F1042" s="556">
        <f t="shared" si="86"/>
        <v>5678</v>
      </c>
      <c r="G1042" s="556">
        <f t="shared" si="87"/>
        <v>5531</v>
      </c>
    </row>
    <row r="1043" spans="1:7" ht="15.75">
      <c r="A1043" s="625">
        <f t="shared" si="88"/>
        <v>48975</v>
      </c>
      <c r="B1043" s="555">
        <v>48950</v>
      </c>
      <c r="C1043" s="555">
        <v>49000</v>
      </c>
      <c r="D1043" s="556">
        <f t="shared" si="84"/>
        <v>5689</v>
      </c>
      <c r="E1043" s="556">
        <f t="shared" si="85"/>
        <v>5400</v>
      </c>
      <c r="F1043" s="556">
        <f t="shared" si="86"/>
        <v>5689</v>
      </c>
      <c r="G1043" s="556">
        <f t="shared" si="87"/>
        <v>5537</v>
      </c>
    </row>
    <row r="1044" spans="1:7" ht="15.75">
      <c r="A1044" s="625">
        <f t="shared" si="88"/>
        <v>49025</v>
      </c>
      <c r="B1044" s="555">
        <v>49000</v>
      </c>
      <c r="C1044" s="555">
        <v>49050</v>
      </c>
      <c r="D1044" s="556">
        <f t="shared" si="84"/>
        <v>5700</v>
      </c>
      <c r="E1044" s="556">
        <f t="shared" si="85"/>
        <v>5406</v>
      </c>
      <c r="F1044" s="556">
        <f t="shared" si="86"/>
        <v>5700</v>
      </c>
      <c r="G1044" s="556">
        <f t="shared" si="87"/>
        <v>5543</v>
      </c>
    </row>
    <row r="1045" spans="1:7" ht="15.75">
      <c r="A1045" s="625">
        <f t="shared" si="88"/>
        <v>49075</v>
      </c>
      <c r="B1045" s="555">
        <v>49050</v>
      </c>
      <c r="C1045" s="555">
        <v>49100</v>
      </c>
      <c r="D1045" s="556">
        <f t="shared" si="84"/>
        <v>5711</v>
      </c>
      <c r="E1045" s="556">
        <f t="shared" si="85"/>
        <v>5412</v>
      </c>
      <c r="F1045" s="556">
        <f t="shared" si="86"/>
        <v>5711</v>
      </c>
      <c r="G1045" s="556">
        <f t="shared" si="87"/>
        <v>5549</v>
      </c>
    </row>
    <row r="1046" spans="1:7" ht="15.75">
      <c r="A1046" s="625">
        <f t="shared" si="88"/>
        <v>49125</v>
      </c>
      <c r="B1046" s="555">
        <v>49100</v>
      </c>
      <c r="C1046" s="555">
        <v>49150</v>
      </c>
      <c r="D1046" s="556">
        <f t="shared" si="84"/>
        <v>5722</v>
      </c>
      <c r="E1046" s="556">
        <f t="shared" si="85"/>
        <v>5418</v>
      </c>
      <c r="F1046" s="556">
        <f t="shared" si="86"/>
        <v>5722</v>
      </c>
      <c r="G1046" s="556">
        <f t="shared" si="87"/>
        <v>5555</v>
      </c>
    </row>
    <row r="1047" spans="1:7" ht="15.75">
      <c r="A1047" s="625">
        <f t="shared" si="88"/>
        <v>49175</v>
      </c>
      <c r="B1047" s="555">
        <v>49150</v>
      </c>
      <c r="C1047" s="555">
        <v>49200</v>
      </c>
      <c r="D1047" s="556">
        <f t="shared" si="84"/>
        <v>5733</v>
      </c>
      <c r="E1047" s="556">
        <f t="shared" si="85"/>
        <v>5424</v>
      </c>
      <c r="F1047" s="556">
        <f t="shared" si="86"/>
        <v>5733</v>
      </c>
      <c r="G1047" s="556">
        <f t="shared" si="87"/>
        <v>5561</v>
      </c>
    </row>
    <row r="1048" spans="1:7" ht="15.75">
      <c r="A1048" s="625">
        <f t="shared" si="88"/>
        <v>49225</v>
      </c>
      <c r="B1048" s="555">
        <v>49200</v>
      </c>
      <c r="C1048" s="555">
        <v>49250</v>
      </c>
      <c r="D1048" s="556">
        <f t="shared" si="84"/>
        <v>5744</v>
      </c>
      <c r="E1048" s="556">
        <f t="shared" si="85"/>
        <v>5430</v>
      </c>
      <c r="F1048" s="556">
        <f t="shared" si="86"/>
        <v>5744</v>
      </c>
      <c r="G1048" s="556">
        <f t="shared" si="87"/>
        <v>5567</v>
      </c>
    </row>
    <row r="1049" spans="1:7" ht="15.75">
      <c r="A1049" s="625">
        <f t="shared" si="88"/>
        <v>49275</v>
      </c>
      <c r="B1049" s="555">
        <v>49250</v>
      </c>
      <c r="C1049" s="555">
        <v>49300</v>
      </c>
      <c r="D1049" s="556">
        <f t="shared" si="84"/>
        <v>5755</v>
      </c>
      <c r="E1049" s="556">
        <f t="shared" si="85"/>
        <v>5436</v>
      </c>
      <c r="F1049" s="556">
        <f t="shared" si="86"/>
        <v>5755</v>
      </c>
      <c r="G1049" s="556">
        <f t="shared" si="87"/>
        <v>5573</v>
      </c>
    </row>
    <row r="1050" spans="1:7" ht="15.75">
      <c r="A1050" s="625">
        <f t="shared" si="88"/>
        <v>49325</v>
      </c>
      <c r="B1050" s="555">
        <v>49300</v>
      </c>
      <c r="C1050" s="555">
        <v>49350</v>
      </c>
      <c r="D1050" s="556">
        <f t="shared" si="84"/>
        <v>5766</v>
      </c>
      <c r="E1050" s="556">
        <f t="shared" si="85"/>
        <v>5442</v>
      </c>
      <c r="F1050" s="556">
        <f t="shared" si="86"/>
        <v>5766</v>
      </c>
      <c r="G1050" s="556">
        <f t="shared" si="87"/>
        <v>5579</v>
      </c>
    </row>
    <row r="1051" spans="1:7" ht="15.75">
      <c r="A1051" s="625">
        <f t="shared" si="88"/>
        <v>49375</v>
      </c>
      <c r="B1051" s="555">
        <v>49350</v>
      </c>
      <c r="C1051" s="555">
        <v>49400</v>
      </c>
      <c r="D1051" s="556">
        <f t="shared" si="84"/>
        <v>5777</v>
      </c>
      <c r="E1051" s="556">
        <f t="shared" si="85"/>
        <v>5448</v>
      </c>
      <c r="F1051" s="556">
        <f t="shared" si="86"/>
        <v>5777</v>
      </c>
      <c r="G1051" s="556">
        <f t="shared" si="87"/>
        <v>5585</v>
      </c>
    </row>
    <row r="1052" spans="1:7" ht="15.75">
      <c r="A1052" s="625">
        <f t="shared" si="88"/>
        <v>49425</v>
      </c>
      <c r="B1052" s="555">
        <v>49400</v>
      </c>
      <c r="C1052" s="555">
        <v>49450</v>
      </c>
      <c r="D1052" s="556">
        <f t="shared" si="84"/>
        <v>5788</v>
      </c>
      <c r="E1052" s="556">
        <f t="shared" si="85"/>
        <v>5454</v>
      </c>
      <c r="F1052" s="556">
        <f t="shared" si="86"/>
        <v>5788</v>
      </c>
      <c r="G1052" s="556">
        <f t="shared" si="87"/>
        <v>5591</v>
      </c>
    </row>
    <row r="1053" spans="1:7" ht="15.75">
      <c r="A1053" s="625">
        <f t="shared" si="88"/>
        <v>49475</v>
      </c>
      <c r="B1053" s="555">
        <v>49450</v>
      </c>
      <c r="C1053" s="555">
        <v>49500</v>
      </c>
      <c r="D1053" s="556">
        <f t="shared" si="84"/>
        <v>5799</v>
      </c>
      <c r="E1053" s="556">
        <f t="shared" si="85"/>
        <v>5460</v>
      </c>
      <c r="F1053" s="556">
        <f t="shared" si="86"/>
        <v>5799</v>
      </c>
      <c r="G1053" s="556">
        <f t="shared" si="87"/>
        <v>5597</v>
      </c>
    </row>
    <row r="1054" spans="1:7" ht="15.75">
      <c r="A1054" s="625">
        <f t="shared" si="88"/>
        <v>49525</v>
      </c>
      <c r="B1054" s="555">
        <v>49500</v>
      </c>
      <c r="C1054" s="555">
        <v>49550</v>
      </c>
      <c r="D1054" s="556">
        <f t="shared" si="84"/>
        <v>5810</v>
      </c>
      <c r="E1054" s="556">
        <f t="shared" si="85"/>
        <v>5466</v>
      </c>
      <c r="F1054" s="556">
        <f t="shared" si="86"/>
        <v>5810</v>
      </c>
      <c r="G1054" s="556">
        <f t="shared" si="87"/>
        <v>5603</v>
      </c>
    </row>
    <row r="1055" spans="1:7" ht="15.75">
      <c r="A1055" s="625">
        <f t="shared" si="88"/>
        <v>49575</v>
      </c>
      <c r="B1055" s="555">
        <v>49550</v>
      </c>
      <c r="C1055" s="555">
        <v>49600</v>
      </c>
      <c r="D1055" s="556">
        <f t="shared" si="84"/>
        <v>5821</v>
      </c>
      <c r="E1055" s="556">
        <f t="shared" si="85"/>
        <v>5472</v>
      </c>
      <c r="F1055" s="556">
        <f t="shared" si="86"/>
        <v>5821</v>
      </c>
      <c r="G1055" s="556">
        <f t="shared" si="87"/>
        <v>5609</v>
      </c>
    </row>
    <row r="1056" spans="1:7" ht="15.75">
      <c r="A1056" s="625">
        <f t="shared" si="88"/>
        <v>49625</v>
      </c>
      <c r="B1056" s="555">
        <v>49600</v>
      </c>
      <c r="C1056" s="555">
        <v>49650</v>
      </c>
      <c r="D1056" s="556">
        <f t="shared" si="84"/>
        <v>5832</v>
      </c>
      <c r="E1056" s="556">
        <f t="shared" si="85"/>
        <v>5478</v>
      </c>
      <c r="F1056" s="556">
        <f t="shared" si="86"/>
        <v>5832</v>
      </c>
      <c r="G1056" s="556">
        <f t="shared" si="87"/>
        <v>5615</v>
      </c>
    </row>
    <row r="1057" spans="1:7" ht="15.75">
      <c r="A1057" s="625">
        <f t="shared" si="88"/>
        <v>49675</v>
      </c>
      <c r="B1057" s="555">
        <v>49650</v>
      </c>
      <c r="C1057" s="555">
        <v>49700</v>
      </c>
      <c r="D1057" s="556">
        <f t="shared" si="84"/>
        <v>5843</v>
      </c>
      <c r="E1057" s="556">
        <f t="shared" si="85"/>
        <v>5484</v>
      </c>
      <c r="F1057" s="556">
        <f t="shared" si="86"/>
        <v>5843</v>
      </c>
      <c r="G1057" s="556">
        <f t="shared" si="87"/>
        <v>5621</v>
      </c>
    </row>
    <row r="1058" spans="1:7" ht="15.75">
      <c r="A1058" s="625">
        <f t="shared" si="88"/>
        <v>49725</v>
      </c>
      <c r="B1058" s="555">
        <v>49700</v>
      </c>
      <c r="C1058" s="555">
        <v>49750</v>
      </c>
      <c r="D1058" s="556">
        <f t="shared" si="84"/>
        <v>5854</v>
      </c>
      <c r="E1058" s="556">
        <f t="shared" si="85"/>
        <v>5490</v>
      </c>
      <c r="F1058" s="556">
        <f t="shared" si="86"/>
        <v>5854</v>
      </c>
      <c r="G1058" s="556">
        <f t="shared" si="87"/>
        <v>5627</v>
      </c>
    </row>
    <row r="1059" spans="1:7" ht="15.75">
      <c r="A1059" s="625">
        <f t="shared" si="88"/>
        <v>49775</v>
      </c>
      <c r="B1059" s="555">
        <v>49750</v>
      </c>
      <c r="C1059" s="555">
        <v>49800</v>
      </c>
      <c r="D1059" s="556">
        <f t="shared" si="84"/>
        <v>5865</v>
      </c>
      <c r="E1059" s="556">
        <f t="shared" si="85"/>
        <v>5496</v>
      </c>
      <c r="F1059" s="556">
        <f t="shared" si="86"/>
        <v>5865</v>
      </c>
      <c r="G1059" s="556">
        <f t="shared" si="87"/>
        <v>5633</v>
      </c>
    </row>
    <row r="1060" spans="1:7" ht="15.75">
      <c r="A1060" s="625">
        <f t="shared" si="88"/>
        <v>49825</v>
      </c>
      <c r="B1060" s="555">
        <v>49800</v>
      </c>
      <c r="C1060" s="555">
        <v>49850</v>
      </c>
      <c r="D1060" s="556">
        <f t="shared" si="84"/>
        <v>5876</v>
      </c>
      <c r="E1060" s="556">
        <f t="shared" si="85"/>
        <v>5502</v>
      </c>
      <c r="F1060" s="556">
        <f t="shared" si="86"/>
        <v>5876</v>
      </c>
      <c r="G1060" s="556">
        <f t="shared" si="87"/>
        <v>5639</v>
      </c>
    </row>
    <row r="1061" spans="1:7" ht="15.75">
      <c r="A1061" s="625">
        <f t="shared" si="88"/>
        <v>49875</v>
      </c>
      <c r="B1061" s="555">
        <v>49850</v>
      </c>
      <c r="C1061" s="555">
        <v>49900</v>
      </c>
      <c r="D1061" s="556">
        <f t="shared" si="84"/>
        <v>5887</v>
      </c>
      <c r="E1061" s="556">
        <f t="shared" si="85"/>
        <v>5508</v>
      </c>
      <c r="F1061" s="556">
        <f t="shared" si="86"/>
        <v>5887</v>
      </c>
      <c r="G1061" s="556">
        <f t="shared" si="87"/>
        <v>5645</v>
      </c>
    </row>
    <row r="1062" spans="1:7" ht="15.75">
      <c r="A1062" s="625">
        <f t="shared" si="88"/>
        <v>49925</v>
      </c>
      <c r="B1062" s="555">
        <v>49900</v>
      </c>
      <c r="C1062" s="555">
        <v>49950</v>
      </c>
      <c r="D1062" s="556">
        <f t="shared" si="84"/>
        <v>5898</v>
      </c>
      <c r="E1062" s="556">
        <f t="shared" si="85"/>
        <v>5514</v>
      </c>
      <c r="F1062" s="556">
        <f t="shared" si="86"/>
        <v>5898</v>
      </c>
      <c r="G1062" s="556">
        <f t="shared" si="87"/>
        <v>5651</v>
      </c>
    </row>
    <row r="1063" spans="1:7" ht="15.75">
      <c r="A1063" s="625">
        <f t="shared" si="88"/>
        <v>49975</v>
      </c>
      <c r="B1063" s="555">
        <v>49950</v>
      </c>
      <c r="C1063" s="555">
        <v>50000</v>
      </c>
      <c r="D1063" s="556">
        <f t="shared" si="84"/>
        <v>5909</v>
      </c>
      <c r="E1063" s="556">
        <f t="shared" si="85"/>
        <v>5520</v>
      </c>
      <c r="F1063" s="556">
        <f t="shared" si="86"/>
        <v>5909</v>
      </c>
      <c r="G1063" s="556">
        <f t="shared" si="87"/>
        <v>5657</v>
      </c>
    </row>
    <row r="1064" spans="1:7" ht="15.75">
      <c r="A1064" s="625">
        <f t="shared" si="88"/>
        <v>50025</v>
      </c>
      <c r="B1064" s="555">
        <v>50000</v>
      </c>
      <c r="C1064" s="555">
        <v>50050</v>
      </c>
      <c r="D1064" s="556">
        <f t="shared" si="84"/>
        <v>5920</v>
      </c>
      <c r="E1064" s="556">
        <f t="shared" si="85"/>
        <v>5526</v>
      </c>
      <c r="F1064" s="556">
        <f t="shared" si="86"/>
        <v>5920</v>
      </c>
      <c r="G1064" s="556">
        <f t="shared" si="87"/>
        <v>5663</v>
      </c>
    </row>
    <row r="1065" spans="1:7" ht="15.75">
      <c r="A1065" s="625">
        <f t="shared" si="88"/>
        <v>50075</v>
      </c>
      <c r="B1065" s="555">
        <v>50050</v>
      </c>
      <c r="C1065" s="555">
        <v>50100</v>
      </c>
      <c r="D1065" s="556">
        <f t="shared" si="84"/>
        <v>5931</v>
      </c>
      <c r="E1065" s="556">
        <f t="shared" si="85"/>
        <v>5532</v>
      </c>
      <c r="F1065" s="556">
        <f t="shared" si="86"/>
        <v>5931</v>
      </c>
      <c r="G1065" s="556">
        <f t="shared" si="87"/>
        <v>5669</v>
      </c>
    </row>
    <row r="1066" spans="1:7" ht="15.75">
      <c r="A1066" s="625">
        <f t="shared" si="88"/>
        <v>50125</v>
      </c>
      <c r="B1066" s="555">
        <v>50100</v>
      </c>
      <c r="C1066" s="555">
        <v>50150</v>
      </c>
      <c r="D1066" s="556">
        <f t="shared" si="84"/>
        <v>5942</v>
      </c>
      <c r="E1066" s="556">
        <f t="shared" si="85"/>
        <v>5538</v>
      </c>
      <c r="F1066" s="556">
        <f t="shared" si="86"/>
        <v>5942</v>
      </c>
      <c r="G1066" s="556">
        <f t="shared" si="87"/>
        <v>5675</v>
      </c>
    </row>
    <row r="1067" spans="1:7" ht="15.75">
      <c r="A1067" s="625">
        <f t="shared" si="88"/>
        <v>50175</v>
      </c>
      <c r="B1067" s="555">
        <v>50150</v>
      </c>
      <c r="C1067" s="555">
        <v>50200</v>
      </c>
      <c r="D1067" s="556">
        <f t="shared" si="84"/>
        <v>5953</v>
      </c>
      <c r="E1067" s="556">
        <f t="shared" si="85"/>
        <v>5544</v>
      </c>
      <c r="F1067" s="556">
        <f t="shared" si="86"/>
        <v>5953</v>
      </c>
      <c r="G1067" s="556">
        <f t="shared" si="87"/>
        <v>5681</v>
      </c>
    </row>
    <row r="1068" spans="1:7" ht="15.75">
      <c r="A1068" s="625">
        <f t="shared" si="88"/>
        <v>50225</v>
      </c>
      <c r="B1068" s="555">
        <v>50200</v>
      </c>
      <c r="C1068" s="555">
        <v>50250</v>
      </c>
      <c r="D1068" s="556">
        <f t="shared" si="84"/>
        <v>5964</v>
      </c>
      <c r="E1068" s="556">
        <f t="shared" si="85"/>
        <v>5550</v>
      </c>
      <c r="F1068" s="556">
        <f t="shared" si="86"/>
        <v>5964</v>
      </c>
      <c r="G1068" s="556">
        <f t="shared" si="87"/>
        <v>5687</v>
      </c>
    </row>
    <row r="1069" spans="1:7" ht="15.75">
      <c r="A1069" s="625">
        <f t="shared" si="88"/>
        <v>50275</v>
      </c>
      <c r="B1069" s="555">
        <v>50250</v>
      </c>
      <c r="C1069" s="555">
        <v>50300</v>
      </c>
      <c r="D1069" s="556">
        <f t="shared" si="84"/>
        <v>5975</v>
      </c>
      <c r="E1069" s="556">
        <f t="shared" si="85"/>
        <v>5556</v>
      </c>
      <c r="F1069" s="556">
        <f t="shared" si="86"/>
        <v>5975</v>
      </c>
      <c r="G1069" s="556">
        <f t="shared" si="87"/>
        <v>5693</v>
      </c>
    </row>
    <row r="1070" spans="1:7" ht="15.75">
      <c r="A1070" s="625">
        <f t="shared" si="88"/>
        <v>50325</v>
      </c>
      <c r="B1070" s="555">
        <v>50300</v>
      </c>
      <c r="C1070" s="555">
        <v>50350</v>
      </c>
      <c r="D1070" s="556">
        <f t="shared" si="84"/>
        <v>5986</v>
      </c>
      <c r="E1070" s="556">
        <f t="shared" si="85"/>
        <v>5562</v>
      </c>
      <c r="F1070" s="556">
        <f t="shared" si="86"/>
        <v>5986</v>
      </c>
      <c r="G1070" s="556">
        <f t="shared" si="87"/>
        <v>5699</v>
      </c>
    </row>
    <row r="1071" spans="1:7" ht="15.75">
      <c r="A1071" s="625">
        <f t="shared" si="88"/>
        <v>50375</v>
      </c>
      <c r="B1071" s="555">
        <v>50350</v>
      </c>
      <c r="C1071" s="555">
        <v>50400</v>
      </c>
      <c r="D1071" s="556">
        <f t="shared" si="84"/>
        <v>5997</v>
      </c>
      <c r="E1071" s="556">
        <f t="shared" si="85"/>
        <v>5568</v>
      </c>
      <c r="F1071" s="556">
        <f t="shared" si="86"/>
        <v>5997</v>
      </c>
      <c r="G1071" s="556">
        <f t="shared" si="87"/>
        <v>5705</v>
      </c>
    </row>
    <row r="1072" spans="1:7" ht="15.75">
      <c r="A1072" s="625">
        <f t="shared" si="88"/>
        <v>50425</v>
      </c>
      <c r="B1072" s="555">
        <v>50400</v>
      </c>
      <c r="C1072" s="555">
        <v>50450</v>
      </c>
      <c r="D1072" s="556">
        <f t="shared" si="84"/>
        <v>6008</v>
      </c>
      <c r="E1072" s="556">
        <f t="shared" si="85"/>
        <v>5574</v>
      </c>
      <c r="F1072" s="556">
        <f t="shared" si="86"/>
        <v>6008</v>
      </c>
      <c r="G1072" s="556">
        <f t="shared" si="87"/>
        <v>5711</v>
      </c>
    </row>
    <row r="1073" spans="1:7" ht="15.75">
      <c r="A1073" s="625">
        <f t="shared" si="88"/>
        <v>50475</v>
      </c>
      <c r="B1073" s="555">
        <v>50450</v>
      </c>
      <c r="C1073" s="555">
        <v>50500</v>
      </c>
      <c r="D1073" s="556">
        <f t="shared" si="84"/>
        <v>6019</v>
      </c>
      <c r="E1073" s="556">
        <f t="shared" si="85"/>
        <v>5580</v>
      </c>
      <c r="F1073" s="556">
        <f t="shared" si="86"/>
        <v>6019</v>
      </c>
      <c r="G1073" s="556">
        <f t="shared" si="87"/>
        <v>5717</v>
      </c>
    </row>
    <row r="1074" spans="1:7" ht="15.75">
      <c r="A1074" s="625">
        <f t="shared" si="88"/>
        <v>50525</v>
      </c>
      <c r="B1074" s="555">
        <v>50500</v>
      </c>
      <c r="C1074" s="555">
        <v>50550</v>
      </c>
      <c r="D1074" s="556">
        <f t="shared" si="84"/>
        <v>6030</v>
      </c>
      <c r="E1074" s="556">
        <f t="shared" si="85"/>
        <v>5586</v>
      </c>
      <c r="F1074" s="556">
        <f t="shared" si="86"/>
        <v>6030</v>
      </c>
      <c r="G1074" s="556">
        <f t="shared" si="87"/>
        <v>5723</v>
      </c>
    </row>
    <row r="1075" spans="1:7" ht="15.75">
      <c r="A1075" s="625">
        <f t="shared" si="88"/>
        <v>50575</v>
      </c>
      <c r="B1075" s="555">
        <v>50550</v>
      </c>
      <c r="C1075" s="555">
        <v>50600</v>
      </c>
      <c r="D1075" s="556">
        <f t="shared" si="84"/>
        <v>6041</v>
      </c>
      <c r="E1075" s="556">
        <f t="shared" si="85"/>
        <v>5592</v>
      </c>
      <c r="F1075" s="556">
        <f t="shared" si="86"/>
        <v>6041</v>
      </c>
      <c r="G1075" s="556">
        <f t="shared" si="87"/>
        <v>5729</v>
      </c>
    </row>
    <row r="1076" spans="1:7" ht="15.75">
      <c r="A1076" s="625">
        <f t="shared" si="88"/>
        <v>50625</v>
      </c>
      <c r="B1076" s="555">
        <v>50600</v>
      </c>
      <c r="C1076" s="555">
        <v>50650</v>
      </c>
      <c r="D1076" s="556">
        <f t="shared" si="84"/>
        <v>6052</v>
      </c>
      <c r="E1076" s="556">
        <f t="shared" si="85"/>
        <v>5598</v>
      </c>
      <c r="F1076" s="556">
        <f t="shared" si="86"/>
        <v>6052</v>
      </c>
      <c r="G1076" s="556">
        <f t="shared" si="87"/>
        <v>5735</v>
      </c>
    </row>
    <row r="1077" spans="1:7" ht="15.75">
      <c r="A1077" s="625">
        <f t="shared" si="88"/>
        <v>50675</v>
      </c>
      <c r="B1077" s="555">
        <v>50650</v>
      </c>
      <c r="C1077" s="555">
        <v>50700</v>
      </c>
      <c r="D1077" s="556">
        <f t="shared" si="84"/>
        <v>6063</v>
      </c>
      <c r="E1077" s="556">
        <f t="shared" si="85"/>
        <v>5604</v>
      </c>
      <c r="F1077" s="556">
        <f t="shared" si="86"/>
        <v>6063</v>
      </c>
      <c r="G1077" s="556">
        <f t="shared" si="87"/>
        <v>5741</v>
      </c>
    </row>
    <row r="1078" spans="1:7" ht="15.75">
      <c r="A1078" s="625">
        <f t="shared" si="88"/>
        <v>50725</v>
      </c>
      <c r="B1078" s="555">
        <v>50700</v>
      </c>
      <c r="C1078" s="555">
        <v>50750</v>
      </c>
      <c r="D1078" s="556">
        <f t="shared" si="84"/>
        <v>6074</v>
      </c>
      <c r="E1078" s="556">
        <f t="shared" si="85"/>
        <v>5610</v>
      </c>
      <c r="F1078" s="556">
        <f t="shared" si="86"/>
        <v>6074</v>
      </c>
      <c r="G1078" s="556">
        <f t="shared" si="87"/>
        <v>5747</v>
      </c>
    </row>
    <row r="1079" spans="1:7" ht="15.75">
      <c r="A1079" s="625">
        <f t="shared" si="88"/>
        <v>50775</v>
      </c>
      <c r="B1079" s="555">
        <v>50750</v>
      </c>
      <c r="C1079" s="555">
        <v>50800</v>
      </c>
      <c r="D1079" s="556">
        <f t="shared" si="84"/>
        <v>6085</v>
      </c>
      <c r="E1079" s="556">
        <f t="shared" si="85"/>
        <v>5616</v>
      </c>
      <c r="F1079" s="556">
        <f t="shared" si="86"/>
        <v>6085</v>
      </c>
      <c r="G1079" s="556">
        <f t="shared" si="87"/>
        <v>5753</v>
      </c>
    </row>
    <row r="1080" spans="1:7" ht="15.75">
      <c r="A1080" s="625">
        <f t="shared" si="88"/>
        <v>50825</v>
      </c>
      <c r="B1080" s="555">
        <v>50800</v>
      </c>
      <c r="C1080" s="555">
        <v>50850</v>
      </c>
      <c r="D1080" s="556">
        <f t="shared" si="84"/>
        <v>6096</v>
      </c>
      <c r="E1080" s="556">
        <f t="shared" si="85"/>
        <v>5622</v>
      </c>
      <c r="F1080" s="556">
        <f t="shared" si="86"/>
        <v>6096</v>
      </c>
      <c r="G1080" s="556">
        <f t="shared" si="87"/>
        <v>5759</v>
      </c>
    </row>
    <row r="1081" spans="1:7" ht="15.75">
      <c r="A1081" s="625">
        <f t="shared" si="88"/>
        <v>50875</v>
      </c>
      <c r="B1081" s="555">
        <v>50850</v>
      </c>
      <c r="C1081" s="555">
        <v>50900</v>
      </c>
      <c r="D1081" s="556">
        <f t="shared" si="84"/>
        <v>6107</v>
      </c>
      <c r="E1081" s="556">
        <f t="shared" si="85"/>
        <v>5628</v>
      </c>
      <c r="F1081" s="556">
        <f t="shared" si="86"/>
        <v>6107</v>
      </c>
      <c r="G1081" s="556">
        <f t="shared" si="87"/>
        <v>5765</v>
      </c>
    </row>
    <row r="1082" spans="1:7" ht="15.75">
      <c r="A1082" s="625">
        <f t="shared" si="88"/>
        <v>50925</v>
      </c>
      <c r="B1082" s="555">
        <v>50900</v>
      </c>
      <c r="C1082" s="555">
        <v>50950</v>
      </c>
      <c r="D1082" s="556">
        <f t="shared" si="84"/>
        <v>6118</v>
      </c>
      <c r="E1082" s="556">
        <f t="shared" si="85"/>
        <v>5634</v>
      </c>
      <c r="F1082" s="556">
        <f t="shared" si="86"/>
        <v>6118</v>
      </c>
      <c r="G1082" s="556">
        <f t="shared" si="87"/>
        <v>5771</v>
      </c>
    </row>
    <row r="1083" spans="1:7" ht="15.75">
      <c r="A1083" s="625">
        <f t="shared" si="88"/>
        <v>50975</v>
      </c>
      <c r="B1083" s="555">
        <v>50950</v>
      </c>
      <c r="C1083" s="555">
        <v>51000</v>
      </c>
      <c r="D1083" s="556">
        <f t="shared" si="84"/>
        <v>6129</v>
      </c>
      <c r="E1083" s="556">
        <f t="shared" si="85"/>
        <v>5640</v>
      </c>
      <c r="F1083" s="556">
        <f t="shared" si="86"/>
        <v>6129</v>
      </c>
      <c r="G1083" s="556">
        <f t="shared" si="87"/>
        <v>5777</v>
      </c>
    </row>
    <row r="1084" spans="1:7" ht="15.75">
      <c r="A1084" s="625">
        <f t="shared" si="88"/>
        <v>51025</v>
      </c>
      <c r="B1084" s="555">
        <v>51000</v>
      </c>
      <c r="C1084" s="555">
        <v>51050</v>
      </c>
      <c r="D1084" s="556">
        <f t="shared" si="84"/>
        <v>6140</v>
      </c>
      <c r="E1084" s="556">
        <f t="shared" si="85"/>
        <v>5646</v>
      </c>
      <c r="F1084" s="556">
        <f t="shared" si="86"/>
        <v>6140</v>
      </c>
      <c r="G1084" s="556">
        <f t="shared" si="87"/>
        <v>5783</v>
      </c>
    </row>
    <row r="1085" spans="1:7" ht="15.75">
      <c r="A1085" s="625">
        <f t="shared" si="88"/>
        <v>51075</v>
      </c>
      <c r="B1085" s="555">
        <v>51050</v>
      </c>
      <c r="C1085" s="555">
        <v>51100</v>
      </c>
      <c r="D1085" s="556">
        <f t="shared" si="84"/>
        <v>6151</v>
      </c>
      <c r="E1085" s="556">
        <f t="shared" si="85"/>
        <v>5652</v>
      </c>
      <c r="F1085" s="556">
        <f t="shared" si="86"/>
        <v>6151</v>
      </c>
      <c r="G1085" s="556">
        <f t="shared" si="87"/>
        <v>5789</v>
      </c>
    </row>
    <row r="1086" spans="1:7" ht="15.75">
      <c r="A1086" s="625">
        <f t="shared" si="88"/>
        <v>51125</v>
      </c>
      <c r="B1086" s="555">
        <v>51100</v>
      </c>
      <c r="C1086" s="555">
        <v>51150</v>
      </c>
      <c r="D1086" s="556">
        <f t="shared" si="84"/>
        <v>6162</v>
      </c>
      <c r="E1086" s="556">
        <f t="shared" si="85"/>
        <v>5658</v>
      </c>
      <c r="F1086" s="556">
        <f t="shared" si="86"/>
        <v>6162</v>
      </c>
      <c r="G1086" s="556">
        <f t="shared" si="87"/>
        <v>5795</v>
      </c>
    </row>
    <row r="1087" spans="1:7" ht="15.75">
      <c r="A1087" s="625">
        <f t="shared" si="88"/>
        <v>51175</v>
      </c>
      <c r="B1087" s="555">
        <v>51150</v>
      </c>
      <c r="C1087" s="555">
        <v>51200</v>
      </c>
      <c r="D1087" s="556">
        <f t="shared" si="84"/>
        <v>6173</v>
      </c>
      <c r="E1087" s="556">
        <f t="shared" si="85"/>
        <v>5664</v>
      </c>
      <c r="F1087" s="556">
        <f t="shared" si="86"/>
        <v>6173</v>
      </c>
      <c r="G1087" s="556">
        <f t="shared" si="87"/>
        <v>5801</v>
      </c>
    </row>
    <row r="1088" spans="1:7" ht="15.75">
      <c r="A1088" s="625">
        <f t="shared" si="88"/>
        <v>51225</v>
      </c>
      <c r="B1088" s="555">
        <v>51200</v>
      </c>
      <c r="C1088" s="555">
        <v>51250</v>
      </c>
      <c r="D1088" s="556">
        <f t="shared" si="84"/>
        <v>6184</v>
      </c>
      <c r="E1088" s="556">
        <f t="shared" si="85"/>
        <v>5670</v>
      </c>
      <c r="F1088" s="556">
        <f t="shared" si="86"/>
        <v>6184</v>
      </c>
      <c r="G1088" s="556">
        <f t="shared" si="87"/>
        <v>5807</v>
      </c>
    </row>
    <row r="1089" spans="1:7" ht="15.75">
      <c r="A1089" s="625">
        <f t="shared" si="88"/>
        <v>51275</v>
      </c>
      <c r="B1089" s="555">
        <v>51250</v>
      </c>
      <c r="C1089" s="555">
        <v>51300</v>
      </c>
      <c r="D1089" s="556">
        <f t="shared" si="84"/>
        <v>6195</v>
      </c>
      <c r="E1089" s="556">
        <f t="shared" si="85"/>
        <v>5676</v>
      </c>
      <c r="F1089" s="556">
        <f t="shared" si="86"/>
        <v>6195</v>
      </c>
      <c r="G1089" s="556">
        <f t="shared" si="87"/>
        <v>5813</v>
      </c>
    </row>
    <row r="1090" spans="1:7" ht="15.75">
      <c r="A1090" s="625">
        <f t="shared" si="88"/>
        <v>51325</v>
      </c>
      <c r="B1090" s="555">
        <v>51300</v>
      </c>
      <c r="C1090" s="555">
        <v>51350</v>
      </c>
      <c r="D1090" s="556">
        <f t="shared" ref="D1090:D1153" si="89">IF($A1090&gt;BOTT_A4,ROUND(BASE_A4+RATE_A4*($A1090-BOTT_A4),0),IF($A1090&gt;BOTT_A3,ROUND(BASE_A3+RATE_A3*($A1090-BOTT_A3),0),IF($A1090&gt;BOTT_A2,ROUND(BASE_A2+RATE_A2*($A1090-BOTT_A2),0),ROUND(RATE_A1*$A1090,0))))</f>
        <v>6206</v>
      </c>
      <c r="E1090" s="556">
        <f t="shared" ref="E1090:E1153" si="90">IF($A1090&gt;BOTT_B4,ROUND(BASE_B4+RATE_B4*($A1090-BOTT_B4),0),IF($A1090&gt;BOTT_B3,ROUND(BASE_B3+RATE_B3*($A1090-BOTT_B3),0),IF($A1090&gt;BOTT_B2,ROUND(BASE_B2+RATE_B2*($A1090-BOTT_B2),0),ROUND(RATE_B1*$A1090,0))))</f>
        <v>5682</v>
      </c>
      <c r="F1090" s="556">
        <f t="shared" ref="F1090:F1153" si="91">IF($A1090&gt;BOTT_C4,ROUND(BASE_C4+RATE_C4*($A1090-BOTT_C4),0),IF($A1090&gt;BOTT_C3,ROUND(BASE_C3+RATE_C3*($A1090-BOTT_C3),0),IF($A1090&gt;BOTT_C2,ROUND(BASE_C2+RATE_C2*($A1090-BOTT_C2),0),ROUND(RATE_C1*$A1090,0))))</f>
        <v>6206</v>
      </c>
      <c r="G1090" s="556">
        <f t="shared" ref="G1090:G1153" si="92">IF($A1090&gt;BOTT_D4,ROUND(BASE_D4+RATE_D4*($A1090-BOTT_D4),0),IF($A1090&gt;BOTT_D3,ROUND(BASE_D3+RATE_D3*($A1090-BOTT_D3),0),IF($A1090&gt;BOTT_D2,ROUND(BASE_D2+RATE_D2*($A1090-BOTT_D2),0),ROUND(RATE_D1*$A1090,0))))</f>
        <v>5819</v>
      </c>
    </row>
    <row r="1091" spans="1:7" ht="15.75">
      <c r="A1091" s="625">
        <f t="shared" ref="A1091:A1154" si="93">AVERAGE(B1091,C1091)</f>
        <v>51375</v>
      </c>
      <c r="B1091" s="555">
        <v>51350</v>
      </c>
      <c r="C1091" s="555">
        <v>51400</v>
      </c>
      <c r="D1091" s="556">
        <f t="shared" si="89"/>
        <v>6217</v>
      </c>
      <c r="E1091" s="556">
        <f t="shared" si="90"/>
        <v>5688</v>
      </c>
      <c r="F1091" s="556">
        <f t="shared" si="91"/>
        <v>6217</v>
      </c>
      <c r="G1091" s="556">
        <f t="shared" si="92"/>
        <v>5825</v>
      </c>
    </row>
    <row r="1092" spans="1:7" ht="15.75">
      <c r="A1092" s="625">
        <f t="shared" si="93"/>
        <v>51425</v>
      </c>
      <c r="B1092" s="555">
        <v>51400</v>
      </c>
      <c r="C1092" s="555">
        <v>51450</v>
      </c>
      <c r="D1092" s="556">
        <f t="shared" si="89"/>
        <v>6228</v>
      </c>
      <c r="E1092" s="556">
        <f t="shared" si="90"/>
        <v>5694</v>
      </c>
      <c r="F1092" s="556">
        <f t="shared" si="91"/>
        <v>6228</v>
      </c>
      <c r="G1092" s="556">
        <f t="shared" si="92"/>
        <v>5831</v>
      </c>
    </row>
    <row r="1093" spans="1:7" ht="15.75">
      <c r="A1093" s="625">
        <f t="shared" si="93"/>
        <v>51475</v>
      </c>
      <c r="B1093" s="555">
        <v>51450</v>
      </c>
      <c r="C1093" s="555">
        <v>51500</v>
      </c>
      <c r="D1093" s="556">
        <f t="shared" si="89"/>
        <v>6239</v>
      </c>
      <c r="E1093" s="556">
        <f t="shared" si="90"/>
        <v>5700</v>
      </c>
      <c r="F1093" s="556">
        <f t="shared" si="91"/>
        <v>6239</v>
      </c>
      <c r="G1093" s="556">
        <f t="shared" si="92"/>
        <v>5837</v>
      </c>
    </row>
    <row r="1094" spans="1:7" ht="15.75">
      <c r="A1094" s="625">
        <f t="shared" si="93"/>
        <v>51525</v>
      </c>
      <c r="B1094" s="555">
        <v>51500</v>
      </c>
      <c r="C1094" s="555">
        <v>51550</v>
      </c>
      <c r="D1094" s="556">
        <f t="shared" si="89"/>
        <v>6250</v>
      </c>
      <c r="E1094" s="556">
        <f t="shared" si="90"/>
        <v>5706</v>
      </c>
      <c r="F1094" s="556">
        <f t="shared" si="91"/>
        <v>6250</v>
      </c>
      <c r="G1094" s="556">
        <f t="shared" si="92"/>
        <v>5843</v>
      </c>
    </row>
    <row r="1095" spans="1:7" ht="15.75">
      <c r="A1095" s="625">
        <f t="shared" si="93"/>
        <v>51575</v>
      </c>
      <c r="B1095" s="555">
        <v>51550</v>
      </c>
      <c r="C1095" s="555">
        <v>51600</v>
      </c>
      <c r="D1095" s="556">
        <f t="shared" si="89"/>
        <v>6261</v>
      </c>
      <c r="E1095" s="556">
        <f t="shared" si="90"/>
        <v>5712</v>
      </c>
      <c r="F1095" s="556">
        <f t="shared" si="91"/>
        <v>6261</v>
      </c>
      <c r="G1095" s="556">
        <f t="shared" si="92"/>
        <v>5849</v>
      </c>
    </row>
    <row r="1096" spans="1:7" ht="15.75">
      <c r="A1096" s="625">
        <f t="shared" si="93"/>
        <v>51625</v>
      </c>
      <c r="B1096" s="555">
        <v>51600</v>
      </c>
      <c r="C1096" s="555">
        <v>51650</v>
      </c>
      <c r="D1096" s="556">
        <f t="shared" si="89"/>
        <v>6272</v>
      </c>
      <c r="E1096" s="556">
        <f t="shared" si="90"/>
        <v>5718</v>
      </c>
      <c r="F1096" s="556">
        <f t="shared" si="91"/>
        <v>6272</v>
      </c>
      <c r="G1096" s="556">
        <f t="shared" si="92"/>
        <v>5855</v>
      </c>
    </row>
    <row r="1097" spans="1:7" ht="15.75">
      <c r="A1097" s="625">
        <f t="shared" si="93"/>
        <v>51675</v>
      </c>
      <c r="B1097" s="555">
        <v>51650</v>
      </c>
      <c r="C1097" s="555">
        <v>51700</v>
      </c>
      <c r="D1097" s="556">
        <f t="shared" si="89"/>
        <v>6283</v>
      </c>
      <c r="E1097" s="556">
        <f t="shared" si="90"/>
        <v>5724</v>
      </c>
      <c r="F1097" s="556">
        <f t="shared" si="91"/>
        <v>6283</v>
      </c>
      <c r="G1097" s="556">
        <f t="shared" si="92"/>
        <v>5861</v>
      </c>
    </row>
    <row r="1098" spans="1:7" ht="15.75">
      <c r="A1098" s="625">
        <f t="shared" si="93"/>
        <v>51725</v>
      </c>
      <c r="B1098" s="555">
        <v>51700</v>
      </c>
      <c r="C1098" s="555">
        <v>51750</v>
      </c>
      <c r="D1098" s="556">
        <f t="shared" si="89"/>
        <v>6294</v>
      </c>
      <c r="E1098" s="556">
        <f t="shared" si="90"/>
        <v>5730</v>
      </c>
      <c r="F1098" s="556">
        <f t="shared" si="91"/>
        <v>6294</v>
      </c>
      <c r="G1098" s="556">
        <f t="shared" si="92"/>
        <v>5867</v>
      </c>
    </row>
    <row r="1099" spans="1:7" ht="15.75">
      <c r="A1099" s="625">
        <f t="shared" si="93"/>
        <v>51775</v>
      </c>
      <c r="B1099" s="555">
        <v>51750</v>
      </c>
      <c r="C1099" s="555">
        <v>51800</v>
      </c>
      <c r="D1099" s="556">
        <f t="shared" si="89"/>
        <v>6305</v>
      </c>
      <c r="E1099" s="556">
        <f t="shared" si="90"/>
        <v>5736</v>
      </c>
      <c r="F1099" s="556">
        <f t="shared" si="91"/>
        <v>6305</v>
      </c>
      <c r="G1099" s="556">
        <f t="shared" si="92"/>
        <v>5873</v>
      </c>
    </row>
    <row r="1100" spans="1:7" ht="15.75">
      <c r="A1100" s="625">
        <f t="shared" si="93"/>
        <v>51825</v>
      </c>
      <c r="B1100" s="555">
        <v>51800</v>
      </c>
      <c r="C1100" s="555">
        <v>51850</v>
      </c>
      <c r="D1100" s="556">
        <f t="shared" si="89"/>
        <v>6316</v>
      </c>
      <c r="E1100" s="556">
        <f t="shared" si="90"/>
        <v>5742</v>
      </c>
      <c r="F1100" s="556">
        <f t="shared" si="91"/>
        <v>6316</v>
      </c>
      <c r="G1100" s="556">
        <f t="shared" si="92"/>
        <v>5879</v>
      </c>
    </row>
    <row r="1101" spans="1:7" ht="15.75">
      <c r="A1101" s="625">
        <f t="shared" si="93"/>
        <v>51875</v>
      </c>
      <c r="B1101" s="555">
        <v>51850</v>
      </c>
      <c r="C1101" s="555">
        <v>51900</v>
      </c>
      <c r="D1101" s="556">
        <f t="shared" si="89"/>
        <v>6327</v>
      </c>
      <c r="E1101" s="556">
        <f t="shared" si="90"/>
        <v>5748</v>
      </c>
      <c r="F1101" s="556">
        <f t="shared" si="91"/>
        <v>6327</v>
      </c>
      <c r="G1101" s="556">
        <f t="shared" si="92"/>
        <v>5885</v>
      </c>
    </row>
    <row r="1102" spans="1:7" ht="15.75">
      <c r="A1102" s="625">
        <f t="shared" si="93"/>
        <v>51925</v>
      </c>
      <c r="B1102" s="555">
        <v>51900</v>
      </c>
      <c r="C1102" s="555">
        <v>51950</v>
      </c>
      <c r="D1102" s="556">
        <f t="shared" si="89"/>
        <v>6338</v>
      </c>
      <c r="E1102" s="556">
        <f t="shared" si="90"/>
        <v>5754</v>
      </c>
      <c r="F1102" s="556">
        <f t="shared" si="91"/>
        <v>6338</v>
      </c>
      <c r="G1102" s="556">
        <f t="shared" si="92"/>
        <v>5891</v>
      </c>
    </row>
    <row r="1103" spans="1:7" ht="15.75">
      <c r="A1103" s="625">
        <f t="shared" si="93"/>
        <v>51975</v>
      </c>
      <c r="B1103" s="555">
        <v>51950</v>
      </c>
      <c r="C1103" s="555">
        <v>52000</v>
      </c>
      <c r="D1103" s="556">
        <f t="shared" si="89"/>
        <v>6349</v>
      </c>
      <c r="E1103" s="556">
        <f t="shared" si="90"/>
        <v>5760</v>
      </c>
      <c r="F1103" s="556">
        <f t="shared" si="91"/>
        <v>6349</v>
      </c>
      <c r="G1103" s="556">
        <f t="shared" si="92"/>
        <v>5897</v>
      </c>
    </row>
    <row r="1104" spans="1:7" ht="15.75">
      <c r="A1104" s="625">
        <f t="shared" si="93"/>
        <v>52025</v>
      </c>
      <c r="B1104" s="555">
        <v>52000</v>
      </c>
      <c r="C1104" s="555">
        <v>52050</v>
      </c>
      <c r="D1104" s="556">
        <f t="shared" si="89"/>
        <v>6360</v>
      </c>
      <c r="E1104" s="556">
        <f t="shared" si="90"/>
        <v>5766</v>
      </c>
      <c r="F1104" s="556">
        <f t="shared" si="91"/>
        <v>6360</v>
      </c>
      <c r="G1104" s="556">
        <f t="shared" si="92"/>
        <v>5903</v>
      </c>
    </row>
    <row r="1105" spans="1:7" ht="15.75">
      <c r="A1105" s="625">
        <f t="shared" si="93"/>
        <v>52075</v>
      </c>
      <c r="B1105" s="555">
        <v>52050</v>
      </c>
      <c r="C1105" s="555">
        <v>52100</v>
      </c>
      <c r="D1105" s="556">
        <f t="shared" si="89"/>
        <v>6371</v>
      </c>
      <c r="E1105" s="556">
        <f t="shared" si="90"/>
        <v>5772</v>
      </c>
      <c r="F1105" s="556">
        <f t="shared" si="91"/>
        <v>6371</v>
      </c>
      <c r="G1105" s="556">
        <f t="shared" si="92"/>
        <v>5909</v>
      </c>
    </row>
    <row r="1106" spans="1:7" ht="15.75">
      <c r="A1106" s="625">
        <f t="shared" si="93"/>
        <v>52125</v>
      </c>
      <c r="B1106" s="555">
        <v>52100</v>
      </c>
      <c r="C1106" s="555">
        <v>52150</v>
      </c>
      <c r="D1106" s="556">
        <f t="shared" si="89"/>
        <v>6382</v>
      </c>
      <c r="E1106" s="556">
        <f t="shared" si="90"/>
        <v>5778</v>
      </c>
      <c r="F1106" s="556">
        <f t="shared" si="91"/>
        <v>6382</v>
      </c>
      <c r="G1106" s="556">
        <f t="shared" si="92"/>
        <v>5915</v>
      </c>
    </row>
    <row r="1107" spans="1:7" ht="15.75">
      <c r="A1107" s="625">
        <f t="shared" si="93"/>
        <v>52175</v>
      </c>
      <c r="B1107" s="555">
        <v>52150</v>
      </c>
      <c r="C1107" s="555">
        <v>52200</v>
      </c>
      <c r="D1107" s="556">
        <f t="shared" si="89"/>
        <v>6393</v>
      </c>
      <c r="E1107" s="556">
        <f t="shared" si="90"/>
        <v>5784</v>
      </c>
      <c r="F1107" s="556">
        <f t="shared" si="91"/>
        <v>6393</v>
      </c>
      <c r="G1107" s="556">
        <f t="shared" si="92"/>
        <v>5921</v>
      </c>
    </row>
    <row r="1108" spans="1:7" ht="15.75">
      <c r="A1108" s="625">
        <f t="shared" si="93"/>
        <v>52225</v>
      </c>
      <c r="B1108" s="555">
        <v>52200</v>
      </c>
      <c r="C1108" s="555">
        <v>52250</v>
      </c>
      <c r="D1108" s="556">
        <f t="shared" si="89"/>
        <v>6404</v>
      </c>
      <c r="E1108" s="556">
        <f t="shared" si="90"/>
        <v>5790</v>
      </c>
      <c r="F1108" s="556">
        <f t="shared" si="91"/>
        <v>6404</v>
      </c>
      <c r="G1108" s="556">
        <f t="shared" si="92"/>
        <v>5927</v>
      </c>
    </row>
    <row r="1109" spans="1:7" ht="15.75">
      <c r="A1109" s="625">
        <f t="shared" si="93"/>
        <v>52275</v>
      </c>
      <c r="B1109" s="555">
        <v>52250</v>
      </c>
      <c r="C1109" s="555">
        <v>52300</v>
      </c>
      <c r="D1109" s="556">
        <f t="shared" si="89"/>
        <v>6415</v>
      </c>
      <c r="E1109" s="556">
        <f t="shared" si="90"/>
        <v>5796</v>
      </c>
      <c r="F1109" s="556">
        <f t="shared" si="91"/>
        <v>6415</v>
      </c>
      <c r="G1109" s="556">
        <f t="shared" si="92"/>
        <v>5933</v>
      </c>
    </row>
    <row r="1110" spans="1:7" ht="15.75">
      <c r="A1110" s="625">
        <f t="shared" si="93"/>
        <v>52325</v>
      </c>
      <c r="B1110" s="555">
        <v>52300</v>
      </c>
      <c r="C1110" s="555">
        <v>52350</v>
      </c>
      <c r="D1110" s="556">
        <f t="shared" si="89"/>
        <v>6426</v>
      </c>
      <c r="E1110" s="556">
        <f t="shared" si="90"/>
        <v>5802</v>
      </c>
      <c r="F1110" s="556">
        <f t="shared" si="91"/>
        <v>6426</v>
      </c>
      <c r="G1110" s="556">
        <f t="shared" si="92"/>
        <v>5939</v>
      </c>
    </row>
    <row r="1111" spans="1:7" ht="15.75">
      <c r="A1111" s="625">
        <f t="shared" si="93"/>
        <v>52375</v>
      </c>
      <c r="B1111" s="555">
        <v>52350</v>
      </c>
      <c r="C1111" s="555">
        <v>52400</v>
      </c>
      <c r="D1111" s="556">
        <f t="shared" si="89"/>
        <v>6437</v>
      </c>
      <c r="E1111" s="556">
        <f t="shared" si="90"/>
        <v>5808</v>
      </c>
      <c r="F1111" s="556">
        <f t="shared" si="91"/>
        <v>6437</v>
      </c>
      <c r="G1111" s="556">
        <f t="shared" si="92"/>
        <v>5945</v>
      </c>
    </row>
    <row r="1112" spans="1:7" ht="15.75">
      <c r="A1112" s="625">
        <f t="shared" si="93"/>
        <v>52425</v>
      </c>
      <c r="B1112" s="555">
        <v>52400</v>
      </c>
      <c r="C1112" s="555">
        <v>52450</v>
      </c>
      <c r="D1112" s="556">
        <f t="shared" si="89"/>
        <v>6448</v>
      </c>
      <c r="E1112" s="556">
        <f t="shared" si="90"/>
        <v>5814</v>
      </c>
      <c r="F1112" s="556">
        <f t="shared" si="91"/>
        <v>6448</v>
      </c>
      <c r="G1112" s="556">
        <f t="shared" si="92"/>
        <v>5951</v>
      </c>
    </row>
    <row r="1113" spans="1:7" ht="15.75">
      <c r="A1113" s="625">
        <f t="shared" si="93"/>
        <v>52475</v>
      </c>
      <c r="B1113" s="555">
        <v>52450</v>
      </c>
      <c r="C1113" s="555">
        <v>52500</v>
      </c>
      <c r="D1113" s="556">
        <f t="shared" si="89"/>
        <v>6459</v>
      </c>
      <c r="E1113" s="556">
        <f t="shared" si="90"/>
        <v>5820</v>
      </c>
      <c r="F1113" s="556">
        <f t="shared" si="91"/>
        <v>6459</v>
      </c>
      <c r="G1113" s="556">
        <f t="shared" si="92"/>
        <v>5957</v>
      </c>
    </row>
    <row r="1114" spans="1:7" ht="15.75">
      <c r="A1114" s="625">
        <f t="shared" si="93"/>
        <v>52525</v>
      </c>
      <c r="B1114" s="555">
        <v>52500</v>
      </c>
      <c r="C1114" s="555">
        <v>52550</v>
      </c>
      <c r="D1114" s="556">
        <f t="shared" si="89"/>
        <v>6470</v>
      </c>
      <c r="E1114" s="556">
        <f t="shared" si="90"/>
        <v>5826</v>
      </c>
      <c r="F1114" s="556">
        <f t="shared" si="91"/>
        <v>6470</v>
      </c>
      <c r="G1114" s="556">
        <f t="shared" si="92"/>
        <v>5963</v>
      </c>
    </row>
    <row r="1115" spans="1:7" ht="15.75">
      <c r="A1115" s="625">
        <f t="shared" si="93"/>
        <v>52575</v>
      </c>
      <c r="B1115" s="555">
        <v>52550</v>
      </c>
      <c r="C1115" s="555">
        <v>52600</v>
      </c>
      <c r="D1115" s="556">
        <f t="shared" si="89"/>
        <v>6481</v>
      </c>
      <c r="E1115" s="556">
        <f t="shared" si="90"/>
        <v>5832</v>
      </c>
      <c r="F1115" s="556">
        <f t="shared" si="91"/>
        <v>6481</v>
      </c>
      <c r="G1115" s="556">
        <f t="shared" si="92"/>
        <v>5969</v>
      </c>
    </row>
    <row r="1116" spans="1:7" ht="15.75">
      <c r="A1116" s="625">
        <f t="shared" si="93"/>
        <v>52625</v>
      </c>
      <c r="B1116" s="555">
        <v>52600</v>
      </c>
      <c r="C1116" s="555">
        <v>52650</v>
      </c>
      <c r="D1116" s="556">
        <f t="shared" si="89"/>
        <v>6492</v>
      </c>
      <c r="E1116" s="556">
        <f t="shared" si="90"/>
        <v>5838</v>
      </c>
      <c r="F1116" s="556">
        <f t="shared" si="91"/>
        <v>6492</v>
      </c>
      <c r="G1116" s="556">
        <f t="shared" si="92"/>
        <v>5975</v>
      </c>
    </row>
    <row r="1117" spans="1:7" ht="15.75">
      <c r="A1117" s="625">
        <f t="shared" si="93"/>
        <v>52675</v>
      </c>
      <c r="B1117" s="555">
        <v>52650</v>
      </c>
      <c r="C1117" s="555">
        <v>52700</v>
      </c>
      <c r="D1117" s="556">
        <f t="shared" si="89"/>
        <v>6503</v>
      </c>
      <c r="E1117" s="556">
        <f t="shared" si="90"/>
        <v>5844</v>
      </c>
      <c r="F1117" s="556">
        <f t="shared" si="91"/>
        <v>6503</v>
      </c>
      <c r="G1117" s="556">
        <f t="shared" si="92"/>
        <v>5981</v>
      </c>
    </row>
    <row r="1118" spans="1:7" ht="15.75">
      <c r="A1118" s="625">
        <f t="shared" si="93"/>
        <v>52725</v>
      </c>
      <c r="B1118" s="555">
        <v>52700</v>
      </c>
      <c r="C1118" s="555">
        <v>52750</v>
      </c>
      <c r="D1118" s="556">
        <f t="shared" si="89"/>
        <v>6514</v>
      </c>
      <c r="E1118" s="556">
        <f t="shared" si="90"/>
        <v>5850</v>
      </c>
      <c r="F1118" s="556">
        <f t="shared" si="91"/>
        <v>6514</v>
      </c>
      <c r="G1118" s="556">
        <f t="shared" si="92"/>
        <v>5987</v>
      </c>
    </row>
    <row r="1119" spans="1:7" ht="15.75">
      <c r="A1119" s="625">
        <f t="shared" si="93"/>
        <v>52775</v>
      </c>
      <c r="B1119" s="555">
        <v>52750</v>
      </c>
      <c r="C1119" s="555">
        <v>52800</v>
      </c>
      <c r="D1119" s="556">
        <f t="shared" si="89"/>
        <v>6525</v>
      </c>
      <c r="E1119" s="556">
        <f t="shared" si="90"/>
        <v>5856</v>
      </c>
      <c r="F1119" s="556">
        <f t="shared" si="91"/>
        <v>6525</v>
      </c>
      <c r="G1119" s="556">
        <f t="shared" si="92"/>
        <v>5993</v>
      </c>
    </row>
    <row r="1120" spans="1:7" ht="15.75">
      <c r="A1120" s="625">
        <f t="shared" si="93"/>
        <v>52825</v>
      </c>
      <c r="B1120" s="555">
        <v>52800</v>
      </c>
      <c r="C1120" s="555">
        <v>52850</v>
      </c>
      <c r="D1120" s="556">
        <f t="shared" si="89"/>
        <v>6536</v>
      </c>
      <c r="E1120" s="556">
        <f t="shared" si="90"/>
        <v>5862</v>
      </c>
      <c r="F1120" s="556">
        <f t="shared" si="91"/>
        <v>6536</v>
      </c>
      <c r="G1120" s="556">
        <f t="shared" si="92"/>
        <v>5999</v>
      </c>
    </row>
    <row r="1121" spans="1:7" ht="15.75">
      <c r="A1121" s="625">
        <f t="shared" si="93"/>
        <v>52875</v>
      </c>
      <c r="B1121" s="555">
        <v>52850</v>
      </c>
      <c r="C1121" s="555">
        <v>52900</v>
      </c>
      <c r="D1121" s="556">
        <f t="shared" si="89"/>
        <v>6547</v>
      </c>
      <c r="E1121" s="556">
        <f t="shared" si="90"/>
        <v>5868</v>
      </c>
      <c r="F1121" s="556">
        <f t="shared" si="91"/>
        <v>6547</v>
      </c>
      <c r="G1121" s="556">
        <f t="shared" si="92"/>
        <v>6005</v>
      </c>
    </row>
    <row r="1122" spans="1:7" ht="15.75">
      <c r="A1122" s="625">
        <f t="shared" si="93"/>
        <v>52925</v>
      </c>
      <c r="B1122" s="555">
        <v>52900</v>
      </c>
      <c r="C1122" s="555">
        <v>52950</v>
      </c>
      <c r="D1122" s="556">
        <f t="shared" si="89"/>
        <v>6558</v>
      </c>
      <c r="E1122" s="556">
        <f t="shared" si="90"/>
        <v>5874</v>
      </c>
      <c r="F1122" s="556">
        <f t="shared" si="91"/>
        <v>6558</v>
      </c>
      <c r="G1122" s="556">
        <f t="shared" si="92"/>
        <v>6011</v>
      </c>
    </row>
    <row r="1123" spans="1:7" ht="15.75">
      <c r="A1123" s="625">
        <f t="shared" si="93"/>
        <v>52975</v>
      </c>
      <c r="B1123" s="555">
        <v>52950</v>
      </c>
      <c r="C1123" s="555">
        <v>53000</v>
      </c>
      <c r="D1123" s="556">
        <f t="shared" si="89"/>
        <v>6569</v>
      </c>
      <c r="E1123" s="556">
        <f t="shared" si="90"/>
        <v>5880</v>
      </c>
      <c r="F1123" s="556">
        <f t="shared" si="91"/>
        <v>6569</v>
      </c>
      <c r="G1123" s="556">
        <f t="shared" si="92"/>
        <v>6017</v>
      </c>
    </row>
    <row r="1124" spans="1:7" ht="15.75">
      <c r="A1124" s="625">
        <f t="shared" si="93"/>
        <v>53025</v>
      </c>
      <c r="B1124" s="555">
        <v>53000</v>
      </c>
      <c r="C1124" s="555">
        <v>53050</v>
      </c>
      <c r="D1124" s="556">
        <f t="shared" si="89"/>
        <v>6580</v>
      </c>
      <c r="E1124" s="556">
        <f t="shared" si="90"/>
        <v>5886</v>
      </c>
      <c r="F1124" s="556">
        <f t="shared" si="91"/>
        <v>6580</v>
      </c>
      <c r="G1124" s="556">
        <f t="shared" si="92"/>
        <v>6023</v>
      </c>
    </row>
    <row r="1125" spans="1:7" ht="15.75">
      <c r="A1125" s="625">
        <f t="shared" si="93"/>
        <v>53075</v>
      </c>
      <c r="B1125" s="555">
        <v>53050</v>
      </c>
      <c r="C1125" s="555">
        <v>53100</v>
      </c>
      <c r="D1125" s="556">
        <f t="shared" si="89"/>
        <v>6591</v>
      </c>
      <c r="E1125" s="556">
        <f t="shared" si="90"/>
        <v>5892</v>
      </c>
      <c r="F1125" s="556">
        <f t="shared" si="91"/>
        <v>6591</v>
      </c>
      <c r="G1125" s="556">
        <f t="shared" si="92"/>
        <v>6029</v>
      </c>
    </row>
    <row r="1126" spans="1:7" ht="15.75">
      <c r="A1126" s="625">
        <f t="shared" si="93"/>
        <v>53125</v>
      </c>
      <c r="B1126" s="555">
        <v>53100</v>
      </c>
      <c r="C1126" s="555">
        <v>53150</v>
      </c>
      <c r="D1126" s="556">
        <f t="shared" si="89"/>
        <v>6602</v>
      </c>
      <c r="E1126" s="556">
        <f t="shared" si="90"/>
        <v>5898</v>
      </c>
      <c r="F1126" s="556">
        <f t="shared" si="91"/>
        <v>6602</v>
      </c>
      <c r="G1126" s="556">
        <f t="shared" si="92"/>
        <v>6035</v>
      </c>
    </row>
    <row r="1127" spans="1:7" ht="15.75">
      <c r="A1127" s="625">
        <f t="shared" si="93"/>
        <v>53175</v>
      </c>
      <c r="B1127" s="555">
        <v>53150</v>
      </c>
      <c r="C1127" s="555">
        <v>53200</v>
      </c>
      <c r="D1127" s="556">
        <f t="shared" si="89"/>
        <v>6613</v>
      </c>
      <c r="E1127" s="556">
        <f t="shared" si="90"/>
        <v>5904</v>
      </c>
      <c r="F1127" s="556">
        <f t="shared" si="91"/>
        <v>6613</v>
      </c>
      <c r="G1127" s="556">
        <f t="shared" si="92"/>
        <v>6041</v>
      </c>
    </row>
    <row r="1128" spans="1:7" ht="15.75">
      <c r="A1128" s="625">
        <f t="shared" si="93"/>
        <v>53225</v>
      </c>
      <c r="B1128" s="555">
        <v>53200</v>
      </c>
      <c r="C1128" s="555">
        <v>53250</v>
      </c>
      <c r="D1128" s="556">
        <f t="shared" si="89"/>
        <v>6624</v>
      </c>
      <c r="E1128" s="556">
        <f t="shared" si="90"/>
        <v>5910</v>
      </c>
      <c r="F1128" s="556">
        <f t="shared" si="91"/>
        <v>6624</v>
      </c>
      <c r="G1128" s="556">
        <f t="shared" si="92"/>
        <v>6047</v>
      </c>
    </row>
    <row r="1129" spans="1:7" ht="15.75">
      <c r="A1129" s="625">
        <f t="shared" si="93"/>
        <v>53275</v>
      </c>
      <c r="B1129" s="555">
        <v>53250</v>
      </c>
      <c r="C1129" s="555">
        <v>53300</v>
      </c>
      <c r="D1129" s="556">
        <f t="shared" si="89"/>
        <v>6635</v>
      </c>
      <c r="E1129" s="556">
        <f t="shared" si="90"/>
        <v>5916</v>
      </c>
      <c r="F1129" s="556">
        <f t="shared" si="91"/>
        <v>6635</v>
      </c>
      <c r="G1129" s="556">
        <f t="shared" si="92"/>
        <v>6053</v>
      </c>
    </row>
    <row r="1130" spans="1:7" ht="15.75">
      <c r="A1130" s="625">
        <f t="shared" si="93"/>
        <v>53325</v>
      </c>
      <c r="B1130" s="555">
        <v>53300</v>
      </c>
      <c r="C1130" s="555">
        <v>53350</v>
      </c>
      <c r="D1130" s="556">
        <f t="shared" si="89"/>
        <v>6646</v>
      </c>
      <c r="E1130" s="556">
        <f t="shared" si="90"/>
        <v>5922</v>
      </c>
      <c r="F1130" s="556">
        <f t="shared" si="91"/>
        <v>6646</v>
      </c>
      <c r="G1130" s="556">
        <f t="shared" si="92"/>
        <v>6059</v>
      </c>
    </row>
    <row r="1131" spans="1:7" ht="15.75">
      <c r="A1131" s="625">
        <f t="shared" si="93"/>
        <v>53375</v>
      </c>
      <c r="B1131" s="555">
        <v>53350</v>
      </c>
      <c r="C1131" s="555">
        <v>53400</v>
      </c>
      <c r="D1131" s="556">
        <f t="shared" si="89"/>
        <v>6657</v>
      </c>
      <c r="E1131" s="556">
        <f t="shared" si="90"/>
        <v>5928</v>
      </c>
      <c r="F1131" s="556">
        <f t="shared" si="91"/>
        <v>6657</v>
      </c>
      <c r="G1131" s="556">
        <f t="shared" si="92"/>
        <v>6065</v>
      </c>
    </row>
    <row r="1132" spans="1:7" ht="15.75">
      <c r="A1132" s="625">
        <f t="shared" si="93"/>
        <v>53425</v>
      </c>
      <c r="B1132" s="555">
        <v>53400</v>
      </c>
      <c r="C1132" s="555">
        <v>53450</v>
      </c>
      <c r="D1132" s="556">
        <f t="shared" si="89"/>
        <v>6668</v>
      </c>
      <c r="E1132" s="556">
        <f t="shared" si="90"/>
        <v>5934</v>
      </c>
      <c r="F1132" s="556">
        <f t="shared" si="91"/>
        <v>6668</v>
      </c>
      <c r="G1132" s="556">
        <f t="shared" si="92"/>
        <v>6071</v>
      </c>
    </row>
    <row r="1133" spans="1:7" ht="15.75">
      <c r="A1133" s="625">
        <f t="shared" si="93"/>
        <v>53475</v>
      </c>
      <c r="B1133" s="555">
        <v>53450</v>
      </c>
      <c r="C1133" s="555">
        <v>53500</v>
      </c>
      <c r="D1133" s="556">
        <f t="shared" si="89"/>
        <v>6679</v>
      </c>
      <c r="E1133" s="556">
        <f t="shared" si="90"/>
        <v>5940</v>
      </c>
      <c r="F1133" s="556">
        <f t="shared" si="91"/>
        <v>6679</v>
      </c>
      <c r="G1133" s="556">
        <f t="shared" si="92"/>
        <v>6077</v>
      </c>
    </row>
    <row r="1134" spans="1:7" ht="15.75">
      <c r="A1134" s="625">
        <f t="shared" si="93"/>
        <v>53525</v>
      </c>
      <c r="B1134" s="555">
        <v>53500</v>
      </c>
      <c r="C1134" s="555">
        <v>53550</v>
      </c>
      <c r="D1134" s="556">
        <f t="shared" si="89"/>
        <v>6690</v>
      </c>
      <c r="E1134" s="556">
        <f t="shared" si="90"/>
        <v>5946</v>
      </c>
      <c r="F1134" s="556">
        <f t="shared" si="91"/>
        <v>6690</v>
      </c>
      <c r="G1134" s="556">
        <f t="shared" si="92"/>
        <v>6083</v>
      </c>
    </row>
    <row r="1135" spans="1:7" ht="15.75">
      <c r="A1135" s="625">
        <f t="shared" si="93"/>
        <v>53575</v>
      </c>
      <c r="B1135" s="555">
        <v>53550</v>
      </c>
      <c r="C1135" s="555">
        <v>53600</v>
      </c>
      <c r="D1135" s="556">
        <f t="shared" si="89"/>
        <v>6701</v>
      </c>
      <c r="E1135" s="556">
        <f t="shared" si="90"/>
        <v>5952</v>
      </c>
      <c r="F1135" s="556">
        <f t="shared" si="91"/>
        <v>6701</v>
      </c>
      <c r="G1135" s="556">
        <f t="shared" si="92"/>
        <v>6089</v>
      </c>
    </row>
    <row r="1136" spans="1:7" ht="15.75">
      <c r="A1136" s="625">
        <f t="shared" si="93"/>
        <v>53625</v>
      </c>
      <c r="B1136" s="555">
        <v>53600</v>
      </c>
      <c r="C1136" s="555">
        <v>53650</v>
      </c>
      <c r="D1136" s="556">
        <f t="shared" si="89"/>
        <v>6712</v>
      </c>
      <c r="E1136" s="556">
        <f t="shared" si="90"/>
        <v>5958</v>
      </c>
      <c r="F1136" s="556">
        <f t="shared" si="91"/>
        <v>6712</v>
      </c>
      <c r="G1136" s="556">
        <f t="shared" si="92"/>
        <v>6095</v>
      </c>
    </row>
    <row r="1137" spans="1:7" ht="15.75">
      <c r="A1137" s="625">
        <f t="shared" si="93"/>
        <v>53675</v>
      </c>
      <c r="B1137" s="555">
        <v>53650</v>
      </c>
      <c r="C1137" s="555">
        <v>53700</v>
      </c>
      <c r="D1137" s="556">
        <f t="shared" si="89"/>
        <v>6723</v>
      </c>
      <c r="E1137" s="556">
        <f t="shared" si="90"/>
        <v>5964</v>
      </c>
      <c r="F1137" s="556">
        <f t="shared" si="91"/>
        <v>6723</v>
      </c>
      <c r="G1137" s="556">
        <f t="shared" si="92"/>
        <v>6101</v>
      </c>
    </row>
    <row r="1138" spans="1:7" ht="15.75">
      <c r="A1138" s="625">
        <f t="shared" si="93"/>
        <v>53725</v>
      </c>
      <c r="B1138" s="555">
        <v>53700</v>
      </c>
      <c r="C1138" s="555">
        <v>53750</v>
      </c>
      <c r="D1138" s="556">
        <f t="shared" si="89"/>
        <v>6734</v>
      </c>
      <c r="E1138" s="556">
        <f t="shared" si="90"/>
        <v>5970</v>
      </c>
      <c r="F1138" s="556">
        <f t="shared" si="91"/>
        <v>6734</v>
      </c>
      <c r="G1138" s="556">
        <f t="shared" si="92"/>
        <v>6107</v>
      </c>
    </row>
    <row r="1139" spans="1:7" ht="15.75">
      <c r="A1139" s="625">
        <f t="shared" si="93"/>
        <v>53775</v>
      </c>
      <c r="B1139" s="555">
        <v>53750</v>
      </c>
      <c r="C1139" s="555">
        <v>53800</v>
      </c>
      <c r="D1139" s="556">
        <f t="shared" si="89"/>
        <v>6745</v>
      </c>
      <c r="E1139" s="556">
        <f t="shared" si="90"/>
        <v>5976</v>
      </c>
      <c r="F1139" s="556">
        <f t="shared" si="91"/>
        <v>6745</v>
      </c>
      <c r="G1139" s="556">
        <f t="shared" si="92"/>
        <v>6113</v>
      </c>
    </row>
    <row r="1140" spans="1:7" ht="15.75">
      <c r="A1140" s="625">
        <f t="shared" si="93"/>
        <v>53825</v>
      </c>
      <c r="B1140" s="555">
        <v>53800</v>
      </c>
      <c r="C1140" s="555">
        <v>53850</v>
      </c>
      <c r="D1140" s="556">
        <f t="shared" si="89"/>
        <v>6756</v>
      </c>
      <c r="E1140" s="556">
        <f t="shared" si="90"/>
        <v>5982</v>
      </c>
      <c r="F1140" s="556">
        <f t="shared" si="91"/>
        <v>6756</v>
      </c>
      <c r="G1140" s="556">
        <f t="shared" si="92"/>
        <v>6119</v>
      </c>
    </row>
    <row r="1141" spans="1:7" ht="15.75">
      <c r="A1141" s="625">
        <f t="shared" si="93"/>
        <v>53875</v>
      </c>
      <c r="B1141" s="555">
        <v>53850</v>
      </c>
      <c r="C1141" s="555">
        <v>53900</v>
      </c>
      <c r="D1141" s="556">
        <f t="shared" si="89"/>
        <v>6767</v>
      </c>
      <c r="E1141" s="556">
        <f t="shared" si="90"/>
        <v>5988</v>
      </c>
      <c r="F1141" s="556">
        <f t="shared" si="91"/>
        <v>6767</v>
      </c>
      <c r="G1141" s="556">
        <f t="shared" si="92"/>
        <v>6125</v>
      </c>
    </row>
    <row r="1142" spans="1:7" ht="15.75">
      <c r="A1142" s="625">
        <f t="shared" si="93"/>
        <v>53925</v>
      </c>
      <c r="B1142" s="555">
        <v>53900</v>
      </c>
      <c r="C1142" s="555">
        <v>53950</v>
      </c>
      <c r="D1142" s="556">
        <f t="shared" si="89"/>
        <v>6778</v>
      </c>
      <c r="E1142" s="556">
        <f t="shared" si="90"/>
        <v>5994</v>
      </c>
      <c r="F1142" s="556">
        <f t="shared" si="91"/>
        <v>6778</v>
      </c>
      <c r="G1142" s="556">
        <f t="shared" si="92"/>
        <v>6131</v>
      </c>
    </row>
    <row r="1143" spans="1:7" ht="15.75">
      <c r="A1143" s="625">
        <f t="shared" si="93"/>
        <v>53975</v>
      </c>
      <c r="B1143" s="555">
        <v>53950</v>
      </c>
      <c r="C1143" s="555">
        <v>54000</v>
      </c>
      <c r="D1143" s="556">
        <f t="shared" si="89"/>
        <v>6789</v>
      </c>
      <c r="E1143" s="556">
        <f t="shared" si="90"/>
        <v>6000</v>
      </c>
      <c r="F1143" s="556">
        <f t="shared" si="91"/>
        <v>6789</v>
      </c>
      <c r="G1143" s="556">
        <f t="shared" si="92"/>
        <v>6137</v>
      </c>
    </row>
    <row r="1144" spans="1:7" ht="15.75">
      <c r="A1144" s="625">
        <f t="shared" si="93"/>
        <v>54025</v>
      </c>
      <c r="B1144" s="555">
        <v>54000</v>
      </c>
      <c r="C1144" s="555">
        <v>54050</v>
      </c>
      <c r="D1144" s="556">
        <f t="shared" si="89"/>
        <v>6800</v>
      </c>
      <c r="E1144" s="556">
        <f t="shared" si="90"/>
        <v>6006</v>
      </c>
      <c r="F1144" s="556">
        <f t="shared" si="91"/>
        <v>6800</v>
      </c>
      <c r="G1144" s="556">
        <f t="shared" si="92"/>
        <v>6143</v>
      </c>
    </row>
    <row r="1145" spans="1:7" ht="15.75">
      <c r="A1145" s="625">
        <f t="shared" si="93"/>
        <v>54075</v>
      </c>
      <c r="B1145" s="555">
        <v>54050</v>
      </c>
      <c r="C1145" s="555">
        <v>54100</v>
      </c>
      <c r="D1145" s="556">
        <f t="shared" si="89"/>
        <v>6811</v>
      </c>
      <c r="E1145" s="556">
        <f t="shared" si="90"/>
        <v>6012</v>
      </c>
      <c r="F1145" s="556">
        <f t="shared" si="91"/>
        <v>6811</v>
      </c>
      <c r="G1145" s="556">
        <f t="shared" si="92"/>
        <v>6149</v>
      </c>
    </row>
    <row r="1146" spans="1:7" ht="15.75">
      <c r="A1146" s="625">
        <f t="shared" si="93"/>
        <v>54125</v>
      </c>
      <c r="B1146" s="555">
        <v>54100</v>
      </c>
      <c r="C1146" s="555">
        <v>54150</v>
      </c>
      <c r="D1146" s="556">
        <f t="shared" si="89"/>
        <v>6822</v>
      </c>
      <c r="E1146" s="556">
        <f t="shared" si="90"/>
        <v>6018</v>
      </c>
      <c r="F1146" s="556">
        <f t="shared" si="91"/>
        <v>6822</v>
      </c>
      <c r="G1146" s="556">
        <f t="shared" si="92"/>
        <v>6155</v>
      </c>
    </row>
    <row r="1147" spans="1:7" ht="15.75">
      <c r="A1147" s="625">
        <f t="shared" si="93"/>
        <v>54175</v>
      </c>
      <c r="B1147" s="555">
        <v>54150</v>
      </c>
      <c r="C1147" s="555">
        <v>54200</v>
      </c>
      <c r="D1147" s="556">
        <f t="shared" si="89"/>
        <v>6833</v>
      </c>
      <c r="E1147" s="556">
        <f t="shared" si="90"/>
        <v>6024</v>
      </c>
      <c r="F1147" s="556">
        <f t="shared" si="91"/>
        <v>6833</v>
      </c>
      <c r="G1147" s="556">
        <f t="shared" si="92"/>
        <v>6161</v>
      </c>
    </row>
    <row r="1148" spans="1:7" ht="15.75">
      <c r="A1148" s="625">
        <f t="shared" si="93"/>
        <v>54225</v>
      </c>
      <c r="B1148" s="555">
        <v>54200</v>
      </c>
      <c r="C1148" s="555">
        <v>54250</v>
      </c>
      <c r="D1148" s="556">
        <f t="shared" si="89"/>
        <v>6844</v>
      </c>
      <c r="E1148" s="556">
        <f t="shared" si="90"/>
        <v>6030</v>
      </c>
      <c r="F1148" s="556">
        <f t="shared" si="91"/>
        <v>6844</v>
      </c>
      <c r="G1148" s="556">
        <f t="shared" si="92"/>
        <v>6167</v>
      </c>
    </row>
    <row r="1149" spans="1:7" ht="15.75">
      <c r="A1149" s="625">
        <f t="shared" si="93"/>
        <v>54275</v>
      </c>
      <c r="B1149" s="555">
        <v>54250</v>
      </c>
      <c r="C1149" s="555">
        <v>54300</v>
      </c>
      <c r="D1149" s="556">
        <f t="shared" si="89"/>
        <v>6855</v>
      </c>
      <c r="E1149" s="556">
        <f t="shared" si="90"/>
        <v>6036</v>
      </c>
      <c r="F1149" s="556">
        <f t="shared" si="91"/>
        <v>6855</v>
      </c>
      <c r="G1149" s="556">
        <f t="shared" si="92"/>
        <v>6173</v>
      </c>
    </row>
    <row r="1150" spans="1:7" ht="15.75">
      <c r="A1150" s="625">
        <f t="shared" si="93"/>
        <v>54325</v>
      </c>
      <c r="B1150" s="555">
        <v>54300</v>
      </c>
      <c r="C1150" s="555">
        <v>54350</v>
      </c>
      <c r="D1150" s="556">
        <f t="shared" si="89"/>
        <v>6866</v>
      </c>
      <c r="E1150" s="556">
        <f t="shared" si="90"/>
        <v>6042</v>
      </c>
      <c r="F1150" s="556">
        <f t="shared" si="91"/>
        <v>6866</v>
      </c>
      <c r="G1150" s="556">
        <f t="shared" si="92"/>
        <v>6179</v>
      </c>
    </row>
    <row r="1151" spans="1:7" ht="15.75">
      <c r="A1151" s="625">
        <f t="shared" si="93"/>
        <v>54375</v>
      </c>
      <c r="B1151" s="555">
        <v>54350</v>
      </c>
      <c r="C1151" s="555">
        <v>54400</v>
      </c>
      <c r="D1151" s="556">
        <f t="shared" si="89"/>
        <v>6877</v>
      </c>
      <c r="E1151" s="556">
        <f t="shared" si="90"/>
        <v>6048</v>
      </c>
      <c r="F1151" s="556">
        <f t="shared" si="91"/>
        <v>6877</v>
      </c>
      <c r="G1151" s="556">
        <f t="shared" si="92"/>
        <v>6185</v>
      </c>
    </row>
    <row r="1152" spans="1:7" ht="15.75">
      <c r="A1152" s="625">
        <f t="shared" si="93"/>
        <v>54425</v>
      </c>
      <c r="B1152" s="555">
        <v>54400</v>
      </c>
      <c r="C1152" s="555">
        <v>54450</v>
      </c>
      <c r="D1152" s="556">
        <f t="shared" si="89"/>
        <v>6888</v>
      </c>
      <c r="E1152" s="556">
        <f t="shared" si="90"/>
        <v>6054</v>
      </c>
      <c r="F1152" s="556">
        <f t="shared" si="91"/>
        <v>6888</v>
      </c>
      <c r="G1152" s="556">
        <f t="shared" si="92"/>
        <v>6191</v>
      </c>
    </row>
    <row r="1153" spans="1:7" ht="15.75">
      <c r="A1153" s="625">
        <f t="shared" si="93"/>
        <v>54475</v>
      </c>
      <c r="B1153" s="555">
        <v>54450</v>
      </c>
      <c r="C1153" s="555">
        <v>54500</v>
      </c>
      <c r="D1153" s="556">
        <f t="shared" si="89"/>
        <v>6899</v>
      </c>
      <c r="E1153" s="556">
        <f t="shared" si="90"/>
        <v>6060</v>
      </c>
      <c r="F1153" s="556">
        <f t="shared" si="91"/>
        <v>6899</v>
      </c>
      <c r="G1153" s="556">
        <f t="shared" si="92"/>
        <v>6197</v>
      </c>
    </row>
    <row r="1154" spans="1:7" ht="15.75">
      <c r="A1154" s="625">
        <f t="shared" si="93"/>
        <v>54525</v>
      </c>
      <c r="B1154" s="555">
        <v>54500</v>
      </c>
      <c r="C1154" s="555">
        <v>54550</v>
      </c>
      <c r="D1154" s="556">
        <f t="shared" ref="D1154:D1217" si="94">IF($A1154&gt;BOTT_A4,ROUND(BASE_A4+RATE_A4*($A1154-BOTT_A4),0),IF($A1154&gt;BOTT_A3,ROUND(BASE_A3+RATE_A3*($A1154-BOTT_A3),0),IF($A1154&gt;BOTT_A2,ROUND(BASE_A2+RATE_A2*($A1154-BOTT_A2),0),ROUND(RATE_A1*$A1154,0))))</f>
        <v>6910</v>
      </c>
      <c r="E1154" s="556">
        <f t="shared" ref="E1154:E1217" si="95">IF($A1154&gt;BOTT_B4,ROUND(BASE_B4+RATE_B4*($A1154-BOTT_B4),0),IF($A1154&gt;BOTT_B3,ROUND(BASE_B3+RATE_B3*($A1154-BOTT_B3),0),IF($A1154&gt;BOTT_B2,ROUND(BASE_B2+RATE_B2*($A1154-BOTT_B2),0),ROUND(RATE_B1*$A1154,0))))</f>
        <v>6066</v>
      </c>
      <c r="F1154" s="556">
        <f t="shared" ref="F1154:F1217" si="96">IF($A1154&gt;BOTT_C4,ROUND(BASE_C4+RATE_C4*($A1154-BOTT_C4),0),IF($A1154&gt;BOTT_C3,ROUND(BASE_C3+RATE_C3*($A1154-BOTT_C3),0),IF($A1154&gt;BOTT_C2,ROUND(BASE_C2+RATE_C2*($A1154-BOTT_C2),0),ROUND(RATE_C1*$A1154,0))))</f>
        <v>6910</v>
      </c>
      <c r="G1154" s="556">
        <f t="shared" ref="G1154:G1217" si="97">IF($A1154&gt;BOTT_D4,ROUND(BASE_D4+RATE_D4*($A1154-BOTT_D4),0),IF($A1154&gt;BOTT_D3,ROUND(BASE_D3+RATE_D3*($A1154-BOTT_D3),0),IF($A1154&gt;BOTT_D2,ROUND(BASE_D2+RATE_D2*($A1154-BOTT_D2),0),ROUND(RATE_D1*$A1154,0))))</f>
        <v>6203</v>
      </c>
    </row>
    <row r="1155" spans="1:7" ht="15.75">
      <c r="A1155" s="625">
        <f t="shared" ref="A1155:A1218" si="98">AVERAGE(B1155,C1155)</f>
        <v>54575</v>
      </c>
      <c r="B1155" s="555">
        <v>54550</v>
      </c>
      <c r="C1155" s="555">
        <v>54600</v>
      </c>
      <c r="D1155" s="556">
        <f t="shared" si="94"/>
        <v>6921</v>
      </c>
      <c r="E1155" s="556">
        <f t="shared" si="95"/>
        <v>6072</v>
      </c>
      <c r="F1155" s="556">
        <f t="shared" si="96"/>
        <v>6921</v>
      </c>
      <c r="G1155" s="556">
        <f t="shared" si="97"/>
        <v>6209</v>
      </c>
    </row>
    <row r="1156" spans="1:7" ht="15.75">
      <c r="A1156" s="625">
        <f t="shared" si="98"/>
        <v>54625</v>
      </c>
      <c r="B1156" s="555">
        <v>54600</v>
      </c>
      <c r="C1156" s="555">
        <v>54650</v>
      </c>
      <c r="D1156" s="556">
        <f t="shared" si="94"/>
        <v>6932</v>
      </c>
      <c r="E1156" s="556">
        <f t="shared" si="95"/>
        <v>6078</v>
      </c>
      <c r="F1156" s="556">
        <f t="shared" si="96"/>
        <v>6932</v>
      </c>
      <c r="G1156" s="556">
        <f t="shared" si="97"/>
        <v>6215</v>
      </c>
    </row>
    <row r="1157" spans="1:7" ht="15.75">
      <c r="A1157" s="625">
        <f t="shared" si="98"/>
        <v>54675</v>
      </c>
      <c r="B1157" s="555">
        <v>54650</v>
      </c>
      <c r="C1157" s="555">
        <v>54700</v>
      </c>
      <c r="D1157" s="556">
        <f t="shared" si="94"/>
        <v>6943</v>
      </c>
      <c r="E1157" s="556">
        <f t="shared" si="95"/>
        <v>6084</v>
      </c>
      <c r="F1157" s="556">
        <f t="shared" si="96"/>
        <v>6943</v>
      </c>
      <c r="G1157" s="556">
        <f t="shared" si="97"/>
        <v>6221</v>
      </c>
    </row>
    <row r="1158" spans="1:7" ht="15.75">
      <c r="A1158" s="625">
        <f t="shared" si="98"/>
        <v>54725</v>
      </c>
      <c r="B1158" s="555">
        <v>54700</v>
      </c>
      <c r="C1158" s="555">
        <v>54750</v>
      </c>
      <c r="D1158" s="556">
        <f t="shared" si="94"/>
        <v>6954</v>
      </c>
      <c r="E1158" s="556">
        <f t="shared" si="95"/>
        <v>6090</v>
      </c>
      <c r="F1158" s="556">
        <f t="shared" si="96"/>
        <v>6954</v>
      </c>
      <c r="G1158" s="556">
        <f t="shared" si="97"/>
        <v>6227</v>
      </c>
    </row>
    <row r="1159" spans="1:7" ht="15.75">
      <c r="A1159" s="625">
        <f t="shared" si="98"/>
        <v>54775</v>
      </c>
      <c r="B1159" s="555">
        <v>54750</v>
      </c>
      <c r="C1159" s="555">
        <v>54800</v>
      </c>
      <c r="D1159" s="556">
        <f t="shared" si="94"/>
        <v>6965</v>
      </c>
      <c r="E1159" s="556">
        <f t="shared" si="95"/>
        <v>6096</v>
      </c>
      <c r="F1159" s="556">
        <f t="shared" si="96"/>
        <v>6965</v>
      </c>
      <c r="G1159" s="556">
        <f t="shared" si="97"/>
        <v>6233</v>
      </c>
    </row>
    <row r="1160" spans="1:7" ht="15.75">
      <c r="A1160" s="625">
        <f t="shared" si="98"/>
        <v>54825</v>
      </c>
      <c r="B1160" s="555">
        <v>54800</v>
      </c>
      <c r="C1160" s="555">
        <v>54850</v>
      </c>
      <c r="D1160" s="556">
        <f t="shared" si="94"/>
        <v>6976</v>
      </c>
      <c r="E1160" s="556">
        <f t="shared" si="95"/>
        <v>6102</v>
      </c>
      <c r="F1160" s="556">
        <f t="shared" si="96"/>
        <v>6976</v>
      </c>
      <c r="G1160" s="556">
        <f t="shared" si="97"/>
        <v>6239</v>
      </c>
    </row>
    <row r="1161" spans="1:7" ht="15.75">
      <c r="A1161" s="625">
        <f t="shared" si="98"/>
        <v>54875</v>
      </c>
      <c r="B1161" s="555">
        <v>54850</v>
      </c>
      <c r="C1161" s="555">
        <v>54900</v>
      </c>
      <c r="D1161" s="556">
        <f t="shared" si="94"/>
        <v>6987</v>
      </c>
      <c r="E1161" s="556">
        <f t="shared" si="95"/>
        <v>6108</v>
      </c>
      <c r="F1161" s="556">
        <f t="shared" si="96"/>
        <v>6987</v>
      </c>
      <c r="G1161" s="556">
        <f t="shared" si="97"/>
        <v>6245</v>
      </c>
    </row>
    <row r="1162" spans="1:7" ht="15.75">
      <c r="A1162" s="625">
        <f t="shared" si="98"/>
        <v>54925</v>
      </c>
      <c r="B1162" s="555">
        <v>54900</v>
      </c>
      <c r="C1162" s="555">
        <v>54950</v>
      </c>
      <c r="D1162" s="556">
        <f t="shared" si="94"/>
        <v>6998</v>
      </c>
      <c r="E1162" s="556">
        <f t="shared" si="95"/>
        <v>6114</v>
      </c>
      <c r="F1162" s="556">
        <f t="shared" si="96"/>
        <v>6998</v>
      </c>
      <c r="G1162" s="556">
        <f t="shared" si="97"/>
        <v>6251</v>
      </c>
    </row>
    <row r="1163" spans="1:7" ht="15.75">
      <c r="A1163" s="625">
        <f t="shared" si="98"/>
        <v>54975</v>
      </c>
      <c r="B1163" s="555">
        <v>54950</v>
      </c>
      <c r="C1163" s="555">
        <v>55000</v>
      </c>
      <c r="D1163" s="556">
        <f t="shared" si="94"/>
        <v>7009</v>
      </c>
      <c r="E1163" s="556">
        <f t="shared" si="95"/>
        <v>6120</v>
      </c>
      <c r="F1163" s="556">
        <f t="shared" si="96"/>
        <v>7009</v>
      </c>
      <c r="G1163" s="556">
        <f t="shared" si="97"/>
        <v>6257</v>
      </c>
    </row>
    <row r="1164" spans="1:7" ht="15.75">
      <c r="A1164" s="625">
        <f t="shared" si="98"/>
        <v>55025</v>
      </c>
      <c r="B1164" s="555">
        <v>55000</v>
      </c>
      <c r="C1164" s="555">
        <v>55050</v>
      </c>
      <c r="D1164" s="556">
        <f t="shared" si="94"/>
        <v>7020</v>
      </c>
      <c r="E1164" s="556">
        <f t="shared" si="95"/>
        <v>6126</v>
      </c>
      <c r="F1164" s="556">
        <f t="shared" si="96"/>
        <v>7020</v>
      </c>
      <c r="G1164" s="556">
        <f t="shared" si="97"/>
        <v>6263</v>
      </c>
    </row>
    <row r="1165" spans="1:7" ht="15.75">
      <c r="A1165" s="625">
        <f t="shared" si="98"/>
        <v>55075</v>
      </c>
      <c r="B1165" s="555">
        <v>55050</v>
      </c>
      <c r="C1165" s="555">
        <v>55100</v>
      </c>
      <c r="D1165" s="556">
        <f t="shared" si="94"/>
        <v>7031</v>
      </c>
      <c r="E1165" s="556">
        <f t="shared" si="95"/>
        <v>6132</v>
      </c>
      <c r="F1165" s="556">
        <f t="shared" si="96"/>
        <v>7031</v>
      </c>
      <c r="G1165" s="556">
        <f t="shared" si="97"/>
        <v>6269</v>
      </c>
    </row>
    <row r="1166" spans="1:7" ht="15.75">
      <c r="A1166" s="625">
        <f t="shared" si="98"/>
        <v>55125</v>
      </c>
      <c r="B1166" s="555">
        <v>55100</v>
      </c>
      <c r="C1166" s="555">
        <v>55150</v>
      </c>
      <c r="D1166" s="556">
        <f t="shared" si="94"/>
        <v>7042</v>
      </c>
      <c r="E1166" s="556">
        <f t="shared" si="95"/>
        <v>6138</v>
      </c>
      <c r="F1166" s="556">
        <f t="shared" si="96"/>
        <v>7042</v>
      </c>
      <c r="G1166" s="556">
        <f t="shared" si="97"/>
        <v>6275</v>
      </c>
    </row>
    <row r="1167" spans="1:7" ht="15.75">
      <c r="A1167" s="625">
        <f t="shared" si="98"/>
        <v>55175</v>
      </c>
      <c r="B1167" s="555">
        <v>55150</v>
      </c>
      <c r="C1167" s="555">
        <v>55200</v>
      </c>
      <c r="D1167" s="556">
        <f t="shared" si="94"/>
        <v>7053</v>
      </c>
      <c r="E1167" s="556">
        <f t="shared" si="95"/>
        <v>6144</v>
      </c>
      <c r="F1167" s="556">
        <f t="shared" si="96"/>
        <v>7053</v>
      </c>
      <c r="G1167" s="556">
        <f t="shared" si="97"/>
        <v>6281</v>
      </c>
    </row>
    <row r="1168" spans="1:7" ht="15.75">
      <c r="A1168" s="625">
        <f t="shared" si="98"/>
        <v>55225</v>
      </c>
      <c r="B1168" s="555">
        <v>55200</v>
      </c>
      <c r="C1168" s="555">
        <v>55250</v>
      </c>
      <c r="D1168" s="556">
        <f t="shared" si="94"/>
        <v>7064</v>
      </c>
      <c r="E1168" s="556">
        <f t="shared" si="95"/>
        <v>6150</v>
      </c>
      <c r="F1168" s="556">
        <f t="shared" si="96"/>
        <v>7064</v>
      </c>
      <c r="G1168" s="556">
        <f t="shared" si="97"/>
        <v>6287</v>
      </c>
    </row>
    <row r="1169" spans="1:7" ht="15.75">
      <c r="A1169" s="625">
        <f t="shared" si="98"/>
        <v>55275</v>
      </c>
      <c r="B1169" s="555">
        <v>55250</v>
      </c>
      <c r="C1169" s="555">
        <v>55300</v>
      </c>
      <c r="D1169" s="556">
        <f t="shared" si="94"/>
        <v>7075</v>
      </c>
      <c r="E1169" s="556">
        <f t="shared" si="95"/>
        <v>6156</v>
      </c>
      <c r="F1169" s="556">
        <f t="shared" si="96"/>
        <v>7075</v>
      </c>
      <c r="G1169" s="556">
        <f t="shared" si="97"/>
        <v>6293</v>
      </c>
    </row>
    <row r="1170" spans="1:7" ht="15.75">
      <c r="A1170" s="625">
        <f t="shared" si="98"/>
        <v>55325</v>
      </c>
      <c r="B1170" s="555">
        <v>55300</v>
      </c>
      <c r="C1170" s="555">
        <v>55350</v>
      </c>
      <c r="D1170" s="556">
        <f t="shared" si="94"/>
        <v>7086</v>
      </c>
      <c r="E1170" s="556">
        <f t="shared" si="95"/>
        <v>6162</v>
      </c>
      <c r="F1170" s="556">
        <f t="shared" si="96"/>
        <v>7086</v>
      </c>
      <c r="G1170" s="556">
        <f t="shared" si="97"/>
        <v>6299</v>
      </c>
    </row>
    <row r="1171" spans="1:7" ht="15.75">
      <c r="A1171" s="625">
        <f t="shared" si="98"/>
        <v>55375</v>
      </c>
      <c r="B1171" s="555">
        <v>55350</v>
      </c>
      <c r="C1171" s="555">
        <v>55400</v>
      </c>
      <c r="D1171" s="556">
        <f t="shared" si="94"/>
        <v>7097</v>
      </c>
      <c r="E1171" s="556">
        <f t="shared" si="95"/>
        <v>6168</v>
      </c>
      <c r="F1171" s="556">
        <f t="shared" si="96"/>
        <v>7097</v>
      </c>
      <c r="G1171" s="556">
        <f t="shared" si="97"/>
        <v>6305</v>
      </c>
    </row>
    <row r="1172" spans="1:7" ht="15.75">
      <c r="A1172" s="625">
        <f t="shared" si="98"/>
        <v>55425</v>
      </c>
      <c r="B1172" s="555">
        <v>55400</v>
      </c>
      <c r="C1172" s="555">
        <v>55450</v>
      </c>
      <c r="D1172" s="556">
        <f t="shared" si="94"/>
        <v>7108</v>
      </c>
      <c r="E1172" s="556">
        <f t="shared" si="95"/>
        <v>6174</v>
      </c>
      <c r="F1172" s="556">
        <f t="shared" si="96"/>
        <v>7108</v>
      </c>
      <c r="G1172" s="556">
        <f t="shared" si="97"/>
        <v>6311</v>
      </c>
    </row>
    <row r="1173" spans="1:7" ht="15.75">
      <c r="A1173" s="625">
        <f t="shared" si="98"/>
        <v>55475</v>
      </c>
      <c r="B1173" s="555">
        <v>55450</v>
      </c>
      <c r="C1173" s="555">
        <v>55500</v>
      </c>
      <c r="D1173" s="556">
        <f t="shared" si="94"/>
        <v>7119</v>
      </c>
      <c r="E1173" s="556">
        <f t="shared" si="95"/>
        <v>6180</v>
      </c>
      <c r="F1173" s="556">
        <f t="shared" si="96"/>
        <v>7119</v>
      </c>
      <c r="G1173" s="556">
        <f t="shared" si="97"/>
        <v>6317</v>
      </c>
    </row>
    <row r="1174" spans="1:7" ht="15.75">
      <c r="A1174" s="625">
        <f t="shared" si="98"/>
        <v>55525</v>
      </c>
      <c r="B1174" s="555">
        <v>55500</v>
      </c>
      <c r="C1174" s="555">
        <v>55550</v>
      </c>
      <c r="D1174" s="556">
        <f t="shared" si="94"/>
        <v>7130</v>
      </c>
      <c r="E1174" s="556">
        <f t="shared" si="95"/>
        <v>6186</v>
      </c>
      <c r="F1174" s="556">
        <f t="shared" si="96"/>
        <v>7130</v>
      </c>
      <c r="G1174" s="556">
        <f t="shared" si="97"/>
        <v>6323</v>
      </c>
    </row>
    <row r="1175" spans="1:7" ht="15.75">
      <c r="A1175" s="625">
        <f t="shared" si="98"/>
        <v>55575</v>
      </c>
      <c r="B1175" s="555">
        <v>55550</v>
      </c>
      <c r="C1175" s="555">
        <v>55600</v>
      </c>
      <c r="D1175" s="556">
        <f t="shared" si="94"/>
        <v>7141</v>
      </c>
      <c r="E1175" s="556">
        <f t="shared" si="95"/>
        <v>6192</v>
      </c>
      <c r="F1175" s="556">
        <f t="shared" si="96"/>
        <v>7141</v>
      </c>
      <c r="G1175" s="556">
        <f t="shared" si="97"/>
        <v>6329</v>
      </c>
    </row>
    <row r="1176" spans="1:7" ht="15.75">
      <c r="A1176" s="625">
        <f t="shared" si="98"/>
        <v>55625</v>
      </c>
      <c r="B1176" s="555">
        <v>55600</v>
      </c>
      <c r="C1176" s="555">
        <v>55650</v>
      </c>
      <c r="D1176" s="556">
        <f t="shared" si="94"/>
        <v>7152</v>
      </c>
      <c r="E1176" s="556">
        <f t="shared" si="95"/>
        <v>6198</v>
      </c>
      <c r="F1176" s="556">
        <f t="shared" si="96"/>
        <v>7152</v>
      </c>
      <c r="G1176" s="556">
        <f t="shared" si="97"/>
        <v>6335</v>
      </c>
    </row>
    <row r="1177" spans="1:7" ht="15.75">
      <c r="A1177" s="625">
        <f t="shared" si="98"/>
        <v>55675</v>
      </c>
      <c r="B1177" s="555">
        <v>55650</v>
      </c>
      <c r="C1177" s="555">
        <v>55700</v>
      </c>
      <c r="D1177" s="556">
        <f t="shared" si="94"/>
        <v>7163</v>
      </c>
      <c r="E1177" s="556">
        <f t="shared" si="95"/>
        <v>6204</v>
      </c>
      <c r="F1177" s="556">
        <f t="shared" si="96"/>
        <v>7163</v>
      </c>
      <c r="G1177" s="556">
        <f t="shared" si="97"/>
        <v>6341</v>
      </c>
    </row>
    <row r="1178" spans="1:7" ht="15.75">
      <c r="A1178" s="625">
        <f t="shared" si="98"/>
        <v>55725</v>
      </c>
      <c r="B1178" s="555">
        <v>55700</v>
      </c>
      <c r="C1178" s="555">
        <v>55750</v>
      </c>
      <c r="D1178" s="556">
        <f t="shared" si="94"/>
        <v>7174</v>
      </c>
      <c r="E1178" s="556">
        <f t="shared" si="95"/>
        <v>6210</v>
      </c>
      <c r="F1178" s="556">
        <f t="shared" si="96"/>
        <v>7174</v>
      </c>
      <c r="G1178" s="556">
        <f t="shared" si="97"/>
        <v>6347</v>
      </c>
    </row>
    <row r="1179" spans="1:7" ht="15.75">
      <c r="A1179" s="625">
        <f t="shared" si="98"/>
        <v>55775</v>
      </c>
      <c r="B1179" s="555">
        <v>55750</v>
      </c>
      <c r="C1179" s="555">
        <v>55800</v>
      </c>
      <c r="D1179" s="556">
        <f t="shared" si="94"/>
        <v>7185</v>
      </c>
      <c r="E1179" s="556">
        <f t="shared" si="95"/>
        <v>6216</v>
      </c>
      <c r="F1179" s="556">
        <f t="shared" si="96"/>
        <v>7185</v>
      </c>
      <c r="G1179" s="556">
        <f t="shared" si="97"/>
        <v>6353</v>
      </c>
    </row>
    <row r="1180" spans="1:7" ht="15.75">
      <c r="A1180" s="625">
        <f t="shared" si="98"/>
        <v>55825</v>
      </c>
      <c r="B1180" s="555">
        <v>55800</v>
      </c>
      <c r="C1180" s="555">
        <v>55850</v>
      </c>
      <c r="D1180" s="556">
        <f t="shared" si="94"/>
        <v>7196</v>
      </c>
      <c r="E1180" s="556">
        <f t="shared" si="95"/>
        <v>6222</v>
      </c>
      <c r="F1180" s="556">
        <f t="shared" si="96"/>
        <v>7196</v>
      </c>
      <c r="G1180" s="556">
        <f t="shared" si="97"/>
        <v>6359</v>
      </c>
    </row>
    <row r="1181" spans="1:7" ht="15.75">
      <c r="A1181" s="625">
        <f t="shared" si="98"/>
        <v>55875</v>
      </c>
      <c r="B1181" s="555">
        <v>55850</v>
      </c>
      <c r="C1181" s="555">
        <v>55900</v>
      </c>
      <c r="D1181" s="556">
        <f t="shared" si="94"/>
        <v>7207</v>
      </c>
      <c r="E1181" s="556">
        <f t="shared" si="95"/>
        <v>6228</v>
      </c>
      <c r="F1181" s="556">
        <f t="shared" si="96"/>
        <v>7207</v>
      </c>
      <c r="G1181" s="556">
        <f t="shared" si="97"/>
        <v>6365</v>
      </c>
    </row>
    <row r="1182" spans="1:7" ht="15.75">
      <c r="A1182" s="625">
        <f t="shared" si="98"/>
        <v>55925</v>
      </c>
      <c r="B1182" s="555">
        <v>55900</v>
      </c>
      <c r="C1182" s="555">
        <v>55950</v>
      </c>
      <c r="D1182" s="556">
        <f t="shared" si="94"/>
        <v>7218</v>
      </c>
      <c r="E1182" s="556">
        <f t="shared" si="95"/>
        <v>6234</v>
      </c>
      <c r="F1182" s="556">
        <f t="shared" si="96"/>
        <v>7218</v>
      </c>
      <c r="G1182" s="556">
        <f t="shared" si="97"/>
        <v>6371</v>
      </c>
    </row>
    <row r="1183" spans="1:7" ht="15.75">
      <c r="A1183" s="625">
        <f t="shared" si="98"/>
        <v>55975</v>
      </c>
      <c r="B1183" s="555">
        <v>55950</v>
      </c>
      <c r="C1183" s="555">
        <v>56000</v>
      </c>
      <c r="D1183" s="556">
        <f t="shared" si="94"/>
        <v>7229</v>
      </c>
      <c r="E1183" s="556">
        <f t="shared" si="95"/>
        <v>6240</v>
      </c>
      <c r="F1183" s="556">
        <f t="shared" si="96"/>
        <v>7229</v>
      </c>
      <c r="G1183" s="556">
        <f t="shared" si="97"/>
        <v>6377</v>
      </c>
    </row>
    <row r="1184" spans="1:7" ht="15.75">
      <c r="A1184" s="625">
        <f t="shared" si="98"/>
        <v>56025</v>
      </c>
      <c r="B1184" s="555">
        <v>56000</v>
      </c>
      <c r="C1184" s="555">
        <v>56050</v>
      </c>
      <c r="D1184" s="556">
        <f t="shared" si="94"/>
        <v>7240</v>
      </c>
      <c r="E1184" s="556">
        <f t="shared" si="95"/>
        <v>6246</v>
      </c>
      <c r="F1184" s="556">
        <f t="shared" si="96"/>
        <v>7240</v>
      </c>
      <c r="G1184" s="556">
        <f t="shared" si="97"/>
        <v>6383</v>
      </c>
    </row>
    <row r="1185" spans="1:7" ht="15.75">
      <c r="A1185" s="625">
        <f t="shared" si="98"/>
        <v>56075</v>
      </c>
      <c r="B1185" s="555">
        <v>56050</v>
      </c>
      <c r="C1185" s="555">
        <v>56100</v>
      </c>
      <c r="D1185" s="556">
        <f t="shared" si="94"/>
        <v>7251</v>
      </c>
      <c r="E1185" s="556">
        <f t="shared" si="95"/>
        <v>6252</v>
      </c>
      <c r="F1185" s="556">
        <f t="shared" si="96"/>
        <v>7251</v>
      </c>
      <c r="G1185" s="556">
        <f t="shared" si="97"/>
        <v>6389</v>
      </c>
    </row>
    <row r="1186" spans="1:7" ht="15.75">
      <c r="A1186" s="625">
        <f t="shared" si="98"/>
        <v>56125</v>
      </c>
      <c r="B1186" s="555">
        <v>56100</v>
      </c>
      <c r="C1186" s="555">
        <v>56150</v>
      </c>
      <c r="D1186" s="556">
        <f t="shared" si="94"/>
        <v>7262</v>
      </c>
      <c r="E1186" s="556">
        <f t="shared" si="95"/>
        <v>6258</v>
      </c>
      <c r="F1186" s="556">
        <f t="shared" si="96"/>
        <v>7262</v>
      </c>
      <c r="G1186" s="556">
        <f t="shared" si="97"/>
        <v>6395</v>
      </c>
    </row>
    <row r="1187" spans="1:7" ht="15.75">
      <c r="A1187" s="625">
        <f t="shared" si="98"/>
        <v>56175</v>
      </c>
      <c r="B1187" s="555">
        <v>56150</v>
      </c>
      <c r="C1187" s="555">
        <v>56200</v>
      </c>
      <c r="D1187" s="556">
        <f t="shared" si="94"/>
        <v>7273</v>
      </c>
      <c r="E1187" s="556">
        <f t="shared" si="95"/>
        <v>6264</v>
      </c>
      <c r="F1187" s="556">
        <f t="shared" si="96"/>
        <v>7273</v>
      </c>
      <c r="G1187" s="556">
        <f t="shared" si="97"/>
        <v>6401</v>
      </c>
    </row>
    <row r="1188" spans="1:7" ht="15.75">
      <c r="A1188" s="625">
        <f t="shared" si="98"/>
        <v>56225</v>
      </c>
      <c r="B1188" s="555">
        <v>56200</v>
      </c>
      <c r="C1188" s="555">
        <v>56250</v>
      </c>
      <c r="D1188" s="556">
        <f t="shared" si="94"/>
        <v>7284</v>
      </c>
      <c r="E1188" s="556">
        <f t="shared" si="95"/>
        <v>6270</v>
      </c>
      <c r="F1188" s="556">
        <f t="shared" si="96"/>
        <v>7284</v>
      </c>
      <c r="G1188" s="556">
        <f t="shared" si="97"/>
        <v>6407</v>
      </c>
    </row>
    <row r="1189" spans="1:7" ht="15.75">
      <c r="A1189" s="625">
        <f t="shared" si="98"/>
        <v>56275</v>
      </c>
      <c r="B1189" s="555">
        <v>56250</v>
      </c>
      <c r="C1189" s="555">
        <v>56300</v>
      </c>
      <c r="D1189" s="556">
        <f t="shared" si="94"/>
        <v>7295</v>
      </c>
      <c r="E1189" s="556">
        <f t="shared" si="95"/>
        <v>6276</v>
      </c>
      <c r="F1189" s="556">
        <f t="shared" si="96"/>
        <v>7295</v>
      </c>
      <c r="G1189" s="556">
        <f t="shared" si="97"/>
        <v>6413</v>
      </c>
    </row>
    <row r="1190" spans="1:7" ht="15.75">
      <c r="A1190" s="625">
        <f t="shared" si="98"/>
        <v>56325</v>
      </c>
      <c r="B1190" s="555">
        <v>56300</v>
      </c>
      <c r="C1190" s="555">
        <v>56350</v>
      </c>
      <c r="D1190" s="556">
        <f t="shared" si="94"/>
        <v>7306</v>
      </c>
      <c r="E1190" s="556">
        <f t="shared" si="95"/>
        <v>6282</v>
      </c>
      <c r="F1190" s="556">
        <f t="shared" si="96"/>
        <v>7306</v>
      </c>
      <c r="G1190" s="556">
        <f t="shared" si="97"/>
        <v>6419</v>
      </c>
    </row>
    <row r="1191" spans="1:7" ht="15.75">
      <c r="A1191" s="625">
        <f t="shared" si="98"/>
        <v>56375</v>
      </c>
      <c r="B1191" s="555">
        <v>56350</v>
      </c>
      <c r="C1191" s="555">
        <v>56400</v>
      </c>
      <c r="D1191" s="556">
        <f t="shared" si="94"/>
        <v>7317</v>
      </c>
      <c r="E1191" s="556">
        <f t="shared" si="95"/>
        <v>6288</v>
      </c>
      <c r="F1191" s="556">
        <f t="shared" si="96"/>
        <v>7317</v>
      </c>
      <c r="G1191" s="556">
        <f t="shared" si="97"/>
        <v>6425</v>
      </c>
    </row>
    <row r="1192" spans="1:7" ht="15.75">
      <c r="A1192" s="625">
        <f t="shared" si="98"/>
        <v>56425</v>
      </c>
      <c r="B1192" s="555">
        <v>56400</v>
      </c>
      <c r="C1192" s="555">
        <v>56450</v>
      </c>
      <c r="D1192" s="556">
        <f t="shared" si="94"/>
        <v>7328</v>
      </c>
      <c r="E1192" s="556">
        <f t="shared" si="95"/>
        <v>6294</v>
      </c>
      <c r="F1192" s="556">
        <f t="shared" si="96"/>
        <v>7328</v>
      </c>
      <c r="G1192" s="556">
        <f t="shared" si="97"/>
        <v>6431</v>
      </c>
    </row>
    <row r="1193" spans="1:7" ht="15.75">
      <c r="A1193" s="625">
        <f t="shared" si="98"/>
        <v>56475</v>
      </c>
      <c r="B1193" s="555">
        <v>56450</v>
      </c>
      <c r="C1193" s="555">
        <v>56500</v>
      </c>
      <c r="D1193" s="556">
        <f t="shared" si="94"/>
        <v>7339</v>
      </c>
      <c r="E1193" s="556">
        <f t="shared" si="95"/>
        <v>6300</v>
      </c>
      <c r="F1193" s="556">
        <f t="shared" si="96"/>
        <v>7339</v>
      </c>
      <c r="G1193" s="556">
        <f t="shared" si="97"/>
        <v>6437</v>
      </c>
    </row>
    <row r="1194" spans="1:7" ht="15.75">
      <c r="A1194" s="625">
        <f t="shared" si="98"/>
        <v>56525</v>
      </c>
      <c r="B1194" s="555">
        <v>56500</v>
      </c>
      <c r="C1194" s="555">
        <v>56550</v>
      </c>
      <c r="D1194" s="556">
        <f t="shared" si="94"/>
        <v>7350</v>
      </c>
      <c r="E1194" s="556">
        <f t="shared" si="95"/>
        <v>6306</v>
      </c>
      <c r="F1194" s="556">
        <f t="shared" si="96"/>
        <v>7350</v>
      </c>
      <c r="G1194" s="556">
        <f t="shared" si="97"/>
        <v>6443</v>
      </c>
    </row>
    <row r="1195" spans="1:7" ht="15.75">
      <c r="A1195" s="625">
        <f t="shared" si="98"/>
        <v>56575</v>
      </c>
      <c r="B1195" s="555">
        <v>56550</v>
      </c>
      <c r="C1195" s="555">
        <v>56600</v>
      </c>
      <c r="D1195" s="556">
        <f t="shared" si="94"/>
        <v>7361</v>
      </c>
      <c r="E1195" s="556">
        <f t="shared" si="95"/>
        <v>6312</v>
      </c>
      <c r="F1195" s="556">
        <f t="shared" si="96"/>
        <v>7361</v>
      </c>
      <c r="G1195" s="556">
        <f t="shared" si="97"/>
        <v>6449</v>
      </c>
    </row>
    <row r="1196" spans="1:7" ht="15.75">
      <c r="A1196" s="625">
        <f t="shared" si="98"/>
        <v>56625</v>
      </c>
      <c r="B1196" s="555">
        <v>56600</v>
      </c>
      <c r="C1196" s="555">
        <v>56650</v>
      </c>
      <c r="D1196" s="556">
        <f t="shared" si="94"/>
        <v>7372</v>
      </c>
      <c r="E1196" s="556">
        <f t="shared" si="95"/>
        <v>6318</v>
      </c>
      <c r="F1196" s="556">
        <f t="shared" si="96"/>
        <v>7372</v>
      </c>
      <c r="G1196" s="556">
        <f t="shared" si="97"/>
        <v>6455</v>
      </c>
    </row>
    <row r="1197" spans="1:7" ht="15.75">
      <c r="A1197" s="625">
        <f t="shared" si="98"/>
        <v>56675</v>
      </c>
      <c r="B1197" s="555">
        <v>56650</v>
      </c>
      <c r="C1197" s="555">
        <v>56700</v>
      </c>
      <c r="D1197" s="556">
        <f t="shared" si="94"/>
        <v>7383</v>
      </c>
      <c r="E1197" s="556">
        <f t="shared" si="95"/>
        <v>6324</v>
      </c>
      <c r="F1197" s="556">
        <f t="shared" si="96"/>
        <v>7383</v>
      </c>
      <c r="G1197" s="556">
        <f t="shared" si="97"/>
        <v>6461</v>
      </c>
    </row>
    <row r="1198" spans="1:7" ht="15.75">
      <c r="A1198" s="625">
        <f t="shared" si="98"/>
        <v>56725</v>
      </c>
      <c r="B1198" s="555">
        <v>56700</v>
      </c>
      <c r="C1198" s="555">
        <v>56750</v>
      </c>
      <c r="D1198" s="556">
        <f t="shared" si="94"/>
        <v>7394</v>
      </c>
      <c r="E1198" s="556">
        <f t="shared" si="95"/>
        <v>6330</v>
      </c>
      <c r="F1198" s="556">
        <f t="shared" si="96"/>
        <v>7394</v>
      </c>
      <c r="G1198" s="556">
        <f t="shared" si="97"/>
        <v>6467</v>
      </c>
    </row>
    <row r="1199" spans="1:7" ht="15.75">
      <c r="A1199" s="625">
        <f t="shared" si="98"/>
        <v>56775</v>
      </c>
      <c r="B1199" s="555">
        <v>56750</v>
      </c>
      <c r="C1199" s="555">
        <v>56800</v>
      </c>
      <c r="D1199" s="556">
        <f t="shared" si="94"/>
        <v>7405</v>
      </c>
      <c r="E1199" s="556">
        <f t="shared" si="95"/>
        <v>6336</v>
      </c>
      <c r="F1199" s="556">
        <f t="shared" si="96"/>
        <v>7405</v>
      </c>
      <c r="G1199" s="556">
        <f t="shared" si="97"/>
        <v>6473</v>
      </c>
    </row>
    <row r="1200" spans="1:7" ht="15.75">
      <c r="A1200" s="625">
        <f t="shared" si="98"/>
        <v>56825</v>
      </c>
      <c r="B1200" s="555">
        <v>56800</v>
      </c>
      <c r="C1200" s="555">
        <v>56850</v>
      </c>
      <c r="D1200" s="556">
        <f t="shared" si="94"/>
        <v>7416</v>
      </c>
      <c r="E1200" s="556">
        <f t="shared" si="95"/>
        <v>6342</v>
      </c>
      <c r="F1200" s="556">
        <f t="shared" si="96"/>
        <v>7416</v>
      </c>
      <c r="G1200" s="556">
        <f t="shared" si="97"/>
        <v>6479</v>
      </c>
    </row>
    <row r="1201" spans="1:7" ht="15.75">
      <c r="A1201" s="625">
        <f t="shared" si="98"/>
        <v>56875</v>
      </c>
      <c r="B1201" s="555">
        <v>56850</v>
      </c>
      <c r="C1201" s="555">
        <v>56900</v>
      </c>
      <c r="D1201" s="556">
        <f t="shared" si="94"/>
        <v>7427</v>
      </c>
      <c r="E1201" s="556">
        <f t="shared" si="95"/>
        <v>6348</v>
      </c>
      <c r="F1201" s="556">
        <f t="shared" si="96"/>
        <v>7427</v>
      </c>
      <c r="G1201" s="556">
        <f t="shared" si="97"/>
        <v>6485</v>
      </c>
    </row>
    <row r="1202" spans="1:7" ht="15.75">
      <c r="A1202" s="625">
        <f t="shared" si="98"/>
        <v>56925</v>
      </c>
      <c r="B1202" s="555">
        <v>56900</v>
      </c>
      <c r="C1202" s="555">
        <v>56950</v>
      </c>
      <c r="D1202" s="556">
        <f t="shared" si="94"/>
        <v>7438</v>
      </c>
      <c r="E1202" s="556">
        <f t="shared" si="95"/>
        <v>6354</v>
      </c>
      <c r="F1202" s="556">
        <f t="shared" si="96"/>
        <v>7438</v>
      </c>
      <c r="G1202" s="556">
        <f t="shared" si="97"/>
        <v>6491</v>
      </c>
    </row>
    <row r="1203" spans="1:7" ht="15.75">
      <c r="A1203" s="625">
        <f t="shared" si="98"/>
        <v>56975</v>
      </c>
      <c r="B1203" s="555">
        <v>56950</v>
      </c>
      <c r="C1203" s="555">
        <v>57000</v>
      </c>
      <c r="D1203" s="556">
        <f t="shared" si="94"/>
        <v>7449</v>
      </c>
      <c r="E1203" s="556">
        <f t="shared" si="95"/>
        <v>6360</v>
      </c>
      <c r="F1203" s="556">
        <f t="shared" si="96"/>
        <v>7449</v>
      </c>
      <c r="G1203" s="556">
        <f t="shared" si="97"/>
        <v>6497</v>
      </c>
    </row>
    <row r="1204" spans="1:7" ht="15.75">
      <c r="A1204" s="625">
        <f t="shared" si="98"/>
        <v>57025</v>
      </c>
      <c r="B1204" s="555">
        <v>57000</v>
      </c>
      <c r="C1204" s="555">
        <v>57050</v>
      </c>
      <c r="D1204" s="556">
        <f t="shared" si="94"/>
        <v>7460</v>
      </c>
      <c r="E1204" s="556">
        <f t="shared" si="95"/>
        <v>6366</v>
      </c>
      <c r="F1204" s="556">
        <f t="shared" si="96"/>
        <v>7460</v>
      </c>
      <c r="G1204" s="556">
        <f t="shared" si="97"/>
        <v>6503</v>
      </c>
    </row>
    <row r="1205" spans="1:7" ht="15.75">
      <c r="A1205" s="625">
        <f t="shared" si="98"/>
        <v>57075</v>
      </c>
      <c r="B1205" s="555">
        <v>57050</v>
      </c>
      <c r="C1205" s="555">
        <v>57100</v>
      </c>
      <c r="D1205" s="556">
        <f t="shared" si="94"/>
        <v>7471</v>
      </c>
      <c r="E1205" s="556">
        <f t="shared" si="95"/>
        <v>6372</v>
      </c>
      <c r="F1205" s="556">
        <f t="shared" si="96"/>
        <v>7471</v>
      </c>
      <c r="G1205" s="556">
        <f t="shared" si="97"/>
        <v>6509</v>
      </c>
    </row>
    <row r="1206" spans="1:7" ht="15.75">
      <c r="A1206" s="625">
        <f t="shared" si="98"/>
        <v>57125</v>
      </c>
      <c r="B1206" s="555">
        <v>57100</v>
      </c>
      <c r="C1206" s="555">
        <v>57150</v>
      </c>
      <c r="D1206" s="556">
        <f t="shared" si="94"/>
        <v>7482</v>
      </c>
      <c r="E1206" s="556">
        <f t="shared" si="95"/>
        <v>6378</v>
      </c>
      <c r="F1206" s="556">
        <f t="shared" si="96"/>
        <v>7482</v>
      </c>
      <c r="G1206" s="556">
        <f t="shared" si="97"/>
        <v>6515</v>
      </c>
    </row>
    <row r="1207" spans="1:7" ht="15.75">
      <c r="A1207" s="625">
        <f t="shared" si="98"/>
        <v>57175</v>
      </c>
      <c r="B1207" s="555">
        <v>57150</v>
      </c>
      <c r="C1207" s="555">
        <v>57200</v>
      </c>
      <c r="D1207" s="556">
        <f t="shared" si="94"/>
        <v>7493</v>
      </c>
      <c r="E1207" s="556">
        <f t="shared" si="95"/>
        <v>6384</v>
      </c>
      <c r="F1207" s="556">
        <f t="shared" si="96"/>
        <v>7493</v>
      </c>
      <c r="G1207" s="556">
        <f t="shared" si="97"/>
        <v>6521</v>
      </c>
    </row>
    <row r="1208" spans="1:7" ht="15.75">
      <c r="A1208" s="625">
        <f t="shared" si="98"/>
        <v>57225</v>
      </c>
      <c r="B1208" s="555">
        <v>57200</v>
      </c>
      <c r="C1208" s="555">
        <v>57250</v>
      </c>
      <c r="D1208" s="556">
        <f t="shared" si="94"/>
        <v>7504</v>
      </c>
      <c r="E1208" s="556">
        <f t="shared" si="95"/>
        <v>6390</v>
      </c>
      <c r="F1208" s="556">
        <f t="shared" si="96"/>
        <v>7504</v>
      </c>
      <c r="G1208" s="556">
        <f t="shared" si="97"/>
        <v>6527</v>
      </c>
    </row>
    <row r="1209" spans="1:7" ht="15.75">
      <c r="A1209" s="625">
        <f t="shared" si="98"/>
        <v>57275</v>
      </c>
      <c r="B1209" s="555">
        <v>57250</v>
      </c>
      <c r="C1209" s="555">
        <v>57300</v>
      </c>
      <c r="D1209" s="556">
        <f t="shared" si="94"/>
        <v>7515</v>
      </c>
      <c r="E1209" s="556">
        <f t="shared" si="95"/>
        <v>6396</v>
      </c>
      <c r="F1209" s="556">
        <f t="shared" si="96"/>
        <v>7515</v>
      </c>
      <c r="G1209" s="556">
        <f t="shared" si="97"/>
        <v>6533</v>
      </c>
    </row>
    <row r="1210" spans="1:7" ht="15.75">
      <c r="A1210" s="625">
        <f t="shared" si="98"/>
        <v>57325</v>
      </c>
      <c r="B1210" s="555">
        <v>57300</v>
      </c>
      <c r="C1210" s="555">
        <v>57350</v>
      </c>
      <c r="D1210" s="556">
        <f t="shared" si="94"/>
        <v>7526</v>
      </c>
      <c r="E1210" s="556">
        <f t="shared" si="95"/>
        <v>6402</v>
      </c>
      <c r="F1210" s="556">
        <f t="shared" si="96"/>
        <v>7526</v>
      </c>
      <c r="G1210" s="556">
        <f t="shared" si="97"/>
        <v>6539</v>
      </c>
    </row>
    <row r="1211" spans="1:7" ht="15.75">
      <c r="A1211" s="625">
        <f t="shared" si="98"/>
        <v>57375</v>
      </c>
      <c r="B1211" s="555">
        <v>57350</v>
      </c>
      <c r="C1211" s="555">
        <v>57400</v>
      </c>
      <c r="D1211" s="556">
        <f t="shared" si="94"/>
        <v>7537</v>
      </c>
      <c r="E1211" s="556">
        <f t="shared" si="95"/>
        <v>6408</v>
      </c>
      <c r="F1211" s="556">
        <f t="shared" si="96"/>
        <v>7537</v>
      </c>
      <c r="G1211" s="556">
        <f t="shared" si="97"/>
        <v>6545</v>
      </c>
    </row>
    <row r="1212" spans="1:7" ht="15.75">
      <c r="A1212" s="625">
        <f t="shared" si="98"/>
        <v>57425</v>
      </c>
      <c r="B1212" s="555">
        <v>57400</v>
      </c>
      <c r="C1212" s="555">
        <v>57450</v>
      </c>
      <c r="D1212" s="556">
        <f t="shared" si="94"/>
        <v>7548</v>
      </c>
      <c r="E1212" s="556">
        <f t="shared" si="95"/>
        <v>6414</v>
      </c>
      <c r="F1212" s="556">
        <f t="shared" si="96"/>
        <v>7548</v>
      </c>
      <c r="G1212" s="556">
        <f t="shared" si="97"/>
        <v>6551</v>
      </c>
    </row>
    <row r="1213" spans="1:7" ht="15.75">
      <c r="A1213" s="625">
        <f t="shared" si="98"/>
        <v>57475</v>
      </c>
      <c r="B1213" s="555">
        <v>57450</v>
      </c>
      <c r="C1213" s="555">
        <v>57500</v>
      </c>
      <c r="D1213" s="556">
        <f t="shared" si="94"/>
        <v>7559</v>
      </c>
      <c r="E1213" s="556">
        <f t="shared" si="95"/>
        <v>6420</v>
      </c>
      <c r="F1213" s="556">
        <f t="shared" si="96"/>
        <v>7559</v>
      </c>
      <c r="G1213" s="556">
        <f t="shared" si="97"/>
        <v>6557</v>
      </c>
    </row>
    <row r="1214" spans="1:7" ht="15.75">
      <c r="A1214" s="625">
        <f t="shared" si="98"/>
        <v>57525</v>
      </c>
      <c r="B1214" s="555">
        <v>57500</v>
      </c>
      <c r="C1214" s="555">
        <v>57550</v>
      </c>
      <c r="D1214" s="556">
        <f t="shared" si="94"/>
        <v>7570</v>
      </c>
      <c r="E1214" s="556">
        <f t="shared" si="95"/>
        <v>6426</v>
      </c>
      <c r="F1214" s="556">
        <f t="shared" si="96"/>
        <v>7570</v>
      </c>
      <c r="G1214" s="556">
        <f t="shared" si="97"/>
        <v>6563</v>
      </c>
    </row>
    <row r="1215" spans="1:7" ht="15.75">
      <c r="A1215" s="625">
        <f t="shared" si="98"/>
        <v>57575</v>
      </c>
      <c r="B1215" s="555">
        <v>57550</v>
      </c>
      <c r="C1215" s="555">
        <v>57600</v>
      </c>
      <c r="D1215" s="556">
        <f t="shared" si="94"/>
        <v>7581</v>
      </c>
      <c r="E1215" s="556">
        <f t="shared" si="95"/>
        <v>6432</v>
      </c>
      <c r="F1215" s="556">
        <f t="shared" si="96"/>
        <v>7581</v>
      </c>
      <c r="G1215" s="556">
        <f t="shared" si="97"/>
        <v>6569</v>
      </c>
    </row>
    <row r="1216" spans="1:7" ht="15.75">
      <c r="A1216" s="625">
        <f t="shared" si="98"/>
        <v>57625</v>
      </c>
      <c r="B1216" s="555">
        <v>57600</v>
      </c>
      <c r="C1216" s="555">
        <v>57650</v>
      </c>
      <c r="D1216" s="556">
        <f t="shared" si="94"/>
        <v>7592</v>
      </c>
      <c r="E1216" s="556">
        <f t="shared" si="95"/>
        <v>6438</v>
      </c>
      <c r="F1216" s="556">
        <f t="shared" si="96"/>
        <v>7592</v>
      </c>
      <c r="G1216" s="556">
        <f t="shared" si="97"/>
        <v>6575</v>
      </c>
    </row>
    <row r="1217" spans="1:7" ht="15.75">
      <c r="A1217" s="625">
        <f t="shared" si="98"/>
        <v>57675</v>
      </c>
      <c r="B1217" s="555">
        <v>57650</v>
      </c>
      <c r="C1217" s="555">
        <v>57700</v>
      </c>
      <c r="D1217" s="556">
        <f t="shared" si="94"/>
        <v>7603</v>
      </c>
      <c r="E1217" s="556">
        <f t="shared" si="95"/>
        <v>6444</v>
      </c>
      <c r="F1217" s="556">
        <f t="shared" si="96"/>
        <v>7603</v>
      </c>
      <c r="G1217" s="556">
        <f t="shared" si="97"/>
        <v>6581</v>
      </c>
    </row>
    <row r="1218" spans="1:7" ht="15.75">
      <c r="A1218" s="625">
        <f t="shared" si="98"/>
        <v>57725</v>
      </c>
      <c r="B1218" s="555">
        <v>57700</v>
      </c>
      <c r="C1218" s="555">
        <v>57750</v>
      </c>
      <c r="D1218" s="556">
        <f t="shared" ref="D1218:D1281" si="99">IF($A1218&gt;BOTT_A4,ROUND(BASE_A4+RATE_A4*($A1218-BOTT_A4),0),IF($A1218&gt;BOTT_A3,ROUND(BASE_A3+RATE_A3*($A1218-BOTT_A3),0),IF($A1218&gt;BOTT_A2,ROUND(BASE_A2+RATE_A2*($A1218-BOTT_A2),0),ROUND(RATE_A1*$A1218,0))))</f>
        <v>7614</v>
      </c>
      <c r="E1218" s="556">
        <f t="shared" ref="E1218:E1281" si="100">IF($A1218&gt;BOTT_B4,ROUND(BASE_B4+RATE_B4*($A1218-BOTT_B4),0),IF($A1218&gt;BOTT_B3,ROUND(BASE_B3+RATE_B3*($A1218-BOTT_B3),0),IF($A1218&gt;BOTT_B2,ROUND(BASE_B2+RATE_B2*($A1218-BOTT_B2),0),ROUND(RATE_B1*$A1218,0))))</f>
        <v>6450</v>
      </c>
      <c r="F1218" s="556">
        <f t="shared" ref="F1218:F1281" si="101">IF($A1218&gt;BOTT_C4,ROUND(BASE_C4+RATE_C4*($A1218-BOTT_C4),0),IF($A1218&gt;BOTT_C3,ROUND(BASE_C3+RATE_C3*($A1218-BOTT_C3),0),IF($A1218&gt;BOTT_C2,ROUND(BASE_C2+RATE_C2*($A1218-BOTT_C2),0),ROUND(RATE_C1*$A1218,0))))</f>
        <v>7614</v>
      </c>
      <c r="G1218" s="556">
        <f t="shared" ref="G1218:G1281" si="102">IF($A1218&gt;BOTT_D4,ROUND(BASE_D4+RATE_D4*($A1218-BOTT_D4),0),IF($A1218&gt;BOTT_D3,ROUND(BASE_D3+RATE_D3*($A1218-BOTT_D3),0),IF($A1218&gt;BOTT_D2,ROUND(BASE_D2+RATE_D2*($A1218-BOTT_D2),0),ROUND(RATE_D1*$A1218,0))))</f>
        <v>6587</v>
      </c>
    </row>
    <row r="1219" spans="1:7" ht="15.75">
      <c r="A1219" s="625">
        <f t="shared" ref="A1219:A1282" si="103">AVERAGE(B1219,C1219)</f>
        <v>57775</v>
      </c>
      <c r="B1219" s="555">
        <v>57750</v>
      </c>
      <c r="C1219" s="555">
        <v>57800</v>
      </c>
      <c r="D1219" s="556">
        <f t="shared" si="99"/>
        <v>7625</v>
      </c>
      <c r="E1219" s="556">
        <f t="shared" si="100"/>
        <v>6456</v>
      </c>
      <c r="F1219" s="556">
        <f t="shared" si="101"/>
        <v>7625</v>
      </c>
      <c r="G1219" s="556">
        <f t="shared" si="102"/>
        <v>6593</v>
      </c>
    </row>
    <row r="1220" spans="1:7" ht="15.75">
      <c r="A1220" s="625">
        <f t="shared" si="103"/>
        <v>57825</v>
      </c>
      <c r="B1220" s="555">
        <v>57800</v>
      </c>
      <c r="C1220" s="555">
        <v>57850</v>
      </c>
      <c r="D1220" s="556">
        <f t="shared" si="99"/>
        <v>7636</v>
      </c>
      <c r="E1220" s="556">
        <f t="shared" si="100"/>
        <v>6462</v>
      </c>
      <c r="F1220" s="556">
        <f t="shared" si="101"/>
        <v>7636</v>
      </c>
      <c r="G1220" s="556">
        <f t="shared" si="102"/>
        <v>6599</v>
      </c>
    </row>
    <row r="1221" spans="1:7" ht="15.75">
      <c r="A1221" s="625">
        <f t="shared" si="103"/>
        <v>57875</v>
      </c>
      <c r="B1221" s="555">
        <v>57850</v>
      </c>
      <c r="C1221" s="555">
        <v>57900</v>
      </c>
      <c r="D1221" s="556">
        <f t="shared" si="99"/>
        <v>7647</v>
      </c>
      <c r="E1221" s="556">
        <f t="shared" si="100"/>
        <v>6468</v>
      </c>
      <c r="F1221" s="556">
        <f t="shared" si="101"/>
        <v>7647</v>
      </c>
      <c r="G1221" s="556">
        <f t="shared" si="102"/>
        <v>6605</v>
      </c>
    </row>
    <row r="1222" spans="1:7" ht="15.75">
      <c r="A1222" s="625">
        <f t="shared" si="103"/>
        <v>57925</v>
      </c>
      <c r="B1222" s="555">
        <v>57900</v>
      </c>
      <c r="C1222" s="555">
        <v>57950</v>
      </c>
      <c r="D1222" s="556">
        <f t="shared" si="99"/>
        <v>7658</v>
      </c>
      <c r="E1222" s="556">
        <f t="shared" si="100"/>
        <v>6474</v>
      </c>
      <c r="F1222" s="556">
        <f t="shared" si="101"/>
        <v>7658</v>
      </c>
      <c r="G1222" s="556">
        <f t="shared" si="102"/>
        <v>6611</v>
      </c>
    </row>
    <row r="1223" spans="1:7" ht="15.75">
      <c r="A1223" s="625">
        <f t="shared" si="103"/>
        <v>57975</v>
      </c>
      <c r="B1223" s="555">
        <v>57950</v>
      </c>
      <c r="C1223" s="555">
        <v>58000</v>
      </c>
      <c r="D1223" s="556">
        <f t="shared" si="99"/>
        <v>7669</v>
      </c>
      <c r="E1223" s="556">
        <f t="shared" si="100"/>
        <v>6480</v>
      </c>
      <c r="F1223" s="556">
        <f t="shared" si="101"/>
        <v>7669</v>
      </c>
      <c r="G1223" s="556">
        <f t="shared" si="102"/>
        <v>6617</v>
      </c>
    </row>
    <row r="1224" spans="1:7" ht="15.75">
      <c r="A1224" s="625">
        <f t="shared" si="103"/>
        <v>58025</v>
      </c>
      <c r="B1224" s="555">
        <v>58000</v>
      </c>
      <c r="C1224" s="555">
        <v>58050</v>
      </c>
      <c r="D1224" s="556">
        <f t="shared" si="99"/>
        <v>7680</v>
      </c>
      <c r="E1224" s="556">
        <f t="shared" si="100"/>
        <v>6486</v>
      </c>
      <c r="F1224" s="556">
        <f t="shared" si="101"/>
        <v>7680</v>
      </c>
      <c r="G1224" s="556">
        <f t="shared" si="102"/>
        <v>6623</v>
      </c>
    </row>
    <row r="1225" spans="1:7" ht="15.75">
      <c r="A1225" s="625">
        <f t="shared" si="103"/>
        <v>58075</v>
      </c>
      <c r="B1225" s="555">
        <v>58050</v>
      </c>
      <c r="C1225" s="555">
        <v>58100</v>
      </c>
      <c r="D1225" s="556">
        <f t="shared" si="99"/>
        <v>7691</v>
      </c>
      <c r="E1225" s="556">
        <f t="shared" si="100"/>
        <v>6492</v>
      </c>
      <c r="F1225" s="556">
        <f t="shared" si="101"/>
        <v>7691</v>
      </c>
      <c r="G1225" s="556">
        <f t="shared" si="102"/>
        <v>6629</v>
      </c>
    </row>
    <row r="1226" spans="1:7" ht="15.75">
      <c r="A1226" s="625">
        <f t="shared" si="103"/>
        <v>58125</v>
      </c>
      <c r="B1226" s="555">
        <v>58100</v>
      </c>
      <c r="C1226" s="555">
        <v>58150</v>
      </c>
      <c r="D1226" s="556">
        <f t="shared" si="99"/>
        <v>7702</v>
      </c>
      <c r="E1226" s="556">
        <f t="shared" si="100"/>
        <v>6498</v>
      </c>
      <c r="F1226" s="556">
        <f t="shared" si="101"/>
        <v>7702</v>
      </c>
      <c r="G1226" s="556">
        <f t="shared" si="102"/>
        <v>6635</v>
      </c>
    </row>
    <row r="1227" spans="1:7" ht="15.75">
      <c r="A1227" s="625">
        <f t="shared" si="103"/>
        <v>58175</v>
      </c>
      <c r="B1227" s="555">
        <v>58150</v>
      </c>
      <c r="C1227" s="555">
        <v>58200</v>
      </c>
      <c r="D1227" s="556">
        <f t="shared" si="99"/>
        <v>7713</v>
      </c>
      <c r="E1227" s="556">
        <f t="shared" si="100"/>
        <v>6504</v>
      </c>
      <c r="F1227" s="556">
        <f t="shared" si="101"/>
        <v>7713</v>
      </c>
      <c r="G1227" s="556">
        <f t="shared" si="102"/>
        <v>6641</v>
      </c>
    </row>
    <row r="1228" spans="1:7" ht="15.75">
      <c r="A1228" s="625">
        <f t="shared" si="103"/>
        <v>58225</v>
      </c>
      <c r="B1228" s="555">
        <v>58200</v>
      </c>
      <c r="C1228" s="555">
        <v>58250</v>
      </c>
      <c r="D1228" s="556">
        <f t="shared" si="99"/>
        <v>7724</v>
      </c>
      <c r="E1228" s="556">
        <f t="shared" si="100"/>
        <v>6510</v>
      </c>
      <c r="F1228" s="556">
        <f t="shared" si="101"/>
        <v>7724</v>
      </c>
      <c r="G1228" s="556">
        <f t="shared" si="102"/>
        <v>6647</v>
      </c>
    </row>
    <row r="1229" spans="1:7" ht="15.75">
      <c r="A1229" s="625">
        <f t="shared" si="103"/>
        <v>58275</v>
      </c>
      <c r="B1229" s="555">
        <v>58250</v>
      </c>
      <c r="C1229" s="555">
        <v>58300</v>
      </c>
      <c r="D1229" s="556">
        <f t="shared" si="99"/>
        <v>7735</v>
      </c>
      <c r="E1229" s="556">
        <f t="shared" si="100"/>
        <v>6516</v>
      </c>
      <c r="F1229" s="556">
        <f t="shared" si="101"/>
        <v>7735</v>
      </c>
      <c r="G1229" s="556">
        <f t="shared" si="102"/>
        <v>6653</v>
      </c>
    </row>
    <row r="1230" spans="1:7" ht="15.75">
      <c r="A1230" s="625">
        <f t="shared" si="103"/>
        <v>58325</v>
      </c>
      <c r="B1230" s="555">
        <v>58300</v>
      </c>
      <c r="C1230" s="555">
        <v>58350</v>
      </c>
      <c r="D1230" s="556">
        <f t="shared" si="99"/>
        <v>7746</v>
      </c>
      <c r="E1230" s="556">
        <f t="shared" si="100"/>
        <v>6522</v>
      </c>
      <c r="F1230" s="556">
        <f t="shared" si="101"/>
        <v>7746</v>
      </c>
      <c r="G1230" s="556">
        <f t="shared" si="102"/>
        <v>6659</v>
      </c>
    </row>
    <row r="1231" spans="1:7" ht="15.75">
      <c r="A1231" s="625">
        <f t="shared" si="103"/>
        <v>58375</v>
      </c>
      <c r="B1231" s="555">
        <v>58350</v>
      </c>
      <c r="C1231" s="555">
        <v>58400</v>
      </c>
      <c r="D1231" s="556">
        <f t="shared" si="99"/>
        <v>7757</v>
      </c>
      <c r="E1231" s="556">
        <f t="shared" si="100"/>
        <v>6528</v>
      </c>
      <c r="F1231" s="556">
        <f t="shared" si="101"/>
        <v>7757</v>
      </c>
      <c r="G1231" s="556">
        <f t="shared" si="102"/>
        <v>6665</v>
      </c>
    </row>
    <row r="1232" spans="1:7" ht="15.75">
      <c r="A1232" s="625">
        <f t="shared" si="103"/>
        <v>58425</v>
      </c>
      <c r="B1232" s="555">
        <v>58400</v>
      </c>
      <c r="C1232" s="555">
        <v>58450</v>
      </c>
      <c r="D1232" s="556">
        <f t="shared" si="99"/>
        <v>7768</v>
      </c>
      <c r="E1232" s="556">
        <f t="shared" si="100"/>
        <v>6534</v>
      </c>
      <c r="F1232" s="556">
        <f t="shared" si="101"/>
        <v>7768</v>
      </c>
      <c r="G1232" s="556">
        <f t="shared" si="102"/>
        <v>6671</v>
      </c>
    </row>
    <row r="1233" spans="1:7" ht="15.75">
      <c r="A1233" s="625">
        <f t="shared" si="103"/>
        <v>58475</v>
      </c>
      <c r="B1233" s="555">
        <v>58450</v>
      </c>
      <c r="C1233" s="555">
        <v>58500</v>
      </c>
      <c r="D1233" s="556">
        <f t="shared" si="99"/>
        <v>7779</v>
      </c>
      <c r="E1233" s="556">
        <f t="shared" si="100"/>
        <v>6540</v>
      </c>
      <c r="F1233" s="556">
        <f t="shared" si="101"/>
        <v>7779</v>
      </c>
      <c r="G1233" s="556">
        <f t="shared" si="102"/>
        <v>6677</v>
      </c>
    </row>
    <row r="1234" spans="1:7" ht="15.75">
      <c r="A1234" s="625">
        <f t="shared" si="103"/>
        <v>58525</v>
      </c>
      <c r="B1234" s="555">
        <v>58500</v>
      </c>
      <c r="C1234" s="555">
        <v>58550</v>
      </c>
      <c r="D1234" s="556">
        <f t="shared" si="99"/>
        <v>7790</v>
      </c>
      <c r="E1234" s="556">
        <f t="shared" si="100"/>
        <v>6546</v>
      </c>
      <c r="F1234" s="556">
        <f t="shared" si="101"/>
        <v>7790</v>
      </c>
      <c r="G1234" s="556">
        <f t="shared" si="102"/>
        <v>6683</v>
      </c>
    </row>
    <row r="1235" spans="1:7" ht="15.75">
      <c r="A1235" s="625">
        <f t="shared" si="103"/>
        <v>58575</v>
      </c>
      <c r="B1235" s="555">
        <v>58550</v>
      </c>
      <c r="C1235" s="555">
        <v>58600</v>
      </c>
      <c r="D1235" s="556">
        <f t="shared" si="99"/>
        <v>7801</v>
      </c>
      <c r="E1235" s="556">
        <f t="shared" si="100"/>
        <v>6552</v>
      </c>
      <c r="F1235" s="556">
        <f t="shared" si="101"/>
        <v>7801</v>
      </c>
      <c r="G1235" s="556">
        <f t="shared" si="102"/>
        <v>6689</v>
      </c>
    </row>
    <row r="1236" spans="1:7" ht="15.75">
      <c r="A1236" s="625">
        <f t="shared" si="103"/>
        <v>58625</v>
      </c>
      <c r="B1236" s="555">
        <v>58600</v>
      </c>
      <c r="C1236" s="555">
        <v>58650</v>
      </c>
      <c r="D1236" s="556">
        <f t="shared" si="99"/>
        <v>7812</v>
      </c>
      <c r="E1236" s="556">
        <f t="shared" si="100"/>
        <v>6558</v>
      </c>
      <c r="F1236" s="556">
        <f t="shared" si="101"/>
        <v>7812</v>
      </c>
      <c r="G1236" s="556">
        <f t="shared" si="102"/>
        <v>6695</v>
      </c>
    </row>
    <row r="1237" spans="1:7" ht="15.75">
      <c r="A1237" s="625">
        <f t="shared" si="103"/>
        <v>58675</v>
      </c>
      <c r="B1237" s="555">
        <v>58650</v>
      </c>
      <c r="C1237" s="555">
        <v>58700</v>
      </c>
      <c r="D1237" s="556">
        <f t="shared" si="99"/>
        <v>7823</v>
      </c>
      <c r="E1237" s="556">
        <f t="shared" si="100"/>
        <v>6564</v>
      </c>
      <c r="F1237" s="556">
        <f t="shared" si="101"/>
        <v>7823</v>
      </c>
      <c r="G1237" s="556">
        <f t="shared" si="102"/>
        <v>6701</v>
      </c>
    </row>
    <row r="1238" spans="1:7" ht="15.75">
      <c r="A1238" s="625">
        <f t="shared" si="103"/>
        <v>58725</v>
      </c>
      <c r="B1238" s="555">
        <v>58700</v>
      </c>
      <c r="C1238" s="555">
        <v>58750</v>
      </c>
      <c r="D1238" s="556">
        <f t="shared" si="99"/>
        <v>7834</v>
      </c>
      <c r="E1238" s="556">
        <f t="shared" si="100"/>
        <v>6570</v>
      </c>
      <c r="F1238" s="556">
        <f t="shared" si="101"/>
        <v>7834</v>
      </c>
      <c r="G1238" s="556">
        <f t="shared" si="102"/>
        <v>6707</v>
      </c>
    </row>
    <row r="1239" spans="1:7" ht="15.75">
      <c r="A1239" s="625">
        <f t="shared" si="103"/>
        <v>58775</v>
      </c>
      <c r="B1239" s="555">
        <v>58750</v>
      </c>
      <c r="C1239" s="555">
        <v>58800</v>
      </c>
      <c r="D1239" s="556">
        <f t="shared" si="99"/>
        <v>7845</v>
      </c>
      <c r="E1239" s="556">
        <f t="shared" si="100"/>
        <v>6576</v>
      </c>
      <c r="F1239" s="556">
        <f t="shared" si="101"/>
        <v>7845</v>
      </c>
      <c r="G1239" s="556">
        <f t="shared" si="102"/>
        <v>6713</v>
      </c>
    </row>
    <row r="1240" spans="1:7" ht="15.75">
      <c r="A1240" s="625">
        <f t="shared" si="103"/>
        <v>58825</v>
      </c>
      <c r="B1240" s="555">
        <v>58800</v>
      </c>
      <c r="C1240" s="555">
        <v>58850</v>
      </c>
      <c r="D1240" s="556">
        <f t="shared" si="99"/>
        <v>7856</v>
      </c>
      <c r="E1240" s="556">
        <f t="shared" si="100"/>
        <v>6582</v>
      </c>
      <c r="F1240" s="556">
        <f t="shared" si="101"/>
        <v>7856</v>
      </c>
      <c r="G1240" s="556">
        <f t="shared" si="102"/>
        <v>6719</v>
      </c>
    </row>
    <row r="1241" spans="1:7" ht="15.75">
      <c r="A1241" s="625">
        <f t="shared" si="103"/>
        <v>58875</v>
      </c>
      <c r="B1241" s="555">
        <v>58850</v>
      </c>
      <c r="C1241" s="555">
        <v>58900</v>
      </c>
      <c r="D1241" s="556">
        <f t="shared" si="99"/>
        <v>7867</v>
      </c>
      <c r="E1241" s="556">
        <f t="shared" si="100"/>
        <v>6588</v>
      </c>
      <c r="F1241" s="556">
        <f t="shared" si="101"/>
        <v>7867</v>
      </c>
      <c r="G1241" s="556">
        <f t="shared" si="102"/>
        <v>6725</v>
      </c>
    </row>
    <row r="1242" spans="1:7" ht="15.75">
      <c r="A1242" s="625">
        <f t="shared" si="103"/>
        <v>58925</v>
      </c>
      <c r="B1242" s="555">
        <v>58900</v>
      </c>
      <c r="C1242" s="555">
        <v>58950</v>
      </c>
      <c r="D1242" s="556">
        <f t="shared" si="99"/>
        <v>7878</v>
      </c>
      <c r="E1242" s="556">
        <f t="shared" si="100"/>
        <v>6594</v>
      </c>
      <c r="F1242" s="556">
        <f t="shared" si="101"/>
        <v>7878</v>
      </c>
      <c r="G1242" s="556">
        <f t="shared" si="102"/>
        <v>6731</v>
      </c>
    </row>
    <row r="1243" spans="1:7" ht="15.75">
      <c r="A1243" s="625">
        <f t="shared" si="103"/>
        <v>58975</v>
      </c>
      <c r="B1243" s="555">
        <v>58950</v>
      </c>
      <c r="C1243" s="555">
        <v>59000</v>
      </c>
      <c r="D1243" s="556">
        <f t="shared" si="99"/>
        <v>7889</v>
      </c>
      <c r="E1243" s="556">
        <f t="shared" si="100"/>
        <v>6600</v>
      </c>
      <c r="F1243" s="556">
        <f t="shared" si="101"/>
        <v>7889</v>
      </c>
      <c r="G1243" s="556">
        <f t="shared" si="102"/>
        <v>6737</v>
      </c>
    </row>
    <row r="1244" spans="1:7" ht="15.75">
      <c r="A1244" s="625">
        <f t="shared" si="103"/>
        <v>59025</v>
      </c>
      <c r="B1244" s="555">
        <v>59000</v>
      </c>
      <c r="C1244" s="555">
        <v>59050</v>
      </c>
      <c r="D1244" s="556">
        <f t="shared" si="99"/>
        <v>7900</v>
      </c>
      <c r="E1244" s="556">
        <f t="shared" si="100"/>
        <v>6606</v>
      </c>
      <c r="F1244" s="556">
        <f t="shared" si="101"/>
        <v>7900</v>
      </c>
      <c r="G1244" s="556">
        <f t="shared" si="102"/>
        <v>6743</v>
      </c>
    </row>
    <row r="1245" spans="1:7" ht="15.75">
      <c r="A1245" s="625">
        <f t="shared" si="103"/>
        <v>59075</v>
      </c>
      <c r="B1245" s="555">
        <v>59050</v>
      </c>
      <c r="C1245" s="555">
        <v>59100</v>
      </c>
      <c r="D1245" s="556">
        <f t="shared" si="99"/>
        <v>7911</v>
      </c>
      <c r="E1245" s="556">
        <f t="shared" si="100"/>
        <v>6612</v>
      </c>
      <c r="F1245" s="556">
        <f t="shared" si="101"/>
        <v>7911</v>
      </c>
      <c r="G1245" s="556">
        <f t="shared" si="102"/>
        <v>6749</v>
      </c>
    </row>
    <row r="1246" spans="1:7" ht="15.75">
      <c r="A1246" s="625">
        <f t="shared" si="103"/>
        <v>59125</v>
      </c>
      <c r="B1246" s="555">
        <v>59100</v>
      </c>
      <c r="C1246" s="555">
        <v>59150</v>
      </c>
      <c r="D1246" s="556">
        <f t="shared" si="99"/>
        <v>7922</v>
      </c>
      <c r="E1246" s="556">
        <f t="shared" si="100"/>
        <v>6618</v>
      </c>
      <c r="F1246" s="556">
        <f t="shared" si="101"/>
        <v>7922</v>
      </c>
      <c r="G1246" s="556">
        <f t="shared" si="102"/>
        <v>6755</v>
      </c>
    </row>
    <row r="1247" spans="1:7" ht="15.75">
      <c r="A1247" s="625">
        <f t="shared" si="103"/>
        <v>59175</v>
      </c>
      <c r="B1247" s="555">
        <v>59150</v>
      </c>
      <c r="C1247" s="555">
        <v>59200</v>
      </c>
      <c r="D1247" s="556">
        <f t="shared" si="99"/>
        <v>7933</v>
      </c>
      <c r="E1247" s="556">
        <f t="shared" si="100"/>
        <v>6624</v>
      </c>
      <c r="F1247" s="556">
        <f t="shared" si="101"/>
        <v>7933</v>
      </c>
      <c r="G1247" s="556">
        <f t="shared" si="102"/>
        <v>6761</v>
      </c>
    </row>
    <row r="1248" spans="1:7" ht="15.75">
      <c r="A1248" s="625">
        <f t="shared" si="103"/>
        <v>59225</v>
      </c>
      <c r="B1248" s="555">
        <v>59200</v>
      </c>
      <c r="C1248" s="555">
        <v>59250</v>
      </c>
      <c r="D1248" s="556">
        <f t="shared" si="99"/>
        <v>7944</v>
      </c>
      <c r="E1248" s="556">
        <f t="shared" si="100"/>
        <v>6630</v>
      </c>
      <c r="F1248" s="556">
        <f t="shared" si="101"/>
        <v>7944</v>
      </c>
      <c r="G1248" s="556">
        <f t="shared" si="102"/>
        <v>6767</v>
      </c>
    </row>
    <row r="1249" spans="1:7" ht="15.75">
      <c r="A1249" s="625">
        <f t="shared" si="103"/>
        <v>59275</v>
      </c>
      <c r="B1249" s="555">
        <v>59250</v>
      </c>
      <c r="C1249" s="555">
        <v>59300</v>
      </c>
      <c r="D1249" s="556">
        <f t="shared" si="99"/>
        <v>7955</v>
      </c>
      <c r="E1249" s="556">
        <f t="shared" si="100"/>
        <v>6636</v>
      </c>
      <c r="F1249" s="556">
        <f t="shared" si="101"/>
        <v>7955</v>
      </c>
      <c r="G1249" s="556">
        <f t="shared" si="102"/>
        <v>6773</v>
      </c>
    </row>
    <row r="1250" spans="1:7" ht="15.75">
      <c r="A1250" s="625">
        <f t="shared" si="103"/>
        <v>59325</v>
      </c>
      <c r="B1250" s="555">
        <v>59300</v>
      </c>
      <c r="C1250" s="555">
        <v>59350</v>
      </c>
      <c r="D1250" s="556">
        <f t="shared" si="99"/>
        <v>7966</v>
      </c>
      <c r="E1250" s="556">
        <f t="shared" si="100"/>
        <v>6642</v>
      </c>
      <c r="F1250" s="556">
        <f t="shared" si="101"/>
        <v>7966</v>
      </c>
      <c r="G1250" s="556">
        <f t="shared" si="102"/>
        <v>6779</v>
      </c>
    </row>
    <row r="1251" spans="1:7" ht="15.75">
      <c r="A1251" s="625">
        <f t="shared" si="103"/>
        <v>59375</v>
      </c>
      <c r="B1251" s="555">
        <v>59350</v>
      </c>
      <c r="C1251" s="555">
        <v>59400</v>
      </c>
      <c r="D1251" s="556">
        <f t="shared" si="99"/>
        <v>7977</v>
      </c>
      <c r="E1251" s="556">
        <f t="shared" si="100"/>
        <v>6648</v>
      </c>
      <c r="F1251" s="556">
        <f t="shared" si="101"/>
        <v>7977</v>
      </c>
      <c r="G1251" s="556">
        <f t="shared" si="102"/>
        <v>6785</v>
      </c>
    </row>
    <row r="1252" spans="1:7" ht="15.75">
      <c r="A1252" s="625">
        <f t="shared" si="103"/>
        <v>59425</v>
      </c>
      <c r="B1252" s="555">
        <v>59400</v>
      </c>
      <c r="C1252" s="555">
        <v>59450</v>
      </c>
      <c r="D1252" s="556">
        <f t="shared" si="99"/>
        <v>7988</v>
      </c>
      <c r="E1252" s="556">
        <f t="shared" si="100"/>
        <v>6654</v>
      </c>
      <c r="F1252" s="556">
        <f t="shared" si="101"/>
        <v>7988</v>
      </c>
      <c r="G1252" s="556">
        <f t="shared" si="102"/>
        <v>6791</v>
      </c>
    </row>
    <row r="1253" spans="1:7" ht="15.75">
      <c r="A1253" s="625">
        <f t="shared" si="103"/>
        <v>59475</v>
      </c>
      <c r="B1253" s="555">
        <v>59450</v>
      </c>
      <c r="C1253" s="555">
        <v>59500</v>
      </c>
      <c r="D1253" s="556">
        <f t="shared" si="99"/>
        <v>7999</v>
      </c>
      <c r="E1253" s="556">
        <f t="shared" si="100"/>
        <v>6660</v>
      </c>
      <c r="F1253" s="556">
        <f t="shared" si="101"/>
        <v>7999</v>
      </c>
      <c r="G1253" s="556">
        <f t="shared" si="102"/>
        <v>6797</v>
      </c>
    </row>
    <row r="1254" spans="1:7" ht="15.75">
      <c r="A1254" s="625">
        <f t="shared" si="103"/>
        <v>59525</v>
      </c>
      <c r="B1254" s="555">
        <v>59500</v>
      </c>
      <c r="C1254" s="555">
        <v>59550</v>
      </c>
      <c r="D1254" s="556">
        <f t="shared" si="99"/>
        <v>8010</v>
      </c>
      <c r="E1254" s="556">
        <f t="shared" si="100"/>
        <v>6666</v>
      </c>
      <c r="F1254" s="556">
        <f t="shared" si="101"/>
        <v>8010</v>
      </c>
      <c r="G1254" s="556">
        <f t="shared" si="102"/>
        <v>6803</v>
      </c>
    </row>
    <row r="1255" spans="1:7" ht="15.75">
      <c r="A1255" s="625">
        <f t="shared" si="103"/>
        <v>59575</v>
      </c>
      <c r="B1255" s="555">
        <v>59550</v>
      </c>
      <c r="C1255" s="555">
        <v>59600</v>
      </c>
      <c r="D1255" s="556">
        <f t="shared" si="99"/>
        <v>8021</v>
      </c>
      <c r="E1255" s="556">
        <f t="shared" si="100"/>
        <v>6672</v>
      </c>
      <c r="F1255" s="556">
        <f t="shared" si="101"/>
        <v>8021</v>
      </c>
      <c r="G1255" s="556">
        <f t="shared" si="102"/>
        <v>6809</v>
      </c>
    </row>
    <row r="1256" spans="1:7" ht="15.75">
      <c r="A1256" s="625">
        <f t="shared" si="103"/>
        <v>59625</v>
      </c>
      <c r="B1256" s="555">
        <v>59600</v>
      </c>
      <c r="C1256" s="555">
        <v>59650</v>
      </c>
      <c r="D1256" s="556">
        <f t="shared" si="99"/>
        <v>8032</v>
      </c>
      <c r="E1256" s="556">
        <f t="shared" si="100"/>
        <v>6678</v>
      </c>
      <c r="F1256" s="556">
        <f t="shared" si="101"/>
        <v>8032</v>
      </c>
      <c r="G1256" s="556">
        <f t="shared" si="102"/>
        <v>6815</v>
      </c>
    </row>
    <row r="1257" spans="1:7" ht="15.75">
      <c r="A1257" s="625">
        <f t="shared" si="103"/>
        <v>59675</v>
      </c>
      <c r="B1257" s="555">
        <v>59650</v>
      </c>
      <c r="C1257" s="555">
        <v>59700</v>
      </c>
      <c r="D1257" s="556">
        <f t="shared" si="99"/>
        <v>8043</v>
      </c>
      <c r="E1257" s="556">
        <f t="shared" si="100"/>
        <v>6684</v>
      </c>
      <c r="F1257" s="556">
        <f t="shared" si="101"/>
        <v>8043</v>
      </c>
      <c r="G1257" s="556">
        <f t="shared" si="102"/>
        <v>6821</v>
      </c>
    </row>
    <row r="1258" spans="1:7" ht="15.75">
      <c r="A1258" s="625">
        <f t="shared" si="103"/>
        <v>59725</v>
      </c>
      <c r="B1258" s="555">
        <v>59700</v>
      </c>
      <c r="C1258" s="555">
        <v>59750</v>
      </c>
      <c r="D1258" s="556">
        <f t="shared" si="99"/>
        <v>8054</v>
      </c>
      <c r="E1258" s="556">
        <f t="shared" si="100"/>
        <v>6690</v>
      </c>
      <c r="F1258" s="556">
        <f t="shared" si="101"/>
        <v>8054</v>
      </c>
      <c r="G1258" s="556">
        <f t="shared" si="102"/>
        <v>6827</v>
      </c>
    </row>
    <row r="1259" spans="1:7" ht="15.75">
      <c r="A1259" s="625">
        <f t="shared" si="103"/>
        <v>59775</v>
      </c>
      <c r="B1259" s="555">
        <v>59750</v>
      </c>
      <c r="C1259" s="555">
        <v>59800</v>
      </c>
      <c r="D1259" s="556">
        <f t="shared" si="99"/>
        <v>8065</v>
      </c>
      <c r="E1259" s="556">
        <f t="shared" si="100"/>
        <v>6696</v>
      </c>
      <c r="F1259" s="556">
        <f t="shared" si="101"/>
        <v>8065</v>
      </c>
      <c r="G1259" s="556">
        <f t="shared" si="102"/>
        <v>6833</v>
      </c>
    </row>
    <row r="1260" spans="1:7" ht="15.75">
      <c r="A1260" s="625">
        <f t="shared" si="103"/>
        <v>59825</v>
      </c>
      <c r="B1260" s="555">
        <v>59800</v>
      </c>
      <c r="C1260" s="555">
        <v>59850</v>
      </c>
      <c r="D1260" s="556">
        <f t="shared" si="99"/>
        <v>8076</v>
      </c>
      <c r="E1260" s="556">
        <f t="shared" si="100"/>
        <v>6702</v>
      </c>
      <c r="F1260" s="556">
        <f t="shared" si="101"/>
        <v>8076</v>
      </c>
      <c r="G1260" s="556">
        <f t="shared" si="102"/>
        <v>6839</v>
      </c>
    </row>
    <row r="1261" spans="1:7" ht="15.75">
      <c r="A1261" s="625">
        <f t="shared" si="103"/>
        <v>59875</v>
      </c>
      <c r="B1261" s="555">
        <v>59850</v>
      </c>
      <c r="C1261" s="555">
        <v>59900</v>
      </c>
      <c r="D1261" s="556">
        <f t="shared" si="99"/>
        <v>8087</v>
      </c>
      <c r="E1261" s="556">
        <f t="shared" si="100"/>
        <v>6708</v>
      </c>
      <c r="F1261" s="556">
        <f t="shared" si="101"/>
        <v>8087</v>
      </c>
      <c r="G1261" s="556">
        <f t="shared" si="102"/>
        <v>6845</v>
      </c>
    </row>
    <row r="1262" spans="1:7" ht="15.75">
      <c r="A1262" s="625">
        <f t="shared" si="103"/>
        <v>59925</v>
      </c>
      <c r="B1262" s="555">
        <v>59900</v>
      </c>
      <c r="C1262" s="555">
        <v>59950</v>
      </c>
      <c r="D1262" s="556">
        <f t="shared" si="99"/>
        <v>8098</v>
      </c>
      <c r="E1262" s="556">
        <f t="shared" si="100"/>
        <v>6714</v>
      </c>
      <c r="F1262" s="556">
        <f t="shared" si="101"/>
        <v>8098</v>
      </c>
      <c r="G1262" s="556">
        <f t="shared" si="102"/>
        <v>6851</v>
      </c>
    </row>
    <row r="1263" spans="1:7" ht="15.75">
      <c r="A1263" s="625">
        <f t="shared" si="103"/>
        <v>59975</v>
      </c>
      <c r="B1263" s="555">
        <v>59950</v>
      </c>
      <c r="C1263" s="555">
        <v>60000</v>
      </c>
      <c r="D1263" s="556">
        <f t="shared" si="99"/>
        <v>8109</v>
      </c>
      <c r="E1263" s="556">
        <f t="shared" si="100"/>
        <v>6720</v>
      </c>
      <c r="F1263" s="556">
        <f t="shared" si="101"/>
        <v>8109</v>
      </c>
      <c r="G1263" s="556">
        <f t="shared" si="102"/>
        <v>6857</v>
      </c>
    </row>
    <row r="1264" spans="1:7" ht="15.75">
      <c r="A1264" s="625">
        <f t="shared" si="103"/>
        <v>60025</v>
      </c>
      <c r="B1264" s="555">
        <v>60000</v>
      </c>
      <c r="C1264" s="555">
        <v>60050</v>
      </c>
      <c r="D1264" s="556">
        <f t="shared" si="99"/>
        <v>8120</v>
      </c>
      <c r="E1264" s="556">
        <f t="shared" si="100"/>
        <v>6726</v>
      </c>
      <c r="F1264" s="556">
        <f t="shared" si="101"/>
        <v>8120</v>
      </c>
      <c r="G1264" s="556">
        <f t="shared" si="102"/>
        <v>6863</v>
      </c>
    </row>
    <row r="1265" spans="1:7" ht="15.75">
      <c r="A1265" s="625">
        <f t="shared" si="103"/>
        <v>60075</v>
      </c>
      <c r="B1265" s="555">
        <v>60050</v>
      </c>
      <c r="C1265" s="555">
        <v>60100</v>
      </c>
      <c r="D1265" s="556">
        <f t="shared" si="99"/>
        <v>8131</v>
      </c>
      <c r="E1265" s="556">
        <f t="shared" si="100"/>
        <v>6732</v>
      </c>
      <c r="F1265" s="556">
        <f t="shared" si="101"/>
        <v>8131</v>
      </c>
      <c r="G1265" s="556">
        <f t="shared" si="102"/>
        <v>6869</v>
      </c>
    </row>
    <row r="1266" spans="1:7" ht="15.75">
      <c r="A1266" s="625">
        <f t="shared" si="103"/>
        <v>60125</v>
      </c>
      <c r="B1266" s="555">
        <v>60100</v>
      </c>
      <c r="C1266" s="555">
        <v>60150</v>
      </c>
      <c r="D1266" s="556">
        <f t="shared" si="99"/>
        <v>8142</v>
      </c>
      <c r="E1266" s="556">
        <f t="shared" si="100"/>
        <v>6738</v>
      </c>
      <c r="F1266" s="556">
        <f t="shared" si="101"/>
        <v>8142</v>
      </c>
      <c r="G1266" s="556">
        <f t="shared" si="102"/>
        <v>6875</v>
      </c>
    </row>
    <row r="1267" spans="1:7" ht="15.75">
      <c r="A1267" s="625">
        <f t="shared" si="103"/>
        <v>60175</v>
      </c>
      <c r="B1267" s="555">
        <v>60150</v>
      </c>
      <c r="C1267" s="555">
        <v>60200</v>
      </c>
      <c r="D1267" s="556">
        <f t="shared" si="99"/>
        <v>8153</v>
      </c>
      <c r="E1267" s="556">
        <f t="shared" si="100"/>
        <v>6744</v>
      </c>
      <c r="F1267" s="556">
        <f t="shared" si="101"/>
        <v>8153</v>
      </c>
      <c r="G1267" s="556">
        <f t="shared" si="102"/>
        <v>6881</v>
      </c>
    </row>
    <row r="1268" spans="1:7" ht="15.75">
      <c r="A1268" s="625">
        <f t="shared" si="103"/>
        <v>60225</v>
      </c>
      <c r="B1268" s="555">
        <v>60200</v>
      </c>
      <c r="C1268" s="555">
        <v>60250</v>
      </c>
      <c r="D1268" s="556">
        <f t="shared" si="99"/>
        <v>8164</v>
      </c>
      <c r="E1268" s="556">
        <f t="shared" si="100"/>
        <v>6750</v>
      </c>
      <c r="F1268" s="556">
        <f t="shared" si="101"/>
        <v>8164</v>
      </c>
      <c r="G1268" s="556">
        <f t="shared" si="102"/>
        <v>6887</v>
      </c>
    </row>
    <row r="1269" spans="1:7" ht="15.75">
      <c r="A1269" s="625">
        <f t="shared" si="103"/>
        <v>60275</v>
      </c>
      <c r="B1269" s="555">
        <v>60250</v>
      </c>
      <c r="C1269" s="555">
        <v>60300</v>
      </c>
      <c r="D1269" s="556">
        <f t="shared" si="99"/>
        <v>8175</v>
      </c>
      <c r="E1269" s="556">
        <f t="shared" si="100"/>
        <v>6756</v>
      </c>
      <c r="F1269" s="556">
        <f t="shared" si="101"/>
        <v>8175</v>
      </c>
      <c r="G1269" s="556">
        <f t="shared" si="102"/>
        <v>6893</v>
      </c>
    </row>
    <row r="1270" spans="1:7" ht="15.75">
      <c r="A1270" s="625">
        <f t="shared" si="103"/>
        <v>60325</v>
      </c>
      <c r="B1270" s="555">
        <v>60300</v>
      </c>
      <c r="C1270" s="555">
        <v>60350</v>
      </c>
      <c r="D1270" s="556">
        <f t="shared" si="99"/>
        <v>8186</v>
      </c>
      <c r="E1270" s="556">
        <f t="shared" si="100"/>
        <v>6762</v>
      </c>
      <c r="F1270" s="556">
        <f t="shared" si="101"/>
        <v>8186</v>
      </c>
      <c r="G1270" s="556">
        <f t="shared" si="102"/>
        <v>6899</v>
      </c>
    </row>
    <row r="1271" spans="1:7" ht="15.75">
      <c r="A1271" s="625">
        <f t="shared" si="103"/>
        <v>60375</v>
      </c>
      <c r="B1271" s="555">
        <v>60350</v>
      </c>
      <c r="C1271" s="555">
        <v>60400</v>
      </c>
      <c r="D1271" s="556">
        <f t="shared" si="99"/>
        <v>8197</v>
      </c>
      <c r="E1271" s="556">
        <f t="shared" si="100"/>
        <v>6768</v>
      </c>
      <c r="F1271" s="556">
        <f t="shared" si="101"/>
        <v>8197</v>
      </c>
      <c r="G1271" s="556">
        <f t="shared" si="102"/>
        <v>6905</v>
      </c>
    </row>
    <row r="1272" spans="1:7" ht="15.75">
      <c r="A1272" s="625">
        <f t="shared" si="103"/>
        <v>60425</v>
      </c>
      <c r="B1272" s="555">
        <v>60400</v>
      </c>
      <c r="C1272" s="555">
        <v>60450</v>
      </c>
      <c r="D1272" s="556">
        <f t="shared" si="99"/>
        <v>8208</v>
      </c>
      <c r="E1272" s="556">
        <f t="shared" si="100"/>
        <v>6774</v>
      </c>
      <c r="F1272" s="556">
        <f t="shared" si="101"/>
        <v>8208</v>
      </c>
      <c r="G1272" s="556">
        <f t="shared" si="102"/>
        <v>6911</v>
      </c>
    </row>
    <row r="1273" spans="1:7" ht="15.75">
      <c r="A1273" s="625">
        <f t="shared" si="103"/>
        <v>60475</v>
      </c>
      <c r="B1273" s="555">
        <v>60450</v>
      </c>
      <c r="C1273" s="555">
        <v>60500</v>
      </c>
      <c r="D1273" s="556">
        <f t="shared" si="99"/>
        <v>8219</v>
      </c>
      <c r="E1273" s="556">
        <f t="shared" si="100"/>
        <v>6780</v>
      </c>
      <c r="F1273" s="556">
        <f t="shared" si="101"/>
        <v>8219</v>
      </c>
      <c r="G1273" s="556">
        <f t="shared" si="102"/>
        <v>6917</v>
      </c>
    </row>
    <row r="1274" spans="1:7" ht="15.75">
      <c r="A1274" s="625">
        <f t="shared" si="103"/>
        <v>60525</v>
      </c>
      <c r="B1274" s="555">
        <v>60500</v>
      </c>
      <c r="C1274" s="555">
        <v>60550</v>
      </c>
      <c r="D1274" s="556">
        <f t="shared" si="99"/>
        <v>8230</v>
      </c>
      <c r="E1274" s="556">
        <f t="shared" si="100"/>
        <v>6786</v>
      </c>
      <c r="F1274" s="556">
        <f t="shared" si="101"/>
        <v>8230</v>
      </c>
      <c r="G1274" s="556">
        <f t="shared" si="102"/>
        <v>6923</v>
      </c>
    </row>
    <row r="1275" spans="1:7" ht="15.75">
      <c r="A1275" s="625">
        <f t="shared" si="103"/>
        <v>60575</v>
      </c>
      <c r="B1275" s="555">
        <v>60550</v>
      </c>
      <c r="C1275" s="555">
        <v>60600</v>
      </c>
      <c r="D1275" s="556">
        <f t="shared" si="99"/>
        <v>8241</v>
      </c>
      <c r="E1275" s="556">
        <f t="shared" si="100"/>
        <v>6792</v>
      </c>
      <c r="F1275" s="556">
        <f t="shared" si="101"/>
        <v>8241</v>
      </c>
      <c r="G1275" s="556">
        <f t="shared" si="102"/>
        <v>6929</v>
      </c>
    </row>
    <row r="1276" spans="1:7" ht="15.75">
      <c r="A1276" s="625">
        <f t="shared" si="103"/>
        <v>60625</v>
      </c>
      <c r="B1276" s="555">
        <v>60600</v>
      </c>
      <c r="C1276" s="555">
        <v>60650</v>
      </c>
      <c r="D1276" s="556">
        <f t="shared" si="99"/>
        <v>8252</v>
      </c>
      <c r="E1276" s="556">
        <f t="shared" si="100"/>
        <v>6798</v>
      </c>
      <c r="F1276" s="556">
        <f t="shared" si="101"/>
        <v>8252</v>
      </c>
      <c r="G1276" s="556">
        <f t="shared" si="102"/>
        <v>6935</v>
      </c>
    </row>
    <row r="1277" spans="1:7" ht="15.75">
      <c r="A1277" s="625">
        <f t="shared" si="103"/>
        <v>60675</v>
      </c>
      <c r="B1277" s="555">
        <v>60650</v>
      </c>
      <c r="C1277" s="555">
        <v>60700</v>
      </c>
      <c r="D1277" s="556">
        <f t="shared" si="99"/>
        <v>8263</v>
      </c>
      <c r="E1277" s="556">
        <f t="shared" si="100"/>
        <v>6804</v>
      </c>
      <c r="F1277" s="556">
        <f t="shared" si="101"/>
        <v>8263</v>
      </c>
      <c r="G1277" s="556">
        <f t="shared" si="102"/>
        <v>6941</v>
      </c>
    </row>
    <row r="1278" spans="1:7" ht="15.75">
      <c r="A1278" s="625">
        <f t="shared" si="103"/>
        <v>60725</v>
      </c>
      <c r="B1278" s="555">
        <v>60700</v>
      </c>
      <c r="C1278" s="555">
        <v>60750</v>
      </c>
      <c r="D1278" s="556">
        <f t="shared" si="99"/>
        <v>8274</v>
      </c>
      <c r="E1278" s="556">
        <f t="shared" si="100"/>
        <v>6810</v>
      </c>
      <c r="F1278" s="556">
        <f t="shared" si="101"/>
        <v>8274</v>
      </c>
      <c r="G1278" s="556">
        <f t="shared" si="102"/>
        <v>6947</v>
      </c>
    </row>
    <row r="1279" spans="1:7" ht="15.75">
      <c r="A1279" s="625">
        <f t="shared" si="103"/>
        <v>60775</v>
      </c>
      <c r="B1279" s="555">
        <v>60750</v>
      </c>
      <c r="C1279" s="555">
        <v>60800</v>
      </c>
      <c r="D1279" s="556">
        <f t="shared" si="99"/>
        <v>8285</v>
      </c>
      <c r="E1279" s="556">
        <f t="shared" si="100"/>
        <v>6816</v>
      </c>
      <c r="F1279" s="556">
        <f t="shared" si="101"/>
        <v>8285</v>
      </c>
      <c r="G1279" s="556">
        <f t="shared" si="102"/>
        <v>6953</v>
      </c>
    </row>
    <row r="1280" spans="1:7" ht="15.75">
      <c r="A1280" s="625">
        <f t="shared" si="103"/>
        <v>60825</v>
      </c>
      <c r="B1280" s="555">
        <v>60800</v>
      </c>
      <c r="C1280" s="555">
        <v>60850</v>
      </c>
      <c r="D1280" s="556">
        <f t="shared" si="99"/>
        <v>8296</v>
      </c>
      <c r="E1280" s="556">
        <f t="shared" si="100"/>
        <v>6822</v>
      </c>
      <c r="F1280" s="556">
        <f t="shared" si="101"/>
        <v>8296</v>
      </c>
      <c r="G1280" s="556">
        <f t="shared" si="102"/>
        <v>6959</v>
      </c>
    </row>
    <row r="1281" spans="1:7" ht="15.75">
      <c r="A1281" s="625">
        <f t="shared" si="103"/>
        <v>60875</v>
      </c>
      <c r="B1281" s="555">
        <v>60850</v>
      </c>
      <c r="C1281" s="555">
        <v>60900</v>
      </c>
      <c r="D1281" s="556">
        <f t="shared" si="99"/>
        <v>8307</v>
      </c>
      <c r="E1281" s="556">
        <f t="shared" si="100"/>
        <v>6828</v>
      </c>
      <c r="F1281" s="556">
        <f t="shared" si="101"/>
        <v>8307</v>
      </c>
      <c r="G1281" s="556">
        <f t="shared" si="102"/>
        <v>6965</v>
      </c>
    </row>
    <row r="1282" spans="1:7" ht="15.75">
      <c r="A1282" s="625">
        <f t="shared" si="103"/>
        <v>60925</v>
      </c>
      <c r="B1282" s="555">
        <v>60900</v>
      </c>
      <c r="C1282" s="555">
        <v>60950</v>
      </c>
      <c r="D1282" s="556">
        <f t="shared" ref="D1282:D1345" si="104">IF($A1282&gt;BOTT_A4,ROUND(BASE_A4+RATE_A4*($A1282-BOTT_A4),0),IF($A1282&gt;BOTT_A3,ROUND(BASE_A3+RATE_A3*($A1282-BOTT_A3),0),IF($A1282&gt;BOTT_A2,ROUND(BASE_A2+RATE_A2*($A1282-BOTT_A2),0),ROUND(RATE_A1*$A1282,0))))</f>
        <v>8318</v>
      </c>
      <c r="E1282" s="556">
        <f t="shared" ref="E1282:E1345" si="105">IF($A1282&gt;BOTT_B4,ROUND(BASE_B4+RATE_B4*($A1282-BOTT_B4),0),IF($A1282&gt;BOTT_B3,ROUND(BASE_B3+RATE_B3*($A1282-BOTT_B3),0),IF($A1282&gt;BOTT_B2,ROUND(BASE_B2+RATE_B2*($A1282-BOTT_B2),0),ROUND(RATE_B1*$A1282,0))))</f>
        <v>6834</v>
      </c>
      <c r="F1282" s="556">
        <f t="shared" ref="F1282:F1345" si="106">IF($A1282&gt;BOTT_C4,ROUND(BASE_C4+RATE_C4*($A1282-BOTT_C4),0),IF($A1282&gt;BOTT_C3,ROUND(BASE_C3+RATE_C3*($A1282-BOTT_C3),0),IF($A1282&gt;BOTT_C2,ROUND(BASE_C2+RATE_C2*($A1282-BOTT_C2),0),ROUND(RATE_C1*$A1282,0))))</f>
        <v>8318</v>
      </c>
      <c r="G1282" s="556">
        <f t="shared" ref="G1282:G1345" si="107">IF($A1282&gt;BOTT_D4,ROUND(BASE_D4+RATE_D4*($A1282-BOTT_D4),0),IF($A1282&gt;BOTT_D3,ROUND(BASE_D3+RATE_D3*($A1282-BOTT_D3),0),IF($A1282&gt;BOTT_D2,ROUND(BASE_D2+RATE_D2*($A1282-BOTT_D2),0),ROUND(RATE_D1*$A1282,0))))</f>
        <v>6971</v>
      </c>
    </row>
    <row r="1283" spans="1:7" ht="15.75">
      <c r="A1283" s="625">
        <f t="shared" ref="A1283:A1346" si="108">AVERAGE(B1283,C1283)</f>
        <v>60975</v>
      </c>
      <c r="B1283" s="555">
        <v>60950</v>
      </c>
      <c r="C1283" s="555">
        <v>61000</v>
      </c>
      <c r="D1283" s="556">
        <f t="shared" si="104"/>
        <v>8329</v>
      </c>
      <c r="E1283" s="556">
        <f t="shared" si="105"/>
        <v>6840</v>
      </c>
      <c r="F1283" s="556">
        <f t="shared" si="106"/>
        <v>8329</v>
      </c>
      <c r="G1283" s="556">
        <f t="shared" si="107"/>
        <v>6977</v>
      </c>
    </row>
    <row r="1284" spans="1:7" ht="15.75">
      <c r="A1284" s="625">
        <f t="shared" si="108"/>
        <v>61025</v>
      </c>
      <c r="B1284" s="555">
        <v>61000</v>
      </c>
      <c r="C1284" s="555">
        <v>61050</v>
      </c>
      <c r="D1284" s="556">
        <f t="shared" si="104"/>
        <v>8340</v>
      </c>
      <c r="E1284" s="556">
        <f t="shared" si="105"/>
        <v>6846</v>
      </c>
      <c r="F1284" s="556">
        <f t="shared" si="106"/>
        <v>8340</v>
      </c>
      <c r="G1284" s="556">
        <f t="shared" si="107"/>
        <v>6983</v>
      </c>
    </row>
    <row r="1285" spans="1:7" ht="15.75">
      <c r="A1285" s="625">
        <f t="shared" si="108"/>
        <v>61075</v>
      </c>
      <c r="B1285" s="555">
        <v>61050</v>
      </c>
      <c r="C1285" s="555">
        <v>61100</v>
      </c>
      <c r="D1285" s="556">
        <f t="shared" si="104"/>
        <v>8351</v>
      </c>
      <c r="E1285" s="556">
        <f t="shared" si="105"/>
        <v>6852</v>
      </c>
      <c r="F1285" s="556">
        <f t="shared" si="106"/>
        <v>8351</v>
      </c>
      <c r="G1285" s="556">
        <f t="shared" si="107"/>
        <v>6989</v>
      </c>
    </row>
    <row r="1286" spans="1:7" ht="15.75">
      <c r="A1286" s="625">
        <f t="shared" si="108"/>
        <v>61125</v>
      </c>
      <c r="B1286" s="555">
        <v>61100</v>
      </c>
      <c r="C1286" s="555">
        <v>61150</v>
      </c>
      <c r="D1286" s="556">
        <f t="shared" si="104"/>
        <v>8362</v>
      </c>
      <c r="E1286" s="556">
        <f t="shared" si="105"/>
        <v>6858</v>
      </c>
      <c r="F1286" s="556">
        <f t="shared" si="106"/>
        <v>8362</v>
      </c>
      <c r="G1286" s="556">
        <f t="shared" si="107"/>
        <v>6995</v>
      </c>
    </row>
    <row r="1287" spans="1:7" ht="15.75">
      <c r="A1287" s="625">
        <f t="shared" si="108"/>
        <v>61175</v>
      </c>
      <c r="B1287" s="555">
        <v>61150</v>
      </c>
      <c r="C1287" s="555">
        <v>61200</v>
      </c>
      <c r="D1287" s="556">
        <f t="shared" si="104"/>
        <v>8373</v>
      </c>
      <c r="E1287" s="556">
        <f t="shared" si="105"/>
        <v>6864</v>
      </c>
      <c r="F1287" s="556">
        <f t="shared" si="106"/>
        <v>8373</v>
      </c>
      <c r="G1287" s="556">
        <f t="shared" si="107"/>
        <v>7001</v>
      </c>
    </row>
    <row r="1288" spans="1:7" ht="15.75">
      <c r="A1288" s="625">
        <f t="shared" si="108"/>
        <v>61225</v>
      </c>
      <c r="B1288" s="555">
        <v>61200</v>
      </c>
      <c r="C1288" s="555">
        <v>61250</v>
      </c>
      <c r="D1288" s="556">
        <f t="shared" si="104"/>
        <v>8384</v>
      </c>
      <c r="E1288" s="556">
        <f t="shared" si="105"/>
        <v>6870</v>
      </c>
      <c r="F1288" s="556">
        <f t="shared" si="106"/>
        <v>8384</v>
      </c>
      <c r="G1288" s="556">
        <f t="shared" si="107"/>
        <v>7007</v>
      </c>
    </row>
    <row r="1289" spans="1:7" ht="15.75">
      <c r="A1289" s="625">
        <f t="shared" si="108"/>
        <v>61275</v>
      </c>
      <c r="B1289" s="555">
        <v>61250</v>
      </c>
      <c r="C1289" s="555">
        <v>61300</v>
      </c>
      <c r="D1289" s="556">
        <f t="shared" si="104"/>
        <v>8395</v>
      </c>
      <c r="E1289" s="556">
        <f t="shared" si="105"/>
        <v>6876</v>
      </c>
      <c r="F1289" s="556">
        <f t="shared" si="106"/>
        <v>8395</v>
      </c>
      <c r="G1289" s="556">
        <f t="shared" si="107"/>
        <v>7013</v>
      </c>
    </row>
    <row r="1290" spans="1:7" ht="15.75">
      <c r="A1290" s="625">
        <f t="shared" si="108"/>
        <v>61325</v>
      </c>
      <c r="B1290" s="555">
        <v>61300</v>
      </c>
      <c r="C1290" s="555">
        <v>61350</v>
      </c>
      <c r="D1290" s="556">
        <f t="shared" si="104"/>
        <v>8406</v>
      </c>
      <c r="E1290" s="556">
        <f t="shared" si="105"/>
        <v>6882</v>
      </c>
      <c r="F1290" s="556">
        <f t="shared" si="106"/>
        <v>8406</v>
      </c>
      <c r="G1290" s="556">
        <f t="shared" si="107"/>
        <v>7019</v>
      </c>
    </row>
    <row r="1291" spans="1:7" ht="15.75">
      <c r="A1291" s="625">
        <f t="shared" si="108"/>
        <v>61375</v>
      </c>
      <c r="B1291" s="555">
        <v>61350</v>
      </c>
      <c r="C1291" s="555">
        <v>61400</v>
      </c>
      <c r="D1291" s="556">
        <f t="shared" si="104"/>
        <v>8417</v>
      </c>
      <c r="E1291" s="556">
        <f t="shared" si="105"/>
        <v>6888</v>
      </c>
      <c r="F1291" s="556">
        <f t="shared" si="106"/>
        <v>8417</v>
      </c>
      <c r="G1291" s="556">
        <f t="shared" si="107"/>
        <v>7025</v>
      </c>
    </row>
    <row r="1292" spans="1:7" ht="15.75">
      <c r="A1292" s="625">
        <f t="shared" si="108"/>
        <v>61425</v>
      </c>
      <c r="B1292" s="555">
        <v>61400</v>
      </c>
      <c r="C1292" s="555">
        <v>61450</v>
      </c>
      <c r="D1292" s="556">
        <f t="shared" si="104"/>
        <v>8428</v>
      </c>
      <c r="E1292" s="556">
        <f t="shared" si="105"/>
        <v>6894</v>
      </c>
      <c r="F1292" s="556">
        <f t="shared" si="106"/>
        <v>8428</v>
      </c>
      <c r="G1292" s="556">
        <f t="shared" si="107"/>
        <v>7031</v>
      </c>
    </row>
    <row r="1293" spans="1:7" ht="15.75">
      <c r="A1293" s="625">
        <f t="shared" si="108"/>
        <v>61475</v>
      </c>
      <c r="B1293" s="555">
        <v>61450</v>
      </c>
      <c r="C1293" s="555">
        <v>61500</v>
      </c>
      <c r="D1293" s="556">
        <f t="shared" si="104"/>
        <v>8439</v>
      </c>
      <c r="E1293" s="556">
        <f t="shared" si="105"/>
        <v>6900</v>
      </c>
      <c r="F1293" s="556">
        <f t="shared" si="106"/>
        <v>8439</v>
      </c>
      <c r="G1293" s="556">
        <f t="shared" si="107"/>
        <v>7037</v>
      </c>
    </row>
    <row r="1294" spans="1:7" ht="15.75">
      <c r="A1294" s="625">
        <f t="shared" si="108"/>
        <v>61525</v>
      </c>
      <c r="B1294" s="555">
        <v>61500</v>
      </c>
      <c r="C1294" s="555">
        <v>61550</v>
      </c>
      <c r="D1294" s="556">
        <f t="shared" si="104"/>
        <v>8450</v>
      </c>
      <c r="E1294" s="556">
        <f t="shared" si="105"/>
        <v>6906</v>
      </c>
      <c r="F1294" s="556">
        <f t="shared" si="106"/>
        <v>8450</v>
      </c>
      <c r="G1294" s="556">
        <f t="shared" si="107"/>
        <v>7043</v>
      </c>
    </row>
    <row r="1295" spans="1:7" ht="15.75">
      <c r="A1295" s="625">
        <f t="shared" si="108"/>
        <v>61575</v>
      </c>
      <c r="B1295" s="555">
        <v>61550</v>
      </c>
      <c r="C1295" s="555">
        <v>61600</v>
      </c>
      <c r="D1295" s="556">
        <f t="shared" si="104"/>
        <v>8461</v>
      </c>
      <c r="E1295" s="556">
        <f t="shared" si="105"/>
        <v>6912</v>
      </c>
      <c r="F1295" s="556">
        <f t="shared" si="106"/>
        <v>8461</v>
      </c>
      <c r="G1295" s="556">
        <f t="shared" si="107"/>
        <v>7049</v>
      </c>
    </row>
    <row r="1296" spans="1:7" ht="15.75">
      <c r="A1296" s="625">
        <f t="shared" si="108"/>
        <v>61625</v>
      </c>
      <c r="B1296" s="555">
        <v>61600</v>
      </c>
      <c r="C1296" s="555">
        <v>61650</v>
      </c>
      <c r="D1296" s="556">
        <f t="shared" si="104"/>
        <v>8472</v>
      </c>
      <c r="E1296" s="556">
        <f t="shared" si="105"/>
        <v>6918</v>
      </c>
      <c r="F1296" s="556">
        <f t="shared" si="106"/>
        <v>8472</v>
      </c>
      <c r="G1296" s="556">
        <f t="shared" si="107"/>
        <v>7055</v>
      </c>
    </row>
    <row r="1297" spans="1:7" ht="15.75">
      <c r="A1297" s="625">
        <f t="shared" si="108"/>
        <v>61675</v>
      </c>
      <c r="B1297" s="555">
        <v>61650</v>
      </c>
      <c r="C1297" s="555">
        <v>61700</v>
      </c>
      <c r="D1297" s="556">
        <f t="shared" si="104"/>
        <v>8483</v>
      </c>
      <c r="E1297" s="556">
        <f t="shared" si="105"/>
        <v>6924</v>
      </c>
      <c r="F1297" s="556">
        <f t="shared" si="106"/>
        <v>8483</v>
      </c>
      <c r="G1297" s="556">
        <f t="shared" si="107"/>
        <v>7061</v>
      </c>
    </row>
    <row r="1298" spans="1:7" ht="15.75">
      <c r="A1298" s="625">
        <f t="shared" si="108"/>
        <v>61725</v>
      </c>
      <c r="B1298" s="555">
        <v>61700</v>
      </c>
      <c r="C1298" s="555">
        <v>61750</v>
      </c>
      <c r="D1298" s="556">
        <f t="shared" si="104"/>
        <v>8494</v>
      </c>
      <c r="E1298" s="556">
        <f t="shared" si="105"/>
        <v>6930</v>
      </c>
      <c r="F1298" s="556">
        <f t="shared" si="106"/>
        <v>8494</v>
      </c>
      <c r="G1298" s="556">
        <f t="shared" si="107"/>
        <v>7067</v>
      </c>
    </row>
    <row r="1299" spans="1:7" ht="15.75">
      <c r="A1299" s="625">
        <f t="shared" si="108"/>
        <v>61775</v>
      </c>
      <c r="B1299" s="555">
        <v>61750</v>
      </c>
      <c r="C1299" s="555">
        <v>61800</v>
      </c>
      <c r="D1299" s="556">
        <f t="shared" si="104"/>
        <v>8505</v>
      </c>
      <c r="E1299" s="556">
        <f t="shared" si="105"/>
        <v>6936</v>
      </c>
      <c r="F1299" s="556">
        <f t="shared" si="106"/>
        <v>8505</v>
      </c>
      <c r="G1299" s="556">
        <f t="shared" si="107"/>
        <v>7073</v>
      </c>
    </row>
    <row r="1300" spans="1:7" ht="15.75">
      <c r="A1300" s="625">
        <f t="shared" si="108"/>
        <v>61825</v>
      </c>
      <c r="B1300" s="555">
        <v>61800</v>
      </c>
      <c r="C1300" s="555">
        <v>61850</v>
      </c>
      <c r="D1300" s="556">
        <f t="shared" si="104"/>
        <v>8516</v>
      </c>
      <c r="E1300" s="556">
        <f t="shared" si="105"/>
        <v>6942</v>
      </c>
      <c r="F1300" s="556">
        <f t="shared" si="106"/>
        <v>8516</v>
      </c>
      <c r="G1300" s="556">
        <f t="shared" si="107"/>
        <v>7079</v>
      </c>
    </row>
    <row r="1301" spans="1:7" ht="15.75">
      <c r="A1301" s="625">
        <f t="shared" si="108"/>
        <v>61875</v>
      </c>
      <c r="B1301" s="555">
        <v>61850</v>
      </c>
      <c r="C1301" s="555">
        <v>61900</v>
      </c>
      <c r="D1301" s="556">
        <f t="shared" si="104"/>
        <v>8527</v>
      </c>
      <c r="E1301" s="556">
        <f t="shared" si="105"/>
        <v>6948</v>
      </c>
      <c r="F1301" s="556">
        <f t="shared" si="106"/>
        <v>8527</v>
      </c>
      <c r="G1301" s="556">
        <f t="shared" si="107"/>
        <v>7085</v>
      </c>
    </row>
    <row r="1302" spans="1:7" ht="15.75">
      <c r="A1302" s="625">
        <f t="shared" si="108"/>
        <v>61925</v>
      </c>
      <c r="B1302" s="555">
        <v>61900</v>
      </c>
      <c r="C1302" s="555">
        <v>61950</v>
      </c>
      <c r="D1302" s="556">
        <f t="shared" si="104"/>
        <v>8538</v>
      </c>
      <c r="E1302" s="556">
        <f t="shared" si="105"/>
        <v>6954</v>
      </c>
      <c r="F1302" s="556">
        <f t="shared" si="106"/>
        <v>8538</v>
      </c>
      <c r="G1302" s="556">
        <f t="shared" si="107"/>
        <v>7091</v>
      </c>
    </row>
    <row r="1303" spans="1:7" ht="15.75">
      <c r="A1303" s="625">
        <f t="shared" si="108"/>
        <v>61975</v>
      </c>
      <c r="B1303" s="555">
        <v>61950</v>
      </c>
      <c r="C1303" s="555">
        <v>62000</v>
      </c>
      <c r="D1303" s="556">
        <f t="shared" si="104"/>
        <v>8549</v>
      </c>
      <c r="E1303" s="556">
        <f t="shared" si="105"/>
        <v>6960</v>
      </c>
      <c r="F1303" s="556">
        <f t="shared" si="106"/>
        <v>8549</v>
      </c>
      <c r="G1303" s="556">
        <f t="shared" si="107"/>
        <v>7097</v>
      </c>
    </row>
    <row r="1304" spans="1:7" ht="15.75">
      <c r="A1304" s="625">
        <f t="shared" si="108"/>
        <v>62025</v>
      </c>
      <c r="B1304" s="555">
        <v>62000</v>
      </c>
      <c r="C1304" s="555">
        <v>62050</v>
      </c>
      <c r="D1304" s="556">
        <f t="shared" si="104"/>
        <v>8560</v>
      </c>
      <c r="E1304" s="556">
        <f t="shared" si="105"/>
        <v>6966</v>
      </c>
      <c r="F1304" s="556">
        <f t="shared" si="106"/>
        <v>8560</v>
      </c>
      <c r="G1304" s="556">
        <f t="shared" si="107"/>
        <v>7103</v>
      </c>
    </row>
    <row r="1305" spans="1:7" ht="15.75">
      <c r="A1305" s="625">
        <f t="shared" si="108"/>
        <v>62075</v>
      </c>
      <c r="B1305" s="555">
        <v>62050</v>
      </c>
      <c r="C1305" s="555">
        <v>62100</v>
      </c>
      <c r="D1305" s="556">
        <f t="shared" si="104"/>
        <v>8571</v>
      </c>
      <c r="E1305" s="556">
        <f t="shared" si="105"/>
        <v>6972</v>
      </c>
      <c r="F1305" s="556">
        <f t="shared" si="106"/>
        <v>8571</v>
      </c>
      <c r="G1305" s="556">
        <f t="shared" si="107"/>
        <v>7109</v>
      </c>
    </row>
    <row r="1306" spans="1:7" ht="15.75">
      <c r="A1306" s="625">
        <f t="shared" si="108"/>
        <v>62125</v>
      </c>
      <c r="B1306" s="555">
        <v>62100</v>
      </c>
      <c r="C1306" s="555">
        <v>62150</v>
      </c>
      <c r="D1306" s="556">
        <f t="shared" si="104"/>
        <v>8582</v>
      </c>
      <c r="E1306" s="556">
        <f t="shared" si="105"/>
        <v>6978</v>
      </c>
      <c r="F1306" s="556">
        <f t="shared" si="106"/>
        <v>8582</v>
      </c>
      <c r="G1306" s="556">
        <f t="shared" si="107"/>
        <v>7115</v>
      </c>
    </row>
    <row r="1307" spans="1:7" ht="15.75">
      <c r="A1307" s="625">
        <f t="shared" si="108"/>
        <v>62175</v>
      </c>
      <c r="B1307" s="555">
        <v>62150</v>
      </c>
      <c r="C1307" s="555">
        <v>62200</v>
      </c>
      <c r="D1307" s="556">
        <f t="shared" si="104"/>
        <v>8593</v>
      </c>
      <c r="E1307" s="556">
        <f t="shared" si="105"/>
        <v>6984</v>
      </c>
      <c r="F1307" s="556">
        <f t="shared" si="106"/>
        <v>8593</v>
      </c>
      <c r="G1307" s="556">
        <f t="shared" si="107"/>
        <v>7121</v>
      </c>
    </row>
    <row r="1308" spans="1:7" ht="15.75">
      <c r="A1308" s="625">
        <f t="shared" si="108"/>
        <v>62225</v>
      </c>
      <c r="B1308" s="555">
        <v>62200</v>
      </c>
      <c r="C1308" s="555">
        <v>62250</v>
      </c>
      <c r="D1308" s="556">
        <f t="shared" si="104"/>
        <v>8604</v>
      </c>
      <c r="E1308" s="556">
        <f t="shared" si="105"/>
        <v>6990</v>
      </c>
      <c r="F1308" s="556">
        <f t="shared" si="106"/>
        <v>8604</v>
      </c>
      <c r="G1308" s="556">
        <f t="shared" si="107"/>
        <v>7127</v>
      </c>
    </row>
    <row r="1309" spans="1:7" ht="15.75">
      <c r="A1309" s="625">
        <f t="shared" si="108"/>
        <v>62275</v>
      </c>
      <c r="B1309" s="555">
        <v>62250</v>
      </c>
      <c r="C1309" s="555">
        <v>62300</v>
      </c>
      <c r="D1309" s="556">
        <f t="shared" si="104"/>
        <v>8615</v>
      </c>
      <c r="E1309" s="556">
        <f t="shared" si="105"/>
        <v>6996</v>
      </c>
      <c r="F1309" s="556">
        <f t="shared" si="106"/>
        <v>8615</v>
      </c>
      <c r="G1309" s="556">
        <f t="shared" si="107"/>
        <v>7133</v>
      </c>
    </row>
    <row r="1310" spans="1:7" ht="15.75">
      <c r="A1310" s="625">
        <f t="shared" si="108"/>
        <v>62325</v>
      </c>
      <c r="B1310" s="555">
        <v>62300</v>
      </c>
      <c r="C1310" s="555">
        <v>62350</v>
      </c>
      <c r="D1310" s="556">
        <f t="shared" si="104"/>
        <v>8626</v>
      </c>
      <c r="E1310" s="556">
        <f t="shared" si="105"/>
        <v>7002</v>
      </c>
      <c r="F1310" s="556">
        <f t="shared" si="106"/>
        <v>8626</v>
      </c>
      <c r="G1310" s="556">
        <f t="shared" si="107"/>
        <v>7139</v>
      </c>
    </row>
    <row r="1311" spans="1:7" ht="15.75">
      <c r="A1311" s="625">
        <f t="shared" si="108"/>
        <v>62375</v>
      </c>
      <c r="B1311" s="555">
        <v>62350</v>
      </c>
      <c r="C1311" s="555">
        <v>62400</v>
      </c>
      <c r="D1311" s="556">
        <f t="shared" si="104"/>
        <v>8637</v>
      </c>
      <c r="E1311" s="556">
        <f t="shared" si="105"/>
        <v>7008</v>
      </c>
      <c r="F1311" s="556">
        <f t="shared" si="106"/>
        <v>8637</v>
      </c>
      <c r="G1311" s="556">
        <f t="shared" si="107"/>
        <v>7145</v>
      </c>
    </row>
    <row r="1312" spans="1:7" ht="15.75">
      <c r="A1312" s="625">
        <f t="shared" si="108"/>
        <v>62425</v>
      </c>
      <c r="B1312" s="555">
        <v>62400</v>
      </c>
      <c r="C1312" s="555">
        <v>62450</v>
      </c>
      <c r="D1312" s="556">
        <f t="shared" si="104"/>
        <v>8648</v>
      </c>
      <c r="E1312" s="556">
        <f t="shared" si="105"/>
        <v>7014</v>
      </c>
      <c r="F1312" s="556">
        <f t="shared" si="106"/>
        <v>8648</v>
      </c>
      <c r="G1312" s="556">
        <f t="shared" si="107"/>
        <v>7151</v>
      </c>
    </row>
    <row r="1313" spans="1:7" ht="15.75">
      <c r="A1313" s="625">
        <f t="shared" si="108"/>
        <v>62475</v>
      </c>
      <c r="B1313" s="555">
        <v>62450</v>
      </c>
      <c r="C1313" s="555">
        <v>62500</v>
      </c>
      <c r="D1313" s="556">
        <f t="shared" si="104"/>
        <v>8659</v>
      </c>
      <c r="E1313" s="556">
        <f t="shared" si="105"/>
        <v>7020</v>
      </c>
      <c r="F1313" s="556">
        <f t="shared" si="106"/>
        <v>8659</v>
      </c>
      <c r="G1313" s="556">
        <f t="shared" si="107"/>
        <v>7157</v>
      </c>
    </row>
    <row r="1314" spans="1:7" ht="15.75">
      <c r="A1314" s="625">
        <f t="shared" si="108"/>
        <v>62525</v>
      </c>
      <c r="B1314" s="555">
        <v>62500</v>
      </c>
      <c r="C1314" s="555">
        <v>62550</v>
      </c>
      <c r="D1314" s="556">
        <f t="shared" si="104"/>
        <v>8670</v>
      </c>
      <c r="E1314" s="556">
        <f t="shared" si="105"/>
        <v>7026</v>
      </c>
      <c r="F1314" s="556">
        <f t="shared" si="106"/>
        <v>8670</v>
      </c>
      <c r="G1314" s="556">
        <f t="shared" si="107"/>
        <v>7163</v>
      </c>
    </row>
    <row r="1315" spans="1:7" ht="15.75">
      <c r="A1315" s="625">
        <f t="shared" si="108"/>
        <v>62575</v>
      </c>
      <c r="B1315" s="555">
        <v>62550</v>
      </c>
      <c r="C1315" s="555">
        <v>62600</v>
      </c>
      <c r="D1315" s="556">
        <f t="shared" si="104"/>
        <v>8681</v>
      </c>
      <c r="E1315" s="556">
        <f t="shared" si="105"/>
        <v>7032</v>
      </c>
      <c r="F1315" s="556">
        <f t="shared" si="106"/>
        <v>8681</v>
      </c>
      <c r="G1315" s="556">
        <f t="shared" si="107"/>
        <v>7169</v>
      </c>
    </row>
    <row r="1316" spans="1:7" ht="15.75">
      <c r="A1316" s="625">
        <f t="shared" si="108"/>
        <v>62625</v>
      </c>
      <c r="B1316" s="555">
        <v>62600</v>
      </c>
      <c r="C1316" s="555">
        <v>62650</v>
      </c>
      <c r="D1316" s="556">
        <f t="shared" si="104"/>
        <v>8692</v>
      </c>
      <c r="E1316" s="556">
        <f t="shared" si="105"/>
        <v>7038</v>
      </c>
      <c r="F1316" s="556">
        <f t="shared" si="106"/>
        <v>8692</v>
      </c>
      <c r="G1316" s="556">
        <f t="shared" si="107"/>
        <v>7175</v>
      </c>
    </row>
    <row r="1317" spans="1:7" ht="15.75">
      <c r="A1317" s="625">
        <f t="shared" si="108"/>
        <v>62675</v>
      </c>
      <c r="B1317" s="555">
        <v>62650</v>
      </c>
      <c r="C1317" s="555">
        <v>62700</v>
      </c>
      <c r="D1317" s="556">
        <f t="shared" si="104"/>
        <v>8703</v>
      </c>
      <c r="E1317" s="556">
        <f t="shared" si="105"/>
        <v>7044</v>
      </c>
      <c r="F1317" s="556">
        <f t="shared" si="106"/>
        <v>8703</v>
      </c>
      <c r="G1317" s="556">
        <f t="shared" si="107"/>
        <v>7181</v>
      </c>
    </row>
    <row r="1318" spans="1:7" ht="15.75">
      <c r="A1318" s="625">
        <f t="shared" si="108"/>
        <v>62725</v>
      </c>
      <c r="B1318" s="555">
        <v>62700</v>
      </c>
      <c r="C1318" s="555">
        <v>62750</v>
      </c>
      <c r="D1318" s="556">
        <f t="shared" si="104"/>
        <v>8714</v>
      </c>
      <c r="E1318" s="556">
        <f t="shared" si="105"/>
        <v>7050</v>
      </c>
      <c r="F1318" s="556">
        <f t="shared" si="106"/>
        <v>8714</v>
      </c>
      <c r="G1318" s="556">
        <f t="shared" si="107"/>
        <v>7187</v>
      </c>
    </row>
    <row r="1319" spans="1:7" ht="15.75">
      <c r="A1319" s="625">
        <f t="shared" si="108"/>
        <v>62775</v>
      </c>
      <c r="B1319" s="555">
        <v>62750</v>
      </c>
      <c r="C1319" s="555">
        <v>62800</v>
      </c>
      <c r="D1319" s="556">
        <f t="shared" si="104"/>
        <v>8725</v>
      </c>
      <c r="E1319" s="556">
        <f t="shared" si="105"/>
        <v>7056</v>
      </c>
      <c r="F1319" s="556">
        <f t="shared" si="106"/>
        <v>8725</v>
      </c>
      <c r="G1319" s="556">
        <f t="shared" si="107"/>
        <v>7193</v>
      </c>
    </row>
    <row r="1320" spans="1:7" ht="15.75">
      <c r="A1320" s="625">
        <f t="shared" si="108"/>
        <v>62825</v>
      </c>
      <c r="B1320" s="555">
        <v>62800</v>
      </c>
      <c r="C1320" s="555">
        <v>62850</v>
      </c>
      <c r="D1320" s="556">
        <f t="shared" si="104"/>
        <v>8736</v>
      </c>
      <c r="E1320" s="556">
        <f t="shared" si="105"/>
        <v>7062</v>
      </c>
      <c r="F1320" s="556">
        <f t="shared" si="106"/>
        <v>8736</v>
      </c>
      <c r="G1320" s="556">
        <f t="shared" si="107"/>
        <v>7199</v>
      </c>
    </row>
    <row r="1321" spans="1:7" ht="15.75">
      <c r="A1321" s="625">
        <f t="shared" si="108"/>
        <v>62875</v>
      </c>
      <c r="B1321" s="555">
        <v>62850</v>
      </c>
      <c r="C1321" s="555">
        <v>62900</v>
      </c>
      <c r="D1321" s="556">
        <f t="shared" si="104"/>
        <v>8747</v>
      </c>
      <c r="E1321" s="556">
        <f t="shared" si="105"/>
        <v>7068</v>
      </c>
      <c r="F1321" s="556">
        <f t="shared" si="106"/>
        <v>8747</v>
      </c>
      <c r="G1321" s="556">
        <f t="shared" si="107"/>
        <v>7205</v>
      </c>
    </row>
    <row r="1322" spans="1:7" ht="15.75">
      <c r="A1322" s="625">
        <f t="shared" si="108"/>
        <v>62925</v>
      </c>
      <c r="B1322" s="555">
        <v>62900</v>
      </c>
      <c r="C1322" s="555">
        <v>62950</v>
      </c>
      <c r="D1322" s="556">
        <f t="shared" si="104"/>
        <v>8758</v>
      </c>
      <c r="E1322" s="556">
        <f t="shared" si="105"/>
        <v>7074</v>
      </c>
      <c r="F1322" s="556">
        <f t="shared" si="106"/>
        <v>8758</v>
      </c>
      <c r="G1322" s="556">
        <f t="shared" si="107"/>
        <v>7211</v>
      </c>
    </row>
    <row r="1323" spans="1:7" ht="15.75">
      <c r="A1323" s="625">
        <f t="shared" si="108"/>
        <v>62975</v>
      </c>
      <c r="B1323" s="555">
        <v>62950</v>
      </c>
      <c r="C1323" s="555">
        <v>63000</v>
      </c>
      <c r="D1323" s="556">
        <f t="shared" si="104"/>
        <v>8769</v>
      </c>
      <c r="E1323" s="556">
        <f t="shared" si="105"/>
        <v>7080</v>
      </c>
      <c r="F1323" s="556">
        <f t="shared" si="106"/>
        <v>8769</v>
      </c>
      <c r="G1323" s="556">
        <f t="shared" si="107"/>
        <v>7217</v>
      </c>
    </row>
    <row r="1324" spans="1:7" ht="15.75">
      <c r="A1324" s="625">
        <f t="shared" si="108"/>
        <v>63025</v>
      </c>
      <c r="B1324" s="555">
        <v>63000</v>
      </c>
      <c r="C1324" s="555">
        <v>63050</v>
      </c>
      <c r="D1324" s="556">
        <f t="shared" si="104"/>
        <v>8780</v>
      </c>
      <c r="E1324" s="556">
        <f t="shared" si="105"/>
        <v>7086</v>
      </c>
      <c r="F1324" s="556">
        <f t="shared" si="106"/>
        <v>8780</v>
      </c>
      <c r="G1324" s="556">
        <f t="shared" si="107"/>
        <v>7223</v>
      </c>
    </row>
    <row r="1325" spans="1:7" ht="15.75">
      <c r="A1325" s="625">
        <f t="shared" si="108"/>
        <v>63075</v>
      </c>
      <c r="B1325" s="555">
        <v>63050</v>
      </c>
      <c r="C1325" s="555">
        <v>63100</v>
      </c>
      <c r="D1325" s="556">
        <f t="shared" si="104"/>
        <v>8791</v>
      </c>
      <c r="E1325" s="556">
        <f t="shared" si="105"/>
        <v>7092</v>
      </c>
      <c r="F1325" s="556">
        <f t="shared" si="106"/>
        <v>8791</v>
      </c>
      <c r="G1325" s="556">
        <f t="shared" si="107"/>
        <v>7229</v>
      </c>
    </row>
    <row r="1326" spans="1:7" ht="15.75">
      <c r="A1326" s="625">
        <f t="shared" si="108"/>
        <v>63125</v>
      </c>
      <c r="B1326" s="555">
        <v>63100</v>
      </c>
      <c r="C1326" s="555">
        <v>63150</v>
      </c>
      <c r="D1326" s="556">
        <f t="shared" si="104"/>
        <v>8802</v>
      </c>
      <c r="E1326" s="556">
        <f t="shared" si="105"/>
        <v>7098</v>
      </c>
      <c r="F1326" s="556">
        <f t="shared" si="106"/>
        <v>8802</v>
      </c>
      <c r="G1326" s="556">
        <f t="shared" si="107"/>
        <v>7235</v>
      </c>
    </row>
    <row r="1327" spans="1:7" ht="15.75">
      <c r="A1327" s="625">
        <f t="shared" si="108"/>
        <v>63175</v>
      </c>
      <c r="B1327" s="555">
        <v>63150</v>
      </c>
      <c r="C1327" s="555">
        <v>63200</v>
      </c>
      <c r="D1327" s="556">
        <f t="shared" si="104"/>
        <v>8813</v>
      </c>
      <c r="E1327" s="556">
        <f t="shared" si="105"/>
        <v>7104</v>
      </c>
      <c r="F1327" s="556">
        <f t="shared" si="106"/>
        <v>8813</v>
      </c>
      <c r="G1327" s="556">
        <f t="shared" si="107"/>
        <v>7241</v>
      </c>
    </row>
    <row r="1328" spans="1:7" ht="15.75">
      <c r="A1328" s="625">
        <f t="shared" si="108"/>
        <v>63225</v>
      </c>
      <c r="B1328" s="555">
        <v>63200</v>
      </c>
      <c r="C1328" s="555">
        <v>63250</v>
      </c>
      <c r="D1328" s="556">
        <f t="shared" si="104"/>
        <v>8824</v>
      </c>
      <c r="E1328" s="556">
        <f t="shared" si="105"/>
        <v>7110</v>
      </c>
      <c r="F1328" s="556">
        <f t="shared" si="106"/>
        <v>8824</v>
      </c>
      <c r="G1328" s="556">
        <f t="shared" si="107"/>
        <v>7247</v>
      </c>
    </row>
    <row r="1329" spans="1:7" ht="15.75">
      <c r="A1329" s="625">
        <f t="shared" si="108"/>
        <v>63275</v>
      </c>
      <c r="B1329" s="555">
        <v>63250</v>
      </c>
      <c r="C1329" s="555">
        <v>63300</v>
      </c>
      <c r="D1329" s="556">
        <f t="shared" si="104"/>
        <v>8835</v>
      </c>
      <c r="E1329" s="556">
        <f t="shared" si="105"/>
        <v>7116</v>
      </c>
      <c r="F1329" s="556">
        <f t="shared" si="106"/>
        <v>8835</v>
      </c>
      <c r="G1329" s="556">
        <f t="shared" si="107"/>
        <v>7253</v>
      </c>
    </row>
    <row r="1330" spans="1:7" ht="15.75">
      <c r="A1330" s="625">
        <f t="shared" si="108"/>
        <v>63325</v>
      </c>
      <c r="B1330" s="555">
        <v>63300</v>
      </c>
      <c r="C1330" s="555">
        <v>63350</v>
      </c>
      <c r="D1330" s="556">
        <f t="shared" si="104"/>
        <v>8846</v>
      </c>
      <c r="E1330" s="556">
        <f t="shared" si="105"/>
        <v>7122</v>
      </c>
      <c r="F1330" s="556">
        <f t="shared" si="106"/>
        <v>8846</v>
      </c>
      <c r="G1330" s="556">
        <f t="shared" si="107"/>
        <v>7259</v>
      </c>
    </row>
    <row r="1331" spans="1:7" ht="15.75">
      <c r="A1331" s="625">
        <f t="shared" si="108"/>
        <v>63375</v>
      </c>
      <c r="B1331" s="555">
        <v>63350</v>
      </c>
      <c r="C1331" s="555">
        <v>63400</v>
      </c>
      <c r="D1331" s="556">
        <f t="shared" si="104"/>
        <v>8857</v>
      </c>
      <c r="E1331" s="556">
        <f t="shared" si="105"/>
        <v>7128</v>
      </c>
      <c r="F1331" s="556">
        <f t="shared" si="106"/>
        <v>8857</v>
      </c>
      <c r="G1331" s="556">
        <f t="shared" si="107"/>
        <v>7265</v>
      </c>
    </row>
    <row r="1332" spans="1:7" ht="15.75">
      <c r="A1332" s="625">
        <f t="shared" si="108"/>
        <v>63425</v>
      </c>
      <c r="B1332" s="555">
        <v>63400</v>
      </c>
      <c r="C1332" s="555">
        <v>63450</v>
      </c>
      <c r="D1332" s="556">
        <f t="shared" si="104"/>
        <v>8868</v>
      </c>
      <c r="E1332" s="556">
        <f t="shared" si="105"/>
        <v>7134</v>
      </c>
      <c r="F1332" s="556">
        <f t="shared" si="106"/>
        <v>8868</v>
      </c>
      <c r="G1332" s="556">
        <f t="shared" si="107"/>
        <v>7271</v>
      </c>
    </row>
    <row r="1333" spans="1:7" ht="15.75">
      <c r="A1333" s="625">
        <f t="shared" si="108"/>
        <v>63475</v>
      </c>
      <c r="B1333" s="555">
        <v>63450</v>
      </c>
      <c r="C1333" s="555">
        <v>63500</v>
      </c>
      <c r="D1333" s="556">
        <f t="shared" si="104"/>
        <v>8879</v>
      </c>
      <c r="E1333" s="556">
        <f t="shared" si="105"/>
        <v>7140</v>
      </c>
      <c r="F1333" s="556">
        <f t="shared" si="106"/>
        <v>8879</v>
      </c>
      <c r="G1333" s="556">
        <f t="shared" si="107"/>
        <v>7277</v>
      </c>
    </row>
    <row r="1334" spans="1:7" ht="15.75">
      <c r="A1334" s="625">
        <f t="shared" si="108"/>
        <v>63525</v>
      </c>
      <c r="B1334" s="555">
        <v>63500</v>
      </c>
      <c r="C1334" s="555">
        <v>63550</v>
      </c>
      <c r="D1334" s="556">
        <f t="shared" si="104"/>
        <v>8890</v>
      </c>
      <c r="E1334" s="556">
        <f t="shared" si="105"/>
        <v>7146</v>
      </c>
      <c r="F1334" s="556">
        <f t="shared" si="106"/>
        <v>8890</v>
      </c>
      <c r="G1334" s="556">
        <f t="shared" si="107"/>
        <v>7283</v>
      </c>
    </row>
    <row r="1335" spans="1:7" ht="15.75">
      <c r="A1335" s="625">
        <f t="shared" si="108"/>
        <v>63575</v>
      </c>
      <c r="B1335" s="555">
        <v>63550</v>
      </c>
      <c r="C1335" s="555">
        <v>63600</v>
      </c>
      <c r="D1335" s="556">
        <f t="shared" si="104"/>
        <v>8901</v>
      </c>
      <c r="E1335" s="556">
        <f t="shared" si="105"/>
        <v>7152</v>
      </c>
      <c r="F1335" s="556">
        <f t="shared" si="106"/>
        <v>8901</v>
      </c>
      <c r="G1335" s="556">
        <f t="shared" si="107"/>
        <v>7289</v>
      </c>
    </row>
    <row r="1336" spans="1:7" ht="15.75">
      <c r="A1336" s="625">
        <f t="shared" si="108"/>
        <v>63625</v>
      </c>
      <c r="B1336" s="555">
        <v>63600</v>
      </c>
      <c r="C1336" s="555">
        <v>63650</v>
      </c>
      <c r="D1336" s="556">
        <f t="shared" si="104"/>
        <v>8912</v>
      </c>
      <c r="E1336" s="556">
        <f t="shared" si="105"/>
        <v>7158</v>
      </c>
      <c r="F1336" s="556">
        <f t="shared" si="106"/>
        <v>8912</v>
      </c>
      <c r="G1336" s="556">
        <f t="shared" si="107"/>
        <v>7295</v>
      </c>
    </row>
    <row r="1337" spans="1:7" ht="15.75">
      <c r="A1337" s="625">
        <f t="shared" si="108"/>
        <v>63675</v>
      </c>
      <c r="B1337" s="555">
        <v>63650</v>
      </c>
      <c r="C1337" s="555">
        <v>63700</v>
      </c>
      <c r="D1337" s="556">
        <f t="shared" si="104"/>
        <v>8923</v>
      </c>
      <c r="E1337" s="556">
        <f t="shared" si="105"/>
        <v>7164</v>
      </c>
      <c r="F1337" s="556">
        <f t="shared" si="106"/>
        <v>8923</v>
      </c>
      <c r="G1337" s="556">
        <f t="shared" si="107"/>
        <v>7301</v>
      </c>
    </row>
    <row r="1338" spans="1:7" ht="15.75">
      <c r="A1338" s="625">
        <f t="shared" si="108"/>
        <v>63725</v>
      </c>
      <c r="B1338" s="555">
        <v>63700</v>
      </c>
      <c r="C1338" s="555">
        <v>63750</v>
      </c>
      <c r="D1338" s="556">
        <f t="shared" si="104"/>
        <v>8934</v>
      </c>
      <c r="E1338" s="556">
        <f t="shared" si="105"/>
        <v>7170</v>
      </c>
      <c r="F1338" s="556">
        <f t="shared" si="106"/>
        <v>8934</v>
      </c>
      <c r="G1338" s="556">
        <f t="shared" si="107"/>
        <v>7307</v>
      </c>
    </row>
    <row r="1339" spans="1:7" ht="15.75">
      <c r="A1339" s="625">
        <f t="shared" si="108"/>
        <v>63775</v>
      </c>
      <c r="B1339" s="555">
        <v>63750</v>
      </c>
      <c r="C1339" s="555">
        <v>63800</v>
      </c>
      <c r="D1339" s="556">
        <f t="shared" si="104"/>
        <v>8945</v>
      </c>
      <c r="E1339" s="556">
        <f t="shared" si="105"/>
        <v>7176</v>
      </c>
      <c r="F1339" s="556">
        <f t="shared" si="106"/>
        <v>8945</v>
      </c>
      <c r="G1339" s="556">
        <f t="shared" si="107"/>
        <v>7313</v>
      </c>
    </row>
    <row r="1340" spans="1:7" ht="15.75">
      <c r="A1340" s="625">
        <f t="shared" si="108"/>
        <v>63825</v>
      </c>
      <c r="B1340" s="555">
        <v>63800</v>
      </c>
      <c r="C1340" s="555">
        <v>63850</v>
      </c>
      <c r="D1340" s="556">
        <f t="shared" si="104"/>
        <v>8956</v>
      </c>
      <c r="E1340" s="556">
        <f t="shared" si="105"/>
        <v>7182</v>
      </c>
      <c r="F1340" s="556">
        <f t="shared" si="106"/>
        <v>8956</v>
      </c>
      <c r="G1340" s="556">
        <f t="shared" si="107"/>
        <v>7319</v>
      </c>
    </row>
    <row r="1341" spans="1:7" ht="15.75">
      <c r="A1341" s="625">
        <f t="shared" si="108"/>
        <v>63875</v>
      </c>
      <c r="B1341" s="555">
        <v>63850</v>
      </c>
      <c r="C1341" s="555">
        <v>63900</v>
      </c>
      <c r="D1341" s="556">
        <f t="shared" si="104"/>
        <v>8967</v>
      </c>
      <c r="E1341" s="556">
        <f t="shared" si="105"/>
        <v>7188</v>
      </c>
      <c r="F1341" s="556">
        <f t="shared" si="106"/>
        <v>8967</v>
      </c>
      <c r="G1341" s="556">
        <f t="shared" si="107"/>
        <v>7325</v>
      </c>
    </row>
    <row r="1342" spans="1:7" ht="15.75">
      <c r="A1342" s="625">
        <f t="shared" si="108"/>
        <v>63925</v>
      </c>
      <c r="B1342" s="555">
        <v>63900</v>
      </c>
      <c r="C1342" s="555">
        <v>63950</v>
      </c>
      <c r="D1342" s="556">
        <f t="shared" si="104"/>
        <v>8978</v>
      </c>
      <c r="E1342" s="556">
        <f t="shared" si="105"/>
        <v>7194</v>
      </c>
      <c r="F1342" s="556">
        <f t="shared" si="106"/>
        <v>8978</v>
      </c>
      <c r="G1342" s="556">
        <f t="shared" si="107"/>
        <v>7331</v>
      </c>
    </row>
    <row r="1343" spans="1:7" ht="15.75">
      <c r="A1343" s="625">
        <f t="shared" si="108"/>
        <v>63975</v>
      </c>
      <c r="B1343" s="555">
        <v>63950</v>
      </c>
      <c r="C1343" s="555">
        <v>64000</v>
      </c>
      <c r="D1343" s="556">
        <f t="shared" si="104"/>
        <v>8989</v>
      </c>
      <c r="E1343" s="556">
        <f t="shared" si="105"/>
        <v>7200</v>
      </c>
      <c r="F1343" s="556">
        <f t="shared" si="106"/>
        <v>8989</v>
      </c>
      <c r="G1343" s="556">
        <f t="shared" si="107"/>
        <v>7337</v>
      </c>
    </row>
    <row r="1344" spans="1:7" ht="15.75">
      <c r="A1344" s="625">
        <f t="shared" si="108"/>
        <v>64025</v>
      </c>
      <c r="B1344" s="555">
        <v>64000</v>
      </c>
      <c r="C1344" s="555">
        <v>64050</v>
      </c>
      <c r="D1344" s="556">
        <f t="shared" si="104"/>
        <v>9000</v>
      </c>
      <c r="E1344" s="556">
        <f t="shared" si="105"/>
        <v>7206</v>
      </c>
      <c r="F1344" s="556">
        <f t="shared" si="106"/>
        <v>9000</v>
      </c>
      <c r="G1344" s="556">
        <f t="shared" si="107"/>
        <v>7343</v>
      </c>
    </row>
    <row r="1345" spans="1:7" ht="15.75">
      <c r="A1345" s="625">
        <f t="shared" si="108"/>
        <v>64075</v>
      </c>
      <c r="B1345" s="555">
        <v>64050</v>
      </c>
      <c r="C1345" s="555">
        <v>64100</v>
      </c>
      <c r="D1345" s="556">
        <f t="shared" si="104"/>
        <v>9011</v>
      </c>
      <c r="E1345" s="556">
        <f t="shared" si="105"/>
        <v>7212</v>
      </c>
      <c r="F1345" s="556">
        <f t="shared" si="106"/>
        <v>9011</v>
      </c>
      <c r="G1345" s="556">
        <f t="shared" si="107"/>
        <v>7349</v>
      </c>
    </row>
    <row r="1346" spans="1:7" ht="15.75">
      <c r="A1346" s="625">
        <f t="shared" si="108"/>
        <v>64125</v>
      </c>
      <c r="B1346" s="555">
        <v>64100</v>
      </c>
      <c r="C1346" s="555">
        <v>64150</v>
      </c>
      <c r="D1346" s="556">
        <f t="shared" ref="D1346:D1409" si="109">IF($A1346&gt;BOTT_A4,ROUND(BASE_A4+RATE_A4*($A1346-BOTT_A4),0),IF($A1346&gt;BOTT_A3,ROUND(BASE_A3+RATE_A3*($A1346-BOTT_A3),0),IF($A1346&gt;BOTT_A2,ROUND(BASE_A2+RATE_A2*($A1346-BOTT_A2),0),ROUND(RATE_A1*$A1346,0))))</f>
        <v>9022</v>
      </c>
      <c r="E1346" s="556">
        <f t="shared" ref="E1346:E1409" si="110">IF($A1346&gt;BOTT_B4,ROUND(BASE_B4+RATE_B4*($A1346-BOTT_B4),0),IF($A1346&gt;BOTT_B3,ROUND(BASE_B3+RATE_B3*($A1346-BOTT_B3),0),IF($A1346&gt;BOTT_B2,ROUND(BASE_B2+RATE_B2*($A1346-BOTT_B2),0),ROUND(RATE_B1*$A1346,0))))</f>
        <v>7218</v>
      </c>
      <c r="F1346" s="556">
        <f t="shared" ref="F1346:F1409" si="111">IF($A1346&gt;BOTT_C4,ROUND(BASE_C4+RATE_C4*($A1346-BOTT_C4),0),IF($A1346&gt;BOTT_C3,ROUND(BASE_C3+RATE_C3*($A1346-BOTT_C3),0),IF($A1346&gt;BOTT_C2,ROUND(BASE_C2+RATE_C2*($A1346-BOTT_C2),0),ROUND(RATE_C1*$A1346,0))))</f>
        <v>9022</v>
      </c>
      <c r="G1346" s="556">
        <f t="shared" ref="G1346:G1409" si="112">IF($A1346&gt;BOTT_D4,ROUND(BASE_D4+RATE_D4*($A1346-BOTT_D4),0),IF($A1346&gt;BOTT_D3,ROUND(BASE_D3+RATE_D3*($A1346-BOTT_D3),0),IF($A1346&gt;BOTT_D2,ROUND(BASE_D2+RATE_D2*($A1346-BOTT_D2),0),ROUND(RATE_D1*$A1346,0))))</f>
        <v>7355</v>
      </c>
    </row>
    <row r="1347" spans="1:7" ht="15.75">
      <c r="A1347" s="625">
        <f t="shared" ref="A1347:A1410" si="113">AVERAGE(B1347,C1347)</f>
        <v>64175</v>
      </c>
      <c r="B1347" s="555">
        <v>64150</v>
      </c>
      <c r="C1347" s="555">
        <v>64200</v>
      </c>
      <c r="D1347" s="556">
        <f t="shared" si="109"/>
        <v>9033</v>
      </c>
      <c r="E1347" s="556">
        <f t="shared" si="110"/>
        <v>7224</v>
      </c>
      <c r="F1347" s="556">
        <f t="shared" si="111"/>
        <v>9033</v>
      </c>
      <c r="G1347" s="556">
        <f t="shared" si="112"/>
        <v>7361</v>
      </c>
    </row>
    <row r="1348" spans="1:7" ht="15.75">
      <c r="A1348" s="625">
        <f t="shared" si="113"/>
        <v>64225</v>
      </c>
      <c r="B1348" s="555">
        <v>64200</v>
      </c>
      <c r="C1348" s="555">
        <v>64250</v>
      </c>
      <c r="D1348" s="556">
        <f t="shared" si="109"/>
        <v>9044</v>
      </c>
      <c r="E1348" s="556">
        <f t="shared" si="110"/>
        <v>7230</v>
      </c>
      <c r="F1348" s="556">
        <f t="shared" si="111"/>
        <v>9044</v>
      </c>
      <c r="G1348" s="556">
        <f t="shared" si="112"/>
        <v>7367</v>
      </c>
    </row>
    <row r="1349" spans="1:7" ht="15.75">
      <c r="A1349" s="625">
        <f t="shared" si="113"/>
        <v>64275</v>
      </c>
      <c r="B1349" s="555">
        <v>64250</v>
      </c>
      <c r="C1349" s="555">
        <v>64300</v>
      </c>
      <c r="D1349" s="556">
        <f t="shared" si="109"/>
        <v>9055</v>
      </c>
      <c r="E1349" s="556">
        <f t="shared" si="110"/>
        <v>7236</v>
      </c>
      <c r="F1349" s="556">
        <f t="shared" si="111"/>
        <v>9055</v>
      </c>
      <c r="G1349" s="556">
        <f t="shared" si="112"/>
        <v>7373</v>
      </c>
    </row>
    <row r="1350" spans="1:7" ht="15.75">
      <c r="A1350" s="625">
        <f t="shared" si="113"/>
        <v>64325</v>
      </c>
      <c r="B1350" s="555">
        <v>64300</v>
      </c>
      <c r="C1350" s="555">
        <v>64350</v>
      </c>
      <c r="D1350" s="556">
        <f t="shared" si="109"/>
        <v>9066</v>
      </c>
      <c r="E1350" s="556">
        <f t="shared" si="110"/>
        <v>7242</v>
      </c>
      <c r="F1350" s="556">
        <f t="shared" si="111"/>
        <v>9066</v>
      </c>
      <c r="G1350" s="556">
        <f t="shared" si="112"/>
        <v>7379</v>
      </c>
    </row>
    <row r="1351" spans="1:7" ht="15.75">
      <c r="A1351" s="625">
        <f t="shared" si="113"/>
        <v>64375</v>
      </c>
      <c r="B1351" s="555">
        <v>64350</v>
      </c>
      <c r="C1351" s="555">
        <v>64400</v>
      </c>
      <c r="D1351" s="556">
        <f t="shared" si="109"/>
        <v>9077</v>
      </c>
      <c r="E1351" s="556">
        <f t="shared" si="110"/>
        <v>7248</v>
      </c>
      <c r="F1351" s="556">
        <f t="shared" si="111"/>
        <v>9077</v>
      </c>
      <c r="G1351" s="556">
        <f t="shared" si="112"/>
        <v>7385</v>
      </c>
    </row>
    <row r="1352" spans="1:7" ht="15.75">
      <c r="A1352" s="625">
        <f t="shared" si="113"/>
        <v>64425</v>
      </c>
      <c r="B1352" s="555">
        <v>64400</v>
      </c>
      <c r="C1352" s="555">
        <v>64450</v>
      </c>
      <c r="D1352" s="556">
        <f t="shared" si="109"/>
        <v>9088</v>
      </c>
      <c r="E1352" s="556">
        <f t="shared" si="110"/>
        <v>7254</v>
      </c>
      <c r="F1352" s="556">
        <f t="shared" si="111"/>
        <v>9088</v>
      </c>
      <c r="G1352" s="556">
        <f t="shared" si="112"/>
        <v>7391</v>
      </c>
    </row>
    <row r="1353" spans="1:7" ht="15.75">
      <c r="A1353" s="625">
        <f t="shared" si="113"/>
        <v>64475</v>
      </c>
      <c r="B1353" s="555">
        <v>64450</v>
      </c>
      <c r="C1353" s="555">
        <v>64500</v>
      </c>
      <c r="D1353" s="556">
        <f t="shared" si="109"/>
        <v>9099</v>
      </c>
      <c r="E1353" s="556">
        <f t="shared" si="110"/>
        <v>7260</v>
      </c>
      <c r="F1353" s="556">
        <f t="shared" si="111"/>
        <v>9099</v>
      </c>
      <c r="G1353" s="556">
        <f t="shared" si="112"/>
        <v>7397</v>
      </c>
    </row>
    <row r="1354" spans="1:7" ht="15.75">
      <c r="A1354" s="625">
        <f t="shared" si="113"/>
        <v>64525</v>
      </c>
      <c r="B1354" s="555">
        <v>64500</v>
      </c>
      <c r="C1354" s="555">
        <v>64550</v>
      </c>
      <c r="D1354" s="556">
        <f t="shared" si="109"/>
        <v>9110</v>
      </c>
      <c r="E1354" s="556">
        <f t="shared" si="110"/>
        <v>7266</v>
      </c>
      <c r="F1354" s="556">
        <f t="shared" si="111"/>
        <v>9110</v>
      </c>
      <c r="G1354" s="556">
        <f t="shared" si="112"/>
        <v>7403</v>
      </c>
    </row>
    <row r="1355" spans="1:7" ht="15.75">
      <c r="A1355" s="625">
        <f t="shared" si="113"/>
        <v>64575</v>
      </c>
      <c r="B1355" s="555">
        <v>64550</v>
      </c>
      <c r="C1355" s="555">
        <v>64600</v>
      </c>
      <c r="D1355" s="556">
        <f t="shared" si="109"/>
        <v>9121</v>
      </c>
      <c r="E1355" s="556">
        <f t="shared" si="110"/>
        <v>7272</v>
      </c>
      <c r="F1355" s="556">
        <f t="shared" si="111"/>
        <v>9121</v>
      </c>
      <c r="G1355" s="556">
        <f t="shared" si="112"/>
        <v>7409</v>
      </c>
    </row>
    <row r="1356" spans="1:7" ht="15.75">
      <c r="A1356" s="625">
        <f t="shared" si="113"/>
        <v>64625</v>
      </c>
      <c r="B1356" s="555">
        <v>64600</v>
      </c>
      <c r="C1356" s="555">
        <v>64650</v>
      </c>
      <c r="D1356" s="556">
        <f t="shared" si="109"/>
        <v>9132</v>
      </c>
      <c r="E1356" s="556">
        <f t="shared" si="110"/>
        <v>7278</v>
      </c>
      <c r="F1356" s="556">
        <f t="shared" si="111"/>
        <v>9132</v>
      </c>
      <c r="G1356" s="556">
        <f t="shared" si="112"/>
        <v>7415</v>
      </c>
    </row>
    <row r="1357" spans="1:7" ht="15.75">
      <c r="A1357" s="625">
        <f t="shared" si="113"/>
        <v>64675</v>
      </c>
      <c r="B1357" s="555">
        <v>64650</v>
      </c>
      <c r="C1357" s="555">
        <v>64700</v>
      </c>
      <c r="D1357" s="556">
        <f t="shared" si="109"/>
        <v>9143</v>
      </c>
      <c r="E1357" s="556">
        <f t="shared" si="110"/>
        <v>7284</v>
      </c>
      <c r="F1357" s="556">
        <f t="shared" si="111"/>
        <v>9143</v>
      </c>
      <c r="G1357" s="556">
        <f t="shared" si="112"/>
        <v>7421</v>
      </c>
    </row>
    <row r="1358" spans="1:7" ht="15.75">
      <c r="A1358" s="625">
        <f t="shared" si="113"/>
        <v>64725</v>
      </c>
      <c r="B1358" s="555">
        <v>64700</v>
      </c>
      <c r="C1358" s="555">
        <v>64750</v>
      </c>
      <c r="D1358" s="556">
        <f t="shared" si="109"/>
        <v>9154</v>
      </c>
      <c r="E1358" s="556">
        <f t="shared" si="110"/>
        <v>7290</v>
      </c>
      <c r="F1358" s="556">
        <f t="shared" si="111"/>
        <v>9154</v>
      </c>
      <c r="G1358" s="556">
        <f t="shared" si="112"/>
        <v>7427</v>
      </c>
    </row>
    <row r="1359" spans="1:7" ht="15.75">
      <c r="A1359" s="625">
        <f t="shared" si="113"/>
        <v>64775</v>
      </c>
      <c r="B1359" s="555">
        <v>64750</v>
      </c>
      <c r="C1359" s="555">
        <v>64800</v>
      </c>
      <c r="D1359" s="556">
        <f t="shared" si="109"/>
        <v>9165</v>
      </c>
      <c r="E1359" s="556">
        <f t="shared" si="110"/>
        <v>7296</v>
      </c>
      <c r="F1359" s="556">
        <f t="shared" si="111"/>
        <v>9165</v>
      </c>
      <c r="G1359" s="556">
        <f t="shared" si="112"/>
        <v>7433</v>
      </c>
    </row>
    <row r="1360" spans="1:7" ht="15.75">
      <c r="A1360" s="625">
        <f t="shared" si="113"/>
        <v>64825</v>
      </c>
      <c r="B1360" s="555">
        <v>64800</v>
      </c>
      <c r="C1360" s="555">
        <v>64850</v>
      </c>
      <c r="D1360" s="556">
        <f t="shared" si="109"/>
        <v>9176</v>
      </c>
      <c r="E1360" s="556">
        <f t="shared" si="110"/>
        <v>7302</v>
      </c>
      <c r="F1360" s="556">
        <f t="shared" si="111"/>
        <v>9176</v>
      </c>
      <c r="G1360" s="556">
        <f t="shared" si="112"/>
        <v>7439</v>
      </c>
    </row>
    <row r="1361" spans="1:7" ht="15.75">
      <c r="A1361" s="625">
        <f t="shared" si="113"/>
        <v>64875</v>
      </c>
      <c r="B1361" s="555">
        <v>64850</v>
      </c>
      <c r="C1361" s="555">
        <v>64900</v>
      </c>
      <c r="D1361" s="556">
        <f t="shared" si="109"/>
        <v>9187</v>
      </c>
      <c r="E1361" s="556">
        <f t="shared" si="110"/>
        <v>7308</v>
      </c>
      <c r="F1361" s="556">
        <f t="shared" si="111"/>
        <v>9187</v>
      </c>
      <c r="G1361" s="556">
        <f t="shared" si="112"/>
        <v>7448</v>
      </c>
    </row>
    <row r="1362" spans="1:7" ht="15.75">
      <c r="A1362" s="625">
        <f t="shared" si="113"/>
        <v>64925</v>
      </c>
      <c r="B1362" s="555">
        <v>64900</v>
      </c>
      <c r="C1362" s="555">
        <v>64950</v>
      </c>
      <c r="D1362" s="556">
        <f t="shared" si="109"/>
        <v>9198</v>
      </c>
      <c r="E1362" s="556">
        <f t="shared" si="110"/>
        <v>7314</v>
      </c>
      <c r="F1362" s="556">
        <f t="shared" si="111"/>
        <v>9198</v>
      </c>
      <c r="G1362" s="556">
        <f t="shared" si="112"/>
        <v>7459</v>
      </c>
    </row>
    <row r="1363" spans="1:7" ht="15.75">
      <c r="A1363" s="625">
        <f t="shared" si="113"/>
        <v>64975</v>
      </c>
      <c r="B1363" s="555">
        <v>64950</v>
      </c>
      <c r="C1363" s="555">
        <v>65000</v>
      </c>
      <c r="D1363" s="556">
        <f t="shared" si="109"/>
        <v>9209</v>
      </c>
      <c r="E1363" s="556">
        <f t="shared" si="110"/>
        <v>7320</v>
      </c>
      <c r="F1363" s="556">
        <f t="shared" si="111"/>
        <v>9209</v>
      </c>
      <c r="G1363" s="556">
        <f t="shared" si="112"/>
        <v>7470</v>
      </c>
    </row>
    <row r="1364" spans="1:7" ht="15.75">
      <c r="A1364" s="625">
        <f t="shared" si="113"/>
        <v>65025</v>
      </c>
      <c r="B1364" s="555">
        <v>65000</v>
      </c>
      <c r="C1364" s="555">
        <v>65050</v>
      </c>
      <c r="D1364" s="556">
        <f t="shared" si="109"/>
        <v>9220</v>
      </c>
      <c r="E1364" s="556">
        <f t="shared" si="110"/>
        <v>7326</v>
      </c>
      <c r="F1364" s="556">
        <f t="shared" si="111"/>
        <v>9220</v>
      </c>
      <c r="G1364" s="556">
        <f t="shared" si="112"/>
        <v>7481</v>
      </c>
    </row>
    <row r="1365" spans="1:7" ht="15.75">
      <c r="A1365" s="625">
        <f t="shared" si="113"/>
        <v>65075</v>
      </c>
      <c r="B1365" s="555">
        <v>65050</v>
      </c>
      <c r="C1365" s="555">
        <v>65100</v>
      </c>
      <c r="D1365" s="556">
        <f t="shared" si="109"/>
        <v>9231</v>
      </c>
      <c r="E1365" s="556">
        <f t="shared" si="110"/>
        <v>7332</v>
      </c>
      <c r="F1365" s="556">
        <f t="shared" si="111"/>
        <v>9231</v>
      </c>
      <c r="G1365" s="556">
        <f t="shared" si="112"/>
        <v>7492</v>
      </c>
    </row>
    <row r="1366" spans="1:7" ht="15.75">
      <c r="A1366" s="625">
        <f t="shared" si="113"/>
        <v>65125</v>
      </c>
      <c r="B1366" s="555">
        <v>65100</v>
      </c>
      <c r="C1366" s="555">
        <v>65150</v>
      </c>
      <c r="D1366" s="556">
        <f t="shared" si="109"/>
        <v>9242</v>
      </c>
      <c r="E1366" s="556">
        <f t="shared" si="110"/>
        <v>7338</v>
      </c>
      <c r="F1366" s="556">
        <f t="shared" si="111"/>
        <v>9242</v>
      </c>
      <c r="G1366" s="556">
        <f t="shared" si="112"/>
        <v>7503</v>
      </c>
    </row>
    <row r="1367" spans="1:7" ht="15.75">
      <c r="A1367" s="625">
        <f t="shared" si="113"/>
        <v>65175</v>
      </c>
      <c r="B1367" s="555">
        <v>65150</v>
      </c>
      <c r="C1367" s="555">
        <v>65200</v>
      </c>
      <c r="D1367" s="556">
        <f t="shared" si="109"/>
        <v>9253</v>
      </c>
      <c r="E1367" s="556">
        <f t="shared" si="110"/>
        <v>7344</v>
      </c>
      <c r="F1367" s="556">
        <f t="shared" si="111"/>
        <v>9253</v>
      </c>
      <c r="G1367" s="556">
        <f t="shared" si="112"/>
        <v>7514</v>
      </c>
    </row>
    <row r="1368" spans="1:7" ht="15.75">
      <c r="A1368" s="625">
        <f t="shared" si="113"/>
        <v>65225</v>
      </c>
      <c r="B1368" s="555">
        <v>65200</v>
      </c>
      <c r="C1368" s="555">
        <v>65250</v>
      </c>
      <c r="D1368" s="556">
        <f t="shared" si="109"/>
        <v>9264</v>
      </c>
      <c r="E1368" s="556">
        <f t="shared" si="110"/>
        <v>7350</v>
      </c>
      <c r="F1368" s="556">
        <f t="shared" si="111"/>
        <v>9264</v>
      </c>
      <c r="G1368" s="556">
        <f t="shared" si="112"/>
        <v>7525</v>
      </c>
    </row>
    <row r="1369" spans="1:7" ht="15.75">
      <c r="A1369" s="625">
        <f t="shared" si="113"/>
        <v>65275</v>
      </c>
      <c r="B1369" s="555">
        <v>65250</v>
      </c>
      <c r="C1369" s="555">
        <v>65300</v>
      </c>
      <c r="D1369" s="556">
        <f t="shared" si="109"/>
        <v>9275</v>
      </c>
      <c r="E1369" s="556">
        <f t="shared" si="110"/>
        <v>7356</v>
      </c>
      <c r="F1369" s="556">
        <f t="shared" si="111"/>
        <v>9275</v>
      </c>
      <c r="G1369" s="556">
        <f t="shared" si="112"/>
        <v>7536</v>
      </c>
    </row>
    <row r="1370" spans="1:7" ht="15.75">
      <c r="A1370" s="625">
        <f t="shared" si="113"/>
        <v>65325</v>
      </c>
      <c r="B1370" s="555">
        <v>65300</v>
      </c>
      <c r="C1370" s="555">
        <v>65350</v>
      </c>
      <c r="D1370" s="556">
        <f t="shared" si="109"/>
        <v>9286</v>
      </c>
      <c r="E1370" s="556">
        <f t="shared" si="110"/>
        <v>7362</v>
      </c>
      <c r="F1370" s="556">
        <f t="shared" si="111"/>
        <v>9286</v>
      </c>
      <c r="G1370" s="556">
        <f t="shared" si="112"/>
        <v>7547</v>
      </c>
    </row>
    <row r="1371" spans="1:7" ht="15.75">
      <c r="A1371" s="625">
        <f t="shared" si="113"/>
        <v>65375</v>
      </c>
      <c r="B1371" s="555">
        <v>65350</v>
      </c>
      <c r="C1371" s="555">
        <v>65400</v>
      </c>
      <c r="D1371" s="556">
        <f t="shared" si="109"/>
        <v>9297</v>
      </c>
      <c r="E1371" s="556">
        <f t="shared" si="110"/>
        <v>7368</v>
      </c>
      <c r="F1371" s="556">
        <f t="shared" si="111"/>
        <v>9297</v>
      </c>
      <c r="G1371" s="556">
        <f t="shared" si="112"/>
        <v>7558</v>
      </c>
    </row>
    <row r="1372" spans="1:7" ht="15.75">
      <c r="A1372" s="625">
        <f t="shared" si="113"/>
        <v>65425</v>
      </c>
      <c r="B1372" s="555">
        <v>65400</v>
      </c>
      <c r="C1372" s="555">
        <v>65450</v>
      </c>
      <c r="D1372" s="556">
        <f t="shared" si="109"/>
        <v>9308</v>
      </c>
      <c r="E1372" s="556">
        <f t="shared" si="110"/>
        <v>7374</v>
      </c>
      <c r="F1372" s="556">
        <f t="shared" si="111"/>
        <v>9308</v>
      </c>
      <c r="G1372" s="556">
        <f t="shared" si="112"/>
        <v>7569</v>
      </c>
    </row>
    <row r="1373" spans="1:7" ht="15.75">
      <c r="A1373" s="625">
        <f t="shared" si="113"/>
        <v>65475</v>
      </c>
      <c r="B1373" s="555">
        <v>65450</v>
      </c>
      <c r="C1373" s="555">
        <v>65500</v>
      </c>
      <c r="D1373" s="556">
        <f t="shared" si="109"/>
        <v>9319</v>
      </c>
      <c r="E1373" s="556">
        <f t="shared" si="110"/>
        <v>7380</v>
      </c>
      <c r="F1373" s="556">
        <f t="shared" si="111"/>
        <v>9319</v>
      </c>
      <c r="G1373" s="556">
        <f t="shared" si="112"/>
        <v>7580</v>
      </c>
    </row>
    <row r="1374" spans="1:7" ht="15.75">
      <c r="A1374" s="625">
        <f t="shared" si="113"/>
        <v>65525</v>
      </c>
      <c r="B1374" s="555">
        <v>65500</v>
      </c>
      <c r="C1374" s="555">
        <v>65550</v>
      </c>
      <c r="D1374" s="556">
        <f t="shared" si="109"/>
        <v>9330</v>
      </c>
      <c r="E1374" s="556">
        <f t="shared" si="110"/>
        <v>7386</v>
      </c>
      <c r="F1374" s="556">
        <f t="shared" si="111"/>
        <v>9330</v>
      </c>
      <c r="G1374" s="556">
        <f t="shared" si="112"/>
        <v>7591</v>
      </c>
    </row>
    <row r="1375" spans="1:7" ht="15.75">
      <c r="A1375" s="625">
        <f t="shared" si="113"/>
        <v>65575</v>
      </c>
      <c r="B1375" s="555">
        <v>65550</v>
      </c>
      <c r="C1375" s="555">
        <v>65600</v>
      </c>
      <c r="D1375" s="556">
        <f t="shared" si="109"/>
        <v>9341</v>
      </c>
      <c r="E1375" s="556">
        <f t="shared" si="110"/>
        <v>7392</v>
      </c>
      <c r="F1375" s="556">
        <f t="shared" si="111"/>
        <v>9341</v>
      </c>
      <c r="G1375" s="556">
        <f t="shared" si="112"/>
        <v>7602</v>
      </c>
    </row>
    <row r="1376" spans="1:7" ht="15.75">
      <c r="A1376" s="625">
        <f t="shared" si="113"/>
        <v>65625</v>
      </c>
      <c r="B1376" s="555">
        <v>65600</v>
      </c>
      <c r="C1376" s="555">
        <v>65650</v>
      </c>
      <c r="D1376" s="556">
        <f t="shared" si="109"/>
        <v>9352</v>
      </c>
      <c r="E1376" s="556">
        <f t="shared" si="110"/>
        <v>7398</v>
      </c>
      <c r="F1376" s="556">
        <f t="shared" si="111"/>
        <v>9352</v>
      </c>
      <c r="G1376" s="556">
        <f t="shared" si="112"/>
        <v>7613</v>
      </c>
    </row>
    <row r="1377" spans="1:7" ht="15.75">
      <c r="A1377" s="625">
        <f t="shared" si="113"/>
        <v>65675</v>
      </c>
      <c r="B1377" s="555">
        <v>65650</v>
      </c>
      <c r="C1377" s="555">
        <v>65700</v>
      </c>
      <c r="D1377" s="556">
        <f t="shared" si="109"/>
        <v>9363</v>
      </c>
      <c r="E1377" s="556">
        <f t="shared" si="110"/>
        <v>7404</v>
      </c>
      <c r="F1377" s="556">
        <f t="shared" si="111"/>
        <v>9363</v>
      </c>
      <c r="G1377" s="556">
        <f t="shared" si="112"/>
        <v>7624</v>
      </c>
    </row>
    <row r="1378" spans="1:7" ht="15.75">
      <c r="A1378" s="625">
        <f t="shared" si="113"/>
        <v>65725</v>
      </c>
      <c r="B1378" s="555">
        <v>65700</v>
      </c>
      <c r="C1378" s="555">
        <v>65750</v>
      </c>
      <c r="D1378" s="556">
        <f t="shared" si="109"/>
        <v>9374</v>
      </c>
      <c r="E1378" s="556">
        <f t="shared" si="110"/>
        <v>7410</v>
      </c>
      <c r="F1378" s="556">
        <f t="shared" si="111"/>
        <v>9374</v>
      </c>
      <c r="G1378" s="556">
        <f t="shared" si="112"/>
        <v>7635</v>
      </c>
    </row>
    <row r="1379" spans="1:7" ht="15.75">
      <c r="A1379" s="625">
        <f t="shared" si="113"/>
        <v>65775</v>
      </c>
      <c r="B1379" s="555">
        <v>65750</v>
      </c>
      <c r="C1379" s="555">
        <v>65800</v>
      </c>
      <c r="D1379" s="556">
        <f t="shared" si="109"/>
        <v>9385</v>
      </c>
      <c r="E1379" s="556">
        <f t="shared" si="110"/>
        <v>7416</v>
      </c>
      <c r="F1379" s="556">
        <f t="shared" si="111"/>
        <v>9385</v>
      </c>
      <c r="G1379" s="556">
        <f t="shared" si="112"/>
        <v>7646</v>
      </c>
    </row>
    <row r="1380" spans="1:7" ht="15.75">
      <c r="A1380" s="625">
        <f t="shared" si="113"/>
        <v>65825</v>
      </c>
      <c r="B1380" s="555">
        <v>65800</v>
      </c>
      <c r="C1380" s="555">
        <v>65850</v>
      </c>
      <c r="D1380" s="556">
        <f t="shared" si="109"/>
        <v>9396</v>
      </c>
      <c r="E1380" s="556">
        <f t="shared" si="110"/>
        <v>7422</v>
      </c>
      <c r="F1380" s="556">
        <f t="shared" si="111"/>
        <v>9396</v>
      </c>
      <c r="G1380" s="556">
        <f t="shared" si="112"/>
        <v>7657</v>
      </c>
    </row>
    <row r="1381" spans="1:7" ht="15.75">
      <c r="A1381" s="625">
        <f t="shared" si="113"/>
        <v>65875</v>
      </c>
      <c r="B1381" s="555">
        <v>65850</v>
      </c>
      <c r="C1381" s="555">
        <v>65900</v>
      </c>
      <c r="D1381" s="556">
        <f t="shared" si="109"/>
        <v>9407</v>
      </c>
      <c r="E1381" s="556">
        <f t="shared" si="110"/>
        <v>7428</v>
      </c>
      <c r="F1381" s="556">
        <f t="shared" si="111"/>
        <v>9407</v>
      </c>
      <c r="G1381" s="556">
        <f t="shared" si="112"/>
        <v>7668</v>
      </c>
    </row>
    <row r="1382" spans="1:7" ht="15.75">
      <c r="A1382" s="625">
        <f t="shared" si="113"/>
        <v>65925</v>
      </c>
      <c r="B1382" s="555">
        <v>65900</v>
      </c>
      <c r="C1382" s="555">
        <v>65950</v>
      </c>
      <c r="D1382" s="556">
        <f t="shared" si="109"/>
        <v>9418</v>
      </c>
      <c r="E1382" s="556">
        <f t="shared" si="110"/>
        <v>7434</v>
      </c>
      <c r="F1382" s="556">
        <f t="shared" si="111"/>
        <v>9418</v>
      </c>
      <c r="G1382" s="556">
        <f t="shared" si="112"/>
        <v>7679</v>
      </c>
    </row>
    <row r="1383" spans="1:7" ht="15.75">
      <c r="A1383" s="625">
        <f t="shared" si="113"/>
        <v>65975</v>
      </c>
      <c r="B1383" s="555">
        <v>65950</v>
      </c>
      <c r="C1383" s="555">
        <v>66000</v>
      </c>
      <c r="D1383" s="556">
        <f t="shared" si="109"/>
        <v>9429</v>
      </c>
      <c r="E1383" s="556">
        <f t="shared" si="110"/>
        <v>7440</v>
      </c>
      <c r="F1383" s="556">
        <f t="shared" si="111"/>
        <v>9429</v>
      </c>
      <c r="G1383" s="556">
        <f t="shared" si="112"/>
        <v>7690</v>
      </c>
    </row>
    <row r="1384" spans="1:7" ht="15.75">
      <c r="A1384" s="625">
        <f t="shared" si="113"/>
        <v>66025</v>
      </c>
      <c r="B1384" s="555">
        <v>66000</v>
      </c>
      <c r="C1384" s="555">
        <v>66050</v>
      </c>
      <c r="D1384" s="556">
        <f t="shared" si="109"/>
        <v>9440</v>
      </c>
      <c r="E1384" s="556">
        <f t="shared" si="110"/>
        <v>7446</v>
      </c>
      <c r="F1384" s="556">
        <f t="shared" si="111"/>
        <v>9440</v>
      </c>
      <c r="G1384" s="556">
        <f t="shared" si="112"/>
        <v>7701</v>
      </c>
    </row>
    <row r="1385" spans="1:7" ht="15.75">
      <c r="A1385" s="625">
        <f t="shared" si="113"/>
        <v>66075</v>
      </c>
      <c r="B1385" s="555">
        <v>66050</v>
      </c>
      <c r="C1385" s="555">
        <v>66100</v>
      </c>
      <c r="D1385" s="556">
        <f t="shared" si="109"/>
        <v>9451</v>
      </c>
      <c r="E1385" s="556">
        <f t="shared" si="110"/>
        <v>7452</v>
      </c>
      <c r="F1385" s="556">
        <f t="shared" si="111"/>
        <v>9451</v>
      </c>
      <c r="G1385" s="556">
        <f t="shared" si="112"/>
        <v>7712</v>
      </c>
    </row>
    <row r="1386" spans="1:7" ht="15.75">
      <c r="A1386" s="625">
        <f t="shared" si="113"/>
        <v>66125</v>
      </c>
      <c r="B1386" s="555">
        <v>66100</v>
      </c>
      <c r="C1386" s="555">
        <v>66150</v>
      </c>
      <c r="D1386" s="556">
        <f t="shared" si="109"/>
        <v>9462</v>
      </c>
      <c r="E1386" s="556">
        <f t="shared" si="110"/>
        <v>7458</v>
      </c>
      <c r="F1386" s="556">
        <f t="shared" si="111"/>
        <v>9462</v>
      </c>
      <c r="G1386" s="556">
        <f t="shared" si="112"/>
        <v>7723</v>
      </c>
    </row>
    <row r="1387" spans="1:7" ht="15.75">
      <c r="A1387" s="625">
        <f t="shared" si="113"/>
        <v>66175</v>
      </c>
      <c r="B1387" s="555">
        <v>66150</v>
      </c>
      <c r="C1387" s="555">
        <v>66200</v>
      </c>
      <c r="D1387" s="556">
        <f t="shared" si="109"/>
        <v>9473</v>
      </c>
      <c r="E1387" s="556">
        <f t="shared" si="110"/>
        <v>7464</v>
      </c>
      <c r="F1387" s="556">
        <f t="shared" si="111"/>
        <v>9473</v>
      </c>
      <c r="G1387" s="556">
        <f t="shared" si="112"/>
        <v>7734</v>
      </c>
    </row>
    <row r="1388" spans="1:7" ht="15.75">
      <c r="A1388" s="625">
        <f t="shared" si="113"/>
        <v>66225</v>
      </c>
      <c r="B1388" s="555">
        <v>66200</v>
      </c>
      <c r="C1388" s="555">
        <v>66250</v>
      </c>
      <c r="D1388" s="556">
        <f t="shared" si="109"/>
        <v>9484</v>
      </c>
      <c r="E1388" s="556">
        <f t="shared" si="110"/>
        <v>7470</v>
      </c>
      <c r="F1388" s="556">
        <f t="shared" si="111"/>
        <v>9484</v>
      </c>
      <c r="G1388" s="556">
        <f t="shared" si="112"/>
        <v>7745</v>
      </c>
    </row>
    <row r="1389" spans="1:7" ht="15.75">
      <c r="A1389" s="625">
        <f t="shared" si="113"/>
        <v>66275</v>
      </c>
      <c r="B1389" s="555">
        <v>66250</v>
      </c>
      <c r="C1389" s="555">
        <v>66300</v>
      </c>
      <c r="D1389" s="556">
        <f t="shared" si="109"/>
        <v>9495</v>
      </c>
      <c r="E1389" s="556">
        <f t="shared" si="110"/>
        <v>7476</v>
      </c>
      <c r="F1389" s="556">
        <f t="shared" si="111"/>
        <v>9495</v>
      </c>
      <c r="G1389" s="556">
        <f t="shared" si="112"/>
        <v>7756</v>
      </c>
    </row>
    <row r="1390" spans="1:7" ht="15.75">
      <c r="A1390" s="625">
        <f t="shared" si="113"/>
        <v>66325</v>
      </c>
      <c r="B1390" s="555">
        <v>66300</v>
      </c>
      <c r="C1390" s="555">
        <v>66350</v>
      </c>
      <c r="D1390" s="556">
        <f t="shared" si="109"/>
        <v>9506</v>
      </c>
      <c r="E1390" s="556">
        <f t="shared" si="110"/>
        <v>7482</v>
      </c>
      <c r="F1390" s="556">
        <f t="shared" si="111"/>
        <v>9506</v>
      </c>
      <c r="G1390" s="556">
        <f t="shared" si="112"/>
        <v>7767</v>
      </c>
    </row>
    <row r="1391" spans="1:7" ht="15.75">
      <c r="A1391" s="625">
        <f t="shared" si="113"/>
        <v>66375</v>
      </c>
      <c r="B1391" s="555">
        <v>66350</v>
      </c>
      <c r="C1391" s="555">
        <v>66400</v>
      </c>
      <c r="D1391" s="556">
        <f t="shared" si="109"/>
        <v>9517</v>
      </c>
      <c r="E1391" s="556">
        <f t="shared" si="110"/>
        <v>7488</v>
      </c>
      <c r="F1391" s="556">
        <f t="shared" si="111"/>
        <v>9517</v>
      </c>
      <c r="G1391" s="556">
        <f t="shared" si="112"/>
        <v>7778</v>
      </c>
    </row>
    <row r="1392" spans="1:7" ht="15.75">
      <c r="A1392" s="625">
        <f t="shared" si="113"/>
        <v>66425</v>
      </c>
      <c r="B1392" s="555">
        <v>66400</v>
      </c>
      <c r="C1392" s="555">
        <v>66450</v>
      </c>
      <c r="D1392" s="556">
        <f t="shared" si="109"/>
        <v>9528</v>
      </c>
      <c r="E1392" s="556">
        <f t="shared" si="110"/>
        <v>7494</v>
      </c>
      <c r="F1392" s="556">
        <f t="shared" si="111"/>
        <v>9528</v>
      </c>
      <c r="G1392" s="556">
        <f t="shared" si="112"/>
        <v>7789</v>
      </c>
    </row>
    <row r="1393" spans="1:7" ht="15.75">
      <c r="A1393" s="625">
        <f t="shared" si="113"/>
        <v>66475</v>
      </c>
      <c r="B1393" s="555">
        <v>66450</v>
      </c>
      <c r="C1393" s="555">
        <v>66500</v>
      </c>
      <c r="D1393" s="556">
        <f t="shared" si="109"/>
        <v>9539</v>
      </c>
      <c r="E1393" s="556">
        <f t="shared" si="110"/>
        <v>7500</v>
      </c>
      <c r="F1393" s="556">
        <f t="shared" si="111"/>
        <v>9539</v>
      </c>
      <c r="G1393" s="556">
        <f t="shared" si="112"/>
        <v>7800</v>
      </c>
    </row>
    <row r="1394" spans="1:7" ht="15.75">
      <c r="A1394" s="625">
        <f t="shared" si="113"/>
        <v>66525</v>
      </c>
      <c r="B1394" s="555">
        <v>66500</v>
      </c>
      <c r="C1394" s="555">
        <v>66550</v>
      </c>
      <c r="D1394" s="556">
        <f t="shared" si="109"/>
        <v>9550</v>
      </c>
      <c r="E1394" s="556">
        <f t="shared" si="110"/>
        <v>7506</v>
      </c>
      <c r="F1394" s="556">
        <f t="shared" si="111"/>
        <v>9550</v>
      </c>
      <c r="G1394" s="556">
        <f t="shared" si="112"/>
        <v>7811</v>
      </c>
    </row>
    <row r="1395" spans="1:7" ht="15.75">
      <c r="A1395" s="625">
        <f t="shared" si="113"/>
        <v>66575</v>
      </c>
      <c r="B1395" s="555">
        <v>66550</v>
      </c>
      <c r="C1395" s="555">
        <v>66600</v>
      </c>
      <c r="D1395" s="556">
        <f t="shared" si="109"/>
        <v>9561</v>
      </c>
      <c r="E1395" s="556">
        <f t="shared" si="110"/>
        <v>7512</v>
      </c>
      <c r="F1395" s="556">
        <f t="shared" si="111"/>
        <v>9561</v>
      </c>
      <c r="G1395" s="556">
        <f t="shared" si="112"/>
        <v>7822</v>
      </c>
    </row>
    <row r="1396" spans="1:7" ht="15.75">
      <c r="A1396" s="625">
        <f t="shared" si="113"/>
        <v>66625</v>
      </c>
      <c r="B1396" s="555">
        <v>66600</v>
      </c>
      <c r="C1396" s="555">
        <v>66650</v>
      </c>
      <c r="D1396" s="556">
        <f t="shared" si="109"/>
        <v>9572</v>
      </c>
      <c r="E1396" s="556">
        <f t="shared" si="110"/>
        <v>7518</v>
      </c>
      <c r="F1396" s="556">
        <f t="shared" si="111"/>
        <v>9572</v>
      </c>
      <c r="G1396" s="556">
        <f t="shared" si="112"/>
        <v>7833</v>
      </c>
    </row>
    <row r="1397" spans="1:7" ht="15.75">
      <c r="A1397" s="625">
        <f t="shared" si="113"/>
        <v>66675</v>
      </c>
      <c r="B1397" s="555">
        <v>66650</v>
      </c>
      <c r="C1397" s="555">
        <v>66700</v>
      </c>
      <c r="D1397" s="556">
        <f t="shared" si="109"/>
        <v>9583</v>
      </c>
      <c r="E1397" s="556">
        <f t="shared" si="110"/>
        <v>7524</v>
      </c>
      <c r="F1397" s="556">
        <f t="shared" si="111"/>
        <v>9583</v>
      </c>
      <c r="G1397" s="556">
        <f t="shared" si="112"/>
        <v>7844</v>
      </c>
    </row>
    <row r="1398" spans="1:7" ht="15.75">
      <c r="A1398" s="625">
        <f t="shared" si="113"/>
        <v>66725</v>
      </c>
      <c r="B1398" s="555">
        <v>66700</v>
      </c>
      <c r="C1398" s="555">
        <v>66750</v>
      </c>
      <c r="D1398" s="556">
        <f t="shared" si="109"/>
        <v>9594</v>
      </c>
      <c r="E1398" s="556">
        <f t="shared" si="110"/>
        <v>7530</v>
      </c>
      <c r="F1398" s="556">
        <f t="shared" si="111"/>
        <v>9594</v>
      </c>
      <c r="G1398" s="556">
        <f t="shared" si="112"/>
        <v>7855</v>
      </c>
    </row>
    <row r="1399" spans="1:7" ht="15.75">
      <c r="A1399" s="625">
        <f t="shared" si="113"/>
        <v>66775</v>
      </c>
      <c r="B1399" s="555">
        <v>66750</v>
      </c>
      <c r="C1399" s="555">
        <v>66800</v>
      </c>
      <c r="D1399" s="556">
        <f t="shared" si="109"/>
        <v>9605</v>
      </c>
      <c r="E1399" s="556">
        <f t="shared" si="110"/>
        <v>7536</v>
      </c>
      <c r="F1399" s="556">
        <f t="shared" si="111"/>
        <v>9605</v>
      </c>
      <c r="G1399" s="556">
        <f t="shared" si="112"/>
        <v>7866</v>
      </c>
    </row>
    <row r="1400" spans="1:7" ht="15.75">
      <c r="A1400" s="625">
        <f t="shared" si="113"/>
        <v>66825</v>
      </c>
      <c r="B1400" s="555">
        <v>66800</v>
      </c>
      <c r="C1400" s="555">
        <v>66850</v>
      </c>
      <c r="D1400" s="556">
        <f t="shared" si="109"/>
        <v>9616</v>
      </c>
      <c r="E1400" s="556">
        <f t="shared" si="110"/>
        <v>7542</v>
      </c>
      <c r="F1400" s="556">
        <f t="shared" si="111"/>
        <v>9616</v>
      </c>
      <c r="G1400" s="556">
        <f t="shared" si="112"/>
        <v>7877</v>
      </c>
    </row>
    <row r="1401" spans="1:7" ht="15.75">
      <c r="A1401" s="625">
        <f t="shared" si="113"/>
        <v>66875</v>
      </c>
      <c r="B1401" s="555">
        <v>66850</v>
      </c>
      <c r="C1401" s="555">
        <v>66900</v>
      </c>
      <c r="D1401" s="556">
        <f t="shared" si="109"/>
        <v>9627</v>
      </c>
      <c r="E1401" s="556">
        <f t="shared" si="110"/>
        <v>7548</v>
      </c>
      <c r="F1401" s="556">
        <f t="shared" si="111"/>
        <v>9627</v>
      </c>
      <c r="G1401" s="556">
        <f t="shared" si="112"/>
        <v>7888</v>
      </c>
    </row>
    <row r="1402" spans="1:7" ht="15.75">
      <c r="A1402" s="625">
        <f t="shared" si="113"/>
        <v>66925</v>
      </c>
      <c r="B1402" s="555">
        <v>66900</v>
      </c>
      <c r="C1402" s="555">
        <v>66950</v>
      </c>
      <c r="D1402" s="556">
        <f t="shared" si="109"/>
        <v>9638</v>
      </c>
      <c r="E1402" s="556">
        <f t="shared" si="110"/>
        <v>7554</v>
      </c>
      <c r="F1402" s="556">
        <f t="shared" si="111"/>
        <v>9638</v>
      </c>
      <c r="G1402" s="556">
        <f t="shared" si="112"/>
        <v>7899</v>
      </c>
    </row>
    <row r="1403" spans="1:7" ht="15.75">
      <c r="A1403" s="625">
        <f t="shared" si="113"/>
        <v>66975</v>
      </c>
      <c r="B1403" s="555">
        <v>66950</v>
      </c>
      <c r="C1403" s="555">
        <v>67000</v>
      </c>
      <c r="D1403" s="556">
        <f t="shared" si="109"/>
        <v>9649</v>
      </c>
      <c r="E1403" s="556">
        <f t="shared" si="110"/>
        <v>7560</v>
      </c>
      <c r="F1403" s="556">
        <f t="shared" si="111"/>
        <v>9649</v>
      </c>
      <c r="G1403" s="556">
        <f t="shared" si="112"/>
        <v>7910</v>
      </c>
    </row>
    <row r="1404" spans="1:7" ht="15.75">
      <c r="A1404" s="625">
        <f t="shared" si="113"/>
        <v>67025</v>
      </c>
      <c r="B1404" s="555">
        <v>67000</v>
      </c>
      <c r="C1404" s="555">
        <v>67050</v>
      </c>
      <c r="D1404" s="556">
        <f t="shared" si="109"/>
        <v>9660</v>
      </c>
      <c r="E1404" s="556">
        <f t="shared" si="110"/>
        <v>7566</v>
      </c>
      <c r="F1404" s="556">
        <f t="shared" si="111"/>
        <v>9660</v>
      </c>
      <c r="G1404" s="556">
        <f t="shared" si="112"/>
        <v>7921</v>
      </c>
    </row>
    <row r="1405" spans="1:7" ht="15.75">
      <c r="A1405" s="625">
        <f t="shared" si="113"/>
        <v>67075</v>
      </c>
      <c r="B1405" s="555">
        <v>67050</v>
      </c>
      <c r="C1405" s="555">
        <v>67100</v>
      </c>
      <c r="D1405" s="556">
        <f t="shared" si="109"/>
        <v>9671</v>
      </c>
      <c r="E1405" s="556">
        <f t="shared" si="110"/>
        <v>7572</v>
      </c>
      <c r="F1405" s="556">
        <f t="shared" si="111"/>
        <v>9671</v>
      </c>
      <c r="G1405" s="556">
        <f t="shared" si="112"/>
        <v>7932</v>
      </c>
    </row>
    <row r="1406" spans="1:7" ht="15.75">
      <c r="A1406" s="625">
        <f t="shared" si="113"/>
        <v>67125</v>
      </c>
      <c r="B1406" s="555">
        <v>67100</v>
      </c>
      <c r="C1406" s="555">
        <v>67150</v>
      </c>
      <c r="D1406" s="556">
        <f t="shared" si="109"/>
        <v>9682</v>
      </c>
      <c r="E1406" s="556">
        <f t="shared" si="110"/>
        <v>7578</v>
      </c>
      <c r="F1406" s="556">
        <f t="shared" si="111"/>
        <v>9682</v>
      </c>
      <c r="G1406" s="556">
        <f t="shared" si="112"/>
        <v>7943</v>
      </c>
    </row>
    <row r="1407" spans="1:7" ht="15.75">
      <c r="A1407" s="625">
        <f t="shared" si="113"/>
        <v>67175</v>
      </c>
      <c r="B1407" s="555">
        <v>67150</v>
      </c>
      <c r="C1407" s="555">
        <v>67200</v>
      </c>
      <c r="D1407" s="556">
        <f t="shared" si="109"/>
        <v>9693</v>
      </c>
      <c r="E1407" s="556">
        <f t="shared" si="110"/>
        <v>7584</v>
      </c>
      <c r="F1407" s="556">
        <f t="shared" si="111"/>
        <v>9693</v>
      </c>
      <c r="G1407" s="556">
        <f t="shared" si="112"/>
        <v>7954</v>
      </c>
    </row>
    <row r="1408" spans="1:7" ht="15.75">
      <c r="A1408" s="625">
        <f t="shared" si="113"/>
        <v>67225</v>
      </c>
      <c r="B1408" s="555">
        <v>67200</v>
      </c>
      <c r="C1408" s="555">
        <v>67250</v>
      </c>
      <c r="D1408" s="556">
        <f t="shared" si="109"/>
        <v>9704</v>
      </c>
      <c r="E1408" s="556">
        <f t="shared" si="110"/>
        <v>7590</v>
      </c>
      <c r="F1408" s="556">
        <f t="shared" si="111"/>
        <v>9704</v>
      </c>
      <c r="G1408" s="556">
        <f t="shared" si="112"/>
        <v>7965</v>
      </c>
    </row>
    <row r="1409" spans="1:7" ht="15.75">
      <c r="A1409" s="625">
        <f t="shared" si="113"/>
        <v>67275</v>
      </c>
      <c r="B1409" s="555">
        <v>67250</v>
      </c>
      <c r="C1409" s="555">
        <v>67300</v>
      </c>
      <c r="D1409" s="556">
        <f t="shared" si="109"/>
        <v>9715</v>
      </c>
      <c r="E1409" s="556">
        <f t="shared" si="110"/>
        <v>7596</v>
      </c>
      <c r="F1409" s="556">
        <f t="shared" si="111"/>
        <v>9715</v>
      </c>
      <c r="G1409" s="556">
        <f t="shared" si="112"/>
        <v>7976</v>
      </c>
    </row>
    <row r="1410" spans="1:7" ht="15.75">
      <c r="A1410" s="625">
        <f t="shared" si="113"/>
        <v>67325</v>
      </c>
      <c r="B1410" s="555">
        <v>67300</v>
      </c>
      <c r="C1410" s="555">
        <v>67350</v>
      </c>
      <c r="D1410" s="556">
        <f t="shared" ref="D1410:D1473" si="114">IF($A1410&gt;BOTT_A4,ROUND(BASE_A4+RATE_A4*($A1410-BOTT_A4),0),IF($A1410&gt;BOTT_A3,ROUND(BASE_A3+RATE_A3*($A1410-BOTT_A3),0),IF($A1410&gt;BOTT_A2,ROUND(BASE_A2+RATE_A2*($A1410-BOTT_A2),0),ROUND(RATE_A1*$A1410,0))))</f>
        <v>9726</v>
      </c>
      <c r="E1410" s="556">
        <f t="shared" ref="E1410:E1473" si="115">IF($A1410&gt;BOTT_B4,ROUND(BASE_B4+RATE_B4*($A1410-BOTT_B4),0),IF($A1410&gt;BOTT_B3,ROUND(BASE_B3+RATE_B3*($A1410-BOTT_B3),0),IF($A1410&gt;BOTT_B2,ROUND(BASE_B2+RATE_B2*($A1410-BOTT_B2),0),ROUND(RATE_B1*$A1410,0))))</f>
        <v>7602</v>
      </c>
      <c r="F1410" s="556">
        <f t="shared" ref="F1410:F1473" si="116">IF($A1410&gt;BOTT_C4,ROUND(BASE_C4+RATE_C4*($A1410-BOTT_C4),0),IF($A1410&gt;BOTT_C3,ROUND(BASE_C3+RATE_C3*($A1410-BOTT_C3),0),IF($A1410&gt;BOTT_C2,ROUND(BASE_C2+RATE_C2*($A1410-BOTT_C2),0),ROUND(RATE_C1*$A1410,0))))</f>
        <v>9726</v>
      </c>
      <c r="G1410" s="556">
        <f t="shared" ref="G1410:G1473" si="117">IF($A1410&gt;BOTT_D4,ROUND(BASE_D4+RATE_D4*($A1410-BOTT_D4),0),IF($A1410&gt;BOTT_D3,ROUND(BASE_D3+RATE_D3*($A1410-BOTT_D3),0),IF($A1410&gt;BOTT_D2,ROUND(BASE_D2+RATE_D2*($A1410-BOTT_D2),0),ROUND(RATE_D1*$A1410,0))))</f>
        <v>7987</v>
      </c>
    </row>
    <row r="1411" spans="1:7" ht="15.75">
      <c r="A1411" s="625">
        <f t="shared" ref="A1411:A1474" si="118">AVERAGE(B1411,C1411)</f>
        <v>67375</v>
      </c>
      <c r="B1411" s="555">
        <v>67350</v>
      </c>
      <c r="C1411" s="555">
        <v>67400</v>
      </c>
      <c r="D1411" s="556">
        <f t="shared" si="114"/>
        <v>9737</v>
      </c>
      <c r="E1411" s="556">
        <f t="shared" si="115"/>
        <v>7608</v>
      </c>
      <c r="F1411" s="556">
        <f t="shared" si="116"/>
        <v>9737</v>
      </c>
      <c r="G1411" s="556">
        <f t="shared" si="117"/>
        <v>7998</v>
      </c>
    </row>
    <row r="1412" spans="1:7" ht="15.75">
      <c r="A1412" s="625">
        <f t="shared" si="118"/>
        <v>67425</v>
      </c>
      <c r="B1412" s="555">
        <v>67400</v>
      </c>
      <c r="C1412" s="555">
        <v>67450</v>
      </c>
      <c r="D1412" s="556">
        <f t="shared" si="114"/>
        <v>9748</v>
      </c>
      <c r="E1412" s="556">
        <f t="shared" si="115"/>
        <v>7614</v>
      </c>
      <c r="F1412" s="556">
        <f t="shared" si="116"/>
        <v>9748</v>
      </c>
      <c r="G1412" s="556">
        <f t="shared" si="117"/>
        <v>8009</v>
      </c>
    </row>
    <row r="1413" spans="1:7" ht="15.75">
      <c r="A1413" s="625">
        <f t="shared" si="118"/>
        <v>67475</v>
      </c>
      <c r="B1413" s="555">
        <v>67450</v>
      </c>
      <c r="C1413" s="555">
        <v>67500</v>
      </c>
      <c r="D1413" s="556">
        <f t="shared" si="114"/>
        <v>9759</v>
      </c>
      <c r="E1413" s="556">
        <f t="shared" si="115"/>
        <v>7620</v>
      </c>
      <c r="F1413" s="556">
        <f t="shared" si="116"/>
        <v>9759</v>
      </c>
      <c r="G1413" s="556">
        <f t="shared" si="117"/>
        <v>8020</v>
      </c>
    </row>
    <row r="1414" spans="1:7" ht="15.75">
      <c r="A1414" s="625">
        <f t="shared" si="118"/>
        <v>67525</v>
      </c>
      <c r="B1414" s="555">
        <v>67500</v>
      </c>
      <c r="C1414" s="555">
        <v>67550</v>
      </c>
      <c r="D1414" s="556">
        <f t="shared" si="114"/>
        <v>9770</v>
      </c>
      <c r="E1414" s="556">
        <f t="shared" si="115"/>
        <v>7626</v>
      </c>
      <c r="F1414" s="556">
        <f t="shared" si="116"/>
        <v>9770</v>
      </c>
      <c r="G1414" s="556">
        <f t="shared" si="117"/>
        <v>8031</v>
      </c>
    </row>
    <row r="1415" spans="1:7" ht="15.75">
      <c r="A1415" s="625">
        <f t="shared" si="118"/>
        <v>67575</v>
      </c>
      <c r="B1415" s="555">
        <v>67550</v>
      </c>
      <c r="C1415" s="555">
        <v>67600</v>
      </c>
      <c r="D1415" s="556">
        <f t="shared" si="114"/>
        <v>9781</v>
      </c>
      <c r="E1415" s="556">
        <f t="shared" si="115"/>
        <v>7632</v>
      </c>
      <c r="F1415" s="556">
        <f t="shared" si="116"/>
        <v>9781</v>
      </c>
      <c r="G1415" s="556">
        <f t="shared" si="117"/>
        <v>8042</v>
      </c>
    </row>
    <row r="1416" spans="1:7" ht="15.75">
      <c r="A1416" s="625">
        <f t="shared" si="118"/>
        <v>67625</v>
      </c>
      <c r="B1416" s="555">
        <v>67600</v>
      </c>
      <c r="C1416" s="555">
        <v>67650</v>
      </c>
      <c r="D1416" s="556">
        <f t="shared" si="114"/>
        <v>9792</v>
      </c>
      <c r="E1416" s="556">
        <f t="shared" si="115"/>
        <v>7638</v>
      </c>
      <c r="F1416" s="556">
        <f t="shared" si="116"/>
        <v>9792</v>
      </c>
      <c r="G1416" s="556">
        <f t="shared" si="117"/>
        <v>8053</v>
      </c>
    </row>
    <row r="1417" spans="1:7" ht="15.75">
      <c r="A1417" s="625">
        <f t="shared" si="118"/>
        <v>67675</v>
      </c>
      <c r="B1417" s="555">
        <v>67650</v>
      </c>
      <c r="C1417" s="555">
        <v>67700</v>
      </c>
      <c r="D1417" s="556">
        <f t="shared" si="114"/>
        <v>9803</v>
      </c>
      <c r="E1417" s="556">
        <f t="shared" si="115"/>
        <v>7644</v>
      </c>
      <c r="F1417" s="556">
        <f t="shared" si="116"/>
        <v>9803</v>
      </c>
      <c r="G1417" s="556">
        <f t="shared" si="117"/>
        <v>8064</v>
      </c>
    </row>
    <row r="1418" spans="1:7" ht="15.75">
      <c r="A1418" s="625">
        <f t="shared" si="118"/>
        <v>67725</v>
      </c>
      <c r="B1418" s="555">
        <v>67700</v>
      </c>
      <c r="C1418" s="555">
        <v>67750</v>
      </c>
      <c r="D1418" s="556">
        <f t="shared" si="114"/>
        <v>9814</v>
      </c>
      <c r="E1418" s="556">
        <f t="shared" si="115"/>
        <v>7650</v>
      </c>
      <c r="F1418" s="556">
        <f t="shared" si="116"/>
        <v>9814</v>
      </c>
      <c r="G1418" s="556">
        <f t="shared" si="117"/>
        <v>8075</v>
      </c>
    </row>
    <row r="1419" spans="1:7" ht="15.75">
      <c r="A1419" s="625">
        <f t="shared" si="118"/>
        <v>67775</v>
      </c>
      <c r="B1419" s="555">
        <v>67750</v>
      </c>
      <c r="C1419" s="555">
        <v>67800</v>
      </c>
      <c r="D1419" s="556">
        <f t="shared" si="114"/>
        <v>9825</v>
      </c>
      <c r="E1419" s="556">
        <f t="shared" si="115"/>
        <v>7656</v>
      </c>
      <c r="F1419" s="556">
        <f t="shared" si="116"/>
        <v>9825</v>
      </c>
      <c r="G1419" s="556">
        <f t="shared" si="117"/>
        <v>8086</v>
      </c>
    </row>
    <row r="1420" spans="1:7" ht="15.75">
      <c r="A1420" s="625">
        <f t="shared" si="118"/>
        <v>67825</v>
      </c>
      <c r="B1420" s="555">
        <v>67800</v>
      </c>
      <c r="C1420" s="555">
        <v>67850</v>
      </c>
      <c r="D1420" s="556">
        <f t="shared" si="114"/>
        <v>9836</v>
      </c>
      <c r="E1420" s="556">
        <f t="shared" si="115"/>
        <v>7662</v>
      </c>
      <c r="F1420" s="556">
        <f t="shared" si="116"/>
        <v>9836</v>
      </c>
      <c r="G1420" s="556">
        <f t="shared" si="117"/>
        <v>8097</v>
      </c>
    </row>
    <row r="1421" spans="1:7" ht="15.75">
      <c r="A1421" s="625">
        <f t="shared" si="118"/>
        <v>67875</v>
      </c>
      <c r="B1421" s="555">
        <v>67850</v>
      </c>
      <c r="C1421" s="555">
        <v>67900</v>
      </c>
      <c r="D1421" s="556">
        <f t="shared" si="114"/>
        <v>9847</v>
      </c>
      <c r="E1421" s="556">
        <f t="shared" si="115"/>
        <v>7668</v>
      </c>
      <c r="F1421" s="556">
        <f t="shared" si="116"/>
        <v>9847</v>
      </c>
      <c r="G1421" s="556">
        <f t="shared" si="117"/>
        <v>8108</v>
      </c>
    </row>
    <row r="1422" spans="1:7" ht="15.75">
      <c r="A1422" s="625">
        <f t="shared" si="118"/>
        <v>67925</v>
      </c>
      <c r="B1422" s="555">
        <v>67900</v>
      </c>
      <c r="C1422" s="555">
        <v>67950</v>
      </c>
      <c r="D1422" s="556">
        <f t="shared" si="114"/>
        <v>9858</v>
      </c>
      <c r="E1422" s="556">
        <f t="shared" si="115"/>
        <v>7674</v>
      </c>
      <c r="F1422" s="556">
        <f t="shared" si="116"/>
        <v>9858</v>
      </c>
      <c r="G1422" s="556">
        <f t="shared" si="117"/>
        <v>8119</v>
      </c>
    </row>
    <row r="1423" spans="1:7" ht="15.75">
      <c r="A1423" s="625">
        <f t="shared" si="118"/>
        <v>67975</v>
      </c>
      <c r="B1423" s="555">
        <v>67950</v>
      </c>
      <c r="C1423" s="555">
        <v>68000</v>
      </c>
      <c r="D1423" s="556">
        <f t="shared" si="114"/>
        <v>9869</v>
      </c>
      <c r="E1423" s="556">
        <f t="shared" si="115"/>
        <v>7680</v>
      </c>
      <c r="F1423" s="556">
        <f t="shared" si="116"/>
        <v>9869</v>
      </c>
      <c r="G1423" s="556">
        <f t="shared" si="117"/>
        <v>8130</v>
      </c>
    </row>
    <row r="1424" spans="1:7" ht="15.75">
      <c r="A1424" s="625">
        <f t="shared" si="118"/>
        <v>68025</v>
      </c>
      <c r="B1424" s="555">
        <v>68000</v>
      </c>
      <c r="C1424" s="555">
        <v>68050</v>
      </c>
      <c r="D1424" s="556">
        <f t="shared" si="114"/>
        <v>9880</v>
      </c>
      <c r="E1424" s="556">
        <f t="shared" si="115"/>
        <v>7686</v>
      </c>
      <c r="F1424" s="556">
        <f t="shared" si="116"/>
        <v>9880</v>
      </c>
      <c r="G1424" s="556">
        <f t="shared" si="117"/>
        <v>8141</v>
      </c>
    </row>
    <row r="1425" spans="1:7" ht="15.75">
      <c r="A1425" s="625">
        <f t="shared" si="118"/>
        <v>68075</v>
      </c>
      <c r="B1425" s="555">
        <v>68050</v>
      </c>
      <c r="C1425" s="555">
        <v>68100</v>
      </c>
      <c r="D1425" s="556">
        <f t="shared" si="114"/>
        <v>9891</v>
      </c>
      <c r="E1425" s="556">
        <f t="shared" si="115"/>
        <v>7692</v>
      </c>
      <c r="F1425" s="556">
        <f t="shared" si="116"/>
        <v>9891</v>
      </c>
      <c r="G1425" s="556">
        <f t="shared" si="117"/>
        <v>8152</v>
      </c>
    </row>
    <row r="1426" spans="1:7" ht="15.75">
      <c r="A1426" s="625">
        <f t="shared" si="118"/>
        <v>68125</v>
      </c>
      <c r="B1426" s="555">
        <v>68100</v>
      </c>
      <c r="C1426" s="555">
        <v>68150</v>
      </c>
      <c r="D1426" s="556">
        <f t="shared" si="114"/>
        <v>9902</v>
      </c>
      <c r="E1426" s="556">
        <f t="shared" si="115"/>
        <v>7698</v>
      </c>
      <c r="F1426" s="556">
        <f t="shared" si="116"/>
        <v>9902</v>
      </c>
      <c r="G1426" s="556">
        <f t="shared" si="117"/>
        <v>8163</v>
      </c>
    </row>
    <row r="1427" spans="1:7" ht="15.75">
      <c r="A1427" s="625">
        <f t="shared" si="118"/>
        <v>68175</v>
      </c>
      <c r="B1427" s="555">
        <v>68150</v>
      </c>
      <c r="C1427" s="555">
        <v>68200</v>
      </c>
      <c r="D1427" s="556">
        <f t="shared" si="114"/>
        <v>9913</v>
      </c>
      <c r="E1427" s="556">
        <f t="shared" si="115"/>
        <v>7704</v>
      </c>
      <c r="F1427" s="556">
        <f t="shared" si="116"/>
        <v>9913</v>
      </c>
      <c r="G1427" s="556">
        <f t="shared" si="117"/>
        <v>8174</v>
      </c>
    </row>
    <row r="1428" spans="1:7" ht="15.75">
      <c r="A1428" s="625">
        <f t="shared" si="118"/>
        <v>68225</v>
      </c>
      <c r="B1428" s="555">
        <v>68200</v>
      </c>
      <c r="C1428" s="555">
        <v>68250</v>
      </c>
      <c r="D1428" s="556">
        <f t="shared" si="114"/>
        <v>9924</v>
      </c>
      <c r="E1428" s="556">
        <f t="shared" si="115"/>
        <v>7710</v>
      </c>
      <c r="F1428" s="556">
        <f t="shared" si="116"/>
        <v>9924</v>
      </c>
      <c r="G1428" s="556">
        <f t="shared" si="117"/>
        <v>8185</v>
      </c>
    </row>
    <row r="1429" spans="1:7" ht="15.75">
      <c r="A1429" s="625">
        <f t="shared" si="118"/>
        <v>68275</v>
      </c>
      <c r="B1429" s="555">
        <v>68250</v>
      </c>
      <c r="C1429" s="555">
        <v>68300</v>
      </c>
      <c r="D1429" s="556">
        <f t="shared" si="114"/>
        <v>9935</v>
      </c>
      <c r="E1429" s="556">
        <f t="shared" si="115"/>
        <v>7716</v>
      </c>
      <c r="F1429" s="556">
        <f t="shared" si="116"/>
        <v>9935</v>
      </c>
      <c r="G1429" s="556">
        <f t="shared" si="117"/>
        <v>8196</v>
      </c>
    </row>
    <row r="1430" spans="1:7" ht="15.75">
      <c r="A1430" s="625">
        <f t="shared" si="118"/>
        <v>68325</v>
      </c>
      <c r="B1430" s="555">
        <v>68300</v>
      </c>
      <c r="C1430" s="555">
        <v>68350</v>
      </c>
      <c r="D1430" s="556">
        <f t="shared" si="114"/>
        <v>9946</v>
      </c>
      <c r="E1430" s="556">
        <f t="shared" si="115"/>
        <v>7722</v>
      </c>
      <c r="F1430" s="556">
        <f t="shared" si="116"/>
        <v>9946</v>
      </c>
      <c r="G1430" s="556">
        <f t="shared" si="117"/>
        <v>8207</v>
      </c>
    </row>
    <row r="1431" spans="1:7" ht="15.75">
      <c r="A1431" s="625">
        <f t="shared" si="118"/>
        <v>68375</v>
      </c>
      <c r="B1431" s="555">
        <v>68350</v>
      </c>
      <c r="C1431" s="555">
        <v>68400</v>
      </c>
      <c r="D1431" s="556">
        <f t="shared" si="114"/>
        <v>9957</v>
      </c>
      <c r="E1431" s="556">
        <f t="shared" si="115"/>
        <v>7728</v>
      </c>
      <c r="F1431" s="556">
        <f t="shared" si="116"/>
        <v>9957</v>
      </c>
      <c r="G1431" s="556">
        <f t="shared" si="117"/>
        <v>8218</v>
      </c>
    </row>
    <row r="1432" spans="1:7" ht="15.75">
      <c r="A1432" s="625">
        <f t="shared" si="118"/>
        <v>68425</v>
      </c>
      <c r="B1432" s="555">
        <v>68400</v>
      </c>
      <c r="C1432" s="555">
        <v>68450</v>
      </c>
      <c r="D1432" s="556">
        <f t="shared" si="114"/>
        <v>9968</v>
      </c>
      <c r="E1432" s="556">
        <f t="shared" si="115"/>
        <v>7734</v>
      </c>
      <c r="F1432" s="556">
        <f t="shared" si="116"/>
        <v>9968</v>
      </c>
      <c r="G1432" s="556">
        <f t="shared" si="117"/>
        <v>8229</v>
      </c>
    </row>
    <row r="1433" spans="1:7" ht="15.75">
      <c r="A1433" s="625">
        <f t="shared" si="118"/>
        <v>68475</v>
      </c>
      <c r="B1433" s="555">
        <v>68450</v>
      </c>
      <c r="C1433" s="555">
        <v>68500</v>
      </c>
      <c r="D1433" s="556">
        <f t="shared" si="114"/>
        <v>9979</v>
      </c>
      <c r="E1433" s="556">
        <f t="shared" si="115"/>
        <v>7740</v>
      </c>
      <c r="F1433" s="556">
        <f t="shared" si="116"/>
        <v>9979</v>
      </c>
      <c r="G1433" s="556">
        <f t="shared" si="117"/>
        <v>8240</v>
      </c>
    </row>
    <row r="1434" spans="1:7" ht="15.75">
      <c r="A1434" s="625">
        <f t="shared" si="118"/>
        <v>68525</v>
      </c>
      <c r="B1434" s="555">
        <v>68500</v>
      </c>
      <c r="C1434" s="555">
        <v>68550</v>
      </c>
      <c r="D1434" s="556">
        <f t="shared" si="114"/>
        <v>9990</v>
      </c>
      <c r="E1434" s="556">
        <f t="shared" si="115"/>
        <v>7746</v>
      </c>
      <c r="F1434" s="556">
        <f t="shared" si="116"/>
        <v>9990</v>
      </c>
      <c r="G1434" s="556">
        <f t="shared" si="117"/>
        <v>8251</v>
      </c>
    </row>
    <row r="1435" spans="1:7" ht="15.75">
      <c r="A1435" s="625">
        <f t="shared" si="118"/>
        <v>68575</v>
      </c>
      <c r="B1435" s="555">
        <v>68550</v>
      </c>
      <c r="C1435" s="555">
        <v>68600</v>
      </c>
      <c r="D1435" s="556">
        <f t="shared" si="114"/>
        <v>10001</v>
      </c>
      <c r="E1435" s="556">
        <f t="shared" si="115"/>
        <v>7752</v>
      </c>
      <c r="F1435" s="556">
        <f t="shared" si="116"/>
        <v>10001</v>
      </c>
      <c r="G1435" s="556">
        <f t="shared" si="117"/>
        <v>8262</v>
      </c>
    </row>
    <row r="1436" spans="1:7" ht="15.75">
      <c r="A1436" s="625">
        <f t="shared" si="118"/>
        <v>68625</v>
      </c>
      <c r="B1436" s="555">
        <v>68600</v>
      </c>
      <c r="C1436" s="555">
        <v>68650</v>
      </c>
      <c r="D1436" s="556">
        <f t="shared" si="114"/>
        <v>10012</v>
      </c>
      <c r="E1436" s="556">
        <f t="shared" si="115"/>
        <v>7758</v>
      </c>
      <c r="F1436" s="556">
        <f t="shared" si="116"/>
        <v>10012</v>
      </c>
      <c r="G1436" s="556">
        <f t="shared" si="117"/>
        <v>8273</v>
      </c>
    </row>
    <row r="1437" spans="1:7" ht="15.75">
      <c r="A1437" s="625">
        <f t="shared" si="118"/>
        <v>68675</v>
      </c>
      <c r="B1437" s="555">
        <v>68650</v>
      </c>
      <c r="C1437" s="555">
        <v>68700</v>
      </c>
      <c r="D1437" s="556">
        <f t="shared" si="114"/>
        <v>10023</v>
      </c>
      <c r="E1437" s="556">
        <f t="shared" si="115"/>
        <v>7764</v>
      </c>
      <c r="F1437" s="556">
        <f t="shared" si="116"/>
        <v>10023</v>
      </c>
      <c r="G1437" s="556">
        <f t="shared" si="117"/>
        <v>8284</v>
      </c>
    </row>
    <row r="1438" spans="1:7" ht="15.75">
      <c r="A1438" s="625">
        <f t="shared" si="118"/>
        <v>68725</v>
      </c>
      <c r="B1438" s="555">
        <v>68700</v>
      </c>
      <c r="C1438" s="555">
        <v>68750</v>
      </c>
      <c r="D1438" s="556">
        <f t="shared" si="114"/>
        <v>10034</v>
      </c>
      <c r="E1438" s="556">
        <f t="shared" si="115"/>
        <v>7770</v>
      </c>
      <c r="F1438" s="556">
        <f t="shared" si="116"/>
        <v>10034</v>
      </c>
      <c r="G1438" s="556">
        <f t="shared" si="117"/>
        <v>8295</v>
      </c>
    </row>
    <row r="1439" spans="1:7" ht="15.75">
      <c r="A1439" s="625">
        <f t="shared" si="118"/>
        <v>68775</v>
      </c>
      <c r="B1439" s="555">
        <v>68750</v>
      </c>
      <c r="C1439" s="555">
        <v>68800</v>
      </c>
      <c r="D1439" s="556">
        <f t="shared" si="114"/>
        <v>10045</v>
      </c>
      <c r="E1439" s="556">
        <f t="shared" si="115"/>
        <v>7776</v>
      </c>
      <c r="F1439" s="556">
        <f t="shared" si="116"/>
        <v>10045</v>
      </c>
      <c r="G1439" s="556">
        <f t="shared" si="117"/>
        <v>8306</v>
      </c>
    </row>
    <row r="1440" spans="1:7" ht="15.75">
      <c r="A1440" s="625">
        <f t="shared" si="118"/>
        <v>68825</v>
      </c>
      <c r="B1440" s="555">
        <v>68800</v>
      </c>
      <c r="C1440" s="555">
        <v>68850</v>
      </c>
      <c r="D1440" s="556">
        <f t="shared" si="114"/>
        <v>10056</v>
      </c>
      <c r="E1440" s="556">
        <f t="shared" si="115"/>
        <v>7782</v>
      </c>
      <c r="F1440" s="556">
        <f t="shared" si="116"/>
        <v>10056</v>
      </c>
      <c r="G1440" s="556">
        <f t="shared" si="117"/>
        <v>8317</v>
      </c>
    </row>
    <row r="1441" spans="1:7" ht="15.75">
      <c r="A1441" s="625">
        <f t="shared" si="118"/>
        <v>68875</v>
      </c>
      <c r="B1441" s="555">
        <v>68850</v>
      </c>
      <c r="C1441" s="555">
        <v>68900</v>
      </c>
      <c r="D1441" s="556">
        <f t="shared" si="114"/>
        <v>10067</v>
      </c>
      <c r="E1441" s="556">
        <f t="shared" si="115"/>
        <v>7788</v>
      </c>
      <c r="F1441" s="556">
        <f t="shared" si="116"/>
        <v>10067</v>
      </c>
      <c r="G1441" s="556">
        <f t="shared" si="117"/>
        <v>8328</v>
      </c>
    </row>
    <row r="1442" spans="1:7" ht="15.75">
      <c r="A1442" s="625">
        <f t="shared" si="118"/>
        <v>68925</v>
      </c>
      <c r="B1442" s="555">
        <v>68900</v>
      </c>
      <c r="C1442" s="555">
        <v>68950</v>
      </c>
      <c r="D1442" s="556">
        <f t="shared" si="114"/>
        <v>10078</v>
      </c>
      <c r="E1442" s="556">
        <f t="shared" si="115"/>
        <v>7794</v>
      </c>
      <c r="F1442" s="556">
        <f t="shared" si="116"/>
        <v>10078</v>
      </c>
      <c r="G1442" s="556">
        <f t="shared" si="117"/>
        <v>8339</v>
      </c>
    </row>
    <row r="1443" spans="1:7" ht="15.75">
      <c r="A1443" s="625">
        <f t="shared" si="118"/>
        <v>68975</v>
      </c>
      <c r="B1443" s="555">
        <v>68950</v>
      </c>
      <c r="C1443" s="555">
        <v>69000</v>
      </c>
      <c r="D1443" s="556">
        <f t="shared" si="114"/>
        <v>10089</v>
      </c>
      <c r="E1443" s="556">
        <f t="shared" si="115"/>
        <v>7800</v>
      </c>
      <c r="F1443" s="556">
        <f t="shared" si="116"/>
        <v>10089</v>
      </c>
      <c r="G1443" s="556">
        <f t="shared" si="117"/>
        <v>8350</v>
      </c>
    </row>
    <row r="1444" spans="1:7" ht="15.75">
      <c r="A1444" s="625">
        <f t="shared" si="118"/>
        <v>69025</v>
      </c>
      <c r="B1444" s="555">
        <v>69000</v>
      </c>
      <c r="C1444" s="555">
        <v>69050</v>
      </c>
      <c r="D1444" s="556">
        <f t="shared" si="114"/>
        <v>10100</v>
      </c>
      <c r="E1444" s="556">
        <f t="shared" si="115"/>
        <v>7806</v>
      </c>
      <c r="F1444" s="556">
        <f t="shared" si="116"/>
        <v>10100</v>
      </c>
      <c r="G1444" s="556">
        <f t="shared" si="117"/>
        <v>8361</v>
      </c>
    </row>
    <row r="1445" spans="1:7" ht="15.75">
      <c r="A1445" s="625">
        <f t="shared" si="118"/>
        <v>69075</v>
      </c>
      <c r="B1445" s="555">
        <v>69050</v>
      </c>
      <c r="C1445" s="555">
        <v>69100</v>
      </c>
      <c r="D1445" s="556">
        <f t="shared" si="114"/>
        <v>10111</v>
      </c>
      <c r="E1445" s="556">
        <f t="shared" si="115"/>
        <v>7812</v>
      </c>
      <c r="F1445" s="556">
        <f t="shared" si="116"/>
        <v>10111</v>
      </c>
      <c r="G1445" s="556">
        <f t="shared" si="117"/>
        <v>8372</v>
      </c>
    </row>
    <row r="1446" spans="1:7" ht="15.75">
      <c r="A1446" s="625">
        <f t="shared" si="118"/>
        <v>69125</v>
      </c>
      <c r="B1446" s="555">
        <v>69100</v>
      </c>
      <c r="C1446" s="555">
        <v>69150</v>
      </c>
      <c r="D1446" s="556">
        <f t="shared" si="114"/>
        <v>10122</v>
      </c>
      <c r="E1446" s="556">
        <f t="shared" si="115"/>
        <v>7818</v>
      </c>
      <c r="F1446" s="556">
        <f t="shared" si="116"/>
        <v>10122</v>
      </c>
      <c r="G1446" s="556">
        <f t="shared" si="117"/>
        <v>8383</v>
      </c>
    </row>
    <row r="1447" spans="1:7" ht="15.75">
      <c r="A1447" s="625">
        <f t="shared" si="118"/>
        <v>69175</v>
      </c>
      <c r="B1447" s="555">
        <v>69150</v>
      </c>
      <c r="C1447" s="555">
        <v>69200</v>
      </c>
      <c r="D1447" s="556">
        <f t="shared" si="114"/>
        <v>10133</v>
      </c>
      <c r="E1447" s="556">
        <f t="shared" si="115"/>
        <v>7824</v>
      </c>
      <c r="F1447" s="556">
        <f t="shared" si="116"/>
        <v>10133</v>
      </c>
      <c r="G1447" s="556">
        <f t="shared" si="117"/>
        <v>8394</v>
      </c>
    </row>
    <row r="1448" spans="1:7" ht="15.75">
      <c r="A1448" s="625">
        <f t="shared" si="118"/>
        <v>69225</v>
      </c>
      <c r="B1448" s="555">
        <v>69200</v>
      </c>
      <c r="C1448" s="555">
        <v>69250</v>
      </c>
      <c r="D1448" s="556">
        <f t="shared" si="114"/>
        <v>10144</v>
      </c>
      <c r="E1448" s="556">
        <f t="shared" si="115"/>
        <v>7830</v>
      </c>
      <c r="F1448" s="556">
        <f t="shared" si="116"/>
        <v>10144</v>
      </c>
      <c r="G1448" s="556">
        <f t="shared" si="117"/>
        <v>8405</v>
      </c>
    </row>
    <row r="1449" spans="1:7" ht="15.75">
      <c r="A1449" s="625">
        <f t="shared" si="118"/>
        <v>69275</v>
      </c>
      <c r="B1449" s="555">
        <v>69250</v>
      </c>
      <c r="C1449" s="555">
        <v>69300</v>
      </c>
      <c r="D1449" s="556">
        <f t="shared" si="114"/>
        <v>10155</v>
      </c>
      <c r="E1449" s="556">
        <f t="shared" si="115"/>
        <v>7836</v>
      </c>
      <c r="F1449" s="556">
        <f t="shared" si="116"/>
        <v>10155</v>
      </c>
      <c r="G1449" s="556">
        <f t="shared" si="117"/>
        <v>8416</v>
      </c>
    </row>
    <row r="1450" spans="1:7" ht="15.75">
      <c r="A1450" s="625">
        <f t="shared" si="118"/>
        <v>69325</v>
      </c>
      <c r="B1450" s="555">
        <v>69300</v>
      </c>
      <c r="C1450" s="555">
        <v>69350</v>
      </c>
      <c r="D1450" s="556">
        <f t="shared" si="114"/>
        <v>10166</v>
      </c>
      <c r="E1450" s="556">
        <f t="shared" si="115"/>
        <v>7842</v>
      </c>
      <c r="F1450" s="556">
        <f t="shared" si="116"/>
        <v>10166</v>
      </c>
      <c r="G1450" s="556">
        <f t="shared" si="117"/>
        <v>8427</v>
      </c>
    </row>
    <row r="1451" spans="1:7" ht="15.75">
      <c r="A1451" s="625">
        <f t="shared" si="118"/>
        <v>69375</v>
      </c>
      <c r="B1451" s="555">
        <v>69350</v>
      </c>
      <c r="C1451" s="555">
        <v>69400</v>
      </c>
      <c r="D1451" s="556">
        <f t="shared" si="114"/>
        <v>10177</v>
      </c>
      <c r="E1451" s="556">
        <f t="shared" si="115"/>
        <v>7848</v>
      </c>
      <c r="F1451" s="556">
        <f t="shared" si="116"/>
        <v>10177</v>
      </c>
      <c r="G1451" s="556">
        <f t="shared" si="117"/>
        <v>8438</v>
      </c>
    </row>
    <row r="1452" spans="1:7" ht="15.75">
      <c r="A1452" s="625">
        <f t="shared" si="118"/>
        <v>69425</v>
      </c>
      <c r="B1452" s="555">
        <v>69400</v>
      </c>
      <c r="C1452" s="555">
        <v>69450</v>
      </c>
      <c r="D1452" s="556">
        <f t="shared" si="114"/>
        <v>10188</v>
      </c>
      <c r="E1452" s="556">
        <f t="shared" si="115"/>
        <v>7854</v>
      </c>
      <c r="F1452" s="556">
        <f t="shared" si="116"/>
        <v>10188</v>
      </c>
      <c r="G1452" s="556">
        <f t="shared" si="117"/>
        <v>8449</v>
      </c>
    </row>
    <row r="1453" spans="1:7" ht="15.75">
      <c r="A1453" s="625">
        <f t="shared" si="118"/>
        <v>69475</v>
      </c>
      <c r="B1453" s="555">
        <v>69450</v>
      </c>
      <c r="C1453" s="555">
        <v>69500</v>
      </c>
      <c r="D1453" s="556">
        <f t="shared" si="114"/>
        <v>10199</v>
      </c>
      <c r="E1453" s="556">
        <f t="shared" si="115"/>
        <v>7860</v>
      </c>
      <c r="F1453" s="556">
        <f t="shared" si="116"/>
        <v>10199</v>
      </c>
      <c r="G1453" s="556">
        <f t="shared" si="117"/>
        <v>8460</v>
      </c>
    </row>
    <row r="1454" spans="1:7" ht="15.75">
      <c r="A1454" s="625">
        <f t="shared" si="118"/>
        <v>69525</v>
      </c>
      <c r="B1454" s="555">
        <v>69500</v>
      </c>
      <c r="C1454" s="555">
        <v>69550</v>
      </c>
      <c r="D1454" s="556">
        <f t="shared" si="114"/>
        <v>10210</v>
      </c>
      <c r="E1454" s="556">
        <f t="shared" si="115"/>
        <v>7866</v>
      </c>
      <c r="F1454" s="556">
        <f t="shared" si="116"/>
        <v>10210</v>
      </c>
      <c r="G1454" s="556">
        <f t="shared" si="117"/>
        <v>8471</v>
      </c>
    </row>
    <row r="1455" spans="1:7" ht="15.75">
      <c r="A1455" s="625">
        <f t="shared" si="118"/>
        <v>69575</v>
      </c>
      <c r="B1455" s="555">
        <v>69550</v>
      </c>
      <c r="C1455" s="555">
        <v>69600</v>
      </c>
      <c r="D1455" s="556">
        <f t="shared" si="114"/>
        <v>10221</v>
      </c>
      <c r="E1455" s="556">
        <f t="shared" si="115"/>
        <v>7872</v>
      </c>
      <c r="F1455" s="556">
        <f t="shared" si="116"/>
        <v>10221</v>
      </c>
      <c r="G1455" s="556">
        <f t="shared" si="117"/>
        <v>8482</v>
      </c>
    </row>
    <row r="1456" spans="1:7" ht="15.75">
      <c r="A1456" s="625">
        <f t="shared" si="118"/>
        <v>69625</v>
      </c>
      <c r="B1456" s="555">
        <v>69600</v>
      </c>
      <c r="C1456" s="555">
        <v>69650</v>
      </c>
      <c r="D1456" s="556">
        <f t="shared" si="114"/>
        <v>10232</v>
      </c>
      <c r="E1456" s="556">
        <f t="shared" si="115"/>
        <v>7878</v>
      </c>
      <c r="F1456" s="556">
        <f t="shared" si="116"/>
        <v>10232</v>
      </c>
      <c r="G1456" s="556">
        <f t="shared" si="117"/>
        <v>8493</v>
      </c>
    </row>
    <row r="1457" spans="1:7" ht="15.75">
      <c r="A1457" s="625">
        <f t="shared" si="118"/>
        <v>69675</v>
      </c>
      <c r="B1457" s="555">
        <v>69650</v>
      </c>
      <c r="C1457" s="555">
        <v>69700</v>
      </c>
      <c r="D1457" s="556">
        <f t="shared" si="114"/>
        <v>10243</v>
      </c>
      <c r="E1457" s="556">
        <f t="shared" si="115"/>
        <v>7884</v>
      </c>
      <c r="F1457" s="556">
        <f t="shared" si="116"/>
        <v>10243</v>
      </c>
      <c r="G1457" s="556">
        <f t="shared" si="117"/>
        <v>8504</v>
      </c>
    </row>
    <row r="1458" spans="1:7" ht="15.75">
      <c r="A1458" s="625">
        <f t="shared" si="118"/>
        <v>69725</v>
      </c>
      <c r="B1458" s="555">
        <v>69700</v>
      </c>
      <c r="C1458" s="555">
        <v>69750</v>
      </c>
      <c r="D1458" s="556">
        <f t="shared" si="114"/>
        <v>10254</v>
      </c>
      <c r="E1458" s="556">
        <f t="shared" si="115"/>
        <v>7890</v>
      </c>
      <c r="F1458" s="556">
        <f t="shared" si="116"/>
        <v>10254</v>
      </c>
      <c r="G1458" s="556">
        <f t="shared" si="117"/>
        <v>8515</v>
      </c>
    </row>
    <row r="1459" spans="1:7" ht="15.75">
      <c r="A1459" s="625">
        <f t="shared" si="118"/>
        <v>69775</v>
      </c>
      <c r="B1459" s="555">
        <v>69750</v>
      </c>
      <c r="C1459" s="555">
        <v>69800</v>
      </c>
      <c r="D1459" s="556">
        <f t="shared" si="114"/>
        <v>10265</v>
      </c>
      <c r="E1459" s="556">
        <f t="shared" si="115"/>
        <v>7896</v>
      </c>
      <c r="F1459" s="556">
        <f t="shared" si="116"/>
        <v>10265</v>
      </c>
      <c r="G1459" s="556">
        <f t="shared" si="117"/>
        <v>8526</v>
      </c>
    </row>
    <row r="1460" spans="1:7" ht="15.75">
      <c r="A1460" s="625">
        <f t="shared" si="118"/>
        <v>69825</v>
      </c>
      <c r="B1460" s="555">
        <v>69800</v>
      </c>
      <c r="C1460" s="555">
        <v>69850</v>
      </c>
      <c r="D1460" s="556">
        <f t="shared" si="114"/>
        <v>10276</v>
      </c>
      <c r="E1460" s="556">
        <f t="shared" si="115"/>
        <v>7902</v>
      </c>
      <c r="F1460" s="556">
        <f t="shared" si="116"/>
        <v>10276</v>
      </c>
      <c r="G1460" s="556">
        <f t="shared" si="117"/>
        <v>8537</v>
      </c>
    </row>
    <row r="1461" spans="1:7" ht="15.75">
      <c r="A1461" s="625">
        <f t="shared" si="118"/>
        <v>69875</v>
      </c>
      <c r="B1461" s="555">
        <v>69850</v>
      </c>
      <c r="C1461" s="555">
        <v>69900</v>
      </c>
      <c r="D1461" s="556">
        <f t="shared" si="114"/>
        <v>10287</v>
      </c>
      <c r="E1461" s="556">
        <f t="shared" si="115"/>
        <v>7908</v>
      </c>
      <c r="F1461" s="556">
        <f t="shared" si="116"/>
        <v>10287</v>
      </c>
      <c r="G1461" s="556">
        <f t="shared" si="117"/>
        <v>8548</v>
      </c>
    </row>
    <row r="1462" spans="1:7" ht="15.75">
      <c r="A1462" s="625">
        <f t="shared" si="118"/>
        <v>69925</v>
      </c>
      <c r="B1462" s="555">
        <v>69900</v>
      </c>
      <c r="C1462" s="555">
        <v>69950</v>
      </c>
      <c r="D1462" s="556">
        <f t="shared" si="114"/>
        <v>10298</v>
      </c>
      <c r="E1462" s="556">
        <f t="shared" si="115"/>
        <v>7914</v>
      </c>
      <c r="F1462" s="556">
        <f t="shared" si="116"/>
        <v>10298</v>
      </c>
      <c r="G1462" s="556">
        <f t="shared" si="117"/>
        <v>8559</v>
      </c>
    </row>
    <row r="1463" spans="1:7" ht="15.75">
      <c r="A1463" s="625">
        <f t="shared" si="118"/>
        <v>69975</v>
      </c>
      <c r="B1463" s="555">
        <v>69950</v>
      </c>
      <c r="C1463" s="555">
        <v>70000</v>
      </c>
      <c r="D1463" s="556">
        <f t="shared" si="114"/>
        <v>10309</v>
      </c>
      <c r="E1463" s="556">
        <f t="shared" si="115"/>
        <v>7920</v>
      </c>
      <c r="F1463" s="556">
        <f t="shared" si="116"/>
        <v>10309</v>
      </c>
      <c r="G1463" s="556">
        <f t="shared" si="117"/>
        <v>8570</v>
      </c>
    </row>
    <row r="1464" spans="1:7" ht="15.75">
      <c r="A1464" s="625">
        <f t="shared" si="118"/>
        <v>70025</v>
      </c>
      <c r="B1464" s="555">
        <v>70000</v>
      </c>
      <c r="C1464" s="555">
        <v>70050</v>
      </c>
      <c r="D1464" s="556">
        <f t="shared" si="114"/>
        <v>10320</v>
      </c>
      <c r="E1464" s="556">
        <f t="shared" si="115"/>
        <v>7926</v>
      </c>
      <c r="F1464" s="556">
        <f t="shared" si="116"/>
        <v>10320</v>
      </c>
      <c r="G1464" s="556">
        <f t="shared" si="117"/>
        <v>8581</v>
      </c>
    </row>
    <row r="1465" spans="1:7" ht="15.75">
      <c r="A1465" s="625">
        <f t="shared" si="118"/>
        <v>70075</v>
      </c>
      <c r="B1465" s="555">
        <v>70050</v>
      </c>
      <c r="C1465" s="555">
        <v>70100</v>
      </c>
      <c r="D1465" s="556">
        <f t="shared" si="114"/>
        <v>10331</v>
      </c>
      <c r="E1465" s="556">
        <f t="shared" si="115"/>
        <v>7932</v>
      </c>
      <c r="F1465" s="556">
        <f t="shared" si="116"/>
        <v>10331</v>
      </c>
      <c r="G1465" s="556">
        <f t="shared" si="117"/>
        <v>8592</v>
      </c>
    </row>
    <row r="1466" spans="1:7" ht="15.75">
      <c r="A1466" s="625">
        <f t="shared" si="118"/>
        <v>70125</v>
      </c>
      <c r="B1466" s="555">
        <v>70100</v>
      </c>
      <c r="C1466" s="555">
        <v>70150</v>
      </c>
      <c r="D1466" s="556">
        <f t="shared" si="114"/>
        <v>10342</v>
      </c>
      <c r="E1466" s="556">
        <f t="shared" si="115"/>
        <v>7938</v>
      </c>
      <c r="F1466" s="556">
        <f t="shared" si="116"/>
        <v>10342</v>
      </c>
      <c r="G1466" s="556">
        <f t="shared" si="117"/>
        <v>8603</v>
      </c>
    </row>
    <row r="1467" spans="1:7" ht="15.75">
      <c r="A1467" s="625">
        <f t="shared" si="118"/>
        <v>70175</v>
      </c>
      <c r="B1467" s="555">
        <v>70150</v>
      </c>
      <c r="C1467" s="555">
        <v>70200</v>
      </c>
      <c r="D1467" s="556">
        <f t="shared" si="114"/>
        <v>10353</v>
      </c>
      <c r="E1467" s="556">
        <f t="shared" si="115"/>
        <v>7944</v>
      </c>
      <c r="F1467" s="556">
        <f t="shared" si="116"/>
        <v>10353</v>
      </c>
      <c r="G1467" s="556">
        <f t="shared" si="117"/>
        <v>8614</v>
      </c>
    </row>
    <row r="1468" spans="1:7" ht="15.75">
      <c r="A1468" s="625">
        <f t="shared" si="118"/>
        <v>70225</v>
      </c>
      <c r="B1468" s="555">
        <v>70200</v>
      </c>
      <c r="C1468" s="555">
        <v>70250</v>
      </c>
      <c r="D1468" s="556">
        <f t="shared" si="114"/>
        <v>10364</v>
      </c>
      <c r="E1468" s="556">
        <f t="shared" si="115"/>
        <v>7950</v>
      </c>
      <c r="F1468" s="556">
        <f t="shared" si="116"/>
        <v>10364</v>
      </c>
      <c r="G1468" s="556">
        <f t="shared" si="117"/>
        <v>8625</v>
      </c>
    </row>
    <row r="1469" spans="1:7" ht="15.75">
      <c r="A1469" s="625">
        <f t="shared" si="118"/>
        <v>70275</v>
      </c>
      <c r="B1469" s="555">
        <v>70250</v>
      </c>
      <c r="C1469" s="555">
        <v>70300</v>
      </c>
      <c r="D1469" s="556">
        <f t="shared" si="114"/>
        <v>10375</v>
      </c>
      <c r="E1469" s="556">
        <f t="shared" si="115"/>
        <v>7956</v>
      </c>
      <c r="F1469" s="556">
        <f t="shared" si="116"/>
        <v>10375</v>
      </c>
      <c r="G1469" s="556">
        <f t="shared" si="117"/>
        <v>8636</v>
      </c>
    </row>
    <row r="1470" spans="1:7" ht="15.75">
      <c r="A1470" s="625">
        <f t="shared" si="118"/>
        <v>70325</v>
      </c>
      <c r="B1470" s="555">
        <v>70300</v>
      </c>
      <c r="C1470" s="555">
        <v>70350</v>
      </c>
      <c r="D1470" s="556">
        <f t="shared" si="114"/>
        <v>10386</v>
      </c>
      <c r="E1470" s="556">
        <f t="shared" si="115"/>
        <v>7962</v>
      </c>
      <c r="F1470" s="556">
        <f t="shared" si="116"/>
        <v>10386</v>
      </c>
      <c r="G1470" s="556">
        <f t="shared" si="117"/>
        <v>8647</v>
      </c>
    </row>
    <row r="1471" spans="1:7" ht="15.75">
      <c r="A1471" s="625">
        <f t="shared" si="118"/>
        <v>70375</v>
      </c>
      <c r="B1471" s="555">
        <v>70350</v>
      </c>
      <c r="C1471" s="555">
        <v>70400</v>
      </c>
      <c r="D1471" s="556">
        <f t="shared" si="114"/>
        <v>10397</v>
      </c>
      <c r="E1471" s="556">
        <f t="shared" si="115"/>
        <v>7968</v>
      </c>
      <c r="F1471" s="556">
        <f t="shared" si="116"/>
        <v>10397</v>
      </c>
      <c r="G1471" s="556">
        <f t="shared" si="117"/>
        <v>8658</v>
      </c>
    </row>
    <row r="1472" spans="1:7" ht="15.75">
      <c r="A1472" s="625">
        <f t="shared" si="118"/>
        <v>70425</v>
      </c>
      <c r="B1472" s="555">
        <v>70400</v>
      </c>
      <c r="C1472" s="555">
        <v>70450</v>
      </c>
      <c r="D1472" s="556">
        <f t="shared" si="114"/>
        <v>10408</v>
      </c>
      <c r="E1472" s="556">
        <f t="shared" si="115"/>
        <v>7974</v>
      </c>
      <c r="F1472" s="556">
        <f t="shared" si="116"/>
        <v>10408</v>
      </c>
      <c r="G1472" s="556">
        <f t="shared" si="117"/>
        <v>8669</v>
      </c>
    </row>
    <row r="1473" spans="1:7" ht="15.75">
      <c r="A1473" s="625">
        <f t="shared" si="118"/>
        <v>70475</v>
      </c>
      <c r="B1473" s="555">
        <v>70450</v>
      </c>
      <c r="C1473" s="555">
        <v>70500</v>
      </c>
      <c r="D1473" s="556">
        <f t="shared" si="114"/>
        <v>10419</v>
      </c>
      <c r="E1473" s="556">
        <f t="shared" si="115"/>
        <v>7980</v>
      </c>
      <c r="F1473" s="556">
        <f t="shared" si="116"/>
        <v>10419</v>
      </c>
      <c r="G1473" s="556">
        <f t="shared" si="117"/>
        <v>8680</v>
      </c>
    </row>
    <row r="1474" spans="1:7" ht="15.75">
      <c r="A1474" s="625">
        <f t="shared" si="118"/>
        <v>70525</v>
      </c>
      <c r="B1474" s="555">
        <v>70500</v>
      </c>
      <c r="C1474" s="555">
        <v>70550</v>
      </c>
      <c r="D1474" s="556">
        <f t="shared" ref="D1474:D1537" si="119">IF($A1474&gt;BOTT_A4,ROUND(BASE_A4+RATE_A4*($A1474-BOTT_A4),0),IF($A1474&gt;BOTT_A3,ROUND(BASE_A3+RATE_A3*($A1474-BOTT_A3),0),IF($A1474&gt;BOTT_A2,ROUND(BASE_A2+RATE_A2*($A1474-BOTT_A2),0),ROUND(RATE_A1*$A1474,0))))</f>
        <v>10430</v>
      </c>
      <c r="E1474" s="556">
        <f t="shared" ref="E1474:E1537" si="120">IF($A1474&gt;BOTT_B4,ROUND(BASE_B4+RATE_B4*($A1474-BOTT_B4),0),IF($A1474&gt;BOTT_B3,ROUND(BASE_B3+RATE_B3*($A1474-BOTT_B3),0),IF($A1474&gt;BOTT_B2,ROUND(BASE_B2+RATE_B2*($A1474-BOTT_B2),0),ROUND(RATE_B1*$A1474,0))))</f>
        <v>7986</v>
      </c>
      <c r="F1474" s="556">
        <f t="shared" ref="F1474:F1537" si="121">IF($A1474&gt;BOTT_C4,ROUND(BASE_C4+RATE_C4*($A1474-BOTT_C4),0),IF($A1474&gt;BOTT_C3,ROUND(BASE_C3+RATE_C3*($A1474-BOTT_C3),0),IF($A1474&gt;BOTT_C2,ROUND(BASE_C2+RATE_C2*($A1474-BOTT_C2),0),ROUND(RATE_C1*$A1474,0))))</f>
        <v>10430</v>
      </c>
      <c r="G1474" s="556">
        <f t="shared" ref="G1474:G1537" si="122">IF($A1474&gt;BOTT_D4,ROUND(BASE_D4+RATE_D4*($A1474-BOTT_D4),0),IF($A1474&gt;BOTT_D3,ROUND(BASE_D3+RATE_D3*($A1474-BOTT_D3),0),IF($A1474&gt;BOTT_D2,ROUND(BASE_D2+RATE_D2*($A1474-BOTT_D2),0),ROUND(RATE_D1*$A1474,0))))</f>
        <v>8691</v>
      </c>
    </row>
    <row r="1475" spans="1:7" ht="15.75">
      <c r="A1475" s="625">
        <f t="shared" ref="A1475:A1538" si="123">AVERAGE(B1475,C1475)</f>
        <v>70575</v>
      </c>
      <c r="B1475" s="555">
        <v>70550</v>
      </c>
      <c r="C1475" s="555">
        <v>70600</v>
      </c>
      <c r="D1475" s="556">
        <f t="shared" si="119"/>
        <v>10441</v>
      </c>
      <c r="E1475" s="556">
        <f t="shared" si="120"/>
        <v>7992</v>
      </c>
      <c r="F1475" s="556">
        <f t="shared" si="121"/>
        <v>10441</v>
      </c>
      <c r="G1475" s="556">
        <f t="shared" si="122"/>
        <v>8702</v>
      </c>
    </row>
    <row r="1476" spans="1:7" ht="15.75">
      <c r="A1476" s="625">
        <f t="shared" si="123"/>
        <v>70625</v>
      </c>
      <c r="B1476" s="555">
        <v>70600</v>
      </c>
      <c r="C1476" s="555">
        <v>70650</v>
      </c>
      <c r="D1476" s="556">
        <f t="shared" si="119"/>
        <v>10452</v>
      </c>
      <c r="E1476" s="556">
        <f t="shared" si="120"/>
        <v>7998</v>
      </c>
      <c r="F1476" s="556">
        <f t="shared" si="121"/>
        <v>10452</v>
      </c>
      <c r="G1476" s="556">
        <f t="shared" si="122"/>
        <v>8713</v>
      </c>
    </row>
    <row r="1477" spans="1:7" ht="15.75">
      <c r="A1477" s="625">
        <f t="shared" si="123"/>
        <v>70675</v>
      </c>
      <c r="B1477" s="555">
        <v>70650</v>
      </c>
      <c r="C1477" s="555">
        <v>70700</v>
      </c>
      <c r="D1477" s="556">
        <f t="shared" si="119"/>
        <v>10463</v>
      </c>
      <c r="E1477" s="556">
        <f t="shared" si="120"/>
        <v>8004</v>
      </c>
      <c r="F1477" s="556">
        <f t="shared" si="121"/>
        <v>10463</v>
      </c>
      <c r="G1477" s="556">
        <f t="shared" si="122"/>
        <v>8724</v>
      </c>
    </row>
    <row r="1478" spans="1:7" ht="15.75">
      <c r="A1478" s="625">
        <f t="shared" si="123"/>
        <v>70725</v>
      </c>
      <c r="B1478" s="555">
        <v>70700</v>
      </c>
      <c r="C1478" s="555">
        <v>70750</v>
      </c>
      <c r="D1478" s="556">
        <f t="shared" si="119"/>
        <v>10474</v>
      </c>
      <c r="E1478" s="556">
        <f t="shared" si="120"/>
        <v>8010</v>
      </c>
      <c r="F1478" s="556">
        <f t="shared" si="121"/>
        <v>10474</v>
      </c>
      <c r="G1478" s="556">
        <f t="shared" si="122"/>
        <v>8735</v>
      </c>
    </row>
    <row r="1479" spans="1:7" ht="15.75">
      <c r="A1479" s="625">
        <f t="shared" si="123"/>
        <v>70775</v>
      </c>
      <c r="B1479" s="555">
        <v>70750</v>
      </c>
      <c r="C1479" s="555">
        <v>70800</v>
      </c>
      <c r="D1479" s="556">
        <f t="shared" si="119"/>
        <v>10485</v>
      </c>
      <c r="E1479" s="556">
        <f t="shared" si="120"/>
        <v>8016</v>
      </c>
      <c r="F1479" s="556">
        <f t="shared" si="121"/>
        <v>10485</v>
      </c>
      <c r="G1479" s="556">
        <f t="shared" si="122"/>
        <v>8746</v>
      </c>
    </row>
    <row r="1480" spans="1:7" ht="15.75">
      <c r="A1480" s="625">
        <f t="shared" si="123"/>
        <v>70825</v>
      </c>
      <c r="B1480" s="555">
        <v>70800</v>
      </c>
      <c r="C1480" s="555">
        <v>70850</v>
      </c>
      <c r="D1480" s="556">
        <f t="shared" si="119"/>
        <v>10496</v>
      </c>
      <c r="E1480" s="556">
        <f t="shared" si="120"/>
        <v>8022</v>
      </c>
      <c r="F1480" s="556">
        <f t="shared" si="121"/>
        <v>10496</v>
      </c>
      <c r="G1480" s="556">
        <f t="shared" si="122"/>
        <v>8757</v>
      </c>
    </row>
    <row r="1481" spans="1:7" ht="15.75">
      <c r="A1481" s="625">
        <f t="shared" si="123"/>
        <v>70875</v>
      </c>
      <c r="B1481" s="555">
        <v>70850</v>
      </c>
      <c r="C1481" s="555">
        <v>70900</v>
      </c>
      <c r="D1481" s="556">
        <f t="shared" si="119"/>
        <v>10507</v>
      </c>
      <c r="E1481" s="556">
        <f t="shared" si="120"/>
        <v>8028</v>
      </c>
      <c r="F1481" s="556">
        <f t="shared" si="121"/>
        <v>10507</v>
      </c>
      <c r="G1481" s="556">
        <f t="shared" si="122"/>
        <v>8768</v>
      </c>
    </row>
    <row r="1482" spans="1:7" ht="15.75">
      <c r="A1482" s="625">
        <f t="shared" si="123"/>
        <v>70925</v>
      </c>
      <c r="B1482" s="555">
        <v>70900</v>
      </c>
      <c r="C1482" s="555">
        <v>70950</v>
      </c>
      <c r="D1482" s="556">
        <f t="shared" si="119"/>
        <v>10518</v>
      </c>
      <c r="E1482" s="556">
        <f t="shared" si="120"/>
        <v>8034</v>
      </c>
      <c r="F1482" s="556">
        <f t="shared" si="121"/>
        <v>10518</v>
      </c>
      <c r="G1482" s="556">
        <f t="shared" si="122"/>
        <v>8779</v>
      </c>
    </row>
    <row r="1483" spans="1:7" ht="15.75">
      <c r="A1483" s="625">
        <f t="shared" si="123"/>
        <v>70975</v>
      </c>
      <c r="B1483" s="555">
        <v>70950</v>
      </c>
      <c r="C1483" s="555">
        <v>71000</v>
      </c>
      <c r="D1483" s="556">
        <f t="shared" si="119"/>
        <v>10529</v>
      </c>
      <c r="E1483" s="556">
        <f t="shared" si="120"/>
        <v>8040</v>
      </c>
      <c r="F1483" s="556">
        <f t="shared" si="121"/>
        <v>10529</v>
      </c>
      <c r="G1483" s="556">
        <f t="shared" si="122"/>
        <v>8790</v>
      </c>
    </row>
    <row r="1484" spans="1:7" ht="15.75">
      <c r="A1484" s="625">
        <f t="shared" si="123"/>
        <v>71025</v>
      </c>
      <c r="B1484" s="555">
        <v>71000</v>
      </c>
      <c r="C1484" s="555">
        <v>71050</v>
      </c>
      <c r="D1484" s="556">
        <f t="shared" si="119"/>
        <v>10540</v>
      </c>
      <c r="E1484" s="556">
        <f t="shared" si="120"/>
        <v>8046</v>
      </c>
      <c r="F1484" s="556">
        <f t="shared" si="121"/>
        <v>10540</v>
      </c>
      <c r="G1484" s="556">
        <f t="shared" si="122"/>
        <v>8801</v>
      </c>
    </row>
    <row r="1485" spans="1:7" ht="15.75">
      <c r="A1485" s="625">
        <f t="shared" si="123"/>
        <v>71075</v>
      </c>
      <c r="B1485" s="555">
        <v>71050</v>
      </c>
      <c r="C1485" s="555">
        <v>71100</v>
      </c>
      <c r="D1485" s="556">
        <f t="shared" si="119"/>
        <v>10551</v>
      </c>
      <c r="E1485" s="556">
        <f t="shared" si="120"/>
        <v>8052</v>
      </c>
      <c r="F1485" s="556">
        <f t="shared" si="121"/>
        <v>10551</v>
      </c>
      <c r="G1485" s="556">
        <f t="shared" si="122"/>
        <v>8812</v>
      </c>
    </row>
    <row r="1486" spans="1:7" ht="15.75">
      <c r="A1486" s="625">
        <f t="shared" si="123"/>
        <v>71125</v>
      </c>
      <c r="B1486" s="555">
        <v>71100</v>
      </c>
      <c r="C1486" s="555">
        <v>71150</v>
      </c>
      <c r="D1486" s="556">
        <f t="shared" si="119"/>
        <v>10562</v>
      </c>
      <c r="E1486" s="556">
        <f t="shared" si="120"/>
        <v>8058</v>
      </c>
      <c r="F1486" s="556">
        <f t="shared" si="121"/>
        <v>10562</v>
      </c>
      <c r="G1486" s="556">
        <f t="shared" si="122"/>
        <v>8823</v>
      </c>
    </row>
    <row r="1487" spans="1:7" ht="15.75">
      <c r="A1487" s="625">
        <f t="shared" si="123"/>
        <v>71175</v>
      </c>
      <c r="B1487" s="555">
        <v>71150</v>
      </c>
      <c r="C1487" s="555">
        <v>71200</v>
      </c>
      <c r="D1487" s="556">
        <f t="shared" si="119"/>
        <v>10573</v>
      </c>
      <c r="E1487" s="556">
        <f t="shared" si="120"/>
        <v>8064</v>
      </c>
      <c r="F1487" s="556">
        <f t="shared" si="121"/>
        <v>10573</v>
      </c>
      <c r="G1487" s="556">
        <f t="shared" si="122"/>
        <v>8834</v>
      </c>
    </row>
    <row r="1488" spans="1:7" ht="15.75">
      <c r="A1488" s="625">
        <f t="shared" si="123"/>
        <v>71225</v>
      </c>
      <c r="B1488" s="555">
        <v>71200</v>
      </c>
      <c r="C1488" s="555">
        <v>71250</v>
      </c>
      <c r="D1488" s="556">
        <f t="shared" si="119"/>
        <v>10584</v>
      </c>
      <c r="E1488" s="556">
        <f t="shared" si="120"/>
        <v>8070</v>
      </c>
      <c r="F1488" s="556">
        <f t="shared" si="121"/>
        <v>10584</v>
      </c>
      <c r="G1488" s="556">
        <f t="shared" si="122"/>
        <v>8845</v>
      </c>
    </row>
    <row r="1489" spans="1:7" ht="15.75">
      <c r="A1489" s="625">
        <f t="shared" si="123"/>
        <v>71275</v>
      </c>
      <c r="B1489" s="555">
        <v>71250</v>
      </c>
      <c r="C1489" s="555">
        <v>71300</v>
      </c>
      <c r="D1489" s="556">
        <f t="shared" si="119"/>
        <v>10595</v>
      </c>
      <c r="E1489" s="556">
        <f t="shared" si="120"/>
        <v>8076</v>
      </c>
      <c r="F1489" s="556">
        <f t="shared" si="121"/>
        <v>10595</v>
      </c>
      <c r="G1489" s="556">
        <f t="shared" si="122"/>
        <v>8856</v>
      </c>
    </row>
    <row r="1490" spans="1:7" ht="15.75">
      <c r="A1490" s="625">
        <f t="shared" si="123"/>
        <v>71325</v>
      </c>
      <c r="B1490" s="555">
        <v>71300</v>
      </c>
      <c r="C1490" s="555">
        <v>71350</v>
      </c>
      <c r="D1490" s="556">
        <f t="shared" si="119"/>
        <v>10606</v>
      </c>
      <c r="E1490" s="556">
        <f t="shared" si="120"/>
        <v>8082</v>
      </c>
      <c r="F1490" s="556">
        <f t="shared" si="121"/>
        <v>10606</v>
      </c>
      <c r="G1490" s="556">
        <f t="shared" si="122"/>
        <v>8867</v>
      </c>
    </row>
    <row r="1491" spans="1:7" ht="15.75">
      <c r="A1491" s="625">
        <f t="shared" si="123"/>
        <v>71375</v>
      </c>
      <c r="B1491" s="555">
        <v>71350</v>
      </c>
      <c r="C1491" s="555">
        <v>71400</v>
      </c>
      <c r="D1491" s="556">
        <f t="shared" si="119"/>
        <v>10617</v>
      </c>
      <c r="E1491" s="556">
        <f t="shared" si="120"/>
        <v>8088</v>
      </c>
      <c r="F1491" s="556">
        <f t="shared" si="121"/>
        <v>10617</v>
      </c>
      <c r="G1491" s="556">
        <f t="shared" si="122"/>
        <v>8878</v>
      </c>
    </row>
    <row r="1492" spans="1:7" ht="15.75">
      <c r="A1492" s="625">
        <f t="shared" si="123"/>
        <v>71425</v>
      </c>
      <c r="B1492" s="555">
        <v>71400</v>
      </c>
      <c r="C1492" s="555">
        <v>71450</v>
      </c>
      <c r="D1492" s="556">
        <f t="shared" si="119"/>
        <v>10628</v>
      </c>
      <c r="E1492" s="556">
        <f t="shared" si="120"/>
        <v>8094</v>
      </c>
      <c r="F1492" s="556">
        <f t="shared" si="121"/>
        <v>10628</v>
      </c>
      <c r="G1492" s="556">
        <f t="shared" si="122"/>
        <v>8889</v>
      </c>
    </row>
    <row r="1493" spans="1:7" ht="15.75">
      <c r="A1493" s="625">
        <f t="shared" si="123"/>
        <v>71475</v>
      </c>
      <c r="B1493" s="555">
        <v>71450</v>
      </c>
      <c r="C1493" s="555">
        <v>71500</v>
      </c>
      <c r="D1493" s="556">
        <f t="shared" si="119"/>
        <v>10639</v>
      </c>
      <c r="E1493" s="556">
        <f t="shared" si="120"/>
        <v>8100</v>
      </c>
      <c r="F1493" s="556">
        <f t="shared" si="121"/>
        <v>10639</v>
      </c>
      <c r="G1493" s="556">
        <f t="shared" si="122"/>
        <v>8900</v>
      </c>
    </row>
    <row r="1494" spans="1:7" ht="15.75">
      <c r="A1494" s="625">
        <f t="shared" si="123"/>
        <v>71525</v>
      </c>
      <c r="B1494" s="555">
        <v>71500</v>
      </c>
      <c r="C1494" s="555">
        <v>71550</v>
      </c>
      <c r="D1494" s="556">
        <f t="shared" si="119"/>
        <v>10650</v>
      </c>
      <c r="E1494" s="556">
        <f t="shared" si="120"/>
        <v>8106</v>
      </c>
      <c r="F1494" s="556">
        <f t="shared" si="121"/>
        <v>10650</v>
      </c>
      <c r="G1494" s="556">
        <f t="shared" si="122"/>
        <v>8911</v>
      </c>
    </row>
    <row r="1495" spans="1:7" ht="15.75">
      <c r="A1495" s="625">
        <f t="shared" si="123"/>
        <v>71575</v>
      </c>
      <c r="B1495" s="555">
        <v>71550</v>
      </c>
      <c r="C1495" s="555">
        <v>71600</v>
      </c>
      <c r="D1495" s="556">
        <f t="shared" si="119"/>
        <v>10661</v>
      </c>
      <c r="E1495" s="556">
        <f t="shared" si="120"/>
        <v>8112</v>
      </c>
      <c r="F1495" s="556">
        <f t="shared" si="121"/>
        <v>10661</v>
      </c>
      <c r="G1495" s="556">
        <f t="shared" si="122"/>
        <v>8922</v>
      </c>
    </row>
    <row r="1496" spans="1:7" ht="15.75">
      <c r="A1496" s="625">
        <f t="shared" si="123"/>
        <v>71625</v>
      </c>
      <c r="B1496" s="555">
        <v>71600</v>
      </c>
      <c r="C1496" s="555">
        <v>71650</v>
      </c>
      <c r="D1496" s="556">
        <f t="shared" si="119"/>
        <v>10672</v>
      </c>
      <c r="E1496" s="556">
        <f t="shared" si="120"/>
        <v>8118</v>
      </c>
      <c r="F1496" s="556">
        <f t="shared" si="121"/>
        <v>10672</v>
      </c>
      <c r="G1496" s="556">
        <f t="shared" si="122"/>
        <v>8933</v>
      </c>
    </row>
    <row r="1497" spans="1:7" ht="15.75">
      <c r="A1497" s="625">
        <f t="shared" si="123"/>
        <v>71675</v>
      </c>
      <c r="B1497" s="555">
        <v>71650</v>
      </c>
      <c r="C1497" s="555">
        <v>71700</v>
      </c>
      <c r="D1497" s="556">
        <f t="shared" si="119"/>
        <v>10683</v>
      </c>
      <c r="E1497" s="556">
        <f t="shared" si="120"/>
        <v>8124</v>
      </c>
      <c r="F1497" s="556">
        <f t="shared" si="121"/>
        <v>10683</v>
      </c>
      <c r="G1497" s="556">
        <f t="shared" si="122"/>
        <v>8944</v>
      </c>
    </row>
    <row r="1498" spans="1:7" ht="15.75">
      <c r="A1498" s="625">
        <f t="shared" si="123"/>
        <v>71725</v>
      </c>
      <c r="B1498" s="555">
        <v>71700</v>
      </c>
      <c r="C1498" s="555">
        <v>71750</v>
      </c>
      <c r="D1498" s="556">
        <f t="shared" si="119"/>
        <v>10694</v>
      </c>
      <c r="E1498" s="556">
        <f t="shared" si="120"/>
        <v>8130</v>
      </c>
      <c r="F1498" s="556">
        <f t="shared" si="121"/>
        <v>10694</v>
      </c>
      <c r="G1498" s="556">
        <f t="shared" si="122"/>
        <v>8955</v>
      </c>
    </row>
    <row r="1499" spans="1:7" ht="15.75">
      <c r="A1499" s="625">
        <f t="shared" si="123"/>
        <v>71775</v>
      </c>
      <c r="B1499" s="555">
        <v>71750</v>
      </c>
      <c r="C1499" s="555">
        <v>71800</v>
      </c>
      <c r="D1499" s="556">
        <f t="shared" si="119"/>
        <v>10705</v>
      </c>
      <c r="E1499" s="556">
        <f t="shared" si="120"/>
        <v>8136</v>
      </c>
      <c r="F1499" s="556">
        <f t="shared" si="121"/>
        <v>10705</v>
      </c>
      <c r="G1499" s="556">
        <f t="shared" si="122"/>
        <v>8966</v>
      </c>
    </row>
    <row r="1500" spans="1:7" ht="15.75">
      <c r="A1500" s="625">
        <f t="shared" si="123"/>
        <v>71825</v>
      </c>
      <c r="B1500" s="555">
        <v>71800</v>
      </c>
      <c r="C1500" s="555">
        <v>71850</v>
      </c>
      <c r="D1500" s="556">
        <f t="shared" si="119"/>
        <v>10716</v>
      </c>
      <c r="E1500" s="556">
        <f t="shared" si="120"/>
        <v>8142</v>
      </c>
      <c r="F1500" s="556">
        <f t="shared" si="121"/>
        <v>10716</v>
      </c>
      <c r="G1500" s="556">
        <f t="shared" si="122"/>
        <v>8977</v>
      </c>
    </row>
    <row r="1501" spans="1:7" ht="15.75">
      <c r="A1501" s="625">
        <f t="shared" si="123"/>
        <v>71875</v>
      </c>
      <c r="B1501" s="555">
        <v>71850</v>
      </c>
      <c r="C1501" s="555">
        <v>71900</v>
      </c>
      <c r="D1501" s="556">
        <f t="shared" si="119"/>
        <v>10727</v>
      </c>
      <c r="E1501" s="556">
        <f t="shared" si="120"/>
        <v>8148</v>
      </c>
      <c r="F1501" s="556">
        <f t="shared" si="121"/>
        <v>10727</v>
      </c>
      <c r="G1501" s="556">
        <f t="shared" si="122"/>
        <v>8988</v>
      </c>
    </row>
    <row r="1502" spans="1:7" ht="15.75">
      <c r="A1502" s="625">
        <f t="shared" si="123"/>
        <v>71925</v>
      </c>
      <c r="B1502" s="555">
        <v>71900</v>
      </c>
      <c r="C1502" s="555">
        <v>71950</v>
      </c>
      <c r="D1502" s="556">
        <f t="shared" si="119"/>
        <v>10738</v>
      </c>
      <c r="E1502" s="556">
        <f t="shared" si="120"/>
        <v>8154</v>
      </c>
      <c r="F1502" s="556">
        <f t="shared" si="121"/>
        <v>10738</v>
      </c>
      <c r="G1502" s="556">
        <f t="shared" si="122"/>
        <v>8999</v>
      </c>
    </row>
    <row r="1503" spans="1:7" ht="15.75">
      <c r="A1503" s="625">
        <f t="shared" si="123"/>
        <v>71975</v>
      </c>
      <c r="B1503" s="555">
        <v>71950</v>
      </c>
      <c r="C1503" s="555">
        <v>72000</v>
      </c>
      <c r="D1503" s="556">
        <f t="shared" si="119"/>
        <v>10749</v>
      </c>
      <c r="E1503" s="556">
        <f t="shared" si="120"/>
        <v>8160</v>
      </c>
      <c r="F1503" s="556">
        <f t="shared" si="121"/>
        <v>10749</v>
      </c>
      <c r="G1503" s="556">
        <f t="shared" si="122"/>
        <v>9010</v>
      </c>
    </row>
    <row r="1504" spans="1:7" ht="15.75">
      <c r="A1504" s="625">
        <f t="shared" si="123"/>
        <v>72025</v>
      </c>
      <c r="B1504" s="555">
        <v>72000</v>
      </c>
      <c r="C1504" s="555">
        <v>72050</v>
      </c>
      <c r="D1504" s="556">
        <f t="shared" si="119"/>
        <v>10760</v>
      </c>
      <c r="E1504" s="556">
        <f t="shared" si="120"/>
        <v>8166</v>
      </c>
      <c r="F1504" s="556">
        <f t="shared" si="121"/>
        <v>10760</v>
      </c>
      <c r="G1504" s="556">
        <f t="shared" si="122"/>
        <v>9021</v>
      </c>
    </row>
    <row r="1505" spans="1:7" ht="15.75">
      <c r="A1505" s="625">
        <f t="shared" si="123"/>
        <v>72075</v>
      </c>
      <c r="B1505" s="555">
        <v>72050</v>
      </c>
      <c r="C1505" s="555">
        <v>72100</v>
      </c>
      <c r="D1505" s="556">
        <f t="shared" si="119"/>
        <v>10771</v>
      </c>
      <c r="E1505" s="556">
        <f t="shared" si="120"/>
        <v>8172</v>
      </c>
      <c r="F1505" s="556">
        <f t="shared" si="121"/>
        <v>10771</v>
      </c>
      <c r="G1505" s="556">
        <f t="shared" si="122"/>
        <v>9032</v>
      </c>
    </row>
    <row r="1506" spans="1:7" ht="15.75">
      <c r="A1506" s="625">
        <f t="shared" si="123"/>
        <v>72125</v>
      </c>
      <c r="B1506" s="555">
        <v>72100</v>
      </c>
      <c r="C1506" s="555">
        <v>72150</v>
      </c>
      <c r="D1506" s="556">
        <f t="shared" si="119"/>
        <v>10782</v>
      </c>
      <c r="E1506" s="556">
        <f t="shared" si="120"/>
        <v>8178</v>
      </c>
      <c r="F1506" s="556">
        <f t="shared" si="121"/>
        <v>10782</v>
      </c>
      <c r="G1506" s="556">
        <f t="shared" si="122"/>
        <v>9043</v>
      </c>
    </row>
    <row r="1507" spans="1:7" ht="15.75">
      <c r="A1507" s="625">
        <f t="shared" si="123"/>
        <v>72175</v>
      </c>
      <c r="B1507" s="555">
        <v>72150</v>
      </c>
      <c r="C1507" s="555">
        <v>72200</v>
      </c>
      <c r="D1507" s="556">
        <f t="shared" si="119"/>
        <v>10793</v>
      </c>
      <c r="E1507" s="556">
        <f t="shared" si="120"/>
        <v>8184</v>
      </c>
      <c r="F1507" s="556">
        <f t="shared" si="121"/>
        <v>10793</v>
      </c>
      <c r="G1507" s="556">
        <f t="shared" si="122"/>
        <v>9054</v>
      </c>
    </row>
    <row r="1508" spans="1:7" ht="15.75">
      <c r="A1508" s="625">
        <f t="shared" si="123"/>
        <v>72225</v>
      </c>
      <c r="B1508" s="555">
        <v>72200</v>
      </c>
      <c r="C1508" s="555">
        <v>72250</v>
      </c>
      <c r="D1508" s="556">
        <f t="shared" si="119"/>
        <v>10804</v>
      </c>
      <c r="E1508" s="556">
        <f t="shared" si="120"/>
        <v>8190</v>
      </c>
      <c r="F1508" s="556">
        <f t="shared" si="121"/>
        <v>10804</v>
      </c>
      <c r="G1508" s="556">
        <f t="shared" si="122"/>
        <v>9065</v>
      </c>
    </row>
    <row r="1509" spans="1:7" ht="15.75">
      <c r="A1509" s="625">
        <f t="shared" si="123"/>
        <v>72275</v>
      </c>
      <c r="B1509" s="555">
        <v>72250</v>
      </c>
      <c r="C1509" s="555">
        <v>72300</v>
      </c>
      <c r="D1509" s="556">
        <f t="shared" si="119"/>
        <v>10815</v>
      </c>
      <c r="E1509" s="556">
        <f t="shared" si="120"/>
        <v>8196</v>
      </c>
      <c r="F1509" s="556">
        <f t="shared" si="121"/>
        <v>10815</v>
      </c>
      <c r="G1509" s="556">
        <f t="shared" si="122"/>
        <v>9076</v>
      </c>
    </row>
    <row r="1510" spans="1:7" ht="15.75">
      <c r="A1510" s="625">
        <f t="shared" si="123"/>
        <v>72325</v>
      </c>
      <c r="B1510" s="555">
        <v>72300</v>
      </c>
      <c r="C1510" s="555">
        <v>72350</v>
      </c>
      <c r="D1510" s="556">
        <f t="shared" si="119"/>
        <v>10826</v>
      </c>
      <c r="E1510" s="556">
        <f t="shared" si="120"/>
        <v>8202</v>
      </c>
      <c r="F1510" s="556">
        <f t="shared" si="121"/>
        <v>10826</v>
      </c>
      <c r="G1510" s="556">
        <f t="shared" si="122"/>
        <v>9087</v>
      </c>
    </row>
    <row r="1511" spans="1:7" ht="15.75">
      <c r="A1511" s="625">
        <f t="shared" si="123"/>
        <v>72375</v>
      </c>
      <c r="B1511" s="555">
        <v>72350</v>
      </c>
      <c r="C1511" s="555">
        <v>72400</v>
      </c>
      <c r="D1511" s="556">
        <f t="shared" si="119"/>
        <v>10837</v>
      </c>
      <c r="E1511" s="556">
        <f t="shared" si="120"/>
        <v>8208</v>
      </c>
      <c r="F1511" s="556">
        <f t="shared" si="121"/>
        <v>10837</v>
      </c>
      <c r="G1511" s="556">
        <f t="shared" si="122"/>
        <v>9098</v>
      </c>
    </row>
    <row r="1512" spans="1:7" ht="15.75">
      <c r="A1512" s="625">
        <f t="shared" si="123"/>
        <v>72425</v>
      </c>
      <c r="B1512" s="555">
        <v>72400</v>
      </c>
      <c r="C1512" s="555">
        <v>72450</v>
      </c>
      <c r="D1512" s="556">
        <f t="shared" si="119"/>
        <v>10848</v>
      </c>
      <c r="E1512" s="556">
        <f t="shared" si="120"/>
        <v>8214</v>
      </c>
      <c r="F1512" s="556">
        <f t="shared" si="121"/>
        <v>10848</v>
      </c>
      <c r="G1512" s="556">
        <f t="shared" si="122"/>
        <v>9109</v>
      </c>
    </row>
    <row r="1513" spans="1:7" ht="15.75">
      <c r="A1513" s="625">
        <f t="shared" si="123"/>
        <v>72475</v>
      </c>
      <c r="B1513" s="555">
        <v>72450</v>
      </c>
      <c r="C1513" s="555">
        <v>72500</v>
      </c>
      <c r="D1513" s="556">
        <f t="shared" si="119"/>
        <v>10859</v>
      </c>
      <c r="E1513" s="556">
        <f t="shared" si="120"/>
        <v>8220</v>
      </c>
      <c r="F1513" s="556">
        <f t="shared" si="121"/>
        <v>10859</v>
      </c>
      <c r="G1513" s="556">
        <f t="shared" si="122"/>
        <v>9120</v>
      </c>
    </row>
    <row r="1514" spans="1:7" ht="15.75">
      <c r="A1514" s="625">
        <f t="shared" si="123"/>
        <v>72525</v>
      </c>
      <c r="B1514" s="555">
        <v>72500</v>
      </c>
      <c r="C1514" s="555">
        <v>72550</v>
      </c>
      <c r="D1514" s="556">
        <f t="shared" si="119"/>
        <v>10870</v>
      </c>
      <c r="E1514" s="556">
        <f t="shared" si="120"/>
        <v>8226</v>
      </c>
      <c r="F1514" s="556">
        <f t="shared" si="121"/>
        <v>10870</v>
      </c>
      <c r="G1514" s="556">
        <f t="shared" si="122"/>
        <v>9131</v>
      </c>
    </row>
    <row r="1515" spans="1:7" ht="15.75">
      <c r="A1515" s="625">
        <f t="shared" si="123"/>
        <v>72575</v>
      </c>
      <c r="B1515" s="555">
        <v>72550</v>
      </c>
      <c r="C1515" s="555">
        <v>72600</v>
      </c>
      <c r="D1515" s="556">
        <f t="shared" si="119"/>
        <v>10881</v>
      </c>
      <c r="E1515" s="556">
        <f t="shared" si="120"/>
        <v>8232</v>
      </c>
      <c r="F1515" s="556">
        <f t="shared" si="121"/>
        <v>10881</v>
      </c>
      <c r="G1515" s="556">
        <f t="shared" si="122"/>
        <v>9142</v>
      </c>
    </row>
    <row r="1516" spans="1:7" ht="15.75">
      <c r="A1516" s="625">
        <f t="shared" si="123"/>
        <v>72625</v>
      </c>
      <c r="B1516" s="555">
        <v>72600</v>
      </c>
      <c r="C1516" s="555">
        <v>72650</v>
      </c>
      <c r="D1516" s="556">
        <f t="shared" si="119"/>
        <v>10892</v>
      </c>
      <c r="E1516" s="556">
        <f t="shared" si="120"/>
        <v>8238</v>
      </c>
      <c r="F1516" s="556">
        <f t="shared" si="121"/>
        <v>10892</v>
      </c>
      <c r="G1516" s="556">
        <f t="shared" si="122"/>
        <v>9153</v>
      </c>
    </row>
    <row r="1517" spans="1:7" ht="15.75">
      <c r="A1517" s="625">
        <f t="shared" si="123"/>
        <v>72675</v>
      </c>
      <c r="B1517" s="555">
        <v>72650</v>
      </c>
      <c r="C1517" s="555">
        <v>72700</v>
      </c>
      <c r="D1517" s="556">
        <f t="shared" si="119"/>
        <v>10903</v>
      </c>
      <c r="E1517" s="556">
        <f t="shared" si="120"/>
        <v>8244</v>
      </c>
      <c r="F1517" s="556">
        <f t="shared" si="121"/>
        <v>10903</v>
      </c>
      <c r="G1517" s="556">
        <f t="shared" si="122"/>
        <v>9164</v>
      </c>
    </row>
    <row r="1518" spans="1:7" ht="15.75">
      <c r="A1518" s="625">
        <f t="shared" si="123"/>
        <v>72725</v>
      </c>
      <c r="B1518" s="555">
        <v>72700</v>
      </c>
      <c r="C1518" s="555">
        <v>72750</v>
      </c>
      <c r="D1518" s="556">
        <f t="shared" si="119"/>
        <v>10914</v>
      </c>
      <c r="E1518" s="556">
        <f t="shared" si="120"/>
        <v>8250</v>
      </c>
      <c r="F1518" s="556">
        <f t="shared" si="121"/>
        <v>10914</v>
      </c>
      <c r="G1518" s="556">
        <f t="shared" si="122"/>
        <v>9175</v>
      </c>
    </row>
    <row r="1519" spans="1:7" ht="15.75">
      <c r="A1519" s="625">
        <f t="shared" si="123"/>
        <v>72775</v>
      </c>
      <c r="B1519" s="555">
        <v>72750</v>
      </c>
      <c r="C1519" s="555">
        <v>72800</v>
      </c>
      <c r="D1519" s="556">
        <f t="shared" si="119"/>
        <v>10925</v>
      </c>
      <c r="E1519" s="556">
        <f t="shared" si="120"/>
        <v>8256</v>
      </c>
      <c r="F1519" s="556">
        <f t="shared" si="121"/>
        <v>10925</v>
      </c>
      <c r="G1519" s="556">
        <f t="shared" si="122"/>
        <v>9186</v>
      </c>
    </row>
    <row r="1520" spans="1:7" ht="15.75">
      <c r="A1520" s="625">
        <f t="shared" si="123"/>
        <v>72825</v>
      </c>
      <c r="B1520" s="555">
        <v>72800</v>
      </c>
      <c r="C1520" s="555">
        <v>72850</v>
      </c>
      <c r="D1520" s="556">
        <f t="shared" si="119"/>
        <v>10936</v>
      </c>
      <c r="E1520" s="556">
        <f t="shared" si="120"/>
        <v>8262</v>
      </c>
      <c r="F1520" s="556">
        <f t="shared" si="121"/>
        <v>10936</v>
      </c>
      <c r="G1520" s="556">
        <f t="shared" si="122"/>
        <v>9197</v>
      </c>
    </row>
    <row r="1521" spans="1:7" ht="15.75">
      <c r="A1521" s="625">
        <f t="shared" si="123"/>
        <v>72875</v>
      </c>
      <c r="B1521" s="555">
        <v>72850</v>
      </c>
      <c r="C1521" s="555">
        <v>72900</v>
      </c>
      <c r="D1521" s="556">
        <f t="shared" si="119"/>
        <v>10947</v>
      </c>
      <c r="E1521" s="556">
        <f t="shared" si="120"/>
        <v>8268</v>
      </c>
      <c r="F1521" s="556">
        <f t="shared" si="121"/>
        <v>10947</v>
      </c>
      <c r="G1521" s="556">
        <f t="shared" si="122"/>
        <v>9208</v>
      </c>
    </row>
    <row r="1522" spans="1:7" ht="15.75">
      <c r="A1522" s="625">
        <f t="shared" si="123"/>
        <v>72925</v>
      </c>
      <c r="B1522" s="555">
        <v>72900</v>
      </c>
      <c r="C1522" s="555">
        <v>72950</v>
      </c>
      <c r="D1522" s="556">
        <f t="shared" si="119"/>
        <v>10958</v>
      </c>
      <c r="E1522" s="556">
        <f t="shared" si="120"/>
        <v>8274</v>
      </c>
      <c r="F1522" s="556">
        <f t="shared" si="121"/>
        <v>10958</v>
      </c>
      <c r="G1522" s="556">
        <f t="shared" si="122"/>
        <v>9219</v>
      </c>
    </row>
    <row r="1523" spans="1:7" ht="15.75">
      <c r="A1523" s="625">
        <f t="shared" si="123"/>
        <v>72975</v>
      </c>
      <c r="B1523" s="555">
        <v>72950</v>
      </c>
      <c r="C1523" s="555">
        <v>73000</v>
      </c>
      <c r="D1523" s="556">
        <f t="shared" si="119"/>
        <v>10969</v>
      </c>
      <c r="E1523" s="556">
        <f t="shared" si="120"/>
        <v>8280</v>
      </c>
      <c r="F1523" s="556">
        <f t="shared" si="121"/>
        <v>10969</v>
      </c>
      <c r="G1523" s="556">
        <f t="shared" si="122"/>
        <v>9230</v>
      </c>
    </row>
    <row r="1524" spans="1:7" ht="15.75">
      <c r="A1524" s="625">
        <f t="shared" si="123"/>
        <v>73025</v>
      </c>
      <c r="B1524" s="555">
        <v>73000</v>
      </c>
      <c r="C1524" s="555">
        <v>73050</v>
      </c>
      <c r="D1524" s="556">
        <f t="shared" si="119"/>
        <v>10980</v>
      </c>
      <c r="E1524" s="556">
        <f t="shared" si="120"/>
        <v>8286</v>
      </c>
      <c r="F1524" s="556">
        <f t="shared" si="121"/>
        <v>10980</v>
      </c>
      <c r="G1524" s="556">
        <f t="shared" si="122"/>
        <v>9241</v>
      </c>
    </row>
    <row r="1525" spans="1:7" ht="15.75">
      <c r="A1525" s="625">
        <f t="shared" si="123"/>
        <v>73075</v>
      </c>
      <c r="B1525" s="555">
        <v>73050</v>
      </c>
      <c r="C1525" s="555">
        <v>73100</v>
      </c>
      <c r="D1525" s="556">
        <f t="shared" si="119"/>
        <v>10991</v>
      </c>
      <c r="E1525" s="556">
        <f t="shared" si="120"/>
        <v>8292</v>
      </c>
      <c r="F1525" s="556">
        <f t="shared" si="121"/>
        <v>10991</v>
      </c>
      <c r="G1525" s="556">
        <f t="shared" si="122"/>
        <v>9252</v>
      </c>
    </row>
    <row r="1526" spans="1:7" ht="15.75">
      <c r="A1526" s="625">
        <f t="shared" si="123"/>
        <v>73125</v>
      </c>
      <c r="B1526" s="555">
        <v>73100</v>
      </c>
      <c r="C1526" s="555">
        <v>73150</v>
      </c>
      <c r="D1526" s="556">
        <f t="shared" si="119"/>
        <v>11002</v>
      </c>
      <c r="E1526" s="556">
        <f t="shared" si="120"/>
        <v>8298</v>
      </c>
      <c r="F1526" s="556">
        <f t="shared" si="121"/>
        <v>11002</v>
      </c>
      <c r="G1526" s="556">
        <f t="shared" si="122"/>
        <v>9263</v>
      </c>
    </row>
    <row r="1527" spans="1:7" ht="15.75">
      <c r="A1527" s="625">
        <f t="shared" si="123"/>
        <v>73175</v>
      </c>
      <c r="B1527" s="555">
        <v>73150</v>
      </c>
      <c r="C1527" s="555">
        <v>73200</v>
      </c>
      <c r="D1527" s="556">
        <f t="shared" si="119"/>
        <v>11013</v>
      </c>
      <c r="E1527" s="556">
        <f t="shared" si="120"/>
        <v>8304</v>
      </c>
      <c r="F1527" s="556">
        <f t="shared" si="121"/>
        <v>11013</v>
      </c>
      <c r="G1527" s="556">
        <f t="shared" si="122"/>
        <v>9274</v>
      </c>
    </row>
    <row r="1528" spans="1:7" ht="15.75">
      <c r="A1528" s="625">
        <f t="shared" si="123"/>
        <v>73225</v>
      </c>
      <c r="B1528" s="555">
        <v>73200</v>
      </c>
      <c r="C1528" s="555">
        <v>73250</v>
      </c>
      <c r="D1528" s="556">
        <f t="shared" si="119"/>
        <v>11024</v>
      </c>
      <c r="E1528" s="556">
        <f t="shared" si="120"/>
        <v>8310</v>
      </c>
      <c r="F1528" s="556">
        <f t="shared" si="121"/>
        <v>11024</v>
      </c>
      <c r="G1528" s="556">
        <f t="shared" si="122"/>
        <v>9285</v>
      </c>
    </row>
    <row r="1529" spans="1:7" ht="15.75">
      <c r="A1529" s="625">
        <f t="shared" si="123"/>
        <v>73275</v>
      </c>
      <c r="B1529" s="555">
        <v>73250</v>
      </c>
      <c r="C1529" s="555">
        <v>73300</v>
      </c>
      <c r="D1529" s="556">
        <f t="shared" si="119"/>
        <v>11035</v>
      </c>
      <c r="E1529" s="556">
        <f t="shared" si="120"/>
        <v>8316</v>
      </c>
      <c r="F1529" s="556">
        <f t="shared" si="121"/>
        <v>11035</v>
      </c>
      <c r="G1529" s="556">
        <f t="shared" si="122"/>
        <v>9296</v>
      </c>
    </row>
    <row r="1530" spans="1:7" ht="15.75">
      <c r="A1530" s="625">
        <f t="shared" si="123"/>
        <v>73325</v>
      </c>
      <c r="B1530" s="555">
        <v>73300</v>
      </c>
      <c r="C1530" s="555">
        <v>73350</v>
      </c>
      <c r="D1530" s="556">
        <f t="shared" si="119"/>
        <v>11046</v>
      </c>
      <c r="E1530" s="556">
        <f t="shared" si="120"/>
        <v>8322</v>
      </c>
      <c r="F1530" s="556">
        <f t="shared" si="121"/>
        <v>11046</v>
      </c>
      <c r="G1530" s="556">
        <f t="shared" si="122"/>
        <v>9307</v>
      </c>
    </row>
    <row r="1531" spans="1:7" ht="15.75">
      <c r="A1531" s="625">
        <f t="shared" si="123"/>
        <v>73375</v>
      </c>
      <c r="B1531" s="555">
        <v>73350</v>
      </c>
      <c r="C1531" s="555">
        <v>73400</v>
      </c>
      <c r="D1531" s="556">
        <f t="shared" si="119"/>
        <v>11057</v>
      </c>
      <c r="E1531" s="556">
        <f t="shared" si="120"/>
        <v>8328</v>
      </c>
      <c r="F1531" s="556">
        <f t="shared" si="121"/>
        <v>11057</v>
      </c>
      <c r="G1531" s="556">
        <f t="shared" si="122"/>
        <v>9318</v>
      </c>
    </row>
    <row r="1532" spans="1:7" ht="15.75">
      <c r="A1532" s="625">
        <f t="shared" si="123"/>
        <v>73425</v>
      </c>
      <c r="B1532" s="555">
        <v>73400</v>
      </c>
      <c r="C1532" s="555">
        <v>73450</v>
      </c>
      <c r="D1532" s="556">
        <f t="shared" si="119"/>
        <v>11068</v>
      </c>
      <c r="E1532" s="556">
        <f t="shared" si="120"/>
        <v>8334</v>
      </c>
      <c r="F1532" s="556">
        <f t="shared" si="121"/>
        <v>11068</v>
      </c>
      <c r="G1532" s="556">
        <f t="shared" si="122"/>
        <v>9329</v>
      </c>
    </row>
    <row r="1533" spans="1:7" ht="15.75">
      <c r="A1533" s="625">
        <f t="shared" si="123"/>
        <v>73475</v>
      </c>
      <c r="B1533" s="555">
        <v>73450</v>
      </c>
      <c r="C1533" s="555">
        <v>73500</v>
      </c>
      <c r="D1533" s="556">
        <f t="shared" si="119"/>
        <v>11079</v>
      </c>
      <c r="E1533" s="556">
        <f t="shared" si="120"/>
        <v>8340</v>
      </c>
      <c r="F1533" s="556">
        <f t="shared" si="121"/>
        <v>11079</v>
      </c>
      <c r="G1533" s="556">
        <f t="shared" si="122"/>
        <v>9340</v>
      </c>
    </row>
    <row r="1534" spans="1:7" ht="15.75">
      <c r="A1534" s="625">
        <f t="shared" si="123"/>
        <v>73525</v>
      </c>
      <c r="B1534" s="555">
        <v>73500</v>
      </c>
      <c r="C1534" s="555">
        <v>73550</v>
      </c>
      <c r="D1534" s="556">
        <f t="shared" si="119"/>
        <v>11090</v>
      </c>
      <c r="E1534" s="556">
        <f t="shared" si="120"/>
        <v>8346</v>
      </c>
      <c r="F1534" s="556">
        <f t="shared" si="121"/>
        <v>11090</v>
      </c>
      <c r="G1534" s="556">
        <f t="shared" si="122"/>
        <v>9351</v>
      </c>
    </row>
    <row r="1535" spans="1:7" ht="15.75">
      <c r="A1535" s="625">
        <f t="shared" si="123"/>
        <v>73575</v>
      </c>
      <c r="B1535" s="555">
        <v>73550</v>
      </c>
      <c r="C1535" s="555">
        <v>73600</v>
      </c>
      <c r="D1535" s="556">
        <f t="shared" si="119"/>
        <v>11101</v>
      </c>
      <c r="E1535" s="556">
        <f t="shared" si="120"/>
        <v>8352</v>
      </c>
      <c r="F1535" s="556">
        <f t="shared" si="121"/>
        <v>11101</v>
      </c>
      <c r="G1535" s="556">
        <f t="shared" si="122"/>
        <v>9362</v>
      </c>
    </row>
    <row r="1536" spans="1:7" ht="15.75">
      <c r="A1536" s="625">
        <f t="shared" si="123"/>
        <v>73625</v>
      </c>
      <c r="B1536" s="555">
        <v>73600</v>
      </c>
      <c r="C1536" s="555">
        <v>73650</v>
      </c>
      <c r="D1536" s="556">
        <f t="shared" si="119"/>
        <v>11112</v>
      </c>
      <c r="E1536" s="556">
        <f t="shared" si="120"/>
        <v>8358</v>
      </c>
      <c r="F1536" s="556">
        <f t="shared" si="121"/>
        <v>11112</v>
      </c>
      <c r="G1536" s="556">
        <f t="shared" si="122"/>
        <v>9373</v>
      </c>
    </row>
    <row r="1537" spans="1:7" ht="15.75">
      <c r="A1537" s="625">
        <f t="shared" si="123"/>
        <v>73675</v>
      </c>
      <c r="B1537" s="555">
        <v>73650</v>
      </c>
      <c r="C1537" s="555">
        <v>73700</v>
      </c>
      <c r="D1537" s="556">
        <f t="shared" si="119"/>
        <v>11123</v>
      </c>
      <c r="E1537" s="556">
        <f t="shared" si="120"/>
        <v>8364</v>
      </c>
      <c r="F1537" s="556">
        <f t="shared" si="121"/>
        <v>11123</v>
      </c>
      <c r="G1537" s="556">
        <f t="shared" si="122"/>
        <v>9384</v>
      </c>
    </row>
    <row r="1538" spans="1:7" ht="15.75">
      <c r="A1538" s="625">
        <f t="shared" si="123"/>
        <v>73725</v>
      </c>
      <c r="B1538" s="555">
        <v>73700</v>
      </c>
      <c r="C1538" s="555">
        <v>73750</v>
      </c>
      <c r="D1538" s="556">
        <f t="shared" ref="D1538:D1601" si="124">IF($A1538&gt;BOTT_A4,ROUND(BASE_A4+RATE_A4*($A1538-BOTT_A4),0),IF($A1538&gt;BOTT_A3,ROUND(BASE_A3+RATE_A3*($A1538-BOTT_A3),0),IF($A1538&gt;BOTT_A2,ROUND(BASE_A2+RATE_A2*($A1538-BOTT_A2),0),ROUND(RATE_A1*$A1538,0))))</f>
        <v>11134</v>
      </c>
      <c r="E1538" s="556">
        <f t="shared" ref="E1538:E1601" si="125">IF($A1538&gt;BOTT_B4,ROUND(BASE_B4+RATE_B4*($A1538-BOTT_B4),0),IF($A1538&gt;BOTT_B3,ROUND(BASE_B3+RATE_B3*($A1538-BOTT_B3),0),IF($A1538&gt;BOTT_B2,ROUND(BASE_B2+RATE_B2*($A1538-BOTT_B2),0),ROUND(RATE_B1*$A1538,0))))</f>
        <v>8370</v>
      </c>
      <c r="F1538" s="556">
        <f t="shared" ref="F1538:F1601" si="126">IF($A1538&gt;BOTT_C4,ROUND(BASE_C4+RATE_C4*($A1538-BOTT_C4),0),IF($A1538&gt;BOTT_C3,ROUND(BASE_C3+RATE_C3*($A1538-BOTT_C3),0),IF($A1538&gt;BOTT_C2,ROUND(BASE_C2+RATE_C2*($A1538-BOTT_C2),0),ROUND(RATE_C1*$A1538,0))))</f>
        <v>11134</v>
      </c>
      <c r="G1538" s="556">
        <f t="shared" ref="G1538:G1601" si="127">IF($A1538&gt;BOTT_D4,ROUND(BASE_D4+RATE_D4*($A1538-BOTT_D4),0),IF($A1538&gt;BOTT_D3,ROUND(BASE_D3+RATE_D3*($A1538-BOTT_D3),0),IF($A1538&gt;BOTT_D2,ROUND(BASE_D2+RATE_D2*($A1538-BOTT_D2),0),ROUND(RATE_D1*$A1538,0))))</f>
        <v>9395</v>
      </c>
    </row>
    <row r="1539" spans="1:7" ht="15.75">
      <c r="A1539" s="625">
        <f t="shared" ref="A1539:A1602" si="128">AVERAGE(B1539,C1539)</f>
        <v>73775</v>
      </c>
      <c r="B1539" s="555">
        <v>73750</v>
      </c>
      <c r="C1539" s="555">
        <v>73800</v>
      </c>
      <c r="D1539" s="556">
        <f t="shared" si="124"/>
        <v>11145</v>
      </c>
      <c r="E1539" s="556">
        <f t="shared" si="125"/>
        <v>8376</v>
      </c>
      <c r="F1539" s="556">
        <f t="shared" si="126"/>
        <v>11145</v>
      </c>
      <c r="G1539" s="556">
        <f t="shared" si="127"/>
        <v>9406</v>
      </c>
    </row>
    <row r="1540" spans="1:7" ht="15.75">
      <c r="A1540" s="625">
        <f t="shared" si="128"/>
        <v>73825</v>
      </c>
      <c r="B1540" s="555">
        <v>73800</v>
      </c>
      <c r="C1540" s="555">
        <v>73850</v>
      </c>
      <c r="D1540" s="556">
        <f t="shared" si="124"/>
        <v>11156</v>
      </c>
      <c r="E1540" s="556">
        <f t="shared" si="125"/>
        <v>8382</v>
      </c>
      <c r="F1540" s="556">
        <f t="shared" si="126"/>
        <v>11156</v>
      </c>
      <c r="G1540" s="556">
        <f t="shared" si="127"/>
        <v>9417</v>
      </c>
    </row>
    <row r="1541" spans="1:7" ht="15.75">
      <c r="A1541" s="625">
        <f t="shared" si="128"/>
        <v>73875</v>
      </c>
      <c r="B1541" s="555">
        <v>73850</v>
      </c>
      <c r="C1541" s="555">
        <v>73900</v>
      </c>
      <c r="D1541" s="556">
        <f t="shared" si="124"/>
        <v>11167</v>
      </c>
      <c r="E1541" s="556">
        <f t="shared" si="125"/>
        <v>8388</v>
      </c>
      <c r="F1541" s="556">
        <f t="shared" si="126"/>
        <v>11167</v>
      </c>
      <c r="G1541" s="556">
        <f t="shared" si="127"/>
        <v>9428</v>
      </c>
    </row>
    <row r="1542" spans="1:7" ht="15.75">
      <c r="A1542" s="625">
        <f t="shared" si="128"/>
        <v>73925</v>
      </c>
      <c r="B1542" s="555">
        <v>73900</v>
      </c>
      <c r="C1542" s="555">
        <v>73950</v>
      </c>
      <c r="D1542" s="556">
        <f t="shared" si="124"/>
        <v>11178</v>
      </c>
      <c r="E1542" s="556">
        <f t="shared" si="125"/>
        <v>8394</v>
      </c>
      <c r="F1542" s="556">
        <f t="shared" si="126"/>
        <v>11178</v>
      </c>
      <c r="G1542" s="556">
        <f t="shared" si="127"/>
        <v>9439</v>
      </c>
    </row>
    <row r="1543" spans="1:7" ht="15.75">
      <c r="A1543" s="625">
        <f t="shared" si="128"/>
        <v>73975</v>
      </c>
      <c r="B1543" s="555">
        <v>73950</v>
      </c>
      <c r="C1543" s="555">
        <v>74000</v>
      </c>
      <c r="D1543" s="556">
        <f t="shared" si="124"/>
        <v>11189</v>
      </c>
      <c r="E1543" s="556">
        <f t="shared" si="125"/>
        <v>8400</v>
      </c>
      <c r="F1543" s="556">
        <f t="shared" si="126"/>
        <v>11189</v>
      </c>
      <c r="G1543" s="556">
        <f t="shared" si="127"/>
        <v>9450</v>
      </c>
    </row>
    <row r="1544" spans="1:7" ht="15.75">
      <c r="A1544" s="625">
        <f t="shared" si="128"/>
        <v>74025</v>
      </c>
      <c r="B1544" s="555">
        <v>74000</v>
      </c>
      <c r="C1544" s="555">
        <v>74050</v>
      </c>
      <c r="D1544" s="556">
        <f t="shared" si="124"/>
        <v>11200</v>
      </c>
      <c r="E1544" s="556">
        <f t="shared" si="125"/>
        <v>8406</v>
      </c>
      <c r="F1544" s="556">
        <f t="shared" si="126"/>
        <v>11200</v>
      </c>
      <c r="G1544" s="556">
        <f t="shared" si="127"/>
        <v>9461</v>
      </c>
    </row>
    <row r="1545" spans="1:7" ht="15.75">
      <c r="A1545" s="625">
        <f t="shared" si="128"/>
        <v>74075</v>
      </c>
      <c r="B1545" s="555">
        <v>74050</v>
      </c>
      <c r="C1545" s="555">
        <v>74100</v>
      </c>
      <c r="D1545" s="556">
        <f t="shared" si="124"/>
        <v>11211</v>
      </c>
      <c r="E1545" s="556">
        <f t="shared" si="125"/>
        <v>8412</v>
      </c>
      <c r="F1545" s="556">
        <f t="shared" si="126"/>
        <v>11211</v>
      </c>
      <c r="G1545" s="556">
        <f t="shared" si="127"/>
        <v>9472</v>
      </c>
    </row>
    <row r="1546" spans="1:7" ht="15.75">
      <c r="A1546" s="625">
        <f t="shared" si="128"/>
        <v>74125</v>
      </c>
      <c r="B1546" s="555">
        <v>74100</v>
      </c>
      <c r="C1546" s="555">
        <v>74150</v>
      </c>
      <c r="D1546" s="556">
        <f t="shared" si="124"/>
        <v>11222</v>
      </c>
      <c r="E1546" s="556">
        <f t="shared" si="125"/>
        <v>8418</v>
      </c>
      <c r="F1546" s="556">
        <f t="shared" si="126"/>
        <v>11222</v>
      </c>
      <c r="G1546" s="556">
        <f t="shared" si="127"/>
        <v>9483</v>
      </c>
    </row>
    <row r="1547" spans="1:7" ht="15.75">
      <c r="A1547" s="625">
        <f t="shared" si="128"/>
        <v>74175</v>
      </c>
      <c r="B1547" s="555">
        <v>74150</v>
      </c>
      <c r="C1547" s="555">
        <v>74200</v>
      </c>
      <c r="D1547" s="556">
        <f t="shared" si="124"/>
        <v>11233</v>
      </c>
      <c r="E1547" s="556">
        <f t="shared" si="125"/>
        <v>8424</v>
      </c>
      <c r="F1547" s="556">
        <f t="shared" si="126"/>
        <v>11233</v>
      </c>
      <c r="G1547" s="556">
        <f t="shared" si="127"/>
        <v>9494</v>
      </c>
    </row>
    <row r="1548" spans="1:7" ht="15.75">
      <c r="A1548" s="625">
        <f t="shared" si="128"/>
        <v>74225</v>
      </c>
      <c r="B1548" s="555">
        <v>74200</v>
      </c>
      <c r="C1548" s="555">
        <v>74250</v>
      </c>
      <c r="D1548" s="556">
        <f t="shared" si="124"/>
        <v>11244</v>
      </c>
      <c r="E1548" s="556">
        <f t="shared" si="125"/>
        <v>8430</v>
      </c>
      <c r="F1548" s="556">
        <f t="shared" si="126"/>
        <v>11244</v>
      </c>
      <c r="G1548" s="556">
        <f t="shared" si="127"/>
        <v>9505</v>
      </c>
    </row>
    <row r="1549" spans="1:7" ht="15.75">
      <c r="A1549" s="625">
        <f t="shared" si="128"/>
        <v>74275</v>
      </c>
      <c r="B1549" s="555">
        <v>74250</v>
      </c>
      <c r="C1549" s="555">
        <v>74300</v>
      </c>
      <c r="D1549" s="556">
        <f t="shared" si="124"/>
        <v>11255</v>
      </c>
      <c r="E1549" s="556">
        <f t="shared" si="125"/>
        <v>8436</v>
      </c>
      <c r="F1549" s="556">
        <f t="shared" si="126"/>
        <v>11255</v>
      </c>
      <c r="G1549" s="556">
        <f t="shared" si="127"/>
        <v>9516</v>
      </c>
    </row>
    <row r="1550" spans="1:7" ht="15.75">
      <c r="A1550" s="625">
        <f t="shared" si="128"/>
        <v>74325</v>
      </c>
      <c r="B1550" s="555">
        <v>74300</v>
      </c>
      <c r="C1550" s="555">
        <v>74350</v>
      </c>
      <c r="D1550" s="556">
        <f t="shared" si="124"/>
        <v>11266</v>
      </c>
      <c r="E1550" s="556">
        <f t="shared" si="125"/>
        <v>8442</v>
      </c>
      <c r="F1550" s="556">
        <f t="shared" si="126"/>
        <v>11266</v>
      </c>
      <c r="G1550" s="556">
        <f t="shared" si="127"/>
        <v>9527</v>
      </c>
    </row>
    <row r="1551" spans="1:7" ht="15.75">
      <c r="A1551" s="625">
        <f t="shared" si="128"/>
        <v>74375</v>
      </c>
      <c r="B1551" s="555">
        <v>74350</v>
      </c>
      <c r="C1551" s="555">
        <v>74400</v>
      </c>
      <c r="D1551" s="556">
        <f t="shared" si="124"/>
        <v>11277</v>
      </c>
      <c r="E1551" s="556">
        <f t="shared" si="125"/>
        <v>8448</v>
      </c>
      <c r="F1551" s="556">
        <f t="shared" si="126"/>
        <v>11277</v>
      </c>
      <c r="G1551" s="556">
        <f t="shared" si="127"/>
        <v>9538</v>
      </c>
    </row>
    <row r="1552" spans="1:7" ht="15.75">
      <c r="A1552" s="625">
        <f t="shared" si="128"/>
        <v>74425</v>
      </c>
      <c r="B1552" s="555">
        <v>74400</v>
      </c>
      <c r="C1552" s="555">
        <v>74450</v>
      </c>
      <c r="D1552" s="556">
        <f t="shared" si="124"/>
        <v>11288</v>
      </c>
      <c r="E1552" s="556">
        <f t="shared" si="125"/>
        <v>8454</v>
      </c>
      <c r="F1552" s="556">
        <f t="shared" si="126"/>
        <v>11288</v>
      </c>
      <c r="G1552" s="556">
        <f t="shared" si="127"/>
        <v>9549</v>
      </c>
    </row>
    <row r="1553" spans="1:7" ht="15.75">
      <c r="A1553" s="625">
        <f t="shared" si="128"/>
        <v>74475</v>
      </c>
      <c r="B1553" s="555">
        <v>74450</v>
      </c>
      <c r="C1553" s="555">
        <v>74500</v>
      </c>
      <c r="D1553" s="556">
        <f t="shared" si="124"/>
        <v>11299</v>
      </c>
      <c r="E1553" s="556">
        <f t="shared" si="125"/>
        <v>8460</v>
      </c>
      <c r="F1553" s="556">
        <f t="shared" si="126"/>
        <v>11299</v>
      </c>
      <c r="G1553" s="556">
        <f t="shared" si="127"/>
        <v>9560</v>
      </c>
    </row>
    <row r="1554" spans="1:7" ht="15.75">
      <c r="A1554" s="625">
        <f t="shared" si="128"/>
        <v>74525</v>
      </c>
      <c r="B1554" s="555">
        <v>74500</v>
      </c>
      <c r="C1554" s="555">
        <v>74550</v>
      </c>
      <c r="D1554" s="556">
        <f t="shared" si="124"/>
        <v>11310</v>
      </c>
      <c r="E1554" s="556">
        <f t="shared" si="125"/>
        <v>8466</v>
      </c>
      <c r="F1554" s="556">
        <f t="shared" si="126"/>
        <v>11310</v>
      </c>
      <c r="G1554" s="556">
        <f t="shared" si="127"/>
        <v>9571</v>
      </c>
    </row>
    <row r="1555" spans="1:7" ht="15.75">
      <c r="A1555" s="625">
        <f t="shared" si="128"/>
        <v>74575</v>
      </c>
      <c r="B1555" s="555">
        <v>74550</v>
      </c>
      <c r="C1555" s="555">
        <v>74600</v>
      </c>
      <c r="D1555" s="556">
        <f t="shared" si="124"/>
        <v>11321</v>
      </c>
      <c r="E1555" s="556">
        <f t="shared" si="125"/>
        <v>8472</v>
      </c>
      <c r="F1555" s="556">
        <f t="shared" si="126"/>
        <v>11321</v>
      </c>
      <c r="G1555" s="556">
        <f t="shared" si="127"/>
        <v>9582</v>
      </c>
    </row>
    <row r="1556" spans="1:7" ht="15.75">
      <c r="A1556" s="625">
        <f t="shared" si="128"/>
        <v>74625</v>
      </c>
      <c r="B1556" s="555">
        <v>74600</v>
      </c>
      <c r="C1556" s="555">
        <v>74650</v>
      </c>
      <c r="D1556" s="556">
        <f t="shared" si="124"/>
        <v>11332</v>
      </c>
      <c r="E1556" s="556">
        <f t="shared" si="125"/>
        <v>8478</v>
      </c>
      <c r="F1556" s="556">
        <f t="shared" si="126"/>
        <v>11332</v>
      </c>
      <c r="G1556" s="556">
        <f t="shared" si="127"/>
        <v>9593</v>
      </c>
    </row>
    <row r="1557" spans="1:7" ht="15.75">
      <c r="A1557" s="625">
        <f t="shared" si="128"/>
        <v>74675</v>
      </c>
      <c r="B1557" s="555">
        <v>74650</v>
      </c>
      <c r="C1557" s="555">
        <v>74700</v>
      </c>
      <c r="D1557" s="556">
        <f t="shared" si="124"/>
        <v>11343</v>
      </c>
      <c r="E1557" s="556">
        <f t="shared" si="125"/>
        <v>8484</v>
      </c>
      <c r="F1557" s="556">
        <f t="shared" si="126"/>
        <v>11343</v>
      </c>
      <c r="G1557" s="556">
        <f t="shared" si="127"/>
        <v>9604</v>
      </c>
    </row>
    <row r="1558" spans="1:7" ht="15.75">
      <c r="A1558" s="625">
        <f t="shared" si="128"/>
        <v>74725</v>
      </c>
      <c r="B1558" s="555">
        <v>74700</v>
      </c>
      <c r="C1558" s="555">
        <v>74750</v>
      </c>
      <c r="D1558" s="556">
        <f t="shared" si="124"/>
        <v>11354</v>
      </c>
      <c r="E1558" s="556">
        <f t="shared" si="125"/>
        <v>8490</v>
      </c>
      <c r="F1558" s="556">
        <f t="shared" si="126"/>
        <v>11354</v>
      </c>
      <c r="G1558" s="556">
        <f t="shared" si="127"/>
        <v>9615</v>
      </c>
    </row>
    <row r="1559" spans="1:7" ht="15.75">
      <c r="A1559" s="625">
        <f t="shared" si="128"/>
        <v>74775</v>
      </c>
      <c r="B1559" s="555">
        <v>74750</v>
      </c>
      <c r="C1559" s="555">
        <v>74800</v>
      </c>
      <c r="D1559" s="556">
        <f t="shared" si="124"/>
        <v>11365</v>
      </c>
      <c r="E1559" s="556">
        <f t="shared" si="125"/>
        <v>8496</v>
      </c>
      <c r="F1559" s="556">
        <f t="shared" si="126"/>
        <v>11365</v>
      </c>
      <c r="G1559" s="556">
        <f t="shared" si="127"/>
        <v>9626</v>
      </c>
    </row>
    <row r="1560" spans="1:7" ht="15.75">
      <c r="A1560" s="625">
        <f t="shared" si="128"/>
        <v>74825</v>
      </c>
      <c r="B1560" s="555">
        <v>74800</v>
      </c>
      <c r="C1560" s="555">
        <v>74850</v>
      </c>
      <c r="D1560" s="556">
        <f t="shared" si="124"/>
        <v>11376</v>
      </c>
      <c r="E1560" s="556">
        <f t="shared" si="125"/>
        <v>8502</v>
      </c>
      <c r="F1560" s="556">
        <f t="shared" si="126"/>
        <v>11376</v>
      </c>
      <c r="G1560" s="556">
        <f t="shared" si="127"/>
        <v>9637</v>
      </c>
    </row>
    <row r="1561" spans="1:7" ht="15.75">
      <c r="A1561" s="625">
        <f t="shared" si="128"/>
        <v>74875</v>
      </c>
      <c r="B1561" s="555">
        <v>74850</v>
      </c>
      <c r="C1561" s="555">
        <v>74900</v>
      </c>
      <c r="D1561" s="556">
        <f t="shared" si="124"/>
        <v>11387</v>
      </c>
      <c r="E1561" s="556">
        <f t="shared" si="125"/>
        <v>8508</v>
      </c>
      <c r="F1561" s="556">
        <f t="shared" si="126"/>
        <v>11387</v>
      </c>
      <c r="G1561" s="556">
        <f t="shared" si="127"/>
        <v>9648</v>
      </c>
    </row>
    <row r="1562" spans="1:7" ht="15.75">
      <c r="A1562" s="625">
        <f t="shared" si="128"/>
        <v>74925</v>
      </c>
      <c r="B1562" s="555">
        <v>74900</v>
      </c>
      <c r="C1562" s="555">
        <v>74950</v>
      </c>
      <c r="D1562" s="556">
        <f t="shared" si="124"/>
        <v>11398</v>
      </c>
      <c r="E1562" s="556">
        <f t="shared" si="125"/>
        <v>8514</v>
      </c>
      <c r="F1562" s="556">
        <f t="shared" si="126"/>
        <v>11398</v>
      </c>
      <c r="G1562" s="556">
        <f t="shared" si="127"/>
        <v>9659</v>
      </c>
    </row>
    <row r="1563" spans="1:7" ht="15.75">
      <c r="A1563" s="625">
        <f t="shared" si="128"/>
        <v>74975</v>
      </c>
      <c r="B1563" s="555">
        <v>74950</v>
      </c>
      <c r="C1563" s="555">
        <v>75000</v>
      </c>
      <c r="D1563" s="556">
        <f t="shared" si="124"/>
        <v>11409</v>
      </c>
      <c r="E1563" s="556">
        <f t="shared" si="125"/>
        <v>8520</v>
      </c>
      <c r="F1563" s="556">
        <f t="shared" si="126"/>
        <v>11409</v>
      </c>
      <c r="G1563" s="556">
        <f t="shared" si="127"/>
        <v>9670</v>
      </c>
    </row>
    <row r="1564" spans="1:7" ht="15.75">
      <c r="A1564" s="625">
        <f t="shared" si="128"/>
        <v>75025</v>
      </c>
      <c r="B1564" s="555">
        <v>75000</v>
      </c>
      <c r="C1564" s="555">
        <v>75050</v>
      </c>
      <c r="D1564" s="556">
        <f t="shared" si="124"/>
        <v>11420</v>
      </c>
      <c r="E1564" s="556">
        <f t="shared" si="125"/>
        <v>8526</v>
      </c>
      <c r="F1564" s="556">
        <f t="shared" si="126"/>
        <v>11420</v>
      </c>
      <c r="G1564" s="556">
        <f t="shared" si="127"/>
        <v>9681</v>
      </c>
    </row>
    <row r="1565" spans="1:7" ht="15.75">
      <c r="A1565" s="625">
        <f t="shared" si="128"/>
        <v>75075</v>
      </c>
      <c r="B1565" s="555">
        <v>75050</v>
      </c>
      <c r="C1565" s="555">
        <v>75100</v>
      </c>
      <c r="D1565" s="556">
        <f t="shared" si="124"/>
        <v>11431</v>
      </c>
      <c r="E1565" s="556">
        <f t="shared" si="125"/>
        <v>8532</v>
      </c>
      <c r="F1565" s="556">
        <f t="shared" si="126"/>
        <v>11431</v>
      </c>
      <c r="G1565" s="556">
        <f t="shared" si="127"/>
        <v>9692</v>
      </c>
    </row>
    <row r="1566" spans="1:7" ht="15.75">
      <c r="A1566" s="625">
        <f t="shared" si="128"/>
        <v>75125</v>
      </c>
      <c r="B1566" s="555">
        <v>75100</v>
      </c>
      <c r="C1566" s="555">
        <v>75150</v>
      </c>
      <c r="D1566" s="556">
        <f t="shared" si="124"/>
        <v>11442</v>
      </c>
      <c r="E1566" s="556">
        <f t="shared" si="125"/>
        <v>8538</v>
      </c>
      <c r="F1566" s="556">
        <f t="shared" si="126"/>
        <v>11442</v>
      </c>
      <c r="G1566" s="556">
        <f t="shared" si="127"/>
        <v>9703</v>
      </c>
    </row>
    <row r="1567" spans="1:7" ht="15.75">
      <c r="A1567" s="625">
        <f t="shared" si="128"/>
        <v>75175</v>
      </c>
      <c r="B1567" s="555">
        <v>75150</v>
      </c>
      <c r="C1567" s="555">
        <v>75200</v>
      </c>
      <c r="D1567" s="556">
        <f t="shared" si="124"/>
        <v>11453</v>
      </c>
      <c r="E1567" s="556">
        <f t="shared" si="125"/>
        <v>8544</v>
      </c>
      <c r="F1567" s="556">
        <f t="shared" si="126"/>
        <v>11453</v>
      </c>
      <c r="G1567" s="556">
        <f t="shared" si="127"/>
        <v>9714</v>
      </c>
    </row>
    <row r="1568" spans="1:7" ht="15.75">
      <c r="A1568" s="625">
        <f t="shared" si="128"/>
        <v>75225</v>
      </c>
      <c r="B1568" s="555">
        <v>75200</v>
      </c>
      <c r="C1568" s="555">
        <v>75250</v>
      </c>
      <c r="D1568" s="556">
        <f t="shared" si="124"/>
        <v>11464</v>
      </c>
      <c r="E1568" s="556">
        <f t="shared" si="125"/>
        <v>8550</v>
      </c>
      <c r="F1568" s="556">
        <f t="shared" si="126"/>
        <v>11464</v>
      </c>
      <c r="G1568" s="556">
        <f t="shared" si="127"/>
        <v>9725</v>
      </c>
    </row>
    <row r="1569" spans="1:7" ht="15.75">
      <c r="A1569" s="625">
        <f t="shared" si="128"/>
        <v>75275</v>
      </c>
      <c r="B1569" s="555">
        <v>75250</v>
      </c>
      <c r="C1569" s="555">
        <v>75300</v>
      </c>
      <c r="D1569" s="556">
        <f t="shared" si="124"/>
        <v>11475</v>
      </c>
      <c r="E1569" s="556">
        <f t="shared" si="125"/>
        <v>8556</v>
      </c>
      <c r="F1569" s="556">
        <f t="shared" si="126"/>
        <v>11475</v>
      </c>
      <c r="G1569" s="556">
        <f t="shared" si="127"/>
        <v>9736</v>
      </c>
    </row>
    <row r="1570" spans="1:7" ht="15.75">
      <c r="A1570" s="625">
        <f t="shared" si="128"/>
        <v>75325</v>
      </c>
      <c r="B1570" s="555">
        <v>75300</v>
      </c>
      <c r="C1570" s="555">
        <v>75350</v>
      </c>
      <c r="D1570" s="556">
        <f t="shared" si="124"/>
        <v>11486</v>
      </c>
      <c r="E1570" s="556">
        <f t="shared" si="125"/>
        <v>8562</v>
      </c>
      <c r="F1570" s="556">
        <f t="shared" si="126"/>
        <v>11486</v>
      </c>
      <c r="G1570" s="556">
        <f t="shared" si="127"/>
        <v>9747</v>
      </c>
    </row>
    <row r="1571" spans="1:7" ht="15.75">
      <c r="A1571" s="625">
        <f t="shared" si="128"/>
        <v>75375</v>
      </c>
      <c r="B1571" s="555">
        <v>75350</v>
      </c>
      <c r="C1571" s="555">
        <v>75400</v>
      </c>
      <c r="D1571" s="556">
        <f t="shared" si="124"/>
        <v>11497</v>
      </c>
      <c r="E1571" s="556">
        <f t="shared" si="125"/>
        <v>8568</v>
      </c>
      <c r="F1571" s="556">
        <f t="shared" si="126"/>
        <v>11497</v>
      </c>
      <c r="G1571" s="556">
        <f t="shared" si="127"/>
        <v>9758</v>
      </c>
    </row>
    <row r="1572" spans="1:7" ht="15.75">
      <c r="A1572" s="625">
        <f t="shared" si="128"/>
        <v>75425</v>
      </c>
      <c r="B1572" s="555">
        <v>75400</v>
      </c>
      <c r="C1572" s="555">
        <v>75450</v>
      </c>
      <c r="D1572" s="556">
        <f t="shared" si="124"/>
        <v>11508</v>
      </c>
      <c r="E1572" s="556">
        <f t="shared" si="125"/>
        <v>8574</v>
      </c>
      <c r="F1572" s="556">
        <f t="shared" si="126"/>
        <v>11508</v>
      </c>
      <c r="G1572" s="556">
        <f t="shared" si="127"/>
        <v>9769</v>
      </c>
    </row>
    <row r="1573" spans="1:7" ht="15.75">
      <c r="A1573" s="625">
        <f t="shared" si="128"/>
        <v>75475</v>
      </c>
      <c r="B1573" s="555">
        <v>75450</v>
      </c>
      <c r="C1573" s="555">
        <v>75500</v>
      </c>
      <c r="D1573" s="556">
        <f t="shared" si="124"/>
        <v>11519</v>
      </c>
      <c r="E1573" s="556">
        <f t="shared" si="125"/>
        <v>8580</v>
      </c>
      <c r="F1573" s="556">
        <f t="shared" si="126"/>
        <v>11519</v>
      </c>
      <c r="G1573" s="556">
        <f t="shared" si="127"/>
        <v>9780</v>
      </c>
    </row>
    <row r="1574" spans="1:7" ht="15.75">
      <c r="A1574" s="625">
        <f t="shared" si="128"/>
        <v>75525</v>
      </c>
      <c r="B1574" s="555">
        <v>75500</v>
      </c>
      <c r="C1574" s="555">
        <v>75550</v>
      </c>
      <c r="D1574" s="556">
        <f t="shared" si="124"/>
        <v>11530</v>
      </c>
      <c r="E1574" s="556">
        <f t="shared" si="125"/>
        <v>8586</v>
      </c>
      <c r="F1574" s="556">
        <f t="shared" si="126"/>
        <v>11530</v>
      </c>
      <c r="G1574" s="556">
        <f t="shared" si="127"/>
        <v>9791</v>
      </c>
    </row>
    <row r="1575" spans="1:7" ht="15.75">
      <c r="A1575" s="625">
        <f t="shared" si="128"/>
        <v>75575</v>
      </c>
      <c r="B1575" s="555">
        <v>75550</v>
      </c>
      <c r="C1575" s="555">
        <v>75600</v>
      </c>
      <c r="D1575" s="556">
        <f t="shared" si="124"/>
        <v>11541</v>
      </c>
      <c r="E1575" s="556">
        <f t="shared" si="125"/>
        <v>8592</v>
      </c>
      <c r="F1575" s="556">
        <f t="shared" si="126"/>
        <v>11541</v>
      </c>
      <c r="G1575" s="556">
        <f t="shared" si="127"/>
        <v>9802</v>
      </c>
    </row>
    <row r="1576" spans="1:7" ht="15.75">
      <c r="A1576" s="625">
        <f t="shared" si="128"/>
        <v>75625</v>
      </c>
      <c r="B1576" s="555">
        <v>75600</v>
      </c>
      <c r="C1576" s="555">
        <v>75650</v>
      </c>
      <c r="D1576" s="556">
        <f t="shared" si="124"/>
        <v>11552</v>
      </c>
      <c r="E1576" s="556">
        <f t="shared" si="125"/>
        <v>8598</v>
      </c>
      <c r="F1576" s="556">
        <f t="shared" si="126"/>
        <v>11552</v>
      </c>
      <c r="G1576" s="556">
        <f t="shared" si="127"/>
        <v>9813</v>
      </c>
    </row>
    <row r="1577" spans="1:7" ht="15.75">
      <c r="A1577" s="625">
        <f t="shared" si="128"/>
        <v>75675</v>
      </c>
      <c r="B1577" s="555">
        <v>75650</v>
      </c>
      <c r="C1577" s="555">
        <v>75700</v>
      </c>
      <c r="D1577" s="556">
        <f t="shared" si="124"/>
        <v>11563</v>
      </c>
      <c r="E1577" s="556">
        <f t="shared" si="125"/>
        <v>8604</v>
      </c>
      <c r="F1577" s="556">
        <f t="shared" si="126"/>
        <v>11563</v>
      </c>
      <c r="G1577" s="556">
        <f t="shared" si="127"/>
        <v>9824</v>
      </c>
    </row>
    <row r="1578" spans="1:7" ht="15.75">
      <c r="A1578" s="625">
        <f t="shared" si="128"/>
        <v>75725</v>
      </c>
      <c r="B1578" s="555">
        <v>75700</v>
      </c>
      <c r="C1578" s="555">
        <v>75750</v>
      </c>
      <c r="D1578" s="556">
        <f t="shared" si="124"/>
        <v>11574</v>
      </c>
      <c r="E1578" s="556">
        <f t="shared" si="125"/>
        <v>8610</v>
      </c>
      <c r="F1578" s="556">
        <f t="shared" si="126"/>
        <v>11574</v>
      </c>
      <c r="G1578" s="556">
        <f t="shared" si="127"/>
        <v>9835</v>
      </c>
    </row>
    <row r="1579" spans="1:7" ht="15.75">
      <c r="A1579" s="625">
        <f t="shared" si="128"/>
        <v>75775</v>
      </c>
      <c r="B1579" s="555">
        <v>75750</v>
      </c>
      <c r="C1579" s="555">
        <v>75800</v>
      </c>
      <c r="D1579" s="556">
        <f t="shared" si="124"/>
        <v>11585</v>
      </c>
      <c r="E1579" s="556">
        <f t="shared" si="125"/>
        <v>8616</v>
      </c>
      <c r="F1579" s="556">
        <f t="shared" si="126"/>
        <v>11585</v>
      </c>
      <c r="G1579" s="556">
        <f t="shared" si="127"/>
        <v>9846</v>
      </c>
    </row>
    <row r="1580" spans="1:7" ht="15.75">
      <c r="A1580" s="625">
        <f t="shared" si="128"/>
        <v>75825</v>
      </c>
      <c r="B1580" s="555">
        <v>75800</v>
      </c>
      <c r="C1580" s="555">
        <v>75850</v>
      </c>
      <c r="D1580" s="556">
        <f t="shared" si="124"/>
        <v>11596</v>
      </c>
      <c r="E1580" s="556">
        <f t="shared" si="125"/>
        <v>8622</v>
      </c>
      <c r="F1580" s="556">
        <f t="shared" si="126"/>
        <v>11596</v>
      </c>
      <c r="G1580" s="556">
        <f t="shared" si="127"/>
        <v>9857</v>
      </c>
    </row>
    <row r="1581" spans="1:7" ht="15.75">
      <c r="A1581" s="625">
        <f t="shared" si="128"/>
        <v>75875</v>
      </c>
      <c r="B1581" s="555">
        <v>75850</v>
      </c>
      <c r="C1581" s="555">
        <v>75900</v>
      </c>
      <c r="D1581" s="556">
        <f t="shared" si="124"/>
        <v>11607</v>
      </c>
      <c r="E1581" s="556">
        <f t="shared" si="125"/>
        <v>8628</v>
      </c>
      <c r="F1581" s="556">
        <f t="shared" si="126"/>
        <v>11607</v>
      </c>
      <c r="G1581" s="556">
        <f t="shared" si="127"/>
        <v>9868</v>
      </c>
    </row>
    <row r="1582" spans="1:7" ht="15.75">
      <c r="A1582" s="625">
        <f t="shared" si="128"/>
        <v>75925</v>
      </c>
      <c r="B1582" s="555">
        <v>75900</v>
      </c>
      <c r="C1582" s="555">
        <v>75950</v>
      </c>
      <c r="D1582" s="556">
        <f t="shared" si="124"/>
        <v>11618</v>
      </c>
      <c r="E1582" s="556">
        <f t="shared" si="125"/>
        <v>8634</v>
      </c>
      <c r="F1582" s="556">
        <f t="shared" si="126"/>
        <v>11618</v>
      </c>
      <c r="G1582" s="556">
        <f t="shared" si="127"/>
        <v>9879</v>
      </c>
    </row>
    <row r="1583" spans="1:7" ht="15.75">
      <c r="A1583" s="625">
        <f t="shared" si="128"/>
        <v>75975</v>
      </c>
      <c r="B1583" s="555">
        <v>75950</v>
      </c>
      <c r="C1583" s="555">
        <v>76000</v>
      </c>
      <c r="D1583" s="556">
        <f t="shared" si="124"/>
        <v>11629</v>
      </c>
      <c r="E1583" s="556">
        <f t="shared" si="125"/>
        <v>8640</v>
      </c>
      <c r="F1583" s="556">
        <f t="shared" si="126"/>
        <v>11629</v>
      </c>
      <c r="G1583" s="556">
        <f t="shared" si="127"/>
        <v>9890</v>
      </c>
    </row>
    <row r="1584" spans="1:7" ht="15.75">
      <c r="A1584" s="625">
        <f t="shared" si="128"/>
        <v>76025</v>
      </c>
      <c r="B1584" s="555">
        <v>76000</v>
      </c>
      <c r="C1584" s="555">
        <v>76050</v>
      </c>
      <c r="D1584" s="556">
        <f t="shared" si="124"/>
        <v>11640</v>
      </c>
      <c r="E1584" s="556">
        <f t="shared" si="125"/>
        <v>8646</v>
      </c>
      <c r="F1584" s="556">
        <f t="shared" si="126"/>
        <v>11640</v>
      </c>
      <c r="G1584" s="556">
        <f t="shared" si="127"/>
        <v>9901</v>
      </c>
    </row>
    <row r="1585" spans="1:7" ht="15.75">
      <c r="A1585" s="625">
        <f t="shared" si="128"/>
        <v>76075</v>
      </c>
      <c r="B1585" s="555">
        <v>76050</v>
      </c>
      <c r="C1585" s="555">
        <v>76100</v>
      </c>
      <c r="D1585" s="556">
        <f t="shared" si="124"/>
        <v>11651</v>
      </c>
      <c r="E1585" s="556">
        <f t="shared" si="125"/>
        <v>8652</v>
      </c>
      <c r="F1585" s="556">
        <f t="shared" si="126"/>
        <v>11651</v>
      </c>
      <c r="G1585" s="556">
        <f t="shared" si="127"/>
        <v>9912</v>
      </c>
    </row>
    <row r="1586" spans="1:7" ht="15.75">
      <c r="A1586" s="625">
        <f t="shared" si="128"/>
        <v>76125</v>
      </c>
      <c r="B1586" s="555">
        <v>76100</v>
      </c>
      <c r="C1586" s="555">
        <v>76150</v>
      </c>
      <c r="D1586" s="556">
        <f t="shared" si="124"/>
        <v>11662</v>
      </c>
      <c r="E1586" s="556">
        <f t="shared" si="125"/>
        <v>8658</v>
      </c>
      <c r="F1586" s="556">
        <f t="shared" si="126"/>
        <v>11662</v>
      </c>
      <c r="G1586" s="556">
        <f t="shared" si="127"/>
        <v>9923</v>
      </c>
    </row>
    <row r="1587" spans="1:7" ht="15.75">
      <c r="A1587" s="625">
        <f t="shared" si="128"/>
        <v>76175</v>
      </c>
      <c r="B1587" s="555">
        <v>76150</v>
      </c>
      <c r="C1587" s="555">
        <v>76200</v>
      </c>
      <c r="D1587" s="556">
        <f t="shared" si="124"/>
        <v>11673</v>
      </c>
      <c r="E1587" s="556">
        <f t="shared" si="125"/>
        <v>8664</v>
      </c>
      <c r="F1587" s="556">
        <f t="shared" si="126"/>
        <v>11673</v>
      </c>
      <c r="G1587" s="556">
        <f t="shared" si="127"/>
        <v>9934</v>
      </c>
    </row>
    <row r="1588" spans="1:7" ht="15.75">
      <c r="A1588" s="625">
        <f t="shared" si="128"/>
        <v>76225</v>
      </c>
      <c r="B1588" s="555">
        <v>76200</v>
      </c>
      <c r="C1588" s="555">
        <v>76250</v>
      </c>
      <c r="D1588" s="556">
        <f t="shared" si="124"/>
        <v>11684</v>
      </c>
      <c r="E1588" s="556">
        <f t="shared" si="125"/>
        <v>8670</v>
      </c>
      <c r="F1588" s="556">
        <f t="shared" si="126"/>
        <v>11684</v>
      </c>
      <c r="G1588" s="556">
        <f t="shared" si="127"/>
        <v>9945</v>
      </c>
    </row>
    <row r="1589" spans="1:7" ht="15.75">
      <c r="A1589" s="625">
        <f t="shared" si="128"/>
        <v>76275</v>
      </c>
      <c r="B1589" s="555">
        <v>76250</v>
      </c>
      <c r="C1589" s="555">
        <v>76300</v>
      </c>
      <c r="D1589" s="556">
        <f t="shared" si="124"/>
        <v>11695</v>
      </c>
      <c r="E1589" s="556">
        <f t="shared" si="125"/>
        <v>8676</v>
      </c>
      <c r="F1589" s="556">
        <f t="shared" si="126"/>
        <v>11695</v>
      </c>
      <c r="G1589" s="556">
        <f t="shared" si="127"/>
        <v>9956</v>
      </c>
    </row>
    <row r="1590" spans="1:7" ht="15.75">
      <c r="A1590" s="625">
        <f t="shared" si="128"/>
        <v>76325</v>
      </c>
      <c r="B1590" s="555">
        <v>76300</v>
      </c>
      <c r="C1590" s="555">
        <v>76350</v>
      </c>
      <c r="D1590" s="556">
        <f t="shared" si="124"/>
        <v>11706</v>
      </c>
      <c r="E1590" s="556">
        <f t="shared" si="125"/>
        <v>8682</v>
      </c>
      <c r="F1590" s="556">
        <f t="shared" si="126"/>
        <v>11706</v>
      </c>
      <c r="G1590" s="556">
        <f t="shared" si="127"/>
        <v>9967</v>
      </c>
    </row>
    <row r="1591" spans="1:7" ht="15.75">
      <c r="A1591" s="625">
        <f t="shared" si="128"/>
        <v>76375</v>
      </c>
      <c r="B1591" s="555">
        <v>76350</v>
      </c>
      <c r="C1591" s="555">
        <v>76400</v>
      </c>
      <c r="D1591" s="556">
        <f t="shared" si="124"/>
        <v>11717</v>
      </c>
      <c r="E1591" s="556">
        <f t="shared" si="125"/>
        <v>8688</v>
      </c>
      <c r="F1591" s="556">
        <f t="shared" si="126"/>
        <v>11717</v>
      </c>
      <c r="G1591" s="556">
        <f t="shared" si="127"/>
        <v>9978</v>
      </c>
    </row>
    <row r="1592" spans="1:7" ht="15.75">
      <c r="A1592" s="625">
        <f t="shared" si="128"/>
        <v>76425</v>
      </c>
      <c r="B1592" s="555">
        <v>76400</v>
      </c>
      <c r="C1592" s="555">
        <v>76450</v>
      </c>
      <c r="D1592" s="556">
        <f t="shared" si="124"/>
        <v>11728</v>
      </c>
      <c r="E1592" s="556">
        <f t="shared" si="125"/>
        <v>8694</v>
      </c>
      <c r="F1592" s="556">
        <f t="shared" si="126"/>
        <v>11728</v>
      </c>
      <c r="G1592" s="556">
        <f t="shared" si="127"/>
        <v>9989</v>
      </c>
    </row>
    <row r="1593" spans="1:7" ht="15.75">
      <c r="A1593" s="625">
        <f t="shared" si="128"/>
        <v>76475</v>
      </c>
      <c r="B1593" s="555">
        <v>76450</v>
      </c>
      <c r="C1593" s="555">
        <v>76500</v>
      </c>
      <c r="D1593" s="556">
        <f t="shared" si="124"/>
        <v>11739</v>
      </c>
      <c r="E1593" s="556">
        <f t="shared" si="125"/>
        <v>8700</v>
      </c>
      <c r="F1593" s="556">
        <f t="shared" si="126"/>
        <v>11739</v>
      </c>
      <c r="G1593" s="556">
        <f t="shared" si="127"/>
        <v>10000</v>
      </c>
    </row>
    <row r="1594" spans="1:7" ht="15.75">
      <c r="A1594" s="625">
        <f t="shared" si="128"/>
        <v>76525</v>
      </c>
      <c r="B1594" s="555">
        <v>76500</v>
      </c>
      <c r="C1594" s="555">
        <v>76550</v>
      </c>
      <c r="D1594" s="556">
        <f t="shared" si="124"/>
        <v>11750</v>
      </c>
      <c r="E1594" s="556">
        <f t="shared" si="125"/>
        <v>8706</v>
      </c>
      <c r="F1594" s="556">
        <f t="shared" si="126"/>
        <v>11750</v>
      </c>
      <c r="G1594" s="556">
        <f t="shared" si="127"/>
        <v>10011</v>
      </c>
    </row>
    <row r="1595" spans="1:7" ht="15.75">
      <c r="A1595" s="625">
        <f t="shared" si="128"/>
        <v>76575</v>
      </c>
      <c r="B1595" s="555">
        <v>76550</v>
      </c>
      <c r="C1595" s="555">
        <v>76600</v>
      </c>
      <c r="D1595" s="556">
        <f t="shared" si="124"/>
        <v>11761</v>
      </c>
      <c r="E1595" s="556">
        <f t="shared" si="125"/>
        <v>8712</v>
      </c>
      <c r="F1595" s="556">
        <f t="shared" si="126"/>
        <v>11761</v>
      </c>
      <c r="G1595" s="556">
        <f t="shared" si="127"/>
        <v>10022</v>
      </c>
    </row>
    <row r="1596" spans="1:7" ht="15.75">
      <c r="A1596" s="625">
        <f t="shared" si="128"/>
        <v>76625</v>
      </c>
      <c r="B1596" s="555">
        <v>76600</v>
      </c>
      <c r="C1596" s="555">
        <v>76650</v>
      </c>
      <c r="D1596" s="556">
        <f t="shared" si="124"/>
        <v>11772</v>
      </c>
      <c r="E1596" s="556">
        <f t="shared" si="125"/>
        <v>8718</v>
      </c>
      <c r="F1596" s="556">
        <f t="shared" si="126"/>
        <v>11772</v>
      </c>
      <c r="G1596" s="556">
        <f t="shared" si="127"/>
        <v>10033</v>
      </c>
    </row>
    <row r="1597" spans="1:7" ht="15.75">
      <c r="A1597" s="625">
        <f t="shared" si="128"/>
        <v>76675</v>
      </c>
      <c r="B1597" s="555">
        <v>76650</v>
      </c>
      <c r="C1597" s="555">
        <v>76700</v>
      </c>
      <c r="D1597" s="556">
        <f t="shared" si="124"/>
        <v>11783</v>
      </c>
      <c r="E1597" s="556">
        <f t="shared" si="125"/>
        <v>8724</v>
      </c>
      <c r="F1597" s="556">
        <f t="shared" si="126"/>
        <v>11783</v>
      </c>
      <c r="G1597" s="556">
        <f t="shared" si="127"/>
        <v>10044</v>
      </c>
    </row>
    <row r="1598" spans="1:7" ht="15.75">
      <c r="A1598" s="625">
        <f t="shared" si="128"/>
        <v>76725</v>
      </c>
      <c r="B1598" s="555">
        <v>76700</v>
      </c>
      <c r="C1598" s="555">
        <v>76750</v>
      </c>
      <c r="D1598" s="556">
        <f t="shared" si="124"/>
        <v>11794</v>
      </c>
      <c r="E1598" s="556">
        <f t="shared" si="125"/>
        <v>8730</v>
      </c>
      <c r="F1598" s="556">
        <f t="shared" si="126"/>
        <v>11794</v>
      </c>
      <c r="G1598" s="556">
        <f t="shared" si="127"/>
        <v>10055</v>
      </c>
    </row>
    <row r="1599" spans="1:7" ht="15.75">
      <c r="A1599" s="625">
        <f t="shared" si="128"/>
        <v>76775</v>
      </c>
      <c r="B1599" s="555">
        <v>76750</v>
      </c>
      <c r="C1599" s="555">
        <v>76800</v>
      </c>
      <c r="D1599" s="556">
        <f t="shared" si="124"/>
        <v>11805</v>
      </c>
      <c r="E1599" s="556">
        <f t="shared" si="125"/>
        <v>8736</v>
      </c>
      <c r="F1599" s="556">
        <f t="shared" si="126"/>
        <v>11805</v>
      </c>
      <c r="G1599" s="556">
        <f t="shared" si="127"/>
        <v>10066</v>
      </c>
    </row>
    <row r="1600" spans="1:7" ht="15.75">
      <c r="A1600" s="625">
        <f t="shared" si="128"/>
        <v>76825</v>
      </c>
      <c r="B1600" s="555">
        <v>76800</v>
      </c>
      <c r="C1600" s="555">
        <v>76850</v>
      </c>
      <c r="D1600" s="556">
        <f t="shared" si="124"/>
        <v>11816</v>
      </c>
      <c r="E1600" s="556">
        <f t="shared" si="125"/>
        <v>8742</v>
      </c>
      <c r="F1600" s="556">
        <f t="shared" si="126"/>
        <v>11816</v>
      </c>
      <c r="G1600" s="556">
        <f t="shared" si="127"/>
        <v>10077</v>
      </c>
    </row>
    <row r="1601" spans="1:7" ht="15.75">
      <c r="A1601" s="625">
        <f t="shared" si="128"/>
        <v>76875</v>
      </c>
      <c r="B1601" s="555">
        <v>76850</v>
      </c>
      <c r="C1601" s="555">
        <v>76900</v>
      </c>
      <c r="D1601" s="556">
        <f t="shared" si="124"/>
        <v>11827</v>
      </c>
      <c r="E1601" s="556">
        <f t="shared" si="125"/>
        <v>8748</v>
      </c>
      <c r="F1601" s="556">
        <f t="shared" si="126"/>
        <v>11827</v>
      </c>
      <c r="G1601" s="556">
        <f t="shared" si="127"/>
        <v>10088</v>
      </c>
    </row>
    <row r="1602" spans="1:7" ht="15.75">
      <c r="A1602" s="625">
        <f t="shared" si="128"/>
        <v>76925</v>
      </c>
      <c r="B1602" s="555">
        <v>76900</v>
      </c>
      <c r="C1602" s="555">
        <v>76950</v>
      </c>
      <c r="D1602" s="556">
        <f t="shared" ref="D1602:D1665" si="129">IF($A1602&gt;BOTT_A4,ROUND(BASE_A4+RATE_A4*($A1602-BOTT_A4),0),IF($A1602&gt;BOTT_A3,ROUND(BASE_A3+RATE_A3*($A1602-BOTT_A3),0),IF($A1602&gt;BOTT_A2,ROUND(BASE_A2+RATE_A2*($A1602-BOTT_A2),0),ROUND(RATE_A1*$A1602,0))))</f>
        <v>11838</v>
      </c>
      <c r="E1602" s="556">
        <f t="shared" ref="E1602:E1665" si="130">IF($A1602&gt;BOTT_B4,ROUND(BASE_B4+RATE_B4*($A1602-BOTT_B4),0),IF($A1602&gt;BOTT_B3,ROUND(BASE_B3+RATE_B3*($A1602-BOTT_B3),0),IF($A1602&gt;BOTT_B2,ROUND(BASE_B2+RATE_B2*($A1602-BOTT_B2),0),ROUND(RATE_B1*$A1602,0))))</f>
        <v>8754</v>
      </c>
      <c r="F1602" s="556">
        <f t="shared" ref="F1602:F1665" si="131">IF($A1602&gt;BOTT_C4,ROUND(BASE_C4+RATE_C4*($A1602-BOTT_C4),0),IF($A1602&gt;BOTT_C3,ROUND(BASE_C3+RATE_C3*($A1602-BOTT_C3),0),IF($A1602&gt;BOTT_C2,ROUND(BASE_C2+RATE_C2*($A1602-BOTT_C2),0),ROUND(RATE_C1*$A1602,0))))</f>
        <v>11838</v>
      </c>
      <c r="G1602" s="556">
        <f t="shared" ref="G1602:G1665" si="132">IF($A1602&gt;BOTT_D4,ROUND(BASE_D4+RATE_D4*($A1602-BOTT_D4),0),IF($A1602&gt;BOTT_D3,ROUND(BASE_D3+RATE_D3*($A1602-BOTT_D3),0),IF($A1602&gt;BOTT_D2,ROUND(BASE_D2+RATE_D2*($A1602-BOTT_D2),0),ROUND(RATE_D1*$A1602,0))))</f>
        <v>10099</v>
      </c>
    </row>
    <row r="1603" spans="1:7" ht="15.75">
      <c r="A1603" s="625">
        <f t="shared" ref="A1603:A1666" si="133">AVERAGE(B1603,C1603)</f>
        <v>76975</v>
      </c>
      <c r="B1603" s="555">
        <v>76950</v>
      </c>
      <c r="C1603" s="555">
        <v>77000</v>
      </c>
      <c r="D1603" s="556">
        <f t="shared" si="129"/>
        <v>11849</v>
      </c>
      <c r="E1603" s="556">
        <f t="shared" si="130"/>
        <v>8760</v>
      </c>
      <c r="F1603" s="556">
        <f t="shared" si="131"/>
        <v>11849</v>
      </c>
      <c r="G1603" s="556">
        <f t="shared" si="132"/>
        <v>10110</v>
      </c>
    </row>
    <row r="1604" spans="1:7" ht="15.75">
      <c r="A1604" s="625">
        <f t="shared" si="133"/>
        <v>77025</v>
      </c>
      <c r="B1604" s="555">
        <v>77000</v>
      </c>
      <c r="C1604" s="555">
        <v>77050</v>
      </c>
      <c r="D1604" s="556">
        <f t="shared" si="129"/>
        <v>11860</v>
      </c>
      <c r="E1604" s="556">
        <f t="shared" si="130"/>
        <v>8766</v>
      </c>
      <c r="F1604" s="556">
        <f t="shared" si="131"/>
        <v>11860</v>
      </c>
      <c r="G1604" s="556">
        <f t="shared" si="132"/>
        <v>10121</v>
      </c>
    </row>
    <row r="1605" spans="1:7" ht="15.75">
      <c r="A1605" s="625">
        <f t="shared" si="133"/>
        <v>77075</v>
      </c>
      <c r="B1605" s="555">
        <v>77050</v>
      </c>
      <c r="C1605" s="555">
        <v>77100</v>
      </c>
      <c r="D1605" s="556">
        <f t="shared" si="129"/>
        <v>11871</v>
      </c>
      <c r="E1605" s="556">
        <f t="shared" si="130"/>
        <v>8772</v>
      </c>
      <c r="F1605" s="556">
        <f t="shared" si="131"/>
        <v>11871</v>
      </c>
      <c r="G1605" s="556">
        <f t="shared" si="132"/>
        <v>10132</v>
      </c>
    </row>
    <row r="1606" spans="1:7" ht="15.75">
      <c r="A1606" s="625">
        <f t="shared" si="133"/>
        <v>77125</v>
      </c>
      <c r="B1606" s="555">
        <v>77100</v>
      </c>
      <c r="C1606" s="555">
        <v>77150</v>
      </c>
      <c r="D1606" s="556">
        <f t="shared" si="129"/>
        <v>11882</v>
      </c>
      <c r="E1606" s="556">
        <f t="shared" si="130"/>
        <v>8778</v>
      </c>
      <c r="F1606" s="556">
        <f t="shared" si="131"/>
        <v>11882</v>
      </c>
      <c r="G1606" s="556">
        <f t="shared" si="132"/>
        <v>10143</v>
      </c>
    </row>
    <row r="1607" spans="1:7" ht="15.75">
      <c r="A1607" s="625">
        <f t="shared" si="133"/>
        <v>77175</v>
      </c>
      <c r="B1607" s="555">
        <v>77150</v>
      </c>
      <c r="C1607" s="555">
        <v>77200</v>
      </c>
      <c r="D1607" s="556">
        <f t="shared" si="129"/>
        <v>11893</v>
      </c>
      <c r="E1607" s="556">
        <f t="shared" si="130"/>
        <v>8784</v>
      </c>
      <c r="F1607" s="556">
        <f t="shared" si="131"/>
        <v>11893</v>
      </c>
      <c r="G1607" s="556">
        <f t="shared" si="132"/>
        <v>10154</v>
      </c>
    </row>
    <row r="1608" spans="1:7" ht="15.75">
      <c r="A1608" s="625">
        <f t="shared" si="133"/>
        <v>77225</v>
      </c>
      <c r="B1608" s="555">
        <v>77200</v>
      </c>
      <c r="C1608" s="555">
        <v>77250</v>
      </c>
      <c r="D1608" s="556">
        <f t="shared" si="129"/>
        <v>11904</v>
      </c>
      <c r="E1608" s="556">
        <f t="shared" si="130"/>
        <v>8790</v>
      </c>
      <c r="F1608" s="556">
        <f t="shared" si="131"/>
        <v>11904</v>
      </c>
      <c r="G1608" s="556">
        <f t="shared" si="132"/>
        <v>10165</v>
      </c>
    </row>
    <row r="1609" spans="1:7" ht="15.75">
      <c r="A1609" s="625">
        <f t="shared" si="133"/>
        <v>77275</v>
      </c>
      <c r="B1609" s="555">
        <v>77250</v>
      </c>
      <c r="C1609" s="555">
        <v>77300</v>
      </c>
      <c r="D1609" s="556">
        <f t="shared" si="129"/>
        <v>11915</v>
      </c>
      <c r="E1609" s="556">
        <f t="shared" si="130"/>
        <v>8796</v>
      </c>
      <c r="F1609" s="556">
        <f t="shared" si="131"/>
        <v>11915</v>
      </c>
      <c r="G1609" s="556">
        <f t="shared" si="132"/>
        <v>10176</v>
      </c>
    </row>
    <row r="1610" spans="1:7" ht="15.75">
      <c r="A1610" s="625">
        <f t="shared" si="133"/>
        <v>77325</v>
      </c>
      <c r="B1610" s="555">
        <v>77300</v>
      </c>
      <c r="C1610" s="555">
        <v>77350</v>
      </c>
      <c r="D1610" s="556">
        <f t="shared" si="129"/>
        <v>11926</v>
      </c>
      <c r="E1610" s="556">
        <f t="shared" si="130"/>
        <v>8802</v>
      </c>
      <c r="F1610" s="556">
        <f t="shared" si="131"/>
        <v>11926</v>
      </c>
      <c r="G1610" s="556">
        <f t="shared" si="132"/>
        <v>10187</v>
      </c>
    </row>
    <row r="1611" spans="1:7" ht="15.75">
      <c r="A1611" s="625">
        <f t="shared" si="133"/>
        <v>77375</v>
      </c>
      <c r="B1611" s="555">
        <v>77350</v>
      </c>
      <c r="C1611" s="555">
        <v>77400</v>
      </c>
      <c r="D1611" s="556">
        <f t="shared" si="129"/>
        <v>11937</v>
      </c>
      <c r="E1611" s="556">
        <f t="shared" si="130"/>
        <v>8808</v>
      </c>
      <c r="F1611" s="556">
        <f t="shared" si="131"/>
        <v>11937</v>
      </c>
      <c r="G1611" s="556">
        <f t="shared" si="132"/>
        <v>10198</v>
      </c>
    </row>
    <row r="1612" spans="1:7" ht="15.75">
      <c r="A1612" s="625">
        <f t="shared" si="133"/>
        <v>77425</v>
      </c>
      <c r="B1612" s="555">
        <v>77400</v>
      </c>
      <c r="C1612" s="555">
        <v>77450</v>
      </c>
      <c r="D1612" s="556">
        <f t="shared" si="129"/>
        <v>11948</v>
      </c>
      <c r="E1612" s="556">
        <f t="shared" si="130"/>
        <v>8814</v>
      </c>
      <c r="F1612" s="556">
        <f t="shared" si="131"/>
        <v>11948</v>
      </c>
      <c r="G1612" s="556">
        <f t="shared" si="132"/>
        <v>10209</v>
      </c>
    </row>
    <row r="1613" spans="1:7" ht="15.75">
      <c r="A1613" s="625">
        <f t="shared" si="133"/>
        <v>77475</v>
      </c>
      <c r="B1613" s="555">
        <v>77450</v>
      </c>
      <c r="C1613" s="555">
        <v>77500</v>
      </c>
      <c r="D1613" s="556">
        <f t="shared" si="129"/>
        <v>11959</v>
      </c>
      <c r="E1613" s="556">
        <f t="shared" si="130"/>
        <v>8820</v>
      </c>
      <c r="F1613" s="556">
        <f t="shared" si="131"/>
        <v>11959</v>
      </c>
      <c r="G1613" s="556">
        <f t="shared" si="132"/>
        <v>10220</v>
      </c>
    </row>
    <row r="1614" spans="1:7" ht="15.75">
      <c r="A1614" s="625">
        <f t="shared" si="133"/>
        <v>77525</v>
      </c>
      <c r="B1614" s="555">
        <v>77500</v>
      </c>
      <c r="C1614" s="555">
        <v>77550</v>
      </c>
      <c r="D1614" s="556">
        <f t="shared" si="129"/>
        <v>11970</v>
      </c>
      <c r="E1614" s="556">
        <f t="shared" si="130"/>
        <v>8826</v>
      </c>
      <c r="F1614" s="556">
        <f t="shared" si="131"/>
        <v>11970</v>
      </c>
      <c r="G1614" s="556">
        <f t="shared" si="132"/>
        <v>10231</v>
      </c>
    </row>
    <row r="1615" spans="1:7" ht="15.75">
      <c r="A1615" s="625">
        <f t="shared" si="133"/>
        <v>77575</v>
      </c>
      <c r="B1615" s="555">
        <v>77550</v>
      </c>
      <c r="C1615" s="555">
        <v>77600</v>
      </c>
      <c r="D1615" s="556">
        <f t="shared" si="129"/>
        <v>11981</v>
      </c>
      <c r="E1615" s="556">
        <f t="shared" si="130"/>
        <v>8832</v>
      </c>
      <c r="F1615" s="556">
        <f t="shared" si="131"/>
        <v>11981</v>
      </c>
      <c r="G1615" s="556">
        <f t="shared" si="132"/>
        <v>10242</v>
      </c>
    </row>
    <row r="1616" spans="1:7" ht="15.75">
      <c r="A1616" s="625">
        <f t="shared" si="133"/>
        <v>77625</v>
      </c>
      <c r="B1616" s="555">
        <v>77600</v>
      </c>
      <c r="C1616" s="555">
        <v>77650</v>
      </c>
      <c r="D1616" s="556">
        <f t="shared" si="129"/>
        <v>11992</v>
      </c>
      <c r="E1616" s="556">
        <f t="shared" si="130"/>
        <v>8838</v>
      </c>
      <c r="F1616" s="556">
        <f t="shared" si="131"/>
        <v>11992</v>
      </c>
      <c r="G1616" s="556">
        <f t="shared" si="132"/>
        <v>10253</v>
      </c>
    </row>
    <row r="1617" spans="1:7" ht="15.75">
      <c r="A1617" s="625">
        <f t="shared" si="133"/>
        <v>77675</v>
      </c>
      <c r="B1617" s="555">
        <v>77650</v>
      </c>
      <c r="C1617" s="555">
        <v>77700</v>
      </c>
      <c r="D1617" s="556">
        <f t="shared" si="129"/>
        <v>12003</v>
      </c>
      <c r="E1617" s="556">
        <f t="shared" si="130"/>
        <v>8844</v>
      </c>
      <c r="F1617" s="556">
        <f t="shared" si="131"/>
        <v>12003</v>
      </c>
      <c r="G1617" s="556">
        <f t="shared" si="132"/>
        <v>10264</v>
      </c>
    </row>
    <row r="1618" spans="1:7" ht="15.75">
      <c r="A1618" s="625">
        <f t="shared" si="133"/>
        <v>77725</v>
      </c>
      <c r="B1618" s="555">
        <v>77700</v>
      </c>
      <c r="C1618" s="555">
        <v>77750</v>
      </c>
      <c r="D1618" s="556">
        <f t="shared" si="129"/>
        <v>12014</v>
      </c>
      <c r="E1618" s="556">
        <f t="shared" si="130"/>
        <v>8850</v>
      </c>
      <c r="F1618" s="556">
        <f t="shared" si="131"/>
        <v>12014</v>
      </c>
      <c r="G1618" s="556">
        <f t="shared" si="132"/>
        <v>10275</v>
      </c>
    </row>
    <row r="1619" spans="1:7" ht="15.75">
      <c r="A1619" s="625">
        <f t="shared" si="133"/>
        <v>77775</v>
      </c>
      <c r="B1619" s="555">
        <v>77750</v>
      </c>
      <c r="C1619" s="555">
        <v>77800</v>
      </c>
      <c r="D1619" s="556">
        <f t="shared" si="129"/>
        <v>12025</v>
      </c>
      <c r="E1619" s="556">
        <f t="shared" si="130"/>
        <v>8856</v>
      </c>
      <c r="F1619" s="556">
        <f t="shared" si="131"/>
        <v>12025</v>
      </c>
      <c r="G1619" s="556">
        <f t="shared" si="132"/>
        <v>10286</v>
      </c>
    </row>
    <row r="1620" spans="1:7" ht="15.75">
      <c r="A1620" s="625">
        <f t="shared" si="133"/>
        <v>77825</v>
      </c>
      <c r="B1620" s="555">
        <v>77800</v>
      </c>
      <c r="C1620" s="555">
        <v>77850</v>
      </c>
      <c r="D1620" s="556">
        <f t="shared" si="129"/>
        <v>12036</v>
      </c>
      <c r="E1620" s="556">
        <f t="shared" si="130"/>
        <v>8862</v>
      </c>
      <c r="F1620" s="556">
        <f t="shared" si="131"/>
        <v>12036</v>
      </c>
      <c r="G1620" s="556">
        <f t="shared" si="132"/>
        <v>10297</v>
      </c>
    </row>
    <row r="1621" spans="1:7" ht="15.75">
      <c r="A1621" s="625">
        <f t="shared" si="133"/>
        <v>77875</v>
      </c>
      <c r="B1621" s="555">
        <v>77850</v>
      </c>
      <c r="C1621" s="555">
        <v>77900</v>
      </c>
      <c r="D1621" s="556">
        <f t="shared" si="129"/>
        <v>12047</v>
      </c>
      <c r="E1621" s="556">
        <f t="shared" si="130"/>
        <v>8868</v>
      </c>
      <c r="F1621" s="556">
        <f t="shared" si="131"/>
        <v>12047</v>
      </c>
      <c r="G1621" s="556">
        <f t="shared" si="132"/>
        <v>10308</v>
      </c>
    </row>
    <row r="1622" spans="1:7" ht="15.75">
      <c r="A1622" s="625">
        <f t="shared" si="133"/>
        <v>77925</v>
      </c>
      <c r="B1622" s="555">
        <v>77900</v>
      </c>
      <c r="C1622" s="555">
        <v>77950</v>
      </c>
      <c r="D1622" s="556">
        <f t="shared" si="129"/>
        <v>12058</v>
      </c>
      <c r="E1622" s="556">
        <f t="shared" si="130"/>
        <v>8874</v>
      </c>
      <c r="F1622" s="556">
        <f t="shared" si="131"/>
        <v>12058</v>
      </c>
      <c r="G1622" s="556">
        <f t="shared" si="132"/>
        <v>10319</v>
      </c>
    </row>
    <row r="1623" spans="1:7" ht="15.75">
      <c r="A1623" s="625">
        <f t="shared" si="133"/>
        <v>77975</v>
      </c>
      <c r="B1623" s="555">
        <v>77950</v>
      </c>
      <c r="C1623" s="555">
        <v>78000</v>
      </c>
      <c r="D1623" s="556">
        <f t="shared" si="129"/>
        <v>12069</v>
      </c>
      <c r="E1623" s="556">
        <f t="shared" si="130"/>
        <v>8880</v>
      </c>
      <c r="F1623" s="556">
        <f t="shared" si="131"/>
        <v>12069</v>
      </c>
      <c r="G1623" s="556">
        <f t="shared" si="132"/>
        <v>10330</v>
      </c>
    </row>
    <row r="1624" spans="1:7" ht="15.75">
      <c r="A1624" s="625">
        <f t="shared" si="133"/>
        <v>78025</v>
      </c>
      <c r="B1624" s="555">
        <v>78000</v>
      </c>
      <c r="C1624" s="555">
        <v>78050</v>
      </c>
      <c r="D1624" s="556">
        <f t="shared" si="129"/>
        <v>12080</v>
      </c>
      <c r="E1624" s="556">
        <f t="shared" si="130"/>
        <v>8886</v>
      </c>
      <c r="F1624" s="556">
        <f t="shared" si="131"/>
        <v>12080</v>
      </c>
      <c r="G1624" s="556">
        <f t="shared" si="132"/>
        <v>10341</v>
      </c>
    </row>
    <row r="1625" spans="1:7" ht="15.75">
      <c r="A1625" s="625">
        <f t="shared" si="133"/>
        <v>78075</v>
      </c>
      <c r="B1625" s="555">
        <v>78050</v>
      </c>
      <c r="C1625" s="555">
        <v>78100</v>
      </c>
      <c r="D1625" s="556">
        <f t="shared" si="129"/>
        <v>12091</v>
      </c>
      <c r="E1625" s="556">
        <f t="shared" si="130"/>
        <v>8892</v>
      </c>
      <c r="F1625" s="556">
        <f t="shared" si="131"/>
        <v>12091</v>
      </c>
      <c r="G1625" s="556">
        <f t="shared" si="132"/>
        <v>10352</v>
      </c>
    </row>
    <row r="1626" spans="1:7" ht="15.75">
      <c r="A1626" s="625">
        <f t="shared" si="133"/>
        <v>78125</v>
      </c>
      <c r="B1626" s="555">
        <v>78100</v>
      </c>
      <c r="C1626" s="555">
        <v>78150</v>
      </c>
      <c r="D1626" s="556">
        <f t="shared" si="129"/>
        <v>12102</v>
      </c>
      <c r="E1626" s="556">
        <f t="shared" si="130"/>
        <v>8898</v>
      </c>
      <c r="F1626" s="556">
        <f t="shared" si="131"/>
        <v>12102</v>
      </c>
      <c r="G1626" s="556">
        <f t="shared" si="132"/>
        <v>10363</v>
      </c>
    </row>
    <row r="1627" spans="1:7" ht="15.75">
      <c r="A1627" s="625">
        <f t="shared" si="133"/>
        <v>78175</v>
      </c>
      <c r="B1627" s="555">
        <v>78150</v>
      </c>
      <c r="C1627" s="555">
        <v>78200</v>
      </c>
      <c r="D1627" s="556">
        <f t="shared" si="129"/>
        <v>12113</v>
      </c>
      <c r="E1627" s="556">
        <f t="shared" si="130"/>
        <v>8904</v>
      </c>
      <c r="F1627" s="556">
        <f t="shared" si="131"/>
        <v>12113</v>
      </c>
      <c r="G1627" s="556">
        <f t="shared" si="132"/>
        <v>10374</v>
      </c>
    </row>
    <row r="1628" spans="1:7" ht="15.75">
      <c r="A1628" s="625">
        <f t="shared" si="133"/>
        <v>78225</v>
      </c>
      <c r="B1628" s="555">
        <v>78200</v>
      </c>
      <c r="C1628" s="555">
        <v>78250</v>
      </c>
      <c r="D1628" s="556">
        <f t="shared" si="129"/>
        <v>12124</v>
      </c>
      <c r="E1628" s="556">
        <f t="shared" si="130"/>
        <v>8910</v>
      </c>
      <c r="F1628" s="556">
        <f t="shared" si="131"/>
        <v>12124</v>
      </c>
      <c r="G1628" s="556">
        <f t="shared" si="132"/>
        <v>10385</v>
      </c>
    </row>
    <row r="1629" spans="1:7" ht="15.75">
      <c r="A1629" s="625">
        <f t="shared" si="133"/>
        <v>78275</v>
      </c>
      <c r="B1629" s="555">
        <v>78250</v>
      </c>
      <c r="C1629" s="555">
        <v>78300</v>
      </c>
      <c r="D1629" s="556">
        <f t="shared" si="129"/>
        <v>12135</v>
      </c>
      <c r="E1629" s="556">
        <f t="shared" si="130"/>
        <v>8916</v>
      </c>
      <c r="F1629" s="556">
        <f t="shared" si="131"/>
        <v>12135</v>
      </c>
      <c r="G1629" s="556">
        <f t="shared" si="132"/>
        <v>10396</v>
      </c>
    </row>
    <row r="1630" spans="1:7" ht="15.75">
      <c r="A1630" s="625">
        <f t="shared" si="133"/>
        <v>78325</v>
      </c>
      <c r="B1630" s="555">
        <v>78300</v>
      </c>
      <c r="C1630" s="555">
        <v>78350</v>
      </c>
      <c r="D1630" s="556">
        <f t="shared" si="129"/>
        <v>12146</v>
      </c>
      <c r="E1630" s="556">
        <f t="shared" si="130"/>
        <v>8922</v>
      </c>
      <c r="F1630" s="556">
        <f t="shared" si="131"/>
        <v>12146</v>
      </c>
      <c r="G1630" s="556">
        <f t="shared" si="132"/>
        <v>10407</v>
      </c>
    </row>
    <row r="1631" spans="1:7" ht="15.75">
      <c r="A1631" s="625">
        <f t="shared" si="133"/>
        <v>78375</v>
      </c>
      <c r="B1631" s="555">
        <v>78350</v>
      </c>
      <c r="C1631" s="555">
        <v>78400</v>
      </c>
      <c r="D1631" s="556">
        <f t="shared" si="129"/>
        <v>12157</v>
      </c>
      <c r="E1631" s="556">
        <f t="shared" si="130"/>
        <v>8928</v>
      </c>
      <c r="F1631" s="556">
        <f t="shared" si="131"/>
        <v>12157</v>
      </c>
      <c r="G1631" s="556">
        <f t="shared" si="132"/>
        <v>10418</v>
      </c>
    </row>
    <row r="1632" spans="1:7" ht="15.75">
      <c r="A1632" s="625">
        <f t="shared" si="133"/>
        <v>78425</v>
      </c>
      <c r="B1632" s="555">
        <v>78400</v>
      </c>
      <c r="C1632" s="555">
        <v>78450</v>
      </c>
      <c r="D1632" s="556">
        <f t="shared" si="129"/>
        <v>12168</v>
      </c>
      <c r="E1632" s="556">
        <f t="shared" si="130"/>
        <v>8934</v>
      </c>
      <c r="F1632" s="556">
        <f t="shared" si="131"/>
        <v>12168</v>
      </c>
      <c r="G1632" s="556">
        <f t="shared" si="132"/>
        <v>10429</v>
      </c>
    </row>
    <row r="1633" spans="1:7" ht="15.75">
      <c r="A1633" s="625">
        <f t="shared" si="133"/>
        <v>78475</v>
      </c>
      <c r="B1633" s="555">
        <v>78450</v>
      </c>
      <c r="C1633" s="555">
        <v>78500</v>
      </c>
      <c r="D1633" s="556">
        <f t="shared" si="129"/>
        <v>12179</v>
      </c>
      <c r="E1633" s="556">
        <f t="shared" si="130"/>
        <v>8940</v>
      </c>
      <c r="F1633" s="556">
        <f t="shared" si="131"/>
        <v>12179</v>
      </c>
      <c r="G1633" s="556">
        <f t="shared" si="132"/>
        <v>10440</v>
      </c>
    </row>
    <row r="1634" spans="1:7" ht="15.75">
      <c r="A1634" s="625">
        <f t="shared" si="133"/>
        <v>78525</v>
      </c>
      <c r="B1634" s="555">
        <v>78500</v>
      </c>
      <c r="C1634" s="555">
        <v>78550</v>
      </c>
      <c r="D1634" s="556">
        <f t="shared" si="129"/>
        <v>12190</v>
      </c>
      <c r="E1634" s="556">
        <f t="shared" si="130"/>
        <v>8946</v>
      </c>
      <c r="F1634" s="556">
        <f t="shared" si="131"/>
        <v>12190</v>
      </c>
      <c r="G1634" s="556">
        <f t="shared" si="132"/>
        <v>10451</v>
      </c>
    </row>
    <row r="1635" spans="1:7" ht="15.75">
      <c r="A1635" s="625">
        <f t="shared" si="133"/>
        <v>78575</v>
      </c>
      <c r="B1635" s="555">
        <v>78550</v>
      </c>
      <c r="C1635" s="555">
        <v>78600</v>
      </c>
      <c r="D1635" s="556">
        <f t="shared" si="129"/>
        <v>12201</v>
      </c>
      <c r="E1635" s="556">
        <f t="shared" si="130"/>
        <v>8952</v>
      </c>
      <c r="F1635" s="556">
        <f t="shared" si="131"/>
        <v>12201</v>
      </c>
      <c r="G1635" s="556">
        <f t="shared" si="132"/>
        <v>10462</v>
      </c>
    </row>
    <row r="1636" spans="1:7" ht="15.75">
      <c r="A1636" s="625">
        <f t="shared" si="133"/>
        <v>78625</v>
      </c>
      <c r="B1636" s="555">
        <v>78600</v>
      </c>
      <c r="C1636" s="555">
        <v>78650</v>
      </c>
      <c r="D1636" s="556">
        <f t="shared" si="129"/>
        <v>12212</v>
      </c>
      <c r="E1636" s="556">
        <f t="shared" si="130"/>
        <v>8958</v>
      </c>
      <c r="F1636" s="556">
        <f t="shared" si="131"/>
        <v>12212</v>
      </c>
      <c r="G1636" s="556">
        <f t="shared" si="132"/>
        <v>10473</v>
      </c>
    </row>
    <row r="1637" spans="1:7" ht="15.75">
      <c r="A1637" s="625">
        <f t="shared" si="133"/>
        <v>78675</v>
      </c>
      <c r="B1637" s="555">
        <v>78650</v>
      </c>
      <c r="C1637" s="555">
        <v>78700</v>
      </c>
      <c r="D1637" s="556">
        <f t="shared" si="129"/>
        <v>12223</v>
      </c>
      <c r="E1637" s="556">
        <f t="shared" si="130"/>
        <v>8964</v>
      </c>
      <c r="F1637" s="556">
        <f t="shared" si="131"/>
        <v>12223</v>
      </c>
      <c r="G1637" s="556">
        <f t="shared" si="132"/>
        <v>10484</v>
      </c>
    </row>
    <row r="1638" spans="1:7" ht="15.75">
      <c r="A1638" s="625">
        <f t="shared" si="133"/>
        <v>78725</v>
      </c>
      <c r="B1638" s="555">
        <v>78700</v>
      </c>
      <c r="C1638" s="555">
        <v>78750</v>
      </c>
      <c r="D1638" s="556">
        <f t="shared" si="129"/>
        <v>12234</v>
      </c>
      <c r="E1638" s="556">
        <f t="shared" si="130"/>
        <v>8970</v>
      </c>
      <c r="F1638" s="556">
        <f t="shared" si="131"/>
        <v>12234</v>
      </c>
      <c r="G1638" s="556">
        <f t="shared" si="132"/>
        <v>10495</v>
      </c>
    </row>
    <row r="1639" spans="1:7" ht="15.75">
      <c r="A1639" s="625">
        <f t="shared" si="133"/>
        <v>78775</v>
      </c>
      <c r="B1639" s="555">
        <v>78750</v>
      </c>
      <c r="C1639" s="555">
        <v>78800</v>
      </c>
      <c r="D1639" s="556">
        <f t="shared" si="129"/>
        <v>12245</v>
      </c>
      <c r="E1639" s="556">
        <f t="shared" si="130"/>
        <v>8976</v>
      </c>
      <c r="F1639" s="556">
        <f t="shared" si="131"/>
        <v>12245</v>
      </c>
      <c r="G1639" s="556">
        <f t="shared" si="132"/>
        <v>10506</v>
      </c>
    </row>
    <row r="1640" spans="1:7" ht="15.75">
      <c r="A1640" s="625">
        <f t="shared" si="133"/>
        <v>78825</v>
      </c>
      <c r="B1640" s="555">
        <v>78800</v>
      </c>
      <c r="C1640" s="555">
        <v>78850</v>
      </c>
      <c r="D1640" s="556">
        <f t="shared" si="129"/>
        <v>12256</v>
      </c>
      <c r="E1640" s="556">
        <f t="shared" si="130"/>
        <v>8982</v>
      </c>
      <c r="F1640" s="556">
        <f t="shared" si="131"/>
        <v>12256</v>
      </c>
      <c r="G1640" s="556">
        <f t="shared" si="132"/>
        <v>10517</v>
      </c>
    </row>
    <row r="1641" spans="1:7" ht="15.75">
      <c r="A1641" s="625">
        <f t="shared" si="133"/>
        <v>78875</v>
      </c>
      <c r="B1641" s="555">
        <v>78850</v>
      </c>
      <c r="C1641" s="555">
        <v>78900</v>
      </c>
      <c r="D1641" s="556">
        <f t="shared" si="129"/>
        <v>12267</v>
      </c>
      <c r="E1641" s="556">
        <f t="shared" si="130"/>
        <v>8988</v>
      </c>
      <c r="F1641" s="556">
        <f t="shared" si="131"/>
        <v>12267</v>
      </c>
      <c r="G1641" s="556">
        <f t="shared" si="132"/>
        <v>10528</v>
      </c>
    </row>
    <row r="1642" spans="1:7" ht="15.75">
      <c r="A1642" s="625">
        <f t="shared" si="133"/>
        <v>78925</v>
      </c>
      <c r="B1642" s="555">
        <v>78900</v>
      </c>
      <c r="C1642" s="555">
        <v>78950</v>
      </c>
      <c r="D1642" s="556">
        <f t="shared" si="129"/>
        <v>12278</v>
      </c>
      <c r="E1642" s="556">
        <f t="shared" si="130"/>
        <v>8994</v>
      </c>
      <c r="F1642" s="556">
        <f t="shared" si="131"/>
        <v>12278</v>
      </c>
      <c r="G1642" s="556">
        <f t="shared" si="132"/>
        <v>10539</v>
      </c>
    </row>
    <row r="1643" spans="1:7" ht="15.75">
      <c r="A1643" s="625">
        <f t="shared" si="133"/>
        <v>78975</v>
      </c>
      <c r="B1643" s="555">
        <v>78950</v>
      </c>
      <c r="C1643" s="555">
        <v>79000</v>
      </c>
      <c r="D1643" s="556">
        <f t="shared" si="129"/>
        <v>12289</v>
      </c>
      <c r="E1643" s="556">
        <f t="shared" si="130"/>
        <v>9000</v>
      </c>
      <c r="F1643" s="556">
        <f t="shared" si="131"/>
        <v>12289</v>
      </c>
      <c r="G1643" s="556">
        <f t="shared" si="132"/>
        <v>10550</v>
      </c>
    </row>
    <row r="1644" spans="1:7" ht="15.75">
      <c r="A1644" s="625">
        <f t="shared" si="133"/>
        <v>79025</v>
      </c>
      <c r="B1644" s="555">
        <v>79000</v>
      </c>
      <c r="C1644" s="555">
        <v>79050</v>
      </c>
      <c r="D1644" s="556">
        <f t="shared" si="129"/>
        <v>12300</v>
      </c>
      <c r="E1644" s="556">
        <f t="shared" si="130"/>
        <v>9006</v>
      </c>
      <c r="F1644" s="556">
        <f t="shared" si="131"/>
        <v>12300</v>
      </c>
      <c r="G1644" s="556">
        <f t="shared" si="132"/>
        <v>10561</v>
      </c>
    </row>
    <row r="1645" spans="1:7" ht="15.75">
      <c r="A1645" s="625">
        <f t="shared" si="133"/>
        <v>79075</v>
      </c>
      <c r="B1645" s="555">
        <v>79050</v>
      </c>
      <c r="C1645" s="555">
        <v>79100</v>
      </c>
      <c r="D1645" s="556">
        <f t="shared" si="129"/>
        <v>12311</v>
      </c>
      <c r="E1645" s="556">
        <f t="shared" si="130"/>
        <v>9012</v>
      </c>
      <c r="F1645" s="556">
        <f t="shared" si="131"/>
        <v>12311</v>
      </c>
      <c r="G1645" s="556">
        <f t="shared" si="132"/>
        <v>10572</v>
      </c>
    </row>
    <row r="1646" spans="1:7" ht="15.75">
      <c r="A1646" s="625">
        <f t="shared" si="133"/>
        <v>79125</v>
      </c>
      <c r="B1646" s="555">
        <v>79100</v>
      </c>
      <c r="C1646" s="555">
        <v>79150</v>
      </c>
      <c r="D1646" s="556">
        <f t="shared" si="129"/>
        <v>12322</v>
      </c>
      <c r="E1646" s="556">
        <f t="shared" si="130"/>
        <v>9018</v>
      </c>
      <c r="F1646" s="556">
        <f t="shared" si="131"/>
        <v>12322</v>
      </c>
      <c r="G1646" s="556">
        <f t="shared" si="132"/>
        <v>10583</v>
      </c>
    </row>
    <row r="1647" spans="1:7" ht="15.75">
      <c r="A1647" s="625">
        <f t="shared" si="133"/>
        <v>79175</v>
      </c>
      <c r="B1647" s="555">
        <v>79150</v>
      </c>
      <c r="C1647" s="555">
        <v>79200</v>
      </c>
      <c r="D1647" s="556">
        <f t="shared" si="129"/>
        <v>12333</v>
      </c>
      <c r="E1647" s="556">
        <f t="shared" si="130"/>
        <v>9024</v>
      </c>
      <c r="F1647" s="556">
        <f t="shared" si="131"/>
        <v>12333</v>
      </c>
      <c r="G1647" s="556">
        <f t="shared" si="132"/>
        <v>10594</v>
      </c>
    </row>
    <row r="1648" spans="1:7" ht="15.75">
      <c r="A1648" s="625">
        <f t="shared" si="133"/>
        <v>79225</v>
      </c>
      <c r="B1648" s="555">
        <v>79200</v>
      </c>
      <c r="C1648" s="555">
        <v>79250</v>
      </c>
      <c r="D1648" s="556">
        <f t="shared" si="129"/>
        <v>12344</v>
      </c>
      <c r="E1648" s="556">
        <f t="shared" si="130"/>
        <v>9030</v>
      </c>
      <c r="F1648" s="556">
        <f t="shared" si="131"/>
        <v>12344</v>
      </c>
      <c r="G1648" s="556">
        <f t="shared" si="132"/>
        <v>10605</v>
      </c>
    </row>
    <row r="1649" spans="1:7" ht="15.75">
      <c r="A1649" s="625">
        <f t="shared" si="133"/>
        <v>79275</v>
      </c>
      <c r="B1649" s="555">
        <v>79250</v>
      </c>
      <c r="C1649" s="555">
        <v>79300</v>
      </c>
      <c r="D1649" s="556">
        <f t="shared" si="129"/>
        <v>12355</v>
      </c>
      <c r="E1649" s="556">
        <f t="shared" si="130"/>
        <v>9036</v>
      </c>
      <c r="F1649" s="556">
        <f t="shared" si="131"/>
        <v>12355</v>
      </c>
      <c r="G1649" s="556">
        <f t="shared" si="132"/>
        <v>10616</v>
      </c>
    </row>
    <row r="1650" spans="1:7" ht="15.75">
      <c r="A1650" s="625">
        <f t="shared" si="133"/>
        <v>79325</v>
      </c>
      <c r="B1650" s="555">
        <v>79300</v>
      </c>
      <c r="C1650" s="555">
        <v>79350</v>
      </c>
      <c r="D1650" s="556">
        <f t="shared" si="129"/>
        <v>12366</v>
      </c>
      <c r="E1650" s="556">
        <f t="shared" si="130"/>
        <v>9042</v>
      </c>
      <c r="F1650" s="556">
        <f t="shared" si="131"/>
        <v>12366</v>
      </c>
      <c r="G1650" s="556">
        <f t="shared" si="132"/>
        <v>10627</v>
      </c>
    </row>
    <row r="1651" spans="1:7" ht="15.75">
      <c r="A1651" s="625">
        <f t="shared" si="133"/>
        <v>79375</v>
      </c>
      <c r="B1651" s="555">
        <v>79350</v>
      </c>
      <c r="C1651" s="555">
        <v>79400</v>
      </c>
      <c r="D1651" s="556">
        <f t="shared" si="129"/>
        <v>12377</v>
      </c>
      <c r="E1651" s="556">
        <f t="shared" si="130"/>
        <v>9048</v>
      </c>
      <c r="F1651" s="556">
        <f t="shared" si="131"/>
        <v>12377</v>
      </c>
      <c r="G1651" s="556">
        <f t="shared" si="132"/>
        <v>10638</v>
      </c>
    </row>
    <row r="1652" spans="1:7" ht="15.75">
      <c r="A1652" s="625">
        <f t="shared" si="133"/>
        <v>79425</v>
      </c>
      <c r="B1652" s="555">
        <v>79400</v>
      </c>
      <c r="C1652" s="555">
        <v>79450</v>
      </c>
      <c r="D1652" s="556">
        <f t="shared" si="129"/>
        <v>12388</v>
      </c>
      <c r="E1652" s="556">
        <f t="shared" si="130"/>
        <v>9054</v>
      </c>
      <c r="F1652" s="556">
        <f t="shared" si="131"/>
        <v>12388</v>
      </c>
      <c r="G1652" s="556">
        <f t="shared" si="132"/>
        <v>10649</v>
      </c>
    </row>
    <row r="1653" spans="1:7" ht="15.75">
      <c r="A1653" s="625">
        <f t="shared" si="133"/>
        <v>79475</v>
      </c>
      <c r="B1653" s="555">
        <v>79450</v>
      </c>
      <c r="C1653" s="555">
        <v>79500</v>
      </c>
      <c r="D1653" s="556">
        <f t="shared" si="129"/>
        <v>12399</v>
      </c>
      <c r="E1653" s="556">
        <f t="shared" si="130"/>
        <v>9060</v>
      </c>
      <c r="F1653" s="556">
        <f t="shared" si="131"/>
        <v>12399</v>
      </c>
      <c r="G1653" s="556">
        <f t="shared" si="132"/>
        <v>10660</v>
      </c>
    </row>
    <row r="1654" spans="1:7" ht="15.75">
      <c r="A1654" s="625">
        <f t="shared" si="133"/>
        <v>79525</v>
      </c>
      <c r="B1654" s="555">
        <v>79500</v>
      </c>
      <c r="C1654" s="555">
        <v>79550</v>
      </c>
      <c r="D1654" s="556">
        <f t="shared" si="129"/>
        <v>12410</v>
      </c>
      <c r="E1654" s="556">
        <f t="shared" si="130"/>
        <v>9066</v>
      </c>
      <c r="F1654" s="556">
        <f t="shared" si="131"/>
        <v>12410</v>
      </c>
      <c r="G1654" s="556">
        <f t="shared" si="132"/>
        <v>10671</v>
      </c>
    </row>
    <row r="1655" spans="1:7" ht="15.75">
      <c r="A1655" s="625">
        <f t="shared" si="133"/>
        <v>79575</v>
      </c>
      <c r="B1655" s="555">
        <v>79550</v>
      </c>
      <c r="C1655" s="555">
        <v>79600</v>
      </c>
      <c r="D1655" s="556">
        <f t="shared" si="129"/>
        <v>12421</v>
      </c>
      <c r="E1655" s="556">
        <f t="shared" si="130"/>
        <v>9072</v>
      </c>
      <c r="F1655" s="556">
        <f t="shared" si="131"/>
        <v>12421</v>
      </c>
      <c r="G1655" s="556">
        <f t="shared" si="132"/>
        <v>10682</v>
      </c>
    </row>
    <row r="1656" spans="1:7" ht="15.75">
      <c r="A1656" s="625">
        <f t="shared" si="133"/>
        <v>79625</v>
      </c>
      <c r="B1656" s="555">
        <v>79600</v>
      </c>
      <c r="C1656" s="555">
        <v>79650</v>
      </c>
      <c r="D1656" s="556">
        <f t="shared" si="129"/>
        <v>12432</v>
      </c>
      <c r="E1656" s="556">
        <f t="shared" si="130"/>
        <v>9078</v>
      </c>
      <c r="F1656" s="556">
        <f t="shared" si="131"/>
        <v>12432</v>
      </c>
      <c r="G1656" s="556">
        <f t="shared" si="132"/>
        <v>10693</v>
      </c>
    </row>
    <row r="1657" spans="1:7" ht="15.75">
      <c r="A1657" s="625">
        <f t="shared" si="133"/>
        <v>79675</v>
      </c>
      <c r="B1657" s="555">
        <v>79650</v>
      </c>
      <c r="C1657" s="555">
        <v>79700</v>
      </c>
      <c r="D1657" s="556">
        <f t="shared" si="129"/>
        <v>12443</v>
      </c>
      <c r="E1657" s="556">
        <f t="shared" si="130"/>
        <v>9084</v>
      </c>
      <c r="F1657" s="556">
        <f t="shared" si="131"/>
        <v>12443</v>
      </c>
      <c r="G1657" s="556">
        <f t="shared" si="132"/>
        <v>10704</v>
      </c>
    </row>
    <row r="1658" spans="1:7" ht="15.75">
      <c r="A1658" s="625">
        <f t="shared" si="133"/>
        <v>79725</v>
      </c>
      <c r="B1658" s="555">
        <v>79700</v>
      </c>
      <c r="C1658" s="555">
        <v>79750</v>
      </c>
      <c r="D1658" s="556">
        <f t="shared" si="129"/>
        <v>12454</v>
      </c>
      <c r="E1658" s="556">
        <f t="shared" si="130"/>
        <v>9090</v>
      </c>
      <c r="F1658" s="556">
        <f t="shared" si="131"/>
        <v>12454</v>
      </c>
      <c r="G1658" s="556">
        <f t="shared" si="132"/>
        <v>10715</v>
      </c>
    </row>
    <row r="1659" spans="1:7" ht="15.75">
      <c r="A1659" s="625">
        <f t="shared" si="133"/>
        <v>79775</v>
      </c>
      <c r="B1659" s="555">
        <v>79750</v>
      </c>
      <c r="C1659" s="555">
        <v>79800</v>
      </c>
      <c r="D1659" s="556">
        <f t="shared" si="129"/>
        <v>12465</v>
      </c>
      <c r="E1659" s="556">
        <f t="shared" si="130"/>
        <v>9096</v>
      </c>
      <c r="F1659" s="556">
        <f t="shared" si="131"/>
        <v>12465</v>
      </c>
      <c r="G1659" s="556">
        <f t="shared" si="132"/>
        <v>10726</v>
      </c>
    </row>
    <row r="1660" spans="1:7" ht="15.75">
      <c r="A1660" s="625">
        <f t="shared" si="133"/>
        <v>79825</v>
      </c>
      <c r="B1660" s="555">
        <v>79800</v>
      </c>
      <c r="C1660" s="555">
        <v>79850</v>
      </c>
      <c r="D1660" s="556">
        <f t="shared" si="129"/>
        <v>12476</v>
      </c>
      <c r="E1660" s="556">
        <f t="shared" si="130"/>
        <v>9102</v>
      </c>
      <c r="F1660" s="556">
        <f t="shared" si="131"/>
        <v>12476</v>
      </c>
      <c r="G1660" s="556">
        <f t="shared" si="132"/>
        <v>10737</v>
      </c>
    </row>
    <row r="1661" spans="1:7" ht="15.75">
      <c r="A1661" s="625">
        <f t="shared" si="133"/>
        <v>79875</v>
      </c>
      <c r="B1661" s="555">
        <v>79850</v>
      </c>
      <c r="C1661" s="555">
        <v>79900</v>
      </c>
      <c r="D1661" s="556">
        <f t="shared" si="129"/>
        <v>12487</v>
      </c>
      <c r="E1661" s="556">
        <f t="shared" si="130"/>
        <v>9108</v>
      </c>
      <c r="F1661" s="556">
        <f t="shared" si="131"/>
        <v>12487</v>
      </c>
      <c r="G1661" s="556">
        <f t="shared" si="132"/>
        <v>10748</v>
      </c>
    </row>
    <row r="1662" spans="1:7" ht="15.75">
      <c r="A1662" s="625">
        <f t="shared" si="133"/>
        <v>79925</v>
      </c>
      <c r="B1662" s="555">
        <v>79900</v>
      </c>
      <c r="C1662" s="555">
        <v>79950</v>
      </c>
      <c r="D1662" s="556">
        <f t="shared" si="129"/>
        <v>12498</v>
      </c>
      <c r="E1662" s="556">
        <f t="shared" si="130"/>
        <v>9114</v>
      </c>
      <c r="F1662" s="556">
        <f t="shared" si="131"/>
        <v>12498</v>
      </c>
      <c r="G1662" s="556">
        <f t="shared" si="132"/>
        <v>10759</v>
      </c>
    </row>
    <row r="1663" spans="1:7" ht="15.75">
      <c r="A1663" s="625">
        <f t="shared" si="133"/>
        <v>79975</v>
      </c>
      <c r="B1663" s="555">
        <v>79950</v>
      </c>
      <c r="C1663" s="555">
        <v>80000</v>
      </c>
      <c r="D1663" s="556">
        <f t="shared" si="129"/>
        <v>12509</v>
      </c>
      <c r="E1663" s="556">
        <f t="shared" si="130"/>
        <v>9120</v>
      </c>
      <c r="F1663" s="556">
        <f t="shared" si="131"/>
        <v>12509</v>
      </c>
      <c r="G1663" s="556">
        <f t="shared" si="132"/>
        <v>10770</v>
      </c>
    </row>
    <row r="1664" spans="1:7" ht="15.75">
      <c r="A1664" s="625">
        <f t="shared" si="133"/>
        <v>80025</v>
      </c>
      <c r="B1664" s="555">
        <v>80000</v>
      </c>
      <c r="C1664" s="555">
        <v>80050</v>
      </c>
      <c r="D1664" s="556">
        <f t="shared" si="129"/>
        <v>12520</v>
      </c>
      <c r="E1664" s="556">
        <f t="shared" si="130"/>
        <v>9126</v>
      </c>
      <c r="F1664" s="556">
        <f t="shared" si="131"/>
        <v>12520</v>
      </c>
      <c r="G1664" s="556">
        <f t="shared" si="132"/>
        <v>10781</v>
      </c>
    </row>
    <row r="1665" spans="1:7" ht="15.75">
      <c r="A1665" s="625">
        <f t="shared" si="133"/>
        <v>80075</v>
      </c>
      <c r="B1665" s="555">
        <v>80050</v>
      </c>
      <c r="C1665" s="555">
        <v>80100</v>
      </c>
      <c r="D1665" s="556">
        <f t="shared" si="129"/>
        <v>12531</v>
      </c>
      <c r="E1665" s="556">
        <f t="shared" si="130"/>
        <v>9132</v>
      </c>
      <c r="F1665" s="556">
        <f t="shared" si="131"/>
        <v>12531</v>
      </c>
      <c r="G1665" s="556">
        <f t="shared" si="132"/>
        <v>10792</v>
      </c>
    </row>
    <row r="1666" spans="1:7" ht="15.75">
      <c r="A1666" s="625">
        <f t="shared" si="133"/>
        <v>80125</v>
      </c>
      <c r="B1666" s="555">
        <v>80100</v>
      </c>
      <c r="C1666" s="555">
        <v>80150</v>
      </c>
      <c r="D1666" s="556">
        <f t="shared" ref="D1666:D1729" si="134">IF($A1666&gt;BOTT_A4,ROUND(BASE_A4+RATE_A4*($A1666-BOTT_A4),0),IF($A1666&gt;BOTT_A3,ROUND(BASE_A3+RATE_A3*($A1666-BOTT_A3),0),IF($A1666&gt;BOTT_A2,ROUND(BASE_A2+RATE_A2*($A1666-BOTT_A2),0),ROUND(RATE_A1*$A1666,0))))</f>
        <v>12542</v>
      </c>
      <c r="E1666" s="556">
        <f t="shared" ref="E1666:E1729" si="135">IF($A1666&gt;BOTT_B4,ROUND(BASE_B4+RATE_B4*($A1666-BOTT_B4),0),IF($A1666&gt;BOTT_B3,ROUND(BASE_B3+RATE_B3*($A1666-BOTT_B3),0),IF($A1666&gt;BOTT_B2,ROUND(BASE_B2+RATE_B2*($A1666-BOTT_B2),0),ROUND(RATE_B1*$A1666,0))))</f>
        <v>9138</v>
      </c>
      <c r="F1666" s="556">
        <f t="shared" ref="F1666:F1729" si="136">IF($A1666&gt;BOTT_C4,ROUND(BASE_C4+RATE_C4*($A1666-BOTT_C4),0),IF($A1666&gt;BOTT_C3,ROUND(BASE_C3+RATE_C3*($A1666-BOTT_C3),0),IF($A1666&gt;BOTT_C2,ROUND(BASE_C2+RATE_C2*($A1666-BOTT_C2),0),ROUND(RATE_C1*$A1666,0))))</f>
        <v>12542</v>
      </c>
      <c r="G1666" s="556">
        <f t="shared" ref="G1666:G1729" si="137">IF($A1666&gt;BOTT_D4,ROUND(BASE_D4+RATE_D4*($A1666-BOTT_D4),0),IF($A1666&gt;BOTT_D3,ROUND(BASE_D3+RATE_D3*($A1666-BOTT_D3),0),IF($A1666&gt;BOTT_D2,ROUND(BASE_D2+RATE_D2*($A1666-BOTT_D2),0),ROUND(RATE_D1*$A1666,0))))</f>
        <v>10803</v>
      </c>
    </row>
    <row r="1667" spans="1:7" ht="15.75">
      <c r="A1667" s="625">
        <f t="shared" ref="A1667:A1730" si="138">AVERAGE(B1667,C1667)</f>
        <v>80175</v>
      </c>
      <c r="B1667" s="555">
        <v>80150</v>
      </c>
      <c r="C1667" s="555">
        <v>80200</v>
      </c>
      <c r="D1667" s="556">
        <f t="shared" si="134"/>
        <v>12553</v>
      </c>
      <c r="E1667" s="556">
        <f t="shared" si="135"/>
        <v>9144</v>
      </c>
      <c r="F1667" s="556">
        <f t="shared" si="136"/>
        <v>12553</v>
      </c>
      <c r="G1667" s="556">
        <f t="shared" si="137"/>
        <v>10814</v>
      </c>
    </row>
    <row r="1668" spans="1:7" ht="15.75">
      <c r="A1668" s="625">
        <f t="shared" si="138"/>
        <v>80225</v>
      </c>
      <c r="B1668" s="555">
        <v>80200</v>
      </c>
      <c r="C1668" s="555">
        <v>80250</v>
      </c>
      <c r="D1668" s="556">
        <f t="shared" si="134"/>
        <v>12564</v>
      </c>
      <c r="E1668" s="556">
        <f t="shared" si="135"/>
        <v>9150</v>
      </c>
      <c r="F1668" s="556">
        <f t="shared" si="136"/>
        <v>12564</v>
      </c>
      <c r="G1668" s="556">
        <f t="shared" si="137"/>
        <v>10825</v>
      </c>
    </row>
    <row r="1669" spans="1:7" ht="15.75">
      <c r="A1669" s="625">
        <f t="shared" si="138"/>
        <v>80275</v>
      </c>
      <c r="B1669" s="555">
        <v>80250</v>
      </c>
      <c r="C1669" s="555">
        <v>80300</v>
      </c>
      <c r="D1669" s="556">
        <f t="shared" si="134"/>
        <v>12575</v>
      </c>
      <c r="E1669" s="556">
        <f t="shared" si="135"/>
        <v>9156</v>
      </c>
      <c r="F1669" s="556">
        <f t="shared" si="136"/>
        <v>12575</v>
      </c>
      <c r="G1669" s="556">
        <f t="shared" si="137"/>
        <v>10836</v>
      </c>
    </row>
    <row r="1670" spans="1:7" ht="15.75">
      <c r="A1670" s="625">
        <f t="shared" si="138"/>
        <v>80325</v>
      </c>
      <c r="B1670" s="555">
        <v>80300</v>
      </c>
      <c r="C1670" s="555">
        <v>80350</v>
      </c>
      <c r="D1670" s="556">
        <f t="shared" si="134"/>
        <v>12586</v>
      </c>
      <c r="E1670" s="556">
        <f t="shared" si="135"/>
        <v>9162</v>
      </c>
      <c r="F1670" s="556">
        <f t="shared" si="136"/>
        <v>12586</v>
      </c>
      <c r="G1670" s="556">
        <f t="shared" si="137"/>
        <v>10847</v>
      </c>
    </row>
    <row r="1671" spans="1:7" ht="15.75">
      <c r="A1671" s="625">
        <f t="shared" si="138"/>
        <v>80375</v>
      </c>
      <c r="B1671" s="555">
        <v>80350</v>
      </c>
      <c r="C1671" s="555">
        <v>80400</v>
      </c>
      <c r="D1671" s="556">
        <f t="shared" si="134"/>
        <v>12597</v>
      </c>
      <c r="E1671" s="556">
        <f t="shared" si="135"/>
        <v>9168</v>
      </c>
      <c r="F1671" s="556">
        <f t="shared" si="136"/>
        <v>12597</v>
      </c>
      <c r="G1671" s="556">
        <f t="shared" si="137"/>
        <v>10858</v>
      </c>
    </row>
    <row r="1672" spans="1:7" ht="15.75">
      <c r="A1672" s="625">
        <f t="shared" si="138"/>
        <v>80425</v>
      </c>
      <c r="B1672" s="555">
        <v>80400</v>
      </c>
      <c r="C1672" s="555">
        <v>80450</v>
      </c>
      <c r="D1672" s="556">
        <f t="shared" si="134"/>
        <v>12608</v>
      </c>
      <c r="E1672" s="556">
        <f t="shared" si="135"/>
        <v>9174</v>
      </c>
      <c r="F1672" s="556">
        <f t="shared" si="136"/>
        <v>12608</v>
      </c>
      <c r="G1672" s="556">
        <f t="shared" si="137"/>
        <v>10869</v>
      </c>
    </row>
    <row r="1673" spans="1:7" ht="15.75">
      <c r="A1673" s="625">
        <f t="shared" si="138"/>
        <v>80475</v>
      </c>
      <c r="B1673" s="555">
        <v>80450</v>
      </c>
      <c r="C1673" s="555">
        <v>80500</v>
      </c>
      <c r="D1673" s="556">
        <f t="shared" si="134"/>
        <v>12619</v>
      </c>
      <c r="E1673" s="556">
        <f t="shared" si="135"/>
        <v>9180</v>
      </c>
      <c r="F1673" s="556">
        <f t="shared" si="136"/>
        <v>12619</v>
      </c>
      <c r="G1673" s="556">
        <f t="shared" si="137"/>
        <v>10880</v>
      </c>
    </row>
    <row r="1674" spans="1:7" ht="15.75">
      <c r="A1674" s="625">
        <f t="shared" si="138"/>
        <v>80525</v>
      </c>
      <c r="B1674" s="555">
        <v>80500</v>
      </c>
      <c r="C1674" s="555">
        <v>80550</v>
      </c>
      <c r="D1674" s="556">
        <f t="shared" si="134"/>
        <v>12630</v>
      </c>
      <c r="E1674" s="556">
        <f t="shared" si="135"/>
        <v>9186</v>
      </c>
      <c r="F1674" s="556">
        <f t="shared" si="136"/>
        <v>12630</v>
      </c>
      <c r="G1674" s="556">
        <f t="shared" si="137"/>
        <v>10891</v>
      </c>
    </row>
    <row r="1675" spans="1:7" ht="15.75">
      <c r="A1675" s="625">
        <f t="shared" si="138"/>
        <v>80575</v>
      </c>
      <c r="B1675" s="555">
        <v>80550</v>
      </c>
      <c r="C1675" s="555">
        <v>80600</v>
      </c>
      <c r="D1675" s="556">
        <f t="shared" si="134"/>
        <v>12641</v>
      </c>
      <c r="E1675" s="556">
        <f t="shared" si="135"/>
        <v>9192</v>
      </c>
      <c r="F1675" s="556">
        <f t="shared" si="136"/>
        <v>12641</v>
      </c>
      <c r="G1675" s="556">
        <f t="shared" si="137"/>
        <v>10902</v>
      </c>
    </row>
    <row r="1676" spans="1:7" ht="15.75">
      <c r="A1676" s="625">
        <f t="shared" si="138"/>
        <v>80625</v>
      </c>
      <c r="B1676" s="555">
        <v>80600</v>
      </c>
      <c r="C1676" s="555">
        <v>80650</v>
      </c>
      <c r="D1676" s="556">
        <f t="shared" si="134"/>
        <v>12652</v>
      </c>
      <c r="E1676" s="556">
        <f t="shared" si="135"/>
        <v>9198</v>
      </c>
      <c r="F1676" s="556">
        <f t="shared" si="136"/>
        <v>12652</v>
      </c>
      <c r="G1676" s="556">
        <f t="shared" si="137"/>
        <v>10913</v>
      </c>
    </row>
    <row r="1677" spans="1:7" ht="15.75">
      <c r="A1677" s="625">
        <f t="shared" si="138"/>
        <v>80675</v>
      </c>
      <c r="B1677" s="555">
        <v>80650</v>
      </c>
      <c r="C1677" s="555">
        <v>80700</v>
      </c>
      <c r="D1677" s="556">
        <f t="shared" si="134"/>
        <v>12663</v>
      </c>
      <c r="E1677" s="556">
        <f t="shared" si="135"/>
        <v>9204</v>
      </c>
      <c r="F1677" s="556">
        <f t="shared" si="136"/>
        <v>12663</v>
      </c>
      <c r="G1677" s="556">
        <f t="shared" si="137"/>
        <v>10924</v>
      </c>
    </row>
    <row r="1678" spans="1:7" ht="15.75">
      <c r="A1678" s="625">
        <f t="shared" si="138"/>
        <v>80725</v>
      </c>
      <c r="B1678" s="555">
        <v>80700</v>
      </c>
      <c r="C1678" s="555">
        <v>80750</v>
      </c>
      <c r="D1678" s="556">
        <f t="shared" si="134"/>
        <v>12674</v>
      </c>
      <c r="E1678" s="556">
        <f t="shared" si="135"/>
        <v>9210</v>
      </c>
      <c r="F1678" s="556">
        <f t="shared" si="136"/>
        <v>12674</v>
      </c>
      <c r="G1678" s="556">
        <f t="shared" si="137"/>
        <v>10935</v>
      </c>
    </row>
    <row r="1679" spans="1:7" ht="15.75">
      <c r="A1679" s="625">
        <f t="shared" si="138"/>
        <v>80775</v>
      </c>
      <c r="B1679" s="555">
        <v>80750</v>
      </c>
      <c r="C1679" s="555">
        <v>80800</v>
      </c>
      <c r="D1679" s="556">
        <f t="shared" si="134"/>
        <v>12685</v>
      </c>
      <c r="E1679" s="556">
        <f t="shared" si="135"/>
        <v>9216</v>
      </c>
      <c r="F1679" s="556">
        <f t="shared" si="136"/>
        <v>12685</v>
      </c>
      <c r="G1679" s="556">
        <f t="shared" si="137"/>
        <v>10946</v>
      </c>
    </row>
    <row r="1680" spans="1:7" ht="15.75">
      <c r="A1680" s="625">
        <f t="shared" si="138"/>
        <v>80825</v>
      </c>
      <c r="B1680" s="555">
        <v>80800</v>
      </c>
      <c r="C1680" s="555">
        <v>80850</v>
      </c>
      <c r="D1680" s="556">
        <f t="shared" si="134"/>
        <v>12696</v>
      </c>
      <c r="E1680" s="556">
        <f t="shared" si="135"/>
        <v>9222</v>
      </c>
      <c r="F1680" s="556">
        <f t="shared" si="136"/>
        <v>12696</v>
      </c>
      <c r="G1680" s="556">
        <f t="shared" si="137"/>
        <v>10957</v>
      </c>
    </row>
    <row r="1681" spans="1:7" ht="15.75">
      <c r="A1681" s="625">
        <f t="shared" si="138"/>
        <v>80875</v>
      </c>
      <c r="B1681" s="555">
        <v>80850</v>
      </c>
      <c r="C1681" s="555">
        <v>80900</v>
      </c>
      <c r="D1681" s="556">
        <f t="shared" si="134"/>
        <v>12707</v>
      </c>
      <c r="E1681" s="556">
        <f t="shared" si="135"/>
        <v>9228</v>
      </c>
      <c r="F1681" s="556">
        <f t="shared" si="136"/>
        <v>12707</v>
      </c>
      <c r="G1681" s="556">
        <f t="shared" si="137"/>
        <v>10968</v>
      </c>
    </row>
    <row r="1682" spans="1:7" ht="15.75">
      <c r="A1682" s="625">
        <f t="shared" si="138"/>
        <v>80925</v>
      </c>
      <c r="B1682" s="555">
        <v>80900</v>
      </c>
      <c r="C1682" s="555">
        <v>80950</v>
      </c>
      <c r="D1682" s="556">
        <f t="shared" si="134"/>
        <v>12718</v>
      </c>
      <c r="E1682" s="556">
        <f t="shared" si="135"/>
        <v>9234</v>
      </c>
      <c r="F1682" s="556">
        <f t="shared" si="136"/>
        <v>12718</v>
      </c>
      <c r="G1682" s="556">
        <f t="shared" si="137"/>
        <v>10979</v>
      </c>
    </row>
    <row r="1683" spans="1:7" ht="15.75">
      <c r="A1683" s="625">
        <f t="shared" si="138"/>
        <v>80975</v>
      </c>
      <c r="B1683" s="555">
        <v>80950</v>
      </c>
      <c r="C1683" s="555">
        <v>81000</v>
      </c>
      <c r="D1683" s="556">
        <f t="shared" si="134"/>
        <v>12729</v>
      </c>
      <c r="E1683" s="556">
        <f t="shared" si="135"/>
        <v>9240</v>
      </c>
      <c r="F1683" s="556">
        <f t="shared" si="136"/>
        <v>12729</v>
      </c>
      <c r="G1683" s="556">
        <f t="shared" si="137"/>
        <v>10990</v>
      </c>
    </row>
    <row r="1684" spans="1:7" ht="15.75">
      <c r="A1684" s="625">
        <f t="shared" si="138"/>
        <v>81025</v>
      </c>
      <c r="B1684" s="555">
        <v>81000</v>
      </c>
      <c r="C1684" s="555">
        <v>81050</v>
      </c>
      <c r="D1684" s="556">
        <f t="shared" si="134"/>
        <v>12740</v>
      </c>
      <c r="E1684" s="556">
        <f t="shared" si="135"/>
        <v>9246</v>
      </c>
      <c r="F1684" s="556">
        <f t="shared" si="136"/>
        <v>12740</v>
      </c>
      <c r="G1684" s="556">
        <f t="shared" si="137"/>
        <v>11001</v>
      </c>
    </row>
    <row r="1685" spans="1:7" ht="15.75">
      <c r="A1685" s="625">
        <f t="shared" si="138"/>
        <v>81075</v>
      </c>
      <c r="B1685" s="555">
        <v>81050</v>
      </c>
      <c r="C1685" s="555">
        <v>81100</v>
      </c>
      <c r="D1685" s="556">
        <f t="shared" si="134"/>
        <v>12751</v>
      </c>
      <c r="E1685" s="556">
        <f t="shared" si="135"/>
        <v>9252</v>
      </c>
      <c r="F1685" s="556">
        <f t="shared" si="136"/>
        <v>12751</v>
      </c>
      <c r="G1685" s="556">
        <f t="shared" si="137"/>
        <v>11012</v>
      </c>
    </row>
    <row r="1686" spans="1:7" ht="15.75">
      <c r="A1686" s="625">
        <f t="shared" si="138"/>
        <v>81125</v>
      </c>
      <c r="B1686" s="555">
        <v>81100</v>
      </c>
      <c r="C1686" s="555">
        <v>81150</v>
      </c>
      <c r="D1686" s="556">
        <f t="shared" si="134"/>
        <v>12762</v>
      </c>
      <c r="E1686" s="556">
        <f t="shared" si="135"/>
        <v>9258</v>
      </c>
      <c r="F1686" s="556">
        <f t="shared" si="136"/>
        <v>12762</v>
      </c>
      <c r="G1686" s="556">
        <f t="shared" si="137"/>
        <v>11023</v>
      </c>
    </row>
    <row r="1687" spans="1:7" ht="15.75">
      <c r="A1687" s="625">
        <f t="shared" si="138"/>
        <v>81175</v>
      </c>
      <c r="B1687" s="555">
        <v>81150</v>
      </c>
      <c r="C1687" s="555">
        <v>81200</v>
      </c>
      <c r="D1687" s="556">
        <f t="shared" si="134"/>
        <v>12773</v>
      </c>
      <c r="E1687" s="556">
        <f t="shared" si="135"/>
        <v>9264</v>
      </c>
      <c r="F1687" s="556">
        <f t="shared" si="136"/>
        <v>12773</v>
      </c>
      <c r="G1687" s="556">
        <f t="shared" si="137"/>
        <v>11034</v>
      </c>
    </row>
    <row r="1688" spans="1:7" ht="15.75">
      <c r="A1688" s="625">
        <f t="shared" si="138"/>
        <v>81225</v>
      </c>
      <c r="B1688" s="555">
        <v>81200</v>
      </c>
      <c r="C1688" s="555">
        <v>81250</v>
      </c>
      <c r="D1688" s="556">
        <f t="shared" si="134"/>
        <v>12784</v>
      </c>
      <c r="E1688" s="556">
        <f t="shared" si="135"/>
        <v>9270</v>
      </c>
      <c r="F1688" s="556">
        <f t="shared" si="136"/>
        <v>12784</v>
      </c>
      <c r="G1688" s="556">
        <f t="shared" si="137"/>
        <v>11045</v>
      </c>
    </row>
    <row r="1689" spans="1:7" ht="15.75">
      <c r="A1689" s="625">
        <f t="shared" si="138"/>
        <v>81275</v>
      </c>
      <c r="B1689" s="555">
        <v>81250</v>
      </c>
      <c r="C1689" s="555">
        <v>81300</v>
      </c>
      <c r="D1689" s="556">
        <f t="shared" si="134"/>
        <v>12795</v>
      </c>
      <c r="E1689" s="556">
        <f t="shared" si="135"/>
        <v>9276</v>
      </c>
      <c r="F1689" s="556">
        <f t="shared" si="136"/>
        <v>12795</v>
      </c>
      <c r="G1689" s="556">
        <f t="shared" si="137"/>
        <v>11056</v>
      </c>
    </row>
    <row r="1690" spans="1:7" ht="15.75">
      <c r="A1690" s="625">
        <f t="shared" si="138"/>
        <v>81325</v>
      </c>
      <c r="B1690" s="555">
        <v>81300</v>
      </c>
      <c r="C1690" s="555">
        <v>81350</v>
      </c>
      <c r="D1690" s="556">
        <f t="shared" si="134"/>
        <v>12806</v>
      </c>
      <c r="E1690" s="556">
        <f t="shared" si="135"/>
        <v>9282</v>
      </c>
      <c r="F1690" s="556">
        <f t="shared" si="136"/>
        <v>12806</v>
      </c>
      <c r="G1690" s="556">
        <f t="shared" si="137"/>
        <v>11067</v>
      </c>
    </row>
    <row r="1691" spans="1:7" ht="15.75">
      <c r="A1691" s="625">
        <f t="shared" si="138"/>
        <v>81375</v>
      </c>
      <c r="B1691" s="555">
        <v>81350</v>
      </c>
      <c r="C1691" s="555">
        <v>81400</v>
      </c>
      <c r="D1691" s="556">
        <f t="shared" si="134"/>
        <v>12817</v>
      </c>
      <c r="E1691" s="556">
        <f t="shared" si="135"/>
        <v>9288</v>
      </c>
      <c r="F1691" s="556">
        <f t="shared" si="136"/>
        <v>12817</v>
      </c>
      <c r="G1691" s="556">
        <f t="shared" si="137"/>
        <v>11078</v>
      </c>
    </row>
    <row r="1692" spans="1:7" ht="15.75">
      <c r="A1692" s="625">
        <f t="shared" si="138"/>
        <v>81425</v>
      </c>
      <c r="B1692" s="555">
        <v>81400</v>
      </c>
      <c r="C1692" s="555">
        <v>81450</v>
      </c>
      <c r="D1692" s="556">
        <f t="shared" si="134"/>
        <v>12828</v>
      </c>
      <c r="E1692" s="556">
        <f t="shared" si="135"/>
        <v>9294</v>
      </c>
      <c r="F1692" s="556">
        <f t="shared" si="136"/>
        <v>12828</v>
      </c>
      <c r="G1692" s="556">
        <f t="shared" si="137"/>
        <v>11089</v>
      </c>
    </row>
    <row r="1693" spans="1:7" ht="15.75">
      <c r="A1693" s="625">
        <f t="shared" si="138"/>
        <v>81475</v>
      </c>
      <c r="B1693" s="555">
        <v>81450</v>
      </c>
      <c r="C1693" s="555">
        <v>81500</v>
      </c>
      <c r="D1693" s="556">
        <f t="shared" si="134"/>
        <v>12839</v>
      </c>
      <c r="E1693" s="556">
        <f t="shared" si="135"/>
        <v>9300</v>
      </c>
      <c r="F1693" s="556">
        <f t="shared" si="136"/>
        <v>12839</v>
      </c>
      <c r="G1693" s="556">
        <f t="shared" si="137"/>
        <v>11100</v>
      </c>
    </row>
    <row r="1694" spans="1:7" ht="15.75">
      <c r="A1694" s="625">
        <f t="shared" si="138"/>
        <v>81525</v>
      </c>
      <c r="B1694" s="555">
        <v>81500</v>
      </c>
      <c r="C1694" s="555">
        <v>81550</v>
      </c>
      <c r="D1694" s="556">
        <f t="shared" si="134"/>
        <v>12850</v>
      </c>
      <c r="E1694" s="556">
        <f t="shared" si="135"/>
        <v>9306</v>
      </c>
      <c r="F1694" s="556">
        <f t="shared" si="136"/>
        <v>12850</v>
      </c>
      <c r="G1694" s="556">
        <f t="shared" si="137"/>
        <v>11111</v>
      </c>
    </row>
    <row r="1695" spans="1:7" ht="15.75">
      <c r="A1695" s="625">
        <f t="shared" si="138"/>
        <v>81575</v>
      </c>
      <c r="B1695" s="555">
        <v>81550</v>
      </c>
      <c r="C1695" s="555">
        <v>81600</v>
      </c>
      <c r="D1695" s="556">
        <f t="shared" si="134"/>
        <v>12861</v>
      </c>
      <c r="E1695" s="556">
        <f t="shared" si="135"/>
        <v>9312</v>
      </c>
      <c r="F1695" s="556">
        <f t="shared" si="136"/>
        <v>12861</v>
      </c>
      <c r="G1695" s="556">
        <f t="shared" si="137"/>
        <v>11122</v>
      </c>
    </row>
    <row r="1696" spans="1:7" ht="15.75">
      <c r="A1696" s="625">
        <f t="shared" si="138"/>
        <v>81625</v>
      </c>
      <c r="B1696" s="555">
        <v>81600</v>
      </c>
      <c r="C1696" s="555">
        <v>81650</v>
      </c>
      <c r="D1696" s="556">
        <f t="shared" si="134"/>
        <v>12872</v>
      </c>
      <c r="E1696" s="556">
        <f t="shared" si="135"/>
        <v>9318</v>
      </c>
      <c r="F1696" s="556">
        <f t="shared" si="136"/>
        <v>12872</v>
      </c>
      <c r="G1696" s="556">
        <f t="shared" si="137"/>
        <v>11133</v>
      </c>
    </row>
    <row r="1697" spans="1:7" ht="15.75">
      <c r="A1697" s="625">
        <f t="shared" si="138"/>
        <v>81675</v>
      </c>
      <c r="B1697" s="555">
        <v>81650</v>
      </c>
      <c r="C1697" s="555">
        <v>81700</v>
      </c>
      <c r="D1697" s="556">
        <f t="shared" si="134"/>
        <v>12883</v>
      </c>
      <c r="E1697" s="556">
        <f t="shared" si="135"/>
        <v>9324</v>
      </c>
      <c r="F1697" s="556">
        <f t="shared" si="136"/>
        <v>12883</v>
      </c>
      <c r="G1697" s="556">
        <f t="shared" si="137"/>
        <v>11144</v>
      </c>
    </row>
    <row r="1698" spans="1:7" ht="15.75">
      <c r="A1698" s="625">
        <f t="shared" si="138"/>
        <v>81725</v>
      </c>
      <c r="B1698" s="555">
        <v>81700</v>
      </c>
      <c r="C1698" s="555">
        <v>81750</v>
      </c>
      <c r="D1698" s="556">
        <f t="shared" si="134"/>
        <v>12894</v>
      </c>
      <c r="E1698" s="556">
        <f t="shared" si="135"/>
        <v>9330</v>
      </c>
      <c r="F1698" s="556">
        <f t="shared" si="136"/>
        <v>12894</v>
      </c>
      <c r="G1698" s="556">
        <f t="shared" si="137"/>
        <v>11155</v>
      </c>
    </row>
    <row r="1699" spans="1:7" ht="15.75">
      <c r="A1699" s="625">
        <f t="shared" si="138"/>
        <v>81775</v>
      </c>
      <c r="B1699" s="555">
        <v>81750</v>
      </c>
      <c r="C1699" s="555">
        <v>81800</v>
      </c>
      <c r="D1699" s="556">
        <f t="shared" si="134"/>
        <v>12905</v>
      </c>
      <c r="E1699" s="556">
        <f t="shared" si="135"/>
        <v>9336</v>
      </c>
      <c r="F1699" s="556">
        <f t="shared" si="136"/>
        <v>12905</v>
      </c>
      <c r="G1699" s="556">
        <f t="shared" si="137"/>
        <v>11166</v>
      </c>
    </row>
    <row r="1700" spans="1:7" ht="15.75">
      <c r="A1700" s="625">
        <f t="shared" si="138"/>
        <v>81825</v>
      </c>
      <c r="B1700" s="555">
        <v>81800</v>
      </c>
      <c r="C1700" s="555">
        <v>81850</v>
      </c>
      <c r="D1700" s="556">
        <f t="shared" si="134"/>
        <v>12916</v>
      </c>
      <c r="E1700" s="556">
        <f t="shared" si="135"/>
        <v>9342</v>
      </c>
      <c r="F1700" s="556">
        <f t="shared" si="136"/>
        <v>12916</v>
      </c>
      <c r="G1700" s="556">
        <f t="shared" si="137"/>
        <v>11177</v>
      </c>
    </row>
    <row r="1701" spans="1:7" ht="15.75">
      <c r="A1701" s="625">
        <f t="shared" si="138"/>
        <v>81875</v>
      </c>
      <c r="B1701" s="555">
        <v>81850</v>
      </c>
      <c r="C1701" s="555">
        <v>81900</v>
      </c>
      <c r="D1701" s="556">
        <f t="shared" si="134"/>
        <v>12927</v>
      </c>
      <c r="E1701" s="556">
        <f t="shared" si="135"/>
        <v>9348</v>
      </c>
      <c r="F1701" s="556">
        <f t="shared" si="136"/>
        <v>12927</v>
      </c>
      <c r="G1701" s="556">
        <f t="shared" si="137"/>
        <v>11188</v>
      </c>
    </row>
    <row r="1702" spans="1:7" ht="15.75">
      <c r="A1702" s="625">
        <f t="shared" si="138"/>
        <v>81925</v>
      </c>
      <c r="B1702" s="555">
        <v>81900</v>
      </c>
      <c r="C1702" s="555">
        <v>81950</v>
      </c>
      <c r="D1702" s="556">
        <f t="shared" si="134"/>
        <v>12938</v>
      </c>
      <c r="E1702" s="556">
        <f t="shared" si="135"/>
        <v>9354</v>
      </c>
      <c r="F1702" s="556">
        <f t="shared" si="136"/>
        <v>12938</v>
      </c>
      <c r="G1702" s="556">
        <f t="shared" si="137"/>
        <v>11199</v>
      </c>
    </row>
    <row r="1703" spans="1:7" ht="15.75">
      <c r="A1703" s="625">
        <f t="shared" si="138"/>
        <v>81975</v>
      </c>
      <c r="B1703" s="555">
        <v>81950</v>
      </c>
      <c r="C1703" s="555">
        <v>82000</v>
      </c>
      <c r="D1703" s="556">
        <f t="shared" si="134"/>
        <v>12949</v>
      </c>
      <c r="E1703" s="556">
        <f t="shared" si="135"/>
        <v>9360</v>
      </c>
      <c r="F1703" s="556">
        <f t="shared" si="136"/>
        <v>12949</v>
      </c>
      <c r="G1703" s="556">
        <f t="shared" si="137"/>
        <v>11210</v>
      </c>
    </row>
    <row r="1704" spans="1:7" ht="15.75">
      <c r="A1704" s="625">
        <f t="shared" si="138"/>
        <v>82025</v>
      </c>
      <c r="B1704" s="555">
        <v>82000</v>
      </c>
      <c r="C1704" s="555">
        <v>82050</v>
      </c>
      <c r="D1704" s="556">
        <f t="shared" si="134"/>
        <v>12960</v>
      </c>
      <c r="E1704" s="556">
        <f t="shared" si="135"/>
        <v>9366</v>
      </c>
      <c r="F1704" s="556">
        <f t="shared" si="136"/>
        <v>12960</v>
      </c>
      <c r="G1704" s="556">
        <f t="shared" si="137"/>
        <v>11221</v>
      </c>
    </row>
    <row r="1705" spans="1:7" ht="15.75">
      <c r="A1705" s="625">
        <f t="shared" si="138"/>
        <v>82075</v>
      </c>
      <c r="B1705" s="555">
        <v>82050</v>
      </c>
      <c r="C1705" s="555">
        <v>82100</v>
      </c>
      <c r="D1705" s="556">
        <f t="shared" si="134"/>
        <v>12971</v>
      </c>
      <c r="E1705" s="556">
        <f t="shared" si="135"/>
        <v>9372</v>
      </c>
      <c r="F1705" s="556">
        <f t="shared" si="136"/>
        <v>12971</v>
      </c>
      <c r="G1705" s="556">
        <f t="shared" si="137"/>
        <v>11232</v>
      </c>
    </row>
    <row r="1706" spans="1:7" ht="15.75">
      <c r="A1706" s="625">
        <f t="shared" si="138"/>
        <v>82125</v>
      </c>
      <c r="B1706" s="555">
        <v>82100</v>
      </c>
      <c r="C1706" s="555">
        <v>82150</v>
      </c>
      <c r="D1706" s="556">
        <f t="shared" si="134"/>
        <v>12982</v>
      </c>
      <c r="E1706" s="556">
        <f t="shared" si="135"/>
        <v>9378</v>
      </c>
      <c r="F1706" s="556">
        <f t="shared" si="136"/>
        <v>12982</v>
      </c>
      <c r="G1706" s="556">
        <f t="shared" si="137"/>
        <v>11243</v>
      </c>
    </row>
    <row r="1707" spans="1:7" ht="15.75">
      <c r="A1707" s="625">
        <f t="shared" si="138"/>
        <v>82175</v>
      </c>
      <c r="B1707" s="555">
        <v>82150</v>
      </c>
      <c r="C1707" s="555">
        <v>82200</v>
      </c>
      <c r="D1707" s="556">
        <f t="shared" si="134"/>
        <v>12993</v>
      </c>
      <c r="E1707" s="556">
        <f t="shared" si="135"/>
        <v>9384</v>
      </c>
      <c r="F1707" s="556">
        <f t="shared" si="136"/>
        <v>12993</v>
      </c>
      <c r="G1707" s="556">
        <f t="shared" si="137"/>
        <v>11254</v>
      </c>
    </row>
    <row r="1708" spans="1:7" ht="15.75">
      <c r="A1708" s="625">
        <f t="shared" si="138"/>
        <v>82225</v>
      </c>
      <c r="B1708" s="555">
        <v>82200</v>
      </c>
      <c r="C1708" s="555">
        <v>82250</v>
      </c>
      <c r="D1708" s="556">
        <f t="shared" si="134"/>
        <v>13004</v>
      </c>
      <c r="E1708" s="556">
        <f t="shared" si="135"/>
        <v>9390</v>
      </c>
      <c r="F1708" s="556">
        <f t="shared" si="136"/>
        <v>13004</v>
      </c>
      <c r="G1708" s="556">
        <f t="shared" si="137"/>
        <v>11265</v>
      </c>
    </row>
    <row r="1709" spans="1:7" ht="15.75">
      <c r="A1709" s="625">
        <f t="shared" si="138"/>
        <v>82275</v>
      </c>
      <c r="B1709" s="555">
        <v>82250</v>
      </c>
      <c r="C1709" s="555">
        <v>82300</v>
      </c>
      <c r="D1709" s="556">
        <f t="shared" si="134"/>
        <v>13015</v>
      </c>
      <c r="E1709" s="556">
        <f t="shared" si="135"/>
        <v>9396</v>
      </c>
      <c r="F1709" s="556">
        <f t="shared" si="136"/>
        <v>13015</v>
      </c>
      <c r="G1709" s="556">
        <f t="shared" si="137"/>
        <v>11276</v>
      </c>
    </row>
    <row r="1710" spans="1:7" ht="15.75">
      <c r="A1710" s="625">
        <f t="shared" si="138"/>
        <v>82325</v>
      </c>
      <c r="B1710" s="555">
        <v>82300</v>
      </c>
      <c r="C1710" s="555">
        <v>82350</v>
      </c>
      <c r="D1710" s="556">
        <f t="shared" si="134"/>
        <v>13026</v>
      </c>
      <c r="E1710" s="556">
        <f t="shared" si="135"/>
        <v>9402</v>
      </c>
      <c r="F1710" s="556">
        <f t="shared" si="136"/>
        <v>13026</v>
      </c>
      <c r="G1710" s="556">
        <f t="shared" si="137"/>
        <v>11287</v>
      </c>
    </row>
    <row r="1711" spans="1:7" ht="15.75">
      <c r="A1711" s="625">
        <f t="shared" si="138"/>
        <v>82375</v>
      </c>
      <c r="B1711" s="555">
        <v>82350</v>
      </c>
      <c r="C1711" s="555">
        <v>82400</v>
      </c>
      <c r="D1711" s="556">
        <f t="shared" si="134"/>
        <v>13037</v>
      </c>
      <c r="E1711" s="556">
        <f t="shared" si="135"/>
        <v>9408</v>
      </c>
      <c r="F1711" s="556">
        <f t="shared" si="136"/>
        <v>13037</v>
      </c>
      <c r="G1711" s="556">
        <f t="shared" si="137"/>
        <v>11298</v>
      </c>
    </row>
    <row r="1712" spans="1:7" ht="15.75">
      <c r="A1712" s="625">
        <f t="shared" si="138"/>
        <v>82425</v>
      </c>
      <c r="B1712" s="555">
        <v>82400</v>
      </c>
      <c r="C1712" s="555">
        <v>82450</v>
      </c>
      <c r="D1712" s="556">
        <f t="shared" si="134"/>
        <v>13048</v>
      </c>
      <c r="E1712" s="556">
        <f t="shared" si="135"/>
        <v>9414</v>
      </c>
      <c r="F1712" s="556">
        <f t="shared" si="136"/>
        <v>13048</v>
      </c>
      <c r="G1712" s="556">
        <f t="shared" si="137"/>
        <v>11309</v>
      </c>
    </row>
    <row r="1713" spans="1:7" ht="15.75">
      <c r="A1713" s="625">
        <f t="shared" si="138"/>
        <v>82475</v>
      </c>
      <c r="B1713" s="555">
        <v>82450</v>
      </c>
      <c r="C1713" s="555">
        <v>82500</v>
      </c>
      <c r="D1713" s="556">
        <f t="shared" si="134"/>
        <v>13059</v>
      </c>
      <c r="E1713" s="556">
        <f t="shared" si="135"/>
        <v>9420</v>
      </c>
      <c r="F1713" s="556">
        <f t="shared" si="136"/>
        <v>13059</v>
      </c>
      <c r="G1713" s="556">
        <f t="shared" si="137"/>
        <v>11320</v>
      </c>
    </row>
    <row r="1714" spans="1:7" ht="15.75">
      <c r="A1714" s="625">
        <f t="shared" si="138"/>
        <v>82525</v>
      </c>
      <c r="B1714" s="555">
        <v>82500</v>
      </c>
      <c r="C1714" s="555">
        <v>82550</v>
      </c>
      <c r="D1714" s="556">
        <f t="shared" si="134"/>
        <v>13070</v>
      </c>
      <c r="E1714" s="556">
        <f t="shared" si="135"/>
        <v>9426</v>
      </c>
      <c r="F1714" s="556">
        <f t="shared" si="136"/>
        <v>13070</v>
      </c>
      <c r="G1714" s="556">
        <f t="shared" si="137"/>
        <v>11331</v>
      </c>
    </row>
    <row r="1715" spans="1:7" ht="15.75">
      <c r="A1715" s="625">
        <f t="shared" si="138"/>
        <v>82575</v>
      </c>
      <c r="B1715" s="555">
        <v>82550</v>
      </c>
      <c r="C1715" s="555">
        <v>82600</v>
      </c>
      <c r="D1715" s="556">
        <f t="shared" si="134"/>
        <v>13081</v>
      </c>
      <c r="E1715" s="556">
        <f t="shared" si="135"/>
        <v>9432</v>
      </c>
      <c r="F1715" s="556">
        <f t="shared" si="136"/>
        <v>13081</v>
      </c>
      <c r="G1715" s="556">
        <f t="shared" si="137"/>
        <v>11342</v>
      </c>
    </row>
    <row r="1716" spans="1:7" ht="15.75">
      <c r="A1716" s="625">
        <f t="shared" si="138"/>
        <v>82625</v>
      </c>
      <c r="B1716" s="555">
        <v>82600</v>
      </c>
      <c r="C1716" s="555">
        <v>82650</v>
      </c>
      <c r="D1716" s="556">
        <f t="shared" si="134"/>
        <v>13092</v>
      </c>
      <c r="E1716" s="556">
        <f t="shared" si="135"/>
        <v>9438</v>
      </c>
      <c r="F1716" s="556">
        <f t="shared" si="136"/>
        <v>13092</v>
      </c>
      <c r="G1716" s="556">
        <f t="shared" si="137"/>
        <v>11353</v>
      </c>
    </row>
    <row r="1717" spans="1:7" ht="15.75">
      <c r="A1717" s="625">
        <f t="shared" si="138"/>
        <v>82675</v>
      </c>
      <c r="B1717" s="555">
        <v>82650</v>
      </c>
      <c r="C1717" s="555">
        <v>82700</v>
      </c>
      <c r="D1717" s="556">
        <f t="shared" si="134"/>
        <v>13103</v>
      </c>
      <c r="E1717" s="556">
        <f t="shared" si="135"/>
        <v>9444</v>
      </c>
      <c r="F1717" s="556">
        <f t="shared" si="136"/>
        <v>13103</v>
      </c>
      <c r="G1717" s="556">
        <f t="shared" si="137"/>
        <v>11364</v>
      </c>
    </row>
    <row r="1718" spans="1:7" ht="15.75">
      <c r="A1718" s="625">
        <f t="shared" si="138"/>
        <v>82725</v>
      </c>
      <c r="B1718" s="555">
        <v>82700</v>
      </c>
      <c r="C1718" s="555">
        <v>82750</v>
      </c>
      <c r="D1718" s="556">
        <f t="shared" si="134"/>
        <v>13114</v>
      </c>
      <c r="E1718" s="556">
        <f t="shared" si="135"/>
        <v>9450</v>
      </c>
      <c r="F1718" s="556">
        <f t="shared" si="136"/>
        <v>13114</v>
      </c>
      <c r="G1718" s="556">
        <f t="shared" si="137"/>
        <v>11375</v>
      </c>
    </row>
    <row r="1719" spans="1:7" ht="15.75">
      <c r="A1719" s="625">
        <f t="shared" si="138"/>
        <v>82775</v>
      </c>
      <c r="B1719" s="555">
        <v>82750</v>
      </c>
      <c r="C1719" s="555">
        <v>82800</v>
      </c>
      <c r="D1719" s="556">
        <f t="shared" si="134"/>
        <v>13125</v>
      </c>
      <c r="E1719" s="556">
        <f t="shared" si="135"/>
        <v>9456</v>
      </c>
      <c r="F1719" s="556">
        <f t="shared" si="136"/>
        <v>13125</v>
      </c>
      <c r="G1719" s="556">
        <f t="shared" si="137"/>
        <v>11386</v>
      </c>
    </row>
    <row r="1720" spans="1:7" ht="15.75">
      <c r="A1720" s="625">
        <f t="shared" si="138"/>
        <v>82825</v>
      </c>
      <c r="B1720" s="555">
        <v>82800</v>
      </c>
      <c r="C1720" s="555">
        <v>82850</v>
      </c>
      <c r="D1720" s="556">
        <f t="shared" si="134"/>
        <v>13136</v>
      </c>
      <c r="E1720" s="556">
        <f t="shared" si="135"/>
        <v>9462</v>
      </c>
      <c r="F1720" s="556">
        <f t="shared" si="136"/>
        <v>13136</v>
      </c>
      <c r="G1720" s="556">
        <f t="shared" si="137"/>
        <v>11397</v>
      </c>
    </row>
    <row r="1721" spans="1:7" ht="15.75">
      <c r="A1721" s="625">
        <f t="shared" si="138"/>
        <v>82875</v>
      </c>
      <c r="B1721" s="555">
        <v>82850</v>
      </c>
      <c r="C1721" s="555">
        <v>82900</v>
      </c>
      <c r="D1721" s="556">
        <f t="shared" si="134"/>
        <v>13147</v>
      </c>
      <c r="E1721" s="556">
        <f t="shared" si="135"/>
        <v>9468</v>
      </c>
      <c r="F1721" s="556">
        <f t="shared" si="136"/>
        <v>13147</v>
      </c>
      <c r="G1721" s="556">
        <f t="shared" si="137"/>
        <v>11408</v>
      </c>
    </row>
    <row r="1722" spans="1:7" ht="15.75">
      <c r="A1722" s="625">
        <f t="shared" si="138"/>
        <v>82925</v>
      </c>
      <c r="B1722" s="555">
        <v>82900</v>
      </c>
      <c r="C1722" s="555">
        <v>82950</v>
      </c>
      <c r="D1722" s="556">
        <f t="shared" si="134"/>
        <v>13158</v>
      </c>
      <c r="E1722" s="556">
        <f t="shared" si="135"/>
        <v>9474</v>
      </c>
      <c r="F1722" s="556">
        <f t="shared" si="136"/>
        <v>13158</v>
      </c>
      <c r="G1722" s="556">
        <f t="shared" si="137"/>
        <v>11419</v>
      </c>
    </row>
    <row r="1723" spans="1:7" ht="15.75">
      <c r="A1723" s="625">
        <f t="shared" si="138"/>
        <v>82975</v>
      </c>
      <c r="B1723" s="555">
        <v>82950</v>
      </c>
      <c r="C1723" s="555">
        <v>83000</v>
      </c>
      <c r="D1723" s="556">
        <f t="shared" si="134"/>
        <v>13169</v>
      </c>
      <c r="E1723" s="556">
        <f t="shared" si="135"/>
        <v>9480</v>
      </c>
      <c r="F1723" s="556">
        <f t="shared" si="136"/>
        <v>13169</v>
      </c>
      <c r="G1723" s="556">
        <f t="shared" si="137"/>
        <v>11430</v>
      </c>
    </row>
    <row r="1724" spans="1:7" ht="15.75">
      <c r="A1724" s="625">
        <f t="shared" si="138"/>
        <v>83025</v>
      </c>
      <c r="B1724" s="555">
        <v>83000</v>
      </c>
      <c r="C1724" s="555">
        <v>83050</v>
      </c>
      <c r="D1724" s="556">
        <f t="shared" si="134"/>
        <v>13180</v>
      </c>
      <c r="E1724" s="556">
        <f t="shared" si="135"/>
        <v>9486</v>
      </c>
      <c r="F1724" s="556">
        <f t="shared" si="136"/>
        <v>13180</v>
      </c>
      <c r="G1724" s="556">
        <f t="shared" si="137"/>
        <v>11441</v>
      </c>
    </row>
    <row r="1725" spans="1:7" ht="15.75">
      <c r="A1725" s="625">
        <f t="shared" si="138"/>
        <v>83075</v>
      </c>
      <c r="B1725" s="555">
        <v>83050</v>
      </c>
      <c r="C1725" s="555">
        <v>83100</v>
      </c>
      <c r="D1725" s="556">
        <f t="shared" si="134"/>
        <v>13191</v>
      </c>
      <c r="E1725" s="556">
        <f t="shared" si="135"/>
        <v>9492</v>
      </c>
      <c r="F1725" s="556">
        <f t="shared" si="136"/>
        <v>13191</v>
      </c>
      <c r="G1725" s="556">
        <f t="shared" si="137"/>
        <v>11452</v>
      </c>
    </row>
    <row r="1726" spans="1:7" ht="15.75">
      <c r="A1726" s="625">
        <f t="shared" si="138"/>
        <v>83125</v>
      </c>
      <c r="B1726" s="555">
        <v>83100</v>
      </c>
      <c r="C1726" s="555">
        <v>83150</v>
      </c>
      <c r="D1726" s="556">
        <f t="shared" si="134"/>
        <v>13202</v>
      </c>
      <c r="E1726" s="556">
        <f t="shared" si="135"/>
        <v>9498</v>
      </c>
      <c r="F1726" s="556">
        <f t="shared" si="136"/>
        <v>13202</v>
      </c>
      <c r="G1726" s="556">
        <f t="shared" si="137"/>
        <v>11463</v>
      </c>
    </row>
    <row r="1727" spans="1:7" ht="15.75">
      <c r="A1727" s="625">
        <f t="shared" si="138"/>
        <v>83175</v>
      </c>
      <c r="B1727" s="555">
        <v>83150</v>
      </c>
      <c r="C1727" s="555">
        <v>83200</v>
      </c>
      <c r="D1727" s="556">
        <f t="shared" si="134"/>
        <v>13213</v>
      </c>
      <c r="E1727" s="556">
        <f t="shared" si="135"/>
        <v>9504</v>
      </c>
      <c r="F1727" s="556">
        <f t="shared" si="136"/>
        <v>13213</v>
      </c>
      <c r="G1727" s="556">
        <f t="shared" si="137"/>
        <v>11474</v>
      </c>
    </row>
    <row r="1728" spans="1:7" ht="15.75">
      <c r="A1728" s="625">
        <f t="shared" si="138"/>
        <v>83225</v>
      </c>
      <c r="B1728" s="555">
        <v>83200</v>
      </c>
      <c r="C1728" s="555">
        <v>83250</v>
      </c>
      <c r="D1728" s="556">
        <f t="shared" si="134"/>
        <v>13224</v>
      </c>
      <c r="E1728" s="556">
        <f t="shared" si="135"/>
        <v>9510</v>
      </c>
      <c r="F1728" s="556">
        <f t="shared" si="136"/>
        <v>13224</v>
      </c>
      <c r="G1728" s="556">
        <f t="shared" si="137"/>
        <v>11485</v>
      </c>
    </row>
    <row r="1729" spans="1:7" ht="15.75">
      <c r="A1729" s="625">
        <f t="shared" si="138"/>
        <v>83275</v>
      </c>
      <c r="B1729" s="555">
        <v>83250</v>
      </c>
      <c r="C1729" s="555">
        <v>83300</v>
      </c>
      <c r="D1729" s="556">
        <f t="shared" si="134"/>
        <v>13235</v>
      </c>
      <c r="E1729" s="556">
        <f t="shared" si="135"/>
        <v>9516</v>
      </c>
      <c r="F1729" s="556">
        <f t="shared" si="136"/>
        <v>13235</v>
      </c>
      <c r="G1729" s="556">
        <f t="shared" si="137"/>
        <v>11496</v>
      </c>
    </row>
    <row r="1730" spans="1:7" ht="15.75">
      <c r="A1730" s="625">
        <f t="shared" si="138"/>
        <v>83325</v>
      </c>
      <c r="B1730" s="555">
        <v>83300</v>
      </c>
      <c r="C1730" s="555">
        <v>83350</v>
      </c>
      <c r="D1730" s="556">
        <f t="shared" ref="D1730:D1793" si="139">IF($A1730&gt;BOTT_A4,ROUND(BASE_A4+RATE_A4*($A1730-BOTT_A4),0),IF($A1730&gt;BOTT_A3,ROUND(BASE_A3+RATE_A3*($A1730-BOTT_A3),0),IF($A1730&gt;BOTT_A2,ROUND(BASE_A2+RATE_A2*($A1730-BOTT_A2),0),ROUND(RATE_A1*$A1730,0))))</f>
        <v>13246</v>
      </c>
      <c r="E1730" s="556">
        <f t="shared" ref="E1730:E1793" si="140">IF($A1730&gt;BOTT_B4,ROUND(BASE_B4+RATE_B4*($A1730-BOTT_B4),0),IF($A1730&gt;BOTT_B3,ROUND(BASE_B3+RATE_B3*($A1730-BOTT_B3),0),IF($A1730&gt;BOTT_B2,ROUND(BASE_B2+RATE_B2*($A1730-BOTT_B2),0),ROUND(RATE_B1*$A1730,0))))</f>
        <v>9522</v>
      </c>
      <c r="F1730" s="556">
        <f t="shared" ref="F1730:F1793" si="141">IF($A1730&gt;BOTT_C4,ROUND(BASE_C4+RATE_C4*($A1730-BOTT_C4),0),IF($A1730&gt;BOTT_C3,ROUND(BASE_C3+RATE_C3*($A1730-BOTT_C3),0),IF($A1730&gt;BOTT_C2,ROUND(BASE_C2+RATE_C2*($A1730-BOTT_C2),0),ROUND(RATE_C1*$A1730,0))))</f>
        <v>13246</v>
      </c>
      <c r="G1730" s="556">
        <f t="shared" ref="G1730:G1793" si="142">IF($A1730&gt;BOTT_D4,ROUND(BASE_D4+RATE_D4*($A1730-BOTT_D4),0),IF($A1730&gt;BOTT_D3,ROUND(BASE_D3+RATE_D3*($A1730-BOTT_D3),0),IF($A1730&gt;BOTT_D2,ROUND(BASE_D2+RATE_D2*($A1730-BOTT_D2),0),ROUND(RATE_D1*$A1730,0))))</f>
        <v>11507</v>
      </c>
    </row>
    <row r="1731" spans="1:7" ht="15.75">
      <c r="A1731" s="625">
        <f t="shared" ref="A1731:A1794" si="143">AVERAGE(B1731,C1731)</f>
        <v>83375</v>
      </c>
      <c r="B1731" s="555">
        <v>83350</v>
      </c>
      <c r="C1731" s="555">
        <v>83400</v>
      </c>
      <c r="D1731" s="556">
        <f t="shared" si="139"/>
        <v>13257</v>
      </c>
      <c r="E1731" s="556">
        <f t="shared" si="140"/>
        <v>9528</v>
      </c>
      <c r="F1731" s="556">
        <f t="shared" si="141"/>
        <v>13257</v>
      </c>
      <c r="G1731" s="556">
        <f t="shared" si="142"/>
        <v>11518</v>
      </c>
    </row>
    <row r="1732" spans="1:7" ht="15.75">
      <c r="A1732" s="625">
        <f t="shared" si="143"/>
        <v>83425</v>
      </c>
      <c r="B1732" s="555">
        <v>83400</v>
      </c>
      <c r="C1732" s="555">
        <v>83450</v>
      </c>
      <c r="D1732" s="556">
        <f t="shared" si="139"/>
        <v>13268</v>
      </c>
      <c r="E1732" s="556">
        <f t="shared" si="140"/>
        <v>9534</v>
      </c>
      <c r="F1732" s="556">
        <f t="shared" si="141"/>
        <v>13268</v>
      </c>
      <c r="G1732" s="556">
        <f t="shared" si="142"/>
        <v>11529</v>
      </c>
    </row>
    <row r="1733" spans="1:7" ht="15.75">
      <c r="A1733" s="625">
        <f t="shared" si="143"/>
        <v>83475</v>
      </c>
      <c r="B1733" s="555">
        <v>83450</v>
      </c>
      <c r="C1733" s="555">
        <v>83500</v>
      </c>
      <c r="D1733" s="556">
        <f t="shared" si="139"/>
        <v>13279</v>
      </c>
      <c r="E1733" s="556">
        <f t="shared" si="140"/>
        <v>9540</v>
      </c>
      <c r="F1733" s="556">
        <f t="shared" si="141"/>
        <v>13279</v>
      </c>
      <c r="G1733" s="556">
        <f t="shared" si="142"/>
        <v>11540</v>
      </c>
    </row>
    <row r="1734" spans="1:7" ht="15.75">
      <c r="A1734" s="625">
        <f t="shared" si="143"/>
        <v>83525</v>
      </c>
      <c r="B1734" s="555">
        <v>83500</v>
      </c>
      <c r="C1734" s="555">
        <v>83550</v>
      </c>
      <c r="D1734" s="556">
        <f t="shared" si="139"/>
        <v>13290</v>
      </c>
      <c r="E1734" s="556">
        <f t="shared" si="140"/>
        <v>9546</v>
      </c>
      <c r="F1734" s="556">
        <f t="shared" si="141"/>
        <v>13290</v>
      </c>
      <c r="G1734" s="556">
        <f t="shared" si="142"/>
        <v>11551</v>
      </c>
    </row>
    <row r="1735" spans="1:7" ht="15.75">
      <c r="A1735" s="625">
        <f t="shared" si="143"/>
        <v>83575</v>
      </c>
      <c r="B1735" s="555">
        <v>83550</v>
      </c>
      <c r="C1735" s="555">
        <v>83600</v>
      </c>
      <c r="D1735" s="556">
        <f t="shared" si="139"/>
        <v>13301</v>
      </c>
      <c r="E1735" s="556">
        <f t="shared" si="140"/>
        <v>9552</v>
      </c>
      <c r="F1735" s="556">
        <f t="shared" si="141"/>
        <v>13301</v>
      </c>
      <c r="G1735" s="556">
        <f t="shared" si="142"/>
        <v>11562</v>
      </c>
    </row>
    <row r="1736" spans="1:7" ht="15.75">
      <c r="A1736" s="625">
        <f t="shared" si="143"/>
        <v>83625</v>
      </c>
      <c r="B1736" s="555">
        <v>83600</v>
      </c>
      <c r="C1736" s="555">
        <v>83650</v>
      </c>
      <c r="D1736" s="556">
        <f t="shared" si="139"/>
        <v>13312</v>
      </c>
      <c r="E1736" s="556">
        <f t="shared" si="140"/>
        <v>9558</v>
      </c>
      <c r="F1736" s="556">
        <f t="shared" si="141"/>
        <v>13312</v>
      </c>
      <c r="G1736" s="556">
        <f t="shared" si="142"/>
        <v>11573</v>
      </c>
    </row>
    <row r="1737" spans="1:7" ht="15.75">
      <c r="A1737" s="625">
        <f t="shared" si="143"/>
        <v>83675</v>
      </c>
      <c r="B1737" s="555">
        <v>83650</v>
      </c>
      <c r="C1737" s="555">
        <v>83700</v>
      </c>
      <c r="D1737" s="556">
        <f t="shared" si="139"/>
        <v>13323</v>
      </c>
      <c r="E1737" s="556">
        <f t="shared" si="140"/>
        <v>9564</v>
      </c>
      <c r="F1737" s="556">
        <f t="shared" si="141"/>
        <v>13323</v>
      </c>
      <c r="G1737" s="556">
        <f t="shared" si="142"/>
        <v>11584</v>
      </c>
    </row>
    <row r="1738" spans="1:7" ht="15.75">
      <c r="A1738" s="625">
        <f t="shared" si="143"/>
        <v>83725</v>
      </c>
      <c r="B1738" s="555">
        <v>83700</v>
      </c>
      <c r="C1738" s="555">
        <v>83750</v>
      </c>
      <c r="D1738" s="556">
        <f t="shared" si="139"/>
        <v>13334</v>
      </c>
      <c r="E1738" s="556">
        <f t="shared" si="140"/>
        <v>9570</v>
      </c>
      <c r="F1738" s="556">
        <f t="shared" si="141"/>
        <v>13334</v>
      </c>
      <c r="G1738" s="556">
        <f t="shared" si="142"/>
        <v>11595</v>
      </c>
    </row>
    <row r="1739" spans="1:7" ht="15.75">
      <c r="A1739" s="625">
        <f t="shared" si="143"/>
        <v>83775</v>
      </c>
      <c r="B1739" s="555">
        <v>83750</v>
      </c>
      <c r="C1739" s="555">
        <v>83800</v>
      </c>
      <c r="D1739" s="556">
        <f t="shared" si="139"/>
        <v>13345</v>
      </c>
      <c r="E1739" s="556">
        <f t="shared" si="140"/>
        <v>9576</v>
      </c>
      <c r="F1739" s="556">
        <f t="shared" si="141"/>
        <v>13345</v>
      </c>
      <c r="G1739" s="556">
        <f t="shared" si="142"/>
        <v>11606</v>
      </c>
    </row>
    <row r="1740" spans="1:7" ht="15.75">
      <c r="A1740" s="625">
        <f t="shared" si="143"/>
        <v>83825</v>
      </c>
      <c r="B1740" s="555">
        <v>83800</v>
      </c>
      <c r="C1740" s="555">
        <v>83850</v>
      </c>
      <c r="D1740" s="556">
        <f t="shared" si="139"/>
        <v>13356</v>
      </c>
      <c r="E1740" s="556">
        <f t="shared" si="140"/>
        <v>9582</v>
      </c>
      <c r="F1740" s="556">
        <f t="shared" si="141"/>
        <v>13356</v>
      </c>
      <c r="G1740" s="556">
        <f t="shared" si="142"/>
        <v>11617</v>
      </c>
    </row>
    <row r="1741" spans="1:7" ht="15.75">
      <c r="A1741" s="625">
        <f t="shared" si="143"/>
        <v>83875</v>
      </c>
      <c r="B1741" s="555">
        <v>83850</v>
      </c>
      <c r="C1741" s="555">
        <v>83900</v>
      </c>
      <c r="D1741" s="556">
        <f t="shared" si="139"/>
        <v>13367</v>
      </c>
      <c r="E1741" s="556">
        <f t="shared" si="140"/>
        <v>9588</v>
      </c>
      <c r="F1741" s="556">
        <f t="shared" si="141"/>
        <v>13367</v>
      </c>
      <c r="G1741" s="556">
        <f t="shared" si="142"/>
        <v>11628</v>
      </c>
    </row>
    <row r="1742" spans="1:7" ht="15.75">
      <c r="A1742" s="625">
        <f t="shared" si="143"/>
        <v>83925</v>
      </c>
      <c r="B1742" s="555">
        <v>83900</v>
      </c>
      <c r="C1742" s="555">
        <v>83950</v>
      </c>
      <c r="D1742" s="556">
        <f t="shared" si="139"/>
        <v>13378</v>
      </c>
      <c r="E1742" s="556">
        <f t="shared" si="140"/>
        <v>9594</v>
      </c>
      <c r="F1742" s="556">
        <f t="shared" si="141"/>
        <v>13378</v>
      </c>
      <c r="G1742" s="556">
        <f t="shared" si="142"/>
        <v>11639</v>
      </c>
    </row>
    <row r="1743" spans="1:7" ht="15.75">
      <c r="A1743" s="625">
        <f t="shared" si="143"/>
        <v>83975</v>
      </c>
      <c r="B1743" s="555">
        <v>83950</v>
      </c>
      <c r="C1743" s="555">
        <v>84000</v>
      </c>
      <c r="D1743" s="556">
        <f t="shared" si="139"/>
        <v>13389</v>
      </c>
      <c r="E1743" s="556">
        <f t="shared" si="140"/>
        <v>9600</v>
      </c>
      <c r="F1743" s="556">
        <f t="shared" si="141"/>
        <v>13389</v>
      </c>
      <c r="G1743" s="556">
        <f t="shared" si="142"/>
        <v>11650</v>
      </c>
    </row>
    <row r="1744" spans="1:7" ht="15.75">
      <c r="A1744" s="625">
        <f t="shared" si="143"/>
        <v>84025</v>
      </c>
      <c r="B1744" s="555">
        <v>84000</v>
      </c>
      <c r="C1744" s="555">
        <v>84050</v>
      </c>
      <c r="D1744" s="556">
        <f t="shared" si="139"/>
        <v>13400</v>
      </c>
      <c r="E1744" s="556">
        <f t="shared" si="140"/>
        <v>9606</v>
      </c>
      <c r="F1744" s="556">
        <f t="shared" si="141"/>
        <v>13400</v>
      </c>
      <c r="G1744" s="556">
        <f t="shared" si="142"/>
        <v>11661</v>
      </c>
    </row>
    <row r="1745" spans="1:7" ht="15.75">
      <c r="A1745" s="625">
        <f t="shared" si="143"/>
        <v>84075</v>
      </c>
      <c r="B1745" s="555">
        <v>84050</v>
      </c>
      <c r="C1745" s="555">
        <v>84100</v>
      </c>
      <c r="D1745" s="556">
        <f t="shared" si="139"/>
        <v>13411</v>
      </c>
      <c r="E1745" s="556">
        <f t="shared" si="140"/>
        <v>9612</v>
      </c>
      <c r="F1745" s="556">
        <f t="shared" si="141"/>
        <v>13411</v>
      </c>
      <c r="G1745" s="556">
        <f t="shared" si="142"/>
        <v>11672</v>
      </c>
    </row>
    <row r="1746" spans="1:7" ht="15.75">
      <c r="A1746" s="625">
        <f t="shared" si="143"/>
        <v>84125</v>
      </c>
      <c r="B1746" s="555">
        <v>84100</v>
      </c>
      <c r="C1746" s="555">
        <v>84150</v>
      </c>
      <c r="D1746" s="556">
        <f t="shared" si="139"/>
        <v>13422</v>
      </c>
      <c r="E1746" s="556">
        <f t="shared" si="140"/>
        <v>9618</v>
      </c>
      <c r="F1746" s="556">
        <f t="shared" si="141"/>
        <v>13422</v>
      </c>
      <c r="G1746" s="556">
        <f t="shared" si="142"/>
        <v>11683</v>
      </c>
    </row>
    <row r="1747" spans="1:7" ht="15.75">
      <c r="A1747" s="625">
        <f t="shared" si="143"/>
        <v>84175</v>
      </c>
      <c r="B1747" s="555">
        <v>84150</v>
      </c>
      <c r="C1747" s="555">
        <v>84200</v>
      </c>
      <c r="D1747" s="556">
        <f t="shared" si="139"/>
        <v>13433</v>
      </c>
      <c r="E1747" s="556">
        <f t="shared" si="140"/>
        <v>9624</v>
      </c>
      <c r="F1747" s="556">
        <f t="shared" si="141"/>
        <v>13433</v>
      </c>
      <c r="G1747" s="556">
        <f t="shared" si="142"/>
        <v>11694</v>
      </c>
    </row>
    <row r="1748" spans="1:7" ht="15.75">
      <c r="A1748" s="625">
        <f t="shared" si="143"/>
        <v>84225</v>
      </c>
      <c r="B1748" s="555">
        <v>84200</v>
      </c>
      <c r="C1748" s="555">
        <v>84250</v>
      </c>
      <c r="D1748" s="556">
        <f t="shared" si="139"/>
        <v>13444</v>
      </c>
      <c r="E1748" s="556">
        <f t="shared" si="140"/>
        <v>9630</v>
      </c>
      <c r="F1748" s="556">
        <f t="shared" si="141"/>
        <v>13444</v>
      </c>
      <c r="G1748" s="556">
        <f t="shared" si="142"/>
        <v>11705</v>
      </c>
    </row>
    <row r="1749" spans="1:7" ht="15.75">
      <c r="A1749" s="625">
        <f t="shared" si="143"/>
        <v>84275</v>
      </c>
      <c r="B1749" s="555">
        <v>84250</v>
      </c>
      <c r="C1749" s="555">
        <v>84300</v>
      </c>
      <c r="D1749" s="556">
        <f t="shared" si="139"/>
        <v>13455</v>
      </c>
      <c r="E1749" s="556">
        <f t="shared" si="140"/>
        <v>9636</v>
      </c>
      <c r="F1749" s="556">
        <f t="shared" si="141"/>
        <v>13455</v>
      </c>
      <c r="G1749" s="556">
        <f t="shared" si="142"/>
        <v>11716</v>
      </c>
    </row>
    <row r="1750" spans="1:7" ht="15.75">
      <c r="A1750" s="625">
        <f t="shared" si="143"/>
        <v>84325</v>
      </c>
      <c r="B1750" s="555">
        <v>84300</v>
      </c>
      <c r="C1750" s="555">
        <v>84350</v>
      </c>
      <c r="D1750" s="556">
        <f t="shared" si="139"/>
        <v>13466</v>
      </c>
      <c r="E1750" s="556">
        <f t="shared" si="140"/>
        <v>9642</v>
      </c>
      <c r="F1750" s="556">
        <f t="shared" si="141"/>
        <v>13466</v>
      </c>
      <c r="G1750" s="556">
        <f t="shared" si="142"/>
        <v>11727</v>
      </c>
    </row>
    <row r="1751" spans="1:7" ht="15.75">
      <c r="A1751" s="625">
        <f t="shared" si="143"/>
        <v>84375</v>
      </c>
      <c r="B1751" s="555">
        <v>84350</v>
      </c>
      <c r="C1751" s="555">
        <v>84400</v>
      </c>
      <c r="D1751" s="556">
        <f t="shared" si="139"/>
        <v>13477</v>
      </c>
      <c r="E1751" s="556">
        <f t="shared" si="140"/>
        <v>9648</v>
      </c>
      <c r="F1751" s="556">
        <f t="shared" si="141"/>
        <v>13477</v>
      </c>
      <c r="G1751" s="556">
        <f t="shared" si="142"/>
        <v>11738</v>
      </c>
    </row>
    <row r="1752" spans="1:7" ht="15.75">
      <c r="A1752" s="625">
        <f t="shared" si="143"/>
        <v>84425</v>
      </c>
      <c r="B1752" s="555">
        <v>84400</v>
      </c>
      <c r="C1752" s="555">
        <v>84450</v>
      </c>
      <c r="D1752" s="556">
        <f t="shared" si="139"/>
        <v>13488</v>
      </c>
      <c r="E1752" s="556">
        <f t="shared" si="140"/>
        <v>9654</v>
      </c>
      <c r="F1752" s="556">
        <f t="shared" si="141"/>
        <v>13488</v>
      </c>
      <c r="G1752" s="556">
        <f t="shared" si="142"/>
        <v>11749</v>
      </c>
    </row>
    <row r="1753" spans="1:7" ht="15.75">
      <c r="A1753" s="625">
        <f t="shared" si="143"/>
        <v>84475</v>
      </c>
      <c r="B1753" s="555">
        <v>84450</v>
      </c>
      <c r="C1753" s="555">
        <v>84500</v>
      </c>
      <c r="D1753" s="556">
        <f t="shared" si="139"/>
        <v>13499</v>
      </c>
      <c r="E1753" s="556">
        <f t="shared" si="140"/>
        <v>9660</v>
      </c>
      <c r="F1753" s="556">
        <f t="shared" si="141"/>
        <v>13499</v>
      </c>
      <c r="G1753" s="556">
        <f t="shared" si="142"/>
        <v>11760</v>
      </c>
    </row>
    <row r="1754" spans="1:7" ht="15.75">
      <c r="A1754" s="625">
        <f t="shared" si="143"/>
        <v>84525</v>
      </c>
      <c r="B1754" s="555">
        <v>84500</v>
      </c>
      <c r="C1754" s="555">
        <v>84550</v>
      </c>
      <c r="D1754" s="556">
        <f t="shared" si="139"/>
        <v>13510</v>
      </c>
      <c r="E1754" s="556">
        <f t="shared" si="140"/>
        <v>9666</v>
      </c>
      <c r="F1754" s="556">
        <f t="shared" si="141"/>
        <v>13510</v>
      </c>
      <c r="G1754" s="556">
        <f t="shared" si="142"/>
        <v>11771</v>
      </c>
    </row>
    <row r="1755" spans="1:7" ht="15.75">
      <c r="A1755" s="625">
        <f t="shared" si="143"/>
        <v>84575</v>
      </c>
      <c r="B1755" s="555">
        <v>84550</v>
      </c>
      <c r="C1755" s="555">
        <v>84600</v>
      </c>
      <c r="D1755" s="556">
        <f t="shared" si="139"/>
        <v>13521</v>
      </c>
      <c r="E1755" s="556">
        <f t="shared" si="140"/>
        <v>9672</v>
      </c>
      <c r="F1755" s="556">
        <f t="shared" si="141"/>
        <v>13521</v>
      </c>
      <c r="G1755" s="556">
        <f t="shared" si="142"/>
        <v>11782</v>
      </c>
    </row>
    <row r="1756" spans="1:7" ht="15.75">
      <c r="A1756" s="625">
        <f t="shared" si="143"/>
        <v>84625</v>
      </c>
      <c r="B1756" s="555">
        <v>84600</v>
      </c>
      <c r="C1756" s="555">
        <v>84650</v>
      </c>
      <c r="D1756" s="556">
        <f t="shared" si="139"/>
        <v>13532</v>
      </c>
      <c r="E1756" s="556">
        <f t="shared" si="140"/>
        <v>9678</v>
      </c>
      <c r="F1756" s="556">
        <f t="shared" si="141"/>
        <v>13532</v>
      </c>
      <c r="G1756" s="556">
        <f t="shared" si="142"/>
        <v>11793</v>
      </c>
    </row>
    <row r="1757" spans="1:7" ht="15.75">
      <c r="A1757" s="625">
        <f t="shared" si="143"/>
        <v>84675</v>
      </c>
      <c r="B1757" s="555">
        <v>84650</v>
      </c>
      <c r="C1757" s="555">
        <v>84700</v>
      </c>
      <c r="D1757" s="556">
        <f t="shared" si="139"/>
        <v>13543</v>
      </c>
      <c r="E1757" s="556">
        <f t="shared" si="140"/>
        <v>9684</v>
      </c>
      <c r="F1757" s="556">
        <f t="shared" si="141"/>
        <v>13543</v>
      </c>
      <c r="G1757" s="556">
        <f t="shared" si="142"/>
        <v>11804</v>
      </c>
    </row>
    <row r="1758" spans="1:7" ht="15.75">
      <c r="A1758" s="625">
        <f t="shared" si="143"/>
        <v>84725</v>
      </c>
      <c r="B1758" s="555">
        <v>84700</v>
      </c>
      <c r="C1758" s="555">
        <v>84750</v>
      </c>
      <c r="D1758" s="556">
        <f t="shared" si="139"/>
        <v>13554</v>
      </c>
      <c r="E1758" s="556">
        <f t="shared" si="140"/>
        <v>9690</v>
      </c>
      <c r="F1758" s="556">
        <f t="shared" si="141"/>
        <v>13554</v>
      </c>
      <c r="G1758" s="556">
        <f t="shared" si="142"/>
        <v>11815</v>
      </c>
    </row>
    <row r="1759" spans="1:7" ht="15.75">
      <c r="A1759" s="625">
        <f t="shared" si="143"/>
        <v>84775</v>
      </c>
      <c r="B1759" s="555">
        <v>84750</v>
      </c>
      <c r="C1759" s="555">
        <v>84800</v>
      </c>
      <c r="D1759" s="556">
        <f t="shared" si="139"/>
        <v>13565</v>
      </c>
      <c r="E1759" s="556">
        <f t="shared" si="140"/>
        <v>9696</v>
      </c>
      <c r="F1759" s="556">
        <f t="shared" si="141"/>
        <v>13565</v>
      </c>
      <c r="G1759" s="556">
        <f t="shared" si="142"/>
        <v>11826</v>
      </c>
    </row>
    <row r="1760" spans="1:7" ht="15.75">
      <c r="A1760" s="625">
        <f t="shared" si="143"/>
        <v>84825</v>
      </c>
      <c r="B1760" s="555">
        <v>84800</v>
      </c>
      <c r="C1760" s="555">
        <v>84850</v>
      </c>
      <c r="D1760" s="556">
        <f t="shared" si="139"/>
        <v>13576</v>
      </c>
      <c r="E1760" s="556">
        <f t="shared" si="140"/>
        <v>9702</v>
      </c>
      <c r="F1760" s="556">
        <f t="shared" si="141"/>
        <v>13576</v>
      </c>
      <c r="G1760" s="556">
        <f t="shared" si="142"/>
        <v>11837</v>
      </c>
    </row>
    <row r="1761" spans="1:7" ht="15.75">
      <c r="A1761" s="625">
        <f t="shared" si="143"/>
        <v>84875</v>
      </c>
      <c r="B1761" s="555">
        <v>84850</v>
      </c>
      <c r="C1761" s="555">
        <v>84900</v>
      </c>
      <c r="D1761" s="556">
        <f t="shared" si="139"/>
        <v>13587</v>
      </c>
      <c r="E1761" s="556">
        <f t="shared" si="140"/>
        <v>9708</v>
      </c>
      <c r="F1761" s="556">
        <f t="shared" si="141"/>
        <v>13587</v>
      </c>
      <c r="G1761" s="556">
        <f t="shared" si="142"/>
        <v>11848</v>
      </c>
    </row>
    <row r="1762" spans="1:7" ht="15.75">
      <c r="A1762" s="625">
        <f t="shared" si="143"/>
        <v>84925</v>
      </c>
      <c r="B1762" s="555">
        <v>84900</v>
      </c>
      <c r="C1762" s="555">
        <v>84950</v>
      </c>
      <c r="D1762" s="556">
        <f t="shared" si="139"/>
        <v>13598</v>
      </c>
      <c r="E1762" s="556">
        <f t="shared" si="140"/>
        <v>9714</v>
      </c>
      <c r="F1762" s="556">
        <f t="shared" si="141"/>
        <v>13598</v>
      </c>
      <c r="G1762" s="556">
        <f t="shared" si="142"/>
        <v>11859</v>
      </c>
    </row>
    <row r="1763" spans="1:7" ht="15.75">
      <c r="A1763" s="625">
        <f t="shared" si="143"/>
        <v>84975</v>
      </c>
      <c r="B1763" s="555">
        <v>84950</v>
      </c>
      <c r="C1763" s="555">
        <v>85000</v>
      </c>
      <c r="D1763" s="556">
        <f t="shared" si="139"/>
        <v>13609</v>
      </c>
      <c r="E1763" s="556">
        <f t="shared" si="140"/>
        <v>9720</v>
      </c>
      <c r="F1763" s="556">
        <f t="shared" si="141"/>
        <v>13609</v>
      </c>
      <c r="G1763" s="556">
        <f t="shared" si="142"/>
        <v>11870</v>
      </c>
    </row>
    <row r="1764" spans="1:7" ht="15.75">
      <c r="A1764" s="625">
        <f t="shared" si="143"/>
        <v>85025</v>
      </c>
      <c r="B1764" s="555">
        <v>85000</v>
      </c>
      <c r="C1764" s="555">
        <v>85050</v>
      </c>
      <c r="D1764" s="556">
        <f t="shared" si="139"/>
        <v>13620</v>
      </c>
      <c r="E1764" s="556">
        <f t="shared" si="140"/>
        <v>9726</v>
      </c>
      <c r="F1764" s="556">
        <f t="shared" si="141"/>
        <v>13620</v>
      </c>
      <c r="G1764" s="556">
        <f t="shared" si="142"/>
        <v>11881</v>
      </c>
    </row>
    <row r="1765" spans="1:7" ht="15.75">
      <c r="A1765" s="625">
        <f t="shared" si="143"/>
        <v>85075</v>
      </c>
      <c r="B1765" s="555">
        <v>85050</v>
      </c>
      <c r="C1765" s="555">
        <v>85100</v>
      </c>
      <c r="D1765" s="556">
        <f t="shared" si="139"/>
        <v>13631</v>
      </c>
      <c r="E1765" s="556">
        <f t="shared" si="140"/>
        <v>9732</v>
      </c>
      <c r="F1765" s="556">
        <f t="shared" si="141"/>
        <v>13631</v>
      </c>
      <c r="G1765" s="556">
        <f t="shared" si="142"/>
        <v>11892</v>
      </c>
    </row>
    <row r="1766" spans="1:7" ht="15.75">
      <c r="A1766" s="625">
        <f t="shared" si="143"/>
        <v>85125</v>
      </c>
      <c r="B1766" s="555">
        <v>85100</v>
      </c>
      <c r="C1766" s="555">
        <v>85150</v>
      </c>
      <c r="D1766" s="556">
        <f t="shared" si="139"/>
        <v>13642</v>
      </c>
      <c r="E1766" s="556">
        <f t="shared" si="140"/>
        <v>9738</v>
      </c>
      <c r="F1766" s="556">
        <f t="shared" si="141"/>
        <v>13642</v>
      </c>
      <c r="G1766" s="556">
        <f t="shared" si="142"/>
        <v>11903</v>
      </c>
    </row>
    <row r="1767" spans="1:7" ht="15.75">
      <c r="A1767" s="625">
        <f t="shared" si="143"/>
        <v>85175</v>
      </c>
      <c r="B1767" s="555">
        <v>85150</v>
      </c>
      <c r="C1767" s="555">
        <v>85200</v>
      </c>
      <c r="D1767" s="556">
        <f t="shared" si="139"/>
        <v>13653</v>
      </c>
      <c r="E1767" s="556">
        <f t="shared" si="140"/>
        <v>9744</v>
      </c>
      <c r="F1767" s="556">
        <f t="shared" si="141"/>
        <v>13653</v>
      </c>
      <c r="G1767" s="556">
        <f t="shared" si="142"/>
        <v>11914</v>
      </c>
    </row>
    <row r="1768" spans="1:7" ht="15.75">
      <c r="A1768" s="625">
        <f t="shared" si="143"/>
        <v>85225</v>
      </c>
      <c r="B1768" s="555">
        <v>85200</v>
      </c>
      <c r="C1768" s="555">
        <v>85250</v>
      </c>
      <c r="D1768" s="556">
        <f t="shared" si="139"/>
        <v>13664</v>
      </c>
      <c r="E1768" s="556">
        <f t="shared" si="140"/>
        <v>9750</v>
      </c>
      <c r="F1768" s="556">
        <f t="shared" si="141"/>
        <v>13664</v>
      </c>
      <c r="G1768" s="556">
        <f t="shared" si="142"/>
        <v>11925</v>
      </c>
    </row>
    <row r="1769" spans="1:7" ht="15.75">
      <c r="A1769" s="625">
        <f t="shared" si="143"/>
        <v>85275</v>
      </c>
      <c r="B1769" s="555">
        <v>85250</v>
      </c>
      <c r="C1769" s="555">
        <v>85300</v>
      </c>
      <c r="D1769" s="556">
        <f t="shared" si="139"/>
        <v>13675</v>
      </c>
      <c r="E1769" s="556">
        <f t="shared" si="140"/>
        <v>9756</v>
      </c>
      <c r="F1769" s="556">
        <f t="shared" si="141"/>
        <v>13675</v>
      </c>
      <c r="G1769" s="556">
        <f t="shared" si="142"/>
        <v>11936</v>
      </c>
    </row>
    <row r="1770" spans="1:7" ht="15.75">
      <c r="A1770" s="625">
        <f t="shared" si="143"/>
        <v>85325</v>
      </c>
      <c r="B1770" s="555">
        <v>85300</v>
      </c>
      <c r="C1770" s="555">
        <v>85350</v>
      </c>
      <c r="D1770" s="556">
        <f t="shared" si="139"/>
        <v>13686</v>
      </c>
      <c r="E1770" s="556">
        <f t="shared" si="140"/>
        <v>9762</v>
      </c>
      <c r="F1770" s="556">
        <f t="shared" si="141"/>
        <v>13686</v>
      </c>
      <c r="G1770" s="556">
        <f t="shared" si="142"/>
        <v>11947</v>
      </c>
    </row>
    <row r="1771" spans="1:7" ht="15.75">
      <c r="A1771" s="625">
        <f t="shared" si="143"/>
        <v>85375</v>
      </c>
      <c r="B1771" s="555">
        <v>85350</v>
      </c>
      <c r="C1771" s="555">
        <v>85400</v>
      </c>
      <c r="D1771" s="556">
        <f t="shared" si="139"/>
        <v>13697</v>
      </c>
      <c r="E1771" s="556">
        <f t="shared" si="140"/>
        <v>9768</v>
      </c>
      <c r="F1771" s="556">
        <f t="shared" si="141"/>
        <v>13697</v>
      </c>
      <c r="G1771" s="556">
        <f t="shared" si="142"/>
        <v>11958</v>
      </c>
    </row>
    <row r="1772" spans="1:7" ht="15.75">
      <c r="A1772" s="625">
        <f t="shared" si="143"/>
        <v>85425</v>
      </c>
      <c r="B1772" s="555">
        <v>85400</v>
      </c>
      <c r="C1772" s="555">
        <v>85450</v>
      </c>
      <c r="D1772" s="556">
        <f t="shared" si="139"/>
        <v>13708</v>
      </c>
      <c r="E1772" s="556">
        <f t="shared" si="140"/>
        <v>9774</v>
      </c>
      <c r="F1772" s="556">
        <f t="shared" si="141"/>
        <v>13708</v>
      </c>
      <c r="G1772" s="556">
        <f t="shared" si="142"/>
        <v>11969</v>
      </c>
    </row>
    <row r="1773" spans="1:7" ht="15.75">
      <c r="A1773" s="625">
        <f t="shared" si="143"/>
        <v>85475</v>
      </c>
      <c r="B1773" s="555">
        <v>85450</v>
      </c>
      <c r="C1773" s="555">
        <v>85500</v>
      </c>
      <c r="D1773" s="556">
        <f t="shared" si="139"/>
        <v>13719</v>
      </c>
      <c r="E1773" s="556">
        <f t="shared" si="140"/>
        <v>9780</v>
      </c>
      <c r="F1773" s="556">
        <f t="shared" si="141"/>
        <v>13719</v>
      </c>
      <c r="G1773" s="556">
        <f t="shared" si="142"/>
        <v>11980</v>
      </c>
    </row>
    <row r="1774" spans="1:7" ht="15.75">
      <c r="A1774" s="625">
        <f t="shared" si="143"/>
        <v>85525</v>
      </c>
      <c r="B1774" s="555">
        <v>85500</v>
      </c>
      <c r="C1774" s="555">
        <v>85550</v>
      </c>
      <c r="D1774" s="556">
        <f t="shared" si="139"/>
        <v>13730</v>
      </c>
      <c r="E1774" s="556">
        <f t="shared" si="140"/>
        <v>9786</v>
      </c>
      <c r="F1774" s="556">
        <f t="shared" si="141"/>
        <v>13730</v>
      </c>
      <c r="G1774" s="556">
        <f t="shared" si="142"/>
        <v>11991</v>
      </c>
    </row>
    <row r="1775" spans="1:7" ht="15.75">
      <c r="A1775" s="625">
        <f t="shared" si="143"/>
        <v>85575</v>
      </c>
      <c r="B1775" s="555">
        <v>85550</v>
      </c>
      <c r="C1775" s="555">
        <v>85600</v>
      </c>
      <c r="D1775" s="556">
        <f t="shared" si="139"/>
        <v>13741</v>
      </c>
      <c r="E1775" s="556">
        <f t="shared" si="140"/>
        <v>9792</v>
      </c>
      <c r="F1775" s="556">
        <f t="shared" si="141"/>
        <v>13741</v>
      </c>
      <c r="G1775" s="556">
        <f t="shared" si="142"/>
        <v>12002</v>
      </c>
    </row>
    <row r="1776" spans="1:7" ht="15.75">
      <c r="A1776" s="625">
        <f t="shared" si="143"/>
        <v>85625</v>
      </c>
      <c r="B1776" s="555">
        <v>85600</v>
      </c>
      <c r="C1776" s="555">
        <v>85650</v>
      </c>
      <c r="D1776" s="556">
        <f t="shared" si="139"/>
        <v>13752</v>
      </c>
      <c r="E1776" s="556">
        <f t="shared" si="140"/>
        <v>9798</v>
      </c>
      <c r="F1776" s="556">
        <f t="shared" si="141"/>
        <v>13752</v>
      </c>
      <c r="G1776" s="556">
        <f t="shared" si="142"/>
        <v>12013</v>
      </c>
    </row>
    <row r="1777" spans="1:7" ht="15.75">
      <c r="A1777" s="625">
        <f t="shared" si="143"/>
        <v>85675</v>
      </c>
      <c r="B1777" s="555">
        <v>85650</v>
      </c>
      <c r="C1777" s="555">
        <v>85700</v>
      </c>
      <c r="D1777" s="556">
        <f t="shared" si="139"/>
        <v>13763</v>
      </c>
      <c r="E1777" s="556">
        <f t="shared" si="140"/>
        <v>9804</v>
      </c>
      <c r="F1777" s="556">
        <f t="shared" si="141"/>
        <v>13763</v>
      </c>
      <c r="G1777" s="556">
        <f t="shared" si="142"/>
        <v>12024</v>
      </c>
    </row>
    <row r="1778" spans="1:7" ht="15.75">
      <c r="A1778" s="625">
        <f t="shared" si="143"/>
        <v>85725</v>
      </c>
      <c r="B1778" s="555">
        <v>85700</v>
      </c>
      <c r="C1778" s="555">
        <v>85750</v>
      </c>
      <c r="D1778" s="556">
        <f t="shared" si="139"/>
        <v>13774</v>
      </c>
      <c r="E1778" s="556">
        <f t="shared" si="140"/>
        <v>9810</v>
      </c>
      <c r="F1778" s="556">
        <f t="shared" si="141"/>
        <v>13774</v>
      </c>
      <c r="G1778" s="556">
        <f t="shared" si="142"/>
        <v>12035</v>
      </c>
    </row>
    <row r="1779" spans="1:7" ht="15.75">
      <c r="A1779" s="625">
        <f t="shared" si="143"/>
        <v>85775</v>
      </c>
      <c r="B1779" s="555">
        <v>85750</v>
      </c>
      <c r="C1779" s="555">
        <v>85800</v>
      </c>
      <c r="D1779" s="556">
        <f t="shared" si="139"/>
        <v>13785</v>
      </c>
      <c r="E1779" s="556">
        <f t="shared" si="140"/>
        <v>9816</v>
      </c>
      <c r="F1779" s="556">
        <f t="shared" si="141"/>
        <v>13785</v>
      </c>
      <c r="G1779" s="556">
        <f t="shared" si="142"/>
        <v>12046</v>
      </c>
    </row>
    <row r="1780" spans="1:7" ht="15.75">
      <c r="A1780" s="625">
        <f t="shared" si="143"/>
        <v>85825</v>
      </c>
      <c r="B1780" s="555">
        <v>85800</v>
      </c>
      <c r="C1780" s="555">
        <v>85850</v>
      </c>
      <c r="D1780" s="556">
        <f t="shared" si="139"/>
        <v>13796</v>
      </c>
      <c r="E1780" s="556">
        <f t="shared" si="140"/>
        <v>9822</v>
      </c>
      <c r="F1780" s="556">
        <f t="shared" si="141"/>
        <v>13796</v>
      </c>
      <c r="G1780" s="556">
        <f t="shared" si="142"/>
        <v>12057</v>
      </c>
    </row>
    <row r="1781" spans="1:7" ht="15.75">
      <c r="A1781" s="625">
        <f t="shared" si="143"/>
        <v>85875</v>
      </c>
      <c r="B1781" s="555">
        <v>85850</v>
      </c>
      <c r="C1781" s="555">
        <v>85900</v>
      </c>
      <c r="D1781" s="556">
        <f t="shared" si="139"/>
        <v>13807</v>
      </c>
      <c r="E1781" s="556">
        <f t="shared" si="140"/>
        <v>9828</v>
      </c>
      <c r="F1781" s="556">
        <f t="shared" si="141"/>
        <v>13807</v>
      </c>
      <c r="G1781" s="556">
        <f t="shared" si="142"/>
        <v>12068</v>
      </c>
    </row>
    <row r="1782" spans="1:7" ht="15.75">
      <c r="A1782" s="625">
        <f t="shared" si="143"/>
        <v>85925</v>
      </c>
      <c r="B1782" s="555">
        <v>85900</v>
      </c>
      <c r="C1782" s="555">
        <v>85950</v>
      </c>
      <c r="D1782" s="556">
        <f t="shared" si="139"/>
        <v>13818</v>
      </c>
      <c r="E1782" s="556">
        <f t="shared" si="140"/>
        <v>9834</v>
      </c>
      <c r="F1782" s="556">
        <f t="shared" si="141"/>
        <v>13818</v>
      </c>
      <c r="G1782" s="556">
        <f t="shared" si="142"/>
        <v>12079</v>
      </c>
    </row>
    <row r="1783" spans="1:7" ht="15.75">
      <c r="A1783" s="625">
        <f t="shared" si="143"/>
        <v>85975</v>
      </c>
      <c r="B1783" s="555">
        <v>85950</v>
      </c>
      <c r="C1783" s="555">
        <v>86000</v>
      </c>
      <c r="D1783" s="556">
        <f t="shared" si="139"/>
        <v>13829</v>
      </c>
      <c r="E1783" s="556">
        <f t="shared" si="140"/>
        <v>9840</v>
      </c>
      <c r="F1783" s="556">
        <f t="shared" si="141"/>
        <v>13829</v>
      </c>
      <c r="G1783" s="556">
        <f t="shared" si="142"/>
        <v>12090</v>
      </c>
    </row>
    <row r="1784" spans="1:7" ht="15.75">
      <c r="A1784" s="625">
        <f t="shared" si="143"/>
        <v>86025</v>
      </c>
      <c r="B1784" s="555">
        <v>86000</v>
      </c>
      <c r="C1784" s="555">
        <v>86050</v>
      </c>
      <c r="D1784" s="556">
        <f t="shared" si="139"/>
        <v>13840</v>
      </c>
      <c r="E1784" s="556">
        <f t="shared" si="140"/>
        <v>9846</v>
      </c>
      <c r="F1784" s="556">
        <f t="shared" si="141"/>
        <v>13840</v>
      </c>
      <c r="G1784" s="556">
        <f t="shared" si="142"/>
        <v>12101</v>
      </c>
    </row>
    <row r="1785" spans="1:7" ht="15.75">
      <c r="A1785" s="625">
        <f t="shared" si="143"/>
        <v>86075</v>
      </c>
      <c r="B1785" s="555">
        <v>86050</v>
      </c>
      <c r="C1785" s="555">
        <v>86100</v>
      </c>
      <c r="D1785" s="556">
        <f t="shared" si="139"/>
        <v>13851</v>
      </c>
      <c r="E1785" s="556">
        <f t="shared" si="140"/>
        <v>9852</v>
      </c>
      <c r="F1785" s="556">
        <f t="shared" si="141"/>
        <v>13851</v>
      </c>
      <c r="G1785" s="556">
        <f t="shared" si="142"/>
        <v>12112</v>
      </c>
    </row>
    <row r="1786" spans="1:7" ht="15.75">
      <c r="A1786" s="625">
        <f t="shared" si="143"/>
        <v>86125</v>
      </c>
      <c r="B1786" s="555">
        <v>86100</v>
      </c>
      <c r="C1786" s="555">
        <v>86150</v>
      </c>
      <c r="D1786" s="556">
        <f t="shared" si="139"/>
        <v>13862</v>
      </c>
      <c r="E1786" s="556">
        <f t="shared" si="140"/>
        <v>9858</v>
      </c>
      <c r="F1786" s="556">
        <f t="shared" si="141"/>
        <v>13862</v>
      </c>
      <c r="G1786" s="556">
        <f t="shared" si="142"/>
        <v>12123</v>
      </c>
    </row>
    <row r="1787" spans="1:7" ht="15.75">
      <c r="A1787" s="625">
        <f t="shared" si="143"/>
        <v>86175</v>
      </c>
      <c r="B1787" s="555">
        <v>86150</v>
      </c>
      <c r="C1787" s="555">
        <v>86200</v>
      </c>
      <c r="D1787" s="556">
        <f t="shared" si="139"/>
        <v>13873</v>
      </c>
      <c r="E1787" s="556">
        <f t="shared" si="140"/>
        <v>9864</v>
      </c>
      <c r="F1787" s="556">
        <f t="shared" si="141"/>
        <v>13873</v>
      </c>
      <c r="G1787" s="556">
        <f t="shared" si="142"/>
        <v>12134</v>
      </c>
    </row>
    <row r="1788" spans="1:7" ht="15.75">
      <c r="A1788" s="625">
        <f t="shared" si="143"/>
        <v>86225</v>
      </c>
      <c r="B1788" s="555">
        <v>86200</v>
      </c>
      <c r="C1788" s="555">
        <v>86250</v>
      </c>
      <c r="D1788" s="556">
        <f t="shared" si="139"/>
        <v>13884</v>
      </c>
      <c r="E1788" s="556">
        <f t="shared" si="140"/>
        <v>9870</v>
      </c>
      <c r="F1788" s="556">
        <f t="shared" si="141"/>
        <v>13884</v>
      </c>
      <c r="G1788" s="556">
        <f t="shared" si="142"/>
        <v>12145</v>
      </c>
    </row>
    <row r="1789" spans="1:7" ht="15.75">
      <c r="A1789" s="625">
        <f t="shared" si="143"/>
        <v>86275</v>
      </c>
      <c r="B1789" s="555">
        <v>86250</v>
      </c>
      <c r="C1789" s="555">
        <v>86300</v>
      </c>
      <c r="D1789" s="556">
        <f t="shared" si="139"/>
        <v>13895</v>
      </c>
      <c r="E1789" s="556">
        <f t="shared" si="140"/>
        <v>9876</v>
      </c>
      <c r="F1789" s="556">
        <f t="shared" si="141"/>
        <v>13895</v>
      </c>
      <c r="G1789" s="556">
        <f t="shared" si="142"/>
        <v>12156</v>
      </c>
    </row>
    <row r="1790" spans="1:7" ht="15.75">
      <c r="A1790" s="625">
        <f t="shared" si="143"/>
        <v>86325</v>
      </c>
      <c r="B1790" s="555">
        <v>86300</v>
      </c>
      <c r="C1790" s="555">
        <v>86350</v>
      </c>
      <c r="D1790" s="556">
        <f t="shared" si="139"/>
        <v>13906</v>
      </c>
      <c r="E1790" s="556">
        <f t="shared" si="140"/>
        <v>9882</v>
      </c>
      <c r="F1790" s="556">
        <f t="shared" si="141"/>
        <v>13906</v>
      </c>
      <c r="G1790" s="556">
        <f t="shared" si="142"/>
        <v>12167</v>
      </c>
    </row>
    <row r="1791" spans="1:7" ht="15.75">
      <c r="A1791" s="625">
        <f t="shared" si="143"/>
        <v>86375</v>
      </c>
      <c r="B1791" s="555">
        <v>86350</v>
      </c>
      <c r="C1791" s="555">
        <v>86400</v>
      </c>
      <c r="D1791" s="556">
        <f t="shared" si="139"/>
        <v>13917</v>
      </c>
      <c r="E1791" s="556">
        <f t="shared" si="140"/>
        <v>9888</v>
      </c>
      <c r="F1791" s="556">
        <f t="shared" si="141"/>
        <v>13917</v>
      </c>
      <c r="G1791" s="556">
        <f t="shared" si="142"/>
        <v>12178</v>
      </c>
    </row>
    <row r="1792" spans="1:7" ht="15.75">
      <c r="A1792" s="625">
        <f t="shared" si="143"/>
        <v>86425</v>
      </c>
      <c r="B1792" s="555">
        <v>86400</v>
      </c>
      <c r="C1792" s="555">
        <v>86450</v>
      </c>
      <c r="D1792" s="556">
        <f t="shared" si="139"/>
        <v>13928</v>
      </c>
      <c r="E1792" s="556">
        <f t="shared" si="140"/>
        <v>9894</v>
      </c>
      <c r="F1792" s="556">
        <f t="shared" si="141"/>
        <v>13928</v>
      </c>
      <c r="G1792" s="556">
        <f t="shared" si="142"/>
        <v>12189</v>
      </c>
    </row>
    <row r="1793" spans="1:7" ht="15.75">
      <c r="A1793" s="625">
        <f t="shared" si="143"/>
        <v>86475</v>
      </c>
      <c r="B1793" s="555">
        <v>86450</v>
      </c>
      <c r="C1793" s="555">
        <v>86500</v>
      </c>
      <c r="D1793" s="556">
        <f t="shared" si="139"/>
        <v>13939</v>
      </c>
      <c r="E1793" s="556">
        <f t="shared" si="140"/>
        <v>9900</v>
      </c>
      <c r="F1793" s="556">
        <f t="shared" si="141"/>
        <v>13939</v>
      </c>
      <c r="G1793" s="556">
        <f t="shared" si="142"/>
        <v>12200</v>
      </c>
    </row>
    <row r="1794" spans="1:7" ht="15.75">
      <c r="A1794" s="625">
        <f t="shared" si="143"/>
        <v>86525</v>
      </c>
      <c r="B1794" s="555">
        <v>86500</v>
      </c>
      <c r="C1794" s="555">
        <v>86550</v>
      </c>
      <c r="D1794" s="556">
        <f t="shared" ref="D1794:D1857" si="144">IF($A1794&gt;BOTT_A4,ROUND(BASE_A4+RATE_A4*($A1794-BOTT_A4),0),IF($A1794&gt;BOTT_A3,ROUND(BASE_A3+RATE_A3*($A1794-BOTT_A3),0),IF($A1794&gt;BOTT_A2,ROUND(BASE_A2+RATE_A2*($A1794-BOTT_A2),0),ROUND(RATE_A1*$A1794,0))))</f>
        <v>13950</v>
      </c>
      <c r="E1794" s="556">
        <f t="shared" ref="E1794:E1857" si="145">IF($A1794&gt;BOTT_B4,ROUND(BASE_B4+RATE_B4*($A1794-BOTT_B4),0),IF($A1794&gt;BOTT_B3,ROUND(BASE_B3+RATE_B3*($A1794-BOTT_B3),0),IF($A1794&gt;BOTT_B2,ROUND(BASE_B2+RATE_B2*($A1794-BOTT_B2),0),ROUND(RATE_B1*$A1794,0))))</f>
        <v>9906</v>
      </c>
      <c r="F1794" s="556">
        <f t="shared" ref="F1794:F1857" si="146">IF($A1794&gt;BOTT_C4,ROUND(BASE_C4+RATE_C4*($A1794-BOTT_C4),0),IF($A1794&gt;BOTT_C3,ROUND(BASE_C3+RATE_C3*($A1794-BOTT_C3),0),IF($A1794&gt;BOTT_C2,ROUND(BASE_C2+RATE_C2*($A1794-BOTT_C2),0),ROUND(RATE_C1*$A1794,0))))</f>
        <v>13950</v>
      </c>
      <c r="G1794" s="556">
        <f t="shared" ref="G1794:G1857" si="147">IF($A1794&gt;BOTT_D4,ROUND(BASE_D4+RATE_D4*($A1794-BOTT_D4),0),IF($A1794&gt;BOTT_D3,ROUND(BASE_D3+RATE_D3*($A1794-BOTT_D3),0),IF($A1794&gt;BOTT_D2,ROUND(BASE_D2+RATE_D2*($A1794-BOTT_D2),0),ROUND(RATE_D1*$A1794,0))))</f>
        <v>12211</v>
      </c>
    </row>
    <row r="1795" spans="1:7" ht="15.75">
      <c r="A1795" s="625">
        <f t="shared" ref="A1795:A1858" si="148">AVERAGE(B1795,C1795)</f>
        <v>86575</v>
      </c>
      <c r="B1795" s="555">
        <v>86550</v>
      </c>
      <c r="C1795" s="555">
        <v>86600</v>
      </c>
      <c r="D1795" s="556">
        <f t="shared" si="144"/>
        <v>13961</v>
      </c>
      <c r="E1795" s="556">
        <f t="shared" si="145"/>
        <v>9912</v>
      </c>
      <c r="F1795" s="556">
        <f t="shared" si="146"/>
        <v>13961</v>
      </c>
      <c r="G1795" s="556">
        <f t="shared" si="147"/>
        <v>12222</v>
      </c>
    </row>
    <row r="1796" spans="1:7" ht="15.75">
      <c r="A1796" s="625">
        <f t="shared" si="148"/>
        <v>86625</v>
      </c>
      <c r="B1796" s="555">
        <v>86600</v>
      </c>
      <c r="C1796" s="555">
        <v>86650</v>
      </c>
      <c r="D1796" s="556">
        <f t="shared" si="144"/>
        <v>13972</v>
      </c>
      <c r="E1796" s="556">
        <f t="shared" si="145"/>
        <v>9918</v>
      </c>
      <c r="F1796" s="556">
        <f t="shared" si="146"/>
        <v>13972</v>
      </c>
      <c r="G1796" s="556">
        <f t="shared" si="147"/>
        <v>12233</v>
      </c>
    </row>
    <row r="1797" spans="1:7" ht="15.75">
      <c r="A1797" s="625">
        <f t="shared" si="148"/>
        <v>86675</v>
      </c>
      <c r="B1797" s="555">
        <v>86650</v>
      </c>
      <c r="C1797" s="555">
        <v>86700</v>
      </c>
      <c r="D1797" s="556">
        <f t="shared" si="144"/>
        <v>13983</v>
      </c>
      <c r="E1797" s="556">
        <f t="shared" si="145"/>
        <v>9924</v>
      </c>
      <c r="F1797" s="556">
        <f t="shared" si="146"/>
        <v>13983</v>
      </c>
      <c r="G1797" s="556">
        <f t="shared" si="147"/>
        <v>12244</v>
      </c>
    </row>
    <row r="1798" spans="1:7" ht="15.75">
      <c r="A1798" s="625">
        <f t="shared" si="148"/>
        <v>86725</v>
      </c>
      <c r="B1798" s="555">
        <v>86700</v>
      </c>
      <c r="C1798" s="555">
        <v>86750</v>
      </c>
      <c r="D1798" s="556">
        <f t="shared" si="144"/>
        <v>13994</v>
      </c>
      <c r="E1798" s="556">
        <f t="shared" si="145"/>
        <v>9930</v>
      </c>
      <c r="F1798" s="556">
        <f t="shared" si="146"/>
        <v>13994</v>
      </c>
      <c r="G1798" s="556">
        <f t="shared" si="147"/>
        <v>12255</v>
      </c>
    </row>
    <row r="1799" spans="1:7" ht="15.75">
      <c r="A1799" s="625">
        <f t="shared" si="148"/>
        <v>86775</v>
      </c>
      <c r="B1799" s="555">
        <v>86750</v>
      </c>
      <c r="C1799" s="555">
        <v>86800</v>
      </c>
      <c r="D1799" s="556">
        <f t="shared" si="144"/>
        <v>14005</v>
      </c>
      <c r="E1799" s="556">
        <f t="shared" si="145"/>
        <v>9936</v>
      </c>
      <c r="F1799" s="556">
        <f t="shared" si="146"/>
        <v>14005</v>
      </c>
      <c r="G1799" s="556">
        <f t="shared" si="147"/>
        <v>12266</v>
      </c>
    </row>
    <row r="1800" spans="1:7" ht="15.75">
      <c r="A1800" s="625">
        <f t="shared" si="148"/>
        <v>86825</v>
      </c>
      <c r="B1800" s="555">
        <v>86800</v>
      </c>
      <c r="C1800" s="555">
        <v>86850</v>
      </c>
      <c r="D1800" s="556">
        <f t="shared" si="144"/>
        <v>14016</v>
      </c>
      <c r="E1800" s="556">
        <f t="shared" si="145"/>
        <v>9942</v>
      </c>
      <c r="F1800" s="556">
        <f t="shared" si="146"/>
        <v>14016</v>
      </c>
      <c r="G1800" s="556">
        <f t="shared" si="147"/>
        <v>12277</v>
      </c>
    </row>
    <row r="1801" spans="1:7" ht="15.75">
      <c r="A1801" s="625">
        <f t="shared" si="148"/>
        <v>86875</v>
      </c>
      <c r="B1801" s="555">
        <v>86850</v>
      </c>
      <c r="C1801" s="555">
        <v>86900</v>
      </c>
      <c r="D1801" s="556">
        <f t="shared" si="144"/>
        <v>14027</v>
      </c>
      <c r="E1801" s="556">
        <f t="shared" si="145"/>
        <v>9948</v>
      </c>
      <c r="F1801" s="556">
        <f t="shared" si="146"/>
        <v>14027</v>
      </c>
      <c r="G1801" s="556">
        <f t="shared" si="147"/>
        <v>12288</v>
      </c>
    </row>
    <row r="1802" spans="1:7" ht="15.75">
      <c r="A1802" s="625">
        <f t="shared" si="148"/>
        <v>86925</v>
      </c>
      <c r="B1802" s="555">
        <v>86900</v>
      </c>
      <c r="C1802" s="555">
        <v>86950</v>
      </c>
      <c r="D1802" s="556">
        <f t="shared" si="144"/>
        <v>14038</v>
      </c>
      <c r="E1802" s="556">
        <f t="shared" si="145"/>
        <v>9954</v>
      </c>
      <c r="F1802" s="556">
        <f t="shared" si="146"/>
        <v>14038</v>
      </c>
      <c r="G1802" s="556">
        <f t="shared" si="147"/>
        <v>12299</v>
      </c>
    </row>
    <row r="1803" spans="1:7" ht="15.75">
      <c r="A1803" s="625">
        <f t="shared" si="148"/>
        <v>86975</v>
      </c>
      <c r="B1803" s="555">
        <v>86950</v>
      </c>
      <c r="C1803" s="555">
        <v>87000</v>
      </c>
      <c r="D1803" s="556">
        <f t="shared" si="144"/>
        <v>14049</v>
      </c>
      <c r="E1803" s="556">
        <f t="shared" si="145"/>
        <v>9960</v>
      </c>
      <c r="F1803" s="556">
        <f t="shared" si="146"/>
        <v>14049</v>
      </c>
      <c r="G1803" s="556">
        <f t="shared" si="147"/>
        <v>12310</v>
      </c>
    </row>
    <row r="1804" spans="1:7" ht="15.75">
      <c r="A1804" s="625">
        <f t="shared" si="148"/>
        <v>87025</v>
      </c>
      <c r="B1804" s="555">
        <v>87000</v>
      </c>
      <c r="C1804" s="555">
        <v>87050</v>
      </c>
      <c r="D1804" s="556">
        <f t="shared" si="144"/>
        <v>14060</v>
      </c>
      <c r="E1804" s="556">
        <f t="shared" si="145"/>
        <v>9966</v>
      </c>
      <c r="F1804" s="556">
        <f t="shared" si="146"/>
        <v>14060</v>
      </c>
      <c r="G1804" s="556">
        <f t="shared" si="147"/>
        <v>12321</v>
      </c>
    </row>
    <row r="1805" spans="1:7" ht="15.75">
      <c r="A1805" s="625">
        <f t="shared" si="148"/>
        <v>87075</v>
      </c>
      <c r="B1805" s="555">
        <v>87050</v>
      </c>
      <c r="C1805" s="555">
        <v>87100</v>
      </c>
      <c r="D1805" s="556">
        <f t="shared" si="144"/>
        <v>14071</v>
      </c>
      <c r="E1805" s="556">
        <f t="shared" si="145"/>
        <v>9972</v>
      </c>
      <c r="F1805" s="556">
        <f t="shared" si="146"/>
        <v>14071</v>
      </c>
      <c r="G1805" s="556">
        <f t="shared" si="147"/>
        <v>12332</v>
      </c>
    </row>
    <row r="1806" spans="1:7" ht="15.75">
      <c r="A1806" s="625">
        <f t="shared" si="148"/>
        <v>87125</v>
      </c>
      <c r="B1806" s="555">
        <v>87100</v>
      </c>
      <c r="C1806" s="555">
        <v>87150</v>
      </c>
      <c r="D1806" s="556">
        <f t="shared" si="144"/>
        <v>14082</v>
      </c>
      <c r="E1806" s="556">
        <f t="shared" si="145"/>
        <v>9978</v>
      </c>
      <c r="F1806" s="556">
        <f t="shared" si="146"/>
        <v>14082</v>
      </c>
      <c r="G1806" s="556">
        <f t="shared" si="147"/>
        <v>12343</v>
      </c>
    </row>
    <row r="1807" spans="1:7" ht="15.75">
      <c r="A1807" s="625">
        <f t="shared" si="148"/>
        <v>87175</v>
      </c>
      <c r="B1807" s="555">
        <v>87150</v>
      </c>
      <c r="C1807" s="555">
        <v>87200</v>
      </c>
      <c r="D1807" s="556">
        <f t="shared" si="144"/>
        <v>14093</v>
      </c>
      <c r="E1807" s="556">
        <f t="shared" si="145"/>
        <v>9984</v>
      </c>
      <c r="F1807" s="556">
        <f t="shared" si="146"/>
        <v>14093</v>
      </c>
      <c r="G1807" s="556">
        <f t="shared" si="147"/>
        <v>12354</v>
      </c>
    </row>
    <row r="1808" spans="1:7" ht="15.75">
      <c r="A1808" s="625">
        <f t="shared" si="148"/>
        <v>87225</v>
      </c>
      <c r="B1808" s="555">
        <v>87200</v>
      </c>
      <c r="C1808" s="555">
        <v>87250</v>
      </c>
      <c r="D1808" s="556">
        <f t="shared" si="144"/>
        <v>14104</v>
      </c>
      <c r="E1808" s="556">
        <f t="shared" si="145"/>
        <v>9990</v>
      </c>
      <c r="F1808" s="556">
        <f t="shared" si="146"/>
        <v>14104</v>
      </c>
      <c r="G1808" s="556">
        <f t="shared" si="147"/>
        <v>12365</v>
      </c>
    </row>
    <row r="1809" spans="1:7" ht="15.75">
      <c r="A1809" s="625">
        <f t="shared" si="148"/>
        <v>87275</v>
      </c>
      <c r="B1809" s="555">
        <v>87250</v>
      </c>
      <c r="C1809" s="555">
        <v>87300</v>
      </c>
      <c r="D1809" s="556">
        <f t="shared" si="144"/>
        <v>14115</v>
      </c>
      <c r="E1809" s="556">
        <f t="shared" si="145"/>
        <v>9996</v>
      </c>
      <c r="F1809" s="556">
        <f t="shared" si="146"/>
        <v>14115</v>
      </c>
      <c r="G1809" s="556">
        <f t="shared" si="147"/>
        <v>12376</v>
      </c>
    </row>
    <row r="1810" spans="1:7" ht="15.75">
      <c r="A1810" s="625">
        <f t="shared" si="148"/>
        <v>87325</v>
      </c>
      <c r="B1810" s="555">
        <v>87300</v>
      </c>
      <c r="C1810" s="555">
        <v>87350</v>
      </c>
      <c r="D1810" s="556">
        <f t="shared" si="144"/>
        <v>14126</v>
      </c>
      <c r="E1810" s="556">
        <f t="shared" si="145"/>
        <v>10002</v>
      </c>
      <c r="F1810" s="556">
        <f t="shared" si="146"/>
        <v>14126</v>
      </c>
      <c r="G1810" s="556">
        <f t="shared" si="147"/>
        <v>12387</v>
      </c>
    </row>
    <row r="1811" spans="1:7" ht="15.75">
      <c r="A1811" s="625">
        <f t="shared" si="148"/>
        <v>87375</v>
      </c>
      <c r="B1811" s="555">
        <v>87350</v>
      </c>
      <c r="C1811" s="555">
        <v>87400</v>
      </c>
      <c r="D1811" s="556">
        <f t="shared" si="144"/>
        <v>14137</v>
      </c>
      <c r="E1811" s="556">
        <f t="shared" si="145"/>
        <v>10008</v>
      </c>
      <c r="F1811" s="556">
        <f t="shared" si="146"/>
        <v>14137</v>
      </c>
      <c r="G1811" s="556">
        <f t="shared" si="147"/>
        <v>12398</v>
      </c>
    </row>
    <row r="1812" spans="1:7" ht="15.75">
      <c r="A1812" s="625">
        <f t="shared" si="148"/>
        <v>87425</v>
      </c>
      <c r="B1812" s="555">
        <v>87400</v>
      </c>
      <c r="C1812" s="555">
        <v>87450</v>
      </c>
      <c r="D1812" s="556">
        <f t="shared" si="144"/>
        <v>14148</v>
      </c>
      <c r="E1812" s="556">
        <f t="shared" si="145"/>
        <v>10014</v>
      </c>
      <c r="F1812" s="556">
        <f t="shared" si="146"/>
        <v>14148</v>
      </c>
      <c r="G1812" s="556">
        <f t="shared" si="147"/>
        <v>12409</v>
      </c>
    </row>
    <row r="1813" spans="1:7" ht="15.75">
      <c r="A1813" s="625">
        <f t="shared" si="148"/>
        <v>87475</v>
      </c>
      <c r="B1813" s="555">
        <v>87450</v>
      </c>
      <c r="C1813" s="555">
        <v>87500</v>
      </c>
      <c r="D1813" s="556">
        <f t="shared" si="144"/>
        <v>14159</v>
      </c>
      <c r="E1813" s="556">
        <f t="shared" si="145"/>
        <v>10020</v>
      </c>
      <c r="F1813" s="556">
        <f t="shared" si="146"/>
        <v>14159</v>
      </c>
      <c r="G1813" s="556">
        <f t="shared" si="147"/>
        <v>12420</v>
      </c>
    </row>
    <row r="1814" spans="1:7" ht="15.75">
      <c r="A1814" s="625">
        <f t="shared" si="148"/>
        <v>87525</v>
      </c>
      <c r="B1814" s="555">
        <v>87500</v>
      </c>
      <c r="C1814" s="555">
        <v>87550</v>
      </c>
      <c r="D1814" s="556">
        <f t="shared" si="144"/>
        <v>14170</v>
      </c>
      <c r="E1814" s="556">
        <f t="shared" si="145"/>
        <v>10026</v>
      </c>
      <c r="F1814" s="556">
        <f t="shared" si="146"/>
        <v>14170</v>
      </c>
      <c r="G1814" s="556">
        <f t="shared" si="147"/>
        <v>12431</v>
      </c>
    </row>
    <row r="1815" spans="1:7" ht="15.75">
      <c r="A1815" s="625">
        <f t="shared" si="148"/>
        <v>87575</v>
      </c>
      <c r="B1815" s="555">
        <v>87550</v>
      </c>
      <c r="C1815" s="555">
        <v>87600</v>
      </c>
      <c r="D1815" s="556">
        <f t="shared" si="144"/>
        <v>14181</v>
      </c>
      <c r="E1815" s="556">
        <f t="shared" si="145"/>
        <v>10032</v>
      </c>
      <c r="F1815" s="556">
        <f t="shared" si="146"/>
        <v>14181</v>
      </c>
      <c r="G1815" s="556">
        <f t="shared" si="147"/>
        <v>12442</v>
      </c>
    </row>
    <row r="1816" spans="1:7" ht="15.75">
      <c r="A1816" s="625">
        <f t="shared" si="148"/>
        <v>87625</v>
      </c>
      <c r="B1816" s="555">
        <v>87600</v>
      </c>
      <c r="C1816" s="555">
        <v>87650</v>
      </c>
      <c r="D1816" s="556">
        <f t="shared" si="144"/>
        <v>14192</v>
      </c>
      <c r="E1816" s="556">
        <f t="shared" si="145"/>
        <v>10038</v>
      </c>
      <c r="F1816" s="556">
        <f t="shared" si="146"/>
        <v>14192</v>
      </c>
      <c r="G1816" s="556">
        <f t="shared" si="147"/>
        <v>12453</v>
      </c>
    </row>
    <row r="1817" spans="1:7" ht="15.75">
      <c r="A1817" s="625">
        <f t="shared" si="148"/>
        <v>87675</v>
      </c>
      <c r="B1817" s="555">
        <v>87650</v>
      </c>
      <c r="C1817" s="555">
        <v>87700</v>
      </c>
      <c r="D1817" s="556">
        <f t="shared" si="144"/>
        <v>14203</v>
      </c>
      <c r="E1817" s="556">
        <f t="shared" si="145"/>
        <v>10044</v>
      </c>
      <c r="F1817" s="556">
        <f t="shared" si="146"/>
        <v>14203</v>
      </c>
      <c r="G1817" s="556">
        <f t="shared" si="147"/>
        <v>12464</v>
      </c>
    </row>
    <row r="1818" spans="1:7" ht="15.75">
      <c r="A1818" s="625">
        <f t="shared" si="148"/>
        <v>87725</v>
      </c>
      <c r="B1818" s="555">
        <v>87700</v>
      </c>
      <c r="C1818" s="555">
        <v>87750</v>
      </c>
      <c r="D1818" s="556">
        <f t="shared" si="144"/>
        <v>14214</v>
      </c>
      <c r="E1818" s="556">
        <f t="shared" si="145"/>
        <v>10050</v>
      </c>
      <c r="F1818" s="556">
        <f t="shared" si="146"/>
        <v>14214</v>
      </c>
      <c r="G1818" s="556">
        <f t="shared" si="147"/>
        <v>12475</v>
      </c>
    </row>
    <row r="1819" spans="1:7" ht="15.75">
      <c r="A1819" s="625">
        <f t="shared" si="148"/>
        <v>87775</v>
      </c>
      <c r="B1819" s="555">
        <v>87750</v>
      </c>
      <c r="C1819" s="555">
        <v>87800</v>
      </c>
      <c r="D1819" s="556">
        <f t="shared" si="144"/>
        <v>14225</v>
      </c>
      <c r="E1819" s="556">
        <f t="shared" si="145"/>
        <v>10056</v>
      </c>
      <c r="F1819" s="556">
        <f t="shared" si="146"/>
        <v>14225</v>
      </c>
      <c r="G1819" s="556">
        <f t="shared" si="147"/>
        <v>12486</v>
      </c>
    </row>
    <row r="1820" spans="1:7" ht="15.75">
      <c r="A1820" s="625">
        <f t="shared" si="148"/>
        <v>87825</v>
      </c>
      <c r="B1820" s="555">
        <v>87800</v>
      </c>
      <c r="C1820" s="555">
        <v>87850</v>
      </c>
      <c r="D1820" s="556">
        <f t="shared" si="144"/>
        <v>14236</v>
      </c>
      <c r="E1820" s="556">
        <f t="shared" si="145"/>
        <v>10062</v>
      </c>
      <c r="F1820" s="556">
        <f t="shared" si="146"/>
        <v>14236</v>
      </c>
      <c r="G1820" s="556">
        <f t="shared" si="147"/>
        <v>12497</v>
      </c>
    </row>
    <row r="1821" spans="1:7" ht="15.75">
      <c r="A1821" s="625">
        <f t="shared" si="148"/>
        <v>87875</v>
      </c>
      <c r="B1821" s="555">
        <v>87850</v>
      </c>
      <c r="C1821" s="555">
        <v>87900</v>
      </c>
      <c r="D1821" s="556">
        <f t="shared" si="144"/>
        <v>14247</v>
      </c>
      <c r="E1821" s="556">
        <f t="shared" si="145"/>
        <v>10068</v>
      </c>
      <c r="F1821" s="556">
        <f t="shared" si="146"/>
        <v>14247</v>
      </c>
      <c r="G1821" s="556">
        <f t="shared" si="147"/>
        <v>12508</v>
      </c>
    </row>
    <row r="1822" spans="1:7" ht="15.75">
      <c r="A1822" s="625">
        <f t="shared" si="148"/>
        <v>87925</v>
      </c>
      <c r="B1822" s="555">
        <v>87900</v>
      </c>
      <c r="C1822" s="555">
        <v>87950</v>
      </c>
      <c r="D1822" s="556">
        <f t="shared" si="144"/>
        <v>14258</v>
      </c>
      <c r="E1822" s="556">
        <f t="shared" si="145"/>
        <v>10074</v>
      </c>
      <c r="F1822" s="556">
        <f t="shared" si="146"/>
        <v>14258</v>
      </c>
      <c r="G1822" s="556">
        <f t="shared" si="147"/>
        <v>12519</v>
      </c>
    </row>
    <row r="1823" spans="1:7" ht="15.75">
      <c r="A1823" s="625">
        <f t="shared" si="148"/>
        <v>87975</v>
      </c>
      <c r="B1823" s="555">
        <v>87950</v>
      </c>
      <c r="C1823" s="555">
        <v>88000</v>
      </c>
      <c r="D1823" s="556">
        <f t="shared" si="144"/>
        <v>14269</v>
      </c>
      <c r="E1823" s="556">
        <f t="shared" si="145"/>
        <v>10080</v>
      </c>
      <c r="F1823" s="556">
        <f t="shared" si="146"/>
        <v>14269</v>
      </c>
      <c r="G1823" s="556">
        <f t="shared" si="147"/>
        <v>12530</v>
      </c>
    </row>
    <row r="1824" spans="1:7" ht="15.75">
      <c r="A1824" s="625">
        <f t="shared" si="148"/>
        <v>88025</v>
      </c>
      <c r="B1824" s="555">
        <v>88000</v>
      </c>
      <c r="C1824" s="555">
        <v>88050</v>
      </c>
      <c r="D1824" s="556">
        <f t="shared" si="144"/>
        <v>14280</v>
      </c>
      <c r="E1824" s="556">
        <f t="shared" si="145"/>
        <v>10086</v>
      </c>
      <c r="F1824" s="556">
        <f t="shared" si="146"/>
        <v>14280</v>
      </c>
      <c r="G1824" s="556">
        <f t="shared" si="147"/>
        <v>12541</v>
      </c>
    </row>
    <row r="1825" spans="1:7" ht="15.75">
      <c r="A1825" s="625">
        <f t="shared" si="148"/>
        <v>88075</v>
      </c>
      <c r="B1825" s="555">
        <v>88050</v>
      </c>
      <c r="C1825" s="555">
        <v>88100</v>
      </c>
      <c r="D1825" s="556">
        <f t="shared" si="144"/>
        <v>14291</v>
      </c>
      <c r="E1825" s="556">
        <f t="shared" si="145"/>
        <v>10092</v>
      </c>
      <c r="F1825" s="556">
        <f t="shared" si="146"/>
        <v>14291</v>
      </c>
      <c r="G1825" s="556">
        <f t="shared" si="147"/>
        <v>12552</v>
      </c>
    </row>
    <row r="1826" spans="1:7" ht="15.75">
      <c r="A1826" s="625">
        <f t="shared" si="148"/>
        <v>88125</v>
      </c>
      <c r="B1826" s="555">
        <v>88100</v>
      </c>
      <c r="C1826" s="555">
        <v>88150</v>
      </c>
      <c r="D1826" s="556">
        <f t="shared" si="144"/>
        <v>14302</v>
      </c>
      <c r="E1826" s="556">
        <f t="shared" si="145"/>
        <v>10098</v>
      </c>
      <c r="F1826" s="556">
        <f t="shared" si="146"/>
        <v>14302</v>
      </c>
      <c r="G1826" s="556">
        <f t="shared" si="147"/>
        <v>12563</v>
      </c>
    </row>
    <row r="1827" spans="1:7" ht="15.75">
      <c r="A1827" s="625">
        <f t="shared" si="148"/>
        <v>88175</v>
      </c>
      <c r="B1827" s="555">
        <v>88150</v>
      </c>
      <c r="C1827" s="555">
        <v>88200</v>
      </c>
      <c r="D1827" s="556">
        <f t="shared" si="144"/>
        <v>14313</v>
      </c>
      <c r="E1827" s="556">
        <f t="shared" si="145"/>
        <v>10104</v>
      </c>
      <c r="F1827" s="556">
        <f t="shared" si="146"/>
        <v>14313</v>
      </c>
      <c r="G1827" s="556">
        <f t="shared" si="147"/>
        <v>12574</v>
      </c>
    </row>
    <row r="1828" spans="1:7" ht="15.75">
      <c r="A1828" s="625">
        <f t="shared" si="148"/>
        <v>88225</v>
      </c>
      <c r="B1828" s="555">
        <v>88200</v>
      </c>
      <c r="C1828" s="555">
        <v>88250</v>
      </c>
      <c r="D1828" s="556">
        <f t="shared" si="144"/>
        <v>14324</v>
      </c>
      <c r="E1828" s="556">
        <f t="shared" si="145"/>
        <v>10110</v>
      </c>
      <c r="F1828" s="556">
        <f t="shared" si="146"/>
        <v>14324</v>
      </c>
      <c r="G1828" s="556">
        <f t="shared" si="147"/>
        <v>12585</v>
      </c>
    </row>
    <row r="1829" spans="1:7" ht="15.75">
      <c r="A1829" s="625">
        <f t="shared" si="148"/>
        <v>88275</v>
      </c>
      <c r="B1829" s="555">
        <v>88250</v>
      </c>
      <c r="C1829" s="555">
        <v>88300</v>
      </c>
      <c r="D1829" s="556">
        <f t="shared" si="144"/>
        <v>14335</v>
      </c>
      <c r="E1829" s="556">
        <f t="shared" si="145"/>
        <v>10116</v>
      </c>
      <c r="F1829" s="556">
        <f t="shared" si="146"/>
        <v>14335</v>
      </c>
      <c r="G1829" s="556">
        <f t="shared" si="147"/>
        <v>12596</v>
      </c>
    </row>
    <row r="1830" spans="1:7" ht="15.75">
      <c r="A1830" s="625">
        <f t="shared" si="148"/>
        <v>88325</v>
      </c>
      <c r="B1830" s="555">
        <v>88300</v>
      </c>
      <c r="C1830" s="555">
        <v>88350</v>
      </c>
      <c r="D1830" s="556">
        <f t="shared" si="144"/>
        <v>14346</v>
      </c>
      <c r="E1830" s="556">
        <f t="shared" si="145"/>
        <v>10122</v>
      </c>
      <c r="F1830" s="556">
        <f t="shared" si="146"/>
        <v>14346</v>
      </c>
      <c r="G1830" s="556">
        <f t="shared" si="147"/>
        <v>12607</v>
      </c>
    </row>
    <row r="1831" spans="1:7" ht="15.75">
      <c r="A1831" s="625">
        <f t="shared" si="148"/>
        <v>88375</v>
      </c>
      <c r="B1831" s="555">
        <v>88350</v>
      </c>
      <c r="C1831" s="555">
        <v>88400</v>
      </c>
      <c r="D1831" s="556">
        <f t="shared" si="144"/>
        <v>14357</v>
      </c>
      <c r="E1831" s="556">
        <f t="shared" si="145"/>
        <v>10128</v>
      </c>
      <c r="F1831" s="556">
        <f t="shared" si="146"/>
        <v>14357</v>
      </c>
      <c r="G1831" s="556">
        <f t="shared" si="147"/>
        <v>12618</v>
      </c>
    </row>
    <row r="1832" spans="1:7" ht="15.75">
      <c r="A1832" s="625">
        <f t="shared" si="148"/>
        <v>88425</v>
      </c>
      <c r="B1832" s="555">
        <v>88400</v>
      </c>
      <c r="C1832" s="555">
        <v>88450</v>
      </c>
      <c r="D1832" s="556">
        <f t="shared" si="144"/>
        <v>14368</v>
      </c>
      <c r="E1832" s="556">
        <f t="shared" si="145"/>
        <v>10134</v>
      </c>
      <c r="F1832" s="556">
        <f t="shared" si="146"/>
        <v>14368</v>
      </c>
      <c r="G1832" s="556">
        <f t="shared" si="147"/>
        <v>12629</v>
      </c>
    </row>
    <row r="1833" spans="1:7" ht="15.75">
      <c r="A1833" s="625">
        <f t="shared" si="148"/>
        <v>88475</v>
      </c>
      <c r="B1833" s="555">
        <v>88450</v>
      </c>
      <c r="C1833" s="555">
        <v>88500</v>
      </c>
      <c r="D1833" s="556">
        <f t="shared" si="144"/>
        <v>14379</v>
      </c>
      <c r="E1833" s="556">
        <f t="shared" si="145"/>
        <v>10140</v>
      </c>
      <c r="F1833" s="556">
        <f t="shared" si="146"/>
        <v>14379</v>
      </c>
      <c r="G1833" s="556">
        <f t="shared" si="147"/>
        <v>12640</v>
      </c>
    </row>
    <row r="1834" spans="1:7" ht="15.75">
      <c r="A1834" s="625">
        <f t="shared" si="148"/>
        <v>88525</v>
      </c>
      <c r="B1834" s="555">
        <v>88500</v>
      </c>
      <c r="C1834" s="555">
        <v>88550</v>
      </c>
      <c r="D1834" s="556">
        <f t="shared" si="144"/>
        <v>14390</v>
      </c>
      <c r="E1834" s="556">
        <f t="shared" si="145"/>
        <v>10146</v>
      </c>
      <c r="F1834" s="556">
        <f t="shared" si="146"/>
        <v>14390</v>
      </c>
      <c r="G1834" s="556">
        <f t="shared" si="147"/>
        <v>12651</v>
      </c>
    </row>
    <row r="1835" spans="1:7" ht="15.75">
      <c r="A1835" s="625">
        <f t="shared" si="148"/>
        <v>88575</v>
      </c>
      <c r="B1835" s="555">
        <v>88550</v>
      </c>
      <c r="C1835" s="555">
        <v>88600</v>
      </c>
      <c r="D1835" s="556">
        <f t="shared" si="144"/>
        <v>14401</v>
      </c>
      <c r="E1835" s="556">
        <f t="shared" si="145"/>
        <v>10152</v>
      </c>
      <c r="F1835" s="556">
        <f t="shared" si="146"/>
        <v>14401</v>
      </c>
      <c r="G1835" s="556">
        <f t="shared" si="147"/>
        <v>12662</v>
      </c>
    </row>
    <row r="1836" spans="1:7" ht="15.75">
      <c r="A1836" s="625">
        <f t="shared" si="148"/>
        <v>88625</v>
      </c>
      <c r="B1836" s="555">
        <v>88600</v>
      </c>
      <c r="C1836" s="555">
        <v>88650</v>
      </c>
      <c r="D1836" s="556">
        <f t="shared" si="144"/>
        <v>14412</v>
      </c>
      <c r="E1836" s="556">
        <f t="shared" si="145"/>
        <v>10158</v>
      </c>
      <c r="F1836" s="556">
        <f t="shared" si="146"/>
        <v>14412</v>
      </c>
      <c r="G1836" s="556">
        <f t="shared" si="147"/>
        <v>12673</v>
      </c>
    </row>
    <row r="1837" spans="1:7" ht="15.75">
      <c r="A1837" s="625">
        <f t="shared" si="148"/>
        <v>88675</v>
      </c>
      <c r="B1837" s="555">
        <v>88650</v>
      </c>
      <c r="C1837" s="555">
        <v>88700</v>
      </c>
      <c r="D1837" s="556">
        <f t="shared" si="144"/>
        <v>14423</v>
      </c>
      <c r="E1837" s="556">
        <f t="shared" si="145"/>
        <v>10164</v>
      </c>
      <c r="F1837" s="556">
        <f t="shared" si="146"/>
        <v>14423</v>
      </c>
      <c r="G1837" s="556">
        <f t="shared" si="147"/>
        <v>12684</v>
      </c>
    </row>
    <row r="1838" spans="1:7" ht="15.75">
      <c r="A1838" s="625">
        <f t="shared" si="148"/>
        <v>88725</v>
      </c>
      <c r="B1838" s="555">
        <v>88700</v>
      </c>
      <c r="C1838" s="555">
        <v>88750</v>
      </c>
      <c r="D1838" s="556">
        <f t="shared" si="144"/>
        <v>14434</v>
      </c>
      <c r="E1838" s="556">
        <f t="shared" si="145"/>
        <v>10170</v>
      </c>
      <c r="F1838" s="556">
        <f t="shared" si="146"/>
        <v>14434</v>
      </c>
      <c r="G1838" s="556">
        <f t="shared" si="147"/>
        <v>12695</v>
      </c>
    </row>
    <row r="1839" spans="1:7" ht="15.75">
      <c r="A1839" s="625">
        <f t="shared" si="148"/>
        <v>88775</v>
      </c>
      <c r="B1839" s="555">
        <v>88750</v>
      </c>
      <c r="C1839" s="555">
        <v>88800</v>
      </c>
      <c r="D1839" s="556">
        <f t="shared" si="144"/>
        <v>14445</v>
      </c>
      <c r="E1839" s="556">
        <f t="shared" si="145"/>
        <v>10176</v>
      </c>
      <c r="F1839" s="556">
        <f t="shared" si="146"/>
        <v>14445</v>
      </c>
      <c r="G1839" s="556">
        <f t="shared" si="147"/>
        <v>12706</v>
      </c>
    </row>
    <row r="1840" spans="1:7" ht="15.75">
      <c r="A1840" s="625">
        <f t="shared" si="148"/>
        <v>88825</v>
      </c>
      <c r="B1840" s="555">
        <v>88800</v>
      </c>
      <c r="C1840" s="555">
        <v>88850</v>
      </c>
      <c r="D1840" s="556">
        <f t="shared" si="144"/>
        <v>14456</v>
      </c>
      <c r="E1840" s="556">
        <f t="shared" si="145"/>
        <v>10182</v>
      </c>
      <c r="F1840" s="556">
        <f t="shared" si="146"/>
        <v>14456</v>
      </c>
      <c r="G1840" s="556">
        <f t="shared" si="147"/>
        <v>12717</v>
      </c>
    </row>
    <row r="1841" spans="1:7" ht="15.75">
      <c r="A1841" s="625">
        <f t="shared" si="148"/>
        <v>88875</v>
      </c>
      <c r="B1841" s="555">
        <v>88850</v>
      </c>
      <c r="C1841" s="555">
        <v>88900</v>
      </c>
      <c r="D1841" s="556">
        <f t="shared" si="144"/>
        <v>14467</v>
      </c>
      <c r="E1841" s="556">
        <f t="shared" si="145"/>
        <v>10188</v>
      </c>
      <c r="F1841" s="556">
        <f t="shared" si="146"/>
        <v>14467</v>
      </c>
      <c r="G1841" s="556">
        <f t="shared" si="147"/>
        <v>12728</v>
      </c>
    </row>
    <row r="1842" spans="1:7" ht="15.75">
      <c r="A1842" s="625">
        <f t="shared" si="148"/>
        <v>88925</v>
      </c>
      <c r="B1842" s="555">
        <v>88900</v>
      </c>
      <c r="C1842" s="555">
        <v>88950</v>
      </c>
      <c r="D1842" s="556">
        <f t="shared" si="144"/>
        <v>14478</v>
      </c>
      <c r="E1842" s="556">
        <f t="shared" si="145"/>
        <v>10194</v>
      </c>
      <c r="F1842" s="556">
        <f t="shared" si="146"/>
        <v>14478</v>
      </c>
      <c r="G1842" s="556">
        <f t="shared" si="147"/>
        <v>12739</v>
      </c>
    </row>
    <row r="1843" spans="1:7" ht="15.75">
      <c r="A1843" s="625">
        <f t="shared" si="148"/>
        <v>88975</v>
      </c>
      <c r="B1843" s="555">
        <v>88950</v>
      </c>
      <c r="C1843" s="555">
        <v>89000</v>
      </c>
      <c r="D1843" s="556">
        <f t="shared" si="144"/>
        <v>14489</v>
      </c>
      <c r="E1843" s="556">
        <f t="shared" si="145"/>
        <v>10200</v>
      </c>
      <c r="F1843" s="556">
        <f t="shared" si="146"/>
        <v>14489</v>
      </c>
      <c r="G1843" s="556">
        <f t="shared" si="147"/>
        <v>12750</v>
      </c>
    </row>
    <row r="1844" spans="1:7" ht="15.75">
      <c r="A1844" s="625">
        <f t="shared" si="148"/>
        <v>89025</v>
      </c>
      <c r="B1844" s="555">
        <v>89000</v>
      </c>
      <c r="C1844" s="555">
        <v>89050</v>
      </c>
      <c r="D1844" s="556">
        <f t="shared" si="144"/>
        <v>14500</v>
      </c>
      <c r="E1844" s="556">
        <f t="shared" si="145"/>
        <v>10206</v>
      </c>
      <c r="F1844" s="556">
        <f t="shared" si="146"/>
        <v>14500</v>
      </c>
      <c r="G1844" s="556">
        <f t="shared" si="147"/>
        <v>12761</v>
      </c>
    </row>
    <row r="1845" spans="1:7" ht="15.75">
      <c r="A1845" s="625">
        <f t="shared" si="148"/>
        <v>89075</v>
      </c>
      <c r="B1845" s="555">
        <v>89050</v>
      </c>
      <c r="C1845" s="555">
        <v>89100</v>
      </c>
      <c r="D1845" s="556">
        <f t="shared" si="144"/>
        <v>14511</v>
      </c>
      <c r="E1845" s="556">
        <f t="shared" si="145"/>
        <v>10212</v>
      </c>
      <c r="F1845" s="556">
        <f t="shared" si="146"/>
        <v>14511</v>
      </c>
      <c r="G1845" s="556">
        <f t="shared" si="147"/>
        <v>12772</v>
      </c>
    </row>
    <row r="1846" spans="1:7" ht="15.75">
      <c r="A1846" s="625">
        <f t="shared" si="148"/>
        <v>89125</v>
      </c>
      <c r="B1846" s="555">
        <v>89100</v>
      </c>
      <c r="C1846" s="555">
        <v>89150</v>
      </c>
      <c r="D1846" s="556">
        <f t="shared" si="144"/>
        <v>14522</v>
      </c>
      <c r="E1846" s="556">
        <f t="shared" si="145"/>
        <v>10218</v>
      </c>
      <c r="F1846" s="556">
        <f t="shared" si="146"/>
        <v>14522</v>
      </c>
      <c r="G1846" s="556">
        <f t="shared" si="147"/>
        <v>12783</v>
      </c>
    </row>
    <row r="1847" spans="1:7" ht="15.75">
      <c r="A1847" s="625">
        <f t="shared" si="148"/>
        <v>89175</v>
      </c>
      <c r="B1847" s="555">
        <v>89150</v>
      </c>
      <c r="C1847" s="555">
        <v>89200</v>
      </c>
      <c r="D1847" s="556">
        <f t="shared" si="144"/>
        <v>14533</v>
      </c>
      <c r="E1847" s="556">
        <f t="shared" si="145"/>
        <v>10224</v>
      </c>
      <c r="F1847" s="556">
        <f t="shared" si="146"/>
        <v>14533</v>
      </c>
      <c r="G1847" s="556">
        <f t="shared" si="147"/>
        <v>12794</v>
      </c>
    </row>
    <row r="1848" spans="1:7" ht="15.75">
      <c r="A1848" s="625">
        <f t="shared" si="148"/>
        <v>89225</v>
      </c>
      <c r="B1848" s="555">
        <v>89200</v>
      </c>
      <c r="C1848" s="555">
        <v>89250</v>
      </c>
      <c r="D1848" s="556">
        <f t="shared" si="144"/>
        <v>14544</v>
      </c>
      <c r="E1848" s="556">
        <f t="shared" si="145"/>
        <v>10230</v>
      </c>
      <c r="F1848" s="556">
        <f t="shared" si="146"/>
        <v>14544</v>
      </c>
      <c r="G1848" s="556">
        <f t="shared" si="147"/>
        <v>12805</v>
      </c>
    </row>
    <row r="1849" spans="1:7" ht="15.75">
      <c r="A1849" s="625">
        <f t="shared" si="148"/>
        <v>89275</v>
      </c>
      <c r="B1849" s="555">
        <v>89250</v>
      </c>
      <c r="C1849" s="555">
        <v>89300</v>
      </c>
      <c r="D1849" s="556">
        <f t="shared" si="144"/>
        <v>14555</v>
      </c>
      <c r="E1849" s="556">
        <f t="shared" si="145"/>
        <v>10236</v>
      </c>
      <c r="F1849" s="556">
        <f t="shared" si="146"/>
        <v>14555</v>
      </c>
      <c r="G1849" s="556">
        <f t="shared" si="147"/>
        <v>12816</v>
      </c>
    </row>
    <row r="1850" spans="1:7" ht="15.75">
      <c r="A1850" s="625">
        <f t="shared" si="148"/>
        <v>89325</v>
      </c>
      <c r="B1850" s="555">
        <v>89300</v>
      </c>
      <c r="C1850" s="555">
        <v>89350</v>
      </c>
      <c r="D1850" s="556">
        <f t="shared" si="144"/>
        <v>14566</v>
      </c>
      <c r="E1850" s="556">
        <f t="shared" si="145"/>
        <v>10242</v>
      </c>
      <c r="F1850" s="556">
        <f t="shared" si="146"/>
        <v>14566</v>
      </c>
      <c r="G1850" s="556">
        <f t="shared" si="147"/>
        <v>12827</v>
      </c>
    </row>
    <row r="1851" spans="1:7" ht="15.75">
      <c r="A1851" s="625">
        <f t="shared" si="148"/>
        <v>89375</v>
      </c>
      <c r="B1851" s="555">
        <v>89350</v>
      </c>
      <c r="C1851" s="555">
        <v>89400</v>
      </c>
      <c r="D1851" s="556">
        <f t="shared" si="144"/>
        <v>14577</v>
      </c>
      <c r="E1851" s="556">
        <f t="shared" si="145"/>
        <v>10248</v>
      </c>
      <c r="F1851" s="556">
        <f t="shared" si="146"/>
        <v>14577</v>
      </c>
      <c r="G1851" s="556">
        <f t="shared" si="147"/>
        <v>12838</v>
      </c>
    </row>
    <row r="1852" spans="1:7" ht="15.75">
      <c r="A1852" s="625">
        <f t="shared" si="148"/>
        <v>89425</v>
      </c>
      <c r="B1852" s="555">
        <v>89400</v>
      </c>
      <c r="C1852" s="555">
        <v>89450</v>
      </c>
      <c r="D1852" s="556">
        <f t="shared" si="144"/>
        <v>14588</v>
      </c>
      <c r="E1852" s="556">
        <f t="shared" si="145"/>
        <v>10254</v>
      </c>
      <c r="F1852" s="556">
        <f t="shared" si="146"/>
        <v>14588</v>
      </c>
      <c r="G1852" s="556">
        <f t="shared" si="147"/>
        <v>12849</v>
      </c>
    </row>
    <row r="1853" spans="1:7" ht="15.75">
      <c r="A1853" s="625">
        <f t="shared" si="148"/>
        <v>89475</v>
      </c>
      <c r="B1853" s="555">
        <v>89450</v>
      </c>
      <c r="C1853" s="555">
        <v>89500</v>
      </c>
      <c r="D1853" s="556">
        <f t="shared" si="144"/>
        <v>14599</v>
      </c>
      <c r="E1853" s="556">
        <f t="shared" si="145"/>
        <v>10260</v>
      </c>
      <c r="F1853" s="556">
        <f t="shared" si="146"/>
        <v>14599</v>
      </c>
      <c r="G1853" s="556">
        <f t="shared" si="147"/>
        <v>12860</v>
      </c>
    </row>
    <row r="1854" spans="1:7" ht="15.75">
      <c r="A1854" s="625">
        <f t="shared" si="148"/>
        <v>89525</v>
      </c>
      <c r="B1854" s="555">
        <v>89500</v>
      </c>
      <c r="C1854" s="555">
        <v>89550</v>
      </c>
      <c r="D1854" s="556">
        <f t="shared" si="144"/>
        <v>14610</v>
      </c>
      <c r="E1854" s="556">
        <f t="shared" si="145"/>
        <v>10266</v>
      </c>
      <c r="F1854" s="556">
        <f t="shared" si="146"/>
        <v>14610</v>
      </c>
      <c r="G1854" s="556">
        <f t="shared" si="147"/>
        <v>12871</v>
      </c>
    </row>
    <row r="1855" spans="1:7" ht="15.75">
      <c r="A1855" s="625">
        <f t="shared" si="148"/>
        <v>89575</v>
      </c>
      <c r="B1855" s="555">
        <v>89550</v>
      </c>
      <c r="C1855" s="555">
        <v>89600</v>
      </c>
      <c r="D1855" s="556">
        <f t="shared" si="144"/>
        <v>14621</v>
      </c>
      <c r="E1855" s="556">
        <f t="shared" si="145"/>
        <v>10272</v>
      </c>
      <c r="F1855" s="556">
        <f t="shared" si="146"/>
        <v>14621</v>
      </c>
      <c r="G1855" s="556">
        <f t="shared" si="147"/>
        <v>12882</v>
      </c>
    </row>
    <row r="1856" spans="1:7" ht="15.75">
      <c r="A1856" s="625">
        <f t="shared" si="148"/>
        <v>89625</v>
      </c>
      <c r="B1856" s="555">
        <v>89600</v>
      </c>
      <c r="C1856" s="555">
        <v>89650</v>
      </c>
      <c r="D1856" s="556">
        <f t="shared" si="144"/>
        <v>14632</v>
      </c>
      <c r="E1856" s="556">
        <f t="shared" si="145"/>
        <v>10278</v>
      </c>
      <c r="F1856" s="556">
        <f t="shared" si="146"/>
        <v>14632</v>
      </c>
      <c r="G1856" s="556">
        <f t="shared" si="147"/>
        <v>12893</v>
      </c>
    </row>
    <row r="1857" spans="1:7" ht="15.75">
      <c r="A1857" s="625">
        <f t="shared" si="148"/>
        <v>89675</v>
      </c>
      <c r="B1857" s="555">
        <v>89650</v>
      </c>
      <c r="C1857" s="555">
        <v>89700</v>
      </c>
      <c r="D1857" s="556">
        <f t="shared" si="144"/>
        <v>14643</v>
      </c>
      <c r="E1857" s="556">
        <f t="shared" si="145"/>
        <v>10284</v>
      </c>
      <c r="F1857" s="556">
        <f t="shared" si="146"/>
        <v>14643</v>
      </c>
      <c r="G1857" s="556">
        <f t="shared" si="147"/>
        <v>12904</v>
      </c>
    </row>
    <row r="1858" spans="1:7" ht="15.75">
      <c r="A1858" s="625">
        <f t="shared" si="148"/>
        <v>89725</v>
      </c>
      <c r="B1858" s="555">
        <v>89700</v>
      </c>
      <c r="C1858" s="555">
        <v>89750</v>
      </c>
      <c r="D1858" s="556">
        <f t="shared" ref="D1858:D1921" si="149">IF($A1858&gt;BOTT_A4,ROUND(BASE_A4+RATE_A4*($A1858-BOTT_A4),0),IF($A1858&gt;BOTT_A3,ROUND(BASE_A3+RATE_A3*($A1858-BOTT_A3),0),IF($A1858&gt;BOTT_A2,ROUND(BASE_A2+RATE_A2*($A1858-BOTT_A2),0),ROUND(RATE_A1*$A1858,0))))</f>
        <v>14654</v>
      </c>
      <c r="E1858" s="556">
        <f t="shared" ref="E1858:E1921" si="150">IF($A1858&gt;BOTT_B4,ROUND(BASE_B4+RATE_B4*($A1858-BOTT_B4),0),IF($A1858&gt;BOTT_B3,ROUND(BASE_B3+RATE_B3*($A1858-BOTT_B3),0),IF($A1858&gt;BOTT_B2,ROUND(BASE_B2+RATE_B2*($A1858-BOTT_B2),0),ROUND(RATE_B1*$A1858,0))))</f>
        <v>10290</v>
      </c>
      <c r="F1858" s="556">
        <f t="shared" ref="F1858:F1921" si="151">IF($A1858&gt;BOTT_C4,ROUND(BASE_C4+RATE_C4*($A1858-BOTT_C4),0),IF($A1858&gt;BOTT_C3,ROUND(BASE_C3+RATE_C3*($A1858-BOTT_C3),0),IF($A1858&gt;BOTT_C2,ROUND(BASE_C2+RATE_C2*($A1858-BOTT_C2),0),ROUND(RATE_C1*$A1858,0))))</f>
        <v>14654</v>
      </c>
      <c r="G1858" s="556">
        <f t="shared" ref="G1858:G1921" si="152">IF($A1858&gt;BOTT_D4,ROUND(BASE_D4+RATE_D4*($A1858-BOTT_D4),0),IF($A1858&gt;BOTT_D3,ROUND(BASE_D3+RATE_D3*($A1858-BOTT_D3),0),IF($A1858&gt;BOTT_D2,ROUND(BASE_D2+RATE_D2*($A1858-BOTT_D2),0),ROUND(RATE_D1*$A1858,0))))</f>
        <v>12915</v>
      </c>
    </row>
    <row r="1859" spans="1:7" ht="15.75">
      <c r="A1859" s="625">
        <f t="shared" ref="A1859:A1922" si="153">AVERAGE(B1859,C1859)</f>
        <v>89775</v>
      </c>
      <c r="B1859" s="555">
        <v>89750</v>
      </c>
      <c r="C1859" s="555">
        <v>89800</v>
      </c>
      <c r="D1859" s="556">
        <f t="shared" si="149"/>
        <v>14665</v>
      </c>
      <c r="E1859" s="556">
        <f t="shared" si="150"/>
        <v>10296</v>
      </c>
      <c r="F1859" s="556">
        <f t="shared" si="151"/>
        <v>14665</v>
      </c>
      <c r="G1859" s="556">
        <f t="shared" si="152"/>
        <v>12926</v>
      </c>
    </row>
    <row r="1860" spans="1:7" ht="15.75">
      <c r="A1860" s="625">
        <f t="shared" si="153"/>
        <v>89825</v>
      </c>
      <c r="B1860" s="555">
        <v>89800</v>
      </c>
      <c r="C1860" s="555">
        <v>89850</v>
      </c>
      <c r="D1860" s="556">
        <f t="shared" si="149"/>
        <v>14676</v>
      </c>
      <c r="E1860" s="556">
        <f t="shared" si="150"/>
        <v>10302</v>
      </c>
      <c r="F1860" s="556">
        <f t="shared" si="151"/>
        <v>14676</v>
      </c>
      <c r="G1860" s="556">
        <f t="shared" si="152"/>
        <v>12937</v>
      </c>
    </row>
    <row r="1861" spans="1:7" ht="15.75">
      <c r="A1861" s="625">
        <f t="shared" si="153"/>
        <v>89875</v>
      </c>
      <c r="B1861" s="555">
        <v>89850</v>
      </c>
      <c r="C1861" s="555">
        <v>89900</v>
      </c>
      <c r="D1861" s="556">
        <f t="shared" si="149"/>
        <v>14687</v>
      </c>
      <c r="E1861" s="556">
        <f t="shared" si="150"/>
        <v>10308</v>
      </c>
      <c r="F1861" s="556">
        <f t="shared" si="151"/>
        <v>14687</v>
      </c>
      <c r="G1861" s="556">
        <f t="shared" si="152"/>
        <v>12948</v>
      </c>
    </row>
    <row r="1862" spans="1:7" ht="15.75">
      <c r="A1862" s="625">
        <f t="shared" si="153"/>
        <v>89925</v>
      </c>
      <c r="B1862" s="555">
        <v>89900</v>
      </c>
      <c r="C1862" s="555">
        <v>89950</v>
      </c>
      <c r="D1862" s="556">
        <f t="shared" si="149"/>
        <v>14698</v>
      </c>
      <c r="E1862" s="556">
        <f t="shared" si="150"/>
        <v>10314</v>
      </c>
      <c r="F1862" s="556">
        <f t="shared" si="151"/>
        <v>14698</v>
      </c>
      <c r="G1862" s="556">
        <f t="shared" si="152"/>
        <v>12959</v>
      </c>
    </row>
    <row r="1863" spans="1:7" ht="15.75">
      <c r="A1863" s="625">
        <f t="shared" si="153"/>
        <v>89975</v>
      </c>
      <c r="B1863" s="555">
        <v>89950</v>
      </c>
      <c r="C1863" s="555">
        <v>90000</v>
      </c>
      <c r="D1863" s="556">
        <f t="shared" si="149"/>
        <v>14709</v>
      </c>
      <c r="E1863" s="556">
        <f t="shared" si="150"/>
        <v>10320</v>
      </c>
      <c r="F1863" s="556">
        <f t="shared" si="151"/>
        <v>14709</v>
      </c>
      <c r="G1863" s="556">
        <f t="shared" si="152"/>
        <v>12970</v>
      </c>
    </row>
    <row r="1864" spans="1:7" ht="15.75">
      <c r="A1864" s="625">
        <f t="shared" si="153"/>
        <v>90025</v>
      </c>
      <c r="B1864" s="555">
        <v>90000</v>
      </c>
      <c r="C1864" s="555">
        <v>90050</v>
      </c>
      <c r="D1864" s="556">
        <f t="shared" si="149"/>
        <v>14720</v>
      </c>
      <c r="E1864" s="556">
        <f t="shared" si="150"/>
        <v>10326</v>
      </c>
      <c r="F1864" s="556">
        <f t="shared" si="151"/>
        <v>14720</v>
      </c>
      <c r="G1864" s="556">
        <f t="shared" si="152"/>
        <v>12981</v>
      </c>
    </row>
    <row r="1865" spans="1:7" ht="15.75">
      <c r="A1865" s="625">
        <f t="shared" si="153"/>
        <v>90075</v>
      </c>
      <c r="B1865" s="555">
        <v>90050</v>
      </c>
      <c r="C1865" s="555">
        <v>90100</v>
      </c>
      <c r="D1865" s="556">
        <f t="shared" si="149"/>
        <v>14731</v>
      </c>
      <c r="E1865" s="556">
        <f t="shared" si="150"/>
        <v>10332</v>
      </c>
      <c r="F1865" s="556">
        <f t="shared" si="151"/>
        <v>14731</v>
      </c>
      <c r="G1865" s="556">
        <f t="shared" si="152"/>
        <v>12992</v>
      </c>
    </row>
    <row r="1866" spans="1:7" ht="15.75">
      <c r="A1866" s="625">
        <f t="shared" si="153"/>
        <v>90125</v>
      </c>
      <c r="B1866" s="555">
        <v>90100</v>
      </c>
      <c r="C1866" s="555">
        <v>90150</v>
      </c>
      <c r="D1866" s="556">
        <f t="shared" si="149"/>
        <v>14742</v>
      </c>
      <c r="E1866" s="556">
        <f t="shared" si="150"/>
        <v>10338</v>
      </c>
      <c r="F1866" s="556">
        <f t="shared" si="151"/>
        <v>14742</v>
      </c>
      <c r="G1866" s="556">
        <f t="shared" si="152"/>
        <v>13003</v>
      </c>
    </row>
    <row r="1867" spans="1:7" ht="15.75">
      <c r="A1867" s="625">
        <f t="shared" si="153"/>
        <v>90175</v>
      </c>
      <c r="B1867" s="555">
        <v>90150</v>
      </c>
      <c r="C1867" s="555">
        <v>90200</v>
      </c>
      <c r="D1867" s="556">
        <f t="shared" si="149"/>
        <v>14753</v>
      </c>
      <c r="E1867" s="556">
        <f t="shared" si="150"/>
        <v>10344</v>
      </c>
      <c r="F1867" s="556">
        <f t="shared" si="151"/>
        <v>14753</v>
      </c>
      <c r="G1867" s="556">
        <f t="shared" si="152"/>
        <v>13014</v>
      </c>
    </row>
    <row r="1868" spans="1:7" ht="15.75">
      <c r="A1868" s="625">
        <f t="shared" si="153"/>
        <v>90225</v>
      </c>
      <c r="B1868" s="555">
        <v>90200</v>
      </c>
      <c r="C1868" s="555">
        <v>90250</v>
      </c>
      <c r="D1868" s="556">
        <f t="shared" si="149"/>
        <v>14764</v>
      </c>
      <c r="E1868" s="556">
        <f t="shared" si="150"/>
        <v>10350</v>
      </c>
      <c r="F1868" s="556">
        <f t="shared" si="151"/>
        <v>14764</v>
      </c>
      <c r="G1868" s="556">
        <f t="shared" si="152"/>
        <v>13025</v>
      </c>
    </row>
    <row r="1869" spans="1:7" ht="15.75">
      <c r="A1869" s="625">
        <f t="shared" si="153"/>
        <v>90275</v>
      </c>
      <c r="B1869" s="555">
        <v>90250</v>
      </c>
      <c r="C1869" s="555">
        <v>90300</v>
      </c>
      <c r="D1869" s="556">
        <f t="shared" si="149"/>
        <v>14775</v>
      </c>
      <c r="E1869" s="556">
        <f t="shared" si="150"/>
        <v>10356</v>
      </c>
      <c r="F1869" s="556">
        <f t="shared" si="151"/>
        <v>14775</v>
      </c>
      <c r="G1869" s="556">
        <f t="shared" si="152"/>
        <v>13036</v>
      </c>
    </row>
    <row r="1870" spans="1:7" ht="15.75">
      <c r="A1870" s="625">
        <f t="shared" si="153"/>
        <v>90325</v>
      </c>
      <c r="B1870" s="555">
        <v>90300</v>
      </c>
      <c r="C1870" s="555">
        <v>90350</v>
      </c>
      <c r="D1870" s="556">
        <f t="shared" si="149"/>
        <v>14786</v>
      </c>
      <c r="E1870" s="556">
        <f t="shared" si="150"/>
        <v>10362</v>
      </c>
      <c r="F1870" s="556">
        <f t="shared" si="151"/>
        <v>14786</v>
      </c>
      <c r="G1870" s="556">
        <f t="shared" si="152"/>
        <v>13047</v>
      </c>
    </row>
    <row r="1871" spans="1:7" ht="15.75">
      <c r="A1871" s="625">
        <f t="shared" si="153"/>
        <v>90375</v>
      </c>
      <c r="B1871" s="555">
        <v>90350</v>
      </c>
      <c r="C1871" s="555">
        <v>90400</v>
      </c>
      <c r="D1871" s="556">
        <f t="shared" si="149"/>
        <v>14797</v>
      </c>
      <c r="E1871" s="556">
        <f t="shared" si="150"/>
        <v>10368</v>
      </c>
      <c r="F1871" s="556">
        <f t="shared" si="151"/>
        <v>14797</v>
      </c>
      <c r="G1871" s="556">
        <f t="shared" si="152"/>
        <v>13058</v>
      </c>
    </row>
    <row r="1872" spans="1:7" ht="15.75">
      <c r="A1872" s="625">
        <f t="shared" si="153"/>
        <v>90425</v>
      </c>
      <c r="B1872" s="555">
        <v>90400</v>
      </c>
      <c r="C1872" s="555">
        <v>90450</v>
      </c>
      <c r="D1872" s="556">
        <f t="shared" si="149"/>
        <v>14808</v>
      </c>
      <c r="E1872" s="556">
        <f t="shared" si="150"/>
        <v>10374</v>
      </c>
      <c r="F1872" s="556">
        <f t="shared" si="151"/>
        <v>14808</v>
      </c>
      <c r="G1872" s="556">
        <f t="shared" si="152"/>
        <v>13069</v>
      </c>
    </row>
    <row r="1873" spans="1:7" ht="15.75">
      <c r="A1873" s="625">
        <f t="shared" si="153"/>
        <v>90475</v>
      </c>
      <c r="B1873" s="555">
        <v>90450</v>
      </c>
      <c r="C1873" s="555">
        <v>90500</v>
      </c>
      <c r="D1873" s="556">
        <f t="shared" si="149"/>
        <v>14819</v>
      </c>
      <c r="E1873" s="556">
        <f t="shared" si="150"/>
        <v>10380</v>
      </c>
      <c r="F1873" s="556">
        <f t="shared" si="151"/>
        <v>14819</v>
      </c>
      <c r="G1873" s="556">
        <f t="shared" si="152"/>
        <v>13080</v>
      </c>
    </row>
    <row r="1874" spans="1:7" ht="15.75">
      <c r="A1874" s="625">
        <f t="shared" si="153"/>
        <v>90525</v>
      </c>
      <c r="B1874" s="555">
        <v>90500</v>
      </c>
      <c r="C1874" s="555">
        <v>90550</v>
      </c>
      <c r="D1874" s="556">
        <f t="shared" si="149"/>
        <v>14830</v>
      </c>
      <c r="E1874" s="556">
        <f t="shared" si="150"/>
        <v>10386</v>
      </c>
      <c r="F1874" s="556">
        <f t="shared" si="151"/>
        <v>14830</v>
      </c>
      <c r="G1874" s="556">
        <f t="shared" si="152"/>
        <v>13091</v>
      </c>
    </row>
    <row r="1875" spans="1:7" ht="15.75">
      <c r="A1875" s="625">
        <f t="shared" si="153"/>
        <v>90575</v>
      </c>
      <c r="B1875" s="555">
        <v>90550</v>
      </c>
      <c r="C1875" s="555">
        <v>90600</v>
      </c>
      <c r="D1875" s="556">
        <f t="shared" si="149"/>
        <v>14841</v>
      </c>
      <c r="E1875" s="556">
        <f t="shared" si="150"/>
        <v>10392</v>
      </c>
      <c r="F1875" s="556">
        <f t="shared" si="151"/>
        <v>14841</v>
      </c>
      <c r="G1875" s="556">
        <f t="shared" si="152"/>
        <v>13102</v>
      </c>
    </row>
    <row r="1876" spans="1:7" ht="15.75">
      <c r="A1876" s="625">
        <f t="shared" si="153"/>
        <v>90625</v>
      </c>
      <c r="B1876" s="555">
        <v>90600</v>
      </c>
      <c r="C1876" s="555">
        <v>90650</v>
      </c>
      <c r="D1876" s="556">
        <f t="shared" si="149"/>
        <v>14852</v>
      </c>
      <c r="E1876" s="556">
        <f t="shared" si="150"/>
        <v>10398</v>
      </c>
      <c r="F1876" s="556">
        <f t="shared" si="151"/>
        <v>14852</v>
      </c>
      <c r="G1876" s="556">
        <f t="shared" si="152"/>
        <v>13113</v>
      </c>
    </row>
    <row r="1877" spans="1:7" ht="15.75">
      <c r="A1877" s="625">
        <f t="shared" si="153"/>
        <v>90675</v>
      </c>
      <c r="B1877" s="555">
        <v>90650</v>
      </c>
      <c r="C1877" s="555">
        <v>90700</v>
      </c>
      <c r="D1877" s="556">
        <f t="shared" si="149"/>
        <v>14863</v>
      </c>
      <c r="E1877" s="556">
        <f t="shared" si="150"/>
        <v>10404</v>
      </c>
      <c r="F1877" s="556">
        <f t="shared" si="151"/>
        <v>14863</v>
      </c>
      <c r="G1877" s="556">
        <f t="shared" si="152"/>
        <v>13124</v>
      </c>
    </row>
    <row r="1878" spans="1:7" ht="15.75">
      <c r="A1878" s="625">
        <f t="shared" si="153"/>
        <v>90725</v>
      </c>
      <c r="B1878" s="555">
        <v>90700</v>
      </c>
      <c r="C1878" s="555">
        <v>90750</v>
      </c>
      <c r="D1878" s="556">
        <f t="shared" si="149"/>
        <v>14874</v>
      </c>
      <c r="E1878" s="556">
        <f t="shared" si="150"/>
        <v>10410</v>
      </c>
      <c r="F1878" s="556">
        <f t="shared" si="151"/>
        <v>14874</v>
      </c>
      <c r="G1878" s="556">
        <f t="shared" si="152"/>
        <v>13135</v>
      </c>
    </row>
    <row r="1879" spans="1:7" ht="15.75">
      <c r="A1879" s="625">
        <f t="shared" si="153"/>
        <v>90775</v>
      </c>
      <c r="B1879" s="555">
        <v>90750</v>
      </c>
      <c r="C1879" s="555">
        <v>90800</v>
      </c>
      <c r="D1879" s="556">
        <f t="shared" si="149"/>
        <v>14885</v>
      </c>
      <c r="E1879" s="556">
        <f t="shared" si="150"/>
        <v>10416</v>
      </c>
      <c r="F1879" s="556">
        <f t="shared" si="151"/>
        <v>14885</v>
      </c>
      <c r="G1879" s="556">
        <f t="shared" si="152"/>
        <v>13146</v>
      </c>
    </row>
    <row r="1880" spans="1:7" ht="15.75">
      <c r="A1880" s="625">
        <f t="shared" si="153"/>
        <v>90825</v>
      </c>
      <c r="B1880" s="555">
        <v>90800</v>
      </c>
      <c r="C1880" s="555">
        <v>90850</v>
      </c>
      <c r="D1880" s="556">
        <f t="shared" si="149"/>
        <v>14896</v>
      </c>
      <c r="E1880" s="556">
        <f t="shared" si="150"/>
        <v>10422</v>
      </c>
      <c r="F1880" s="556">
        <f t="shared" si="151"/>
        <v>14896</v>
      </c>
      <c r="G1880" s="556">
        <f t="shared" si="152"/>
        <v>13157</v>
      </c>
    </row>
    <row r="1881" spans="1:7" ht="15.75">
      <c r="A1881" s="625">
        <f t="shared" si="153"/>
        <v>90875</v>
      </c>
      <c r="B1881" s="555">
        <v>90850</v>
      </c>
      <c r="C1881" s="555">
        <v>90900</v>
      </c>
      <c r="D1881" s="556">
        <f t="shared" si="149"/>
        <v>14907</v>
      </c>
      <c r="E1881" s="556">
        <f t="shared" si="150"/>
        <v>10428</v>
      </c>
      <c r="F1881" s="556">
        <f t="shared" si="151"/>
        <v>14907</v>
      </c>
      <c r="G1881" s="556">
        <f t="shared" si="152"/>
        <v>13168</v>
      </c>
    </row>
    <row r="1882" spans="1:7" ht="15.75">
      <c r="A1882" s="625">
        <f t="shared" si="153"/>
        <v>90925</v>
      </c>
      <c r="B1882" s="555">
        <v>90900</v>
      </c>
      <c r="C1882" s="555">
        <v>90950</v>
      </c>
      <c r="D1882" s="556">
        <f t="shared" si="149"/>
        <v>14918</v>
      </c>
      <c r="E1882" s="556">
        <f t="shared" si="150"/>
        <v>10434</v>
      </c>
      <c r="F1882" s="556">
        <f t="shared" si="151"/>
        <v>14918</v>
      </c>
      <c r="G1882" s="556">
        <f t="shared" si="152"/>
        <v>13179</v>
      </c>
    </row>
    <row r="1883" spans="1:7" ht="15.75">
      <c r="A1883" s="625">
        <f t="shared" si="153"/>
        <v>90975</v>
      </c>
      <c r="B1883" s="555">
        <v>90950</v>
      </c>
      <c r="C1883" s="555">
        <v>91000</v>
      </c>
      <c r="D1883" s="556">
        <f t="shared" si="149"/>
        <v>14929</v>
      </c>
      <c r="E1883" s="556">
        <f t="shared" si="150"/>
        <v>10440</v>
      </c>
      <c r="F1883" s="556">
        <f t="shared" si="151"/>
        <v>14929</v>
      </c>
      <c r="G1883" s="556">
        <f t="shared" si="152"/>
        <v>13190</v>
      </c>
    </row>
    <row r="1884" spans="1:7" ht="15.75">
      <c r="A1884" s="625">
        <f t="shared" si="153"/>
        <v>91025</v>
      </c>
      <c r="B1884" s="555">
        <v>91000</v>
      </c>
      <c r="C1884" s="555">
        <v>91050</v>
      </c>
      <c r="D1884" s="556">
        <f t="shared" si="149"/>
        <v>14940</v>
      </c>
      <c r="E1884" s="556">
        <f t="shared" si="150"/>
        <v>10446</v>
      </c>
      <c r="F1884" s="556">
        <f t="shared" si="151"/>
        <v>14940</v>
      </c>
      <c r="G1884" s="556">
        <f t="shared" si="152"/>
        <v>13201</v>
      </c>
    </row>
    <row r="1885" spans="1:7" ht="15.75">
      <c r="A1885" s="625">
        <f t="shared" si="153"/>
        <v>91075</v>
      </c>
      <c r="B1885" s="555">
        <v>91050</v>
      </c>
      <c r="C1885" s="555">
        <v>91100</v>
      </c>
      <c r="D1885" s="556">
        <f t="shared" si="149"/>
        <v>14951</v>
      </c>
      <c r="E1885" s="556">
        <f t="shared" si="150"/>
        <v>10452</v>
      </c>
      <c r="F1885" s="556">
        <f t="shared" si="151"/>
        <v>14951</v>
      </c>
      <c r="G1885" s="556">
        <f t="shared" si="152"/>
        <v>13212</v>
      </c>
    </row>
    <row r="1886" spans="1:7" ht="15.75">
      <c r="A1886" s="625">
        <f t="shared" si="153"/>
        <v>91125</v>
      </c>
      <c r="B1886" s="555">
        <v>91100</v>
      </c>
      <c r="C1886" s="555">
        <v>91150</v>
      </c>
      <c r="D1886" s="556">
        <f t="shared" si="149"/>
        <v>14962</v>
      </c>
      <c r="E1886" s="556">
        <f t="shared" si="150"/>
        <v>10458</v>
      </c>
      <c r="F1886" s="556">
        <f t="shared" si="151"/>
        <v>14962</v>
      </c>
      <c r="G1886" s="556">
        <f t="shared" si="152"/>
        <v>13223</v>
      </c>
    </row>
    <row r="1887" spans="1:7" ht="15.75">
      <c r="A1887" s="625">
        <f t="shared" si="153"/>
        <v>91175</v>
      </c>
      <c r="B1887" s="555">
        <v>91150</v>
      </c>
      <c r="C1887" s="555">
        <v>91200</v>
      </c>
      <c r="D1887" s="556">
        <f t="shared" si="149"/>
        <v>14973</v>
      </c>
      <c r="E1887" s="556">
        <f t="shared" si="150"/>
        <v>10464</v>
      </c>
      <c r="F1887" s="556">
        <f t="shared" si="151"/>
        <v>14973</v>
      </c>
      <c r="G1887" s="556">
        <f t="shared" si="152"/>
        <v>13234</v>
      </c>
    </row>
    <row r="1888" spans="1:7" ht="15.75">
      <c r="A1888" s="625">
        <f t="shared" si="153"/>
        <v>91225</v>
      </c>
      <c r="B1888" s="555">
        <v>91200</v>
      </c>
      <c r="C1888" s="555">
        <v>91250</v>
      </c>
      <c r="D1888" s="556">
        <f t="shared" si="149"/>
        <v>14984</v>
      </c>
      <c r="E1888" s="556">
        <f t="shared" si="150"/>
        <v>10470</v>
      </c>
      <c r="F1888" s="556">
        <f t="shared" si="151"/>
        <v>14984</v>
      </c>
      <c r="G1888" s="556">
        <f t="shared" si="152"/>
        <v>13245</v>
      </c>
    </row>
    <row r="1889" spans="1:7" ht="15.75">
      <c r="A1889" s="625">
        <f t="shared" si="153"/>
        <v>91275</v>
      </c>
      <c r="B1889" s="555">
        <v>91250</v>
      </c>
      <c r="C1889" s="555">
        <v>91300</v>
      </c>
      <c r="D1889" s="556">
        <f t="shared" si="149"/>
        <v>14995</v>
      </c>
      <c r="E1889" s="556">
        <f t="shared" si="150"/>
        <v>10476</v>
      </c>
      <c r="F1889" s="556">
        <f t="shared" si="151"/>
        <v>14995</v>
      </c>
      <c r="G1889" s="556">
        <f t="shared" si="152"/>
        <v>13256</v>
      </c>
    </row>
    <row r="1890" spans="1:7" ht="15.75">
      <c r="A1890" s="625">
        <f t="shared" si="153"/>
        <v>91325</v>
      </c>
      <c r="B1890" s="555">
        <v>91300</v>
      </c>
      <c r="C1890" s="555">
        <v>91350</v>
      </c>
      <c r="D1890" s="556">
        <f t="shared" si="149"/>
        <v>15006</v>
      </c>
      <c r="E1890" s="556">
        <f t="shared" si="150"/>
        <v>10482</v>
      </c>
      <c r="F1890" s="556">
        <f t="shared" si="151"/>
        <v>15006</v>
      </c>
      <c r="G1890" s="556">
        <f t="shared" si="152"/>
        <v>13267</v>
      </c>
    </row>
    <row r="1891" spans="1:7" ht="15.75">
      <c r="A1891" s="625">
        <f t="shared" si="153"/>
        <v>91375</v>
      </c>
      <c r="B1891" s="555">
        <v>91350</v>
      </c>
      <c r="C1891" s="555">
        <v>91400</v>
      </c>
      <c r="D1891" s="556">
        <f t="shared" si="149"/>
        <v>15017</v>
      </c>
      <c r="E1891" s="556">
        <f t="shared" si="150"/>
        <v>10488</v>
      </c>
      <c r="F1891" s="556">
        <f t="shared" si="151"/>
        <v>15017</v>
      </c>
      <c r="G1891" s="556">
        <f t="shared" si="152"/>
        <v>13278</v>
      </c>
    </row>
    <row r="1892" spans="1:7" ht="15.75">
      <c r="A1892" s="625">
        <f t="shared" si="153"/>
        <v>91425</v>
      </c>
      <c r="B1892" s="555">
        <v>91400</v>
      </c>
      <c r="C1892" s="555">
        <v>91450</v>
      </c>
      <c r="D1892" s="556">
        <f t="shared" si="149"/>
        <v>15028</v>
      </c>
      <c r="E1892" s="556">
        <f t="shared" si="150"/>
        <v>10494</v>
      </c>
      <c r="F1892" s="556">
        <f t="shared" si="151"/>
        <v>15028</v>
      </c>
      <c r="G1892" s="556">
        <f t="shared" si="152"/>
        <v>13289</v>
      </c>
    </row>
    <row r="1893" spans="1:7" ht="15.75">
      <c r="A1893" s="625">
        <f t="shared" si="153"/>
        <v>91475</v>
      </c>
      <c r="B1893" s="555">
        <v>91450</v>
      </c>
      <c r="C1893" s="555">
        <v>91500</v>
      </c>
      <c r="D1893" s="556">
        <f t="shared" si="149"/>
        <v>15039</v>
      </c>
      <c r="E1893" s="556">
        <f t="shared" si="150"/>
        <v>10500</v>
      </c>
      <c r="F1893" s="556">
        <f t="shared" si="151"/>
        <v>15039</v>
      </c>
      <c r="G1893" s="556">
        <f t="shared" si="152"/>
        <v>13300</v>
      </c>
    </row>
    <row r="1894" spans="1:7" ht="15.75">
      <c r="A1894" s="625">
        <f t="shared" si="153"/>
        <v>91525</v>
      </c>
      <c r="B1894" s="555">
        <v>91500</v>
      </c>
      <c r="C1894" s="555">
        <v>91550</v>
      </c>
      <c r="D1894" s="556">
        <f t="shared" si="149"/>
        <v>15050</v>
      </c>
      <c r="E1894" s="556">
        <f t="shared" si="150"/>
        <v>10506</v>
      </c>
      <c r="F1894" s="556">
        <f t="shared" si="151"/>
        <v>15050</v>
      </c>
      <c r="G1894" s="556">
        <f t="shared" si="152"/>
        <v>13311</v>
      </c>
    </row>
    <row r="1895" spans="1:7" ht="15.75">
      <c r="A1895" s="625">
        <f t="shared" si="153"/>
        <v>91575</v>
      </c>
      <c r="B1895" s="555">
        <v>91550</v>
      </c>
      <c r="C1895" s="555">
        <v>91600</v>
      </c>
      <c r="D1895" s="556">
        <f t="shared" si="149"/>
        <v>15061</v>
      </c>
      <c r="E1895" s="556">
        <f t="shared" si="150"/>
        <v>10512</v>
      </c>
      <c r="F1895" s="556">
        <f t="shared" si="151"/>
        <v>15061</v>
      </c>
      <c r="G1895" s="556">
        <f t="shared" si="152"/>
        <v>13322</v>
      </c>
    </row>
    <row r="1896" spans="1:7" ht="15.75">
      <c r="A1896" s="625">
        <f t="shared" si="153"/>
        <v>91625</v>
      </c>
      <c r="B1896" s="555">
        <v>91600</v>
      </c>
      <c r="C1896" s="555">
        <v>91650</v>
      </c>
      <c r="D1896" s="556">
        <f t="shared" si="149"/>
        <v>15072</v>
      </c>
      <c r="E1896" s="556">
        <f t="shared" si="150"/>
        <v>10518</v>
      </c>
      <c r="F1896" s="556">
        <f t="shared" si="151"/>
        <v>15072</v>
      </c>
      <c r="G1896" s="556">
        <f t="shared" si="152"/>
        <v>13333</v>
      </c>
    </row>
    <row r="1897" spans="1:7" ht="15.75">
      <c r="A1897" s="625">
        <f t="shared" si="153"/>
        <v>91675</v>
      </c>
      <c r="B1897" s="555">
        <v>91650</v>
      </c>
      <c r="C1897" s="555">
        <v>91700</v>
      </c>
      <c r="D1897" s="556">
        <f t="shared" si="149"/>
        <v>15083</v>
      </c>
      <c r="E1897" s="556">
        <f t="shared" si="150"/>
        <v>10524</v>
      </c>
      <c r="F1897" s="556">
        <f t="shared" si="151"/>
        <v>15083</v>
      </c>
      <c r="G1897" s="556">
        <f t="shared" si="152"/>
        <v>13344</v>
      </c>
    </row>
    <row r="1898" spans="1:7" ht="15.75">
      <c r="A1898" s="625">
        <f t="shared" si="153"/>
        <v>91725</v>
      </c>
      <c r="B1898" s="555">
        <v>91700</v>
      </c>
      <c r="C1898" s="555">
        <v>91750</v>
      </c>
      <c r="D1898" s="556">
        <f t="shared" si="149"/>
        <v>15094</v>
      </c>
      <c r="E1898" s="556">
        <f t="shared" si="150"/>
        <v>10530</v>
      </c>
      <c r="F1898" s="556">
        <f t="shared" si="151"/>
        <v>15094</v>
      </c>
      <c r="G1898" s="556">
        <f t="shared" si="152"/>
        <v>13355</v>
      </c>
    </row>
    <row r="1899" spans="1:7" ht="15.75">
      <c r="A1899" s="625">
        <f t="shared" si="153"/>
        <v>91775</v>
      </c>
      <c r="B1899" s="555">
        <v>91750</v>
      </c>
      <c r="C1899" s="555">
        <v>91800</v>
      </c>
      <c r="D1899" s="556">
        <f t="shared" si="149"/>
        <v>15105</v>
      </c>
      <c r="E1899" s="556">
        <f t="shared" si="150"/>
        <v>10536</v>
      </c>
      <c r="F1899" s="556">
        <f t="shared" si="151"/>
        <v>15105</v>
      </c>
      <c r="G1899" s="556">
        <f t="shared" si="152"/>
        <v>13366</v>
      </c>
    </row>
    <row r="1900" spans="1:7" ht="15.75">
      <c r="A1900" s="625">
        <f t="shared" si="153"/>
        <v>91825</v>
      </c>
      <c r="B1900" s="555">
        <v>91800</v>
      </c>
      <c r="C1900" s="555">
        <v>91850</v>
      </c>
      <c r="D1900" s="556">
        <f t="shared" si="149"/>
        <v>15116</v>
      </c>
      <c r="E1900" s="556">
        <f t="shared" si="150"/>
        <v>10542</v>
      </c>
      <c r="F1900" s="556">
        <f t="shared" si="151"/>
        <v>15116</v>
      </c>
      <c r="G1900" s="556">
        <f t="shared" si="152"/>
        <v>13377</v>
      </c>
    </row>
    <row r="1901" spans="1:7" ht="15.75">
      <c r="A1901" s="625">
        <f t="shared" si="153"/>
        <v>91875</v>
      </c>
      <c r="B1901" s="555">
        <v>91850</v>
      </c>
      <c r="C1901" s="555">
        <v>91900</v>
      </c>
      <c r="D1901" s="556">
        <f t="shared" si="149"/>
        <v>15127</v>
      </c>
      <c r="E1901" s="556">
        <f t="shared" si="150"/>
        <v>10548</v>
      </c>
      <c r="F1901" s="556">
        <f t="shared" si="151"/>
        <v>15127</v>
      </c>
      <c r="G1901" s="556">
        <f t="shared" si="152"/>
        <v>13388</v>
      </c>
    </row>
    <row r="1902" spans="1:7" ht="15.75">
      <c r="A1902" s="625">
        <f t="shared" si="153"/>
        <v>91925</v>
      </c>
      <c r="B1902" s="555">
        <v>91900</v>
      </c>
      <c r="C1902" s="555">
        <v>91950</v>
      </c>
      <c r="D1902" s="556">
        <f t="shared" si="149"/>
        <v>15138</v>
      </c>
      <c r="E1902" s="556">
        <f t="shared" si="150"/>
        <v>10554</v>
      </c>
      <c r="F1902" s="556">
        <f t="shared" si="151"/>
        <v>15138</v>
      </c>
      <c r="G1902" s="556">
        <f t="shared" si="152"/>
        <v>13399</v>
      </c>
    </row>
    <row r="1903" spans="1:7" ht="15.75">
      <c r="A1903" s="625">
        <f t="shared" si="153"/>
        <v>91975</v>
      </c>
      <c r="B1903" s="555">
        <v>91950</v>
      </c>
      <c r="C1903" s="555">
        <v>92000</v>
      </c>
      <c r="D1903" s="556">
        <f t="shared" si="149"/>
        <v>15149</v>
      </c>
      <c r="E1903" s="556">
        <f t="shared" si="150"/>
        <v>10560</v>
      </c>
      <c r="F1903" s="556">
        <f t="shared" si="151"/>
        <v>15149</v>
      </c>
      <c r="G1903" s="556">
        <f t="shared" si="152"/>
        <v>13410</v>
      </c>
    </row>
    <row r="1904" spans="1:7" ht="15.75">
      <c r="A1904" s="625">
        <f t="shared" si="153"/>
        <v>92025</v>
      </c>
      <c r="B1904" s="555">
        <v>92000</v>
      </c>
      <c r="C1904" s="555">
        <v>92050</v>
      </c>
      <c r="D1904" s="556">
        <f t="shared" si="149"/>
        <v>15160</v>
      </c>
      <c r="E1904" s="556">
        <f t="shared" si="150"/>
        <v>10566</v>
      </c>
      <c r="F1904" s="556">
        <f t="shared" si="151"/>
        <v>15160</v>
      </c>
      <c r="G1904" s="556">
        <f t="shared" si="152"/>
        <v>13421</v>
      </c>
    </row>
    <row r="1905" spans="1:7" ht="15.75">
      <c r="A1905" s="625">
        <f t="shared" si="153"/>
        <v>92075</v>
      </c>
      <c r="B1905" s="555">
        <v>92050</v>
      </c>
      <c r="C1905" s="555">
        <v>92100</v>
      </c>
      <c r="D1905" s="556">
        <f t="shared" si="149"/>
        <v>15171</v>
      </c>
      <c r="E1905" s="556">
        <f t="shared" si="150"/>
        <v>10572</v>
      </c>
      <c r="F1905" s="556">
        <f t="shared" si="151"/>
        <v>15171</v>
      </c>
      <c r="G1905" s="556">
        <f t="shared" si="152"/>
        <v>13432</v>
      </c>
    </row>
    <row r="1906" spans="1:7" ht="15.75">
      <c r="A1906" s="625">
        <f t="shared" si="153"/>
        <v>92125</v>
      </c>
      <c r="B1906" s="555">
        <v>92100</v>
      </c>
      <c r="C1906" s="555">
        <v>92150</v>
      </c>
      <c r="D1906" s="556">
        <f t="shared" si="149"/>
        <v>15182</v>
      </c>
      <c r="E1906" s="556">
        <f t="shared" si="150"/>
        <v>10578</v>
      </c>
      <c r="F1906" s="556">
        <f t="shared" si="151"/>
        <v>15182</v>
      </c>
      <c r="G1906" s="556">
        <f t="shared" si="152"/>
        <v>13443</v>
      </c>
    </row>
    <row r="1907" spans="1:7" ht="15.75">
      <c r="A1907" s="625">
        <f t="shared" si="153"/>
        <v>92175</v>
      </c>
      <c r="B1907" s="555">
        <v>92150</v>
      </c>
      <c r="C1907" s="555">
        <v>92200</v>
      </c>
      <c r="D1907" s="556">
        <f t="shared" si="149"/>
        <v>15193</v>
      </c>
      <c r="E1907" s="556">
        <f t="shared" si="150"/>
        <v>10584</v>
      </c>
      <c r="F1907" s="556">
        <f t="shared" si="151"/>
        <v>15193</v>
      </c>
      <c r="G1907" s="556">
        <f t="shared" si="152"/>
        <v>13454</v>
      </c>
    </row>
    <row r="1908" spans="1:7" ht="15.75">
      <c r="A1908" s="625">
        <f t="shared" si="153"/>
        <v>92225</v>
      </c>
      <c r="B1908" s="555">
        <v>92200</v>
      </c>
      <c r="C1908" s="555">
        <v>92250</v>
      </c>
      <c r="D1908" s="556">
        <f t="shared" si="149"/>
        <v>15204</v>
      </c>
      <c r="E1908" s="556">
        <f t="shared" si="150"/>
        <v>10590</v>
      </c>
      <c r="F1908" s="556">
        <f t="shared" si="151"/>
        <v>15204</v>
      </c>
      <c r="G1908" s="556">
        <f t="shared" si="152"/>
        <v>13465</v>
      </c>
    </row>
    <row r="1909" spans="1:7" ht="15.75">
      <c r="A1909" s="625">
        <f t="shared" si="153"/>
        <v>92275</v>
      </c>
      <c r="B1909" s="555">
        <v>92250</v>
      </c>
      <c r="C1909" s="555">
        <v>92300</v>
      </c>
      <c r="D1909" s="556">
        <f t="shared" si="149"/>
        <v>15215</v>
      </c>
      <c r="E1909" s="556">
        <f t="shared" si="150"/>
        <v>10596</v>
      </c>
      <c r="F1909" s="556">
        <f t="shared" si="151"/>
        <v>15215</v>
      </c>
      <c r="G1909" s="556">
        <f t="shared" si="152"/>
        <v>13476</v>
      </c>
    </row>
    <row r="1910" spans="1:7" ht="15.75">
      <c r="A1910" s="625">
        <f t="shared" si="153"/>
        <v>92325</v>
      </c>
      <c r="B1910" s="555">
        <v>92300</v>
      </c>
      <c r="C1910" s="555">
        <v>92350</v>
      </c>
      <c r="D1910" s="556">
        <f t="shared" si="149"/>
        <v>15226</v>
      </c>
      <c r="E1910" s="556">
        <f t="shared" si="150"/>
        <v>10602</v>
      </c>
      <c r="F1910" s="556">
        <f t="shared" si="151"/>
        <v>15226</v>
      </c>
      <c r="G1910" s="556">
        <f t="shared" si="152"/>
        <v>13487</v>
      </c>
    </row>
    <row r="1911" spans="1:7" ht="15.75">
      <c r="A1911" s="625">
        <f t="shared" si="153"/>
        <v>92375</v>
      </c>
      <c r="B1911" s="555">
        <v>92350</v>
      </c>
      <c r="C1911" s="555">
        <v>92400</v>
      </c>
      <c r="D1911" s="556">
        <f t="shared" si="149"/>
        <v>15237</v>
      </c>
      <c r="E1911" s="556">
        <f t="shared" si="150"/>
        <v>10608</v>
      </c>
      <c r="F1911" s="556">
        <f t="shared" si="151"/>
        <v>15237</v>
      </c>
      <c r="G1911" s="556">
        <f t="shared" si="152"/>
        <v>13498</v>
      </c>
    </row>
    <row r="1912" spans="1:7" ht="15.75">
      <c r="A1912" s="625">
        <f t="shared" si="153"/>
        <v>92425</v>
      </c>
      <c r="B1912" s="555">
        <v>92400</v>
      </c>
      <c r="C1912" s="555">
        <v>92450</v>
      </c>
      <c r="D1912" s="556">
        <f t="shared" si="149"/>
        <v>15248</v>
      </c>
      <c r="E1912" s="556">
        <f t="shared" si="150"/>
        <v>10614</v>
      </c>
      <c r="F1912" s="556">
        <f t="shared" si="151"/>
        <v>15248</v>
      </c>
      <c r="G1912" s="556">
        <f t="shared" si="152"/>
        <v>13509</v>
      </c>
    </row>
    <row r="1913" spans="1:7" ht="15.75">
      <c r="A1913" s="625">
        <f t="shared" si="153"/>
        <v>92475</v>
      </c>
      <c r="B1913" s="555">
        <v>92450</v>
      </c>
      <c r="C1913" s="555">
        <v>92500</v>
      </c>
      <c r="D1913" s="556">
        <f t="shared" si="149"/>
        <v>15259</v>
      </c>
      <c r="E1913" s="556">
        <f t="shared" si="150"/>
        <v>10620</v>
      </c>
      <c r="F1913" s="556">
        <f t="shared" si="151"/>
        <v>15259</v>
      </c>
      <c r="G1913" s="556">
        <f t="shared" si="152"/>
        <v>13520</v>
      </c>
    </row>
    <row r="1914" spans="1:7" ht="15.75">
      <c r="A1914" s="625">
        <f t="shared" si="153"/>
        <v>92525</v>
      </c>
      <c r="B1914" s="555">
        <v>92500</v>
      </c>
      <c r="C1914" s="555">
        <v>92550</v>
      </c>
      <c r="D1914" s="556">
        <f t="shared" si="149"/>
        <v>15270</v>
      </c>
      <c r="E1914" s="556">
        <f t="shared" si="150"/>
        <v>10626</v>
      </c>
      <c r="F1914" s="556">
        <f t="shared" si="151"/>
        <v>15270</v>
      </c>
      <c r="G1914" s="556">
        <f t="shared" si="152"/>
        <v>13531</v>
      </c>
    </row>
    <row r="1915" spans="1:7" ht="15.75">
      <c r="A1915" s="625">
        <f t="shared" si="153"/>
        <v>92575</v>
      </c>
      <c r="B1915" s="555">
        <v>92550</v>
      </c>
      <c r="C1915" s="555">
        <v>92600</v>
      </c>
      <c r="D1915" s="556">
        <f t="shared" si="149"/>
        <v>15281</v>
      </c>
      <c r="E1915" s="556">
        <f t="shared" si="150"/>
        <v>10632</v>
      </c>
      <c r="F1915" s="556">
        <f t="shared" si="151"/>
        <v>15281</v>
      </c>
      <c r="G1915" s="556">
        <f t="shared" si="152"/>
        <v>13542</v>
      </c>
    </row>
    <row r="1916" spans="1:7" ht="15.75">
      <c r="A1916" s="625">
        <f t="shared" si="153"/>
        <v>92625</v>
      </c>
      <c r="B1916" s="555">
        <v>92600</v>
      </c>
      <c r="C1916" s="555">
        <v>92650</v>
      </c>
      <c r="D1916" s="556">
        <f t="shared" si="149"/>
        <v>15292</v>
      </c>
      <c r="E1916" s="556">
        <f t="shared" si="150"/>
        <v>10638</v>
      </c>
      <c r="F1916" s="556">
        <f t="shared" si="151"/>
        <v>15292</v>
      </c>
      <c r="G1916" s="556">
        <f t="shared" si="152"/>
        <v>13553</v>
      </c>
    </row>
    <row r="1917" spans="1:7" ht="15.75">
      <c r="A1917" s="625">
        <f t="shared" si="153"/>
        <v>92675</v>
      </c>
      <c r="B1917" s="555">
        <v>92650</v>
      </c>
      <c r="C1917" s="555">
        <v>92700</v>
      </c>
      <c r="D1917" s="556">
        <f t="shared" si="149"/>
        <v>15303</v>
      </c>
      <c r="E1917" s="556">
        <f t="shared" si="150"/>
        <v>10644</v>
      </c>
      <c r="F1917" s="556">
        <f t="shared" si="151"/>
        <v>15303</v>
      </c>
      <c r="G1917" s="556">
        <f t="shared" si="152"/>
        <v>13564</v>
      </c>
    </row>
    <row r="1918" spans="1:7" ht="15.75">
      <c r="A1918" s="625">
        <f t="shared" si="153"/>
        <v>92725</v>
      </c>
      <c r="B1918" s="555">
        <v>92700</v>
      </c>
      <c r="C1918" s="555">
        <v>92750</v>
      </c>
      <c r="D1918" s="556">
        <f t="shared" si="149"/>
        <v>15314</v>
      </c>
      <c r="E1918" s="556">
        <f t="shared" si="150"/>
        <v>10650</v>
      </c>
      <c r="F1918" s="556">
        <f t="shared" si="151"/>
        <v>15314</v>
      </c>
      <c r="G1918" s="556">
        <f t="shared" si="152"/>
        <v>13575</v>
      </c>
    </row>
    <row r="1919" spans="1:7" ht="15.75">
      <c r="A1919" s="625">
        <f t="shared" si="153"/>
        <v>92775</v>
      </c>
      <c r="B1919" s="555">
        <v>92750</v>
      </c>
      <c r="C1919" s="555">
        <v>92800</v>
      </c>
      <c r="D1919" s="556">
        <f t="shared" si="149"/>
        <v>15325</v>
      </c>
      <c r="E1919" s="556">
        <f t="shared" si="150"/>
        <v>10656</v>
      </c>
      <c r="F1919" s="556">
        <f t="shared" si="151"/>
        <v>15325</v>
      </c>
      <c r="G1919" s="556">
        <f t="shared" si="152"/>
        <v>13586</v>
      </c>
    </row>
    <row r="1920" spans="1:7" ht="15.75">
      <c r="A1920" s="625">
        <f t="shared" si="153"/>
        <v>92825</v>
      </c>
      <c r="B1920" s="555">
        <v>92800</v>
      </c>
      <c r="C1920" s="555">
        <v>92850</v>
      </c>
      <c r="D1920" s="556">
        <f t="shared" si="149"/>
        <v>15336</v>
      </c>
      <c r="E1920" s="556">
        <f t="shared" si="150"/>
        <v>10662</v>
      </c>
      <c r="F1920" s="556">
        <f t="shared" si="151"/>
        <v>15336</v>
      </c>
      <c r="G1920" s="556">
        <f t="shared" si="152"/>
        <v>13597</v>
      </c>
    </row>
    <row r="1921" spans="1:7" ht="15.75">
      <c r="A1921" s="625">
        <f t="shared" si="153"/>
        <v>92875</v>
      </c>
      <c r="B1921" s="555">
        <v>92850</v>
      </c>
      <c r="C1921" s="555">
        <v>92900</v>
      </c>
      <c r="D1921" s="556">
        <f t="shared" si="149"/>
        <v>15347</v>
      </c>
      <c r="E1921" s="556">
        <f t="shared" si="150"/>
        <v>10668</v>
      </c>
      <c r="F1921" s="556">
        <f t="shared" si="151"/>
        <v>15347</v>
      </c>
      <c r="G1921" s="556">
        <f t="shared" si="152"/>
        <v>13608</v>
      </c>
    </row>
    <row r="1922" spans="1:7" ht="15.75">
      <c r="A1922" s="625">
        <f t="shared" si="153"/>
        <v>92925</v>
      </c>
      <c r="B1922" s="555">
        <v>92900</v>
      </c>
      <c r="C1922" s="555">
        <v>92950</v>
      </c>
      <c r="D1922" s="556">
        <f t="shared" ref="D1922:D1985" si="154">IF($A1922&gt;BOTT_A4,ROUND(BASE_A4+RATE_A4*($A1922-BOTT_A4),0),IF($A1922&gt;BOTT_A3,ROUND(BASE_A3+RATE_A3*($A1922-BOTT_A3),0),IF($A1922&gt;BOTT_A2,ROUND(BASE_A2+RATE_A2*($A1922-BOTT_A2),0),ROUND(RATE_A1*$A1922,0))))</f>
        <v>15358</v>
      </c>
      <c r="E1922" s="556">
        <f t="shared" ref="E1922:E1985" si="155">IF($A1922&gt;BOTT_B4,ROUND(BASE_B4+RATE_B4*($A1922-BOTT_B4),0),IF($A1922&gt;BOTT_B3,ROUND(BASE_B3+RATE_B3*($A1922-BOTT_B3),0),IF($A1922&gt;BOTT_B2,ROUND(BASE_B2+RATE_B2*($A1922-BOTT_B2),0),ROUND(RATE_B1*$A1922,0))))</f>
        <v>10674</v>
      </c>
      <c r="F1922" s="556">
        <f t="shared" ref="F1922:F1985" si="156">IF($A1922&gt;BOTT_C4,ROUND(BASE_C4+RATE_C4*($A1922-BOTT_C4),0),IF($A1922&gt;BOTT_C3,ROUND(BASE_C3+RATE_C3*($A1922-BOTT_C3),0),IF($A1922&gt;BOTT_C2,ROUND(BASE_C2+RATE_C2*($A1922-BOTT_C2),0),ROUND(RATE_C1*$A1922,0))))</f>
        <v>15358</v>
      </c>
      <c r="G1922" s="556">
        <f t="shared" ref="G1922:G1985" si="157">IF($A1922&gt;BOTT_D4,ROUND(BASE_D4+RATE_D4*($A1922-BOTT_D4),0),IF($A1922&gt;BOTT_D3,ROUND(BASE_D3+RATE_D3*($A1922-BOTT_D3),0),IF($A1922&gt;BOTT_D2,ROUND(BASE_D2+RATE_D2*($A1922-BOTT_D2),0),ROUND(RATE_D1*$A1922,0))))</f>
        <v>13619</v>
      </c>
    </row>
    <row r="1923" spans="1:7" ht="15.75">
      <c r="A1923" s="625">
        <f t="shared" ref="A1923:A1986" si="158">AVERAGE(B1923,C1923)</f>
        <v>92975</v>
      </c>
      <c r="B1923" s="555">
        <v>92950</v>
      </c>
      <c r="C1923" s="555">
        <v>93000</v>
      </c>
      <c r="D1923" s="556">
        <f t="shared" si="154"/>
        <v>15369</v>
      </c>
      <c r="E1923" s="556">
        <f t="shared" si="155"/>
        <v>10680</v>
      </c>
      <c r="F1923" s="556">
        <f t="shared" si="156"/>
        <v>15369</v>
      </c>
      <c r="G1923" s="556">
        <f t="shared" si="157"/>
        <v>13630</v>
      </c>
    </row>
    <row r="1924" spans="1:7" ht="15.75">
      <c r="A1924" s="625">
        <f t="shared" si="158"/>
        <v>93025</v>
      </c>
      <c r="B1924" s="555">
        <v>93000</v>
      </c>
      <c r="C1924" s="555">
        <v>93050</v>
      </c>
      <c r="D1924" s="556">
        <f t="shared" si="154"/>
        <v>15380</v>
      </c>
      <c r="E1924" s="556">
        <f t="shared" si="155"/>
        <v>10686</v>
      </c>
      <c r="F1924" s="556">
        <f t="shared" si="156"/>
        <v>15380</v>
      </c>
      <c r="G1924" s="556">
        <f t="shared" si="157"/>
        <v>13641</v>
      </c>
    </row>
    <row r="1925" spans="1:7" ht="15.75">
      <c r="A1925" s="625">
        <f t="shared" si="158"/>
        <v>93075</v>
      </c>
      <c r="B1925" s="555">
        <v>93050</v>
      </c>
      <c r="C1925" s="555">
        <v>93100</v>
      </c>
      <c r="D1925" s="556">
        <f t="shared" si="154"/>
        <v>15391</v>
      </c>
      <c r="E1925" s="556">
        <f t="shared" si="155"/>
        <v>10692</v>
      </c>
      <c r="F1925" s="556">
        <f t="shared" si="156"/>
        <v>15391</v>
      </c>
      <c r="G1925" s="556">
        <f t="shared" si="157"/>
        <v>13652</v>
      </c>
    </row>
    <row r="1926" spans="1:7" ht="15.75">
      <c r="A1926" s="625">
        <f t="shared" si="158"/>
        <v>93125</v>
      </c>
      <c r="B1926" s="555">
        <v>93100</v>
      </c>
      <c r="C1926" s="555">
        <v>93150</v>
      </c>
      <c r="D1926" s="556">
        <f t="shared" si="154"/>
        <v>15402</v>
      </c>
      <c r="E1926" s="556">
        <f t="shared" si="155"/>
        <v>10698</v>
      </c>
      <c r="F1926" s="556">
        <f t="shared" si="156"/>
        <v>15402</v>
      </c>
      <c r="G1926" s="556">
        <f t="shared" si="157"/>
        <v>13663</v>
      </c>
    </row>
    <row r="1927" spans="1:7" ht="15.75">
      <c r="A1927" s="625">
        <f t="shared" si="158"/>
        <v>93175</v>
      </c>
      <c r="B1927" s="555">
        <v>93150</v>
      </c>
      <c r="C1927" s="555">
        <v>93200</v>
      </c>
      <c r="D1927" s="556">
        <f t="shared" si="154"/>
        <v>15413</v>
      </c>
      <c r="E1927" s="556">
        <f t="shared" si="155"/>
        <v>10704</v>
      </c>
      <c r="F1927" s="556">
        <f t="shared" si="156"/>
        <v>15413</v>
      </c>
      <c r="G1927" s="556">
        <f t="shared" si="157"/>
        <v>13674</v>
      </c>
    </row>
    <row r="1928" spans="1:7" ht="15.75">
      <c r="A1928" s="625">
        <f t="shared" si="158"/>
        <v>93225</v>
      </c>
      <c r="B1928" s="555">
        <v>93200</v>
      </c>
      <c r="C1928" s="555">
        <v>93250</v>
      </c>
      <c r="D1928" s="556">
        <f t="shared" si="154"/>
        <v>15424</v>
      </c>
      <c r="E1928" s="556">
        <f t="shared" si="155"/>
        <v>10710</v>
      </c>
      <c r="F1928" s="556">
        <f t="shared" si="156"/>
        <v>15424</v>
      </c>
      <c r="G1928" s="556">
        <f t="shared" si="157"/>
        <v>13685</v>
      </c>
    </row>
    <row r="1929" spans="1:7" ht="15.75">
      <c r="A1929" s="625">
        <f t="shared" si="158"/>
        <v>93275</v>
      </c>
      <c r="B1929" s="555">
        <v>93250</v>
      </c>
      <c r="C1929" s="555">
        <v>93300</v>
      </c>
      <c r="D1929" s="556">
        <f t="shared" si="154"/>
        <v>15435</v>
      </c>
      <c r="E1929" s="556">
        <f t="shared" si="155"/>
        <v>10716</v>
      </c>
      <c r="F1929" s="556">
        <f t="shared" si="156"/>
        <v>15435</v>
      </c>
      <c r="G1929" s="556">
        <f t="shared" si="157"/>
        <v>13696</v>
      </c>
    </row>
    <row r="1930" spans="1:7" ht="15.75">
      <c r="A1930" s="625">
        <f t="shared" si="158"/>
        <v>93325</v>
      </c>
      <c r="B1930" s="555">
        <v>93300</v>
      </c>
      <c r="C1930" s="555">
        <v>93350</v>
      </c>
      <c r="D1930" s="556">
        <f t="shared" si="154"/>
        <v>15446</v>
      </c>
      <c r="E1930" s="556">
        <f t="shared" si="155"/>
        <v>10722</v>
      </c>
      <c r="F1930" s="556">
        <f t="shared" si="156"/>
        <v>15446</v>
      </c>
      <c r="G1930" s="556">
        <f t="shared" si="157"/>
        <v>13707</v>
      </c>
    </row>
    <row r="1931" spans="1:7" ht="15.75">
      <c r="A1931" s="625">
        <f t="shared" si="158"/>
        <v>93375</v>
      </c>
      <c r="B1931" s="555">
        <v>93350</v>
      </c>
      <c r="C1931" s="555">
        <v>93400</v>
      </c>
      <c r="D1931" s="556">
        <f t="shared" si="154"/>
        <v>15457</v>
      </c>
      <c r="E1931" s="556">
        <f t="shared" si="155"/>
        <v>10728</v>
      </c>
      <c r="F1931" s="556">
        <f t="shared" si="156"/>
        <v>15457</v>
      </c>
      <c r="G1931" s="556">
        <f t="shared" si="157"/>
        <v>13718</v>
      </c>
    </row>
    <row r="1932" spans="1:7" ht="15.75">
      <c r="A1932" s="625">
        <f t="shared" si="158"/>
        <v>93425</v>
      </c>
      <c r="B1932" s="555">
        <v>93400</v>
      </c>
      <c r="C1932" s="555">
        <v>93450</v>
      </c>
      <c r="D1932" s="556">
        <f t="shared" si="154"/>
        <v>15468</v>
      </c>
      <c r="E1932" s="556">
        <f t="shared" si="155"/>
        <v>10734</v>
      </c>
      <c r="F1932" s="556">
        <f t="shared" si="156"/>
        <v>15468</v>
      </c>
      <c r="G1932" s="556">
        <f t="shared" si="157"/>
        <v>13729</v>
      </c>
    </row>
    <row r="1933" spans="1:7" ht="15.75">
      <c r="A1933" s="625">
        <f t="shared" si="158"/>
        <v>93475</v>
      </c>
      <c r="B1933" s="555">
        <v>93450</v>
      </c>
      <c r="C1933" s="555">
        <v>93500</v>
      </c>
      <c r="D1933" s="556">
        <f t="shared" si="154"/>
        <v>15479</v>
      </c>
      <c r="E1933" s="556">
        <f t="shared" si="155"/>
        <v>10740</v>
      </c>
      <c r="F1933" s="556">
        <f t="shared" si="156"/>
        <v>15479</v>
      </c>
      <c r="G1933" s="556">
        <f t="shared" si="157"/>
        <v>13740</v>
      </c>
    </row>
    <row r="1934" spans="1:7" ht="15.75">
      <c r="A1934" s="625">
        <f t="shared" si="158"/>
        <v>93525</v>
      </c>
      <c r="B1934" s="555">
        <v>93500</v>
      </c>
      <c r="C1934" s="555">
        <v>93550</v>
      </c>
      <c r="D1934" s="556">
        <f t="shared" si="154"/>
        <v>15490</v>
      </c>
      <c r="E1934" s="556">
        <f t="shared" si="155"/>
        <v>10746</v>
      </c>
      <c r="F1934" s="556">
        <f t="shared" si="156"/>
        <v>15490</v>
      </c>
      <c r="G1934" s="556">
        <f t="shared" si="157"/>
        <v>13751</v>
      </c>
    </row>
    <row r="1935" spans="1:7" ht="15.75">
      <c r="A1935" s="625">
        <f t="shared" si="158"/>
        <v>93575</v>
      </c>
      <c r="B1935" s="555">
        <v>93550</v>
      </c>
      <c r="C1935" s="555">
        <v>93600</v>
      </c>
      <c r="D1935" s="556">
        <f t="shared" si="154"/>
        <v>15501</v>
      </c>
      <c r="E1935" s="556">
        <f t="shared" si="155"/>
        <v>10752</v>
      </c>
      <c r="F1935" s="556">
        <f t="shared" si="156"/>
        <v>15501</v>
      </c>
      <c r="G1935" s="556">
        <f t="shared" si="157"/>
        <v>13762</v>
      </c>
    </row>
    <row r="1936" spans="1:7" ht="15.75">
      <c r="A1936" s="625">
        <f t="shared" si="158"/>
        <v>93625</v>
      </c>
      <c r="B1936" s="555">
        <v>93600</v>
      </c>
      <c r="C1936" s="555">
        <v>93650</v>
      </c>
      <c r="D1936" s="556">
        <f t="shared" si="154"/>
        <v>15512</v>
      </c>
      <c r="E1936" s="556">
        <f t="shared" si="155"/>
        <v>10758</v>
      </c>
      <c r="F1936" s="556">
        <f t="shared" si="156"/>
        <v>15512</v>
      </c>
      <c r="G1936" s="556">
        <f t="shared" si="157"/>
        <v>13773</v>
      </c>
    </row>
    <row r="1937" spans="1:7" ht="15.75">
      <c r="A1937" s="625">
        <f t="shared" si="158"/>
        <v>93675</v>
      </c>
      <c r="B1937" s="555">
        <v>93650</v>
      </c>
      <c r="C1937" s="555">
        <v>93700</v>
      </c>
      <c r="D1937" s="556">
        <f t="shared" si="154"/>
        <v>15523</v>
      </c>
      <c r="E1937" s="556">
        <f t="shared" si="155"/>
        <v>10764</v>
      </c>
      <c r="F1937" s="556">
        <f t="shared" si="156"/>
        <v>15523</v>
      </c>
      <c r="G1937" s="556">
        <f t="shared" si="157"/>
        <v>13784</v>
      </c>
    </row>
    <row r="1938" spans="1:7" ht="15.75">
      <c r="A1938" s="625">
        <f t="shared" si="158"/>
        <v>93725</v>
      </c>
      <c r="B1938" s="555">
        <v>93700</v>
      </c>
      <c r="C1938" s="555">
        <v>93750</v>
      </c>
      <c r="D1938" s="556">
        <f t="shared" si="154"/>
        <v>15534</v>
      </c>
      <c r="E1938" s="556">
        <f t="shared" si="155"/>
        <v>10770</v>
      </c>
      <c r="F1938" s="556">
        <f t="shared" si="156"/>
        <v>15534</v>
      </c>
      <c r="G1938" s="556">
        <f t="shared" si="157"/>
        <v>13795</v>
      </c>
    </row>
    <row r="1939" spans="1:7" ht="15.75">
      <c r="A1939" s="625">
        <f t="shared" si="158"/>
        <v>93775</v>
      </c>
      <c r="B1939" s="555">
        <v>93750</v>
      </c>
      <c r="C1939" s="555">
        <v>93800</v>
      </c>
      <c r="D1939" s="556">
        <f t="shared" si="154"/>
        <v>15545</v>
      </c>
      <c r="E1939" s="556">
        <f t="shared" si="155"/>
        <v>10776</v>
      </c>
      <c r="F1939" s="556">
        <f t="shared" si="156"/>
        <v>15545</v>
      </c>
      <c r="G1939" s="556">
        <f t="shared" si="157"/>
        <v>13806</v>
      </c>
    </row>
    <row r="1940" spans="1:7" ht="15.75">
      <c r="A1940" s="625">
        <f t="shared" si="158"/>
        <v>93825</v>
      </c>
      <c r="B1940" s="555">
        <v>93800</v>
      </c>
      <c r="C1940" s="555">
        <v>93850</v>
      </c>
      <c r="D1940" s="556">
        <f t="shared" si="154"/>
        <v>15556</v>
      </c>
      <c r="E1940" s="556">
        <f t="shared" si="155"/>
        <v>10782</v>
      </c>
      <c r="F1940" s="556">
        <f t="shared" si="156"/>
        <v>15556</v>
      </c>
      <c r="G1940" s="556">
        <f t="shared" si="157"/>
        <v>13817</v>
      </c>
    </row>
    <row r="1941" spans="1:7" ht="15.75">
      <c r="A1941" s="625">
        <f t="shared" si="158"/>
        <v>93875</v>
      </c>
      <c r="B1941" s="555">
        <v>93850</v>
      </c>
      <c r="C1941" s="555">
        <v>93900</v>
      </c>
      <c r="D1941" s="556">
        <f t="shared" si="154"/>
        <v>15567</v>
      </c>
      <c r="E1941" s="556">
        <f t="shared" si="155"/>
        <v>10788</v>
      </c>
      <c r="F1941" s="556">
        <f t="shared" si="156"/>
        <v>15567</v>
      </c>
      <c r="G1941" s="556">
        <f t="shared" si="157"/>
        <v>13828</v>
      </c>
    </row>
    <row r="1942" spans="1:7" ht="15.75">
      <c r="A1942" s="625">
        <f t="shared" si="158"/>
        <v>93925</v>
      </c>
      <c r="B1942" s="555">
        <v>93900</v>
      </c>
      <c r="C1942" s="555">
        <v>93950</v>
      </c>
      <c r="D1942" s="556">
        <f t="shared" si="154"/>
        <v>15578</v>
      </c>
      <c r="E1942" s="556">
        <f t="shared" si="155"/>
        <v>10794</v>
      </c>
      <c r="F1942" s="556">
        <f t="shared" si="156"/>
        <v>15578</v>
      </c>
      <c r="G1942" s="556">
        <f t="shared" si="157"/>
        <v>13839</v>
      </c>
    </row>
    <row r="1943" spans="1:7" ht="15.75">
      <c r="A1943" s="625">
        <f t="shared" si="158"/>
        <v>93975</v>
      </c>
      <c r="B1943" s="555">
        <v>93950</v>
      </c>
      <c r="C1943" s="555">
        <v>94000</v>
      </c>
      <c r="D1943" s="556">
        <f t="shared" si="154"/>
        <v>15589</v>
      </c>
      <c r="E1943" s="556">
        <f t="shared" si="155"/>
        <v>10800</v>
      </c>
      <c r="F1943" s="556">
        <f t="shared" si="156"/>
        <v>15589</v>
      </c>
      <c r="G1943" s="556">
        <f t="shared" si="157"/>
        <v>13850</v>
      </c>
    </row>
    <row r="1944" spans="1:7" ht="15.75">
      <c r="A1944" s="625">
        <f t="shared" si="158"/>
        <v>94025</v>
      </c>
      <c r="B1944" s="555">
        <v>94000</v>
      </c>
      <c r="C1944" s="555">
        <v>94050</v>
      </c>
      <c r="D1944" s="556">
        <f t="shared" si="154"/>
        <v>15600</v>
      </c>
      <c r="E1944" s="556">
        <f t="shared" si="155"/>
        <v>10806</v>
      </c>
      <c r="F1944" s="556">
        <f t="shared" si="156"/>
        <v>15600</v>
      </c>
      <c r="G1944" s="556">
        <f t="shared" si="157"/>
        <v>13861</v>
      </c>
    </row>
    <row r="1945" spans="1:7" ht="15.75">
      <c r="A1945" s="625">
        <f t="shared" si="158"/>
        <v>94075</v>
      </c>
      <c r="B1945" s="555">
        <v>94050</v>
      </c>
      <c r="C1945" s="555">
        <v>94100</v>
      </c>
      <c r="D1945" s="556">
        <f t="shared" si="154"/>
        <v>15611</v>
      </c>
      <c r="E1945" s="556">
        <f t="shared" si="155"/>
        <v>10812</v>
      </c>
      <c r="F1945" s="556">
        <f t="shared" si="156"/>
        <v>15611</v>
      </c>
      <c r="G1945" s="556">
        <f t="shared" si="157"/>
        <v>13872</v>
      </c>
    </row>
    <row r="1946" spans="1:7" ht="15.75">
      <c r="A1946" s="625">
        <f t="shared" si="158"/>
        <v>94125</v>
      </c>
      <c r="B1946" s="555">
        <v>94100</v>
      </c>
      <c r="C1946" s="555">
        <v>94150</v>
      </c>
      <c r="D1946" s="556">
        <f t="shared" si="154"/>
        <v>15622</v>
      </c>
      <c r="E1946" s="556">
        <f t="shared" si="155"/>
        <v>10818</v>
      </c>
      <c r="F1946" s="556">
        <f t="shared" si="156"/>
        <v>15622</v>
      </c>
      <c r="G1946" s="556">
        <f t="shared" si="157"/>
        <v>13883</v>
      </c>
    </row>
    <row r="1947" spans="1:7" ht="15.75">
      <c r="A1947" s="625">
        <f t="shared" si="158"/>
        <v>94175</v>
      </c>
      <c r="B1947" s="555">
        <v>94150</v>
      </c>
      <c r="C1947" s="555">
        <v>94200</v>
      </c>
      <c r="D1947" s="556">
        <f t="shared" si="154"/>
        <v>15633</v>
      </c>
      <c r="E1947" s="556">
        <f t="shared" si="155"/>
        <v>10824</v>
      </c>
      <c r="F1947" s="556">
        <f t="shared" si="156"/>
        <v>15633</v>
      </c>
      <c r="G1947" s="556">
        <f t="shared" si="157"/>
        <v>13894</v>
      </c>
    </row>
    <row r="1948" spans="1:7" ht="15.75">
      <c r="A1948" s="625">
        <f t="shared" si="158"/>
        <v>94225</v>
      </c>
      <c r="B1948" s="555">
        <v>94200</v>
      </c>
      <c r="C1948" s="555">
        <v>94250</v>
      </c>
      <c r="D1948" s="556">
        <f t="shared" si="154"/>
        <v>15644</v>
      </c>
      <c r="E1948" s="556">
        <f t="shared" si="155"/>
        <v>10830</v>
      </c>
      <c r="F1948" s="556">
        <f t="shared" si="156"/>
        <v>15644</v>
      </c>
      <c r="G1948" s="556">
        <f t="shared" si="157"/>
        <v>13905</v>
      </c>
    </row>
    <row r="1949" spans="1:7" ht="15.75">
      <c r="A1949" s="625">
        <f t="shared" si="158"/>
        <v>94275</v>
      </c>
      <c r="B1949" s="555">
        <v>94250</v>
      </c>
      <c r="C1949" s="555">
        <v>94300</v>
      </c>
      <c r="D1949" s="556">
        <f t="shared" si="154"/>
        <v>15655</v>
      </c>
      <c r="E1949" s="556">
        <f t="shared" si="155"/>
        <v>10836</v>
      </c>
      <c r="F1949" s="556">
        <f t="shared" si="156"/>
        <v>15655</v>
      </c>
      <c r="G1949" s="556">
        <f t="shared" si="157"/>
        <v>13916</v>
      </c>
    </row>
    <row r="1950" spans="1:7" ht="15.75">
      <c r="A1950" s="625">
        <f t="shared" si="158"/>
        <v>94325</v>
      </c>
      <c r="B1950" s="555">
        <v>94300</v>
      </c>
      <c r="C1950" s="555">
        <v>94350</v>
      </c>
      <c r="D1950" s="556">
        <f t="shared" si="154"/>
        <v>15666</v>
      </c>
      <c r="E1950" s="556">
        <f t="shared" si="155"/>
        <v>10842</v>
      </c>
      <c r="F1950" s="556">
        <f t="shared" si="156"/>
        <v>15666</v>
      </c>
      <c r="G1950" s="556">
        <f t="shared" si="157"/>
        <v>13927</v>
      </c>
    </row>
    <row r="1951" spans="1:7" ht="15.75">
      <c r="A1951" s="625">
        <f t="shared" si="158"/>
        <v>94375</v>
      </c>
      <c r="B1951" s="555">
        <v>94350</v>
      </c>
      <c r="C1951" s="555">
        <v>94400</v>
      </c>
      <c r="D1951" s="556">
        <f t="shared" si="154"/>
        <v>15677</v>
      </c>
      <c r="E1951" s="556">
        <f t="shared" si="155"/>
        <v>10848</v>
      </c>
      <c r="F1951" s="556">
        <f t="shared" si="156"/>
        <v>15677</v>
      </c>
      <c r="G1951" s="556">
        <f t="shared" si="157"/>
        <v>13938</v>
      </c>
    </row>
    <row r="1952" spans="1:7" ht="15.75">
      <c r="A1952" s="625">
        <f t="shared" si="158"/>
        <v>94425</v>
      </c>
      <c r="B1952" s="555">
        <v>94400</v>
      </c>
      <c r="C1952" s="555">
        <v>94450</v>
      </c>
      <c r="D1952" s="556">
        <f t="shared" si="154"/>
        <v>15688</v>
      </c>
      <c r="E1952" s="556">
        <f t="shared" si="155"/>
        <v>10854</v>
      </c>
      <c r="F1952" s="556">
        <f t="shared" si="156"/>
        <v>15688</v>
      </c>
      <c r="G1952" s="556">
        <f t="shared" si="157"/>
        <v>13949</v>
      </c>
    </row>
    <row r="1953" spans="1:7" ht="15.75">
      <c r="A1953" s="625">
        <f t="shared" si="158"/>
        <v>94475</v>
      </c>
      <c r="B1953" s="555">
        <v>94450</v>
      </c>
      <c r="C1953" s="555">
        <v>94500</v>
      </c>
      <c r="D1953" s="556">
        <f t="shared" si="154"/>
        <v>15699</v>
      </c>
      <c r="E1953" s="556">
        <f t="shared" si="155"/>
        <v>10860</v>
      </c>
      <c r="F1953" s="556">
        <f t="shared" si="156"/>
        <v>15699</v>
      </c>
      <c r="G1953" s="556">
        <f t="shared" si="157"/>
        <v>13960</v>
      </c>
    </row>
    <row r="1954" spans="1:7" ht="15.75">
      <c r="A1954" s="625">
        <f t="shared" si="158"/>
        <v>94525</v>
      </c>
      <c r="B1954" s="555">
        <v>94500</v>
      </c>
      <c r="C1954" s="555">
        <v>94550</v>
      </c>
      <c r="D1954" s="556">
        <f t="shared" si="154"/>
        <v>15710</v>
      </c>
      <c r="E1954" s="556">
        <f t="shared" si="155"/>
        <v>10866</v>
      </c>
      <c r="F1954" s="556">
        <f t="shared" si="156"/>
        <v>15710</v>
      </c>
      <c r="G1954" s="556">
        <f t="shared" si="157"/>
        <v>13971</v>
      </c>
    </row>
    <row r="1955" spans="1:7" ht="15.75">
      <c r="A1955" s="625">
        <f t="shared" si="158"/>
        <v>94575</v>
      </c>
      <c r="B1955" s="555">
        <v>94550</v>
      </c>
      <c r="C1955" s="555">
        <v>94600</v>
      </c>
      <c r="D1955" s="556">
        <f t="shared" si="154"/>
        <v>15721</v>
      </c>
      <c r="E1955" s="556">
        <f t="shared" si="155"/>
        <v>10872</v>
      </c>
      <c r="F1955" s="556">
        <f t="shared" si="156"/>
        <v>15721</v>
      </c>
      <c r="G1955" s="556">
        <f t="shared" si="157"/>
        <v>13982</v>
      </c>
    </row>
    <row r="1956" spans="1:7" ht="15.75">
      <c r="A1956" s="625">
        <f t="shared" si="158"/>
        <v>94625</v>
      </c>
      <c r="B1956" s="555">
        <v>94600</v>
      </c>
      <c r="C1956" s="555">
        <v>94650</v>
      </c>
      <c r="D1956" s="556">
        <f t="shared" si="154"/>
        <v>15732</v>
      </c>
      <c r="E1956" s="556">
        <f t="shared" si="155"/>
        <v>10878</v>
      </c>
      <c r="F1956" s="556">
        <f t="shared" si="156"/>
        <v>15732</v>
      </c>
      <c r="G1956" s="556">
        <f t="shared" si="157"/>
        <v>13993</v>
      </c>
    </row>
    <row r="1957" spans="1:7" ht="15.75">
      <c r="A1957" s="625">
        <f t="shared" si="158"/>
        <v>94675</v>
      </c>
      <c r="B1957" s="555">
        <v>94650</v>
      </c>
      <c r="C1957" s="555">
        <v>94700</v>
      </c>
      <c r="D1957" s="556">
        <f t="shared" si="154"/>
        <v>15743</v>
      </c>
      <c r="E1957" s="556">
        <f t="shared" si="155"/>
        <v>10884</v>
      </c>
      <c r="F1957" s="556">
        <f t="shared" si="156"/>
        <v>15743</v>
      </c>
      <c r="G1957" s="556">
        <f t="shared" si="157"/>
        <v>14004</v>
      </c>
    </row>
    <row r="1958" spans="1:7" ht="15.75">
      <c r="A1958" s="625">
        <f t="shared" si="158"/>
        <v>94725</v>
      </c>
      <c r="B1958" s="555">
        <v>94700</v>
      </c>
      <c r="C1958" s="555">
        <v>94750</v>
      </c>
      <c r="D1958" s="556">
        <f t="shared" si="154"/>
        <v>15754</v>
      </c>
      <c r="E1958" s="556">
        <f t="shared" si="155"/>
        <v>10890</v>
      </c>
      <c r="F1958" s="556">
        <f t="shared" si="156"/>
        <v>15754</v>
      </c>
      <c r="G1958" s="556">
        <f t="shared" si="157"/>
        <v>14015</v>
      </c>
    </row>
    <row r="1959" spans="1:7" ht="15.75">
      <c r="A1959" s="625">
        <f t="shared" si="158"/>
        <v>94775</v>
      </c>
      <c r="B1959" s="555">
        <v>94750</v>
      </c>
      <c r="C1959" s="555">
        <v>94800</v>
      </c>
      <c r="D1959" s="556">
        <f t="shared" si="154"/>
        <v>15765</v>
      </c>
      <c r="E1959" s="556">
        <f t="shared" si="155"/>
        <v>10896</v>
      </c>
      <c r="F1959" s="556">
        <f t="shared" si="156"/>
        <v>15765</v>
      </c>
      <c r="G1959" s="556">
        <f t="shared" si="157"/>
        <v>14026</v>
      </c>
    </row>
    <row r="1960" spans="1:7" ht="15.75">
      <c r="A1960" s="625">
        <f t="shared" si="158"/>
        <v>94825</v>
      </c>
      <c r="B1960" s="555">
        <v>94800</v>
      </c>
      <c r="C1960" s="555">
        <v>94850</v>
      </c>
      <c r="D1960" s="556">
        <f t="shared" si="154"/>
        <v>15776</v>
      </c>
      <c r="E1960" s="556">
        <f t="shared" si="155"/>
        <v>10902</v>
      </c>
      <c r="F1960" s="556">
        <f t="shared" si="156"/>
        <v>15776</v>
      </c>
      <c r="G1960" s="556">
        <f t="shared" si="157"/>
        <v>14037</v>
      </c>
    </row>
    <row r="1961" spans="1:7" ht="15.75">
      <c r="A1961" s="625">
        <f t="shared" si="158"/>
        <v>94875</v>
      </c>
      <c r="B1961" s="555">
        <v>94850</v>
      </c>
      <c r="C1961" s="555">
        <v>94900</v>
      </c>
      <c r="D1961" s="556">
        <f t="shared" si="154"/>
        <v>15787</v>
      </c>
      <c r="E1961" s="556">
        <f t="shared" si="155"/>
        <v>10908</v>
      </c>
      <c r="F1961" s="556">
        <f t="shared" si="156"/>
        <v>15787</v>
      </c>
      <c r="G1961" s="556">
        <f t="shared" si="157"/>
        <v>14048</v>
      </c>
    </row>
    <row r="1962" spans="1:7" ht="15.75">
      <c r="A1962" s="625">
        <f t="shared" si="158"/>
        <v>94925</v>
      </c>
      <c r="B1962" s="555">
        <v>94900</v>
      </c>
      <c r="C1962" s="555">
        <v>94950</v>
      </c>
      <c r="D1962" s="556">
        <f t="shared" si="154"/>
        <v>15798</v>
      </c>
      <c r="E1962" s="556">
        <f t="shared" si="155"/>
        <v>10914</v>
      </c>
      <c r="F1962" s="556">
        <f t="shared" si="156"/>
        <v>15798</v>
      </c>
      <c r="G1962" s="556">
        <f t="shared" si="157"/>
        <v>14059</v>
      </c>
    </row>
    <row r="1963" spans="1:7" ht="15.75">
      <c r="A1963" s="625">
        <f t="shared" si="158"/>
        <v>94975</v>
      </c>
      <c r="B1963" s="555">
        <v>94950</v>
      </c>
      <c r="C1963" s="555">
        <v>95000</v>
      </c>
      <c r="D1963" s="556">
        <f t="shared" si="154"/>
        <v>15809</v>
      </c>
      <c r="E1963" s="556">
        <f t="shared" si="155"/>
        <v>10920</v>
      </c>
      <c r="F1963" s="556">
        <f t="shared" si="156"/>
        <v>15809</v>
      </c>
      <c r="G1963" s="556">
        <f t="shared" si="157"/>
        <v>14070</v>
      </c>
    </row>
    <row r="1964" spans="1:7" ht="15.75">
      <c r="A1964" s="625">
        <f t="shared" si="158"/>
        <v>95025</v>
      </c>
      <c r="B1964" s="555">
        <v>95000</v>
      </c>
      <c r="C1964" s="555">
        <v>95050</v>
      </c>
      <c r="D1964" s="556">
        <f t="shared" si="154"/>
        <v>15820</v>
      </c>
      <c r="E1964" s="556">
        <f t="shared" si="155"/>
        <v>10926</v>
      </c>
      <c r="F1964" s="556">
        <f t="shared" si="156"/>
        <v>15820</v>
      </c>
      <c r="G1964" s="556">
        <f t="shared" si="157"/>
        <v>14081</v>
      </c>
    </row>
    <row r="1965" spans="1:7" ht="15.75">
      <c r="A1965" s="625">
        <f t="shared" si="158"/>
        <v>95075</v>
      </c>
      <c r="B1965" s="555">
        <v>95050</v>
      </c>
      <c r="C1965" s="555">
        <v>95100</v>
      </c>
      <c r="D1965" s="556">
        <f t="shared" si="154"/>
        <v>15831</v>
      </c>
      <c r="E1965" s="556">
        <f t="shared" si="155"/>
        <v>10932</v>
      </c>
      <c r="F1965" s="556">
        <f t="shared" si="156"/>
        <v>15831</v>
      </c>
      <c r="G1965" s="556">
        <f t="shared" si="157"/>
        <v>14092</v>
      </c>
    </row>
    <row r="1966" spans="1:7" ht="15.75">
      <c r="A1966" s="625">
        <f t="shared" si="158"/>
        <v>95125</v>
      </c>
      <c r="B1966" s="555">
        <v>95100</v>
      </c>
      <c r="C1966" s="555">
        <v>95150</v>
      </c>
      <c r="D1966" s="556">
        <f t="shared" si="154"/>
        <v>15842</v>
      </c>
      <c r="E1966" s="556">
        <f t="shared" si="155"/>
        <v>10938</v>
      </c>
      <c r="F1966" s="556">
        <f t="shared" si="156"/>
        <v>15842</v>
      </c>
      <c r="G1966" s="556">
        <f t="shared" si="157"/>
        <v>14103</v>
      </c>
    </row>
    <row r="1967" spans="1:7" ht="15.75">
      <c r="A1967" s="625">
        <f t="shared" si="158"/>
        <v>95175</v>
      </c>
      <c r="B1967" s="555">
        <v>95150</v>
      </c>
      <c r="C1967" s="555">
        <v>95200</v>
      </c>
      <c r="D1967" s="556">
        <f t="shared" si="154"/>
        <v>15853</v>
      </c>
      <c r="E1967" s="556">
        <f t="shared" si="155"/>
        <v>10944</v>
      </c>
      <c r="F1967" s="556">
        <f t="shared" si="156"/>
        <v>15853</v>
      </c>
      <c r="G1967" s="556">
        <f t="shared" si="157"/>
        <v>14114</v>
      </c>
    </row>
    <row r="1968" spans="1:7" ht="15.75">
      <c r="A1968" s="625">
        <f t="shared" si="158"/>
        <v>95225</v>
      </c>
      <c r="B1968" s="555">
        <v>95200</v>
      </c>
      <c r="C1968" s="555">
        <v>95250</v>
      </c>
      <c r="D1968" s="556">
        <f t="shared" si="154"/>
        <v>15864</v>
      </c>
      <c r="E1968" s="556">
        <f t="shared" si="155"/>
        <v>10950</v>
      </c>
      <c r="F1968" s="556">
        <f t="shared" si="156"/>
        <v>15864</v>
      </c>
      <c r="G1968" s="556">
        <f t="shared" si="157"/>
        <v>14125</v>
      </c>
    </row>
    <row r="1969" spans="1:7" ht="15.75">
      <c r="A1969" s="625">
        <f t="shared" si="158"/>
        <v>95275</v>
      </c>
      <c r="B1969" s="555">
        <v>95250</v>
      </c>
      <c r="C1969" s="555">
        <v>95300</v>
      </c>
      <c r="D1969" s="556">
        <f t="shared" si="154"/>
        <v>15875</v>
      </c>
      <c r="E1969" s="556">
        <f t="shared" si="155"/>
        <v>10956</v>
      </c>
      <c r="F1969" s="556">
        <f t="shared" si="156"/>
        <v>15875</v>
      </c>
      <c r="G1969" s="556">
        <f t="shared" si="157"/>
        <v>14136</v>
      </c>
    </row>
    <row r="1970" spans="1:7" ht="15.75">
      <c r="A1970" s="625">
        <f t="shared" si="158"/>
        <v>95325</v>
      </c>
      <c r="B1970" s="555">
        <v>95300</v>
      </c>
      <c r="C1970" s="555">
        <v>95350</v>
      </c>
      <c r="D1970" s="556">
        <f t="shared" si="154"/>
        <v>15886</v>
      </c>
      <c r="E1970" s="556">
        <f t="shared" si="155"/>
        <v>10962</v>
      </c>
      <c r="F1970" s="556">
        <f t="shared" si="156"/>
        <v>15886</v>
      </c>
      <c r="G1970" s="556">
        <f t="shared" si="157"/>
        <v>14147</v>
      </c>
    </row>
    <row r="1971" spans="1:7" ht="15.75">
      <c r="A1971" s="625">
        <f t="shared" si="158"/>
        <v>95375</v>
      </c>
      <c r="B1971" s="555">
        <v>95350</v>
      </c>
      <c r="C1971" s="555">
        <v>95400</v>
      </c>
      <c r="D1971" s="556">
        <f t="shared" si="154"/>
        <v>15897</v>
      </c>
      <c r="E1971" s="556">
        <f t="shared" si="155"/>
        <v>10968</v>
      </c>
      <c r="F1971" s="556">
        <f t="shared" si="156"/>
        <v>15897</v>
      </c>
      <c r="G1971" s="556">
        <f t="shared" si="157"/>
        <v>14158</v>
      </c>
    </row>
    <row r="1972" spans="1:7" ht="15.75">
      <c r="A1972" s="625">
        <f t="shared" si="158"/>
        <v>95425</v>
      </c>
      <c r="B1972" s="555">
        <v>95400</v>
      </c>
      <c r="C1972" s="555">
        <v>95450</v>
      </c>
      <c r="D1972" s="556">
        <f t="shared" si="154"/>
        <v>15908</v>
      </c>
      <c r="E1972" s="556">
        <f t="shared" si="155"/>
        <v>10974</v>
      </c>
      <c r="F1972" s="556">
        <f t="shared" si="156"/>
        <v>15908</v>
      </c>
      <c r="G1972" s="556">
        <f t="shared" si="157"/>
        <v>14169</v>
      </c>
    </row>
    <row r="1973" spans="1:7" ht="15.75">
      <c r="A1973" s="625">
        <f t="shared" si="158"/>
        <v>95475</v>
      </c>
      <c r="B1973" s="555">
        <v>95450</v>
      </c>
      <c r="C1973" s="555">
        <v>95500</v>
      </c>
      <c r="D1973" s="556">
        <f t="shared" si="154"/>
        <v>15919</v>
      </c>
      <c r="E1973" s="556">
        <f t="shared" si="155"/>
        <v>10980</v>
      </c>
      <c r="F1973" s="556">
        <f t="shared" si="156"/>
        <v>15919</v>
      </c>
      <c r="G1973" s="556">
        <f t="shared" si="157"/>
        <v>14180</v>
      </c>
    </row>
    <row r="1974" spans="1:7" ht="15.75">
      <c r="A1974" s="625">
        <f t="shared" si="158"/>
        <v>95525</v>
      </c>
      <c r="B1974" s="555">
        <v>95500</v>
      </c>
      <c r="C1974" s="555">
        <v>95550</v>
      </c>
      <c r="D1974" s="556">
        <f t="shared" si="154"/>
        <v>15930</v>
      </c>
      <c r="E1974" s="556">
        <f t="shared" si="155"/>
        <v>10986</v>
      </c>
      <c r="F1974" s="556">
        <f t="shared" si="156"/>
        <v>15930</v>
      </c>
      <c r="G1974" s="556">
        <f t="shared" si="157"/>
        <v>14191</v>
      </c>
    </row>
    <row r="1975" spans="1:7" ht="15.75">
      <c r="A1975" s="625">
        <f t="shared" si="158"/>
        <v>95575</v>
      </c>
      <c r="B1975" s="555">
        <v>95550</v>
      </c>
      <c r="C1975" s="555">
        <v>95600</v>
      </c>
      <c r="D1975" s="556">
        <f t="shared" si="154"/>
        <v>15941</v>
      </c>
      <c r="E1975" s="556">
        <f t="shared" si="155"/>
        <v>10992</v>
      </c>
      <c r="F1975" s="556">
        <f t="shared" si="156"/>
        <v>15941</v>
      </c>
      <c r="G1975" s="556">
        <f t="shared" si="157"/>
        <v>14202</v>
      </c>
    </row>
    <row r="1976" spans="1:7" ht="15.75">
      <c r="A1976" s="625">
        <f t="shared" si="158"/>
        <v>95625</v>
      </c>
      <c r="B1976" s="555">
        <v>95600</v>
      </c>
      <c r="C1976" s="555">
        <v>95650</v>
      </c>
      <c r="D1976" s="556">
        <f t="shared" si="154"/>
        <v>15952</v>
      </c>
      <c r="E1976" s="556">
        <f t="shared" si="155"/>
        <v>10998</v>
      </c>
      <c r="F1976" s="556">
        <f t="shared" si="156"/>
        <v>15952</v>
      </c>
      <c r="G1976" s="556">
        <f t="shared" si="157"/>
        <v>14213</v>
      </c>
    </row>
    <row r="1977" spans="1:7" ht="15.75">
      <c r="A1977" s="625">
        <f t="shared" si="158"/>
        <v>95675</v>
      </c>
      <c r="B1977" s="555">
        <v>95650</v>
      </c>
      <c r="C1977" s="555">
        <v>95700</v>
      </c>
      <c r="D1977" s="556">
        <f t="shared" si="154"/>
        <v>15963</v>
      </c>
      <c r="E1977" s="556">
        <f t="shared" si="155"/>
        <v>11004</v>
      </c>
      <c r="F1977" s="556">
        <f t="shared" si="156"/>
        <v>15963</v>
      </c>
      <c r="G1977" s="556">
        <f t="shared" si="157"/>
        <v>14224</v>
      </c>
    </row>
    <row r="1978" spans="1:7" ht="15.75">
      <c r="A1978" s="625">
        <f t="shared" si="158"/>
        <v>95725</v>
      </c>
      <c r="B1978" s="555">
        <v>95700</v>
      </c>
      <c r="C1978" s="555">
        <v>95750</v>
      </c>
      <c r="D1978" s="556">
        <f t="shared" si="154"/>
        <v>15974</v>
      </c>
      <c r="E1978" s="556">
        <f t="shared" si="155"/>
        <v>11010</v>
      </c>
      <c r="F1978" s="556">
        <f t="shared" si="156"/>
        <v>15974</v>
      </c>
      <c r="G1978" s="556">
        <f t="shared" si="157"/>
        <v>14235</v>
      </c>
    </row>
    <row r="1979" spans="1:7" ht="15.75">
      <c r="A1979" s="625">
        <f t="shared" si="158"/>
        <v>95775</v>
      </c>
      <c r="B1979" s="555">
        <v>95750</v>
      </c>
      <c r="C1979" s="555">
        <v>95800</v>
      </c>
      <c r="D1979" s="556">
        <f t="shared" si="154"/>
        <v>15985</v>
      </c>
      <c r="E1979" s="556">
        <f t="shared" si="155"/>
        <v>11016</v>
      </c>
      <c r="F1979" s="556">
        <f t="shared" si="156"/>
        <v>15985</v>
      </c>
      <c r="G1979" s="556">
        <f t="shared" si="157"/>
        <v>14246</v>
      </c>
    </row>
    <row r="1980" spans="1:7" ht="15.75">
      <c r="A1980" s="625">
        <f t="shared" si="158"/>
        <v>95825</v>
      </c>
      <c r="B1980" s="555">
        <v>95800</v>
      </c>
      <c r="C1980" s="555">
        <v>95850</v>
      </c>
      <c r="D1980" s="556">
        <f t="shared" si="154"/>
        <v>15996</v>
      </c>
      <c r="E1980" s="556">
        <f t="shared" si="155"/>
        <v>11022</v>
      </c>
      <c r="F1980" s="556">
        <f t="shared" si="156"/>
        <v>15996</v>
      </c>
      <c r="G1980" s="556">
        <f t="shared" si="157"/>
        <v>14257</v>
      </c>
    </row>
    <row r="1981" spans="1:7" ht="15.75">
      <c r="A1981" s="625">
        <f t="shared" si="158"/>
        <v>95875</v>
      </c>
      <c r="B1981" s="555">
        <v>95850</v>
      </c>
      <c r="C1981" s="555">
        <v>95900</v>
      </c>
      <c r="D1981" s="556">
        <f t="shared" si="154"/>
        <v>16007</v>
      </c>
      <c r="E1981" s="556">
        <f t="shared" si="155"/>
        <v>11028</v>
      </c>
      <c r="F1981" s="556">
        <f t="shared" si="156"/>
        <v>16007</v>
      </c>
      <c r="G1981" s="556">
        <f t="shared" si="157"/>
        <v>14268</v>
      </c>
    </row>
    <row r="1982" spans="1:7" ht="15.75">
      <c r="A1982" s="625">
        <f t="shared" si="158"/>
        <v>95925</v>
      </c>
      <c r="B1982" s="555">
        <v>95900</v>
      </c>
      <c r="C1982" s="555">
        <v>95950</v>
      </c>
      <c r="D1982" s="556">
        <f t="shared" si="154"/>
        <v>16018</v>
      </c>
      <c r="E1982" s="556">
        <f t="shared" si="155"/>
        <v>11034</v>
      </c>
      <c r="F1982" s="556">
        <f t="shared" si="156"/>
        <v>16018</v>
      </c>
      <c r="G1982" s="556">
        <f t="shared" si="157"/>
        <v>14279</v>
      </c>
    </row>
    <row r="1983" spans="1:7" ht="15.75">
      <c r="A1983" s="625">
        <f t="shared" si="158"/>
        <v>95975</v>
      </c>
      <c r="B1983" s="555">
        <v>95950</v>
      </c>
      <c r="C1983" s="555">
        <v>96000</v>
      </c>
      <c r="D1983" s="556">
        <f t="shared" si="154"/>
        <v>16029</v>
      </c>
      <c r="E1983" s="556">
        <f t="shared" si="155"/>
        <v>11040</v>
      </c>
      <c r="F1983" s="556">
        <f t="shared" si="156"/>
        <v>16029</v>
      </c>
      <c r="G1983" s="556">
        <f t="shared" si="157"/>
        <v>14290</v>
      </c>
    </row>
    <row r="1984" spans="1:7" ht="15.75">
      <c r="A1984" s="625">
        <f t="shared" si="158"/>
        <v>96025</v>
      </c>
      <c r="B1984" s="555">
        <v>96000</v>
      </c>
      <c r="C1984" s="555">
        <v>96050</v>
      </c>
      <c r="D1984" s="556">
        <f t="shared" si="154"/>
        <v>16040</v>
      </c>
      <c r="E1984" s="556">
        <f t="shared" si="155"/>
        <v>11046</v>
      </c>
      <c r="F1984" s="556">
        <f t="shared" si="156"/>
        <v>16040</v>
      </c>
      <c r="G1984" s="556">
        <f t="shared" si="157"/>
        <v>14301</v>
      </c>
    </row>
    <row r="1985" spans="1:7" ht="15.75">
      <c r="A1985" s="625">
        <f t="shared" si="158"/>
        <v>96075</v>
      </c>
      <c r="B1985" s="555">
        <v>96050</v>
      </c>
      <c r="C1985" s="555">
        <v>96100</v>
      </c>
      <c r="D1985" s="556">
        <f t="shared" si="154"/>
        <v>16051</v>
      </c>
      <c r="E1985" s="556">
        <f t="shared" si="155"/>
        <v>11052</v>
      </c>
      <c r="F1985" s="556">
        <f t="shared" si="156"/>
        <v>16051</v>
      </c>
      <c r="G1985" s="556">
        <f t="shared" si="157"/>
        <v>14312</v>
      </c>
    </row>
    <row r="1986" spans="1:7" ht="15.75">
      <c r="A1986" s="625">
        <f t="shared" si="158"/>
        <v>96125</v>
      </c>
      <c r="B1986" s="555">
        <v>96100</v>
      </c>
      <c r="C1986" s="555">
        <v>96150</v>
      </c>
      <c r="D1986" s="556">
        <f t="shared" ref="D1986:D2049" si="159">IF($A1986&gt;BOTT_A4,ROUND(BASE_A4+RATE_A4*($A1986-BOTT_A4),0),IF($A1986&gt;BOTT_A3,ROUND(BASE_A3+RATE_A3*($A1986-BOTT_A3),0),IF($A1986&gt;BOTT_A2,ROUND(BASE_A2+RATE_A2*($A1986-BOTT_A2),0),ROUND(RATE_A1*$A1986,0))))</f>
        <v>16062</v>
      </c>
      <c r="E1986" s="556">
        <f t="shared" ref="E1986:E2049" si="160">IF($A1986&gt;BOTT_B4,ROUND(BASE_B4+RATE_B4*($A1986-BOTT_B4),0),IF($A1986&gt;BOTT_B3,ROUND(BASE_B3+RATE_B3*($A1986-BOTT_B3),0),IF($A1986&gt;BOTT_B2,ROUND(BASE_B2+RATE_B2*($A1986-BOTT_B2),0),ROUND(RATE_B1*$A1986,0))))</f>
        <v>11058</v>
      </c>
      <c r="F1986" s="556">
        <f t="shared" ref="F1986:F2049" si="161">IF($A1986&gt;BOTT_C4,ROUND(BASE_C4+RATE_C4*($A1986-BOTT_C4),0),IF($A1986&gt;BOTT_C3,ROUND(BASE_C3+RATE_C3*($A1986-BOTT_C3),0),IF($A1986&gt;BOTT_C2,ROUND(BASE_C2+RATE_C2*($A1986-BOTT_C2),0),ROUND(RATE_C1*$A1986,0))))</f>
        <v>16062</v>
      </c>
      <c r="G1986" s="556">
        <f t="shared" ref="G1986:G2049" si="162">IF($A1986&gt;BOTT_D4,ROUND(BASE_D4+RATE_D4*($A1986-BOTT_D4),0),IF($A1986&gt;BOTT_D3,ROUND(BASE_D3+RATE_D3*($A1986-BOTT_D3),0),IF($A1986&gt;BOTT_D2,ROUND(BASE_D2+RATE_D2*($A1986-BOTT_D2),0),ROUND(RATE_D1*$A1986,0))))</f>
        <v>14323</v>
      </c>
    </row>
    <row r="1987" spans="1:7" ht="15.75">
      <c r="A1987" s="625">
        <f t="shared" ref="A1987:A2050" si="163">AVERAGE(B1987,C1987)</f>
        <v>96175</v>
      </c>
      <c r="B1987" s="555">
        <v>96150</v>
      </c>
      <c r="C1987" s="555">
        <v>96200</v>
      </c>
      <c r="D1987" s="556">
        <f t="shared" si="159"/>
        <v>16073</v>
      </c>
      <c r="E1987" s="556">
        <f t="shared" si="160"/>
        <v>11064</v>
      </c>
      <c r="F1987" s="556">
        <f t="shared" si="161"/>
        <v>16073</v>
      </c>
      <c r="G1987" s="556">
        <f t="shared" si="162"/>
        <v>14334</v>
      </c>
    </row>
    <row r="1988" spans="1:7" ht="15.75">
      <c r="A1988" s="625">
        <f t="shared" si="163"/>
        <v>96225</v>
      </c>
      <c r="B1988" s="555">
        <v>96200</v>
      </c>
      <c r="C1988" s="555">
        <v>96250</v>
      </c>
      <c r="D1988" s="556">
        <f t="shared" si="159"/>
        <v>16084</v>
      </c>
      <c r="E1988" s="556">
        <f t="shared" si="160"/>
        <v>11070</v>
      </c>
      <c r="F1988" s="556">
        <f t="shared" si="161"/>
        <v>16084</v>
      </c>
      <c r="G1988" s="556">
        <f t="shared" si="162"/>
        <v>14345</v>
      </c>
    </row>
    <row r="1989" spans="1:7" ht="15.75">
      <c r="A1989" s="625">
        <f t="shared" si="163"/>
        <v>96275</v>
      </c>
      <c r="B1989" s="555">
        <v>96250</v>
      </c>
      <c r="C1989" s="555">
        <v>96300</v>
      </c>
      <c r="D1989" s="556">
        <f t="shared" si="159"/>
        <v>16095</v>
      </c>
      <c r="E1989" s="556">
        <f t="shared" si="160"/>
        <v>11076</v>
      </c>
      <c r="F1989" s="556">
        <f t="shared" si="161"/>
        <v>16095</v>
      </c>
      <c r="G1989" s="556">
        <f t="shared" si="162"/>
        <v>14356</v>
      </c>
    </row>
    <row r="1990" spans="1:7" ht="15.75">
      <c r="A1990" s="625">
        <f t="shared" si="163"/>
        <v>96325</v>
      </c>
      <c r="B1990" s="555">
        <v>96300</v>
      </c>
      <c r="C1990" s="555">
        <v>96350</v>
      </c>
      <c r="D1990" s="556">
        <f t="shared" si="159"/>
        <v>16106</v>
      </c>
      <c r="E1990" s="556">
        <f t="shared" si="160"/>
        <v>11082</v>
      </c>
      <c r="F1990" s="556">
        <f t="shared" si="161"/>
        <v>16106</v>
      </c>
      <c r="G1990" s="556">
        <f t="shared" si="162"/>
        <v>14367</v>
      </c>
    </row>
    <row r="1991" spans="1:7" ht="15.75">
      <c r="A1991" s="625">
        <f t="shared" si="163"/>
        <v>96375</v>
      </c>
      <c r="B1991" s="555">
        <v>96350</v>
      </c>
      <c r="C1991" s="555">
        <v>96400</v>
      </c>
      <c r="D1991" s="556">
        <f t="shared" si="159"/>
        <v>16117</v>
      </c>
      <c r="E1991" s="556">
        <f t="shared" si="160"/>
        <v>11088</v>
      </c>
      <c r="F1991" s="556">
        <f t="shared" si="161"/>
        <v>16117</v>
      </c>
      <c r="G1991" s="556">
        <f t="shared" si="162"/>
        <v>14378</v>
      </c>
    </row>
    <row r="1992" spans="1:7" ht="15.75">
      <c r="A1992" s="625">
        <f t="shared" si="163"/>
        <v>96425</v>
      </c>
      <c r="B1992" s="555">
        <v>96400</v>
      </c>
      <c r="C1992" s="555">
        <v>96450</v>
      </c>
      <c r="D1992" s="556">
        <f t="shared" si="159"/>
        <v>16128</v>
      </c>
      <c r="E1992" s="556">
        <f t="shared" si="160"/>
        <v>11094</v>
      </c>
      <c r="F1992" s="556">
        <f t="shared" si="161"/>
        <v>16128</v>
      </c>
      <c r="G1992" s="556">
        <f t="shared" si="162"/>
        <v>14389</v>
      </c>
    </row>
    <row r="1993" spans="1:7" ht="15.75">
      <c r="A1993" s="625">
        <f t="shared" si="163"/>
        <v>96475</v>
      </c>
      <c r="B1993" s="555">
        <v>96450</v>
      </c>
      <c r="C1993" s="555">
        <v>96500</v>
      </c>
      <c r="D1993" s="556">
        <f t="shared" si="159"/>
        <v>16139</v>
      </c>
      <c r="E1993" s="556">
        <f t="shared" si="160"/>
        <v>11100</v>
      </c>
      <c r="F1993" s="556">
        <f t="shared" si="161"/>
        <v>16139</v>
      </c>
      <c r="G1993" s="556">
        <f t="shared" si="162"/>
        <v>14400</v>
      </c>
    </row>
    <row r="1994" spans="1:7" ht="15.75">
      <c r="A1994" s="625">
        <f t="shared" si="163"/>
        <v>96525</v>
      </c>
      <c r="B1994" s="555">
        <v>96500</v>
      </c>
      <c r="C1994" s="555">
        <v>96550</v>
      </c>
      <c r="D1994" s="556">
        <f t="shared" si="159"/>
        <v>16150</v>
      </c>
      <c r="E1994" s="556">
        <f t="shared" si="160"/>
        <v>11106</v>
      </c>
      <c r="F1994" s="556">
        <f t="shared" si="161"/>
        <v>16150</v>
      </c>
      <c r="G1994" s="556">
        <f t="shared" si="162"/>
        <v>14411</v>
      </c>
    </row>
    <row r="1995" spans="1:7" ht="15.75">
      <c r="A1995" s="625">
        <f t="shared" si="163"/>
        <v>96575</v>
      </c>
      <c r="B1995" s="555">
        <v>96550</v>
      </c>
      <c r="C1995" s="555">
        <v>96600</v>
      </c>
      <c r="D1995" s="556">
        <f t="shared" si="159"/>
        <v>16161</v>
      </c>
      <c r="E1995" s="556">
        <f t="shared" si="160"/>
        <v>11112</v>
      </c>
      <c r="F1995" s="556">
        <f t="shared" si="161"/>
        <v>16161</v>
      </c>
      <c r="G1995" s="556">
        <f t="shared" si="162"/>
        <v>14422</v>
      </c>
    </row>
    <row r="1996" spans="1:7" ht="15.75">
      <c r="A1996" s="625">
        <f t="shared" si="163"/>
        <v>96625</v>
      </c>
      <c r="B1996" s="555">
        <v>96600</v>
      </c>
      <c r="C1996" s="555">
        <v>96650</v>
      </c>
      <c r="D1996" s="556">
        <f t="shared" si="159"/>
        <v>16172</v>
      </c>
      <c r="E1996" s="556">
        <f t="shared" si="160"/>
        <v>11118</v>
      </c>
      <c r="F1996" s="556">
        <f t="shared" si="161"/>
        <v>16172</v>
      </c>
      <c r="G1996" s="556">
        <f t="shared" si="162"/>
        <v>14433</v>
      </c>
    </row>
    <row r="1997" spans="1:7" ht="15.75">
      <c r="A1997" s="625">
        <f t="shared" si="163"/>
        <v>96675</v>
      </c>
      <c r="B1997" s="555">
        <v>96650</v>
      </c>
      <c r="C1997" s="555">
        <v>96700</v>
      </c>
      <c r="D1997" s="556">
        <f t="shared" si="159"/>
        <v>16183</v>
      </c>
      <c r="E1997" s="556">
        <f t="shared" si="160"/>
        <v>11124</v>
      </c>
      <c r="F1997" s="556">
        <f t="shared" si="161"/>
        <v>16183</v>
      </c>
      <c r="G1997" s="556">
        <f t="shared" si="162"/>
        <v>14444</v>
      </c>
    </row>
    <row r="1998" spans="1:7" ht="15.75">
      <c r="A1998" s="625">
        <f t="shared" si="163"/>
        <v>96725</v>
      </c>
      <c r="B1998" s="555">
        <v>96700</v>
      </c>
      <c r="C1998" s="555">
        <v>96750</v>
      </c>
      <c r="D1998" s="556">
        <f t="shared" si="159"/>
        <v>16194</v>
      </c>
      <c r="E1998" s="556">
        <f t="shared" si="160"/>
        <v>11130</v>
      </c>
      <c r="F1998" s="556">
        <f t="shared" si="161"/>
        <v>16194</v>
      </c>
      <c r="G1998" s="556">
        <f t="shared" si="162"/>
        <v>14455</v>
      </c>
    </row>
    <row r="1999" spans="1:7" ht="15.75">
      <c r="A1999" s="625">
        <f t="shared" si="163"/>
        <v>96775</v>
      </c>
      <c r="B1999" s="555">
        <v>96750</v>
      </c>
      <c r="C1999" s="555">
        <v>96800</v>
      </c>
      <c r="D1999" s="556">
        <f t="shared" si="159"/>
        <v>16205</v>
      </c>
      <c r="E1999" s="556">
        <f t="shared" si="160"/>
        <v>11136</v>
      </c>
      <c r="F1999" s="556">
        <f t="shared" si="161"/>
        <v>16205</v>
      </c>
      <c r="G1999" s="556">
        <f t="shared" si="162"/>
        <v>14466</v>
      </c>
    </row>
    <row r="2000" spans="1:7" ht="15.75">
      <c r="A2000" s="625">
        <f t="shared" si="163"/>
        <v>96825</v>
      </c>
      <c r="B2000" s="555">
        <v>96800</v>
      </c>
      <c r="C2000" s="555">
        <v>96850</v>
      </c>
      <c r="D2000" s="556">
        <f t="shared" si="159"/>
        <v>16216</v>
      </c>
      <c r="E2000" s="556">
        <f t="shared" si="160"/>
        <v>11142</v>
      </c>
      <c r="F2000" s="556">
        <f t="shared" si="161"/>
        <v>16216</v>
      </c>
      <c r="G2000" s="556">
        <f t="shared" si="162"/>
        <v>14477</v>
      </c>
    </row>
    <row r="2001" spans="1:7" ht="15.75">
      <c r="A2001" s="625">
        <f t="shared" si="163"/>
        <v>96875</v>
      </c>
      <c r="B2001" s="555">
        <v>96850</v>
      </c>
      <c r="C2001" s="555">
        <v>96900</v>
      </c>
      <c r="D2001" s="556">
        <f t="shared" si="159"/>
        <v>16227</v>
      </c>
      <c r="E2001" s="556">
        <f t="shared" si="160"/>
        <v>11148</v>
      </c>
      <c r="F2001" s="556">
        <f t="shared" si="161"/>
        <v>16227</v>
      </c>
      <c r="G2001" s="556">
        <f t="shared" si="162"/>
        <v>14488</v>
      </c>
    </row>
    <row r="2002" spans="1:7" ht="15.75">
      <c r="A2002" s="625">
        <f t="shared" si="163"/>
        <v>96925</v>
      </c>
      <c r="B2002" s="555">
        <v>96900</v>
      </c>
      <c r="C2002" s="555">
        <v>96950</v>
      </c>
      <c r="D2002" s="556">
        <f t="shared" si="159"/>
        <v>16238</v>
      </c>
      <c r="E2002" s="556">
        <f t="shared" si="160"/>
        <v>11154</v>
      </c>
      <c r="F2002" s="556">
        <f t="shared" si="161"/>
        <v>16238</v>
      </c>
      <c r="G2002" s="556">
        <f t="shared" si="162"/>
        <v>14499</v>
      </c>
    </row>
    <row r="2003" spans="1:7" ht="15.75">
      <c r="A2003" s="625">
        <f t="shared" si="163"/>
        <v>96975</v>
      </c>
      <c r="B2003" s="555">
        <v>96950</v>
      </c>
      <c r="C2003" s="555">
        <v>97000</v>
      </c>
      <c r="D2003" s="556">
        <f t="shared" si="159"/>
        <v>16249</v>
      </c>
      <c r="E2003" s="556">
        <f t="shared" si="160"/>
        <v>11163</v>
      </c>
      <c r="F2003" s="556">
        <f t="shared" si="161"/>
        <v>16249</v>
      </c>
      <c r="G2003" s="556">
        <f t="shared" si="162"/>
        <v>14510</v>
      </c>
    </row>
    <row r="2004" spans="1:7" ht="15.75">
      <c r="A2004" s="625">
        <f t="shared" si="163"/>
        <v>97025</v>
      </c>
      <c r="B2004" s="555">
        <v>97000</v>
      </c>
      <c r="C2004" s="555">
        <v>97050</v>
      </c>
      <c r="D2004" s="556">
        <f t="shared" si="159"/>
        <v>16260</v>
      </c>
      <c r="E2004" s="556">
        <f t="shared" si="160"/>
        <v>11174</v>
      </c>
      <c r="F2004" s="556">
        <f t="shared" si="161"/>
        <v>16260</v>
      </c>
      <c r="G2004" s="556">
        <f t="shared" si="162"/>
        <v>14521</v>
      </c>
    </row>
    <row r="2005" spans="1:7" ht="15.75">
      <c r="A2005" s="625">
        <f t="shared" si="163"/>
        <v>97075</v>
      </c>
      <c r="B2005" s="555">
        <v>97050</v>
      </c>
      <c r="C2005" s="555">
        <v>97100</v>
      </c>
      <c r="D2005" s="556">
        <f t="shared" si="159"/>
        <v>16271</v>
      </c>
      <c r="E2005" s="556">
        <f t="shared" si="160"/>
        <v>11185</v>
      </c>
      <c r="F2005" s="556">
        <f t="shared" si="161"/>
        <v>16271</v>
      </c>
      <c r="G2005" s="556">
        <f t="shared" si="162"/>
        <v>14532</v>
      </c>
    </row>
    <row r="2006" spans="1:7" ht="15.75">
      <c r="A2006" s="625">
        <f t="shared" si="163"/>
        <v>97125</v>
      </c>
      <c r="B2006" s="555">
        <v>97100</v>
      </c>
      <c r="C2006" s="555">
        <v>97150</v>
      </c>
      <c r="D2006" s="556">
        <f t="shared" si="159"/>
        <v>16282</v>
      </c>
      <c r="E2006" s="556">
        <f t="shared" si="160"/>
        <v>11196</v>
      </c>
      <c r="F2006" s="556">
        <f t="shared" si="161"/>
        <v>16282</v>
      </c>
      <c r="G2006" s="556">
        <f t="shared" si="162"/>
        <v>14543</v>
      </c>
    </row>
    <row r="2007" spans="1:7" ht="15.75">
      <c r="A2007" s="625">
        <f t="shared" si="163"/>
        <v>97175</v>
      </c>
      <c r="B2007" s="555">
        <v>97150</v>
      </c>
      <c r="C2007" s="555">
        <v>97200</v>
      </c>
      <c r="D2007" s="556">
        <f t="shared" si="159"/>
        <v>16293</v>
      </c>
      <c r="E2007" s="556">
        <f t="shared" si="160"/>
        <v>11207</v>
      </c>
      <c r="F2007" s="556">
        <f t="shared" si="161"/>
        <v>16293</v>
      </c>
      <c r="G2007" s="556">
        <f t="shared" si="162"/>
        <v>14554</v>
      </c>
    </row>
    <row r="2008" spans="1:7" ht="15.75">
      <c r="A2008" s="625">
        <f t="shared" si="163"/>
        <v>97225</v>
      </c>
      <c r="B2008" s="555">
        <v>97200</v>
      </c>
      <c r="C2008" s="555">
        <v>97250</v>
      </c>
      <c r="D2008" s="556">
        <f t="shared" si="159"/>
        <v>16304</v>
      </c>
      <c r="E2008" s="556">
        <f t="shared" si="160"/>
        <v>11218</v>
      </c>
      <c r="F2008" s="556">
        <f t="shared" si="161"/>
        <v>16304</v>
      </c>
      <c r="G2008" s="556">
        <f t="shared" si="162"/>
        <v>14565</v>
      </c>
    </row>
    <row r="2009" spans="1:7" ht="15.75">
      <c r="A2009" s="625">
        <f t="shared" si="163"/>
        <v>97275</v>
      </c>
      <c r="B2009" s="555">
        <v>97250</v>
      </c>
      <c r="C2009" s="555">
        <v>97300</v>
      </c>
      <c r="D2009" s="556">
        <f t="shared" si="159"/>
        <v>16315</v>
      </c>
      <c r="E2009" s="556">
        <f t="shared" si="160"/>
        <v>11229</v>
      </c>
      <c r="F2009" s="556">
        <f t="shared" si="161"/>
        <v>16315</v>
      </c>
      <c r="G2009" s="556">
        <f t="shared" si="162"/>
        <v>14576</v>
      </c>
    </row>
    <row r="2010" spans="1:7" ht="15.75">
      <c r="A2010" s="625">
        <f t="shared" si="163"/>
        <v>97325</v>
      </c>
      <c r="B2010" s="555">
        <v>97300</v>
      </c>
      <c r="C2010" s="555">
        <v>97350</v>
      </c>
      <c r="D2010" s="556">
        <f t="shared" si="159"/>
        <v>16326</v>
      </c>
      <c r="E2010" s="556">
        <f t="shared" si="160"/>
        <v>11240</v>
      </c>
      <c r="F2010" s="556">
        <f t="shared" si="161"/>
        <v>16326</v>
      </c>
      <c r="G2010" s="556">
        <f t="shared" si="162"/>
        <v>14587</v>
      </c>
    </row>
    <row r="2011" spans="1:7" ht="15.75">
      <c r="A2011" s="625">
        <f t="shared" si="163"/>
        <v>97375</v>
      </c>
      <c r="B2011" s="555">
        <v>97350</v>
      </c>
      <c r="C2011" s="555">
        <v>97400</v>
      </c>
      <c r="D2011" s="556">
        <f t="shared" si="159"/>
        <v>16337</v>
      </c>
      <c r="E2011" s="556">
        <f t="shared" si="160"/>
        <v>11251</v>
      </c>
      <c r="F2011" s="556">
        <f t="shared" si="161"/>
        <v>16337</v>
      </c>
      <c r="G2011" s="556">
        <f t="shared" si="162"/>
        <v>14598</v>
      </c>
    </row>
    <row r="2012" spans="1:7" ht="15.75">
      <c r="A2012" s="625">
        <f t="shared" si="163"/>
        <v>97425</v>
      </c>
      <c r="B2012" s="555">
        <v>97400</v>
      </c>
      <c r="C2012" s="555">
        <v>97450</v>
      </c>
      <c r="D2012" s="556">
        <f t="shared" si="159"/>
        <v>16348</v>
      </c>
      <c r="E2012" s="556">
        <f t="shared" si="160"/>
        <v>11262</v>
      </c>
      <c r="F2012" s="556">
        <f t="shared" si="161"/>
        <v>16348</v>
      </c>
      <c r="G2012" s="556">
        <f t="shared" si="162"/>
        <v>14609</v>
      </c>
    </row>
    <row r="2013" spans="1:7" ht="15.75">
      <c r="A2013" s="625">
        <f t="shared" si="163"/>
        <v>97475</v>
      </c>
      <c r="B2013" s="555">
        <v>97450</v>
      </c>
      <c r="C2013" s="555">
        <v>97500</v>
      </c>
      <c r="D2013" s="556">
        <f t="shared" si="159"/>
        <v>16359</v>
      </c>
      <c r="E2013" s="556">
        <f t="shared" si="160"/>
        <v>11273</v>
      </c>
      <c r="F2013" s="556">
        <f t="shared" si="161"/>
        <v>16359</v>
      </c>
      <c r="G2013" s="556">
        <f t="shared" si="162"/>
        <v>14620</v>
      </c>
    </row>
    <row r="2014" spans="1:7" ht="15.75">
      <c r="A2014" s="625">
        <f t="shared" si="163"/>
        <v>97525</v>
      </c>
      <c r="B2014" s="555">
        <v>97500</v>
      </c>
      <c r="C2014" s="555">
        <v>97550</v>
      </c>
      <c r="D2014" s="556">
        <f t="shared" si="159"/>
        <v>16370</v>
      </c>
      <c r="E2014" s="556">
        <f t="shared" si="160"/>
        <v>11284</v>
      </c>
      <c r="F2014" s="556">
        <f t="shared" si="161"/>
        <v>16370</v>
      </c>
      <c r="G2014" s="556">
        <f t="shared" si="162"/>
        <v>14631</v>
      </c>
    </row>
    <row r="2015" spans="1:7" ht="15.75">
      <c r="A2015" s="625">
        <f t="shared" si="163"/>
        <v>97575</v>
      </c>
      <c r="B2015" s="555">
        <v>97550</v>
      </c>
      <c r="C2015" s="555">
        <v>97600</v>
      </c>
      <c r="D2015" s="556">
        <f t="shared" si="159"/>
        <v>16381</v>
      </c>
      <c r="E2015" s="556">
        <f t="shared" si="160"/>
        <v>11295</v>
      </c>
      <c r="F2015" s="556">
        <f t="shared" si="161"/>
        <v>16381</v>
      </c>
      <c r="G2015" s="556">
        <f t="shared" si="162"/>
        <v>14642</v>
      </c>
    </row>
    <row r="2016" spans="1:7" ht="15.75">
      <c r="A2016" s="625">
        <f t="shared" si="163"/>
        <v>97625</v>
      </c>
      <c r="B2016" s="555">
        <v>97600</v>
      </c>
      <c r="C2016" s="555">
        <v>97650</v>
      </c>
      <c r="D2016" s="556">
        <f t="shared" si="159"/>
        <v>16392</v>
      </c>
      <c r="E2016" s="556">
        <f t="shared" si="160"/>
        <v>11306</v>
      </c>
      <c r="F2016" s="556">
        <f t="shared" si="161"/>
        <v>16392</v>
      </c>
      <c r="G2016" s="556">
        <f t="shared" si="162"/>
        <v>14653</v>
      </c>
    </row>
    <row r="2017" spans="1:7" ht="15.75">
      <c r="A2017" s="625">
        <f t="shared" si="163"/>
        <v>97675</v>
      </c>
      <c r="B2017" s="555">
        <v>97650</v>
      </c>
      <c r="C2017" s="555">
        <v>97700</v>
      </c>
      <c r="D2017" s="556">
        <f t="shared" si="159"/>
        <v>16403</v>
      </c>
      <c r="E2017" s="556">
        <f t="shared" si="160"/>
        <v>11317</v>
      </c>
      <c r="F2017" s="556">
        <f t="shared" si="161"/>
        <v>16403</v>
      </c>
      <c r="G2017" s="556">
        <f t="shared" si="162"/>
        <v>14664</v>
      </c>
    </row>
    <row r="2018" spans="1:7" ht="15.75">
      <c r="A2018" s="625">
        <f t="shared" si="163"/>
        <v>97725</v>
      </c>
      <c r="B2018" s="555">
        <v>97700</v>
      </c>
      <c r="C2018" s="555">
        <v>97750</v>
      </c>
      <c r="D2018" s="556">
        <f t="shared" si="159"/>
        <v>16414</v>
      </c>
      <c r="E2018" s="556">
        <f t="shared" si="160"/>
        <v>11328</v>
      </c>
      <c r="F2018" s="556">
        <f t="shared" si="161"/>
        <v>16414</v>
      </c>
      <c r="G2018" s="556">
        <f t="shared" si="162"/>
        <v>14675</v>
      </c>
    </row>
    <row r="2019" spans="1:7" ht="15.75">
      <c r="A2019" s="625">
        <f t="shared" si="163"/>
        <v>97775</v>
      </c>
      <c r="B2019" s="555">
        <v>97750</v>
      </c>
      <c r="C2019" s="555">
        <v>97800</v>
      </c>
      <c r="D2019" s="556">
        <f t="shared" si="159"/>
        <v>16425</v>
      </c>
      <c r="E2019" s="556">
        <f t="shared" si="160"/>
        <v>11339</v>
      </c>
      <c r="F2019" s="556">
        <f t="shared" si="161"/>
        <v>16425</v>
      </c>
      <c r="G2019" s="556">
        <f t="shared" si="162"/>
        <v>14686</v>
      </c>
    </row>
    <row r="2020" spans="1:7" ht="15.75">
      <c r="A2020" s="625">
        <f t="shared" si="163"/>
        <v>97825</v>
      </c>
      <c r="B2020" s="555">
        <v>97800</v>
      </c>
      <c r="C2020" s="555">
        <v>97850</v>
      </c>
      <c r="D2020" s="556">
        <f t="shared" si="159"/>
        <v>16436</v>
      </c>
      <c r="E2020" s="556">
        <f t="shared" si="160"/>
        <v>11350</v>
      </c>
      <c r="F2020" s="556">
        <f t="shared" si="161"/>
        <v>16436</v>
      </c>
      <c r="G2020" s="556">
        <f t="shared" si="162"/>
        <v>14697</v>
      </c>
    </row>
    <row r="2021" spans="1:7" ht="15.75">
      <c r="A2021" s="625">
        <f t="shared" si="163"/>
        <v>97875</v>
      </c>
      <c r="B2021" s="555">
        <v>97850</v>
      </c>
      <c r="C2021" s="555">
        <v>97900</v>
      </c>
      <c r="D2021" s="556">
        <f t="shared" si="159"/>
        <v>16447</v>
      </c>
      <c r="E2021" s="556">
        <f t="shared" si="160"/>
        <v>11361</v>
      </c>
      <c r="F2021" s="556">
        <f t="shared" si="161"/>
        <v>16447</v>
      </c>
      <c r="G2021" s="556">
        <f t="shared" si="162"/>
        <v>14708</v>
      </c>
    </row>
    <row r="2022" spans="1:7" ht="15.75">
      <c r="A2022" s="625">
        <f t="shared" si="163"/>
        <v>97925</v>
      </c>
      <c r="B2022" s="555">
        <v>97900</v>
      </c>
      <c r="C2022" s="555">
        <v>97950</v>
      </c>
      <c r="D2022" s="556">
        <f t="shared" si="159"/>
        <v>16458</v>
      </c>
      <c r="E2022" s="556">
        <f t="shared" si="160"/>
        <v>11372</v>
      </c>
      <c r="F2022" s="556">
        <f t="shared" si="161"/>
        <v>16458</v>
      </c>
      <c r="G2022" s="556">
        <f t="shared" si="162"/>
        <v>14719</v>
      </c>
    </row>
    <row r="2023" spans="1:7" ht="15.75">
      <c r="A2023" s="625">
        <f t="shared" si="163"/>
        <v>97975</v>
      </c>
      <c r="B2023" s="555">
        <v>97950</v>
      </c>
      <c r="C2023" s="555">
        <v>98000</v>
      </c>
      <c r="D2023" s="556">
        <f t="shared" si="159"/>
        <v>16469</v>
      </c>
      <c r="E2023" s="556">
        <f t="shared" si="160"/>
        <v>11383</v>
      </c>
      <c r="F2023" s="556">
        <f t="shared" si="161"/>
        <v>16469</v>
      </c>
      <c r="G2023" s="556">
        <f t="shared" si="162"/>
        <v>14730</v>
      </c>
    </row>
    <row r="2024" spans="1:7" ht="15.75">
      <c r="A2024" s="625">
        <f t="shared" si="163"/>
        <v>98025</v>
      </c>
      <c r="B2024" s="555">
        <v>98000</v>
      </c>
      <c r="C2024" s="555">
        <v>98050</v>
      </c>
      <c r="D2024" s="556">
        <f t="shared" si="159"/>
        <v>16480</v>
      </c>
      <c r="E2024" s="556">
        <f t="shared" si="160"/>
        <v>11394</v>
      </c>
      <c r="F2024" s="556">
        <f t="shared" si="161"/>
        <v>16480</v>
      </c>
      <c r="G2024" s="556">
        <f t="shared" si="162"/>
        <v>14741</v>
      </c>
    </row>
    <row r="2025" spans="1:7" ht="15.75">
      <c r="A2025" s="625">
        <f t="shared" si="163"/>
        <v>98075</v>
      </c>
      <c r="B2025" s="555">
        <v>98050</v>
      </c>
      <c r="C2025" s="555">
        <v>98100</v>
      </c>
      <c r="D2025" s="556">
        <f t="shared" si="159"/>
        <v>16491</v>
      </c>
      <c r="E2025" s="556">
        <f t="shared" si="160"/>
        <v>11405</v>
      </c>
      <c r="F2025" s="556">
        <f t="shared" si="161"/>
        <v>16491</v>
      </c>
      <c r="G2025" s="556">
        <f t="shared" si="162"/>
        <v>14752</v>
      </c>
    </row>
    <row r="2026" spans="1:7" ht="15.75">
      <c r="A2026" s="625">
        <f t="shared" si="163"/>
        <v>98125</v>
      </c>
      <c r="B2026" s="555">
        <v>98100</v>
      </c>
      <c r="C2026" s="555">
        <v>98150</v>
      </c>
      <c r="D2026" s="556">
        <f t="shared" si="159"/>
        <v>16502</v>
      </c>
      <c r="E2026" s="556">
        <f t="shared" si="160"/>
        <v>11416</v>
      </c>
      <c r="F2026" s="556">
        <f t="shared" si="161"/>
        <v>16502</v>
      </c>
      <c r="G2026" s="556">
        <f t="shared" si="162"/>
        <v>14763</v>
      </c>
    </row>
    <row r="2027" spans="1:7" ht="15.75">
      <c r="A2027" s="625">
        <f t="shared" si="163"/>
        <v>98175</v>
      </c>
      <c r="B2027" s="555">
        <v>98150</v>
      </c>
      <c r="C2027" s="555">
        <v>98200</v>
      </c>
      <c r="D2027" s="556">
        <f t="shared" si="159"/>
        <v>16513</v>
      </c>
      <c r="E2027" s="556">
        <f t="shared" si="160"/>
        <v>11427</v>
      </c>
      <c r="F2027" s="556">
        <f t="shared" si="161"/>
        <v>16513</v>
      </c>
      <c r="G2027" s="556">
        <f t="shared" si="162"/>
        <v>14774</v>
      </c>
    </row>
    <row r="2028" spans="1:7" ht="15.75">
      <c r="A2028" s="625">
        <f t="shared" si="163"/>
        <v>98225</v>
      </c>
      <c r="B2028" s="555">
        <v>98200</v>
      </c>
      <c r="C2028" s="555">
        <v>98250</v>
      </c>
      <c r="D2028" s="556">
        <f t="shared" si="159"/>
        <v>16524</v>
      </c>
      <c r="E2028" s="556">
        <f t="shared" si="160"/>
        <v>11438</v>
      </c>
      <c r="F2028" s="556">
        <f t="shared" si="161"/>
        <v>16524</v>
      </c>
      <c r="G2028" s="556">
        <f t="shared" si="162"/>
        <v>14785</v>
      </c>
    </row>
    <row r="2029" spans="1:7" ht="15.75">
      <c r="A2029" s="625">
        <f t="shared" si="163"/>
        <v>98275</v>
      </c>
      <c r="B2029" s="555">
        <v>98250</v>
      </c>
      <c r="C2029" s="555">
        <v>98300</v>
      </c>
      <c r="D2029" s="556">
        <f t="shared" si="159"/>
        <v>16535</v>
      </c>
      <c r="E2029" s="556">
        <f t="shared" si="160"/>
        <v>11449</v>
      </c>
      <c r="F2029" s="556">
        <f t="shared" si="161"/>
        <v>16535</v>
      </c>
      <c r="G2029" s="556">
        <f t="shared" si="162"/>
        <v>14796</v>
      </c>
    </row>
    <row r="2030" spans="1:7" ht="15.75">
      <c r="A2030" s="625">
        <f t="shared" si="163"/>
        <v>98325</v>
      </c>
      <c r="B2030" s="555">
        <v>98300</v>
      </c>
      <c r="C2030" s="555">
        <v>98350</v>
      </c>
      <c r="D2030" s="556">
        <f t="shared" si="159"/>
        <v>16546</v>
      </c>
      <c r="E2030" s="556">
        <f t="shared" si="160"/>
        <v>11460</v>
      </c>
      <c r="F2030" s="556">
        <f t="shared" si="161"/>
        <v>16546</v>
      </c>
      <c r="G2030" s="556">
        <f t="shared" si="162"/>
        <v>14807</v>
      </c>
    </row>
    <row r="2031" spans="1:7" ht="15.75">
      <c r="A2031" s="625">
        <f t="shared" si="163"/>
        <v>98375</v>
      </c>
      <c r="B2031" s="555">
        <v>98350</v>
      </c>
      <c r="C2031" s="555">
        <v>98400</v>
      </c>
      <c r="D2031" s="556">
        <f t="shared" si="159"/>
        <v>16557</v>
      </c>
      <c r="E2031" s="556">
        <f t="shared" si="160"/>
        <v>11471</v>
      </c>
      <c r="F2031" s="556">
        <f t="shared" si="161"/>
        <v>16557</v>
      </c>
      <c r="G2031" s="556">
        <f t="shared" si="162"/>
        <v>14818</v>
      </c>
    </row>
    <row r="2032" spans="1:7" ht="15.75">
      <c r="A2032" s="625">
        <f t="shared" si="163"/>
        <v>98425</v>
      </c>
      <c r="B2032" s="555">
        <v>98400</v>
      </c>
      <c r="C2032" s="555">
        <v>98450</v>
      </c>
      <c r="D2032" s="556">
        <f t="shared" si="159"/>
        <v>16568</v>
      </c>
      <c r="E2032" s="556">
        <f t="shared" si="160"/>
        <v>11482</v>
      </c>
      <c r="F2032" s="556">
        <f t="shared" si="161"/>
        <v>16568</v>
      </c>
      <c r="G2032" s="556">
        <f t="shared" si="162"/>
        <v>14829</v>
      </c>
    </row>
    <row r="2033" spans="1:7" ht="15.75">
      <c r="A2033" s="625">
        <f t="shared" si="163"/>
        <v>98475</v>
      </c>
      <c r="B2033" s="555">
        <v>98450</v>
      </c>
      <c r="C2033" s="555">
        <v>98500</v>
      </c>
      <c r="D2033" s="556">
        <f t="shared" si="159"/>
        <v>16579</v>
      </c>
      <c r="E2033" s="556">
        <f t="shared" si="160"/>
        <v>11493</v>
      </c>
      <c r="F2033" s="556">
        <f t="shared" si="161"/>
        <v>16579</v>
      </c>
      <c r="G2033" s="556">
        <f t="shared" si="162"/>
        <v>14840</v>
      </c>
    </row>
    <row r="2034" spans="1:7" ht="15.75">
      <c r="A2034" s="625">
        <f t="shared" si="163"/>
        <v>98525</v>
      </c>
      <c r="B2034" s="555">
        <v>98500</v>
      </c>
      <c r="C2034" s="555">
        <v>98550</v>
      </c>
      <c r="D2034" s="556">
        <f t="shared" si="159"/>
        <v>16590</v>
      </c>
      <c r="E2034" s="556">
        <f t="shared" si="160"/>
        <v>11504</v>
      </c>
      <c r="F2034" s="556">
        <f t="shared" si="161"/>
        <v>16590</v>
      </c>
      <c r="G2034" s="556">
        <f t="shared" si="162"/>
        <v>14851</v>
      </c>
    </row>
    <row r="2035" spans="1:7" ht="15.75">
      <c r="A2035" s="625">
        <f t="shared" si="163"/>
        <v>98575</v>
      </c>
      <c r="B2035" s="555">
        <v>98550</v>
      </c>
      <c r="C2035" s="555">
        <v>98600</v>
      </c>
      <c r="D2035" s="556">
        <f t="shared" si="159"/>
        <v>16601</v>
      </c>
      <c r="E2035" s="556">
        <f t="shared" si="160"/>
        <v>11515</v>
      </c>
      <c r="F2035" s="556">
        <f t="shared" si="161"/>
        <v>16601</v>
      </c>
      <c r="G2035" s="556">
        <f t="shared" si="162"/>
        <v>14862</v>
      </c>
    </row>
    <row r="2036" spans="1:7" ht="15.75">
      <c r="A2036" s="625">
        <f t="shared" si="163"/>
        <v>98625</v>
      </c>
      <c r="B2036" s="555">
        <v>98600</v>
      </c>
      <c r="C2036" s="555">
        <v>98650</v>
      </c>
      <c r="D2036" s="556">
        <f t="shared" si="159"/>
        <v>16612</v>
      </c>
      <c r="E2036" s="556">
        <f t="shared" si="160"/>
        <v>11526</v>
      </c>
      <c r="F2036" s="556">
        <f t="shared" si="161"/>
        <v>16612</v>
      </c>
      <c r="G2036" s="556">
        <f t="shared" si="162"/>
        <v>14873</v>
      </c>
    </row>
    <row r="2037" spans="1:7" ht="15.75">
      <c r="A2037" s="625">
        <f t="shared" si="163"/>
        <v>98675</v>
      </c>
      <c r="B2037" s="555">
        <v>98650</v>
      </c>
      <c r="C2037" s="555">
        <v>98700</v>
      </c>
      <c r="D2037" s="556">
        <f t="shared" si="159"/>
        <v>16623</v>
      </c>
      <c r="E2037" s="556">
        <f t="shared" si="160"/>
        <v>11537</v>
      </c>
      <c r="F2037" s="556">
        <f t="shared" si="161"/>
        <v>16623</v>
      </c>
      <c r="G2037" s="556">
        <f t="shared" si="162"/>
        <v>14884</v>
      </c>
    </row>
    <row r="2038" spans="1:7" ht="15.75">
      <c r="A2038" s="625">
        <f t="shared" si="163"/>
        <v>98725</v>
      </c>
      <c r="B2038" s="555">
        <v>98700</v>
      </c>
      <c r="C2038" s="555">
        <v>98750</v>
      </c>
      <c r="D2038" s="556">
        <f t="shared" si="159"/>
        <v>16634</v>
      </c>
      <c r="E2038" s="556">
        <f t="shared" si="160"/>
        <v>11548</v>
      </c>
      <c r="F2038" s="556">
        <f t="shared" si="161"/>
        <v>16634</v>
      </c>
      <c r="G2038" s="556">
        <f t="shared" si="162"/>
        <v>14895</v>
      </c>
    </row>
    <row r="2039" spans="1:7" ht="15.75">
      <c r="A2039" s="625">
        <f t="shared" si="163"/>
        <v>98775</v>
      </c>
      <c r="B2039" s="555">
        <v>98750</v>
      </c>
      <c r="C2039" s="555">
        <v>98800</v>
      </c>
      <c r="D2039" s="556">
        <f t="shared" si="159"/>
        <v>16645</v>
      </c>
      <c r="E2039" s="556">
        <f t="shared" si="160"/>
        <v>11559</v>
      </c>
      <c r="F2039" s="556">
        <f t="shared" si="161"/>
        <v>16645</v>
      </c>
      <c r="G2039" s="556">
        <f t="shared" si="162"/>
        <v>14906</v>
      </c>
    </row>
    <row r="2040" spans="1:7" ht="15.75">
      <c r="A2040" s="625">
        <f t="shared" si="163"/>
        <v>98825</v>
      </c>
      <c r="B2040" s="555">
        <v>98800</v>
      </c>
      <c r="C2040" s="555">
        <v>98850</v>
      </c>
      <c r="D2040" s="556">
        <f t="shared" si="159"/>
        <v>16656</v>
      </c>
      <c r="E2040" s="556">
        <f t="shared" si="160"/>
        <v>11570</v>
      </c>
      <c r="F2040" s="556">
        <f t="shared" si="161"/>
        <v>16656</v>
      </c>
      <c r="G2040" s="556">
        <f t="shared" si="162"/>
        <v>14917</v>
      </c>
    </row>
    <row r="2041" spans="1:7" ht="15.75">
      <c r="A2041" s="625">
        <f t="shared" si="163"/>
        <v>98875</v>
      </c>
      <c r="B2041" s="555">
        <v>98850</v>
      </c>
      <c r="C2041" s="555">
        <v>98900</v>
      </c>
      <c r="D2041" s="556">
        <f t="shared" si="159"/>
        <v>16667</v>
      </c>
      <c r="E2041" s="556">
        <f t="shared" si="160"/>
        <v>11581</v>
      </c>
      <c r="F2041" s="556">
        <f t="shared" si="161"/>
        <v>16667</v>
      </c>
      <c r="G2041" s="556">
        <f t="shared" si="162"/>
        <v>14928</v>
      </c>
    </row>
    <row r="2042" spans="1:7" ht="15.75">
      <c r="A2042" s="625">
        <f t="shared" si="163"/>
        <v>98925</v>
      </c>
      <c r="B2042" s="555">
        <v>98900</v>
      </c>
      <c r="C2042" s="555">
        <v>98950</v>
      </c>
      <c r="D2042" s="556">
        <f t="shared" si="159"/>
        <v>16678</v>
      </c>
      <c r="E2042" s="556">
        <f t="shared" si="160"/>
        <v>11592</v>
      </c>
      <c r="F2042" s="556">
        <f t="shared" si="161"/>
        <v>16678</v>
      </c>
      <c r="G2042" s="556">
        <f t="shared" si="162"/>
        <v>14939</v>
      </c>
    </row>
    <row r="2043" spans="1:7" ht="15.75">
      <c r="A2043" s="625">
        <f t="shared" si="163"/>
        <v>98975</v>
      </c>
      <c r="B2043" s="555">
        <v>98950</v>
      </c>
      <c r="C2043" s="555">
        <v>99000</v>
      </c>
      <c r="D2043" s="556">
        <f t="shared" si="159"/>
        <v>16689</v>
      </c>
      <c r="E2043" s="556">
        <f t="shared" si="160"/>
        <v>11603</v>
      </c>
      <c r="F2043" s="556">
        <f t="shared" si="161"/>
        <v>16689</v>
      </c>
      <c r="G2043" s="556">
        <f t="shared" si="162"/>
        <v>14950</v>
      </c>
    </row>
    <row r="2044" spans="1:7" ht="15.75">
      <c r="A2044" s="625">
        <f t="shared" si="163"/>
        <v>99025</v>
      </c>
      <c r="B2044" s="555">
        <v>99000</v>
      </c>
      <c r="C2044" s="555">
        <v>99050</v>
      </c>
      <c r="D2044" s="556">
        <f t="shared" si="159"/>
        <v>16700</v>
      </c>
      <c r="E2044" s="556">
        <f t="shared" si="160"/>
        <v>11614</v>
      </c>
      <c r="F2044" s="556">
        <f t="shared" si="161"/>
        <v>16700</v>
      </c>
      <c r="G2044" s="556">
        <f t="shared" si="162"/>
        <v>14961</v>
      </c>
    </row>
    <row r="2045" spans="1:7" ht="15.75">
      <c r="A2045" s="625">
        <f t="shared" si="163"/>
        <v>99075</v>
      </c>
      <c r="B2045" s="555">
        <v>99050</v>
      </c>
      <c r="C2045" s="555">
        <v>99100</v>
      </c>
      <c r="D2045" s="556">
        <f t="shared" si="159"/>
        <v>16711</v>
      </c>
      <c r="E2045" s="556">
        <f t="shared" si="160"/>
        <v>11625</v>
      </c>
      <c r="F2045" s="556">
        <f t="shared" si="161"/>
        <v>16711</v>
      </c>
      <c r="G2045" s="556">
        <f t="shared" si="162"/>
        <v>14972</v>
      </c>
    </row>
    <row r="2046" spans="1:7" ht="15.75">
      <c r="A2046" s="625">
        <f t="shared" si="163"/>
        <v>99125</v>
      </c>
      <c r="B2046" s="555">
        <v>99100</v>
      </c>
      <c r="C2046" s="555">
        <v>99150</v>
      </c>
      <c r="D2046" s="556">
        <f t="shared" si="159"/>
        <v>16722</v>
      </c>
      <c r="E2046" s="556">
        <f t="shared" si="160"/>
        <v>11636</v>
      </c>
      <c r="F2046" s="556">
        <f t="shared" si="161"/>
        <v>16722</v>
      </c>
      <c r="G2046" s="556">
        <f t="shared" si="162"/>
        <v>14983</v>
      </c>
    </row>
    <row r="2047" spans="1:7" ht="15.75">
      <c r="A2047" s="625">
        <f t="shared" si="163"/>
        <v>99175</v>
      </c>
      <c r="B2047" s="555">
        <v>99150</v>
      </c>
      <c r="C2047" s="555">
        <v>99200</v>
      </c>
      <c r="D2047" s="556">
        <f t="shared" si="159"/>
        <v>16733</v>
      </c>
      <c r="E2047" s="556">
        <f t="shared" si="160"/>
        <v>11647</v>
      </c>
      <c r="F2047" s="556">
        <f t="shared" si="161"/>
        <v>16733</v>
      </c>
      <c r="G2047" s="556">
        <f t="shared" si="162"/>
        <v>14994</v>
      </c>
    </row>
    <row r="2048" spans="1:7" ht="15.75">
      <c r="A2048" s="625">
        <f t="shared" si="163"/>
        <v>99225</v>
      </c>
      <c r="B2048" s="555">
        <v>99200</v>
      </c>
      <c r="C2048" s="555">
        <v>99250</v>
      </c>
      <c r="D2048" s="556">
        <f t="shared" si="159"/>
        <v>16744</v>
      </c>
      <c r="E2048" s="556">
        <f t="shared" si="160"/>
        <v>11658</v>
      </c>
      <c r="F2048" s="556">
        <f t="shared" si="161"/>
        <v>16744</v>
      </c>
      <c r="G2048" s="556">
        <f t="shared" si="162"/>
        <v>15005</v>
      </c>
    </row>
    <row r="2049" spans="1:7" ht="15.75">
      <c r="A2049" s="625">
        <f t="shared" si="163"/>
        <v>99275</v>
      </c>
      <c r="B2049" s="555">
        <v>99250</v>
      </c>
      <c r="C2049" s="555">
        <v>99300</v>
      </c>
      <c r="D2049" s="556">
        <f t="shared" si="159"/>
        <v>16755</v>
      </c>
      <c r="E2049" s="556">
        <f t="shared" si="160"/>
        <v>11669</v>
      </c>
      <c r="F2049" s="556">
        <f t="shared" si="161"/>
        <v>16755</v>
      </c>
      <c r="G2049" s="556">
        <f t="shared" si="162"/>
        <v>15016</v>
      </c>
    </row>
    <row r="2050" spans="1:7" ht="15.75">
      <c r="A2050" s="625">
        <f t="shared" si="163"/>
        <v>99325</v>
      </c>
      <c r="B2050" s="555">
        <v>99300</v>
      </c>
      <c r="C2050" s="555">
        <v>99350</v>
      </c>
      <c r="D2050" s="556">
        <f t="shared" ref="D2050:D2063" si="164">IF($A2050&gt;BOTT_A4,ROUND(BASE_A4+RATE_A4*($A2050-BOTT_A4),0),IF($A2050&gt;BOTT_A3,ROUND(BASE_A3+RATE_A3*($A2050-BOTT_A3),0),IF($A2050&gt;BOTT_A2,ROUND(BASE_A2+RATE_A2*($A2050-BOTT_A2),0),ROUND(RATE_A1*$A2050,0))))</f>
        <v>16766</v>
      </c>
      <c r="E2050" s="556">
        <f t="shared" ref="E2050:E2063" si="165">IF($A2050&gt;BOTT_B4,ROUND(BASE_B4+RATE_B4*($A2050-BOTT_B4),0),IF($A2050&gt;BOTT_B3,ROUND(BASE_B3+RATE_B3*($A2050-BOTT_B3),0),IF($A2050&gt;BOTT_B2,ROUND(BASE_B2+RATE_B2*($A2050-BOTT_B2),0),ROUND(RATE_B1*$A2050,0))))</f>
        <v>11680</v>
      </c>
      <c r="F2050" s="556">
        <f t="shared" ref="F2050:F2063" si="166">IF($A2050&gt;BOTT_C4,ROUND(BASE_C4+RATE_C4*($A2050-BOTT_C4),0),IF($A2050&gt;BOTT_C3,ROUND(BASE_C3+RATE_C3*($A2050-BOTT_C3),0),IF($A2050&gt;BOTT_C2,ROUND(BASE_C2+RATE_C2*($A2050-BOTT_C2),0),ROUND(RATE_C1*$A2050,0))))</f>
        <v>16766</v>
      </c>
      <c r="G2050" s="556">
        <f t="shared" ref="G2050:G2063" si="167">IF($A2050&gt;BOTT_D4,ROUND(BASE_D4+RATE_D4*($A2050-BOTT_D4),0),IF($A2050&gt;BOTT_D3,ROUND(BASE_D3+RATE_D3*($A2050-BOTT_D3),0),IF($A2050&gt;BOTT_D2,ROUND(BASE_D2+RATE_D2*($A2050-BOTT_D2),0),ROUND(RATE_D1*$A2050,0))))</f>
        <v>15027</v>
      </c>
    </row>
    <row r="2051" spans="1:7" ht="15.75">
      <c r="A2051" s="625">
        <f t="shared" ref="A2051:A2063" si="168">AVERAGE(B2051,C2051)</f>
        <v>99375</v>
      </c>
      <c r="B2051" s="555">
        <v>99350</v>
      </c>
      <c r="C2051" s="555">
        <v>99400</v>
      </c>
      <c r="D2051" s="556">
        <f t="shared" si="164"/>
        <v>16777</v>
      </c>
      <c r="E2051" s="556">
        <f t="shared" si="165"/>
        <v>11691</v>
      </c>
      <c r="F2051" s="556">
        <f t="shared" si="166"/>
        <v>16777</v>
      </c>
      <c r="G2051" s="556">
        <f t="shared" si="167"/>
        <v>15038</v>
      </c>
    </row>
    <row r="2052" spans="1:7" ht="15.75">
      <c r="A2052" s="625">
        <f t="shared" si="168"/>
        <v>99425</v>
      </c>
      <c r="B2052" s="555">
        <v>99400</v>
      </c>
      <c r="C2052" s="555">
        <v>99450</v>
      </c>
      <c r="D2052" s="556">
        <f t="shared" si="164"/>
        <v>16788</v>
      </c>
      <c r="E2052" s="556">
        <f t="shared" si="165"/>
        <v>11702</v>
      </c>
      <c r="F2052" s="556">
        <f t="shared" si="166"/>
        <v>16788</v>
      </c>
      <c r="G2052" s="556">
        <f t="shared" si="167"/>
        <v>15049</v>
      </c>
    </row>
    <row r="2053" spans="1:7" ht="15.75">
      <c r="A2053" s="625">
        <f t="shared" si="168"/>
        <v>99475</v>
      </c>
      <c r="B2053" s="555">
        <v>99450</v>
      </c>
      <c r="C2053" s="555">
        <v>99500</v>
      </c>
      <c r="D2053" s="556">
        <f t="shared" si="164"/>
        <v>16799</v>
      </c>
      <c r="E2053" s="556">
        <f t="shared" si="165"/>
        <v>11713</v>
      </c>
      <c r="F2053" s="556">
        <f t="shared" si="166"/>
        <v>16799</v>
      </c>
      <c r="G2053" s="556">
        <f t="shared" si="167"/>
        <v>15060</v>
      </c>
    </row>
    <row r="2054" spans="1:7" ht="15.75">
      <c r="A2054" s="625">
        <f t="shared" si="168"/>
        <v>99525</v>
      </c>
      <c r="B2054" s="555">
        <v>99500</v>
      </c>
      <c r="C2054" s="555">
        <v>99550</v>
      </c>
      <c r="D2054" s="556">
        <f t="shared" si="164"/>
        <v>16810</v>
      </c>
      <c r="E2054" s="556">
        <f t="shared" si="165"/>
        <v>11724</v>
      </c>
      <c r="F2054" s="556">
        <f t="shared" si="166"/>
        <v>16810</v>
      </c>
      <c r="G2054" s="556">
        <f t="shared" si="167"/>
        <v>15071</v>
      </c>
    </row>
    <row r="2055" spans="1:7" ht="15.75">
      <c r="A2055" s="625">
        <f t="shared" si="168"/>
        <v>99575</v>
      </c>
      <c r="B2055" s="555">
        <v>99550</v>
      </c>
      <c r="C2055" s="555">
        <v>99600</v>
      </c>
      <c r="D2055" s="556">
        <f t="shared" si="164"/>
        <v>16821</v>
      </c>
      <c r="E2055" s="556">
        <f t="shared" si="165"/>
        <v>11735</v>
      </c>
      <c r="F2055" s="556">
        <f t="shared" si="166"/>
        <v>16821</v>
      </c>
      <c r="G2055" s="556">
        <f t="shared" si="167"/>
        <v>15082</v>
      </c>
    </row>
    <row r="2056" spans="1:7" ht="15.75">
      <c r="A2056" s="625">
        <f t="shared" si="168"/>
        <v>99625</v>
      </c>
      <c r="B2056" s="555">
        <v>99600</v>
      </c>
      <c r="C2056" s="555">
        <v>99650</v>
      </c>
      <c r="D2056" s="556">
        <f t="shared" si="164"/>
        <v>16832</v>
      </c>
      <c r="E2056" s="556">
        <f t="shared" si="165"/>
        <v>11746</v>
      </c>
      <c r="F2056" s="556">
        <f t="shared" si="166"/>
        <v>16832</v>
      </c>
      <c r="G2056" s="556">
        <f t="shared" si="167"/>
        <v>15093</v>
      </c>
    </row>
    <row r="2057" spans="1:7" ht="15.75">
      <c r="A2057" s="625">
        <f t="shared" si="168"/>
        <v>99675</v>
      </c>
      <c r="B2057" s="555">
        <v>99650</v>
      </c>
      <c r="C2057" s="555">
        <v>99700</v>
      </c>
      <c r="D2057" s="556">
        <f t="shared" si="164"/>
        <v>16843</v>
      </c>
      <c r="E2057" s="556">
        <f t="shared" si="165"/>
        <v>11757</v>
      </c>
      <c r="F2057" s="556">
        <f t="shared" si="166"/>
        <v>16843</v>
      </c>
      <c r="G2057" s="556">
        <f t="shared" si="167"/>
        <v>15104</v>
      </c>
    </row>
    <row r="2058" spans="1:7" ht="15.75">
      <c r="A2058" s="625">
        <f t="shared" si="168"/>
        <v>99725</v>
      </c>
      <c r="B2058" s="555">
        <v>99700</v>
      </c>
      <c r="C2058" s="555">
        <v>99750</v>
      </c>
      <c r="D2058" s="556">
        <f t="shared" si="164"/>
        <v>16854</v>
      </c>
      <c r="E2058" s="556">
        <f t="shared" si="165"/>
        <v>11768</v>
      </c>
      <c r="F2058" s="556">
        <f t="shared" si="166"/>
        <v>16854</v>
      </c>
      <c r="G2058" s="556">
        <f t="shared" si="167"/>
        <v>15115</v>
      </c>
    </row>
    <row r="2059" spans="1:7" ht="15.75">
      <c r="A2059" s="625">
        <f t="shared" si="168"/>
        <v>99775</v>
      </c>
      <c r="B2059" s="555">
        <v>99750</v>
      </c>
      <c r="C2059" s="555">
        <v>99800</v>
      </c>
      <c r="D2059" s="556">
        <f t="shared" si="164"/>
        <v>16865</v>
      </c>
      <c r="E2059" s="556">
        <f t="shared" si="165"/>
        <v>11779</v>
      </c>
      <c r="F2059" s="556">
        <f t="shared" si="166"/>
        <v>16865</v>
      </c>
      <c r="G2059" s="556">
        <f t="shared" si="167"/>
        <v>15126</v>
      </c>
    </row>
    <row r="2060" spans="1:7" ht="15.75">
      <c r="A2060" s="625">
        <f t="shared" si="168"/>
        <v>99825</v>
      </c>
      <c r="B2060" s="555">
        <v>99800</v>
      </c>
      <c r="C2060" s="555">
        <v>99850</v>
      </c>
      <c r="D2060" s="556">
        <f t="shared" si="164"/>
        <v>16876</v>
      </c>
      <c r="E2060" s="556">
        <f t="shared" si="165"/>
        <v>11790</v>
      </c>
      <c r="F2060" s="556">
        <f t="shared" si="166"/>
        <v>16876</v>
      </c>
      <c r="G2060" s="556">
        <f t="shared" si="167"/>
        <v>15137</v>
      </c>
    </row>
    <row r="2061" spans="1:7" ht="15.75">
      <c r="A2061" s="625">
        <f t="shared" si="168"/>
        <v>99875</v>
      </c>
      <c r="B2061" s="555">
        <v>99850</v>
      </c>
      <c r="C2061" s="555">
        <v>99900</v>
      </c>
      <c r="D2061" s="556">
        <f t="shared" si="164"/>
        <v>16887</v>
      </c>
      <c r="E2061" s="556">
        <f t="shared" si="165"/>
        <v>11801</v>
      </c>
      <c r="F2061" s="556">
        <f t="shared" si="166"/>
        <v>16887</v>
      </c>
      <c r="G2061" s="556">
        <f t="shared" si="167"/>
        <v>15148</v>
      </c>
    </row>
    <row r="2062" spans="1:7" ht="15.75">
      <c r="A2062" s="625">
        <f t="shared" si="168"/>
        <v>99925</v>
      </c>
      <c r="B2062" s="555">
        <v>99900</v>
      </c>
      <c r="C2062" s="555">
        <v>99950</v>
      </c>
      <c r="D2062" s="556">
        <f t="shared" si="164"/>
        <v>16898</v>
      </c>
      <c r="E2062" s="556">
        <f t="shared" si="165"/>
        <v>11812</v>
      </c>
      <c r="F2062" s="556">
        <f t="shared" si="166"/>
        <v>16898</v>
      </c>
      <c r="G2062" s="556">
        <f t="shared" si="167"/>
        <v>15159</v>
      </c>
    </row>
    <row r="2063" spans="1:7" ht="15.75">
      <c r="A2063" s="625">
        <f t="shared" si="168"/>
        <v>99975</v>
      </c>
      <c r="B2063" s="555">
        <v>99950</v>
      </c>
      <c r="C2063" s="555">
        <v>100000</v>
      </c>
      <c r="D2063" s="556">
        <f t="shared" si="164"/>
        <v>16909</v>
      </c>
      <c r="E2063" s="556">
        <f t="shared" si="165"/>
        <v>11823</v>
      </c>
      <c r="F2063" s="556">
        <f t="shared" si="166"/>
        <v>16909</v>
      </c>
      <c r="G2063" s="556">
        <f t="shared" si="167"/>
        <v>15170</v>
      </c>
    </row>
    <row r="2064" spans="1:7">
      <c r="B2064" s="554"/>
      <c r="C2064" s="557"/>
      <c r="E2064" s="444"/>
      <c r="F2064" s="444"/>
      <c r="G2064" s="444"/>
    </row>
  </sheetData>
  <sheetProtection algorithmName="SHA-512" hashValue="NWh2xQWbfk+8eieQGuhVhn2dPYtRgwgs9vfRaF1rMhkvYDuDMOc9X6wXNH9QFSylJcTuW1GRviqKZpgiviRHeA==" saltValue="S8xocFOzQ7h4HP0ewzOIQw==" spinCount="100000" sheet="1" objects="1" scenarios="1"/>
  <mergeCells count="1">
    <mergeCell ref="Y14:AE15"/>
  </mergeCells>
  <phoneticPr fontId="13" type="noConversion"/>
  <pageMargins left="0.75" right="0.25" top="0.36" bottom="0.28999999999999998" header="0.36" footer="0.21"/>
  <pageSetup fitToHeight="0" orientation="portrait" r:id="rId1"/>
  <rowBreaks count="51" manualBreakCount="51">
    <brk id="43" min="1" max="6" man="1"/>
    <brk id="83" min="1" max="6" man="1"/>
    <brk id="123" min="1" max="6" man="1"/>
    <brk id="163" min="1" max="6" man="1"/>
    <brk id="203" min="1" max="6" man="1"/>
    <brk id="243" min="1" max="6" man="1"/>
    <brk id="283" min="1" max="6" man="1"/>
    <brk id="323" min="1" max="6" man="1"/>
    <brk id="363" min="1" max="6" man="1"/>
    <brk id="403" min="1" max="6" man="1"/>
    <brk id="443" min="1" max="6" man="1"/>
    <brk id="483" min="1" max="6" man="1"/>
    <brk id="523" min="1" max="6" man="1"/>
    <brk id="563" min="1" max="6" man="1"/>
    <brk id="603" min="1" max="6" man="1"/>
    <brk id="643" min="1" max="6" man="1"/>
    <brk id="683" min="1" max="6" man="1"/>
    <brk id="723" min="1" max="6" man="1"/>
    <brk id="763" min="1" max="6" man="1"/>
    <brk id="803" min="1" max="6" man="1"/>
    <brk id="843" min="1" max="6" man="1"/>
    <brk id="883" min="1" max="6" man="1"/>
    <brk id="923" min="1" max="6" man="1"/>
    <brk id="963" min="1" max="6" man="1"/>
    <brk id="1003" min="1" max="6" man="1"/>
    <brk id="1043" min="1" max="6" man="1"/>
    <brk id="1083" min="1" max="6" man="1"/>
    <brk id="1123" min="1" max="6" man="1"/>
    <brk id="1163" min="1" max="6" man="1"/>
    <brk id="1203" min="1" max="6" man="1"/>
    <brk id="1243" min="1" max="6" man="1"/>
    <brk id="1283" min="1" max="6" man="1"/>
    <brk id="1323" min="1" max="6" man="1"/>
    <brk id="1363" min="1" max="6" man="1"/>
    <brk id="1403" min="1" max="6" man="1"/>
    <brk id="1443" min="1" max="6" man="1"/>
    <brk id="1483" min="1" max="6" man="1"/>
    <brk id="1523" min="1" max="6" man="1"/>
    <brk id="1563" min="1" max="6" man="1"/>
    <brk id="1603" min="1" max="6" man="1"/>
    <brk id="1643" min="1" max="6" man="1"/>
    <brk id="1683" min="1" max="6" man="1"/>
    <brk id="1723" min="1" max="6" man="1"/>
    <brk id="1763" min="1" max="6" man="1"/>
    <brk id="1803" min="1" max="6" man="1"/>
    <brk id="1843" min="1" max="6" man="1"/>
    <brk id="1883" min="1" max="6" man="1"/>
    <brk id="1923" min="1" max="6" man="1"/>
    <brk id="1963" min="1" max="6" man="1"/>
    <brk id="2003" min="1" max="6" man="1"/>
    <brk id="2043" min="1" max="6" man="1"/>
  </rowBreaks>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pageSetUpPr fitToPage="1"/>
  </sheetPr>
  <dimension ref="A1:G1048574"/>
  <sheetViews>
    <sheetView zoomScaleNormal="100" workbookViewId="0">
      <pane ySplit="1" topLeftCell="A50" activePane="bottomLeft" state="frozen"/>
      <selection activeCell="E24" sqref="E24"/>
      <selection pane="bottomLeft" activeCell="A74" sqref="A74:C74"/>
    </sheetView>
  </sheetViews>
  <sheetFormatPr defaultColWidth="9.140625" defaultRowHeight="12.75"/>
  <cols>
    <col min="1" max="1" width="24.28515625" style="452" customWidth="1"/>
    <col min="2" max="2" width="24.7109375" style="357" customWidth="1"/>
    <col min="3" max="3" width="90.85546875" style="2858" customWidth="1"/>
    <col min="4" max="4" width="32.42578125" style="356" customWidth="1"/>
    <col min="5" max="5" width="9.140625" style="356"/>
    <col min="6" max="6" width="21.5703125" style="356" customWidth="1"/>
    <col min="7" max="16384" width="9.140625" style="356"/>
  </cols>
  <sheetData>
    <row r="1" spans="1:7" s="383" customFormat="1" ht="15" customHeight="1" thickBot="1">
      <c r="A1" s="451" t="s">
        <v>4811</v>
      </c>
      <c r="B1" s="358" t="s">
        <v>4812</v>
      </c>
      <c r="C1" s="358" t="s">
        <v>4813</v>
      </c>
      <c r="D1" s="359" t="s">
        <v>4814</v>
      </c>
      <c r="F1" s="1024">
        <f>MAX(A:A)</f>
        <v>46111.392361111109</v>
      </c>
      <c r="G1" s="1023" t="s">
        <v>4815</v>
      </c>
    </row>
    <row r="2" spans="1:7" s="1008" customFormat="1" ht="15" customHeight="1">
      <c r="A2" s="1107">
        <v>46031.583333333336</v>
      </c>
      <c r="B2" s="1222" t="s">
        <v>6463</v>
      </c>
      <c r="C2" s="2871" t="s">
        <v>6464</v>
      </c>
      <c r="D2" s="3219"/>
      <c r="F2" s="3220"/>
      <c r="G2" s="3221"/>
    </row>
    <row r="3" spans="1:7" s="1008" customFormat="1" ht="15" customHeight="1">
      <c r="A3" s="1107">
        <v>46031.791666666664</v>
      </c>
      <c r="B3" s="1222" t="s">
        <v>99</v>
      </c>
      <c r="C3" s="2871" t="s">
        <v>6465</v>
      </c>
      <c r="D3" s="3219"/>
      <c r="F3" s="3220"/>
      <c r="G3" s="3221"/>
    </row>
    <row r="4" spans="1:7" s="1008" customFormat="1" ht="15" customHeight="1">
      <c r="A4" s="1107">
        <v>46031.954861111109</v>
      </c>
      <c r="B4" s="1222">
        <v>6251</v>
      </c>
      <c r="C4" s="2871" t="s">
        <v>6466</v>
      </c>
      <c r="D4" s="3219"/>
      <c r="F4" s="3220"/>
      <c r="G4" s="3221"/>
    </row>
    <row r="5" spans="1:7" s="1008" customFormat="1" ht="15" customHeight="1">
      <c r="A5" s="1107">
        <v>46032.527777777781</v>
      </c>
      <c r="B5" s="1222">
        <v>1040</v>
      </c>
      <c r="C5" s="2871" t="s">
        <v>6467</v>
      </c>
      <c r="D5" s="3219"/>
      <c r="F5" s="3220"/>
      <c r="G5" s="3221"/>
    </row>
    <row r="6" spans="1:7" s="1008" customFormat="1" ht="15" customHeight="1">
      <c r="A6" s="1107">
        <v>46032.635416666664</v>
      </c>
      <c r="B6" s="1222" t="s">
        <v>91</v>
      </c>
      <c r="C6" s="2871" t="s">
        <v>6468</v>
      </c>
      <c r="D6" s="3219"/>
      <c r="F6" s="3220"/>
      <c r="G6" s="3221"/>
    </row>
    <row r="7" spans="1:7" s="1008" customFormat="1" ht="15" customHeight="1">
      <c r="A7" s="1107">
        <v>46033.569444444445</v>
      </c>
      <c r="B7" s="1222">
        <v>6251</v>
      </c>
      <c r="C7" s="2871" t="s">
        <v>6470</v>
      </c>
      <c r="D7" s="3219"/>
      <c r="F7" s="3220"/>
      <c r="G7" s="3221"/>
    </row>
    <row r="8" spans="1:7" s="1008" customFormat="1" ht="25.5">
      <c r="A8" s="1107">
        <v>46033.663194444445</v>
      </c>
      <c r="B8" s="1222" t="s">
        <v>91</v>
      </c>
      <c r="C8" s="2871" t="s">
        <v>6471</v>
      </c>
      <c r="D8" s="3219"/>
      <c r="F8" s="3220"/>
      <c r="G8" s="3221"/>
    </row>
    <row r="9" spans="1:7" s="1008" customFormat="1" ht="15" customHeight="1">
      <c r="A9" s="1107">
        <v>46035.274305555555</v>
      </c>
      <c r="B9" s="1222">
        <v>8801</v>
      </c>
      <c r="C9" s="2871" t="s">
        <v>6481</v>
      </c>
      <c r="D9" s="3219"/>
      <c r="F9" s="3220"/>
      <c r="G9" s="3221"/>
    </row>
    <row r="10" spans="1:7" s="1008" customFormat="1" ht="25.5">
      <c r="A10" s="1107">
        <v>46037.506944444445</v>
      </c>
      <c r="B10" s="1222">
        <v>8582</v>
      </c>
      <c r="C10" s="2871" t="s">
        <v>6476</v>
      </c>
      <c r="D10" s="3219"/>
      <c r="F10" s="3220"/>
      <c r="G10" s="3221"/>
    </row>
    <row r="11" spans="1:7" s="1008" customFormat="1" ht="25.5">
      <c r="A11" s="1107">
        <v>46037.506944444445</v>
      </c>
      <c r="B11" s="1222" t="s">
        <v>6477</v>
      </c>
      <c r="C11" s="2871" t="s">
        <v>6478</v>
      </c>
      <c r="D11" s="3219"/>
      <c r="F11" s="3220"/>
      <c r="G11" s="3221"/>
    </row>
    <row r="12" spans="1:7" s="1008" customFormat="1" ht="15" customHeight="1">
      <c r="A12" s="1107">
        <v>46038.361111111109</v>
      </c>
      <c r="B12" s="1222">
        <v>8582</v>
      </c>
      <c r="C12" s="2871" t="s">
        <v>6481</v>
      </c>
      <c r="D12" s="3219"/>
      <c r="F12" s="3220"/>
      <c r="G12" s="3221"/>
    </row>
    <row r="13" spans="1:7" s="1008" customFormat="1" ht="15" customHeight="1">
      <c r="A13" s="1107">
        <v>45673.399305555555</v>
      </c>
      <c r="B13" s="1222">
        <v>8995</v>
      </c>
      <c r="C13" s="2871" t="s">
        <v>6481</v>
      </c>
      <c r="D13" s="3219"/>
      <c r="F13" s="3220"/>
      <c r="G13" s="3221"/>
    </row>
    <row r="14" spans="1:7" s="1008" customFormat="1">
      <c r="A14" s="1107">
        <v>45673.576388888891</v>
      </c>
      <c r="B14" s="1222">
        <v>8962</v>
      </c>
      <c r="C14" s="2871" t="s">
        <v>6481</v>
      </c>
      <c r="D14" s="3219"/>
      <c r="F14" s="3220"/>
      <c r="G14" s="3221"/>
    </row>
    <row r="15" spans="1:7" s="1008" customFormat="1">
      <c r="A15" s="1107">
        <v>46038.625</v>
      </c>
      <c r="B15" s="1222" t="s">
        <v>148</v>
      </c>
      <c r="C15" s="2871" t="s">
        <v>6482</v>
      </c>
      <c r="D15" s="3219"/>
      <c r="F15" s="3220"/>
      <c r="G15" s="3221"/>
    </row>
    <row r="16" spans="1:7" s="1008" customFormat="1">
      <c r="A16" s="1107">
        <v>46038.704861111109</v>
      </c>
      <c r="B16" s="1222" t="s">
        <v>6509</v>
      </c>
      <c r="C16" s="2871" t="s">
        <v>6481</v>
      </c>
    </row>
    <row r="17" spans="1:3" s="1008" customFormat="1">
      <c r="A17" s="1107">
        <v>46040.333333333336</v>
      </c>
      <c r="B17" s="1222" t="s">
        <v>97</v>
      </c>
      <c r="C17" s="2871" t="s">
        <v>6513</v>
      </c>
    </row>
    <row r="18" spans="1:3" s="1008" customFormat="1" ht="25.5">
      <c r="A18" s="1107">
        <v>46040.34375</v>
      </c>
      <c r="B18" s="1222">
        <v>6251</v>
      </c>
      <c r="C18" s="2871" t="s">
        <v>6514</v>
      </c>
    </row>
    <row r="19" spans="1:3" s="1008" customFormat="1">
      <c r="A19" s="1107">
        <v>46042.802083333336</v>
      </c>
      <c r="B19" s="1222">
        <v>8959</v>
      </c>
      <c r="C19" s="1008" t="s">
        <v>6481</v>
      </c>
    </row>
    <row r="20" spans="1:3" s="1008" customFormat="1">
      <c r="A20" s="1107">
        <v>46042.875</v>
      </c>
      <c r="B20" s="1222">
        <v>1040</v>
      </c>
      <c r="C20" s="1008" t="s">
        <v>6515</v>
      </c>
    </row>
    <row r="21" spans="1:3" s="1008" customFormat="1" ht="25.5">
      <c r="A21" s="1107">
        <v>46042.888888888891</v>
      </c>
      <c r="B21" s="1222" t="s">
        <v>5758</v>
      </c>
      <c r="C21" s="1008" t="s">
        <v>6518</v>
      </c>
    </row>
    <row r="22" spans="1:3" s="1008" customFormat="1">
      <c r="A22" s="1107">
        <v>46042.902777777781</v>
      </c>
      <c r="B22" s="1222" t="s">
        <v>97</v>
      </c>
      <c r="C22" s="1008" t="s">
        <v>6519</v>
      </c>
    </row>
    <row r="23" spans="1:3" s="1008" customFormat="1">
      <c r="A23" s="1107">
        <v>46044.375</v>
      </c>
      <c r="B23" s="1222" t="s">
        <v>5758</v>
      </c>
      <c r="C23" s="1008" t="s">
        <v>6520</v>
      </c>
    </row>
    <row r="24" spans="1:3" s="1008" customFormat="1">
      <c r="A24" s="1107">
        <v>46044.5625</v>
      </c>
      <c r="B24" s="1222">
        <v>5695</v>
      </c>
      <c r="C24" s="1008" t="s">
        <v>6529</v>
      </c>
    </row>
    <row r="25" spans="1:3" s="1008" customFormat="1">
      <c r="A25" s="1107">
        <v>46044.666666666664</v>
      </c>
      <c r="B25" s="1222">
        <v>1040</v>
      </c>
      <c r="C25" s="1008" t="s">
        <v>6528</v>
      </c>
    </row>
    <row r="26" spans="1:3" s="1008" customFormat="1">
      <c r="A26" s="1107">
        <v>46046.604166666664</v>
      </c>
      <c r="B26" s="1222">
        <v>8889</v>
      </c>
      <c r="C26" s="1008" t="s">
        <v>6530</v>
      </c>
    </row>
    <row r="27" spans="1:3" s="1008" customFormat="1">
      <c r="A27" s="1107">
        <v>46047.541666666664</v>
      </c>
      <c r="B27" s="1222" t="s">
        <v>75</v>
      </c>
      <c r="C27" s="1008" t="s">
        <v>6532</v>
      </c>
    </row>
    <row r="28" spans="1:3" s="1008" customFormat="1">
      <c r="A28" s="1107">
        <v>46050.875</v>
      </c>
      <c r="B28" s="1222">
        <v>8606</v>
      </c>
      <c r="C28" s="1008" t="s">
        <v>6533</v>
      </c>
    </row>
    <row r="29" spans="1:3" s="1008" customFormat="1" ht="38.25">
      <c r="A29" s="1107">
        <v>46051.270833333336</v>
      </c>
      <c r="B29" s="1222">
        <v>1116</v>
      </c>
      <c r="C29" s="1008" t="s">
        <v>6539</v>
      </c>
    </row>
    <row r="30" spans="1:3" s="1008" customFormat="1" ht="25.5">
      <c r="A30" s="1107">
        <v>46052.368055555555</v>
      </c>
      <c r="B30" s="1222">
        <v>1116</v>
      </c>
      <c r="C30" s="1008" t="s">
        <v>6541</v>
      </c>
    </row>
    <row r="31" spans="1:3" s="1008" customFormat="1">
      <c r="A31" s="1107">
        <v>46058.6875</v>
      </c>
      <c r="B31" s="1222" t="s">
        <v>6646</v>
      </c>
      <c r="C31" s="1008" t="s">
        <v>6660</v>
      </c>
    </row>
    <row r="32" spans="1:3" s="1008" customFormat="1">
      <c r="A32" s="1107">
        <v>46058.6875</v>
      </c>
      <c r="B32" s="1222">
        <v>4137</v>
      </c>
      <c r="C32" s="1008" t="s">
        <v>6647</v>
      </c>
    </row>
    <row r="33" spans="1:3" s="1008" customFormat="1">
      <c r="A33" s="1107">
        <v>46058.6875</v>
      </c>
      <c r="B33" s="1222">
        <v>8919</v>
      </c>
      <c r="C33" s="1008" t="s">
        <v>6648</v>
      </c>
    </row>
    <row r="34" spans="1:3" s="1008" customFormat="1">
      <c r="A34" s="1107">
        <v>46058.6875</v>
      </c>
      <c r="B34" s="1222" t="s">
        <v>5758</v>
      </c>
      <c r="C34" s="1008" t="s">
        <v>6659</v>
      </c>
    </row>
    <row r="35" spans="1:3" s="1008" customFormat="1" ht="25.5">
      <c r="A35" s="1107">
        <v>46060.340277777781</v>
      </c>
      <c r="B35" s="1222" t="s">
        <v>75</v>
      </c>
      <c r="C35" s="1008" t="s">
        <v>6661</v>
      </c>
    </row>
    <row r="36" spans="1:3">
      <c r="A36" s="1107">
        <v>46060.791666666664</v>
      </c>
      <c r="B36" s="1222" t="s">
        <v>6676</v>
      </c>
      <c r="C36" s="1008" t="s">
        <v>6677</v>
      </c>
    </row>
    <row r="37" spans="1:3">
      <c r="A37" s="1107">
        <v>46060.791666666664</v>
      </c>
      <c r="B37" s="1222">
        <v>1040</v>
      </c>
      <c r="C37" s="2871" t="s">
        <v>6673</v>
      </c>
    </row>
    <row r="38" spans="1:3">
      <c r="A38" s="1107">
        <v>46061.541666666664</v>
      </c>
      <c r="B38" s="1222">
        <v>8889</v>
      </c>
      <c r="C38" s="1008" t="s">
        <v>6678</v>
      </c>
    </row>
    <row r="39" spans="1:3" ht="14.25" customHeight="1">
      <c r="A39" s="1107">
        <v>46061.708333333336</v>
      </c>
      <c r="B39" s="1222" t="s">
        <v>6679</v>
      </c>
      <c r="C39" s="1008" t="s">
        <v>6680</v>
      </c>
    </row>
    <row r="40" spans="1:3">
      <c r="A40" s="1107">
        <v>46062.972222222219</v>
      </c>
      <c r="B40" s="1222" t="s">
        <v>75</v>
      </c>
      <c r="C40" s="1008" t="s">
        <v>6681</v>
      </c>
    </row>
    <row r="41" spans="1:3">
      <c r="A41" s="1107">
        <v>46064.930555555555</v>
      </c>
      <c r="B41" s="1222">
        <v>8829</v>
      </c>
      <c r="C41" s="1008" t="s">
        <v>6683</v>
      </c>
    </row>
    <row r="42" spans="1:3">
      <c r="A42" s="1107">
        <v>46066.458333333336</v>
      </c>
      <c r="B42" s="1222">
        <v>8995</v>
      </c>
      <c r="C42" s="1008" t="s">
        <v>6684</v>
      </c>
    </row>
    <row r="43" spans="1:3">
      <c r="A43" s="1107">
        <v>46066.65625</v>
      </c>
      <c r="B43" s="1222" t="s">
        <v>93</v>
      </c>
      <c r="C43" s="1008" t="s">
        <v>6689</v>
      </c>
    </row>
    <row r="44" spans="1:3">
      <c r="A44" s="1107">
        <v>46066.65625</v>
      </c>
      <c r="B44" s="1222" t="s">
        <v>93</v>
      </c>
      <c r="C44" s="1008" t="s">
        <v>6690</v>
      </c>
    </row>
    <row r="45" spans="1:3">
      <c r="A45" s="1107">
        <v>46067.694444444445</v>
      </c>
      <c r="B45" s="1222">
        <v>1116</v>
      </c>
      <c r="C45" s="1008" t="s">
        <v>6691</v>
      </c>
    </row>
    <row r="46" spans="1:3" ht="25.5">
      <c r="A46" s="1107">
        <v>46068.697916666664</v>
      </c>
      <c r="B46" s="1222">
        <v>8995</v>
      </c>
      <c r="C46" s="1008" t="s">
        <v>6692</v>
      </c>
    </row>
    <row r="47" spans="1:3">
      <c r="A47" s="1107">
        <v>46072.979166666664</v>
      </c>
      <c r="B47" s="1222">
        <v>8829</v>
      </c>
      <c r="C47" s="1008" t="s">
        <v>6693</v>
      </c>
    </row>
    <row r="48" spans="1:3" s="1008" customFormat="1" ht="25.5">
      <c r="A48" s="452">
        <v>46073.34375</v>
      </c>
      <c r="B48" s="1222" t="s">
        <v>6646</v>
      </c>
      <c r="C48" s="2871" t="s">
        <v>6697</v>
      </c>
    </row>
    <row r="49" spans="1:5" s="1008" customFormat="1" ht="25.5">
      <c r="A49" s="1107">
        <v>46073.666666666664</v>
      </c>
      <c r="B49" s="1222" t="s">
        <v>93</v>
      </c>
      <c r="C49" s="1008" t="s">
        <v>6699</v>
      </c>
    </row>
    <row r="50" spans="1:5" ht="25.5">
      <c r="A50" s="452">
        <v>46073.979166666664</v>
      </c>
      <c r="B50" s="1222" t="s">
        <v>99</v>
      </c>
      <c r="C50" s="2871" t="s">
        <v>6700</v>
      </c>
    </row>
    <row r="51" spans="1:5" ht="25.5">
      <c r="A51" s="4857">
        <v>46074.458333333336</v>
      </c>
      <c r="B51" s="1222" t="s">
        <v>6509</v>
      </c>
      <c r="C51" s="1008" t="s">
        <v>6706</v>
      </c>
    </row>
    <row r="52" spans="1:5" ht="25.5">
      <c r="A52" s="452">
        <v>46074.958333333336</v>
      </c>
      <c r="B52" s="1222">
        <v>8889</v>
      </c>
      <c r="C52" s="2871" t="s">
        <v>6707</v>
      </c>
    </row>
    <row r="53" spans="1:5" ht="25.5">
      <c r="A53" s="452">
        <v>46081.576388888891</v>
      </c>
      <c r="B53" s="1222" t="s">
        <v>89</v>
      </c>
      <c r="C53" s="2871" t="s">
        <v>6709</v>
      </c>
    </row>
    <row r="54" spans="1:5" ht="38.25">
      <c r="A54" s="452">
        <v>46083.458333333336</v>
      </c>
      <c r="B54" s="1222" t="s">
        <v>6711</v>
      </c>
      <c r="C54" s="2871" t="s">
        <v>6712</v>
      </c>
    </row>
    <row r="55" spans="1:5">
      <c r="A55" s="452">
        <v>46083.930555555555</v>
      </c>
      <c r="B55" s="1222">
        <v>1040</v>
      </c>
      <c r="C55" s="1008" t="s">
        <v>6713</v>
      </c>
    </row>
    <row r="56" spans="1:5">
      <c r="A56" s="452">
        <v>46084.854166666664</v>
      </c>
      <c r="B56" s="357">
        <v>2210</v>
      </c>
      <c r="C56" s="2871" t="s">
        <v>6714</v>
      </c>
    </row>
    <row r="57" spans="1:5" ht="25.5">
      <c r="A57" s="452">
        <v>46085.270833333336</v>
      </c>
      <c r="B57" s="1222" t="s">
        <v>5758</v>
      </c>
      <c r="C57" s="2871" t="s">
        <v>6717</v>
      </c>
    </row>
    <row r="58" spans="1:5" ht="25.5">
      <c r="A58" s="452">
        <v>46088.423611111109</v>
      </c>
      <c r="B58" s="1222">
        <v>8889</v>
      </c>
      <c r="C58" s="2871" t="s">
        <v>6726</v>
      </c>
      <c r="E58" s="356" t="s">
        <v>6736</v>
      </c>
    </row>
    <row r="59" spans="1:5">
      <c r="A59" s="452">
        <v>46088.423611111109</v>
      </c>
      <c r="B59" s="1222" t="s">
        <v>6646</v>
      </c>
      <c r="C59" s="2871" t="s">
        <v>6725</v>
      </c>
    </row>
    <row r="60" spans="1:5">
      <c r="A60" s="452">
        <v>46088.465277777781</v>
      </c>
      <c r="B60" s="1222" t="s">
        <v>75</v>
      </c>
      <c r="C60" s="2871" t="s">
        <v>6734</v>
      </c>
    </row>
    <row r="61" spans="1:5">
      <c r="A61" s="452">
        <v>46088.465277777781</v>
      </c>
      <c r="B61" s="1222" t="s">
        <v>6646</v>
      </c>
      <c r="C61" s="2871" t="s">
        <v>6737</v>
      </c>
    </row>
    <row r="62" spans="1:5">
      <c r="A62" s="452">
        <v>46088.465277777781</v>
      </c>
      <c r="B62" s="1222" t="s">
        <v>6646</v>
      </c>
      <c r="C62" s="2871" t="s">
        <v>6738</v>
      </c>
    </row>
    <row r="63" spans="1:5" ht="25.5">
      <c r="A63" s="452">
        <v>46088.465277777781</v>
      </c>
      <c r="B63" s="357">
        <v>8880</v>
      </c>
      <c r="C63" s="2871" t="s">
        <v>6733</v>
      </c>
    </row>
    <row r="64" spans="1:5" ht="25.5">
      <c r="A64" s="452">
        <v>46089.583333333336</v>
      </c>
      <c r="B64" s="1222" t="s">
        <v>6740</v>
      </c>
      <c r="C64" s="2871" t="s">
        <v>6741</v>
      </c>
    </row>
    <row r="65" spans="1:3">
      <c r="A65" s="452">
        <v>46091.875</v>
      </c>
      <c r="B65" s="1222">
        <v>8889</v>
      </c>
      <c r="C65" s="2871" t="s">
        <v>6742</v>
      </c>
    </row>
    <row r="66" spans="1:3">
      <c r="A66" s="452">
        <v>46093.791666666664</v>
      </c>
      <c r="B66" s="357">
        <v>8606</v>
      </c>
      <c r="C66" s="2871" t="s">
        <v>6481</v>
      </c>
    </row>
    <row r="67" spans="1:3">
      <c r="A67" s="452">
        <v>46095.875</v>
      </c>
      <c r="B67" s="1222">
        <v>8606</v>
      </c>
      <c r="C67" s="2871" t="s">
        <v>6801</v>
      </c>
    </row>
    <row r="68" spans="1:3" ht="25.5">
      <c r="A68" s="4857">
        <v>46096.916666666664</v>
      </c>
      <c r="B68" s="1222" t="s">
        <v>101</v>
      </c>
      <c r="C68" s="1008" t="s">
        <v>6802</v>
      </c>
    </row>
    <row r="69" spans="1:3">
      <c r="A69" s="4857">
        <v>46097.583333333336</v>
      </c>
      <c r="B69" s="1222">
        <v>8606</v>
      </c>
      <c r="C69" s="2871" t="s">
        <v>6806</v>
      </c>
    </row>
    <row r="70" spans="1:3">
      <c r="A70" s="4857">
        <v>46097.666666666664</v>
      </c>
      <c r="B70" s="1222">
        <v>8606</v>
      </c>
      <c r="C70" s="2871" t="s">
        <v>6807</v>
      </c>
    </row>
    <row r="71" spans="1:3">
      <c r="A71" s="4857">
        <v>46102.385416666664</v>
      </c>
      <c r="B71" s="1222">
        <v>8960</v>
      </c>
      <c r="C71" s="1008" t="s">
        <v>6810</v>
      </c>
    </row>
    <row r="72" spans="1:3" ht="38.25">
      <c r="A72" s="452">
        <v>46108.489583333336</v>
      </c>
      <c r="B72" s="1222">
        <v>8960</v>
      </c>
      <c r="C72" s="2871" t="s">
        <v>6819</v>
      </c>
    </row>
    <row r="73" spans="1:3">
      <c r="A73" s="4857">
        <v>46110.395833333336</v>
      </c>
      <c r="B73" s="1222" t="s">
        <v>93</v>
      </c>
      <c r="C73" s="1008" t="s">
        <v>6820</v>
      </c>
    </row>
    <row r="74" spans="1:3" ht="25.5">
      <c r="A74" s="452">
        <v>46111.392361111109</v>
      </c>
      <c r="B74" s="1222">
        <v>8582</v>
      </c>
      <c r="C74" s="2871" t="s">
        <v>6822</v>
      </c>
    </row>
    <row r="75" spans="1:3">
      <c r="C75" s="2871"/>
    </row>
    <row r="76" spans="1:3">
      <c r="B76" s="1222"/>
      <c r="C76" s="2871"/>
    </row>
    <row r="77" spans="1:3">
      <c r="B77" s="1222"/>
      <c r="C77" s="2871"/>
    </row>
    <row r="78" spans="1:3">
      <c r="C78" s="2871"/>
    </row>
    <row r="79" spans="1:3">
      <c r="B79" s="1222"/>
      <c r="C79" s="2871"/>
    </row>
    <row r="80" spans="1:3">
      <c r="C80" s="2871"/>
    </row>
    <row r="81" spans="1:3">
      <c r="C81" s="2871"/>
    </row>
    <row r="82" spans="1:3">
      <c r="C82" s="2871"/>
    </row>
    <row r="83" spans="1:3">
      <c r="B83" s="1222"/>
      <c r="C83" s="2871"/>
    </row>
    <row r="84" spans="1:3">
      <c r="B84" s="1222"/>
      <c r="C84" s="2871"/>
    </row>
    <row r="85" spans="1:3">
      <c r="B85" s="1222"/>
      <c r="C85" s="2871"/>
    </row>
    <row r="86" spans="1:3">
      <c r="A86" s="4857"/>
      <c r="B86" s="1222"/>
      <c r="C86" s="1008"/>
    </row>
    <row r="87" spans="1:3">
      <c r="B87" s="1222"/>
      <c r="C87" s="2871"/>
    </row>
    <row r="88" spans="1:3">
      <c r="B88" s="1222"/>
      <c r="C88" s="2871"/>
    </row>
    <row r="89" spans="1:3">
      <c r="B89" s="1222"/>
      <c r="C89" s="2871"/>
    </row>
    <row r="90" spans="1:3">
      <c r="B90" s="1222"/>
      <c r="C90" s="2871"/>
    </row>
    <row r="91" spans="1:3">
      <c r="B91" s="1222"/>
      <c r="C91" s="2871"/>
    </row>
    <row r="92" spans="1:3">
      <c r="B92" s="1222"/>
      <c r="C92" s="2871"/>
    </row>
    <row r="93" spans="1:3">
      <c r="B93" s="1222"/>
      <c r="C93" s="2871"/>
    </row>
    <row r="94" spans="1:3">
      <c r="B94" s="1222"/>
      <c r="C94" s="2871"/>
    </row>
    <row r="95" spans="1:3">
      <c r="B95" s="1222"/>
      <c r="C95" s="2871"/>
    </row>
    <row r="96" spans="1:3">
      <c r="B96" s="1222"/>
      <c r="C96" s="2871"/>
    </row>
    <row r="97" spans="2:3">
      <c r="B97" s="1222"/>
      <c r="C97" s="2871"/>
    </row>
    <row r="98" spans="2:3">
      <c r="B98" s="1222"/>
      <c r="C98" s="2871"/>
    </row>
    <row r="99" spans="2:3">
      <c r="B99" s="1222"/>
      <c r="C99" s="2871"/>
    </row>
    <row r="100" spans="2:3">
      <c r="B100" s="1222"/>
      <c r="C100" s="2871"/>
    </row>
    <row r="101" spans="2:3">
      <c r="C101" s="2871"/>
    </row>
    <row r="102" spans="2:3">
      <c r="C102" s="2871"/>
    </row>
    <row r="103" spans="2:3">
      <c r="C103" s="2871"/>
    </row>
    <row r="104" spans="2:3">
      <c r="C104" s="2871"/>
    </row>
    <row r="105" spans="2:3">
      <c r="C105" s="2871"/>
    </row>
    <row r="106" spans="2:3">
      <c r="C106" s="2871"/>
    </row>
    <row r="107" spans="2:3">
      <c r="C107" s="2871"/>
    </row>
    <row r="108" spans="2:3">
      <c r="B108" s="1222"/>
      <c r="C108" s="2871"/>
    </row>
    <row r="109" spans="2:3">
      <c r="B109" s="1222"/>
      <c r="C109" s="2871"/>
    </row>
    <row r="110" spans="2:3">
      <c r="B110" s="1222"/>
      <c r="C110" s="2871"/>
    </row>
    <row r="111" spans="2:3">
      <c r="C111" s="2871"/>
    </row>
    <row r="112" spans="2:3">
      <c r="C112" s="2871"/>
    </row>
    <row r="113" spans="2:3">
      <c r="B113" s="1222"/>
      <c r="C113" s="2871"/>
    </row>
    <row r="114" spans="2:3">
      <c r="B114" s="1222"/>
      <c r="C114" s="2871"/>
    </row>
    <row r="115" spans="2:3">
      <c r="C115" s="2871"/>
    </row>
    <row r="116" spans="2:3">
      <c r="C116" s="2871"/>
    </row>
    <row r="117" spans="2:3">
      <c r="C117" s="2871"/>
    </row>
    <row r="118" spans="2:3">
      <c r="B118" s="1222"/>
      <c r="C118" s="2871"/>
    </row>
    <row r="119" spans="2:3">
      <c r="B119" s="1222"/>
      <c r="C119" s="2871"/>
    </row>
    <row r="120" spans="2:3">
      <c r="C120" s="2871"/>
    </row>
    <row r="121" spans="2:3">
      <c r="B121" s="1222"/>
      <c r="C121" s="2871"/>
    </row>
    <row r="122" spans="2:3">
      <c r="C122" s="2871"/>
    </row>
    <row r="126" spans="2:3">
      <c r="C126" s="2871"/>
    </row>
    <row r="127" spans="2:3">
      <c r="B127" s="1222"/>
      <c r="C127" s="2871"/>
    </row>
    <row r="128" spans="2:3">
      <c r="C128" s="2871"/>
    </row>
    <row r="129" spans="2:3">
      <c r="B129" s="1222"/>
      <c r="C129" s="2871"/>
    </row>
    <row r="130" spans="2:3">
      <c r="B130" s="1222"/>
      <c r="C130" s="2871"/>
    </row>
    <row r="131" spans="2:3">
      <c r="B131" s="1222"/>
      <c r="C131" s="2871"/>
    </row>
    <row r="132" spans="2:3">
      <c r="B132" s="1222"/>
      <c r="C132" s="2871"/>
    </row>
    <row r="133" spans="2:3">
      <c r="B133" s="1222"/>
      <c r="C133" s="2871"/>
    </row>
    <row r="134" spans="2:3">
      <c r="B134" s="1222"/>
      <c r="C134" s="2871"/>
    </row>
    <row r="135" spans="2:3">
      <c r="C135" s="2871"/>
    </row>
    <row r="136" spans="2:3">
      <c r="C136" s="2871"/>
    </row>
    <row r="137" spans="2:3">
      <c r="C137" s="2871"/>
    </row>
    <row r="138" spans="2:3">
      <c r="C138" s="2871"/>
    </row>
    <row r="139" spans="2:3">
      <c r="C139" s="2871"/>
    </row>
    <row r="141" spans="2:3">
      <c r="B141" s="1222"/>
      <c r="C141" s="2871"/>
    </row>
    <row r="142" spans="2:3">
      <c r="C142" s="2871"/>
    </row>
    <row r="143" spans="2:3">
      <c r="B143" s="1222"/>
      <c r="C143" s="2871"/>
    </row>
    <row r="144" spans="2:3">
      <c r="B144" s="1222"/>
      <c r="C144" s="2871"/>
    </row>
    <row r="145" spans="2:3">
      <c r="C145" s="2871"/>
    </row>
    <row r="147" spans="2:3">
      <c r="B147" s="1222"/>
      <c r="C147" s="2871"/>
    </row>
    <row r="148" spans="2:3">
      <c r="C148" s="2871"/>
    </row>
    <row r="149" spans="2:3">
      <c r="B149" s="1222"/>
      <c r="C149" s="2871"/>
    </row>
    <row r="150" spans="2:3">
      <c r="B150" s="1222"/>
      <c r="C150" s="2871"/>
    </row>
    <row r="151" spans="2:3">
      <c r="B151" s="1222"/>
      <c r="C151" s="2871"/>
    </row>
    <row r="152" spans="2:3">
      <c r="B152" s="1222"/>
      <c r="C152" s="2871"/>
    </row>
    <row r="153" spans="2:3">
      <c r="B153" s="1222"/>
      <c r="C153" s="2871"/>
    </row>
    <row r="154" spans="2:3">
      <c r="C154" s="2871"/>
    </row>
    <row r="155" spans="2:3">
      <c r="C155" s="2871"/>
    </row>
    <row r="156" spans="2:3">
      <c r="B156" s="1222"/>
      <c r="C156" s="2871"/>
    </row>
    <row r="157" spans="2:3">
      <c r="C157" s="2871"/>
    </row>
    <row r="158" spans="2:3">
      <c r="C158" s="2871"/>
    </row>
    <row r="159" spans="2:3">
      <c r="B159" s="1222"/>
      <c r="C159" s="2871"/>
    </row>
    <row r="160" spans="2:3">
      <c r="C160" s="2871"/>
    </row>
    <row r="161" spans="2:3">
      <c r="B161" s="1222"/>
      <c r="C161" s="2871"/>
    </row>
    <row r="162" spans="2:3">
      <c r="B162" s="1222"/>
      <c r="C162" s="2871"/>
    </row>
    <row r="163" spans="2:3">
      <c r="B163" s="1222"/>
      <c r="C163" s="2871"/>
    </row>
    <row r="164" spans="2:3">
      <c r="C164" s="2871"/>
    </row>
    <row r="165" spans="2:3">
      <c r="B165" s="1222"/>
      <c r="C165" s="2871"/>
    </row>
    <row r="166" spans="2:3">
      <c r="C166" s="2871"/>
    </row>
    <row r="167" spans="2:3">
      <c r="C167" s="2871"/>
    </row>
    <row r="168" spans="2:3">
      <c r="C168" s="2871"/>
    </row>
    <row r="169" spans="2:3">
      <c r="C169" s="2871"/>
    </row>
    <row r="170" spans="2:3">
      <c r="C170" s="2871"/>
    </row>
    <row r="171" spans="2:3">
      <c r="C171" s="2871"/>
    </row>
    <row r="172" spans="2:3">
      <c r="B172" s="1222"/>
      <c r="C172" s="2871"/>
    </row>
    <row r="173" spans="2:3">
      <c r="B173" s="1222"/>
      <c r="C173" s="2871"/>
    </row>
    <row r="174" spans="2:3">
      <c r="B174" s="1222"/>
      <c r="C174" s="2871"/>
    </row>
    <row r="175" spans="2:3">
      <c r="B175" s="1222"/>
      <c r="C175" s="2871"/>
    </row>
    <row r="176" spans="2:3">
      <c r="C176" s="2871"/>
    </row>
    <row r="177" spans="2:3">
      <c r="C177" s="2871"/>
    </row>
    <row r="178" spans="2:3">
      <c r="C178" s="2871"/>
    </row>
    <row r="179" spans="2:3">
      <c r="B179" s="1222"/>
      <c r="C179" s="2871"/>
    </row>
    <row r="180" spans="2:3">
      <c r="C180" s="2871"/>
    </row>
    <row r="1048574" spans="3:3">
      <c r="C1048574" s="2871"/>
    </row>
  </sheetData>
  <sheetProtection sheet="1" formatCells="0" formatColumns="0" formatRows="0"/>
  <hyperlinks>
    <hyperlink ref="D1" r:id="rId1" xr:uid="{00000000-0004-0000-4100-000000000000}"/>
  </hyperlinks>
  <pageMargins left="0.75" right="0.25" top="0.36" bottom="0.28999999999999998" header="0.36" footer="0.21"/>
  <pageSetup scale="41" orientation="portrait" r:id="rId2"/>
</worksheet>
</file>

<file path=docMetadata/LabelInfo.xml><?xml version="1.0" encoding="utf-8"?>
<clbl:labelList xmlns:clbl="http://schemas.microsoft.com/office/2020/mipLabelMetadata">
  <clbl:label id="{d275ac46-98b9-4d64-949f-e82ee8dc823c}" enabled="1" method="Standard" siteId="{9ef58ab0-3510-4d99-8d3e-3c9e02ebab7f}" contentBits="3"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66</vt:i4>
      </vt:variant>
      <vt:variant>
        <vt:lpstr>Named Ranges</vt:lpstr>
      </vt:variant>
      <vt:variant>
        <vt:i4>937</vt:i4>
      </vt:variant>
    </vt:vector>
  </HeadingPairs>
  <TitlesOfParts>
    <vt:vector size="1003" baseType="lpstr">
      <vt:lpstr>Coversheet</vt:lpstr>
      <vt:lpstr>Table of Contents</vt:lpstr>
      <vt:lpstr>Instructions</vt:lpstr>
      <vt:lpstr>W-2s</vt:lpstr>
      <vt:lpstr>1099-INT</vt:lpstr>
      <vt:lpstr>1099-DIV</vt:lpstr>
      <vt:lpstr>1099-G</vt:lpstr>
      <vt:lpstr>1099-MISC</vt:lpstr>
      <vt:lpstr>1099-NEC</vt:lpstr>
      <vt:lpstr>1099-R</vt:lpstr>
      <vt:lpstr>Lines 4ab (IRA Dist.)</vt:lpstr>
      <vt:lpstr>SSA-1099</vt:lpstr>
      <vt:lpstr>1040</vt:lpstr>
      <vt:lpstr>Dependents</vt:lpstr>
      <vt:lpstr>Sch. 1</vt:lpstr>
      <vt:lpstr>Sch. 1-A</vt:lpstr>
      <vt:lpstr>Sch 1, Line 1 (SALT)</vt:lpstr>
      <vt:lpstr>Sch. 1, Line 20 (IRA)</vt:lpstr>
      <vt:lpstr>Sch. 1, Line 21 (Stu Loan)</vt:lpstr>
      <vt:lpstr>Sch. 2</vt:lpstr>
      <vt:lpstr>Sch. 3</vt:lpstr>
      <vt:lpstr>Earned Inc WS</vt:lpstr>
      <vt:lpstr>Lines 5ab (Simplified Meth WS)</vt:lpstr>
      <vt:lpstr>Line 6ab (SS Bene)</vt:lpstr>
      <vt:lpstr>Line 12e (SD Depnts)</vt:lpstr>
      <vt:lpstr>Line 16 (QDCG Tax)</vt:lpstr>
      <vt:lpstr>Line 27a (EIC)</vt:lpstr>
      <vt:lpstr>Sch. A</vt:lpstr>
      <vt:lpstr>Sch. B</vt:lpstr>
      <vt:lpstr>Sch. C</vt:lpstr>
      <vt:lpstr>Sch. D</vt:lpstr>
      <vt:lpstr>Sch. D WS</vt:lpstr>
      <vt:lpstr>Sch. E</vt:lpstr>
      <vt:lpstr>Sch. E (2)</vt:lpstr>
      <vt:lpstr>Sch. F</vt:lpstr>
      <vt:lpstr>Sch. R</vt:lpstr>
      <vt:lpstr>Sch. SE</vt:lpstr>
      <vt:lpstr>1116</vt:lpstr>
      <vt:lpstr>2210</vt:lpstr>
      <vt:lpstr>2441</vt:lpstr>
      <vt:lpstr>2555</vt:lpstr>
      <vt:lpstr>4137</vt:lpstr>
      <vt:lpstr>4562</vt:lpstr>
      <vt:lpstr>5695</vt:lpstr>
      <vt:lpstr>6251</vt:lpstr>
      <vt:lpstr>8283</vt:lpstr>
      <vt:lpstr>8582</vt:lpstr>
      <vt:lpstr>8606</vt:lpstr>
      <vt:lpstr>8801</vt:lpstr>
      <vt:lpstr>8812</vt:lpstr>
      <vt:lpstr>8829</vt:lpstr>
      <vt:lpstr>8863</vt:lpstr>
      <vt:lpstr>8880</vt:lpstr>
      <vt:lpstr>8889</vt:lpstr>
      <vt:lpstr>8919</vt:lpstr>
      <vt:lpstr>8949A</vt:lpstr>
      <vt:lpstr>8949B</vt:lpstr>
      <vt:lpstr>8949C</vt:lpstr>
      <vt:lpstr>8949D</vt:lpstr>
      <vt:lpstr>8959</vt:lpstr>
      <vt:lpstr>8960</vt:lpstr>
      <vt:lpstr>8962</vt:lpstr>
      <vt:lpstr>8995</vt:lpstr>
      <vt:lpstr>EIC Table</vt:lpstr>
      <vt:lpstr>Tax Table</vt:lpstr>
      <vt:lpstr>Changes</vt:lpstr>
      <vt:lpstr>Add_SALT</vt:lpstr>
      <vt:lpstr>Additional_Income</vt:lpstr>
      <vt:lpstr>AdditionalCTC</vt:lpstr>
      <vt:lpstr>Address</vt:lpstr>
      <vt:lpstr>Adj_Gross_Inc</vt:lpstr>
      <vt:lpstr>Adj_Gross_Inc_Pg2</vt:lpstr>
      <vt:lpstr>AdjustToIncome</vt:lpstr>
      <vt:lpstr>AdoptCredit</vt:lpstr>
      <vt:lpstr>AgPMT_Disaster</vt:lpstr>
      <vt:lpstr>AgPMT_Other</vt:lpstr>
      <vt:lpstr>Alaska</vt:lpstr>
      <vt:lpstr>Alien_Spouse</vt:lpstr>
      <vt:lpstr>AlienSpouseName</vt:lpstr>
      <vt:lpstr>AlimonyPaid</vt:lpstr>
      <vt:lpstr>AlimonyRcvd</vt:lpstr>
      <vt:lpstr>AltMinTaxInc</vt:lpstr>
      <vt:lpstr>AMT</vt:lpstr>
      <vt:lpstr>AMTExemption</vt:lpstr>
      <vt:lpstr>AMTExemptionFlag</vt:lpstr>
      <vt:lpstr>AO_Credit</vt:lpstr>
      <vt:lpstr>AOC_1</vt:lpstr>
      <vt:lpstr>AOC_2</vt:lpstr>
      <vt:lpstr>AOC_3</vt:lpstr>
      <vt:lpstr>AOC_4</vt:lpstr>
      <vt:lpstr>Apt_No.</vt:lpstr>
      <vt:lpstr>ArcherMSADeduct</vt:lpstr>
      <vt:lpstr>BadBirthdate_Spouse</vt:lpstr>
      <vt:lpstr>BadBirthdate_Yours</vt:lpstr>
      <vt:lpstr>BadDeathDate</vt:lpstr>
      <vt:lpstr>BASE_A1</vt:lpstr>
      <vt:lpstr>BASE_A2</vt:lpstr>
      <vt:lpstr>BASE_A3</vt:lpstr>
      <vt:lpstr>BASE_A4</vt:lpstr>
      <vt:lpstr>BASE_A5</vt:lpstr>
      <vt:lpstr>BASE_A6</vt:lpstr>
      <vt:lpstr>BASE_A7</vt:lpstr>
      <vt:lpstr>BASE_B1</vt:lpstr>
      <vt:lpstr>BASE_B2</vt:lpstr>
      <vt:lpstr>BASE_B3</vt:lpstr>
      <vt:lpstr>BASE_B4</vt:lpstr>
      <vt:lpstr>BASE_B5</vt:lpstr>
      <vt:lpstr>BASE_B6</vt:lpstr>
      <vt:lpstr>BASE_B7</vt:lpstr>
      <vt:lpstr>BASE_C1</vt:lpstr>
      <vt:lpstr>BASE_C2</vt:lpstr>
      <vt:lpstr>BASE_C3</vt:lpstr>
      <vt:lpstr>BASE_C4</vt:lpstr>
      <vt:lpstr>BASE_C5</vt:lpstr>
      <vt:lpstr>BASE_C6</vt:lpstr>
      <vt:lpstr>BASE_C7</vt:lpstr>
      <vt:lpstr>BASE_D1</vt:lpstr>
      <vt:lpstr>BASE_D2</vt:lpstr>
      <vt:lpstr>BASE_D3</vt:lpstr>
      <vt:lpstr>BASE_D4</vt:lpstr>
      <vt:lpstr>BASE_D5</vt:lpstr>
      <vt:lpstr>BASE_D6</vt:lpstr>
      <vt:lpstr>BASE_D7</vt:lpstr>
      <vt:lpstr>BeginningOfTaxYear</vt:lpstr>
      <vt:lpstr>Birthday_Needed</vt:lpstr>
      <vt:lpstr>BOTT_A1</vt:lpstr>
      <vt:lpstr>BOTT_A2</vt:lpstr>
      <vt:lpstr>BOTT_A3</vt:lpstr>
      <vt:lpstr>BOTT_A4</vt:lpstr>
      <vt:lpstr>BOTT_A5</vt:lpstr>
      <vt:lpstr>BOTT_A6</vt:lpstr>
      <vt:lpstr>BOTT_A7</vt:lpstr>
      <vt:lpstr>BOTT_B1</vt:lpstr>
      <vt:lpstr>BOTT_B2</vt:lpstr>
      <vt:lpstr>BOTT_B3</vt:lpstr>
      <vt:lpstr>BOTT_B4</vt:lpstr>
      <vt:lpstr>BOTT_B5</vt:lpstr>
      <vt:lpstr>BOTT_B6</vt:lpstr>
      <vt:lpstr>BOTT_B7</vt:lpstr>
      <vt:lpstr>BOTT_C1</vt:lpstr>
      <vt:lpstr>BOTT_C2</vt:lpstr>
      <vt:lpstr>BOTT_C3</vt:lpstr>
      <vt:lpstr>BOTT_C4</vt:lpstr>
      <vt:lpstr>BOTT_C5</vt:lpstr>
      <vt:lpstr>BOTT_C6</vt:lpstr>
      <vt:lpstr>BOTT_C7</vt:lpstr>
      <vt:lpstr>BOTT_D1</vt:lpstr>
      <vt:lpstr>BOTT_D2</vt:lpstr>
      <vt:lpstr>BOTT_D3</vt:lpstr>
      <vt:lpstr>BOTT_D4</vt:lpstr>
      <vt:lpstr>BOTT_D5</vt:lpstr>
      <vt:lpstr>BOTT_D6</vt:lpstr>
      <vt:lpstr>BOTT_D7</vt:lpstr>
      <vt:lpstr>Business_Profit</vt:lpstr>
      <vt:lpstr>BusinessIncomeLoss</vt:lpstr>
      <vt:lpstr>CapitalGains</vt:lpstr>
      <vt:lpstr>Care_Expenses</vt:lpstr>
      <vt:lpstr>CertainBusinessExp</vt:lpstr>
      <vt:lpstr>CFOD_Other_Depend</vt:lpstr>
      <vt:lpstr>CFOD_QC_Under_17</vt:lpstr>
      <vt:lpstr>CGTW</vt:lpstr>
      <vt:lpstr>CGTW_Line1</vt:lpstr>
      <vt:lpstr>CGTW_Line13_HOH</vt:lpstr>
      <vt:lpstr>CGTW_Line13_MFJQW</vt:lpstr>
      <vt:lpstr>CGTW_Line13_MFS</vt:lpstr>
      <vt:lpstr>CGTW_Line13_Single</vt:lpstr>
      <vt:lpstr>CGTW_Line18_PCT</vt:lpstr>
      <vt:lpstr>CGTW_Line21_PCT</vt:lpstr>
      <vt:lpstr>CGTW_Line23</vt:lpstr>
      <vt:lpstr>CGTW_Line24</vt:lpstr>
      <vt:lpstr>CGTW_Line5</vt:lpstr>
      <vt:lpstr>CGTW_Line6_HOH</vt:lpstr>
      <vt:lpstr>CGTW_Line6_MFJQW</vt:lpstr>
      <vt:lpstr>CGTW_Line6_SMFS</vt:lpstr>
      <vt:lpstr>CGTW_Tax</vt:lpstr>
      <vt:lpstr>Child_Tax_Credit</vt:lpstr>
      <vt:lpstr>ChildDepend_TaxCredit</vt:lpstr>
      <vt:lpstr>ChildUnder24</vt:lpstr>
      <vt:lpstr>ChurchEmployee1</vt:lpstr>
      <vt:lpstr>ChurchEmployee2</vt:lpstr>
      <vt:lpstr>ChurchEmployeeInc1</vt:lpstr>
      <vt:lpstr>ChurchEmployeeInc2</vt:lpstr>
      <vt:lpstr>ChurchEmployeeIncome1</vt:lpstr>
      <vt:lpstr>ChurchEmployeeIncome2</vt:lpstr>
      <vt:lpstr>City_State_Zip</vt:lpstr>
      <vt:lpstr>CombatPayNoTax</vt:lpstr>
      <vt:lpstr>CONV_FedTaxWH</vt:lpstr>
      <vt:lpstr>CONV2ROTH</vt:lpstr>
      <vt:lpstr>CopyWrite</vt:lpstr>
      <vt:lpstr>CredLimitWS_Line15</vt:lpstr>
      <vt:lpstr>CTC_AgeLimit</vt:lpstr>
      <vt:lpstr>CTCorCOD</vt:lpstr>
      <vt:lpstr>DaysInTaxYear</vt:lpstr>
      <vt:lpstr>Deduct_Age_Bonus</vt:lpstr>
      <vt:lpstr>Deduct_New_AutoLoan_Interest</vt:lpstr>
      <vt:lpstr>Deduct_OT_Income</vt:lpstr>
      <vt:lpstr>Deduct_Tip_Income</vt:lpstr>
      <vt:lpstr>Deduction</vt:lpstr>
      <vt:lpstr>DeductionForSeniors</vt:lpstr>
      <vt:lpstr>Deductions</vt:lpstr>
      <vt:lpstr>DependCareBenefits</vt:lpstr>
      <vt:lpstr>Dependent_Care</vt:lpstr>
      <vt:lpstr>DependentCount</vt:lpstr>
      <vt:lpstr>DependentsGT4</vt:lpstr>
      <vt:lpstr>DependentSPOUSE</vt:lpstr>
      <vt:lpstr>DependentYOU</vt:lpstr>
      <vt:lpstr>DependOther</vt:lpstr>
      <vt:lpstr>DependUnder17SSN</vt:lpstr>
      <vt:lpstr>DigitalAsset_No</vt:lpstr>
      <vt:lpstr>DigitalAsset_Yes</vt:lpstr>
      <vt:lpstr>Dividend_Inc</vt:lpstr>
      <vt:lpstr>Draft</vt:lpstr>
      <vt:lpstr>Dual_Status_Alien</vt:lpstr>
      <vt:lpstr>Earned_Income</vt:lpstr>
      <vt:lpstr>EarnedIncomeCredit</vt:lpstr>
      <vt:lpstr>EarnedIncomeWSB</vt:lpstr>
      <vt:lpstr>Education</vt:lpstr>
      <vt:lpstr>EducationCredits_NR</vt:lpstr>
      <vt:lpstr>EducatorExpenses</vt:lpstr>
      <vt:lpstr>EEHI_CL_WKST</vt:lpstr>
      <vt:lpstr>EEHI_Credit</vt:lpstr>
      <vt:lpstr>EIC</vt:lpstr>
      <vt:lpstr>EIC_Check</vt:lpstr>
      <vt:lpstr>EIC_EarnedIncome</vt:lpstr>
      <vt:lpstr>EIC_Max_MFJ_NoChildren</vt:lpstr>
      <vt:lpstr>EIC_Max_MFJ_OneChild</vt:lpstr>
      <vt:lpstr>EIC_Max_MFJ_ThreeChildren</vt:lpstr>
      <vt:lpstr>EIC_Max_MFJ_TwoChildren</vt:lpstr>
      <vt:lpstr>EIC_Max_NoChildren</vt:lpstr>
      <vt:lpstr>EIC_Max_OneChild</vt:lpstr>
      <vt:lpstr>EIC_Max_ThreeChildren</vt:lpstr>
      <vt:lpstr>EIC_Max_TwoChildren</vt:lpstr>
      <vt:lpstr>EIC_No</vt:lpstr>
      <vt:lpstr>EIC_No_Box</vt:lpstr>
      <vt:lpstr>EIC_Started</vt:lpstr>
      <vt:lpstr>EIC_Step3_Line3_Yes</vt:lpstr>
      <vt:lpstr>EIC_trigger</vt:lpstr>
      <vt:lpstr>EIC_WB_Part5_Line7</vt:lpstr>
      <vt:lpstr>EIC_WSA_Part3</vt:lpstr>
      <vt:lpstr>EIC_WSB_Part7</vt:lpstr>
      <vt:lpstr>EICNumQualChild</vt:lpstr>
      <vt:lpstr>Elderly_Credit</vt:lpstr>
      <vt:lpstr>Elect_Def_to_501c18D</vt:lpstr>
      <vt:lpstr>Elect_Def_to_501c18D_Spouse</vt:lpstr>
      <vt:lpstr>Elect_Def_to_501c18D_You</vt:lpstr>
      <vt:lpstr>Elect_Def_to_SIMPLE_Spouse</vt:lpstr>
      <vt:lpstr>Elect_Def_to_SIMPLE_You</vt:lpstr>
      <vt:lpstr>Emp_Contr_HSA_Spouse</vt:lpstr>
      <vt:lpstr>Emp_Contr_HSA_You</vt:lpstr>
      <vt:lpstr>EmployerCountSpouse</vt:lpstr>
      <vt:lpstr>EmployerCountYou</vt:lpstr>
      <vt:lpstr>EndOfTaxYear</vt:lpstr>
      <vt:lpstr>EstimatedTaxPayments</vt:lpstr>
      <vt:lpstr>Exception_QDCG_TW_SchD_TW</vt:lpstr>
      <vt:lpstr>ExcessSSTax</vt:lpstr>
      <vt:lpstr>ExciseTaxGoldParachute</vt:lpstr>
      <vt:lpstr>Exempt_Interest_DIV</vt:lpstr>
      <vt:lpstr>F1040_Line1z</vt:lpstr>
      <vt:lpstr>F1099_FedTaxWH</vt:lpstr>
      <vt:lpstr>F1099DIV_FedTaxWH</vt:lpstr>
      <vt:lpstr>F1099DIV_SPABI</vt:lpstr>
      <vt:lpstr>F1099G_FedTaxWH</vt:lpstr>
      <vt:lpstr>F1099G_MktGain</vt:lpstr>
      <vt:lpstr>F1099G_StateTaxWH</vt:lpstr>
      <vt:lpstr>F1099G_TaxGrants</vt:lpstr>
      <vt:lpstr>F1099INT_FedTaxWH</vt:lpstr>
      <vt:lpstr>F1099INT_SPABI</vt:lpstr>
      <vt:lpstr>F1099NEC_FedTaxWH</vt:lpstr>
      <vt:lpstr>F1099NEC_StateTaxWH</vt:lpstr>
      <vt:lpstr>F1099R_CodeDTaxes</vt:lpstr>
      <vt:lpstr>F2441_NonRefund</vt:lpstr>
      <vt:lpstr>F2441_Refundable</vt:lpstr>
      <vt:lpstr>F2555_Line43_Sp</vt:lpstr>
      <vt:lpstr>F2555_Line43_You</vt:lpstr>
      <vt:lpstr>F2555_Line45_1</vt:lpstr>
      <vt:lpstr>F2555_Line45_2</vt:lpstr>
      <vt:lpstr>F2555_Line45_Spouse</vt:lpstr>
      <vt:lpstr>F2555_Line45_Total</vt:lpstr>
      <vt:lpstr>F2555_Line45_You</vt:lpstr>
      <vt:lpstr>F2555_Line50_NotZero</vt:lpstr>
      <vt:lpstr>F4137_Line13_Spouse</vt:lpstr>
      <vt:lpstr>F4137_Line13_Total</vt:lpstr>
      <vt:lpstr>F4137_Line13_You</vt:lpstr>
      <vt:lpstr>F4952_Line_4g</vt:lpstr>
      <vt:lpstr>F5695_Line15</vt:lpstr>
      <vt:lpstr>F6251_Needed</vt:lpstr>
      <vt:lpstr>F6251_PIII</vt:lpstr>
      <vt:lpstr>F8582_Line9</vt:lpstr>
      <vt:lpstr>F8582_MAGI</vt:lpstr>
      <vt:lpstr>F8801_MinimumTaxCredit</vt:lpstr>
      <vt:lpstr>F8812_NoAdditionalCTC</vt:lpstr>
      <vt:lpstr>F8812_Skip_Part_II_A</vt:lpstr>
      <vt:lpstr>F8812_Skip_Part_II_B</vt:lpstr>
      <vt:lpstr>F8829_Deduction</vt:lpstr>
      <vt:lpstr>F8829_SchC_1</vt:lpstr>
      <vt:lpstr>F8829_SchC_2</vt:lpstr>
      <vt:lpstr>F8880_Credit</vt:lpstr>
      <vt:lpstr>F8889_Line1</vt:lpstr>
      <vt:lpstr>F8889_Line13</vt:lpstr>
      <vt:lpstr>F8889_Line16</vt:lpstr>
      <vt:lpstr>F8889_Line17b</vt:lpstr>
      <vt:lpstr>F8889_Line20</vt:lpstr>
      <vt:lpstr>F8889_Line21</vt:lpstr>
      <vt:lpstr>F8919_Line13_Both</vt:lpstr>
      <vt:lpstr>F8919_Line6_Both</vt:lpstr>
      <vt:lpstr>F8949ALBOXD</vt:lpstr>
      <vt:lpstr>F8949ALBOXE</vt:lpstr>
      <vt:lpstr>F8949ALBOXF</vt:lpstr>
      <vt:lpstr>F8949ALBOXJ</vt:lpstr>
      <vt:lpstr>F8949ALBOXK</vt:lpstr>
      <vt:lpstr>F8949ALBOXL</vt:lpstr>
      <vt:lpstr>F8949ALT</vt:lpstr>
      <vt:lpstr>F8949ALTD</vt:lpstr>
      <vt:lpstr>F8949ALTE</vt:lpstr>
      <vt:lpstr>F8949ALTG</vt:lpstr>
      <vt:lpstr>F8949ALTH</vt:lpstr>
      <vt:lpstr>F8949ASBOXA</vt:lpstr>
      <vt:lpstr>F8949ASBOXB</vt:lpstr>
      <vt:lpstr>F8949ASBOXC</vt:lpstr>
      <vt:lpstr>F8949ASBOXG</vt:lpstr>
      <vt:lpstr>F8949ASBOXH</vt:lpstr>
      <vt:lpstr>F8949ASBOXI</vt:lpstr>
      <vt:lpstr>F8949AST</vt:lpstr>
      <vt:lpstr>F8949ASTD</vt:lpstr>
      <vt:lpstr>F8949ASTE</vt:lpstr>
      <vt:lpstr>F8949ASTG</vt:lpstr>
      <vt:lpstr>F8949ASTH</vt:lpstr>
      <vt:lpstr>F8949BLBOXD</vt:lpstr>
      <vt:lpstr>F8949BLBOXE</vt:lpstr>
      <vt:lpstr>F8949BLBOXF</vt:lpstr>
      <vt:lpstr>F8949BLBOXJ</vt:lpstr>
      <vt:lpstr>F8949BLBOXK</vt:lpstr>
      <vt:lpstr>F8949BLBOXL</vt:lpstr>
      <vt:lpstr>F8949BLT</vt:lpstr>
      <vt:lpstr>F8949BLTD</vt:lpstr>
      <vt:lpstr>F8949BLTE</vt:lpstr>
      <vt:lpstr>F8949BLTG</vt:lpstr>
      <vt:lpstr>F8949BLTH</vt:lpstr>
      <vt:lpstr>F8949BSBOXA</vt:lpstr>
      <vt:lpstr>F8949BSBOXB</vt:lpstr>
      <vt:lpstr>F8949BSBOXC</vt:lpstr>
      <vt:lpstr>F8949BSBOXG</vt:lpstr>
      <vt:lpstr>F8949BSBOXH</vt:lpstr>
      <vt:lpstr>F8949BSBOXI</vt:lpstr>
      <vt:lpstr>F8949BST</vt:lpstr>
      <vt:lpstr>F8949BSTD</vt:lpstr>
      <vt:lpstr>F8949BSTE</vt:lpstr>
      <vt:lpstr>F8949BSTG</vt:lpstr>
      <vt:lpstr>F8949BSTH</vt:lpstr>
      <vt:lpstr>F8949CBOXL</vt:lpstr>
      <vt:lpstr>F8949CLBOXD</vt:lpstr>
      <vt:lpstr>F8949CLBOXE</vt:lpstr>
      <vt:lpstr>F8949CLBOXF</vt:lpstr>
      <vt:lpstr>F8949CLBOXJ</vt:lpstr>
      <vt:lpstr>F8949CLBOXK</vt:lpstr>
      <vt:lpstr>F8949CLBOXL</vt:lpstr>
      <vt:lpstr>F8949CLT</vt:lpstr>
      <vt:lpstr>F8949CLTD</vt:lpstr>
      <vt:lpstr>F8949CLTE</vt:lpstr>
      <vt:lpstr>F8949CLTG</vt:lpstr>
      <vt:lpstr>F8949CLTH</vt:lpstr>
      <vt:lpstr>F8949CSBOXA</vt:lpstr>
      <vt:lpstr>F8949CSBOXB</vt:lpstr>
      <vt:lpstr>F8949CSBOXC</vt:lpstr>
      <vt:lpstr>F8949CSBOXG</vt:lpstr>
      <vt:lpstr>F8949CSBOXH</vt:lpstr>
      <vt:lpstr>F8949CSBOXI</vt:lpstr>
      <vt:lpstr>F8949CST</vt:lpstr>
      <vt:lpstr>F8949CSTD</vt:lpstr>
      <vt:lpstr>F8949CSTE</vt:lpstr>
      <vt:lpstr>F8949CSTG</vt:lpstr>
      <vt:lpstr>F8949CSTH</vt:lpstr>
      <vt:lpstr>F8949DLBOXD</vt:lpstr>
      <vt:lpstr>F8949DLBOXE</vt:lpstr>
      <vt:lpstr>F8949DLBOXF</vt:lpstr>
      <vt:lpstr>F8949DLBOXJ</vt:lpstr>
      <vt:lpstr>F8949DLBOXK</vt:lpstr>
      <vt:lpstr>F8949DLBOXL</vt:lpstr>
      <vt:lpstr>F8949DLT</vt:lpstr>
      <vt:lpstr>F8949DLTD</vt:lpstr>
      <vt:lpstr>F8949DLTE</vt:lpstr>
      <vt:lpstr>F8949DLTG</vt:lpstr>
      <vt:lpstr>F8949DLTH</vt:lpstr>
      <vt:lpstr>F8949DSBOXA</vt:lpstr>
      <vt:lpstr>F8949DSBOXB</vt:lpstr>
      <vt:lpstr>F8949DSBOXC</vt:lpstr>
      <vt:lpstr>F8949DSBOXG</vt:lpstr>
      <vt:lpstr>F8949DSBOXH</vt:lpstr>
      <vt:lpstr>F8949DSBOXI</vt:lpstr>
      <vt:lpstr>F8949DST</vt:lpstr>
      <vt:lpstr>F8949DSTD</vt:lpstr>
      <vt:lpstr>F8949DSTE</vt:lpstr>
      <vt:lpstr>F8949DSTG</vt:lpstr>
      <vt:lpstr>F8949DSTH</vt:lpstr>
      <vt:lpstr>F8959_Reqd</vt:lpstr>
      <vt:lpstr>F8959_Tax</vt:lpstr>
      <vt:lpstr>F8959_WH</vt:lpstr>
      <vt:lpstr>F8960_Applicable</vt:lpstr>
      <vt:lpstr>F8960_Tax</vt:lpstr>
      <vt:lpstr>F8978_Credit</vt:lpstr>
      <vt:lpstr>FarmIncomeLoss</vt:lpstr>
      <vt:lpstr>FarmOptMeth1</vt:lpstr>
      <vt:lpstr>FarmOptMeth2</vt:lpstr>
      <vt:lpstr>FarmProfitNet</vt:lpstr>
      <vt:lpstr>Fed_Inc_Tax_WH_Line_25d</vt:lpstr>
      <vt:lpstr>FedFuelTaxCredit</vt:lpstr>
      <vt:lpstr>FEI_Exclusion_Limit</vt:lpstr>
      <vt:lpstr>FEI_Exclusion_Max</vt:lpstr>
      <vt:lpstr>FEI_HousingDeduction</vt:lpstr>
      <vt:lpstr>FEI_HousingDeduction1</vt:lpstr>
      <vt:lpstr>FEI_HousingDeduction2</vt:lpstr>
      <vt:lpstr>FEI_HousingExclusion</vt:lpstr>
      <vt:lpstr>FEI_HousingExclusion1</vt:lpstr>
      <vt:lpstr>FEI_HousingExclusion2</vt:lpstr>
      <vt:lpstr>FEI_Tax_Worksheet</vt:lpstr>
      <vt:lpstr>FEI_Tax_WS_Required</vt:lpstr>
      <vt:lpstr>FEI_TW_Line2c</vt:lpstr>
      <vt:lpstr>FEI_TW_Line3</vt:lpstr>
      <vt:lpstr>File_Head</vt:lpstr>
      <vt:lpstr>File_Marr_Joint</vt:lpstr>
      <vt:lpstr>File_Marr_Sep</vt:lpstr>
      <vt:lpstr>File_Qual_Widow</vt:lpstr>
      <vt:lpstr>File_Single</vt:lpstr>
      <vt:lpstr>File8960</vt:lpstr>
      <vt:lpstr>FilingScheduleD</vt:lpstr>
      <vt:lpstr>FilingStatusError</vt:lpstr>
      <vt:lpstr>Foreign_Tax_Credit</vt:lpstr>
      <vt:lpstr>ForeignCountry</vt:lpstr>
      <vt:lpstr>ForeignEarnedIncome</vt:lpstr>
      <vt:lpstr>ForeignEarnedIncome1</vt:lpstr>
      <vt:lpstr>ForeignEarnedIncome2</vt:lpstr>
      <vt:lpstr>ForeignHousingDeduction1</vt:lpstr>
      <vt:lpstr>ForeignHousingDeduction2</vt:lpstr>
      <vt:lpstr>ForeignHousingDeductionSpouse</vt:lpstr>
      <vt:lpstr>ForeignHousingDeductionTotal</vt:lpstr>
      <vt:lpstr>ForeignHousingDeductionYou</vt:lpstr>
      <vt:lpstr>ForeignIncExclusion</vt:lpstr>
      <vt:lpstr>ForeignIncExclusion1</vt:lpstr>
      <vt:lpstr>ForeignIncExclusion2</vt:lpstr>
      <vt:lpstr>ForeignIncExclusionSpouse</vt:lpstr>
      <vt:lpstr>ForeignIncExclusionTotal</vt:lpstr>
      <vt:lpstr>ForeignIncExclusionYou</vt:lpstr>
      <vt:lpstr>ForeignPostalCode</vt:lpstr>
      <vt:lpstr>ForeignProvince</vt:lpstr>
      <vt:lpstr>ForeignTaxCredit_1</vt:lpstr>
      <vt:lpstr>ForeignTaxCredit_2</vt:lpstr>
      <vt:lpstr>ForeignTaxCredit_3</vt:lpstr>
      <vt:lpstr>ForeignTaxPaid</vt:lpstr>
      <vt:lpstr>ForeignTaxPaid_DIV</vt:lpstr>
      <vt:lpstr>ForeignTaxPaid_F1116</vt:lpstr>
      <vt:lpstr>ForeignTaxPaid_INT</vt:lpstr>
      <vt:lpstr>ForeignTaxPaid_INT_DIV</vt:lpstr>
      <vt:lpstr>ForeignTaxThreshold</vt:lpstr>
      <vt:lpstr>Form2210_Line7</vt:lpstr>
      <vt:lpstr>Form2555_Used</vt:lpstr>
      <vt:lpstr>Form4952_Filed</vt:lpstr>
      <vt:lpstr>Form4952_Line4e</vt:lpstr>
      <vt:lpstr>Form4952_Line4g</vt:lpstr>
      <vt:lpstr>Form8863</vt:lpstr>
      <vt:lpstr>Form8960_Threshhold</vt:lpstr>
      <vt:lpstr>Hawaii</vt:lpstr>
      <vt:lpstr>HSA_Deduct</vt:lpstr>
      <vt:lpstr>InmateIncome</vt:lpstr>
      <vt:lpstr>Interest_Inc</vt:lpstr>
      <vt:lpstr>InvExpDIV</vt:lpstr>
      <vt:lpstr>InvExpINT</vt:lpstr>
      <vt:lpstr>IRA_CONV_SPOUSE</vt:lpstr>
      <vt:lpstr>IRA_CONV_TAXABLE_SPOUSE</vt:lpstr>
      <vt:lpstr>IRA_CONV_TAXABLE_YOU</vt:lpstr>
      <vt:lpstr>IRA_CONV_YOU</vt:lpstr>
      <vt:lpstr>IRA_Deduction</vt:lpstr>
      <vt:lpstr>IRA_Dist_SPOUSE</vt:lpstr>
      <vt:lpstr>IRA_Dist_YOU</vt:lpstr>
      <vt:lpstr>IRA_FedTaxWH</vt:lpstr>
      <vt:lpstr>IRA_Gross</vt:lpstr>
      <vt:lpstr>IRA_HFD</vt:lpstr>
      <vt:lpstr>IRA_QCD</vt:lpstr>
      <vt:lpstr>IRA_Rollover</vt:lpstr>
      <vt:lpstr>IRA_Taxable</vt:lpstr>
      <vt:lpstr>IRA_Taxable_1099R</vt:lpstr>
      <vt:lpstr>IRA_Taxable_Spouse</vt:lpstr>
      <vt:lpstr>IRA_Taxable_You</vt:lpstr>
      <vt:lpstr>IRAContrib_Taxable1</vt:lpstr>
      <vt:lpstr>IRAContrib_Taxable2</vt:lpstr>
      <vt:lpstr>IRAConvert_Taxable1</vt:lpstr>
      <vt:lpstr>IRAConvert_Taxable2</vt:lpstr>
      <vt:lpstr>IRADeduct</vt:lpstr>
      <vt:lpstr>Item_Deduct_Wks_L9</vt:lpstr>
      <vt:lpstr>ItemizeAnyway</vt:lpstr>
      <vt:lpstr>ItemizedDeduct</vt:lpstr>
      <vt:lpstr>LastYear</vt:lpstr>
      <vt:lpstr>LeapYear</vt:lpstr>
      <vt:lpstr>Line33_NOT</vt:lpstr>
      <vt:lpstr>LivedApart</vt:lpstr>
      <vt:lpstr>LivedApartAnswered</vt:lpstr>
      <vt:lpstr>LLC_1</vt:lpstr>
      <vt:lpstr>LLC_2</vt:lpstr>
      <vt:lpstr>LLC_3</vt:lpstr>
      <vt:lpstr>LLC_4</vt:lpstr>
      <vt:lpstr>LocalTaxIRA</vt:lpstr>
      <vt:lpstr>LocalTaxPA</vt:lpstr>
      <vt:lpstr>LocalTaxW2</vt:lpstr>
      <vt:lpstr>MAGI_OBBBA</vt:lpstr>
      <vt:lpstr>MarketDiscount</vt:lpstr>
      <vt:lpstr>MaxSSTax</vt:lpstr>
      <vt:lpstr>MaxSSTaxEarnings</vt:lpstr>
      <vt:lpstr>MedCare_Tax_Withheld</vt:lpstr>
      <vt:lpstr>MedCare_wages</vt:lpstr>
      <vt:lpstr>MedicareTaxRate</vt:lpstr>
      <vt:lpstr>MFS_Spouse_NotFiling</vt:lpstr>
      <vt:lpstr>ModAdjGrossInc</vt:lpstr>
      <vt:lpstr>MovExp_ArmedForces</vt:lpstr>
      <vt:lpstr>Name_1st_Sp</vt:lpstr>
      <vt:lpstr>Name_1st_Yours</vt:lpstr>
      <vt:lpstr>Name_Last_Sp</vt:lpstr>
      <vt:lpstr>Name_Last_Yours</vt:lpstr>
      <vt:lpstr>Names</vt:lpstr>
      <vt:lpstr>NameSpouse</vt:lpstr>
      <vt:lpstr>NameYours</vt:lpstr>
      <vt:lpstr>Needs_SALT</vt:lpstr>
      <vt:lpstr>NetCapitalGain</vt:lpstr>
      <vt:lpstr>NextYear</vt:lpstr>
      <vt:lpstr>NoColor</vt:lpstr>
      <vt:lpstr>NoEICredit</vt:lpstr>
      <vt:lpstr>NonEmployeeComp_Both</vt:lpstr>
      <vt:lpstr>NonEmployeeComp_Spouse</vt:lpstr>
      <vt:lpstr>NonEmployeeComp_You</vt:lpstr>
      <vt:lpstr>NonFarmOptMeth1</vt:lpstr>
      <vt:lpstr>NonFarmOptMeth2</vt:lpstr>
      <vt:lpstr>NonQualAnnuity</vt:lpstr>
      <vt:lpstr>NoOnLine66a</vt:lpstr>
      <vt:lpstr>NoSSN</vt:lpstr>
      <vt:lpstr>NOT_MFJ</vt:lpstr>
      <vt:lpstr>NQDisasterLoss</vt:lpstr>
      <vt:lpstr>NumFileStatusBoxes</vt:lpstr>
      <vt:lpstr>OPRC</vt:lpstr>
      <vt:lpstr>OrdinaryDividends</vt:lpstr>
      <vt:lpstr>OtherGainsLosses</vt:lpstr>
      <vt:lpstr>OtherIncome</vt:lpstr>
      <vt:lpstr>OtherIncome1040</vt:lpstr>
      <vt:lpstr>Over_65_or_Blind</vt:lpstr>
      <vt:lpstr>Overpaid</vt:lpstr>
      <vt:lpstr>PA_FedTaxWH</vt:lpstr>
      <vt:lpstr>PA_Gross</vt:lpstr>
      <vt:lpstr>PA_Taxable</vt:lpstr>
      <vt:lpstr>PA_Taxable_1099R</vt:lpstr>
      <vt:lpstr>PA_Taxable_Spouse</vt:lpstr>
      <vt:lpstr>PA_Taxable_You</vt:lpstr>
      <vt:lpstr>Part_III_Completed</vt:lpstr>
      <vt:lpstr>PassiveIncomeLoss</vt:lpstr>
      <vt:lpstr>pc28RateGainWS</vt:lpstr>
      <vt:lpstr>PEC_Spouse</vt:lpstr>
      <vt:lpstr>PEC_You</vt:lpstr>
      <vt:lpstr>Penalty4EW</vt:lpstr>
      <vt:lpstr>PenaltyEarlyWithdraw</vt:lpstr>
      <vt:lpstr>PenaltyOwedFlag</vt:lpstr>
      <vt:lpstr>Pension_taxable</vt:lpstr>
      <vt:lpstr>Pension_total</vt:lpstr>
      <vt:lpstr>PensionsAnnuities</vt:lpstr>
      <vt:lpstr>POCV_Credit</vt:lpstr>
      <vt:lpstr>'1040'!Print_Area</vt:lpstr>
      <vt:lpstr>'1099-DIV'!Print_Area</vt:lpstr>
      <vt:lpstr>'1099-G'!Print_Area</vt:lpstr>
      <vt:lpstr>'1099-INT'!Print_Area</vt:lpstr>
      <vt:lpstr>'1099-MISC'!Print_Area</vt:lpstr>
      <vt:lpstr>'1099-R'!Print_Area</vt:lpstr>
      <vt:lpstr>'1116'!Print_Area</vt:lpstr>
      <vt:lpstr>'2210'!Print_Area</vt:lpstr>
      <vt:lpstr>'2441'!Print_Area</vt:lpstr>
      <vt:lpstr>'2555'!Print_Area</vt:lpstr>
      <vt:lpstr>'4137'!Print_Area</vt:lpstr>
      <vt:lpstr>'4562'!Print_Area</vt:lpstr>
      <vt:lpstr>'5695'!Print_Area</vt:lpstr>
      <vt:lpstr>'6251'!Print_Area</vt:lpstr>
      <vt:lpstr>'8283'!Print_Area</vt:lpstr>
      <vt:lpstr>'8582'!Print_Area</vt:lpstr>
      <vt:lpstr>'8606'!Print_Area</vt:lpstr>
      <vt:lpstr>'8801'!Print_Area</vt:lpstr>
      <vt:lpstr>'8812'!Print_Area</vt:lpstr>
      <vt:lpstr>'8829'!Print_Area</vt:lpstr>
      <vt:lpstr>'8863'!Print_Area</vt:lpstr>
      <vt:lpstr>'8880'!Print_Area</vt:lpstr>
      <vt:lpstr>'8889'!Print_Area</vt:lpstr>
      <vt:lpstr>'8919'!Print_Area</vt:lpstr>
      <vt:lpstr>'8949A'!Print_Area</vt:lpstr>
      <vt:lpstr>'8949B'!Print_Area</vt:lpstr>
      <vt:lpstr>'8949C'!Print_Area</vt:lpstr>
      <vt:lpstr>'8949D'!Print_Area</vt:lpstr>
      <vt:lpstr>'8959'!Print_Area</vt:lpstr>
      <vt:lpstr>'8960'!Print_Area</vt:lpstr>
      <vt:lpstr>'8962'!Print_Area</vt:lpstr>
      <vt:lpstr>'8995'!Print_Area</vt:lpstr>
      <vt:lpstr>Coversheet!Print_Area</vt:lpstr>
      <vt:lpstr>Dependents!Print_Area</vt:lpstr>
      <vt:lpstr>'Earned Inc WS'!Print_Area</vt:lpstr>
      <vt:lpstr>Instructions!Print_Area</vt:lpstr>
      <vt:lpstr>'Line 12e (SD Depnts)'!Print_Area</vt:lpstr>
      <vt:lpstr>'Line 16 (QDCG Tax)'!Print_Area</vt:lpstr>
      <vt:lpstr>'Line 27a (EIC)'!Print_Area</vt:lpstr>
      <vt:lpstr>'Line 6ab (SS Bene)'!Print_Area</vt:lpstr>
      <vt:lpstr>'Lines 4ab (IRA Dist.)'!Print_Area</vt:lpstr>
      <vt:lpstr>'Lines 5ab (Simplified Meth WS)'!Print_Area</vt:lpstr>
      <vt:lpstr>'Sch 1, Line 1 (SALT)'!Print_Area</vt:lpstr>
      <vt:lpstr>'Sch. 1'!Print_Area</vt:lpstr>
      <vt:lpstr>'Sch. 1, Line 20 (IRA)'!Print_Area</vt:lpstr>
      <vt:lpstr>'Sch. 1, Line 21 (Stu Loan)'!Print_Area</vt:lpstr>
      <vt:lpstr>'Sch. 1-A'!Print_Area</vt:lpstr>
      <vt:lpstr>'Sch. 2'!Print_Area</vt:lpstr>
      <vt:lpstr>'Sch. 3'!Print_Area</vt:lpstr>
      <vt:lpstr>'Sch. A'!Print_Area</vt:lpstr>
      <vt:lpstr>'Sch. B'!Print_Area</vt:lpstr>
      <vt:lpstr>'Sch. C'!Print_Area</vt:lpstr>
      <vt:lpstr>'Sch. D'!Print_Area</vt:lpstr>
      <vt:lpstr>'Sch. D WS'!Print_Area</vt:lpstr>
      <vt:lpstr>'Sch. E'!Print_Area</vt:lpstr>
      <vt:lpstr>'Sch. E (2)'!Print_Area</vt:lpstr>
      <vt:lpstr>'Sch. F'!Print_Area</vt:lpstr>
      <vt:lpstr>'Sch. R'!Print_Area</vt:lpstr>
      <vt:lpstr>'Sch. SE'!Print_Area</vt:lpstr>
      <vt:lpstr>'SSA-1099'!Print_Area</vt:lpstr>
      <vt:lpstr>'Table of Contents'!Print_Area</vt:lpstr>
      <vt:lpstr>'Tax Table'!Print_Area</vt:lpstr>
      <vt:lpstr>'W-2s'!Print_Area</vt:lpstr>
      <vt:lpstr>'Table of Contents'!Print_Titles</vt:lpstr>
      <vt:lpstr>'Tax Table'!Print_Titles</vt:lpstr>
      <vt:lpstr>PTC_Excess</vt:lpstr>
      <vt:lpstr>PTC_ExcessAdv</vt:lpstr>
      <vt:lpstr>PTC_Net</vt:lpstr>
      <vt:lpstr>PTCNet</vt:lpstr>
      <vt:lpstr>PuertoRicoResident</vt:lpstr>
      <vt:lpstr>QBID</vt:lpstr>
      <vt:lpstr>QBID_1040</vt:lpstr>
      <vt:lpstr>QBID_Income2High</vt:lpstr>
      <vt:lpstr>QPIMV_Credit</vt:lpstr>
      <vt:lpstr>Qual_Child_Count</vt:lpstr>
      <vt:lpstr>Qual_Child_Name</vt:lpstr>
      <vt:lpstr>Qual_Child_Number_EIC</vt:lpstr>
      <vt:lpstr>Qual_Childen_Under_17</vt:lpstr>
      <vt:lpstr>QualDiv_1099DIV</vt:lpstr>
      <vt:lpstr>Qualified_Dividends</vt:lpstr>
      <vt:lpstr>QualifiedTipsDeduction</vt:lpstr>
      <vt:lpstr>RATE_A1</vt:lpstr>
      <vt:lpstr>RATE_A2</vt:lpstr>
      <vt:lpstr>RATE_A3</vt:lpstr>
      <vt:lpstr>RATE_A4</vt:lpstr>
      <vt:lpstr>RATE_A5</vt:lpstr>
      <vt:lpstr>RATE_A6</vt:lpstr>
      <vt:lpstr>RATE_A7</vt:lpstr>
      <vt:lpstr>RATE_B1</vt:lpstr>
      <vt:lpstr>RATE_B2</vt:lpstr>
      <vt:lpstr>RATE_B3</vt:lpstr>
      <vt:lpstr>RATE_B4</vt:lpstr>
      <vt:lpstr>RATE_B5</vt:lpstr>
      <vt:lpstr>RATE_B6</vt:lpstr>
      <vt:lpstr>RATE_B7</vt:lpstr>
      <vt:lpstr>RATE_C1</vt:lpstr>
      <vt:lpstr>RATE_C2</vt:lpstr>
      <vt:lpstr>RATE_C3</vt:lpstr>
      <vt:lpstr>RATE_C4</vt:lpstr>
      <vt:lpstr>RATE_C5</vt:lpstr>
      <vt:lpstr>RATE_C6</vt:lpstr>
      <vt:lpstr>RATE_C7</vt:lpstr>
      <vt:lpstr>RATE_D1</vt:lpstr>
      <vt:lpstr>RATE_D2</vt:lpstr>
      <vt:lpstr>RATE_D3</vt:lpstr>
      <vt:lpstr>RATE_D4</vt:lpstr>
      <vt:lpstr>RATE_D5</vt:lpstr>
      <vt:lpstr>RATE_D6</vt:lpstr>
      <vt:lpstr>RATE_D7</vt:lpstr>
      <vt:lpstr>RCE_CL_WKST</vt:lpstr>
      <vt:lpstr>ResNRGCredit</vt:lpstr>
      <vt:lpstr>Retirement_Savings</vt:lpstr>
      <vt:lpstr>RevDateTime</vt:lpstr>
      <vt:lpstr>RothIRADist_Taxable1</vt:lpstr>
      <vt:lpstr>RothIRADist_Taxable2</vt:lpstr>
      <vt:lpstr>RRTA_Compensation</vt:lpstr>
      <vt:lpstr>RRTA_TaxWH</vt:lpstr>
      <vt:lpstr>RTAApayments</vt:lpstr>
      <vt:lpstr>SALT_Deduct_Limit</vt:lpstr>
      <vt:lpstr>SALT_Limited</vt:lpstr>
      <vt:lpstr>SALT_Refund</vt:lpstr>
      <vt:lpstr>Sch.B_Reqd</vt:lpstr>
      <vt:lpstr>Sch1_Line1</vt:lpstr>
      <vt:lpstr>Sch1_Line11_19a</vt:lpstr>
      <vt:lpstr>Sch1_Line8s</vt:lpstr>
      <vt:lpstr>Sch1A_Deductions</vt:lpstr>
      <vt:lpstr>Sch2_Line1z</vt:lpstr>
      <vt:lpstr>Sch3_Line6d</vt:lpstr>
      <vt:lpstr>Sch3_Line6f</vt:lpstr>
      <vt:lpstr>Sch3_Line6g</vt:lpstr>
      <vt:lpstr>Sch3_Line6h</vt:lpstr>
      <vt:lpstr>Sch3_Line6m</vt:lpstr>
      <vt:lpstr>Sch3_NonRefundCredits</vt:lpstr>
      <vt:lpstr>SchA_Blank</vt:lpstr>
      <vt:lpstr>SchA_Filed</vt:lpstr>
      <vt:lpstr>SchC_ProfitLoss1</vt:lpstr>
      <vt:lpstr>SchC_ProfitLoss2</vt:lpstr>
      <vt:lpstr>SchC_Sp_StatEmp_Inc</vt:lpstr>
      <vt:lpstr>SchC_StatEmp_Inc</vt:lpstr>
      <vt:lpstr>SchC_StatutoryEmp_1</vt:lpstr>
      <vt:lpstr>SchC_StatutoryEmp_2</vt:lpstr>
      <vt:lpstr>SchC_TentativeProfit1</vt:lpstr>
      <vt:lpstr>SchC_TentativeProfit2</vt:lpstr>
      <vt:lpstr>SchC_You_StatEmp_Inc</vt:lpstr>
      <vt:lpstr>SchD_Line1516_GT_0</vt:lpstr>
      <vt:lpstr>SchD_Line1819_GT_0</vt:lpstr>
      <vt:lpstr>SchD_NotReqd</vt:lpstr>
      <vt:lpstr>SchD_Used</vt:lpstr>
      <vt:lpstr>SchDLine15</vt:lpstr>
      <vt:lpstr>SchDLine16</vt:lpstr>
      <vt:lpstr>SchDLine18</vt:lpstr>
      <vt:lpstr>SchDLine19</vt:lpstr>
      <vt:lpstr>SchDLine20No</vt:lpstr>
      <vt:lpstr>SchDLine20Yes</vt:lpstr>
      <vt:lpstr>SchDLine22Yes</vt:lpstr>
      <vt:lpstr>SchDTW_Line1</vt:lpstr>
      <vt:lpstr>SchDTW_Line15</vt:lpstr>
      <vt:lpstr>SchDTW_Line19</vt:lpstr>
      <vt:lpstr>SchDTW_Line21</vt:lpstr>
      <vt:lpstr>SchDTW_Line24</vt:lpstr>
      <vt:lpstr>SchDTW_Line26</vt:lpstr>
      <vt:lpstr>SchDTW_Line31Rate</vt:lpstr>
      <vt:lpstr>SchDTW_Line34Rate</vt:lpstr>
      <vt:lpstr>SchDTW_Line40Rate</vt:lpstr>
      <vt:lpstr>SchDTW_Line43Rate</vt:lpstr>
      <vt:lpstr>SchDTW_Line45</vt:lpstr>
      <vt:lpstr>SchDTW_Tax</vt:lpstr>
      <vt:lpstr>SchDTW_Used</vt:lpstr>
      <vt:lpstr>SchE_IncomeLoss</vt:lpstr>
      <vt:lpstr>SchE1_Completed</vt:lpstr>
      <vt:lpstr>SchE1_Line26</vt:lpstr>
      <vt:lpstr>SchE1_Line32</vt:lpstr>
      <vt:lpstr>SchE1_Line37</vt:lpstr>
      <vt:lpstr>SchE1_Line39</vt:lpstr>
      <vt:lpstr>SchE1_Line40</vt:lpstr>
      <vt:lpstr>SchE1_Line41</vt:lpstr>
      <vt:lpstr>SchE2_Completed</vt:lpstr>
      <vt:lpstr>SchE2_Line26</vt:lpstr>
      <vt:lpstr>SchE2_Line32</vt:lpstr>
      <vt:lpstr>SchE2_Line37</vt:lpstr>
      <vt:lpstr>SchE2_Line39</vt:lpstr>
      <vt:lpstr>SchE2_Line40</vt:lpstr>
      <vt:lpstr>SchE2_Line41</vt:lpstr>
      <vt:lpstr>SchE3_Completed</vt:lpstr>
      <vt:lpstr>SchE3_Line26</vt:lpstr>
      <vt:lpstr>SchE3_Line32</vt:lpstr>
      <vt:lpstr>SchE3_Line37</vt:lpstr>
      <vt:lpstr>SchE3_Line39</vt:lpstr>
      <vt:lpstr>SchE3_Line40</vt:lpstr>
      <vt:lpstr>SchE3_Line41</vt:lpstr>
      <vt:lpstr>SchE4_Completed</vt:lpstr>
      <vt:lpstr>SchE4_Line26</vt:lpstr>
      <vt:lpstr>SchE4_Line32</vt:lpstr>
      <vt:lpstr>SchE4_Line37</vt:lpstr>
      <vt:lpstr>SchE4_Line39</vt:lpstr>
      <vt:lpstr>SchE4_Line40</vt:lpstr>
      <vt:lpstr>SchE4_Line41</vt:lpstr>
      <vt:lpstr>Schedule2_Tax</vt:lpstr>
      <vt:lpstr>ScheduleE1</vt:lpstr>
      <vt:lpstr>ScheduleE2</vt:lpstr>
      <vt:lpstr>ScheduleE3</vt:lpstr>
      <vt:lpstr>ScheduleE4</vt:lpstr>
      <vt:lpstr>ScheduleF_PartIII</vt:lpstr>
      <vt:lpstr>SchF_SchSE_1</vt:lpstr>
      <vt:lpstr>SchF_SchSE_2</vt:lpstr>
      <vt:lpstr>SchF_SSN</vt:lpstr>
      <vt:lpstr>SchR_Line22</vt:lpstr>
      <vt:lpstr>SchRQualify</vt:lpstr>
      <vt:lpstr>SchSE_Clergy_CEI_Sp</vt:lpstr>
      <vt:lpstr>SchSE_Clergy_CEI_Total</vt:lpstr>
      <vt:lpstr>SchSE_Clergy_CEI_You</vt:lpstr>
      <vt:lpstr>SchSE_Clergy1_Sp</vt:lpstr>
      <vt:lpstr>SchSE_Clergy1_You</vt:lpstr>
      <vt:lpstr>SchSE_Clergy2_Sp</vt:lpstr>
      <vt:lpstr>SchSE_Clergy2_You</vt:lpstr>
      <vt:lpstr>SchSE_Deduction</vt:lpstr>
      <vt:lpstr>SchSE_Deduction_Both</vt:lpstr>
      <vt:lpstr>SchSE_Deduction_Sp</vt:lpstr>
      <vt:lpstr>SchSE_Deduction_You</vt:lpstr>
      <vt:lpstr>SchSE_Line3_Sp1</vt:lpstr>
      <vt:lpstr>SchSE_Line3_Sp2</vt:lpstr>
      <vt:lpstr>SchSE_Line3_You1</vt:lpstr>
      <vt:lpstr>SchSE_Line3_You2</vt:lpstr>
      <vt:lpstr>SchSE_Lines_3_4b_5a_Sp</vt:lpstr>
      <vt:lpstr>SchSE_Lines_3_4b_5a_You</vt:lpstr>
      <vt:lpstr>SchSE_Lines_3_4b_Sp</vt:lpstr>
      <vt:lpstr>SchSE_Lines_3_4b_You</vt:lpstr>
      <vt:lpstr>SchSE_Profit1</vt:lpstr>
      <vt:lpstr>SchSE_Profit2</vt:lpstr>
      <vt:lpstr>SchSE_Tax</vt:lpstr>
      <vt:lpstr>SchSE1_SSN</vt:lpstr>
      <vt:lpstr>SchSEHalfTax1</vt:lpstr>
      <vt:lpstr>SchSEHalfTax2</vt:lpstr>
      <vt:lpstr>SchSELine4b1</vt:lpstr>
      <vt:lpstr>SchSELine4b2</vt:lpstr>
      <vt:lpstr>SD_Adj_HOH</vt:lpstr>
      <vt:lpstr>SD_Adj_MFJW</vt:lpstr>
      <vt:lpstr>SD_Adj_MFS</vt:lpstr>
      <vt:lpstr>SD_Adj_Single</vt:lpstr>
      <vt:lpstr>SD_AND_NQDL</vt:lpstr>
      <vt:lpstr>SD_Head</vt:lpstr>
      <vt:lpstr>SD_Inc_Married</vt:lpstr>
      <vt:lpstr>SD_Inc_Single</vt:lpstr>
      <vt:lpstr>SD_MFJW</vt:lpstr>
      <vt:lpstr>SD_Single</vt:lpstr>
      <vt:lpstr>SDTW_15_HOH</vt:lpstr>
      <vt:lpstr>SDTW_15_MFJ_QW</vt:lpstr>
      <vt:lpstr>SDTW_15_Single</vt:lpstr>
      <vt:lpstr>SDTW_26_HOH</vt:lpstr>
      <vt:lpstr>SDTW_26_MFJ_QW</vt:lpstr>
      <vt:lpstr>SDTW_26_MFS</vt:lpstr>
      <vt:lpstr>SDTW_26_Single</vt:lpstr>
      <vt:lpstr>SE_Deduct</vt:lpstr>
      <vt:lpstr>Sect199ADividends</vt:lpstr>
      <vt:lpstr>SectA_a2</vt:lpstr>
      <vt:lpstr>SectA_a3</vt:lpstr>
      <vt:lpstr>SectA_a4</vt:lpstr>
      <vt:lpstr>SectA_a5</vt:lpstr>
      <vt:lpstr>SectA_a6</vt:lpstr>
      <vt:lpstr>SectA_b3</vt:lpstr>
      <vt:lpstr>SectA_b4</vt:lpstr>
      <vt:lpstr>SectA_b5</vt:lpstr>
      <vt:lpstr>SectA_b6</vt:lpstr>
      <vt:lpstr>SectA_b7</vt:lpstr>
      <vt:lpstr>SectA_d3</vt:lpstr>
      <vt:lpstr>SectA_d4</vt:lpstr>
      <vt:lpstr>SectA_d5</vt:lpstr>
      <vt:lpstr>SectA_d6</vt:lpstr>
      <vt:lpstr>SectA_d7</vt:lpstr>
      <vt:lpstr>SectB_a2</vt:lpstr>
      <vt:lpstr>SectB_a3</vt:lpstr>
      <vt:lpstr>SectB_a4</vt:lpstr>
      <vt:lpstr>SectB_a5</vt:lpstr>
      <vt:lpstr>SectB_a6</vt:lpstr>
      <vt:lpstr>SectB_b3</vt:lpstr>
      <vt:lpstr>SectB_b4</vt:lpstr>
      <vt:lpstr>SectB_b5</vt:lpstr>
      <vt:lpstr>SectB_b6</vt:lpstr>
      <vt:lpstr>SectB_b7</vt:lpstr>
      <vt:lpstr>SectB_d3</vt:lpstr>
      <vt:lpstr>SectB_d4</vt:lpstr>
      <vt:lpstr>SectB_d5</vt:lpstr>
      <vt:lpstr>SectB_d6</vt:lpstr>
      <vt:lpstr>SectB_d7</vt:lpstr>
      <vt:lpstr>SectC_a1</vt:lpstr>
      <vt:lpstr>SectC_a2</vt:lpstr>
      <vt:lpstr>SectC_a3</vt:lpstr>
      <vt:lpstr>SectC_a4</vt:lpstr>
      <vt:lpstr>SectC_a5</vt:lpstr>
      <vt:lpstr>SectC_b2</vt:lpstr>
      <vt:lpstr>SectC_b3</vt:lpstr>
      <vt:lpstr>SectC_b4</vt:lpstr>
      <vt:lpstr>SectC_b5</vt:lpstr>
      <vt:lpstr>SectC_b6</vt:lpstr>
      <vt:lpstr>SectC_d2</vt:lpstr>
      <vt:lpstr>SectC_d3</vt:lpstr>
      <vt:lpstr>SectC_d4</vt:lpstr>
      <vt:lpstr>SectC_d5</vt:lpstr>
      <vt:lpstr>SectC_d6</vt:lpstr>
      <vt:lpstr>SectD_a2</vt:lpstr>
      <vt:lpstr>SectD_a3</vt:lpstr>
      <vt:lpstr>SectD_a4</vt:lpstr>
      <vt:lpstr>SectD_a5</vt:lpstr>
      <vt:lpstr>SectD_a6</vt:lpstr>
      <vt:lpstr>SectD_b3</vt:lpstr>
      <vt:lpstr>SectD_b4</vt:lpstr>
      <vt:lpstr>SectD_b5</vt:lpstr>
      <vt:lpstr>SectD_b6</vt:lpstr>
      <vt:lpstr>SectD_b7</vt:lpstr>
      <vt:lpstr>SectD_d3</vt:lpstr>
      <vt:lpstr>SectD_d4</vt:lpstr>
      <vt:lpstr>SectD_d5</vt:lpstr>
      <vt:lpstr>SectD_d6</vt:lpstr>
      <vt:lpstr>SectD_d7</vt:lpstr>
      <vt:lpstr>SEHealthInsDeduct</vt:lpstr>
      <vt:lpstr>SelfEmploymentTax</vt:lpstr>
      <vt:lpstr>SEP_Plan_Deduct</vt:lpstr>
      <vt:lpstr>Skip2343</vt:lpstr>
      <vt:lpstr>Skip3343</vt:lpstr>
      <vt:lpstr>Skip3540</vt:lpstr>
      <vt:lpstr>Skip4143</vt:lpstr>
      <vt:lpstr>SocSecBenefits</vt:lpstr>
      <vt:lpstr>SocSecBenefits_Taxable</vt:lpstr>
      <vt:lpstr>SocSecTips</vt:lpstr>
      <vt:lpstr>SocSecTips_Spouse</vt:lpstr>
      <vt:lpstr>SocSecTips_You</vt:lpstr>
      <vt:lpstr>SocSecTipsNotW2</vt:lpstr>
      <vt:lpstr>SocSecTipsW2</vt:lpstr>
      <vt:lpstr>SocSecWages_Spouse</vt:lpstr>
      <vt:lpstr>SocSecWages_You</vt:lpstr>
      <vt:lpstr>sp_blind</vt:lpstr>
      <vt:lpstr>sp_over_64</vt:lpstr>
      <vt:lpstr>SpaceUsed_8949A_LT</vt:lpstr>
      <vt:lpstr>SpaceUsed_8949A_ST</vt:lpstr>
      <vt:lpstr>SpaceUsed_8949B_LT</vt:lpstr>
      <vt:lpstr>SpaceUsed_8949B_ST</vt:lpstr>
      <vt:lpstr>SpaceUsed_8949C_LT</vt:lpstr>
      <vt:lpstr>SpaceUsed_8949C_ST</vt:lpstr>
      <vt:lpstr>SpaceUsed_8949D_LT</vt:lpstr>
      <vt:lpstr>SpaceUsed_8949D_ST</vt:lpstr>
      <vt:lpstr>Spouse</vt:lpstr>
      <vt:lpstr>Spouse_GE24</vt:lpstr>
      <vt:lpstr>Spouse_GT24</vt:lpstr>
      <vt:lpstr>Spouse_GT24LT65</vt:lpstr>
      <vt:lpstr>Spouse_LT65</vt:lpstr>
      <vt:lpstr>Spouse65onJan2</vt:lpstr>
      <vt:lpstr>SpouseAge</vt:lpstr>
      <vt:lpstr>SpouseAgeDecimal</vt:lpstr>
      <vt:lpstr>SpouseBirthDate</vt:lpstr>
      <vt:lpstr>SpouseBirthDay</vt:lpstr>
      <vt:lpstr>SpouseBirthMonth</vt:lpstr>
      <vt:lpstr>SpouseBirthYear</vt:lpstr>
      <vt:lpstr>SpouseDeathDate</vt:lpstr>
      <vt:lpstr>SpouseDeathDay</vt:lpstr>
      <vt:lpstr>SpouseDeathMonth</vt:lpstr>
      <vt:lpstr>SpouseDeathYear</vt:lpstr>
      <vt:lpstr>SpouseDeceased</vt:lpstr>
      <vt:lpstr>SpouseIs65</vt:lpstr>
      <vt:lpstr>SpouseIs70Half</vt:lpstr>
      <vt:lpstr>SpouseSep_NoIncome</vt:lpstr>
      <vt:lpstr>SS_FedTaxWH_Spouse</vt:lpstr>
      <vt:lpstr>SS_FedTaxWH_You</vt:lpstr>
      <vt:lpstr>SS_Spouse</vt:lpstr>
      <vt:lpstr>SS_Yours</vt:lpstr>
      <vt:lpstr>SSNetBeneSpouse</vt:lpstr>
      <vt:lpstr>SSNetBeneYou</vt:lpstr>
      <vt:lpstr>SSTaxRate</vt:lpstr>
      <vt:lpstr>Standard</vt:lpstr>
      <vt:lpstr>State</vt:lpstr>
      <vt:lpstr>State_Local_Tax_Refund</vt:lpstr>
      <vt:lpstr>StateLocalTaxesPaid</vt:lpstr>
      <vt:lpstr>StateTax_DIV</vt:lpstr>
      <vt:lpstr>StateTax_INT</vt:lpstr>
      <vt:lpstr>StateTaxIRA</vt:lpstr>
      <vt:lpstr>StateTaxPA</vt:lpstr>
      <vt:lpstr>StateTaxW2</vt:lpstr>
      <vt:lpstr>Std_Ded_Wrks_For_Dep</vt:lpstr>
      <vt:lpstr>StdDeduct</vt:lpstr>
      <vt:lpstr>StudentLoanIntDeduct</vt:lpstr>
      <vt:lpstr>StuLoanIntDeduct</vt:lpstr>
      <vt:lpstr>Tax</vt:lpstr>
      <vt:lpstr>Tax_FEI_TW</vt:lpstr>
      <vt:lpstr>Tax_SS_Benefits</vt:lpstr>
      <vt:lpstr>Tax_SubTotal</vt:lpstr>
      <vt:lpstr>Taxable_Inc</vt:lpstr>
      <vt:lpstr>Taxable_State_Local_Tax_Refund</vt:lpstr>
      <vt:lpstr>TaxableInterest</vt:lpstr>
      <vt:lpstr>TaxDay</vt:lpstr>
      <vt:lpstr>TaxExemptInt</vt:lpstr>
      <vt:lpstr>TaxExemptInterest</vt:lpstr>
      <vt:lpstr>TaxFamilySize</vt:lpstr>
      <vt:lpstr>TaxLine_1040</vt:lpstr>
      <vt:lpstr>TaxPenalty</vt:lpstr>
      <vt:lpstr>TaxYear</vt:lpstr>
      <vt:lpstr>TaxYear2</vt:lpstr>
      <vt:lpstr>TaxYearEnd</vt:lpstr>
      <vt:lpstr>TaxYearStart</vt:lpstr>
      <vt:lpstr>Tot_Exemptions</vt:lpstr>
      <vt:lpstr>Tot_Item_Deduct</vt:lpstr>
      <vt:lpstr>Tot_Payments</vt:lpstr>
      <vt:lpstr>Tot_Tax</vt:lpstr>
      <vt:lpstr>Total_Income</vt:lpstr>
      <vt:lpstr>TotalDeductions</vt:lpstr>
      <vt:lpstr>TotalOtherAdjust</vt:lpstr>
      <vt:lpstr>TotalOtherTaxes</vt:lpstr>
      <vt:lpstr>TotalSocSecBenefits</vt:lpstr>
      <vt:lpstr>UCE_Spouse</vt:lpstr>
      <vt:lpstr>UCE_You</vt:lpstr>
      <vt:lpstr>Unallowed_CRD</vt:lpstr>
      <vt:lpstr>Uncol_MC_Tax_onTips</vt:lpstr>
      <vt:lpstr>Uncol_SS_Tax_onTips</vt:lpstr>
      <vt:lpstr>UnemployComp</vt:lpstr>
      <vt:lpstr>UnEmploymentComp</vt:lpstr>
      <vt:lpstr>W2_FedTaxWH</vt:lpstr>
      <vt:lpstr>W2_NonTaxCombatPay_Sp</vt:lpstr>
      <vt:lpstr>W2_NonTaxCombatPay_You</vt:lpstr>
      <vt:lpstr>W2_Other</vt:lpstr>
      <vt:lpstr>W2_SS_Tax_Excess</vt:lpstr>
      <vt:lpstr>W2_SS_Tax_Withheld</vt:lpstr>
      <vt:lpstr>W2_SS_Wages</vt:lpstr>
      <vt:lpstr>W2_Tax_Withheld</vt:lpstr>
      <vt:lpstr>W2_Wages</vt:lpstr>
      <vt:lpstr>W2_Wages_Spouse</vt:lpstr>
      <vt:lpstr>W2_Wages_You</vt:lpstr>
      <vt:lpstr>Wages</vt:lpstr>
      <vt:lpstr>you_blind</vt:lpstr>
      <vt:lpstr>You_GE24</vt:lpstr>
      <vt:lpstr>You_GT24</vt:lpstr>
      <vt:lpstr>You_GT24LT65</vt:lpstr>
      <vt:lpstr>You_LT65</vt:lpstr>
      <vt:lpstr>you_over_64</vt:lpstr>
      <vt:lpstr>You_Owe</vt:lpstr>
      <vt:lpstr>You65onJan2</vt:lpstr>
      <vt:lpstr>YouR65</vt:lpstr>
      <vt:lpstr>YouR70Half</vt:lpstr>
      <vt:lpstr>YourAge</vt:lpstr>
      <vt:lpstr>YourAgeDecimal</vt:lpstr>
      <vt:lpstr>YourBirthDate</vt:lpstr>
      <vt:lpstr>YourBirthDay</vt:lpstr>
      <vt:lpstr>YourBirthMonth</vt:lpstr>
      <vt:lpstr>YourBirthYear</vt:lpstr>
      <vt:lpstr>Yourself</vt:lpstr>
      <vt:lpstr>ZIPCode</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2025 Federal Income Tax Spreadsheet (www.excel1040.com)</dc:title>
  <dc:creator>(c) Glenn Reeves 2026</dc:creator>
  <cp:lastModifiedBy>Glenn Reeves</cp:lastModifiedBy>
  <cp:revision/>
  <cp:lastPrinted>2026-03-12T21:04:42Z</cp:lastPrinted>
  <dcterms:created xsi:type="dcterms:W3CDTF">1997-11-09T08:01:41Z</dcterms:created>
  <dcterms:modified xsi:type="dcterms:W3CDTF">2026-03-30T14:26:14Z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275ac46-98b9-4d64-949f-e82ee8dc823c_Enabled">
    <vt:lpwstr>true</vt:lpwstr>
  </property>
  <property fmtid="{D5CDD505-2E9C-101B-9397-08002B2CF9AE}" pid="3" name="MSIP_Label_d275ac46-98b9-4d64-949f-e82ee8dc823c_SetDate">
    <vt:lpwstr>2023-11-28T03:57:03Z</vt:lpwstr>
  </property>
  <property fmtid="{D5CDD505-2E9C-101B-9397-08002B2CF9AE}" pid="4" name="MSIP_Label_d275ac46-98b9-4d64-949f-e82ee8dc823c_Method">
    <vt:lpwstr>Standard</vt:lpwstr>
  </property>
  <property fmtid="{D5CDD505-2E9C-101B-9397-08002B2CF9AE}" pid="5" name="MSIP_Label_d275ac46-98b9-4d64-949f-e82ee8dc823c_Name">
    <vt:lpwstr>d275ac46-98b9-4d64-949f-e82ee8dc823c</vt:lpwstr>
  </property>
  <property fmtid="{D5CDD505-2E9C-101B-9397-08002B2CF9AE}" pid="6" name="MSIP_Label_d275ac46-98b9-4d64-949f-e82ee8dc823c_SiteId">
    <vt:lpwstr>9ef58ab0-3510-4d99-8d3e-3c9e02ebab7f</vt:lpwstr>
  </property>
  <property fmtid="{D5CDD505-2E9C-101B-9397-08002B2CF9AE}" pid="7" name="MSIP_Label_d275ac46-98b9-4d64-949f-e82ee8dc823c_ActionId">
    <vt:lpwstr>01c7a08b-8dbe-47b0-9a25-74e497f2e39a</vt:lpwstr>
  </property>
  <property fmtid="{D5CDD505-2E9C-101B-9397-08002B2CF9AE}" pid="8" name="MSIP_Label_d275ac46-98b9-4d64-949f-e82ee8dc823c_ContentBits">
    <vt:lpwstr>3</vt:lpwstr>
  </property>
</Properties>
</file>